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G:\O meu disco\Projct - Sistema de Calssificação\"/>
    </mc:Choice>
  </mc:AlternateContent>
  <xr:revisionPtr revIDLastSave="0" documentId="13_ncr:1_{6FD57C0F-C521-4AAD-BC39-A98B0CEA36C1}" xr6:coauthVersionLast="45" xr6:coauthVersionMax="45" xr10:uidLastSave="{00000000-0000-0000-0000-000000000000}"/>
  <bookViews>
    <workbookView xWindow="-20610" yWindow="4455" windowWidth="20730" windowHeight="11160" firstSheet="5" activeTab="10" xr2:uid="{00000000-000D-0000-FFFF-FFFF00000000}"/>
  </bookViews>
  <sheets>
    <sheet name="Atribuições" sheetId="1" r:id="rId1"/>
    <sheet name="Léxico Geral" sheetId="2" r:id="rId2"/>
    <sheet name="CO_1.8" sheetId="3" r:id="rId3"/>
    <sheet name="CO_Base_LNEC" sheetId="4" r:id="rId4"/>
    <sheet name="En_1.13" sheetId="5" r:id="rId5"/>
    <sheet name="En_Base_LNEC" sheetId="6" r:id="rId6"/>
    <sheet name="Ac1.1" sheetId="7" r:id="rId7"/>
    <sheet name="SL1.13" sheetId="8" r:id="rId8"/>
    <sheet name="EF_1.6" sheetId="9" r:id="rId9"/>
    <sheet name="EF_Base_LNEC" sheetId="10" r:id="rId10"/>
    <sheet name="Ss_1.15" sheetId="11" r:id="rId11"/>
    <sheet name="Pr_1.15" sheetId="12" r:id="rId12"/>
    <sheet name="Pr_Base_LNEC" sheetId="13" r:id="rId13"/>
    <sheet name="PM_1.5" sheetId="14" r:id="rId14"/>
    <sheet name="TE_1.6" sheetId="15" r:id="rId15"/>
    <sheet name="Zz_1.0" sheetId="16" r:id="rId16"/>
    <sheet name="FI_1.1" sheetId="17" r:id="rId17"/>
    <sheet name="Ro_1.1" sheetId="18" r:id="rId18"/>
    <sheet name="PP_1.0_LNEC" sheetId="19" r:id="rId19"/>
  </sheets>
  <definedNames>
    <definedName name="_xlnm._FilterDatabase" localSheetId="6" hidden="1">'Ac1.1'!$A$3:$L$917</definedName>
    <definedName name="_xlnm._FilterDatabase" localSheetId="2" hidden="1">'CO_1.8'!$A$3:$S$379</definedName>
    <definedName name="_xlnm._FilterDatabase" localSheetId="4" hidden="1">'En_1.13'!$A$3:$R$462</definedName>
    <definedName name="_xlnm._FilterDatabase" localSheetId="11" hidden="1">'Pr_1.15'!$A$3:$K$7380</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17" i="18" l="1"/>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5" i="18"/>
  <c r="G24" i="18"/>
  <c r="G23" i="18"/>
  <c r="G22" i="18"/>
  <c r="G21" i="18"/>
  <c r="G20" i="18"/>
  <c r="G19" i="18"/>
  <c r="G18" i="18"/>
  <c r="G17" i="18"/>
  <c r="G16" i="18"/>
  <c r="G15" i="18"/>
  <c r="G14" i="18"/>
  <c r="G13" i="18"/>
  <c r="G12" i="18"/>
  <c r="G11" i="18"/>
  <c r="G10" i="18"/>
  <c r="G9" i="18"/>
  <c r="G8" i="18"/>
  <c r="G7" i="18"/>
  <c r="G6" i="18"/>
  <c r="G5" i="18"/>
  <c r="G4" i="18"/>
  <c r="G97" i="17"/>
  <c r="G96" i="17"/>
  <c r="G95" i="17"/>
  <c r="G94" i="17"/>
  <c r="G93" i="17"/>
  <c r="G92" i="17"/>
  <c r="G91" i="17"/>
  <c r="G90" i="17"/>
  <c r="G89" i="17"/>
  <c r="G88" i="17"/>
  <c r="G87" i="17"/>
  <c r="G86" i="17"/>
  <c r="G85" i="17"/>
  <c r="G84" i="17"/>
  <c r="G83" i="17"/>
  <c r="G82" i="17"/>
  <c r="G81" i="17"/>
  <c r="G80" i="17"/>
  <c r="G79" i="17"/>
  <c r="G78" i="17"/>
  <c r="G77" i="17"/>
  <c r="G76" i="17"/>
  <c r="G75" i="17"/>
  <c r="G74" i="17"/>
  <c r="G73" i="17"/>
  <c r="G72" i="17"/>
  <c r="G71" i="17"/>
  <c r="G70" i="17"/>
  <c r="G69" i="17"/>
  <c r="G68" i="17"/>
  <c r="G67" i="17"/>
  <c r="G66" i="17"/>
  <c r="G65" i="17"/>
  <c r="G64" i="17"/>
  <c r="G63" i="17"/>
  <c r="G62" i="17"/>
  <c r="G61" i="17"/>
  <c r="G60" i="17"/>
  <c r="G59" i="17"/>
  <c r="G58" i="17"/>
  <c r="G57" i="17"/>
  <c r="G56" i="17"/>
  <c r="G55" i="17"/>
  <c r="G54" i="17"/>
  <c r="G53" i="17"/>
  <c r="G52" i="17"/>
  <c r="G51" i="17"/>
  <c r="G50" i="17"/>
  <c r="G49" i="17"/>
  <c r="G48" i="17"/>
  <c r="G47" i="17"/>
  <c r="G46" i="17"/>
  <c r="G45" i="17"/>
  <c r="G44" i="17"/>
  <c r="G43" i="17"/>
  <c r="G42" i="17"/>
  <c r="G41" i="17"/>
  <c r="G40" i="17"/>
  <c r="G39" i="17"/>
  <c r="G38" i="17"/>
  <c r="G37" i="17"/>
  <c r="G36" i="17"/>
  <c r="G35" i="17"/>
  <c r="G34" i="17"/>
  <c r="G33" i="17"/>
  <c r="G32" i="17"/>
  <c r="G31" i="17"/>
  <c r="G30" i="17"/>
  <c r="G29" i="17"/>
  <c r="G28" i="17"/>
  <c r="G27" i="17"/>
  <c r="G26" i="17"/>
  <c r="G25" i="17"/>
  <c r="G24" i="17"/>
  <c r="G23" i="17"/>
  <c r="G22" i="17"/>
  <c r="G21" i="17"/>
  <c r="G20" i="17"/>
  <c r="G19" i="17"/>
  <c r="G18" i="17"/>
  <c r="G17" i="17"/>
  <c r="G16" i="17"/>
  <c r="G15" i="17"/>
  <c r="G14" i="17"/>
  <c r="G13" i="17"/>
  <c r="G12" i="17"/>
  <c r="G11" i="17"/>
  <c r="G10" i="17"/>
  <c r="G9" i="17"/>
  <c r="G8" i="17"/>
  <c r="G7" i="17"/>
  <c r="G6" i="17"/>
  <c r="G5" i="17"/>
  <c r="G4" i="17"/>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53" i="15"/>
  <c r="G652" i="15"/>
  <c r="G651" i="15"/>
  <c r="G650" i="15"/>
  <c r="G649" i="15"/>
  <c r="G648" i="15"/>
  <c r="G647" i="15"/>
  <c r="G646" i="15"/>
  <c r="G645" i="15"/>
  <c r="G644" i="15"/>
  <c r="G643" i="15"/>
  <c r="G642" i="15"/>
  <c r="G641" i="15"/>
  <c r="G640" i="15"/>
  <c r="G639" i="15"/>
  <c r="G638" i="15"/>
  <c r="G637" i="15"/>
  <c r="G636" i="15"/>
  <c r="G635" i="15"/>
  <c r="G634" i="15"/>
  <c r="G633" i="15"/>
  <c r="G632" i="15"/>
  <c r="G631" i="15"/>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448" i="14"/>
  <c r="G447" i="14"/>
  <c r="G446" i="14"/>
  <c r="G445" i="14"/>
  <c r="G444" i="14"/>
  <c r="G443" i="14"/>
  <c r="G442" i="14"/>
  <c r="G441" i="14"/>
  <c r="G440" i="14"/>
  <c r="G439" i="14"/>
  <c r="G438" i="14"/>
  <c r="G437" i="14"/>
  <c r="G436" i="14"/>
  <c r="G435" i="14"/>
  <c r="G434" i="14"/>
  <c r="G433" i="14"/>
  <c r="G432" i="14"/>
  <c r="G431" i="14"/>
  <c r="G430" i="14"/>
  <c r="G429" i="14"/>
  <c r="G428" i="14"/>
  <c r="G427" i="14"/>
  <c r="G426" i="14"/>
  <c r="G425" i="14"/>
  <c r="G424" i="14"/>
  <c r="G423" i="14"/>
  <c r="G422" i="14"/>
  <c r="G421" i="14"/>
  <c r="G420" i="14"/>
  <c r="G419" i="14"/>
  <c r="G418" i="14"/>
  <c r="G417" i="14"/>
  <c r="G416" i="14"/>
  <c r="G415" i="14"/>
  <c r="G414" i="14"/>
  <c r="G413" i="14"/>
  <c r="G412" i="14"/>
  <c r="G411" i="14"/>
  <c r="G410" i="14"/>
  <c r="G409" i="14"/>
  <c r="G408" i="14"/>
  <c r="G407" i="14"/>
  <c r="G406" i="14"/>
  <c r="G405" i="14"/>
  <c r="G404" i="14"/>
  <c r="G403" i="14"/>
  <c r="G402" i="14"/>
  <c r="G401" i="14"/>
  <c r="G400" i="14"/>
  <c r="G399" i="14"/>
  <c r="G398" i="14"/>
  <c r="G397" i="14"/>
  <c r="G396" i="14"/>
  <c r="G395" i="14"/>
  <c r="G394" i="14"/>
  <c r="G393" i="14"/>
  <c r="G392" i="14"/>
  <c r="G391" i="14"/>
  <c r="G390" i="14"/>
  <c r="G389" i="14"/>
  <c r="G388" i="14"/>
  <c r="G387" i="14"/>
  <c r="G386" i="14"/>
  <c r="G385" i="14"/>
  <c r="G384" i="14"/>
  <c r="G383" i="14"/>
  <c r="G382" i="14"/>
  <c r="G381" i="14"/>
  <c r="G380" i="14"/>
  <c r="G379" i="14"/>
  <c r="G378" i="14"/>
  <c r="G377" i="14"/>
  <c r="G376" i="14"/>
  <c r="G375" i="14"/>
  <c r="G374" i="14"/>
  <c r="G373" i="14"/>
  <c r="G372" i="14"/>
  <c r="G371" i="14"/>
  <c r="G370" i="14"/>
  <c r="G369" i="14"/>
  <c r="G368" i="14"/>
  <c r="G367" i="14"/>
  <c r="G366" i="14"/>
  <c r="G365" i="14"/>
  <c r="G364" i="14"/>
  <c r="G363" i="14"/>
  <c r="G362" i="14"/>
  <c r="G361" i="14"/>
  <c r="G360" i="14"/>
  <c r="G359" i="14"/>
  <c r="G358" i="14"/>
  <c r="G357" i="14"/>
  <c r="G356" i="14"/>
  <c r="G355" i="14"/>
  <c r="G354" i="14"/>
  <c r="G353" i="14"/>
  <c r="G352" i="14"/>
  <c r="G351" i="14"/>
  <c r="G350" i="14"/>
  <c r="G349" i="14"/>
  <c r="G348" i="14"/>
  <c r="G347" i="14"/>
  <c r="G346" i="14"/>
  <c r="G345" i="14"/>
  <c r="G344" i="14"/>
  <c r="G343" i="14"/>
  <c r="G342" i="14"/>
  <c r="G341" i="14"/>
  <c r="G340" i="14"/>
  <c r="G339" i="14"/>
  <c r="G338" i="14"/>
  <c r="G337" i="14"/>
  <c r="G336" i="14"/>
  <c r="G335" i="14"/>
  <c r="G334" i="14"/>
  <c r="G333" i="14"/>
  <c r="G332" i="14"/>
  <c r="G331" i="14"/>
  <c r="G330" i="14"/>
  <c r="G329" i="14"/>
  <c r="G328" i="14"/>
  <c r="G327" i="14"/>
  <c r="G326" i="14"/>
  <c r="G325" i="14"/>
  <c r="G324" i="14"/>
  <c r="G323" i="14"/>
  <c r="G322" i="14"/>
  <c r="G321" i="14"/>
  <c r="G320" i="14"/>
  <c r="G319" i="14"/>
  <c r="G318" i="14"/>
  <c r="G317" i="14"/>
  <c r="G316" i="14"/>
  <c r="G315" i="14"/>
  <c r="G314" i="14"/>
  <c r="G313" i="14"/>
  <c r="G312" i="14"/>
  <c r="G311" i="14"/>
  <c r="G310" i="14"/>
  <c r="G309" i="14"/>
  <c r="G308" i="14"/>
  <c r="G307" i="14"/>
  <c r="G306" i="14"/>
  <c r="G305" i="14"/>
  <c r="G304" i="14"/>
  <c r="G303" i="14"/>
  <c r="G302" i="14"/>
  <c r="G301" i="14"/>
  <c r="G300" i="14"/>
  <c r="G299" i="14"/>
  <c r="G298" i="14"/>
  <c r="G297" i="14"/>
  <c r="G296" i="14"/>
  <c r="G295" i="14"/>
  <c r="G294" i="14"/>
  <c r="G293" i="14"/>
  <c r="G292" i="14"/>
  <c r="G291" i="14"/>
  <c r="G290" i="14"/>
  <c r="G289" i="14"/>
  <c r="G288" i="14"/>
  <c r="G287" i="14"/>
  <c r="G286" i="14"/>
  <c r="G285" i="14"/>
  <c r="G284" i="14"/>
  <c r="G283" i="14"/>
  <c r="G282" i="14"/>
  <c r="G281" i="14"/>
  <c r="G280" i="14"/>
  <c r="G279" i="14"/>
  <c r="G278" i="14"/>
  <c r="G277" i="14"/>
  <c r="G276" i="14"/>
  <c r="G275" i="14"/>
  <c r="G274" i="14"/>
  <c r="G273" i="14"/>
  <c r="G272" i="14"/>
  <c r="G271" i="14"/>
  <c r="G270" i="14"/>
  <c r="G269" i="14"/>
  <c r="G268" i="14"/>
  <c r="G267" i="14"/>
  <c r="G266" i="14"/>
  <c r="G265" i="14"/>
  <c r="G264" i="14"/>
  <c r="G263" i="14"/>
  <c r="G262" i="14"/>
  <c r="G261" i="14"/>
  <c r="G260" i="14"/>
  <c r="G259" i="14"/>
  <c r="G258" i="14"/>
  <c r="G257" i="14"/>
  <c r="G256" i="14"/>
  <c r="G255" i="14"/>
  <c r="G254" i="14"/>
  <c r="G253" i="14"/>
  <c r="G252" i="14"/>
  <c r="G251" i="14"/>
  <c r="G250" i="14"/>
  <c r="G249" i="14"/>
  <c r="G248" i="14"/>
  <c r="G247" i="14"/>
  <c r="G246" i="14"/>
  <c r="G245" i="14"/>
  <c r="G244" i="14"/>
  <c r="G243" i="14"/>
  <c r="G242" i="14"/>
  <c r="G241" i="14"/>
  <c r="G240" i="14"/>
  <c r="G239" i="14"/>
  <c r="G238" i="14"/>
  <c r="G237" i="14"/>
  <c r="G236" i="14"/>
  <c r="G235" i="14"/>
  <c r="G234" i="14"/>
  <c r="G233" i="14"/>
  <c r="G232" i="14"/>
  <c r="G231" i="14"/>
  <c r="G230" i="14"/>
  <c r="G229" i="14"/>
  <c r="G228" i="14"/>
  <c r="G227" i="14"/>
  <c r="G226" i="14"/>
  <c r="G225" i="14"/>
  <c r="G224" i="14"/>
  <c r="G223" i="14"/>
  <c r="G222" i="14"/>
  <c r="G221" i="14"/>
  <c r="G220" i="14"/>
  <c r="G219" i="14"/>
  <c r="G218" i="14"/>
  <c r="G217" i="14"/>
  <c r="G216" i="14"/>
  <c r="G215" i="14"/>
  <c r="G214" i="14"/>
  <c r="G213" i="14"/>
  <c r="G212" i="14"/>
  <c r="G211" i="14"/>
  <c r="G210" i="14"/>
  <c r="G209" i="14"/>
  <c r="G208" i="14"/>
  <c r="G207" i="14"/>
  <c r="G206" i="14"/>
  <c r="G205" i="14"/>
  <c r="G204" i="14"/>
  <c r="G203" i="14"/>
  <c r="G202" i="14"/>
  <c r="G201" i="14"/>
  <c r="G200" i="14"/>
  <c r="G199" i="14"/>
  <c r="G198"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G173" i="14"/>
  <c r="G172" i="14"/>
  <c r="G171" i="14"/>
  <c r="G170" i="14"/>
  <c r="G169" i="14"/>
  <c r="G168" i="14"/>
  <c r="G167" i="14"/>
  <c r="G166" i="14"/>
  <c r="G165" i="14"/>
  <c r="G164" i="14"/>
  <c r="G163" i="14"/>
  <c r="G162" i="14"/>
  <c r="G161" i="14"/>
  <c r="G160" i="14"/>
  <c r="G159" i="14"/>
  <c r="G158" i="14"/>
  <c r="G157" i="14"/>
  <c r="G156" i="14"/>
  <c r="G155" i="14"/>
  <c r="G154" i="14"/>
  <c r="G153" i="14"/>
  <c r="G152" i="14"/>
  <c r="G151" i="14"/>
  <c r="G150" i="14"/>
  <c r="G149" i="14"/>
  <c r="G148" i="14"/>
  <c r="G147" i="14"/>
  <c r="G146" i="14"/>
  <c r="G145" i="14"/>
  <c r="G144" i="14"/>
  <c r="G143" i="14"/>
  <c r="G142" i="14"/>
  <c r="G141" i="14"/>
  <c r="G140" i="14"/>
  <c r="G139" i="14"/>
  <c r="G138" i="14"/>
  <c r="G137" i="14"/>
  <c r="G136" i="14"/>
  <c r="G135" i="14"/>
  <c r="G134" i="14"/>
  <c r="G133" i="14"/>
  <c r="G132" i="14"/>
  <c r="G131" i="14"/>
  <c r="G130" i="14"/>
  <c r="G129" i="14"/>
  <c r="G128" i="14"/>
  <c r="G127" i="14"/>
  <c r="G126" i="14"/>
  <c r="G125" i="14"/>
  <c r="G124" i="14"/>
  <c r="G123" i="14"/>
  <c r="G122" i="14"/>
  <c r="G121" i="14"/>
  <c r="G120" i="14"/>
  <c r="G119" i="14"/>
  <c r="G118" i="14"/>
  <c r="G117" i="14"/>
  <c r="G116" i="14"/>
  <c r="G115" i="14"/>
  <c r="G114" i="14"/>
  <c r="G113" i="14"/>
  <c r="G112" i="14"/>
  <c r="G111" i="14"/>
  <c r="G110" i="14"/>
  <c r="G109" i="14"/>
  <c r="G108" i="14"/>
  <c r="G107" i="14"/>
  <c r="G106" i="14"/>
  <c r="G105" i="14"/>
  <c r="G104" i="14"/>
  <c r="G103" i="14"/>
  <c r="G102" i="14"/>
  <c r="G101" i="14"/>
  <c r="G100" i="14"/>
  <c r="G99" i="14"/>
  <c r="G98" i="14"/>
  <c r="G97" i="14"/>
  <c r="G96" i="14"/>
  <c r="G95" i="14"/>
  <c r="G94" i="14"/>
  <c r="G93" i="14"/>
  <c r="G92" i="14"/>
  <c r="G91" i="14"/>
  <c r="G90" i="14"/>
  <c r="G89" i="14"/>
  <c r="G88" i="14"/>
  <c r="G87" i="14"/>
  <c r="G86" i="14"/>
  <c r="G85" i="14"/>
  <c r="G84" i="14"/>
  <c r="G83" i="14"/>
  <c r="G82" i="14"/>
  <c r="G81" i="14"/>
  <c r="G80" i="14"/>
  <c r="G79" i="14"/>
  <c r="G78" i="14"/>
  <c r="G77" i="14"/>
  <c r="G76" i="14"/>
  <c r="G75" i="14"/>
  <c r="G74" i="14"/>
  <c r="G73" i="14"/>
  <c r="G72" i="14"/>
  <c r="G71" i="14"/>
  <c r="G70" i="14"/>
  <c r="G69" i="14"/>
  <c r="G68" i="14"/>
  <c r="G67" i="14"/>
  <c r="G66" i="14"/>
  <c r="G65" i="14"/>
  <c r="G64" i="14"/>
  <c r="G63" i="14"/>
  <c r="G62" i="14"/>
  <c r="G61" i="14"/>
  <c r="G60" i="14"/>
  <c r="G59" i="14"/>
  <c r="G58" i="14"/>
  <c r="G57" i="14"/>
  <c r="G56" i="14"/>
  <c r="G55" i="14"/>
  <c r="G54" i="14"/>
  <c r="G53" i="14"/>
  <c r="G52" i="14"/>
  <c r="G51" i="14"/>
  <c r="G50" i="14"/>
  <c r="G49" i="14"/>
  <c r="G48" i="14"/>
  <c r="G47" i="14"/>
  <c r="G46" i="14"/>
  <c r="G45" i="14"/>
  <c r="G44" i="14"/>
  <c r="G43" i="14"/>
  <c r="G42" i="14"/>
  <c r="G41" i="14"/>
  <c r="G40" i="14"/>
  <c r="G39" i="14"/>
  <c r="G38" i="14"/>
  <c r="G37" i="14"/>
  <c r="G36" i="14"/>
  <c r="G35" i="14"/>
  <c r="G34" i="14"/>
  <c r="G33" i="14"/>
  <c r="G32" i="14"/>
  <c r="G31" i="14"/>
  <c r="G30" i="14"/>
  <c r="G29" i="14"/>
  <c r="G28" i="14"/>
  <c r="G27" i="14"/>
  <c r="G26" i="14"/>
  <c r="G25" i="14"/>
  <c r="G24" i="14"/>
  <c r="G23" i="14"/>
  <c r="G22" i="14"/>
  <c r="G21" i="14"/>
  <c r="G20" i="14"/>
  <c r="G19" i="14"/>
  <c r="G18" i="14"/>
  <c r="G17" i="14"/>
  <c r="G16" i="14"/>
  <c r="G15" i="14"/>
  <c r="G14" i="14"/>
  <c r="G13" i="14"/>
  <c r="G12" i="14"/>
  <c r="G11" i="14"/>
  <c r="G10" i="14"/>
  <c r="G9" i="14"/>
  <c r="G8" i="14"/>
  <c r="G7" i="14"/>
  <c r="G6" i="14"/>
  <c r="G5" i="14"/>
  <c r="G4" i="14"/>
  <c r="K7380" i="12"/>
  <c r="J7380" i="12"/>
  <c r="I7380" i="12"/>
  <c r="K7379" i="12"/>
  <c r="J7379" i="12"/>
  <c r="I7379" i="12"/>
  <c r="K7378" i="12"/>
  <c r="J7378" i="12"/>
  <c r="I7378" i="12"/>
  <c r="K7377" i="12"/>
  <c r="J7377" i="12"/>
  <c r="I7377" i="12"/>
  <c r="K7376" i="12"/>
  <c r="J7376" i="12"/>
  <c r="I7376" i="12"/>
  <c r="K7375" i="12"/>
  <c r="J7375" i="12"/>
  <c r="I7375" i="12"/>
  <c r="K7374" i="12"/>
  <c r="J7374" i="12"/>
  <c r="I7374" i="12"/>
  <c r="K7373" i="12"/>
  <c r="J7373" i="12"/>
  <c r="I7373" i="12"/>
  <c r="K7372" i="12"/>
  <c r="J7372" i="12"/>
  <c r="I7372" i="12"/>
  <c r="K7371" i="12"/>
  <c r="J7371" i="12"/>
  <c r="I7371" i="12"/>
  <c r="K7370" i="12"/>
  <c r="J7370" i="12"/>
  <c r="I7370" i="12"/>
  <c r="K7369" i="12"/>
  <c r="J7369" i="12"/>
  <c r="I7369" i="12"/>
  <c r="K7368" i="12"/>
  <c r="J7368" i="12"/>
  <c r="I7368" i="12"/>
  <c r="K7367" i="12"/>
  <c r="J7367" i="12"/>
  <c r="I7367" i="12"/>
  <c r="K7366" i="12"/>
  <c r="J7366" i="12"/>
  <c r="I7366" i="12"/>
  <c r="K7365" i="12"/>
  <c r="J7365" i="12"/>
  <c r="I7365" i="12"/>
  <c r="K7364" i="12"/>
  <c r="J7364" i="12"/>
  <c r="I7364" i="12"/>
  <c r="K7363" i="12"/>
  <c r="J7363" i="12"/>
  <c r="I7363" i="12"/>
  <c r="K7362" i="12"/>
  <c r="J7362" i="12"/>
  <c r="I7362" i="12"/>
  <c r="K7361" i="12"/>
  <c r="J7361" i="12"/>
  <c r="I7361" i="12"/>
  <c r="K7360" i="12"/>
  <c r="J7360" i="12"/>
  <c r="I7360" i="12"/>
  <c r="K7359" i="12"/>
  <c r="J7359" i="12"/>
  <c r="I7359" i="12"/>
  <c r="K7358" i="12"/>
  <c r="J7358" i="12"/>
  <c r="I7358" i="12"/>
  <c r="K7357" i="12"/>
  <c r="J7357" i="12"/>
  <c r="I7357" i="12"/>
  <c r="K7356" i="12"/>
  <c r="J7356" i="12"/>
  <c r="I7356" i="12"/>
  <c r="K7355" i="12"/>
  <c r="J7355" i="12"/>
  <c r="I7355" i="12"/>
  <c r="K7354" i="12"/>
  <c r="J7354" i="12"/>
  <c r="I7354" i="12"/>
  <c r="K7353" i="12"/>
  <c r="J7353" i="12"/>
  <c r="I7353" i="12"/>
  <c r="K7352" i="12"/>
  <c r="J7352" i="12"/>
  <c r="I7352" i="12"/>
  <c r="K7351" i="12"/>
  <c r="J7351" i="12"/>
  <c r="I7351" i="12"/>
  <c r="K7350" i="12"/>
  <c r="J7350" i="12"/>
  <c r="I7350" i="12"/>
  <c r="K7349" i="12"/>
  <c r="J7349" i="12"/>
  <c r="I7349" i="12"/>
  <c r="K7348" i="12"/>
  <c r="J7348" i="12"/>
  <c r="I7348" i="12"/>
  <c r="K7347" i="12"/>
  <c r="J7347" i="12"/>
  <c r="I7347" i="12"/>
  <c r="K7346" i="12"/>
  <c r="J7346" i="12"/>
  <c r="I7346" i="12"/>
  <c r="K7345" i="12"/>
  <c r="J7345" i="12"/>
  <c r="I7345" i="12"/>
  <c r="K7344" i="12"/>
  <c r="J7344" i="12"/>
  <c r="I7344" i="12"/>
  <c r="K7343" i="12"/>
  <c r="J7343" i="12"/>
  <c r="I7343" i="12"/>
  <c r="K7342" i="12"/>
  <c r="J7342" i="12"/>
  <c r="I7342" i="12"/>
  <c r="K7341" i="12"/>
  <c r="J7341" i="12"/>
  <c r="I7341" i="12"/>
  <c r="K7340" i="12"/>
  <c r="J7340" i="12"/>
  <c r="I7340" i="12"/>
  <c r="K7339" i="12"/>
  <c r="J7339" i="12"/>
  <c r="I7339" i="12"/>
  <c r="K7338" i="12"/>
  <c r="J7338" i="12"/>
  <c r="I7338" i="12"/>
  <c r="K7337" i="12"/>
  <c r="J7337" i="12"/>
  <c r="I7337" i="12"/>
  <c r="K7336" i="12"/>
  <c r="J7336" i="12"/>
  <c r="I7336" i="12"/>
  <c r="K7335" i="12"/>
  <c r="J7335" i="12"/>
  <c r="I7335" i="12"/>
  <c r="K7334" i="12"/>
  <c r="J7334" i="12"/>
  <c r="I7334" i="12"/>
  <c r="K7333" i="12"/>
  <c r="J7333" i="12"/>
  <c r="I7333" i="12"/>
  <c r="K7332" i="12"/>
  <c r="J7332" i="12"/>
  <c r="I7332" i="12"/>
  <c r="K7331" i="12"/>
  <c r="J7331" i="12"/>
  <c r="I7331" i="12"/>
  <c r="K7330" i="12"/>
  <c r="J7330" i="12"/>
  <c r="I7330" i="12"/>
  <c r="K7329" i="12"/>
  <c r="J7329" i="12"/>
  <c r="I7329" i="12"/>
  <c r="K7328" i="12"/>
  <c r="J7328" i="12"/>
  <c r="I7328" i="12"/>
  <c r="K7327" i="12"/>
  <c r="J7327" i="12"/>
  <c r="I7327" i="12"/>
  <c r="K7326" i="12"/>
  <c r="J7326" i="12"/>
  <c r="I7326" i="12"/>
  <c r="K7325" i="12"/>
  <c r="J7325" i="12"/>
  <c r="I7325" i="12"/>
  <c r="K7324" i="12"/>
  <c r="J7324" i="12"/>
  <c r="I7324" i="12"/>
  <c r="K7323" i="12"/>
  <c r="J7323" i="12"/>
  <c r="I7323" i="12"/>
  <c r="K7322" i="12"/>
  <c r="J7322" i="12"/>
  <c r="I7322" i="12"/>
  <c r="K7321" i="12"/>
  <c r="J7321" i="12"/>
  <c r="I7321" i="12"/>
  <c r="K7320" i="12"/>
  <c r="J7320" i="12"/>
  <c r="I7320" i="12"/>
  <c r="K7319" i="12"/>
  <c r="J7319" i="12"/>
  <c r="I7319" i="12"/>
  <c r="K7318" i="12"/>
  <c r="J7318" i="12"/>
  <c r="I7318" i="12"/>
  <c r="K7317" i="12"/>
  <c r="J7317" i="12"/>
  <c r="I7317" i="12"/>
  <c r="K7316" i="12"/>
  <c r="J7316" i="12"/>
  <c r="I7316" i="12"/>
  <c r="K7315" i="12"/>
  <c r="J7315" i="12"/>
  <c r="I7315" i="12"/>
  <c r="K7314" i="12"/>
  <c r="J7314" i="12"/>
  <c r="I7314" i="12"/>
  <c r="K7313" i="12"/>
  <c r="J7313" i="12"/>
  <c r="I7313" i="12"/>
  <c r="K7312" i="12"/>
  <c r="J7312" i="12"/>
  <c r="I7312" i="12"/>
  <c r="K7311" i="12"/>
  <c r="J7311" i="12"/>
  <c r="I7311" i="12"/>
  <c r="K7310" i="12"/>
  <c r="J7310" i="12"/>
  <c r="I7310" i="12"/>
  <c r="K7309" i="12"/>
  <c r="J7309" i="12"/>
  <c r="I7309" i="12"/>
  <c r="K7308" i="12"/>
  <c r="J7308" i="12"/>
  <c r="I7308" i="12"/>
  <c r="K7307" i="12"/>
  <c r="J7307" i="12"/>
  <c r="I7307" i="12"/>
  <c r="K7306" i="12"/>
  <c r="J7306" i="12"/>
  <c r="I7306" i="12"/>
  <c r="K7305" i="12"/>
  <c r="J7305" i="12"/>
  <c r="I7305" i="12"/>
  <c r="K7304" i="12"/>
  <c r="J7304" i="12"/>
  <c r="I7304" i="12"/>
  <c r="K7303" i="12"/>
  <c r="J7303" i="12"/>
  <c r="I7303" i="12"/>
  <c r="K7302" i="12"/>
  <c r="J7302" i="12"/>
  <c r="I7302" i="12"/>
  <c r="K7301" i="12"/>
  <c r="J7301" i="12"/>
  <c r="I7301" i="12"/>
  <c r="K7300" i="12"/>
  <c r="J7300" i="12"/>
  <c r="I7300" i="12"/>
  <c r="K7299" i="12"/>
  <c r="J7299" i="12"/>
  <c r="I7299" i="12"/>
  <c r="K7298" i="12"/>
  <c r="J7298" i="12"/>
  <c r="I7298" i="12"/>
  <c r="K7297" i="12"/>
  <c r="J7297" i="12"/>
  <c r="I7297" i="12"/>
  <c r="K7296" i="12"/>
  <c r="J7296" i="12"/>
  <c r="I7296" i="12"/>
  <c r="K7295" i="12"/>
  <c r="J7295" i="12"/>
  <c r="I7295" i="12"/>
  <c r="K7294" i="12"/>
  <c r="J7294" i="12"/>
  <c r="I7294" i="12"/>
  <c r="K7293" i="12"/>
  <c r="J7293" i="12"/>
  <c r="I7293" i="12"/>
  <c r="K7292" i="12"/>
  <c r="J7292" i="12"/>
  <c r="I7292" i="12"/>
  <c r="K7291" i="12"/>
  <c r="J7291" i="12"/>
  <c r="I7291" i="12"/>
  <c r="K7290" i="12"/>
  <c r="J7290" i="12"/>
  <c r="I7290" i="12"/>
  <c r="K7289" i="12"/>
  <c r="J7289" i="12"/>
  <c r="I7289" i="12"/>
  <c r="K7288" i="12"/>
  <c r="J7288" i="12"/>
  <c r="I7288" i="12"/>
  <c r="K7287" i="12"/>
  <c r="J7287" i="12"/>
  <c r="I7287" i="12"/>
  <c r="K7286" i="12"/>
  <c r="J7286" i="12"/>
  <c r="I7286" i="12"/>
  <c r="K7285" i="12"/>
  <c r="J7285" i="12"/>
  <c r="I7285" i="12"/>
  <c r="K7284" i="12"/>
  <c r="J7284" i="12"/>
  <c r="I7284" i="12"/>
  <c r="K7283" i="12"/>
  <c r="J7283" i="12"/>
  <c r="I7283" i="12"/>
  <c r="K7282" i="12"/>
  <c r="J7282" i="12"/>
  <c r="I7282" i="12"/>
  <c r="K7281" i="12"/>
  <c r="J7281" i="12"/>
  <c r="I7281" i="12"/>
  <c r="K7280" i="12"/>
  <c r="J7280" i="12"/>
  <c r="I7280" i="12"/>
  <c r="K7279" i="12"/>
  <c r="J7279" i="12"/>
  <c r="I7279" i="12"/>
  <c r="K7278" i="12"/>
  <c r="J7278" i="12"/>
  <c r="I7278" i="12"/>
  <c r="K7277" i="12"/>
  <c r="J7277" i="12"/>
  <c r="I7277" i="12"/>
  <c r="K7276" i="12"/>
  <c r="J7276" i="12"/>
  <c r="I7276" i="12"/>
  <c r="K7275" i="12"/>
  <c r="J7275" i="12"/>
  <c r="I7275" i="12"/>
  <c r="K7274" i="12"/>
  <c r="J7274" i="12"/>
  <c r="I7274" i="12"/>
  <c r="K7273" i="12"/>
  <c r="J7273" i="12"/>
  <c r="I7273" i="12"/>
  <c r="K7272" i="12"/>
  <c r="J7272" i="12"/>
  <c r="I7272" i="12"/>
  <c r="K7271" i="12"/>
  <c r="J7271" i="12"/>
  <c r="I7271" i="12"/>
  <c r="K7270" i="12"/>
  <c r="J7270" i="12"/>
  <c r="I7270" i="12"/>
  <c r="K7269" i="12"/>
  <c r="J7269" i="12"/>
  <c r="I7269" i="12"/>
  <c r="K7268" i="12"/>
  <c r="J7268" i="12"/>
  <c r="I7268" i="12"/>
  <c r="K7267" i="12"/>
  <c r="J7267" i="12"/>
  <c r="I7267" i="12"/>
  <c r="K7266" i="12"/>
  <c r="J7266" i="12"/>
  <c r="I7266" i="12"/>
  <c r="K7265" i="12"/>
  <c r="J7265" i="12"/>
  <c r="I7265" i="12"/>
  <c r="K7264" i="12"/>
  <c r="J7264" i="12"/>
  <c r="I7264" i="12"/>
  <c r="K7263" i="12"/>
  <c r="J7263" i="12"/>
  <c r="I7263" i="12"/>
  <c r="K7262" i="12"/>
  <c r="J7262" i="12"/>
  <c r="I7262" i="12"/>
  <c r="K7261" i="12"/>
  <c r="J7261" i="12"/>
  <c r="I7261" i="12"/>
  <c r="K7260" i="12"/>
  <c r="J7260" i="12"/>
  <c r="I7260" i="12"/>
  <c r="K7259" i="12"/>
  <c r="J7259" i="12"/>
  <c r="I7259" i="12"/>
  <c r="K7258" i="12"/>
  <c r="J7258" i="12"/>
  <c r="I7258" i="12"/>
  <c r="K7257" i="12"/>
  <c r="J7257" i="12"/>
  <c r="I7257" i="12"/>
  <c r="K7256" i="12"/>
  <c r="J7256" i="12"/>
  <c r="I7256" i="12"/>
  <c r="K7255" i="12"/>
  <c r="J7255" i="12"/>
  <c r="I7255" i="12"/>
  <c r="K7254" i="12"/>
  <c r="J7254" i="12"/>
  <c r="I7254" i="12"/>
  <c r="K7253" i="12"/>
  <c r="J7253" i="12"/>
  <c r="I7253" i="12"/>
  <c r="K7252" i="12"/>
  <c r="J7252" i="12"/>
  <c r="I7252" i="12"/>
  <c r="K7251" i="12"/>
  <c r="J7251" i="12"/>
  <c r="I7251" i="12"/>
  <c r="K7250" i="12"/>
  <c r="J7250" i="12"/>
  <c r="I7250" i="12"/>
  <c r="K7249" i="12"/>
  <c r="J7249" i="12"/>
  <c r="I7249" i="12"/>
  <c r="K7248" i="12"/>
  <c r="J7248" i="12"/>
  <c r="I7248" i="12"/>
  <c r="K7247" i="12"/>
  <c r="J7247" i="12"/>
  <c r="I7247" i="12"/>
  <c r="K7246" i="12"/>
  <c r="J7246" i="12"/>
  <c r="I7246" i="12"/>
  <c r="K7245" i="12"/>
  <c r="J7245" i="12"/>
  <c r="I7245" i="12"/>
  <c r="K7244" i="12"/>
  <c r="J7244" i="12"/>
  <c r="I7244" i="12"/>
  <c r="K7243" i="12"/>
  <c r="J7243" i="12"/>
  <c r="I7243" i="12"/>
  <c r="K7242" i="12"/>
  <c r="J7242" i="12"/>
  <c r="I7242" i="12"/>
  <c r="K7241" i="12"/>
  <c r="J7241" i="12"/>
  <c r="I7241" i="12"/>
  <c r="K7240" i="12"/>
  <c r="J7240" i="12"/>
  <c r="I7240" i="12"/>
  <c r="K7239" i="12"/>
  <c r="J7239" i="12"/>
  <c r="I7239" i="12"/>
  <c r="K7238" i="12"/>
  <c r="J7238" i="12"/>
  <c r="I7238" i="12"/>
  <c r="K7237" i="12"/>
  <c r="J7237" i="12"/>
  <c r="I7237" i="12"/>
  <c r="K7236" i="12"/>
  <c r="J7236" i="12"/>
  <c r="I7236" i="12"/>
  <c r="K7235" i="12"/>
  <c r="J7235" i="12"/>
  <c r="I7235" i="12"/>
  <c r="K7234" i="12"/>
  <c r="J7234" i="12"/>
  <c r="I7234" i="12"/>
  <c r="K7233" i="12"/>
  <c r="J7233" i="12"/>
  <c r="I7233" i="12"/>
  <c r="K7232" i="12"/>
  <c r="J7232" i="12"/>
  <c r="I7232" i="12"/>
  <c r="K7231" i="12"/>
  <c r="J7231" i="12"/>
  <c r="I7231" i="12"/>
  <c r="K7230" i="12"/>
  <c r="J7230" i="12"/>
  <c r="I7230" i="12"/>
  <c r="K7229" i="12"/>
  <c r="J7229" i="12"/>
  <c r="I7229" i="12"/>
  <c r="K7228" i="12"/>
  <c r="J7228" i="12"/>
  <c r="I7228" i="12"/>
  <c r="K7227" i="12"/>
  <c r="J7227" i="12"/>
  <c r="I7227" i="12"/>
  <c r="K7226" i="12"/>
  <c r="J7226" i="12"/>
  <c r="I7226" i="12"/>
  <c r="K7225" i="12"/>
  <c r="J7225" i="12"/>
  <c r="I7225" i="12"/>
  <c r="K7224" i="12"/>
  <c r="J7224" i="12"/>
  <c r="I7224" i="12"/>
  <c r="K7223" i="12"/>
  <c r="J7223" i="12"/>
  <c r="I7223" i="12"/>
  <c r="K7222" i="12"/>
  <c r="J7222" i="12"/>
  <c r="I7222" i="12"/>
  <c r="K7221" i="12"/>
  <c r="J7221" i="12"/>
  <c r="I7221" i="12"/>
  <c r="K7220" i="12"/>
  <c r="J7220" i="12"/>
  <c r="I7220" i="12"/>
  <c r="K7219" i="12"/>
  <c r="J7219" i="12"/>
  <c r="I7219" i="12"/>
  <c r="K7218" i="12"/>
  <c r="J7218" i="12"/>
  <c r="I7218" i="12"/>
  <c r="K7217" i="12"/>
  <c r="J7217" i="12"/>
  <c r="I7217" i="12"/>
  <c r="K7216" i="12"/>
  <c r="J7216" i="12"/>
  <c r="I7216" i="12"/>
  <c r="K7215" i="12"/>
  <c r="J7215" i="12"/>
  <c r="I7215" i="12"/>
  <c r="K7214" i="12"/>
  <c r="J7214" i="12"/>
  <c r="I7214" i="12"/>
  <c r="K7213" i="12"/>
  <c r="J7213" i="12"/>
  <c r="I7213" i="12"/>
  <c r="K7212" i="12"/>
  <c r="J7212" i="12"/>
  <c r="I7212" i="12"/>
  <c r="K7211" i="12"/>
  <c r="J7211" i="12"/>
  <c r="I7211" i="12"/>
  <c r="K7210" i="12"/>
  <c r="J7210" i="12"/>
  <c r="I7210" i="12"/>
  <c r="K7209" i="12"/>
  <c r="J7209" i="12"/>
  <c r="I7209" i="12"/>
  <c r="K7208" i="12"/>
  <c r="J7208" i="12"/>
  <c r="I7208" i="12"/>
  <c r="K7207" i="12"/>
  <c r="J7207" i="12"/>
  <c r="I7207" i="12"/>
  <c r="K7206" i="12"/>
  <c r="J7206" i="12"/>
  <c r="I7206" i="12"/>
  <c r="K7205" i="12"/>
  <c r="J7205" i="12"/>
  <c r="I7205" i="12"/>
  <c r="K7204" i="12"/>
  <c r="J7204" i="12"/>
  <c r="I7204" i="12"/>
  <c r="K7203" i="12"/>
  <c r="J7203" i="12"/>
  <c r="I7203" i="12"/>
  <c r="K7202" i="12"/>
  <c r="J7202" i="12"/>
  <c r="I7202" i="12"/>
  <c r="K7201" i="12"/>
  <c r="J7201" i="12"/>
  <c r="I7201" i="12"/>
  <c r="K7200" i="12"/>
  <c r="J7200" i="12"/>
  <c r="I7200" i="12"/>
  <c r="K7199" i="12"/>
  <c r="J7199" i="12"/>
  <c r="I7199" i="12"/>
  <c r="K7198" i="12"/>
  <c r="J7198" i="12"/>
  <c r="I7198" i="12"/>
  <c r="K7197" i="12"/>
  <c r="J7197" i="12"/>
  <c r="I7197" i="12"/>
  <c r="K7196" i="12"/>
  <c r="J7196" i="12"/>
  <c r="I7196" i="12"/>
  <c r="K7195" i="12"/>
  <c r="J7195" i="12"/>
  <c r="I7195" i="12"/>
  <c r="K7194" i="12"/>
  <c r="J7194" i="12"/>
  <c r="I7194" i="12"/>
  <c r="K7193" i="12"/>
  <c r="J7193" i="12"/>
  <c r="I7193" i="12"/>
  <c r="K7192" i="12"/>
  <c r="J7192" i="12"/>
  <c r="I7192" i="12"/>
  <c r="K7191" i="12"/>
  <c r="J7191" i="12"/>
  <c r="I7191" i="12"/>
  <c r="K7190" i="12"/>
  <c r="J7190" i="12"/>
  <c r="I7190" i="12"/>
  <c r="K7189" i="12"/>
  <c r="J7189" i="12"/>
  <c r="I7189" i="12"/>
  <c r="K7188" i="12"/>
  <c r="J7188" i="12"/>
  <c r="I7188" i="12"/>
  <c r="K7187" i="12"/>
  <c r="J7187" i="12"/>
  <c r="I7187" i="12"/>
  <c r="K7186" i="12"/>
  <c r="J7186" i="12"/>
  <c r="I7186" i="12"/>
  <c r="K7185" i="12"/>
  <c r="J7185" i="12"/>
  <c r="I7185" i="12"/>
  <c r="K7184" i="12"/>
  <c r="J7184" i="12"/>
  <c r="I7184" i="12"/>
  <c r="K7183" i="12"/>
  <c r="J7183" i="12"/>
  <c r="I7183" i="12"/>
  <c r="K7182" i="12"/>
  <c r="J7182" i="12"/>
  <c r="I7182" i="12"/>
  <c r="K7181" i="12"/>
  <c r="J7181" i="12"/>
  <c r="I7181" i="12"/>
  <c r="K7180" i="12"/>
  <c r="J7180" i="12"/>
  <c r="I7180" i="12"/>
  <c r="K7179" i="12"/>
  <c r="J7179" i="12"/>
  <c r="I7179" i="12"/>
  <c r="K7178" i="12"/>
  <c r="J7178" i="12"/>
  <c r="I7178" i="12"/>
  <c r="K7177" i="12"/>
  <c r="J7177" i="12"/>
  <c r="I7177" i="12"/>
  <c r="K7176" i="12"/>
  <c r="J7176" i="12"/>
  <c r="I7176" i="12"/>
  <c r="K7175" i="12"/>
  <c r="J7175" i="12"/>
  <c r="I7175" i="12"/>
  <c r="K7174" i="12"/>
  <c r="J7174" i="12"/>
  <c r="I7174" i="12"/>
  <c r="K7173" i="12"/>
  <c r="J7173" i="12"/>
  <c r="I7173" i="12"/>
  <c r="K7172" i="12"/>
  <c r="J7172" i="12"/>
  <c r="I7172" i="12"/>
  <c r="K7171" i="12"/>
  <c r="J7171" i="12"/>
  <c r="I7171" i="12"/>
  <c r="K7170" i="12"/>
  <c r="J7170" i="12"/>
  <c r="I7170" i="12"/>
  <c r="K7169" i="12"/>
  <c r="J7169" i="12"/>
  <c r="I7169" i="12"/>
  <c r="K7168" i="12"/>
  <c r="J7168" i="12"/>
  <c r="I7168" i="12"/>
  <c r="K7167" i="12"/>
  <c r="J7167" i="12"/>
  <c r="I7167" i="12"/>
  <c r="K7166" i="12"/>
  <c r="J7166" i="12"/>
  <c r="I7166" i="12"/>
  <c r="K7165" i="12"/>
  <c r="J7165" i="12"/>
  <c r="I7165" i="12"/>
  <c r="K7164" i="12"/>
  <c r="J7164" i="12"/>
  <c r="I7164" i="12"/>
  <c r="K7163" i="12"/>
  <c r="J7163" i="12"/>
  <c r="I7163" i="12"/>
  <c r="K7162" i="12"/>
  <c r="J7162" i="12"/>
  <c r="I7162" i="12"/>
  <c r="K7161" i="12"/>
  <c r="J7161" i="12"/>
  <c r="I7161" i="12"/>
  <c r="K7160" i="12"/>
  <c r="J7160" i="12"/>
  <c r="I7160" i="12"/>
  <c r="K7159" i="12"/>
  <c r="J7159" i="12"/>
  <c r="I7159" i="12"/>
  <c r="K7158" i="12"/>
  <c r="J7158" i="12"/>
  <c r="I7158" i="12"/>
  <c r="K7157" i="12"/>
  <c r="J7157" i="12"/>
  <c r="I7157" i="12"/>
  <c r="K7156" i="12"/>
  <c r="J7156" i="12"/>
  <c r="I7156" i="12"/>
  <c r="K7155" i="12"/>
  <c r="J7155" i="12"/>
  <c r="I7155" i="12"/>
  <c r="K7154" i="12"/>
  <c r="J7154" i="12"/>
  <c r="I7154" i="12"/>
  <c r="K7153" i="12"/>
  <c r="J7153" i="12"/>
  <c r="I7153" i="12"/>
  <c r="K7152" i="12"/>
  <c r="J7152" i="12"/>
  <c r="I7152" i="12"/>
  <c r="K7151" i="12"/>
  <c r="J7151" i="12"/>
  <c r="I7151" i="12"/>
  <c r="K7150" i="12"/>
  <c r="J7150" i="12"/>
  <c r="I7150" i="12"/>
  <c r="K7149" i="12"/>
  <c r="J7149" i="12"/>
  <c r="I7149" i="12"/>
  <c r="K7148" i="12"/>
  <c r="J7148" i="12"/>
  <c r="I7148" i="12"/>
  <c r="K7147" i="12"/>
  <c r="J7147" i="12"/>
  <c r="I7147" i="12"/>
  <c r="K7146" i="12"/>
  <c r="J7146" i="12"/>
  <c r="I7146" i="12"/>
  <c r="K7145" i="12"/>
  <c r="J7145" i="12"/>
  <c r="I7145" i="12"/>
  <c r="K7144" i="12"/>
  <c r="J7144" i="12"/>
  <c r="I7144" i="12"/>
  <c r="K7143" i="12"/>
  <c r="J7143" i="12"/>
  <c r="I7143" i="12"/>
  <c r="K7142" i="12"/>
  <c r="J7142" i="12"/>
  <c r="I7142" i="12"/>
  <c r="K7141" i="12"/>
  <c r="J7141" i="12"/>
  <c r="I7141" i="12"/>
  <c r="K7140" i="12"/>
  <c r="J7140" i="12"/>
  <c r="I7140" i="12"/>
  <c r="K7139" i="12"/>
  <c r="J7139" i="12"/>
  <c r="I7139" i="12"/>
  <c r="K7138" i="12"/>
  <c r="J7138" i="12"/>
  <c r="I7138" i="12"/>
  <c r="K7137" i="12"/>
  <c r="J7137" i="12"/>
  <c r="I7137" i="12"/>
  <c r="K7136" i="12"/>
  <c r="J7136" i="12"/>
  <c r="I7136" i="12"/>
  <c r="K7135" i="12"/>
  <c r="J7135" i="12"/>
  <c r="I7135" i="12"/>
  <c r="K7134" i="12"/>
  <c r="J7134" i="12"/>
  <c r="I7134" i="12"/>
  <c r="K7133" i="12"/>
  <c r="J7133" i="12"/>
  <c r="I7133" i="12"/>
  <c r="K7132" i="12"/>
  <c r="J7132" i="12"/>
  <c r="I7132" i="12"/>
  <c r="K7131" i="12"/>
  <c r="J7131" i="12"/>
  <c r="I7131" i="12"/>
  <c r="K7130" i="12"/>
  <c r="J7130" i="12"/>
  <c r="I7130" i="12"/>
  <c r="K7129" i="12"/>
  <c r="J7129" i="12"/>
  <c r="I7129" i="12"/>
  <c r="K7128" i="12"/>
  <c r="J7128" i="12"/>
  <c r="I7128" i="12"/>
  <c r="K7127" i="12"/>
  <c r="J7127" i="12"/>
  <c r="I7127" i="12"/>
  <c r="K7126" i="12"/>
  <c r="J7126" i="12"/>
  <c r="I7126" i="12"/>
  <c r="K7125" i="12"/>
  <c r="J7125" i="12"/>
  <c r="I7125" i="12"/>
  <c r="K7124" i="12"/>
  <c r="J7124" i="12"/>
  <c r="I7124" i="12"/>
  <c r="K7123" i="12"/>
  <c r="J7123" i="12"/>
  <c r="I7123" i="12"/>
  <c r="K7122" i="12"/>
  <c r="J7122" i="12"/>
  <c r="I7122" i="12"/>
  <c r="K7121" i="12"/>
  <c r="J7121" i="12"/>
  <c r="I7121" i="12"/>
  <c r="K7120" i="12"/>
  <c r="J7120" i="12"/>
  <c r="I7120" i="12"/>
  <c r="K7119" i="12"/>
  <c r="J7119" i="12"/>
  <c r="I7119" i="12"/>
  <c r="K7118" i="12"/>
  <c r="J7118" i="12"/>
  <c r="I7118" i="12"/>
  <c r="K7117" i="12"/>
  <c r="J7117" i="12"/>
  <c r="I7117" i="12"/>
  <c r="K7116" i="12"/>
  <c r="J7116" i="12"/>
  <c r="I7116" i="12"/>
  <c r="K7115" i="12"/>
  <c r="J7115" i="12"/>
  <c r="I7115" i="12"/>
  <c r="K7114" i="12"/>
  <c r="J7114" i="12"/>
  <c r="I7114" i="12"/>
  <c r="K7113" i="12"/>
  <c r="J7113" i="12"/>
  <c r="I7113" i="12"/>
  <c r="K7112" i="12"/>
  <c r="J7112" i="12"/>
  <c r="I7112" i="12"/>
  <c r="K7111" i="12"/>
  <c r="J7111" i="12"/>
  <c r="I7111" i="12"/>
  <c r="K7110" i="12"/>
  <c r="J7110" i="12"/>
  <c r="I7110" i="12"/>
  <c r="K7109" i="12"/>
  <c r="J7109" i="12"/>
  <c r="I7109" i="12"/>
  <c r="K7108" i="12"/>
  <c r="J7108" i="12"/>
  <c r="I7108" i="12"/>
  <c r="K7107" i="12"/>
  <c r="J7107" i="12"/>
  <c r="I7107" i="12"/>
  <c r="K7106" i="12"/>
  <c r="J7106" i="12"/>
  <c r="I7106" i="12"/>
  <c r="K7105" i="12"/>
  <c r="J7105" i="12"/>
  <c r="I7105" i="12"/>
  <c r="K7104" i="12"/>
  <c r="J7104" i="12"/>
  <c r="I7104" i="12"/>
  <c r="K7103" i="12"/>
  <c r="J7103" i="12"/>
  <c r="I7103" i="12"/>
  <c r="K7102" i="12"/>
  <c r="J7102" i="12"/>
  <c r="I7102" i="12"/>
  <c r="K7101" i="12"/>
  <c r="J7101" i="12"/>
  <c r="I7101" i="12"/>
  <c r="K7100" i="12"/>
  <c r="J7100" i="12"/>
  <c r="I7100" i="12"/>
  <c r="K7099" i="12"/>
  <c r="J7099" i="12"/>
  <c r="I7099" i="12"/>
  <c r="K7098" i="12"/>
  <c r="J7098" i="12"/>
  <c r="I7098" i="12"/>
  <c r="K7097" i="12"/>
  <c r="J7097" i="12"/>
  <c r="I7097" i="12"/>
  <c r="K7096" i="12"/>
  <c r="J7096" i="12"/>
  <c r="I7096" i="12"/>
  <c r="K7095" i="12"/>
  <c r="J7095" i="12"/>
  <c r="I7095" i="12"/>
  <c r="K7094" i="12"/>
  <c r="J7094" i="12"/>
  <c r="I7094" i="12"/>
  <c r="K7093" i="12"/>
  <c r="J7093" i="12"/>
  <c r="I7093" i="12"/>
  <c r="K7092" i="12"/>
  <c r="J7092" i="12"/>
  <c r="I7092" i="12"/>
  <c r="K7091" i="12"/>
  <c r="J7091" i="12"/>
  <c r="I7091" i="12"/>
  <c r="K7090" i="12"/>
  <c r="J7090" i="12"/>
  <c r="I7090" i="12"/>
  <c r="K7089" i="12"/>
  <c r="J7089" i="12"/>
  <c r="I7089" i="12"/>
  <c r="K7088" i="12"/>
  <c r="J7088" i="12"/>
  <c r="I7088" i="12"/>
  <c r="K7087" i="12"/>
  <c r="J7087" i="12"/>
  <c r="I7087" i="12"/>
  <c r="K7086" i="12"/>
  <c r="J7086" i="12"/>
  <c r="I7086" i="12"/>
  <c r="K7085" i="12"/>
  <c r="J7085" i="12"/>
  <c r="I7085" i="12"/>
  <c r="K7084" i="12"/>
  <c r="J7084" i="12"/>
  <c r="I7084" i="12"/>
  <c r="K7083" i="12"/>
  <c r="J7083" i="12"/>
  <c r="I7083" i="12"/>
  <c r="K7082" i="12"/>
  <c r="J7082" i="12"/>
  <c r="I7082" i="12"/>
  <c r="K7081" i="12"/>
  <c r="J7081" i="12"/>
  <c r="I7081" i="12"/>
  <c r="K7080" i="12"/>
  <c r="J7080" i="12"/>
  <c r="I7080" i="12"/>
  <c r="K7079" i="12"/>
  <c r="J7079" i="12"/>
  <c r="I7079" i="12"/>
  <c r="K7078" i="12"/>
  <c r="J7078" i="12"/>
  <c r="I7078" i="12"/>
  <c r="K7077" i="12"/>
  <c r="J7077" i="12"/>
  <c r="I7077" i="12"/>
  <c r="K7076" i="12"/>
  <c r="J7076" i="12"/>
  <c r="I7076" i="12"/>
  <c r="K7075" i="12"/>
  <c r="J7075" i="12"/>
  <c r="I7075" i="12"/>
  <c r="K7074" i="12"/>
  <c r="J7074" i="12"/>
  <c r="I7074" i="12"/>
  <c r="K7073" i="12"/>
  <c r="J7073" i="12"/>
  <c r="I7073" i="12"/>
  <c r="K7072" i="12"/>
  <c r="J7072" i="12"/>
  <c r="I7072" i="12"/>
  <c r="K7071" i="12"/>
  <c r="J7071" i="12"/>
  <c r="I7071" i="12"/>
  <c r="K7070" i="12"/>
  <c r="J7070" i="12"/>
  <c r="I7070" i="12"/>
  <c r="K7069" i="12"/>
  <c r="J7069" i="12"/>
  <c r="I7069" i="12"/>
  <c r="K7068" i="12"/>
  <c r="J7068" i="12"/>
  <c r="I7068" i="12"/>
  <c r="K7067" i="12"/>
  <c r="J7067" i="12"/>
  <c r="I7067" i="12"/>
  <c r="K7066" i="12"/>
  <c r="J7066" i="12"/>
  <c r="I7066" i="12"/>
  <c r="K7065" i="12"/>
  <c r="J7065" i="12"/>
  <c r="I7065" i="12"/>
  <c r="K7064" i="12"/>
  <c r="J7064" i="12"/>
  <c r="I7064" i="12"/>
  <c r="K7063" i="12"/>
  <c r="J7063" i="12"/>
  <c r="I7063" i="12"/>
  <c r="K7062" i="12"/>
  <c r="J7062" i="12"/>
  <c r="I7062" i="12"/>
  <c r="K7061" i="12"/>
  <c r="J7061" i="12"/>
  <c r="I7061" i="12"/>
  <c r="K7060" i="12"/>
  <c r="J7060" i="12"/>
  <c r="I7060" i="12"/>
  <c r="K7059" i="12"/>
  <c r="J7059" i="12"/>
  <c r="I7059" i="12"/>
  <c r="K7058" i="12"/>
  <c r="J7058" i="12"/>
  <c r="I7058" i="12"/>
  <c r="K7057" i="12"/>
  <c r="J7057" i="12"/>
  <c r="I7057" i="12"/>
  <c r="K7056" i="12"/>
  <c r="J7056" i="12"/>
  <c r="I7056" i="12"/>
  <c r="K7055" i="12"/>
  <c r="J7055" i="12"/>
  <c r="I7055" i="12"/>
  <c r="K7054" i="12"/>
  <c r="J7054" i="12"/>
  <c r="I7054" i="12"/>
  <c r="K7053" i="12"/>
  <c r="J7053" i="12"/>
  <c r="I7053" i="12"/>
  <c r="K7052" i="12"/>
  <c r="J7052" i="12"/>
  <c r="I7052" i="12"/>
  <c r="K7051" i="12"/>
  <c r="J7051" i="12"/>
  <c r="I7051" i="12"/>
  <c r="K7050" i="12"/>
  <c r="J7050" i="12"/>
  <c r="I7050" i="12"/>
  <c r="K7049" i="12"/>
  <c r="J7049" i="12"/>
  <c r="I7049" i="12"/>
  <c r="K7048" i="12"/>
  <c r="J7048" i="12"/>
  <c r="I7048" i="12"/>
  <c r="K7047" i="12"/>
  <c r="J7047" i="12"/>
  <c r="I7047" i="12"/>
  <c r="K7046" i="12"/>
  <c r="J7046" i="12"/>
  <c r="I7046" i="12"/>
  <c r="K7045" i="12"/>
  <c r="J7045" i="12"/>
  <c r="I7045" i="12"/>
  <c r="K7044" i="12"/>
  <c r="J7044" i="12"/>
  <c r="I7044" i="12"/>
  <c r="K7043" i="12"/>
  <c r="J7043" i="12"/>
  <c r="I7043" i="12"/>
  <c r="K7042" i="12"/>
  <c r="J7042" i="12"/>
  <c r="I7042" i="12"/>
  <c r="K7041" i="12"/>
  <c r="J7041" i="12"/>
  <c r="I7041" i="12"/>
  <c r="K7040" i="12"/>
  <c r="J7040" i="12"/>
  <c r="I7040" i="12"/>
  <c r="K7039" i="12"/>
  <c r="J7039" i="12"/>
  <c r="I7039" i="12"/>
  <c r="K7038" i="12"/>
  <c r="J7038" i="12"/>
  <c r="I7038" i="12"/>
  <c r="K7037" i="12"/>
  <c r="J7037" i="12"/>
  <c r="I7037" i="12"/>
  <c r="K7036" i="12"/>
  <c r="J7036" i="12"/>
  <c r="I7036" i="12"/>
  <c r="K7035" i="12"/>
  <c r="J7035" i="12"/>
  <c r="I7035" i="12"/>
  <c r="K7034" i="12"/>
  <c r="J7034" i="12"/>
  <c r="I7034" i="12"/>
  <c r="K7033" i="12"/>
  <c r="J7033" i="12"/>
  <c r="I7033" i="12"/>
  <c r="K7032" i="12"/>
  <c r="J7032" i="12"/>
  <c r="I7032" i="12"/>
  <c r="K7031" i="12"/>
  <c r="J7031" i="12"/>
  <c r="I7031" i="12"/>
  <c r="K7030" i="12"/>
  <c r="J7030" i="12"/>
  <c r="I7030" i="12"/>
  <c r="K7029" i="12"/>
  <c r="J7029" i="12"/>
  <c r="I7029" i="12"/>
  <c r="K7028" i="12"/>
  <c r="J7028" i="12"/>
  <c r="I7028" i="12"/>
  <c r="K7027" i="12"/>
  <c r="J7027" i="12"/>
  <c r="I7027" i="12"/>
  <c r="K7026" i="12"/>
  <c r="J7026" i="12"/>
  <c r="I7026" i="12"/>
  <c r="K7025" i="12"/>
  <c r="J7025" i="12"/>
  <c r="I7025" i="12"/>
  <c r="K7024" i="12"/>
  <c r="J7024" i="12"/>
  <c r="I7024" i="12"/>
  <c r="K7023" i="12"/>
  <c r="J7023" i="12"/>
  <c r="I7023" i="12"/>
  <c r="K7022" i="12"/>
  <c r="J7022" i="12"/>
  <c r="I7022" i="12"/>
  <c r="K7021" i="12"/>
  <c r="J7021" i="12"/>
  <c r="I7021" i="12"/>
  <c r="K7020" i="12"/>
  <c r="J7020" i="12"/>
  <c r="I7020" i="12"/>
  <c r="K7019" i="12"/>
  <c r="J7019" i="12"/>
  <c r="I7019" i="12"/>
  <c r="K7018" i="12"/>
  <c r="J7018" i="12"/>
  <c r="I7018" i="12"/>
  <c r="K7017" i="12"/>
  <c r="J7017" i="12"/>
  <c r="I7017" i="12"/>
  <c r="K7016" i="12"/>
  <c r="J7016" i="12"/>
  <c r="I7016" i="12"/>
  <c r="K7015" i="12"/>
  <c r="J7015" i="12"/>
  <c r="I7015" i="12"/>
  <c r="K7014" i="12"/>
  <c r="J7014" i="12"/>
  <c r="I7014" i="12"/>
  <c r="K7013" i="12"/>
  <c r="J7013" i="12"/>
  <c r="I7013" i="12"/>
  <c r="K7012" i="12"/>
  <c r="J7012" i="12"/>
  <c r="I7012" i="12"/>
  <c r="K7011" i="12"/>
  <c r="J7011" i="12"/>
  <c r="I7011" i="12"/>
  <c r="K7010" i="12"/>
  <c r="J7010" i="12"/>
  <c r="I7010" i="12"/>
  <c r="K7009" i="12"/>
  <c r="J7009" i="12"/>
  <c r="I7009" i="12"/>
  <c r="K7008" i="12"/>
  <c r="J7008" i="12"/>
  <c r="I7008" i="12"/>
  <c r="K7007" i="12"/>
  <c r="J7007" i="12"/>
  <c r="I7007" i="12"/>
  <c r="K7006" i="12"/>
  <c r="J7006" i="12"/>
  <c r="I7006" i="12"/>
  <c r="K7005" i="12"/>
  <c r="J7005" i="12"/>
  <c r="I7005" i="12"/>
  <c r="K7004" i="12"/>
  <c r="J7004" i="12"/>
  <c r="I7004" i="12"/>
  <c r="K7003" i="12"/>
  <c r="J7003" i="12"/>
  <c r="I7003" i="12"/>
  <c r="K7002" i="12"/>
  <c r="J7002" i="12"/>
  <c r="I7002" i="12"/>
  <c r="K7001" i="12"/>
  <c r="J7001" i="12"/>
  <c r="I7001" i="12"/>
  <c r="K7000" i="12"/>
  <c r="J7000" i="12"/>
  <c r="I7000" i="12"/>
  <c r="K6999" i="12"/>
  <c r="J6999" i="12"/>
  <c r="I6999" i="12"/>
  <c r="K6998" i="12"/>
  <c r="J6998" i="12"/>
  <c r="I6998" i="12"/>
  <c r="K6997" i="12"/>
  <c r="J6997" i="12"/>
  <c r="I6997" i="12"/>
  <c r="K6996" i="12"/>
  <c r="J6996" i="12"/>
  <c r="I6996" i="12"/>
  <c r="K6995" i="12"/>
  <c r="J6995" i="12"/>
  <c r="I6995" i="12"/>
  <c r="K6994" i="12"/>
  <c r="J6994" i="12"/>
  <c r="I6994" i="12"/>
  <c r="K6993" i="12"/>
  <c r="J6993" i="12"/>
  <c r="I6993" i="12"/>
  <c r="K6992" i="12"/>
  <c r="J6992" i="12"/>
  <c r="I6992" i="12"/>
  <c r="K6991" i="12"/>
  <c r="J6991" i="12"/>
  <c r="I6991" i="12"/>
  <c r="K6990" i="12"/>
  <c r="J6990" i="12"/>
  <c r="I6990" i="12"/>
  <c r="K6989" i="12"/>
  <c r="J6989" i="12"/>
  <c r="I6989" i="12"/>
  <c r="K6988" i="12"/>
  <c r="J6988" i="12"/>
  <c r="I6988" i="12"/>
  <c r="K6987" i="12"/>
  <c r="J6987" i="12"/>
  <c r="I6987" i="12"/>
  <c r="K6986" i="12"/>
  <c r="J6986" i="12"/>
  <c r="I6986" i="12"/>
  <c r="K6985" i="12"/>
  <c r="J6985" i="12"/>
  <c r="I6985" i="12"/>
  <c r="K6984" i="12"/>
  <c r="J6984" i="12"/>
  <c r="I6984" i="12"/>
  <c r="K6983" i="12"/>
  <c r="J6983" i="12"/>
  <c r="I6983" i="12"/>
  <c r="K6982" i="12"/>
  <c r="J6982" i="12"/>
  <c r="I6982" i="12"/>
  <c r="K6981" i="12"/>
  <c r="J6981" i="12"/>
  <c r="I6981" i="12"/>
  <c r="K6980" i="12"/>
  <c r="J6980" i="12"/>
  <c r="I6980" i="12"/>
  <c r="K6979" i="12"/>
  <c r="J6979" i="12"/>
  <c r="I6979" i="12"/>
  <c r="K6978" i="12"/>
  <c r="J6978" i="12"/>
  <c r="I6978" i="12"/>
  <c r="K6977" i="12"/>
  <c r="J6977" i="12"/>
  <c r="I6977" i="12"/>
  <c r="K6976" i="12"/>
  <c r="J6976" i="12"/>
  <c r="I6976" i="12"/>
  <c r="K6975" i="12"/>
  <c r="J6975" i="12"/>
  <c r="I6975" i="12"/>
  <c r="K6974" i="12"/>
  <c r="J6974" i="12"/>
  <c r="I6974" i="12"/>
  <c r="K6973" i="12"/>
  <c r="J6973" i="12"/>
  <c r="I6973" i="12"/>
  <c r="K6972" i="12"/>
  <c r="J6972" i="12"/>
  <c r="I6972" i="12"/>
  <c r="K6971" i="12"/>
  <c r="J6971" i="12"/>
  <c r="I6971" i="12"/>
  <c r="K6970" i="12"/>
  <c r="J6970" i="12"/>
  <c r="I6970" i="12"/>
  <c r="K6969" i="12"/>
  <c r="J6969" i="12"/>
  <c r="I6969" i="12"/>
  <c r="K6968" i="12"/>
  <c r="J6968" i="12"/>
  <c r="I6968" i="12"/>
  <c r="K6967" i="12"/>
  <c r="J6967" i="12"/>
  <c r="I6967" i="12"/>
  <c r="K6966" i="12"/>
  <c r="J6966" i="12"/>
  <c r="I6966" i="12"/>
  <c r="K6965" i="12"/>
  <c r="J6965" i="12"/>
  <c r="I6965" i="12"/>
  <c r="K6964" i="12"/>
  <c r="J6964" i="12"/>
  <c r="I6964" i="12"/>
  <c r="K6963" i="12"/>
  <c r="J6963" i="12"/>
  <c r="I6963" i="12"/>
  <c r="K6962" i="12"/>
  <c r="J6962" i="12"/>
  <c r="I6962" i="12"/>
  <c r="K6961" i="12"/>
  <c r="J6961" i="12"/>
  <c r="I6961" i="12"/>
  <c r="K6960" i="12"/>
  <c r="J6960" i="12"/>
  <c r="I6960" i="12"/>
  <c r="K6959" i="12"/>
  <c r="J6959" i="12"/>
  <c r="I6959" i="12"/>
  <c r="K6958" i="12"/>
  <c r="J6958" i="12"/>
  <c r="I6958" i="12"/>
  <c r="K6957" i="12"/>
  <c r="J6957" i="12"/>
  <c r="I6957" i="12"/>
  <c r="K6956" i="12"/>
  <c r="J6956" i="12"/>
  <c r="I6956" i="12"/>
  <c r="K6955" i="12"/>
  <c r="J6955" i="12"/>
  <c r="I6955" i="12"/>
  <c r="K6954" i="12"/>
  <c r="J6954" i="12"/>
  <c r="I6954" i="12"/>
  <c r="K6953" i="12"/>
  <c r="J6953" i="12"/>
  <c r="I6953" i="12"/>
  <c r="K6952" i="12"/>
  <c r="J6952" i="12"/>
  <c r="I6952" i="12"/>
  <c r="K6951" i="12"/>
  <c r="J6951" i="12"/>
  <c r="I6951" i="12"/>
  <c r="K6950" i="12"/>
  <c r="J6950" i="12"/>
  <c r="I6950" i="12"/>
  <c r="K6949" i="12"/>
  <c r="J6949" i="12"/>
  <c r="I6949" i="12"/>
  <c r="K6948" i="12"/>
  <c r="J6948" i="12"/>
  <c r="I6948" i="12"/>
  <c r="K6947" i="12"/>
  <c r="J6947" i="12"/>
  <c r="I6947" i="12"/>
  <c r="K6946" i="12"/>
  <c r="J6946" i="12"/>
  <c r="I6946" i="12"/>
  <c r="K6945" i="12"/>
  <c r="J6945" i="12"/>
  <c r="I6945" i="12"/>
  <c r="K6944" i="12"/>
  <c r="J6944" i="12"/>
  <c r="I6944" i="12"/>
  <c r="K6943" i="12"/>
  <c r="J6943" i="12"/>
  <c r="I6943" i="12"/>
  <c r="K6942" i="12"/>
  <c r="J6942" i="12"/>
  <c r="I6942" i="12"/>
  <c r="K6941" i="12"/>
  <c r="J6941" i="12"/>
  <c r="I6941" i="12"/>
  <c r="K6940" i="12"/>
  <c r="J6940" i="12"/>
  <c r="I6940" i="12"/>
  <c r="K6939" i="12"/>
  <c r="J6939" i="12"/>
  <c r="I6939" i="12"/>
  <c r="K6938" i="12"/>
  <c r="J6938" i="12"/>
  <c r="I6938" i="12"/>
  <c r="K6937" i="12"/>
  <c r="J6937" i="12"/>
  <c r="I6937" i="12"/>
  <c r="K6936" i="12"/>
  <c r="J6936" i="12"/>
  <c r="I6936" i="12"/>
  <c r="K6935" i="12"/>
  <c r="J6935" i="12"/>
  <c r="I6935" i="12"/>
  <c r="K6934" i="12"/>
  <c r="J6934" i="12"/>
  <c r="I6934" i="12"/>
  <c r="K6933" i="12"/>
  <c r="J6933" i="12"/>
  <c r="I6933" i="12"/>
  <c r="K6932" i="12"/>
  <c r="J6932" i="12"/>
  <c r="I6932" i="12"/>
  <c r="K6931" i="12"/>
  <c r="J6931" i="12"/>
  <c r="I6931" i="12"/>
  <c r="K6930" i="12"/>
  <c r="J6930" i="12"/>
  <c r="I6930" i="12"/>
  <c r="K6929" i="12"/>
  <c r="J6929" i="12"/>
  <c r="I6929" i="12"/>
  <c r="K6928" i="12"/>
  <c r="J6928" i="12"/>
  <c r="I6928" i="12"/>
  <c r="K6927" i="12"/>
  <c r="J6927" i="12"/>
  <c r="I6927" i="12"/>
  <c r="K6926" i="12"/>
  <c r="J6926" i="12"/>
  <c r="I6926" i="12"/>
  <c r="K6925" i="12"/>
  <c r="J6925" i="12"/>
  <c r="I6925" i="12"/>
  <c r="K6924" i="12"/>
  <c r="J6924" i="12"/>
  <c r="I6924" i="12"/>
  <c r="K6923" i="12"/>
  <c r="J6923" i="12"/>
  <c r="I6923" i="12"/>
  <c r="K6922" i="12"/>
  <c r="J6922" i="12"/>
  <c r="I6922" i="12"/>
  <c r="K6921" i="12"/>
  <c r="J6921" i="12"/>
  <c r="I6921" i="12"/>
  <c r="K6920" i="12"/>
  <c r="J6920" i="12"/>
  <c r="I6920" i="12"/>
  <c r="K6919" i="12"/>
  <c r="J6919" i="12"/>
  <c r="I6919" i="12"/>
  <c r="K6918" i="12"/>
  <c r="J6918" i="12"/>
  <c r="I6918" i="12"/>
  <c r="K6917" i="12"/>
  <c r="J6917" i="12"/>
  <c r="I6917" i="12"/>
  <c r="K6916" i="12"/>
  <c r="J6916" i="12"/>
  <c r="I6916" i="12"/>
  <c r="K6915" i="12"/>
  <c r="J6915" i="12"/>
  <c r="I6915" i="12"/>
  <c r="K6914" i="12"/>
  <c r="J6914" i="12"/>
  <c r="I6914" i="12"/>
  <c r="K6913" i="12"/>
  <c r="J6913" i="12"/>
  <c r="I6913" i="12"/>
  <c r="K6912" i="12"/>
  <c r="J6912" i="12"/>
  <c r="I6912" i="12"/>
  <c r="K6911" i="12"/>
  <c r="J6911" i="12"/>
  <c r="I6911" i="12"/>
  <c r="K6910" i="12"/>
  <c r="J6910" i="12"/>
  <c r="I6910" i="12"/>
  <c r="K6909" i="12"/>
  <c r="J6909" i="12"/>
  <c r="I6909" i="12"/>
  <c r="K6908" i="12"/>
  <c r="J6908" i="12"/>
  <c r="I6908" i="12"/>
  <c r="K6907" i="12"/>
  <c r="J6907" i="12"/>
  <c r="I6907" i="12"/>
  <c r="K6906" i="12"/>
  <c r="J6906" i="12"/>
  <c r="I6906" i="12"/>
  <c r="K6905" i="12"/>
  <c r="J6905" i="12"/>
  <c r="I6905" i="12"/>
  <c r="K6904" i="12"/>
  <c r="J6904" i="12"/>
  <c r="I6904" i="12"/>
  <c r="K6903" i="12"/>
  <c r="J6903" i="12"/>
  <c r="I6903" i="12"/>
  <c r="K6902" i="12"/>
  <c r="J6902" i="12"/>
  <c r="I6902" i="12"/>
  <c r="K6901" i="12"/>
  <c r="J6901" i="12"/>
  <c r="I6901" i="12"/>
  <c r="K6900" i="12"/>
  <c r="J6900" i="12"/>
  <c r="I6900" i="12"/>
  <c r="K6899" i="12"/>
  <c r="J6899" i="12"/>
  <c r="I6899" i="12"/>
  <c r="K6898" i="12"/>
  <c r="J6898" i="12"/>
  <c r="I6898" i="12"/>
  <c r="K6897" i="12"/>
  <c r="J6897" i="12"/>
  <c r="I6897" i="12"/>
  <c r="K6896" i="12"/>
  <c r="J6896" i="12"/>
  <c r="I6896" i="12"/>
  <c r="K6895" i="12"/>
  <c r="J6895" i="12"/>
  <c r="I6895" i="12"/>
  <c r="K6894" i="12"/>
  <c r="J6894" i="12"/>
  <c r="I6894" i="12"/>
  <c r="K6893" i="12"/>
  <c r="J6893" i="12"/>
  <c r="I6893" i="12"/>
  <c r="K6892" i="12"/>
  <c r="J6892" i="12"/>
  <c r="I6892" i="12"/>
  <c r="K6891" i="12"/>
  <c r="J6891" i="12"/>
  <c r="I6891" i="12"/>
  <c r="K6890" i="12"/>
  <c r="J6890" i="12"/>
  <c r="I6890" i="12"/>
  <c r="K6889" i="12"/>
  <c r="J6889" i="12"/>
  <c r="I6889" i="12"/>
  <c r="K6888" i="12"/>
  <c r="J6888" i="12"/>
  <c r="I6888" i="12"/>
  <c r="K6887" i="12"/>
  <c r="J6887" i="12"/>
  <c r="I6887" i="12"/>
  <c r="K6886" i="12"/>
  <c r="J6886" i="12"/>
  <c r="I6886" i="12"/>
  <c r="K6885" i="12"/>
  <c r="J6885" i="12"/>
  <c r="I6885" i="12"/>
  <c r="K6884" i="12"/>
  <c r="J6884" i="12"/>
  <c r="I6884" i="12"/>
  <c r="K6883" i="12"/>
  <c r="J6883" i="12"/>
  <c r="I6883" i="12"/>
  <c r="K6882" i="12"/>
  <c r="J6882" i="12"/>
  <c r="I6882" i="12"/>
  <c r="K6881" i="12"/>
  <c r="J6881" i="12"/>
  <c r="I6881" i="12"/>
  <c r="K6880" i="12"/>
  <c r="J6880" i="12"/>
  <c r="I6880" i="12"/>
  <c r="K6879" i="12"/>
  <c r="J6879" i="12"/>
  <c r="I6879" i="12"/>
  <c r="K6878" i="12"/>
  <c r="J6878" i="12"/>
  <c r="I6878" i="12"/>
  <c r="K6877" i="12"/>
  <c r="J6877" i="12"/>
  <c r="I6877" i="12"/>
  <c r="K6876" i="12"/>
  <c r="J6876" i="12"/>
  <c r="I6876" i="12"/>
  <c r="K6875" i="12"/>
  <c r="J6875" i="12"/>
  <c r="I6875" i="12"/>
  <c r="K6874" i="12"/>
  <c r="J6874" i="12"/>
  <c r="I6874" i="12"/>
  <c r="K6873" i="12"/>
  <c r="J6873" i="12"/>
  <c r="I6873" i="12"/>
  <c r="K6872" i="12"/>
  <c r="J6872" i="12"/>
  <c r="I6872" i="12"/>
  <c r="K6871" i="12"/>
  <c r="J6871" i="12"/>
  <c r="I6871" i="12"/>
  <c r="K6870" i="12"/>
  <c r="J6870" i="12"/>
  <c r="I6870" i="12"/>
  <c r="K6869" i="12"/>
  <c r="J6869" i="12"/>
  <c r="I6869" i="12"/>
  <c r="K6868" i="12"/>
  <c r="J6868" i="12"/>
  <c r="I6868" i="12"/>
  <c r="K6867" i="12"/>
  <c r="J6867" i="12"/>
  <c r="I6867" i="12"/>
  <c r="K6866" i="12"/>
  <c r="J6866" i="12"/>
  <c r="I6866" i="12"/>
  <c r="K6865" i="12"/>
  <c r="J6865" i="12"/>
  <c r="I6865" i="12"/>
  <c r="K6864" i="12"/>
  <c r="J6864" i="12"/>
  <c r="I6864" i="12"/>
  <c r="K6863" i="12"/>
  <c r="J6863" i="12"/>
  <c r="I6863" i="12"/>
  <c r="K6862" i="12"/>
  <c r="J6862" i="12"/>
  <c r="I6862" i="12"/>
  <c r="K6861" i="12"/>
  <c r="J6861" i="12"/>
  <c r="I6861" i="12"/>
  <c r="K6860" i="12"/>
  <c r="J6860" i="12"/>
  <c r="I6860" i="12"/>
  <c r="K6859" i="12"/>
  <c r="J6859" i="12"/>
  <c r="I6859" i="12"/>
  <c r="K6858" i="12"/>
  <c r="J6858" i="12"/>
  <c r="I6858" i="12"/>
  <c r="K6857" i="12"/>
  <c r="J6857" i="12"/>
  <c r="I6857" i="12"/>
  <c r="K6856" i="12"/>
  <c r="J6856" i="12"/>
  <c r="I6856" i="12"/>
  <c r="K6855" i="12"/>
  <c r="J6855" i="12"/>
  <c r="I6855" i="12"/>
  <c r="K6854" i="12"/>
  <c r="J6854" i="12"/>
  <c r="I6854" i="12"/>
  <c r="K6853" i="12"/>
  <c r="J6853" i="12"/>
  <c r="I6853" i="12"/>
  <c r="K6852" i="12"/>
  <c r="J6852" i="12"/>
  <c r="I6852" i="12"/>
  <c r="K6851" i="12"/>
  <c r="J6851" i="12"/>
  <c r="I6851" i="12"/>
  <c r="K6850" i="12"/>
  <c r="J6850" i="12"/>
  <c r="I6850" i="12"/>
  <c r="K6849" i="12"/>
  <c r="J6849" i="12"/>
  <c r="I6849" i="12"/>
  <c r="K6848" i="12"/>
  <c r="J6848" i="12"/>
  <c r="I6848" i="12"/>
  <c r="K6847" i="12"/>
  <c r="J6847" i="12"/>
  <c r="I6847" i="12"/>
  <c r="K6846" i="12"/>
  <c r="J6846" i="12"/>
  <c r="I6846" i="12"/>
  <c r="K6845" i="12"/>
  <c r="J6845" i="12"/>
  <c r="I6845" i="12"/>
  <c r="K6844" i="12"/>
  <c r="J6844" i="12"/>
  <c r="I6844" i="12"/>
  <c r="K6843" i="12"/>
  <c r="J6843" i="12"/>
  <c r="I6843" i="12"/>
  <c r="K6842" i="12"/>
  <c r="J6842" i="12"/>
  <c r="I6842" i="12"/>
  <c r="K6841" i="12"/>
  <c r="J6841" i="12"/>
  <c r="I6841" i="12"/>
  <c r="K6840" i="12"/>
  <c r="J6840" i="12"/>
  <c r="I6840" i="12"/>
  <c r="K6839" i="12"/>
  <c r="J6839" i="12"/>
  <c r="I6839" i="12"/>
  <c r="K6838" i="12"/>
  <c r="J6838" i="12"/>
  <c r="I6838" i="12"/>
  <c r="K6837" i="12"/>
  <c r="J6837" i="12"/>
  <c r="I6837" i="12"/>
  <c r="K6836" i="12"/>
  <c r="J6836" i="12"/>
  <c r="I6836" i="12"/>
  <c r="K6835" i="12"/>
  <c r="J6835" i="12"/>
  <c r="I6835" i="12"/>
  <c r="K6834" i="12"/>
  <c r="J6834" i="12"/>
  <c r="I6834" i="12"/>
  <c r="K6833" i="12"/>
  <c r="J6833" i="12"/>
  <c r="I6833" i="12"/>
  <c r="K6832" i="12"/>
  <c r="J6832" i="12"/>
  <c r="I6832" i="12"/>
  <c r="K6831" i="12"/>
  <c r="J6831" i="12"/>
  <c r="I6831" i="12"/>
  <c r="K6830" i="12"/>
  <c r="J6830" i="12"/>
  <c r="I6830" i="12"/>
  <c r="K6829" i="12"/>
  <c r="J6829" i="12"/>
  <c r="I6829" i="12"/>
  <c r="K6828" i="12"/>
  <c r="J6828" i="12"/>
  <c r="I6828" i="12"/>
  <c r="K6827" i="12"/>
  <c r="J6827" i="12"/>
  <c r="I6827" i="12"/>
  <c r="K6826" i="12"/>
  <c r="J6826" i="12"/>
  <c r="I6826" i="12"/>
  <c r="K6825" i="12"/>
  <c r="J6825" i="12"/>
  <c r="I6825" i="12"/>
  <c r="K6824" i="12"/>
  <c r="J6824" i="12"/>
  <c r="I6824" i="12"/>
  <c r="K6823" i="12"/>
  <c r="J6823" i="12"/>
  <c r="I6823" i="12"/>
  <c r="K6822" i="12"/>
  <c r="J6822" i="12"/>
  <c r="I6822" i="12"/>
  <c r="K6821" i="12"/>
  <c r="J6821" i="12"/>
  <c r="I6821" i="12"/>
  <c r="K6820" i="12"/>
  <c r="J6820" i="12"/>
  <c r="I6820" i="12"/>
  <c r="K6819" i="12"/>
  <c r="J6819" i="12"/>
  <c r="I6819" i="12"/>
  <c r="K6818" i="12"/>
  <c r="J6818" i="12"/>
  <c r="I6818" i="12"/>
  <c r="K6817" i="12"/>
  <c r="J6817" i="12"/>
  <c r="I6817" i="12"/>
  <c r="K6816" i="12"/>
  <c r="J6816" i="12"/>
  <c r="I6816" i="12"/>
  <c r="K6815" i="12"/>
  <c r="J6815" i="12"/>
  <c r="I6815" i="12"/>
  <c r="K6814" i="12"/>
  <c r="J6814" i="12"/>
  <c r="I6814" i="12"/>
  <c r="K6813" i="12"/>
  <c r="J6813" i="12"/>
  <c r="I6813" i="12"/>
  <c r="K6812" i="12"/>
  <c r="J6812" i="12"/>
  <c r="I6812" i="12"/>
  <c r="K6811" i="12"/>
  <c r="J6811" i="12"/>
  <c r="I6811" i="12"/>
  <c r="K6810" i="12"/>
  <c r="J6810" i="12"/>
  <c r="I6810" i="12"/>
  <c r="K6809" i="12"/>
  <c r="J6809" i="12"/>
  <c r="I6809" i="12"/>
  <c r="K6808" i="12"/>
  <c r="J6808" i="12"/>
  <c r="I6808" i="12"/>
  <c r="K6807" i="12"/>
  <c r="J6807" i="12"/>
  <c r="I6807" i="12"/>
  <c r="K6806" i="12"/>
  <c r="J6806" i="12"/>
  <c r="I6806" i="12"/>
  <c r="K6805" i="12"/>
  <c r="J6805" i="12"/>
  <c r="I6805" i="12"/>
  <c r="K6804" i="12"/>
  <c r="J6804" i="12"/>
  <c r="I6804" i="12"/>
  <c r="K6803" i="12"/>
  <c r="J6803" i="12"/>
  <c r="I6803" i="12"/>
  <c r="K6802" i="12"/>
  <c r="J6802" i="12"/>
  <c r="I6802" i="12"/>
  <c r="K6801" i="12"/>
  <c r="J6801" i="12"/>
  <c r="I6801" i="12"/>
  <c r="K6800" i="12"/>
  <c r="J6800" i="12"/>
  <c r="I6800" i="12"/>
  <c r="K6799" i="12"/>
  <c r="J6799" i="12"/>
  <c r="I6799" i="12"/>
  <c r="K6798" i="12"/>
  <c r="J6798" i="12"/>
  <c r="I6798" i="12"/>
  <c r="K6797" i="12"/>
  <c r="J6797" i="12"/>
  <c r="I6797" i="12"/>
  <c r="K6796" i="12"/>
  <c r="J6796" i="12"/>
  <c r="I6796" i="12"/>
  <c r="K6795" i="12"/>
  <c r="J6795" i="12"/>
  <c r="I6795" i="12"/>
  <c r="K6794" i="12"/>
  <c r="J6794" i="12"/>
  <c r="I6794" i="12"/>
  <c r="K6793" i="12"/>
  <c r="J6793" i="12"/>
  <c r="I6793" i="12"/>
  <c r="K6792" i="12"/>
  <c r="J6792" i="12"/>
  <c r="I6792" i="12"/>
  <c r="K6791" i="12"/>
  <c r="J6791" i="12"/>
  <c r="I6791" i="12"/>
  <c r="K6790" i="12"/>
  <c r="J6790" i="12"/>
  <c r="I6790" i="12"/>
  <c r="K6789" i="12"/>
  <c r="J6789" i="12"/>
  <c r="I6789" i="12"/>
  <c r="K6788" i="12"/>
  <c r="J6788" i="12"/>
  <c r="I6788" i="12"/>
  <c r="K6787" i="12"/>
  <c r="J6787" i="12"/>
  <c r="I6787" i="12"/>
  <c r="K6786" i="12"/>
  <c r="J6786" i="12"/>
  <c r="I6786" i="12"/>
  <c r="K6785" i="12"/>
  <c r="J6785" i="12"/>
  <c r="I6785" i="12"/>
  <c r="K6784" i="12"/>
  <c r="J6784" i="12"/>
  <c r="I6784" i="12"/>
  <c r="K6783" i="12"/>
  <c r="J6783" i="12"/>
  <c r="I6783" i="12"/>
  <c r="K6782" i="12"/>
  <c r="J6782" i="12"/>
  <c r="I6782" i="12"/>
  <c r="K6781" i="12"/>
  <c r="J6781" i="12"/>
  <c r="I6781" i="12"/>
  <c r="K6780" i="12"/>
  <c r="J6780" i="12"/>
  <c r="I6780" i="12"/>
  <c r="K6779" i="12"/>
  <c r="J6779" i="12"/>
  <c r="I6779" i="12"/>
  <c r="K6778" i="12"/>
  <c r="J6778" i="12"/>
  <c r="I6778" i="12"/>
  <c r="K6777" i="12"/>
  <c r="J6777" i="12"/>
  <c r="I6777" i="12"/>
  <c r="K6776" i="12"/>
  <c r="J6776" i="12"/>
  <c r="I6776" i="12"/>
  <c r="K6775" i="12"/>
  <c r="J6775" i="12"/>
  <c r="I6775" i="12"/>
  <c r="K6774" i="12"/>
  <c r="J6774" i="12"/>
  <c r="I6774" i="12"/>
  <c r="K6773" i="12"/>
  <c r="J6773" i="12"/>
  <c r="I6773" i="12"/>
  <c r="K6772" i="12"/>
  <c r="J6772" i="12"/>
  <c r="I6772" i="12"/>
  <c r="K6771" i="12"/>
  <c r="J6771" i="12"/>
  <c r="I6771" i="12"/>
  <c r="K6770" i="12"/>
  <c r="J6770" i="12"/>
  <c r="I6770" i="12"/>
  <c r="K6769" i="12"/>
  <c r="J6769" i="12"/>
  <c r="I6769" i="12"/>
  <c r="K6768" i="12"/>
  <c r="J6768" i="12"/>
  <c r="I6768" i="12"/>
  <c r="K6767" i="12"/>
  <c r="J6767" i="12"/>
  <c r="I6767" i="12"/>
  <c r="K6766" i="12"/>
  <c r="J6766" i="12"/>
  <c r="I6766" i="12"/>
  <c r="K6765" i="12"/>
  <c r="J6765" i="12"/>
  <c r="I6765" i="12"/>
  <c r="K6764" i="12"/>
  <c r="J6764" i="12"/>
  <c r="I6764" i="12"/>
  <c r="K6763" i="12"/>
  <c r="J6763" i="12"/>
  <c r="I6763" i="12"/>
  <c r="K6762" i="12"/>
  <c r="J6762" i="12"/>
  <c r="I6762" i="12"/>
  <c r="K6761" i="12"/>
  <c r="J6761" i="12"/>
  <c r="I6761" i="12"/>
  <c r="K6760" i="12"/>
  <c r="J6760" i="12"/>
  <c r="I6760" i="12"/>
  <c r="K6759" i="12"/>
  <c r="J6759" i="12"/>
  <c r="I6759" i="12"/>
  <c r="K6758" i="12"/>
  <c r="J6758" i="12"/>
  <c r="I6758" i="12"/>
  <c r="K6757" i="12"/>
  <c r="J6757" i="12"/>
  <c r="I6757" i="12"/>
  <c r="K6756" i="12"/>
  <c r="J6756" i="12"/>
  <c r="I6756" i="12"/>
  <c r="K6755" i="12"/>
  <c r="J6755" i="12"/>
  <c r="I6755" i="12"/>
  <c r="K6754" i="12"/>
  <c r="J6754" i="12"/>
  <c r="I6754" i="12"/>
  <c r="K6753" i="12"/>
  <c r="J6753" i="12"/>
  <c r="I6753" i="12"/>
  <c r="K6752" i="12"/>
  <c r="J6752" i="12"/>
  <c r="I6752" i="12"/>
  <c r="K6751" i="12"/>
  <c r="J6751" i="12"/>
  <c r="I6751" i="12"/>
  <c r="K6750" i="12"/>
  <c r="J6750" i="12"/>
  <c r="I6750" i="12"/>
  <c r="K6749" i="12"/>
  <c r="J6749" i="12"/>
  <c r="I6749" i="12"/>
  <c r="K6748" i="12"/>
  <c r="J6748" i="12"/>
  <c r="I6748" i="12"/>
  <c r="K6747" i="12"/>
  <c r="J6747" i="12"/>
  <c r="I6747" i="12"/>
  <c r="K6746" i="12"/>
  <c r="J6746" i="12"/>
  <c r="I6746" i="12"/>
  <c r="K6745" i="12"/>
  <c r="J6745" i="12"/>
  <c r="I6745" i="12"/>
  <c r="K6744" i="12"/>
  <c r="J6744" i="12"/>
  <c r="I6744" i="12"/>
  <c r="K6743" i="12"/>
  <c r="J6743" i="12"/>
  <c r="I6743" i="12"/>
  <c r="K6742" i="12"/>
  <c r="J6742" i="12"/>
  <c r="I6742" i="12"/>
  <c r="K6741" i="12"/>
  <c r="J6741" i="12"/>
  <c r="I6741" i="12"/>
  <c r="K6740" i="12"/>
  <c r="J6740" i="12"/>
  <c r="I6740" i="12"/>
  <c r="K6739" i="12"/>
  <c r="J6739" i="12"/>
  <c r="I6739" i="12"/>
  <c r="K6738" i="12"/>
  <c r="J6738" i="12"/>
  <c r="I6738" i="12"/>
  <c r="K6737" i="12"/>
  <c r="J6737" i="12"/>
  <c r="I6737" i="12"/>
  <c r="K6736" i="12"/>
  <c r="J6736" i="12"/>
  <c r="I6736" i="12"/>
  <c r="K6735" i="12"/>
  <c r="J6735" i="12"/>
  <c r="I6735" i="12"/>
  <c r="K6734" i="12"/>
  <c r="J6734" i="12"/>
  <c r="I6734" i="12"/>
  <c r="K6733" i="12"/>
  <c r="J6733" i="12"/>
  <c r="I6733" i="12"/>
  <c r="K6732" i="12"/>
  <c r="J6732" i="12"/>
  <c r="I6732" i="12"/>
  <c r="K6731" i="12"/>
  <c r="J6731" i="12"/>
  <c r="I6731" i="12"/>
  <c r="K6730" i="12"/>
  <c r="J6730" i="12"/>
  <c r="I6730" i="12"/>
  <c r="K6729" i="12"/>
  <c r="J6729" i="12"/>
  <c r="I6729" i="12"/>
  <c r="K6728" i="12"/>
  <c r="J6728" i="12"/>
  <c r="I6728" i="12"/>
  <c r="K6727" i="12"/>
  <c r="J6727" i="12"/>
  <c r="I6727" i="12"/>
  <c r="K6726" i="12"/>
  <c r="J6726" i="12"/>
  <c r="I6726" i="12"/>
  <c r="K6725" i="12"/>
  <c r="J6725" i="12"/>
  <c r="I6725" i="12"/>
  <c r="K6724" i="12"/>
  <c r="J6724" i="12"/>
  <c r="I6724" i="12"/>
  <c r="K6723" i="12"/>
  <c r="J6723" i="12"/>
  <c r="I6723" i="12"/>
  <c r="K6722" i="12"/>
  <c r="J6722" i="12"/>
  <c r="I6722" i="12"/>
  <c r="K6721" i="12"/>
  <c r="J6721" i="12"/>
  <c r="I6721" i="12"/>
  <c r="K6720" i="12"/>
  <c r="J6720" i="12"/>
  <c r="I6720" i="12"/>
  <c r="K6719" i="12"/>
  <c r="J6719" i="12"/>
  <c r="I6719" i="12"/>
  <c r="K6718" i="12"/>
  <c r="J6718" i="12"/>
  <c r="I6718" i="12"/>
  <c r="K6717" i="12"/>
  <c r="J6717" i="12"/>
  <c r="I6717" i="12"/>
  <c r="K6716" i="12"/>
  <c r="J6716" i="12"/>
  <c r="I6716" i="12"/>
  <c r="K6715" i="12"/>
  <c r="J6715" i="12"/>
  <c r="I6715" i="12"/>
  <c r="K6714" i="12"/>
  <c r="J6714" i="12"/>
  <c r="I6714" i="12"/>
  <c r="K6713" i="12"/>
  <c r="J6713" i="12"/>
  <c r="I6713" i="12"/>
  <c r="K6712" i="12"/>
  <c r="J6712" i="12"/>
  <c r="I6712" i="12"/>
  <c r="K6711" i="12"/>
  <c r="J6711" i="12"/>
  <c r="I6711" i="12"/>
  <c r="K6710" i="12"/>
  <c r="J6710" i="12"/>
  <c r="I6710" i="12"/>
  <c r="K6709" i="12"/>
  <c r="J6709" i="12"/>
  <c r="I6709" i="12"/>
  <c r="K6708" i="12"/>
  <c r="J6708" i="12"/>
  <c r="I6708" i="12"/>
  <c r="K6707" i="12"/>
  <c r="J6707" i="12"/>
  <c r="I6707" i="12"/>
  <c r="K6706" i="12"/>
  <c r="J6706" i="12"/>
  <c r="I6706" i="12"/>
  <c r="K6705" i="12"/>
  <c r="J6705" i="12"/>
  <c r="I6705" i="12"/>
  <c r="K6704" i="12"/>
  <c r="J6704" i="12"/>
  <c r="I6704" i="12"/>
  <c r="K6703" i="12"/>
  <c r="J6703" i="12"/>
  <c r="I6703" i="12"/>
  <c r="K6702" i="12"/>
  <c r="J6702" i="12"/>
  <c r="I6702" i="12"/>
  <c r="K6701" i="12"/>
  <c r="J6701" i="12"/>
  <c r="I6701" i="12"/>
  <c r="K6700" i="12"/>
  <c r="J6700" i="12"/>
  <c r="I6700" i="12"/>
  <c r="K6699" i="12"/>
  <c r="J6699" i="12"/>
  <c r="I6699" i="12"/>
  <c r="K6698" i="12"/>
  <c r="J6698" i="12"/>
  <c r="I6698" i="12"/>
  <c r="K6697" i="12"/>
  <c r="J6697" i="12"/>
  <c r="I6697" i="12"/>
  <c r="K6696" i="12"/>
  <c r="J6696" i="12"/>
  <c r="I6696" i="12"/>
  <c r="K6695" i="12"/>
  <c r="J6695" i="12"/>
  <c r="I6695" i="12"/>
  <c r="K6694" i="12"/>
  <c r="J6694" i="12"/>
  <c r="I6694" i="12"/>
  <c r="K6693" i="12"/>
  <c r="J6693" i="12"/>
  <c r="I6693" i="12"/>
  <c r="K6692" i="12"/>
  <c r="J6692" i="12"/>
  <c r="I6692" i="12"/>
  <c r="K6691" i="12"/>
  <c r="J6691" i="12"/>
  <c r="I6691" i="12"/>
  <c r="K6690" i="12"/>
  <c r="J6690" i="12"/>
  <c r="I6690" i="12"/>
  <c r="K6689" i="12"/>
  <c r="J6689" i="12"/>
  <c r="I6689" i="12"/>
  <c r="K6688" i="12"/>
  <c r="J6688" i="12"/>
  <c r="I6688" i="12"/>
  <c r="K6687" i="12"/>
  <c r="J6687" i="12"/>
  <c r="I6687" i="12"/>
  <c r="K6686" i="12"/>
  <c r="J6686" i="12"/>
  <c r="I6686" i="12"/>
  <c r="K6685" i="12"/>
  <c r="J6685" i="12"/>
  <c r="I6685" i="12"/>
  <c r="K6684" i="12"/>
  <c r="J6684" i="12"/>
  <c r="I6684" i="12"/>
  <c r="K6683" i="12"/>
  <c r="J6683" i="12"/>
  <c r="I6683" i="12"/>
  <c r="K6682" i="12"/>
  <c r="J6682" i="12"/>
  <c r="I6682" i="12"/>
  <c r="K6681" i="12"/>
  <c r="J6681" i="12"/>
  <c r="I6681" i="12"/>
  <c r="K6680" i="12"/>
  <c r="J6680" i="12"/>
  <c r="I6680" i="12"/>
  <c r="K6679" i="12"/>
  <c r="J6679" i="12"/>
  <c r="I6679" i="12"/>
  <c r="K6678" i="12"/>
  <c r="J6678" i="12"/>
  <c r="I6678" i="12"/>
  <c r="K6677" i="12"/>
  <c r="J6677" i="12"/>
  <c r="I6677" i="12"/>
  <c r="K6676" i="12"/>
  <c r="J6676" i="12"/>
  <c r="I6676" i="12"/>
  <c r="K6675" i="12"/>
  <c r="J6675" i="12"/>
  <c r="I6675" i="12"/>
  <c r="K6674" i="12"/>
  <c r="J6674" i="12"/>
  <c r="I6674" i="12"/>
  <c r="K6673" i="12"/>
  <c r="J6673" i="12"/>
  <c r="I6673" i="12"/>
  <c r="K6672" i="12"/>
  <c r="J6672" i="12"/>
  <c r="I6672" i="12"/>
  <c r="K6671" i="12"/>
  <c r="J6671" i="12"/>
  <c r="I6671" i="12"/>
  <c r="K6670" i="12"/>
  <c r="J6670" i="12"/>
  <c r="I6670" i="12"/>
  <c r="K6669" i="12"/>
  <c r="J6669" i="12"/>
  <c r="I6669" i="12"/>
  <c r="K6668" i="12"/>
  <c r="J6668" i="12"/>
  <c r="I6668" i="12"/>
  <c r="K6667" i="12"/>
  <c r="J6667" i="12"/>
  <c r="I6667" i="12"/>
  <c r="K6666" i="12"/>
  <c r="J6666" i="12"/>
  <c r="I6666" i="12"/>
  <c r="K6665" i="12"/>
  <c r="J6665" i="12"/>
  <c r="I6665" i="12"/>
  <c r="K6664" i="12"/>
  <c r="J6664" i="12"/>
  <c r="I6664" i="12"/>
  <c r="K6663" i="12"/>
  <c r="J6663" i="12"/>
  <c r="I6663" i="12"/>
  <c r="K6662" i="12"/>
  <c r="J6662" i="12"/>
  <c r="I6662" i="12"/>
  <c r="K6661" i="12"/>
  <c r="J6661" i="12"/>
  <c r="I6661" i="12"/>
  <c r="K6660" i="12"/>
  <c r="J6660" i="12"/>
  <c r="I6660" i="12"/>
  <c r="K6659" i="12"/>
  <c r="J6659" i="12"/>
  <c r="I6659" i="12"/>
  <c r="K6658" i="12"/>
  <c r="J6658" i="12"/>
  <c r="I6658" i="12"/>
  <c r="K6657" i="12"/>
  <c r="J6657" i="12"/>
  <c r="I6657" i="12"/>
  <c r="K6656" i="12"/>
  <c r="J6656" i="12"/>
  <c r="I6656" i="12"/>
  <c r="K6655" i="12"/>
  <c r="J6655" i="12"/>
  <c r="I6655" i="12"/>
  <c r="K6654" i="12"/>
  <c r="J6654" i="12"/>
  <c r="I6654" i="12"/>
  <c r="K6653" i="12"/>
  <c r="J6653" i="12"/>
  <c r="I6653" i="12"/>
  <c r="K6652" i="12"/>
  <c r="J6652" i="12"/>
  <c r="I6652" i="12"/>
  <c r="K6651" i="12"/>
  <c r="J6651" i="12"/>
  <c r="I6651" i="12"/>
  <c r="K6650" i="12"/>
  <c r="J6650" i="12"/>
  <c r="I6650" i="12"/>
  <c r="K6649" i="12"/>
  <c r="J6649" i="12"/>
  <c r="I6649" i="12"/>
  <c r="K6648" i="12"/>
  <c r="J6648" i="12"/>
  <c r="I6648" i="12"/>
  <c r="K6647" i="12"/>
  <c r="J6647" i="12"/>
  <c r="I6647" i="12"/>
  <c r="K6646" i="12"/>
  <c r="J6646" i="12"/>
  <c r="I6646" i="12"/>
  <c r="K6645" i="12"/>
  <c r="J6645" i="12"/>
  <c r="I6645" i="12"/>
  <c r="K6644" i="12"/>
  <c r="J6644" i="12"/>
  <c r="I6644" i="12"/>
  <c r="K6643" i="12"/>
  <c r="J6643" i="12"/>
  <c r="I6643" i="12"/>
  <c r="K6642" i="12"/>
  <c r="J6642" i="12"/>
  <c r="I6642" i="12"/>
  <c r="K6641" i="12"/>
  <c r="J6641" i="12"/>
  <c r="I6641" i="12"/>
  <c r="K6640" i="12"/>
  <c r="J6640" i="12"/>
  <c r="I6640" i="12"/>
  <c r="K6639" i="12"/>
  <c r="J6639" i="12"/>
  <c r="I6639" i="12"/>
  <c r="K6638" i="12"/>
  <c r="J6638" i="12"/>
  <c r="I6638" i="12"/>
  <c r="K6637" i="12"/>
  <c r="J6637" i="12"/>
  <c r="I6637" i="12"/>
  <c r="K6636" i="12"/>
  <c r="J6636" i="12"/>
  <c r="I6636" i="12"/>
  <c r="K6635" i="12"/>
  <c r="J6635" i="12"/>
  <c r="I6635" i="12"/>
  <c r="K6634" i="12"/>
  <c r="J6634" i="12"/>
  <c r="I6634" i="12"/>
  <c r="K6633" i="12"/>
  <c r="J6633" i="12"/>
  <c r="I6633" i="12"/>
  <c r="K6632" i="12"/>
  <c r="J6632" i="12"/>
  <c r="I6632" i="12"/>
  <c r="K6631" i="12"/>
  <c r="J6631" i="12"/>
  <c r="I6631" i="12"/>
  <c r="K6630" i="12"/>
  <c r="J6630" i="12"/>
  <c r="I6630" i="12"/>
  <c r="K6629" i="12"/>
  <c r="J6629" i="12"/>
  <c r="I6629" i="12"/>
  <c r="K6628" i="12"/>
  <c r="J6628" i="12"/>
  <c r="I6628" i="12"/>
  <c r="K6627" i="12"/>
  <c r="J6627" i="12"/>
  <c r="I6627" i="12"/>
  <c r="K6626" i="12"/>
  <c r="J6626" i="12"/>
  <c r="I6626" i="12"/>
  <c r="K6625" i="12"/>
  <c r="J6625" i="12"/>
  <c r="I6625" i="12"/>
  <c r="K6624" i="12"/>
  <c r="J6624" i="12"/>
  <c r="I6624" i="12"/>
  <c r="K6623" i="12"/>
  <c r="J6623" i="12"/>
  <c r="I6623" i="12"/>
  <c r="K6622" i="12"/>
  <c r="J6622" i="12"/>
  <c r="I6622" i="12"/>
  <c r="K6621" i="12"/>
  <c r="J6621" i="12"/>
  <c r="I6621" i="12"/>
  <c r="K6620" i="12"/>
  <c r="J6620" i="12"/>
  <c r="I6620" i="12"/>
  <c r="K6619" i="12"/>
  <c r="J6619" i="12"/>
  <c r="I6619" i="12"/>
  <c r="K6618" i="12"/>
  <c r="J6618" i="12"/>
  <c r="I6618" i="12"/>
  <c r="K6617" i="12"/>
  <c r="J6617" i="12"/>
  <c r="I6617" i="12"/>
  <c r="K6616" i="12"/>
  <c r="J6616" i="12"/>
  <c r="I6616" i="12"/>
  <c r="K6615" i="12"/>
  <c r="J6615" i="12"/>
  <c r="I6615" i="12"/>
  <c r="K6614" i="12"/>
  <c r="J6614" i="12"/>
  <c r="I6614" i="12"/>
  <c r="K6613" i="12"/>
  <c r="J6613" i="12"/>
  <c r="I6613" i="12"/>
  <c r="K6612" i="12"/>
  <c r="J6612" i="12"/>
  <c r="I6612" i="12"/>
  <c r="K6611" i="12"/>
  <c r="J6611" i="12"/>
  <c r="I6611" i="12"/>
  <c r="K6610" i="12"/>
  <c r="J6610" i="12"/>
  <c r="I6610" i="12"/>
  <c r="K6609" i="12"/>
  <c r="J6609" i="12"/>
  <c r="I6609" i="12"/>
  <c r="K6608" i="12"/>
  <c r="J6608" i="12"/>
  <c r="I6608" i="12"/>
  <c r="K6607" i="12"/>
  <c r="J6607" i="12"/>
  <c r="I6607" i="12"/>
  <c r="K6606" i="12"/>
  <c r="J6606" i="12"/>
  <c r="I6606" i="12"/>
  <c r="K6605" i="12"/>
  <c r="J6605" i="12"/>
  <c r="I6605" i="12"/>
  <c r="K6604" i="12"/>
  <c r="J6604" i="12"/>
  <c r="I6604" i="12"/>
  <c r="K6603" i="12"/>
  <c r="J6603" i="12"/>
  <c r="I6603" i="12"/>
  <c r="K6602" i="12"/>
  <c r="J6602" i="12"/>
  <c r="I6602" i="12"/>
  <c r="K6601" i="12"/>
  <c r="J6601" i="12"/>
  <c r="I6601" i="12"/>
  <c r="K6600" i="12"/>
  <c r="J6600" i="12"/>
  <c r="I6600" i="12"/>
  <c r="K6599" i="12"/>
  <c r="J6599" i="12"/>
  <c r="I6599" i="12"/>
  <c r="K6598" i="12"/>
  <c r="J6598" i="12"/>
  <c r="I6598" i="12"/>
  <c r="K6597" i="12"/>
  <c r="J6597" i="12"/>
  <c r="I6597" i="12"/>
  <c r="K6596" i="12"/>
  <c r="J6596" i="12"/>
  <c r="I6596" i="12"/>
  <c r="K6595" i="12"/>
  <c r="J6595" i="12"/>
  <c r="I6595" i="12"/>
  <c r="K6594" i="12"/>
  <c r="J6594" i="12"/>
  <c r="I6594" i="12"/>
  <c r="K6593" i="12"/>
  <c r="J6593" i="12"/>
  <c r="I6593" i="12"/>
  <c r="K6592" i="12"/>
  <c r="J6592" i="12"/>
  <c r="I6592" i="12"/>
  <c r="K6591" i="12"/>
  <c r="J6591" i="12"/>
  <c r="I6591" i="12"/>
  <c r="K6590" i="12"/>
  <c r="J6590" i="12"/>
  <c r="I6590" i="12"/>
  <c r="K6589" i="12"/>
  <c r="J6589" i="12"/>
  <c r="I6589" i="12"/>
  <c r="K6588" i="12"/>
  <c r="J6588" i="12"/>
  <c r="I6588" i="12"/>
  <c r="K6587" i="12"/>
  <c r="J6587" i="12"/>
  <c r="I6587" i="12"/>
  <c r="K6586" i="12"/>
  <c r="J6586" i="12"/>
  <c r="I6586" i="12"/>
  <c r="K6585" i="12"/>
  <c r="J6585" i="12"/>
  <c r="I6585" i="12"/>
  <c r="K6584" i="12"/>
  <c r="J6584" i="12"/>
  <c r="I6584" i="12"/>
  <c r="K6583" i="12"/>
  <c r="J6583" i="12"/>
  <c r="I6583" i="12"/>
  <c r="K6582" i="12"/>
  <c r="J6582" i="12"/>
  <c r="I6582" i="12"/>
  <c r="K6581" i="12"/>
  <c r="J6581" i="12"/>
  <c r="I6581" i="12"/>
  <c r="K6580" i="12"/>
  <c r="J6580" i="12"/>
  <c r="I6580" i="12"/>
  <c r="K6579" i="12"/>
  <c r="J6579" i="12"/>
  <c r="I6579" i="12"/>
  <c r="K6578" i="12"/>
  <c r="J6578" i="12"/>
  <c r="I6578" i="12"/>
  <c r="K6577" i="12"/>
  <c r="J6577" i="12"/>
  <c r="I6577" i="12"/>
  <c r="K6576" i="12"/>
  <c r="J6576" i="12"/>
  <c r="I6576" i="12"/>
  <c r="K6575" i="12"/>
  <c r="J6575" i="12"/>
  <c r="I6575" i="12"/>
  <c r="K6574" i="12"/>
  <c r="J6574" i="12"/>
  <c r="I6574" i="12"/>
  <c r="K6573" i="12"/>
  <c r="J6573" i="12"/>
  <c r="I6573" i="12"/>
  <c r="K6572" i="12"/>
  <c r="J6572" i="12"/>
  <c r="I6572" i="12"/>
  <c r="K6571" i="12"/>
  <c r="J6571" i="12"/>
  <c r="I6571" i="12"/>
  <c r="K6570" i="12"/>
  <c r="J6570" i="12"/>
  <c r="I6570" i="12"/>
  <c r="K6569" i="12"/>
  <c r="J6569" i="12"/>
  <c r="I6569" i="12"/>
  <c r="K6568" i="12"/>
  <c r="J6568" i="12"/>
  <c r="I6568" i="12"/>
  <c r="K6567" i="12"/>
  <c r="J6567" i="12"/>
  <c r="I6567" i="12"/>
  <c r="K6566" i="12"/>
  <c r="J6566" i="12"/>
  <c r="I6566" i="12"/>
  <c r="K6565" i="12"/>
  <c r="J6565" i="12"/>
  <c r="I6565" i="12"/>
  <c r="K6564" i="12"/>
  <c r="J6564" i="12"/>
  <c r="I6564" i="12"/>
  <c r="K6563" i="12"/>
  <c r="J6563" i="12"/>
  <c r="I6563" i="12"/>
  <c r="K6562" i="12"/>
  <c r="J6562" i="12"/>
  <c r="I6562" i="12"/>
  <c r="K6561" i="12"/>
  <c r="J6561" i="12"/>
  <c r="I6561" i="12"/>
  <c r="K6560" i="12"/>
  <c r="J6560" i="12"/>
  <c r="I6560" i="12"/>
  <c r="K6559" i="12"/>
  <c r="J6559" i="12"/>
  <c r="I6559" i="12"/>
  <c r="K6558" i="12"/>
  <c r="J6558" i="12"/>
  <c r="I6558" i="12"/>
  <c r="K6557" i="12"/>
  <c r="J6557" i="12"/>
  <c r="I6557" i="12"/>
  <c r="K6556" i="12"/>
  <c r="J6556" i="12"/>
  <c r="I6556" i="12"/>
  <c r="K6555" i="12"/>
  <c r="J6555" i="12"/>
  <c r="I6555" i="12"/>
  <c r="K6554" i="12"/>
  <c r="J6554" i="12"/>
  <c r="I6554" i="12"/>
  <c r="K6553" i="12"/>
  <c r="J6553" i="12"/>
  <c r="I6553" i="12"/>
  <c r="K6552" i="12"/>
  <c r="J6552" i="12"/>
  <c r="I6552" i="12"/>
  <c r="K6551" i="12"/>
  <c r="J6551" i="12"/>
  <c r="I6551" i="12"/>
  <c r="K6550" i="12"/>
  <c r="J6550" i="12"/>
  <c r="I6550" i="12"/>
  <c r="K6549" i="12"/>
  <c r="J6549" i="12"/>
  <c r="I6549" i="12"/>
  <c r="K6548" i="12"/>
  <c r="J6548" i="12"/>
  <c r="I6548" i="12"/>
  <c r="K6547" i="12"/>
  <c r="J6547" i="12"/>
  <c r="I6547" i="12"/>
  <c r="K6546" i="12"/>
  <c r="J6546" i="12"/>
  <c r="I6546" i="12"/>
  <c r="K6545" i="12"/>
  <c r="J6545" i="12"/>
  <c r="I6545" i="12"/>
  <c r="K6544" i="12"/>
  <c r="J6544" i="12"/>
  <c r="I6544" i="12"/>
  <c r="K6543" i="12"/>
  <c r="J6543" i="12"/>
  <c r="I6543" i="12"/>
  <c r="K6542" i="12"/>
  <c r="J6542" i="12"/>
  <c r="I6542" i="12"/>
  <c r="K6541" i="12"/>
  <c r="J6541" i="12"/>
  <c r="I6541" i="12"/>
  <c r="K6540" i="12"/>
  <c r="J6540" i="12"/>
  <c r="I6540" i="12"/>
  <c r="K6539" i="12"/>
  <c r="J6539" i="12"/>
  <c r="I6539" i="12"/>
  <c r="K6538" i="12"/>
  <c r="J6538" i="12"/>
  <c r="I6538" i="12"/>
  <c r="K6537" i="12"/>
  <c r="J6537" i="12"/>
  <c r="I6537" i="12"/>
  <c r="K6536" i="12"/>
  <c r="J6536" i="12"/>
  <c r="I6536" i="12"/>
  <c r="K6535" i="12"/>
  <c r="J6535" i="12"/>
  <c r="I6535" i="12"/>
  <c r="K6534" i="12"/>
  <c r="J6534" i="12"/>
  <c r="I6534" i="12"/>
  <c r="K6533" i="12"/>
  <c r="J6533" i="12"/>
  <c r="I6533" i="12"/>
  <c r="K6532" i="12"/>
  <c r="J6532" i="12"/>
  <c r="I6532" i="12"/>
  <c r="K6531" i="12"/>
  <c r="J6531" i="12"/>
  <c r="I6531" i="12"/>
  <c r="K6530" i="12"/>
  <c r="J6530" i="12"/>
  <c r="I6530" i="12"/>
  <c r="K6529" i="12"/>
  <c r="J6529" i="12"/>
  <c r="I6529" i="12"/>
  <c r="K6528" i="12"/>
  <c r="J6528" i="12"/>
  <c r="I6528" i="12"/>
  <c r="K6527" i="12"/>
  <c r="J6527" i="12"/>
  <c r="I6527" i="12"/>
  <c r="K6526" i="12"/>
  <c r="J6526" i="12"/>
  <c r="I6526" i="12"/>
  <c r="K6525" i="12"/>
  <c r="J6525" i="12"/>
  <c r="I6525" i="12"/>
  <c r="K6524" i="12"/>
  <c r="J6524" i="12"/>
  <c r="I6524" i="12"/>
  <c r="K6523" i="12"/>
  <c r="J6523" i="12"/>
  <c r="I6523" i="12"/>
  <c r="K6522" i="12"/>
  <c r="J6522" i="12"/>
  <c r="I6522" i="12"/>
  <c r="K6521" i="12"/>
  <c r="J6521" i="12"/>
  <c r="I6521" i="12"/>
  <c r="K6520" i="12"/>
  <c r="J6520" i="12"/>
  <c r="I6520" i="12"/>
  <c r="K6519" i="12"/>
  <c r="J6519" i="12"/>
  <c r="I6519" i="12"/>
  <c r="K6518" i="12"/>
  <c r="J6518" i="12"/>
  <c r="I6518" i="12"/>
  <c r="K6517" i="12"/>
  <c r="J6517" i="12"/>
  <c r="I6517" i="12"/>
  <c r="K6516" i="12"/>
  <c r="J6516" i="12"/>
  <c r="I6516" i="12"/>
  <c r="K6515" i="12"/>
  <c r="J6515" i="12"/>
  <c r="I6515" i="12"/>
  <c r="K6514" i="12"/>
  <c r="J6514" i="12"/>
  <c r="I6514" i="12"/>
  <c r="K6513" i="12"/>
  <c r="J6513" i="12"/>
  <c r="I6513" i="12"/>
  <c r="K6512" i="12"/>
  <c r="J6512" i="12"/>
  <c r="I6512" i="12"/>
  <c r="K6511" i="12"/>
  <c r="J6511" i="12"/>
  <c r="I6511" i="12"/>
  <c r="K6510" i="12"/>
  <c r="J6510" i="12"/>
  <c r="I6510" i="12"/>
  <c r="K6509" i="12"/>
  <c r="J6509" i="12"/>
  <c r="I6509" i="12"/>
  <c r="K6508" i="12"/>
  <c r="J6508" i="12"/>
  <c r="I6508" i="12"/>
  <c r="K6507" i="12"/>
  <c r="J6507" i="12"/>
  <c r="I6507" i="12"/>
  <c r="K6506" i="12"/>
  <c r="J6506" i="12"/>
  <c r="I6506" i="12"/>
  <c r="K6505" i="12"/>
  <c r="J6505" i="12"/>
  <c r="I6505" i="12"/>
  <c r="K6504" i="12"/>
  <c r="J6504" i="12"/>
  <c r="I6504" i="12"/>
  <c r="K6503" i="12"/>
  <c r="J6503" i="12"/>
  <c r="I6503" i="12"/>
  <c r="K6502" i="12"/>
  <c r="J6502" i="12"/>
  <c r="I6502" i="12"/>
  <c r="K6501" i="12"/>
  <c r="J6501" i="12"/>
  <c r="I6501" i="12"/>
  <c r="K6500" i="12"/>
  <c r="J6500" i="12"/>
  <c r="I6500" i="12"/>
  <c r="K6499" i="12"/>
  <c r="J6499" i="12"/>
  <c r="I6499" i="12"/>
  <c r="K6498" i="12"/>
  <c r="J6498" i="12"/>
  <c r="I6498" i="12"/>
  <c r="K6497" i="12"/>
  <c r="J6497" i="12"/>
  <c r="I6497" i="12"/>
  <c r="K6496" i="12"/>
  <c r="J6496" i="12"/>
  <c r="I6496" i="12"/>
  <c r="K6495" i="12"/>
  <c r="J6495" i="12"/>
  <c r="I6495" i="12"/>
  <c r="K6494" i="12"/>
  <c r="J6494" i="12"/>
  <c r="I6494" i="12"/>
  <c r="K6493" i="12"/>
  <c r="J6493" i="12"/>
  <c r="I6493" i="12"/>
  <c r="K6492" i="12"/>
  <c r="J6492" i="12"/>
  <c r="I6492" i="12"/>
  <c r="K6491" i="12"/>
  <c r="J6491" i="12"/>
  <c r="I6491" i="12"/>
  <c r="K6490" i="12"/>
  <c r="J6490" i="12"/>
  <c r="I6490" i="12"/>
  <c r="K6489" i="12"/>
  <c r="J6489" i="12"/>
  <c r="I6489" i="12"/>
  <c r="K6488" i="12"/>
  <c r="J6488" i="12"/>
  <c r="I6488" i="12"/>
  <c r="K6487" i="12"/>
  <c r="J6487" i="12"/>
  <c r="I6487" i="12"/>
  <c r="K6486" i="12"/>
  <c r="J6486" i="12"/>
  <c r="I6486" i="12"/>
  <c r="K6485" i="12"/>
  <c r="J6485" i="12"/>
  <c r="I6485" i="12"/>
  <c r="K6484" i="12"/>
  <c r="J6484" i="12"/>
  <c r="I6484" i="12"/>
  <c r="K6483" i="12"/>
  <c r="J6483" i="12"/>
  <c r="I6483" i="12"/>
  <c r="K6482" i="12"/>
  <c r="J6482" i="12"/>
  <c r="I6482" i="12"/>
  <c r="K6481" i="12"/>
  <c r="J6481" i="12"/>
  <c r="I6481" i="12"/>
  <c r="K6480" i="12"/>
  <c r="J6480" i="12"/>
  <c r="I6480" i="12"/>
  <c r="K6479" i="12"/>
  <c r="J6479" i="12"/>
  <c r="I6479" i="12"/>
  <c r="K6478" i="12"/>
  <c r="J6478" i="12"/>
  <c r="I6478" i="12"/>
  <c r="K6477" i="12"/>
  <c r="J6477" i="12"/>
  <c r="I6477" i="12"/>
  <c r="K6476" i="12"/>
  <c r="J6476" i="12"/>
  <c r="I6476" i="12"/>
  <c r="K6475" i="12"/>
  <c r="J6475" i="12"/>
  <c r="I6475" i="12"/>
  <c r="K6474" i="12"/>
  <c r="J6474" i="12"/>
  <c r="I6474" i="12"/>
  <c r="K6473" i="12"/>
  <c r="J6473" i="12"/>
  <c r="I6473" i="12"/>
  <c r="K6472" i="12"/>
  <c r="J6472" i="12"/>
  <c r="I6472" i="12"/>
  <c r="K6471" i="12"/>
  <c r="J6471" i="12"/>
  <c r="I6471" i="12"/>
  <c r="K6470" i="12"/>
  <c r="J6470" i="12"/>
  <c r="I6470" i="12"/>
  <c r="K6469" i="12"/>
  <c r="J6469" i="12"/>
  <c r="I6469" i="12"/>
  <c r="K6468" i="12"/>
  <c r="J6468" i="12"/>
  <c r="I6468" i="12"/>
  <c r="K6467" i="12"/>
  <c r="J6467" i="12"/>
  <c r="I6467" i="12"/>
  <c r="K6466" i="12"/>
  <c r="J6466" i="12"/>
  <c r="I6466" i="12"/>
  <c r="K6465" i="12"/>
  <c r="J6465" i="12"/>
  <c r="I6465" i="12"/>
  <c r="K6464" i="12"/>
  <c r="J6464" i="12"/>
  <c r="I6464" i="12"/>
  <c r="K6463" i="12"/>
  <c r="J6463" i="12"/>
  <c r="I6463" i="12"/>
  <c r="K6462" i="12"/>
  <c r="J6462" i="12"/>
  <c r="I6462" i="12"/>
  <c r="K6461" i="12"/>
  <c r="J6461" i="12"/>
  <c r="I6461" i="12"/>
  <c r="K6460" i="12"/>
  <c r="J6460" i="12"/>
  <c r="I6460" i="12"/>
  <c r="K6459" i="12"/>
  <c r="J6459" i="12"/>
  <c r="I6459" i="12"/>
  <c r="K6458" i="12"/>
  <c r="J6458" i="12"/>
  <c r="I6458" i="12"/>
  <c r="K6457" i="12"/>
  <c r="J6457" i="12"/>
  <c r="I6457" i="12"/>
  <c r="K6456" i="12"/>
  <c r="J6456" i="12"/>
  <c r="I6456" i="12"/>
  <c r="K6455" i="12"/>
  <c r="J6455" i="12"/>
  <c r="I6455" i="12"/>
  <c r="K6454" i="12"/>
  <c r="J6454" i="12"/>
  <c r="I6454" i="12"/>
  <c r="K6453" i="12"/>
  <c r="J6453" i="12"/>
  <c r="I6453" i="12"/>
  <c r="K6452" i="12"/>
  <c r="J6452" i="12"/>
  <c r="I6452" i="12"/>
  <c r="K6451" i="12"/>
  <c r="J6451" i="12"/>
  <c r="I6451" i="12"/>
  <c r="K6450" i="12"/>
  <c r="J6450" i="12"/>
  <c r="I6450" i="12"/>
  <c r="K6449" i="12"/>
  <c r="J6449" i="12"/>
  <c r="I6449" i="12"/>
  <c r="K6448" i="12"/>
  <c r="J6448" i="12"/>
  <c r="I6448" i="12"/>
  <c r="K6447" i="12"/>
  <c r="J6447" i="12"/>
  <c r="I6447" i="12"/>
  <c r="K6446" i="12"/>
  <c r="J6446" i="12"/>
  <c r="I6446" i="12"/>
  <c r="K6445" i="12"/>
  <c r="J6445" i="12"/>
  <c r="I6445" i="12"/>
  <c r="K6444" i="12"/>
  <c r="J6444" i="12"/>
  <c r="I6444" i="12"/>
  <c r="K6443" i="12"/>
  <c r="J6443" i="12"/>
  <c r="I6443" i="12"/>
  <c r="K6442" i="12"/>
  <c r="J6442" i="12"/>
  <c r="I6442" i="12"/>
  <c r="K6441" i="12"/>
  <c r="J6441" i="12"/>
  <c r="I6441" i="12"/>
  <c r="K6440" i="12"/>
  <c r="J6440" i="12"/>
  <c r="I6440" i="12"/>
  <c r="K6439" i="12"/>
  <c r="J6439" i="12"/>
  <c r="I6439" i="12"/>
  <c r="K6438" i="12"/>
  <c r="J6438" i="12"/>
  <c r="I6438" i="12"/>
  <c r="K6437" i="12"/>
  <c r="J6437" i="12"/>
  <c r="I6437" i="12"/>
  <c r="K6436" i="12"/>
  <c r="J6436" i="12"/>
  <c r="I6436" i="12"/>
  <c r="K6435" i="12"/>
  <c r="J6435" i="12"/>
  <c r="I6435" i="12"/>
  <c r="K6434" i="12"/>
  <c r="J6434" i="12"/>
  <c r="I6434" i="12"/>
  <c r="K6433" i="12"/>
  <c r="J6433" i="12"/>
  <c r="I6433" i="12"/>
  <c r="K6432" i="12"/>
  <c r="J6432" i="12"/>
  <c r="I6432" i="12"/>
  <c r="K6431" i="12"/>
  <c r="J6431" i="12"/>
  <c r="I6431" i="12"/>
  <c r="K6430" i="12"/>
  <c r="J6430" i="12"/>
  <c r="I6430" i="12"/>
  <c r="K6429" i="12"/>
  <c r="J6429" i="12"/>
  <c r="I6429" i="12"/>
  <c r="K6428" i="12"/>
  <c r="J6428" i="12"/>
  <c r="I6428" i="12"/>
  <c r="K6427" i="12"/>
  <c r="J6427" i="12"/>
  <c r="I6427" i="12"/>
  <c r="K6426" i="12"/>
  <c r="J6426" i="12"/>
  <c r="I6426" i="12"/>
  <c r="K6425" i="12"/>
  <c r="J6425" i="12"/>
  <c r="I6425" i="12"/>
  <c r="K6424" i="12"/>
  <c r="J6424" i="12"/>
  <c r="I6424" i="12"/>
  <c r="K6423" i="12"/>
  <c r="J6423" i="12"/>
  <c r="I6423" i="12"/>
  <c r="K6422" i="12"/>
  <c r="J6422" i="12"/>
  <c r="I6422" i="12"/>
  <c r="K6421" i="12"/>
  <c r="J6421" i="12"/>
  <c r="I6421" i="12"/>
  <c r="K6420" i="12"/>
  <c r="J6420" i="12"/>
  <c r="I6420" i="12"/>
  <c r="K6419" i="12"/>
  <c r="J6419" i="12"/>
  <c r="I6419" i="12"/>
  <c r="K6418" i="12"/>
  <c r="J6418" i="12"/>
  <c r="I6418" i="12"/>
  <c r="K6417" i="12"/>
  <c r="J6417" i="12"/>
  <c r="I6417" i="12"/>
  <c r="K6416" i="12"/>
  <c r="J6416" i="12"/>
  <c r="I6416" i="12"/>
  <c r="K6415" i="12"/>
  <c r="J6415" i="12"/>
  <c r="I6415" i="12"/>
  <c r="K6414" i="12"/>
  <c r="J6414" i="12"/>
  <c r="I6414" i="12"/>
  <c r="K6413" i="12"/>
  <c r="J6413" i="12"/>
  <c r="I6413" i="12"/>
  <c r="K6412" i="12"/>
  <c r="J6412" i="12"/>
  <c r="I6412" i="12"/>
  <c r="K6411" i="12"/>
  <c r="J6411" i="12"/>
  <c r="I6411" i="12"/>
  <c r="K6410" i="12"/>
  <c r="J6410" i="12"/>
  <c r="I6410" i="12"/>
  <c r="K6409" i="12"/>
  <c r="J6409" i="12"/>
  <c r="I6409" i="12"/>
  <c r="K6408" i="12"/>
  <c r="J6408" i="12"/>
  <c r="I6408" i="12"/>
  <c r="K6407" i="12"/>
  <c r="J6407" i="12"/>
  <c r="I6407" i="12"/>
  <c r="K6406" i="12"/>
  <c r="J6406" i="12"/>
  <c r="I6406" i="12"/>
  <c r="K6405" i="12"/>
  <c r="J6405" i="12"/>
  <c r="I6405" i="12"/>
  <c r="K6404" i="12"/>
  <c r="J6404" i="12"/>
  <c r="I6404" i="12"/>
  <c r="K6403" i="12"/>
  <c r="J6403" i="12"/>
  <c r="I6403" i="12"/>
  <c r="K6402" i="12"/>
  <c r="J6402" i="12"/>
  <c r="I6402" i="12"/>
  <c r="K6401" i="12"/>
  <c r="J6401" i="12"/>
  <c r="I6401" i="12"/>
  <c r="K6400" i="12"/>
  <c r="J6400" i="12"/>
  <c r="I6400" i="12"/>
  <c r="K6399" i="12"/>
  <c r="J6399" i="12"/>
  <c r="I6399" i="12"/>
  <c r="K6398" i="12"/>
  <c r="J6398" i="12"/>
  <c r="I6398" i="12"/>
  <c r="K6397" i="12"/>
  <c r="J6397" i="12"/>
  <c r="I6397" i="12"/>
  <c r="K6396" i="12"/>
  <c r="J6396" i="12"/>
  <c r="I6396" i="12"/>
  <c r="K6395" i="12"/>
  <c r="J6395" i="12"/>
  <c r="I6395" i="12"/>
  <c r="K6394" i="12"/>
  <c r="J6394" i="12"/>
  <c r="I6394" i="12"/>
  <c r="K6393" i="12"/>
  <c r="J6393" i="12"/>
  <c r="I6393" i="12"/>
  <c r="K6392" i="12"/>
  <c r="J6392" i="12"/>
  <c r="I6392" i="12"/>
  <c r="K6391" i="12"/>
  <c r="J6391" i="12"/>
  <c r="I6391" i="12"/>
  <c r="K6390" i="12"/>
  <c r="J6390" i="12"/>
  <c r="I6390" i="12"/>
  <c r="K6389" i="12"/>
  <c r="J6389" i="12"/>
  <c r="I6389" i="12"/>
  <c r="K6388" i="12"/>
  <c r="J6388" i="12"/>
  <c r="I6388" i="12"/>
  <c r="K6387" i="12"/>
  <c r="J6387" i="12"/>
  <c r="I6387" i="12"/>
  <c r="K6386" i="12"/>
  <c r="J6386" i="12"/>
  <c r="I6386" i="12"/>
  <c r="K6385" i="12"/>
  <c r="J6385" i="12"/>
  <c r="I6385" i="12"/>
  <c r="K6384" i="12"/>
  <c r="J6384" i="12"/>
  <c r="I6384" i="12"/>
  <c r="K6383" i="12"/>
  <c r="J6383" i="12"/>
  <c r="I6383" i="12"/>
  <c r="K6382" i="12"/>
  <c r="J6382" i="12"/>
  <c r="I6382" i="12"/>
  <c r="K6381" i="12"/>
  <c r="J6381" i="12"/>
  <c r="I6381" i="12"/>
  <c r="K6380" i="12"/>
  <c r="J6380" i="12"/>
  <c r="I6380" i="12"/>
  <c r="K6379" i="12"/>
  <c r="J6379" i="12"/>
  <c r="I6379" i="12"/>
  <c r="K6378" i="12"/>
  <c r="J6378" i="12"/>
  <c r="I6378" i="12"/>
  <c r="K6377" i="12"/>
  <c r="J6377" i="12"/>
  <c r="I6377" i="12"/>
  <c r="K6376" i="12"/>
  <c r="J6376" i="12"/>
  <c r="I6376" i="12"/>
  <c r="K6375" i="12"/>
  <c r="J6375" i="12"/>
  <c r="I6375" i="12"/>
  <c r="K6374" i="12"/>
  <c r="J6374" i="12"/>
  <c r="I6374" i="12"/>
  <c r="K6373" i="12"/>
  <c r="J6373" i="12"/>
  <c r="I6373" i="12"/>
  <c r="K6372" i="12"/>
  <c r="J6372" i="12"/>
  <c r="I6372" i="12"/>
  <c r="K6371" i="12"/>
  <c r="J6371" i="12"/>
  <c r="I6371" i="12"/>
  <c r="K6370" i="12"/>
  <c r="J6370" i="12"/>
  <c r="I6370" i="12"/>
  <c r="K6369" i="12"/>
  <c r="J6369" i="12"/>
  <c r="I6369" i="12"/>
  <c r="K6368" i="12"/>
  <c r="J6368" i="12"/>
  <c r="I6368" i="12"/>
  <c r="K6367" i="12"/>
  <c r="J6367" i="12"/>
  <c r="I6367" i="12"/>
  <c r="K6366" i="12"/>
  <c r="J6366" i="12"/>
  <c r="I6366" i="12"/>
  <c r="K6365" i="12"/>
  <c r="J6365" i="12"/>
  <c r="I6365" i="12"/>
  <c r="K6364" i="12"/>
  <c r="J6364" i="12"/>
  <c r="I6364" i="12"/>
  <c r="K6363" i="12"/>
  <c r="J6363" i="12"/>
  <c r="I6363" i="12"/>
  <c r="K6362" i="12"/>
  <c r="J6362" i="12"/>
  <c r="I6362" i="12"/>
  <c r="K6361" i="12"/>
  <c r="J6361" i="12"/>
  <c r="I6361" i="12"/>
  <c r="K6360" i="12"/>
  <c r="J6360" i="12"/>
  <c r="I6360" i="12"/>
  <c r="K6359" i="12"/>
  <c r="J6359" i="12"/>
  <c r="I6359" i="12"/>
  <c r="K6358" i="12"/>
  <c r="J6358" i="12"/>
  <c r="I6358" i="12"/>
  <c r="K6357" i="12"/>
  <c r="J6357" i="12"/>
  <c r="I6357" i="12"/>
  <c r="K6356" i="12"/>
  <c r="J6356" i="12"/>
  <c r="I6356" i="12"/>
  <c r="K6355" i="12"/>
  <c r="J6355" i="12"/>
  <c r="I6355" i="12"/>
  <c r="K6354" i="12"/>
  <c r="J6354" i="12"/>
  <c r="I6354" i="12"/>
  <c r="K6353" i="12"/>
  <c r="J6353" i="12"/>
  <c r="I6353" i="12"/>
  <c r="K6352" i="12"/>
  <c r="J6352" i="12"/>
  <c r="I6352" i="12"/>
  <c r="K6351" i="12"/>
  <c r="J6351" i="12"/>
  <c r="I6351" i="12"/>
  <c r="K6350" i="12"/>
  <c r="J6350" i="12"/>
  <c r="I6350" i="12"/>
  <c r="K6349" i="12"/>
  <c r="J6349" i="12"/>
  <c r="I6349" i="12"/>
  <c r="K6348" i="12"/>
  <c r="J6348" i="12"/>
  <c r="I6348" i="12"/>
  <c r="K6347" i="12"/>
  <c r="J6347" i="12"/>
  <c r="I6347" i="12"/>
  <c r="K6346" i="12"/>
  <c r="J6346" i="12"/>
  <c r="I6346" i="12"/>
  <c r="K6345" i="12"/>
  <c r="J6345" i="12"/>
  <c r="I6345" i="12"/>
  <c r="K6344" i="12"/>
  <c r="J6344" i="12"/>
  <c r="I6344" i="12"/>
  <c r="K6343" i="12"/>
  <c r="J6343" i="12"/>
  <c r="I6343" i="12"/>
  <c r="K6342" i="12"/>
  <c r="J6342" i="12"/>
  <c r="I6342" i="12"/>
  <c r="K6341" i="12"/>
  <c r="J6341" i="12"/>
  <c r="I6341" i="12"/>
  <c r="K6340" i="12"/>
  <c r="J6340" i="12"/>
  <c r="I6340" i="12"/>
  <c r="K6339" i="12"/>
  <c r="J6339" i="12"/>
  <c r="I6339" i="12"/>
  <c r="K6338" i="12"/>
  <c r="J6338" i="12"/>
  <c r="I6338" i="12"/>
  <c r="K6337" i="12"/>
  <c r="J6337" i="12"/>
  <c r="I6337" i="12"/>
  <c r="K6336" i="12"/>
  <c r="J6336" i="12"/>
  <c r="I6336" i="12"/>
  <c r="K6335" i="12"/>
  <c r="J6335" i="12"/>
  <c r="I6335" i="12"/>
  <c r="K6334" i="12"/>
  <c r="J6334" i="12"/>
  <c r="I6334" i="12"/>
  <c r="K6333" i="12"/>
  <c r="J6333" i="12"/>
  <c r="I6333" i="12"/>
  <c r="K6332" i="12"/>
  <c r="J6332" i="12"/>
  <c r="I6332" i="12"/>
  <c r="K6331" i="12"/>
  <c r="J6331" i="12"/>
  <c r="I6331" i="12"/>
  <c r="K6330" i="12"/>
  <c r="J6330" i="12"/>
  <c r="I6330" i="12"/>
  <c r="K6329" i="12"/>
  <c r="J6329" i="12"/>
  <c r="I6329" i="12"/>
  <c r="K6328" i="12"/>
  <c r="J6328" i="12"/>
  <c r="I6328" i="12"/>
  <c r="K6327" i="12"/>
  <c r="J6327" i="12"/>
  <c r="I6327" i="12"/>
  <c r="K6326" i="12"/>
  <c r="J6326" i="12"/>
  <c r="I6326" i="12"/>
  <c r="K6325" i="12"/>
  <c r="J6325" i="12"/>
  <c r="I6325" i="12"/>
  <c r="K6324" i="12"/>
  <c r="J6324" i="12"/>
  <c r="I6324" i="12"/>
  <c r="K6323" i="12"/>
  <c r="J6323" i="12"/>
  <c r="I6323" i="12"/>
  <c r="K6322" i="12"/>
  <c r="J6322" i="12"/>
  <c r="I6322" i="12"/>
  <c r="K6321" i="12"/>
  <c r="J6321" i="12"/>
  <c r="I6321" i="12"/>
  <c r="K6320" i="12"/>
  <c r="J6320" i="12"/>
  <c r="I6320" i="12"/>
  <c r="K6319" i="12"/>
  <c r="J6319" i="12"/>
  <c r="I6319" i="12"/>
  <c r="K6318" i="12"/>
  <c r="J6318" i="12"/>
  <c r="I6318" i="12"/>
  <c r="K6317" i="12"/>
  <c r="J6317" i="12"/>
  <c r="I6317" i="12"/>
  <c r="K6316" i="12"/>
  <c r="J6316" i="12"/>
  <c r="I6316" i="12"/>
  <c r="K6315" i="12"/>
  <c r="J6315" i="12"/>
  <c r="I6315" i="12"/>
  <c r="K6314" i="12"/>
  <c r="J6314" i="12"/>
  <c r="I6314" i="12"/>
  <c r="K6313" i="12"/>
  <c r="J6313" i="12"/>
  <c r="I6313" i="12"/>
  <c r="K6312" i="12"/>
  <c r="J6312" i="12"/>
  <c r="I6312" i="12"/>
  <c r="K6311" i="12"/>
  <c r="J6311" i="12"/>
  <c r="I6311" i="12"/>
  <c r="K6310" i="12"/>
  <c r="J6310" i="12"/>
  <c r="I6310" i="12"/>
  <c r="K6309" i="12"/>
  <c r="J6309" i="12"/>
  <c r="I6309" i="12"/>
  <c r="K6308" i="12"/>
  <c r="J6308" i="12"/>
  <c r="I6308" i="12"/>
  <c r="K6307" i="12"/>
  <c r="J6307" i="12"/>
  <c r="I6307" i="12"/>
  <c r="K6306" i="12"/>
  <c r="J6306" i="12"/>
  <c r="I6306" i="12"/>
  <c r="K6305" i="12"/>
  <c r="J6305" i="12"/>
  <c r="I6305" i="12"/>
  <c r="K6304" i="12"/>
  <c r="J6304" i="12"/>
  <c r="I6304" i="12"/>
  <c r="K6303" i="12"/>
  <c r="J6303" i="12"/>
  <c r="I6303" i="12"/>
  <c r="K6302" i="12"/>
  <c r="J6302" i="12"/>
  <c r="I6302" i="12"/>
  <c r="K6301" i="12"/>
  <c r="J6301" i="12"/>
  <c r="I6301" i="12"/>
  <c r="K6300" i="12"/>
  <c r="J6300" i="12"/>
  <c r="I6300" i="12"/>
  <c r="K6299" i="12"/>
  <c r="J6299" i="12"/>
  <c r="I6299" i="12"/>
  <c r="K6298" i="12"/>
  <c r="J6298" i="12"/>
  <c r="I6298" i="12"/>
  <c r="K6297" i="12"/>
  <c r="J6297" i="12"/>
  <c r="I6297" i="12"/>
  <c r="K6296" i="12"/>
  <c r="J6296" i="12"/>
  <c r="I6296" i="12"/>
  <c r="K6295" i="12"/>
  <c r="J6295" i="12"/>
  <c r="I6295" i="12"/>
  <c r="K6294" i="12"/>
  <c r="J6294" i="12"/>
  <c r="I6294" i="12"/>
  <c r="K6293" i="12"/>
  <c r="J6293" i="12"/>
  <c r="I6293" i="12"/>
  <c r="K6292" i="12"/>
  <c r="J6292" i="12"/>
  <c r="I6292" i="12"/>
  <c r="K6291" i="12"/>
  <c r="J6291" i="12"/>
  <c r="I6291" i="12"/>
  <c r="K6290" i="12"/>
  <c r="J6290" i="12"/>
  <c r="I6290" i="12"/>
  <c r="K6289" i="12"/>
  <c r="J6289" i="12"/>
  <c r="I6289" i="12"/>
  <c r="K6288" i="12"/>
  <c r="J6288" i="12"/>
  <c r="I6288" i="12"/>
  <c r="K6287" i="12"/>
  <c r="J6287" i="12"/>
  <c r="I6287" i="12"/>
  <c r="K6286" i="12"/>
  <c r="J6286" i="12"/>
  <c r="I6286" i="12"/>
  <c r="K6285" i="12"/>
  <c r="J6285" i="12"/>
  <c r="I6285" i="12"/>
  <c r="K6284" i="12"/>
  <c r="J6284" i="12"/>
  <c r="I6284" i="12"/>
  <c r="K6283" i="12"/>
  <c r="J6283" i="12"/>
  <c r="I6283" i="12"/>
  <c r="K6282" i="12"/>
  <c r="J6282" i="12"/>
  <c r="I6282" i="12"/>
  <c r="K6281" i="12"/>
  <c r="J6281" i="12"/>
  <c r="I6281" i="12"/>
  <c r="K6280" i="12"/>
  <c r="J6280" i="12"/>
  <c r="I6280" i="12"/>
  <c r="K6279" i="12"/>
  <c r="J6279" i="12"/>
  <c r="I6279" i="12"/>
  <c r="K6278" i="12"/>
  <c r="J6278" i="12"/>
  <c r="I6278" i="12"/>
  <c r="K6277" i="12"/>
  <c r="J6277" i="12"/>
  <c r="I6277" i="12"/>
  <c r="K6276" i="12"/>
  <c r="J6276" i="12"/>
  <c r="I6276" i="12"/>
  <c r="K6275" i="12"/>
  <c r="J6275" i="12"/>
  <c r="I6275" i="12"/>
  <c r="K6274" i="12"/>
  <c r="J6274" i="12"/>
  <c r="I6274" i="12"/>
  <c r="K6273" i="12"/>
  <c r="J6273" i="12"/>
  <c r="I6273" i="12"/>
  <c r="K6272" i="12"/>
  <c r="J6272" i="12"/>
  <c r="I6272" i="12"/>
  <c r="K6271" i="12"/>
  <c r="J6271" i="12"/>
  <c r="I6271" i="12"/>
  <c r="K6270" i="12"/>
  <c r="J6270" i="12"/>
  <c r="I6270" i="12"/>
  <c r="K6269" i="12"/>
  <c r="J6269" i="12"/>
  <c r="I6269" i="12"/>
  <c r="K6268" i="12"/>
  <c r="J6268" i="12"/>
  <c r="I6268" i="12"/>
  <c r="K6267" i="12"/>
  <c r="J6267" i="12"/>
  <c r="I6267" i="12"/>
  <c r="K6266" i="12"/>
  <c r="J6266" i="12"/>
  <c r="I6266" i="12"/>
  <c r="K6265" i="12"/>
  <c r="J6265" i="12"/>
  <c r="I6265" i="12"/>
  <c r="K6264" i="12"/>
  <c r="J6264" i="12"/>
  <c r="I6264" i="12"/>
  <c r="K6263" i="12"/>
  <c r="J6263" i="12"/>
  <c r="I6263" i="12"/>
  <c r="K6262" i="12"/>
  <c r="J6262" i="12"/>
  <c r="I6262" i="12"/>
  <c r="K6261" i="12"/>
  <c r="J6261" i="12"/>
  <c r="I6261" i="12"/>
  <c r="K6260" i="12"/>
  <c r="J6260" i="12"/>
  <c r="I6260" i="12"/>
  <c r="K6259" i="12"/>
  <c r="J6259" i="12"/>
  <c r="I6259" i="12"/>
  <c r="K6258" i="12"/>
  <c r="J6258" i="12"/>
  <c r="I6258" i="12"/>
  <c r="K6257" i="12"/>
  <c r="J6257" i="12"/>
  <c r="I6257" i="12"/>
  <c r="K6256" i="12"/>
  <c r="J6256" i="12"/>
  <c r="I6256" i="12"/>
  <c r="K6255" i="12"/>
  <c r="J6255" i="12"/>
  <c r="I6255" i="12"/>
  <c r="K6254" i="12"/>
  <c r="J6254" i="12"/>
  <c r="I6254" i="12"/>
  <c r="K6253" i="12"/>
  <c r="J6253" i="12"/>
  <c r="I6253" i="12"/>
  <c r="K6252" i="12"/>
  <c r="J6252" i="12"/>
  <c r="I6252" i="12"/>
  <c r="K6251" i="12"/>
  <c r="J6251" i="12"/>
  <c r="I6251" i="12"/>
  <c r="K6250" i="12"/>
  <c r="J6250" i="12"/>
  <c r="I6250" i="12"/>
  <c r="K6249" i="12"/>
  <c r="J6249" i="12"/>
  <c r="I6249" i="12"/>
  <c r="K6248" i="12"/>
  <c r="J6248" i="12"/>
  <c r="I6248" i="12"/>
  <c r="K6247" i="12"/>
  <c r="J6247" i="12"/>
  <c r="I6247" i="12"/>
  <c r="K6246" i="12"/>
  <c r="J6246" i="12"/>
  <c r="I6246" i="12"/>
  <c r="K6245" i="12"/>
  <c r="J6245" i="12"/>
  <c r="I6245" i="12"/>
  <c r="K6244" i="12"/>
  <c r="J6244" i="12"/>
  <c r="I6244" i="12"/>
  <c r="K6243" i="12"/>
  <c r="J6243" i="12"/>
  <c r="I6243" i="12"/>
  <c r="K6242" i="12"/>
  <c r="J6242" i="12"/>
  <c r="I6242" i="12"/>
  <c r="K6241" i="12"/>
  <c r="J6241" i="12"/>
  <c r="I6241" i="12"/>
  <c r="K6240" i="12"/>
  <c r="J6240" i="12"/>
  <c r="I6240" i="12"/>
  <c r="K6239" i="12"/>
  <c r="J6239" i="12"/>
  <c r="I6239" i="12"/>
  <c r="K6238" i="12"/>
  <c r="J6238" i="12"/>
  <c r="I6238" i="12"/>
  <c r="K6237" i="12"/>
  <c r="J6237" i="12"/>
  <c r="I6237" i="12"/>
  <c r="K6236" i="12"/>
  <c r="J6236" i="12"/>
  <c r="I6236" i="12"/>
  <c r="K6235" i="12"/>
  <c r="J6235" i="12"/>
  <c r="I6235" i="12"/>
  <c r="K6234" i="12"/>
  <c r="J6234" i="12"/>
  <c r="I6234" i="12"/>
  <c r="K6233" i="12"/>
  <c r="J6233" i="12"/>
  <c r="I6233" i="12"/>
  <c r="K6232" i="12"/>
  <c r="J6232" i="12"/>
  <c r="I6232" i="12"/>
  <c r="K6231" i="12"/>
  <c r="J6231" i="12"/>
  <c r="I6231" i="12"/>
  <c r="K6230" i="12"/>
  <c r="J6230" i="12"/>
  <c r="I6230" i="12"/>
  <c r="K6229" i="12"/>
  <c r="J6229" i="12"/>
  <c r="I6229" i="12"/>
  <c r="K6228" i="12"/>
  <c r="J6228" i="12"/>
  <c r="I6228" i="12"/>
  <c r="K6227" i="12"/>
  <c r="J6227" i="12"/>
  <c r="I6227" i="12"/>
  <c r="K6226" i="12"/>
  <c r="J6226" i="12"/>
  <c r="I6226" i="12"/>
  <c r="K6225" i="12"/>
  <c r="J6225" i="12"/>
  <c r="I6225" i="12"/>
  <c r="K6224" i="12"/>
  <c r="J6224" i="12"/>
  <c r="I6224" i="12"/>
  <c r="K6223" i="12"/>
  <c r="J6223" i="12"/>
  <c r="I6223" i="12"/>
  <c r="K6222" i="12"/>
  <c r="J6222" i="12"/>
  <c r="I6222" i="12"/>
  <c r="K6221" i="12"/>
  <c r="J6221" i="12"/>
  <c r="I6221" i="12"/>
  <c r="K6220" i="12"/>
  <c r="J6220" i="12"/>
  <c r="I6220" i="12"/>
  <c r="K6219" i="12"/>
  <c r="J6219" i="12"/>
  <c r="I6219" i="12"/>
  <c r="K6218" i="12"/>
  <c r="J6218" i="12"/>
  <c r="I6218" i="12"/>
  <c r="K6217" i="12"/>
  <c r="J6217" i="12"/>
  <c r="I6217" i="12"/>
  <c r="K6216" i="12"/>
  <c r="J6216" i="12"/>
  <c r="I6216" i="12"/>
  <c r="K6215" i="12"/>
  <c r="J6215" i="12"/>
  <c r="I6215" i="12"/>
  <c r="K6214" i="12"/>
  <c r="J6214" i="12"/>
  <c r="I6214" i="12"/>
  <c r="K6213" i="12"/>
  <c r="J6213" i="12"/>
  <c r="I6213" i="12"/>
  <c r="K6212" i="12"/>
  <c r="J6212" i="12"/>
  <c r="I6212" i="12"/>
  <c r="K6211" i="12"/>
  <c r="J6211" i="12"/>
  <c r="I6211" i="12"/>
  <c r="K6210" i="12"/>
  <c r="J6210" i="12"/>
  <c r="I6210" i="12"/>
  <c r="K6209" i="12"/>
  <c r="J6209" i="12"/>
  <c r="I6209" i="12"/>
  <c r="K6208" i="12"/>
  <c r="J6208" i="12"/>
  <c r="I6208" i="12"/>
  <c r="K6207" i="12"/>
  <c r="J6207" i="12"/>
  <c r="I6207" i="12"/>
  <c r="K6206" i="12"/>
  <c r="J6206" i="12"/>
  <c r="I6206" i="12"/>
  <c r="K6205" i="12"/>
  <c r="J6205" i="12"/>
  <c r="I6205" i="12"/>
  <c r="K6204" i="12"/>
  <c r="J6204" i="12"/>
  <c r="I6204" i="12"/>
  <c r="K6203" i="12"/>
  <c r="J6203" i="12"/>
  <c r="I6203" i="12"/>
  <c r="K6202" i="12"/>
  <c r="J6202" i="12"/>
  <c r="I6202" i="12"/>
  <c r="K6201" i="12"/>
  <c r="J6201" i="12"/>
  <c r="I6201" i="12"/>
  <c r="K6200" i="12"/>
  <c r="J6200" i="12"/>
  <c r="I6200" i="12"/>
  <c r="K6199" i="12"/>
  <c r="J6199" i="12"/>
  <c r="I6199" i="12"/>
  <c r="K6198" i="12"/>
  <c r="J6198" i="12"/>
  <c r="I6198" i="12"/>
  <c r="K6197" i="12"/>
  <c r="J6197" i="12"/>
  <c r="I6197" i="12"/>
  <c r="K6196" i="12"/>
  <c r="J6196" i="12"/>
  <c r="I6196" i="12"/>
  <c r="K6195" i="12"/>
  <c r="J6195" i="12"/>
  <c r="I6195" i="12"/>
  <c r="K6194" i="12"/>
  <c r="J6194" i="12"/>
  <c r="I6194" i="12"/>
  <c r="K6193" i="12"/>
  <c r="J6193" i="12"/>
  <c r="I6193" i="12"/>
  <c r="K6192" i="12"/>
  <c r="J6192" i="12"/>
  <c r="I6192" i="12"/>
  <c r="K6191" i="12"/>
  <c r="J6191" i="12"/>
  <c r="I6191" i="12"/>
  <c r="K6190" i="12"/>
  <c r="J6190" i="12"/>
  <c r="I6190" i="12"/>
  <c r="K6189" i="12"/>
  <c r="J6189" i="12"/>
  <c r="I6189" i="12"/>
  <c r="K6188" i="12"/>
  <c r="J6188" i="12"/>
  <c r="I6188" i="12"/>
  <c r="K6187" i="12"/>
  <c r="J6187" i="12"/>
  <c r="I6187" i="12"/>
  <c r="K6186" i="12"/>
  <c r="J6186" i="12"/>
  <c r="I6186" i="12"/>
  <c r="K6185" i="12"/>
  <c r="J6185" i="12"/>
  <c r="I6185" i="12"/>
  <c r="K6184" i="12"/>
  <c r="J6184" i="12"/>
  <c r="I6184" i="12"/>
  <c r="K6183" i="12"/>
  <c r="J6183" i="12"/>
  <c r="I6183" i="12"/>
  <c r="K6182" i="12"/>
  <c r="J6182" i="12"/>
  <c r="I6182" i="12"/>
  <c r="K6181" i="12"/>
  <c r="J6181" i="12"/>
  <c r="I6181" i="12"/>
  <c r="K6180" i="12"/>
  <c r="J6180" i="12"/>
  <c r="I6180" i="12"/>
  <c r="K6179" i="12"/>
  <c r="J6179" i="12"/>
  <c r="I6179" i="12"/>
  <c r="K6178" i="12"/>
  <c r="J6178" i="12"/>
  <c r="I6178" i="12"/>
  <c r="K6177" i="12"/>
  <c r="J6177" i="12"/>
  <c r="I6177" i="12"/>
  <c r="K6176" i="12"/>
  <c r="J6176" i="12"/>
  <c r="I6176" i="12"/>
  <c r="K6175" i="12"/>
  <c r="J6175" i="12"/>
  <c r="I6175" i="12"/>
  <c r="K6174" i="12"/>
  <c r="J6174" i="12"/>
  <c r="I6174" i="12"/>
  <c r="K6173" i="12"/>
  <c r="J6173" i="12"/>
  <c r="I6173" i="12"/>
  <c r="K6172" i="12"/>
  <c r="J6172" i="12"/>
  <c r="I6172" i="12"/>
  <c r="K6171" i="12"/>
  <c r="J6171" i="12"/>
  <c r="I6171" i="12"/>
  <c r="K6170" i="12"/>
  <c r="J6170" i="12"/>
  <c r="I6170" i="12"/>
  <c r="K6169" i="12"/>
  <c r="J6169" i="12"/>
  <c r="I6169" i="12"/>
  <c r="K6168" i="12"/>
  <c r="J6168" i="12"/>
  <c r="I6168" i="12"/>
  <c r="K6167" i="12"/>
  <c r="J6167" i="12"/>
  <c r="I6167" i="12"/>
  <c r="K6166" i="12"/>
  <c r="J6166" i="12"/>
  <c r="I6166" i="12"/>
  <c r="K6165" i="12"/>
  <c r="J6165" i="12"/>
  <c r="I6165" i="12"/>
  <c r="K6164" i="12"/>
  <c r="J6164" i="12"/>
  <c r="I6164" i="12"/>
  <c r="K6163" i="12"/>
  <c r="J6163" i="12"/>
  <c r="I6163" i="12"/>
  <c r="K6162" i="12"/>
  <c r="J6162" i="12"/>
  <c r="I6162" i="12"/>
  <c r="K6161" i="12"/>
  <c r="J6161" i="12"/>
  <c r="I6161" i="12"/>
  <c r="K6160" i="12"/>
  <c r="J6160" i="12"/>
  <c r="I6160" i="12"/>
  <c r="K6159" i="12"/>
  <c r="J6159" i="12"/>
  <c r="I6159" i="12"/>
  <c r="K6158" i="12"/>
  <c r="J6158" i="12"/>
  <c r="I6158" i="12"/>
  <c r="K6157" i="12"/>
  <c r="J6157" i="12"/>
  <c r="I6157" i="12"/>
  <c r="K6156" i="12"/>
  <c r="J6156" i="12"/>
  <c r="I6156" i="12"/>
  <c r="K6155" i="12"/>
  <c r="J6155" i="12"/>
  <c r="I6155" i="12"/>
  <c r="K6154" i="12"/>
  <c r="J6154" i="12"/>
  <c r="I6154" i="12"/>
  <c r="K6153" i="12"/>
  <c r="J6153" i="12"/>
  <c r="I6153" i="12"/>
  <c r="K6152" i="12"/>
  <c r="J6152" i="12"/>
  <c r="I6152" i="12"/>
  <c r="K6151" i="12"/>
  <c r="J6151" i="12"/>
  <c r="I6151" i="12"/>
  <c r="K6150" i="12"/>
  <c r="J6150" i="12"/>
  <c r="I6150" i="12"/>
  <c r="K6149" i="12"/>
  <c r="J6149" i="12"/>
  <c r="I6149" i="12"/>
  <c r="K6148" i="12"/>
  <c r="J6148" i="12"/>
  <c r="I6148" i="12"/>
  <c r="K6147" i="12"/>
  <c r="J6147" i="12"/>
  <c r="I6147" i="12"/>
  <c r="K6146" i="12"/>
  <c r="J6146" i="12"/>
  <c r="I6146" i="12"/>
  <c r="K6145" i="12"/>
  <c r="J6145" i="12"/>
  <c r="I6145" i="12"/>
  <c r="K6144" i="12"/>
  <c r="J6144" i="12"/>
  <c r="I6144" i="12"/>
  <c r="K6143" i="12"/>
  <c r="J6143" i="12"/>
  <c r="I6143" i="12"/>
  <c r="K6142" i="12"/>
  <c r="J6142" i="12"/>
  <c r="I6142" i="12"/>
  <c r="K6141" i="12"/>
  <c r="J6141" i="12"/>
  <c r="I6141" i="12"/>
  <c r="K6140" i="12"/>
  <c r="J6140" i="12"/>
  <c r="I6140" i="12"/>
  <c r="K6139" i="12"/>
  <c r="J6139" i="12"/>
  <c r="I6139" i="12"/>
  <c r="K6138" i="12"/>
  <c r="J6138" i="12"/>
  <c r="I6138" i="12"/>
  <c r="K6137" i="12"/>
  <c r="J6137" i="12"/>
  <c r="I6137" i="12"/>
  <c r="K6136" i="12"/>
  <c r="J6136" i="12"/>
  <c r="I6136" i="12"/>
  <c r="K6135" i="12"/>
  <c r="J6135" i="12"/>
  <c r="I6135" i="12"/>
  <c r="K6134" i="12"/>
  <c r="J6134" i="12"/>
  <c r="I6134" i="12"/>
  <c r="K6133" i="12"/>
  <c r="J6133" i="12"/>
  <c r="I6133" i="12"/>
  <c r="K6132" i="12"/>
  <c r="J6132" i="12"/>
  <c r="I6132" i="12"/>
  <c r="K6131" i="12"/>
  <c r="J6131" i="12"/>
  <c r="I6131" i="12"/>
  <c r="K6130" i="12"/>
  <c r="J6130" i="12"/>
  <c r="I6130" i="12"/>
  <c r="K6129" i="12"/>
  <c r="J6129" i="12"/>
  <c r="I6129" i="12"/>
  <c r="K6128" i="12"/>
  <c r="J6128" i="12"/>
  <c r="I6128" i="12"/>
  <c r="K6127" i="12"/>
  <c r="J6127" i="12"/>
  <c r="I6127" i="12"/>
  <c r="K6126" i="12"/>
  <c r="J6126" i="12"/>
  <c r="I6126" i="12"/>
  <c r="K6125" i="12"/>
  <c r="J6125" i="12"/>
  <c r="I6125" i="12"/>
  <c r="K6124" i="12"/>
  <c r="J6124" i="12"/>
  <c r="I6124" i="12"/>
  <c r="K6123" i="12"/>
  <c r="J6123" i="12"/>
  <c r="I6123" i="12"/>
  <c r="K6122" i="12"/>
  <c r="J6122" i="12"/>
  <c r="I6122" i="12"/>
  <c r="K6121" i="12"/>
  <c r="J6121" i="12"/>
  <c r="I6121" i="12"/>
  <c r="K6120" i="12"/>
  <c r="J6120" i="12"/>
  <c r="I6120" i="12"/>
  <c r="K6119" i="12"/>
  <c r="J6119" i="12"/>
  <c r="I6119" i="12"/>
  <c r="K6118" i="12"/>
  <c r="J6118" i="12"/>
  <c r="I6118" i="12"/>
  <c r="K6117" i="12"/>
  <c r="J6117" i="12"/>
  <c r="I6117" i="12"/>
  <c r="K6116" i="12"/>
  <c r="J6116" i="12"/>
  <c r="I6116" i="12"/>
  <c r="K6115" i="12"/>
  <c r="J6115" i="12"/>
  <c r="I6115" i="12"/>
  <c r="K6114" i="12"/>
  <c r="J6114" i="12"/>
  <c r="I6114" i="12"/>
  <c r="K6113" i="12"/>
  <c r="J6113" i="12"/>
  <c r="I6113" i="12"/>
  <c r="K6112" i="12"/>
  <c r="J6112" i="12"/>
  <c r="I6112" i="12"/>
  <c r="K6111" i="12"/>
  <c r="J6111" i="12"/>
  <c r="I6111" i="12"/>
  <c r="K6110" i="12"/>
  <c r="J6110" i="12"/>
  <c r="I6110" i="12"/>
  <c r="K6109" i="12"/>
  <c r="J6109" i="12"/>
  <c r="I6109" i="12"/>
  <c r="K6108" i="12"/>
  <c r="J6108" i="12"/>
  <c r="I6108" i="12"/>
  <c r="K6107" i="12"/>
  <c r="J6107" i="12"/>
  <c r="I6107" i="12"/>
  <c r="K6106" i="12"/>
  <c r="J6106" i="12"/>
  <c r="I6106" i="12"/>
  <c r="K6105" i="12"/>
  <c r="J6105" i="12"/>
  <c r="I6105" i="12"/>
  <c r="K6104" i="12"/>
  <c r="J6104" i="12"/>
  <c r="I6104" i="12"/>
  <c r="K6103" i="12"/>
  <c r="J6103" i="12"/>
  <c r="I6103" i="12"/>
  <c r="K6102" i="12"/>
  <c r="J6102" i="12"/>
  <c r="I6102" i="12"/>
  <c r="K6101" i="12"/>
  <c r="J6101" i="12"/>
  <c r="I6101" i="12"/>
  <c r="K6100" i="12"/>
  <c r="J6100" i="12"/>
  <c r="I6100" i="12"/>
  <c r="K6099" i="12"/>
  <c r="J6099" i="12"/>
  <c r="I6099" i="12"/>
  <c r="K6098" i="12"/>
  <c r="J6098" i="12"/>
  <c r="I6098" i="12"/>
  <c r="K6097" i="12"/>
  <c r="J6097" i="12"/>
  <c r="I6097" i="12"/>
  <c r="K6096" i="12"/>
  <c r="J6096" i="12"/>
  <c r="I6096" i="12"/>
  <c r="K6095" i="12"/>
  <c r="J6095" i="12"/>
  <c r="I6095" i="12"/>
  <c r="K6094" i="12"/>
  <c r="J6094" i="12"/>
  <c r="I6094" i="12"/>
  <c r="K6093" i="12"/>
  <c r="J6093" i="12"/>
  <c r="I6093" i="12"/>
  <c r="K6092" i="12"/>
  <c r="J6092" i="12"/>
  <c r="I6092" i="12"/>
  <c r="K6091" i="12"/>
  <c r="J6091" i="12"/>
  <c r="I6091" i="12"/>
  <c r="K6090" i="12"/>
  <c r="J6090" i="12"/>
  <c r="I6090" i="12"/>
  <c r="K6089" i="12"/>
  <c r="J6089" i="12"/>
  <c r="I6089" i="12"/>
  <c r="K6088" i="12"/>
  <c r="J6088" i="12"/>
  <c r="I6088" i="12"/>
  <c r="K6087" i="12"/>
  <c r="J6087" i="12"/>
  <c r="I6087" i="12"/>
  <c r="K6086" i="12"/>
  <c r="J6086" i="12"/>
  <c r="I6086" i="12"/>
  <c r="K6085" i="12"/>
  <c r="J6085" i="12"/>
  <c r="I6085" i="12"/>
  <c r="K6084" i="12"/>
  <c r="J6084" i="12"/>
  <c r="I6084" i="12"/>
  <c r="K6083" i="12"/>
  <c r="J6083" i="12"/>
  <c r="I6083" i="12"/>
  <c r="K6082" i="12"/>
  <c r="J6082" i="12"/>
  <c r="I6082" i="12"/>
  <c r="K6081" i="12"/>
  <c r="J6081" i="12"/>
  <c r="I6081" i="12"/>
  <c r="K6080" i="12"/>
  <c r="J6080" i="12"/>
  <c r="I6080" i="12"/>
  <c r="K6079" i="12"/>
  <c r="J6079" i="12"/>
  <c r="I6079" i="12"/>
  <c r="K6078" i="12"/>
  <c r="J6078" i="12"/>
  <c r="I6078" i="12"/>
  <c r="K6077" i="12"/>
  <c r="J6077" i="12"/>
  <c r="I6077" i="12"/>
  <c r="K6076" i="12"/>
  <c r="J6076" i="12"/>
  <c r="I6076" i="12"/>
  <c r="K6075" i="12"/>
  <c r="J6075" i="12"/>
  <c r="I6075" i="12"/>
  <c r="K6074" i="12"/>
  <c r="J6074" i="12"/>
  <c r="I6074" i="12"/>
  <c r="K6073" i="12"/>
  <c r="J6073" i="12"/>
  <c r="I6073" i="12"/>
  <c r="K6072" i="12"/>
  <c r="J6072" i="12"/>
  <c r="I6072" i="12"/>
  <c r="K6071" i="12"/>
  <c r="J6071" i="12"/>
  <c r="I6071" i="12"/>
  <c r="K6070" i="12"/>
  <c r="J6070" i="12"/>
  <c r="I6070" i="12"/>
  <c r="K6069" i="12"/>
  <c r="J6069" i="12"/>
  <c r="I6069" i="12"/>
  <c r="K6068" i="12"/>
  <c r="J6068" i="12"/>
  <c r="I6068" i="12"/>
  <c r="K6067" i="12"/>
  <c r="J6067" i="12"/>
  <c r="I6067" i="12"/>
  <c r="K6066" i="12"/>
  <c r="J6066" i="12"/>
  <c r="I6066" i="12"/>
  <c r="K6065" i="12"/>
  <c r="J6065" i="12"/>
  <c r="I6065" i="12"/>
  <c r="K6064" i="12"/>
  <c r="J6064" i="12"/>
  <c r="I6064" i="12"/>
  <c r="K6063" i="12"/>
  <c r="J6063" i="12"/>
  <c r="I6063" i="12"/>
  <c r="K6062" i="12"/>
  <c r="J6062" i="12"/>
  <c r="I6062" i="12"/>
  <c r="K6061" i="12"/>
  <c r="J6061" i="12"/>
  <c r="I6061" i="12"/>
  <c r="K6060" i="12"/>
  <c r="J6060" i="12"/>
  <c r="I6060" i="12"/>
  <c r="K6059" i="12"/>
  <c r="J6059" i="12"/>
  <c r="I6059" i="12"/>
  <c r="K6058" i="12"/>
  <c r="J6058" i="12"/>
  <c r="I6058" i="12"/>
  <c r="K6057" i="12"/>
  <c r="J6057" i="12"/>
  <c r="I6057" i="12"/>
  <c r="K6056" i="12"/>
  <c r="J6056" i="12"/>
  <c r="I6056" i="12"/>
  <c r="K6055" i="12"/>
  <c r="J6055" i="12"/>
  <c r="I6055" i="12"/>
  <c r="K6054" i="12"/>
  <c r="J6054" i="12"/>
  <c r="I6054" i="12"/>
  <c r="K6053" i="12"/>
  <c r="J6053" i="12"/>
  <c r="I6053" i="12"/>
  <c r="K6052" i="12"/>
  <c r="J6052" i="12"/>
  <c r="I6052" i="12"/>
  <c r="K6051" i="12"/>
  <c r="J6051" i="12"/>
  <c r="I6051" i="12"/>
  <c r="K6050" i="12"/>
  <c r="J6050" i="12"/>
  <c r="I6050" i="12"/>
  <c r="K6049" i="12"/>
  <c r="J6049" i="12"/>
  <c r="I6049" i="12"/>
  <c r="K6048" i="12"/>
  <c r="J6048" i="12"/>
  <c r="I6048" i="12"/>
  <c r="K6047" i="12"/>
  <c r="J6047" i="12"/>
  <c r="I6047" i="12"/>
  <c r="K6046" i="12"/>
  <c r="J6046" i="12"/>
  <c r="I6046" i="12"/>
  <c r="K6045" i="12"/>
  <c r="J6045" i="12"/>
  <c r="I6045" i="12"/>
  <c r="K6044" i="12"/>
  <c r="J6044" i="12"/>
  <c r="I6044" i="12"/>
  <c r="K6043" i="12"/>
  <c r="J6043" i="12"/>
  <c r="I6043" i="12"/>
  <c r="K6042" i="12"/>
  <c r="J6042" i="12"/>
  <c r="I6042" i="12"/>
  <c r="K6041" i="12"/>
  <c r="J6041" i="12"/>
  <c r="I6041" i="12"/>
  <c r="K6040" i="12"/>
  <c r="J6040" i="12"/>
  <c r="I6040" i="12"/>
  <c r="K6039" i="12"/>
  <c r="J6039" i="12"/>
  <c r="I6039" i="12"/>
  <c r="K6038" i="12"/>
  <c r="J6038" i="12"/>
  <c r="I6038" i="12"/>
  <c r="K6037" i="12"/>
  <c r="J6037" i="12"/>
  <c r="I6037" i="12"/>
  <c r="K6036" i="12"/>
  <c r="J6036" i="12"/>
  <c r="I6036" i="12"/>
  <c r="K6035" i="12"/>
  <c r="J6035" i="12"/>
  <c r="I6035" i="12"/>
  <c r="K6034" i="12"/>
  <c r="J6034" i="12"/>
  <c r="I6034" i="12"/>
  <c r="K6033" i="12"/>
  <c r="J6033" i="12"/>
  <c r="I6033" i="12"/>
  <c r="K6032" i="12"/>
  <c r="J6032" i="12"/>
  <c r="I6032" i="12"/>
  <c r="K6031" i="12"/>
  <c r="J6031" i="12"/>
  <c r="I6031" i="12"/>
  <c r="K6030" i="12"/>
  <c r="J6030" i="12"/>
  <c r="I6030" i="12"/>
  <c r="K6029" i="12"/>
  <c r="J6029" i="12"/>
  <c r="I6029" i="12"/>
  <c r="K6028" i="12"/>
  <c r="J6028" i="12"/>
  <c r="I6028" i="12"/>
  <c r="K6027" i="12"/>
  <c r="J6027" i="12"/>
  <c r="I6027" i="12"/>
  <c r="K6026" i="12"/>
  <c r="J6026" i="12"/>
  <c r="I6026" i="12"/>
  <c r="K6025" i="12"/>
  <c r="J6025" i="12"/>
  <c r="I6025" i="12"/>
  <c r="K6024" i="12"/>
  <c r="J6024" i="12"/>
  <c r="I6024" i="12"/>
  <c r="K6023" i="12"/>
  <c r="J6023" i="12"/>
  <c r="I6023" i="12"/>
  <c r="K6022" i="12"/>
  <c r="J6022" i="12"/>
  <c r="I6022" i="12"/>
  <c r="K6021" i="12"/>
  <c r="J6021" i="12"/>
  <c r="I6021" i="12"/>
  <c r="K6020" i="12"/>
  <c r="J6020" i="12"/>
  <c r="I6020" i="12"/>
  <c r="K6019" i="12"/>
  <c r="J6019" i="12"/>
  <c r="I6019" i="12"/>
  <c r="K6018" i="12"/>
  <c r="J6018" i="12"/>
  <c r="I6018" i="12"/>
  <c r="K6017" i="12"/>
  <c r="J6017" i="12"/>
  <c r="I6017" i="12"/>
  <c r="K6016" i="12"/>
  <c r="J6016" i="12"/>
  <c r="I6016" i="12"/>
  <c r="K6015" i="12"/>
  <c r="J6015" i="12"/>
  <c r="I6015" i="12"/>
  <c r="K6014" i="12"/>
  <c r="J6014" i="12"/>
  <c r="I6014" i="12"/>
  <c r="K6013" i="12"/>
  <c r="J6013" i="12"/>
  <c r="I6013" i="12"/>
  <c r="K6012" i="12"/>
  <c r="J6012" i="12"/>
  <c r="I6012" i="12"/>
  <c r="K6011" i="12"/>
  <c r="J6011" i="12"/>
  <c r="I6011" i="12"/>
  <c r="K6010" i="12"/>
  <c r="J6010" i="12"/>
  <c r="I6010" i="12"/>
  <c r="K6009" i="12"/>
  <c r="J6009" i="12"/>
  <c r="I6009" i="12"/>
  <c r="K6008" i="12"/>
  <c r="J6008" i="12"/>
  <c r="I6008" i="12"/>
  <c r="K6007" i="12"/>
  <c r="J6007" i="12"/>
  <c r="I6007" i="12"/>
  <c r="K6006" i="12"/>
  <c r="J6006" i="12"/>
  <c r="I6006" i="12"/>
  <c r="K6005" i="12"/>
  <c r="J6005" i="12"/>
  <c r="I6005" i="12"/>
  <c r="K6004" i="12"/>
  <c r="J6004" i="12"/>
  <c r="I6004" i="12"/>
  <c r="K6003" i="12"/>
  <c r="J6003" i="12"/>
  <c r="I6003" i="12"/>
  <c r="K6002" i="12"/>
  <c r="J6002" i="12"/>
  <c r="I6002" i="12"/>
  <c r="K6001" i="12"/>
  <c r="J6001" i="12"/>
  <c r="I6001" i="12"/>
  <c r="K6000" i="12"/>
  <c r="J6000" i="12"/>
  <c r="I6000" i="12"/>
  <c r="K5999" i="12"/>
  <c r="J5999" i="12"/>
  <c r="I5999" i="12"/>
  <c r="K5998" i="12"/>
  <c r="J5998" i="12"/>
  <c r="I5998" i="12"/>
  <c r="K5997" i="12"/>
  <c r="J5997" i="12"/>
  <c r="I5997" i="12"/>
  <c r="K5996" i="12"/>
  <c r="J5996" i="12"/>
  <c r="I5996" i="12"/>
  <c r="K5995" i="12"/>
  <c r="J5995" i="12"/>
  <c r="I5995" i="12"/>
  <c r="K5994" i="12"/>
  <c r="J5994" i="12"/>
  <c r="I5994" i="12"/>
  <c r="K5993" i="12"/>
  <c r="J5993" i="12"/>
  <c r="I5993" i="12"/>
  <c r="K5992" i="12"/>
  <c r="J5992" i="12"/>
  <c r="I5992" i="12"/>
  <c r="K5991" i="12"/>
  <c r="J5991" i="12"/>
  <c r="I5991" i="12"/>
  <c r="K5990" i="12"/>
  <c r="J5990" i="12"/>
  <c r="I5990" i="12"/>
  <c r="K5989" i="12"/>
  <c r="J5989" i="12"/>
  <c r="I5989" i="12"/>
  <c r="K5988" i="12"/>
  <c r="J5988" i="12"/>
  <c r="I5988" i="12"/>
  <c r="K5987" i="12"/>
  <c r="J5987" i="12"/>
  <c r="I5987" i="12"/>
  <c r="K5986" i="12"/>
  <c r="J5986" i="12"/>
  <c r="I5986" i="12"/>
  <c r="K5985" i="12"/>
  <c r="J5985" i="12"/>
  <c r="I5985" i="12"/>
  <c r="K5984" i="12"/>
  <c r="J5984" i="12"/>
  <c r="I5984" i="12"/>
  <c r="K5983" i="12"/>
  <c r="J5983" i="12"/>
  <c r="I5983" i="12"/>
  <c r="K5982" i="12"/>
  <c r="J5982" i="12"/>
  <c r="I5982" i="12"/>
  <c r="K5981" i="12"/>
  <c r="J5981" i="12"/>
  <c r="I5981" i="12"/>
  <c r="K5980" i="12"/>
  <c r="J5980" i="12"/>
  <c r="I5980" i="12"/>
  <c r="K5979" i="12"/>
  <c r="J5979" i="12"/>
  <c r="I5979" i="12"/>
  <c r="K5978" i="12"/>
  <c r="J5978" i="12"/>
  <c r="I5978" i="12"/>
  <c r="K5977" i="12"/>
  <c r="J5977" i="12"/>
  <c r="I5977" i="12"/>
  <c r="K5976" i="12"/>
  <c r="J5976" i="12"/>
  <c r="I5976" i="12"/>
  <c r="K5975" i="12"/>
  <c r="J5975" i="12"/>
  <c r="I5975" i="12"/>
  <c r="K5974" i="12"/>
  <c r="J5974" i="12"/>
  <c r="I5974" i="12"/>
  <c r="K5973" i="12"/>
  <c r="J5973" i="12"/>
  <c r="I5973" i="12"/>
  <c r="K5972" i="12"/>
  <c r="J5972" i="12"/>
  <c r="I5972" i="12"/>
  <c r="K5971" i="12"/>
  <c r="J5971" i="12"/>
  <c r="I5971" i="12"/>
  <c r="K5970" i="12"/>
  <c r="J5970" i="12"/>
  <c r="I5970" i="12"/>
  <c r="K5969" i="12"/>
  <c r="J5969" i="12"/>
  <c r="I5969" i="12"/>
  <c r="K5968" i="12"/>
  <c r="J5968" i="12"/>
  <c r="I5968" i="12"/>
  <c r="K5967" i="12"/>
  <c r="J5967" i="12"/>
  <c r="I5967" i="12"/>
  <c r="K5966" i="12"/>
  <c r="J5966" i="12"/>
  <c r="I5966" i="12"/>
  <c r="K5965" i="12"/>
  <c r="J5965" i="12"/>
  <c r="I5965" i="12"/>
  <c r="K5964" i="12"/>
  <c r="J5964" i="12"/>
  <c r="I5964" i="12"/>
  <c r="K5963" i="12"/>
  <c r="J5963" i="12"/>
  <c r="I5963" i="12"/>
  <c r="K5962" i="12"/>
  <c r="J5962" i="12"/>
  <c r="I5962" i="12"/>
  <c r="K5961" i="12"/>
  <c r="J5961" i="12"/>
  <c r="I5961" i="12"/>
  <c r="K5960" i="12"/>
  <c r="J5960" i="12"/>
  <c r="I5960" i="12"/>
  <c r="K5959" i="12"/>
  <c r="J5959" i="12"/>
  <c r="I5959" i="12"/>
  <c r="K5958" i="12"/>
  <c r="J5958" i="12"/>
  <c r="I5958" i="12"/>
  <c r="K5957" i="12"/>
  <c r="J5957" i="12"/>
  <c r="I5957" i="12"/>
  <c r="K5956" i="12"/>
  <c r="J5956" i="12"/>
  <c r="I5956" i="12"/>
  <c r="K5955" i="12"/>
  <c r="J5955" i="12"/>
  <c r="I5955" i="12"/>
  <c r="K5954" i="12"/>
  <c r="J5954" i="12"/>
  <c r="I5954" i="12"/>
  <c r="K5953" i="12"/>
  <c r="J5953" i="12"/>
  <c r="I5953" i="12"/>
  <c r="K5952" i="12"/>
  <c r="J5952" i="12"/>
  <c r="I5952" i="12"/>
  <c r="K5951" i="12"/>
  <c r="J5951" i="12"/>
  <c r="I5951" i="12"/>
  <c r="K5950" i="12"/>
  <c r="J5950" i="12"/>
  <c r="I5950" i="12"/>
  <c r="K5949" i="12"/>
  <c r="J5949" i="12"/>
  <c r="I5949" i="12"/>
  <c r="K5948" i="12"/>
  <c r="J5948" i="12"/>
  <c r="I5948" i="12"/>
  <c r="K5947" i="12"/>
  <c r="J5947" i="12"/>
  <c r="I5947" i="12"/>
  <c r="K5946" i="12"/>
  <c r="J5946" i="12"/>
  <c r="I5946" i="12"/>
  <c r="K5945" i="12"/>
  <c r="J5945" i="12"/>
  <c r="I5945" i="12"/>
  <c r="K5944" i="12"/>
  <c r="J5944" i="12"/>
  <c r="I5944" i="12"/>
  <c r="K5943" i="12"/>
  <c r="J5943" i="12"/>
  <c r="I5943" i="12"/>
  <c r="K5942" i="12"/>
  <c r="J5942" i="12"/>
  <c r="I5942" i="12"/>
  <c r="K5941" i="12"/>
  <c r="J5941" i="12"/>
  <c r="I5941" i="12"/>
  <c r="K5940" i="12"/>
  <c r="J5940" i="12"/>
  <c r="I5940" i="12"/>
  <c r="K5939" i="12"/>
  <c r="J5939" i="12"/>
  <c r="I5939" i="12"/>
  <c r="K5938" i="12"/>
  <c r="J5938" i="12"/>
  <c r="I5938" i="12"/>
  <c r="K5937" i="12"/>
  <c r="J5937" i="12"/>
  <c r="I5937" i="12"/>
  <c r="K5936" i="12"/>
  <c r="J5936" i="12"/>
  <c r="I5936" i="12"/>
  <c r="K5935" i="12"/>
  <c r="J5935" i="12"/>
  <c r="I5935" i="12"/>
  <c r="K5934" i="12"/>
  <c r="J5934" i="12"/>
  <c r="I5934" i="12"/>
  <c r="K5933" i="12"/>
  <c r="J5933" i="12"/>
  <c r="I5933" i="12"/>
  <c r="K5932" i="12"/>
  <c r="J5932" i="12"/>
  <c r="I5932" i="12"/>
  <c r="K5931" i="12"/>
  <c r="J5931" i="12"/>
  <c r="I5931" i="12"/>
  <c r="K5930" i="12"/>
  <c r="J5930" i="12"/>
  <c r="I5930" i="12"/>
  <c r="K5929" i="12"/>
  <c r="J5929" i="12"/>
  <c r="I5929" i="12"/>
  <c r="K5928" i="12"/>
  <c r="J5928" i="12"/>
  <c r="I5928" i="12"/>
  <c r="K5927" i="12"/>
  <c r="J5927" i="12"/>
  <c r="I5927" i="12"/>
  <c r="K5926" i="12"/>
  <c r="J5926" i="12"/>
  <c r="I5926" i="12"/>
  <c r="K5925" i="12"/>
  <c r="J5925" i="12"/>
  <c r="I5925" i="12"/>
  <c r="K5924" i="12"/>
  <c r="J5924" i="12"/>
  <c r="I5924" i="12"/>
  <c r="K5923" i="12"/>
  <c r="J5923" i="12"/>
  <c r="I5923" i="12"/>
  <c r="K5922" i="12"/>
  <c r="J5922" i="12"/>
  <c r="I5922" i="12"/>
  <c r="K5921" i="12"/>
  <c r="J5921" i="12"/>
  <c r="I5921" i="12"/>
  <c r="K5920" i="12"/>
  <c r="J5920" i="12"/>
  <c r="I5920" i="12"/>
  <c r="K5919" i="12"/>
  <c r="J5919" i="12"/>
  <c r="I5919" i="12"/>
  <c r="K5918" i="12"/>
  <c r="J5918" i="12"/>
  <c r="I5918" i="12"/>
  <c r="K5917" i="12"/>
  <c r="J5917" i="12"/>
  <c r="I5917" i="12"/>
  <c r="K5916" i="12"/>
  <c r="J5916" i="12"/>
  <c r="I5916" i="12"/>
  <c r="K5915" i="12"/>
  <c r="J5915" i="12"/>
  <c r="I5915" i="12"/>
  <c r="K5914" i="12"/>
  <c r="J5914" i="12"/>
  <c r="I5914" i="12"/>
  <c r="K5913" i="12"/>
  <c r="J5913" i="12"/>
  <c r="I5913" i="12"/>
  <c r="K5912" i="12"/>
  <c r="J5912" i="12"/>
  <c r="I5912" i="12"/>
  <c r="K5911" i="12"/>
  <c r="J5911" i="12"/>
  <c r="I5911" i="12"/>
  <c r="K5910" i="12"/>
  <c r="J5910" i="12"/>
  <c r="I5910" i="12"/>
  <c r="K5909" i="12"/>
  <c r="J5909" i="12"/>
  <c r="I5909" i="12"/>
  <c r="K5908" i="12"/>
  <c r="J5908" i="12"/>
  <c r="I5908" i="12"/>
  <c r="K5907" i="12"/>
  <c r="J5907" i="12"/>
  <c r="I5907" i="12"/>
  <c r="K5906" i="12"/>
  <c r="J5906" i="12"/>
  <c r="I5906" i="12"/>
  <c r="K5905" i="12"/>
  <c r="J5905" i="12"/>
  <c r="I5905" i="12"/>
  <c r="K5904" i="12"/>
  <c r="J5904" i="12"/>
  <c r="I5904" i="12"/>
  <c r="K5903" i="12"/>
  <c r="J5903" i="12"/>
  <c r="I5903" i="12"/>
  <c r="K5902" i="12"/>
  <c r="J5902" i="12"/>
  <c r="I5902" i="12"/>
  <c r="K5901" i="12"/>
  <c r="J5901" i="12"/>
  <c r="I5901" i="12"/>
  <c r="K5900" i="12"/>
  <c r="J5900" i="12"/>
  <c r="I5900" i="12"/>
  <c r="K5899" i="12"/>
  <c r="J5899" i="12"/>
  <c r="I5899" i="12"/>
  <c r="K5898" i="12"/>
  <c r="J5898" i="12"/>
  <c r="I5898" i="12"/>
  <c r="K5897" i="12"/>
  <c r="J5897" i="12"/>
  <c r="I5897" i="12"/>
  <c r="K5896" i="12"/>
  <c r="J5896" i="12"/>
  <c r="I5896" i="12"/>
  <c r="K5895" i="12"/>
  <c r="J5895" i="12"/>
  <c r="I5895" i="12"/>
  <c r="K5894" i="12"/>
  <c r="J5894" i="12"/>
  <c r="I5894" i="12"/>
  <c r="K5893" i="12"/>
  <c r="J5893" i="12"/>
  <c r="I5893" i="12"/>
  <c r="K5892" i="12"/>
  <c r="J5892" i="12"/>
  <c r="I5892" i="12"/>
  <c r="K5891" i="12"/>
  <c r="J5891" i="12"/>
  <c r="I5891" i="12"/>
  <c r="K5890" i="12"/>
  <c r="J5890" i="12"/>
  <c r="I5890" i="12"/>
  <c r="K5889" i="12"/>
  <c r="J5889" i="12"/>
  <c r="I5889" i="12"/>
  <c r="K5888" i="12"/>
  <c r="J5888" i="12"/>
  <c r="I5888" i="12"/>
  <c r="K5887" i="12"/>
  <c r="J5887" i="12"/>
  <c r="I5887" i="12"/>
  <c r="K5886" i="12"/>
  <c r="J5886" i="12"/>
  <c r="I5886" i="12"/>
  <c r="K5885" i="12"/>
  <c r="J5885" i="12"/>
  <c r="I5885" i="12"/>
  <c r="K5884" i="12"/>
  <c r="J5884" i="12"/>
  <c r="I5884" i="12"/>
  <c r="K5883" i="12"/>
  <c r="J5883" i="12"/>
  <c r="I5883" i="12"/>
  <c r="K5882" i="12"/>
  <c r="J5882" i="12"/>
  <c r="I5882" i="12"/>
  <c r="K5881" i="12"/>
  <c r="J5881" i="12"/>
  <c r="I5881" i="12"/>
  <c r="K5880" i="12"/>
  <c r="J5880" i="12"/>
  <c r="I5880" i="12"/>
  <c r="K5879" i="12"/>
  <c r="J5879" i="12"/>
  <c r="I5879" i="12"/>
  <c r="K5878" i="12"/>
  <c r="J5878" i="12"/>
  <c r="I5878" i="12"/>
  <c r="K5877" i="12"/>
  <c r="J5877" i="12"/>
  <c r="I5877" i="12"/>
  <c r="K5876" i="12"/>
  <c r="J5876" i="12"/>
  <c r="I5876" i="12"/>
  <c r="K5875" i="12"/>
  <c r="J5875" i="12"/>
  <c r="I5875" i="12"/>
  <c r="K5874" i="12"/>
  <c r="J5874" i="12"/>
  <c r="I5874" i="12"/>
  <c r="K5873" i="12"/>
  <c r="J5873" i="12"/>
  <c r="I5873" i="12"/>
  <c r="K5872" i="12"/>
  <c r="J5872" i="12"/>
  <c r="I5872" i="12"/>
  <c r="K5871" i="12"/>
  <c r="J5871" i="12"/>
  <c r="I5871" i="12"/>
  <c r="K5870" i="12"/>
  <c r="J5870" i="12"/>
  <c r="I5870" i="12"/>
  <c r="K5869" i="12"/>
  <c r="J5869" i="12"/>
  <c r="I5869" i="12"/>
  <c r="K5868" i="12"/>
  <c r="J5868" i="12"/>
  <c r="I5868" i="12"/>
  <c r="K5867" i="12"/>
  <c r="J5867" i="12"/>
  <c r="I5867" i="12"/>
  <c r="K5866" i="12"/>
  <c r="J5866" i="12"/>
  <c r="I5866" i="12"/>
  <c r="K5865" i="12"/>
  <c r="J5865" i="12"/>
  <c r="I5865" i="12"/>
  <c r="K5864" i="12"/>
  <c r="J5864" i="12"/>
  <c r="I5864" i="12"/>
  <c r="K5863" i="12"/>
  <c r="J5863" i="12"/>
  <c r="I5863" i="12"/>
  <c r="K5862" i="12"/>
  <c r="J5862" i="12"/>
  <c r="I5862" i="12"/>
  <c r="K5861" i="12"/>
  <c r="J5861" i="12"/>
  <c r="I5861" i="12"/>
  <c r="K5860" i="12"/>
  <c r="J5860" i="12"/>
  <c r="I5860" i="12"/>
  <c r="K5859" i="12"/>
  <c r="J5859" i="12"/>
  <c r="I5859" i="12"/>
  <c r="K5858" i="12"/>
  <c r="J5858" i="12"/>
  <c r="I5858" i="12"/>
  <c r="K5857" i="12"/>
  <c r="J5857" i="12"/>
  <c r="I5857" i="12"/>
  <c r="K5856" i="12"/>
  <c r="J5856" i="12"/>
  <c r="I5856" i="12"/>
  <c r="K5855" i="12"/>
  <c r="J5855" i="12"/>
  <c r="I5855" i="12"/>
  <c r="K5854" i="12"/>
  <c r="J5854" i="12"/>
  <c r="I5854" i="12"/>
  <c r="K5853" i="12"/>
  <c r="J5853" i="12"/>
  <c r="I5853" i="12"/>
  <c r="K5852" i="12"/>
  <c r="J5852" i="12"/>
  <c r="I5852" i="12"/>
  <c r="K5851" i="12"/>
  <c r="J5851" i="12"/>
  <c r="I5851" i="12"/>
  <c r="K5850" i="12"/>
  <c r="J5850" i="12"/>
  <c r="I5850" i="12"/>
  <c r="K5849" i="12"/>
  <c r="J5849" i="12"/>
  <c r="I5849" i="12"/>
  <c r="K5848" i="12"/>
  <c r="J5848" i="12"/>
  <c r="I5848" i="12"/>
  <c r="K5847" i="12"/>
  <c r="J5847" i="12"/>
  <c r="I5847" i="12"/>
  <c r="K5846" i="12"/>
  <c r="J5846" i="12"/>
  <c r="I5846" i="12"/>
  <c r="K5845" i="12"/>
  <c r="J5845" i="12"/>
  <c r="I5845" i="12"/>
  <c r="K5844" i="12"/>
  <c r="J5844" i="12"/>
  <c r="I5844" i="12"/>
  <c r="K5843" i="12"/>
  <c r="J5843" i="12"/>
  <c r="I5843" i="12"/>
  <c r="K5842" i="12"/>
  <c r="J5842" i="12"/>
  <c r="I5842" i="12"/>
  <c r="K5841" i="12"/>
  <c r="J5841" i="12"/>
  <c r="I5841" i="12"/>
  <c r="K5840" i="12"/>
  <c r="J5840" i="12"/>
  <c r="I5840" i="12"/>
  <c r="K5839" i="12"/>
  <c r="J5839" i="12"/>
  <c r="I5839" i="12"/>
  <c r="K5838" i="12"/>
  <c r="J5838" i="12"/>
  <c r="I5838" i="12"/>
  <c r="K5837" i="12"/>
  <c r="J5837" i="12"/>
  <c r="I5837" i="12"/>
  <c r="K5836" i="12"/>
  <c r="J5836" i="12"/>
  <c r="I5836" i="12"/>
  <c r="K5835" i="12"/>
  <c r="J5835" i="12"/>
  <c r="I5835" i="12"/>
  <c r="K5834" i="12"/>
  <c r="J5834" i="12"/>
  <c r="I5834" i="12"/>
  <c r="K5833" i="12"/>
  <c r="J5833" i="12"/>
  <c r="I5833" i="12"/>
  <c r="K5832" i="12"/>
  <c r="J5832" i="12"/>
  <c r="I5832" i="12"/>
  <c r="K5831" i="12"/>
  <c r="J5831" i="12"/>
  <c r="I5831" i="12"/>
  <c r="K5830" i="12"/>
  <c r="J5830" i="12"/>
  <c r="I5830" i="12"/>
  <c r="K5829" i="12"/>
  <c r="J5829" i="12"/>
  <c r="I5829" i="12"/>
  <c r="K5828" i="12"/>
  <c r="J5828" i="12"/>
  <c r="I5828" i="12"/>
  <c r="K5827" i="12"/>
  <c r="J5827" i="12"/>
  <c r="I5827" i="12"/>
  <c r="K5826" i="12"/>
  <c r="J5826" i="12"/>
  <c r="I5826" i="12"/>
  <c r="K5825" i="12"/>
  <c r="J5825" i="12"/>
  <c r="I5825" i="12"/>
  <c r="K5824" i="12"/>
  <c r="J5824" i="12"/>
  <c r="I5824" i="12"/>
  <c r="K5823" i="12"/>
  <c r="J5823" i="12"/>
  <c r="I5823" i="12"/>
  <c r="K5822" i="12"/>
  <c r="J5822" i="12"/>
  <c r="I5822" i="12"/>
  <c r="K5821" i="12"/>
  <c r="J5821" i="12"/>
  <c r="I5821" i="12"/>
  <c r="K5820" i="12"/>
  <c r="J5820" i="12"/>
  <c r="I5820" i="12"/>
  <c r="K5819" i="12"/>
  <c r="J5819" i="12"/>
  <c r="I5819" i="12"/>
  <c r="K5818" i="12"/>
  <c r="J5818" i="12"/>
  <c r="I5818" i="12"/>
  <c r="K5817" i="12"/>
  <c r="J5817" i="12"/>
  <c r="I5817" i="12"/>
  <c r="K5816" i="12"/>
  <c r="J5816" i="12"/>
  <c r="I5816" i="12"/>
  <c r="K5815" i="12"/>
  <c r="J5815" i="12"/>
  <c r="I5815" i="12"/>
  <c r="K5814" i="12"/>
  <c r="J5814" i="12"/>
  <c r="I5814" i="12"/>
  <c r="K5813" i="12"/>
  <c r="J5813" i="12"/>
  <c r="I5813" i="12"/>
  <c r="K5812" i="12"/>
  <c r="J5812" i="12"/>
  <c r="I5812" i="12"/>
  <c r="K5811" i="12"/>
  <c r="J5811" i="12"/>
  <c r="I5811" i="12"/>
  <c r="K5810" i="12"/>
  <c r="J5810" i="12"/>
  <c r="I5810" i="12"/>
  <c r="K5809" i="12"/>
  <c r="J5809" i="12"/>
  <c r="I5809" i="12"/>
  <c r="K5808" i="12"/>
  <c r="J5808" i="12"/>
  <c r="I5808" i="12"/>
  <c r="K5807" i="12"/>
  <c r="J5807" i="12"/>
  <c r="I5807" i="12"/>
  <c r="K5806" i="12"/>
  <c r="J5806" i="12"/>
  <c r="I5806" i="12"/>
  <c r="K5805" i="12"/>
  <c r="J5805" i="12"/>
  <c r="I5805" i="12"/>
  <c r="K5804" i="12"/>
  <c r="J5804" i="12"/>
  <c r="I5804" i="12"/>
  <c r="K5803" i="12"/>
  <c r="J5803" i="12"/>
  <c r="I5803" i="12"/>
  <c r="K5802" i="12"/>
  <c r="J5802" i="12"/>
  <c r="I5802" i="12"/>
  <c r="K5801" i="12"/>
  <c r="J5801" i="12"/>
  <c r="I5801" i="12"/>
  <c r="K5800" i="12"/>
  <c r="J5800" i="12"/>
  <c r="I5800" i="12"/>
  <c r="K5799" i="12"/>
  <c r="J5799" i="12"/>
  <c r="I5799" i="12"/>
  <c r="K5798" i="12"/>
  <c r="J5798" i="12"/>
  <c r="I5798" i="12"/>
  <c r="K5797" i="12"/>
  <c r="J5797" i="12"/>
  <c r="I5797" i="12"/>
  <c r="K5796" i="12"/>
  <c r="J5796" i="12"/>
  <c r="I5796" i="12"/>
  <c r="K5795" i="12"/>
  <c r="J5795" i="12"/>
  <c r="I5795" i="12"/>
  <c r="K5794" i="12"/>
  <c r="J5794" i="12"/>
  <c r="I5794" i="12"/>
  <c r="K5793" i="12"/>
  <c r="J5793" i="12"/>
  <c r="I5793" i="12"/>
  <c r="K5792" i="12"/>
  <c r="J5792" i="12"/>
  <c r="I5792" i="12"/>
  <c r="K5791" i="12"/>
  <c r="J5791" i="12"/>
  <c r="I5791" i="12"/>
  <c r="K5790" i="12"/>
  <c r="J5790" i="12"/>
  <c r="I5790" i="12"/>
  <c r="K5789" i="12"/>
  <c r="J5789" i="12"/>
  <c r="I5789" i="12"/>
  <c r="K5788" i="12"/>
  <c r="J5788" i="12"/>
  <c r="I5788" i="12"/>
  <c r="K5787" i="12"/>
  <c r="J5787" i="12"/>
  <c r="I5787" i="12"/>
  <c r="K5786" i="12"/>
  <c r="J5786" i="12"/>
  <c r="I5786" i="12"/>
  <c r="K5785" i="12"/>
  <c r="J5785" i="12"/>
  <c r="I5785" i="12"/>
  <c r="K5784" i="12"/>
  <c r="J5784" i="12"/>
  <c r="I5784" i="12"/>
  <c r="K5783" i="12"/>
  <c r="J5783" i="12"/>
  <c r="I5783" i="12"/>
  <c r="K5782" i="12"/>
  <c r="J5782" i="12"/>
  <c r="I5782" i="12"/>
  <c r="K5781" i="12"/>
  <c r="J5781" i="12"/>
  <c r="I5781" i="12"/>
  <c r="K5780" i="12"/>
  <c r="J5780" i="12"/>
  <c r="I5780" i="12"/>
  <c r="K5779" i="12"/>
  <c r="J5779" i="12"/>
  <c r="I5779" i="12"/>
  <c r="K5778" i="12"/>
  <c r="J5778" i="12"/>
  <c r="I5778" i="12"/>
  <c r="K5777" i="12"/>
  <c r="J5777" i="12"/>
  <c r="I5777" i="12"/>
  <c r="K5776" i="12"/>
  <c r="J5776" i="12"/>
  <c r="I5776" i="12"/>
  <c r="K5775" i="12"/>
  <c r="J5775" i="12"/>
  <c r="I5775" i="12"/>
  <c r="K5774" i="12"/>
  <c r="J5774" i="12"/>
  <c r="I5774" i="12"/>
  <c r="K5773" i="12"/>
  <c r="J5773" i="12"/>
  <c r="I5773" i="12"/>
  <c r="K5772" i="12"/>
  <c r="J5772" i="12"/>
  <c r="I5772" i="12"/>
  <c r="K5771" i="12"/>
  <c r="J5771" i="12"/>
  <c r="I5771" i="12"/>
  <c r="K5770" i="12"/>
  <c r="J5770" i="12"/>
  <c r="I5770" i="12"/>
  <c r="K5769" i="12"/>
  <c r="J5769" i="12"/>
  <c r="I5769" i="12"/>
  <c r="K5768" i="12"/>
  <c r="J5768" i="12"/>
  <c r="I5768" i="12"/>
  <c r="K5767" i="12"/>
  <c r="J5767" i="12"/>
  <c r="I5767" i="12"/>
  <c r="K5766" i="12"/>
  <c r="J5766" i="12"/>
  <c r="I5766" i="12"/>
  <c r="K5765" i="12"/>
  <c r="J5765" i="12"/>
  <c r="I5765" i="12"/>
  <c r="K5764" i="12"/>
  <c r="J5764" i="12"/>
  <c r="I5764" i="12"/>
  <c r="K5763" i="12"/>
  <c r="J5763" i="12"/>
  <c r="I5763" i="12"/>
  <c r="K5762" i="12"/>
  <c r="J5762" i="12"/>
  <c r="I5762" i="12"/>
  <c r="K5761" i="12"/>
  <c r="J5761" i="12"/>
  <c r="I5761" i="12"/>
  <c r="K5760" i="12"/>
  <c r="J5760" i="12"/>
  <c r="I5760" i="12"/>
  <c r="K5759" i="12"/>
  <c r="J5759" i="12"/>
  <c r="I5759" i="12"/>
  <c r="K5758" i="12"/>
  <c r="J5758" i="12"/>
  <c r="I5758" i="12"/>
  <c r="K5757" i="12"/>
  <c r="J5757" i="12"/>
  <c r="I5757" i="12"/>
  <c r="K5756" i="12"/>
  <c r="J5756" i="12"/>
  <c r="I5756" i="12"/>
  <c r="K5755" i="12"/>
  <c r="J5755" i="12"/>
  <c r="I5755" i="12"/>
  <c r="K5754" i="12"/>
  <c r="J5754" i="12"/>
  <c r="I5754" i="12"/>
  <c r="K5753" i="12"/>
  <c r="J5753" i="12"/>
  <c r="I5753" i="12"/>
  <c r="K5752" i="12"/>
  <c r="J5752" i="12"/>
  <c r="I5752" i="12"/>
  <c r="K5751" i="12"/>
  <c r="J5751" i="12"/>
  <c r="I5751" i="12"/>
  <c r="K5750" i="12"/>
  <c r="J5750" i="12"/>
  <c r="I5750" i="12"/>
  <c r="K5749" i="12"/>
  <c r="J5749" i="12"/>
  <c r="I5749" i="12"/>
  <c r="K5748" i="12"/>
  <c r="J5748" i="12"/>
  <c r="I5748" i="12"/>
  <c r="K5747" i="12"/>
  <c r="J5747" i="12"/>
  <c r="I5747" i="12"/>
  <c r="K5746" i="12"/>
  <c r="J5746" i="12"/>
  <c r="I5746" i="12"/>
  <c r="K5745" i="12"/>
  <c r="J5745" i="12"/>
  <c r="I5745" i="12"/>
  <c r="K5744" i="12"/>
  <c r="J5744" i="12"/>
  <c r="I5744" i="12"/>
  <c r="K5743" i="12"/>
  <c r="J5743" i="12"/>
  <c r="I5743" i="12"/>
  <c r="K5742" i="12"/>
  <c r="J5742" i="12"/>
  <c r="I5742" i="12"/>
  <c r="K5741" i="12"/>
  <c r="J5741" i="12"/>
  <c r="I5741" i="12"/>
  <c r="K5740" i="12"/>
  <c r="J5740" i="12"/>
  <c r="I5740" i="12"/>
  <c r="K5739" i="12"/>
  <c r="J5739" i="12"/>
  <c r="I5739" i="12"/>
  <c r="K5738" i="12"/>
  <c r="J5738" i="12"/>
  <c r="I5738" i="12"/>
  <c r="K5737" i="12"/>
  <c r="J5737" i="12"/>
  <c r="I5737" i="12"/>
  <c r="K5736" i="12"/>
  <c r="J5736" i="12"/>
  <c r="I5736" i="12"/>
  <c r="K5735" i="12"/>
  <c r="J5735" i="12"/>
  <c r="I5735" i="12"/>
  <c r="K5734" i="12"/>
  <c r="J5734" i="12"/>
  <c r="I5734" i="12"/>
  <c r="K5733" i="12"/>
  <c r="J5733" i="12"/>
  <c r="I5733" i="12"/>
  <c r="K5732" i="12"/>
  <c r="J5732" i="12"/>
  <c r="I5732" i="12"/>
  <c r="K5731" i="12"/>
  <c r="J5731" i="12"/>
  <c r="I5731" i="12"/>
  <c r="K5730" i="12"/>
  <c r="J5730" i="12"/>
  <c r="I5730" i="12"/>
  <c r="K5729" i="12"/>
  <c r="J5729" i="12"/>
  <c r="I5729" i="12"/>
  <c r="K5728" i="12"/>
  <c r="J5728" i="12"/>
  <c r="I5728" i="12"/>
  <c r="K5727" i="12"/>
  <c r="J5727" i="12"/>
  <c r="I5727" i="12"/>
  <c r="K5726" i="12"/>
  <c r="J5726" i="12"/>
  <c r="I5726" i="12"/>
  <c r="K5725" i="12"/>
  <c r="J5725" i="12"/>
  <c r="I5725" i="12"/>
  <c r="K5724" i="12"/>
  <c r="J5724" i="12"/>
  <c r="I5724" i="12"/>
  <c r="K5723" i="12"/>
  <c r="J5723" i="12"/>
  <c r="I5723" i="12"/>
  <c r="K5722" i="12"/>
  <c r="J5722" i="12"/>
  <c r="I5722" i="12"/>
  <c r="K5721" i="12"/>
  <c r="J5721" i="12"/>
  <c r="I5721" i="12"/>
  <c r="K5720" i="12"/>
  <c r="J5720" i="12"/>
  <c r="I5720" i="12"/>
  <c r="K5719" i="12"/>
  <c r="J5719" i="12"/>
  <c r="I5719" i="12"/>
  <c r="K5718" i="12"/>
  <c r="J5718" i="12"/>
  <c r="I5718" i="12"/>
  <c r="K5717" i="12"/>
  <c r="J5717" i="12"/>
  <c r="I5717" i="12"/>
  <c r="K5716" i="12"/>
  <c r="J5716" i="12"/>
  <c r="I5716" i="12"/>
  <c r="K5715" i="12"/>
  <c r="J5715" i="12"/>
  <c r="I5715" i="12"/>
  <c r="K5714" i="12"/>
  <c r="J5714" i="12"/>
  <c r="I5714" i="12"/>
  <c r="K5713" i="12"/>
  <c r="J5713" i="12"/>
  <c r="I5713" i="12"/>
  <c r="K5712" i="12"/>
  <c r="J5712" i="12"/>
  <c r="I5712" i="12"/>
  <c r="K5711" i="12"/>
  <c r="J5711" i="12"/>
  <c r="I5711" i="12"/>
  <c r="K5710" i="12"/>
  <c r="J5710" i="12"/>
  <c r="I5710" i="12"/>
  <c r="K5709" i="12"/>
  <c r="J5709" i="12"/>
  <c r="I5709" i="12"/>
  <c r="K5708" i="12"/>
  <c r="J5708" i="12"/>
  <c r="I5708" i="12"/>
  <c r="K5707" i="12"/>
  <c r="J5707" i="12"/>
  <c r="I5707" i="12"/>
  <c r="K5706" i="12"/>
  <c r="J5706" i="12"/>
  <c r="I5706" i="12"/>
  <c r="K5705" i="12"/>
  <c r="J5705" i="12"/>
  <c r="I5705" i="12"/>
  <c r="K5704" i="12"/>
  <c r="J5704" i="12"/>
  <c r="I5704" i="12"/>
  <c r="K5703" i="12"/>
  <c r="J5703" i="12"/>
  <c r="I5703" i="12"/>
  <c r="K5702" i="12"/>
  <c r="J5702" i="12"/>
  <c r="I5702" i="12"/>
  <c r="K5701" i="12"/>
  <c r="J5701" i="12"/>
  <c r="I5701" i="12"/>
  <c r="K5700" i="12"/>
  <c r="J5700" i="12"/>
  <c r="I5700" i="12"/>
  <c r="K5699" i="12"/>
  <c r="J5699" i="12"/>
  <c r="I5699" i="12"/>
  <c r="K5698" i="12"/>
  <c r="J5698" i="12"/>
  <c r="I5698" i="12"/>
  <c r="K5697" i="12"/>
  <c r="J5697" i="12"/>
  <c r="I5697" i="12"/>
  <c r="K5696" i="12"/>
  <c r="J5696" i="12"/>
  <c r="I5696" i="12"/>
  <c r="K5695" i="12"/>
  <c r="J5695" i="12"/>
  <c r="I5695" i="12"/>
  <c r="K5694" i="12"/>
  <c r="J5694" i="12"/>
  <c r="I5694" i="12"/>
  <c r="K5693" i="12"/>
  <c r="J5693" i="12"/>
  <c r="I5693" i="12"/>
  <c r="K5692" i="12"/>
  <c r="J5692" i="12"/>
  <c r="I5692" i="12"/>
  <c r="K5691" i="12"/>
  <c r="J5691" i="12"/>
  <c r="I5691" i="12"/>
  <c r="K5690" i="12"/>
  <c r="J5690" i="12"/>
  <c r="I5690" i="12"/>
  <c r="K5689" i="12"/>
  <c r="J5689" i="12"/>
  <c r="I5689" i="12"/>
  <c r="K5688" i="12"/>
  <c r="J5688" i="12"/>
  <c r="I5688" i="12"/>
  <c r="K5687" i="12"/>
  <c r="J5687" i="12"/>
  <c r="I5687" i="12"/>
  <c r="K5686" i="12"/>
  <c r="J5686" i="12"/>
  <c r="I5686" i="12"/>
  <c r="K5685" i="12"/>
  <c r="J5685" i="12"/>
  <c r="I5685" i="12"/>
  <c r="K5684" i="12"/>
  <c r="J5684" i="12"/>
  <c r="I5684" i="12"/>
  <c r="K5683" i="12"/>
  <c r="J5683" i="12"/>
  <c r="I5683" i="12"/>
  <c r="K5682" i="12"/>
  <c r="J5682" i="12"/>
  <c r="I5682" i="12"/>
  <c r="K5681" i="12"/>
  <c r="J5681" i="12"/>
  <c r="I5681" i="12"/>
  <c r="K5680" i="12"/>
  <c r="J5680" i="12"/>
  <c r="I5680" i="12"/>
  <c r="K5679" i="12"/>
  <c r="J5679" i="12"/>
  <c r="I5679" i="12"/>
  <c r="K5678" i="12"/>
  <c r="J5678" i="12"/>
  <c r="I5678" i="12"/>
  <c r="K5677" i="12"/>
  <c r="J5677" i="12"/>
  <c r="I5677" i="12"/>
  <c r="K5676" i="12"/>
  <c r="J5676" i="12"/>
  <c r="I5676" i="12"/>
  <c r="K5675" i="12"/>
  <c r="J5675" i="12"/>
  <c r="I5675" i="12"/>
  <c r="K5674" i="12"/>
  <c r="J5674" i="12"/>
  <c r="I5674" i="12"/>
  <c r="K5673" i="12"/>
  <c r="J5673" i="12"/>
  <c r="I5673" i="12"/>
  <c r="K5672" i="12"/>
  <c r="J5672" i="12"/>
  <c r="I5672" i="12"/>
  <c r="K5671" i="12"/>
  <c r="J5671" i="12"/>
  <c r="I5671" i="12"/>
  <c r="K5670" i="12"/>
  <c r="J5670" i="12"/>
  <c r="I5670" i="12"/>
  <c r="K5669" i="12"/>
  <c r="J5669" i="12"/>
  <c r="I5669" i="12"/>
  <c r="K5668" i="12"/>
  <c r="J5668" i="12"/>
  <c r="I5668" i="12"/>
  <c r="K5667" i="12"/>
  <c r="J5667" i="12"/>
  <c r="I5667" i="12"/>
  <c r="K5666" i="12"/>
  <c r="J5666" i="12"/>
  <c r="I5666" i="12"/>
  <c r="K5665" i="12"/>
  <c r="J5665" i="12"/>
  <c r="I5665" i="12"/>
  <c r="K5664" i="12"/>
  <c r="J5664" i="12"/>
  <c r="I5664" i="12"/>
  <c r="K5663" i="12"/>
  <c r="J5663" i="12"/>
  <c r="I5663" i="12"/>
  <c r="K5662" i="12"/>
  <c r="J5662" i="12"/>
  <c r="I5662" i="12"/>
  <c r="K5661" i="12"/>
  <c r="J5661" i="12"/>
  <c r="I5661" i="12"/>
  <c r="K5660" i="12"/>
  <c r="J5660" i="12"/>
  <c r="I5660" i="12"/>
  <c r="K5659" i="12"/>
  <c r="J5659" i="12"/>
  <c r="I5659" i="12"/>
  <c r="K5658" i="12"/>
  <c r="J5658" i="12"/>
  <c r="I5658" i="12"/>
  <c r="K5657" i="12"/>
  <c r="J5657" i="12"/>
  <c r="I5657" i="12"/>
  <c r="K5656" i="12"/>
  <c r="J5656" i="12"/>
  <c r="I5656" i="12"/>
  <c r="K5655" i="12"/>
  <c r="J5655" i="12"/>
  <c r="I5655" i="12"/>
  <c r="K5654" i="12"/>
  <c r="J5654" i="12"/>
  <c r="I5654" i="12"/>
  <c r="K5653" i="12"/>
  <c r="J5653" i="12"/>
  <c r="I5653" i="12"/>
  <c r="K5652" i="12"/>
  <c r="J5652" i="12"/>
  <c r="I5652" i="12"/>
  <c r="K5651" i="12"/>
  <c r="J5651" i="12"/>
  <c r="I5651" i="12"/>
  <c r="K5650" i="12"/>
  <c r="J5650" i="12"/>
  <c r="I5650" i="12"/>
  <c r="K5649" i="12"/>
  <c r="J5649" i="12"/>
  <c r="I5649" i="12"/>
  <c r="K5648" i="12"/>
  <c r="J5648" i="12"/>
  <c r="I5648" i="12"/>
  <c r="K5647" i="12"/>
  <c r="J5647" i="12"/>
  <c r="I5647" i="12"/>
  <c r="K5646" i="12"/>
  <c r="J5646" i="12"/>
  <c r="I5646" i="12"/>
  <c r="K5645" i="12"/>
  <c r="J5645" i="12"/>
  <c r="I5645" i="12"/>
  <c r="K5644" i="12"/>
  <c r="J5644" i="12"/>
  <c r="I5644" i="12"/>
  <c r="K5643" i="12"/>
  <c r="J5643" i="12"/>
  <c r="I5643" i="12"/>
  <c r="K5642" i="12"/>
  <c r="J5642" i="12"/>
  <c r="I5642" i="12"/>
  <c r="K5641" i="12"/>
  <c r="J5641" i="12"/>
  <c r="I5641" i="12"/>
  <c r="K5640" i="12"/>
  <c r="J5640" i="12"/>
  <c r="I5640" i="12"/>
  <c r="K5639" i="12"/>
  <c r="J5639" i="12"/>
  <c r="I5639" i="12"/>
  <c r="K5638" i="12"/>
  <c r="J5638" i="12"/>
  <c r="I5638" i="12"/>
  <c r="K5637" i="12"/>
  <c r="J5637" i="12"/>
  <c r="I5637" i="12"/>
  <c r="K5636" i="12"/>
  <c r="J5636" i="12"/>
  <c r="I5636" i="12"/>
  <c r="K5635" i="12"/>
  <c r="J5635" i="12"/>
  <c r="I5635" i="12"/>
  <c r="K5634" i="12"/>
  <c r="J5634" i="12"/>
  <c r="I5634" i="12"/>
  <c r="K5633" i="12"/>
  <c r="J5633" i="12"/>
  <c r="I5633" i="12"/>
  <c r="K5632" i="12"/>
  <c r="J5632" i="12"/>
  <c r="I5632" i="12"/>
  <c r="K5631" i="12"/>
  <c r="J5631" i="12"/>
  <c r="I5631" i="12"/>
  <c r="K5630" i="12"/>
  <c r="J5630" i="12"/>
  <c r="I5630" i="12"/>
  <c r="K5629" i="12"/>
  <c r="J5629" i="12"/>
  <c r="I5629" i="12"/>
  <c r="K5628" i="12"/>
  <c r="J5628" i="12"/>
  <c r="I5628" i="12"/>
  <c r="K5627" i="12"/>
  <c r="J5627" i="12"/>
  <c r="I5627" i="12"/>
  <c r="K5626" i="12"/>
  <c r="J5626" i="12"/>
  <c r="I5626" i="12"/>
  <c r="K5625" i="12"/>
  <c r="J5625" i="12"/>
  <c r="I5625" i="12"/>
  <c r="K5624" i="12"/>
  <c r="J5624" i="12"/>
  <c r="I5624" i="12"/>
  <c r="K5623" i="12"/>
  <c r="J5623" i="12"/>
  <c r="I5623" i="12"/>
  <c r="K5622" i="12"/>
  <c r="J5622" i="12"/>
  <c r="I5622" i="12"/>
  <c r="K5621" i="12"/>
  <c r="J5621" i="12"/>
  <c r="I5621" i="12"/>
  <c r="K5620" i="12"/>
  <c r="J5620" i="12"/>
  <c r="I5620" i="12"/>
  <c r="K5619" i="12"/>
  <c r="J5619" i="12"/>
  <c r="I5619" i="12"/>
  <c r="K5618" i="12"/>
  <c r="J5618" i="12"/>
  <c r="I5618" i="12"/>
  <c r="K5617" i="12"/>
  <c r="J5617" i="12"/>
  <c r="I5617" i="12"/>
  <c r="K5616" i="12"/>
  <c r="J5616" i="12"/>
  <c r="I5616" i="12"/>
  <c r="K5615" i="12"/>
  <c r="J5615" i="12"/>
  <c r="I5615" i="12"/>
  <c r="K5614" i="12"/>
  <c r="J5614" i="12"/>
  <c r="I5614" i="12"/>
  <c r="K5613" i="12"/>
  <c r="J5613" i="12"/>
  <c r="I5613" i="12"/>
  <c r="K5612" i="12"/>
  <c r="J5612" i="12"/>
  <c r="I5612" i="12"/>
  <c r="K5611" i="12"/>
  <c r="J5611" i="12"/>
  <c r="I5611" i="12"/>
  <c r="K5610" i="12"/>
  <c r="J5610" i="12"/>
  <c r="I5610" i="12"/>
  <c r="K5609" i="12"/>
  <c r="J5609" i="12"/>
  <c r="I5609" i="12"/>
  <c r="K5608" i="12"/>
  <c r="J5608" i="12"/>
  <c r="I5608" i="12"/>
  <c r="K5607" i="12"/>
  <c r="J5607" i="12"/>
  <c r="I5607" i="12"/>
  <c r="K5606" i="12"/>
  <c r="J5606" i="12"/>
  <c r="I5606" i="12"/>
  <c r="K5605" i="12"/>
  <c r="J5605" i="12"/>
  <c r="I5605" i="12"/>
  <c r="K5604" i="12"/>
  <c r="J5604" i="12"/>
  <c r="I5604" i="12"/>
  <c r="K5603" i="12"/>
  <c r="J5603" i="12"/>
  <c r="I5603" i="12"/>
  <c r="K5602" i="12"/>
  <c r="J5602" i="12"/>
  <c r="I5602" i="12"/>
  <c r="K5601" i="12"/>
  <c r="J5601" i="12"/>
  <c r="I5601" i="12"/>
  <c r="K5600" i="12"/>
  <c r="J5600" i="12"/>
  <c r="I5600" i="12"/>
  <c r="K5599" i="12"/>
  <c r="J5599" i="12"/>
  <c r="I5599" i="12"/>
  <c r="K5598" i="12"/>
  <c r="J5598" i="12"/>
  <c r="I5598" i="12"/>
  <c r="K5597" i="12"/>
  <c r="J5597" i="12"/>
  <c r="I5597" i="12"/>
  <c r="K5596" i="12"/>
  <c r="J5596" i="12"/>
  <c r="I5596" i="12"/>
  <c r="K5595" i="12"/>
  <c r="J5595" i="12"/>
  <c r="I5595" i="12"/>
  <c r="K5594" i="12"/>
  <c r="J5594" i="12"/>
  <c r="I5594" i="12"/>
  <c r="K5593" i="12"/>
  <c r="J5593" i="12"/>
  <c r="I5593" i="12"/>
  <c r="K5592" i="12"/>
  <c r="J5592" i="12"/>
  <c r="I5592" i="12"/>
  <c r="K5591" i="12"/>
  <c r="J5591" i="12"/>
  <c r="I5591" i="12"/>
  <c r="K5590" i="12"/>
  <c r="J5590" i="12"/>
  <c r="I5590" i="12"/>
  <c r="K5589" i="12"/>
  <c r="J5589" i="12"/>
  <c r="I5589" i="12"/>
  <c r="K5588" i="12"/>
  <c r="J5588" i="12"/>
  <c r="I5588" i="12"/>
  <c r="K5587" i="12"/>
  <c r="J5587" i="12"/>
  <c r="I5587" i="12"/>
  <c r="K5586" i="12"/>
  <c r="J5586" i="12"/>
  <c r="I5586" i="12"/>
  <c r="K5585" i="12"/>
  <c r="J5585" i="12"/>
  <c r="I5585" i="12"/>
  <c r="K5584" i="12"/>
  <c r="J5584" i="12"/>
  <c r="I5584" i="12"/>
  <c r="K5583" i="12"/>
  <c r="J5583" i="12"/>
  <c r="I5583" i="12"/>
  <c r="K5582" i="12"/>
  <c r="J5582" i="12"/>
  <c r="I5582" i="12"/>
  <c r="K5581" i="12"/>
  <c r="J5581" i="12"/>
  <c r="I5581" i="12"/>
  <c r="K5580" i="12"/>
  <c r="J5580" i="12"/>
  <c r="I5580" i="12"/>
  <c r="K5579" i="12"/>
  <c r="J5579" i="12"/>
  <c r="I5579" i="12"/>
  <c r="K5578" i="12"/>
  <c r="J5578" i="12"/>
  <c r="I5578" i="12"/>
  <c r="K5577" i="12"/>
  <c r="J5577" i="12"/>
  <c r="I5577" i="12"/>
  <c r="K5576" i="12"/>
  <c r="J5576" i="12"/>
  <c r="I5576" i="12"/>
  <c r="K5575" i="12"/>
  <c r="J5575" i="12"/>
  <c r="I5575" i="12"/>
  <c r="K5574" i="12"/>
  <c r="J5574" i="12"/>
  <c r="I5574" i="12"/>
  <c r="K5573" i="12"/>
  <c r="J5573" i="12"/>
  <c r="I5573" i="12"/>
  <c r="K5572" i="12"/>
  <c r="J5572" i="12"/>
  <c r="I5572" i="12"/>
  <c r="K5571" i="12"/>
  <c r="J5571" i="12"/>
  <c r="I5571" i="12"/>
  <c r="K5570" i="12"/>
  <c r="J5570" i="12"/>
  <c r="I5570" i="12"/>
  <c r="K5569" i="12"/>
  <c r="J5569" i="12"/>
  <c r="I5569" i="12"/>
  <c r="K5568" i="12"/>
  <c r="J5568" i="12"/>
  <c r="I5568" i="12"/>
  <c r="K5567" i="12"/>
  <c r="J5567" i="12"/>
  <c r="I5567" i="12"/>
  <c r="K5566" i="12"/>
  <c r="J5566" i="12"/>
  <c r="I5566" i="12"/>
  <c r="K5565" i="12"/>
  <c r="J5565" i="12"/>
  <c r="I5565" i="12"/>
  <c r="K5564" i="12"/>
  <c r="J5564" i="12"/>
  <c r="I5564" i="12"/>
  <c r="K5563" i="12"/>
  <c r="J5563" i="12"/>
  <c r="I5563" i="12"/>
  <c r="K5562" i="12"/>
  <c r="J5562" i="12"/>
  <c r="I5562" i="12"/>
  <c r="K5561" i="12"/>
  <c r="J5561" i="12"/>
  <c r="I5561" i="12"/>
  <c r="K5560" i="12"/>
  <c r="J5560" i="12"/>
  <c r="I5560" i="12"/>
  <c r="K5559" i="12"/>
  <c r="J5559" i="12"/>
  <c r="I5559" i="12"/>
  <c r="K5558" i="12"/>
  <c r="J5558" i="12"/>
  <c r="I5558" i="12"/>
  <c r="K5557" i="12"/>
  <c r="J5557" i="12"/>
  <c r="I5557" i="12"/>
  <c r="K5556" i="12"/>
  <c r="J5556" i="12"/>
  <c r="I5556" i="12"/>
  <c r="K5555" i="12"/>
  <c r="J5555" i="12"/>
  <c r="I5555" i="12"/>
  <c r="K5554" i="12"/>
  <c r="J5554" i="12"/>
  <c r="I5554" i="12"/>
  <c r="K5553" i="12"/>
  <c r="J5553" i="12"/>
  <c r="I5553" i="12"/>
  <c r="K5552" i="12"/>
  <c r="J5552" i="12"/>
  <c r="I5552" i="12"/>
  <c r="K5551" i="12"/>
  <c r="J5551" i="12"/>
  <c r="I5551" i="12"/>
  <c r="K5550" i="12"/>
  <c r="J5550" i="12"/>
  <c r="I5550" i="12"/>
  <c r="K5549" i="12"/>
  <c r="J5549" i="12"/>
  <c r="I5549" i="12"/>
  <c r="K5548" i="12"/>
  <c r="J5548" i="12"/>
  <c r="I5548" i="12"/>
  <c r="K5547" i="12"/>
  <c r="J5547" i="12"/>
  <c r="I5547" i="12"/>
  <c r="K5546" i="12"/>
  <c r="J5546" i="12"/>
  <c r="I5546" i="12"/>
  <c r="K5545" i="12"/>
  <c r="J5545" i="12"/>
  <c r="I5545" i="12"/>
  <c r="K5544" i="12"/>
  <c r="J5544" i="12"/>
  <c r="I5544" i="12"/>
  <c r="K5543" i="12"/>
  <c r="J5543" i="12"/>
  <c r="I5543" i="12"/>
  <c r="K5542" i="12"/>
  <c r="J5542" i="12"/>
  <c r="I5542" i="12"/>
  <c r="K5541" i="12"/>
  <c r="J5541" i="12"/>
  <c r="I5541" i="12"/>
  <c r="K5540" i="12"/>
  <c r="J5540" i="12"/>
  <c r="I5540" i="12"/>
  <c r="K5539" i="12"/>
  <c r="J5539" i="12"/>
  <c r="I5539" i="12"/>
  <c r="K5538" i="12"/>
  <c r="J5538" i="12"/>
  <c r="I5538" i="12"/>
  <c r="K5537" i="12"/>
  <c r="J5537" i="12"/>
  <c r="I5537" i="12"/>
  <c r="K5536" i="12"/>
  <c r="J5536" i="12"/>
  <c r="I5536" i="12"/>
  <c r="K5535" i="12"/>
  <c r="J5535" i="12"/>
  <c r="I5535" i="12"/>
  <c r="K5534" i="12"/>
  <c r="J5534" i="12"/>
  <c r="I5534" i="12"/>
  <c r="K5533" i="12"/>
  <c r="J5533" i="12"/>
  <c r="I5533" i="12"/>
  <c r="K5532" i="12"/>
  <c r="J5532" i="12"/>
  <c r="I5532" i="12"/>
  <c r="K5531" i="12"/>
  <c r="J5531" i="12"/>
  <c r="I5531" i="12"/>
  <c r="K5530" i="12"/>
  <c r="J5530" i="12"/>
  <c r="I5530" i="12"/>
  <c r="K5529" i="12"/>
  <c r="J5529" i="12"/>
  <c r="I5529" i="12"/>
  <c r="K5528" i="12"/>
  <c r="J5528" i="12"/>
  <c r="I5528" i="12"/>
  <c r="K5527" i="12"/>
  <c r="J5527" i="12"/>
  <c r="I5527" i="12"/>
  <c r="K5526" i="12"/>
  <c r="J5526" i="12"/>
  <c r="I5526" i="12"/>
  <c r="K5525" i="12"/>
  <c r="J5525" i="12"/>
  <c r="I5525" i="12"/>
  <c r="K5524" i="12"/>
  <c r="J5524" i="12"/>
  <c r="I5524" i="12"/>
  <c r="K5523" i="12"/>
  <c r="J5523" i="12"/>
  <c r="I5523" i="12"/>
  <c r="K5522" i="12"/>
  <c r="J5522" i="12"/>
  <c r="I5522" i="12"/>
  <c r="K5521" i="12"/>
  <c r="J5521" i="12"/>
  <c r="I5521" i="12"/>
  <c r="K5520" i="12"/>
  <c r="J5520" i="12"/>
  <c r="I5520" i="12"/>
  <c r="K5519" i="12"/>
  <c r="J5519" i="12"/>
  <c r="I5519" i="12"/>
  <c r="K5518" i="12"/>
  <c r="J5518" i="12"/>
  <c r="I5518" i="12"/>
  <c r="K5517" i="12"/>
  <c r="J5517" i="12"/>
  <c r="I5517" i="12"/>
  <c r="K5516" i="12"/>
  <c r="J5516" i="12"/>
  <c r="I5516" i="12"/>
  <c r="K5515" i="12"/>
  <c r="J5515" i="12"/>
  <c r="I5515" i="12"/>
  <c r="K5514" i="12"/>
  <c r="J5514" i="12"/>
  <c r="I5514" i="12"/>
  <c r="K5513" i="12"/>
  <c r="J5513" i="12"/>
  <c r="I5513" i="12"/>
  <c r="K5512" i="12"/>
  <c r="J5512" i="12"/>
  <c r="I5512" i="12"/>
  <c r="K5511" i="12"/>
  <c r="J5511" i="12"/>
  <c r="I5511" i="12"/>
  <c r="K5510" i="12"/>
  <c r="J5510" i="12"/>
  <c r="I5510" i="12"/>
  <c r="K5509" i="12"/>
  <c r="J5509" i="12"/>
  <c r="I5509" i="12"/>
  <c r="K5508" i="12"/>
  <c r="J5508" i="12"/>
  <c r="I5508" i="12"/>
  <c r="K5507" i="12"/>
  <c r="J5507" i="12"/>
  <c r="I5507" i="12"/>
  <c r="K5506" i="12"/>
  <c r="J5506" i="12"/>
  <c r="I5506" i="12"/>
  <c r="K5505" i="12"/>
  <c r="J5505" i="12"/>
  <c r="I5505" i="12"/>
  <c r="K5504" i="12"/>
  <c r="J5504" i="12"/>
  <c r="I5504" i="12"/>
  <c r="K5503" i="12"/>
  <c r="J5503" i="12"/>
  <c r="I5503" i="12"/>
  <c r="K5502" i="12"/>
  <c r="J5502" i="12"/>
  <c r="I5502" i="12"/>
  <c r="K5501" i="12"/>
  <c r="J5501" i="12"/>
  <c r="I5501" i="12"/>
  <c r="K5500" i="12"/>
  <c r="J5500" i="12"/>
  <c r="I5500" i="12"/>
  <c r="K5499" i="12"/>
  <c r="J5499" i="12"/>
  <c r="I5499" i="12"/>
  <c r="K5498" i="12"/>
  <c r="J5498" i="12"/>
  <c r="I5498" i="12"/>
  <c r="K5497" i="12"/>
  <c r="J5497" i="12"/>
  <c r="I5497" i="12"/>
  <c r="K5496" i="12"/>
  <c r="J5496" i="12"/>
  <c r="I5496" i="12"/>
  <c r="K5495" i="12"/>
  <c r="J5495" i="12"/>
  <c r="I5495" i="12"/>
  <c r="K5494" i="12"/>
  <c r="J5494" i="12"/>
  <c r="I5494" i="12"/>
  <c r="K5493" i="12"/>
  <c r="J5493" i="12"/>
  <c r="I5493" i="12"/>
  <c r="K5492" i="12"/>
  <c r="J5492" i="12"/>
  <c r="I5492" i="12"/>
  <c r="K5491" i="12"/>
  <c r="J5491" i="12"/>
  <c r="I5491" i="12"/>
  <c r="K5490" i="12"/>
  <c r="J5490" i="12"/>
  <c r="I5490" i="12"/>
  <c r="K5489" i="12"/>
  <c r="J5489" i="12"/>
  <c r="I5489" i="12"/>
  <c r="K5488" i="12"/>
  <c r="J5488" i="12"/>
  <c r="I5488" i="12"/>
  <c r="K5487" i="12"/>
  <c r="J5487" i="12"/>
  <c r="I5487" i="12"/>
  <c r="K5486" i="12"/>
  <c r="J5486" i="12"/>
  <c r="I5486" i="12"/>
  <c r="K5485" i="12"/>
  <c r="J5485" i="12"/>
  <c r="I5485" i="12"/>
  <c r="K5484" i="12"/>
  <c r="J5484" i="12"/>
  <c r="I5484" i="12"/>
  <c r="K5483" i="12"/>
  <c r="J5483" i="12"/>
  <c r="I5483" i="12"/>
  <c r="K5482" i="12"/>
  <c r="J5482" i="12"/>
  <c r="I5482" i="12"/>
  <c r="K5481" i="12"/>
  <c r="J5481" i="12"/>
  <c r="I5481" i="12"/>
  <c r="K5480" i="12"/>
  <c r="J5480" i="12"/>
  <c r="I5480" i="12"/>
  <c r="K5479" i="12"/>
  <c r="J5479" i="12"/>
  <c r="I5479" i="12"/>
  <c r="K5478" i="12"/>
  <c r="J5478" i="12"/>
  <c r="I5478" i="12"/>
  <c r="K5477" i="12"/>
  <c r="J5477" i="12"/>
  <c r="I5477" i="12"/>
  <c r="K5476" i="12"/>
  <c r="J5476" i="12"/>
  <c r="I5476" i="12"/>
  <c r="K5475" i="12"/>
  <c r="J5475" i="12"/>
  <c r="I5475" i="12"/>
  <c r="K5474" i="12"/>
  <c r="J5474" i="12"/>
  <c r="I5474" i="12"/>
  <c r="K5473" i="12"/>
  <c r="J5473" i="12"/>
  <c r="I5473" i="12"/>
  <c r="K5472" i="12"/>
  <c r="J5472" i="12"/>
  <c r="I5472" i="12"/>
  <c r="K5471" i="12"/>
  <c r="J5471" i="12"/>
  <c r="I5471" i="12"/>
  <c r="K5470" i="12"/>
  <c r="J5470" i="12"/>
  <c r="I5470" i="12"/>
  <c r="K5469" i="12"/>
  <c r="J5469" i="12"/>
  <c r="I5469" i="12"/>
  <c r="K5468" i="12"/>
  <c r="J5468" i="12"/>
  <c r="I5468" i="12"/>
  <c r="K5467" i="12"/>
  <c r="J5467" i="12"/>
  <c r="I5467" i="12"/>
  <c r="K5466" i="12"/>
  <c r="J5466" i="12"/>
  <c r="I5466" i="12"/>
  <c r="K5465" i="12"/>
  <c r="J5465" i="12"/>
  <c r="I5465" i="12"/>
  <c r="K5464" i="12"/>
  <c r="J5464" i="12"/>
  <c r="I5464" i="12"/>
  <c r="K5463" i="12"/>
  <c r="J5463" i="12"/>
  <c r="I5463" i="12"/>
  <c r="K5462" i="12"/>
  <c r="J5462" i="12"/>
  <c r="I5462" i="12"/>
  <c r="K5461" i="12"/>
  <c r="J5461" i="12"/>
  <c r="I5461" i="12"/>
  <c r="K5460" i="12"/>
  <c r="J5460" i="12"/>
  <c r="I5460" i="12"/>
  <c r="K5459" i="12"/>
  <c r="J5459" i="12"/>
  <c r="I5459" i="12"/>
  <c r="K5458" i="12"/>
  <c r="J5458" i="12"/>
  <c r="I5458" i="12"/>
  <c r="K5457" i="12"/>
  <c r="J5457" i="12"/>
  <c r="I5457" i="12"/>
  <c r="K5456" i="12"/>
  <c r="J5456" i="12"/>
  <c r="I5456" i="12"/>
  <c r="K5455" i="12"/>
  <c r="J5455" i="12"/>
  <c r="I5455" i="12"/>
  <c r="K5454" i="12"/>
  <c r="J5454" i="12"/>
  <c r="I5454" i="12"/>
  <c r="K5453" i="12"/>
  <c r="J5453" i="12"/>
  <c r="I5453" i="12"/>
  <c r="K5452" i="12"/>
  <c r="J5452" i="12"/>
  <c r="I5452" i="12"/>
  <c r="K5451" i="12"/>
  <c r="J5451" i="12"/>
  <c r="I5451" i="12"/>
  <c r="K5450" i="12"/>
  <c r="J5450" i="12"/>
  <c r="I5450" i="12"/>
  <c r="K5449" i="12"/>
  <c r="J5449" i="12"/>
  <c r="I5449" i="12"/>
  <c r="K5448" i="12"/>
  <c r="J5448" i="12"/>
  <c r="I5448" i="12"/>
  <c r="K5447" i="12"/>
  <c r="J5447" i="12"/>
  <c r="I5447" i="12"/>
  <c r="K5446" i="12"/>
  <c r="J5446" i="12"/>
  <c r="I5446" i="12"/>
  <c r="K5445" i="12"/>
  <c r="J5445" i="12"/>
  <c r="I5445" i="12"/>
  <c r="K5444" i="12"/>
  <c r="J5444" i="12"/>
  <c r="I5444" i="12"/>
  <c r="K5443" i="12"/>
  <c r="J5443" i="12"/>
  <c r="I5443" i="12"/>
  <c r="K5442" i="12"/>
  <c r="J5442" i="12"/>
  <c r="I5442" i="12"/>
  <c r="K5441" i="12"/>
  <c r="J5441" i="12"/>
  <c r="I5441" i="12"/>
  <c r="K5440" i="12"/>
  <c r="J5440" i="12"/>
  <c r="I5440" i="12"/>
  <c r="K5439" i="12"/>
  <c r="J5439" i="12"/>
  <c r="I5439" i="12"/>
  <c r="K5438" i="12"/>
  <c r="J5438" i="12"/>
  <c r="I5438" i="12"/>
  <c r="K5437" i="12"/>
  <c r="J5437" i="12"/>
  <c r="I5437" i="12"/>
  <c r="K5436" i="12"/>
  <c r="J5436" i="12"/>
  <c r="I5436" i="12"/>
  <c r="K5435" i="12"/>
  <c r="J5435" i="12"/>
  <c r="I5435" i="12"/>
  <c r="K5434" i="12"/>
  <c r="J5434" i="12"/>
  <c r="I5434" i="12"/>
  <c r="K5433" i="12"/>
  <c r="J5433" i="12"/>
  <c r="I5433" i="12"/>
  <c r="K5432" i="12"/>
  <c r="J5432" i="12"/>
  <c r="I5432" i="12"/>
  <c r="K5431" i="12"/>
  <c r="J5431" i="12"/>
  <c r="I5431" i="12"/>
  <c r="K5430" i="12"/>
  <c r="J5430" i="12"/>
  <c r="I5430" i="12"/>
  <c r="K5429" i="12"/>
  <c r="J5429" i="12"/>
  <c r="I5429" i="12"/>
  <c r="K5428" i="12"/>
  <c r="J5428" i="12"/>
  <c r="I5428" i="12"/>
  <c r="K5427" i="12"/>
  <c r="J5427" i="12"/>
  <c r="I5427" i="12"/>
  <c r="K5426" i="12"/>
  <c r="J5426" i="12"/>
  <c r="I5426" i="12"/>
  <c r="K5425" i="12"/>
  <c r="J5425" i="12"/>
  <c r="I5425" i="12"/>
  <c r="K5424" i="12"/>
  <c r="J5424" i="12"/>
  <c r="I5424" i="12"/>
  <c r="K5423" i="12"/>
  <c r="J5423" i="12"/>
  <c r="I5423" i="12"/>
  <c r="K5422" i="12"/>
  <c r="J5422" i="12"/>
  <c r="I5422" i="12"/>
  <c r="K5421" i="12"/>
  <c r="J5421" i="12"/>
  <c r="I5421" i="12"/>
  <c r="K5420" i="12"/>
  <c r="J5420" i="12"/>
  <c r="I5420" i="12"/>
  <c r="K5419" i="12"/>
  <c r="J5419" i="12"/>
  <c r="I5419" i="12"/>
  <c r="K5418" i="12"/>
  <c r="J5418" i="12"/>
  <c r="I5418" i="12"/>
  <c r="K5417" i="12"/>
  <c r="J5417" i="12"/>
  <c r="I5417" i="12"/>
  <c r="K5416" i="12"/>
  <c r="J5416" i="12"/>
  <c r="I5416" i="12"/>
  <c r="K5415" i="12"/>
  <c r="J5415" i="12"/>
  <c r="I5415" i="12"/>
  <c r="K5414" i="12"/>
  <c r="J5414" i="12"/>
  <c r="I5414" i="12"/>
  <c r="K5413" i="12"/>
  <c r="J5413" i="12"/>
  <c r="I5413" i="12"/>
  <c r="K5412" i="12"/>
  <c r="J5412" i="12"/>
  <c r="I5412" i="12"/>
  <c r="K5411" i="12"/>
  <c r="J5411" i="12"/>
  <c r="I5411" i="12"/>
  <c r="K5410" i="12"/>
  <c r="J5410" i="12"/>
  <c r="I5410" i="12"/>
  <c r="K5409" i="12"/>
  <c r="J5409" i="12"/>
  <c r="I5409" i="12"/>
  <c r="K5408" i="12"/>
  <c r="J5408" i="12"/>
  <c r="I5408" i="12"/>
  <c r="K5407" i="12"/>
  <c r="J5407" i="12"/>
  <c r="I5407" i="12"/>
  <c r="K5406" i="12"/>
  <c r="J5406" i="12"/>
  <c r="I5406" i="12"/>
  <c r="K5405" i="12"/>
  <c r="J5405" i="12"/>
  <c r="I5405" i="12"/>
  <c r="K5404" i="12"/>
  <c r="J5404" i="12"/>
  <c r="I5404" i="12"/>
  <c r="K5403" i="12"/>
  <c r="J5403" i="12"/>
  <c r="I5403" i="12"/>
  <c r="K5402" i="12"/>
  <c r="J5402" i="12"/>
  <c r="I5402" i="12"/>
  <c r="K5401" i="12"/>
  <c r="J5401" i="12"/>
  <c r="I5401" i="12"/>
  <c r="K5400" i="12"/>
  <c r="J5400" i="12"/>
  <c r="I5400" i="12"/>
  <c r="K5399" i="12"/>
  <c r="J5399" i="12"/>
  <c r="I5399" i="12"/>
  <c r="K5398" i="12"/>
  <c r="J5398" i="12"/>
  <c r="I5398" i="12"/>
  <c r="K5397" i="12"/>
  <c r="J5397" i="12"/>
  <c r="I5397" i="12"/>
  <c r="K5396" i="12"/>
  <c r="J5396" i="12"/>
  <c r="I5396" i="12"/>
  <c r="K5395" i="12"/>
  <c r="J5395" i="12"/>
  <c r="I5395" i="12"/>
  <c r="K5394" i="12"/>
  <c r="J5394" i="12"/>
  <c r="I5394" i="12"/>
  <c r="K5393" i="12"/>
  <c r="J5393" i="12"/>
  <c r="I5393" i="12"/>
  <c r="K5392" i="12"/>
  <c r="J5392" i="12"/>
  <c r="I5392" i="12"/>
  <c r="K5391" i="12"/>
  <c r="J5391" i="12"/>
  <c r="I5391" i="12"/>
  <c r="K5390" i="12"/>
  <c r="J5390" i="12"/>
  <c r="I5390" i="12"/>
  <c r="K5389" i="12"/>
  <c r="J5389" i="12"/>
  <c r="I5389" i="12"/>
  <c r="K5388" i="12"/>
  <c r="J5388" i="12"/>
  <c r="I5388" i="12"/>
  <c r="K5387" i="12"/>
  <c r="J5387" i="12"/>
  <c r="I5387" i="12"/>
  <c r="K5386" i="12"/>
  <c r="J5386" i="12"/>
  <c r="I5386" i="12"/>
  <c r="K5385" i="12"/>
  <c r="J5385" i="12"/>
  <c r="I5385" i="12"/>
  <c r="K5384" i="12"/>
  <c r="J5384" i="12"/>
  <c r="I5384" i="12"/>
  <c r="K5383" i="12"/>
  <c r="J5383" i="12"/>
  <c r="I5383" i="12"/>
  <c r="K5382" i="12"/>
  <c r="J5382" i="12"/>
  <c r="I5382" i="12"/>
  <c r="K5381" i="12"/>
  <c r="J5381" i="12"/>
  <c r="I5381" i="12"/>
  <c r="K5380" i="12"/>
  <c r="J5380" i="12"/>
  <c r="I5380" i="12"/>
  <c r="K5379" i="12"/>
  <c r="J5379" i="12"/>
  <c r="I5379" i="12"/>
  <c r="K5378" i="12"/>
  <c r="J5378" i="12"/>
  <c r="I5378" i="12"/>
  <c r="K5377" i="12"/>
  <c r="J5377" i="12"/>
  <c r="I5377" i="12"/>
  <c r="K5376" i="12"/>
  <c r="J5376" i="12"/>
  <c r="I5376" i="12"/>
  <c r="K5375" i="12"/>
  <c r="J5375" i="12"/>
  <c r="I5375" i="12"/>
  <c r="K5374" i="12"/>
  <c r="J5374" i="12"/>
  <c r="I5374" i="12"/>
  <c r="K5373" i="12"/>
  <c r="J5373" i="12"/>
  <c r="I5373" i="12"/>
  <c r="K5372" i="12"/>
  <c r="J5372" i="12"/>
  <c r="I5372" i="12"/>
  <c r="K5371" i="12"/>
  <c r="J5371" i="12"/>
  <c r="I5371" i="12"/>
  <c r="K5370" i="12"/>
  <c r="J5370" i="12"/>
  <c r="I5370" i="12"/>
  <c r="K5369" i="12"/>
  <c r="J5369" i="12"/>
  <c r="I5369" i="12"/>
  <c r="K5368" i="12"/>
  <c r="J5368" i="12"/>
  <c r="I5368" i="12"/>
  <c r="K5367" i="12"/>
  <c r="J5367" i="12"/>
  <c r="I5367" i="12"/>
  <c r="K5366" i="12"/>
  <c r="J5366" i="12"/>
  <c r="I5366" i="12"/>
  <c r="K5365" i="12"/>
  <c r="J5365" i="12"/>
  <c r="I5365" i="12"/>
  <c r="K5364" i="12"/>
  <c r="J5364" i="12"/>
  <c r="I5364" i="12"/>
  <c r="K5363" i="12"/>
  <c r="J5363" i="12"/>
  <c r="I5363" i="12"/>
  <c r="K5362" i="12"/>
  <c r="J5362" i="12"/>
  <c r="I5362" i="12"/>
  <c r="K5361" i="12"/>
  <c r="J5361" i="12"/>
  <c r="I5361" i="12"/>
  <c r="K5360" i="12"/>
  <c r="J5360" i="12"/>
  <c r="I5360" i="12"/>
  <c r="K5359" i="12"/>
  <c r="J5359" i="12"/>
  <c r="I5359" i="12"/>
  <c r="K5358" i="12"/>
  <c r="J5358" i="12"/>
  <c r="I5358" i="12"/>
  <c r="K5357" i="12"/>
  <c r="J5357" i="12"/>
  <c r="I5357" i="12"/>
  <c r="K5356" i="12"/>
  <c r="J5356" i="12"/>
  <c r="I5356" i="12"/>
  <c r="K5355" i="12"/>
  <c r="J5355" i="12"/>
  <c r="I5355" i="12"/>
  <c r="K5354" i="12"/>
  <c r="J5354" i="12"/>
  <c r="I5354" i="12"/>
  <c r="K5353" i="12"/>
  <c r="J5353" i="12"/>
  <c r="I5353" i="12"/>
  <c r="K5352" i="12"/>
  <c r="J5352" i="12"/>
  <c r="I5352" i="12"/>
  <c r="K5351" i="12"/>
  <c r="J5351" i="12"/>
  <c r="I5351" i="12"/>
  <c r="K5350" i="12"/>
  <c r="J5350" i="12"/>
  <c r="I5350" i="12"/>
  <c r="K5349" i="12"/>
  <c r="J5349" i="12"/>
  <c r="I5349" i="12"/>
  <c r="K5348" i="12"/>
  <c r="J5348" i="12"/>
  <c r="I5348" i="12"/>
  <c r="K5347" i="12"/>
  <c r="J5347" i="12"/>
  <c r="I5347" i="12"/>
  <c r="K5346" i="12"/>
  <c r="J5346" i="12"/>
  <c r="I5346" i="12"/>
  <c r="K5345" i="12"/>
  <c r="J5345" i="12"/>
  <c r="I5345" i="12"/>
  <c r="K5344" i="12"/>
  <c r="J5344" i="12"/>
  <c r="I5344" i="12"/>
  <c r="K5343" i="12"/>
  <c r="J5343" i="12"/>
  <c r="I5343" i="12"/>
  <c r="K5342" i="12"/>
  <c r="J5342" i="12"/>
  <c r="I5342" i="12"/>
  <c r="K5341" i="12"/>
  <c r="J5341" i="12"/>
  <c r="I5341" i="12"/>
  <c r="K5340" i="12"/>
  <c r="J5340" i="12"/>
  <c r="I5340" i="12"/>
  <c r="K5339" i="12"/>
  <c r="J5339" i="12"/>
  <c r="I5339" i="12"/>
  <c r="K5338" i="12"/>
  <c r="J5338" i="12"/>
  <c r="I5338" i="12"/>
  <c r="K5337" i="12"/>
  <c r="J5337" i="12"/>
  <c r="I5337" i="12"/>
  <c r="K5336" i="12"/>
  <c r="J5336" i="12"/>
  <c r="I5336" i="12"/>
  <c r="K5335" i="12"/>
  <c r="J5335" i="12"/>
  <c r="I5335" i="12"/>
  <c r="K5334" i="12"/>
  <c r="J5334" i="12"/>
  <c r="I5334" i="12"/>
  <c r="K5333" i="12"/>
  <c r="J5333" i="12"/>
  <c r="I5333" i="12"/>
  <c r="K5332" i="12"/>
  <c r="J5332" i="12"/>
  <c r="I5332" i="12"/>
  <c r="K5331" i="12"/>
  <c r="J5331" i="12"/>
  <c r="I5331" i="12"/>
  <c r="K5330" i="12"/>
  <c r="J5330" i="12"/>
  <c r="I5330" i="12"/>
  <c r="K5329" i="12"/>
  <c r="J5329" i="12"/>
  <c r="I5329" i="12"/>
  <c r="K5328" i="12"/>
  <c r="J5328" i="12"/>
  <c r="I5328" i="12"/>
  <c r="K5327" i="12"/>
  <c r="J5327" i="12"/>
  <c r="I5327" i="12"/>
  <c r="K5326" i="12"/>
  <c r="J5326" i="12"/>
  <c r="I5326" i="12"/>
  <c r="K5325" i="12"/>
  <c r="J5325" i="12"/>
  <c r="I5325" i="12"/>
  <c r="K5324" i="12"/>
  <c r="J5324" i="12"/>
  <c r="I5324" i="12"/>
  <c r="K5323" i="12"/>
  <c r="J5323" i="12"/>
  <c r="I5323" i="12"/>
  <c r="K5322" i="12"/>
  <c r="J5322" i="12"/>
  <c r="I5322" i="12"/>
  <c r="K5321" i="12"/>
  <c r="J5321" i="12"/>
  <c r="I5321" i="12"/>
  <c r="K5320" i="12"/>
  <c r="J5320" i="12"/>
  <c r="I5320" i="12"/>
  <c r="K5319" i="12"/>
  <c r="J5319" i="12"/>
  <c r="I5319" i="12"/>
  <c r="K5318" i="12"/>
  <c r="J5318" i="12"/>
  <c r="I5318" i="12"/>
  <c r="K5317" i="12"/>
  <c r="J5317" i="12"/>
  <c r="I5317" i="12"/>
  <c r="K5316" i="12"/>
  <c r="J5316" i="12"/>
  <c r="I5316" i="12"/>
  <c r="K5315" i="12"/>
  <c r="J5315" i="12"/>
  <c r="I5315" i="12"/>
  <c r="K5314" i="12"/>
  <c r="J5314" i="12"/>
  <c r="I5314" i="12"/>
  <c r="K5313" i="12"/>
  <c r="J5313" i="12"/>
  <c r="I5313" i="12"/>
  <c r="K5312" i="12"/>
  <c r="J5312" i="12"/>
  <c r="I5312" i="12"/>
  <c r="K5311" i="12"/>
  <c r="J5311" i="12"/>
  <c r="I5311" i="12"/>
  <c r="K5310" i="12"/>
  <c r="J5310" i="12"/>
  <c r="I5310" i="12"/>
  <c r="K5309" i="12"/>
  <c r="J5309" i="12"/>
  <c r="I5309" i="12"/>
  <c r="K5308" i="12"/>
  <c r="J5308" i="12"/>
  <c r="I5308" i="12"/>
  <c r="K5307" i="12"/>
  <c r="J5307" i="12"/>
  <c r="I5307" i="12"/>
  <c r="K5306" i="12"/>
  <c r="J5306" i="12"/>
  <c r="I5306" i="12"/>
  <c r="K5305" i="12"/>
  <c r="J5305" i="12"/>
  <c r="I5305" i="12"/>
  <c r="K5304" i="12"/>
  <c r="J5304" i="12"/>
  <c r="I5304" i="12"/>
  <c r="K5303" i="12"/>
  <c r="J5303" i="12"/>
  <c r="I5303" i="12"/>
  <c r="K5302" i="12"/>
  <c r="J5302" i="12"/>
  <c r="I5302" i="12"/>
  <c r="K5301" i="12"/>
  <c r="J5301" i="12"/>
  <c r="I5301" i="12"/>
  <c r="K5300" i="12"/>
  <c r="J5300" i="12"/>
  <c r="I5300" i="12"/>
  <c r="K5299" i="12"/>
  <c r="J5299" i="12"/>
  <c r="I5299" i="12"/>
  <c r="K5298" i="12"/>
  <c r="J5298" i="12"/>
  <c r="I5298" i="12"/>
  <c r="K5297" i="12"/>
  <c r="J5297" i="12"/>
  <c r="I5297" i="12"/>
  <c r="K5296" i="12"/>
  <c r="J5296" i="12"/>
  <c r="I5296" i="12"/>
  <c r="K5295" i="12"/>
  <c r="J5295" i="12"/>
  <c r="I5295" i="12"/>
  <c r="K5294" i="12"/>
  <c r="J5294" i="12"/>
  <c r="I5294" i="12"/>
  <c r="K5293" i="12"/>
  <c r="J5293" i="12"/>
  <c r="I5293" i="12"/>
  <c r="K5292" i="12"/>
  <c r="J5292" i="12"/>
  <c r="I5292" i="12"/>
  <c r="K5291" i="12"/>
  <c r="J5291" i="12"/>
  <c r="I5291" i="12"/>
  <c r="K5290" i="12"/>
  <c r="J5290" i="12"/>
  <c r="I5290" i="12"/>
  <c r="K5289" i="12"/>
  <c r="J5289" i="12"/>
  <c r="I5289" i="12"/>
  <c r="K5288" i="12"/>
  <c r="J5288" i="12"/>
  <c r="I5288" i="12"/>
  <c r="K5287" i="12"/>
  <c r="J5287" i="12"/>
  <c r="I5287" i="12"/>
  <c r="K5286" i="12"/>
  <c r="J5286" i="12"/>
  <c r="I5286" i="12"/>
  <c r="K5285" i="12"/>
  <c r="J5285" i="12"/>
  <c r="I5285" i="12"/>
  <c r="K5284" i="12"/>
  <c r="J5284" i="12"/>
  <c r="I5284" i="12"/>
  <c r="K5283" i="12"/>
  <c r="J5283" i="12"/>
  <c r="I5283" i="12"/>
  <c r="K5282" i="12"/>
  <c r="J5282" i="12"/>
  <c r="I5282" i="12"/>
  <c r="K5281" i="12"/>
  <c r="J5281" i="12"/>
  <c r="I5281" i="12"/>
  <c r="K5280" i="12"/>
  <c r="J5280" i="12"/>
  <c r="I5280" i="12"/>
  <c r="K5279" i="12"/>
  <c r="J5279" i="12"/>
  <c r="I5279" i="12"/>
  <c r="K5278" i="12"/>
  <c r="J5278" i="12"/>
  <c r="I5278" i="12"/>
  <c r="K5277" i="12"/>
  <c r="J5277" i="12"/>
  <c r="I5277" i="12"/>
  <c r="K5276" i="12"/>
  <c r="J5276" i="12"/>
  <c r="I5276" i="12"/>
  <c r="K5275" i="12"/>
  <c r="J5275" i="12"/>
  <c r="I5275" i="12"/>
  <c r="K5274" i="12"/>
  <c r="J5274" i="12"/>
  <c r="I5274" i="12"/>
  <c r="K5273" i="12"/>
  <c r="J5273" i="12"/>
  <c r="I5273" i="12"/>
  <c r="K5272" i="12"/>
  <c r="J5272" i="12"/>
  <c r="I5272" i="12"/>
  <c r="K5271" i="12"/>
  <c r="J5271" i="12"/>
  <c r="I5271" i="12"/>
  <c r="K5270" i="12"/>
  <c r="J5270" i="12"/>
  <c r="I5270" i="12"/>
  <c r="K5269" i="12"/>
  <c r="J5269" i="12"/>
  <c r="I5269" i="12"/>
  <c r="K5268" i="12"/>
  <c r="J5268" i="12"/>
  <c r="I5268" i="12"/>
  <c r="K5267" i="12"/>
  <c r="J5267" i="12"/>
  <c r="I5267" i="12"/>
  <c r="K5266" i="12"/>
  <c r="J5266" i="12"/>
  <c r="I5266" i="12"/>
  <c r="K5265" i="12"/>
  <c r="J5265" i="12"/>
  <c r="I5265" i="12"/>
  <c r="K5264" i="12"/>
  <c r="J5264" i="12"/>
  <c r="I5264" i="12"/>
  <c r="K5263" i="12"/>
  <c r="J5263" i="12"/>
  <c r="I5263" i="12"/>
  <c r="K5262" i="12"/>
  <c r="J5262" i="12"/>
  <c r="I5262" i="12"/>
  <c r="K5261" i="12"/>
  <c r="J5261" i="12"/>
  <c r="I5261" i="12"/>
  <c r="K5260" i="12"/>
  <c r="J5260" i="12"/>
  <c r="I5260" i="12"/>
  <c r="K5259" i="12"/>
  <c r="J5259" i="12"/>
  <c r="I5259" i="12"/>
  <c r="K5258" i="12"/>
  <c r="J5258" i="12"/>
  <c r="I5258" i="12"/>
  <c r="K5257" i="12"/>
  <c r="J5257" i="12"/>
  <c r="I5257" i="12"/>
  <c r="K5256" i="12"/>
  <c r="J5256" i="12"/>
  <c r="I5256" i="12"/>
  <c r="K5255" i="12"/>
  <c r="J5255" i="12"/>
  <c r="I5255" i="12"/>
  <c r="K5254" i="12"/>
  <c r="J5254" i="12"/>
  <c r="I5254" i="12"/>
  <c r="K5253" i="12"/>
  <c r="J5253" i="12"/>
  <c r="I5253" i="12"/>
  <c r="K5252" i="12"/>
  <c r="J5252" i="12"/>
  <c r="I5252" i="12"/>
  <c r="K5251" i="12"/>
  <c r="J5251" i="12"/>
  <c r="I5251" i="12"/>
  <c r="K5250" i="12"/>
  <c r="J5250" i="12"/>
  <c r="I5250" i="12"/>
  <c r="K5249" i="12"/>
  <c r="J5249" i="12"/>
  <c r="I5249" i="12"/>
  <c r="K5248" i="12"/>
  <c r="J5248" i="12"/>
  <c r="I5248" i="12"/>
  <c r="K5247" i="12"/>
  <c r="J5247" i="12"/>
  <c r="I5247" i="12"/>
  <c r="K5246" i="12"/>
  <c r="J5246" i="12"/>
  <c r="I5246" i="12"/>
  <c r="K5245" i="12"/>
  <c r="J5245" i="12"/>
  <c r="I5245" i="12"/>
  <c r="K5244" i="12"/>
  <c r="J5244" i="12"/>
  <c r="I5244" i="12"/>
  <c r="K5243" i="12"/>
  <c r="J5243" i="12"/>
  <c r="I5243" i="12"/>
  <c r="K5242" i="12"/>
  <c r="J5242" i="12"/>
  <c r="I5242" i="12"/>
  <c r="K5241" i="12"/>
  <c r="J5241" i="12"/>
  <c r="I5241" i="12"/>
  <c r="K5240" i="12"/>
  <c r="J5240" i="12"/>
  <c r="I5240" i="12"/>
  <c r="K5239" i="12"/>
  <c r="J5239" i="12"/>
  <c r="I5239" i="12"/>
  <c r="K5238" i="12"/>
  <c r="J5238" i="12"/>
  <c r="I5238" i="12"/>
  <c r="K5237" i="12"/>
  <c r="J5237" i="12"/>
  <c r="I5237" i="12"/>
  <c r="K5236" i="12"/>
  <c r="J5236" i="12"/>
  <c r="I5236" i="12"/>
  <c r="K5235" i="12"/>
  <c r="J5235" i="12"/>
  <c r="I5235" i="12"/>
  <c r="K5234" i="12"/>
  <c r="J5234" i="12"/>
  <c r="I5234" i="12"/>
  <c r="K5233" i="12"/>
  <c r="J5233" i="12"/>
  <c r="I5233" i="12"/>
  <c r="K5232" i="12"/>
  <c r="J5232" i="12"/>
  <c r="I5232" i="12"/>
  <c r="K5231" i="12"/>
  <c r="J5231" i="12"/>
  <c r="I5231" i="12"/>
  <c r="K5230" i="12"/>
  <c r="J5230" i="12"/>
  <c r="I5230" i="12"/>
  <c r="K5229" i="12"/>
  <c r="J5229" i="12"/>
  <c r="I5229" i="12"/>
  <c r="K5228" i="12"/>
  <c r="J5228" i="12"/>
  <c r="I5228" i="12"/>
  <c r="K5227" i="12"/>
  <c r="J5227" i="12"/>
  <c r="I5227" i="12"/>
  <c r="K5226" i="12"/>
  <c r="J5226" i="12"/>
  <c r="I5226" i="12"/>
  <c r="K5225" i="12"/>
  <c r="J5225" i="12"/>
  <c r="I5225" i="12"/>
  <c r="K5224" i="12"/>
  <c r="J5224" i="12"/>
  <c r="I5224" i="12"/>
  <c r="K5223" i="12"/>
  <c r="J5223" i="12"/>
  <c r="I5223" i="12"/>
  <c r="K5222" i="12"/>
  <c r="J5222" i="12"/>
  <c r="I5222" i="12"/>
  <c r="K5221" i="12"/>
  <c r="J5221" i="12"/>
  <c r="I5221" i="12"/>
  <c r="K5220" i="12"/>
  <c r="J5220" i="12"/>
  <c r="I5220" i="12"/>
  <c r="K5219" i="12"/>
  <c r="J5219" i="12"/>
  <c r="I5219" i="12"/>
  <c r="K5218" i="12"/>
  <c r="J5218" i="12"/>
  <c r="I5218" i="12"/>
  <c r="K5217" i="12"/>
  <c r="J5217" i="12"/>
  <c r="I5217" i="12"/>
  <c r="K5216" i="12"/>
  <c r="J5216" i="12"/>
  <c r="I5216" i="12"/>
  <c r="K5215" i="12"/>
  <c r="J5215" i="12"/>
  <c r="I5215" i="12"/>
  <c r="K5214" i="12"/>
  <c r="J5214" i="12"/>
  <c r="I5214" i="12"/>
  <c r="K5213" i="12"/>
  <c r="J5213" i="12"/>
  <c r="I5213" i="12"/>
  <c r="K5212" i="12"/>
  <c r="J5212" i="12"/>
  <c r="I5212" i="12"/>
  <c r="K5211" i="12"/>
  <c r="J5211" i="12"/>
  <c r="I5211" i="12"/>
  <c r="K5210" i="12"/>
  <c r="J5210" i="12"/>
  <c r="I5210" i="12"/>
  <c r="K5209" i="12"/>
  <c r="J5209" i="12"/>
  <c r="I5209" i="12"/>
  <c r="K5208" i="12"/>
  <c r="J5208" i="12"/>
  <c r="I5208" i="12"/>
  <c r="K5207" i="12"/>
  <c r="J5207" i="12"/>
  <c r="I5207" i="12"/>
  <c r="K5206" i="12"/>
  <c r="J5206" i="12"/>
  <c r="I5206" i="12"/>
  <c r="K5205" i="12"/>
  <c r="J5205" i="12"/>
  <c r="I5205" i="12"/>
  <c r="K5204" i="12"/>
  <c r="J5204" i="12"/>
  <c r="I5204" i="12"/>
  <c r="K5203" i="12"/>
  <c r="J5203" i="12"/>
  <c r="I5203" i="12"/>
  <c r="K5202" i="12"/>
  <c r="J5202" i="12"/>
  <c r="I5202" i="12"/>
  <c r="K5201" i="12"/>
  <c r="J5201" i="12"/>
  <c r="I5201" i="12"/>
  <c r="K5200" i="12"/>
  <c r="J5200" i="12"/>
  <c r="I5200" i="12"/>
  <c r="K5199" i="12"/>
  <c r="J5199" i="12"/>
  <c r="I5199" i="12"/>
  <c r="K5198" i="12"/>
  <c r="J5198" i="12"/>
  <c r="I5198" i="12"/>
  <c r="K5197" i="12"/>
  <c r="J5197" i="12"/>
  <c r="I5197" i="12"/>
  <c r="K5196" i="12"/>
  <c r="J5196" i="12"/>
  <c r="I5196" i="12"/>
  <c r="K5195" i="12"/>
  <c r="J5195" i="12"/>
  <c r="I5195" i="12"/>
  <c r="K5194" i="12"/>
  <c r="J5194" i="12"/>
  <c r="I5194" i="12"/>
  <c r="K5193" i="12"/>
  <c r="J5193" i="12"/>
  <c r="I5193" i="12"/>
  <c r="K5192" i="12"/>
  <c r="J5192" i="12"/>
  <c r="I5192" i="12"/>
  <c r="K5191" i="12"/>
  <c r="J5191" i="12"/>
  <c r="I5191" i="12"/>
  <c r="K5190" i="12"/>
  <c r="J5190" i="12"/>
  <c r="I5190" i="12"/>
  <c r="K5189" i="12"/>
  <c r="J5189" i="12"/>
  <c r="I5189" i="12"/>
  <c r="K5188" i="12"/>
  <c r="J5188" i="12"/>
  <c r="I5188" i="12"/>
  <c r="K5187" i="12"/>
  <c r="J5187" i="12"/>
  <c r="I5187" i="12"/>
  <c r="K5186" i="12"/>
  <c r="J5186" i="12"/>
  <c r="I5186" i="12"/>
  <c r="K5185" i="12"/>
  <c r="J5185" i="12"/>
  <c r="I5185" i="12"/>
  <c r="K5184" i="12"/>
  <c r="J5184" i="12"/>
  <c r="I5184" i="12"/>
  <c r="K5183" i="12"/>
  <c r="J5183" i="12"/>
  <c r="I5183" i="12"/>
  <c r="K5182" i="12"/>
  <c r="J5182" i="12"/>
  <c r="I5182" i="12"/>
  <c r="K5181" i="12"/>
  <c r="J5181" i="12"/>
  <c r="I5181" i="12"/>
  <c r="K5180" i="12"/>
  <c r="J5180" i="12"/>
  <c r="I5180" i="12"/>
  <c r="K5179" i="12"/>
  <c r="J5179" i="12"/>
  <c r="I5179" i="12"/>
  <c r="K5178" i="12"/>
  <c r="J5178" i="12"/>
  <c r="I5178" i="12"/>
  <c r="K5177" i="12"/>
  <c r="J5177" i="12"/>
  <c r="I5177" i="12"/>
  <c r="K5176" i="12"/>
  <c r="J5176" i="12"/>
  <c r="I5176" i="12"/>
  <c r="K5175" i="12"/>
  <c r="J5175" i="12"/>
  <c r="I5175" i="12"/>
  <c r="K5174" i="12"/>
  <c r="J5174" i="12"/>
  <c r="I5174" i="12"/>
  <c r="K5173" i="12"/>
  <c r="J5173" i="12"/>
  <c r="I5173" i="12"/>
  <c r="K5172" i="12"/>
  <c r="J5172" i="12"/>
  <c r="I5172" i="12"/>
  <c r="K5171" i="12"/>
  <c r="J5171" i="12"/>
  <c r="I5171" i="12"/>
  <c r="K5170" i="12"/>
  <c r="J5170" i="12"/>
  <c r="I5170" i="12"/>
  <c r="K5169" i="12"/>
  <c r="J5169" i="12"/>
  <c r="I5169" i="12"/>
  <c r="K5168" i="12"/>
  <c r="J5168" i="12"/>
  <c r="I5168" i="12"/>
  <c r="K5167" i="12"/>
  <c r="J5167" i="12"/>
  <c r="I5167" i="12"/>
  <c r="K5166" i="12"/>
  <c r="J5166" i="12"/>
  <c r="I5166" i="12"/>
  <c r="K5165" i="12"/>
  <c r="J5165" i="12"/>
  <c r="I5165" i="12"/>
  <c r="K5164" i="12"/>
  <c r="J5164" i="12"/>
  <c r="I5164" i="12"/>
  <c r="K5163" i="12"/>
  <c r="J5163" i="12"/>
  <c r="I5163" i="12"/>
  <c r="K5162" i="12"/>
  <c r="J5162" i="12"/>
  <c r="I5162" i="12"/>
  <c r="K5161" i="12"/>
  <c r="J5161" i="12"/>
  <c r="I5161" i="12"/>
  <c r="K5160" i="12"/>
  <c r="J5160" i="12"/>
  <c r="I5160" i="12"/>
  <c r="K5159" i="12"/>
  <c r="J5159" i="12"/>
  <c r="I5159" i="12"/>
  <c r="K5158" i="12"/>
  <c r="J5158" i="12"/>
  <c r="I5158" i="12"/>
  <c r="K5157" i="12"/>
  <c r="J5157" i="12"/>
  <c r="I5157" i="12"/>
  <c r="K5156" i="12"/>
  <c r="J5156" i="12"/>
  <c r="I5156" i="12"/>
  <c r="K5155" i="12"/>
  <c r="J5155" i="12"/>
  <c r="I5155" i="12"/>
  <c r="K5154" i="12"/>
  <c r="J5154" i="12"/>
  <c r="I5154" i="12"/>
  <c r="K5153" i="12"/>
  <c r="J5153" i="12"/>
  <c r="I5153" i="12"/>
  <c r="K5152" i="12"/>
  <c r="J5152" i="12"/>
  <c r="I5152" i="12"/>
  <c r="K5151" i="12"/>
  <c r="J5151" i="12"/>
  <c r="I5151" i="12"/>
  <c r="K5150" i="12"/>
  <c r="J5150" i="12"/>
  <c r="I5150" i="12"/>
  <c r="K5149" i="12"/>
  <c r="J5149" i="12"/>
  <c r="I5149" i="12"/>
  <c r="K5148" i="12"/>
  <c r="J5148" i="12"/>
  <c r="I5148" i="12"/>
  <c r="K5147" i="12"/>
  <c r="J5147" i="12"/>
  <c r="I5147" i="12"/>
  <c r="K5146" i="12"/>
  <c r="J5146" i="12"/>
  <c r="I5146" i="12"/>
  <c r="K5145" i="12"/>
  <c r="J5145" i="12"/>
  <c r="I5145" i="12"/>
  <c r="K5144" i="12"/>
  <c r="J5144" i="12"/>
  <c r="I5144" i="12"/>
  <c r="K5143" i="12"/>
  <c r="J5143" i="12"/>
  <c r="I5143" i="12"/>
  <c r="K5142" i="12"/>
  <c r="J5142" i="12"/>
  <c r="I5142" i="12"/>
  <c r="K5141" i="12"/>
  <c r="J5141" i="12"/>
  <c r="I5141" i="12"/>
  <c r="K5140" i="12"/>
  <c r="J5140" i="12"/>
  <c r="I5140" i="12"/>
  <c r="K5139" i="12"/>
  <c r="J5139" i="12"/>
  <c r="I5139" i="12"/>
  <c r="K5138" i="12"/>
  <c r="J5138" i="12"/>
  <c r="I5138" i="12"/>
  <c r="K5137" i="12"/>
  <c r="J5137" i="12"/>
  <c r="I5137" i="12"/>
  <c r="K5136" i="12"/>
  <c r="J5136" i="12"/>
  <c r="I5136" i="12"/>
  <c r="K5135" i="12"/>
  <c r="J5135" i="12"/>
  <c r="I5135" i="12"/>
  <c r="K5134" i="12"/>
  <c r="J5134" i="12"/>
  <c r="I5134" i="12"/>
  <c r="K5133" i="12"/>
  <c r="J5133" i="12"/>
  <c r="I5133" i="12"/>
  <c r="K5132" i="12"/>
  <c r="J5132" i="12"/>
  <c r="I5132" i="12"/>
  <c r="K5131" i="12"/>
  <c r="J5131" i="12"/>
  <c r="I5131" i="12"/>
  <c r="K5130" i="12"/>
  <c r="J5130" i="12"/>
  <c r="I5130" i="12"/>
  <c r="K5129" i="12"/>
  <c r="J5129" i="12"/>
  <c r="I5129" i="12"/>
  <c r="K5128" i="12"/>
  <c r="J5128" i="12"/>
  <c r="I5128" i="12"/>
  <c r="K5127" i="12"/>
  <c r="J5127" i="12"/>
  <c r="I5127" i="12"/>
  <c r="K5126" i="12"/>
  <c r="J5126" i="12"/>
  <c r="I5126" i="12"/>
  <c r="K5125" i="12"/>
  <c r="J5125" i="12"/>
  <c r="I5125" i="12"/>
  <c r="K5124" i="12"/>
  <c r="J5124" i="12"/>
  <c r="I5124" i="12"/>
  <c r="K5123" i="12"/>
  <c r="J5123" i="12"/>
  <c r="I5123" i="12"/>
  <c r="K5122" i="12"/>
  <c r="J5122" i="12"/>
  <c r="I5122" i="12"/>
  <c r="K5121" i="12"/>
  <c r="J5121" i="12"/>
  <c r="I5121" i="12"/>
  <c r="K5120" i="12"/>
  <c r="J5120" i="12"/>
  <c r="I5120" i="12"/>
  <c r="K5119" i="12"/>
  <c r="J5119" i="12"/>
  <c r="I5119" i="12"/>
  <c r="K5118" i="12"/>
  <c r="J5118" i="12"/>
  <c r="I5118" i="12"/>
  <c r="K5117" i="12"/>
  <c r="J5117" i="12"/>
  <c r="I5117" i="12"/>
  <c r="K5116" i="12"/>
  <c r="J5116" i="12"/>
  <c r="I5116" i="12"/>
  <c r="K5115" i="12"/>
  <c r="J5115" i="12"/>
  <c r="I5115" i="12"/>
  <c r="K5114" i="12"/>
  <c r="J5114" i="12"/>
  <c r="I5114" i="12"/>
  <c r="K5113" i="12"/>
  <c r="J5113" i="12"/>
  <c r="I5113" i="12"/>
  <c r="K5112" i="12"/>
  <c r="J5112" i="12"/>
  <c r="I5112" i="12"/>
  <c r="K5111" i="12"/>
  <c r="J5111" i="12"/>
  <c r="I5111" i="12"/>
  <c r="K5110" i="12"/>
  <c r="J5110" i="12"/>
  <c r="I5110" i="12"/>
  <c r="K5109" i="12"/>
  <c r="J5109" i="12"/>
  <c r="I5109" i="12"/>
  <c r="K5108" i="12"/>
  <c r="J5108" i="12"/>
  <c r="I5108" i="12"/>
  <c r="K5107" i="12"/>
  <c r="J5107" i="12"/>
  <c r="I5107" i="12"/>
  <c r="K5106" i="12"/>
  <c r="J5106" i="12"/>
  <c r="I5106" i="12"/>
  <c r="K5105" i="12"/>
  <c r="J5105" i="12"/>
  <c r="I5105" i="12"/>
  <c r="K5104" i="12"/>
  <c r="J5104" i="12"/>
  <c r="I5104" i="12"/>
  <c r="K5103" i="12"/>
  <c r="J5103" i="12"/>
  <c r="I5103" i="12"/>
  <c r="K5102" i="12"/>
  <c r="J5102" i="12"/>
  <c r="I5102" i="12"/>
  <c r="K5101" i="12"/>
  <c r="J5101" i="12"/>
  <c r="I5101" i="12"/>
  <c r="K5100" i="12"/>
  <c r="J5100" i="12"/>
  <c r="I5100" i="12"/>
  <c r="K5099" i="12"/>
  <c r="J5099" i="12"/>
  <c r="I5099" i="12"/>
  <c r="K5098" i="12"/>
  <c r="J5098" i="12"/>
  <c r="I5098" i="12"/>
  <c r="K5097" i="12"/>
  <c r="J5097" i="12"/>
  <c r="I5097" i="12"/>
  <c r="K5096" i="12"/>
  <c r="J5096" i="12"/>
  <c r="I5096" i="12"/>
  <c r="K5095" i="12"/>
  <c r="J5095" i="12"/>
  <c r="I5095" i="12"/>
  <c r="K5094" i="12"/>
  <c r="J5094" i="12"/>
  <c r="I5094" i="12"/>
  <c r="K5093" i="12"/>
  <c r="J5093" i="12"/>
  <c r="I5093" i="12"/>
  <c r="K5092" i="12"/>
  <c r="J5092" i="12"/>
  <c r="I5092" i="12"/>
  <c r="K5091" i="12"/>
  <c r="J5091" i="12"/>
  <c r="I5091" i="12"/>
  <c r="K5090" i="12"/>
  <c r="J5090" i="12"/>
  <c r="I5090" i="12"/>
  <c r="K5089" i="12"/>
  <c r="J5089" i="12"/>
  <c r="I5089" i="12"/>
  <c r="K5088" i="12"/>
  <c r="J5088" i="12"/>
  <c r="I5088" i="12"/>
  <c r="K5087" i="12"/>
  <c r="J5087" i="12"/>
  <c r="I5087" i="12"/>
  <c r="K5086" i="12"/>
  <c r="J5086" i="12"/>
  <c r="I5086" i="12"/>
  <c r="K5085" i="12"/>
  <c r="J5085" i="12"/>
  <c r="I5085" i="12"/>
  <c r="K5084" i="12"/>
  <c r="J5084" i="12"/>
  <c r="I5084" i="12"/>
  <c r="K5083" i="12"/>
  <c r="J5083" i="12"/>
  <c r="I5083" i="12"/>
  <c r="K5082" i="12"/>
  <c r="J5082" i="12"/>
  <c r="I5082" i="12"/>
  <c r="K5081" i="12"/>
  <c r="J5081" i="12"/>
  <c r="I5081" i="12"/>
  <c r="K5080" i="12"/>
  <c r="J5080" i="12"/>
  <c r="I5080" i="12"/>
  <c r="K5079" i="12"/>
  <c r="J5079" i="12"/>
  <c r="I5079" i="12"/>
  <c r="K5078" i="12"/>
  <c r="J5078" i="12"/>
  <c r="I5078" i="12"/>
  <c r="K5077" i="12"/>
  <c r="J5077" i="12"/>
  <c r="I5077" i="12"/>
  <c r="K5076" i="12"/>
  <c r="J5076" i="12"/>
  <c r="I5076" i="12"/>
  <c r="K5075" i="12"/>
  <c r="J5075" i="12"/>
  <c r="I5075" i="12"/>
  <c r="K5074" i="12"/>
  <c r="J5074" i="12"/>
  <c r="I5074" i="12"/>
  <c r="K5073" i="12"/>
  <c r="J5073" i="12"/>
  <c r="I5073" i="12"/>
  <c r="K5072" i="12"/>
  <c r="J5072" i="12"/>
  <c r="I5072" i="12"/>
  <c r="K5071" i="12"/>
  <c r="J5071" i="12"/>
  <c r="I5071" i="12"/>
  <c r="K5070" i="12"/>
  <c r="J5070" i="12"/>
  <c r="I5070" i="12"/>
  <c r="K5069" i="12"/>
  <c r="J5069" i="12"/>
  <c r="I5069" i="12"/>
  <c r="K5068" i="12"/>
  <c r="J5068" i="12"/>
  <c r="I5068" i="12"/>
  <c r="K5067" i="12"/>
  <c r="J5067" i="12"/>
  <c r="I5067" i="12"/>
  <c r="K5066" i="12"/>
  <c r="J5066" i="12"/>
  <c r="I5066" i="12"/>
  <c r="K5065" i="12"/>
  <c r="J5065" i="12"/>
  <c r="I5065" i="12"/>
  <c r="K5064" i="12"/>
  <c r="J5064" i="12"/>
  <c r="I5064" i="12"/>
  <c r="K5063" i="12"/>
  <c r="J5063" i="12"/>
  <c r="I5063" i="12"/>
  <c r="K5062" i="12"/>
  <c r="J5062" i="12"/>
  <c r="I5062" i="12"/>
  <c r="K5061" i="12"/>
  <c r="J5061" i="12"/>
  <c r="I5061" i="12"/>
  <c r="K5060" i="12"/>
  <c r="J5060" i="12"/>
  <c r="I5060" i="12"/>
  <c r="K5059" i="12"/>
  <c r="J5059" i="12"/>
  <c r="I5059" i="12"/>
  <c r="K5058" i="12"/>
  <c r="J5058" i="12"/>
  <c r="I5058" i="12"/>
  <c r="K5057" i="12"/>
  <c r="J5057" i="12"/>
  <c r="I5057" i="12"/>
  <c r="K5056" i="12"/>
  <c r="J5056" i="12"/>
  <c r="I5056" i="12"/>
  <c r="K5055" i="12"/>
  <c r="J5055" i="12"/>
  <c r="I5055" i="12"/>
  <c r="K5054" i="12"/>
  <c r="J5054" i="12"/>
  <c r="I5054" i="12"/>
  <c r="K5053" i="12"/>
  <c r="J5053" i="12"/>
  <c r="I5053" i="12"/>
  <c r="K5052" i="12"/>
  <c r="J5052" i="12"/>
  <c r="I5052" i="12"/>
  <c r="K5051" i="12"/>
  <c r="J5051" i="12"/>
  <c r="I5051" i="12"/>
  <c r="K5050" i="12"/>
  <c r="J5050" i="12"/>
  <c r="I5050" i="12"/>
  <c r="K5049" i="12"/>
  <c r="J5049" i="12"/>
  <c r="I5049" i="12"/>
  <c r="K5048" i="12"/>
  <c r="J5048" i="12"/>
  <c r="I5048" i="12"/>
  <c r="K5047" i="12"/>
  <c r="J5047" i="12"/>
  <c r="I5047" i="12"/>
  <c r="K5046" i="12"/>
  <c r="J5046" i="12"/>
  <c r="I5046" i="12"/>
  <c r="K5045" i="12"/>
  <c r="J5045" i="12"/>
  <c r="I5045" i="12"/>
  <c r="K5044" i="12"/>
  <c r="J5044" i="12"/>
  <c r="I5044" i="12"/>
  <c r="K5043" i="12"/>
  <c r="J5043" i="12"/>
  <c r="I5043" i="12"/>
  <c r="K5042" i="12"/>
  <c r="J5042" i="12"/>
  <c r="I5042" i="12"/>
  <c r="K5041" i="12"/>
  <c r="J5041" i="12"/>
  <c r="I5041" i="12"/>
  <c r="K5040" i="12"/>
  <c r="J5040" i="12"/>
  <c r="I5040" i="12"/>
  <c r="K5039" i="12"/>
  <c r="J5039" i="12"/>
  <c r="I5039" i="12"/>
  <c r="K5038" i="12"/>
  <c r="J5038" i="12"/>
  <c r="I5038" i="12"/>
  <c r="K5037" i="12"/>
  <c r="J5037" i="12"/>
  <c r="I5037" i="12"/>
  <c r="K5036" i="12"/>
  <c r="J5036" i="12"/>
  <c r="I5036" i="12"/>
  <c r="K5035" i="12"/>
  <c r="J5035" i="12"/>
  <c r="I5035" i="12"/>
  <c r="K5034" i="12"/>
  <c r="J5034" i="12"/>
  <c r="I5034" i="12"/>
  <c r="K5033" i="12"/>
  <c r="J5033" i="12"/>
  <c r="I5033" i="12"/>
  <c r="K5032" i="12"/>
  <c r="J5032" i="12"/>
  <c r="I5032" i="12"/>
  <c r="K5031" i="12"/>
  <c r="J5031" i="12"/>
  <c r="I5031" i="12"/>
  <c r="K5030" i="12"/>
  <c r="J5030" i="12"/>
  <c r="I5030" i="12"/>
  <c r="K5029" i="12"/>
  <c r="J5029" i="12"/>
  <c r="I5029" i="12"/>
  <c r="K5028" i="12"/>
  <c r="J5028" i="12"/>
  <c r="I5028" i="12"/>
  <c r="K5027" i="12"/>
  <c r="J5027" i="12"/>
  <c r="I5027" i="12"/>
  <c r="K5026" i="12"/>
  <c r="J5026" i="12"/>
  <c r="I5026" i="12"/>
  <c r="K5025" i="12"/>
  <c r="J5025" i="12"/>
  <c r="I5025" i="12"/>
  <c r="K5024" i="12"/>
  <c r="J5024" i="12"/>
  <c r="I5024" i="12"/>
  <c r="K5023" i="12"/>
  <c r="J5023" i="12"/>
  <c r="I5023" i="12"/>
  <c r="K5022" i="12"/>
  <c r="J5022" i="12"/>
  <c r="I5022" i="12"/>
  <c r="K5021" i="12"/>
  <c r="J5021" i="12"/>
  <c r="I5021" i="12"/>
  <c r="K5020" i="12"/>
  <c r="J5020" i="12"/>
  <c r="I5020" i="12"/>
  <c r="K5019" i="12"/>
  <c r="J5019" i="12"/>
  <c r="I5019" i="12"/>
  <c r="K5018" i="12"/>
  <c r="J5018" i="12"/>
  <c r="I5018" i="12"/>
  <c r="K5017" i="12"/>
  <c r="J5017" i="12"/>
  <c r="I5017" i="12"/>
  <c r="K5016" i="12"/>
  <c r="J5016" i="12"/>
  <c r="I5016" i="12"/>
  <c r="K5015" i="12"/>
  <c r="J5015" i="12"/>
  <c r="I5015" i="12"/>
  <c r="K5014" i="12"/>
  <c r="J5014" i="12"/>
  <c r="I5014" i="12"/>
  <c r="K5013" i="12"/>
  <c r="J5013" i="12"/>
  <c r="I5013" i="12"/>
  <c r="K5012" i="12"/>
  <c r="J5012" i="12"/>
  <c r="I5012" i="12"/>
  <c r="K5011" i="12"/>
  <c r="J5011" i="12"/>
  <c r="I5011" i="12"/>
  <c r="K5010" i="12"/>
  <c r="J5010" i="12"/>
  <c r="I5010" i="12"/>
  <c r="K5009" i="12"/>
  <c r="J5009" i="12"/>
  <c r="I5009" i="12"/>
  <c r="K5008" i="12"/>
  <c r="J5008" i="12"/>
  <c r="I5008" i="12"/>
  <c r="K5007" i="12"/>
  <c r="J5007" i="12"/>
  <c r="I5007" i="12"/>
  <c r="K5006" i="12"/>
  <c r="J5006" i="12"/>
  <c r="I5006" i="12"/>
  <c r="K5005" i="12"/>
  <c r="J5005" i="12"/>
  <c r="I5005" i="12"/>
  <c r="K5004" i="12"/>
  <c r="J5004" i="12"/>
  <c r="I5004" i="12"/>
  <c r="K5003" i="12"/>
  <c r="J5003" i="12"/>
  <c r="I5003" i="12"/>
  <c r="K5002" i="12"/>
  <c r="J5002" i="12"/>
  <c r="I5002" i="12"/>
  <c r="K5001" i="12"/>
  <c r="J5001" i="12"/>
  <c r="I5001" i="12"/>
  <c r="K5000" i="12"/>
  <c r="J5000" i="12"/>
  <c r="I5000" i="12"/>
  <c r="K4999" i="12"/>
  <c r="J4999" i="12"/>
  <c r="I4999" i="12"/>
  <c r="K4998" i="12"/>
  <c r="J4998" i="12"/>
  <c r="I4998" i="12"/>
  <c r="K4997" i="12"/>
  <c r="J4997" i="12"/>
  <c r="I4997" i="12"/>
  <c r="K4996" i="12"/>
  <c r="J4996" i="12"/>
  <c r="I4996" i="12"/>
  <c r="K4995" i="12"/>
  <c r="J4995" i="12"/>
  <c r="I4995" i="12"/>
  <c r="K4994" i="12"/>
  <c r="J4994" i="12"/>
  <c r="I4994" i="12"/>
  <c r="K4993" i="12"/>
  <c r="J4993" i="12"/>
  <c r="I4993" i="12"/>
  <c r="K4992" i="12"/>
  <c r="J4992" i="12"/>
  <c r="I4992" i="12"/>
  <c r="K4991" i="12"/>
  <c r="J4991" i="12"/>
  <c r="I4991" i="12"/>
  <c r="K4990" i="12"/>
  <c r="J4990" i="12"/>
  <c r="I4990" i="12"/>
  <c r="K4989" i="12"/>
  <c r="J4989" i="12"/>
  <c r="I4989" i="12"/>
  <c r="K4988" i="12"/>
  <c r="J4988" i="12"/>
  <c r="I4988" i="12"/>
  <c r="K4987" i="12"/>
  <c r="J4987" i="12"/>
  <c r="I4987" i="12"/>
  <c r="K4986" i="12"/>
  <c r="J4986" i="12"/>
  <c r="I4986" i="12"/>
  <c r="K4985" i="12"/>
  <c r="J4985" i="12"/>
  <c r="I4985" i="12"/>
  <c r="K4984" i="12"/>
  <c r="J4984" i="12"/>
  <c r="I4984" i="12"/>
  <c r="K4983" i="12"/>
  <c r="J4983" i="12"/>
  <c r="I4983" i="12"/>
  <c r="K4982" i="12"/>
  <c r="J4982" i="12"/>
  <c r="I4982" i="12"/>
  <c r="K4981" i="12"/>
  <c r="J4981" i="12"/>
  <c r="I4981" i="12"/>
  <c r="K4980" i="12"/>
  <c r="J4980" i="12"/>
  <c r="I4980" i="12"/>
  <c r="K4979" i="12"/>
  <c r="J4979" i="12"/>
  <c r="I4979" i="12"/>
  <c r="K4978" i="12"/>
  <c r="J4978" i="12"/>
  <c r="I4978" i="12"/>
  <c r="K4977" i="12"/>
  <c r="J4977" i="12"/>
  <c r="I4977" i="12"/>
  <c r="K4976" i="12"/>
  <c r="J4976" i="12"/>
  <c r="I4976" i="12"/>
  <c r="K4975" i="12"/>
  <c r="J4975" i="12"/>
  <c r="I4975" i="12"/>
  <c r="K4974" i="12"/>
  <c r="J4974" i="12"/>
  <c r="I4974" i="12"/>
  <c r="K4973" i="12"/>
  <c r="J4973" i="12"/>
  <c r="I4973" i="12"/>
  <c r="K4972" i="12"/>
  <c r="J4972" i="12"/>
  <c r="I4972" i="12"/>
  <c r="K4971" i="12"/>
  <c r="J4971" i="12"/>
  <c r="I4971" i="12"/>
  <c r="K4970" i="12"/>
  <c r="J4970" i="12"/>
  <c r="I4970" i="12"/>
  <c r="K4969" i="12"/>
  <c r="J4969" i="12"/>
  <c r="I4969" i="12"/>
  <c r="K4968" i="12"/>
  <c r="J4968" i="12"/>
  <c r="I4968" i="12"/>
  <c r="K4967" i="12"/>
  <c r="J4967" i="12"/>
  <c r="I4967" i="12"/>
  <c r="K4966" i="12"/>
  <c r="J4966" i="12"/>
  <c r="I4966" i="12"/>
  <c r="K4965" i="12"/>
  <c r="J4965" i="12"/>
  <c r="I4965" i="12"/>
  <c r="K4964" i="12"/>
  <c r="J4964" i="12"/>
  <c r="I4964" i="12"/>
  <c r="K4963" i="12"/>
  <c r="J4963" i="12"/>
  <c r="I4963" i="12"/>
  <c r="K4962" i="12"/>
  <c r="J4962" i="12"/>
  <c r="I4962" i="12"/>
  <c r="K4961" i="12"/>
  <c r="J4961" i="12"/>
  <c r="I4961" i="12"/>
  <c r="K4960" i="12"/>
  <c r="J4960" i="12"/>
  <c r="I4960" i="12"/>
  <c r="K4959" i="12"/>
  <c r="J4959" i="12"/>
  <c r="I4959" i="12"/>
  <c r="K4958" i="12"/>
  <c r="J4958" i="12"/>
  <c r="I4958" i="12"/>
  <c r="K4957" i="12"/>
  <c r="J4957" i="12"/>
  <c r="I4957" i="12"/>
  <c r="K4956" i="12"/>
  <c r="J4956" i="12"/>
  <c r="I4956" i="12"/>
  <c r="K4955" i="12"/>
  <c r="J4955" i="12"/>
  <c r="I4955" i="12"/>
  <c r="K4954" i="12"/>
  <c r="J4954" i="12"/>
  <c r="I4954" i="12"/>
  <c r="K4953" i="12"/>
  <c r="J4953" i="12"/>
  <c r="I4953" i="12"/>
  <c r="K4952" i="12"/>
  <c r="J4952" i="12"/>
  <c r="I4952" i="12"/>
  <c r="K4951" i="12"/>
  <c r="J4951" i="12"/>
  <c r="I4951" i="12"/>
  <c r="K4950" i="12"/>
  <c r="J4950" i="12"/>
  <c r="I4950" i="12"/>
  <c r="K4949" i="12"/>
  <c r="J4949" i="12"/>
  <c r="I4949" i="12"/>
  <c r="K4948" i="12"/>
  <c r="J4948" i="12"/>
  <c r="I4948" i="12"/>
  <c r="K4947" i="12"/>
  <c r="J4947" i="12"/>
  <c r="I4947" i="12"/>
  <c r="K4946" i="12"/>
  <c r="J4946" i="12"/>
  <c r="I4946" i="12"/>
  <c r="K4945" i="12"/>
  <c r="J4945" i="12"/>
  <c r="I4945" i="12"/>
  <c r="K4944" i="12"/>
  <c r="J4944" i="12"/>
  <c r="I4944" i="12"/>
  <c r="K4943" i="12"/>
  <c r="J4943" i="12"/>
  <c r="I4943" i="12"/>
  <c r="K4942" i="12"/>
  <c r="J4942" i="12"/>
  <c r="I4942" i="12"/>
  <c r="K4941" i="12"/>
  <c r="J4941" i="12"/>
  <c r="I4941" i="12"/>
  <c r="K4940" i="12"/>
  <c r="J4940" i="12"/>
  <c r="I4940" i="12"/>
  <c r="K4939" i="12"/>
  <c r="J4939" i="12"/>
  <c r="I4939" i="12"/>
  <c r="K4938" i="12"/>
  <c r="J4938" i="12"/>
  <c r="I4938" i="12"/>
  <c r="K4937" i="12"/>
  <c r="J4937" i="12"/>
  <c r="I4937" i="12"/>
  <c r="K4936" i="12"/>
  <c r="J4936" i="12"/>
  <c r="I4936" i="12"/>
  <c r="K4935" i="12"/>
  <c r="J4935" i="12"/>
  <c r="I4935" i="12"/>
  <c r="K4934" i="12"/>
  <c r="J4934" i="12"/>
  <c r="I4934" i="12"/>
  <c r="K4933" i="12"/>
  <c r="J4933" i="12"/>
  <c r="I4933" i="12"/>
  <c r="K4932" i="12"/>
  <c r="J4932" i="12"/>
  <c r="I4932" i="12"/>
  <c r="K4931" i="12"/>
  <c r="J4931" i="12"/>
  <c r="I4931" i="12"/>
  <c r="K4930" i="12"/>
  <c r="J4930" i="12"/>
  <c r="I4930" i="12"/>
  <c r="K4929" i="12"/>
  <c r="J4929" i="12"/>
  <c r="I4929" i="12"/>
  <c r="K4928" i="12"/>
  <c r="J4928" i="12"/>
  <c r="I4928" i="12"/>
  <c r="K4927" i="12"/>
  <c r="J4927" i="12"/>
  <c r="I4927" i="12"/>
  <c r="K4926" i="12"/>
  <c r="J4926" i="12"/>
  <c r="I4926" i="12"/>
  <c r="K4925" i="12"/>
  <c r="J4925" i="12"/>
  <c r="I4925" i="12"/>
  <c r="K4924" i="12"/>
  <c r="J4924" i="12"/>
  <c r="I4924" i="12"/>
  <c r="K4923" i="12"/>
  <c r="J4923" i="12"/>
  <c r="I4923" i="12"/>
  <c r="K4922" i="12"/>
  <c r="J4922" i="12"/>
  <c r="I4922" i="12"/>
  <c r="K4921" i="12"/>
  <c r="J4921" i="12"/>
  <c r="I4921" i="12"/>
  <c r="K4920" i="12"/>
  <c r="J4920" i="12"/>
  <c r="I4920" i="12"/>
  <c r="K4919" i="12"/>
  <c r="J4919" i="12"/>
  <c r="I4919" i="12"/>
  <c r="K4918" i="12"/>
  <c r="J4918" i="12"/>
  <c r="I4918" i="12"/>
  <c r="K4917" i="12"/>
  <c r="J4917" i="12"/>
  <c r="I4917" i="12"/>
  <c r="K4916" i="12"/>
  <c r="J4916" i="12"/>
  <c r="I4916" i="12"/>
  <c r="K4915" i="12"/>
  <c r="J4915" i="12"/>
  <c r="I4915" i="12"/>
  <c r="K4914" i="12"/>
  <c r="J4914" i="12"/>
  <c r="I4914" i="12"/>
  <c r="K4913" i="12"/>
  <c r="J4913" i="12"/>
  <c r="I4913" i="12"/>
  <c r="K4912" i="12"/>
  <c r="J4912" i="12"/>
  <c r="I4912" i="12"/>
  <c r="K4911" i="12"/>
  <c r="J4911" i="12"/>
  <c r="I4911" i="12"/>
  <c r="K4910" i="12"/>
  <c r="J4910" i="12"/>
  <c r="I4910" i="12"/>
  <c r="K4909" i="12"/>
  <c r="J4909" i="12"/>
  <c r="I4909" i="12"/>
  <c r="K4908" i="12"/>
  <c r="J4908" i="12"/>
  <c r="I4908" i="12"/>
  <c r="K4907" i="12"/>
  <c r="J4907" i="12"/>
  <c r="I4907" i="12"/>
  <c r="K4906" i="12"/>
  <c r="J4906" i="12"/>
  <c r="I4906" i="12"/>
  <c r="K4905" i="12"/>
  <c r="J4905" i="12"/>
  <c r="I4905" i="12"/>
  <c r="K4904" i="12"/>
  <c r="J4904" i="12"/>
  <c r="I4904" i="12"/>
  <c r="K4903" i="12"/>
  <c r="J4903" i="12"/>
  <c r="I4903" i="12"/>
  <c r="K4902" i="12"/>
  <c r="J4902" i="12"/>
  <c r="I4902" i="12"/>
  <c r="K4901" i="12"/>
  <c r="J4901" i="12"/>
  <c r="I4901" i="12"/>
  <c r="K4900" i="12"/>
  <c r="J4900" i="12"/>
  <c r="I4900" i="12"/>
  <c r="K4899" i="12"/>
  <c r="J4899" i="12"/>
  <c r="I4899" i="12"/>
  <c r="K4898" i="12"/>
  <c r="J4898" i="12"/>
  <c r="I4898" i="12"/>
  <c r="K4897" i="12"/>
  <c r="J4897" i="12"/>
  <c r="I4897" i="12"/>
  <c r="K4896" i="12"/>
  <c r="J4896" i="12"/>
  <c r="I4896" i="12"/>
  <c r="K4895" i="12"/>
  <c r="J4895" i="12"/>
  <c r="I4895" i="12"/>
  <c r="K4894" i="12"/>
  <c r="J4894" i="12"/>
  <c r="I4894" i="12"/>
  <c r="K4893" i="12"/>
  <c r="J4893" i="12"/>
  <c r="I4893" i="12"/>
  <c r="K4892" i="12"/>
  <c r="J4892" i="12"/>
  <c r="I4892" i="12"/>
  <c r="K4891" i="12"/>
  <c r="J4891" i="12"/>
  <c r="I4891" i="12"/>
  <c r="K4890" i="12"/>
  <c r="J4890" i="12"/>
  <c r="I4890" i="12"/>
  <c r="K4889" i="12"/>
  <c r="J4889" i="12"/>
  <c r="I4889" i="12"/>
  <c r="K4888" i="12"/>
  <c r="J4888" i="12"/>
  <c r="I4888" i="12"/>
  <c r="K4887" i="12"/>
  <c r="J4887" i="12"/>
  <c r="I4887" i="12"/>
  <c r="K4886" i="12"/>
  <c r="J4886" i="12"/>
  <c r="I4886" i="12"/>
  <c r="K4885" i="12"/>
  <c r="J4885" i="12"/>
  <c r="I4885" i="12"/>
  <c r="K4884" i="12"/>
  <c r="J4884" i="12"/>
  <c r="I4884" i="12"/>
  <c r="K4883" i="12"/>
  <c r="J4883" i="12"/>
  <c r="I4883" i="12"/>
  <c r="K4882" i="12"/>
  <c r="J4882" i="12"/>
  <c r="I4882" i="12"/>
  <c r="K4881" i="12"/>
  <c r="J4881" i="12"/>
  <c r="I4881" i="12"/>
  <c r="K4880" i="12"/>
  <c r="J4880" i="12"/>
  <c r="I4880" i="12"/>
  <c r="K4879" i="12"/>
  <c r="J4879" i="12"/>
  <c r="I4879" i="12"/>
  <c r="K4878" i="12"/>
  <c r="J4878" i="12"/>
  <c r="I4878" i="12"/>
  <c r="K4877" i="12"/>
  <c r="J4877" i="12"/>
  <c r="I4877" i="12"/>
  <c r="K4876" i="12"/>
  <c r="J4876" i="12"/>
  <c r="I4876" i="12"/>
  <c r="K4875" i="12"/>
  <c r="J4875" i="12"/>
  <c r="I4875" i="12"/>
  <c r="K4874" i="12"/>
  <c r="J4874" i="12"/>
  <c r="I4874" i="12"/>
  <c r="K4873" i="12"/>
  <c r="J4873" i="12"/>
  <c r="I4873" i="12"/>
  <c r="K4872" i="12"/>
  <c r="J4872" i="12"/>
  <c r="I4872" i="12"/>
  <c r="K4871" i="12"/>
  <c r="J4871" i="12"/>
  <c r="I4871" i="12"/>
  <c r="K4870" i="12"/>
  <c r="J4870" i="12"/>
  <c r="I4870" i="12"/>
  <c r="K4869" i="12"/>
  <c r="J4869" i="12"/>
  <c r="I4869" i="12"/>
  <c r="K4868" i="12"/>
  <c r="J4868" i="12"/>
  <c r="I4868" i="12"/>
  <c r="K4867" i="12"/>
  <c r="J4867" i="12"/>
  <c r="I4867" i="12"/>
  <c r="K4866" i="12"/>
  <c r="J4866" i="12"/>
  <c r="I4866" i="12"/>
  <c r="K4865" i="12"/>
  <c r="J4865" i="12"/>
  <c r="I4865" i="12"/>
  <c r="K4864" i="12"/>
  <c r="J4864" i="12"/>
  <c r="I4864" i="12"/>
  <c r="K4863" i="12"/>
  <c r="J4863" i="12"/>
  <c r="I4863" i="12"/>
  <c r="K4862" i="12"/>
  <c r="J4862" i="12"/>
  <c r="I4862" i="12"/>
  <c r="K4861" i="12"/>
  <c r="J4861" i="12"/>
  <c r="I4861" i="12"/>
  <c r="K4860" i="12"/>
  <c r="J4860" i="12"/>
  <c r="I4860" i="12"/>
  <c r="K4859" i="12"/>
  <c r="J4859" i="12"/>
  <c r="I4859" i="12"/>
  <c r="K4858" i="12"/>
  <c r="J4858" i="12"/>
  <c r="I4858" i="12"/>
  <c r="K4857" i="12"/>
  <c r="J4857" i="12"/>
  <c r="I4857" i="12"/>
  <c r="K4856" i="12"/>
  <c r="J4856" i="12"/>
  <c r="I4856" i="12"/>
  <c r="K4855" i="12"/>
  <c r="J4855" i="12"/>
  <c r="I4855" i="12"/>
  <c r="K4854" i="12"/>
  <c r="J4854" i="12"/>
  <c r="I4854" i="12"/>
  <c r="K4853" i="12"/>
  <c r="J4853" i="12"/>
  <c r="I4853" i="12"/>
  <c r="K4852" i="12"/>
  <c r="J4852" i="12"/>
  <c r="I4852" i="12"/>
  <c r="K4851" i="12"/>
  <c r="J4851" i="12"/>
  <c r="I4851" i="12"/>
  <c r="K4850" i="12"/>
  <c r="J4850" i="12"/>
  <c r="I4850" i="12"/>
  <c r="K4849" i="12"/>
  <c r="J4849" i="12"/>
  <c r="I4849" i="12"/>
  <c r="K4848" i="12"/>
  <c r="J4848" i="12"/>
  <c r="I4848" i="12"/>
  <c r="K4847" i="12"/>
  <c r="J4847" i="12"/>
  <c r="I4847" i="12"/>
  <c r="K4846" i="12"/>
  <c r="J4846" i="12"/>
  <c r="I4846" i="12"/>
  <c r="K4845" i="12"/>
  <c r="J4845" i="12"/>
  <c r="I4845" i="12"/>
  <c r="K4844" i="12"/>
  <c r="J4844" i="12"/>
  <c r="I4844" i="12"/>
  <c r="K4843" i="12"/>
  <c r="J4843" i="12"/>
  <c r="I4843" i="12"/>
  <c r="K4842" i="12"/>
  <c r="J4842" i="12"/>
  <c r="I4842" i="12"/>
  <c r="K4841" i="12"/>
  <c r="J4841" i="12"/>
  <c r="I4841" i="12"/>
  <c r="K4840" i="12"/>
  <c r="J4840" i="12"/>
  <c r="I4840" i="12"/>
  <c r="K4839" i="12"/>
  <c r="J4839" i="12"/>
  <c r="I4839" i="12"/>
  <c r="K4838" i="12"/>
  <c r="J4838" i="12"/>
  <c r="I4838" i="12"/>
  <c r="K4837" i="12"/>
  <c r="J4837" i="12"/>
  <c r="I4837" i="12"/>
  <c r="K4836" i="12"/>
  <c r="J4836" i="12"/>
  <c r="I4836" i="12"/>
  <c r="K4835" i="12"/>
  <c r="J4835" i="12"/>
  <c r="I4835" i="12"/>
  <c r="K4834" i="12"/>
  <c r="J4834" i="12"/>
  <c r="I4834" i="12"/>
  <c r="K4833" i="12"/>
  <c r="J4833" i="12"/>
  <c r="I4833" i="12"/>
  <c r="K4832" i="12"/>
  <c r="J4832" i="12"/>
  <c r="I4832" i="12"/>
  <c r="K4831" i="12"/>
  <c r="J4831" i="12"/>
  <c r="I4831" i="12"/>
  <c r="K4830" i="12"/>
  <c r="J4830" i="12"/>
  <c r="I4830" i="12"/>
  <c r="K4829" i="12"/>
  <c r="J4829" i="12"/>
  <c r="I4829" i="12"/>
  <c r="K4828" i="12"/>
  <c r="J4828" i="12"/>
  <c r="I4828" i="12"/>
  <c r="K4827" i="12"/>
  <c r="J4827" i="12"/>
  <c r="I4827" i="12"/>
  <c r="K4826" i="12"/>
  <c r="J4826" i="12"/>
  <c r="I4826" i="12"/>
  <c r="K4825" i="12"/>
  <c r="J4825" i="12"/>
  <c r="I4825" i="12"/>
  <c r="K4824" i="12"/>
  <c r="J4824" i="12"/>
  <c r="I4824" i="12"/>
  <c r="K4823" i="12"/>
  <c r="J4823" i="12"/>
  <c r="I4823" i="12"/>
  <c r="K4822" i="12"/>
  <c r="J4822" i="12"/>
  <c r="I4822" i="12"/>
  <c r="K4821" i="12"/>
  <c r="J4821" i="12"/>
  <c r="I4821" i="12"/>
  <c r="K4820" i="12"/>
  <c r="J4820" i="12"/>
  <c r="I4820" i="12"/>
  <c r="K4819" i="12"/>
  <c r="J4819" i="12"/>
  <c r="I4819" i="12"/>
  <c r="K4818" i="12"/>
  <c r="J4818" i="12"/>
  <c r="I4818" i="12"/>
  <c r="K4817" i="12"/>
  <c r="J4817" i="12"/>
  <c r="I4817" i="12"/>
  <c r="K4816" i="12"/>
  <c r="J4816" i="12"/>
  <c r="I4816" i="12"/>
  <c r="K4815" i="12"/>
  <c r="J4815" i="12"/>
  <c r="I4815" i="12"/>
  <c r="K4814" i="12"/>
  <c r="J4814" i="12"/>
  <c r="I4814" i="12"/>
  <c r="K4813" i="12"/>
  <c r="J4813" i="12"/>
  <c r="I4813" i="12"/>
  <c r="K4812" i="12"/>
  <c r="J4812" i="12"/>
  <c r="I4812" i="12"/>
  <c r="K4811" i="12"/>
  <c r="J4811" i="12"/>
  <c r="I4811" i="12"/>
  <c r="K4810" i="12"/>
  <c r="J4810" i="12"/>
  <c r="I4810" i="12"/>
  <c r="K4809" i="12"/>
  <c r="J4809" i="12"/>
  <c r="I4809" i="12"/>
  <c r="K4808" i="12"/>
  <c r="J4808" i="12"/>
  <c r="I4808" i="12"/>
  <c r="K4807" i="12"/>
  <c r="J4807" i="12"/>
  <c r="I4807" i="12"/>
  <c r="K4806" i="12"/>
  <c r="J4806" i="12"/>
  <c r="I4806" i="12"/>
  <c r="K4805" i="12"/>
  <c r="J4805" i="12"/>
  <c r="I4805" i="12"/>
  <c r="K4804" i="12"/>
  <c r="J4804" i="12"/>
  <c r="I4804" i="12"/>
  <c r="K4803" i="12"/>
  <c r="J4803" i="12"/>
  <c r="I4803" i="12"/>
  <c r="K4802" i="12"/>
  <c r="J4802" i="12"/>
  <c r="I4802" i="12"/>
  <c r="K4801" i="12"/>
  <c r="J4801" i="12"/>
  <c r="I4801" i="12"/>
  <c r="K4800" i="12"/>
  <c r="J4800" i="12"/>
  <c r="I4800" i="12"/>
  <c r="K4799" i="12"/>
  <c r="J4799" i="12"/>
  <c r="I4799" i="12"/>
  <c r="K4798" i="12"/>
  <c r="J4798" i="12"/>
  <c r="I4798" i="12"/>
  <c r="K4797" i="12"/>
  <c r="J4797" i="12"/>
  <c r="I4797" i="12"/>
  <c r="K4796" i="12"/>
  <c r="J4796" i="12"/>
  <c r="I4796" i="12"/>
  <c r="K4795" i="12"/>
  <c r="J4795" i="12"/>
  <c r="I4795" i="12"/>
  <c r="K4794" i="12"/>
  <c r="J4794" i="12"/>
  <c r="I4794" i="12"/>
  <c r="K4793" i="12"/>
  <c r="J4793" i="12"/>
  <c r="I4793" i="12"/>
  <c r="K4792" i="12"/>
  <c r="J4792" i="12"/>
  <c r="I4792" i="12"/>
  <c r="K4791" i="12"/>
  <c r="J4791" i="12"/>
  <c r="I4791" i="12"/>
  <c r="K4790" i="12"/>
  <c r="J4790" i="12"/>
  <c r="I4790" i="12"/>
  <c r="K4789" i="12"/>
  <c r="J4789" i="12"/>
  <c r="I4789" i="12"/>
  <c r="K4788" i="12"/>
  <c r="J4788" i="12"/>
  <c r="I4788" i="12"/>
  <c r="K4787" i="12"/>
  <c r="J4787" i="12"/>
  <c r="I4787" i="12"/>
  <c r="K4786" i="12"/>
  <c r="J4786" i="12"/>
  <c r="I4786" i="12"/>
  <c r="K4785" i="12"/>
  <c r="J4785" i="12"/>
  <c r="I4785" i="12"/>
  <c r="K4784" i="12"/>
  <c r="J4784" i="12"/>
  <c r="I4784" i="12"/>
  <c r="K4783" i="12"/>
  <c r="J4783" i="12"/>
  <c r="I4783" i="12"/>
  <c r="K4782" i="12"/>
  <c r="J4782" i="12"/>
  <c r="I4782" i="12"/>
  <c r="K4781" i="12"/>
  <c r="J4781" i="12"/>
  <c r="I4781" i="12"/>
  <c r="K4780" i="12"/>
  <c r="J4780" i="12"/>
  <c r="I4780" i="12"/>
  <c r="K4779" i="12"/>
  <c r="J4779" i="12"/>
  <c r="I4779" i="12"/>
  <c r="K4778" i="12"/>
  <c r="J4778" i="12"/>
  <c r="I4778" i="12"/>
  <c r="K4777" i="12"/>
  <c r="J4777" i="12"/>
  <c r="I4777" i="12"/>
  <c r="K4776" i="12"/>
  <c r="J4776" i="12"/>
  <c r="I4776" i="12"/>
  <c r="K4775" i="12"/>
  <c r="J4775" i="12"/>
  <c r="I4775" i="12"/>
  <c r="K4774" i="12"/>
  <c r="J4774" i="12"/>
  <c r="I4774" i="12"/>
  <c r="K4773" i="12"/>
  <c r="J4773" i="12"/>
  <c r="I4773" i="12"/>
  <c r="K4772" i="12"/>
  <c r="J4772" i="12"/>
  <c r="I4772" i="12"/>
  <c r="K4771" i="12"/>
  <c r="J4771" i="12"/>
  <c r="I4771" i="12"/>
  <c r="K4770" i="12"/>
  <c r="J4770" i="12"/>
  <c r="I4770" i="12"/>
  <c r="K4769" i="12"/>
  <c r="J4769" i="12"/>
  <c r="I4769" i="12"/>
  <c r="K4768" i="12"/>
  <c r="J4768" i="12"/>
  <c r="I4768" i="12"/>
  <c r="K4767" i="12"/>
  <c r="J4767" i="12"/>
  <c r="I4767" i="12"/>
  <c r="K4766" i="12"/>
  <c r="J4766" i="12"/>
  <c r="I4766" i="12"/>
  <c r="K4765" i="12"/>
  <c r="J4765" i="12"/>
  <c r="I4765" i="12"/>
  <c r="K4764" i="12"/>
  <c r="J4764" i="12"/>
  <c r="I4764" i="12"/>
  <c r="K4763" i="12"/>
  <c r="J4763" i="12"/>
  <c r="I4763" i="12"/>
  <c r="K4762" i="12"/>
  <c r="J4762" i="12"/>
  <c r="I4762" i="12"/>
  <c r="K4761" i="12"/>
  <c r="J4761" i="12"/>
  <c r="I4761" i="12"/>
  <c r="K4760" i="12"/>
  <c r="J4760" i="12"/>
  <c r="I4760" i="12"/>
  <c r="K4759" i="12"/>
  <c r="J4759" i="12"/>
  <c r="I4759" i="12"/>
  <c r="K4758" i="12"/>
  <c r="J4758" i="12"/>
  <c r="I4758" i="12"/>
  <c r="K4757" i="12"/>
  <c r="J4757" i="12"/>
  <c r="I4757" i="12"/>
  <c r="K4756" i="12"/>
  <c r="J4756" i="12"/>
  <c r="I4756" i="12"/>
  <c r="K4755" i="12"/>
  <c r="J4755" i="12"/>
  <c r="I4755" i="12"/>
  <c r="K4754" i="12"/>
  <c r="J4754" i="12"/>
  <c r="I4754" i="12"/>
  <c r="K4753" i="12"/>
  <c r="J4753" i="12"/>
  <c r="I4753" i="12"/>
  <c r="K4752" i="12"/>
  <c r="J4752" i="12"/>
  <c r="I4752" i="12"/>
  <c r="K4751" i="12"/>
  <c r="J4751" i="12"/>
  <c r="I4751" i="12"/>
  <c r="K4750" i="12"/>
  <c r="J4750" i="12"/>
  <c r="I4750" i="12"/>
  <c r="K4749" i="12"/>
  <c r="J4749" i="12"/>
  <c r="I4749" i="12"/>
  <c r="K4748" i="12"/>
  <c r="J4748" i="12"/>
  <c r="I4748" i="12"/>
  <c r="K4747" i="12"/>
  <c r="J4747" i="12"/>
  <c r="I4747" i="12"/>
  <c r="K4746" i="12"/>
  <c r="J4746" i="12"/>
  <c r="I4746" i="12"/>
  <c r="K4745" i="12"/>
  <c r="J4745" i="12"/>
  <c r="I4745" i="12"/>
  <c r="K4744" i="12"/>
  <c r="J4744" i="12"/>
  <c r="I4744" i="12"/>
  <c r="K4743" i="12"/>
  <c r="J4743" i="12"/>
  <c r="I4743" i="12"/>
  <c r="K4742" i="12"/>
  <c r="J4742" i="12"/>
  <c r="I4742" i="12"/>
  <c r="K4741" i="12"/>
  <c r="J4741" i="12"/>
  <c r="I4741" i="12"/>
  <c r="K4740" i="12"/>
  <c r="J4740" i="12"/>
  <c r="I4740" i="12"/>
  <c r="K4739" i="12"/>
  <c r="J4739" i="12"/>
  <c r="I4739" i="12"/>
  <c r="K4738" i="12"/>
  <c r="J4738" i="12"/>
  <c r="I4738" i="12"/>
  <c r="K4737" i="12"/>
  <c r="J4737" i="12"/>
  <c r="I4737" i="12"/>
  <c r="K4736" i="12"/>
  <c r="J4736" i="12"/>
  <c r="I4736" i="12"/>
  <c r="K4735" i="12"/>
  <c r="J4735" i="12"/>
  <c r="I4735" i="12"/>
  <c r="K4734" i="12"/>
  <c r="J4734" i="12"/>
  <c r="I4734" i="12"/>
  <c r="K4733" i="12"/>
  <c r="J4733" i="12"/>
  <c r="I4733" i="12"/>
  <c r="K4732" i="12"/>
  <c r="J4732" i="12"/>
  <c r="I4732" i="12"/>
  <c r="K4731" i="12"/>
  <c r="J4731" i="12"/>
  <c r="I4731" i="12"/>
  <c r="K4730" i="12"/>
  <c r="J4730" i="12"/>
  <c r="I4730" i="12"/>
  <c r="K4729" i="12"/>
  <c r="J4729" i="12"/>
  <c r="I4729" i="12"/>
  <c r="K4728" i="12"/>
  <c r="J4728" i="12"/>
  <c r="I4728" i="12"/>
  <c r="K4727" i="12"/>
  <c r="J4727" i="12"/>
  <c r="I4727" i="12"/>
  <c r="K4726" i="12"/>
  <c r="J4726" i="12"/>
  <c r="I4726" i="12"/>
  <c r="K4725" i="12"/>
  <c r="J4725" i="12"/>
  <c r="I4725" i="12"/>
  <c r="K4724" i="12"/>
  <c r="J4724" i="12"/>
  <c r="I4724" i="12"/>
  <c r="K4723" i="12"/>
  <c r="J4723" i="12"/>
  <c r="I4723" i="12"/>
  <c r="K4722" i="12"/>
  <c r="J4722" i="12"/>
  <c r="I4722" i="12"/>
  <c r="K4721" i="12"/>
  <c r="J4721" i="12"/>
  <c r="I4721" i="12"/>
  <c r="K4720" i="12"/>
  <c r="J4720" i="12"/>
  <c r="I4720" i="12"/>
  <c r="K4719" i="12"/>
  <c r="J4719" i="12"/>
  <c r="I4719" i="12"/>
  <c r="K4718" i="12"/>
  <c r="J4718" i="12"/>
  <c r="I4718" i="12"/>
  <c r="K4717" i="12"/>
  <c r="J4717" i="12"/>
  <c r="I4717" i="12"/>
  <c r="K4716" i="12"/>
  <c r="J4716" i="12"/>
  <c r="I4716" i="12"/>
  <c r="K4715" i="12"/>
  <c r="J4715" i="12"/>
  <c r="I4715" i="12"/>
  <c r="K4714" i="12"/>
  <c r="J4714" i="12"/>
  <c r="I4714" i="12"/>
  <c r="K4713" i="12"/>
  <c r="J4713" i="12"/>
  <c r="I4713" i="12"/>
  <c r="K4712" i="12"/>
  <c r="J4712" i="12"/>
  <c r="I4712" i="12"/>
  <c r="K4711" i="12"/>
  <c r="J4711" i="12"/>
  <c r="I4711" i="12"/>
  <c r="K4710" i="12"/>
  <c r="J4710" i="12"/>
  <c r="I4710" i="12"/>
  <c r="K4709" i="12"/>
  <c r="J4709" i="12"/>
  <c r="I4709" i="12"/>
  <c r="K4708" i="12"/>
  <c r="J4708" i="12"/>
  <c r="I4708" i="12"/>
  <c r="K4707" i="12"/>
  <c r="J4707" i="12"/>
  <c r="I4707" i="12"/>
  <c r="K4706" i="12"/>
  <c r="J4706" i="12"/>
  <c r="I4706" i="12"/>
  <c r="K4705" i="12"/>
  <c r="J4705" i="12"/>
  <c r="I4705" i="12"/>
  <c r="K4704" i="12"/>
  <c r="J4704" i="12"/>
  <c r="I4704" i="12"/>
  <c r="K4703" i="12"/>
  <c r="J4703" i="12"/>
  <c r="I4703" i="12"/>
  <c r="K4702" i="12"/>
  <c r="J4702" i="12"/>
  <c r="I4702" i="12"/>
  <c r="K4701" i="12"/>
  <c r="J4701" i="12"/>
  <c r="I4701" i="12"/>
  <c r="K4700" i="12"/>
  <c r="J4700" i="12"/>
  <c r="I4700" i="12"/>
  <c r="K4699" i="12"/>
  <c r="J4699" i="12"/>
  <c r="I4699" i="12"/>
  <c r="K4698" i="12"/>
  <c r="J4698" i="12"/>
  <c r="I4698" i="12"/>
  <c r="K4697" i="12"/>
  <c r="J4697" i="12"/>
  <c r="I4697" i="12"/>
  <c r="K4696" i="12"/>
  <c r="J4696" i="12"/>
  <c r="I4696" i="12"/>
  <c r="K4695" i="12"/>
  <c r="J4695" i="12"/>
  <c r="I4695" i="12"/>
  <c r="K4694" i="12"/>
  <c r="J4694" i="12"/>
  <c r="I4694" i="12"/>
  <c r="K4693" i="12"/>
  <c r="J4693" i="12"/>
  <c r="I4693" i="12"/>
  <c r="K4692" i="12"/>
  <c r="J4692" i="12"/>
  <c r="I4692" i="12"/>
  <c r="K4691" i="12"/>
  <c r="J4691" i="12"/>
  <c r="I4691" i="12"/>
  <c r="K4690" i="12"/>
  <c r="J4690" i="12"/>
  <c r="I4690" i="12"/>
  <c r="K4689" i="12"/>
  <c r="J4689" i="12"/>
  <c r="I4689" i="12"/>
  <c r="K4688" i="12"/>
  <c r="J4688" i="12"/>
  <c r="I4688" i="12"/>
  <c r="K4687" i="12"/>
  <c r="J4687" i="12"/>
  <c r="I4687" i="12"/>
  <c r="K4686" i="12"/>
  <c r="J4686" i="12"/>
  <c r="I4686" i="12"/>
  <c r="K4685" i="12"/>
  <c r="J4685" i="12"/>
  <c r="I4685" i="12"/>
  <c r="K4684" i="12"/>
  <c r="J4684" i="12"/>
  <c r="I4684" i="12"/>
  <c r="K4683" i="12"/>
  <c r="J4683" i="12"/>
  <c r="I4683" i="12"/>
  <c r="K4682" i="12"/>
  <c r="J4682" i="12"/>
  <c r="I4682" i="12"/>
  <c r="K4681" i="12"/>
  <c r="J4681" i="12"/>
  <c r="I4681" i="12"/>
  <c r="K4680" i="12"/>
  <c r="J4680" i="12"/>
  <c r="I4680" i="12"/>
  <c r="K4679" i="12"/>
  <c r="J4679" i="12"/>
  <c r="I4679" i="12"/>
  <c r="K4678" i="12"/>
  <c r="J4678" i="12"/>
  <c r="I4678" i="12"/>
  <c r="K4677" i="12"/>
  <c r="J4677" i="12"/>
  <c r="I4677" i="12"/>
  <c r="K4676" i="12"/>
  <c r="J4676" i="12"/>
  <c r="I4676" i="12"/>
  <c r="K4675" i="12"/>
  <c r="J4675" i="12"/>
  <c r="I4675" i="12"/>
  <c r="K4674" i="12"/>
  <c r="J4674" i="12"/>
  <c r="I4674" i="12"/>
  <c r="K4673" i="12"/>
  <c r="J4673" i="12"/>
  <c r="I4673" i="12"/>
  <c r="K4672" i="12"/>
  <c r="J4672" i="12"/>
  <c r="I4672" i="12"/>
  <c r="K4671" i="12"/>
  <c r="J4671" i="12"/>
  <c r="I4671" i="12"/>
  <c r="K4670" i="12"/>
  <c r="J4670" i="12"/>
  <c r="I4670" i="12"/>
  <c r="K4669" i="12"/>
  <c r="J4669" i="12"/>
  <c r="I4669" i="12"/>
  <c r="K4668" i="12"/>
  <c r="J4668" i="12"/>
  <c r="I4668" i="12"/>
  <c r="K4667" i="12"/>
  <c r="J4667" i="12"/>
  <c r="I4667" i="12"/>
  <c r="K4666" i="12"/>
  <c r="J4666" i="12"/>
  <c r="I4666" i="12"/>
  <c r="K4665" i="12"/>
  <c r="J4665" i="12"/>
  <c r="I4665" i="12"/>
  <c r="K4664" i="12"/>
  <c r="J4664" i="12"/>
  <c r="I4664" i="12"/>
  <c r="K4663" i="12"/>
  <c r="J4663" i="12"/>
  <c r="I4663" i="12"/>
  <c r="K4662" i="12"/>
  <c r="J4662" i="12"/>
  <c r="I4662" i="12"/>
  <c r="K4661" i="12"/>
  <c r="J4661" i="12"/>
  <c r="I4661" i="12"/>
  <c r="K4660" i="12"/>
  <c r="J4660" i="12"/>
  <c r="I4660" i="12"/>
  <c r="K4659" i="12"/>
  <c r="J4659" i="12"/>
  <c r="I4659" i="12"/>
  <c r="K4658" i="12"/>
  <c r="J4658" i="12"/>
  <c r="I4658" i="12"/>
  <c r="K4657" i="12"/>
  <c r="J4657" i="12"/>
  <c r="I4657" i="12"/>
  <c r="K4656" i="12"/>
  <c r="J4656" i="12"/>
  <c r="I4656" i="12"/>
  <c r="K4655" i="12"/>
  <c r="J4655" i="12"/>
  <c r="I4655" i="12"/>
  <c r="K4654" i="12"/>
  <c r="J4654" i="12"/>
  <c r="I4654" i="12"/>
  <c r="K4653" i="12"/>
  <c r="J4653" i="12"/>
  <c r="I4653" i="12"/>
  <c r="K4652" i="12"/>
  <c r="J4652" i="12"/>
  <c r="I4652" i="12"/>
  <c r="K4651" i="12"/>
  <c r="J4651" i="12"/>
  <c r="I4651" i="12"/>
  <c r="K4650" i="12"/>
  <c r="J4650" i="12"/>
  <c r="I4650" i="12"/>
  <c r="K4649" i="12"/>
  <c r="J4649" i="12"/>
  <c r="I4649" i="12"/>
  <c r="K4648" i="12"/>
  <c r="J4648" i="12"/>
  <c r="I4648" i="12"/>
  <c r="K4647" i="12"/>
  <c r="J4647" i="12"/>
  <c r="I4647" i="12"/>
  <c r="K4646" i="12"/>
  <c r="J4646" i="12"/>
  <c r="I4646" i="12"/>
  <c r="K4645" i="12"/>
  <c r="J4645" i="12"/>
  <c r="I4645" i="12"/>
  <c r="K4644" i="12"/>
  <c r="J4644" i="12"/>
  <c r="I4644" i="12"/>
  <c r="K4643" i="12"/>
  <c r="J4643" i="12"/>
  <c r="I4643" i="12"/>
  <c r="K4642" i="12"/>
  <c r="J4642" i="12"/>
  <c r="I4642" i="12"/>
  <c r="K4641" i="12"/>
  <c r="J4641" i="12"/>
  <c r="I4641" i="12"/>
  <c r="K4640" i="12"/>
  <c r="J4640" i="12"/>
  <c r="I4640" i="12"/>
  <c r="K4639" i="12"/>
  <c r="J4639" i="12"/>
  <c r="I4639" i="12"/>
  <c r="K4638" i="12"/>
  <c r="J4638" i="12"/>
  <c r="I4638" i="12"/>
  <c r="K4637" i="12"/>
  <c r="J4637" i="12"/>
  <c r="I4637" i="12"/>
  <c r="K4636" i="12"/>
  <c r="J4636" i="12"/>
  <c r="I4636" i="12"/>
  <c r="K4635" i="12"/>
  <c r="J4635" i="12"/>
  <c r="I4635" i="12"/>
  <c r="K4634" i="12"/>
  <c r="J4634" i="12"/>
  <c r="I4634" i="12"/>
  <c r="K4633" i="12"/>
  <c r="J4633" i="12"/>
  <c r="I4633" i="12"/>
  <c r="K4632" i="12"/>
  <c r="J4632" i="12"/>
  <c r="I4632" i="12"/>
  <c r="K4631" i="12"/>
  <c r="J4631" i="12"/>
  <c r="I4631" i="12"/>
  <c r="K4630" i="12"/>
  <c r="J4630" i="12"/>
  <c r="I4630" i="12"/>
  <c r="K4629" i="12"/>
  <c r="J4629" i="12"/>
  <c r="I4629" i="12"/>
  <c r="K4628" i="12"/>
  <c r="J4628" i="12"/>
  <c r="I4628" i="12"/>
  <c r="K4627" i="12"/>
  <c r="J4627" i="12"/>
  <c r="I4627" i="12"/>
  <c r="K4626" i="12"/>
  <c r="J4626" i="12"/>
  <c r="I4626" i="12"/>
  <c r="K4625" i="12"/>
  <c r="J4625" i="12"/>
  <c r="I4625" i="12"/>
  <c r="K4624" i="12"/>
  <c r="J4624" i="12"/>
  <c r="I4624" i="12"/>
  <c r="K4623" i="12"/>
  <c r="J4623" i="12"/>
  <c r="I4623" i="12"/>
  <c r="K4622" i="12"/>
  <c r="J4622" i="12"/>
  <c r="I4622" i="12"/>
  <c r="K4621" i="12"/>
  <c r="J4621" i="12"/>
  <c r="I4621" i="12"/>
  <c r="K4620" i="12"/>
  <c r="J4620" i="12"/>
  <c r="I4620" i="12"/>
  <c r="K4619" i="12"/>
  <c r="J4619" i="12"/>
  <c r="I4619" i="12"/>
  <c r="K4618" i="12"/>
  <c r="J4618" i="12"/>
  <c r="I4618" i="12"/>
  <c r="K4617" i="12"/>
  <c r="J4617" i="12"/>
  <c r="I4617" i="12"/>
  <c r="K4616" i="12"/>
  <c r="J4616" i="12"/>
  <c r="I4616" i="12"/>
  <c r="K4615" i="12"/>
  <c r="J4615" i="12"/>
  <c r="I4615" i="12"/>
  <c r="K4614" i="12"/>
  <c r="J4614" i="12"/>
  <c r="I4614" i="12"/>
  <c r="K4613" i="12"/>
  <c r="J4613" i="12"/>
  <c r="I4613" i="12"/>
  <c r="K4612" i="12"/>
  <c r="J4612" i="12"/>
  <c r="I4612" i="12"/>
  <c r="K4611" i="12"/>
  <c r="J4611" i="12"/>
  <c r="I4611" i="12"/>
  <c r="K4610" i="12"/>
  <c r="J4610" i="12"/>
  <c r="I4610" i="12"/>
  <c r="K4609" i="12"/>
  <c r="J4609" i="12"/>
  <c r="I4609" i="12"/>
  <c r="K4608" i="12"/>
  <c r="J4608" i="12"/>
  <c r="I4608" i="12"/>
  <c r="K4607" i="12"/>
  <c r="J4607" i="12"/>
  <c r="I4607" i="12"/>
  <c r="K4606" i="12"/>
  <c r="J4606" i="12"/>
  <c r="I4606" i="12"/>
  <c r="K4605" i="12"/>
  <c r="J4605" i="12"/>
  <c r="I4605" i="12"/>
  <c r="K4604" i="12"/>
  <c r="J4604" i="12"/>
  <c r="I4604" i="12"/>
  <c r="K4603" i="12"/>
  <c r="J4603" i="12"/>
  <c r="I4603" i="12"/>
  <c r="K4602" i="12"/>
  <c r="J4602" i="12"/>
  <c r="I4602" i="12"/>
  <c r="K4601" i="12"/>
  <c r="J4601" i="12"/>
  <c r="I4601" i="12"/>
  <c r="K4600" i="12"/>
  <c r="J4600" i="12"/>
  <c r="I4600" i="12"/>
  <c r="K4599" i="12"/>
  <c r="J4599" i="12"/>
  <c r="I4599" i="12"/>
  <c r="K4598" i="12"/>
  <c r="J4598" i="12"/>
  <c r="I4598" i="12"/>
  <c r="K4597" i="12"/>
  <c r="J4597" i="12"/>
  <c r="I4597" i="12"/>
  <c r="K4596" i="12"/>
  <c r="J4596" i="12"/>
  <c r="I4596" i="12"/>
  <c r="K4595" i="12"/>
  <c r="J4595" i="12"/>
  <c r="I4595" i="12"/>
  <c r="K4594" i="12"/>
  <c r="J4594" i="12"/>
  <c r="I4594" i="12"/>
  <c r="K4593" i="12"/>
  <c r="J4593" i="12"/>
  <c r="I4593" i="12"/>
  <c r="K4592" i="12"/>
  <c r="J4592" i="12"/>
  <c r="I4592" i="12"/>
  <c r="K4591" i="12"/>
  <c r="J4591" i="12"/>
  <c r="I4591" i="12"/>
  <c r="K4590" i="12"/>
  <c r="J4590" i="12"/>
  <c r="I4590" i="12"/>
  <c r="K4589" i="12"/>
  <c r="J4589" i="12"/>
  <c r="I4589" i="12"/>
  <c r="K4588" i="12"/>
  <c r="J4588" i="12"/>
  <c r="I4588" i="12"/>
  <c r="K4587" i="12"/>
  <c r="J4587" i="12"/>
  <c r="I4587" i="12"/>
  <c r="K4586" i="12"/>
  <c r="J4586" i="12"/>
  <c r="I4586" i="12"/>
  <c r="K4585" i="12"/>
  <c r="J4585" i="12"/>
  <c r="I4585" i="12"/>
  <c r="K4584" i="12"/>
  <c r="J4584" i="12"/>
  <c r="I4584" i="12"/>
  <c r="K4583" i="12"/>
  <c r="J4583" i="12"/>
  <c r="I4583" i="12"/>
  <c r="K4582" i="12"/>
  <c r="J4582" i="12"/>
  <c r="I4582" i="12"/>
  <c r="K4581" i="12"/>
  <c r="J4581" i="12"/>
  <c r="I4581" i="12"/>
  <c r="K4580" i="12"/>
  <c r="J4580" i="12"/>
  <c r="I4580" i="12"/>
  <c r="K4579" i="12"/>
  <c r="J4579" i="12"/>
  <c r="I4579" i="12"/>
  <c r="K4578" i="12"/>
  <c r="J4578" i="12"/>
  <c r="I4578" i="12"/>
  <c r="K4577" i="12"/>
  <c r="J4577" i="12"/>
  <c r="I4577" i="12"/>
  <c r="K4576" i="12"/>
  <c r="J4576" i="12"/>
  <c r="I4576" i="12"/>
  <c r="K4575" i="12"/>
  <c r="J4575" i="12"/>
  <c r="I4575" i="12"/>
  <c r="K4574" i="12"/>
  <c r="J4574" i="12"/>
  <c r="I4574" i="12"/>
  <c r="K4573" i="12"/>
  <c r="J4573" i="12"/>
  <c r="I4573" i="12"/>
  <c r="K4572" i="12"/>
  <c r="J4572" i="12"/>
  <c r="I4572" i="12"/>
  <c r="K4571" i="12"/>
  <c r="J4571" i="12"/>
  <c r="I4571" i="12"/>
  <c r="K4570" i="12"/>
  <c r="J4570" i="12"/>
  <c r="I4570" i="12"/>
  <c r="K4569" i="12"/>
  <c r="J4569" i="12"/>
  <c r="I4569" i="12"/>
  <c r="K4568" i="12"/>
  <c r="J4568" i="12"/>
  <c r="I4568" i="12"/>
  <c r="K4567" i="12"/>
  <c r="J4567" i="12"/>
  <c r="I4567" i="12"/>
  <c r="K4566" i="12"/>
  <c r="J4566" i="12"/>
  <c r="I4566" i="12"/>
  <c r="K4565" i="12"/>
  <c r="J4565" i="12"/>
  <c r="I4565" i="12"/>
  <c r="K4564" i="12"/>
  <c r="J4564" i="12"/>
  <c r="I4564" i="12"/>
  <c r="K4563" i="12"/>
  <c r="J4563" i="12"/>
  <c r="I4563" i="12"/>
  <c r="K4562" i="12"/>
  <c r="J4562" i="12"/>
  <c r="I4562" i="12"/>
  <c r="K4561" i="12"/>
  <c r="J4561" i="12"/>
  <c r="I4561" i="12"/>
  <c r="K4560" i="12"/>
  <c r="J4560" i="12"/>
  <c r="I4560" i="12"/>
  <c r="K4559" i="12"/>
  <c r="J4559" i="12"/>
  <c r="I4559" i="12"/>
  <c r="K4558" i="12"/>
  <c r="J4558" i="12"/>
  <c r="I4558" i="12"/>
  <c r="K4557" i="12"/>
  <c r="J4557" i="12"/>
  <c r="I4557" i="12"/>
  <c r="K4556" i="12"/>
  <c r="J4556" i="12"/>
  <c r="I4556" i="12"/>
  <c r="K4555" i="12"/>
  <c r="J4555" i="12"/>
  <c r="I4555" i="12"/>
  <c r="K4554" i="12"/>
  <c r="J4554" i="12"/>
  <c r="I4554" i="12"/>
  <c r="K4553" i="12"/>
  <c r="J4553" i="12"/>
  <c r="I4553" i="12"/>
  <c r="K4552" i="12"/>
  <c r="J4552" i="12"/>
  <c r="I4552" i="12"/>
  <c r="K4551" i="12"/>
  <c r="J4551" i="12"/>
  <c r="I4551" i="12"/>
  <c r="K4550" i="12"/>
  <c r="J4550" i="12"/>
  <c r="I4550" i="12"/>
  <c r="K4549" i="12"/>
  <c r="J4549" i="12"/>
  <c r="I4549" i="12"/>
  <c r="K4548" i="12"/>
  <c r="J4548" i="12"/>
  <c r="I4548" i="12"/>
  <c r="K4547" i="12"/>
  <c r="J4547" i="12"/>
  <c r="I4547" i="12"/>
  <c r="K4546" i="12"/>
  <c r="J4546" i="12"/>
  <c r="I4546" i="12"/>
  <c r="K4545" i="12"/>
  <c r="J4545" i="12"/>
  <c r="I4545" i="12"/>
  <c r="K4544" i="12"/>
  <c r="J4544" i="12"/>
  <c r="I4544" i="12"/>
  <c r="K4543" i="12"/>
  <c r="J4543" i="12"/>
  <c r="I4543" i="12"/>
  <c r="K4542" i="12"/>
  <c r="J4542" i="12"/>
  <c r="I4542" i="12"/>
  <c r="K4541" i="12"/>
  <c r="J4541" i="12"/>
  <c r="I4541" i="12"/>
  <c r="K4540" i="12"/>
  <c r="J4540" i="12"/>
  <c r="I4540" i="12"/>
  <c r="K4539" i="12"/>
  <c r="J4539" i="12"/>
  <c r="I4539" i="12"/>
  <c r="K4538" i="12"/>
  <c r="J4538" i="12"/>
  <c r="I4538" i="12"/>
  <c r="K4537" i="12"/>
  <c r="J4537" i="12"/>
  <c r="I4537" i="12"/>
  <c r="K4536" i="12"/>
  <c r="J4536" i="12"/>
  <c r="I4536" i="12"/>
  <c r="K4535" i="12"/>
  <c r="J4535" i="12"/>
  <c r="I4535" i="12"/>
  <c r="K4534" i="12"/>
  <c r="J4534" i="12"/>
  <c r="I4534" i="12"/>
  <c r="K4533" i="12"/>
  <c r="J4533" i="12"/>
  <c r="I4533" i="12"/>
  <c r="K4532" i="12"/>
  <c r="J4532" i="12"/>
  <c r="I4532" i="12"/>
  <c r="K4531" i="12"/>
  <c r="J4531" i="12"/>
  <c r="I4531" i="12"/>
  <c r="K4530" i="12"/>
  <c r="J4530" i="12"/>
  <c r="I4530" i="12"/>
  <c r="K4529" i="12"/>
  <c r="J4529" i="12"/>
  <c r="I4529" i="12"/>
  <c r="K4528" i="12"/>
  <c r="J4528" i="12"/>
  <c r="I4528" i="12"/>
  <c r="K4527" i="12"/>
  <c r="J4527" i="12"/>
  <c r="I4527" i="12"/>
  <c r="K4526" i="12"/>
  <c r="J4526" i="12"/>
  <c r="I4526" i="12"/>
  <c r="K4525" i="12"/>
  <c r="J4525" i="12"/>
  <c r="I4525" i="12"/>
  <c r="K4524" i="12"/>
  <c r="J4524" i="12"/>
  <c r="I4524" i="12"/>
  <c r="K4523" i="12"/>
  <c r="J4523" i="12"/>
  <c r="I4523" i="12"/>
  <c r="K4522" i="12"/>
  <c r="J4522" i="12"/>
  <c r="I4522" i="12"/>
  <c r="K4521" i="12"/>
  <c r="J4521" i="12"/>
  <c r="I4521" i="12"/>
  <c r="K4520" i="12"/>
  <c r="J4520" i="12"/>
  <c r="I4520" i="12"/>
  <c r="K4519" i="12"/>
  <c r="J4519" i="12"/>
  <c r="I4519" i="12"/>
  <c r="K4518" i="12"/>
  <c r="J4518" i="12"/>
  <c r="I4518" i="12"/>
  <c r="K4517" i="12"/>
  <c r="J4517" i="12"/>
  <c r="I4517" i="12"/>
  <c r="K4516" i="12"/>
  <c r="J4516" i="12"/>
  <c r="I4516" i="12"/>
  <c r="K4515" i="12"/>
  <c r="J4515" i="12"/>
  <c r="I4515" i="12"/>
  <c r="K4514" i="12"/>
  <c r="J4514" i="12"/>
  <c r="I4514" i="12"/>
  <c r="K4513" i="12"/>
  <c r="J4513" i="12"/>
  <c r="I4513" i="12"/>
  <c r="K4512" i="12"/>
  <c r="J4512" i="12"/>
  <c r="I4512" i="12"/>
  <c r="K4511" i="12"/>
  <c r="J4511" i="12"/>
  <c r="I4511" i="12"/>
  <c r="K4510" i="12"/>
  <c r="J4510" i="12"/>
  <c r="I4510" i="12"/>
  <c r="K4509" i="12"/>
  <c r="J4509" i="12"/>
  <c r="I4509" i="12"/>
  <c r="K4508" i="12"/>
  <c r="J4508" i="12"/>
  <c r="I4508" i="12"/>
  <c r="K4507" i="12"/>
  <c r="J4507" i="12"/>
  <c r="I4507" i="12"/>
  <c r="K4506" i="12"/>
  <c r="J4506" i="12"/>
  <c r="I4506" i="12"/>
  <c r="K4505" i="12"/>
  <c r="J4505" i="12"/>
  <c r="I4505" i="12"/>
  <c r="K4504" i="12"/>
  <c r="J4504" i="12"/>
  <c r="I4504" i="12"/>
  <c r="K4503" i="12"/>
  <c r="J4503" i="12"/>
  <c r="I4503" i="12"/>
  <c r="K4502" i="12"/>
  <c r="J4502" i="12"/>
  <c r="I4502" i="12"/>
  <c r="K4501" i="12"/>
  <c r="J4501" i="12"/>
  <c r="I4501" i="12"/>
  <c r="K4500" i="12"/>
  <c r="J4500" i="12"/>
  <c r="I4500" i="12"/>
  <c r="K4499" i="12"/>
  <c r="J4499" i="12"/>
  <c r="I4499" i="12"/>
  <c r="K4498" i="12"/>
  <c r="J4498" i="12"/>
  <c r="I4498" i="12"/>
  <c r="K4497" i="12"/>
  <c r="J4497" i="12"/>
  <c r="I4497" i="12"/>
  <c r="K4496" i="12"/>
  <c r="J4496" i="12"/>
  <c r="I4496" i="12"/>
  <c r="K4495" i="12"/>
  <c r="J4495" i="12"/>
  <c r="I4495" i="12"/>
  <c r="K4494" i="12"/>
  <c r="J4494" i="12"/>
  <c r="I4494" i="12"/>
  <c r="K4493" i="12"/>
  <c r="J4493" i="12"/>
  <c r="I4493" i="12"/>
  <c r="K4492" i="12"/>
  <c r="J4492" i="12"/>
  <c r="I4492" i="12"/>
  <c r="K4491" i="12"/>
  <c r="J4491" i="12"/>
  <c r="I4491" i="12"/>
  <c r="K4490" i="12"/>
  <c r="J4490" i="12"/>
  <c r="I4490" i="12"/>
  <c r="K4489" i="12"/>
  <c r="J4489" i="12"/>
  <c r="I4489" i="12"/>
  <c r="K4488" i="12"/>
  <c r="J4488" i="12"/>
  <c r="I4488" i="12"/>
  <c r="K4487" i="12"/>
  <c r="J4487" i="12"/>
  <c r="I4487" i="12"/>
  <c r="K4486" i="12"/>
  <c r="J4486" i="12"/>
  <c r="I4486" i="12"/>
  <c r="K4485" i="12"/>
  <c r="J4485" i="12"/>
  <c r="I4485" i="12"/>
  <c r="K4484" i="12"/>
  <c r="J4484" i="12"/>
  <c r="I4484" i="12"/>
  <c r="K4483" i="12"/>
  <c r="J4483" i="12"/>
  <c r="I4483" i="12"/>
  <c r="K4482" i="12"/>
  <c r="J4482" i="12"/>
  <c r="I4482" i="12"/>
  <c r="K4481" i="12"/>
  <c r="J4481" i="12"/>
  <c r="I4481" i="12"/>
  <c r="K4480" i="12"/>
  <c r="J4480" i="12"/>
  <c r="I4480" i="12"/>
  <c r="K4479" i="12"/>
  <c r="J4479" i="12"/>
  <c r="I4479" i="12"/>
  <c r="K4478" i="12"/>
  <c r="J4478" i="12"/>
  <c r="I4478" i="12"/>
  <c r="K4477" i="12"/>
  <c r="J4477" i="12"/>
  <c r="I4477" i="12"/>
  <c r="K4476" i="12"/>
  <c r="J4476" i="12"/>
  <c r="I4476" i="12"/>
  <c r="K4475" i="12"/>
  <c r="J4475" i="12"/>
  <c r="I4475" i="12"/>
  <c r="K4474" i="12"/>
  <c r="J4474" i="12"/>
  <c r="I4474" i="12"/>
  <c r="K4473" i="12"/>
  <c r="J4473" i="12"/>
  <c r="I4473" i="12"/>
  <c r="K4472" i="12"/>
  <c r="J4472" i="12"/>
  <c r="I4472" i="12"/>
  <c r="K4471" i="12"/>
  <c r="J4471" i="12"/>
  <c r="I4471" i="12"/>
  <c r="K4470" i="12"/>
  <c r="J4470" i="12"/>
  <c r="I4470" i="12"/>
  <c r="K4469" i="12"/>
  <c r="J4469" i="12"/>
  <c r="I4469" i="12"/>
  <c r="K4468" i="12"/>
  <c r="J4468" i="12"/>
  <c r="I4468" i="12"/>
  <c r="K4467" i="12"/>
  <c r="J4467" i="12"/>
  <c r="I4467" i="12"/>
  <c r="K4466" i="12"/>
  <c r="J4466" i="12"/>
  <c r="I4466" i="12"/>
  <c r="K4465" i="12"/>
  <c r="J4465" i="12"/>
  <c r="I4465" i="12"/>
  <c r="K4464" i="12"/>
  <c r="J4464" i="12"/>
  <c r="I4464" i="12"/>
  <c r="K4463" i="12"/>
  <c r="J4463" i="12"/>
  <c r="I4463" i="12"/>
  <c r="K4462" i="12"/>
  <c r="J4462" i="12"/>
  <c r="I4462" i="12"/>
  <c r="K4461" i="12"/>
  <c r="J4461" i="12"/>
  <c r="I4461" i="12"/>
  <c r="K4460" i="12"/>
  <c r="J4460" i="12"/>
  <c r="I4460" i="12"/>
  <c r="K4459" i="12"/>
  <c r="J4459" i="12"/>
  <c r="I4459" i="12"/>
  <c r="K4458" i="12"/>
  <c r="J4458" i="12"/>
  <c r="I4458" i="12"/>
  <c r="K4457" i="12"/>
  <c r="J4457" i="12"/>
  <c r="I4457" i="12"/>
  <c r="K4456" i="12"/>
  <c r="J4456" i="12"/>
  <c r="I4456" i="12"/>
  <c r="K4455" i="12"/>
  <c r="J4455" i="12"/>
  <c r="I4455" i="12"/>
  <c r="K4454" i="12"/>
  <c r="J4454" i="12"/>
  <c r="I4454" i="12"/>
  <c r="K4453" i="12"/>
  <c r="J4453" i="12"/>
  <c r="I4453" i="12"/>
  <c r="K4452" i="12"/>
  <c r="J4452" i="12"/>
  <c r="I4452" i="12"/>
  <c r="K4451" i="12"/>
  <c r="J4451" i="12"/>
  <c r="I4451" i="12"/>
  <c r="K4450" i="12"/>
  <c r="J4450" i="12"/>
  <c r="I4450" i="12"/>
  <c r="K4449" i="12"/>
  <c r="J4449" i="12"/>
  <c r="I4449" i="12"/>
  <c r="K4448" i="12"/>
  <c r="J4448" i="12"/>
  <c r="I4448" i="12"/>
  <c r="K4447" i="12"/>
  <c r="J4447" i="12"/>
  <c r="I4447" i="12"/>
  <c r="K4446" i="12"/>
  <c r="J4446" i="12"/>
  <c r="I4446" i="12"/>
  <c r="K4445" i="12"/>
  <c r="J4445" i="12"/>
  <c r="I4445" i="12"/>
  <c r="K4444" i="12"/>
  <c r="J4444" i="12"/>
  <c r="I4444" i="12"/>
  <c r="K4443" i="12"/>
  <c r="J4443" i="12"/>
  <c r="I4443" i="12"/>
  <c r="K4442" i="12"/>
  <c r="J4442" i="12"/>
  <c r="I4442" i="12"/>
  <c r="K4441" i="12"/>
  <c r="J4441" i="12"/>
  <c r="I4441" i="12"/>
  <c r="K4440" i="12"/>
  <c r="J4440" i="12"/>
  <c r="I4440" i="12"/>
  <c r="K4439" i="12"/>
  <c r="J4439" i="12"/>
  <c r="I4439" i="12"/>
  <c r="K4438" i="12"/>
  <c r="J4438" i="12"/>
  <c r="I4438" i="12"/>
  <c r="K4437" i="12"/>
  <c r="J4437" i="12"/>
  <c r="I4437" i="12"/>
  <c r="K4436" i="12"/>
  <c r="J4436" i="12"/>
  <c r="I4436" i="12"/>
  <c r="K4435" i="12"/>
  <c r="J4435" i="12"/>
  <c r="I4435" i="12"/>
  <c r="K4434" i="12"/>
  <c r="J4434" i="12"/>
  <c r="I4434" i="12"/>
  <c r="K4433" i="12"/>
  <c r="J4433" i="12"/>
  <c r="I4433" i="12"/>
  <c r="K4432" i="12"/>
  <c r="J4432" i="12"/>
  <c r="I4432" i="12"/>
  <c r="K4431" i="12"/>
  <c r="J4431" i="12"/>
  <c r="I4431" i="12"/>
  <c r="K4430" i="12"/>
  <c r="J4430" i="12"/>
  <c r="I4430" i="12"/>
  <c r="K4429" i="12"/>
  <c r="J4429" i="12"/>
  <c r="I4429" i="12"/>
  <c r="K4428" i="12"/>
  <c r="J4428" i="12"/>
  <c r="I4428" i="12"/>
  <c r="K4427" i="12"/>
  <c r="J4427" i="12"/>
  <c r="I4427" i="12"/>
  <c r="K4426" i="12"/>
  <c r="J4426" i="12"/>
  <c r="I4426" i="12"/>
  <c r="K4425" i="12"/>
  <c r="J4425" i="12"/>
  <c r="I4425" i="12"/>
  <c r="K4424" i="12"/>
  <c r="J4424" i="12"/>
  <c r="I4424" i="12"/>
  <c r="K4423" i="12"/>
  <c r="J4423" i="12"/>
  <c r="I4423" i="12"/>
  <c r="K4422" i="12"/>
  <c r="J4422" i="12"/>
  <c r="I4422" i="12"/>
  <c r="K4421" i="12"/>
  <c r="J4421" i="12"/>
  <c r="I4421" i="12"/>
  <c r="K4420" i="12"/>
  <c r="J4420" i="12"/>
  <c r="I4420" i="12"/>
  <c r="K4419" i="12"/>
  <c r="J4419" i="12"/>
  <c r="I4419" i="12"/>
  <c r="K4418" i="12"/>
  <c r="J4418" i="12"/>
  <c r="I4418" i="12"/>
  <c r="K4417" i="12"/>
  <c r="J4417" i="12"/>
  <c r="I4417" i="12"/>
  <c r="K4416" i="12"/>
  <c r="J4416" i="12"/>
  <c r="I4416" i="12"/>
  <c r="K4415" i="12"/>
  <c r="J4415" i="12"/>
  <c r="I4415" i="12"/>
  <c r="K4414" i="12"/>
  <c r="J4414" i="12"/>
  <c r="I4414" i="12"/>
  <c r="K4413" i="12"/>
  <c r="J4413" i="12"/>
  <c r="I4413" i="12"/>
  <c r="K4412" i="12"/>
  <c r="J4412" i="12"/>
  <c r="I4412" i="12"/>
  <c r="K4411" i="12"/>
  <c r="J4411" i="12"/>
  <c r="I4411" i="12"/>
  <c r="K4410" i="12"/>
  <c r="J4410" i="12"/>
  <c r="I4410" i="12"/>
  <c r="K4409" i="12"/>
  <c r="J4409" i="12"/>
  <c r="I4409" i="12"/>
  <c r="K4408" i="12"/>
  <c r="J4408" i="12"/>
  <c r="I4408" i="12"/>
  <c r="K4407" i="12"/>
  <c r="J4407" i="12"/>
  <c r="I4407" i="12"/>
  <c r="K4406" i="12"/>
  <c r="J4406" i="12"/>
  <c r="I4406" i="12"/>
  <c r="K4405" i="12"/>
  <c r="J4405" i="12"/>
  <c r="I4405" i="12"/>
  <c r="K4404" i="12"/>
  <c r="J4404" i="12"/>
  <c r="I4404" i="12"/>
  <c r="K4403" i="12"/>
  <c r="J4403" i="12"/>
  <c r="I4403" i="12"/>
  <c r="K4402" i="12"/>
  <c r="J4402" i="12"/>
  <c r="I4402" i="12"/>
  <c r="K4401" i="12"/>
  <c r="J4401" i="12"/>
  <c r="I4401" i="12"/>
  <c r="K4400" i="12"/>
  <c r="J4400" i="12"/>
  <c r="I4400" i="12"/>
  <c r="K4399" i="12"/>
  <c r="J4399" i="12"/>
  <c r="I4399" i="12"/>
  <c r="K4398" i="12"/>
  <c r="J4398" i="12"/>
  <c r="I4398" i="12"/>
  <c r="K4397" i="12"/>
  <c r="J4397" i="12"/>
  <c r="I4397" i="12"/>
  <c r="K4396" i="12"/>
  <c r="J4396" i="12"/>
  <c r="I4396" i="12"/>
  <c r="K4395" i="12"/>
  <c r="J4395" i="12"/>
  <c r="I4395" i="12"/>
  <c r="K4394" i="12"/>
  <c r="J4394" i="12"/>
  <c r="I4394" i="12"/>
  <c r="K4393" i="12"/>
  <c r="J4393" i="12"/>
  <c r="I4393" i="12"/>
  <c r="K4392" i="12"/>
  <c r="J4392" i="12"/>
  <c r="I4392" i="12"/>
  <c r="K4391" i="12"/>
  <c r="J4391" i="12"/>
  <c r="I4391" i="12"/>
  <c r="K4390" i="12"/>
  <c r="J4390" i="12"/>
  <c r="I4390" i="12"/>
  <c r="K4389" i="12"/>
  <c r="J4389" i="12"/>
  <c r="I4389" i="12"/>
  <c r="K4388" i="12"/>
  <c r="J4388" i="12"/>
  <c r="I4388" i="12"/>
  <c r="K4387" i="12"/>
  <c r="J4387" i="12"/>
  <c r="I4387" i="12"/>
  <c r="K4386" i="12"/>
  <c r="J4386" i="12"/>
  <c r="I4386" i="12"/>
  <c r="K4385" i="12"/>
  <c r="J4385" i="12"/>
  <c r="I4385" i="12"/>
  <c r="K4384" i="12"/>
  <c r="J4384" i="12"/>
  <c r="I4384" i="12"/>
  <c r="K4383" i="12"/>
  <c r="J4383" i="12"/>
  <c r="I4383" i="12"/>
  <c r="K4382" i="12"/>
  <c r="J4382" i="12"/>
  <c r="I4382" i="12"/>
  <c r="K4381" i="12"/>
  <c r="J4381" i="12"/>
  <c r="I4381" i="12"/>
  <c r="K4380" i="12"/>
  <c r="J4380" i="12"/>
  <c r="I4380" i="12"/>
  <c r="K4379" i="12"/>
  <c r="J4379" i="12"/>
  <c r="I4379" i="12"/>
  <c r="K4378" i="12"/>
  <c r="J4378" i="12"/>
  <c r="I4378" i="12"/>
  <c r="K4377" i="12"/>
  <c r="J4377" i="12"/>
  <c r="I4377" i="12"/>
  <c r="K4376" i="12"/>
  <c r="J4376" i="12"/>
  <c r="I4376" i="12"/>
  <c r="K4375" i="12"/>
  <c r="J4375" i="12"/>
  <c r="I4375" i="12"/>
  <c r="K4374" i="12"/>
  <c r="J4374" i="12"/>
  <c r="I4374" i="12"/>
  <c r="K4373" i="12"/>
  <c r="J4373" i="12"/>
  <c r="I4373" i="12"/>
  <c r="K4372" i="12"/>
  <c r="J4372" i="12"/>
  <c r="I4372" i="12"/>
  <c r="K4371" i="12"/>
  <c r="J4371" i="12"/>
  <c r="I4371" i="12"/>
  <c r="K4370" i="12"/>
  <c r="J4370" i="12"/>
  <c r="I4370" i="12"/>
  <c r="K4369" i="12"/>
  <c r="J4369" i="12"/>
  <c r="I4369" i="12"/>
  <c r="K4368" i="12"/>
  <c r="J4368" i="12"/>
  <c r="I4368" i="12"/>
  <c r="K4367" i="12"/>
  <c r="J4367" i="12"/>
  <c r="I4367" i="12"/>
  <c r="K4366" i="12"/>
  <c r="J4366" i="12"/>
  <c r="I4366" i="12"/>
  <c r="K4365" i="12"/>
  <c r="J4365" i="12"/>
  <c r="I4365" i="12"/>
  <c r="K4364" i="12"/>
  <c r="J4364" i="12"/>
  <c r="I4364" i="12"/>
  <c r="K4363" i="12"/>
  <c r="J4363" i="12"/>
  <c r="I4363" i="12"/>
  <c r="K4362" i="12"/>
  <c r="J4362" i="12"/>
  <c r="I4362" i="12"/>
  <c r="K4361" i="12"/>
  <c r="J4361" i="12"/>
  <c r="I4361" i="12"/>
  <c r="K4360" i="12"/>
  <c r="J4360" i="12"/>
  <c r="I4360" i="12"/>
  <c r="K4359" i="12"/>
  <c r="J4359" i="12"/>
  <c r="I4359" i="12"/>
  <c r="K4358" i="12"/>
  <c r="J4358" i="12"/>
  <c r="I4358" i="12"/>
  <c r="K4357" i="12"/>
  <c r="J4357" i="12"/>
  <c r="I4357" i="12"/>
  <c r="K4356" i="12"/>
  <c r="J4356" i="12"/>
  <c r="I4356" i="12"/>
  <c r="K4355" i="12"/>
  <c r="J4355" i="12"/>
  <c r="I4355" i="12"/>
  <c r="K4354" i="12"/>
  <c r="J4354" i="12"/>
  <c r="I4354" i="12"/>
  <c r="K4353" i="12"/>
  <c r="J4353" i="12"/>
  <c r="I4353" i="12"/>
  <c r="K4352" i="12"/>
  <c r="J4352" i="12"/>
  <c r="I4352" i="12"/>
  <c r="K4351" i="12"/>
  <c r="J4351" i="12"/>
  <c r="I4351" i="12"/>
  <c r="K4350" i="12"/>
  <c r="J4350" i="12"/>
  <c r="I4350" i="12"/>
  <c r="K4349" i="12"/>
  <c r="J4349" i="12"/>
  <c r="I4349" i="12"/>
  <c r="K4348" i="12"/>
  <c r="J4348" i="12"/>
  <c r="I4348" i="12"/>
  <c r="K4347" i="12"/>
  <c r="J4347" i="12"/>
  <c r="I4347" i="12"/>
  <c r="K4346" i="12"/>
  <c r="J4346" i="12"/>
  <c r="I4346" i="12"/>
  <c r="K4345" i="12"/>
  <c r="J4345" i="12"/>
  <c r="I4345" i="12"/>
  <c r="K4344" i="12"/>
  <c r="J4344" i="12"/>
  <c r="I4344" i="12"/>
  <c r="K4343" i="12"/>
  <c r="J4343" i="12"/>
  <c r="I4343" i="12"/>
  <c r="K4342" i="12"/>
  <c r="J4342" i="12"/>
  <c r="I4342" i="12"/>
  <c r="K4341" i="12"/>
  <c r="J4341" i="12"/>
  <c r="I4341" i="12"/>
  <c r="K4340" i="12"/>
  <c r="J4340" i="12"/>
  <c r="I4340" i="12"/>
  <c r="K4339" i="12"/>
  <c r="J4339" i="12"/>
  <c r="I4339" i="12"/>
  <c r="K4338" i="12"/>
  <c r="J4338" i="12"/>
  <c r="I4338" i="12"/>
  <c r="K4337" i="12"/>
  <c r="J4337" i="12"/>
  <c r="I4337" i="12"/>
  <c r="K4336" i="12"/>
  <c r="J4336" i="12"/>
  <c r="I4336" i="12"/>
  <c r="K4335" i="12"/>
  <c r="J4335" i="12"/>
  <c r="I4335" i="12"/>
  <c r="K4334" i="12"/>
  <c r="J4334" i="12"/>
  <c r="I4334" i="12"/>
  <c r="K4333" i="12"/>
  <c r="J4333" i="12"/>
  <c r="I4333" i="12"/>
  <c r="K4332" i="12"/>
  <c r="J4332" i="12"/>
  <c r="I4332" i="12"/>
  <c r="K4331" i="12"/>
  <c r="J4331" i="12"/>
  <c r="I4331" i="12"/>
  <c r="K4330" i="12"/>
  <c r="J4330" i="12"/>
  <c r="I4330" i="12"/>
  <c r="K4329" i="12"/>
  <c r="J4329" i="12"/>
  <c r="I4329" i="12"/>
  <c r="K4328" i="12"/>
  <c r="J4328" i="12"/>
  <c r="I4328" i="12"/>
  <c r="K4327" i="12"/>
  <c r="J4327" i="12"/>
  <c r="I4327" i="12"/>
  <c r="K4326" i="12"/>
  <c r="J4326" i="12"/>
  <c r="I4326" i="12"/>
  <c r="K4325" i="12"/>
  <c r="J4325" i="12"/>
  <c r="I4325" i="12"/>
  <c r="K4324" i="12"/>
  <c r="J4324" i="12"/>
  <c r="I4324" i="12"/>
  <c r="K4323" i="12"/>
  <c r="J4323" i="12"/>
  <c r="I4323" i="12"/>
  <c r="K4322" i="12"/>
  <c r="J4322" i="12"/>
  <c r="I4322" i="12"/>
  <c r="K4321" i="12"/>
  <c r="J4321" i="12"/>
  <c r="I4321" i="12"/>
  <c r="K4320" i="12"/>
  <c r="J4320" i="12"/>
  <c r="I4320" i="12"/>
  <c r="K4319" i="12"/>
  <c r="J4319" i="12"/>
  <c r="I4319" i="12"/>
  <c r="K4318" i="12"/>
  <c r="J4318" i="12"/>
  <c r="I4318" i="12"/>
  <c r="K4317" i="12"/>
  <c r="J4317" i="12"/>
  <c r="I4317" i="12"/>
  <c r="K4316" i="12"/>
  <c r="J4316" i="12"/>
  <c r="I4316" i="12"/>
  <c r="K4315" i="12"/>
  <c r="J4315" i="12"/>
  <c r="I4315" i="12"/>
  <c r="K4314" i="12"/>
  <c r="J4314" i="12"/>
  <c r="I4314" i="12"/>
  <c r="K4313" i="12"/>
  <c r="J4313" i="12"/>
  <c r="I4313" i="12"/>
  <c r="K4312" i="12"/>
  <c r="J4312" i="12"/>
  <c r="I4312" i="12"/>
  <c r="K4311" i="12"/>
  <c r="J4311" i="12"/>
  <c r="I4311" i="12"/>
  <c r="K4310" i="12"/>
  <c r="J4310" i="12"/>
  <c r="I4310" i="12"/>
  <c r="K4309" i="12"/>
  <c r="J4309" i="12"/>
  <c r="I4309" i="12"/>
  <c r="K4308" i="12"/>
  <c r="J4308" i="12"/>
  <c r="I4308" i="12"/>
  <c r="K4307" i="12"/>
  <c r="J4307" i="12"/>
  <c r="I4307" i="12"/>
  <c r="K4306" i="12"/>
  <c r="J4306" i="12"/>
  <c r="I4306" i="12"/>
  <c r="K4305" i="12"/>
  <c r="J4305" i="12"/>
  <c r="I4305" i="12"/>
  <c r="K4304" i="12"/>
  <c r="J4304" i="12"/>
  <c r="I4304" i="12"/>
  <c r="K4303" i="12"/>
  <c r="J4303" i="12"/>
  <c r="I4303" i="12"/>
  <c r="K4302" i="12"/>
  <c r="J4302" i="12"/>
  <c r="I4302" i="12"/>
  <c r="K4301" i="12"/>
  <c r="J4301" i="12"/>
  <c r="I4301" i="12"/>
  <c r="K4300" i="12"/>
  <c r="J4300" i="12"/>
  <c r="I4300" i="12"/>
  <c r="K4299" i="12"/>
  <c r="J4299" i="12"/>
  <c r="I4299" i="12"/>
  <c r="K4298" i="12"/>
  <c r="J4298" i="12"/>
  <c r="I4298" i="12"/>
  <c r="K4297" i="12"/>
  <c r="J4297" i="12"/>
  <c r="I4297" i="12"/>
  <c r="K4296" i="12"/>
  <c r="J4296" i="12"/>
  <c r="I4296" i="12"/>
  <c r="K4295" i="12"/>
  <c r="J4295" i="12"/>
  <c r="I4295" i="12"/>
  <c r="K4294" i="12"/>
  <c r="J4294" i="12"/>
  <c r="I4294" i="12"/>
  <c r="K4293" i="12"/>
  <c r="J4293" i="12"/>
  <c r="I4293" i="12"/>
  <c r="K4292" i="12"/>
  <c r="J4292" i="12"/>
  <c r="I4292" i="12"/>
  <c r="K4291" i="12"/>
  <c r="J4291" i="12"/>
  <c r="I4291" i="12"/>
  <c r="K4290" i="12"/>
  <c r="J4290" i="12"/>
  <c r="I4290" i="12"/>
  <c r="K4289" i="12"/>
  <c r="J4289" i="12"/>
  <c r="I4289" i="12"/>
  <c r="K4288" i="12"/>
  <c r="J4288" i="12"/>
  <c r="I4288" i="12"/>
  <c r="K4287" i="12"/>
  <c r="J4287" i="12"/>
  <c r="I4287" i="12"/>
  <c r="K4286" i="12"/>
  <c r="J4286" i="12"/>
  <c r="I4286" i="12"/>
  <c r="K4285" i="12"/>
  <c r="J4285" i="12"/>
  <c r="I4285" i="12"/>
  <c r="K4284" i="12"/>
  <c r="J4284" i="12"/>
  <c r="I4284" i="12"/>
  <c r="K4283" i="12"/>
  <c r="J4283" i="12"/>
  <c r="I4283" i="12"/>
  <c r="K4282" i="12"/>
  <c r="J4282" i="12"/>
  <c r="I4282" i="12"/>
  <c r="K4281" i="12"/>
  <c r="J4281" i="12"/>
  <c r="I4281" i="12"/>
  <c r="K4280" i="12"/>
  <c r="J4280" i="12"/>
  <c r="I4280" i="12"/>
  <c r="K4279" i="12"/>
  <c r="J4279" i="12"/>
  <c r="I4279" i="12"/>
  <c r="K4278" i="12"/>
  <c r="J4278" i="12"/>
  <c r="I4278" i="12"/>
  <c r="K4277" i="12"/>
  <c r="J4277" i="12"/>
  <c r="I4277" i="12"/>
  <c r="K4276" i="12"/>
  <c r="J4276" i="12"/>
  <c r="I4276" i="12"/>
  <c r="K4275" i="12"/>
  <c r="J4275" i="12"/>
  <c r="I4275" i="12"/>
  <c r="K4274" i="12"/>
  <c r="J4274" i="12"/>
  <c r="I4274" i="12"/>
  <c r="K4273" i="12"/>
  <c r="J4273" i="12"/>
  <c r="I4273" i="12"/>
  <c r="K4272" i="12"/>
  <c r="J4272" i="12"/>
  <c r="I4272" i="12"/>
  <c r="K4271" i="12"/>
  <c r="J4271" i="12"/>
  <c r="I4271" i="12"/>
  <c r="K4270" i="12"/>
  <c r="J4270" i="12"/>
  <c r="I4270" i="12"/>
  <c r="K4269" i="12"/>
  <c r="J4269" i="12"/>
  <c r="I4269" i="12"/>
  <c r="K4268" i="12"/>
  <c r="J4268" i="12"/>
  <c r="I4268" i="12"/>
  <c r="K4267" i="12"/>
  <c r="J4267" i="12"/>
  <c r="I4267" i="12"/>
  <c r="K4266" i="12"/>
  <c r="J4266" i="12"/>
  <c r="I4266" i="12"/>
  <c r="K4265" i="12"/>
  <c r="J4265" i="12"/>
  <c r="I4265" i="12"/>
  <c r="K4264" i="12"/>
  <c r="J4264" i="12"/>
  <c r="I4264" i="12"/>
  <c r="K4263" i="12"/>
  <c r="J4263" i="12"/>
  <c r="I4263" i="12"/>
  <c r="K4262" i="12"/>
  <c r="J4262" i="12"/>
  <c r="I4262" i="12"/>
  <c r="K4261" i="12"/>
  <c r="J4261" i="12"/>
  <c r="I4261" i="12"/>
  <c r="K4260" i="12"/>
  <c r="J4260" i="12"/>
  <c r="I4260" i="12"/>
  <c r="K4259" i="12"/>
  <c r="J4259" i="12"/>
  <c r="I4259" i="12"/>
  <c r="K4258" i="12"/>
  <c r="J4258" i="12"/>
  <c r="I4258" i="12"/>
  <c r="K4257" i="12"/>
  <c r="J4257" i="12"/>
  <c r="I4257" i="12"/>
  <c r="K4256" i="12"/>
  <c r="J4256" i="12"/>
  <c r="I4256" i="12"/>
  <c r="K4255" i="12"/>
  <c r="J4255" i="12"/>
  <c r="I4255" i="12"/>
  <c r="K4254" i="12"/>
  <c r="J4254" i="12"/>
  <c r="I4254" i="12"/>
  <c r="K4253" i="12"/>
  <c r="J4253" i="12"/>
  <c r="I4253" i="12"/>
  <c r="K4252" i="12"/>
  <c r="J4252" i="12"/>
  <c r="I4252" i="12"/>
  <c r="K4251" i="12"/>
  <c r="J4251" i="12"/>
  <c r="I4251" i="12"/>
  <c r="K4250" i="12"/>
  <c r="J4250" i="12"/>
  <c r="I4250" i="12"/>
  <c r="K4249" i="12"/>
  <c r="J4249" i="12"/>
  <c r="I4249" i="12"/>
  <c r="K4248" i="12"/>
  <c r="J4248" i="12"/>
  <c r="I4248" i="12"/>
  <c r="K4247" i="12"/>
  <c r="J4247" i="12"/>
  <c r="I4247" i="12"/>
  <c r="K4246" i="12"/>
  <c r="J4246" i="12"/>
  <c r="I4246" i="12"/>
  <c r="K4245" i="12"/>
  <c r="J4245" i="12"/>
  <c r="I4245" i="12"/>
  <c r="K4244" i="12"/>
  <c r="J4244" i="12"/>
  <c r="I4244" i="12"/>
  <c r="K4243" i="12"/>
  <c r="J4243" i="12"/>
  <c r="I4243" i="12"/>
  <c r="K4242" i="12"/>
  <c r="J4242" i="12"/>
  <c r="I4242" i="12"/>
  <c r="K4241" i="12"/>
  <c r="J4241" i="12"/>
  <c r="I4241" i="12"/>
  <c r="K4240" i="12"/>
  <c r="J4240" i="12"/>
  <c r="I4240" i="12"/>
  <c r="K4239" i="12"/>
  <c r="J4239" i="12"/>
  <c r="I4239" i="12"/>
  <c r="K4238" i="12"/>
  <c r="J4238" i="12"/>
  <c r="I4238" i="12"/>
  <c r="K4237" i="12"/>
  <c r="J4237" i="12"/>
  <c r="I4237" i="12"/>
  <c r="K4236" i="12"/>
  <c r="J4236" i="12"/>
  <c r="I4236" i="12"/>
  <c r="K4235" i="12"/>
  <c r="J4235" i="12"/>
  <c r="I4235" i="12"/>
  <c r="K4234" i="12"/>
  <c r="J4234" i="12"/>
  <c r="I4234" i="12"/>
  <c r="K4233" i="12"/>
  <c r="J4233" i="12"/>
  <c r="I4233" i="12"/>
  <c r="K4232" i="12"/>
  <c r="J4232" i="12"/>
  <c r="I4232" i="12"/>
  <c r="K4231" i="12"/>
  <c r="J4231" i="12"/>
  <c r="I4231" i="12"/>
  <c r="K4230" i="12"/>
  <c r="J4230" i="12"/>
  <c r="I4230" i="12"/>
  <c r="K4229" i="12"/>
  <c r="J4229" i="12"/>
  <c r="I4229" i="12"/>
  <c r="K4228" i="12"/>
  <c r="J4228" i="12"/>
  <c r="I4228" i="12"/>
  <c r="K4227" i="12"/>
  <c r="J4227" i="12"/>
  <c r="I4227" i="12"/>
  <c r="K4226" i="12"/>
  <c r="J4226" i="12"/>
  <c r="I4226" i="12"/>
  <c r="K4225" i="12"/>
  <c r="J4225" i="12"/>
  <c r="I4225" i="12"/>
  <c r="K4224" i="12"/>
  <c r="J4224" i="12"/>
  <c r="I4224" i="12"/>
  <c r="K4223" i="12"/>
  <c r="J4223" i="12"/>
  <c r="I4223" i="12"/>
  <c r="K4222" i="12"/>
  <c r="J4222" i="12"/>
  <c r="I4222" i="12"/>
  <c r="K4221" i="12"/>
  <c r="J4221" i="12"/>
  <c r="I4221" i="12"/>
  <c r="K4220" i="12"/>
  <c r="J4220" i="12"/>
  <c r="I4220" i="12"/>
  <c r="K4219" i="12"/>
  <c r="J4219" i="12"/>
  <c r="I4219" i="12"/>
  <c r="K4218" i="12"/>
  <c r="J4218" i="12"/>
  <c r="I4218" i="12"/>
  <c r="K4217" i="12"/>
  <c r="J4217" i="12"/>
  <c r="I4217" i="12"/>
  <c r="K4216" i="12"/>
  <c r="J4216" i="12"/>
  <c r="I4216" i="12"/>
  <c r="K4215" i="12"/>
  <c r="J4215" i="12"/>
  <c r="I4215" i="12"/>
  <c r="K4214" i="12"/>
  <c r="J4214" i="12"/>
  <c r="I4214" i="12"/>
  <c r="K4213" i="12"/>
  <c r="J4213" i="12"/>
  <c r="I4213" i="12"/>
  <c r="K4212" i="12"/>
  <c r="J4212" i="12"/>
  <c r="I4212" i="12"/>
  <c r="K4211" i="12"/>
  <c r="J4211" i="12"/>
  <c r="I4211" i="12"/>
  <c r="K4210" i="12"/>
  <c r="J4210" i="12"/>
  <c r="I4210" i="12"/>
  <c r="K4209" i="12"/>
  <c r="J4209" i="12"/>
  <c r="I4209" i="12"/>
  <c r="K4208" i="12"/>
  <c r="J4208" i="12"/>
  <c r="I4208" i="12"/>
  <c r="K4207" i="12"/>
  <c r="J4207" i="12"/>
  <c r="I4207" i="12"/>
  <c r="K4206" i="12"/>
  <c r="J4206" i="12"/>
  <c r="I4206" i="12"/>
  <c r="K4205" i="12"/>
  <c r="J4205" i="12"/>
  <c r="I4205" i="12"/>
  <c r="K4204" i="12"/>
  <c r="J4204" i="12"/>
  <c r="I4204" i="12"/>
  <c r="K4203" i="12"/>
  <c r="J4203" i="12"/>
  <c r="I4203" i="12"/>
  <c r="K4202" i="12"/>
  <c r="J4202" i="12"/>
  <c r="I4202" i="12"/>
  <c r="K4201" i="12"/>
  <c r="J4201" i="12"/>
  <c r="I4201" i="12"/>
  <c r="K4200" i="12"/>
  <c r="J4200" i="12"/>
  <c r="I4200" i="12"/>
  <c r="K4199" i="12"/>
  <c r="J4199" i="12"/>
  <c r="I4199" i="12"/>
  <c r="K4198" i="12"/>
  <c r="J4198" i="12"/>
  <c r="I4198" i="12"/>
  <c r="K4197" i="12"/>
  <c r="J4197" i="12"/>
  <c r="I4197" i="12"/>
  <c r="K4196" i="12"/>
  <c r="J4196" i="12"/>
  <c r="I4196" i="12"/>
  <c r="K4195" i="12"/>
  <c r="J4195" i="12"/>
  <c r="I4195" i="12"/>
  <c r="K4194" i="12"/>
  <c r="J4194" i="12"/>
  <c r="I4194" i="12"/>
  <c r="K4193" i="12"/>
  <c r="J4193" i="12"/>
  <c r="I4193" i="12"/>
  <c r="K4192" i="12"/>
  <c r="J4192" i="12"/>
  <c r="I4192" i="12"/>
  <c r="K4191" i="12"/>
  <c r="J4191" i="12"/>
  <c r="I4191" i="12"/>
  <c r="K4190" i="12"/>
  <c r="J4190" i="12"/>
  <c r="I4190" i="12"/>
  <c r="K4189" i="12"/>
  <c r="J4189" i="12"/>
  <c r="I4189" i="12"/>
  <c r="K4188" i="12"/>
  <c r="J4188" i="12"/>
  <c r="I4188" i="12"/>
  <c r="K4187" i="12"/>
  <c r="J4187" i="12"/>
  <c r="I4187" i="12"/>
  <c r="K4186" i="12"/>
  <c r="J4186" i="12"/>
  <c r="I4186" i="12"/>
  <c r="K4185" i="12"/>
  <c r="J4185" i="12"/>
  <c r="I4185" i="12"/>
  <c r="K4184" i="12"/>
  <c r="J4184" i="12"/>
  <c r="I4184" i="12"/>
  <c r="K4183" i="12"/>
  <c r="J4183" i="12"/>
  <c r="I4183" i="12"/>
  <c r="K4182" i="12"/>
  <c r="J4182" i="12"/>
  <c r="I4182" i="12"/>
  <c r="K4181" i="12"/>
  <c r="J4181" i="12"/>
  <c r="I4181" i="12"/>
  <c r="K4180" i="12"/>
  <c r="J4180" i="12"/>
  <c r="I4180" i="12"/>
  <c r="K4179" i="12"/>
  <c r="J4179" i="12"/>
  <c r="I4179" i="12"/>
  <c r="K4178" i="12"/>
  <c r="J4178" i="12"/>
  <c r="I4178" i="12"/>
  <c r="K4177" i="12"/>
  <c r="J4177" i="12"/>
  <c r="I4177" i="12"/>
  <c r="K4176" i="12"/>
  <c r="J4176" i="12"/>
  <c r="I4176" i="12"/>
  <c r="K4175" i="12"/>
  <c r="J4175" i="12"/>
  <c r="I4175" i="12"/>
  <c r="K4174" i="12"/>
  <c r="J4174" i="12"/>
  <c r="I4174" i="12"/>
  <c r="K4173" i="12"/>
  <c r="J4173" i="12"/>
  <c r="I4173" i="12"/>
  <c r="K4172" i="12"/>
  <c r="J4172" i="12"/>
  <c r="I4172" i="12"/>
  <c r="K4171" i="12"/>
  <c r="J4171" i="12"/>
  <c r="I4171" i="12"/>
  <c r="K4170" i="12"/>
  <c r="J4170" i="12"/>
  <c r="I4170" i="12"/>
  <c r="K4169" i="12"/>
  <c r="J4169" i="12"/>
  <c r="I4169" i="12"/>
  <c r="K4168" i="12"/>
  <c r="J4168" i="12"/>
  <c r="I4168" i="12"/>
  <c r="K4167" i="12"/>
  <c r="J4167" i="12"/>
  <c r="I4167" i="12"/>
  <c r="K4166" i="12"/>
  <c r="J4166" i="12"/>
  <c r="I4166" i="12"/>
  <c r="K4165" i="12"/>
  <c r="J4165" i="12"/>
  <c r="I4165" i="12"/>
  <c r="K4164" i="12"/>
  <c r="J4164" i="12"/>
  <c r="I4164" i="12"/>
  <c r="K4163" i="12"/>
  <c r="J4163" i="12"/>
  <c r="I4163" i="12"/>
  <c r="K4162" i="12"/>
  <c r="J4162" i="12"/>
  <c r="I4162" i="12"/>
  <c r="K4161" i="12"/>
  <c r="J4161" i="12"/>
  <c r="I4161" i="12"/>
  <c r="K4160" i="12"/>
  <c r="J4160" i="12"/>
  <c r="I4160" i="12"/>
  <c r="K4159" i="12"/>
  <c r="J4159" i="12"/>
  <c r="I4159" i="12"/>
  <c r="K4158" i="12"/>
  <c r="J4158" i="12"/>
  <c r="I4158" i="12"/>
  <c r="K4157" i="12"/>
  <c r="J4157" i="12"/>
  <c r="I4157" i="12"/>
  <c r="K4156" i="12"/>
  <c r="J4156" i="12"/>
  <c r="I4156" i="12"/>
  <c r="K4155" i="12"/>
  <c r="J4155" i="12"/>
  <c r="I4155" i="12"/>
  <c r="K4154" i="12"/>
  <c r="J4154" i="12"/>
  <c r="I4154" i="12"/>
  <c r="K4153" i="12"/>
  <c r="J4153" i="12"/>
  <c r="I4153" i="12"/>
  <c r="K4152" i="12"/>
  <c r="J4152" i="12"/>
  <c r="I4152" i="12"/>
  <c r="K4151" i="12"/>
  <c r="J4151" i="12"/>
  <c r="I4151" i="12"/>
  <c r="K4150" i="12"/>
  <c r="J4150" i="12"/>
  <c r="I4150" i="12"/>
  <c r="K4149" i="12"/>
  <c r="J4149" i="12"/>
  <c r="I4149" i="12"/>
  <c r="K4148" i="12"/>
  <c r="J4148" i="12"/>
  <c r="I4148" i="12"/>
  <c r="K4147" i="12"/>
  <c r="J4147" i="12"/>
  <c r="I4147" i="12"/>
  <c r="K4146" i="12"/>
  <c r="J4146" i="12"/>
  <c r="I4146" i="12"/>
  <c r="K4145" i="12"/>
  <c r="J4145" i="12"/>
  <c r="I4145" i="12"/>
  <c r="K4144" i="12"/>
  <c r="J4144" i="12"/>
  <c r="I4144" i="12"/>
  <c r="K4143" i="12"/>
  <c r="J4143" i="12"/>
  <c r="I4143" i="12"/>
  <c r="K4142" i="12"/>
  <c r="J4142" i="12"/>
  <c r="I4142" i="12"/>
  <c r="K4141" i="12"/>
  <c r="J4141" i="12"/>
  <c r="I4141" i="12"/>
  <c r="K4140" i="12"/>
  <c r="J4140" i="12"/>
  <c r="I4140" i="12"/>
  <c r="K4139" i="12"/>
  <c r="J4139" i="12"/>
  <c r="I4139" i="12"/>
  <c r="K4138" i="12"/>
  <c r="J4138" i="12"/>
  <c r="I4138" i="12"/>
  <c r="K4137" i="12"/>
  <c r="J4137" i="12"/>
  <c r="I4137" i="12"/>
  <c r="K4136" i="12"/>
  <c r="J4136" i="12"/>
  <c r="I4136" i="12"/>
  <c r="K4135" i="12"/>
  <c r="J4135" i="12"/>
  <c r="I4135" i="12"/>
  <c r="K4134" i="12"/>
  <c r="J4134" i="12"/>
  <c r="I4134" i="12"/>
  <c r="K4133" i="12"/>
  <c r="J4133" i="12"/>
  <c r="I4133" i="12"/>
  <c r="K4132" i="12"/>
  <c r="J4132" i="12"/>
  <c r="I4132" i="12"/>
  <c r="K4131" i="12"/>
  <c r="J4131" i="12"/>
  <c r="I4131" i="12"/>
  <c r="K4130" i="12"/>
  <c r="J4130" i="12"/>
  <c r="I4130" i="12"/>
  <c r="K4129" i="12"/>
  <c r="J4129" i="12"/>
  <c r="I4129" i="12"/>
  <c r="K4128" i="12"/>
  <c r="J4128" i="12"/>
  <c r="I4128" i="12"/>
  <c r="K4127" i="12"/>
  <c r="J4127" i="12"/>
  <c r="I4127" i="12"/>
  <c r="K4126" i="12"/>
  <c r="J4126" i="12"/>
  <c r="I4126" i="12"/>
  <c r="K4125" i="12"/>
  <c r="J4125" i="12"/>
  <c r="I4125" i="12"/>
  <c r="K4124" i="12"/>
  <c r="J4124" i="12"/>
  <c r="I4124" i="12"/>
  <c r="K4123" i="12"/>
  <c r="J4123" i="12"/>
  <c r="I4123" i="12"/>
  <c r="K4122" i="12"/>
  <c r="J4122" i="12"/>
  <c r="I4122" i="12"/>
  <c r="K4121" i="12"/>
  <c r="J4121" i="12"/>
  <c r="I4121" i="12"/>
  <c r="K4120" i="12"/>
  <c r="J4120" i="12"/>
  <c r="I4120" i="12"/>
  <c r="K4119" i="12"/>
  <c r="J4119" i="12"/>
  <c r="I4119" i="12"/>
  <c r="K4118" i="12"/>
  <c r="J4118" i="12"/>
  <c r="I4118" i="12"/>
  <c r="K4117" i="12"/>
  <c r="J4117" i="12"/>
  <c r="I4117" i="12"/>
  <c r="K4116" i="12"/>
  <c r="J4116" i="12"/>
  <c r="I4116" i="12"/>
  <c r="K4115" i="12"/>
  <c r="J4115" i="12"/>
  <c r="I4115" i="12"/>
  <c r="K4114" i="12"/>
  <c r="J4114" i="12"/>
  <c r="I4114" i="12"/>
  <c r="K4113" i="12"/>
  <c r="J4113" i="12"/>
  <c r="I4113" i="12"/>
  <c r="K4112" i="12"/>
  <c r="J4112" i="12"/>
  <c r="I4112" i="12"/>
  <c r="K4111" i="12"/>
  <c r="J4111" i="12"/>
  <c r="I4111" i="12"/>
  <c r="K4110" i="12"/>
  <c r="J4110" i="12"/>
  <c r="I4110" i="12"/>
  <c r="K4109" i="12"/>
  <c r="J4109" i="12"/>
  <c r="I4109" i="12"/>
  <c r="K4108" i="12"/>
  <c r="J4108" i="12"/>
  <c r="I4108" i="12"/>
  <c r="K4107" i="12"/>
  <c r="J4107" i="12"/>
  <c r="I4107" i="12"/>
  <c r="K4106" i="12"/>
  <c r="J4106" i="12"/>
  <c r="I4106" i="12"/>
  <c r="K4105" i="12"/>
  <c r="J4105" i="12"/>
  <c r="I4105" i="12"/>
  <c r="K4104" i="12"/>
  <c r="J4104" i="12"/>
  <c r="I4104" i="12"/>
  <c r="K4103" i="12"/>
  <c r="J4103" i="12"/>
  <c r="I4103" i="12"/>
  <c r="K4102" i="12"/>
  <c r="J4102" i="12"/>
  <c r="I4102" i="12"/>
  <c r="K4101" i="12"/>
  <c r="J4101" i="12"/>
  <c r="I4101" i="12"/>
  <c r="K4100" i="12"/>
  <c r="J4100" i="12"/>
  <c r="I4100" i="12"/>
  <c r="K4099" i="12"/>
  <c r="J4099" i="12"/>
  <c r="I4099" i="12"/>
  <c r="K4098" i="12"/>
  <c r="J4098" i="12"/>
  <c r="I4098" i="12"/>
  <c r="K4097" i="12"/>
  <c r="J4097" i="12"/>
  <c r="I4097" i="12"/>
  <c r="K4096" i="12"/>
  <c r="J4096" i="12"/>
  <c r="I4096" i="12"/>
  <c r="K4095" i="12"/>
  <c r="J4095" i="12"/>
  <c r="I4095" i="12"/>
  <c r="K4094" i="12"/>
  <c r="J4094" i="12"/>
  <c r="I4094" i="12"/>
  <c r="K4093" i="12"/>
  <c r="J4093" i="12"/>
  <c r="I4093" i="12"/>
  <c r="K4092" i="12"/>
  <c r="J4092" i="12"/>
  <c r="I4092" i="12"/>
  <c r="K4091" i="12"/>
  <c r="J4091" i="12"/>
  <c r="I4091" i="12"/>
  <c r="K4090" i="12"/>
  <c r="J4090" i="12"/>
  <c r="I4090" i="12"/>
  <c r="K4089" i="12"/>
  <c r="J4089" i="12"/>
  <c r="I4089" i="12"/>
  <c r="K4088" i="12"/>
  <c r="J4088" i="12"/>
  <c r="I4088" i="12"/>
  <c r="K4087" i="12"/>
  <c r="J4087" i="12"/>
  <c r="I4087" i="12"/>
  <c r="K4086" i="12"/>
  <c r="J4086" i="12"/>
  <c r="I4086" i="12"/>
  <c r="K4085" i="12"/>
  <c r="J4085" i="12"/>
  <c r="I4085" i="12"/>
  <c r="K4084" i="12"/>
  <c r="J4084" i="12"/>
  <c r="I4084" i="12"/>
  <c r="K4083" i="12"/>
  <c r="J4083" i="12"/>
  <c r="I4083" i="12"/>
  <c r="K4082" i="12"/>
  <c r="J4082" i="12"/>
  <c r="I4082" i="12"/>
  <c r="K4081" i="12"/>
  <c r="J4081" i="12"/>
  <c r="I4081" i="12"/>
  <c r="K4080" i="12"/>
  <c r="J4080" i="12"/>
  <c r="I4080" i="12"/>
  <c r="K4079" i="12"/>
  <c r="J4079" i="12"/>
  <c r="I4079" i="12"/>
  <c r="K4078" i="12"/>
  <c r="J4078" i="12"/>
  <c r="I4078" i="12"/>
  <c r="K4077" i="12"/>
  <c r="J4077" i="12"/>
  <c r="I4077" i="12"/>
  <c r="K4076" i="12"/>
  <c r="J4076" i="12"/>
  <c r="I4076" i="12"/>
  <c r="K4075" i="12"/>
  <c r="J4075" i="12"/>
  <c r="I4075" i="12"/>
  <c r="K4074" i="12"/>
  <c r="J4074" i="12"/>
  <c r="I4074" i="12"/>
  <c r="K4073" i="12"/>
  <c r="J4073" i="12"/>
  <c r="I4073" i="12"/>
  <c r="K4072" i="12"/>
  <c r="J4072" i="12"/>
  <c r="I4072" i="12"/>
  <c r="K4071" i="12"/>
  <c r="J4071" i="12"/>
  <c r="I4071" i="12"/>
  <c r="K4070" i="12"/>
  <c r="J4070" i="12"/>
  <c r="I4070" i="12"/>
  <c r="K4069" i="12"/>
  <c r="J4069" i="12"/>
  <c r="I4069" i="12"/>
  <c r="K4068" i="12"/>
  <c r="J4068" i="12"/>
  <c r="I4068" i="12"/>
  <c r="K4067" i="12"/>
  <c r="J4067" i="12"/>
  <c r="I4067" i="12"/>
  <c r="K4066" i="12"/>
  <c r="J4066" i="12"/>
  <c r="I4066" i="12"/>
  <c r="K4065" i="12"/>
  <c r="J4065" i="12"/>
  <c r="I4065" i="12"/>
  <c r="K4064" i="12"/>
  <c r="J4064" i="12"/>
  <c r="I4064" i="12"/>
  <c r="K4063" i="12"/>
  <c r="J4063" i="12"/>
  <c r="I4063" i="12"/>
  <c r="K4062" i="12"/>
  <c r="J4062" i="12"/>
  <c r="I4062" i="12"/>
  <c r="K4061" i="12"/>
  <c r="J4061" i="12"/>
  <c r="I4061" i="12"/>
  <c r="K4060" i="12"/>
  <c r="J4060" i="12"/>
  <c r="I4060" i="12"/>
  <c r="K4059" i="12"/>
  <c r="J4059" i="12"/>
  <c r="I4059" i="12"/>
  <c r="K4058" i="12"/>
  <c r="J4058" i="12"/>
  <c r="I4058" i="12"/>
  <c r="K4057" i="12"/>
  <c r="J4057" i="12"/>
  <c r="I4057" i="12"/>
  <c r="K4056" i="12"/>
  <c r="J4056" i="12"/>
  <c r="I4056" i="12"/>
  <c r="K4055" i="12"/>
  <c r="J4055" i="12"/>
  <c r="I4055" i="12"/>
  <c r="K4054" i="12"/>
  <c r="J4054" i="12"/>
  <c r="I4054" i="12"/>
  <c r="K4053" i="12"/>
  <c r="J4053" i="12"/>
  <c r="I4053" i="12"/>
  <c r="K4052" i="12"/>
  <c r="J4052" i="12"/>
  <c r="I4052" i="12"/>
  <c r="K4051" i="12"/>
  <c r="J4051" i="12"/>
  <c r="I4051" i="12"/>
  <c r="K4050" i="12"/>
  <c r="J4050" i="12"/>
  <c r="I4050" i="12"/>
  <c r="K4049" i="12"/>
  <c r="J4049" i="12"/>
  <c r="I4049" i="12"/>
  <c r="K4048" i="12"/>
  <c r="J4048" i="12"/>
  <c r="I4048" i="12"/>
  <c r="K4047" i="12"/>
  <c r="J4047" i="12"/>
  <c r="I4047" i="12"/>
  <c r="K4046" i="12"/>
  <c r="J4046" i="12"/>
  <c r="I4046" i="12"/>
  <c r="K4045" i="12"/>
  <c r="J4045" i="12"/>
  <c r="I4045" i="12"/>
  <c r="K4044" i="12"/>
  <c r="J4044" i="12"/>
  <c r="I4044" i="12"/>
  <c r="K4043" i="12"/>
  <c r="J4043" i="12"/>
  <c r="I4043" i="12"/>
  <c r="K4042" i="12"/>
  <c r="J4042" i="12"/>
  <c r="I4042" i="12"/>
  <c r="K4041" i="12"/>
  <c r="J4041" i="12"/>
  <c r="I4041" i="12"/>
  <c r="K4040" i="12"/>
  <c r="J4040" i="12"/>
  <c r="I4040" i="12"/>
  <c r="K4039" i="12"/>
  <c r="J4039" i="12"/>
  <c r="I4039" i="12"/>
  <c r="K4038" i="12"/>
  <c r="J4038" i="12"/>
  <c r="I4038" i="12"/>
  <c r="K4037" i="12"/>
  <c r="J4037" i="12"/>
  <c r="I4037" i="12"/>
  <c r="K4036" i="12"/>
  <c r="J4036" i="12"/>
  <c r="I4036" i="12"/>
  <c r="K4035" i="12"/>
  <c r="J4035" i="12"/>
  <c r="I4035" i="12"/>
  <c r="K4034" i="12"/>
  <c r="J4034" i="12"/>
  <c r="I4034" i="12"/>
  <c r="K4033" i="12"/>
  <c r="J4033" i="12"/>
  <c r="I4033" i="12"/>
  <c r="K4032" i="12"/>
  <c r="J4032" i="12"/>
  <c r="I4032" i="12"/>
  <c r="K4031" i="12"/>
  <c r="J4031" i="12"/>
  <c r="I4031" i="12"/>
  <c r="K4030" i="12"/>
  <c r="J4030" i="12"/>
  <c r="I4030" i="12"/>
  <c r="K4029" i="12"/>
  <c r="J4029" i="12"/>
  <c r="I4029" i="12"/>
  <c r="K4028" i="12"/>
  <c r="J4028" i="12"/>
  <c r="I4028" i="12"/>
  <c r="K4027" i="12"/>
  <c r="J4027" i="12"/>
  <c r="I4027" i="12"/>
  <c r="K4026" i="12"/>
  <c r="J4026" i="12"/>
  <c r="I4026" i="12"/>
  <c r="K4025" i="12"/>
  <c r="J4025" i="12"/>
  <c r="I4025" i="12"/>
  <c r="K4024" i="12"/>
  <c r="J4024" i="12"/>
  <c r="I4024" i="12"/>
  <c r="K4023" i="12"/>
  <c r="J4023" i="12"/>
  <c r="I4023" i="12"/>
  <c r="K4022" i="12"/>
  <c r="J4022" i="12"/>
  <c r="I4022" i="12"/>
  <c r="K4021" i="12"/>
  <c r="J4021" i="12"/>
  <c r="I4021" i="12"/>
  <c r="K4020" i="12"/>
  <c r="J4020" i="12"/>
  <c r="I4020" i="12"/>
  <c r="K4019" i="12"/>
  <c r="J4019" i="12"/>
  <c r="I4019" i="12"/>
  <c r="K4018" i="12"/>
  <c r="J4018" i="12"/>
  <c r="I4018" i="12"/>
  <c r="K4017" i="12"/>
  <c r="J4017" i="12"/>
  <c r="I4017" i="12"/>
  <c r="K4016" i="12"/>
  <c r="J4016" i="12"/>
  <c r="I4016" i="12"/>
  <c r="K4015" i="12"/>
  <c r="J4015" i="12"/>
  <c r="I4015" i="12"/>
  <c r="K4014" i="12"/>
  <c r="J4014" i="12"/>
  <c r="I4014" i="12"/>
  <c r="K4013" i="12"/>
  <c r="J4013" i="12"/>
  <c r="I4013" i="12"/>
  <c r="K4012" i="12"/>
  <c r="J4012" i="12"/>
  <c r="I4012" i="12"/>
  <c r="K4011" i="12"/>
  <c r="J4011" i="12"/>
  <c r="I4011" i="12"/>
  <c r="K4010" i="12"/>
  <c r="J4010" i="12"/>
  <c r="I4010" i="12"/>
  <c r="K4009" i="12"/>
  <c r="J4009" i="12"/>
  <c r="I4009" i="12"/>
  <c r="K4008" i="12"/>
  <c r="J4008" i="12"/>
  <c r="I4008" i="12"/>
  <c r="K4007" i="12"/>
  <c r="J4007" i="12"/>
  <c r="I4007" i="12"/>
  <c r="K4006" i="12"/>
  <c r="J4006" i="12"/>
  <c r="I4006" i="12"/>
  <c r="K4005" i="12"/>
  <c r="J4005" i="12"/>
  <c r="I4005" i="12"/>
  <c r="K4004" i="12"/>
  <c r="J4004" i="12"/>
  <c r="I4004" i="12"/>
  <c r="K4003" i="12"/>
  <c r="J4003" i="12"/>
  <c r="I4003" i="12"/>
  <c r="K4002" i="12"/>
  <c r="J4002" i="12"/>
  <c r="I4002" i="12"/>
  <c r="K4001" i="12"/>
  <c r="J4001" i="12"/>
  <c r="I4001" i="12"/>
  <c r="K4000" i="12"/>
  <c r="J4000" i="12"/>
  <c r="I4000" i="12"/>
  <c r="K3999" i="12"/>
  <c r="J3999" i="12"/>
  <c r="I3999" i="12"/>
  <c r="K3998" i="12"/>
  <c r="J3998" i="12"/>
  <c r="I3998" i="12"/>
  <c r="K3997" i="12"/>
  <c r="J3997" i="12"/>
  <c r="I3997" i="12"/>
  <c r="K3996" i="12"/>
  <c r="J3996" i="12"/>
  <c r="I3996" i="12"/>
  <c r="K3995" i="12"/>
  <c r="J3995" i="12"/>
  <c r="I3995" i="12"/>
  <c r="K3994" i="12"/>
  <c r="J3994" i="12"/>
  <c r="I3994" i="12"/>
  <c r="K3993" i="12"/>
  <c r="J3993" i="12"/>
  <c r="I3993" i="12"/>
  <c r="K3992" i="12"/>
  <c r="J3992" i="12"/>
  <c r="I3992" i="12"/>
  <c r="K3991" i="12"/>
  <c r="J3991" i="12"/>
  <c r="I3991" i="12"/>
  <c r="K3990" i="12"/>
  <c r="J3990" i="12"/>
  <c r="I3990" i="12"/>
  <c r="K3989" i="12"/>
  <c r="J3989" i="12"/>
  <c r="I3989" i="12"/>
  <c r="K3988" i="12"/>
  <c r="J3988" i="12"/>
  <c r="I3988" i="12"/>
  <c r="K3987" i="12"/>
  <c r="J3987" i="12"/>
  <c r="I3987" i="12"/>
  <c r="K3986" i="12"/>
  <c r="J3986" i="12"/>
  <c r="I3986" i="12"/>
  <c r="K3985" i="12"/>
  <c r="J3985" i="12"/>
  <c r="I3985" i="12"/>
  <c r="K3984" i="12"/>
  <c r="J3984" i="12"/>
  <c r="I3984" i="12"/>
  <c r="K3983" i="12"/>
  <c r="J3983" i="12"/>
  <c r="I3983" i="12"/>
  <c r="K3982" i="12"/>
  <c r="J3982" i="12"/>
  <c r="I3982" i="12"/>
  <c r="K3981" i="12"/>
  <c r="J3981" i="12"/>
  <c r="I3981" i="12"/>
  <c r="K3980" i="12"/>
  <c r="J3980" i="12"/>
  <c r="I3980" i="12"/>
  <c r="K3979" i="12"/>
  <c r="J3979" i="12"/>
  <c r="I3979" i="12"/>
  <c r="K3978" i="12"/>
  <c r="J3978" i="12"/>
  <c r="I3978" i="12"/>
  <c r="K3977" i="12"/>
  <c r="J3977" i="12"/>
  <c r="I3977" i="12"/>
  <c r="K3976" i="12"/>
  <c r="J3976" i="12"/>
  <c r="I3976" i="12"/>
  <c r="K3975" i="12"/>
  <c r="J3975" i="12"/>
  <c r="I3975" i="12"/>
  <c r="K3974" i="12"/>
  <c r="J3974" i="12"/>
  <c r="I3974" i="12"/>
  <c r="K3973" i="12"/>
  <c r="J3973" i="12"/>
  <c r="I3973" i="12"/>
  <c r="K3972" i="12"/>
  <c r="J3972" i="12"/>
  <c r="I3972" i="12"/>
  <c r="K3971" i="12"/>
  <c r="J3971" i="12"/>
  <c r="I3971" i="12"/>
  <c r="K3970" i="12"/>
  <c r="J3970" i="12"/>
  <c r="I3970" i="12"/>
  <c r="K3969" i="12"/>
  <c r="J3969" i="12"/>
  <c r="I3969" i="12"/>
  <c r="K3968" i="12"/>
  <c r="J3968" i="12"/>
  <c r="I3968" i="12"/>
  <c r="K3967" i="12"/>
  <c r="J3967" i="12"/>
  <c r="I3967" i="12"/>
  <c r="K3966" i="12"/>
  <c r="J3966" i="12"/>
  <c r="I3966" i="12"/>
  <c r="K3965" i="12"/>
  <c r="J3965" i="12"/>
  <c r="I3965" i="12"/>
  <c r="K3964" i="12"/>
  <c r="J3964" i="12"/>
  <c r="I3964" i="12"/>
  <c r="K3963" i="12"/>
  <c r="J3963" i="12"/>
  <c r="I3963" i="12"/>
  <c r="K3962" i="12"/>
  <c r="J3962" i="12"/>
  <c r="I3962" i="12"/>
  <c r="K3961" i="12"/>
  <c r="J3961" i="12"/>
  <c r="I3961" i="12"/>
  <c r="K3960" i="12"/>
  <c r="J3960" i="12"/>
  <c r="I3960" i="12"/>
  <c r="K3959" i="12"/>
  <c r="J3959" i="12"/>
  <c r="I3959" i="12"/>
  <c r="K3958" i="12"/>
  <c r="J3958" i="12"/>
  <c r="I3958" i="12"/>
  <c r="K3957" i="12"/>
  <c r="J3957" i="12"/>
  <c r="I3957" i="12"/>
  <c r="K3956" i="12"/>
  <c r="J3956" i="12"/>
  <c r="I3956" i="12"/>
  <c r="K3955" i="12"/>
  <c r="J3955" i="12"/>
  <c r="I3955" i="12"/>
  <c r="K3954" i="12"/>
  <c r="J3954" i="12"/>
  <c r="I3954" i="12"/>
  <c r="K3953" i="12"/>
  <c r="J3953" i="12"/>
  <c r="I3953" i="12"/>
  <c r="K3952" i="12"/>
  <c r="J3952" i="12"/>
  <c r="I3952" i="12"/>
  <c r="K3951" i="12"/>
  <c r="J3951" i="12"/>
  <c r="I3951" i="12"/>
  <c r="K3950" i="12"/>
  <c r="J3950" i="12"/>
  <c r="I3950" i="12"/>
  <c r="K3949" i="12"/>
  <c r="J3949" i="12"/>
  <c r="I3949" i="12"/>
  <c r="K3948" i="12"/>
  <c r="J3948" i="12"/>
  <c r="I3948" i="12"/>
  <c r="K3947" i="12"/>
  <c r="J3947" i="12"/>
  <c r="I3947" i="12"/>
  <c r="K3946" i="12"/>
  <c r="J3946" i="12"/>
  <c r="I3946" i="12"/>
  <c r="K3945" i="12"/>
  <c r="J3945" i="12"/>
  <c r="I3945" i="12"/>
  <c r="K3944" i="12"/>
  <c r="J3944" i="12"/>
  <c r="I3944" i="12"/>
  <c r="K3943" i="12"/>
  <c r="J3943" i="12"/>
  <c r="I3943" i="12"/>
  <c r="K3942" i="12"/>
  <c r="J3942" i="12"/>
  <c r="I3942" i="12"/>
  <c r="K3941" i="12"/>
  <c r="J3941" i="12"/>
  <c r="I3941" i="12"/>
  <c r="K3940" i="12"/>
  <c r="J3940" i="12"/>
  <c r="I3940" i="12"/>
  <c r="K3939" i="12"/>
  <c r="J3939" i="12"/>
  <c r="I3939" i="12"/>
  <c r="K3938" i="12"/>
  <c r="J3938" i="12"/>
  <c r="I3938" i="12"/>
  <c r="K3937" i="12"/>
  <c r="J3937" i="12"/>
  <c r="I3937" i="12"/>
  <c r="K3936" i="12"/>
  <c r="J3936" i="12"/>
  <c r="I3936" i="12"/>
  <c r="K3935" i="12"/>
  <c r="J3935" i="12"/>
  <c r="I3935" i="12"/>
  <c r="K3934" i="12"/>
  <c r="J3934" i="12"/>
  <c r="I3934" i="12"/>
  <c r="K3933" i="12"/>
  <c r="J3933" i="12"/>
  <c r="I3933" i="12"/>
  <c r="K3932" i="12"/>
  <c r="J3932" i="12"/>
  <c r="I3932" i="12"/>
  <c r="K3931" i="12"/>
  <c r="J3931" i="12"/>
  <c r="I3931" i="12"/>
  <c r="K3930" i="12"/>
  <c r="J3930" i="12"/>
  <c r="I3930" i="12"/>
  <c r="K3929" i="12"/>
  <c r="J3929" i="12"/>
  <c r="I3929" i="12"/>
  <c r="K3928" i="12"/>
  <c r="J3928" i="12"/>
  <c r="I3928" i="12"/>
  <c r="K3927" i="12"/>
  <c r="J3927" i="12"/>
  <c r="I3927" i="12"/>
  <c r="K3926" i="12"/>
  <c r="J3926" i="12"/>
  <c r="I3926" i="12"/>
  <c r="K3925" i="12"/>
  <c r="J3925" i="12"/>
  <c r="I3925" i="12"/>
  <c r="K3924" i="12"/>
  <c r="J3924" i="12"/>
  <c r="I3924" i="12"/>
  <c r="K3923" i="12"/>
  <c r="J3923" i="12"/>
  <c r="I3923" i="12"/>
  <c r="K3922" i="12"/>
  <c r="J3922" i="12"/>
  <c r="I3922" i="12"/>
  <c r="K3921" i="12"/>
  <c r="J3921" i="12"/>
  <c r="I3921" i="12"/>
  <c r="K3920" i="12"/>
  <c r="J3920" i="12"/>
  <c r="I3920" i="12"/>
  <c r="K3919" i="12"/>
  <c r="J3919" i="12"/>
  <c r="I3919" i="12"/>
  <c r="K3918" i="12"/>
  <c r="J3918" i="12"/>
  <c r="I3918" i="12"/>
  <c r="K3917" i="12"/>
  <c r="J3917" i="12"/>
  <c r="I3917" i="12"/>
  <c r="K3916" i="12"/>
  <c r="J3916" i="12"/>
  <c r="I3916" i="12"/>
  <c r="K3915" i="12"/>
  <c r="J3915" i="12"/>
  <c r="I3915" i="12"/>
  <c r="K3914" i="12"/>
  <c r="J3914" i="12"/>
  <c r="I3914" i="12"/>
  <c r="K3913" i="12"/>
  <c r="J3913" i="12"/>
  <c r="I3913" i="12"/>
  <c r="K3912" i="12"/>
  <c r="J3912" i="12"/>
  <c r="I3912" i="12"/>
  <c r="K3911" i="12"/>
  <c r="J3911" i="12"/>
  <c r="I3911" i="12"/>
  <c r="K3910" i="12"/>
  <c r="J3910" i="12"/>
  <c r="I3910" i="12"/>
  <c r="K3909" i="12"/>
  <c r="J3909" i="12"/>
  <c r="I3909" i="12"/>
  <c r="K3908" i="12"/>
  <c r="J3908" i="12"/>
  <c r="I3908" i="12"/>
  <c r="K3907" i="12"/>
  <c r="J3907" i="12"/>
  <c r="I3907" i="12"/>
  <c r="K3906" i="12"/>
  <c r="J3906" i="12"/>
  <c r="I3906" i="12"/>
  <c r="K3905" i="12"/>
  <c r="J3905" i="12"/>
  <c r="I3905" i="12"/>
  <c r="K3904" i="12"/>
  <c r="J3904" i="12"/>
  <c r="I3904" i="12"/>
  <c r="K3903" i="12"/>
  <c r="J3903" i="12"/>
  <c r="I3903" i="12"/>
  <c r="K3902" i="12"/>
  <c r="J3902" i="12"/>
  <c r="I3902" i="12"/>
  <c r="K3901" i="12"/>
  <c r="J3901" i="12"/>
  <c r="I3901" i="12"/>
  <c r="K3900" i="12"/>
  <c r="J3900" i="12"/>
  <c r="I3900" i="12"/>
  <c r="K3899" i="12"/>
  <c r="J3899" i="12"/>
  <c r="I3899" i="12"/>
  <c r="K3898" i="12"/>
  <c r="J3898" i="12"/>
  <c r="I3898" i="12"/>
  <c r="K3897" i="12"/>
  <c r="J3897" i="12"/>
  <c r="I3897" i="12"/>
  <c r="K3896" i="12"/>
  <c r="J3896" i="12"/>
  <c r="I3896" i="12"/>
  <c r="K3895" i="12"/>
  <c r="J3895" i="12"/>
  <c r="I3895" i="12"/>
  <c r="K3894" i="12"/>
  <c r="J3894" i="12"/>
  <c r="I3894" i="12"/>
  <c r="K3893" i="12"/>
  <c r="J3893" i="12"/>
  <c r="I3893" i="12"/>
  <c r="K3892" i="12"/>
  <c r="J3892" i="12"/>
  <c r="I3892" i="12"/>
  <c r="K3891" i="12"/>
  <c r="J3891" i="12"/>
  <c r="I3891" i="12"/>
  <c r="K3890" i="12"/>
  <c r="J3890" i="12"/>
  <c r="I3890" i="12"/>
  <c r="K3889" i="12"/>
  <c r="J3889" i="12"/>
  <c r="I3889" i="12"/>
  <c r="K3888" i="12"/>
  <c r="J3888" i="12"/>
  <c r="I3888" i="12"/>
  <c r="K3887" i="12"/>
  <c r="J3887" i="12"/>
  <c r="I3887" i="12"/>
  <c r="K3886" i="12"/>
  <c r="J3886" i="12"/>
  <c r="I3886" i="12"/>
  <c r="K3885" i="12"/>
  <c r="J3885" i="12"/>
  <c r="I3885" i="12"/>
  <c r="K3884" i="12"/>
  <c r="J3884" i="12"/>
  <c r="I3884" i="12"/>
  <c r="K3883" i="12"/>
  <c r="J3883" i="12"/>
  <c r="I3883" i="12"/>
  <c r="K3882" i="12"/>
  <c r="J3882" i="12"/>
  <c r="I3882" i="12"/>
  <c r="K3881" i="12"/>
  <c r="J3881" i="12"/>
  <c r="I3881" i="12"/>
  <c r="K3880" i="12"/>
  <c r="J3880" i="12"/>
  <c r="I3880" i="12"/>
  <c r="K3879" i="12"/>
  <c r="J3879" i="12"/>
  <c r="I3879" i="12"/>
  <c r="K3878" i="12"/>
  <c r="J3878" i="12"/>
  <c r="I3878" i="12"/>
  <c r="K3877" i="12"/>
  <c r="J3877" i="12"/>
  <c r="I3877" i="12"/>
  <c r="K3876" i="12"/>
  <c r="J3876" i="12"/>
  <c r="I3876" i="12"/>
  <c r="K3875" i="12"/>
  <c r="J3875" i="12"/>
  <c r="I3875" i="12"/>
  <c r="K3874" i="12"/>
  <c r="J3874" i="12"/>
  <c r="I3874" i="12"/>
  <c r="K3873" i="12"/>
  <c r="J3873" i="12"/>
  <c r="I3873" i="12"/>
  <c r="K3872" i="12"/>
  <c r="J3872" i="12"/>
  <c r="I3872" i="12"/>
  <c r="K3871" i="12"/>
  <c r="J3871" i="12"/>
  <c r="I3871" i="12"/>
  <c r="K3870" i="12"/>
  <c r="J3870" i="12"/>
  <c r="I3870" i="12"/>
  <c r="K3869" i="12"/>
  <c r="J3869" i="12"/>
  <c r="I3869" i="12"/>
  <c r="K3868" i="12"/>
  <c r="J3868" i="12"/>
  <c r="I3868" i="12"/>
  <c r="K3867" i="12"/>
  <c r="J3867" i="12"/>
  <c r="I3867" i="12"/>
  <c r="K3866" i="12"/>
  <c r="J3866" i="12"/>
  <c r="I3866" i="12"/>
  <c r="K3865" i="12"/>
  <c r="J3865" i="12"/>
  <c r="I3865" i="12"/>
  <c r="K3864" i="12"/>
  <c r="J3864" i="12"/>
  <c r="I3864" i="12"/>
  <c r="K3863" i="12"/>
  <c r="J3863" i="12"/>
  <c r="I3863" i="12"/>
  <c r="K3862" i="12"/>
  <c r="J3862" i="12"/>
  <c r="I3862" i="12"/>
  <c r="K3861" i="12"/>
  <c r="J3861" i="12"/>
  <c r="I3861" i="12"/>
  <c r="K3860" i="12"/>
  <c r="J3860" i="12"/>
  <c r="I3860" i="12"/>
  <c r="K3859" i="12"/>
  <c r="J3859" i="12"/>
  <c r="I3859" i="12"/>
  <c r="K3858" i="12"/>
  <c r="J3858" i="12"/>
  <c r="I3858" i="12"/>
  <c r="K3857" i="12"/>
  <c r="J3857" i="12"/>
  <c r="I3857" i="12"/>
  <c r="K3856" i="12"/>
  <c r="J3856" i="12"/>
  <c r="I3856" i="12"/>
  <c r="K3855" i="12"/>
  <c r="J3855" i="12"/>
  <c r="I3855" i="12"/>
  <c r="K3854" i="12"/>
  <c r="J3854" i="12"/>
  <c r="I3854" i="12"/>
  <c r="K3853" i="12"/>
  <c r="J3853" i="12"/>
  <c r="I3853" i="12"/>
  <c r="K3852" i="12"/>
  <c r="J3852" i="12"/>
  <c r="I3852" i="12"/>
  <c r="K3851" i="12"/>
  <c r="J3851" i="12"/>
  <c r="I3851" i="12"/>
  <c r="K3850" i="12"/>
  <c r="J3850" i="12"/>
  <c r="I3850" i="12"/>
  <c r="K3849" i="12"/>
  <c r="J3849" i="12"/>
  <c r="I3849" i="12"/>
  <c r="K3848" i="12"/>
  <c r="J3848" i="12"/>
  <c r="I3848" i="12"/>
  <c r="K3847" i="12"/>
  <c r="J3847" i="12"/>
  <c r="I3847" i="12"/>
  <c r="K3846" i="12"/>
  <c r="J3846" i="12"/>
  <c r="I3846" i="12"/>
  <c r="K3845" i="12"/>
  <c r="J3845" i="12"/>
  <c r="I3845" i="12"/>
  <c r="K3844" i="12"/>
  <c r="J3844" i="12"/>
  <c r="I3844" i="12"/>
  <c r="K3843" i="12"/>
  <c r="J3843" i="12"/>
  <c r="I3843" i="12"/>
  <c r="K3842" i="12"/>
  <c r="J3842" i="12"/>
  <c r="I3842" i="12"/>
  <c r="K3841" i="12"/>
  <c r="J3841" i="12"/>
  <c r="I3841" i="12"/>
  <c r="K3840" i="12"/>
  <c r="J3840" i="12"/>
  <c r="I3840" i="12"/>
  <c r="K3839" i="12"/>
  <c r="J3839" i="12"/>
  <c r="I3839" i="12"/>
  <c r="K3838" i="12"/>
  <c r="J3838" i="12"/>
  <c r="I3838" i="12"/>
  <c r="K3837" i="12"/>
  <c r="J3837" i="12"/>
  <c r="I3837" i="12"/>
  <c r="K3836" i="12"/>
  <c r="J3836" i="12"/>
  <c r="I3836" i="12"/>
  <c r="K3835" i="12"/>
  <c r="J3835" i="12"/>
  <c r="I3835" i="12"/>
  <c r="K3834" i="12"/>
  <c r="J3834" i="12"/>
  <c r="I3834" i="12"/>
  <c r="K3833" i="12"/>
  <c r="J3833" i="12"/>
  <c r="I3833" i="12"/>
  <c r="K3832" i="12"/>
  <c r="J3832" i="12"/>
  <c r="I3832" i="12"/>
  <c r="K3831" i="12"/>
  <c r="J3831" i="12"/>
  <c r="I3831" i="12"/>
  <c r="K3830" i="12"/>
  <c r="J3830" i="12"/>
  <c r="I3830" i="12"/>
  <c r="K3829" i="12"/>
  <c r="J3829" i="12"/>
  <c r="I3829" i="12"/>
  <c r="K3828" i="12"/>
  <c r="J3828" i="12"/>
  <c r="I3828" i="12"/>
  <c r="K3827" i="12"/>
  <c r="J3827" i="12"/>
  <c r="I3827" i="12"/>
  <c r="K3826" i="12"/>
  <c r="J3826" i="12"/>
  <c r="I3826" i="12"/>
  <c r="K3825" i="12"/>
  <c r="J3825" i="12"/>
  <c r="I3825" i="12"/>
  <c r="K3824" i="12"/>
  <c r="J3824" i="12"/>
  <c r="I3824" i="12"/>
  <c r="K3823" i="12"/>
  <c r="J3823" i="12"/>
  <c r="I3823" i="12"/>
  <c r="K3822" i="12"/>
  <c r="J3822" i="12"/>
  <c r="I3822" i="12"/>
  <c r="K3821" i="12"/>
  <c r="J3821" i="12"/>
  <c r="I3821" i="12"/>
  <c r="K3820" i="12"/>
  <c r="J3820" i="12"/>
  <c r="I3820" i="12"/>
  <c r="K3819" i="12"/>
  <c r="J3819" i="12"/>
  <c r="I3819" i="12"/>
  <c r="K3818" i="12"/>
  <c r="J3818" i="12"/>
  <c r="I3818" i="12"/>
  <c r="K3817" i="12"/>
  <c r="J3817" i="12"/>
  <c r="I3817" i="12"/>
  <c r="K3816" i="12"/>
  <c r="J3816" i="12"/>
  <c r="I3816" i="12"/>
  <c r="K3815" i="12"/>
  <c r="J3815" i="12"/>
  <c r="I3815" i="12"/>
  <c r="K3814" i="12"/>
  <c r="J3814" i="12"/>
  <c r="I3814" i="12"/>
  <c r="K3813" i="12"/>
  <c r="J3813" i="12"/>
  <c r="I3813" i="12"/>
  <c r="K3812" i="12"/>
  <c r="J3812" i="12"/>
  <c r="I3812" i="12"/>
  <c r="K3811" i="12"/>
  <c r="J3811" i="12"/>
  <c r="I3811" i="12"/>
  <c r="K3810" i="12"/>
  <c r="J3810" i="12"/>
  <c r="I3810" i="12"/>
  <c r="K3809" i="12"/>
  <c r="J3809" i="12"/>
  <c r="I3809" i="12"/>
  <c r="K3808" i="12"/>
  <c r="J3808" i="12"/>
  <c r="I3808" i="12"/>
  <c r="K3807" i="12"/>
  <c r="J3807" i="12"/>
  <c r="I3807" i="12"/>
  <c r="K3806" i="12"/>
  <c r="J3806" i="12"/>
  <c r="I3806" i="12"/>
  <c r="K3805" i="12"/>
  <c r="J3805" i="12"/>
  <c r="I3805" i="12"/>
  <c r="K3804" i="12"/>
  <c r="J3804" i="12"/>
  <c r="I3804" i="12"/>
  <c r="K3803" i="12"/>
  <c r="J3803" i="12"/>
  <c r="I3803" i="12"/>
  <c r="K3802" i="12"/>
  <c r="J3802" i="12"/>
  <c r="I3802" i="12"/>
  <c r="K3801" i="12"/>
  <c r="J3801" i="12"/>
  <c r="I3801" i="12"/>
  <c r="K3800" i="12"/>
  <c r="J3800" i="12"/>
  <c r="I3800" i="12"/>
  <c r="K3799" i="12"/>
  <c r="J3799" i="12"/>
  <c r="I3799" i="12"/>
  <c r="K3798" i="12"/>
  <c r="J3798" i="12"/>
  <c r="I3798" i="12"/>
  <c r="K3797" i="12"/>
  <c r="J3797" i="12"/>
  <c r="I3797" i="12"/>
  <c r="K3796" i="12"/>
  <c r="J3796" i="12"/>
  <c r="I3796" i="12"/>
  <c r="K3795" i="12"/>
  <c r="J3795" i="12"/>
  <c r="I3795" i="12"/>
  <c r="K3794" i="12"/>
  <c r="J3794" i="12"/>
  <c r="I3794" i="12"/>
  <c r="K3793" i="12"/>
  <c r="J3793" i="12"/>
  <c r="I3793" i="12"/>
  <c r="K3792" i="12"/>
  <c r="J3792" i="12"/>
  <c r="I3792" i="12"/>
  <c r="K3791" i="12"/>
  <c r="J3791" i="12"/>
  <c r="I3791" i="12"/>
  <c r="K3790" i="12"/>
  <c r="J3790" i="12"/>
  <c r="I3790" i="12"/>
  <c r="K3789" i="12"/>
  <c r="J3789" i="12"/>
  <c r="I3789" i="12"/>
  <c r="K3788" i="12"/>
  <c r="J3788" i="12"/>
  <c r="I3788" i="12"/>
  <c r="K3787" i="12"/>
  <c r="J3787" i="12"/>
  <c r="I3787" i="12"/>
  <c r="K3786" i="12"/>
  <c r="J3786" i="12"/>
  <c r="I3786" i="12"/>
  <c r="K3785" i="12"/>
  <c r="J3785" i="12"/>
  <c r="I3785" i="12"/>
  <c r="K3784" i="12"/>
  <c r="J3784" i="12"/>
  <c r="I3784" i="12"/>
  <c r="K3783" i="12"/>
  <c r="J3783" i="12"/>
  <c r="I3783" i="12"/>
  <c r="K3782" i="12"/>
  <c r="J3782" i="12"/>
  <c r="I3782" i="12"/>
  <c r="K3781" i="12"/>
  <c r="J3781" i="12"/>
  <c r="I3781" i="12"/>
  <c r="K3780" i="12"/>
  <c r="J3780" i="12"/>
  <c r="I3780" i="12"/>
  <c r="K3779" i="12"/>
  <c r="J3779" i="12"/>
  <c r="I3779" i="12"/>
  <c r="K3778" i="12"/>
  <c r="J3778" i="12"/>
  <c r="I3778" i="12"/>
  <c r="K3777" i="12"/>
  <c r="J3777" i="12"/>
  <c r="I3777" i="12"/>
  <c r="K3776" i="12"/>
  <c r="J3776" i="12"/>
  <c r="I3776" i="12"/>
  <c r="K3775" i="12"/>
  <c r="J3775" i="12"/>
  <c r="I3775" i="12"/>
  <c r="K3774" i="12"/>
  <c r="J3774" i="12"/>
  <c r="I3774" i="12"/>
  <c r="K3773" i="12"/>
  <c r="J3773" i="12"/>
  <c r="I3773" i="12"/>
  <c r="K3772" i="12"/>
  <c r="J3772" i="12"/>
  <c r="I3772" i="12"/>
  <c r="K3771" i="12"/>
  <c r="J3771" i="12"/>
  <c r="I3771" i="12"/>
  <c r="K3770" i="12"/>
  <c r="J3770" i="12"/>
  <c r="I3770" i="12"/>
  <c r="K3769" i="12"/>
  <c r="J3769" i="12"/>
  <c r="I3769" i="12"/>
  <c r="K3768" i="12"/>
  <c r="J3768" i="12"/>
  <c r="I3768" i="12"/>
  <c r="K3767" i="12"/>
  <c r="J3767" i="12"/>
  <c r="I3767" i="12"/>
  <c r="K3766" i="12"/>
  <c r="J3766" i="12"/>
  <c r="I3766" i="12"/>
  <c r="K3765" i="12"/>
  <c r="J3765" i="12"/>
  <c r="I3765" i="12"/>
  <c r="K3764" i="12"/>
  <c r="J3764" i="12"/>
  <c r="I3764" i="12"/>
  <c r="K3763" i="12"/>
  <c r="J3763" i="12"/>
  <c r="I3763" i="12"/>
  <c r="K3762" i="12"/>
  <c r="J3762" i="12"/>
  <c r="I3762" i="12"/>
  <c r="K3761" i="12"/>
  <c r="J3761" i="12"/>
  <c r="I3761" i="12"/>
  <c r="K3760" i="12"/>
  <c r="J3760" i="12"/>
  <c r="I3760" i="12"/>
  <c r="K3759" i="12"/>
  <c r="J3759" i="12"/>
  <c r="I3759" i="12"/>
  <c r="K3758" i="12"/>
  <c r="J3758" i="12"/>
  <c r="I3758" i="12"/>
  <c r="K3757" i="12"/>
  <c r="J3757" i="12"/>
  <c r="I3757" i="12"/>
  <c r="K3756" i="12"/>
  <c r="J3756" i="12"/>
  <c r="I3756" i="12"/>
  <c r="K3755" i="12"/>
  <c r="J3755" i="12"/>
  <c r="I3755" i="12"/>
  <c r="K3754" i="12"/>
  <c r="J3754" i="12"/>
  <c r="I3754" i="12"/>
  <c r="K3753" i="12"/>
  <c r="J3753" i="12"/>
  <c r="I3753" i="12"/>
  <c r="K3752" i="12"/>
  <c r="J3752" i="12"/>
  <c r="I3752" i="12"/>
  <c r="K3751" i="12"/>
  <c r="J3751" i="12"/>
  <c r="I3751" i="12"/>
  <c r="K3750" i="12"/>
  <c r="J3750" i="12"/>
  <c r="I3750" i="12"/>
  <c r="K3749" i="12"/>
  <c r="J3749" i="12"/>
  <c r="I3749" i="12"/>
  <c r="K3748" i="12"/>
  <c r="J3748" i="12"/>
  <c r="I3748" i="12"/>
  <c r="K3747" i="12"/>
  <c r="J3747" i="12"/>
  <c r="I3747" i="12"/>
  <c r="K3746" i="12"/>
  <c r="J3746" i="12"/>
  <c r="I3746" i="12"/>
  <c r="K3745" i="12"/>
  <c r="J3745" i="12"/>
  <c r="I3745" i="12"/>
  <c r="K3744" i="12"/>
  <c r="J3744" i="12"/>
  <c r="I3744" i="12"/>
  <c r="K3743" i="12"/>
  <c r="J3743" i="12"/>
  <c r="I3743" i="12"/>
  <c r="K3742" i="12"/>
  <c r="J3742" i="12"/>
  <c r="I3742" i="12"/>
  <c r="K3741" i="12"/>
  <c r="J3741" i="12"/>
  <c r="I3741" i="12"/>
  <c r="K3740" i="12"/>
  <c r="J3740" i="12"/>
  <c r="I3740" i="12"/>
  <c r="K3739" i="12"/>
  <c r="J3739" i="12"/>
  <c r="I3739" i="12"/>
  <c r="K3738" i="12"/>
  <c r="J3738" i="12"/>
  <c r="I3738" i="12"/>
  <c r="K3737" i="12"/>
  <c r="J3737" i="12"/>
  <c r="I3737" i="12"/>
  <c r="K3736" i="12"/>
  <c r="J3736" i="12"/>
  <c r="I3736" i="12"/>
  <c r="K3735" i="12"/>
  <c r="J3735" i="12"/>
  <c r="I3735" i="12"/>
  <c r="K3734" i="12"/>
  <c r="J3734" i="12"/>
  <c r="I3734" i="12"/>
  <c r="K3733" i="12"/>
  <c r="J3733" i="12"/>
  <c r="I3733" i="12"/>
  <c r="K3732" i="12"/>
  <c r="J3732" i="12"/>
  <c r="I3732" i="12"/>
  <c r="K3731" i="12"/>
  <c r="J3731" i="12"/>
  <c r="I3731" i="12"/>
  <c r="K3730" i="12"/>
  <c r="J3730" i="12"/>
  <c r="I3730" i="12"/>
  <c r="K3729" i="12"/>
  <c r="J3729" i="12"/>
  <c r="I3729" i="12"/>
  <c r="K3728" i="12"/>
  <c r="J3728" i="12"/>
  <c r="I3728" i="12"/>
  <c r="K3727" i="12"/>
  <c r="J3727" i="12"/>
  <c r="I3727" i="12"/>
  <c r="K3726" i="12"/>
  <c r="J3726" i="12"/>
  <c r="I3726" i="12"/>
  <c r="K3725" i="12"/>
  <c r="J3725" i="12"/>
  <c r="I3725" i="12"/>
  <c r="K3724" i="12"/>
  <c r="J3724" i="12"/>
  <c r="I3724" i="12"/>
  <c r="K3723" i="12"/>
  <c r="J3723" i="12"/>
  <c r="I3723" i="12"/>
  <c r="K3722" i="12"/>
  <c r="J3722" i="12"/>
  <c r="I3722" i="12"/>
  <c r="K3721" i="12"/>
  <c r="J3721" i="12"/>
  <c r="I3721" i="12"/>
  <c r="K3720" i="12"/>
  <c r="J3720" i="12"/>
  <c r="I3720" i="12"/>
  <c r="K3719" i="12"/>
  <c r="J3719" i="12"/>
  <c r="I3719" i="12"/>
  <c r="K3718" i="12"/>
  <c r="J3718" i="12"/>
  <c r="I3718" i="12"/>
  <c r="K3717" i="12"/>
  <c r="J3717" i="12"/>
  <c r="I3717" i="12"/>
  <c r="K3716" i="12"/>
  <c r="J3716" i="12"/>
  <c r="I3716" i="12"/>
  <c r="K3715" i="12"/>
  <c r="J3715" i="12"/>
  <c r="I3715" i="12"/>
  <c r="K3714" i="12"/>
  <c r="J3714" i="12"/>
  <c r="I3714" i="12"/>
  <c r="K3713" i="12"/>
  <c r="J3713" i="12"/>
  <c r="I3713" i="12"/>
  <c r="K3712" i="12"/>
  <c r="J3712" i="12"/>
  <c r="I3712" i="12"/>
  <c r="K3711" i="12"/>
  <c r="J3711" i="12"/>
  <c r="I3711" i="12"/>
  <c r="K3710" i="12"/>
  <c r="J3710" i="12"/>
  <c r="I3710" i="12"/>
  <c r="K3709" i="12"/>
  <c r="J3709" i="12"/>
  <c r="I3709" i="12"/>
  <c r="K3708" i="12"/>
  <c r="J3708" i="12"/>
  <c r="I3708" i="12"/>
  <c r="K3707" i="12"/>
  <c r="J3707" i="12"/>
  <c r="I3707" i="12"/>
  <c r="K3706" i="12"/>
  <c r="J3706" i="12"/>
  <c r="I3706" i="12"/>
  <c r="K3705" i="12"/>
  <c r="J3705" i="12"/>
  <c r="I3705" i="12"/>
  <c r="K3704" i="12"/>
  <c r="J3704" i="12"/>
  <c r="I3704" i="12"/>
  <c r="K3703" i="12"/>
  <c r="J3703" i="12"/>
  <c r="I3703" i="12"/>
  <c r="K3702" i="12"/>
  <c r="J3702" i="12"/>
  <c r="I3702" i="12"/>
  <c r="K3701" i="12"/>
  <c r="J3701" i="12"/>
  <c r="I3701" i="12"/>
  <c r="K3700" i="12"/>
  <c r="J3700" i="12"/>
  <c r="I3700" i="12"/>
  <c r="K3699" i="12"/>
  <c r="J3699" i="12"/>
  <c r="I3699" i="12"/>
  <c r="K3698" i="12"/>
  <c r="J3698" i="12"/>
  <c r="I3698" i="12"/>
  <c r="K3697" i="12"/>
  <c r="J3697" i="12"/>
  <c r="I3697" i="12"/>
  <c r="K3696" i="12"/>
  <c r="J3696" i="12"/>
  <c r="I3696" i="12"/>
  <c r="K3695" i="12"/>
  <c r="J3695" i="12"/>
  <c r="I3695" i="12"/>
  <c r="K3694" i="12"/>
  <c r="J3694" i="12"/>
  <c r="I3694" i="12"/>
  <c r="K3693" i="12"/>
  <c r="J3693" i="12"/>
  <c r="I3693" i="12"/>
  <c r="K3692" i="12"/>
  <c r="J3692" i="12"/>
  <c r="I3692" i="12"/>
  <c r="K3691" i="12"/>
  <c r="J3691" i="12"/>
  <c r="I3691" i="12"/>
  <c r="K3690" i="12"/>
  <c r="J3690" i="12"/>
  <c r="I3690" i="12"/>
  <c r="K3689" i="12"/>
  <c r="J3689" i="12"/>
  <c r="I3689" i="12"/>
  <c r="K3688" i="12"/>
  <c r="J3688" i="12"/>
  <c r="I3688" i="12"/>
  <c r="K3687" i="12"/>
  <c r="J3687" i="12"/>
  <c r="I3687" i="12"/>
  <c r="K3686" i="12"/>
  <c r="J3686" i="12"/>
  <c r="I3686" i="12"/>
  <c r="K3685" i="12"/>
  <c r="J3685" i="12"/>
  <c r="I3685" i="12"/>
  <c r="K3684" i="12"/>
  <c r="J3684" i="12"/>
  <c r="I3684" i="12"/>
  <c r="K3683" i="12"/>
  <c r="J3683" i="12"/>
  <c r="I3683" i="12"/>
  <c r="K3682" i="12"/>
  <c r="J3682" i="12"/>
  <c r="I3682" i="12"/>
  <c r="K3681" i="12"/>
  <c r="J3681" i="12"/>
  <c r="I3681" i="12"/>
  <c r="K3680" i="12"/>
  <c r="J3680" i="12"/>
  <c r="I3680" i="12"/>
  <c r="K3679" i="12"/>
  <c r="J3679" i="12"/>
  <c r="I3679" i="12"/>
  <c r="K3678" i="12"/>
  <c r="J3678" i="12"/>
  <c r="I3678" i="12"/>
  <c r="K3677" i="12"/>
  <c r="J3677" i="12"/>
  <c r="I3677" i="12"/>
  <c r="K3676" i="12"/>
  <c r="J3676" i="12"/>
  <c r="I3676" i="12"/>
  <c r="K3675" i="12"/>
  <c r="J3675" i="12"/>
  <c r="I3675" i="12"/>
  <c r="K3674" i="12"/>
  <c r="J3674" i="12"/>
  <c r="I3674" i="12"/>
  <c r="K3673" i="12"/>
  <c r="J3673" i="12"/>
  <c r="I3673" i="12"/>
  <c r="K3672" i="12"/>
  <c r="J3672" i="12"/>
  <c r="I3672" i="12"/>
  <c r="K3671" i="12"/>
  <c r="J3671" i="12"/>
  <c r="I3671" i="12"/>
  <c r="K3670" i="12"/>
  <c r="J3670" i="12"/>
  <c r="I3670" i="12"/>
  <c r="K3669" i="12"/>
  <c r="J3669" i="12"/>
  <c r="I3669" i="12"/>
  <c r="K3668" i="12"/>
  <c r="J3668" i="12"/>
  <c r="I3668" i="12"/>
  <c r="K3667" i="12"/>
  <c r="J3667" i="12"/>
  <c r="I3667" i="12"/>
  <c r="K3666" i="12"/>
  <c r="J3666" i="12"/>
  <c r="I3666" i="12"/>
  <c r="K3665" i="12"/>
  <c r="J3665" i="12"/>
  <c r="I3665" i="12"/>
  <c r="K3664" i="12"/>
  <c r="J3664" i="12"/>
  <c r="I3664" i="12"/>
  <c r="K3663" i="12"/>
  <c r="J3663" i="12"/>
  <c r="I3663" i="12"/>
  <c r="K3662" i="12"/>
  <c r="J3662" i="12"/>
  <c r="I3662" i="12"/>
  <c r="K3661" i="12"/>
  <c r="J3661" i="12"/>
  <c r="I3661" i="12"/>
  <c r="K3660" i="12"/>
  <c r="J3660" i="12"/>
  <c r="I3660" i="12"/>
  <c r="K3659" i="12"/>
  <c r="J3659" i="12"/>
  <c r="I3659" i="12"/>
  <c r="K3658" i="12"/>
  <c r="J3658" i="12"/>
  <c r="I3658" i="12"/>
  <c r="K3657" i="12"/>
  <c r="J3657" i="12"/>
  <c r="I3657" i="12"/>
  <c r="K3656" i="12"/>
  <c r="J3656" i="12"/>
  <c r="I3656" i="12"/>
  <c r="K3655" i="12"/>
  <c r="J3655" i="12"/>
  <c r="I3655" i="12"/>
  <c r="K3654" i="12"/>
  <c r="J3654" i="12"/>
  <c r="I3654" i="12"/>
  <c r="K3653" i="12"/>
  <c r="J3653" i="12"/>
  <c r="I3653" i="12"/>
  <c r="K3652" i="12"/>
  <c r="J3652" i="12"/>
  <c r="I3652" i="12"/>
  <c r="K3651" i="12"/>
  <c r="J3651" i="12"/>
  <c r="I3651" i="12"/>
  <c r="K3650" i="12"/>
  <c r="J3650" i="12"/>
  <c r="I3650" i="12"/>
  <c r="K3649" i="12"/>
  <c r="J3649" i="12"/>
  <c r="I3649" i="12"/>
  <c r="K3648" i="12"/>
  <c r="J3648" i="12"/>
  <c r="I3648" i="12"/>
  <c r="K3647" i="12"/>
  <c r="J3647" i="12"/>
  <c r="I3647" i="12"/>
  <c r="K3646" i="12"/>
  <c r="J3646" i="12"/>
  <c r="I3646" i="12"/>
  <c r="K3645" i="12"/>
  <c r="J3645" i="12"/>
  <c r="I3645" i="12"/>
  <c r="K3644" i="12"/>
  <c r="J3644" i="12"/>
  <c r="I3644" i="12"/>
  <c r="K3643" i="12"/>
  <c r="J3643" i="12"/>
  <c r="I3643" i="12"/>
  <c r="K3642" i="12"/>
  <c r="J3642" i="12"/>
  <c r="I3642" i="12"/>
  <c r="K3641" i="12"/>
  <c r="J3641" i="12"/>
  <c r="I3641" i="12"/>
  <c r="K3640" i="12"/>
  <c r="J3640" i="12"/>
  <c r="I3640" i="12"/>
  <c r="K3639" i="12"/>
  <c r="J3639" i="12"/>
  <c r="I3639" i="12"/>
  <c r="K3638" i="12"/>
  <c r="J3638" i="12"/>
  <c r="I3638" i="12"/>
  <c r="K3637" i="12"/>
  <c r="J3637" i="12"/>
  <c r="I3637" i="12"/>
  <c r="K3636" i="12"/>
  <c r="J3636" i="12"/>
  <c r="I3636" i="12"/>
  <c r="K3635" i="12"/>
  <c r="J3635" i="12"/>
  <c r="I3635" i="12"/>
  <c r="K3634" i="12"/>
  <c r="J3634" i="12"/>
  <c r="I3634" i="12"/>
  <c r="K3633" i="12"/>
  <c r="J3633" i="12"/>
  <c r="I3633" i="12"/>
  <c r="K3632" i="12"/>
  <c r="J3632" i="12"/>
  <c r="I3632" i="12"/>
  <c r="K3631" i="12"/>
  <c r="J3631" i="12"/>
  <c r="I3631" i="12"/>
  <c r="K3630" i="12"/>
  <c r="J3630" i="12"/>
  <c r="I3630" i="12"/>
  <c r="K3629" i="12"/>
  <c r="J3629" i="12"/>
  <c r="I3629" i="12"/>
  <c r="K3628" i="12"/>
  <c r="J3628" i="12"/>
  <c r="I3628" i="12"/>
  <c r="K3627" i="12"/>
  <c r="J3627" i="12"/>
  <c r="I3627" i="12"/>
  <c r="K3626" i="12"/>
  <c r="J3626" i="12"/>
  <c r="I3626" i="12"/>
  <c r="K3625" i="12"/>
  <c r="J3625" i="12"/>
  <c r="I3625" i="12"/>
  <c r="K3624" i="12"/>
  <c r="J3624" i="12"/>
  <c r="I3624" i="12"/>
  <c r="K3623" i="12"/>
  <c r="J3623" i="12"/>
  <c r="I3623" i="12"/>
  <c r="K3622" i="12"/>
  <c r="J3622" i="12"/>
  <c r="I3622" i="12"/>
  <c r="K3621" i="12"/>
  <c r="J3621" i="12"/>
  <c r="I3621" i="12"/>
  <c r="K3620" i="12"/>
  <c r="J3620" i="12"/>
  <c r="I3620" i="12"/>
  <c r="K3619" i="12"/>
  <c r="J3619" i="12"/>
  <c r="I3619" i="12"/>
  <c r="K3618" i="12"/>
  <c r="J3618" i="12"/>
  <c r="I3618" i="12"/>
  <c r="K3617" i="12"/>
  <c r="J3617" i="12"/>
  <c r="I3617" i="12"/>
  <c r="K3616" i="12"/>
  <c r="J3616" i="12"/>
  <c r="I3616" i="12"/>
  <c r="K3615" i="12"/>
  <c r="J3615" i="12"/>
  <c r="I3615" i="12"/>
  <c r="K3614" i="12"/>
  <c r="J3614" i="12"/>
  <c r="I3614" i="12"/>
  <c r="K3613" i="12"/>
  <c r="J3613" i="12"/>
  <c r="I3613" i="12"/>
  <c r="K3612" i="12"/>
  <c r="J3612" i="12"/>
  <c r="I3612" i="12"/>
  <c r="K3611" i="12"/>
  <c r="J3611" i="12"/>
  <c r="I3611" i="12"/>
  <c r="K3610" i="12"/>
  <c r="J3610" i="12"/>
  <c r="I3610" i="12"/>
  <c r="K3609" i="12"/>
  <c r="J3609" i="12"/>
  <c r="I3609" i="12"/>
  <c r="K3608" i="12"/>
  <c r="J3608" i="12"/>
  <c r="I3608" i="12"/>
  <c r="K3607" i="12"/>
  <c r="J3607" i="12"/>
  <c r="I3607" i="12"/>
  <c r="K3606" i="12"/>
  <c r="J3606" i="12"/>
  <c r="I3606" i="12"/>
  <c r="K3605" i="12"/>
  <c r="J3605" i="12"/>
  <c r="I3605" i="12"/>
  <c r="K3604" i="12"/>
  <c r="J3604" i="12"/>
  <c r="I3604" i="12"/>
  <c r="K3603" i="12"/>
  <c r="J3603" i="12"/>
  <c r="I3603" i="12"/>
  <c r="K3602" i="12"/>
  <c r="J3602" i="12"/>
  <c r="I3602" i="12"/>
  <c r="K3601" i="12"/>
  <c r="J3601" i="12"/>
  <c r="I3601" i="12"/>
  <c r="K3600" i="12"/>
  <c r="J3600" i="12"/>
  <c r="I3600" i="12"/>
  <c r="K3599" i="12"/>
  <c r="J3599" i="12"/>
  <c r="I3599" i="12"/>
  <c r="K3598" i="12"/>
  <c r="J3598" i="12"/>
  <c r="I3598" i="12"/>
  <c r="K3597" i="12"/>
  <c r="J3597" i="12"/>
  <c r="I3597" i="12"/>
  <c r="K3596" i="12"/>
  <c r="J3596" i="12"/>
  <c r="I3596" i="12"/>
  <c r="K3595" i="12"/>
  <c r="J3595" i="12"/>
  <c r="I3595" i="12"/>
  <c r="K3594" i="12"/>
  <c r="J3594" i="12"/>
  <c r="I3594" i="12"/>
  <c r="K3593" i="12"/>
  <c r="J3593" i="12"/>
  <c r="I3593" i="12"/>
  <c r="K3592" i="12"/>
  <c r="J3592" i="12"/>
  <c r="I3592" i="12"/>
  <c r="K3591" i="12"/>
  <c r="J3591" i="12"/>
  <c r="I3591" i="12"/>
  <c r="K3590" i="12"/>
  <c r="J3590" i="12"/>
  <c r="I3590" i="12"/>
  <c r="K3589" i="12"/>
  <c r="J3589" i="12"/>
  <c r="I3589" i="12"/>
  <c r="K3588" i="12"/>
  <c r="J3588" i="12"/>
  <c r="I3588" i="12"/>
  <c r="K3587" i="12"/>
  <c r="J3587" i="12"/>
  <c r="I3587" i="12"/>
  <c r="K3586" i="12"/>
  <c r="J3586" i="12"/>
  <c r="I3586" i="12"/>
  <c r="K3585" i="12"/>
  <c r="J3585" i="12"/>
  <c r="I3585" i="12"/>
  <c r="K3584" i="12"/>
  <c r="J3584" i="12"/>
  <c r="I3584" i="12"/>
  <c r="K3583" i="12"/>
  <c r="J3583" i="12"/>
  <c r="I3583" i="12"/>
  <c r="K3582" i="12"/>
  <c r="J3582" i="12"/>
  <c r="I3582" i="12"/>
  <c r="K3581" i="12"/>
  <c r="J3581" i="12"/>
  <c r="I3581" i="12"/>
  <c r="K3580" i="12"/>
  <c r="J3580" i="12"/>
  <c r="I3580" i="12"/>
  <c r="K3579" i="12"/>
  <c r="J3579" i="12"/>
  <c r="I3579" i="12"/>
  <c r="K3578" i="12"/>
  <c r="J3578" i="12"/>
  <c r="I3578" i="12"/>
  <c r="K3577" i="12"/>
  <c r="J3577" i="12"/>
  <c r="I3577" i="12"/>
  <c r="K3576" i="12"/>
  <c r="J3576" i="12"/>
  <c r="I3576" i="12"/>
  <c r="K3575" i="12"/>
  <c r="J3575" i="12"/>
  <c r="I3575" i="12"/>
  <c r="K3574" i="12"/>
  <c r="J3574" i="12"/>
  <c r="I3574" i="12"/>
  <c r="K3573" i="12"/>
  <c r="J3573" i="12"/>
  <c r="I3573" i="12"/>
  <c r="K3572" i="12"/>
  <c r="J3572" i="12"/>
  <c r="I3572" i="12"/>
  <c r="K3571" i="12"/>
  <c r="J3571" i="12"/>
  <c r="I3571" i="12"/>
  <c r="K3570" i="12"/>
  <c r="J3570" i="12"/>
  <c r="I3570" i="12"/>
  <c r="K3569" i="12"/>
  <c r="J3569" i="12"/>
  <c r="I3569" i="12"/>
  <c r="K3568" i="12"/>
  <c r="J3568" i="12"/>
  <c r="I3568" i="12"/>
  <c r="K3567" i="12"/>
  <c r="J3567" i="12"/>
  <c r="I3567" i="12"/>
  <c r="K3566" i="12"/>
  <c r="J3566" i="12"/>
  <c r="I3566" i="12"/>
  <c r="K3565" i="12"/>
  <c r="J3565" i="12"/>
  <c r="I3565" i="12"/>
  <c r="K3564" i="12"/>
  <c r="J3564" i="12"/>
  <c r="I3564" i="12"/>
  <c r="K3563" i="12"/>
  <c r="J3563" i="12"/>
  <c r="I3563" i="12"/>
  <c r="K3562" i="12"/>
  <c r="J3562" i="12"/>
  <c r="I3562" i="12"/>
  <c r="K3561" i="12"/>
  <c r="J3561" i="12"/>
  <c r="I3561" i="12"/>
  <c r="K3560" i="12"/>
  <c r="J3560" i="12"/>
  <c r="I3560" i="12"/>
  <c r="K3559" i="12"/>
  <c r="J3559" i="12"/>
  <c r="I3559" i="12"/>
  <c r="K3558" i="12"/>
  <c r="J3558" i="12"/>
  <c r="I3558" i="12"/>
  <c r="K3557" i="12"/>
  <c r="J3557" i="12"/>
  <c r="I3557" i="12"/>
  <c r="K3556" i="12"/>
  <c r="J3556" i="12"/>
  <c r="I3556" i="12"/>
  <c r="K3555" i="12"/>
  <c r="J3555" i="12"/>
  <c r="I3555" i="12"/>
  <c r="K3554" i="12"/>
  <c r="J3554" i="12"/>
  <c r="I3554" i="12"/>
  <c r="K3553" i="12"/>
  <c r="J3553" i="12"/>
  <c r="I3553" i="12"/>
  <c r="K3552" i="12"/>
  <c r="J3552" i="12"/>
  <c r="I3552" i="12"/>
  <c r="K3551" i="12"/>
  <c r="J3551" i="12"/>
  <c r="I3551" i="12"/>
  <c r="K3550" i="12"/>
  <c r="J3550" i="12"/>
  <c r="I3550" i="12"/>
  <c r="K3549" i="12"/>
  <c r="J3549" i="12"/>
  <c r="I3549" i="12"/>
  <c r="K3548" i="12"/>
  <c r="J3548" i="12"/>
  <c r="I3548" i="12"/>
  <c r="K3547" i="12"/>
  <c r="J3547" i="12"/>
  <c r="I3547" i="12"/>
  <c r="K3546" i="12"/>
  <c r="J3546" i="12"/>
  <c r="I3546" i="12"/>
  <c r="K3545" i="12"/>
  <c r="J3545" i="12"/>
  <c r="I3545" i="12"/>
  <c r="K3544" i="12"/>
  <c r="J3544" i="12"/>
  <c r="I3544" i="12"/>
  <c r="K3543" i="12"/>
  <c r="J3543" i="12"/>
  <c r="I3543" i="12"/>
  <c r="K3542" i="12"/>
  <c r="J3542" i="12"/>
  <c r="I3542" i="12"/>
  <c r="K3541" i="12"/>
  <c r="J3541" i="12"/>
  <c r="I3541" i="12"/>
  <c r="K3540" i="12"/>
  <c r="J3540" i="12"/>
  <c r="I3540" i="12"/>
  <c r="K3539" i="12"/>
  <c r="J3539" i="12"/>
  <c r="I3539" i="12"/>
  <c r="K3538" i="12"/>
  <c r="J3538" i="12"/>
  <c r="I3538" i="12"/>
  <c r="K3537" i="12"/>
  <c r="J3537" i="12"/>
  <c r="I3537" i="12"/>
  <c r="K3536" i="12"/>
  <c r="J3536" i="12"/>
  <c r="I3536" i="12"/>
  <c r="K3535" i="12"/>
  <c r="J3535" i="12"/>
  <c r="I3535" i="12"/>
  <c r="K3534" i="12"/>
  <c r="J3534" i="12"/>
  <c r="I3534" i="12"/>
  <c r="K3533" i="12"/>
  <c r="J3533" i="12"/>
  <c r="I3533" i="12"/>
  <c r="K3532" i="12"/>
  <c r="J3532" i="12"/>
  <c r="I3532" i="12"/>
  <c r="K3531" i="12"/>
  <c r="J3531" i="12"/>
  <c r="I3531" i="12"/>
  <c r="K3530" i="12"/>
  <c r="J3530" i="12"/>
  <c r="I3530" i="12"/>
  <c r="K3529" i="12"/>
  <c r="J3529" i="12"/>
  <c r="I3529" i="12"/>
  <c r="K3528" i="12"/>
  <c r="J3528" i="12"/>
  <c r="I3528" i="12"/>
  <c r="K3527" i="12"/>
  <c r="J3527" i="12"/>
  <c r="I3527" i="12"/>
  <c r="K3526" i="12"/>
  <c r="J3526" i="12"/>
  <c r="I3526" i="12"/>
  <c r="K3525" i="12"/>
  <c r="J3525" i="12"/>
  <c r="I3525" i="12"/>
  <c r="K3524" i="12"/>
  <c r="J3524" i="12"/>
  <c r="I3524" i="12"/>
  <c r="K3523" i="12"/>
  <c r="J3523" i="12"/>
  <c r="I3523" i="12"/>
  <c r="K3522" i="12"/>
  <c r="J3522" i="12"/>
  <c r="I3522" i="12"/>
  <c r="K3521" i="12"/>
  <c r="J3521" i="12"/>
  <c r="I3521" i="12"/>
  <c r="K3520" i="12"/>
  <c r="J3520" i="12"/>
  <c r="I3520" i="12"/>
  <c r="K3519" i="12"/>
  <c r="J3519" i="12"/>
  <c r="I3519" i="12"/>
  <c r="K3518" i="12"/>
  <c r="J3518" i="12"/>
  <c r="I3518" i="12"/>
  <c r="K3517" i="12"/>
  <c r="J3517" i="12"/>
  <c r="I3517" i="12"/>
  <c r="K3516" i="12"/>
  <c r="J3516" i="12"/>
  <c r="I3516" i="12"/>
  <c r="K3515" i="12"/>
  <c r="J3515" i="12"/>
  <c r="I3515" i="12"/>
  <c r="K3514" i="12"/>
  <c r="J3514" i="12"/>
  <c r="I3514" i="12"/>
  <c r="K3513" i="12"/>
  <c r="J3513" i="12"/>
  <c r="I3513" i="12"/>
  <c r="K3512" i="12"/>
  <c r="J3512" i="12"/>
  <c r="I3512" i="12"/>
  <c r="K3511" i="12"/>
  <c r="J3511" i="12"/>
  <c r="I3511" i="12"/>
  <c r="K3510" i="12"/>
  <c r="J3510" i="12"/>
  <c r="I3510" i="12"/>
  <c r="K3509" i="12"/>
  <c r="J3509" i="12"/>
  <c r="I3509" i="12"/>
  <c r="K3508" i="12"/>
  <c r="J3508" i="12"/>
  <c r="I3508" i="12"/>
  <c r="K3507" i="12"/>
  <c r="J3507" i="12"/>
  <c r="I3507" i="12"/>
  <c r="K3506" i="12"/>
  <c r="J3506" i="12"/>
  <c r="I3506" i="12"/>
  <c r="K3505" i="12"/>
  <c r="J3505" i="12"/>
  <c r="I3505" i="12"/>
  <c r="K3504" i="12"/>
  <c r="J3504" i="12"/>
  <c r="I3504" i="12"/>
  <c r="K3503" i="12"/>
  <c r="J3503" i="12"/>
  <c r="I3503" i="12"/>
  <c r="K3502" i="12"/>
  <c r="J3502" i="12"/>
  <c r="I3502" i="12"/>
  <c r="K3501" i="12"/>
  <c r="J3501" i="12"/>
  <c r="I3501" i="12"/>
  <c r="K3500" i="12"/>
  <c r="J3500" i="12"/>
  <c r="I3500" i="12"/>
  <c r="K3499" i="12"/>
  <c r="J3499" i="12"/>
  <c r="I3499" i="12"/>
  <c r="K3498" i="12"/>
  <c r="J3498" i="12"/>
  <c r="I3498" i="12"/>
  <c r="K3497" i="12"/>
  <c r="J3497" i="12"/>
  <c r="I3497" i="12"/>
  <c r="K3496" i="12"/>
  <c r="J3496" i="12"/>
  <c r="I3496" i="12"/>
  <c r="K3495" i="12"/>
  <c r="J3495" i="12"/>
  <c r="I3495" i="12"/>
  <c r="K3494" i="12"/>
  <c r="J3494" i="12"/>
  <c r="I3494" i="12"/>
  <c r="K3493" i="12"/>
  <c r="J3493" i="12"/>
  <c r="I3493" i="12"/>
  <c r="K3492" i="12"/>
  <c r="J3492" i="12"/>
  <c r="I3492" i="12"/>
  <c r="K3491" i="12"/>
  <c r="J3491" i="12"/>
  <c r="I3491" i="12"/>
  <c r="K3490" i="12"/>
  <c r="J3490" i="12"/>
  <c r="I3490" i="12"/>
  <c r="K3489" i="12"/>
  <c r="J3489" i="12"/>
  <c r="I3489" i="12"/>
  <c r="K3488" i="12"/>
  <c r="J3488" i="12"/>
  <c r="I3488" i="12"/>
  <c r="K3487" i="12"/>
  <c r="J3487" i="12"/>
  <c r="I3487" i="12"/>
  <c r="K3486" i="12"/>
  <c r="J3486" i="12"/>
  <c r="I3486" i="12"/>
  <c r="K3485" i="12"/>
  <c r="J3485" i="12"/>
  <c r="I3485" i="12"/>
  <c r="K3484" i="12"/>
  <c r="J3484" i="12"/>
  <c r="I3484" i="12"/>
  <c r="K3483" i="12"/>
  <c r="J3483" i="12"/>
  <c r="I3483" i="12"/>
  <c r="K3482" i="12"/>
  <c r="J3482" i="12"/>
  <c r="I3482" i="12"/>
  <c r="K3481" i="12"/>
  <c r="J3481" i="12"/>
  <c r="I3481" i="12"/>
  <c r="K3480" i="12"/>
  <c r="J3480" i="12"/>
  <c r="I3480" i="12"/>
  <c r="K3479" i="12"/>
  <c r="J3479" i="12"/>
  <c r="I3479" i="12"/>
  <c r="K3478" i="12"/>
  <c r="J3478" i="12"/>
  <c r="I3478" i="12"/>
  <c r="K3477" i="12"/>
  <c r="J3477" i="12"/>
  <c r="I3477" i="12"/>
  <c r="K3476" i="12"/>
  <c r="J3476" i="12"/>
  <c r="I3476" i="12"/>
  <c r="K3475" i="12"/>
  <c r="J3475" i="12"/>
  <c r="I3475" i="12"/>
  <c r="K3474" i="12"/>
  <c r="J3474" i="12"/>
  <c r="I3474" i="12"/>
  <c r="K3473" i="12"/>
  <c r="J3473" i="12"/>
  <c r="I3473" i="12"/>
  <c r="K3472" i="12"/>
  <c r="J3472" i="12"/>
  <c r="I3472" i="12"/>
  <c r="K3471" i="12"/>
  <c r="J3471" i="12"/>
  <c r="I3471" i="12"/>
  <c r="K3470" i="12"/>
  <c r="J3470" i="12"/>
  <c r="I3470" i="12"/>
  <c r="K3469" i="12"/>
  <c r="J3469" i="12"/>
  <c r="I3469" i="12"/>
  <c r="K3468" i="12"/>
  <c r="J3468" i="12"/>
  <c r="I3468" i="12"/>
  <c r="K3467" i="12"/>
  <c r="J3467" i="12"/>
  <c r="I3467" i="12"/>
  <c r="K3466" i="12"/>
  <c r="J3466" i="12"/>
  <c r="I3466" i="12"/>
  <c r="K3465" i="12"/>
  <c r="J3465" i="12"/>
  <c r="I3465" i="12"/>
  <c r="K3464" i="12"/>
  <c r="J3464" i="12"/>
  <c r="I3464" i="12"/>
  <c r="K3463" i="12"/>
  <c r="J3463" i="12"/>
  <c r="I3463" i="12"/>
  <c r="K3462" i="12"/>
  <c r="J3462" i="12"/>
  <c r="I3462" i="12"/>
  <c r="K3461" i="12"/>
  <c r="J3461" i="12"/>
  <c r="I3461" i="12"/>
  <c r="K3460" i="12"/>
  <c r="J3460" i="12"/>
  <c r="I3460" i="12"/>
  <c r="K3459" i="12"/>
  <c r="J3459" i="12"/>
  <c r="I3459" i="12"/>
  <c r="K3458" i="12"/>
  <c r="J3458" i="12"/>
  <c r="I3458" i="12"/>
  <c r="K3457" i="12"/>
  <c r="J3457" i="12"/>
  <c r="I3457" i="12"/>
  <c r="K3456" i="12"/>
  <c r="J3456" i="12"/>
  <c r="I3456" i="12"/>
  <c r="K3455" i="12"/>
  <c r="J3455" i="12"/>
  <c r="I3455" i="12"/>
  <c r="K3454" i="12"/>
  <c r="J3454" i="12"/>
  <c r="I3454" i="12"/>
  <c r="K3453" i="12"/>
  <c r="J3453" i="12"/>
  <c r="I3453" i="12"/>
  <c r="K3452" i="12"/>
  <c r="J3452" i="12"/>
  <c r="I3452" i="12"/>
  <c r="K3451" i="12"/>
  <c r="J3451" i="12"/>
  <c r="I3451" i="12"/>
  <c r="K3450" i="12"/>
  <c r="J3450" i="12"/>
  <c r="I3450" i="12"/>
  <c r="K3449" i="12"/>
  <c r="J3449" i="12"/>
  <c r="I3449" i="12"/>
  <c r="K3448" i="12"/>
  <c r="J3448" i="12"/>
  <c r="I3448" i="12"/>
  <c r="K3447" i="12"/>
  <c r="J3447" i="12"/>
  <c r="I3447" i="12"/>
  <c r="K3446" i="12"/>
  <c r="J3446" i="12"/>
  <c r="I3446" i="12"/>
  <c r="K3445" i="12"/>
  <c r="J3445" i="12"/>
  <c r="I3445" i="12"/>
  <c r="K3444" i="12"/>
  <c r="J3444" i="12"/>
  <c r="I3444" i="12"/>
  <c r="K3443" i="12"/>
  <c r="J3443" i="12"/>
  <c r="I3443" i="12"/>
  <c r="K3442" i="12"/>
  <c r="J3442" i="12"/>
  <c r="I3442" i="12"/>
  <c r="K3441" i="12"/>
  <c r="J3441" i="12"/>
  <c r="I3441" i="12"/>
  <c r="K3440" i="12"/>
  <c r="J3440" i="12"/>
  <c r="I3440" i="12"/>
  <c r="K3439" i="12"/>
  <c r="J3439" i="12"/>
  <c r="I3439" i="12"/>
  <c r="K3438" i="12"/>
  <c r="J3438" i="12"/>
  <c r="I3438" i="12"/>
  <c r="K3437" i="12"/>
  <c r="J3437" i="12"/>
  <c r="I3437" i="12"/>
  <c r="K3436" i="12"/>
  <c r="J3436" i="12"/>
  <c r="I3436" i="12"/>
  <c r="K3435" i="12"/>
  <c r="J3435" i="12"/>
  <c r="I3435" i="12"/>
  <c r="K3434" i="12"/>
  <c r="J3434" i="12"/>
  <c r="I3434" i="12"/>
  <c r="K3433" i="12"/>
  <c r="J3433" i="12"/>
  <c r="I3433" i="12"/>
  <c r="K3432" i="12"/>
  <c r="J3432" i="12"/>
  <c r="I3432" i="12"/>
  <c r="K3431" i="12"/>
  <c r="J3431" i="12"/>
  <c r="I3431" i="12"/>
  <c r="K3430" i="12"/>
  <c r="J3430" i="12"/>
  <c r="I3430" i="12"/>
  <c r="K3429" i="12"/>
  <c r="J3429" i="12"/>
  <c r="I3429" i="12"/>
  <c r="K3428" i="12"/>
  <c r="J3428" i="12"/>
  <c r="I3428" i="12"/>
  <c r="K3427" i="12"/>
  <c r="J3427" i="12"/>
  <c r="I3427" i="12"/>
  <c r="K3426" i="12"/>
  <c r="J3426" i="12"/>
  <c r="I3426" i="12"/>
  <c r="K3425" i="12"/>
  <c r="J3425" i="12"/>
  <c r="I3425" i="12"/>
  <c r="K3424" i="12"/>
  <c r="J3424" i="12"/>
  <c r="I3424" i="12"/>
  <c r="K3423" i="12"/>
  <c r="J3423" i="12"/>
  <c r="I3423" i="12"/>
  <c r="K3422" i="12"/>
  <c r="J3422" i="12"/>
  <c r="I3422" i="12"/>
  <c r="K3421" i="12"/>
  <c r="J3421" i="12"/>
  <c r="I3421" i="12"/>
  <c r="K3420" i="12"/>
  <c r="J3420" i="12"/>
  <c r="I3420" i="12"/>
  <c r="K3419" i="12"/>
  <c r="J3419" i="12"/>
  <c r="I3419" i="12"/>
  <c r="K3418" i="12"/>
  <c r="J3418" i="12"/>
  <c r="I3418" i="12"/>
  <c r="K3417" i="12"/>
  <c r="J3417" i="12"/>
  <c r="I3417" i="12"/>
  <c r="K3416" i="12"/>
  <c r="J3416" i="12"/>
  <c r="I3416" i="12"/>
  <c r="K3415" i="12"/>
  <c r="J3415" i="12"/>
  <c r="I3415" i="12"/>
  <c r="K3414" i="12"/>
  <c r="J3414" i="12"/>
  <c r="I3414" i="12"/>
  <c r="K3413" i="12"/>
  <c r="J3413" i="12"/>
  <c r="I3413" i="12"/>
  <c r="K3412" i="12"/>
  <c r="J3412" i="12"/>
  <c r="I3412" i="12"/>
  <c r="K3411" i="12"/>
  <c r="J3411" i="12"/>
  <c r="I3411" i="12"/>
  <c r="K3410" i="12"/>
  <c r="J3410" i="12"/>
  <c r="I3410" i="12"/>
  <c r="K3409" i="12"/>
  <c r="J3409" i="12"/>
  <c r="I3409" i="12"/>
  <c r="K3408" i="12"/>
  <c r="J3408" i="12"/>
  <c r="I3408" i="12"/>
  <c r="K3407" i="12"/>
  <c r="J3407" i="12"/>
  <c r="I3407" i="12"/>
  <c r="K3406" i="12"/>
  <c r="J3406" i="12"/>
  <c r="I3406" i="12"/>
  <c r="K3405" i="12"/>
  <c r="J3405" i="12"/>
  <c r="I3405" i="12"/>
  <c r="K3404" i="12"/>
  <c r="J3404" i="12"/>
  <c r="I3404" i="12"/>
  <c r="K3403" i="12"/>
  <c r="J3403" i="12"/>
  <c r="I3403" i="12"/>
  <c r="K3402" i="12"/>
  <c r="J3402" i="12"/>
  <c r="I3402" i="12"/>
  <c r="K3401" i="12"/>
  <c r="J3401" i="12"/>
  <c r="I3401" i="12"/>
  <c r="K3400" i="12"/>
  <c r="J3400" i="12"/>
  <c r="I3400" i="12"/>
  <c r="K3399" i="12"/>
  <c r="J3399" i="12"/>
  <c r="I3399" i="12"/>
  <c r="K3398" i="12"/>
  <c r="J3398" i="12"/>
  <c r="I3398" i="12"/>
  <c r="K3397" i="12"/>
  <c r="J3397" i="12"/>
  <c r="I3397" i="12"/>
  <c r="K3396" i="12"/>
  <c r="J3396" i="12"/>
  <c r="I3396" i="12"/>
  <c r="K3395" i="12"/>
  <c r="J3395" i="12"/>
  <c r="I3395" i="12"/>
  <c r="K3394" i="12"/>
  <c r="J3394" i="12"/>
  <c r="I3394" i="12"/>
  <c r="K3393" i="12"/>
  <c r="J3393" i="12"/>
  <c r="I3393" i="12"/>
  <c r="K3392" i="12"/>
  <c r="J3392" i="12"/>
  <c r="I3392" i="12"/>
  <c r="K3391" i="12"/>
  <c r="J3391" i="12"/>
  <c r="I3391" i="12"/>
  <c r="K3390" i="12"/>
  <c r="J3390" i="12"/>
  <c r="I3390" i="12"/>
  <c r="K3389" i="12"/>
  <c r="J3389" i="12"/>
  <c r="I3389" i="12"/>
  <c r="K3388" i="12"/>
  <c r="J3388" i="12"/>
  <c r="I3388" i="12"/>
  <c r="K3387" i="12"/>
  <c r="J3387" i="12"/>
  <c r="I3387" i="12"/>
  <c r="K3386" i="12"/>
  <c r="J3386" i="12"/>
  <c r="I3386" i="12"/>
  <c r="K3385" i="12"/>
  <c r="J3385" i="12"/>
  <c r="I3385" i="12"/>
  <c r="K3384" i="12"/>
  <c r="J3384" i="12"/>
  <c r="I3384" i="12"/>
  <c r="K3383" i="12"/>
  <c r="J3383" i="12"/>
  <c r="I3383" i="12"/>
  <c r="K3382" i="12"/>
  <c r="J3382" i="12"/>
  <c r="I3382" i="12"/>
  <c r="K3381" i="12"/>
  <c r="J3381" i="12"/>
  <c r="I3381" i="12"/>
  <c r="K3380" i="12"/>
  <c r="J3380" i="12"/>
  <c r="I3380" i="12"/>
  <c r="K3379" i="12"/>
  <c r="J3379" i="12"/>
  <c r="I3379" i="12"/>
  <c r="K3378" i="12"/>
  <c r="J3378" i="12"/>
  <c r="I3378" i="12"/>
  <c r="K3377" i="12"/>
  <c r="J3377" i="12"/>
  <c r="I3377" i="12"/>
  <c r="K3376" i="12"/>
  <c r="J3376" i="12"/>
  <c r="I3376" i="12"/>
  <c r="K3375" i="12"/>
  <c r="J3375" i="12"/>
  <c r="I3375" i="12"/>
  <c r="K3374" i="12"/>
  <c r="J3374" i="12"/>
  <c r="I3374" i="12"/>
  <c r="K3373" i="12"/>
  <c r="J3373" i="12"/>
  <c r="I3373" i="12"/>
  <c r="K3372" i="12"/>
  <c r="J3372" i="12"/>
  <c r="I3372" i="12"/>
  <c r="K3371" i="12"/>
  <c r="J3371" i="12"/>
  <c r="I3371" i="12"/>
  <c r="K3370" i="12"/>
  <c r="J3370" i="12"/>
  <c r="I3370" i="12"/>
  <c r="K3369" i="12"/>
  <c r="J3369" i="12"/>
  <c r="I3369" i="12"/>
  <c r="K3368" i="12"/>
  <c r="J3368" i="12"/>
  <c r="I3368" i="12"/>
  <c r="K3367" i="12"/>
  <c r="J3367" i="12"/>
  <c r="I3367" i="12"/>
  <c r="K3366" i="12"/>
  <c r="J3366" i="12"/>
  <c r="I3366" i="12"/>
  <c r="K3365" i="12"/>
  <c r="J3365" i="12"/>
  <c r="I3365" i="12"/>
  <c r="K3364" i="12"/>
  <c r="J3364" i="12"/>
  <c r="I3364" i="12"/>
  <c r="K3363" i="12"/>
  <c r="J3363" i="12"/>
  <c r="I3363" i="12"/>
  <c r="K3362" i="12"/>
  <c r="J3362" i="12"/>
  <c r="I3362" i="12"/>
  <c r="K3361" i="12"/>
  <c r="J3361" i="12"/>
  <c r="I3361" i="12"/>
  <c r="K3360" i="12"/>
  <c r="J3360" i="12"/>
  <c r="I3360" i="12"/>
  <c r="K3359" i="12"/>
  <c r="J3359" i="12"/>
  <c r="I3359" i="12"/>
  <c r="K3358" i="12"/>
  <c r="J3358" i="12"/>
  <c r="I3358" i="12"/>
  <c r="K3357" i="12"/>
  <c r="J3357" i="12"/>
  <c r="I3357" i="12"/>
  <c r="K3356" i="12"/>
  <c r="J3356" i="12"/>
  <c r="I3356" i="12"/>
  <c r="K3355" i="12"/>
  <c r="J3355" i="12"/>
  <c r="I3355" i="12"/>
  <c r="K3354" i="12"/>
  <c r="J3354" i="12"/>
  <c r="I3354" i="12"/>
  <c r="K3353" i="12"/>
  <c r="J3353" i="12"/>
  <c r="I3353" i="12"/>
  <c r="K3352" i="12"/>
  <c r="J3352" i="12"/>
  <c r="I3352" i="12"/>
  <c r="K3351" i="12"/>
  <c r="J3351" i="12"/>
  <c r="I3351" i="12"/>
  <c r="K3350" i="12"/>
  <c r="J3350" i="12"/>
  <c r="I3350" i="12"/>
  <c r="K3349" i="12"/>
  <c r="J3349" i="12"/>
  <c r="I3349" i="12"/>
  <c r="K3348" i="12"/>
  <c r="J3348" i="12"/>
  <c r="I3348" i="12"/>
  <c r="K3347" i="12"/>
  <c r="J3347" i="12"/>
  <c r="I3347" i="12"/>
  <c r="K3346" i="12"/>
  <c r="J3346" i="12"/>
  <c r="I3346" i="12"/>
  <c r="K3345" i="12"/>
  <c r="J3345" i="12"/>
  <c r="I3345" i="12"/>
  <c r="K3344" i="12"/>
  <c r="J3344" i="12"/>
  <c r="I3344" i="12"/>
  <c r="K3343" i="12"/>
  <c r="J3343" i="12"/>
  <c r="I3343" i="12"/>
  <c r="K3342" i="12"/>
  <c r="J3342" i="12"/>
  <c r="I3342" i="12"/>
  <c r="K3341" i="12"/>
  <c r="J3341" i="12"/>
  <c r="I3341" i="12"/>
  <c r="K3340" i="12"/>
  <c r="J3340" i="12"/>
  <c r="I3340" i="12"/>
  <c r="K3339" i="12"/>
  <c r="J3339" i="12"/>
  <c r="I3339" i="12"/>
  <c r="K3338" i="12"/>
  <c r="J3338" i="12"/>
  <c r="I3338" i="12"/>
  <c r="K3337" i="12"/>
  <c r="J3337" i="12"/>
  <c r="I3337" i="12"/>
  <c r="K3336" i="12"/>
  <c r="J3336" i="12"/>
  <c r="I3336" i="12"/>
  <c r="K3335" i="12"/>
  <c r="J3335" i="12"/>
  <c r="I3335" i="12"/>
  <c r="K3334" i="12"/>
  <c r="J3334" i="12"/>
  <c r="I3334" i="12"/>
  <c r="K3333" i="12"/>
  <c r="J3333" i="12"/>
  <c r="I3333" i="12"/>
  <c r="K3332" i="12"/>
  <c r="J3332" i="12"/>
  <c r="I3332" i="12"/>
  <c r="K3331" i="12"/>
  <c r="J3331" i="12"/>
  <c r="I3331" i="12"/>
  <c r="K3330" i="12"/>
  <c r="J3330" i="12"/>
  <c r="I3330" i="12"/>
  <c r="K3329" i="12"/>
  <c r="J3329" i="12"/>
  <c r="I3329" i="12"/>
  <c r="K3328" i="12"/>
  <c r="J3328" i="12"/>
  <c r="I3328" i="12"/>
  <c r="K3327" i="12"/>
  <c r="J3327" i="12"/>
  <c r="I3327" i="12"/>
  <c r="K3326" i="12"/>
  <c r="J3326" i="12"/>
  <c r="I3326" i="12"/>
  <c r="K3325" i="12"/>
  <c r="J3325" i="12"/>
  <c r="I3325" i="12"/>
  <c r="K3324" i="12"/>
  <c r="J3324" i="12"/>
  <c r="I3324" i="12"/>
  <c r="K3323" i="12"/>
  <c r="J3323" i="12"/>
  <c r="I3323" i="12"/>
  <c r="K3322" i="12"/>
  <c r="J3322" i="12"/>
  <c r="I3322" i="12"/>
  <c r="K3321" i="12"/>
  <c r="J3321" i="12"/>
  <c r="I3321" i="12"/>
  <c r="K3320" i="12"/>
  <c r="J3320" i="12"/>
  <c r="I3320" i="12"/>
  <c r="K3319" i="12"/>
  <c r="J3319" i="12"/>
  <c r="I3319" i="12"/>
  <c r="K3318" i="12"/>
  <c r="J3318" i="12"/>
  <c r="I3318" i="12"/>
  <c r="K3317" i="12"/>
  <c r="J3317" i="12"/>
  <c r="I3317" i="12"/>
  <c r="K3316" i="12"/>
  <c r="J3316" i="12"/>
  <c r="I3316" i="12"/>
  <c r="K3315" i="12"/>
  <c r="J3315" i="12"/>
  <c r="I3315" i="12"/>
  <c r="K3314" i="12"/>
  <c r="J3314" i="12"/>
  <c r="I3314" i="12"/>
  <c r="K3313" i="12"/>
  <c r="J3313" i="12"/>
  <c r="I3313" i="12"/>
  <c r="K3312" i="12"/>
  <c r="J3312" i="12"/>
  <c r="I3312" i="12"/>
  <c r="K3311" i="12"/>
  <c r="J3311" i="12"/>
  <c r="I3311" i="12"/>
  <c r="K3310" i="12"/>
  <c r="J3310" i="12"/>
  <c r="I3310" i="12"/>
  <c r="K3309" i="12"/>
  <c r="J3309" i="12"/>
  <c r="I3309" i="12"/>
  <c r="K3308" i="12"/>
  <c r="J3308" i="12"/>
  <c r="I3308" i="12"/>
  <c r="K3307" i="12"/>
  <c r="J3307" i="12"/>
  <c r="I3307" i="12"/>
  <c r="K3306" i="12"/>
  <c r="J3306" i="12"/>
  <c r="I3306" i="12"/>
  <c r="K3305" i="12"/>
  <c r="J3305" i="12"/>
  <c r="I3305" i="12"/>
  <c r="K3304" i="12"/>
  <c r="J3304" i="12"/>
  <c r="I3304" i="12"/>
  <c r="K3303" i="12"/>
  <c r="J3303" i="12"/>
  <c r="I3303" i="12"/>
  <c r="K3302" i="12"/>
  <c r="J3302" i="12"/>
  <c r="I3302" i="12"/>
  <c r="K3301" i="12"/>
  <c r="J3301" i="12"/>
  <c r="I3301" i="12"/>
  <c r="K3300" i="12"/>
  <c r="J3300" i="12"/>
  <c r="I3300" i="12"/>
  <c r="K3299" i="12"/>
  <c r="J3299" i="12"/>
  <c r="I3299" i="12"/>
  <c r="K3298" i="12"/>
  <c r="J3298" i="12"/>
  <c r="I3298" i="12"/>
  <c r="K3297" i="12"/>
  <c r="J3297" i="12"/>
  <c r="I3297" i="12"/>
  <c r="K3296" i="12"/>
  <c r="J3296" i="12"/>
  <c r="I3296" i="12"/>
  <c r="K3295" i="12"/>
  <c r="J3295" i="12"/>
  <c r="I3295" i="12"/>
  <c r="K3294" i="12"/>
  <c r="J3294" i="12"/>
  <c r="I3294" i="12"/>
  <c r="K3293" i="12"/>
  <c r="J3293" i="12"/>
  <c r="I3293" i="12"/>
  <c r="K3292" i="12"/>
  <c r="J3292" i="12"/>
  <c r="I3292" i="12"/>
  <c r="K3291" i="12"/>
  <c r="J3291" i="12"/>
  <c r="I3291" i="12"/>
  <c r="K3290" i="12"/>
  <c r="J3290" i="12"/>
  <c r="I3290" i="12"/>
  <c r="K3289" i="12"/>
  <c r="J3289" i="12"/>
  <c r="I3289" i="12"/>
  <c r="K3288" i="12"/>
  <c r="J3288" i="12"/>
  <c r="I3288" i="12"/>
  <c r="K3287" i="12"/>
  <c r="J3287" i="12"/>
  <c r="I3287" i="12"/>
  <c r="K3286" i="12"/>
  <c r="J3286" i="12"/>
  <c r="I3286" i="12"/>
  <c r="K3285" i="12"/>
  <c r="J3285" i="12"/>
  <c r="I3285" i="12"/>
  <c r="K3284" i="12"/>
  <c r="J3284" i="12"/>
  <c r="I3284" i="12"/>
  <c r="K3283" i="12"/>
  <c r="J3283" i="12"/>
  <c r="I3283" i="12"/>
  <c r="K3282" i="12"/>
  <c r="J3282" i="12"/>
  <c r="I3282" i="12"/>
  <c r="K3281" i="12"/>
  <c r="J3281" i="12"/>
  <c r="I3281" i="12"/>
  <c r="K3280" i="12"/>
  <c r="J3280" i="12"/>
  <c r="I3280" i="12"/>
  <c r="K3279" i="12"/>
  <c r="J3279" i="12"/>
  <c r="I3279" i="12"/>
  <c r="K3278" i="12"/>
  <c r="J3278" i="12"/>
  <c r="I3278" i="12"/>
  <c r="K3277" i="12"/>
  <c r="J3277" i="12"/>
  <c r="I3277" i="12"/>
  <c r="K3276" i="12"/>
  <c r="J3276" i="12"/>
  <c r="I3276" i="12"/>
  <c r="K3275" i="12"/>
  <c r="J3275" i="12"/>
  <c r="I3275" i="12"/>
  <c r="K3274" i="12"/>
  <c r="J3274" i="12"/>
  <c r="I3274" i="12"/>
  <c r="K3273" i="12"/>
  <c r="J3273" i="12"/>
  <c r="I3273" i="12"/>
  <c r="K3272" i="12"/>
  <c r="J3272" i="12"/>
  <c r="I3272" i="12"/>
  <c r="K3271" i="12"/>
  <c r="J3271" i="12"/>
  <c r="I3271" i="12"/>
  <c r="K3270" i="12"/>
  <c r="J3270" i="12"/>
  <c r="I3270" i="12"/>
  <c r="K3269" i="12"/>
  <c r="J3269" i="12"/>
  <c r="I3269" i="12"/>
  <c r="K3268" i="12"/>
  <c r="J3268" i="12"/>
  <c r="I3268" i="12"/>
  <c r="K3267" i="12"/>
  <c r="J3267" i="12"/>
  <c r="I3267" i="12"/>
  <c r="K3266" i="12"/>
  <c r="J3266" i="12"/>
  <c r="I3266" i="12"/>
  <c r="K3265" i="12"/>
  <c r="J3265" i="12"/>
  <c r="I3265" i="12"/>
  <c r="K3264" i="12"/>
  <c r="J3264" i="12"/>
  <c r="I3264" i="12"/>
  <c r="K3263" i="12"/>
  <c r="J3263" i="12"/>
  <c r="I3263" i="12"/>
  <c r="K3262" i="12"/>
  <c r="J3262" i="12"/>
  <c r="I3262" i="12"/>
  <c r="K3261" i="12"/>
  <c r="J3261" i="12"/>
  <c r="I3261" i="12"/>
  <c r="K3260" i="12"/>
  <c r="J3260" i="12"/>
  <c r="I3260" i="12"/>
  <c r="K3259" i="12"/>
  <c r="J3259" i="12"/>
  <c r="I3259" i="12"/>
  <c r="K3258" i="12"/>
  <c r="J3258" i="12"/>
  <c r="I3258" i="12"/>
  <c r="K3257" i="12"/>
  <c r="J3257" i="12"/>
  <c r="I3257" i="12"/>
  <c r="K3256" i="12"/>
  <c r="J3256" i="12"/>
  <c r="I3256" i="12"/>
  <c r="K3255" i="12"/>
  <c r="J3255" i="12"/>
  <c r="I3255" i="12"/>
  <c r="K3254" i="12"/>
  <c r="J3254" i="12"/>
  <c r="I3254" i="12"/>
  <c r="K3253" i="12"/>
  <c r="J3253" i="12"/>
  <c r="I3253" i="12"/>
  <c r="K3252" i="12"/>
  <c r="J3252" i="12"/>
  <c r="I3252" i="12"/>
  <c r="K3251" i="12"/>
  <c r="J3251" i="12"/>
  <c r="I3251" i="12"/>
  <c r="K3250" i="12"/>
  <c r="J3250" i="12"/>
  <c r="I3250" i="12"/>
  <c r="K3249" i="12"/>
  <c r="J3249" i="12"/>
  <c r="I3249" i="12"/>
  <c r="K3248" i="12"/>
  <c r="J3248" i="12"/>
  <c r="I3248" i="12"/>
  <c r="K3247" i="12"/>
  <c r="J3247" i="12"/>
  <c r="I3247" i="12"/>
  <c r="K3246" i="12"/>
  <c r="J3246" i="12"/>
  <c r="I3246" i="12"/>
  <c r="K3245" i="12"/>
  <c r="J3245" i="12"/>
  <c r="I3245" i="12"/>
  <c r="K3244" i="12"/>
  <c r="J3244" i="12"/>
  <c r="I3244" i="12"/>
  <c r="K3243" i="12"/>
  <c r="J3243" i="12"/>
  <c r="I3243" i="12"/>
  <c r="K3242" i="12"/>
  <c r="J3242" i="12"/>
  <c r="I3242" i="12"/>
  <c r="K3241" i="12"/>
  <c r="J3241" i="12"/>
  <c r="I3241" i="12"/>
  <c r="K3240" i="12"/>
  <c r="J3240" i="12"/>
  <c r="I3240" i="12"/>
  <c r="K3239" i="12"/>
  <c r="J3239" i="12"/>
  <c r="I3239" i="12"/>
  <c r="K3238" i="12"/>
  <c r="J3238" i="12"/>
  <c r="I3238" i="12"/>
  <c r="K3237" i="12"/>
  <c r="J3237" i="12"/>
  <c r="I3237" i="12"/>
  <c r="K3236" i="12"/>
  <c r="J3236" i="12"/>
  <c r="I3236" i="12"/>
  <c r="K3235" i="12"/>
  <c r="J3235" i="12"/>
  <c r="I3235" i="12"/>
  <c r="K3234" i="12"/>
  <c r="J3234" i="12"/>
  <c r="I3234" i="12"/>
  <c r="K3233" i="12"/>
  <c r="J3233" i="12"/>
  <c r="I3233" i="12"/>
  <c r="K3232" i="12"/>
  <c r="J3232" i="12"/>
  <c r="I3232" i="12"/>
  <c r="K3231" i="12"/>
  <c r="J3231" i="12"/>
  <c r="I3231" i="12"/>
  <c r="K3230" i="12"/>
  <c r="J3230" i="12"/>
  <c r="I3230" i="12"/>
  <c r="K3229" i="12"/>
  <c r="J3229" i="12"/>
  <c r="I3229" i="12"/>
  <c r="K3228" i="12"/>
  <c r="J3228" i="12"/>
  <c r="I3228" i="12"/>
  <c r="K3227" i="12"/>
  <c r="J3227" i="12"/>
  <c r="I3227" i="12"/>
  <c r="K3226" i="12"/>
  <c r="J3226" i="12"/>
  <c r="I3226" i="12"/>
  <c r="K3225" i="12"/>
  <c r="J3225" i="12"/>
  <c r="I3225" i="12"/>
  <c r="K3224" i="12"/>
  <c r="J3224" i="12"/>
  <c r="I3224" i="12"/>
  <c r="K3223" i="12"/>
  <c r="J3223" i="12"/>
  <c r="I3223" i="12"/>
  <c r="K3222" i="12"/>
  <c r="J3222" i="12"/>
  <c r="I3222" i="12"/>
  <c r="K3221" i="12"/>
  <c r="J3221" i="12"/>
  <c r="I3221" i="12"/>
  <c r="K3220" i="12"/>
  <c r="J3220" i="12"/>
  <c r="I3220" i="12"/>
  <c r="K3219" i="12"/>
  <c r="J3219" i="12"/>
  <c r="I3219" i="12"/>
  <c r="K3218" i="12"/>
  <c r="J3218" i="12"/>
  <c r="I3218" i="12"/>
  <c r="K3217" i="12"/>
  <c r="J3217" i="12"/>
  <c r="I3217" i="12"/>
  <c r="K3216" i="12"/>
  <c r="J3216" i="12"/>
  <c r="I3216" i="12"/>
  <c r="K3215" i="12"/>
  <c r="J3215" i="12"/>
  <c r="I3215" i="12"/>
  <c r="K3214" i="12"/>
  <c r="J3214" i="12"/>
  <c r="I3214" i="12"/>
  <c r="K3213" i="12"/>
  <c r="J3213" i="12"/>
  <c r="I3213" i="12"/>
  <c r="K3212" i="12"/>
  <c r="J3212" i="12"/>
  <c r="I3212" i="12"/>
  <c r="K3211" i="12"/>
  <c r="J3211" i="12"/>
  <c r="I3211" i="12"/>
  <c r="K3210" i="12"/>
  <c r="J3210" i="12"/>
  <c r="I3210" i="12"/>
  <c r="K3209" i="12"/>
  <c r="J3209" i="12"/>
  <c r="I3209" i="12"/>
  <c r="K3208" i="12"/>
  <c r="J3208" i="12"/>
  <c r="I3208" i="12"/>
  <c r="K3207" i="12"/>
  <c r="J3207" i="12"/>
  <c r="I3207" i="12"/>
  <c r="K3206" i="12"/>
  <c r="J3206" i="12"/>
  <c r="I3206" i="12"/>
  <c r="K3205" i="12"/>
  <c r="J3205" i="12"/>
  <c r="I3205" i="12"/>
  <c r="K3204" i="12"/>
  <c r="J3204" i="12"/>
  <c r="I3204" i="12"/>
  <c r="K3203" i="12"/>
  <c r="J3203" i="12"/>
  <c r="I3203" i="12"/>
  <c r="K3202" i="12"/>
  <c r="J3202" i="12"/>
  <c r="I3202" i="12"/>
  <c r="K3201" i="12"/>
  <c r="J3201" i="12"/>
  <c r="I3201" i="12"/>
  <c r="K3200" i="12"/>
  <c r="J3200" i="12"/>
  <c r="I3200" i="12"/>
  <c r="K3199" i="12"/>
  <c r="J3199" i="12"/>
  <c r="I3199" i="12"/>
  <c r="K3198" i="12"/>
  <c r="J3198" i="12"/>
  <c r="I3198" i="12"/>
  <c r="K3197" i="12"/>
  <c r="J3197" i="12"/>
  <c r="I3197" i="12"/>
  <c r="K3196" i="12"/>
  <c r="J3196" i="12"/>
  <c r="I3196" i="12"/>
  <c r="K3195" i="12"/>
  <c r="J3195" i="12"/>
  <c r="I3195" i="12"/>
  <c r="K3194" i="12"/>
  <c r="J3194" i="12"/>
  <c r="I3194" i="12"/>
  <c r="K3193" i="12"/>
  <c r="J3193" i="12"/>
  <c r="I3193" i="12"/>
  <c r="K3192" i="12"/>
  <c r="J3192" i="12"/>
  <c r="I3192" i="12"/>
  <c r="K3191" i="12"/>
  <c r="J3191" i="12"/>
  <c r="I3191" i="12"/>
  <c r="K3190" i="12"/>
  <c r="J3190" i="12"/>
  <c r="I3190" i="12"/>
  <c r="K3189" i="12"/>
  <c r="J3189" i="12"/>
  <c r="I3189" i="12"/>
  <c r="K3188" i="12"/>
  <c r="J3188" i="12"/>
  <c r="I3188" i="12"/>
  <c r="K3187" i="12"/>
  <c r="J3187" i="12"/>
  <c r="I3187" i="12"/>
  <c r="K3186" i="12"/>
  <c r="J3186" i="12"/>
  <c r="I3186" i="12"/>
  <c r="K3185" i="12"/>
  <c r="J3185" i="12"/>
  <c r="I3185" i="12"/>
  <c r="K3184" i="12"/>
  <c r="J3184" i="12"/>
  <c r="I3184" i="12"/>
  <c r="K3183" i="12"/>
  <c r="J3183" i="12"/>
  <c r="I3183" i="12"/>
  <c r="K3182" i="12"/>
  <c r="J3182" i="12"/>
  <c r="I3182" i="12"/>
  <c r="K3181" i="12"/>
  <c r="J3181" i="12"/>
  <c r="I3181" i="12"/>
  <c r="K3180" i="12"/>
  <c r="J3180" i="12"/>
  <c r="I3180" i="12"/>
  <c r="K3179" i="12"/>
  <c r="J3179" i="12"/>
  <c r="I3179" i="12"/>
  <c r="K3178" i="12"/>
  <c r="J3178" i="12"/>
  <c r="I3178" i="12"/>
  <c r="K3177" i="12"/>
  <c r="J3177" i="12"/>
  <c r="I3177" i="12"/>
  <c r="K3176" i="12"/>
  <c r="J3176" i="12"/>
  <c r="I3176" i="12"/>
  <c r="K3175" i="12"/>
  <c r="J3175" i="12"/>
  <c r="I3175" i="12"/>
  <c r="K3174" i="12"/>
  <c r="J3174" i="12"/>
  <c r="I3174" i="12"/>
  <c r="K3173" i="12"/>
  <c r="J3173" i="12"/>
  <c r="I3173" i="12"/>
  <c r="K3172" i="12"/>
  <c r="J3172" i="12"/>
  <c r="I3172" i="12"/>
  <c r="K3171" i="12"/>
  <c r="J3171" i="12"/>
  <c r="I3171" i="12"/>
  <c r="K3170" i="12"/>
  <c r="J3170" i="12"/>
  <c r="I3170" i="12"/>
  <c r="K3169" i="12"/>
  <c r="J3169" i="12"/>
  <c r="I3169" i="12"/>
  <c r="K3168" i="12"/>
  <c r="J3168" i="12"/>
  <c r="I3168" i="12"/>
  <c r="K3167" i="12"/>
  <c r="J3167" i="12"/>
  <c r="I3167" i="12"/>
  <c r="K3166" i="12"/>
  <c r="J3166" i="12"/>
  <c r="I3166" i="12"/>
  <c r="K3165" i="12"/>
  <c r="J3165" i="12"/>
  <c r="I3165" i="12"/>
  <c r="K3164" i="12"/>
  <c r="J3164" i="12"/>
  <c r="I3164" i="12"/>
  <c r="K3163" i="12"/>
  <c r="J3163" i="12"/>
  <c r="I3163" i="12"/>
  <c r="K3162" i="12"/>
  <c r="J3162" i="12"/>
  <c r="I3162" i="12"/>
  <c r="K3161" i="12"/>
  <c r="J3161" i="12"/>
  <c r="I3161" i="12"/>
  <c r="K3160" i="12"/>
  <c r="J3160" i="12"/>
  <c r="I3160" i="12"/>
  <c r="K3159" i="12"/>
  <c r="J3159" i="12"/>
  <c r="I3159" i="12"/>
  <c r="K3158" i="12"/>
  <c r="J3158" i="12"/>
  <c r="I3158" i="12"/>
  <c r="K3157" i="12"/>
  <c r="J3157" i="12"/>
  <c r="I3157" i="12"/>
  <c r="K3156" i="12"/>
  <c r="J3156" i="12"/>
  <c r="I3156" i="12"/>
  <c r="K3155" i="12"/>
  <c r="J3155" i="12"/>
  <c r="I3155" i="12"/>
  <c r="K3154" i="12"/>
  <c r="J3154" i="12"/>
  <c r="I3154" i="12"/>
  <c r="K3153" i="12"/>
  <c r="J3153" i="12"/>
  <c r="I3153" i="12"/>
  <c r="K3152" i="12"/>
  <c r="J3152" i="12"/>
  <c r="I3152" i="12"/>
  <c r="K3151" i="12"/>
  <c r="J3151" i="12"/>
  <c r="I3151" i="12"/>
  <c r="K3150" i="12"/>
  <c r="J3150" i="12"/>
  <c r="I3150" i="12"/>
  <c r="K3149" i="12"/>
  <c r="J3149" i="12"/>
  <c r="I3149" i="12"/>
  <c r="K3148" i="12"/>
  <c r="J3148" i="12"/>
  <c r="I3148" i="12"/>
  <c r="K3147" i="12"/>
  <c r="J3147" i="12"/>
  <c r="I3147" i="12"/>
  <c r="K3146" i="12"/>
  <c r="J3146" i="12"/>
  <c r="I3146" i="12"/>
  <c r="K3145" i="12"/>
  <c r="J3145" i="12"/>
  <c r="I3145" i="12"/>
  <c r="K3144" i="12"/>
  <c r="J3144" i="12"/>
  <c r="I3144" i="12"/>
  <c r="K3143" i="12"/>
  <c r="J3143" i="12"/>
  <c r="I3143" i="12"/>
  <c r="K3142" i="12"/>
  <c r="J3142" i="12"/>
  <c r="I3142" i="12"/>
  <c r="K3141" i="12"/>
  <c r="J3141" i="12"/>
  <c r="I3141" i="12"/>
  <c r="K3140" i="12"/>
  <c r="J3140" i="12"/>
  <c r="I3140" i="12"/>
  <c r="K3139" i="12"/>
  <c r="J3139" i="12"/>
  <c r="I3139" i="12"/>
  <c r="K3138" i="12"/>
  <c r="J3138" i="12"/>
  <c r="I3138" i="12"/>
  <c r="K3137" i="12"/>
  <c r="J3137" i="12"/>
  <c r="I3137" i="12"/>
  <c r="K3136" i="12"/>
  <c r="J3136" i="12"/>
  <c r="I3136" i="12"/>
  <c r="K3135" i="12"/>
  <c r="J3135" i="12"/>
  <c r="I3135" i="12"/>
  <c r="K3134" i="12"/>
  <c r="J3134" i="12"/>
  <c r="I3134" i="12"/>
  <c r="K3133" i="12"/>
  <c r="J3133" i="12"/>
  <c r="I3133" i="12"/>
  <c r="K3132" i="12"/>
  <c r="J3132" i="12"/>
  <c r="I3132" i="12"/>
  <c r="K3131" i="12"/>
  <c r="J3131" i="12"/>
  <c r="I3131" i="12"/>
  <c r="K3130" i="12"/>
  <c r="J3130" i="12"/>
  <c r="I3130" i="12"/>
  <c r="K3129" i="12"/>
  <c r="J3129" i="12"/>
  <c r="I3129" i="12"/>
  <c r="K3128" i="12"/>
  <c r="J3128" i="12"/>
  <c r="I3128" i="12"/>
  <c r="K3127" i="12"/>
  <c r="J3127" i="12"/>
  <c r="I3127" i="12"/>
  <c r="K3126" i="12"/>
  <c r="J3126" i="12"/>
  <c r="I3126" i="12"/>
  <c r="K3125" i="12"/>
  <c r="J3125" i="12"/>
  <c r="I3125" i="12"/>
  <c r="K3124" i="12"/>
  <c r="J3124" i="12"/>
  <c r="I3124" i="12"/>
  <c r="K3123" i="12"/>
  <c r="J3123" i="12"/>
  <c r="I3123" i="12"/>
  <c r="K3122" i="12"/>
  <c r="J3122" i="12"/>
  <c r="I3122" i="12"/>
  <c r="K3121" i="12"/>
  <c r="J3121" i="12"/>
  <c r="I3121" i="12"/>
  <c r="K3120" i="12"/>
  <c r="J3120" i="12"/>
  <c r="I3120" i="12"/>
  <c r="K3119" i="12"/>
  <c r="J3119" i="12"/>
  <c r="I3119" i="12"/>
  <c r="K3118" i="12"/>
  <c r="J3118" i="12"/>
  <c r="I3118" i="12"/>
  <c r="K3117" i="12"/>
  <c r="J3117" i="12"/>
  <c r="I3117" i="12"/>
  <c r="K3116" i="12"/>
  <c r="J3116" i="12"/>
  <c r="I3116" i="12"/>
  <c r="K3115" i="12"/>
  <c r="J3115" i="12"/>
  <c r="I3115" i="12"/>
  <c r="K3114" i="12"/>
  <c r="J3114" i="12"/>
  <c r="I3114" i="12"/>
  <c r="K3113" i="12"/>
  <c r="J3113" i="12"/>
  <c r="I3113" i="12"/>
  <c r="K3112" i="12"/>
  <c r="J3112" i="12"/>
  <c r="I3112" i="12"/>
  <c r="K3111" i="12"/>
  <c r="J3111" i="12"/>
  <c r="I3111" i="12"/>
  <c r="K3110" i="12"/>
  <c r="J3110" i="12"/>
  <c r="I3110" i="12"/>
  <c r="K3109" i="12"/>
  <c r="J3109" i="12"/>
  <c r="I3109" i="12"/>
  <c r="K3108" i="12"/>
  <c r="J3108" i="12"/>
  <c r="I3108" i="12"/>
  <c r="K3107" i="12"/>
  <c r="J3107" i="12"/>
  <c r="I3107" i="12"/>
  <c r="K3106" i="12"/>
  <c r="J3106" i="12"/>
  <c r="I3106" i="12"/>
  <c r="K3105" i="12"/>
  <c r="J3105" i="12"/>
  <c r="I3105" i="12"/>
  <c r="K3104" i="12"/>
  <c r="J3104" i="12"/>
  <c r="I3104" i="12"/>
  <c r="K3103" i="12"/>
  <c r="J3103" i="12"/>
  <c r="I3103" i="12"/>
  <c r="K3102" i="12"/>
  <c r="J3102" i="12"/>
  <c r="I3102" i="12"/>
  <c r="K3101" i="12"/>
  <c r="J3101" i="12"/>
  <c r="I3101" i="12"/>
  <c r="K3100" i="12"/>
  <c r="J3100" i="12"/>
  <c r="I3100" i="12"/>
  <c r="K3099" i="12"/>
  <c r="J3099" i="12"/>
  <c r="I3099" i="12"/>
  <c r="K3098" i="12"/>
  <c r="J3098" i="12"/>
  <c r="I3098" i="12"/>
  <c r="K3097" i="12"/>
  <c r="J3097" i="12"/>
  <c r="I3097" i="12"/>
  <c r="K3096" i="12"/>
  <c r="J3096" i="12"/>
  <c r="I3096" i="12"/>
  <c r="K3095" i="12"/>
  <c r="J3095" i="12"/>
  <c r="I3095" i="12"/>
  <c r="K3094" i="12"/>
  <c r="J3094" i="12"/>
  <c r="I3094" i="12"/>
  <c r="K3093" i="12"/>
  <c r="J3093" i="12"/>
  <c r="I3093" i="12"/>
  <c r="K3092" i="12"/>
  <c r="J3092" i="12"/>
  <c r="I3092" i="12"/>
  <c r="K3091" i="12"/>
  <c r="J3091" i="12"/>
  <c r="I3091" i="12"/>
  <c r="K3090" i="12"/>
  <c r="J3090" i="12"/>
  <c r="I3090" i="12"/>
  <c r="K3089" i="12"/>
  <c r="J3089" i="12"/>
  <c r="I3089" i="12"/>
  <c r="K3088" i="12"/>
  <c r="J3088" i="12"/>
  <c r="I3088" i="12"/>
  <c r="K3087" i="12"/>
  <c r="J3087" i="12"/>
  <c r="I3087" i="12"/>
  <c r="K3086" i="12"/>
  <c r="J3086" i="12"/>
  <c r="I3086" i="12"/>
  <c r="K3085" i="12"/>
  <c r="J3085" i="12"/>
  <c r="I3085" i="12"/>
  <c r="K3084" i="12"/>
  <c r="J3084" i="12"/>
  <c r="I3084" i="12"/>
  <c r="K3083" i="12"/>
  <c r="J3083" i="12"/>
  <c r="I3083" i="12"/>
  <c r="K3082" i="12"/>
  <c r="J3082" i="12"/>
  <c r="I3082" i="12"/>
  <c r="K3081" i="12"/>
  <c r="J3081" i="12"/>
  <c r="I3081" i="12"/>
  <c r="K3080" i="12"/>
  <c r="J3080" i="12"/>
  <c r="I3080" i="12"/>
  <c r="K3079" i="12"/>
  <c r="J3079" i="12"/>
  <c r="I3079" i="12"/>
  <c r="K3078" i="12"/>
  <c r="J3078" i="12"/>
  <c r="I3078" i="12"/>
  <c r="K3077" i="12"/>
  <c r="J3077" i="12"/>
  <c r="I3077" i="12"/>
  <c r="K3076" i="12"/>
  <c r="J3076" i="12"/>
  <c r="I3076" i="12"/>
  <c r="K3075" i="12"/>
  <c r="J3075" i="12"/>
  <c r="I3075" i="12"/>
  <c r="K3074" i="12"/>
  <c r="J3074" i="12"/>
  <c r="I3074" i="12"/>
  <c r="K3073" i="12"/>
  <c r="J3073" i="12"/>
  <c r="I3073" i="12"/>
  <c r="K3072" i="12"/>
  <c r="J3072" i="12"/>
  <c r="I3072" i="12"/>
  <c r="K3071" i="12"/>
  <c r="J3071" i="12"/>
  <c r="I3071" i="12"/>
  <c r="K3070" i="12"/>
  <c r="J3070" i="12"/>
  <c r="I3070" i="12"/>
  <c r="K3069" i="12"/>
  <c r="J3069" i="12"/>
  <c r="I3069" i="12"/>
  <c r="K3068" i="12"/>
  <c r="J3068" i="12"/>
  <c r="I3068" i="12"/>
  <c r="K3067" i="12"/>
  <c r="J3067" i="12"/>
  <c r="I3067" i="12"/>
  <c r="K3066" i="12"/>
  <c r="J3066" i="12"/>
  <c r="I3066" i="12"/>
  <c r="K3065" i="12"/>
  <c r="J3065" i="12"/>
  <c r="I3065" i="12"/>
  <c r="K3064" i="12"/>
  <c r="J3064" i="12"/>
  <c r="I3064" i="12"/>
  <c r="K3063" i="12"/>
  <c r="J3063" i="12"/>
  <c r="I3063" i="12"/>
  <c r="K3062" i="12"/>
  <c r="J3062" i="12"/>
  <c r="I3062" i="12"/>
  <c r="K3061" i="12"/>
  <c r="J3061" i="12"/>
  <c r="I3061" i="12"/>
  <c r="K3060" i="12"/>
  <c r="J3060" i="12"/>
  <c r="I3060" i="12"/>
  <c r="K3059" i="12"/>
  <c r="J3059" i="12"/>
  <c r="I3059" i="12"/>
  <c r="K3058" i="12"/>
  <c r="J3058" i="12"/>
  <c r="I3058" i="12"/>
  <c r="K3057" i="12"/>
  <c r="J3057" i="12"/>
  <c r="I3057" i="12"/>
  <c r="K3056" i="12"/>
  <c r="J3056" i="12"/>
  <c r="I3056" i="12"/>
  <c r="K3055" i="12"/>
  <c r="J3055" i="12"/>
  <c r="I3055" i="12"/>
  <c r="K3054" i="12"/>
  <c r="J3054" i="12"/>
  <c r="I3054" i="12"/>
  <c r="K3053" i="12"/>
  <c r="J3053" i="12"/>
  <c r="I3053" i="12"/>
  <c r="K3052" i="12"/>
  <c r="J3052" i="12"/>
  <c r="I3052" i="12"/>
  <c r="K3051" i="12"/>
  <c r="J3051" i="12"/>
  <c r="I3051" i="12"/>
  <c r="K3050" i="12"/>
  <c r="J3050" i="12"/>
  <c r="I3050" i="12"/>
  <c r="K3049" i="12"/>
  <c r="J3049" i="12"/>
  <c r="I3049" i="12"/>
  <c r="K3048" i="12"/>
  <c r="J3048" i="12"/>
  <c r="I3048" i="12"/>
  <c r="K3047" i="12"/>
  <c r="J3047" i="12"/>
  <c r="I3047" i="12"/>
  <c r="K3046" i="12"/>
  <c r="J3046" i="12"/>
  <c r="I3046" i="12"/>
  <c r="K3045" i="12"/>
  <c r="J3045" i="12"/>
  <c r="I3045" i="12"/>
  <c r="K3044" i="12"/>
  <c r="J3044" i="12"/>
  <c r="I3044" i="12"/>
  <c r="K3043" i="12"/>
  <c r="J3043" i="12"/>
  <c r="I3043" i="12"/>
  <c r="K3042" i="12"/>
  <c r="J3042" i="12"/>
  <c r="I3042" i="12"/>
  <c r="K3041" i="12"/>
  <c r="J3041" i="12"/>
  <c r="I3041" i="12"/>
  <c r="K3040" i="12"/>
  <c r="J3040" i="12"/>
  <c r="I3040" i="12"/>
  <c r="K3039" i="12"/>
  <c r="J3039" i="12"/>
  <c r="I3039" i="12"/>
  <c r="K3038" i="12"/>
  <c r="J3038" i="12"/>
  <c r="I3038" i="12"/>
  <c r="K3037" i="12"/>
  <c r="J3037" i="12"/>
  <c r="I3037" i="12"/>
  <c r="K3036" i="12"/>
  <c r="J3036" i="12"/>
  <c r="I3036" i="12"/>
  <c r="K3035" i="12"/>
  <c r="J3035" i="12"/>
  <c r="I3035" i="12"/>
  <c r="K3034" i="12"/>
  <c r="J3034" i="12"/>
  <c r="I3034" i="12"/>
  <c r="K3033" i="12"/>
  <c r="J3033" i="12"/>
  <c r="I3033" i="12"/>
  <c r="K3032" i="12"/>
  <c r="J3032" i="12"/>
  <c r="I3032" i="12"/>
  <c r="K3031" i="12"/>
  <c r="J3031" i="12"/>
  <c r="I3031" i="12"/>
  <c r="K3030" i="12"/>
  <c r="J3030" i="12"/>
  <c r="I3030" i="12"/>
  <c r="K3029" i="12"/>
  <c r="J3029" i="12"/>
  <c r="I3029" i="12"/>
  <c r="K3028" i="12"/>
  <c r="J3028" i="12"/>
  <c r="I3028" i="12"/>
  <c r="K3027" i="12"/>
  <c r="J3027" i="12"/>
  <c r="I3027" i="12"/>
  <c r="K3026" i="12"/>
  <c r="J3026" i="12"/>
  <c r="I3026" i="12"/>
  <c r="K3025" i="12"/>
  <c r="J3025" i="12"/>
  <c r="I3025" i="12"/>
  <c r="K3024" i="12"/>
  <c r="J3024" i="12"/>
  <c r="I3024" i="12"/>
  <c r="K3023" i="12"/>
  <c r="J3023" i="12"/>
  <c r="I3023" i="12"/>
  <c r="K3022" i="12"/>
  <c r="J3022" i="12"/>
  <c r="I3022" i="12"/>
  <c r="K3021" i="12"/>
  <c r="J3021" i="12"/>
  <c r="I3021" i="12"/>
  <c r="K3020" i="12"/>
  <c r="J3020" i="12"/>
  <c r="I3020" i="12"/>
  <c r="K3019" i="12"/>
  <c r="J3019" i="12"/>
  <c r="I3019" i="12"/>
  <c r="K3018" i="12"/>
  <c r="J3018" i="12"/>
  <c r="I3018" i="12"/>
  <c r="K3017" i="12"/>
  <c r="J3017" i="12"/>
  <c r="I3017" i="12"/>
  <c r="K3016" i="12"/>
  <c r="J3016" i="12"/>
  <c r="I3016" i="12"/>
  <c r="K3015" i="12"/>
  <c r="J3015" i="12"/>
  <c r="I3015" i="12"/>
  <c r="K3014" i="12"/>
  <c r="J3014" i="12"/>
  <c r="I3014" i="12"/>
  <c r="K3013" i="12"/>
  <c r="J3013" i="12"/>
  <c r="I3013" i="12"/>
  <c r="K3012" i="12"/>
  <c r="J3012" i="12"/>
  <c r="I3012" i="12"/>
  <c r="K3011" i="12"/>
  <c r="J3011" i="12"/>
  <c r="I3011" i="12"/>
  <c r="K3010" i="12"/>
  <c r="J3010" i="12"/>
  <c r="I3010" i="12"/>
  <c r="K3009" i="12"/>
  <c r="J3009" i="12"/>
  <c r="I3009" i="12"/>
  <c r="K3008" i="12"/>
  <c r="J3008" i="12"/>
  <c r="I3008" i="12"/>
  <c r="K3007" i="12"/>
  <c r="J3007" i="12"/>
  <c r="I3007" i="12"/>
  <c r="K3006" i="12"/>
  <c r="J3006" i="12"/>
  <c r="I3006" i="12"/>
  <c r="K3005" i="12"/>
  <c r="J3005" i="12"/>
  <c r="I3005" i="12"/>
  <c r="K3004" i="12"/>
  <c r="J3004" i="12"/>
  <c r="I3004" i="12"/>
  <c r="K3003" i="12"/>
  <c r="J3003" i="12"/>
  <c r="I3003" i="12"/>
  <c r="K3002" i="12"/>
  <c r="J3002" i="12"/>
  <c r="I3002" i="12"/>
  <c r="K3001" i="12"/>
  <c r="J3001" i="12"/>
  <c r="I3001" i="12"/>
  <c r="K3000" i="12"/>
  <c r="J3000" i="12"/>
  <c r="I3000" i="12"/>
  <c r="K2999" i="12"/>
  <c r="J2999" i="12"/>
  <c r="I2999" i="12"/>
  <c r="K2998" i="12"/>
  <c r="J2998" i="12"/>
  <c r="I2998" i="12"/>
  <c r="K2997" i="12"/>
  <c r="J2997" i="12"/>
  <c r="I2997" i="12"/>
  <c r="K2996" i="12"/>
  <c r="J2996" i="12"/>
  <c r="I2996" i="12"/>
  <c r="K2995" i="12"/>
  <c r="J2995" i="12"/>
  <c r="I2995" i="12"/>
  <c r="K2994" i="12"/>
  <c r="J2994" i="12"/>
  <c r="I2994" i="12"/>
  <c r="K2993" i="12"/>
  <c r="J2993" i="12"/>
  <c r="I2993" i="12"/>
  <c r="K2992" i="12"/>
  <c r="J2992" i="12"/>
  <c r="I2992" i="12"/>
  <c r="K2991" i="12"/>
  <c r="J2991" i="12"/>
  <c r="I2991" i="12"/>
  <c r="K2990" i="12"/>
  <c r="J2990" i="12"/>
  <c r="I2990" i="12"/>
  <c r="K2989" i="12"/>
  <c r="J2989" i="12"/>
  <c r="I2989" i="12"/>
  <c r="K2988" i="12"/>
  <c r="J2988" i="12"/>
  <c r="I2988" i="12"/>
  <c r="K2987" i="12"/>
  <c r="J2987" i="12"/>
  <c r="I2987" i="12"/>
  <c r="K2986" i="12"/>
  <c r="J2986" i="12"/>
  <c r="I2986" i="12"/>
  <c r="K2985" i="12"/>
  <c r="J2985" i="12"/>
  <c r="I2985" i="12"/>
  <c r="K2984" i="12"/>
  <c r="J2984" i="12"/>
  <c r="I2984" i="12"/>
  <c r="K2983" i="12"/>
  <c r="J2983" i="12"/>
  <c r="I2983" i="12"/>
  <c r="K2982" i="12"/>
  <c r="J2982" i="12"/>
  <c r="I2982" i="12"/>
  <c r="K2981" i="12"/>
  <c r="J2981" i="12"/>
  <c r="I2981" i="12"/>
  <c r="K2980" i="12"/>
  <c r="J2980" i="12"/>
  <c r="I2980" i="12"/>
  <c r="K2979" i="12"/>
  <c r="J2979" i="12"/>
  <c r="I2979" i="12"/>
  <c r="K2978" i="12"/>
  <c r="J2978" i="12"/>
  <c r="I2978" i="12"/>
  <c r="K2977" i="12"/>
  <c r="J2977" i="12"/>
  <c r="I2977" i="12"/>
  <c r="K2976" i="12"/>
  <c r="J2976" i="12"/>
  <c r="I2976" i="12"/>
  <c r="K2975" i="12"/>
  <c r="J2975" i="12"/>
  <c r="I2975" i="12"/>
  <c r="K2974" i="12"/>
  <c r="J2974" i="12"/>
  <c r="I2974" i="12"/>
  <c r="K2973" i="12"/>
  <c r="J2973" i="12"/>
  <c r="I2973" i="12"/>
  <c r="K2972" i="12"/>
  <c r="J2972" i="12"/>
  <c r="I2972" i="12"/>
  <c r="K2971" i="12"/>
  <c r="J2971" i="12"/>
  <c r="I2971" i="12"/>
  <c r="K2970" i="12"/>
  <c r="J2970" i="12"/>
  <c r="I2970" i="12"/>
  <c r="K2969" i="12"/>
  <c r="J2969" i="12"/>
  <c r="I2969" i="12"/>
  <c r="K2968" i="12"/>
  <c r="J2968" i="12"/>
  <c r="I2968" i="12"/>
  <c r="K2967" i="12"/>
  <c r="J2967" i="12"/>
  <c r="I2967" i="12"/>
  <c r="K2966" i="12"/>
  <c r="J2966" i="12"/>
  <c r="I2966" i="12"/>
  <c r="K2965" i="12"/>
  <c r="J2965" i="12"/>
  <c r="I2965" i="12"/>
  <c r="K2964" i="12"/>
  <c r="J2964" i="12"/>
  <c r="I2964" i="12"/>
  <c r="K2963" i="12"/>
  <c r="J2963" i="12"/>
  <c r="I2963" i="12"/>
  <c r="K2962" i="12"/>
  <c r="J2962" i="12"/>
  <c r="I2962" i="12"/>
  <c r="K2961" i="12"/>
  <c r="J2961" i="12"/>
  <c r="I2961" i="12"/>
  <c r="K2960" i="12"/>
  <c r="J2960" i="12"/>
  <c r="I2960" i="12"/>
  <c r="K2959" i="12"/>
  <c r="J2959" i="12"/>
  <c r="I2959" i="12"/>
  <c r="K2958" i="12"/>
  <c r="J2958" i="12"/>
  <c r="I2958" i="12"/>
  <c r="K2957" i="12"/>
  <c r="J2957" i="12"/>
  <c r="I2957" i="12"/>
  <c r="K2956" i="12"/>
  <c r="J2956" i="12"/>
  <c r="I2956" i="12"/>
  <c r="K2955" i="12"/>
  <c r="J2955" i="12"/>
  <c r="I2955" i="12"/>
  <c r="K2954" i="12"/>
  <c r="J2954" i="12"/>
  <c r="I2954" i="12"/>
  <c r="K2953" i="12"/>
  <c r="J2953" i="12"/>
  <c r="I2953" i="12"/>
  <c r="K2952" i="12"/>
  <c r="J2952" i="12"/>
  <c r="I2952" i="12"/>
  <c r="K2951" i="12"/>
  <c r="J2951" i="12"/>
  <c r="I2951" i="12"/>
  <c r="K2950" i="12"/>
  <c r="J2950" i="12"/>
  <c r="I2950" i="12"/>
  <c r="K2949" i="12"/>
  <c r="J2949" i="12"/>
  <c r="I2949" i="12"/>
  <c r="K2948" i="12"/>
  <c r="J2948" i="12"/>
  <c r="I2948" i="12"/>
  <c r="K2947" i="12"/>
  <c r="J2947" i="12"/>
  <c r="I2947" i="12"/>
  <c r="K2946" i="12"/>
  <c r="J2946" i="12"/>
  <c r="I2946" i="12"/>
  <c r="K2945" i="12"/>
  <c r="J2945" i="12"/>
  <c r="I2945" i="12"/>
  <c r="K2944" i="12"/>
  <c r="J2944" i="12"/>
  <c r="I2944" i="12"/>
  <c r="K2943" i="12"/>
  <c r="J2943" i="12"/>
  <c r="I2943" i="12"/>
  <c r="K2942" i="12"/>
  <c r="J2942" i="12"/>
  <c r="I2942" i="12"/>
  <c r="K2941" i="12"/>
  <c r="J2941" i="12"/>
  <c r="I2941" i="12"/>
  <c r="K2940" i="12"/>
  <c r="J2940" i="12"/>
  <c r="I2940" i="12"/>
  <c r="K2939" i="12"/>
  <c r="J2939" i="12"/>
  <c r="I2939" i="12"/>
  <c r="K2938" i="12"/>
  <c r="J2938" i="12"/>
  <c r="I2938" i="12"/>
  <c r="K2937" i="12"/>
  <c r="J2937" i="12"/>
  <c r="I2937" i="12"/>
  <c r="K2936" i="12"/>
  <c r="J2936" i="12"/>
  <c r="I2936" i="12"/>
  <c r="K2935" i="12"/>
  <c r="J2935" i="12"/>
  <c r="I2935" i="12"/>
  <c r="K2934" i="12"/>
  <c r="J2934" i="12"/>
  <c r="I2934" i="12"/>
  <c r="K2933" i="12"/>
  <c r="J2933" i="12"/>
  <c r="I2933" i="12"/>
  <c r="K2932" i="12"/>
  <c r="J2932" i="12"/>
  <c r="I2932" i="12"/>
  <c r="K2931" i="12"/>
  <c r="J2931" i="12"/>
  <c r="I2931" i="12"/>
  <c r="K2930" i="12"/>
  <c r="J2930" i="12"/>
  <c r="I2930" i="12"/>
  <c r="K2929" i="12"/>
  <c r="J2929" i="12"/>
  <c r="I2929" i="12"/>
  <c r="K2928" i="12"/>
  <c r="J2928" i="12"/>
  <c r="I2928" i="12"/>
  <c r="K2927" i="12"/>
  <c r="J2927" i="12"/>
  <c r="I2927" i="12"/>
  <c r="K2926" i="12"/>
  <c r="J2926" i="12"/>
  <c r="I2926" i="12"/>
  <c r="K2925" i="12"/>
  <c r="J2925" i="12"/>
  <c r="I2925" i="12"/>
  <c r="K2924" i="12"/>
  <c r="J2924" i="12"/>
  <c r="I2924" i="12"/>
  <c r="K2923" i="12"/>
  <c r="J2923" i="12"/>
  <c r="I2923" i="12"/>
  <c r="K2922" i="12"/>
  <c r="J2922" i="12"/>
  <c r="I2922" i="12"/>
  <c r="K2921" i="12"/>
  <c r="J2921" i="12"/>
  <c r="I2921" i="12"/>
  <c r="K2920" i="12"/>
  <c r="J2920" i="12"/>
  <c r="I2920" i="12"/>
  <c r="K2919" i="12"/>
  <c r="J2919" i="12"/>
  <c r="I2919" i="12"/>
  <c r="K2918" i="12"/>
  <c r="J2918" i="12"/>
  <c r="I2918" i="12"/>
  <c r="K2917" i="12"/>
  <c r="J2917" i="12"/>
  <c r="I2917" i="12"/>
  <c r="K2916" i="12"/>
  <c r="J2916" i="12"/>
  <c r="I2916" i="12"/>
  <c r="K2915" i="12"/>
  <c r="J2915" i="12"/>
  <c r="I2915" i="12"/>
  <c r="K2914" i="12"/>
  <c r="J2914" i="12"/>
  <c r="I2914" i="12"/>
  <c r="K2913" i="12"/>
  <c r="J2913" i="12"/>
  <c r="I2913" i="12"/>
  <c r="K2912" i="12"/>
  <c r="J2912" i="12"/>
  <c r="I2912" i="12"/>
  <c r="K2911" i="12"/>
  <c r="J2911" i="12"/>
  <c r="I2911" i="12"/>
  <c r="K2910" i="12"/>
  <c r="J2910" i="12"/>
  <c r="I2910" i="12"/>
  <c r="K2909" i="12"/>
  <c r="J2909" i="12"/>
  <c r="I2909" i="12"/>
  <c r="K2908" i="12"/>
  <c r="J2908" i="12"/>
  <c r="I2908" i="12"/>
  <c r="K2907" i="12"/>
  <c r="J2907" i="12"/>
  <c r="I2907" i="12"/>
  <c r="K2906" i="12"/>
  <c r="J2906" i="12"/>
  <c r="I2906" i="12"/>
  <c r="K2905" i="12"/>
  <c r="J2905" i="12"/>
  <c r="I2905" i="12"/>
  <c r="K2904" i="12"/>
  <c r="J2904" i="12"/>
  <c r="I2904" i="12"/>
  <c r="K2903" i="12"/>
  <c r="J2903" i="12"/>
  <c r="I2903" i="12"/>
  <c r="K2902" i="12"/>
  <c r="J2902" i="12"/>
  <c r="I2902" i="12"/>
  <c r="K2901" i="12"/>
  <c r="J2901" i="12"/>
  <c r="I2901" i="12"/>
  <c r="K2900" i="12"/>
  <c r="J2900" i="12"/>
  <c r="I2900" i="12"/>
  <c r="K2899" i="12"/>
  <c r="J2899" i="12"/>
  <c r="I2899" i="12"/>
  <c r="K2898" i="12"/>
  <c r="J2898" i="12"/>
  <c r="I2898" i="12"/>
  <c r="K2897" i="12"/>
  <c r="J2897" i="12"/>
  <c r="I2897" i="12"/>
  <c r="K2896" i="12"/>
  <c r="J2896" i="12"/>
  <c r="I2896" i="12"/>
  <c r="K2895" i="12"/>
  <c r="J2895" i="12"/>
  <c r="I2895" i="12"/>
  <c r="K2894" i="12"/>
  <c r="J2894" i="12"/>
  <c r="I2894" i="12"/>
  <c r="K2893" i="12"/>
  <c r="J2893" i="12"/>
  <c r="I2893" i="12"/>
  <c r="K2892" i="12"/>
  <c r="J2892" i="12"/>
  <c r="I2892" i="12"/>
  <c r="K2891" i="12"/>
  <c r="J2891" i="12"/>
  <c r="I2891" i="12"/>
  <c r="K2890" i="12"/>
  <c r="J2890" i="12"/>
  <c r="I2890" i="12"/>
  <c r="K2889" i="12"/>
  <c r="J2889" i="12"/>
  <c r="I2889" i="12"/>
  <c r="K2888" i="12"/>
  <c r="J2888" i="12"/>
  <c r="I2888" i="12"/>
  <c r="K2887" i="12"/>
  <c r="J2887" i="12"/>
  <c r="I2887" i="12"/>
  <c r="K2886" i="12"/>
  <c r="J2886" i="12"/>
  <c r="I2886" i="12"/>
  <c r="K2885" i="12"/>
  <c r="J2885" i="12"/>
  <c r="I2885" i="12"/>
  <c r="K2884" i="12"/>
  <c r="J2884" i="12"/>
  <c r="I2884" i="12"/>
  <c r="K2883" i="12"/>
  <c r="J2883" i="12"/>
  <c r="I2883" i="12"/>
  <c r="K2882" i="12"/>
  <c r="J2882" i="12"/>
  <c r="I2882" i="12"/>
  <c r="K2881" i="12"/>
  <c r="J2881" i="12"/>
  <c r="I2881" i="12"/>
  <c r="K2880" i="12"/>
  <c r="J2880" i="12"/>
  <c r="I2880" i="12"/>
  <c r="K2879" i="12"/>
  <c r="J2879" i="12"/>
  <c r="I2879" i="12"/>
  <c r="K2878" i="12"/>
  <c r="J2878" i="12"/>
  <c r="I2878" i="12"/>
  <c r="K2877" i="12"/>
  <c r="J2877" i="12"/>
  <c r="I2877" i="12"/>
  <c r="K2876" i="12"/>
  <c r="J2876" i="12"/>
  <c r="I2876" i="12"/>
  <c r="K2875" i="12"/>
  <c r="J2875" i="12"/>
  <c r="I2875" i="12"/>
  <c r="K2874" i="12"/>
  <c r="J2874" i="12"/>
  <c r="I2874" i="12"/>
  <c r="K2873" i="12"/>
  <c r="J2873" i="12"/>
  <c r="I2873" i="12"/>
  <c r="K2872" i="12"/>
  <c r="J2872" i="12"/>
  <c r="I2872" i="12"/>
  <c r="K2871" i="12"/>
  <c r="J2871" i="12"/>
  <c r="I2871" i="12"/>
  <c r="K2870" i="12"/>
  <c r="J2870" i="12"/>
  <c r="I2870" i="12"/>
  <c r="K2869" i="12"/>
  <c r="J2869" i="12"/>
  <c r="I2869" i="12"/>
  <c r="K2868" i="12"/>
  <c r="J2868" i="12"/>
  <c r="I2868" i="12"/>
  <c r="K2867" i="12"/>
  <c r="J2867" i="12"/>
  <c r="I2867" i="12"/>
  <c r="K2866" i="12"/>
  <c r="J2866" i="12"/>
  <c r="I2866" i="12"/>
  <c r="K2865" i="12"/>
  <c r="J2865" i="12"/>
  <c r="I2865" i="12"/>
  <c r="K2864" i="12"/>
  <c r="J2864" i="12"/>
  <c r="I2864" i="12"/>
  <c r="K2863" i="12"/>
  <c r="J2863" i="12"/>
  <c r="I2863" i="12"/>
  <c r="K2862" i="12"/>
  <c r="J2862" i="12"/>
  <c r="I2862" i="12"/>
  <c r="K2861" i="12"/>
  <c r="J2861" i="12"/>
  <c r="I2861" i="12"/>
  <c r="K2860" i="12"/>
  <c r="J2860" i="12"/>
  <c r="I2860" i="12"/>
  <c r="K2859" i="12"/>
  <c r="J2859" i="12"/>
  <c r="I2859" i="12"/>
  <c r="K2858" i="12"/>
  <c r="J2858" i="12"/>
  <c r="I2858" i="12"/>
  <c r="K2857" i="12"/>
  <c r="J2857" i="12"/>
  <c r="I2857" i="12"/>
  <c r="K2856" i="12"/>
  <c r="J2856" i="12"/>
  <c r="I2856" i="12"/>
  <c r="K2855" i="12"/>
  <c r="J2855" i="12"/>
  <c r="I2855" i="12"/>
  <c r="K2854" i="12"/>
  <c r="J2854" i="12"/>
  <c r="I2854" i="12"/>
  <c r="K2853" i="12"/>
  <c r="J2853" i="12"/>
  <c r="I2853" i="12"/>
  <c r="K2852" i="12"/>
  <c r="J2852" i="12"/>
  <c r="I2852" i="12"/>
  <c r="K2851" i="12"/>
  <c r="J2851" i="12"/>
  <c r="I2851" i="12"/>
  <c r="K2850" i="12"/>
  <c r="J2850" i="12"/>
  <c r="I2850" i="12"/>
  <c r="K2849" i="12"/>
  <c r="J2849" i="12"/>
  <c r="I2849" i="12"/>
  <c r="K2848" i="12"/>
  <c r="J2848" i="12"/>
  <c r="I2848" i="12"/>
  <c r="K2847" i="12"/>
  <c r="J2847" i="12"/>
  <c r="I2847" i="12"/>
  <c r="K2846" i="12"/>
  <c r="J2846" i="12"/>
  <c r="I2846" i="12"/>
  <c r="K2845" i="12"/>
  <c r="J2845" i="12"/>
  <c r="I2845" i="12"/>
  <c r="K2844" i="12"/>
  <c r="J2844" i="12"/>
  <c r="I2844" i="12"/>
  <c r="K2843" i="12"/>
  <c r="J2843" i="12"/>
  <c r="I2843" i="12"/>
  <c r="K2842" i="12"/>
  <c r="J2842" i="12"/>
  <c r="I2842" i="12"/>
  <c r="K2841" i="12"/>
  <c r="J2841" i="12"/>
  <c r="I2841" i="12"/>
  <c r="K2840" i="12"/>
  <c r="J2840" i="12"/>
  <c r="I2840" i="12"/>
  <c r="K2839" i="12"/>
  <c r="J2839" i="12"/>
  <c r="I2839" i="12"/>
  <c r="K2838" i="12"/>
  <c r="J2838" i="12"/>
  <c r="I2838" i="12"/>
  <c r="K2837" i="12"/>
  <c r="J2837" i="12"/>
  <c r="I2837" i="12"/>
  <c r="K2836" i="12"/>
  <c r="J2836" i="12"/>
  <c r="I2836" i="12"/>
  <c r="K2835" i="12"/>
  <c r="J2835" i="12"/>
  <c r="I2835" i="12"/>
  <c r="K2834" i="12"/>
  <c r="J2834" i="12"/>
  <c r="I2834" i="12"/>
  <c r="K2833" i="12"/>
  <c r="J2833" i="12"/>
  <c r="I2833" i="12"/>
  <c r="K2832" i="12"/>
  <c r="J2832" i="12"/>
  <c r="I2832" i="12"/>
  <c r="K2831" i="12"/>
  <c r="J2831" i="12"/>
  <c r="I2831" i="12"/>
  <c r="K2830" i="12"/>
  <c r="J2830" i="12"/>
  <c r="I2830" i="12"/>
  <c r="K2829" i="12"/>
  <c r="J2829" i="12"/>
  <c r="I2829" i="12"/>
  <c r="K2828" i="12"/>
  <c r="J2828" i="12"/>
  <c r="I2828" i="12"/>
  <c r="K2827" i="12"/>
  <c r="J2827" i="12"/>
  <c r="I2827" i="12"/>
  <c r="K2826" i="12"/>
  <c r="J2826" i="12"/>
  <c r="I2826" i="12"/>
  <c r="K2825" i="12"/>
  <c r="J2825" i="12"/>
  <c r="I2825" i="12"/>
  <c r="K2824" i="12"/>
  <c r="J2824" i="12"/>
  <c r="I2824" i="12"/>
  <c r="K2823" i="12"/>
  <c r="J2823" i="12"/>
  <c r="I2823" i="12"/>
  <c r="K2822" i="12"/>
  <c r="J2822" i="12"/>
  <c r="I2822" i="12"/>
  <c r="K2821" i="12"/>
  <c r="J2821" i="12"/>
  <c r="I2821" i="12"/>
  <c r="K2820" i="12"/>
  <c r="J2820" i="12"/>
  <c r="I2820" i="12"/>
  <c r="K2819" i="12"/>
  <c r="J2819" i="12"/>
  <c r="I2819" i="12"/>
  <c r="K2818" i="12"/>
  <c r="J2818" i="12"/>
  <c r="I2818" i="12"/>
  <c r="K2817" i="12"/>
  <c r="J2817" i="12"/>
  <c r="I2817" i="12"/>
  <c r="K2816" i="12"/>
  <c r="J2816" i="12"/>
  <c r="I2816" i="12"/>
  <c r="K2815" i="12"/>
  <c r="J2815" i="12"/>
  <c r="I2815" i="12"/>
  <c r="K2814" i="12"/>
  <c r="J2814" i="12"/>
  <c r="I2814" i="12"/>
  <c r="K2813" i="12"/>
  <c r="J2813" i="12"/>
  <c r="I2813" i="12"/>
  <c r="K2812" i="12"/>
  <c r="J2812" i="12"/>
  <c r="I2812" i="12"/>
  <c r="K2811" i="12"/>
  <c r="J2811" i="12"/>
  <c r="I2811" i="12"/>
  <c r="K2810" i="12"/>
  <c r="J2810" i="12"/>
  <c r="I2810" i="12"/>
  <c r="K2809" i="12"/>
  <c r="J2809" i="12"/>
  <c r="I2809" i="12"/>
  <c r="K2808" i="12"/>
  <c r="J2808" i="12"/>
  <c r="I2808" i="12"/>
  <c r="K2807" i="12"/>
  <c r="J2807" i="12"/>
  <c r="I2807" i="12"/>
  <c r="K2806" i="12"/>
  <c r="J2806" i="12"/>
  <c r="I2806" i="12"/>
  <c r="K2805" i="12"/>
  <c r="J2805" i="12"/>
  <c r="I2805" i="12"/>
  <c r="K2804" i="12"/>
  <c r="J2804" i="12"/>
  <c r="I2804" i="12"/>
  <c r="K2803" i="12"/>
  <c r="J2803" i="12"/>
  <c r="I2803" i="12"/>
  <c r="K2802" i="12"/>
  <c r="J2802" i="12"/>
  <c r="I2802" i="12"/>
  <c r="K2801" i="12"/>
  <c r="J2801" i="12"/>
  <c r="I2801" i="12"/>
  <c r="K2800" i="12"/>
  <c r="J2800" i="12"/>
  <c r="I2800" i="12"/>
  <c r="K2799" i="12"/>
  <c r="J2799" i="12"/>
  <c r="I2799" i="12"/>
  <c r="K2798" i="12"/>
  <c r="J2798" i="12"/>
  <c r="I2798" i="12"/>
  <c r="K2797" i="12"/>
  <c r="J2797" i="12"/>
  <c r="I2797" i="12"/>
  <c r="K2796" i="12"/>
  <c r="J2796" i="12"/>
  <c r="I2796" i="12"/>
  <c r="K2795" i="12"/>
  <c r="J2795" i="12"/>
  <c r="I2795" i="12"/>
  <c r="K2794" i="12"/>
  <c r="J2794" i="12"/>
  <c r="I2794" i="12"/>
  <c r="K2793" i="12"/>
  <c r="J2793" i="12"/>
  <c r="I2793" i="12"/>
  <c r="K2792" i="12"/>
  <c r="J2792" i="12"/>
  <c r="I2792" i="12"/>
  <c r="K2791" i="12"/>
  <c r="J2791" i="12"/>
  <c r="I2791" i="12"/>
  <c r="K2790" i="12"/>
  <c r="J2790" i="12"/>
  <c r="I2790" i="12"/>
  <c r="K2789" i="12"/>
  <c r="J2789" i="12"/>
  <c r="I2789" i="12"/>
  <c r="K2788" i="12"/>
  <c r="J2788" i="12"/>
  <c r="I2788" i="12"/>
  <c r="K2787" i="12"/>
  <c r="J2787" i="12"/>
  <c r="I2787" i="12"/>
  <c r="K2786" i="12"/>
  <c r="J2786" i="12"/>
  <c r="I2786" i="12"/>
  <c r="K2785" i="12"/>
  <c r="J2785" i="12"/>
  <c r="I2785" i="12"/>
  <c r="K2784" i="12"/>
  <c r="J2784" i="12"/>
  <c r="I2784" i="12"/>
  <c r="K2783" i="12"/>
  <c r="J2783" i="12"/>
  <c r="I2783" i="12"/>
  <c r="K2782" i="12"/>
  <c r="J2782" i="12"/>
  <c r="I2782" i="12"/>
  <c r="K2781" i="12"/>
  <c r="J2781" i="12"/>
  <c r="I2781" i="12"/>
  <c r="K2780" i="12"/>
  <c r="J2780" i="12"/>
  <c r="I2780" i="12"/>
  <c r="K2779" i="12"/>
  <c r="J2779" i="12"/>
  <c r="I2779" i="12"/>
  <c r="K2778" i="12"/>
  <c r="J2778" i="12"/>
  <c r="I2778" i="12"/>
  <c r="K2777" i="12"/>
  <c r="J2777" i="12"/>
  <c r="I2777" i="12"/>
  <c r="K2776" i="12"/>
  <c r="J2776" i="12"/>
  <c r="I2776" i="12"/>
  <c r="K2775" i="12"/>
  <c r="J2775" i="12"/>
  <c r="I2775" i="12"/>
  <c r="K2774" i="12"/>
  <c r="J2774" i="12"/>
  <c r="I2774" i="12"/>
  <c r="K2773" i="12"/>
  <c r="J2773" i="12"/>
  <c r="I2773" i="12"/>
  <c r="K2772" i="12"/>
  <c r="J2772" i="12"/>
  <c r="I2772" i="12"/>
  <c r="K2771" i="12"/>
  <c r="J2771" i="12"/>
  <c r="I2771" i="12"/>
  <c r="K2770" i="12"/>
  <c r="J2770" i="12"/>
  <c r="I2770" i="12"/>
  <c r="K2769" i="12"/>
  <c r="J2769" i="12"/>
  <c r="I2769" i="12"/>
  <c r="K2768" i="12"/>
  <c r="J2768" i="12"/>
  <c r="I2768" i="12"/>
  <c r="K2767" i="12"/>
  <c r="J2767" i="12"/>
  <c r="I2767" i="12"/>
  <c r="K2766" i="12"/>
  <c r="J2766" i="12"/>
  <c r="I2766" i="12"/>
  <c r="K2765" i="12"/>
  <c r="J2765" i="12"/>
  <c r="I2765" i="12"/>
  <c r="K2764" i="12"/>
  <c r="J2764" i="12"/>
  <c r="I2764" i="12"/>
  <c r="K2763" i="12"/>
  <c r="J2763" i="12"/>
  <c r="I2763" i="12"/>
  <c r="K2762" i="12"/>
  <c r="J2762" i="12"/>
  <c r="I2762" i="12"/>
  <c r="K2761" i="12"/>
  <c r="J2761" i="12"/>
  <c r="I2761" i="12"/>
  <c r="K2760" i="12"/>
  <c r="J2760" i="12"/>
  <c r="I2760" i="12"/>
  <c r="K2759" i="12"/>
  <c r="J2759" i="12"/>
  <c r="I2759" i="12"/>
  <c r="K2758" i="12"/>
  <c r="J2758" i="12"/>
  <c r="I2758" i="12"/>
  <c r="K2757" i="12"/>
  <c r="J2757" i="12"/>
  <c r="I2757" i="12"/>
  <c r="K2756" i="12"/>
  <c r="J2756" i="12"/>
  <c r="I2756" i="12"/>
  <c r="K2755" i="12"/>
  <c r="J2755" i="12"/>
  <c r="I2755" i="12"/>
  <c r="K2754" i="12"/>
  <c r="J2754" i="12"/>
  <c r="I2754" i="12"/>
  <c r="K2753" i="12"/>
  <c r="J2753" i="12"/>
  <c r="I2753" i="12"/>
  <c r="K2752" i="12"/>
  <c r="J2752" i="12"/>
  <c r="I2752" i="12"/>
  <c r="K2751" i="12"/>
  <c r="J2751" i="12"/>
  <c r="I2751" i="12"/>
  <c r="K2750" i="12"/>
  <c r="J2750" i="12"/>
  <c r="I2750" i="12"/>
  <c r="K2749" i="12"/>
  <c r="J2749" i="12"/>
  <c r="I2749" i="12"/>
  <c r="K2748" i="12"/>
  <c r="J2748" i="12"/>
  <c r="I2748" i="12"/>
  <c r="K2747" i="12"/>
  <c r="J2747" i="12"/>
  <c r="I2747" i="12"/>
  <c r="K2746" i="12"/>
  <c r="J2746" i="12"/>
  <c r="I2746" i="12"/>
  <c r="K2745" i="12"/>
  <c r="J2745" i="12"/>
  <c r="I2745" i="12"/>
  <c r="K2744" i="12"/>
  <c r="J2744" i="12"/>
  <c r="I2744" i="12"/>
  <c r="K2743" i="12"/>
  <c r="J2743" i="12"/>
  <c r="I2743" i="12"/>
  <c r="K2742" i="12"/>
  <c r="J2742" i="12"/>
  <c r="I2742" i="12"/>
  <c r="K2741" i="12"/>
  <c r="J2741" i="12"/>
  <c r="I2741" i="12"/>
  <c r="K2740" i="12"/>
  <c r="J2740" i="12"/>
  <c r="I2740" i="12"/>
  <c r="K2739" i="12"/>
  <c r="J2739" i="12"/>
  <c r="I2739" i="12"/>
  <c r="K2738" i="12"/>
  <c r="J2738" i="12"/>
  <c r="I2738" i="12"/>
  <c r="K2737" i="12"/>
  <c r="J2737" i="12"/>
  <c r="I2737" i="12"/>
  <c r="K2736" i="12"/>
  <c r="J2736" i="12"/>
  <c r="I2736" i="12"/>
  <c r="K2735" i="12"/>
  <c r="J2735" i="12"/>
  <c r="I2735" i="12"/>
  <c r="K2734" i="12"/>
  <c r="J2734" i="12"/>
  <c r="I2734" i="12"/>
  <c r="K2733" i="12"/>
  <c r="J2733" i="12"/>
  <c r="I2733" i="12"/>
  <c r="K2732" i="12"/>
  <c r="J2732" i="12"/>
  <c r="I2732" i="12"/>
  <c r="K2731" i="12"/>
  <c r="J2731" i="12"/>
  <c r="I2731" i="12"/>
  <c r="K2730" i="12"/>
  <c r="J2730" i="12"/>
  <c r="I2730" i="12"/>
  <c r="K2729" i="12"/>
  <c r="J2729" i="12"/>
  <c r="I2729" i="12"/>
  <c r="K2728" i="12"/>
  <c r="J2728" i="12"/>
  <c r="I2728" i="12"/>
  <c r="K2727" i="12"/>
  <c r="J2727" i="12"/>
  <c r="I2727" i="12"/>
  <c r="K2726" i="12"/>
  <c r="J2726" i="12"/>
  <c r="I2726" i="12"/>
  <c r="K2725" i="12"/>
  <c r="J2725" i="12"/>
  <c r="I2725" i="12"/>
  <c r="K2724" i="12"/>
  <c r="J2724" i="12"/>
  <c r="I2724" i="12"/>
  <c r="K2723" i="12"/>
  <c r="J2723" i="12"/>
  <c r="I2723" i="12"/>
  <c r="K2722" i="12"/>
  <c r="J2722" i="12"/>
  <c r="I2722" i="12"/>
  <c r="K2721" i="12"/>
  <c r="J2721" i="12"/>
  <c r="I2721" i="12"/>
  <c r="K2720" i="12"/>
  <c r="J2720" i="12"/>
  <c r="I2720" i="12"/>
  <c r="K2719" i="12"/>
  <c r="J2719" i="12"/>
  <c r="I2719" i="12"/>
  <c r="K2718" i="12"/>
  <c r="J2718" i="12"/>
  <c r="I2718" i="12"/>
  <c r="K2717" i="12"/>
  <c r="J2717" i="12"/>
  <c r="I2717" i="12"/>
  <c r="K2716" i="12"/>
  <c r="J2716" i="12"/>
  <c r="I2716" i="12"/>
  <c r="K2715" i="12"/>
  <c r="J2715" i="12"/>
  <c r="I2715" i="12"/>
  <c r="K2714" i="12"/>
  <c r="J2714" i="12"/>
  <c r="I2714" i="12"/>
  <c r="K2713" i="12"/>
  <c r="J2713" i="12"/>
  <c r="I2713" i="12"/>
  <c r="K2712" i="12"/>
  <c r="J2712" i="12"/>
  <c r="I2712" i="12"/>
  <c r="K2711" i="12"/>
  <c r="J2711" i="12"/>
  <c r="I2711" i="12"/>
  <c r="K2710" i="12"/>
  <c r="J2710" i="12"/>
  <c r="I2710" i="12"/>
  <c r="K2709" i="12"/>
  <c r="J2709" i="12"/>
  <c r="I2709" i="12"/>
  <c r="K2708" i="12"/>
  <c r="J2708" i="12"/>
  <c r="I2708" i="12"/>
  <c r="K2707" i="12"/>
  <c r="J2707" i="12"/>
  <c r="I2707" i="12"/>
  <c r="K2706" i="12"/>
  <c r="J2706" i="12"/>
  <c r="I2706" i="12"/>
  <c r="K2705" i="12"/>
  <c r="J2705" i="12"/>
  <c r="I2705" i="12"/>
  <c r="K2704" i="12"/>
  <c r="J2704" i="12"/>
  <c r="I2704" i="12"/>
  <c r="K2703" i="12"/>
  <c r="J2703" i="12"/>
  <c r="I2703" i="12"/>
  <c r="K2702" i="12"/>
  <c r="J2702" i="12"/>
  <c r="I2702" i="12"/>
  <c r="K2701" i="12"/>
  <c r="J2701" i="12"/>
  <c r="I2701" i="12"/>
  <c r="K2700" i="12"/>
  <c r="J2700" i="12"/>
  <c r="I2700" i="12"/>
  <c r="K2699" i="12"/>
  <c r="J2699" i="12"/>
  <c r="I2699" i="12"/>
  <c r="K2698" i="12"/>
  <c r="J2698" i="12"/>
  <c r="I2698" i="12"/>
  <c r="K2697" i="12"/>
  <c r="J2697" i="12"/>
  <c r="I2697" i="12"/>
  <c r="K2696" i="12"/>
  <c r="J2696" i="12"/>
  <c r="I2696" i="12"/>
  <c r="K2695" i="12"/>
  <c r="J2695" i="12"/>
  <c r="I2695" i="12"/>
  <c r="K2694" i="12"/>
  <c r="J2694" i="12"/>
  <c r="I2694" i="12"/>
  <c r="K2693" i="12"/>
  <c r="J2693" i="12"/>
  <c r="I2693" i="12"/>
  <c r="K2692" i="12"/>
  <c r="J2692" i="12"/>
  <c r="I2692" i="12"/>
  <c r="K2691" i="12"/>
  <c r="J2691" i="12"/>
  <c r="I2691" i="12"/>
  <c r="K2690" i="12"/>
  <c r="J2690" i="12"/>
  <c r="I2690" i="12"/>
  <c r="K2689" i="12"/>
  <c r="J2689" i="12"/>
  <c r="I2689" i="12"/>
  <c r="K2688" i="12"/>
  <c r="J2688" i="12"/>
  <c r="I2688" i="12"/>
  <c r="K2687" i="12"/>
  <c r="J2687" i="12"/>
  <c r="I2687" i="12"/>
  <c r="K2686" i="12"/>
  <c r="J2686" i="12"/>
  <c r="I2686" i="12"/>
  <c r="K2685" i="12"/>
  <c r="J2685" i="12"/>
  <c r="I2685" i="12"/>
  <c r="K2684" i="12"/>
  <c r="J2684" i="12"/>
  <c r="I2684" i="12"/>
  <c r="K2683" i="12"/>
  <c r="J2683" i="12"/>
  <c r="I2683" i="12"/>
  <c r="K2682" i="12"/>
  <c r="J2682" i="12"/>
  <c r="I2682" i="12"/>
  <c r="K2681" i="12"/>
  <c r="J2681" i="12"/>
  <c r="I2681" i="12"/>
  <c r="K2680" i="12"/>
  <c r="J2680" i="12"/>
  <c r="I2680" i="12"/>
  <c r="K2679" i="12"/>
  <c r="J2679" i="12"/>
  <c r="I2679" i="12"/>
  <c r="K2678" i="12"/>
  <c r="J2678" i="12"/>
  <c r="I2678" i="12"/>
  <c r="K2677" i="12"/>
  <c r="J2677" i="12"/>
  <c r="I2677" i="12"/>
  <c r="K2676" i="12"/>
  <c r="J2676" i="12"/>
  <c r="I2676" i="12"/>
  <c r="K2675" i="12"/>
  <c r="J2675" i="12"/>
  <c r="I2675" i="12"/>
  <c r="K2674" i="12"/>
  <c r="J2674" i="12"/>
  <c r="I2674" i="12"/>
  <c r="K2673" i="12"/>
  <c r="J2673" i="12"/>
  <c r="I2673" i="12"/>
  <c r="K2672" i="12"/>
  <c r="J2672" i="12"/>
  <c r="I2672" i="12"/>
  <c r="K2671" i="12"/>
  <c r="J2671" i="12"/>
  <c r="I2671" i="12"/>
  <c r="K2670" i="12"/>
  <c r="J2670" i="12"/>
  <c r="I2670" i="12"/>
  <c r="K2669" i="12"/>
  <c r="J2669" i="12"/>
  <c r="I2669" i="12"/>
  <c r="K2668" i="12"/>
  <c r="J2668" i="12"/>
  <c r="I2668" i="12"/>
  <c r="K2667" i="12"/>
  <c r="J2667" i="12"/>
  <c r="I2667" i="12"/>
  <c r="K2666" i="12"/>
  <c r="J2666" i="12"/>
  <c r="I2666" i="12"/>
  <c r="K2665" i="12"/>
  <c r="J2665" i="12"/>
  <c r="I2665" i="12"/>
  <c r="K2664" i="12"/>
  <c r="J2664" i="12"/>
  <c r="I2664" i="12"/>
  <c r="K2663" i="12"/>
  <c r="J2663" i="12"/>
  <c r="I2663" i="12"/>
  <c r="K2662" i="12"/>
  <c r="J2662" i="12"/>
  <c r="I2662" i="12"/>
  <c r="K2661" i="12"/>
  <c r="J2661" i="12"/>
  <c r="I2661" i="12"/>
  <c r="K2660" i="12"/>
  <c r="J2660" i="12"/>
  <c r="I2660" i="12"/>
  <c r="K2659" i="12"/>
  <c r="J2659" i="12"/>
  <c r="I2659" i="12"/>
  <c r="K2658" i="12"/>
  <c r="J2658" i="12"/>
  <c r="I2658" i="12"/>
  <c r="K2657" i="12"/>
  <c r="J2657" i="12"/>
  <c r="I2657" i="12"/>
  <c r="K2656" i="12"/>
  <c r="J2656" i="12"/>
  <c r="I2656" i="12"/>
  <c r="K2655" i="12"/>
  <c r="J2655" i="12"/>
  <c r="I2655" i="12"/>
  <c r="K2654" i="12"/>
  <c r="J2654" i="12"/>
  <c r="I2654" i="12"/>
  <c r="K2653" i="12"/>
  <c r="J2653" i="12"/>
  <c r="I2653" i="12"/>
  <c r="K2652" i="12"/>
  <c r="J2652" i="12"/>
  <c r="I2652" i="12"/>
  <c r="K2651" i="12"/>
  <c r="J2651" i="12"/>
  <c r="I2651" i="12"/>
  <c r="K2650" i="12"/>
  <c r="J2650" i="12"/>
  <c r="I2650" i="12"/>
  <c r="K2649" i="12"/>
  <c r="J2649" i="12"/>
  <c r="I2649" i="12"/>
  <c r="K2648" i="12"/>
  <c r="J2648" i="12"/>
  <c r="I2648" i="12"/>
  <c r="K2647" i="12"/>
  <c r="J2647" i="12"/>
  <c r="I2647" i="12"/>
  <c r="K2646" i="12"/>
  <c r="J2646" i="12"/>
  <c r="I2646" i="12"/>
  <c r="K2645" i="12"/>
  <c r="J2645" i="12"/>
  <c r="I2645" i="12"/>
  <c r="K2644" i="12"/>
  <c r="J2644" i="12"/>
  <c r="I2644" i="12"/>
  <c r="K2643" i="12"/>
  <c r="J2643" i="12"/>
  <c r="I2643" i="12"/>
  <c r="K2642" i="12"/>
  <c r="J2642" i="12"/>
  <c r="I2642" i="12"/>
  <c r="K2641" i="12"/>
  <c r="J2641" i="12"/>
  <c r="I2641" i="12"/>
  <c r="K2640" i="12"/>
  <c r="J2640" i="12"/>
  <c r="I2640" i="12"/>
  <c r="K2639" i="12"/>
  <c r="J2639" i="12"/>
  <c r="I2639" i="12"/>
  <c r="K2638" i="12"/>
  <c r="J2638" i="12"/>
  <c r="I2638" i="12"/>
  <c r="K2637" i="12"/>
  <c r="J2637" i="12"/>
  <c r="I2637" i="12"/>
  <c r="K2636" i="12"/>
  <c r="J2636" i="12"/>
  <c r="I2636" i="12"/>
  <c r="K2635" i="12"/>
  <c r="J2635" i="12"/>
  <c r="I2635" i="12"/>
  <c r="K2634" i="12"/>
  <c r="J2634" i="12"/>
  <c r="I2634" i="12"/>
  <c r="K2633" i="12"/>
  <c r="J2633" i="12"/>
  <c r="I2633" i="12"/>
  <c r="K2632" i="12"/>
  <c r="J2632" i="12"/>
  <c r="I2632" i="12"/>
  <c r="K2631" i="12"/>
  <c r="J2631" i="12"/>
  <c r="I2631" i="12"/>
  <c r="K2630" i="12"/>
  <c r="J2630" i="12"/>
  <c r="I2630" i="12"/>
  <c r="K2629" i="12"/>
  <c r="J2629" i="12"/>
  <c r="I2629" i="12"/>
  <c r="K2628" i="12"/>
  <c r="J2628" i="12"/>
  <c r="I2628" i="12"/>
  <c r="K2627" i="12"/>
  <c r="J2627" i="12"/>
  <c r="I2627" i="12"/>
  <c r="K2626" i="12"/>
  <c r="J2626" i="12"/>
  <c r="I2626" i="12"/>
  <c r="K2625" i="12"/>
  <c r="J2625" i="12"/>
  <c r="I2625" i="12"/>
  <c r="K2624" i="12"/>
  <c r="J2624" i="12"/>
  <c r="I2624" i="12"/>
  <c r="K2623" i="12"/>
  <c r="J2623" i="12"/>
  <c r="I2623" i="12"/>
  <c r="K2622" i="12"/>
  <c r="J2622" i="12"/>
  <c r="I2622" i="12"/>
  <c r="K2621" i="12"/>
  <c r="J2621" i="12"/>
  <c r="I2621" i="12"/>
  <c r="K2620" i="12"/>
  <c r="J2620" i="12"/>
  <c r="I2620" i="12"/>
  <c r="K2619" i="12"/>
  <c r="J2619" i="12"/>
  <c r="I2619" i="12"/>
  <c r="K2618" i="12"/>
  <c r="J2618" i="12"/>
  <c r="I2618" i="12"/>
  <c r="K2617" i="12"/>
  <c r="J2617" i="12"/>
  <c r="I2617" i="12"/>
  <c r="K2616" i="12"/>
  <c r="J2616" i="12"/>
  <c r="I2616" i="12"/>
  <c r="K2615" i="12"/>
  <c r="J2615" i="12"/>
  <c r="I2615" i="12"/>
  <c r="K2614" i="12"/>
  <c r="J2614" i="12"/>
  <c r="I2614" i="12"/>
  <c r="K2613" i="12"/>
  <c r="J2613" i="12"/>
  <c r="I2613" i="12"/>
  <c r="K2612" i="12"/>
  <c r="J2612" i="12"/>
  <c r="I2612" i="12"/>
  <c r="K2611" i="12"/>
  <c r="J2611" i="12"/>
  <c r="I2611" i="12"/>
  <c r="K2610" i="12"/>
  <c r="J2610" i="12"/>
  <c r="I2610" i="12"/>
  <c r="K2609" i="12"/>
  <c r="J2609" i="12"/>
  <c r="I2609" i="12"/>
  <c r="K2608" i="12"/>
  <c r="J2608" i="12"/>
  <c r="I2608" i="12"/>
  <c r="K2607" i="12"/>
  <c r="J2607" i="12"/>
  <c r="I2607" i="12"/>
  <c r="K2606" i="12"/>
  <c r="J2606" i="12"/>
  <c r="I2606" i="12"/>
  <c r="K2605" i="12"/>
  <c r="J2605" i="12"/>
  <c r="I2605" i="12"/>
  <c r="K2604" i="12"/>
  <c r="J2604" i="12"/>
  <c r="I2604" i="12"/>
  <c r="K2603" i="12"/>
  <c r="J2603" i="12"/>
  <c r="I2603" i="12"/>
  <c r="K2602" i="12"/>
  <c r="J2602" i="12"/>
  <c r="I2602" i="12"/>
  <c r="K2601" i="12"/>
  <c r="J2601" i="12"/>
  <c r="I2601" i="12"/>
  <c r="K2600" i="12"/>
  <c r="J2600" i="12"/>
  <c r="I2600" i="12"/>
  <c r="K2599" i="12"/>
  <c r="J2599" i="12"/>
  <c r="I2599" i="12"/>
  <c r="K2598" i="12"/>
  <c r="J2598" i="12"/>
  <c r="I2598" i="12"/>
  <c r="K2597" i="12"/>
  <c r="J2597" i="12"/>
  <c r="I2597" i="12"/>
  <c r="K2596" i="12"/>
  <c r="J2596" i="12"/>
  <c r="I2596" i="12"/>
  <c r="K2595" i="12"/>
  <c r="J2595" i="12"/>
  <c r="I2595" i="12"/>
  <c r="K2594" i="12"/>
  <c r="J2594" i="12"/>
  <c r="I2594" i="12"/>
  <c r="K2593" i="12"/>
  <c r="J2593" i="12"/>
  <c r="I2593" i="12"/>
  <c r="K2592" i="12"/>
  <c r="J2592" i="12"/>
  <c r="I2592" i="12"/>
  <c r="K2591" i="12"/>
  <c r="J2591" i="12"/>
  <c r="I2591" i="12"/>
  <c r="K2590" i="12"/>
  <c r="J2590" i="12"/>
  <c r="I2590" i="12"/>
  <c r="K2589" i="12"/>
  <c r="J2589" i="12"/>
  <c r="I2589" i="12"/>
  <c r="K2588" i="12"/>
  <c r="J2588" i="12"/>
  <c r="I2588" i="12"/>
  <c r="K2587" i="12"/>
  <c r="J2587" i="12"/>
  <c r="I2587" i="12"/>
  <c r="K2586" i="12"/>
  <c r="J2586" i="12"/>
  <c r="I2586" i="12"/>
  <c r="K2585" i="12"/>
  <c r="J2585" i="12"/>
  <c r="I2585" i="12"/>
  <c r="K2584" i="12"/>
  <c r="J2584" i="12"/>
  <c r="I2584" i="12"/>
  <c r="K2583" i="12"/>
  <c r="J2583" i="12"/>
  <c r="I2583" i="12"/>
  <c r="K2582" i="12"/>
  <c r="J2582" i="12"/>
  <c r="I2582" i="12"/>
  <c r="K2581" i="12"/>
  <c r="J2581" i="12"/>
  <c r="I2581" i="12"/>
  <c r="K2580" i="12"/>
  <c r="J2580" i="12"/>
  <c r="I2580" i="12"/>
  <c r="K2579" i="12"/>
  <c r="J2579" i="12"/>
  <c r="I2579" i="12"/>
  <c r="K2578" i="12"/>
  <c r="J2578" i="12"/>
  <c r="I2578" i="12"/>
  <c r="K2577" i="12"/>
  <c r="J2577" i="12"/>
  <c r="I2577" i="12"/>
  <c r="K2576" i="12"/>
  <c r="J2576" i="12"/>
  <c r="I2576" i="12"/>
  <c r="K2575" i="12"/>
  <c r="J2575" i="12"/>
  <c r="I2575" i="12"/>
  <c r="K2574" i="12"/>
  <c r="J2574" i="12"/>
  <c r="I2574" i="12"/>
  <c r="K2573" i="12"/>
  <c r="J2573" i="12"/>
  <c r="I2573" i="12"/>
  <c r="K2572" i="12"/>
  <c r="J2572" i="12"/>
  <c r="I2572" i="12"/>
  <c r="K2571" i="12"/>
  <c r="J2571" i="12"/>
  <c r="I2571" i="12"/>
  <c r="K2570" i="12"/>
  <c r="J2570" i="12"/>
  <c r="I2570" i="12"/>
  <c r="K2569" i="12"/>
  <c r="J2569" i="12"/>
  <c r="I2569" i="12"/>
  <c r="K2568" i="12"/>
  <c r="J2568" i="12"/>
  <c r="I2568" i="12"/>
  <c r="K2567" i="12"/>
  <c r="J2567" i="12"/>
  <c r="I2567" i="12"/>
  <c r="K2566" i="12"/>
  <c r="J2566" i="12"/>
  <c r="I2566" i="12"/>
  <c r="K2565" i="12"/>
  <c r="J2565" i="12"/>
  <c r="I2565" i="12"/>
  <c r="K2564" i="12"/>
  <c r="J2564" i="12"/>
  <c r="I2564" i="12"/>
  <c r="K2563" i="12"/>
  <c r="J2563" i="12"/>
  <c r="I2563" i="12"/>
  <c r="K2562" i="12"/>
  <c r="J2562" i="12"/>
  <c r="I2562" i="12"/>
  <c r="K2561" i="12"/>
  <c r="J2561" i="12"/>
  <c r="I2561" i="12"/>
  <c r="K2560" i="12"/>
  <c r="J2560" i="12"/>
  <c r="I2560" i="12"/>
  <c r="K2559" i="12"/>
  <c r="J2559" i="12"/>
  <c r="I2559" i="12"/>
  <c r="K2558" i="12"/>
  <c r="J2558" i="12"/>
  <c r="I2558" i="12"/>
  <c r="K2557" i="12"/>
  <c r="J2557" i="12"/>
  <c r="I2557" i="12"/>
  <c r="K2556" i="12"/>
  <c r="J2556" i="12"/>
  <c r="I2556" i="12"/>
  <c r="K2555" i="12"/>
  <c r="J2555" i="12"/>
  <c r="I2555" i="12"/>
  <c r="K2554" i="12"/>
  <c r="J2554" i="12"/>
  <c r="I2554" i="12"/>
  <c r="K2553" i="12"/>
  <c r="J2553" i="12"/>
  <c r="I2553" i="12"/>
  <c r="K2552" i="12"/>
  <c r="J2552" i="12"/>
  <c r="I2552" i="12"/>
  <c r="K2551" i="12"/>
  <c r="J2551" i="12"/>
  <c r="I2551" i="12"/>
  <c r="K2550" i="12"/>
  <c r="J2550" i="12"/>
  <c r="I2550" i="12"/>
  <c r="K2549" i="12"/>
  <c r="J2549" i="12"/>
  <c r="I2549" i="12"/>
  <c r="K2548" i="12"/>
  <c r="J2548" i="12"/>
  <c r="I2548" i="12"/>
  <c r="K2547" i="12"/>
  <c r="J2547" i="12"/>
  <c r="I2547" i="12"/>
  <c r="K2546" i="12"/>
  <c r="J2546" i="12"/>
  <c r="I2546" i="12"/>
  <c r="K2545" i="12"/>
  <c r="J2545" i="12"/>
  <c r="I2545" i="12"/>
  <c r="K2544" i="12"/>
  <c r="J2544" i="12"/>
  <c r="I2544" i="12"/>
  <c r="K2543" i="12"/>
  <c r="J2543" i="12"/>
  <c r="I2543" i="12"/>
  <c r="K2542" i="12"/>
  <c r="J2542" i="12"/>
  <c r="I2542" i="12"/>
  <c r="K2541" i="12"/>
  <c r="J2541" i="12"/>
  <c r="I2541" i="12"/>
  <c r="K2540" i="12"/>
  <c r="J2540" i="12"/>
  <c r="I2540" i="12"/>
  <c r="K2539" i="12"/>
  <c r="J2539" i="12"/>
  <c r="I2539" i="12"/>
  <c r="K2538" i="12"/>
  <c r="J2538" i="12"/>
  <c r="I2538" i="12"/>
  <c r="K2537" i="12"/>
  <c r="J2537" i="12"/>
  <c r="I2537" i="12"/>
  <c r="K2536" i="12"/>
  <c r="J2536" i="12"/>
  <c r="I2536" i="12"/>
  <c r="K2535" i="12"/>
  <c r="J2535" i="12"/>
  <c r="I2535" i="12"/>
  <c r="K2534" i="12"/>
  <c r="J2534" i="12"/>
  <c r="I2534" i="12"/>
  <c r="K2533" i="12"/>
  <c r="J2533" i="12"/>
  <c r="I2533" i="12"/>
  <c r="K2532" i="12"/>
  <c r="J2532" i="12"/>
  <c r="I2532" i="12"/>
  <c r="K2531" i="12"/>
  <c r="J2531" i="12"/>
  <c r="I2531" i="12"/>
  <c r="K2530" i="12"/>
  <c r="J2530" i="12"/>
  <c r="I2530" i="12"/>
  <c r="K2529" i="12"/>
  <c r="J2529" i="12"/>
  <c r="I2529" i="12"/>
  <c r="K2528" i="12"/>
  <c r="J2528" i="12"/>
  <c r="I2528" i="12"/>
  <c r="K2527" i="12"/>
  <c r="J2527" i="12"/>
  <c r="I2527" i="12"/>
  <c r="K2526" i="12"/>
  <c r="J2526" i="12"/>
  <c r="I2526" i="12"/>
  <c r="K2525" i="12"/>
  <c r="J2525" i="12"/>
  <c r="I2525" i="12"/>
  <c r="K2524" i="12"/>
  <c r="J2524" i="12"/>
  <c r="I2524" i="12"/>
  <c r="K2523" i="12"/>
  <c r="J2523" i="12"/>
  <c r="I2523" i="12"/>
  <c r="K2522" i="12"/>
  <c r="J2522" i="12"/>
  <c r="I2522" i="12"/>
  <c r="K2521" i="12"/>
  <c r="J2521" i="12"/>
  <c r="I2521" i="12"/>
  <c r="K2520" i="12"/>
  <c r="J2520" i="12"/>
  <c r="I2520" i="12"/>
  <c r="K2519" i="12"/>
  <c r="J2519" i="12"/>
  <c r="I2519" i="12"/>
  <c r="K2518" i="12"/>
  <c r="J2518" i="12"/>
  <c r="I2518" i="12"/>
  <c r="K2517" i="12"/>
  <c r="J2517" i="12"/>
  <c r="I2517" i="12"/>
  <c r="K2516" i="12"/>
  <c r="J2516" i="12"/>
  <c r="I2516" i="12"/>
  <c r="K2515" i="12"/>
  <c r="J2515" i="12"/>
  <c r="I2515" i="12"/>
  <c r="K2514" i="12"/>
  <c r="J2514" i="12"/>
  <c r="I2514" i="12"/>
  <c r="K2513" i="12"/>
  <c r="J2513" i="12"/>
  <c r="I2513" i="12"/>
  <c r="K2512" i="12"/>
  <c r="J2512" i="12"/>
  <c r="I2512" i="12"/>
  <c r="K2511" i="12"/>
  <c r="J2511" i="12"/>
  <c r="I2511" i="12"/>
  <c r="K2510" i="12"/>
  <c r="J2510" i="12"/>
  <c r="I2510" i="12"/>
  <c r="K2509" i="12"/>
  <c r="J2509" i="12"/>
  <c r="I2509" i="12"/>
  <c r="K2508" i="12"/>
  <c r="J2508" i="12"/>
  <c r="I2508" i="12"/>
  <c r="K2507" i="12"/>
  <c r="J2507" i="12"/>
  <c r="I2507" i="12"/>
  <c r="K2506" i="12"/>
  <c r="J2506" i="12"/>
  <c r="I2506" i="12"/>
  <c r="K2505" i="12"/>
  <c r="J2505" i="12"/>
  <c r="I2505" i="12"/>
  <c r="K2504" i="12"/>
  <c r="J2504" i="12"/>
  <c r="I2504" i="12"/>
  <c r="K2503" i="12"/>
  <c r="J2503" i="12"/>
  <c r="I2503" i="12"/>
  <c r="K2502" i="12"/>
  <c r="J2502" i="12"/>
  <c r="I2502" i="12"/>
  <c r="K2501" i="12"/>
  <c r="J2501" i="12"/>
  <c r="I2501" i="12"/>
  <c r="K2500" i="12"/>
  <c r="J2500" i="12"/>
  <c r="I2500" i="12"/>
  <c r="K2499" i="12"/>
  <c r="J2499" i="12"/>
  <c r="I2499" i="12"/>
  <c r="K2498" i="12"/>
  <c r="J2498" i="12"/>
  <c r="I2498" i="12"/>
  <c r="K2497" i="12"/>
  <c r="J2497" i="12"/>
  <c r="I2497" i="12"/>
  <c r="K2496" i="12"/>
  <c r="J2496" i="12"/>
  <c r="I2496" i="12"/>
  <c r="K2495" i="12"/>
  <c r="J2495" i="12"/>
  <c r="I2495" i="12"/>
  <c r="K2494" i="12"/>
  <c r="J2494" i="12"/>
  <c r="I2494" i="12"/>
  <c r="K2493" i="12"/>
  <c r="J2493" i="12"/>
  <c r="I2493" i="12"/>
  <c r="K2492" i="12"/>
  <c r="J2492" i="12"/>
  <c r="I2492" i="12"/>
  <c r="K2491" i="12"/>
  <c r="J2491" i="12"/>
  <c r="I2491" i="12"/>
  <c r="K2490" i="12"/>
  <c r="J2490" i="12"/>
  <c r="I2490" i="12"/>
  <c r="K2489" i="12"/>
  <c r="J2489" i="12"/>
  <c r="I2489" i="12"/>
  <c r="K2488" i="12"/>
  <c r="J2488" i="12"/>
  <c r="I2488" i="12"/>
  <c r="K2487" i="12"/>
  <c r="J2487" i="12"/>
  <c r="I2487" i="12"/>
  <c r="K2486" i="12"/>
  <c r="J2486" i="12"/>
  <c r="I2486" i="12"/>
  <c r="K2485" i="12"/>
  <c r="J2485" i="12"/>
  <c r="I2485" i="12"/>
  <c r="K2484" i="12"/>
  <c r="J2484" i="12"/>
  <c r="I2484" i="12"/>
  <c r="K2483" i="12"/>
  <c r="J2483" i="12"/>
  <c r="I2483" i="12"/>
  <c r="K2482" i="12"/>
  <c r="J2482" i="12"/>
  <c r="I2482" i="12"/>
  <c r="K2481" i="12"/>
  <c r="J2481" i="12"/>
  <c r="I2481" i="12"/>
  <c r="K2480" i="12"/>
  <c r="J2480" i="12"/>
  <c r="I2480" i="12"/>
  <c r="K2479" i="12"/>
  <c r="J2479" i="12"/>
  <c r="I2479" i="12"/>
  <c r="K2478" i="12"/>
  <c r="J2478" i="12"/>
  <c r="I2478" i="12"/>
  <c r="K2477" i="12"/>
  <c r="J2477" i="12"/>
  <c r="I2477" i="12"/>
  <c r="K2476" i="12"/>
  <c r="J2476" i="12"/>
  <c r="I2476" i="12"/>
  <c r="K2475" i="12"/>
  <c r="J2475" i="12"/>
  <c r="I2475" i="12"/>
  <c r="K2474" i="12"/>
  <c r="J2474" i="12"/>
  <c r="I2474" i="12"/>
  <c r="K2473" i="12"/>
  <c r="J2473" i="12"/>
  <c r="I2473" i="12"/>
  <c r="K2472" i="12"/>
  <c r="J2472" i="12"/>
  <c r="I2472" i="12"/>
  <c r="K2471" i="12"/>
  <c r="J2471" i="12"/>
  <c r="I2471" i="12"/>
  <c r="K2470" i="12"/>
  <c r="J2470" i="12"/>
  <c r="I2470" i="12"/>
  <c r="K2469" i="12"/>
  <c r="J2469" i="12"/>
  <c r="I2469" i="12"/>
  <c r="K2468" i="12"/>
  <c r="J2468" i="12"/>
  <c r="I2468" i="12"/>
  <c r="K2467" i="12"/>
  <c r="J2467" i="12"/>
  <c r="I2467" i="12"/>
  <c r="K2466" i="12"/>
  <c r="J2466" i="12"/>
  <c r="I2466" i="12"/>
  <c r="K2465" i="12"/>
  <c r="J2465" i="12"/>
  <c r="I2465" i="12"/>
  <c r="K2464" i="12"/>
  <c r="J2464" i="12"/>
  <c r="I2464" i="12"/>
  <c r="K2463" i="12"/>
  <c r="J2463" i="12"/>
  <c r="I2463" i="12"/>
  <c r="K2462" i="12"/>
  <c r="J2462" i="12"/>
  <c r="I2462" i="12"/>
  <c r="K2461" i="12"/>
  <c r="J2461" i="12"/>
  <c r="I2461" i="12"/>
  <c r="K2460" i="12"/>
  <c r="J2460" i="12"/>
  <c r="I2460" i="12"/>
  <c r="K2459" i="12"/>
  <c r="J2459" i="12"/>
  <c r="I2459" i="12"/>
  <c r="K2458" i="12"/>
  <c r="J2458" i="12"/>
  <c r="I2458" i="12"/>
  <c r="K2457" i="12"/>
  <c r="J2457" i="12"/>
  <c r="I2457" i="12"/>
  <c r="K2456" i="12"/>
  <c r="J2456" i="12"/>
  <c r="I2456" i="12"/>
  <c r="K2455" i="12"/>
  <c r="J2455" i="12"/>
  <c r="I2455" i="12"/>
  <c r="K2454" i="12"/>
  <c r="J2454" i="12"/>
  <c r="I2454" i="12"/>
  <c r="K2453" i="12"/>
  <c r="J2453" i="12"/>
  <c r="I2453" i="12"/>
  <c r="K2452" i="12"/>
  <c r="J2452" i="12"/>
  <c r="I2452" i="12"/>
  <c r="K2451" i="12"/>
  <c r="J2451" i="12"/>
  <c r="I2451" i="12"/>
  <c r="K2450" i="12"/>
  <c r="J2450" i="12"/>
  <c r="I2450" i="12"/>
  <c r="K2449" i="12"/>
  <c r="J2449" i="12"/>
  <c r="I2449" i="12"/>
  <c r="K2448" i="12"/>
  <c r="J2448" i="12"/>
  <c r="I2448" i="12"/>
  <c r="K2447" i="12"/>
  <c r="J2447" i="12"/>
  <c r="I2447" i="12"/>
  <c r="K2446" i="12"/>
  <c r="J2446" i="12"/>
  <c r="I2446" i="12"/>
  <c r="K2445" i="12"/>
  <c r="J2445" i="12"/>
  <c r="I2445" i="12"/>
  <c r="K2444" i="12"/>
  <c r="J2444" i="12"/>
  <c r="I2444" i="12"/>
  <c r="K2443" i="12"/>
  <c r="J2443" i="12"/>
  <c r="I2443" i="12"/>
  <c r="K2442" i="12"/>
  <c r="J2442" i="12"/>
  <c r="I2442" i="12"/>
  <c r="K2441" i="12"/>
  <c r="J2441" i="12"/>
  <c r="I2441" i="12"/>
  <c r="K2440" i="12"/>
  <c r="J2440" i="12"/>
  <c r="I2440" i="12"/>
  <c r="K2439" i="12"/>
  <c r="J2439" i="12"/>
  <c r="I2439" i="12"/>
  <c r="K2438" i="12"/>
  <c r="J2438" i="12"/>
  <c r="I2438" i="12"/>
  <c r="K2437" i="12"/>
  <c r="J2437" i="12"/>
  <c r="I2437" i="12"/>
  <c r="K2436" i="12"/>
  <c r="J2436" i="12"/>
  <c r="I2436" i="12"/>
  <c r="K2435" i="12"/>
  <c r="J2435" i="12"/>
  <c r="I2435" i="12"/>
  <c r="K2434" i="12"/>
  <c r="J2434" i="12"/>
  <c r="I2434" i="12"/>
  <c r="K2433" i="12"/>
  <c r="J2433" i="12"/>
  <c r="I2433" i="12"/>
  <c r="K2432" i="12"/>
  <c r="J2432" i="12"/>
  <c r="I2432" i="12"/>
  <c r="K2431" i="12"/>
  <c r="J2431" i="12"/>
  <c r="I2431" i="12"/>
  <c r="K2430" i="12"/>
  <c r="J2430" i="12"/>
  <c r="I2430" i="12"/>
  <c r="K2429" i="12"/>
  <c r="J2429" i="12"/>
  <c r="I2429" i="12"/>
  <c r="K2428" i="12"/>
  <c r="J2428" i="12"/>
  <c r="I2428" i="12"/>
  <c r="K2427" i="12"/>
  <c r="J2427" i="12"/>
  <c r="I2427" i="12"/>
  <c r="K2426" i="12"/>
  <c r="J2426" i="12"/>
  <c r="I2426" i="12"/>
  <c r="K2425" i="12"/>
  <c r="J2425" i="12"/>
  <c r="I2425" i="12"/>
  <c r="K2424" i="12"/>
  <c r="J2424" i="12"/>
  <c r="I2424" i="12"/>
  <c r="K2423" i="12"/>
  <c r="J2423" i="12"/>
  <c r="I2423" i="12"/>
  <c r="K2422" i="12"/>
  <c r="J2422" i="12"/>
  <c r="I2422" i="12"/>
  <c r="K2421" i="12"/>
  <c r="J2421" i="12"/>
  <c r="I2421" i="12"/>
  <c r="K2420" i="12"/>
  <c r="J2420" i="12"/>
  <c r="I2420" i="12"/>
  <c r="K2419" i="12"/>
  <c r="J2419" i="12"/>
  <c r="I2419" i="12"/>
  <c r="K2418" i="12"/>
  <c r="J2418" i="12"/>
  <c r="I2418" i="12"/>
  <c r="K2417" i="12"/>
  <c r="J2417" i="12"/>
  <c r="I2417" i="12"/>
  <c r="K2416" i="12"/>
  <c r="J2416" i="12"/>
  <c r="I2416" i="12"/>
  <c r="K2415" i="12"/>
  <c r="J2415" i="12"/>
  <c r="I2415" i="12"/>
  <c r="K2414" i="12"/>
  <c r="J2414" i="12"/>
  <c r="I2414" i="12"/>
  <c r="K2413" i="12"/>
  <c r="J2413" i="12"/>
  <c r="I2413" i="12"/>
  <c r="K2412" i="12"/>
  <c r="J2412" i="12"/>
  <c r="I2412" i="12"/>
  <c r="K2411" i="12"/>
  <c r="J2411" i="12"/>
  <c r="I2411" i="12"/>
  <c r="K2410" i="12"/>
  <c r="J2410" i="12"/>
  <c r="I2410" i="12"/>
  <c r="K2409" i="12"/>
  <c r="J2409" i="12"/>
  <c r="I2409" i="12"/>
  <c r="K2408" i="12"/>
  <c r="J2408" i="12"/>
  <c r="I2408" i="12"/>
  <c r="K2407" i="12"/>
  <c r="J2407" i="12"/>
  <c r="I2407" i="12"/>
  <c r="K2406" i="12"/>
  <c r="J2406" i="12"/>
  <c r="I2406" i="12"/>
  <c r="K2405" i="12"/>
  <c r="J2405" i="12"/>
  <c r="I2405" i="12"/>
  <c r="K2404" i="12"/>
  <c r="J2404" i="12"/>
  <c r="I2404" i="12"/>
  <c r="K2403" i="12"/>
  <c r="J2403" i="12"/>
  <c r="I2403" i="12"/>
  <c r="K2402" i="12"/>
  <c r="J2402" i="12"/>
  <c r="I2402" i="12"/>
  <c r="K2401" i="12"/>
  <c r="J2401" i="12"/>
  <c r="I2401" i="12"/>
  <c r="K2400" i="12"/>
  <c r="J2400" i="12"/>
  <c r="I2400" i="12"/>
  <c r="K2399" i="12"/>
  <c r="J2399" i="12"/>
  <c r="I2399" i="12"/>
  <c r="K2398" i="12"/>
  <c r="J2398" i="12"/>
  <c r="I2398" i="12"/>
  <c r="K2397" i="12"/>
  <c r="J2397" i="12"/>
  <c r="I2397" i="12"/>
  <c r="K2396" i="12"/>
  <c r="J2396" i="12"/>
  <c r="I2396" i="12"/>
  <c r="K2395" i="12"/>
  <c r="J2395" i="12"/>
  <c r="I2395" i="12"/>
  <c r="K2394" i="12"/>
  <c r="J2394" i="12"/>
  <c r="I2394" i="12"/>
  <c r="K2393" i="12"/>
  <c r="J2393" i="12"/>
  <c r="I2393" i="12"/>
  <c r="K2392" i="12"/>
  <c r="J2392" i="12"/>
  <c r="I2392" i="12"/>
  <c r="K2391" i="12"/>
  <c r="J2391" i="12"/>
  <c r="I2391" i="12"/>
  <c r="K2390" i="12"/>
  <c r="J2390" i="12"/>
  <c r="I2390" i="12"/>
  <c r="K2389" i="12"/>
  <c r="J2389" i="12"/>
  <c r="I2389" i="12"/>
  <c r="K2388" i="12"/>
  <c r="J2388" i="12"/>
  <c r="I2388" i="12"/>
  <c r="K2387" i="12"/>
  <c r="J2387" i="12"/>
  <c r="I2387" i="12"/>
  <c r="K2386" i="12"/>
  <c r="J2386" i="12"/>
  <c r="I2386" i="12"/>
  <c r="K2385" i="12"/>
  <c r="J2385" i="12"/>
  <c r="I2385" i="12"/>
  <c r="K2384" i="12"/>
  <c r="J2384" i="12"/>
  <c r="I2384" i="12"/>
  <c r="K2383" i="12"/>
  <c r="J2383" i="12"/>
  <c r="I2383" i="12"/>
  <c r="K2382" i="12"/>
  <c r="J2382" i="12"/>
  <c r="I2382" i="12"/>
  <c r="K2381" i="12"/>
  <c r="J2381" i="12"/>
  <c r="I2381" i="12"/>
  <c r="K2380" i="12"/>
  <c r="J2380" i="12"/>
  <c r="I2380" i="12"/>
  <c r="K2379" i="12"/>
  <c r="J2379" i="12"/>
  <c r="I2379" i="12"/>
  <c r="K2378" i="12"/>
  <c r="J2378" i="12"/>
  <c r="I2378" i="12"/>
  <c r="K2377" i="12"/>
  <c r="J2377" i="12"/>
  <c r="I2377" i="12"/>
  <c r="K2376" i="12"/>
  <c r="J2376" i="12"/>
  <c r="I2376" i="12"/>
  <c r="K2375" i="12"/>
  <c r="J2375" i="12"/>
  <c r="I2375" i="12"/>
  <c r="K2374" i="12"/>
  <c r="J2374" i="12"/>
  <c r="I2374" i="12"/>
  <c r="K2373" i="12"/>
  <c r="J2373" i="12"/>
  <c r="I2373" i="12"/>
  <c r="K2372" i="12"/>
  <c r="J2372" i="12"/>
  <c r="I2372" i="12"/>
  <c r="K2371" i="12"/>
  <c r="J2371" i="12"/>
  <c r="I2371" i="12"/>
  <c r="K2370" i="12"/>
  <c r="J2370" i="12"/>
  <c r="I2370" i="12"/>
  <c r="K2369" i="12"/>
  <c r="J2369" i="12"/>
  <c r="I2369" i="12"/>
  <c r="K2368" i="12"/>
  <c r="J2368" i="12"/>
  <c r="I2368" i="12"/>
  <c r="K2367" i="12"/>
  <c r="J2367" i="12"/>
  <c r="I2367" i="12"/>
  <c r="K2366" i="12"/>
  <c r="J2366" i="12"/>
  <c r="I2366" i="12"/>
  <c r="K2365" i="12"/>
  <c r="J2365" i="12"/>
  <c r="I2365" i="12"/>
  <c r="K2364" i="12"/>
  <c r="J2364" i="12"/>
  <c r="I2364" i="12"/>
  <c r="K2363" i="12"/>
  <c r="J2363" i="12"/>
  <c r="I2363" i="12"/>
  <c r="K2362" i="12"/>
  <c r="J2362" i="12"/>
  <c r="I2362" i="12"/>
  <c r="K2361" i="12"/>
  <c r="J2361" i="12"/>
  <c r="I2361" i="12"/>
  <c r="K2360" i="12"/>
  <c r="J2360" i="12"/>
  <c r="I2360" i="12"/>
  <c r="K2359" i="12"/>
  <c r="J2359" i="12"/>
  <c r="I2359" i="12"/>
  <c r="K2358" i="12"/>
  <c r="J2358" i="12"/>
  <c r="I2358" i="12"/>
  <c r="K2357" i="12"/>
  <c r="J2357" i="12"/>
  <c r="I2357" i="12"/>
  <c r="K2356" i="12"/>
  <c r="J2356" i="12"/>
  <c r="I2356" i="12"/>
  <c r="K2355" i="12"/>
  <c r="J2355" i="12"/>
  <c r="I2355" i="12"/>
  <c r="K2354" i="12"/>
  <c r="J2354" i="12"/>
  <c r="I2354" i="12"/>
  <c r="K2353" i="12"/>
  <c r="J2353" i="12"/>
  <c r="I2353" i="12"/>
  <c r="K2352" i="12"/>
  <c r="J2352" i="12"/>
  <c r="I2352" i="12"/>
  <c r="K2351" i="12"/>
  <c r="J2351" i="12"/>
  <c r="I2351" i="12"/>
  <c r="K2350" i="12"/>
  <c r="J2350" i="12"/>
  <c r="I2350" i="12"/>
  <c r="K2349" i="12"/>
  <c r="J2349" i="12"/>
  <c r="I2349" i="12"/>
  <c r="K2348" i="12"/>
  <c r="J2348" i="12"/>
  <c r="I2348" i="12"/>
  <c r="K2347" i="12"/>
  <c r="J2347" i="12"/>
  <c r="I2347" i="12"/>
  <c r="K2346" i="12"/>
  <c r="J2346" i="12"/>
  <c r="I2346" i="12"/>
  <c r="K2345" i="12"/>
  <c r="J2345" i="12"/>
  <c r="I2345" i="12"/>
  <c r="K2344" i="12"/>
  <c r="J2344" i="12"/>
  <c r="I2344" i="12"/>
  <c r="K2343" i="12"/>
  <c r="J2343" i="12"/>
  <c r="I2343" i="12"/>
  <c r="K2342" i="12"/>
  <c r="J2342" i="12"/>
  <c r="I2342" i="12"/>
  <c r="K2341" i="12"/>
  <c r="J2341" i="12"/>
  <c r="I2341" i="12"/>
  <c r="K2340" i="12"/>
  <c r="J2340" i="12"/>
  <c r="I2340" i="12"/>
  <c r="K2339" i="12"/>
  <c r="J2339" i="12"/>
  <c r="I2339" i="12"/>
  <c r="K2338" i="12"/>
  <c r="J2338" i="12"/>
  <c r="I2338" i="12"/>
  <c r="K2337" i="12"/>
  <c r="J2337" i="12"/>
  <c r="I2337" i="12"/>
  <c r="K2336" i="12"/>
  <c r="J2336" i="12"/>
  <c r="I2336" i="12"/>
  <c r="K2335" i="12"/>
  <c r="J2335" i="12"/>
  <c r="I2335" i="12"/>
  <c r="K2334" i="12"/>
  <c r="J2334" i="12"/>
  <c r="I2334" i="12"/>
  <c r="K2333" i="12"/>
  <c r="J2333" i="12"/>
  <c r="I2333" i="12"/>
  <c r="K2332" i="12"/>
  <c r="J2332" i="12"/>
  <c r="I2332" i="12"/>
  <c r="K2331" i="12"/>
  <c r="J2331" i="12"/>
  <c r="I2331" i="12"/>
  <c r="K2330" i="12"/>
  <c r="J2330" i="12"/>
  <c r="I2330" i="12"/>
  <c r="K2329" i="12"/>
  <c r="J2329" i="12"/>
  <c r="I2329" i="12"/>
  <c r="K2328" i="12"/>
  <c r="J2328" i="12"/>
  <c r="I2328" i="12"/>
  <c r="K2327" i="12"/>
  <c r="J2327" i="12"/>
  <c r="I2327" i="12"/>
  <c r="K2326" i="12"/>
  <c r="J2326" i="12"/>
  <c r="I2326" i="12"/>
  <c r="K2325" i="12"/>
  <c r="J2325" i="12"/>
  <c r="I2325" i="12"/>
  <c r="K2324" i="12"/>
  <c r="J2324" i="12"/>
  <c r="I2324" i="12"/>
  <c r="K2323" i="12"/>
  <c r="J2323" i="12"/>
  <c r="I2323" i="12"/>
  <c r="K2322" i="12"/>
  <c r="J2322" i="12"/>
  <c r="I2322" i="12"/>
  <c r="K2321" i="12"/>
  <c r="J2321" i="12"/>
  <c r="I2321" i="12"/>
  <c r="K2320" i="12"/>
  <c r="J2320" i="12"/>
  <c r="I2320" i="12"/>
  <c r="K2319" i="12"/>
  <c r="J2319" i="12"/>
  <c r="I2319" i="12"/>
  <c r="K2318" i="12"/>
  <c r="J2318" i="12"/>
  <c r="I2318" i="12"/>
  <c r="K2317" i="12"/>
  <c r="J2317" i="12"/>
  <c r="I2317" i="12"/>
  <c r="K2316" i="12"/>
  <c r="J2316" i="12"/>
  <c r="I2316" i="12"/>
  <c r="K2315" i="12"/>
  <c r="J2315" i="12"/>
  <c r="I2315" i="12"/>
  <c r="K2314" i="12"/>
  <c r="J2314" i="12"/>
  <c r="I2314" i="12"/>
  <c r="K2313" i="12"/>
  <c r="J2313" i="12"/>
  <c r="I2313" i="12"/>
  <c r="K2312" i="12"/>
  <c r="J2312" i="12"/>
  <c r="I2312" i="12"/>
  <c r="K2311" i="12"/>
  <c r="J2311" i="12"/>
  <c r="I2311" i="12"/>
  <c r="K2310" i="12"/>
  <c r="J2310" i="12"/>
  <c r="I2310" i="12"/>
  <c r="K2309" i="12"/>
  <c r="J2309" i="12"/>
  <c r="I2309" i="12"/>
  <c r="K2308" i="12"/>
  <c r="J2308" i="12"/>
  <c r="I2308" i="12"/>
  <c r="K2307" i="12"/>
  <c r="J2307" i="12"/>
  <c r="I2307" i="12"/>
  <c r="K2306" i="12"/>
  <c r="J2306" i="12"/>
  <c r="I2306" i="12"/>
  <c r="K2305" i="12"/>
  <c r="J2305" i="12"/>
  <c r="I2305" i="12"/>
  <c r="K2304" i="12"/>
  <c r="J2304" i="12"/>
  <c r="I2304" i="12"/>
  <c r="K2303" i="12"/>
  <c r="J2303" i="12"/>
  <c r="I2303" i="12"/>
  <c r="K2302" i="12"/>
  <c r="J2302" i="12"/>
  <c r="I2302" i="12"/>
  <c r="K2301" i="12"/>
  <c r="J2301" i="12"/>
  <c r="I2301" i="12"/>
  <c r="K2300" i="12"/>
  <c r="J2300" i="12"/>
  <c r="I2300" i="12"/>
  <c r="K2299" i="12"/>
  <c r="J2299" i="12"/>
  <c r="I2299" i="12"/>
  <c r="K2298" i="12"/>
  <c r="J2298" i="12"/>
  <c r="I2298" i="12"/>
  <c r="K2297" i="12"/>
  <c r="J2297" i="12"/>
  <c r="I2297" i="12"/>
  <c r="K2296" i="12"/>
  <c r="J2296" i="12"/>
  <c r="I2296" i="12"/>
  <c r="K2295" i="12"/>
  <c r="J2295" i="12"/>
  <c r="I2295" i="12"/>
  <c r="K2294" i="12"/>
  <c r="J2294" i="12"/>
  <c r="I2294" i="12"/>
  <c r="K2293" i="12"/>
  <c r="J2293" i="12"/>
  <c r="I2293" i="12"/>
  <c r="K2292" i="12"/>
  <c r="J2292" i="12"/>
  <c r="I2292" i="12"/>
  <c r="K2291" i="12"/>
  <c r="J2291" i="12"/>
  <c r="I2291" i="12"/>
  <c r="K2290" i="12"/>
  <c r="J2290" i="12"/>
  <c r="I2290" i="12"/>
  <c r="K2289" i="12"/>
  <c r="J2289" i="12"/>
  <c r="I2289" i="12"/>
  <c r="K2288" i="12"/>
  <c r="J2288" i="12"/>
  <c r="I2288" i="12"/>
  <c r="K2287" i="12"/>
  <c r="J2287" i="12"/>
  <c r="I2287" i="12"/>
  <c r="K2286" i="12"/>
  <c r="J2286" i="12"/>
  <c r="I2286" i="12"/>
  <c r="K2285" i="12"/>
  <c r="J2285" i="12"/>
  <c r="I2285" i="12"/>
  <c r="K2284" i="12"/>
  <c r="J2284" i="12"/>
  <c r="I2284" i="12"/>
  <c r="K2283" i="12"/>
  <c r="J2283" i="12"/>
  <c r="I2283" i="12"/>
  <c r="K2282" i="12"/>
  <c r="J2282" i="12"/>
  <c r="I2282" i="12"/>
  <c r="K2281" i="12"/>
  <c r="J2281" i="12"/>
  <c r="I2281" i="12"/>
  <c r="K2280" i="12"/>
  <c r="J2280" i="12"/>
  <c r="I2280" i="12"/>
  <c r="K2279" i="12"/>
  <c r="J2279" i="12"/>
  <c r="I2279" i="12"/>
  <c r="K2278" i="12"/>
  <c r="J2278" i="12"/>
  <c r="I2278" i="12"/>
  <c r="K2277" i="12"/>
  <c r="J2277" i="12"/>
  <c r="I2277" i="12"/>
  <c r="K2276" i="12"/>
  <c r="J2276" i="12"/>
  <c r="I2276" i="12"/>
  <c r="K2275" i="12"/>
  <c r="J2275" i="12"/>
  <c r="I2275" i="12"/>
  <c r="K2274" i="12"/>
  <c r="J2274" i="12"/>
  <c r="I2274" i="12"/>
  <c r="K2273" i="12"/>
  <c r="J2273" i="12"/>
  <c r="I2273" i="12"/>
  <c r="K2272" i="12"/>
  <c r="J2272" i="12"/>
  <c r="I2272" i="12"/>
  <c r="K2271" i="12"/>
  <c r="J2271" i="12"/>
  <c r="I2271" i="12"/>
  <c r="K2270" i="12"/>
  <c r="J2270" i="12"/>
  <c r="I2270" i="12"/>
  <c r="K2269" i="12"/>
  <c r="J2269" i="12"/>
  <c r="I2269" i="12"/>
  <c r="K2268" i="12"/>
  <c r="J2268" i="12"/>
  <c r="I2268" i="12"/>
  <c r="K2267" i="12"/>
  <c r="J2267" i="12"/>
  <c r="I2267" i="12"/>
  <c r="K2266" i="12"/>
  <c r="J2266" i="12"/>
  <c r="I2266" i="12"/>
  <c r="K2265" i="12"/>
  <c r="J2265" i="12"/>
  <c r="I2265" i="12"/>
  <c r="K2264" i="12"/>
  <c r="J2264" i="12"/>
  <c r="I2264" i="12"/>
  <c r="K2263" i="12"/>
  <c r="J2263" i="12"/>
  <c r="I2263" i="12"/>
  <c r="K2262" i="12"/>
  <c r="J2262" i="12"/>
  <c r="I2262" i="12"/>
  <c r="K2261" i="12"/>
  <c r="J2261" i="12"/>
  <c r="I2261" i="12"/>
  <c r="K2260" i="12"/>
  <c r="J2260" i="12"/>
  <c r="I2260" i="12"/>
  <c r="K2259" i="12"/>
  <c r="J2259" i="12"/>
  <c r="I2259" i="12"/>
  <c r="K2258" i="12"/>
  <c r="J2258" i="12"/>
  <c r="I2258" i="12"/>
  <c r="K2257" i="12"/>
  <c r="J2257" i="12"/>
  <c r="I2257" i="12"/>
  <c r="K2256" i="12"/>
  <c r="J2256" i="12"/>
  <c r="I2256" i="12"/>
  <c r="K2255" i="12"/>
  <c r="J2255" i="12"/>
  <c r="I2255" i="12"/>
  <c r="K2254" i="12"/>
  <c r="J2254" i="12"/>
  <c r="I2254" i="12"/>
  <c r="K2253" i="12"/>
  <c r="J2253" i="12"/>
  <c r="I2253" i="12"/>
  <c r="K2252" i="12"/>
  <c r="J2252" i="12"/>
  <c r="I2252" i="12"/>
  <c r="K2251" i="12"/>
  <c r="J2251" i="12"/>
  <c r="I2251" i="12"/>
  <c r="K2250" i="12"/>
  <c r="J2250" i="12"/>
  <c r="I2250" i="12"/>
  <c r="K2249" i="12"/>
  <c r="J2249" i="12"/>
  <c r="I2249" i="12"/>
  <c r="K2248" i="12"/>
  <c r="J2248" i="12"/>
  <c r="I2248" i="12"/>
  <c r="K2247" i="12"/>
  <c r="J2247" i="12"/>
  <c r="I2247" i="12"/>
  <c r="K2246" i="12"/>
  <c r="J2246" i="12"/>
  <c r="I2246" i="12"/>
  <c r="K2245" i="12"/>
  <c r="J2245" i="12"/>
  <c r="I2245" i="12"/>
  <c r="K2244" i="12"/>
  <c r="J2244" i="12"/>
  <c r="I2244" i="12"/>
  <c r="K2243" i="12"/>
  <c r="J2243" i="12"/>
  <c r="I2243" i="12"/>
  <c r="K2242" i="12"/>
  <c r="J2242" i="12"/>
  <c r="I2242" i="12"/>
  <c r="K2241" i="12"/>
  <c r="J2241" i="12"/>
  <c r="I2241" i="12"/>
  <c r="K2240" i="12"/>
  <c r="J2240" i="12"/>
  <c r="I2240" i="12"/>
  <c r="K2239" i="12"/>
  <c r="J2239" i="12"/>
  <c r="I2239" i="12"/>
  <c r="K2238" i="12"/>
  <c r="J2238" i="12"/>
  <c r="I2238" i="12"/>
  <c r="K2237" i="12"/>
  <c r="J2237" i="12"/>
  <c r="I2237" i="12"/>
  <c r="K2236" i="12"/>
  <c r="J2236" i="12"/>
  <c r="I2236" i="12"/>
  <c r="K2235" i="12"/>
  <c r="J2235" i="12"/>
  <c r="I2235" i="12"/>
  <c r="K2234" i="12"/>
  <c r="J2234" i="12"/>
  <c r="I2234" i="12"/>
  <c r="K2233" i="12"/>
  <c r="J2233" i="12"/>
  <c r="I2233" i="12"/>
  <c r="K2232" i="12"/>
  <c r="J2232" i="12"/>
  <c r="I2232" i="12"/>
  <c r="K2231" i="12"/>
  <c r="J2231" i="12"/>
  <c r="I2231" i="12"/>
  <c r="K2230" i="12"/>
  <c r="J2230" i="12"/>
  <c r="I2230" i="12"/>
  <c r="K2229" i="12"/>
  <c r="J2229" i="12"/>
  <c r="I2229" i="12"/>
  <c r="K2228" i="12"/>
  <c r="J2228" i="12"/>
  <c r="I2228" i="12"/>
  <c r="K2227" i="12"/>
  <c r="J2227" i="12"/>
  <c r="I2227" i="12"/>
  <c r="K2226" i="12"/>
  <c r="J2226" i="12"/>
  <c r="I2226" i="12"/>
  <c r="K2225" i="12"/>
  <c r="J2225" i="12"/>
  <c r="I2225" i="12"/>
  <c r="K2224" i="12"/>
  <c r="J2224" i="12"/>
  <c r="I2224" i="12"/>
  <c r="K2223" i="12"/>
  <c r="J2223" i="12"/>
  <c r="I2223" i="12"/>
  <c r="K2222" i="12"/>
  <c r="J2222" i="12"/>
  <c r="I2222" i="12"/>
  <c r="K2221" i="12"/>
  <c r="J2221" i="12"/>
  <c r="I2221" i="12"/>
  <c r="K2220" i="12"/>
  <c r="J2220" i="12"/>
  <c r="I2220" i="12"/>
  <c r="K2219" i="12"/>
  <c r="J2219" i="12"/>
  <c r="I2219" i="12"/>
  <c r="K2218" i="12"/>
  <c r="J2218" i="12"/>
  <c r="I2218" i="12"/>
  <c r="K2217" i="12"/>
  <c r="J2217" i="12"/>
  <c r="I2217" i="12"/>
  <c r="K2216" i="12"/>
  <c r="J2216" i="12"/>
  <c r="I2216" i="12"/>
  <c r="K2215" i="12"/>
  <c r="J2215" i="12"/>
  <c r="I2215" i="12"/>
  <c r="K2214" i="12"/>
  <c r="J2214" i="12"/>
  <c r="I2214" i="12"/>
  <c r="K2213" i="12"/>
  <c r="J2213" i="12"/>
  <c r="I2213" i="12"/>
  <c r="K2212" i="12"/>
  <c r="J2212" i="12"/>
  <c r="I2212" i="12"/>
  <c r="K2211" i="12"/>
  <c r="J2211" i="12"/>
  <c r="I2211" i="12"/>
  <c r="K2210" i="12"/>
  <c r="J2210" i="12"/>
  <c r="I2210" i="12"/>
  <c r="K2209" i="12"/>
  <c r="J2209" i="12"/>
  <c r="I2209" i="12"/>
  <c r="K2208" i="12"/>
  <c r="J2208" i="12"/>
  <c r="I2208" i="12"/>
  <c r="K2207" i="12"/>
  <c r="J2207" i="12"/>
  <c r="I2207" i="12"/>
  <c r="K2206" i="12"/>
  <c r="J2206" i="12"/>
  <c r="I2206" i="12"/>
  <c r="K2205" i="12"/>
  <c r="J2205" i="12"/>
  <c r="I2205" i="12"/>
  <c r="K2204" i="12"/>
  <c r="J2204" i="12"/>
  <c r="I2204" i="12"/>
  <c r="K2203" i="12"/>
  <c r="J2203" i="12"/>
  <c r="I2203" i="12"/>
  <c r="K2202" i="12"/>
  <c r="J2202" i="12"/>
  <c r="I2202" i="12"/>
  <c r="K2201" i="12"/>
  <c r="J2201" i="12"/>
  <c r="I2201" i="12"/>
  <c r="K2200" i="12"/>
  <c r="J2200" i="12"/>
  <c r="I2200" i="12"/>
  <c r="K2199" i="12"/>
  <c r="J2199" i="12"/>
  <c r="I2199" i="12"/>
  <c r="K2198" i="12"/>
  <c r="J2198" i="12"/>
  <c r="I2198" i="12"/>
  <c r="K2197" i="12"/>
  <c r="J2197" i="12"/>
  <c r="I2197" i="12"/>
  <c r="K2196" i="12"/>
  <c r="J2196" i="12"/>
  <c r="I2196" i="12"/>
  <c r="K2195" i="12"/>
  <c r="J2195" i="12"/>
  <c r="I2195" i="12"/>
  <c r="K2194" i="12"/>
  <c r="J2194" i="12"/>
  <c r="I2194" i="12"/>
  <c r="K2193" i="12"/>
  <c r="J2193" i="12"/>
  <c r="I2193" i="12"/>
  <c r="K2192" i="12"/>
  <c r="J2192" i="12"/>
  <c r="I2192" i="12"/>
  <c r="K2191" i="12"/>
  <c r="J2191" i="12"/>
  <c r="I2191" i="12"/>
  <c r="K2190" i="12"/>
  <c r="J2190" i="12"/>
  <c r="I2190" i="12"/>
  <c r="K2189" i="12"/>
  <c r="J2189" i="12"/>
  <c r="I2189" i="12"/>
  <c r="K2188" i="12"/>
  <c r="J2188" i="12"/>
  <c r="I2188" i="12"/>
  <c r="K2187" i="12"/>
  <c r="J2187" i="12"/>
  <c r="I2187" i="12"/>
  <c r="K2186" i="12"/>
  <c r="J2186" i="12"/>
  <c r="I2186" i="12"/>
  <c r="K2185" i="12"/>
  <c r="J2185" i="12"/>
  <c r="I2185" i="12"/>
  <c r="K2184" i="12"/>
  <c r="J2184" i="12"/>
  <c r="I2184" i="12"/>
  <c r="K2183" i="12"/>
  <c r="J2183" i="12"/>
  <c r="I2183" i="12"/>
  <c r="K2182" i="12"/>
  <c r="J2182" i="12"/>
  <c r="I2182" i="12"/>
  <c r="K2181" i="12"/>
  <c r="J2181" i="12"/>
  <c r="I2181" i="12"/>
  <c r="K2180" i="12"/>
  <c r="J2180" i="12"/>
  <c r="I2180" i="12"/>
  <c r="K2179" i="12"/>
  <c r="J2179" i="12"/>
  <c r="I2179" i="12"/>
  <c r="K2178" i="12"/>
  <c r="J2178" i="12"/>
  <c r="I2178" i="12"/>
  <c r="K2177" i="12"/>
  <c r="J2177" i="12"/>
  <c r="I2177" i="12"/>
  <c r="K2176" i="12"/>
  <c r="J2176" i="12"/>
  <c r="I2176" i="12"/>
  <c r="K2175" i="12"/>
  <c r="J2175" i="12"/>
  <c r="I2175" i="12"/>
  <c r="K2174" i="12"/>
  <c r="J2174" i="12"/>
  <c r="I2174" i="12"/>
  <c r="K2173" i="12"/>
  <c r="J2173" i="12"/>
  <c r="I2173" i="12"/>
  <c r="K2172" i="12"/>
  <c r="J2172" i="12"/>
  <c r="I2172" i="12"/>
  <c r="K2171" i="12"/>
  <c r="J2171" i="12"/>
  <c r="I2171" i="12"/>
  <c r="K2170" i="12"/>
  <c r="J2170" i="12"/>
  <c r="I2170" i="12"/>
  <c r="K2169" i="12"/>
  <c r="J2169" i="12"/>
  <c r="I2169" i="12"/>
  <c r="K2168" i="12"/>
  <c r="J2168" i="12"/>
  <c r="I2168" i="12"/>
  <c r="K2167" i="12"/>
  <c r="J2167" i="12"/>
  <c r="I2167" i="12"/>
  <c r="K2166" i="12"/>
  <c r="J2166" i="12"/>
  <c r="I2166" i="12"/>
  <c r="K2165" i="12"/>
  <c r="J2165" i="12"/>
  <c r="I2165" i="12"/>
  <c r="K2164" i="12"/>
  <c r="J2164" i="12"/>
  <c r="I2164" i="12"/>
  <c r="K2163" i="12"/>
  <c r="J2163" i="12"/>
  <c r="I2163" i="12"/>
  <c r="K2162" i="12"/>
  <c r="J2162" i="12"/>
  <c r="I2162" i="12"/>
  <c r="K2161" i="12"/>
  <c r="J2161" i="12"/>
  <c r="I2161" i="12"/>
  <c r="K2160" i="12"/>
  <c r="J2160" i="12"/>
  <c r="I2160" i="12"/>
  <c r="K2159" i="12"/>
  <c r="J2159" i="12"/>
  <c r="I2159" i="12"/>
  <c r="K2158" i="12"/>
  <c r="J2158" i="12"/>
  <c r="I2158" i="12"/>
  <c r="K2157" i="12"/>
  <c r="J2157" i="12"/>
  <c r="I2157" i="12"/>
  <c r="K2156" i="12"/>
  <c r="J2156" i="12"/>
  <c r="I2156" i="12"/>
  <c r="K2155" i="12"/>
  <c r="J2155" i="12"/>
  <c r="I2155" i="12"/>
  <c r="K2154" i="12"/>
  <c r="J2154" i="12"/>
  <c r="I2154" i="12"/>
  <c r="K2153" i="12"/>
  <c r="J2153" i="12"/>
  <c r="I2153" i="12"/>
  <c r="K2152" i="12"/>
  <c r="J2152" i="12"/>
  <c r="I2152" i="12"/>
  <c r="K2151" i="12"/>
  <c r="J2151" i="12"/>
  <c r="I2151" i="12"/>
  <c r="K2150" i="12"/>
  <c r="J2150" i="12"/>
  <c r="I2150" i="12"/>
  <c r="K2149" i="12"/>
  <c r="J2149" i="12"/>
  <c r="I2149" i="12"/>
  <c r="K2148" i="12"/>
  <c r="J2148" i="12"/>
  <c r="I2148" i="12"/>
  <c r="K2147" i="12"/>
  <c r="J2147" i="12"/>
  <c r="I2147" i="12"/>
  <c r="K2146" i="12"/>
  <c r="J2146" i="12"/>
  <c r="I2146" i="12"/>
  <c r="K2145" i="12"/>
  <c r="J2145" i="12"/>
  <c r="I2145" i="12"/>
  <c r="K2144" i="12"/>
  <c r="J2144" i="12"/>
  <c r="I2144" i="12"/>
  <c r="K2143" i="12"/>
  <c r="J2143" i="12"/>
  <c r="I2143" i="12"/>
  <c r="K2142" i="12"/>
  <c r="J2142" i="12"/>
  <c r="I2142" i="12"/>
  <c r="K2141" i="12"/>
  <c r="J2141" i="12"/>
  <c r="I2141" i="12"/>
  <c r="K2140" i="12"/>
  <c r="J2140" i="12"/>
  <c r="I2140" i="12"/>
  <c r="K2139" i="12"/>
  <c r="J2139" i="12"/>
  <c r="I2139" i="12"/>
  <c r="K2138" i="12"/>
  <c r="J2138" i="12"/>
  <c r="I2138" i="12"/>
  <c r="K2137" i="12"/>
  <c r="J2137" i="12"/>
  <c r="I2137" i="12"/>
  <c r="K2136" i="12"/>
  <c r="J2136" i="12"/>
  <c r="I2136" i="12"/>
  <c r="K2135" i="12"/>
  <c r="J2135" i="12"/>
  <c r="I2135" i="12"/>
  <c r="K2134" i="12"/>
  <c r="J2134" i="12"/>
  <c r="I2134" i="12"/>
  <c r="K2133" i="12"/>
  <c r="J2133" i="12"/>
  <c r="I2133" i="12"/>
  <c r="K2132" i="12"/>
  <c r="J2132" i="12"/>
  <c r="I2132" i="12"/>
  <c r="K2131" i="12"/>
  <c r="J2131" i="12"/>
  <c r="I2131" i="12"/>
  <c r="K2130" i="12"/>
  <c r="J2130" i="12"/>
  <c r="I2130" i="12"/>
  <c r="K2129" i="12"/>
  <c r="J2129" i="12"/>
  <c r="I2129" i="12"/>
  <c r="K2128" i="12"/>
  <c r="J2128" i="12"/>
  <c r="I2128" i="12"/>
  <c r="K2127" i="12"/>
  <c r="J2127" i="12"/>
  <c r="I2127" i="12"/>
  <c r="K2126" i="12"/>
  <c r="J2126" i="12"/>
  <c r="I2126" i="12"/>
  <c r="K2125" i="12"/>
  <c r="J2125" i="12"/>
  <c r="I2125" i="12"/>
  <c r="K2124" i="12"/>
  <c r="J2124" i="12"/>
  <c r="I2124" i="12"/>
  <c r="K2123" i="12"/>
  <c r="J2123" i="12"/>
  <c r="I2123" i="12"/>
  <c r="K2122" i="12"/>
  <c r="J2122" i="12"/>
  <c r="I2122" i="12"/>
  <c r="K2121" i="12"/>
  <c r="J2121" i="12"/>
  <c r="I2121" i="12"/>
  <c r="K2120" i="12"/>
  <c r="J2120" i="12"/>
  <c r="I2120" i="12"/>
  <c r="K2119" i="12"/>
  <c r="J2119" i="12"/>
  <c r="I2119" i="12"/>
  <c r="K2118" i="12"/>
  <c r="J2118" i="12"/>
  <c r="I2118" i="12"/>
  <c r="K2117" i="12"/>
  <c r="J2117" i="12"/>
  <c r="I2117" i="12"/>
  <c r="K2116" i="12"/>
  <c r="J2116" i="12"/>
  <c r="I2116" i="12"/>
  <c r="K2115" i="12"/>
  <c r="J2115" i="12"/>
  <c r="I2115" i="12"/>
  <c r="K2114" i="12"/>
  <c r="J2114" i="12"/>
  <c r="I2114" i="12"/>
  <c r="K2113" i="12"/>
  <c r="J2113" i="12"/>
  <c r="I2113" i="12"/>
  <c r="K2112" i="12"/>
  <c r="J2112" i="12"/>
  <c r="I2112" i="12"/>
  <c r="K2111" i="12"/>
  <c r="J2111" i="12"/>
  <c r="I2111" i="12"/>
  <c r="K2110" i="12"/>
  <c r="J2110" i="12"/>
  <c r="I2110" i="12"/>
  <c r="K2109" i="12"/>
  <c r="J2109" i="12"/>
  <c r="I2109" i="12"/>
  <c r="K2108" i="12"/>
  <c r="J2108" i="12"/>
  <c r="I2108" i="12"/>
  <c r="K2107" i="12"/>
  <c r="J2107" i="12"/>
  <c r="I2107" i="12"/>
  <c r="K2106" i="12"/>
  <c r="J2106" i="12"/>
  <c r="I2106" i="12"/>
  <c r="K2105" i="12"/>
  <c r="J2105" i="12"/>
  <c r="I2105" i="12"/>
  <c r="K2104" i="12"/>
  <c r="J2104" i="12"/>
  <c r="I2104" i="12"/>
  <c r="K2103" i="12"/>
  <c r="J2103" i="12"/>
  <c r="I2103" i="12"/>
  <c r="K2102" i="12"/>
  <c r="J2102" i="12"/>
  <c r="I2102" i="12"/>
  <c r="K2101" i="12"/>
  <c r="J2101" i="12"/>
  <c r="I2101" i="12"/>
  <c r="K2100" i="12"/>
  <c r="J2100" i="12"/>
  <c r="I2100" i="12"/>
  <c r="K2099" i="12"/>
  <c r="J2099" i="12"/>
  <c r="I2099" i="12"/>
  <c r="K2098" i="12"/>
  <c r="J2098" i="12"/>
  <c r="I2098" i="12"/>
  <c r="K2097" i="12"/>
  <c r="J2097" i="12"/>
  <c r="I2097" i="12"/>
  <c r="K2096" i="12"/>
  <c r="J2096" i="12"/>
  <c r="I2096" i="12"/>
  <c r="K2095" i="12"/>
  <c r="J2095" i="12"/>
  <c r="I2095" i="12"/>
  <c r="K2094" i="12"/>
  <c r="J2094" i="12"/>
  <c r="I2094" i="12"/>
  <c r="K2093" i="12"/>
  <c r="J2093" i="12"/>
  <c r="I2093" i="12"/>
  <c r="K2092" i="12"/>
  <c r="J2092" i="12"/>
  <c r="I2092" i="12"/>
  <c r="K2091" i="12"/>
  <c r="J2091" i="12"/>
  <c r="I2091" i="12"/>
  <c r="K2090" i="12"/>
  <c r="J2090" i="12"/>
  <c r="I2090" i="12"/>
  <c r="K2089" i="12"/>
  <c r="J2089" i="12"/>
  <c r="I2089" i="12"/>
  <c r="K2088" i="12"/>
  <c r="J2088" i="12"/>
  <c r="I2088" i="12"/>
  <c r="K2087" i="12"/>
  <c r="J2087" i="12"/>
  <c r="I2087" i="12"/>
  <c r="K2086" i="12"/>
  <c r="J2086" i="12"/>
  <c r="I2086" i="12"/>
  <c r="K2085" i="12"/>
  <c r="J2085" i="12"/>
  <c r="I2085" i="12"/>
  <c r="K2084" i="12"/>
  <c r="J2084" i="12"/>
  <c r="I2084" i="12"/>
  <c r="K2083" i="12"/>
  <c r="J2083" i="12"/>
  <c r="I2083" i="12"/>
  <c r="K2082" i="12"/>
  <c r="J2082" i="12"/>
  <c r="I2082" i="12"/>
  <c r="K2081" i="12"/>
  <c r="J2081" i="12"/>
  <c r="I2081" i="12"/>
  <c r="K2080" i="12"/>
  <c r="J2080" i="12"/>
  <c r="I2080" i="12"/>
  <c r="K2079" i="12"/>
  <c r="J2079" i="12"/>
  <c r="I2079" i="12"/>
  <c r="K2078" i="12"/>
  <c r="J2078" i="12"/>
  <c r="I2078" i="12"/>
  <c r="K2077" i="12"/>
  <c r="J2077" i="12"/>
  <c r="I2077" i="12"/>
  <c r="K2076" i="12"/>
  <c r="J2076" i="12"/>
  <c r="I2076" i="12"/>
  <c r="K2075" i="12"/>
  <c r="J2075" i="12"/>
  <c r="I2075" i="12"/>
  <c r="K2074" i="12"/>
  <c r="J2074" i="12"/>
  <c r="I2074" i="12"/>
  <c r="K2073" i="12"/>
  <c r="J2073" i="12"/>
  <c r="I2073" i="12"/>
  <c r="K2072" i="12"/>
  <c r="J2072" i="12"/>
  <c r="I2072" i="12"/>
  <c r="K2071" i="12"/>
  <c r="J2071" i="12"/>
  <c r="I2071" i="12"/>
  <c r="K2070" i="12"/>
  <c r="J2070" i="12"/>
  <c r="I2070" i="12"/>
  <c r="K2069" i="12"/>
  <c r="J2069" i="12"/>
  <c r="I2069" i="12"/>
  <c r="K2068" i="12"/>
  <c r="J2068" i="12"/>
  <c r="I2068" i="12"/>
  <c r="K2067" i="12"/>
  <c r="J2067" i="12"/>
  <c r="I2067" i="12"/>
  <c r="K2066" i="12"/>
  <c r="J2066" i="12"/>
  <c r="I2066" i="12"/>
  <c r="K2065" i="12"/>
  <c r="J2065" i="12"/>
  <c r="I2065" i="12"/>
  <c r="K2064" i="12"/>
  <c r="J2064" i="12"/>
  <c r="I2064" i="12"/>
  <c r="K2063" i="12"/>
  <c r="J2063" i="12"/>
  <c r="I2063" i="12"/>
  <c r="K2062" i="12"/>
  <c r="J2062" i="12"/>
  <c r="I2062" i="12"/>
  <c r="K2061" i="12"/>
  <c r="J2061" i="12"/>
  <c r="I2061" i="12"/>
  <c r="K2060" i="12"/>
  <c r="J2060" i="12"/>
  <c r="I2060" i="12"/>
  <c r="K2059" i="12"/>
  <c r="J2059" i="12"/>
  <c r="I2059" i="12"/>
  <c r="K2058" i="12"/>
  <c r="J2058" i="12"/>
  <c r="I2058" i="12"/>
  <c r="K2057" i="12"/>
  <c r="J2057" i="12"/>
  <c r="I2057" i="12"/>
  <c r="K2056" i="12"/>
  <c r="J2056" i="12"/>
  <c r="I2056" i="12"/>
  <c r="K2055" i="12"/>
  <c r="J2055" i="12"/>
  <c r="I2055" i="12"/>
  <c r="K2054" i="12"/>
  <c r="J2054" i="12"/>
  <c r="I2054" i="12"/>
  <c r="K2053" i="12"/>
  <c r="J2053" i="12"/>
  <c r="I2053" i="12"/>
  <c r="K2052" i="12"/>
  <c r="J2052" i="12"/>
  <c r="I2052" i="12"/>
  <c r="K2051" i="12"/>
  <c r="J2051" i="12"/>
  <c r="I2051" i="12"/>
  <c r="K2050" i="12"/>
  <c r="J2050" i="12"/>
  <c r="I2050" i="12"/>
  <c r="K2049" i="12"/>
  <c r="J2049" i="12"/>
  <c r="I2049" i="12"/>
  <c r="K2048" i="12"/>
  <c r="J2048" i="12"/>
  <c r="I2048" i="12"/>
  <c r="K2047" i="12"/>
  <c r="J2047" i="12"/>
  <c r="I2047" i="12"/>
  <c r="K2046" i="12"/>
  <c r="J2046" i="12"/>
  <c r="I2046" i="12"/>
  <c r="K2045" i="12"/>
  <c r="J2045" i="12"/>
  <c r="I2045" i="12"/>
  <c r="K2044" i="12"/>
  <c r="J2044" i="12"/>
  <c r="I2044" i="12"/>
  <c r="K2043" i="12"/>
  <c r="J2043" i="12"/>
  <c r="I2043" i="12"/>
  <c r="K2042" i="12"/>
  <c r="J2042" i="12"/>
  <c r="I2042" i="12"/>
  <c r="K2041" i="12"/>
  <c r="J2041" i="12"/>
  <c r="I2041" i="12"/>
  <c r="K2040" i="12"/>
  <c r="J2040" i="12"/>
  <c r="I2040" i="12"/>
  <c r="K2039" i="12"/>
  <c r="J2039" i="12"/>
  <c r="I2039" i="12"/>
  <c r="K2038" i="12"/>
  <c r="J2038" i="12"/>
  <c r="I2038" i="12"/>
  <c r="K2037" i="12"/>
  <c r="J2037" i="12"/>
  <c r="I2037" i="12"/>
  <c r="K2036" i="12"/>
  <c r="J2036" i="12"/>
  <c r="I2036" i="12"/>
  <c r="K2035" i="12"/>
  <c r="J2035" i="12"/>
  <c r="I2035" i="12"/>
  <c r="K2034" i="12"/>
  <c r="J2034" i="12"/>
  <c r="I2034" i="12"/>
  <c r="K2033" i="12"/>
  <c r="J2033" i="12"/>
  <c r="I2033" i="12"/>
  <c r="K2032" i="12"/>
  <c r="J2032" i="12"/>
  <c r="I2032" i="12"/>
  <c r="K2031" i="12"/>
  <c r="J2031" i="12"/>
  <c r="I2031" i="12"/>
  <c r="K2030" i="12"/>
  <c r="J2030" i="12"/>
  <c r="I2030" i="12"/>
  <c r="K2029" i="12"/>
  <c r="J2029" i="12"/>
  <c r="I2029" i="12"/>
  <c r="K2028" i="12"/>
  <c r="J2028" i="12"/>
  <c r="I2028" i="12"/>
  <c r="K2027" i="12"/>
  <c r="J2027" i="12"/>
  <c r="I2027" i="12"/>
  <c r="K2026" i="12"/>
  <c r="J2026" i="12"/>
  <c r="I2026" i="12"/>
  <c r="K2025" i="12"/>
  <c r="J2025" i="12"/>
  <c r="I2025" i="12"/>
  <c r="K2024" i="12"/>
  <c r="J2024" i="12"/>
  <c r="I2024" i="12"/>
  <c r="K2023" i="12"/>
  <c r="J2023" i="12"/>
  <c r="I2023" i="12"/>
  <c r="K2022" i="12"/>
  <c r="J2022" i="12"/>
  <c r="I2022" i="12"/>
  <c r="K2021" i="12"/>
  <c r="J2021" i="12"/>
  <c r="I2021" i="12"/>
  <c r="K2020" i="12"/>
  <c r="J2020" i="12"/>
  <c r="I2020" i="12"/>
  <c r="K2019" i="12"/>
  <c r="J2019" i="12"/>
  <c r="I2019" i="12"/>
  <c r="K2018" i="12"/>
  <c r="J2018" i="12"/>
  <c r="I2018" i="12"/>
  <c r="K2017" i="12"/>
  <c r="J2017" i="12"/>
  <c r="I2017" i="12"/>
  <c r="K2016" i="12"/>
  <c r="J2016" i="12"/>
  <c r="I2016" i="12"/>
  <c r="K2015" i="12"/>
  <c r="J2015" i="12"/>
  <c r="I2015" i="12"/>
  <c r="K2014" i="12"/>
  <c r="J2014" i="12"/>
  <c r="I2014" i="12"/>
  <c r="K2013" i="12"/>
  <c r="J2013" i="12"/>
  <c r="I2013" i="12"/>
  <c r="K2012" i="12"/>
  <c r="J2012" i="12"/>
  <c r="I2012" i="12"/>
  <c r="K2011" i="12"/>
  <c r="J2011" i="12"/>
  <c r="I2011" i="12"/>
  <c r="K2010" i="12"/>
  <c r="J2010" i="12"/>
  <c r="I2010" i="12"/>
  <c r="K2009" i="12"/>
  <c r="J2009" i="12"/>
  <c r="I2009" i="12"/>
  <c r="K2008" i="12"/>
  <c r="J2008" i="12"/>
  <c r="I2008" i="12"/>
  <c r="K2007" i="12"/>
  <c r="J2007" i="12"/>
  <c r="I2007" i="12"/>
  <c r="K2006" i="12"/>
  <c r="J2006" i="12"/>
  <c r="I2006" i="12"/>
  <c r="K2005" i="12"/>
  <c r="J2005" i="12"/>
  <c r="I2005" i="12"/>
  <c r="K2004" i="12"/>
  <c r="J2004" i="12"/>
  <c r="I2004" i="12"/>
  <c r="K2003" i="12"/>
  <c r="J2003" i="12"/>
  <c r="I2003" i="12"/>
  <c r="K2002" i="12"/>
  <c r="J2002" i="12"/>
  <c r="I2002" i="12"/>
  <c r="K2001" i="12"/>
  <c r="J2001" i="12"/>
  <c r="I2001" i="12"/>
  <c r="K2000" i="12"/>
  <c r="J2000" i="12"/>
  <c r="I2000" i="12"/>
  <c r="K1999" i="12"/>
  <c r="J1999" i="12"/>
  <c r="I1999" i="12"/>
  <c r="K1998" i="12"/>
  <c r="J1998" i="12"/>
  <c r="I1998" i="12"/>
  <c r="K1997" i="12"/>
  <c r="J1997" i="12"/>
  <c r="I1997" i="12"/>
  <c r="K1996" i="12"/>
  <c r="J1996" i="12"/>
  <c r="I1996" i="12"/>
  <c r="K1995" i="12"/>
  <c r="J1995" i="12"/>
  <c r="I1995" i="12"/>
  <c r="K1994" i="12"/>
  <c r="J1994" i="12"/>
  <c r="I1994" i="12"/>
  <c r="K1993" i="12"/>
  <c r="J1993" i="12"/>
  <c r="I1993" i="12"/>
  <c r="K1992" i="12"/>
  <c r="J1992" i="12"/>
  <c r="I1992" i="12"/>
  <c r="K1991" i="12"/>
  <c r="J1991" i="12"/>
  <c r="I1991" i="12"/>
  <c r="K1990" i="12"/>
  <c r="J1990" i="12"/>
  <c r="I1990" i="12"/>
  <c r="K1989" i="12"/>
  <c r="J1989" i="12"/>
  <c r="I1989" i="12"/>
  <c r="K1988" i="12"/>
  <c r="J1988" i="12"/>
  <c r="I1988" i="12"/>
  <c r="K1987" i="12"/>
  <c r="J1987" i="12"/>
  <c r="I1987" i="12"/>
  <c r="K1986" i="12"/>
  <c r="J1986" i="12"/>
  <c r="I1986" i="12"/>
  <c r="K1985" i="12"/>
  <c r="J1985" i="12"/>
  <c r="I1985" i="12"/>
  <c r="K1984" i="12"/>
  <c r="J1984" i="12"/>
  <c r="I1984" i="12"/>
  <c r="K1983" i="12"/>
  <c r="J1983" i="12"/>
  <c r="I1983" i="12"/>
  <c r="K1982" i="12"/>
  <c r="J1982" i="12"/>
  <c r="I1982" i="12"/>
  <c r="K1981" i="12"/>
  <c r="J1981" i="12"/>
  <c r="I1981" i="12"/>
  <c r="K1980" i="12"/>
  <c r="J1980" i="12"/>
  <c r="I1980" i="12"/>
  <c r="K1979" i="12"/>
  <c r="J1979" i="12"/>
  <c r="I1979" i="12"/>
  <c r="K1978" i="12"/>
  <c r="J1978" i="12"/>
  <c r="I1978" i="12"/>
  <c r="K1977" i="12"/>
  <c r="J1977" i="12"/>
  <c r="I1977" i="12"/>
  <c r="K1976" i="12"/>
  <c r="J1976" i="12"/>
  <c r="I1976" i="12"/>
  <c r="K1975" i="12"/>
  <c r="J1975" i="12"/>
  <c r="I1975" i="12"/>
  <c r="K1974" i="12"/>
  <c r="J1974" i="12"/>
  <c r="I1974" i="12"/>
  <c r="K1973" i="12"/>
  <c r="J1973" i="12"/>
  <c r="I1973" i="12"/>
  <c r="K1972" i="12"/>
  <c r="J1972" i="12"/>
  <c r="I1972" i="12"/>
  <c r="K1971" i="12"/>
  <c r="J1971" i="12"/>
  <c r="I1971" i="12"/>
  <c r="K1970" i="12"/>
  <c r="J1970" i="12"/>
  <c r="I1970" i="12"/>
  <c r="K1969" i="12"/>
  <c r="J1969" i="12"/>
  <c r="I1969" i="12"/>
  <c r="K1968" i="12"/>
  <c r="J1968" i="12"/>
  <c r="I1968" i="12"/>
  <c r="K1967" i="12"/>
  <c r="J1967" i="12"/>
  <c r="I1967" i="12"/>
  <c r="K1966" i="12"/>
  <c r="J1966" i="12"/>
  <c r="I1966" i="12"/>
  <c r="K1965" i="12"/>
  <c r="J1965" i="12"/>
  <c r="I1965" i="12"/>
  <c r="K1964" i="12"/>
  <c r="J1964" i="12"/>
  <c r="I1964" i="12"/>
  <c r="K1963" i="12"/>
  <c r="J1963" i="12"/>
  <c r="I1963" i="12"/>
  <c r="K1962" i="12"/>
  <c r="J1962" i="12"/>
  <c r="I1962" i="12"/>
  <c r="K1961" i="12"/>
  <c r="J1961" i="12"/>
  <c r="I1961" i="12"/>
  <c r="K1960" i="12"/>
  <c r="J1960" i="12"/>
  <c r="I1960" i="12"/>
  <c r="K1959" i="12"/>
  <c r="J1959" i="12"/>
  <c r="I1959" i="12"/>
  <c r="K1958" i="12"/>
  <c r="J1958" i="12"/>
  <c r="I1958" i="12"/>
  <c r="K1957" i="12"/>
  <c r="J1957" i="12"/>
  <c r="I1957" i="12"/>
  <c r="K1956" i="12"/>
  <c r="J1956" i="12"/>
  <c r="I1956" i="12"/>
  <c r="K1955" i="12"/>
  <c r="J1955" i="12"/>
  <c r="I1955" i="12"/>
  <c r="K1954" i="12"/>
  <c r="J1954" i="12"/>
  <c r="I1954" i="12"/>
  <c r="K1953" i="12"/>
  <c r="J1953" i="12"/>
  <c r="I1953" i="12"/>
  <c r="K1952" i="12"/>
  <c r="J1952" i="12"/>
  <c r="I1952" i="12"/>
  <c r="K1951" i="12"/>
  <c r="J1951" i="12"/>
  <c r="I1951" i="12"/>
  <c r="K1950" i="12"/>
  <c r="J1950" i="12"/>
  <c r="I1950" i="12"/>
  <c r="K1949" i="12"/>
  <c r="J1949" i="12"/>
  <c r="I1949" i="12"/>
  <c r="K1948" i="12"/>
  <c r="J1948" i="12"/>
  <c r="I1948" i="12"/>
  <c r="K1947" i="12"/>
  <c r="J1947" i="12"/>
  <c r="I1947" i="12"/>
  <c r="K1946" i="12"/>
  <c r="J1946" i="12"/>
  <c r="I1946" i="12"/>
  <c r="K1945" i="12"/>
  <c r="J1945" i="12"/>
  <c r="I1945" i="12"/>
  <c r="K1944" i="12"/>
  <c r="J1944" i="12"/>
  <c r="I1944" i="12"/>
  <c r="K1943" i="12"/>
  <c r="J1943" i="12"/>
  <c r="I1943" i="12"/>
  <c r="K1942" i="12"/>
  <c r="J1942" i="12"/>
  <c r="I1942" i="12"/>
  <c r="K1941" i="12"/>
  <c r="J1941" i="12"/>
  <c r="I1941" i="12"/>
  <c r="K1940" i="12"/>
  <c r="J1940" i="12"/>
  <c r="I1940" i="12"/>
  <c r="K1939" i="12"/>
  <c r="J1939" i="12"/>
  <c r="I1939" i="12"/>
  <c r="K1938" i="12"/>
  <c r="J1938" i="12"/>
  <c r="I1938" i="12"/>
  <c r="K1937" i="12"/>
  <c r="J1937" i="12"/>
  <c r="I1937" i="12"/>
  <c r="K1936" i="12"/>
  <c r="J1936" i="12"/>
  <c r="I1936" i="12"/>
  <c r="K1935" i="12"/>
  <c r="J1935" i="12"/>
  <c r="I1935" i="12"/>
  <c r="K1934" i="12"/>
  <c r="J1934" i="12"/>
  <c r="I1934" i="12"/>
  <c r="K1933" i="12"/>
  <c r="J1933" i="12"/>
  <c r="I1933" i="12"/>
  <c r="K1932" i="12"/>
  <c r="J1932" i="12"/>
  <c r="I1932" i="12"/>
  <c r="K1931" i="12"/>
  <c r="J1931" i="12"/>
  <c r="I1931" i="12"/>
  <c r="K1930" i="12"/>
  <c r="J1930" i="12"/>
  <c r="I1930" i="12"/>
  <c r="K1929" i="12"/>
  <c r="J1929" i="12"/>
  <c r="I1929" i="12"/>
  <c r="K1928" i="12"/>
  <c r="J1928" i="12"/>
  <c r="I1928" i="12"/>
  <c r="K1927" i="12"/>
  <c r="J1927" i="12"/>
  <c r="I1927" i="12"/>
  <c r="K1926" i="12"/>
  <c r="J1926" i="12"/>
  <c r="I1926" i="12"/>
  <c r="K1925" i="12"/>
  <c r="J1925" i="12"/>
  <c r="I1925" i="12"/>
  <c r="K1924" i="12"/>
  <c r="J1924" i="12"/>
  <c r="I1924" i="12"/>
  <c r="K1923" i="12"/>
  <c r="J1923" i="12"/>
  <c r="I1923" i="12"/>
  <c r="K1922" i="12"/>
  <c r="J1922" i="12"/>
  <c r="I1922" i="12"/>
  <c r="K1921" i="12"/>
  <c r="J1921" i="12"/>
  <c r="I1921" i="12"/>
  <c r="K1920" i="12"/>
  <c r="J1920" i="12"/>
  <c r="I1920" i="12"/>
  <c r="K1919" i="12"/>
  <c r="J1919" i="12"/>
  <c r="I1919" i="12"/>
  <c r="K1918" i="12"/>
  <c r="J1918" i="12"/>
  <c r="I1918" i="12"/>
  <c r="K1917" i="12"/>
  <c r="J1917" i="12"/>
  <c r="I1917" i="12"/>
  <c r="K1916" i="12"/>
  <c r="J1916" i="12"/>
  <c r="I1916" i="12"/>
  <c r="K1915" i="12"/>
  <c r="J1915" i="12"/>
  <c r="I1915" i="12"/>
  <c r="K1914" i="12"/>
  <c r="J1914" i="12"/>
  <c r="I1914" i="12"/>
  <c r="K1913" i="12"/>
  <c r="J1913" i="12"/>
  <c r="I1913" i="12"/>
  <c r="K1912" i="12"/>
  <c r="J1912" i="12"/>
  <c r="I1912" i="12"/>
  <c r="K1911" i="12"/>
  <c r="J1911" i="12"/>
  <c r="I1911" i="12"/>
  <c r="K1910" i="12"/>
  <c r="J1910" i="12"/>
  <c r="I1910" i="12"/>
  <c r="K1909" i="12"/>
  <c r="J1909" i="12"/>
  <c r="I1909" i="12"/>
  <c r="K1908" i="12"/>
  <c r="J1908" i="12"/>
  <c r="I1908" i="12"/>
  <c r="K1907" i="12"/>
  <c r="J1907" i="12"/>
  <c r="I1907" i="12"/>
  <c r="K1906" i="12"/>
  <c r="J1906" i="12"/>
  <c r="I1906" i="12"/>
  <c r="K1905" i="12"/>
  <c r="J1905" i="12"/>
  <c r="I1905" i="12"/>
  <c r="K1904" i="12"/>
  <c r="J1904" i="12"/>
  <c r="I1904" i="12"/>
  <c r="K1903" i="12"/>
  <c r="J1903" i="12"/>
  <c r="I1903" i="12"/>
  <c r="K1902" i="12"/>
  <c r="J1902" i="12"/>
  <c r="I1902" i="12"/>
  <c r="K1901" i="12"/>
  <c r="J1901" i="12"/>
  <c r="I1901" i="12"/>
  <c r="K1900" i="12"/>
  <c r="J1900" i="12"/>
  <c r="I1900" i="12"/>
  <c r="K1899" i="12"/>
  <c r="J1899" i="12"/>
  <c r="I1899" i="12"/>
  <c r="K1898" i="12"/>
  <c r="J1898" i="12"/>
  <c r="I1898" i="12"/>
  <c r="K1897" i="12"/>
  <c r="J1897" i="12"/>
  <c r="I1897" i="12"/>
  <c r="K1896" i="12"/>
  <c r="J1896" i="12"/>
  <c r="I1896" i="12"/>
  <c r="K1895" i="12"/>
  <c r="J1895" i="12"/>
  <c r="I1895" i="12"/>
  <c r="K1894" i="12"/>
  <c r="J1894" i="12"/>
  <c r="I1894" i="12"/>
  <c r="K1893" i="12"/>
  <c r="J1893" i="12"/>
  <c r="I1893" i="12"/>
  <c r="K1892" i="12"/>
  <c r="J1892" i="12"/>
  <c r="I1892" i="12"/>
  <c r="K1891" i="12"/>
  <c r="J1891" i="12"/>
  <c r="I1891" i="12"/>
  <c r="K1890" i="12"/>
  <c r="J1890" i="12"/>
  <c r="I1890" i="12"/>
  <c r="K1889" i="12"/>
  <c r="J1889" i="12"/>
  <c r="I1889" i="12"/>
  <c r="K1888" i="12"/>
  <c r="J1888" i="12"/>
  <c r="I1888" i="12"/>
  <c r="K1887" i="12"/>
  <c r="J1887" i="12"/>
  <c r="I1887" i="12"/>
  <c r="K1886" i="12"/>
  <c r="J1886" i="12"/>
  <c r="I1886" i="12"/>
  <c r="K1885" i="12"/>
  <c r="J1885" i="12"/>
  <c r="I1885" i="12"/>
  <c r="K1884" i="12"/>
  <c r="J1884" i="12"/>
  <c r="I1884" i="12"/>
  <c r="K1883" i="12"/>
  <c r="J1883" i="12"/>
  <c r="I1883" i="12"/>
  <c r="K1882" i="12"/>
  <c r="J1882" i="12"/>
  <c r="I1882" i="12"/>
  <c r="K1881" i="12"/>
  <c r="J1881" i="12"/>
  <c r="I1881" i="12"/>
  <c r="K1880" i="12"/>
  <c r="J1880" i="12"/>
  <c r="I1880" i="12"/>
  <c r="K1879" i="12"/>
  <c r="J1879" i="12"/>
  <c r="I1879" i="12"/>
  <c r="K1878" i="12"/>
  <c r="J1878" i="12"/>
  <c r="I1878" i="12"/>
  <c r="K1877" i="12"/>
  <c r="J1877" i="12"/>
  <c r="I1877" i="12"/>
  <c r="K1876" i="12"/>
  <c r="J1876" i="12"/>
  <c r="I1876" i="12"/>
  <c r="K1875" i="12"/>
  <c r="J1875" i="12"/>
  <c r="I1875" i="12"/>
  <c r="K1874" i="12"/>
  <c r="J1874" i="12"/>
  <c r="I1874" i="12"/>
  <c r="K1873" i="12"/>
  <c r="J1873" i="12"/>
  <c r="I1873" i="12"/>
  <c r="K1872" i="12"/>
  <c r="J1872" i="12"/>
  <c r="I1872" i="12"/>
  <c r="K1871" i="12"/>
  <c r="J1871" i="12"/>
  <c r="I1871" i="12"/>
  <c r="K1870" i="12"/>
  <c r="J1870" i="12"/>
  <c r="I1870" i="12"/>
  <c r="K1869" i="12"/>
  <c r="J1869" i="12"/>
  <c r="I1869" i="12"/>
  <c r="K1868" i="12"/>
  <c r="J1868" i="12"/>
  <c r="I1868" i="12"/>
  <c r="K1867" i="12"/>
  <c r="J1867" i="12"/>
  <c r="I1867" i="12"/>
  <c r="K1866" i="12"/>
  <c r="J1866" i="12"/>
  <c r="I1866" i="12"/>
  <c r="K1865" i="12"/>
  <c r="J1865" i="12"/>
  <c r="I1865" i="12"/>
  <c r="K1864" i="12"/>
  <c r="J1864" i="12"/>
  <c r="I1864" i="12"/>
  <c r="K1863" i="12"/>
  <c r="J1863" i="12"/>
  <c r="I1863" i="12"/>
  <c r="K1862" i="12"/>
  <c r="J1862" i="12"/>
  <c r="I1862" i="12"/>
  <c r="K1861" i="12"/>
  <c r="J1861" i="12"/>
  <c r="I1861" i="12"/>
  <c r="K1860" i="12"/>
  <c r="J1860" i="12"/>
  <c r="I1860" i="12"/>
  <c r="K1859" i="12"/>
  <c r="J1859" i="12"/>
  <c r="I1859" i="12"/>
  <c r="K1858" i="12"/>
  <c r="J1858" i="12"/>
  <c r="I1858" i="12"/>
  <c r="K1857" i="12"/>
  <c r="J1857" i="12"/>
  <c r="I1857" i="12"/>
  <c r="K1856" i="12"/>
  <c r="J1856" i="12"/>
  <c r="I1856" i="12"/>
  <c r="K1855" i="12"/>
  <c r="J1855" i="12"/>
  <c r="I1855" i="12"/>
  <c r="K1854" i="12"/>
  <c r="J1854" i="12"/>
  <c r="I1854" i="12"/>
  <c r="K1853" i="12"/>
  <c r="J1853" i="12"/>
  <c r="I1853" i="12"/>
  <c r="K1852" i="12"/>
  <c r="J1852" i="12"/>
  <c r="I1852" i="12"/>
  <c r="K1851" i="12"/>
  <c r="J1851" i="12"/>
  <c r="I1851" i="12"/>
  <c r="K1850" i="12"/>
  <c r="J1850" i="12"/>
  <c r="I1850" i="12"/>
  <c r="K1849" i="12"/>
  <c r="J1849" i="12"/>
  <c r="I1849" i="12"/>
  <c r="K1848" i="12"/>
  <c r="J1848" i="12"/>
  <c r="I1848" i="12"/>
  <c r="K1847" i="12"/>
  <c r="J1847" i="12"/>
  <c r="I1847" i="12"/>
  <c r="K1846" i="12"/>
  <c r="J1846" i="12"/>
  <c r="I1846" i="12"/>
  <c r="K1845" i="12"/>
  <c r="J1845" i="12"/>
  <c r="I1845" i="12"/>
  <c r="K1844" i="12"/>
  <c r="J1844" i="12"/>
  <c r="I1844" i="12"/>
  <c r="K1843" i="12"/>
  <c r="J1843" i="12"/>
  <c r="I1843" i="12"/>
  <c r="K1842" i="12"/>
  <c r="J1842" i="12"/>
  <c r="I1842" i="12"/>
  <c r="K1841" i="12"/>
  <c r="J1841" i="12"/>
  <c r="I1841" i="12"/>
  <c r="K1840" i="12"/>
  <c r="J1840" i="12"/>
  <c r="I1840" i="12"/>
  <c r="K1839" i="12"/>
  <c r="J1839" i="12"/>
  <c r="I1839" i="12"/>
  <c r="K1838" i="12"/>
  <c r="J1838" i="12"/>
  <c r="I1838" i="12"/>
  <c r="K1837" i="12"/>
  <c r="J1837" i="12"/>
  <c r="I1837" i="12"/>
  <c r="K1836" i="12"/>
  <c r="J1836" i="12"/>
  <c r="I1836" i="12"/>
  <c r="K1835" i="12"/>
  <c r="J1835" i="12"/>
  <c r="I1835" i="12"/>
  <c r="K1834" i="12"/>
  <c r="J1834" i="12"/>
  <c r="I1834" i="12"/>
  <c r="K1833" i="12"/>
  <c r="J1833" i="12"/>
  <c r="I1833" i="12"/>
  <c r="K1832" i="12"/>
  <c r="J1832" i="12"/>
  <c r="I1832" i="12"/>
  <c r="K1831" i="12"/>
  <c r="J1831" i="12"/>
  <c r="I1831" i="12"/>
  <c r="K1830" i="12"/>
  <c r="J1830" i="12"/>
  <c r="I1830" i="12"/>
  <c r="K1829" i="12"/>
  <c r="J1829" i="12"/>
  <c r="I1829" i="12"/>
  <c r="K1828" i="12"/>
  <c r="J1828" i="12"/>
  <c r="I1828" i="12"/>
  <c r="K1827" i="12"/>
  <c r="J1827" i="12"/>
  <c r="I1827" i="12"/>
  <c r="K1826" i="12"/>
  <c r="J1826" i="12"/>
  <c r="I1826" i="12"/>
  <c r="K1825" i="12"/>
  <c r="J1825" i="12"/>
  <c r="I1825" i="12"/>
  <c r="K1824" i="12"/>
  <c r="J1824" i="12"/>
  <c r="I1824" i="12"/>
  <c r="K1823" i="12"/>
  <c r="J1823" i="12"/>
  <c r="I1823" i="12"/>
  <c r="K1822" i="12"/>
  <c r="J1822" i="12"/>
  <c r="I1822" i="12"/>
  <c r="K1821" i="12"/>
  <c r="J1821" i="12"/>
  <c r="I1821" i="12"/>
  <c r="K1820" i="12"/>
  <c r="J1820" i="12"/>
  <c r="I1820" i="12"/>
  <c r="K1819" i="12"/>
  <c r="J1819" i="12"/>
  <c r="I1819" i="12"/>
  <c r="K1818" i="12"/>
  <c r="J1818" i="12"/>
  <c r="I1818" i="12"/>
  <c r="K1817" i="12"/>
  <c r="J1817" i="12"/>
  <c r="I1817" i="12"/>
  <c r="K1816" i="12"/>
  <c r="J1816" i="12"/>
  <c r="I1816" i="12"/>
  <c r="K1815" i="12"/>
  <c r="J1815" i="12"/>
  <c r="I1815" i="12"/>
  <c r="K1814" i="12"/>
  <c r="J1814" i="12"/>
  <c r="I1814" i="12"/>
  <c r="K1813" i="12"/>
  <c r="J1813" i="12"/>
  <c r="I1813" i="12"/>
  <c r="K1812" i="12"/>
  <c r="J1812" i="12"/>
  <c r="I1812" i="12"/>
  <c r="K1811" i="12"/>
  <c r="J1811" i="12"/>
  <c r="I1811" i="12"/>
  <c r="K1810" i="12"/>
  <c r="J1810" i="12"/>
  <c r="I1810" i="12"/>
  <c r="K1809" i="12"/>
  <c r="J1809" i="12"/>
  <c r="I1809" i="12"/>
  <c r="K1808" i="12"/>
  <c r="J1808" i="12"/>
  <c r="I1808" i="12"/>
  <c r="K1807" i="12"/>
  <c r="J1807" i="12"/>
  <c r="I1807" i="12"/>
  <c r="K1806" i="12"/>
  <c r="J1806" i="12"/>
  <c r="I1806" i="12"/>
  <c r="K1805" i="12"/>
  <c r="J1805" i="12"/>
  <c r="I1805" i="12"/>
  <c r="K1804" i="12"/>
  <c r="J1804" i="12"/>
  <c r="I1804" i="12"/>
  <c r="K1803" i="12"/>
  <c r="J1803" i="12"/>
  <c r="I1803" i="12"/>
  <c r="K1802" i="12"/>
  <c r="J1802" i="12"/>
  <c r="I1802" i="12"/>
  <c r="K1801" i="12"/>
  <c r="J1801" i="12"/>
  <c r="I1801" i="12"/>
  <c r="K1800" i="12"/>
  <c r="J1800" i="12"/>
  <c r="I1800" i="12"/>
  <c r="K1799" i="12"/>
  <c r="J1799" i="12"/>
  <c r="I1799" i="12"/>
  <c r="K1798" i="12"/>
  <c r="J1798" i="12"/>
  <c r="I1798" i="12"/>
  <c r="K1797" i="12"/>
  <c r="J1797" i="12"/>
  <c r="I1797" i="12"/>
  <c r="K1796" i="12"/>
  <c r="J1796" i="12"/>
  <c r="I1796" i="12"/>
  <c r="K1795" i="12"/>
  <c r="J1795" i="12"/>
  <c r="I1795" i="12"/>
  <c r="K1794" i="12"/>
  <c r="J1794" i="12"/>
  <c r="I1794" i="12"/>
  <c r="K1793" i="12"/>
  <c r="J1793" i="12"/>
  <c r="I1793" i="12"/>
  <c r="K1792" i="12"/>
  <c r="J1792" i="12"/>
  <c r="I1792" i="12"/>
  <c r="K1791" i="12"/>
  <c r="J1791" i="12"/>
  <c r="I1791" i="12"/>
  <c r="K1790" i="12"/>
  <c r="J1790" i="12"/>
  <c r="I1790" i="12"/>
  <c r="K1789" i="12"/>
  <c r="J1789" i="12"/>
  <c r="I1789" i="12"/>
  <c r="K1788" i="12"/>
  <c r="J1788" i="12"/>
  <c r="I1788" i="12"/>
  <c r="K1787" i="12"/>
  <c r="J1787" i="12"/>
  <c r="I1787" i="12"/>
  <c r="K1786" i="12"/>
  <c r="J1786" i="12"/>
  <c r="I1786" i="12"/>
  <c r="K1785" i="12"/>
  <c r="J1785" i="12"/>
  <c r="I1785" i="12"/>
  <c r="K1784" i="12"/>
  <c r="J1784" i="12"/>
  <c r="I1784" i="12"/>
  <c r="K1783" i="12"/>
  <c r="J1783" i="12"/>
  <c r="I1783" i="12"/>
  <c r="K1782" i="12"/>
  <c r="J1782" i="12"/>
  <c r="I1782" i="12"/>
  <c r="K1781" i="12"/>
  <c r="J1781" i="12"/>
  <c r="I1781" i="12"/>
  <c r="K1780" i="12"/>
  <c r="J1780" i="12"/>
  <c r="I1780" i="12"/>
  <c r="K1779" i="12"/>
  <c r="J1779" i="12"/>
  <c r="I1779" i="12"/>
  <c r="K1778" i="12"/>
  <c r="J1778" i="12"/>
  <c r="I1778" i="12"/>
  <c r="K1777" i="12"/>
  <c r="J1777" i="12"/>
  <c r="I1777" i="12"/>
  <c r="K1776" i="12"/>
  <c r="J1776" i="12"/>
  <c r="I1776" i="12"/>
  <c r="K1775" i="12"/>
  <c r="J1775" i="12"/>
  <c r="I1775" i="12"/>
  <c r="K1774" i="12"/>
  <c r="J1774" i="12"/>
  <c r="I1774" i="12"/>
  <c r="K1773" i="12"/>
  <c r="J1773" i="12"/>
  <c r="I1773" i="12"/>
  <c r="K1772" i="12"/>
  <c r="J1772" i="12"/>
  <c r="I1772" i="12"/>
  <c r="K1771" i="12"/>
  <c r="J1771" i="12"/>
  <c r="I1771" i="12"/>
  <c r="K1770" i="12"/>
  <c r="J1770" i="12"/>
  <c r="I1770" i="12"/>
  <c r="K1769" i="12"/>
  <c r="J1769" i="12"/>
  <c r="I1769" i="12"/>
  <c r="K1768" i="12"/>
  <c r="J1768" i="12"/>
  <c r="I1768" i="12"/>
  <c r="K1767" i="12"/>
  <c r="J1767" i="12"/>
  <c r="I1767" i="12"/>
  <c r="K1766" i="12"/>
  <c r="J1766" i="12"/>
  <c r="I1766" i="12"/>
  <c r="K1765" i="12"/>
  <c r="J1765" i="12"/>
  <c r="I1765" i="12"/>
  <c r="K1764" i="12"/>
  <c r="J1764" i="12"/>
  <c r="I1764" i="12"/>
  <c r="K1763" i="12"/>
  <c r="J1763" i="12"/>
  <c r="I1763" i="12"/>
  <c r="K1762" i="12"/>
  <c r="J1762" i="12"/>
  <c r="I1762" i="12"/>
  <c r="K1761" i="12"/>
  <c r="J1761" i="12"/>
  <c r="I1761" i="12"/>
  <c r="K1760" i="12"/>
  <c r="J1760" i="12"/>
  <c r="I1760" i="12"/>
  <c r="K1759" i="12"/>
  <c r="J1759" i="12"/>
  <c r="I1759" i="12"/>
  <c r="K1758" i="12"/>
  <c r="J1758" i="12"/>
  <c r="I1758" i="12"/>
  <c r="K1757" i="12"/>
  <c r="J1757" i="12"/>
  <c r="I1757" i="12"/>
  <c r="K1756" i="12"/>
  <c r="J1756" i="12"/>
  <c r="I1756" i="12"/>
  <c r="K1755" i="12"/>
  <c r="J1755" i="12"/>
  <c r="I1755" i="12"/>
  <c r="K1754" i="12"/>
  <c r="J1754" i="12"/>
  <c r="I1754" i="12"/>
  <c r="K1753" i="12"/>
  <c r="J1753" i="12"/>
  <c r="I1753" i="12"/>
  <c r="K1752" i="12"/>
  <c r="J1752" i="12"/>
  <c r="I1752" i="12"/>
  <c r="K1751" i="12"/>
  <c r="J1751" i="12"/>
  <c r="I1751" i="12"/>
  <c r="K1750" i="12"/>
  <c r="J1750" i="12"/>
  <c r="I1750" i="12"/>
  <c r="K1749" i="12"/>
  <c r="J1749" i="12"/>
  <c r="I1749" i="12"/>
  <c r="K1748" i="12"/>
  <c r="J1748" i="12"/>
  <c r="I1748" i="12"/>
  <c r="K1747" i="12"/>
  <c r="J1747" i="12"/>
  <c r="I1747" i="12"/>
  <c r="K1746" i="12"/>
  <c r="J1746" i="12"/>
  <c r="I1746" i="12"/>
  <c r="K1745" i="12"/>
  <c r="J1745" i="12"/>
  <c r="I1745" i="12"/>
  <c r="K1744" i="12"/>
  <c r="J1744" i="12"/>
  <c r="I1744" i="12"/>
  <c r="K1743" i="12"/>
  <c r="J1743" i="12"/>
  <c r="I1743" i="12"/>
  <c r="K1742" i="12"/>
  <c r="J1742" i="12"/>
  <c r="I1742" i="12"/>
  <c r="K1741" i="12"/>
  <c r="J1741" i="12"/>
  <c r="I1741" i="12"/>
  <c r="K1740" i="12"/>
  <c r="J1740" i="12"/>
  <c r="I1740" i="12"/>
  <c r="K1739" i="12"/>
  <c r="J1739" i="12"/>
  <c r="I1739" i="12"/>
  <c r="K1738" i="12"/>
  <c r="J1738" i="12"/>
  <c r="I1738" i="12"/>
  <c r="K1737" i="12"/>
  <c r="J1737" i="12"/>
  <c r="I1737" i="12"/>
  <c r="K1736" i="12"/>
  <c r="J1736" i="12"/>
  <c r="I1736" i="12"/>
  <c r="K1735" i="12"/>
  <c r="J1735" i="12"/>
  <c r="I1735" i="12"/>
  <c r="K1734" i="12"/>
  <c r="J1734" i="12"/>
  <c r="I1734" i="12"/>
  <c r="K1733" i="12"/>
  <c r="J1733" i="12"/>
  <c r="I1733" i="12"/>
  <c r="K1732" i="12"/>
  <c r="J1732" i="12"/>
  <c r="I1732" i="12"/>
  <c r="K1731" i="12"/>
  <c r="J1731" i="12"/>
  <c r="I1731" i="12"/>
  <c r="K1730" i="12"/>
  <c r="J1730" i="12"/>
  <c r="I1730" i="12"/>
  <c r="K1729" i="12"/>
  <c r="J1729" i="12"/>
  <c r="I1729" i="12"/>
  <c r="K1728" i="12"/>
  <c r="J1728" i="12"/>
  <c r="I1728" i="12"/>
  <c r="K1727" i="12"/>
  <c r="J1727" i="12"/>
  <c r="I1727" i="12"/>
  <c r="K1726" i="12"/>
  <c r="J1726" i="12"/>
  <c r="I1726" i="12"/>
  <c r="K1725" i="12"/>
  <c r="J1725" i="12"/>
  <c r="I1725" i="12"/>
  <c r="K1724" i="12"/>
  <c r="J1724" i="12"/>
  <c r="I1724" i="12"/>
  <c r="K1723" i="12"/>
  <c r="J1723" i="12"/>
  <c r="I1723" i="12"/>
  <c r="K1722" i="12"/>
  <c r="J1722" i="12"/>
  <c r="I1722" i="12"/>
  <c r="K1721" i="12"/>
  <c r="J1721" i="12"/>
  <c r="I1721" i="12"/>
  <c r="K1720" i="12"/>
  <c r="J1720" i="12"/>
  <c r="I1720" i="12"/>
  <c r="K1719" i="12"/>
  <c r="J1719" i="12"/>
  <c r="I1719" i="12"/>
  <c r="K1718" i="12"/>
  <c r="J1718" i="12"/>
  <c r="I1718" i="12"/>
  <c r="K1717" i="12"/>
  <c r="J1717" i="12"/>
  <c r="I1717" i="12"/>
  <c r="K1716" i="12"/>
  <c r="J1716" i="12"/>
  <c r="I1716" i="12"/>
  <c r="K1715" i="12"/>
  <c r="J1715" i="12"/>
  <c r="I1715" i="12"/>
  <c r="K1714" i="12"/>
  <c r="J1714" i="12"/>
  <c r="I1714" i="12"/>
  <c r="K1713" i="12"/>
  <c r="J1713" i="12"/>
  <c r="I1713" i="12"/>
  <c r="K1712" i="12"/>
  <c r="J1712" i="12"/>
  <c r="I1712" i="12"/>
  <c r="K1711" i="12"/>
  <c r="J1711" i="12"/>
  <c r="I1711" i="12"/>
  <c r="K1710" i="12"/>
  <c r="J1710" i="12"/>
  <c r="I1710" i="12"/>
  <c r="K1709" i="12"/>
  <c r="J1709" i="12"/>
  <c r="I1709" i="12"/>
  <c r="K1708" i="12"/>
  <c r="J1708" i="12"/>
  <c r="I1708" i="12"/>
  <c r="K1707" i="12"/>
  <c r="J1707" i="12"/>
  <c r="I1707" i="12"/>
  <c r="K1706" i="12"/>
  <c r="J1706" i="12"/>
  <c r="I1706" i="12"/>
  <c r="K1705" i="12"/>
  <c r="J1705" i="12"/>
  <c r="I1705" i="12"/>
  <c r="K1704" i="12"/>
  <c r="J1704" i="12"/>
  <c r="I1704" i="12"/>
  <c r="K1703" i="12"/>
  <c r="J1703" i="12"/>
  <c r="I1703" i="12"/>
  <c r="K1702" i="12"/>
  <c r="J1702" i="12"/>
  <c r="I1702" i="12"/>
  <c r="K1701" i="12"/>
  <c r="J1701" i="12"/>
  <c r="I1701" i="12"/>
  <c r="K1700" i="12"/>
  <c r="J1700" i="12"/>
  <c r="I1700" i="12"/>
  <c r="K1699" i="12"/>
  <c r="J1699" i="12"/>
  <c r="I1699" i="12"/>
  <c r="K1698" i="12"/>
  <c r="J1698" i="12"/>
  <c r="I1698" i="12"/>
  <c r="K1697" i="12"/>
  <c r="J1697" i="12"/>
  <c r="I1697" i="12"/>
  <c r="K1696" i="12"/>
  <c r="J1696" i="12"/>
  <c r="I1696" i="12"/>
  <c r="K1695" i="12"/>
  <c r="J1695" i="12"/>
  <c r="I1695" i="12"/>
  <c r="K1694" i="12"/>
  <c r="J1694" i="12"/>
  <c r="I1694" i="12"/>
  <c r="K1693" i="12"/>
  <c r="J1693" i="12"/>
  <c r="I1693" i="12"/>
  <c r="K1692" i="12"/>
  <c r="J1692" i="12"/>
  <c r="I1692" i="12"/>
  <c r="K1691" i="12"/>
  <c r="J1691" i="12"/>
  <c r="I1691" i="12"/>
  <c r="K1690" i="12"/>
  <c r="J1690" i="12"/>
  <c r="I1690" i="12"/>
  <c r="K1689" i="12"/>
  <c r="J1689" i="12"/>
  <c r="I1689" i="12"/>
  <c r="K1688" i="12"/>
  <c r="J1688" i="12"/>
  <c r="I1688" i="12"/>
  <c r="K1687" i="12"/>
  <c r="J1687" i="12"/>
  <c r="I1687" i="12"/>
  <c r="K1686" i="12"/>
  <c r="J1686" i="12"/>
  <c r="I1686" i="12"/>
  <c r="K1685" i="12"/>
  <c r="J1685" i="12"/>
  <c r="I1685" i="12"/>
  <c r="K1684" i="12"/>
  <c r="J1684" i="12"/>
  <c r="I1684" i="12"/>
  <c r="K1683" i="12"/>
  <c r="J1683" i="12"/>
  <c r="I1683" i="12"/>
  <c r="K1682" i="12"/>
  <c r="J1682" i="12"/>
  <c r="I1682" i="12"/>
  <c r="K1681" i="12"/>
  <c r="J1681" i="12"/>
  <c r="I1681" i="12"/>
  <c r="K1680" i="12"/>
  <c r="J1680" i="12"/>
  <c r="I1680" i="12"/>
  <c r="K1679" i="12"/>
  <c r="J1679" i="12"/>
  <c r="I1679" i="12"/>
  <c r="K1678" i="12"/>
  <c r="J1678" i="12"/>
  <c r="I1678" i="12"/>
  <c r="K1677" i="12"/>
  <c r="J1677" i="12"/>
  <c r="I1677" i="12"/>
  <c r="K1676" i="12"/>
  <c r="J1676" i="12"/>
  <c r="I1676" i="12"/>
  <c r="K1675" i="12"/>
  <c r="J1675" i="12"/>
  <c r="I1675" i="12"/>
  <c r="K1674" i="12"/>
  <c r="J1674" i="12"/>
  <c r="I1674" i="12"/>
  <c r="K1673" i="12"/>
  <c r="J1673" i="12"/>
  <c r="I1673" i="12"/>
  <c r="K1672" i="12"/>
  <c r="J1672" i="12"/>
  <c r="I1672" i="12"/>
  <c r="K1671" i="12"/>
  <c r="J1671" i="12"/>
  <c r="I1671" i="12"/>
  <c r="K1670" i="12"/>
  <c r="J1670" i="12"/>
  <c r="I1670" i="12"/>
  <c r="K1669" i="12"/>
  <c r="J1669" i="12"/>
  <c r="I1669" i="12"/>
  <c r="K1668" i="12"/>
  <c r="J1668" i="12"/>
  <c r="I1668" i="12"/>
  <c r="K1667" i="12"/>
  <c r="J1667" i="12"/>
  <c r="I1667" i="12"/>
  <c r="K1666" i="12"/>
  <c r="J1666" i="12"/>
  <c r="I1666" i="12"/>
  <c r="K1665" i="12"/>
  <c r="J1665" i="12"/>
  <c r="I1665" i="12"/>
  <c r="K1664" i="12"/>
  <c r="J1664" i="12"/>
  <c r="I1664" i="12"/>
  <c r="K1663" i="12"/>
  <c r="J1663" i="12"/>
  <c r="I1663" i="12"/>
  <c r="K1662" i="12"/>
  <c r="J1662" i="12"/>
  <c r="I1662" i="12"/>
  <c r="K1661" i="12"/>
  <c r="J1661" i="12"/>
  <c r="I1661" i="12"/>
  <c r="K1660" i="12"/>
  <c r="J1660" i="12"/>
  <c r="I1660" i="12"/>
  <c r="K1659" i="12"/>
  <c r="J1659" i="12"/>
  <c r="I1659" i="12"/>
  <c r="K1658" i="12"/>
  <c r="J1658" i="12"/>
  <c r="I1658" i="12"/>
  <c r="K1657" i="12"/>
  <c r="J1657" i="12"/>
  <c r="I1657" i="12"/>
  <c r="K1656" i="12"/>
  <c r="J1656" i="12"/>
  <c r="I1656" i="12"/>
  <c r="K1655" i="12"/>
  <c r="J1655" i="12"/>
  <c r="I1655" i="12"/>
  <c r="K1654" i="12"/>
  <c r="J1654" i="12"/>
  <c r="I1654" i="12"/>
  <c r="K1653" i="12"/>
  <c r="J1653" i="12"/>
  <c r="I1653" i="12"/>
  <c r="K1652" i="12"/>
  <c r="J1652" i="12"/>
  <c r="I1652" i="12"/>
  <c r="K1651" i="12"/>
  <c r="J1651" i="12"/>
  <c r="I1651" i="12"/>
  <c r="K1650" i="12"/>
  <c r="J1650" i="12"/>
  <c r="I1650" i="12"/>
  <c r="K1649" i="12"/>
  <c r="J1649" i="12"/>
  <c r="I1649" i="12"/>
  <c r="K1648" i="12"/>
  <c r="J1648" i="12"/>
  <c r="I1648" i="12"/>
  <c r="K1647" i="12"/>
  <c r="J1647" i="12"/>
  <c r="I1647" i="12"/>
  <c r="K1646" i="12"/>
  <c r="J1646" i="12"/>
  <c r="I1646" i="12"/>
  <c r="K1645" i="12"/>
  <c r="J1645" i="12"/>
  <c r="I1645" i="12"/>
  <c r="K1644" i="12"/>
  <c r="J1644" i="12"/>
  <c r="I1644" i="12"/>
  <c r="K1643" i="12"/>
  <c r="J1643" i="12"/>
  <c r="I1643" i="12"/>
  <c r="K1642" i="12"/>
  <c r="J1642" i="12"/>
  <c r="I1642" i="12"/>
  <c r="K1641" i="12"/>
  <c r="J1641" i="12"/>
  <c r="I1641" i="12"/>
  <c r="K1640" i="12"/>
  <c r="J1640" i="12"/>
  <c r="I1640" i="12"/>
  <c r="K1639" i="12"/>
  <c r="J1639" i="12"/>
  <c r="I1639" i="12"/>
  <c r="K1638" i="12"/>
  <c r="J1638" i="12"/>
  <c r="I1638" i="12"/>
  <c r="K1637" i="12"/>
  <c r="J1637" i="12"/>
  <c r="I1637" i="12"/>
  <c r="K1636" i="12"/>
  <c r="J1636" i="12"/>
  <c r="I1636" i="12"/>
  <c r="K1635" i="12"/>
  <c r="J1635" i="12"/>
  <c r="I1635" i="12"/>
  <c r="K1634" i="12"/>
  <c r="J1634" i="12"/>
  <c r="I1634" i="12"/>
  <c r="K1633" i="12"/>
  <c r="J1633" i="12"/>
  <c r="I1633" i="12"/>
  <c r="K1632" i="12"/>
  <c r="J1632" i="12"/>
  <c r="I1632" i="12"/>
  <c r="K1631" i="12"/>
  <c r="J1631" i="12"/>
  <c r="I1631" i="12"/>
  <c r="K1630" i="12"/>
  <c r="J1630" i="12"/>
  <c r="I1630" i="12"/>
  <c r="K1629" i="12"/>
  <c r="J1629" i="12"/>
  <c r="I1629" i="12"/>
  <c r="K1628" i="12"/>
  <c r="J1628" i="12"/>
  <c r="I1628" i="12"/>
  <c r="K1627" i="12"/>
  <c r="J1627" i="12"/>
  <c r="I1627" i="12"/>
  <c r="K1626" i="12"/>
  <c r="J1626" i="12"/>
  <c r="I1626" i="12"/>
  <c r="K1625" i="12"/>
  <c r="J1625" i="12"/>
  <c r="I1625" i="12"/>
  <c r="K1624" i="12"/>
  <c r="J1624" i="12"/>
  <c r="I1624" i="12"/>
  <c r="K1623" i="12"/>
  <c r="J1623" i="12"/>
  <c r="I1623" i="12"/>
  <c r="K1622" i="12"/>
  <c r="J1622" i="12"/>
  <c r="I1622" i="12"/>
  <c r="K1621" i="12"/>
  <c r="J1621" i="12"/>
  <c r="I1621" i="12"/>
  <c r="K1620" i="12"/>
  <c r="J1620" i="12"/>
  <c r="I1620" i="12"/>
  <c r="K1619" i="12"/>
  <c r="J1619" i="12"/>
  <c r="I1619" i="12"/>
  <c r="K1618" i="12"/>
  <c r="J1618" i="12"/>
  <c r="I1618" i="12"/>
  <c r="K1617" i="12"/>
  <c r="J1617" i="12"/>
  <c r="I1617" i="12"/>
  <c r="K1616" i="12"/>
  <c r="J1616" i="12"/>
  <c r="I1616" i="12"/>
  <c r="K1615" i="12"/>
  <c r="J1615" i="12"/>
  <c r="I1615" i="12"/>
  <c r="K1614" i="12"/>
  <c r="J1614" i="12"/>
  <c r="I1614" i="12"/>
  <c r="K1613" i="12"/>
  <c r="J1613" i="12"/>
  <c r="I1613" i="12"/>
  <c r="K1612" i="12"/>
  <c r="J1612" i="12"/>
  <c r="I1612" i="12"/>
  <c r="K1611" i="12"/>
  <c r="J1611" i="12"/>
  <c r="I1611" i="12"/>
  <c r="K1610" i="12"/>
  <c r="J1610" i="12"/>
  <c r="I1610" i="12"/>
  <c r="K1609" i="12"/>
  <c r="J1609" i="12"/>
  <c r="I1609" i="12"/>
  <c r="K1608" i="12"/>
  <c r="J1608" i="12"/>
  <c r="I1608" i="12"/>
  <c r="K1607" i="12"/>
  <c r="J1607" i="12"/>
  <c r="I1607" i="12"/>
  <c r="K1606" i="12"/>
  <c r="J1606" i="12"/>
  <c r="I1606" i="12"/>
  <c r="K1605" i="12"/>
  <c r="J1605" i="12"/>
  <c r="I1605" i="12"/>
  <c r="K1604" i="12"/>
  <c r="J1604" i="12"/>
  <c r="I1604" i="12"/>
  <c r="K1603" i="12"/>
  <c r="J1603" i="12"/>
  <c r="I1603" i="12"/>
  <c r="K1602" i="12"/>
  <c r="J1602" i="12"/>
  <c r="I1602" i="12"/>
  <c r="K1601" i="12"/>
  <c r="J1601" i="12"/>
  <c r="I1601" i="12"/>
  <c r="K1600" i="12"/>
  <c r="J1600" i="12"/>
  <c r="I1600" i="12"/>
  <c r="K1599" i="12"/>
  <c r="J1599" i="12"/>
  <c r="I1599" i="12"/>
  <c r="K1598" i="12"/>
  <c r="J1598" i="12"/>
  <c r="I1598" i="12"/>
  <c r="K1597" i="12"/>
  <c r="J1597" i="12"/>
  <c r="I1597" i="12"/>
  <c r="K1596" i="12"/>
  <c r="J1596" i="12"/>
  <c r="I1596" i="12"/>
  <c r="K1595" i="12"/>
  <c r="J1595" i="12"/>
  <c r="I1595" i="12"/>
  <c r="K1594" i="12"/>
  <c r="J1594" i="12"/>
  <c r="I1594" i="12"/>
  <c r="K1593" i="12"/>
  <c r="J1593" i="12"/>
  <c r="I1593" i="12"/>
  <c r="K1592" i="12"/>
  <c r="J1592" i="12"/>
  <c r="I1592" i="12"/>
  <c r="K1591" i="12"/>
  <c r="J1591" i="12"/>
  <c r="I1591" i="12"/>
  <c r="K1590" i="12"/>
  <c r="J1590" i="12"/>
  <c r="I1590" i="12"/>
  <c r="K1589" i="12"/>
  <c r="J1589" i="12"/>
  <c r="I1589" i="12"/>
  <c r="K1588" i="12"/>
  <c r="J1588" i="12"/>
  <c r="I1588" i="12"/>
  <c r="K1587" i="12"/>
  <c r="J1587" i="12"/>
  <c r="I1587" i="12"/>
  <c r="K1586" i="12"/>
  <c r="J1586" i="12"/>
  <c r="I1586" i="12"/>
  <c r="K1585" i="12"/>
  <c r="J1585" i="12"/>
  <c r="I1585" i="12"/>
  <c r="K1584" i="12"/>
  <c r="J1584" i="12"/>
  <c r="I1584" i="12"/>
  <c r="K1583" i="12"/>
  <c r="J1583" i="12"/>
  <c r="I1583" i="12"/>
  <c r="K1582" i="12"/>
  <c r="J1582" i="12"/>
  <c r="I1582" i="12"/>
  <c r="K1581" i="12"/>
  <c r="J1581" i="12"/>
  <c r="I1581" i="12"/>
  <c r="K1580" i="12"/>
  <c r="J1580" i="12"/>
  <c r="I1580" i="12"/>
  <c r="K1579" i="12"/>
  <c r="J1579" i="12"/>
  <c r="I1579" i="12"/>
  <c r="K1578" i="12"/>
  <c r="J1578" i="12"/>
  <c r="I1578" i="12"/>
  <c r="K1577" i="12"/>
  <c r="J1577" i="12"/>
  <c r="I1577" i="12"/>
  <c r="K1576" i="12"/>
  <c r="J1576" i="12"/>
  <c r="I1576" i="12"/>
  <c r="K1575" i="12"/>
  <c r="J1575" i="12"/>
  <c r="I1575" i="12"/>
  <c r="K1574" i="12"/>
  <c r="J1574" i="12"/>
  <c r="I1574" i="12"/>
  <c r="K1573" i="12"/>
  <c r="J1573" i="12"/>
  <c r="I1573" i="12"/>
  <c r="K1572" i="12"/>
  <c r="J1572" i="12"/>
  <c r="I1572" i="12"/>
  <c r="K1571" i="12"/>
  <c r="J1571" i="12"/>
  <c r="I1571" i="12"/>
  <c r="K1570" i="12"/>
  <c r="J1570" i="12"/>
  <c r="I1570" i="12"/>
  <c r="K1569" i="12"/>
  <c r="J1569" i="12"/>
  <c r="I1569" i="12"/>
  <c r="K1568" i="12"/>
  <c r="J1568" i="12"/>
  <c r="I1568" i="12"/>
  <c r="K1567" i="12"/>
  <c r="J1567" i="12"/>
  <c r="I1567" i="12"/>
  <c r="K1566" i="12"/>
  <c r="J1566" i="12"/>
  <c r="I1566" i="12"/>
  <c r="K1565" i="12"/>
  <c r="J1565" i="12"/>
  <c r="I1565" i="12"/>
  <c r="K1564" i="12"/>
  <c r="J1564" i="12"/>
  <c r="I1564" i="12"/>
  <c r="K1563" i="12"/>
  <c r="J1563" i="12"/>
  <c r="I1563" i="12"/>
  <c r="K1562" i="12"/>
  <c r="J1562" i="12"/>
  <c r="I1562" i="12"/>
  <c r="K1561" i="12"/>
  <c r="J1561" i="12"/>
  <c r="I1561" i="12"/>
  <c r="K1560" i="12"/>
  <c r="J1560" i="12"/>
  <c r="I1560" i="12"/>
  <c r="K1559" i="12"/>
  <c r="J1559" i="12"/>
  <c r="I1559" i="12"/>
  <c r="K1558" i="12"/>
  <c r="J1558" i="12"/>
  <c r="I1558" i="12"/>
  <c r="K1557" i="12"/>
  <c r="J1557" i="12"/>
  <c r="I1557" i="12"/>
  <c r="K1556" i="12"/>
  <c r="J1556" i="12"/>
  <c r="I1556" i="12"/>
  <c r="K1555" i="12"/>
  <c r="J1555" i="12"/>
  <c r="I1555" i="12"/>
  <c r="K1554" i="12"/>
  <c r="J1554" i="12"/>
  <c r="I1554" i="12"/>
  <c r="K1553" i="12"/>
  <c r="J1553" i="12"/>
  <c r="I1553" i="12"/>
  <c r="K1552" i="12"/>
  <c r="J1552" i="12"/>
  <c r="I1552" i="12"/>
  <c r="K1551" i="12"/>
  <c r="J1551" i="12"/>
  <c r="I1551" i="12"/>
  <c r="K1550" i="12"/>
  <c r="J1550" i="12"/>
  <c r="I1550" i="12"/>
  <c r="K1549" i="12"/>
  <c r="J1549" i="12"/>
  <c r="I1549" i="12"/>
  <c r="K1548" i="12"/>
  <c r="J1548" i="12"/>
  <c r="I1548" i="12"/>
  <c r="K1547" i="12"/>
  <c r="J1547" i="12"/>
  <c r="I1547" i="12"/>
  <c r="K1546" i="12"/>
  <c r="J1546" i="12"/>
  <c r="I1546" i="12"/>
  <c r="K1545" i="12"/>
  <c r="J1545" i="12"/>
  <c r="I1545" i="12"/>
  <c r="K1544" i="12"/>
  <c r="J1544" i="12"/>
  <c r="I1544" i="12"/>
  <c r="K1543" i="12"/>
  <c r="J1543" i="12"/>
  <c r="I1543" i="12"/>
  <c r="K1542" i="12"/>
  <c r="J1542" i="12"/>
  <c r="I1542" i="12"/>
  <c r="K1541" i="12"/>
  <c r="J1541" i="12"/>
  <c r="I1541" i="12"/>
  <c r="K1540" i="12"/>
  <c r="J1540" i="12"/>
  <c r="I1540" i="12"/>
  <c r="K1539" i="12"/>
  <c r="J1539" i="12"/>
  <c r="I1539" i="12"/>
  <c r="K1538" i="12"/>
  <c r="J1538" i="12"/>
  <c r="I1538" i="12"/>
  <c r="K1537" i="12"/>
  <c r="J1537" i="12"/>
  <c r="I1537" i="12"/>
  <c r="K1536" i="12"/>
  <c r="J1536" i="12"/>
  <c r="I1536" i="12"/>
  <c r="K1535" i="12"/>
  <c r="J1535" i="12"/>
  <c r="I1535" i="12"/>
  <c r="K1534" i="12"/>
  <c r="J1534" i="12"/>
  <c r="I1534" i="12"/>
  <c r="K1533" i="12"/>
  <c r="J1533" i="12"/>
  <c r="I1533" i="12"/>
  <c r="K1532" i="12"/>
  <c r="J1532" i="12"/>
  <c r="I1532" i="12"/>
  <c r="K1531" i="12"/>
  <c r="J1531" i="12"/>
  <c r="I1531" i="12"/>
  <c r="K1530" i="12"/>
  <c r="J1530" i="12"/>
  <c r="I1530" i="12"/>
  <c r="K1529" i="12"/>
  <c r="J1529" i="12"/>
  <c r="I1529" i="12"/>
  <c r="K1528" i="12"/>
  <c r="J1528" i="12"/>
  <c r="I1528" i="12"/>
  <c r="K1527" i="12"/>
  <c r="J1527" i="12"/>
  <c r="I1527" i="12"/>
  <c r="K1526" i="12"/>
  <c r="J1526" i="12"/>
  <c r="I1526" i="12"/>
  <c r="K1525" i="12"/>
  <c r="J1525" i="12"/>
  <c r="I1525" i="12"/>
  <c r="K1524" i="12"/>
  <c r="J1524" i="12"/>
  <c r="I1524" i="12"/>
  <c r="K1523" i="12"/>
  <c r="J1523" i="12"/>
  <c r="I1523" i="12"/>
  <c r="K1522" i="12"/>
  <c r="J1522" i="12"/>
  <c r="I1522" i="12"/>
  <c r="K1521" i="12"/>
  <c r="J1521" i="12"/>
  <c r="I1521" i="12"/>
  <c r="K1520" i="12"/>
  <c r="J1520" i="12"/>
  <c r="I1520" i="12"/>
  <c r="K1519" i="12"/>
  <c r="J1519" i="12"/>
  <c r="I1519" i="12"/>
  <c r="K1518" i="12"/>
  <c r="J1518" i="12"/>
  <c r="I1518" i="12"/>
  <c r="K1517" i="12"/>
  <c r="J1517" i="12"/>
  <c r="I1517" i="12"/>
  <c r="K1516" i="12"/>
  <c r="J1516" i="12"/>
  <c r="I1516" i="12"/>
  <c r="K1515" i="12"/>
  <c r="J1515" i="12"/>
  <c r="I1515" i="12"/>
  <c r="K1514" i="12"/>
  <c r="J1514" i="12"/>
  <c r="I1514" i="12"/>
  <c r="K1513" i="12"/>
  <c r="J1513" i="12"/>
  <c r="I1513" i="12"/>
  <c r="K1512" i="12"/>
  <c r="J1512" i="12"/>
  <c r="I1512" i="12"/>
  <c r="K1511" i="12"/>
  <c r="J1511" i="12"/>
  <c r="I1511" i="12"/>
  <c r="K1510" i="12"/>
  <c r="J1510" i="12"/>
  <c r="I1510" i="12"/>
  <c r="K1509" i="12"/>
  <c r="J1509" i="12"/>
  <c r="I1509" i="12"/>
  <c r="K1508" i="12"/>
  <c r="J1508" i="12"/>
  <c r="I1508" i="12"/>
  <c r="K1507" i="12"/>
  <c r="J1507" i="12"/>
  <c r="I1507" i="12"/>
  <c r="K1506" i="12"/>
  <c r="J1506" i="12"/>
  <c r="I1506" i="12"/>
  <c r="K1505" i="12"/>
  <c r="J1505" i="12"/>
  <c r="I1505" i="12"/>
  <c r="K1504" i="12"/>
  <c r="J1504" i="12"/>
  <c r="I1504" i="12"/>
  <c r="K1503" i="12"/>
  <c r="J1503" i="12"/>
  <c r="I1503" i="12"/>
  <c r="K1502" i="12"/>
  <c r="J1502" i="12"/>
  <c r="I1502" i="12"/>
  <c r="K1501" i="12"/>
  <c r="J1501" i="12"/>
  <c r="I1501" i="12"/>
  <c r="K1500" i="12"/>
  <c r="J1500" i="12"/>
  <c r="I1500" i="12"/>
  <c r="K1499" i="12"/>
  <c r="J1499" i="12"/>
  <c r="I1499" i="12"/>
  <c r="K1498" i="12"/>
  <c r="J1498" i="12"/>
  <c r="I1498" i="12"/>
  <c r="K1497" i="12"/>
  <c r="J1497" i="12"/>
  <c r="I1497" i="12"/>
  <c r="K1496" i="12"/>
  <c r="J1496" i="12"/>
  <c r="I1496" i="12"/>
  <c r="K1495" i="12"/>
  <c r="J1495" i="12"/>
  <c r="I1495" i="12"/>
  <c r="K1494" i="12"/>
  <c r="J1494" i="12"/>
  <c r="I1494" i="12"/>
  <c r="K1493" i="12"/>
  <c r="J1493" i="12"/>
  <c r="I1493" i="12"/>
  <c r="K1492" i="12"/>
  <c r="J1492" i="12"/>
  <c r="I1492" i="12"/>
  <c r="K1491" i="12"/>
  <c r="J1491" i="12"/>
  <c r="I1491" i="12"/>
  <c r="K1490" i="12"/>
  <c r="J1490" i="12"/>
  <c r="I1490" i="12"/>
  <c r="K1489" i="12"/>
  <c r="J1489" i="12"/>
  <c r="I1489" i="12"/>
  <c r="K1488" i="12"/>
  <c r="J1488" i="12"/>
  <c r="I1488" i="12"/>
  <c r="K1487" i="12"/>
  <c r="J1487" i="12"/>
  <c r="I1487" i="12"/>
  <c r="K1486" i="12"/>
  <c r="J1486" i="12"/>
  <c r="I1486" i="12"/>
  <c r="K1485" i="12"/>
  <c r="J1485" i="12"/>
  <c r="I1485" i="12"/>
  <c r="K1484" i="12"/>
  <c r="J1484" i="12"/>
  <c r="I1484" i="12"/>
  <c r="K1483" i="12"/>
  <c r="J1483" i="12"/>
  <c r="I1483" i="12"/>
  <c r="K1482" i="12"/>
  <c r="J1482" i="12"/>
  <c r="I1482" i="12"/>
  <c r="K1481" i="12"/>
  <c r="J1481" i="12"/>
  <c r="I1481" i="12"/>
  <c r="K1480" i="12"/>
  <c r="J1480" i="12"/>
  <c r="I1480" i="12"/>
  <c r="K1479" i="12"/>
  <c r="J1479" i="12"/>
  <c r="I1479" i="12"/>
  <c r="K1478" i="12"/>
  <c r="J1478" i="12"/>
  <c r="I1478" i="12"/>
  <c r="K1477" i="12"/>
  <c r="J1477" i="12"/>
  <c r="I1477" i="12"/>
  <c r="K1476" i="12"/>
  <c r="J1476" i="12"/>
  <c r="I1476" i="12"/>
  <c r="K1475" i="12"/>
  <c r="J1475" i="12"/>
  <c r="I1475" i="12"/>
  <c r="K1474" i="12"/>
  <c r="J1474" i="12"/>
  <c r="I1474" i="12"/>
  <c r="K1473" i="12"/>
  <c r="J1473" i="12"/>
  <c r="I1473" i="12"/>
  <c r="K1472" i="12"/>
  <c r="J1472" i="12"/>
  <c r="I1472" i="12"/>
  <c r="K1471" i="12"/>
  <c r="J1471" i="12"/>
  <c r="I1471" i="12"/>
  <c r="K1470" i="12"/>
  <c r="J1470" i="12"/>
  <c r="I1470" i="12"/>
  <c r="K1469" i="12"/>
  <c r="J1469" i="12"/>
  <c r="I1469" i="12"/>
  <c r="K1468" i="12"/>
  <c r="J1468" i="12"/>
  <c r="I1468" i="12"/>
  <c r="K1467" i="12"/>
  <c r="J1467" i="12"/>
  <c r="I1467" i="12"/>
  <c r="K1466" i="12"/>
  <c r="J1466" i="12"/>
  <c r="I1466" i="12"/>
  <c r="K1465" i="12"/>
  <c r="J1465" i="12"/>
  <c r="I1465" i="12"/>
  <c r="K1464" i="12"/>
  <c r="J1464" i="12"/>
  <c r="I1464" i="12"/>
  <c r="K1463" i="12"/>
  <c r="J1463" i="12"/>
  <c r="I1463" i="12"/>
  <c r="K1462" i="12"/>
  <c r="J1462" i="12"/>
  <c r="I1462" i="12"/>
  <c r="K1461" i="12"/>
  <c r="J1461" i="12"/>
  <c r="I1461" i="12"/>
  <c r="K1460" i="12"/>
  <c r="J1460" i="12"/>
  <c r="I1460" i="12"/>
  <c r="K1459" i="12"/>
  <c r="J1459" i="12"/>
  <c r="I1459" i="12"/>
  <c r="K1458" i="12"/>
  <c r="J1458" i="12"/>
  <c r="I1458" i="12"/>
  <c r="K1457" i="12"/>
  <c r="J1457" i="12"/>
  <c r="I1457" i="12"/>
  <c r="K1456" i="12"/>
  <c r="J1456" i="12"/>
  <c r="I1456" i="12"/>
  <c r="K1455" i="12"/>
  <c r="J1455" i="12"/>
  <c r="I1455" i="12"/>
  <c r="K1454" i="12"/>
  <c r="J1454" i="12"/>
  <c r="I1454" i="12"/>
  <c r="K1453" i="12"/>
  <c r="J1453" i="12"/>
  <c r="I1453" i="12"/>
  <c r="K1452" i="12"/>
  <c r="J1452" i="12"/>
  <c r="I1452" i="12"/>
  <c r="K1451" i="12"/>
  <c r="J1451" i="12"/>
  <c r="I1451" i="12"/>
  <c r="K1450" i="12"/>
  <c r="J1450" i="12"/>
  <c r="I1450" i="12"/>
  <c r="K1449" i="12"/>
  <c r="J1449" i="12"/>
  <c r="I1449" i="12"/>
  <c r="K1448" i="12"/>
  <c r="J1448" i="12"/>
  <c r="I1448" i="12"/>
  <c r="K1447" i="12"/>
  <c r="J1447" i="12"/>
  <c r="I1447" i="12"/>
  <c r="K1446" i="12"/>
  <c r="J1446" i="12"/>
  <c r="I1446" i="12"/>
  <c r="K1445" i="12"/>
  <c r="J1445" i="12"/>
  <c r="I1445" i="12"/>
  <c r="K1444" i="12"/>
  <c r="J1444" i="12"/>
  <c r="I1444" i="12"/>
  <c r="K1443" i="12"/>
  <c r="J1443" i="12"/>
  <c r="I1443" i="12"/>
  <c r="K1442" i="12"/>
  <c r="J1442" i="12"/>
  <c r="I1442" i="12"/>
  <c r="K1441" i="12"/>
  <c r="J1441" i="12"/>
  <c r="I1441" i="12"/>
  <c r="K1440" i="12"/>
  <c r="J1440" i="12"/>
  <c r="I1440" i="12"/>
  <c r="K1439" i="12"/>
  <c r="J1439" i="12"/>
  <c r="I1439" i="12"/>
  <c r="K1438" i="12"/>
  <c r="J1438" i="12"/>
  <c r="I1438" i="12"/>
  <c r="K1437" i="12"/>
  <c r="J1437" i="12"/>
  <c r="I1437" i="12"/>
  <c r="K1436" i="12"/>
  <c r="J1436" i="12"/>
  <c r="I1436" i="12"/>
  <c r="K1435" i="12"/>
  <c r="J1435" i="12"/>
  <c r="I1435" i="12"/>
  <c r="K1434" i="12"/>
  <c r="J1434" i="12"/>
  <c r="I1434" i="12"/>
  <c r="K1433" i="12"/>
  <c r="J1433" i="12"/>
  <c r="I1433" i="12"/>
  <c r="K1432" i="12"/>
  <c r="J1432" i="12"/>
  <c r="I1432" i="12"/>
  <c r="K1431" i="12"/>
  <c r="J1431" i="12"/>
  <c r="I1431" i="12"/>
  <c r="K1430" i="12"/>
  <c r="J1430" i="12"/>
  <c r="I1430" i="12"/>
  <c r="K1429" i="12"/>
  <c r="J1429" i="12"/>
  <c r="I1429" i="12"/>
  <c r="K1428" i="12"/>
  <c r="J1428" i="12"/>
  <c r="I1428" i="12"/>
  <c r="K1427" i="12"/>
  <c r="J1427" i="12"/>
  <c r="I1427" i="12"/>
  <c r="K1426" i="12"/>
  <c r="J1426" i="12"/>
  <c r="I1426" i="12"/>
  <c r="K1425" i="12"/>
  <c r="J1425" i="12"/>
  <c r="I1425" i="12"/>
  <c r="K1424" i="12"/>
  <c r="J1424" i="12"/>
  <c r="I1424" i="12"/>
  <c r="K1423" i="12"/>
  <c r="J1423" i="12"/>
  <c r="I1423" i="12"/>
  <c r="K1422" i="12"/>
  <c r="J1422" i="12"/>
  <c r="I1422" i="12"/>
  <c r="K1421" i="12"/>
  <c r="J1421" i="12"/>
  <c r="I1421" i="12"/>
  <c r="K1420" i="12"/>
  <c r="J1420" i="12"/>
  <c r="I1420" i="12"/>
  <c r="K1419" i="12"/>
  <c r="J1419" i="12"/>
  <c r="I1419" i="12"/>
  <c r="K1418" i="12"/>
  <c r="J1418" i="12"/>
  <c r="I1418" i="12"/>
  <c r="K1417" i="12"/>
  <c r="J1417" i="12"/>
  <c r="I1417" i="12"/>
  <c r="K1416" i="12"/>
  <c r="J1416" i="12"/>
  <c r="I1416" i="12"/>
  <c r="K1415" i="12"/>
  <c r="J1415" i="12"/>
  <c r="I1415" i="12"/>
  <c r="K1414" i="12"/>
  <c r="J1414" i="12"/>
  <c r="I1414" i="12"/>
  <c r="K1413" i="12"/>
  <c r="J1413" i="12"/>
  <c r="I1413" i="12"/>
  <c r="K1412" i="12"/>
  <c r="J1412" i="12"/>
  <c r="I1412" i="12"/>
  <c r="K1411" i="12"/>
  <c r="J1411" i="12"/>
  <c r="I1411" i="12"/>
  <c r="K1410" i="12"/>
  <c r="J1410" i="12"/>
  <c r="I1410" i="12"/>
  <c r="K1409" i="12"/>
  <c r="J1409" i="12"/>
  <c r="I1409" i="12"/>
  <c r="K1408" i="12"/>
  <c r="J1408" i="12"/>
  <c r="I1408" i="12"/>
  <c r="K1407" i="12"/>
  <c r="J1407" i="12"/>
  <c r="I1407" i="12"/>
  <c r="K1406" i="12"/>
  <c r="J1406" i="12"/>
  <c r="I1406" i="12"/>
  <c r="K1405" i="12"/>
  <c r="J1405" i="12"/>
  <c r="I1405" i="12"/>
  <c r="K1404" i="12"/>
  <c r="J1404" i="12"/>
  <c r="I1404" i="12"/>
  <c r="K1403" i="12"/>
  <c r="J1403" i="12"/>
  <c r="I1403" i="12"/>
  <c r="K1402" i="12"/>
  <c r="J1402" i="12"/>
  <c r="I1402" i="12"/>
  <c r="K1401" i="12"/>
  <c r="J1401" i="12"/>
  <c r="I1401" i="12"/>
  <c r="K1400" i="12"/>
  <c r="J1400" i="12"/>
  <c r="I1400" i="12"/>
  <c r="K1399" i="12"/>
  <c r="J1399" i="12"/>
  <c r="I1399" i="12"/>
  <c r="K1398" i="12"/>
  <c r="J1398" i="12"/>
  <c r="I1398" i="12"/>
  <c r="K1397" i="12"/>
  <c r="J1397" i="12"/>
  <c r="I1397" i="12"/>
  <c r="K1396" i="12"/>
  <c r="J1396" i="12"/>
  <c r="I1396" i="12"/>
  <c r="K1395" i="12"/>
  <c r="J1395" i="12"/>
  <c r="I1395" i="12"/>
  <c r="K1394" i="12"/>
  <c r="J1394" i="12"/>
  <c r="I1394" i="12"/>
  <c r="K1393" i="12"/>
  <c r="J1393" i="12"/>
  <c r="I1393" i="12"/>
  <c r="K1392" i="12"/>
  <c r="J1392" i="12"/>
  <c r="I1392" i="12"/>
  <c r="K1391" i="12"/>
  <c r="J1391" i="12"/>
  <c r="I1391" i="12"/>
  <c r="K1390" i="12"/>
  <c r="J1390" i="12"/>
  <c r="I1390" i="12"/>
  <c r="K1389" i="12"/>
  <c r="J1389" i="12"/>
  <c r="I1389" i="12"/>
  <c r="K1388" i="12"/>
  <c r="J1388" i="12"/>
  <c r="I1388" i="12"/>
  <c r="K1387" i="12"/>
  <c r="J1387" i="12"/>
  <c r="I1387" i="12"/>
  <c r="K1386" i="12"/>
  <c r="J1386" i="12"/>
  <c r="I1386" i="12"/>
  <c r="K1385" i="12"/>
  <c r="J1385" i="12"/>
  <c r="I1385" i="12"/>
  <c r="K1384" i="12"/>
  <c r="J1384" i="12"/>
  <c r="I1384" i="12"/>
  <c r="K1383" i="12"/>
  <c r="J1383" i="12"/>
  <c r="I1383" i="12"/>
  <c r="K1382" i="12"/>
  <c r="J1382" i="12"/>
  <c r="I1382" i="12"/>
  <c r="K1381" i="12"/>
  <c r="J1381" i="12"/>
  <c r="I1381" i="12"/>
  <c r="K1380" i="12"/>
  <c r="J1380" i="12"/>
  <c r="I1380" i="12"/>
  <c r="K1379" i="12"/>
  <c r="J1379" i="12"/>
  <c r="I1379" i="12"/>
  <c r="K1378" i="12"/>
  <c r="J1378" i="12"/>
  <c r="I1378" i="12"/>
  <c r="K1377" i="12"/>
  <c r="J1377" i="12"/>
  <c r="I1377" i="12"/>
  <c r="K1376" i="12"/>
  <c r="J1376" i="12"/>
  <c r="I1376" i="12"/>
  <c r="K1375" i="12"/>
  <c r="J1375" i="12"/>
  <c r="I1375" i="12"/>
  <c r="K1374" i="12"/>
  <c r="J1374" i="12"/>
  <c r="I1374" i="12"/>
  <c r="K1373" i="12"/>
  <c r="J1373" i="12"/>
  <c r="I1373" i="12"/>
  <c r="K1372" i="12"/>
  <c r="J1372" i="12"/>
  <c r="I1372" i="12"/>
  <c r="K1371" i="12"/>
  <c r="J1371" i="12"/>
  <c r="I1371" i="12"/>
  <c r="K1370" i="12"/>
  <c r="J1370" i="12"/>
  <c r="I1370" i="12"/>
  <c r="K1369" i="12"/>
  <c r="J1369" i="12"/>
  <c r="I1369" i="12"/>
  <c r="K1368" i="12"/>
  <c r="J1368" i="12"/>
  <c r="I1368" i="12"/>
  <c r="K1367" i="12"/>
  <c r="J1367" i="12"/>
  <c r="I1367" i="12"/>
  <c r="K1366" i="12"/>
  <c r="J1366" i="12"/>
  <c r="I1366" i="12"/>
  <c r="K1365" i="12"/>
  <c r="J1365" i="12"/>
  <c r="I1365" i="12"/>
  <c r="K1364" i="12"/>
  <c r="J1364" i="12"/>
  <c r="I1364" i="12"/>
  <c r="K1363" i="12"/>
  <c r="J1363" i="12"/>
  <c r="I1363" i="12"/>
  <c r="K1362" i="12"/>
  <c r="J1362" i="12"/>
  <c r="I1362" i="12"/>
  <c r="K1361" i="12"/>
  <c r="J1361" i="12"/>
  <c r="I1361" i="12"/>
  <c r="K1360" i="12"/>
  <c r="J1360" i="12"/>
  <c r="I1360" i="12"/>
  <c r="K1359" i="12"/>
  <c r="J1359" i="12"/>
  <c r="I1359" i="12"/>
  <c r="K1358" i="12"/>
  <c r="J1358" i="12"/>
  <c r="I1358" i="12"/>
  <c r="K1357" i="12"/>
  <c r="J1357" i="12"/>
  <c r="I1357" i="12"/>
  <c r="K1356" i="12"/>
  <c r="J1356" i="12"/>
  <c r="I1356" i="12"/>
  <c r="K1355" i="12"/>
  <c r="J1355" i="12"/>
  <c r="I1355" i="12"/>
  <c r="K1354" i="12"/>
  <c r="J1354" i="12"/>
  <c r="I1354" i="12"/>
  <c r="K1353" i="12"/>
  <c r="J1353" i="12"/>
  <c r="I1353" i="12"/>
  <c r="K1352" i="12"/>
  <c r="J1352" i="12"/>
  <c r="I1352" i="12"/>
  <c r="K1351" i="12"/>
  <c r="J1351" i="12"/>
  <c r="I1351" i="12"/>
  <c r="K1350" i="12"/>
  <c r="J1350" i="12"/>
  <c r="I1350" i="12"/>
  <c r="K1349" i="12"/>
  <c r="J1349" i="12"/>
  <c r="I1349" i="12"/>
  <c r="K1348" i="12"/>
  <c r="J1348" i="12"/>
  <c r="I1348" i="12"/>
  <c r="K1347" i="12"/>
  <c r="J1347" i="12"/>
  <c r="I1347" i="12"/>
  <c r="K1346" i="12"/>
  <c r="J1346" i="12"/>
  <c r="I1346" i="12"/>
  <c r="K1345" i="12"/>
  <c r="J1345" i="12"/>
  <c r="I1345" i="12"/>
  <c r="K1344" i="12"/>
  <c r="J1344" i="12"/>
  <c r="I1344" i="12"/>
  <c r="K1343" i="12"/>
  <c r="J1343" i="12"/>
  <c r="I1343" i="12"/>
  <c r="K1342" i="12"/>
  <c r="J1342" i="12"/>
  <c r="I1342" i="12"/>
  <c r="K1341" i="12"/>
  <c r="J1341" i="12"/>
  <c r="I1341" i="12"/>
  <c r="K1340" i="12"/>
  <c r="J1340" i="12"/>
  <c r="I1340" i="12"/>
  <c r="K1339" i="12"/>
  <c r="J1339" i="12"/>
  <c r="I1339" i="12"/>
  <c r="K1338" i="12"/>
  <c r="J1338" i="12"/>
  <c r="I1338" i="12"/>
  <c r="K1337" i="12"/>
  <c r="J1337" i="12"/>
  <c r="I1337" i="12"/>
  <c r="K1336" i="12"/>
  <c r="J1336" i="12"/>
  <c r="I1336" i="12"/>
  <c r="K1335" i="12"/>
  <c r="J1335" i="12"/>
  <c r="I1335" i="12"/>
  <c r="K1334" i="12"/>
  <c r="J1334" i="12"/>
  <c r="I1334" i="12"/>
  <c r="K1333" i="12"/>
  <c r="J1333" i="12"/>
  <c r="I1333" i="12"/>
  <c r="K1332" i="12"/>
  <c r="J1332" i="12"/>
  <c r="I1332" i="12"/>
  <c r="K1331" i="12"/>
  <c r="J1331" i="12"/>
  <c r="I1331" i="12"/>
  <c r="K1330" i="12"/>
  <c r="J1330" i="12"/>
  <c r="I1330" i="12"/>
  <c r="K1329" i="12"/>
  <c r="J1329" i="12"/>
  <c r="I1329" i="12"/>
  <c r="K1328" i="12"/>
  <c r="J1328" i="12"/>
  <c r="I1328" i="12"/>
  <c r="K1327" i="12"/>
  <c r="J1327" i="12"/>
  <c r="I1327" i="12"/>
  <c r="K1326" i="12"/>
  <c r="J1326" i="12"/>
  <c r="I1326" i="12"/>
  <c r="K1325" i="12"/>
  <c r="J1325" i="12"/>
  <c r="I1325" i="12"/>
  <c r="K1324" i="12"/>
  <c r="J1324" i="12"/>
  <c r="I1324" i="12"/>
  <c r="K1323" i="12"/>
  <c r="J1323" i="12"/>
  <c r="I1323" i="12"/>
  <c r="K1322" i="12"/>
  <c r="J1322" i="12"/>
  <c r="I1322" i="12"/>
  <c r="K1321" i="12"/>
  <c r="J1321" i="12"/>
  <c r="I1321" i="12"/>
  <c r="K1320" i="12"/>
  <c r="J1320" i="12"/>
  <c r="I1320" i="12"/>
  <c r="K1319" i="12"/>
  <c r="J1319" i="12"/>
  <c r="I1319" i="12"/>
  <c r="K1318" i="12"/>
  <c r="J1318" i="12"/>
  <c r="I1318" i="12"/>
  <c r="K1317" i="12"/>
  <c r="J1317" i="12"/>
  <c r="I1317" i="12"/>
  <c r="K1316" i="12"/>
  <c r="J1316" i="12"/>
  <c r="I1316" i="12"/>
  <c r="K1315" i="12"/>
  <c r="J1315" i="12"/>
  <c r="I1315" i="12"/>
  <c r="K1314" i="12"/>
  <c r="J1314" i="12"/>
  <c r="I1314" i="12"/>
  <c r="K1313" i="12"/>
  <c r="J1313" i="12"/>
  <c r="I1313" i="12"/>
  <c r="K1312" i="12"/>
  <c r="J1312" i="12"/>
  <c r="I1312" i="12"/>
  <c r="K1311" i="12"/>
  <c r="J1311" i="12"/>
  <c r="I1311" i="12"/>
  <c r="K1310" i="12"/>
  <c r="J1310" i="12"/>
  <c r="I1310" i="12"/>
  <c r="K1309" i="12"/>
  <c r="J1309" i="12"/>
  <c r="I1309" i="12"/>
  <c r="K1308" i="12"/>
  <c r="J1308" i="12"/>
  <c r="I1308" i="12"/>
  <c r="K1307" i="12"/>
  <c r="J1307" i="12"/>
  <c r="I1307" i="12"/>
  <c r="K1306" i="12"/>
  <c r="J1306" i="12"/>
  <c r="I1306" i="12"/>
  <c r="K1305" i="12"/>
  <c r="J1305" i="12"/>
  <c r="I1305" i="12"/>
  <c r="K1304" i="12"/>
  <c r="J1304" i="12"/>
  <c r="I1304" i="12"/>
  <c r="K1303" i="12"/>
  <c r="J1303" i="12"/>
  <c r="I1303" i="12"/>
  <c r="K1302" i="12"/>
  <c r="J1302" i="12"/>
  <c r="I1302" i="12"/>
  <c r="K1301" i="12"/>
  <c r="J1301" i="12"/>
  <c r="I1301" i="12"/>
  <c r="K1300" i="12"/>
  <c r="J1300" i="12"/>
  <c r="I1300" i="12"/>
  <c r="K1299" i="12"/>
  <c r="J1299" i="12"/>
  <c r="I1299" i="12"/>
  <c r="K1298" i="12"/>
  <c r="J1298" i="12"/>
  <c r="I1298" i="12"/>
  <c r="K1297" i="12"/>
  <c r="J1297" i="12"/>
  <c r="I1297" i="12"/>
  <c r="K1296" i="12"/>
  <c r="J1296" i="12"/>
  <c r="I1296" i="12"/>
  <c r="K1295" i="12"/>
  <c r="J1295" i="12"/>
  <c r="I1295" i="12"/>
  <c r="K1294" i="12"/>
  <c r="J1294" i="12"/>
  <c r="I1294" i="12"/>
  <c r="K1293" i="12"/>
  <c r="J1293" i="12"/>
  <c r="I1293" i="12"/>
  <c r="K1292" i="12"/>
  <c r="J1292" i="12"/>
  <c r="I1292" i="12"/>
  <c r="K1291" i="12"/>
  <c r="J1291" i="12"/>
  <c r="I1291" i="12"/>
  <c r="K1290" i="12"/>
  <c r="J1290" i="12"/>
  <c r="I1290" i="12"/>
  <c r="K1289" i="12"/>
  <c r="J1289" i="12"/>
  <c r="I1289" i="12"/>
  <c r="K1288" i="12"/>
  <c r="J1288" i="12"/>
  <c r="I1288" i="12"/>
  <c r="K1287" i="12"/>
  <c r="J1287" i="12"/>
  <c r="I1287" i="12"/>
  <c r="K1286" i="12"/>
  <c r="J1286" i="12"/>
  <c r="I1286" i="12"/>
  <c r="K1285" i="12"/>
  <c r="J1285" i="12"/>
  <c r="I1285" i="12"/>
  <c r="K1284" i="12"/>
  <c r="J1284" i="12"/>
  <c r="I1284" i="12"/>
  <c r="K1283" i="12"/>
  <c r="J1283" i="12"/>
  <c r="I1283" i="12"/>
  <c r="K1282" i="12"/>
  <c r="J1282" i="12"/>
  <c r="I1282" i="12"/>
  <c r="K1281" i="12"/>
  <c r="J1281" i="12"/>
  <c r="I1281" i="12"/>
  <c r="K1280" i="12"/>
  <c r="J1280" i="12"/>
  <c r="I1280" i="12"/>
  <c r="K1279" i="12"/>
  <c r="J1279" i="12"/>
  <c r="I1279" i="12"/>
  <c r="K1278" i="12"/>
  <c r="J1278" i="12"/>
  <c r="I1278" i="12"/>
  <c r="K1277" i="12"/>
  <c r="J1277" i="12"/>
  <c r="I1277" i="12"/>
  <c r="K1276" i="12"/>
  <c r="J1276" i="12"/>
  <c r="I1276" i="12"/>
  <c r="K1275" i="12"/>
  <c r="J1275" i="12"/>
  <c r="I1275" i="12"/>
  <c r="K1274" i="12"/>
  <c r="J1274" i="12"/>
  <c r="I1274" i="12"/>
  <c r="K1273" i="12"/>
  <c r="J1273" i="12"/>
  <c r="I1273" i="12"/>
  <c r="K1272" i="12"/>
  <c r="J1272" i="12"/>
  <c r="I1272" i="12"/>
  <c r="K1271" i="12"/>
  <c r="J1271" i="12"/>
  <c r="I1271" i="12"/>
  <c r="K1270" i="12"/>
  <c r="J1270" i="12"/>
  <c r="I1270" i="12"/>
  <c r="K1269" i="12"/>
  <c r="J1269" i="12"/>
  <c r="I1269" i="12"/>
  <c r="K1268" i="12"/>
  <c r="J1268" i="12"/>
  <c r="I1268" i="12"/>
  <c r="K1267" i="12"/>
  <c r="J1267" i="12"/>
  <c r="I1267" i="12"/>
  <c r="K1266" i="12"/>
  <c r="J1266" i="12"/>
  <c r="I1266" i="12"/>
  <c r="K1265" i="12"/>
  <c r="J1265" i="12"/>
  <c r="I1265" i="12"/>
  <c r="K1264" i="12"/>
  <c r="J1264" i="12"/>
  <c r="I1264" i="12"/>
  <c r="K1263" i="12"/>
  <c r="J1263" i="12"/>
  <c r="I1263" i="12"/>
  <c r="K1262" i="12"/>
  <c r="J1262" i="12"/>
  <c r="I1262" i="12"/>
  <c r="K1261" i="12"/>
  <c r="J1261" i="12"/>
  <c r="I1261" i="12"/>
  <c r="K1260" i="12"/>
  <c r="J1260" i="12"/>
  <c r="I1260" i="12"/>
  <c r="K1259" i="12"/>
  <c r="J1259" i="12"/>
  <c r="I1259" i="12"/>
  <c r="K1258" i="12"/>
  <c r="J1258" i="12"/>
  <c r="I1258" i="12"/>
  <c r="K1257" i="12"/>
  <c r="J1257" i="12"/>
  <c r="I1257" i="12"/>
  <c r="K1256" i="12"/>
  <c r="J1256" i="12"/>
  <c r="I1256" i="12"/>
  <c r="K1255" i="12"/>
  <c r="J1255" i="12"/>
  <c r="I1255" i="12"/>
  <c r="K1254" i="12"/>
  <c r="J1254" i="12"/>
  <c r="I1254" i="12"/>
  <c r="K1253" i="12"/>
  <c r="J1253" i="12"/>
  <c r="I1253" i="12"/>
  <c r="K1252" i="12"/>
  <c r="J1252" i="12"/>
  <c r="I1252" i="12"/>
  <c r="K1251" i="12"/>
  <c r="J1251" i="12"/>
  <c r="I1251" i="12"/>
  <c r="K1250" i="12"/>
  <c r="J1250" i="12"/>
  <c r="I1250" i="12"/>
  <c r="K1249" i="12"/>
  <c r="J1249" i="12"/>
  <c r="I1249" i="12"/>
  <c r="K1248" i="12"/>
  <c r="J1248" i="12"/>
  <c r="I1248" i="12"/>
  <c r="K1247" i="12"/>
  <c r="J1247" i="12"/>
  <c r="I1247" i="12"/>
  <c r="K1246" i="12"/>
  <c r="J1246" i="12"/>
  <c r="I1246" i="12"/>
  <c r="K1245" i="12"/>
  <c r="J1245" i="12"/>
  <c r="I1245" i="12"/>
  <c r="K1244" i="12"/>
  <c r="J1244" i="12"/>
  <c r="I1244" i="12"/>
  <c r="K1243" i="12"/>
  <c r="J1243" i="12"/>
  <c r="I1243" i="12"/>
  <c r="K1242" i="12"/>
  <c r="J1242" i="12"/>
  <c r="I1242" i="12"/>
  <c r="K1241" i="12"/>
  <c r="J1241" i="12"/>
  <c r="I1241" i="12"/>
  <c r="K1240" i="12"/>
  <c r="J1240" i="12"/>
  <c r="I1240" i="12"/>
  <c r="K1239" i="12"/>
  <c r="J1239" i="12"/>
  <c r="I1239" i="12"/>
  <c r="K1238" i="12"/>
  <c r="J1238" i="12"/>
  <c r="I1238" i="12"/>
  <c r="K1237" i="12"/>
  <c r="J1237" i="12"/>
  <c r="I1237" i="12"/>
  <c r="K1236" i="12"/>
  <c r="J1236" i="12"/>
  <c r="I1236" i="12"/>
  <c r="K1235" i="12"/>
  <c r="J1235" i="12"/>
  <c r="I1235" i="12"/>
  <c r="K1234" i="12"/>
  <c r="J1234" i="12"/>
  <c r="I1234" i="12"/>
  <c r="K1233" i="12"/>
  <c r="J1233" i="12"/>
  <c r="I1233" i="12"/>
  <c r="K1232" i="12"/>
  <c r="J1232" i="12"/>
  <c r="I1232" i="12"/>
  <c r="K1231" i="12"/>
  <c r="J1231" i="12"/>
  <c r="I1231" i="12"/>
  <c r="K1230" i="12"/>
  <c r="J1230" i="12"/>
  <c r="I1230" i="12"/>
  <c r="K1229" i="12"/>
  <c r="J1229" i="12"/>
  <c r="I1229" i="12"/>
  <c r="K1228" i="12"/>
  <c r="J1228" i="12"/>
  <c r="I1228" i="12"/>
  <c r="K1227" i="12"/>
  <c r="J1227" i="12"/>
  <c r="I1227" i="12"/>
  <c r="K1226" i="12"/>
  <c r="J1226" i="12"/>
  <c r="I1226" i="12"/>
  <c r="K1225" i="12"/>
  <c r="J1225" i="12"/>
  <c r="I1225" i="12"/>
  <c r="K1224" i="12"/>
  <c r="J1224" i="12"/>
  <c r="I1224" i="12"/>
  <c r="K1223" i="12"/>
  <c r="J1223" i="12"/>
  <c r="I1223" i="12"/>
  <c r="K1222" i="12"/>
  <c r="J1222" i="12"/>
  <c r="I1222" i="12"/>
  <c r="K1221" i="12"/>
  <c r="J1221" i="12"/>
  <c r="I1221" i="12"/>
  <c r="K1220" i="12"/>
  <c r="J1220" i="12"/>
  <c r="I1220" i="12"/>
  <c r="K1219" i="12"/>
  <c r="J1219" i="12"/>
  <c r="I1219" i="12"/>
  <c r="K1218" i="12"/>
  <c r="J1218" i="12"/>
  <c r="I1218" i="12"/>
  <c r="K1217" i="12"/>
  <c r="J1217" i="12"/>
  <c r="I1217" i="12"/>
  <c r="K1216" i="12"/>
  <c r="J1216" i="12"/>
  <c r="I1216" i="12"/>
  <c r="K1215" i="12"/>
  <c r="J1215" i="12"/>
  <c r="I1215" i="12"/>
  <c r="K1214" i="12"/>
  <c r="J1214" i="12"/>
  <c r="I1214" i="12"/>
  <c r="K1213" i="12"/>
  <c r="J1213" i="12"/>
  <c r="I1213" i="12"/>
  <c r="K1212" i="12"/>
  <c r="J1212" i="12"/>
  <c r="I1212" i="12"/>
  <c r="K1211" i="12"/>
  <c r="J1211" i="12"/>
  <c r="I1211" i="12"/>
  <c r="K1210" i="12"/>
  <c r="J1210" i="12"/>
  <c r="I1210" i="12"/>
  <c r="K1209" i="12"/>
  <c r="J1209" i="12"/>
  <c r="I1209" i="12"/>
  <c r="K1208" i="12"/>
  <c r="J1208" i="12"/>
  <c r="I1208" i="12"/>
  <c r="K1207" i="12"/>
  <c r="J1207" i="12"/>
  <c r="I1207" i="12"/>
  <c r="K1206" i="12"/>
  <c r="J1206" i="12"/>
  <c r="I1206" i="12"/>
  <c r="K1205" i="12"/>
  <c r="J1205" i="12"/>
  <c r="I1205" i="12"/>
  <c r="K1204" i="12"/>
  <c r="J1204" i="12"/>
  <c r="I1204" i="12"/>
  <c r="K1203" i="12"/>
  <c r="J1203" i="12"/>
  <c r="I1203" i="12"/>
  <c r="K1202" i="12"/>
  <c r="J1202" i="12"/>
  <c r="I1202" i="12"/>
  <c r="K1201" i="12"/>
  <c r="J1201" i="12"/>
  <c r="I1201" i="12"/>
  <c r="K1200" i="12"/>
  <c r="J1200" i="12"/>
  <c r="I1200" i="12"/>
  <c r="K1199" i="12"/>
  <c r="J1199" i="12"/>
  <c r="I1199" i="12"/>
  <c r="K1198" i="12"/>
  <c r="J1198" i="12"/>
  <c r="I1198" i="12"/>
  <c r="K1197" i="12"/>
  <c r="J1197" i="12"/>
  <c r="I1197" i="12"/>
  <c r="K1196" i="12"/>
  <c r="J1196" i="12"/>
  <c r="I1196" i="12"/>
  <c r="K1195" i="12"/>
  <c r="J1195" i="12"/>
  <c r="I1195" i="12"/>
  <c r="K1194" i="12"/>
  <c r="J1194" i="12"/>
  <c r="I1194" i="12"/>
  <c r="K1193" i="12"/>
  <c r="J1193" i="12"/>
  <c r="I1193" i="12"/>
  <c r="K1192" i="12"/>
  <c r="J1192" i="12"/>
  <c r="I1192" i="12"/>
  <c r="K1191" i="12"/>
  <c r="J1191" i="12"/>
  <c r="I1191" i="12"/>
  <c r="K1190" i="12"/>
  <c r="J1190" i="12"/>
  <c r="I1190" i="12"/>
  <c r="K1189" i="12"/>
  <c r="J1189" i="12"/>
  <c r="I1189" i="12"/>
  <c r="K1188" i="12"/>
  <c r="J1188" i="12"/>
  <c r="I1188" i="12"/>
  <c r="K1187" i="12"/>
  <c r="J1187" i="12"/>
  <c r="I1187" i="12"/>
  <c r="K1186" i="12"/>
  <c r="J1186" i="12"/>
  <c r="I1186" i="12"/>
  <c r="K1185" i="12"/>
  <c r="J1185" i="12"/>
  <c r="I1185" i="12"/>
  <c r="K1184" i="12"/>
  <c r="J1184" i="12"/>
  <c r="I1184" i="12"/>
  <c r="K1183" i="12"/>
  <c r="J1183" i="12"/>
  <c r="I1183" i="12"/>
  <c r="K1182" i="12"/>
  <c r="J1182" i="12"/>
  <c r="I1182" i="12"/>
  <c r="K1181" i="12"/>
  <c r="J1181" i="12"/>
  <c r="I1181" i="12"/>
  <c r="K1180" i="12"/>
  <c r="J1180" i="12"/>
  <c r="I1180" i="12"/>
  <c r="K1179" i="12"/>
  <c r="J1179" i="12"/>
  <c r="I1179" i="12"/>
  <c r="K1178" i="12"/>
  <c r="J1178" i="12"/>
  <c r="I1178" i="12"/>
  <c r="K1177" i="12"/>
  <c r="J1177" i="12"/>
  <c r="I1177" i="12"/>
  <c r="K1176" i="12"/>
  <c r="J1176" i="12"/>
  <c r="I1176" i="12"/>
  <c r="K1175" i="12"/>
  <c r="J1175" i="12"/>
  <c r="I1175" i="12"/>
  <c r="K1174" i="12"/>
  <c r="J1174" i="12"/>
  <c r="I1174" i="12"/>
  <c r="K1173" i="12"/>
  <c r="J1173" i="12"/>
  <c r="I1173" i="12"/>
  <c r="K1172" i="12"/>
  <c r="J1172" i="12"/>
  <c r="I1172" i="12"/>
  <c r="K1171" i="12"/>
  <c r="J1171" i="12"/>
  <c r="I1171" i="12"/>
  <c r="K1170" i="12"/>
  <c r="J1170" i="12"/>
  <c r="I1170" i="12"/>
  <c r="K1169" i="12"/>
  <c r="J1169" i="12"/>
  <c r="I1169" i="12"/>
  <c r="K1168" i="12"/>
  <c r="J1168" i="12"/>
  <c r="I1168" i="12"/>
  <c r="K1167" i="12"/>
  <c r="J1167" i="12"/>
  <c r="I1167" i="12"/>
  <c r="K1166" i="12"/>
  <c r="J1166" i="12"/>
  <c r="I1166" i="12"/>
  <c r="K1165" i="12"/>
  <c r="J1165" i="12"/>
  <c r="I1165" i="12"/>
  <c r="K1164" i="12"/>
  <c r="J1164" i="12"/>
  <c r="I1164" i="12"/>
  <c r="K1163" i="12"/>
  <c r="J1163" i="12"/>
  <c r="I1163" i="12"/>
  <c r="K1162" i="12"/>
  <c r="J1162" i="12"/>
  <c r="I1162" i="12"/>
  <c r="K1161" i="12"/>
  <c r="J1161" i="12"/>
  <c r="I1161" i="12"/>
  <c r="K1160" i="12"/>
  <c r="J1160" i="12"/>
  <c r="I1160" i="12"/>
  <c r="K1159" i="12"/>
  <c r="J1159" i="12"/>
  <c r="I1159" i="12"/>
  <c r="K1158" i="12"/>
  <c r="J1158" i="12"/>
  <c r="I1158" i="12"/>
  <c r="K1157" i="12"/>
  <c r="J1157" i="12"/>
  <c r="I1157" i="12"/>
  <c r="K1156" i="12"/>
  <c r="J1156" i="12"/>
  <c r="I1156" i="12"/>
  <c r="K1155" i="12"/>
  <c r="J1155" i="12"/>
  <c r="I1155" i="12"/>
  <c r="K1154" i="12"/>
  <c r="J1154" i="12"/>
  <c r="I1154" i="12"/>
  <c r="K1153" i="12"/>
  <c r="J1153" i="12"/>
  <c r="I1153" i="12"/>
  <c r="K1152" i="12"/>
  <c r="J1152" i="12"/>
  <c r="I1152" i="12"/>
  <c r="K1151" i="12"/>
  <c r="J1151" i="12"/>
  <c r="I1151" i="12"/>
  <c r="K1150" i="12"/>
  <c r="J1150" i="12"/>
  <c r="I1150" i="12"/>
  <c r="K1149" i="12"/>
  <c r="J1149" i="12"/>
  <c r="I1149" i="12"/>
  <c r="K1148" i="12"/>
  <c r="J1148" i="12"/>
  <c r="I1148" i="12"/>
  <c r="K1147" i="12"/>
  <c r="J1147" i="12"/>
  <c r="I1147" i="12"/>
  <c r="K1146" i="12"/>
  <c r="J1146" i="12"/>
  <c r="I1146" i="12"/>
  <c r="K1145" i="12"/>
  <c r="J1145" i="12"/>
  <c r="I1145" i="12"/>
  <c r="K1144" i="12"/>
  <c r="J1144" i="12"/>
  <c r="I1144" i="12"/>
  <c r="K1143" i="12"/>
  <c r="J1143" i="12"/>
  <c r="I1143" i="12"/>
  <c r="K1142" i="12"/>
  <c r="J1142" i="12"/>
  <c r="I1142" i="12"/>
  <c r="K1141" i="12"/>
  <c r="J1141" i="12"/>
  <c r="I1141" i="12"/>
  <c r="K1140" i="12"/>
  <c r="J1140" i="12"/>
  <c r="I1140" i="12"/>
  <c r="K1139" i="12"/>
  <c r="J1139" i="12"/>
  <c r="I1139" i="12"/>
  <c r="K1138" i="12"/>
  <c r="J1138" i="12"/>
  <c r="I1138" i="12"/>
  <c r="K1137" i="12"/>
  <c r="J1137" i="12"/>
  <c r="I1137" i="12"/>
  <c r="K1136" i="12"/>
  <c r="J1136" i="12"/>
  <c r="I1136" i="12"/>
  <c r="K1135" i="12"/>
  <c r="J1135" i="12"/>
  <c r="I1135" i="12"/>
  <c r="K1134" i="12"/>
  <c r="J1134" i="12"/>
  <c r="I1134" i="12"/>
  <c r="K1133" i="12"/>
  <c r="J1133" i="12"/>
  <c r="I1133" i="12"/>
  <c r="K1132" i="12"/>
  <c r="J1132" i="12"/>
  <c r="I1132" i="12"/>
  <c r="K1131" i="12"/>
  <c r="J1131" i="12"/>
  <c r="I1131" i="12"/>
  <c r="K1130" i="12"/>
  <c r="J1130" i="12"/>
  <c r="I1130" i="12"/>
  <c r="K1129" i="12"/>
  <c r="J1129" i="12"/>
  <c r="I1129" i="12"/>
  <c r="K1128" i="12"/>
  <c r="J1128" i="12"/>
  <c r="I1128" i="12"/>
  <c r="K1127" i="12"/>
  <c r="J1127" i="12"/>
  <c r="I1127" i="12"/>
  <c r="K1126" i="12"/>
  <c r="J1126" i="12"/>
  <c r="I1126" i="12"/>
  <c r="K1125" i="12"/>
  <c r="J1125" i="12"/>
  <c r="I1125" i="12"/>
  <c r="K1124" i="12"/>
  <c r="J1124" i="12"/>
  <c r="I1124" i="12"/>
  <c r="K1123" i="12"/>
  <c r="J1123" i="12"/>
  <c r="I1123" i="12"/>
  <c r="K1122" i="12"/>
  <c r="J1122" i="12"/>
  <c r="I1122" i="12"/>
  <c r="K1121" i="12"/>
  <c r="J1121" i="12"/>
  <c r="I1121" i="12"/>
  <c r="K1120" i="12"/>
  <c r="J1120" i="12"/>
  <c r="I1120" i="12"/>
  <c r="K1119" i="12"/>
  <c r="J1119" i="12"/>
  <c r="I1119" i="12"/>
  <c r="K1118" i="12"/>
  <c r="J1118" i="12"/>
  <c r="I1118" i="12"/>
  <c r="K1117" i="12"/>
  <c r="J1117" i="12"/>
  <c r="I1117" i="12"/>
  <c r="K1116" i="12"/>
  <c r="J1116" i="12"/>
  <c r="I1116" i="12"/>
  <c r="K1115" i="12"/>
  <c r="J1115" i="12"/>
  <c r="I1115" i="12"/>
  <c r="K1114" i="12"/>
  <c r="J1114" i="12"/>
  <c r="I1114" i="12"/>
  <c r="K1113" i="12"/>
  <c r="J1113" i="12"/>
  <c r="I1113" i="12"/>
  <c r="K1112" i="12"/>
  <c r="J1112" i="12"/>
  <c r="I1112" i="12"/>
  <c r="K1111" i="12"/>
  <c r="J1111" i="12"/>
  <c r="I1111" i="12"/>
  <c r="K1110" i="12"/>
  <c r="J1110" i="12"/>
  <c r="I1110" i="12"/>
  <c r="K1109" i="12"/>
  <c r="J1109" i="12"/>
  <c r="I1109" i="12"/>
  <c r="K1108" i="12"/>
  <c r="J1108" i="12"/>
  <c r="I1108" i="12"/>
  <c r="K1107" i="12"/>
  <c r="J1107" i="12"/>
  <c r="I1107" i="12"/>
  <c r="K1106" i="12"/>
  <c r="J1106" i="12"/>
  <c r="I1106" i="12"/>
  <c r="K1105" i="12"/>
  <c r="J1105" i="12"/>
  <c r="I1105" i="12"/>
  <c r="K1104" i="12"/>
  <c r="J1104" i="12"/>
  <c r="I1104" i="12"/>
  <c r="K1103" i="12"/>
  <c r="J1103" i="12"/>
  <c r="I1103" i="12"/>
  <c r="K1102" i="12"/>
  <c r="J1102" i="12"/>
  <c r="I1102" i="12"/>
  <c r="K1101" i="12"/>
  <c r="J1101" i="12"/>
  <c r="I1101" i="12"/>
  <c r="K1100" i="12"/>
  <c r="J1100" i="12"/>
  <c r="I1100" i="12"/>
  <c r="K1099" i="12"/>
  <c r="J1099" i="12"/>
  <c r="I1099" i="12"/>
  <c r="K1098" i="12"/>
  <c r="J1098" i="12"/>
  <c r="I1098" i="12"/>
  <c r="K1097" i="12"/>
  <c r="J1097" i="12"/>
  <c r="I1097" i="12"/>
  <c r="K1096" i="12"/>
  <c r="J1096" i="12"/>
  <c r="I1096" i="12"/>
  <c r="K1095" i="12"/>
  <c r="J1095" i="12"/>
  <c r="I1095" i="12"/>
  <c r="K1094" i="12"/>
  <c r="J1094" i="12"/>
  <c r="I1094" i="12"/>
  <c r="K1093" i="12"/>
  <c r="J1093" i="12"/>
  <c r="I1093" i="12"/>
  <c r="K1092" i="12"/>
  <c r="J1092" i="12"/>
  <c r="I1092" i="12"/>
  <c r="K1091" i="12"/>
  <c r="J1091" i="12"/>
  <c r="I1091" i="12"/>
  <c r="K1090" i="12"/>
  <c r="J1090" i="12"/>
  <c r="I1090" i="12"/>
  <c r="K1089" i="12"/>
  <c r="J1089" i="12"/>
  <c r="I1089" i="12"/>
  <c r="K1088" i="12"/>
  <c r="J1088" i="12"/>
  <c r="I1088" i="12"/>
  <c r="K1087" i="12"/>
  <c r="J1087" i="12"/>
  <c r="I1087" i="12"/>
  <c r="K1086" i="12"/>
  <c r="J1086" i="12"/>
  <c r="I1086" i="12"/>
  <c r="K1085" i="12"/>
  <c r="J1085" i="12"/>
  <c r="I1085" i="12"/>
  <c r="K1084" i="12"/>
  <c r="J1084" i="12"/>
  <c r="I1084" i="12"/>
  <c r="K1083" i="12"/>
  <c r="J1083" i="12"/>
  <c r="I1083" i="12"/>
  <c r="K1082" i="12"/>
  <c r="J1082" i="12"/>
  <c r="I1082" i="12"/>
  <c r="K1081" i="12"/>
  <c r="J1081" i="12"/>
  <c r="I1081" i="12"/>
  <c r="K1080" i="12"/>
  <c r="J1080" i="12"/>
  <c r="I1080" i="12"/>
  <c r="K1079" i="12"/>
  <c r="J1079" i="12"/>
  <c r="I1079" i="12"/>
  <c r="K1078" i="12"/>
  <c r="J1078" i="12"/>
  <c r="I1078" i="12"/>
  <c r="K1077" i="12"/>
  <c r="J1077" i="12"/>
  <c r="I1077" i="12"/>
  <c r="K1076" i="12"/>
  <c r="J1076" i="12"/>
  <c r="I1076" i="12"/>
  <c r="K1075" i="12"/>
  <c r="J1075" i="12"/>
  <c r="I1075" i="12"/>
  <c r="K1074" i="12"/>
  <c r="J1074" i="12"/>
  <c r="I1074" i="12"/>
  <c r="K1073" i="12"/>
  <c r="J1073" i="12"/>
  <c r="I1073" i="12"/>
  <c r="K1072" i="12"/>
  <c r="J1072" i="12"/>
  <c r="I1072" i="12"/>
  <c r="K1071" i="12"/>
  <c r="J1071" i="12"/>
  <c r="I1071" i="12"/>
  <c r="K1070" i="12"/>
  <c r="J1070" i="12"/>
  <c r="I1070" i="12"/>
  <c r="K1069" i="12"/>
  <c r="J1069" i="12"/>
  <c r="I1069" i="12"/>
  <c r="K1068" i="12"/>
  <c r="J1068" i="12"/>
  <c r="I1068" i="12"/>
  <c r="K1067" i="12"/>
  <c r="J1067" i="12"/>
  <c r="I1067" i="12"/>
  <c r="K1066" i="12"/>
  <c r="J1066" i="12"/>
  <c r="I1066" i="12"/>
  <c r="K1065" i="12"/>
  <c r="J1065" i="12"/>
  <c r="I1065" i="12"/>
  <c r="K1064" i="12"/>
  <c r="J1064" i="12"/>
  <c r="I1064" i="12"/>
  <c r="K1063" i="12"/>
  <c r="J1063" i="12"/>
  <c r="I1063" i="12"/>
  <c r="K1062" i="12"/>
  <c r="J1062" i="12"/>
  <c r="I1062" i="12"/>
  <c r="K1061" i="12"/>
  <c r="J1061" i="12"/>
  <c r="I1061" i="12"/>
  <c r="K1060" i="12"/>
  <c r="J1060" i="12"/>
  <c r="I1060" i="12"/>
  <c r="K1059" i="12"/>
  <c r="J1059" i="12"/>
  <c r="I1059" i="12"/>
  <c r="K1058" i="12"/>
  <c r="J1058" i="12"/>
  <c r="I1058" i="12"/>
  <c r="K1057" i="12"/>
  <c r="J1057" i="12"/>
  <c r="I1057" i="12"/>
  <c r="K1056" i="12"/>
  <c r="J1056" i="12"/>
  <c r="I1056" i="12"/>
  <c r="K1055" i="12"/>
  <c r="J1055" i="12"/>
  <c r="I1055" i="12"/>
  <c r="K1054" i="12"/>
  <c r="J1054" i="12"/>
  <c r="I1054" i="12"/>
  <c r="K1053" i="12"/>
  <c r="J1053" i="12"/>
  <c r="I1053" i="12"/>
  <c r="K1052" i="12"/>
  <c r="J1052" i="12"/>
  <c r="I1052" i="12"/>
  <c r="K1051" i="12"/>
  <c r="J1051" i="12"/>
  <c r="I1051" i="12"/>
  <c r="K1050" i="12"/>
  <c r="J1050" i="12"/>
  <c r="I1050" i="12"/>
  <c r="K1049" i="12"/>
  <c r="J1049" i="12"/>
  <c r="I1049" i="12"/>
  <c r="K1048" i="12"/>
  <c r="J1048" i="12"/>
  <c r="I1048" i="12"/>
  <c r="K1047" i="12"/>
  <c r="J1047" i="12"/>
  <c r="I1047" i="12"/>
  <c r="K1046" i="12"/>
  <c r="J1046" i="12"/>
  <c r="I1046" i="12"/>
  <c r="K1045" i="12"/>
  <c r="J1045" i="12"/>
  <c r="I1045" i="12"/>
  <c r="K1044" i="12"/>
  <c r="J1044" i="12"/>
  <c r="I1044" i="12"/>
  <c r="K1043" i="12"/>
  <c r="J1043" i="12"/>
  <c r="I1043" i="12"/>
  <c r="K1042" i="12"/>
  <c r="J1042" i="12"/>
  <c r="I1042" i="12"/>
  <c r="K1041" i="12"/>
  <c r="J1041" i="12"/>
  <c r="I1041" i="12"/>
  <c r="K1040" i="12"/>
  <c r="J1040" i="12"/>
  <c r="I1040" i="12"/>
  <c r="K1039" i="12"/>
  <c r="J1039" i="12"/>
  <c r="I1039" i="12"/>
  <c r="K1038" i="12"/>
  <c r="J1038" i="12"/>
  <c r="I1038" i="12"/>
  <c r="K1037" i="12"/>
  <c r="J1037" i="12"/>
  <c r="I1037" i="12"/>
  <c r="K1036" i="12"/>
  <c r="J1036" i="12"/>
  <c r="I1036" i="12"/>
  <c r="K1035" i="12"/>
  <c r="J1035" i="12"/>
  <c r="I1035" i="12"/>
  <c r="K1034" i="12"/>
  <c r="J1034" i="12"/>
  <c r="I1034" i="12"/>
  <c r="K1033" i="12"/>
  <c r="J1033" i="12"/>
  <c r="I1033" i="12"/>
  <c r="K1032" i="12"/>
  <c r="J1032" i="12"/>
  <c r="I1032" i="12"/>
  <c r="K1031" i="12"/>
  <c r="J1031" i="12"/>
  <c r="I1031" i="12"/>
  <c r="K1030" i="12"/>
  <c r="J1030" i="12"/>
  <c r="I1030" i="12"/>
  <c r="K1029" i="12"/>
  <c r="J1029" i="12"/>
  <c r="I1029" i="12"/>
  <c r="K1028" i="12"/>
  <c r="J1028" i="12"/>
  <c r="I1028" i="12"/>
  <c r="K1027" i="12"/>
  <c r="J1027" i="12"/>
  <c r="I1027" i="12"/>
  <c r="K1026" i="12"/>
  <c r="J1026" i="12"/>
  <c r="I1026" i="12"/>
  <c r="K1025" i="12"/>
  <c r="J1025" i="12"/>
  <c r="I1025" i="12"/>
  <c r="K1024" i="12"/>
  <c r="J1024" i="12"/>
  <c r="I1024" i="12"/>
  <c r="K1023" i="12"/>
  <c r="J1023" i="12"/>
  <c r="I1023" i="12"/>
  <c r="K1022" i="12"/>
  <c r="J1022" i="12"/>
  <c r="I1022" i="12"/>
  <c r="K1021" i="12"/>
  <c r="J1021" i="12"/>
  <c r="I1021" i="12"/>
  <c r="K1020" i="12"/>
  <c r="J1020" i="12"/>
  <c r="I1020" i="12"/>
  <c r="K1019" i="12"/>
  <c r="J1019" i="12"/>
  <c r="I1019" i="12"/>
  <c r="K1018" i="12"/>
  <c r="J1018" i="12"/>
  <c r="I1018" i="12"/>
  <c r="K1017" i="12"/>
  <c r="J1017" i="12"/>
  <c r="I1017" i="12"/>
  <c r="K1016" i="12"/>
  <c r="J1016" i="12"/>
  <c r="I1016" i="12"/>
  <c r="K1015" i="12"/>
  <c r="J1015" i="12"/>
  <c r="I1015" i="12"/>
  <c r="K1014" i="12"/>
  <c r="J1014" i="12"/>
  <c r="I1014" i="12"/>
  <c r="K1013" i="12"/>
  <c r="J1013" i="12"/>
  <c r="I1013" i="12"/>
  <c r="K1012" i="12"/>
  <c r="J1012" i="12"/>
  <c r="I1012" i="12"/>
  <c r="K1011" i="12"/>
  <c r="J1011" i="12"/>
  <c r="I1011" i="12"/>
  <c r="K1010" i="12"/>
  <c r="J1010" i="12"/>
  <c r="I1010" i="12"/>
  <c r="K1009" i="12"/>
  <c r="J1009" i="12"/>
  <c r="I1009" i="12"/>
  <c r="K1008" i="12"/>
  <c r="J1008" i="12"/>
  <c r="I1008" i="12"/>
  <c r="K1007" i="12"/>
  <c r="J1007" i="12"/>
  <c r="I1007" i="12"/>
  <c r="K1006" i="12"/>
  <c r="J1006" i="12"/>
  <c r="I1006" i="12"/>
  <c r="K1005" i="12"/>
  <c r="J1005" i="12"/>
  <c r="I1005" i="12"/>
  <c r="K1004" i="12"/>
  <c r="J1004" i="12"/>
  <c r="I1004" i="12"/>
  <c r="K1003" i="12"/>
  <c r="J1003" i="12"/>
  <c r="I1003" i="12"/>
  <c r="K1002" i="12"/>
  <c r="J1002" i="12"/>
  <c r="I1002" i="12"/>
  <c r="K1001" i="12"/>
  <c r="J1001" i="12"/>
  <c r="I1001" i="12"/>
  <c r="K1000" i="12"/>
  <c r="J1000" i="12"/>
  <c r="I1000" i="12"/>
  <c r="K999" i="12"/>
  <c r="J999" i="12"/>
  <c r="I999" i="12"/>
  <c r="K998" i="12"/>
  <c r="J998" i="12"/>
  <c r="I998" i="12"/>
  <c r="K997" i="12"/>
  <c r="J997" i="12"/>
  <c r="I997" i="12"/>
  <c r="K996" i="12"/>
  <c r="J996" i="12"/>
  <c r="I996" i="12"/>
  <c r="K995" i="12"/>
  <c r="J995" i="12"/>
  <c r="I995" i="12"/>
  <c r="K994" i="12"/>
  <c r="J994" i="12"/>
  <c r="I994" i="12"/>
  <c r="K993" i="12"/>
  <c r="J993" i="12"/>
  <c r="I993" i="12"/>
  <c r="K992" i="12"/>
  <c r="J992" i="12"/>
  <c r="I992" i="12"/>
  <c r="K991" i="12"/>
  <c r="J991" i="12"/>
  <c r="I991" i="12"/>
  <c r="K990" i="12"/>
  <c r="J990" i="12"/>
  <c r="I990" i="12"/>
  <c r="K989" i="12"/>
  <c r="J989" i="12"/>
  <c r="I989" i="12"/>
  <c r="K988" i="12"/>
  <c r="J988" i="12"/>
  <c r="I988" i="12"/>
  <c r="K987" i="12"/>
  <c r="J987" i="12"/>
  <c r="I987" i="12"/>
  <c r="K986" i="12"/>
  <c r="J986" i="12"/>
  <c r="I986" i="12"/>
  <c r="K985" i="12"/>
  <c r="J985" i="12"/>
  <c r="I985" i="12"/>
  <c r="K984" i="12"/>
  <c r="J984" i="12"/>
  <c r="I984" i="12"/>
  <c r="K983" i="12"/>
  <c r="J983" i="12"/>
  <c r="I983" i="12"/>
  <c r="K982" i="12"/>
  <c r="J982" i="12"/>
  <c r="I982" i="12"/>
  <c r="K981" i="12"/>
  <c r="J981" i="12"/>
  <c r="I981" i="12"/>
  <c r="K980" i="12"/>
  <c r="J980" i="12"/>
  <c r="I980" i="12"/>
  <c r="K979" i="12"/>
  <c r="J979" i="12"/>
  <c r="I979" i="12"/>
  <c r="K978" i="12"/>
  <c r="J978" i="12"/>
  <c r="I978" i="12"/>
  <c r="K977" i="12"/>
  <c r="J977" i="12"/>
  <c r="I977" i="12"/>
  <c r="K976" i="12"/>
  <c r="J976" i="12"/>
  <c r="I976" i="12"/>
  <c r="K975" i="12"/>
  <c r="J975" i="12"/>
  <c r="I975" i="12"/>
  <c r="K974" i="12"/>
  <c r="J974" i="12"/>
  <c r="I974" i="12"/>
  <c r="K973" i="12"/>
  <c r="J973" i="12"/>
  <c r="I973" i="12"/>
  <c r="K972" i="12"/>
  <c r="J972" i="12"/>
  <c r="I972" i="12"/>
  <c r="K971" i="12"/>
  <c r="J971" i="12"/>
  <c r="I971" i="12"/>
  <c r="K970" i="12"/>
  <c r="J970" i="12"/>
  <c r="I970" i="12"/>
  <c r="K969" i="12"/>
  <c r="J969" i="12"/>
  <c r="I969" i="12"/>
  <c r="K968" i="12"/>
  <c r="J968" i="12"/>
  <c r="I968" i="12"/>
  <c r="K967" i="12"/>
  <c r="J967" i="12"/>
  <c r="I967" i="12"/>
  <c r="K966" i="12"/>
  <c r="J966" i="12"/>
  <c r="I966" i="12"/>
  <c r="K965" i="12"/>
  <c r="J965" i="12"/>
  <c r="I965" i="12"/>
  <c r="K964" i="12"/>
  <c r="J964" i="12"/>
  <c r="I964" i="12"/>
  <c r="K963" i="12"/>
  <c r="J963" i="12"/>
  <c r="I963" i="12"/>
  <c r="K962" i="12"/>
  <c r="J962" i="12"/>
  <c r="I962" i="12"/>
  <c r="K961" i="12"/>
  <c r="J961" i="12"/>
  <c r="I961" i="12"/>
  <c r="K960" i="12"/>
  <c r="J960" i="12"/>
  <c r="I960" i="12"/>
  <c r="K959" i="12"/>
  <c r="J959" i="12"/>
  <c r="I959" i="12"/>
  <c r="K958" i="12"/>
  <c r="J958" i="12"/>
  <c r="I958" i="12"/>
  <c r="K957" i="12"/>
  <c r="J957" i="12"/>
  <c r="I957" i="12"/>
  <c r="K956" i="12"/>
  <c r="J956" i="12"/>
  <c r="I956" i="12"/>
  <c r="K955" i="12"/>
  <c r="J955" i="12"/>
  <c r="I955" i="12"/>
  <c r="K954" i="12"/>
  <c r="J954" i="12"/>
  <c r="I954" i="12"/>
  <c r="K953" i="12"/>
  <c r="J953" i="12"/>
  <c r="I953" i="12"/>
  <c r="K952" i="12"/>
  <c r="J952" i="12"/>
  <c r="I952" i="12"/>
  <c r="K951" i="12"/>
  <c r="J951" i="12"/>
  <c r="I951" i="12"/>
  <c r="K950" i="12"/>
  <c r="J950" i="12"/>
  <c r="I950" i="12"/>
  <c r="K949" i="12"/>
  <c r="J949" i="12"/>
  <c r="I949" i="12"/>
  <c r="K948" i="12"/>
  <c r="J948" i="12"/>
  <c r="I948" i="12"/>
  <c r="K947" i="12"/>
  <c r="J947" i="12"/>
  <c r="I947" i="12"/>
  <c r="K946" i="12"/>
  <c r="J946" i="12"/>
  <c r="I946" i="12"/>
  <c r="K945" i="12"/>
  <c r="J945" i="12"/>
  <c r="I945" i="12"/>
  <c r="K944" i="12"/>
  <c r="J944" i="12"/>
  <c r="I944" i="12"/>
  <c r="K943" i="12"/>
  <c r="J943" i="12"/>
  <c r="I943" i="12"/>
  <c r="K942" i="12"/>
  <c r="J942" i="12"/>
  <c r="I942" i="12"/>
  <c r="K941" i="12"/>
  <c r="J941" i="12"/>
  <c r="I941" i="12"/>
  <c r="K940" i="12"/>
  <c r="J940" i="12"/>
  <c r="I940" i="12"/>
  <c r="K939" i="12"/>
  <c r="J939" i="12"/>
  <c r="I939" i="12"/>
  <c r="K938" i="12"/>
  <c r="J938" i="12"/>
  <c r="I938" i="12"/>
  <c r="K937" i="12"/>
  <c r="J937" i="12"/>
  <c r="I937" i="12"/>
  <c r="K936" i="12"/>
  <c r="J936" i="12"/>
  <c r="I936" i="12"/>
  <c r="K935" i="12"/>
  <c r="J935" i="12"/>
  <c r="I935" i="12"/>
  <c r="K934" i="12"/>
  <c r="J934" i="12"/>
  <c r="I934" i="12"/>
  <c r="K933" i="12"/>
  <c r="J933" i="12"/>
  <c r="I933" i="12"/>
  <c r="K932" i="12"/>
  <c r="J932" i="12"/>
  <c r="I932" i="12"/>
  <c r="K931" i="12"/>
  <c r="J931" i="12"/>
  <c r="I931" i="12"/>
  <c r="K930" i="12"/>
  <c r="J930" i="12"/>
  <c r="I930" i="12"/>
  <c r="K929" i="12"/>
  <c r="J929" i="12"/>
  <c r="I929" i="12"/>
  <c r="K928" i="12"/>
  <c r="J928" i="12"/>
  <c r="I928" i="12"/>
  <c r="K927" i="12"/>
  <c r="J927" i="12"/>
  <c r="I927" i="12"/>
  <c r="K926" i="12"/>
  <c r="J926" i="12"/>
  <c r="I926" i="12"/>
  <c r="K925" i="12"/>
  <c r="J925" i="12"/>
  <c r="I925" i="12"/>
  <c r="K924" i="12"/>
  <c r="J924" i="12"/>
  <c r="I924" i="12"/>
  <c r="K923" i="12"/>
  <c r="J923" i="12"/>
  <c r="I923" i="12"/>
  <c r="K922" i="12"/>
  <c r="J922" i="12"/>
  <c r="I922" i="12"/>
  <c r="K921" i="12"/>
  <c r="J921" i="12"/>
  <c r="I921" i="12"/>
  <c r="K920" i="12"/>
  <c r="J920" i="12"/>
  <c r="I920" i="12"/>
  <c r="K919" i="12"/>
  <c r="J919" i="12"/>
  <c r="I919" i="12"/>
  <c r="K918" i="12"/>
  <c r="J918" i="12"/>
  <c r="I918" i="12"/>
  <c r="K917" i="12"/>
  <c r="J917" i="12"/>
  <c r="I917" i="12"/>
  <c r="K916" i="12"/>
  <c r="J916" i="12"/>
  <c r="I916" i="12"/>
  <c r="K915" i="12"/>
  <c r="J915" i="12"/>
  <c r="I915" i="12"/>
  <c r="K914" i="12"/>
  <c r="J914" i="12"/>
  <c r="I914" i="12"/>
  <c r="K913" i="12"/>
  <c r="J913" i="12"/>
  <c r="I913" i="12"/>
  <c r="K912" i="12"/>
  <c r="J912" i="12"/>
  <c r="I912" i="12"/>
  <c r="K911" i="12"/>
  <c r="J911" i="12"/>
  <c r="I911" i="12"/>
  <c r="K910" i="12"/>
  <c r="J910" i="12"/>
  <c r="I910" i="12"/>
  <c r="K909" i="12"/>
  <c r="J909" i="12"/>
  <c r="I909" i="12"/>
  <c r="K908" i="12"/>
  <c r="J908" i="12"/>
  <c r="I908" i="12"/>
  <c r="K907" i="12"/>
  <c r="J907" i="12"/>
  <c r="I907" i="12"/>
  <c r="K906" i="12"/>
  <c r="J906" i="12"/>
  <c r="I906" i="12"/>
  <c r="K905" i="12"/>
  <c r="J905" i="12"/>
  <c r="I905" i="12"/>
  <c r="K904" i="12"/>
  <c r="J904" i="12"/>
  <c r="I904" i="12"/>
  <c r="K903" i="12"/>
  <c r="J903" i="12"/>
  <c r="I903" i="12"/>
  <c r="K902" i="12"/>
  <c r="J902" i="12"/>
  <c r="I902" i="12"/>
  <c r="K901" i="12"/>
  <c r="J901" i="12"/>
  <c r="I901" i="12"/>
  <c r="K900" i="12"/>
  <c r="J900" i="12"/>
  <c r="I900" i="12"/>
  <c r="K899" i="12"/>
  <c r="J899" i="12"/>
  <c r="I899" i="12"/>
  <c r="K898" i="12"/>
  <c r="J898" i="12"/>
  <c r="I898" i="12"/>
  <c r="K897" i="12"/>
  <c r="J897" i="12"/>
  <c r="I897" i="12"/>
  <c r="K896" i="12"/>
  <c r="J896" i="12"/>
  <c r="I896" i="12"/>
  <c r="K895" i="12"/>
  <c r="J895" i="12"/>
  <c r="I895" i="12"/>
  <c r="K894" i="12"/>
  <c r="J894" i="12"/>
  <c r="I894" i="12"/>
  <c r="K893" i="12"/>
  <c r="J893" i="12"/>
  <c r="I893" i="12"/>
  <c r="K892" i="12"/>
  <c r="J892" i="12"/>
  <c r="I892" i="12"/>
  <c r="K891" i="12"/>
  <c r="J891" i="12"/>
  <c r="I891" i="12"/>
  <c r="K890" i="12"/>
  <c r="J890" i="12"/>
  <c r="I890" i="12"/>
  <c r="K889" i="12"/>
  <c r="J889" i="12"/>
  <c r="I889" i="12"/>
  <c r="K888" i="12"/>
  <c r="J888" i="12"/>
  <c r="I888" i="12"/>
  <c r="K887" i="12"/>
  <c r="J887" i="12"/>
  <c r="I887" i="12"/>
  <c r="K886" i="12"/>
  <c r="J886" i="12"/>
  <c r="I886" i="12"/>
  <c r="K885" i="12"/>
  <c r="J885" i="12"/>
  <c r="I885" i="12"/>
  <c r="K884" i="12"/>
  <c r="J884" i="12"/>
  <c r="I884" i="12"/>
  <c r="K883" i="12"/>
  <c r="J883" i="12"/>
  <c r="I883" i="12"/>
  <c r="K882" i="12"/>
  <c r="J882" i="12"/>
  <c r="I882" i="12"/>
  <c r="K881" i="12"/>
  <c r="J881" i="12"/>
  <c r="I881" i="12"/>
  <c r="K880" i="12"/>
  <c r="J880" i="12"/>
  <c r="I880" i="12"/>
  <c r="K879" i="12"/>
  <c r="J879" i="12"/>
  <c r="I879" i="12"/>
  <c r="K878" i="12"/>
  <c r="J878" i="12"/>
  <c r="I878" i="12"/>
  <c r="K877" i="12"/>
  <c r="J877" i="12"/>
  <c r="I877" i="12"/>
  <c r="K876" i="12"/>
  <c r="J876" i="12"/>
  <c r="I876" i="12"/>
  <c r="K875" i="12"/>
  <c r="J875" i="12"/>
  <c r="I875" i="12"/>
  <c r="K874" i="12"/>
  <c r="J874" i="12"/>
  <c r="I874" i="12"/>
  <c r="K873" i="12"/>
  <c r="J873" i="12"/>
  <c r="I873" i="12"/>
  <c r="K872" i="12"/>
  <c r="J872" i="12"/>
  <c r="I872" i="12"/>
  <c r="K871" i="12"/>
  <c r="J871" i="12"/>
  <c r="I871" i="12"/>
  <c r="K870" i="12"/>
  <c r="J870" i="12"/>
  <c r="I870" i="12"/>
  <c r="K869" i="12"/>
  <c r="J869" i="12"/>
  <c r="I869" i="12"/>
  <c r="K868" i="12"/>
  <c r="J868" i="12"/>
  <c r="I868" i="12"/>
  <c r="K867" i="12"/>
  <c r="J867" i="12"/>
  <c r="I867" i="12"/>
  <c r="K866" i="12"/>
  <c r="J866" i="12"/>
  <c r="I866" i="12"/>
  <c r="K865" i="12"/>
  <c r="J865" i="12"/>
  <c r="I865" i="12"/>
  <c r="K864" i="12"/>
  <c r="J864" i="12"/>
  <c r="I864" i="12"/>
  <c r="K863" i="12"/>
  <c r="J863" i="12"/>
  <c r="I863" i="12"/>
  <c r="K862" i="12"/>
  <c r="J862" i="12"/>
  <c r="I862" i="12"/>
  <c r="K861" i="12"/>
  <c r="J861" i="12"/>
  <c r="I861" i="12"/>
  <c r="K860" i="12"/>
  <c r="J860" i="12"/>
  <c r="I860" i="12"/>
  <c r="K859" i="12"/>
  <c r="J859" i="12"/>
  <c r="I859" i="12"/>
  <c r="K858" i="12"/>
  <c r="J858" i="12"/>
  <c r="I858" i="12"/>
  <c r="K857" i="12"/>
  <c r="J857" i="12"/>
  <c r="I857" i="12"/>
  <c r="K856" i="12"/>
  <c r="J856" i="12"/>
  <c r="I856" i="12"/>
  <c r="K855" i="12"/>
  <c r="J855" i="12"/>
  <c r="I855" i="12"/>
  <c r="K854" i="12"/>
  <c r="J854" i="12"/>
  <c r="I854" i="12"/>
  <c r="K853" i="12"/>
  <c r="J853" i="12"/>
  <c r="I853" i="12"/>
  <c r="K852" i="12"/>
  <c r="J852" i="12"/>
  <c r="I852" i="12"/>
  <c r="K851" i="12"/>
  <c r="J851" i="12"/>
  <c r="I851" i="12"/>
  <c r="K850" i="12"/>
  <c r="J850" i="12"/>
  <c r="I850" i="12"/>
  <c r="K849" i="12"/>
  <c r="J849" i="12"/>
  <c r="I849" i="12"/>
  <c r="K848" i="12"/>
  <c r="J848" i="12"/>
  <c r="I848" i="12"/>
  <c r="K847" i="12"/>
  <c r="J847" i="12"/>
  <c r="I847" i="12"/>
  <c r="K846" i="12"/>
  <c r="J846" i="12"/>
  <c r="I846" i="12"/>
  <c r="K845" i="12"/>
  <c r="J845" i="12"/>
  <c r="I845" i="12"/>
  <c r="K844" i="12"/>
  <c r="J844" i="12"/>
  <c r="I844" i="12"/>
  <c r="K843" i="12"/>
  <c r="J843" i="12"/>
  <c r="I843" i="12"/>
  <c r="K842" i="12"/>
  <c r="J842" i="12"/>
  <c r="I842" i="12"/>
  <c r="K841" i="12"/>
  <c r="J841" i="12"/>
  <c r="I841" i="12"/>
  <c r="K840" i="12"/>
  <c r="J840" i="12"/>
  <c r="I840" i="12"/>
  <c r="K839" i="12"/>
  <c r="J839" i="12"/>
  <c r="I839" i="12"/>
  <c r="K838" i="12"/>
  <c r="J838" i="12"/>
  <c r="I838" i="12"/>
  <c r="K837" i="12"/>
  <c r="J837" i="12"/>
  <c r="I837" i="12"/>
  <c r="K836" i="12"/>
  <c r="J836" i="12"/>
  <c r="I836" i="12"/>
  <c r="K835" i="12"/>
  <c r="J835" i="12"/>
  <c r="I835" i="12"/>
  <c r="K834" i="12"/>
  <c r="J834" i="12"/>
  <c r="I834" i="12"/>
  <c r="K833" i="12"/>
  <c r="J833" i="12"/>
  <c r="I833" i="12"/>
  <c r="K832" i="12"/>
  <c r="J832" i="12"/>
  <c r="I832" i="12"/>
  <c r="K831" i="12"/>
  <c r="J831" i="12"/>
  <c r="I831" i="12"/>
  <c r="K830" i="12"/>
  <c r="J830" i="12"/>
  <c r="I830" i="12"/>
  <c r="K829" i="12"/>
  <c r="J829" i="12"/>
  <c r="I829" i="12"/>
  <c r="K828" i="12"/>
  <c r="J828" i="12"/>
  <c r="I828" i="12"/>
  <c r="K827" i="12"/>
  <c r="J827" i="12"/>
  <c r="I827" i="12"/>
  <c r="K826" i="12"/>
  <c r="J826" i="12"/>
  <c r="I826" i="12"/>
  <c r="K825" i="12"/>
  <c r="J825" i="12"/>
  <c r="I825" i="12"/>
  <c r="K824" i="12"/>
  <c r="J824" i="12"/>
  <c r="I824" i="12"/>
  <c r="K823" i="12"/>
  <c r="J823" i="12"/>
  <c r="I823" i="12"/>
  <c r="K822" i="12"/>
  <c r="J822" i="12"/>
  <c r="I822" i="12"/>
  <c r="K821" i="12"/>
  <c r="J821" i="12"/>
  <c r="I821" i="12"/>
  <c r="K820" i="12"/>
  <c r="J820" i="12"/>
  <c r="I820" i="12"/>
  <c r="K819" i="12"/>
  <c r="J819" i="12"/>
  <c r="I819" i="12"/>
  <c r="K818" i="12"/>
  <c r="J818" i="12"/>
  <c r="I818" i="12"/>
  <c r="K817" i="12"/>
  <c r="J817" i="12"/>
  <c r="I817" i="12"/>
  <c r="K816" i="12"/>
  <c r="J816" i="12"/>
  <c r="I816" i="12"/>
  <c r="K815" i="12"/>
  <c r="J815" i="12"/>
  <c r="I815" i="12"/>
  <c r="K814" i="12"/>
  <c r="J814" i="12"/>
  <c r="I814" i="12"/>
  <c r="K813" i="12"/>
  <c r="J813" i="12"/>
  <c r="I813" i="12"/>
  <c r="K812" i="12"/>
  <c r="J812" i="12"/>
  <c r="I812" i="12"/>
  <c r="K811" i="12"/>
  <c r="J811" i="12"/>
  <c r="I811" i="12"/>
  <c r="K810" i="12"/>
  <c r="J810" i="12"/>
  <c r="I810" i="12"/>
  <c r="K809" i="12"/>
  <c r="J809" i="12"/>
  <c r="I809" i="12"/>
  <c r="K808" i="12"/>
  <c r="J808" i="12"/>
  <c r="I808" i="12"/>
  <c r="K807" i="12"/>
  <c r="J807" i="12"/>
  <c r="I807" i="12"/>
  <c r="K806" i="12"/>
  <c r="J806" i="12"/>
  <c r="I806" i="12"/>
  <c r="K805" i="12"/>
  <c r="J805" i="12"/>
  <c r="I805" i="12"/>
  <c r="K804" i="12"/>
  <c r="J804" i="12"/>
  <c r="I804" i="12"/>
  <c r="K803" i="12"/>
  <c r="J803" i="12"/>
  <c r="I803" i="12"/>
  <c r="K802" i="12"/>
  <c r="J802" i="12"/>
  <c r="I802" i="12"/>
  <c r="K801" i="12"/>
  <c r="J801" i="12"/>
  <c r="I801" i="12"/>
  <c r="K800" i="12"/>
  <c r="J800" i="12"/>
  <c r="I800" i="12"/>
  <c r="K799" i="12"/>
  <c r="J799" i="12"/>
  <c r="I799" i="12"/>
  <c r="K798" i="12"/>
  <c r="J798" i="12"/>
  <c r="I798" i="12"/>
  <c r="K797" i="12"/>
  <c r="J797" i="12"/>
  <c r="I797" i="12"/>
  <c r="K796" i="12"/>
  <c r="J796" i="12"/>
  <c r="I796" i="12"/>
  <c r="K795" i="12"/>
  <c r="J795" i="12"/>
  <c r="I795" i="12"/>
  <c r="K794" i="12"/>
  <c r="J794" i="12"/>
  <c r="I794" i="12"/>
  <c r="K793" i="12"/>
  <c r="J793" i="12"/>
  <c r="I793" i="12"/>
  <c r="K792" i="12"/>
  <c r="J792" i="12"/>
  <c r="I792" i="12"/>
  <c r="K791" i="12"/>
  <c r="J791" i="12"/>
  <c r="I791" i="12"/>
  <c r="K790" i="12"/>
  <c r="J790" i="12"/>
  <c r="I790" i="12"/>
  <c r="K789" i="12"/>
  <c r="J789" i="12"/>
  <c r="I789" i="12"/>
  <c r="K788" i="12"/>
  <c r="J788" i="12"/>
  <c r="I788" i="12"/>
  <c r="K787" i="12"/>
  <c r="J787" i="12"/>
  <c r="I787" i="12"/>
  <c r="K786" i="12"/>
  <c r="J786" i="12"/>
  <c r="I786" i="12"/>
  <c r="K785" i="12"/>
  <c r="J785" i="12"/>
  <c r="I785" i="12"/>
  <c r="K784" i="12"/>
  <c r="J784" i="12"/>
  <c r="I784" i="12"/>
  <c r="K783" i="12"/>
  <c r="J783" i="12"/>
  <c r="I783" i="12"/>
  <c r="K782" i="12"/>
  <c r="J782" i="12"/>
  <c r="I782" i="12"/>
  <c r="K781" i="12"/>
  <c r="J781" i="12"/>
  <c r="I781" i="12"/>
  <c r="K780" i="12"/>
  <c r="J780" i="12"/>
  <c r="I780" i="12"/>
  <c r="K779" i="12"/>
  <c r="J779" i="12"/>
  <c r="I779" i="12"/>
  <c r="K778" i="12"/>
  <c r="J778" i="12"/>
  <c r="I778" i="12"/>
  <c r="K777" i="12"/>
  <c r="J777" i="12"/>
  <c r="I777" i="12"/>
  <c r="K776" i="12"/>
  <c r="J776" i="12"/>
  <c r="I776" i="12"/>
  <c r="K775" i="12"/>
  <c r="J775" i="12"/>
  <c r="I775" i="12"/>
  <c r="K774" i="12"/>
  <c r="J774" i="12"/>
  <c r="I774" i="12"/>
  <c r="K773" i="12"/>
  <c r="J773" i="12"/>
  <c r="I773" i="12"/>
  <c r="K772" i="12"/>
  <c r="J772" i="12"/>
  <c r="I772" i="12"/>
  <c r="K771" i="12"/>
  <c r="J771" i="12"/>
  <c r="I771" i="12"/>
  <c r="K770" i="12"/>
  <c r="J770" i="12"/>
  <c r="I770" i="12"/>
  <c r="K769" i="12"/>
  <c r="J769" i="12"/>
  <c r="I769" i="12"/>
  <c r="K768" i="12"/>
  <c r="J768" i="12"/>
  <c r="I768" i="12"/>
  <c r="K767" i="12"/>
  <c r="J767" i="12"/>
  <c r="I767" i="12"/>
  <c r="K766" i="12"/>
  <c r="J766" i="12"/>
  <c r="I766" i="12"/>
  <c r="K765" i="12"/>
  <c r="J765" i="12"/>
  <c r="I765" i="12"/>
  <c r="K764" i="12"/>
  <c r="J764" i="12"/>
  <c r="I764" i="12"/>
  <c r="K763" i="12"/>
  <c r="J763" i="12"/>
  <c r="I763" i="12"/>
  <c r="K762" i="12"/>
  <c r="J762" i="12"/>
  <c r="I762" i="12"/>
  <c r="K761" i="12"/>
  <c r="J761" i="12"/>
  <c r="I761" i="12"/>
  <c r="K760" i="12"/>
  <c r="J760" i="12"/>
  <c r="I760" i="12"/>
  <c r="K759" i="12"/>
  <c r="J759" i="12"/>
  <c r="I759" i="12"/>
  <c r="K758" i="12"/>
  <c r="J758" i="12"/>
  <c r="I758" i="12"/>
  <c r="K757" i="12"/>
  <c r="J757" i="12"/>
  <c r="I757" i="12"/>
  <c r="K756" i="12"/>
  <c r="J756" i="12"/>
  <c r="I756" i="12"/>
  <c r="K755" i="12"/>
  <c r="J755" i="12"/>
  <c r="I755" i="12"/>
  <c r="K754" i="12"/>
  <c r="J754" i="12"/>
  <c r="I754" i="12"/>
  <c r="K753" i="12"/>
  <c r="J753" i="12"/>
  <c r="I753" i="12"/>
  <c r="K752" i="12"/>
  <c r="J752" i="12"/>
  <c r="I752" i="12"/>
  <c r="K751" i="12"/>
  <c r="J751" i="12"/>
  <c r="I751" i="12"/>
  <c r="K750" i="12"/>
  <c r="J750" i="12"/>
  <c r="I750" i="12"/>
  <c r="K749" i="12"/>
  <c r="J749" i="12"/>
  <c r="I749" i="12"/>
  <c r="K748" i="12"/>
  <c r="J748" i="12"/>
  <c r="I748" i="12"/>
  <c r="K747" i="12"/>
  <c r="J747" i="12"/>
  <c r="I747" i="12"/>
  <c r="K746" i="12"/>
  <c r="J746" i="12"/>
  <c r="I746" i="12"/>
  <c r="K745" i="12"/>
  <c r="J745" i="12"/>
  <c r="I745" i="12"/>
  <c r="K744" i="12"/>
  <c r="J744" i="12"/>
  <c r="I744" i="12"/>
  <c r="K743" i="12"/>
  <c r="J743" i="12"/>
  <c r="I743" i="12"/>
  <c r="K742" i="12"/>
  <c r="J742" i="12"/>
  <c r="I742" i="12"/>
  <c r="K741" i="12"/>
  <c r="J741" i="12"/>
  <c r="I741" i="12"/>
  <c r="K740" i="12"/>
  <c r="J740" i="12"/>
  <c r="I740" i="12"/>
  <c r="K739" i="12"/>
  <c r="J739" i="12"/>
  <c r="I739" i="12"/>
  <c r="K738" i="12"/>
  <c r="J738" i="12"/>
  <c r="I738" i="12"/>
  <c r="K737" i="12"/>
  <c r="J737" i="12"/>
  <c r="I737" i="12"/>
  <c r="K736" i="12"/>
  <c r="J736" i="12"/>
  <c r="I736" i="12"/>
  <c r="K735" i="12"/>
  <c r="J735" i="12"/>
  <c r="I735" i="12"/>
  <c r="K734" i="12"/>
  <c r="J734" i="12"/>
  <c r="I734" i="12"/>
  <c r="K733" i="12"/>
  <c r="J733" i="12"/>
  <c r="I733" i="12"/>
  <c r="K732" i="12"/>
  <c r="J732" i="12"/>
  <c r="I732" i="12"/>
  <c r="K731" i="12"/>
  <c r="J731" i="12"/>
  <c r="I731" i="12"/>
  <c r="K730" i="12"/>
  <c r="J730" i="12"/>
  <c r="I730" i="12"/>
  <c r="K729" i="12"/>
  <c r="J729" i="12"/>
  <c r="I729" i="12"/>
  <c r="K728" i="12"/>
  <c r="J728" i="12"/>
  <c r="I728" i="12"/>
  <c r="K727" i="12"/>
  <c r="J727" i="12"/>
  <c r="I727" i="12"/>
  <c r="K726" i="12"/>
  <c r="J726" i="12"/>
  <c r="I726" i="12"/>
  <c r="K725" i="12"/>
  <c r="J725" i="12"/>
  <c r="I725" i="12"/>
  <c r="K724" i="12"/>
  <c r="J724" i="12"/>
  <c r="I724" i="12"/>
  <c r="K723" i="12"/>
  <c r="J723" i="12"/>
  <c r="I723" i="12"/>
  <c r="K722" i="12"/>
  <c r="J722" i="12"/>
  <c r="I722" i="12"/>
  <c r="K721" i="12"/>
  <c r="J721" i="12"/>
  <c r="I721" i="12"/>
  <c r="K720" i="12"/>
  <c r="J720" i="12"/>
  <c r="I720" i="12"/>
  <c r="K719" i="12"/>
  <c r="J719" i="12"/>
  <c r="I719" i="12"/>
  <c r="K718" i="12"/>
  <c r="J718" i="12"/>
  <c r="I718" i="12"/>
  <c r="K717" i="12"/>
  <c r="J717" i="12"/>
  <c r="I717" i="12"/>
  <c r="K716" i="12"/>
  <c r="J716" i="12"/>
  <c r="I716" i="12"/>
  <c r="K715" i="12"/>
  <c r="J715" i="12"/>
  <c r="I715" i="12"/>
  <c r="K714" i="12"/>
  <c r="J714" i="12"/>
  <c r="I714" i="12"/>
  <c r="K713" i="12"/>
  <c r="J713" i="12"/>
  <c r="I713" i="12"/>
  <c r="K712" i="12"/>
  <c r="J712" i="12"/>
  <c r="I712" i="12"/>
  <c r="K711" i="12"/>
  <c r="J711" i="12"/>
  <c r="I711" i="12"/>
  <c r="K710" i="12"/>
  <c r="J710" i="12"/>
  <c r="I710" i="12"/>
  <c r="K709" i="12"/>
  <c r="J709" i="12"/>
  <c r="I709" i="12"/>
  <c r="K708" i="12"/>
  <c r="J708" i="12"/>
  <c r="I708" i="12"/>
  <c r="K707" i="12"/>
  <c r="J707" i="12"/>
  <c r="I707" i="12"/>
  <c r="K706" i="12"/>
  <c r="J706" i="12"/>
  <c r="I706" i="12"/>
  <c r="K705" i="12"/>
  <c r="J705" i="12"/>
  <c r="I705" i="12"/>
  <c r="K704" i="12"/>
  <c r="J704" i="12"/>
  <c r="I704" i="12"/>
  <c r="K703" i="12"/>
  <c r="J703" i="12"/>
  <c r="I703" i="12"/>
  <c r="K702" i="12"/>
  <c r="J702" i="12"/>
  <c r="I702" i="12"/>
  <c r="K701" i="12"/>
  <c r="J701" i="12"/>
  <c r="I701" i="12"/>
  <c r="K700" i="12"/>
  <c r="J700" i="12"/>
  <c r="I700" i="12"/>
  <c r="K699" i="12"/>
  <c r="J699" i="12"/>
  <c r="I699" i="12"/>
  <c r="K698" i="12"/>
  <c r="J698" i="12"/>
  <c r="I698" i="12"/>
  <c r="K697" i="12"/>
  <c r="J697" i="12"/>
  <c r="I697" i="12"/>
  <c r="K696" i="12"/>
  <c r="J696" i="12"/>
  <c r="I696" i="12"/>
  <c r="K695" i="12"/>
  <c r="J695" i="12"/>
  <c r="I695" i="12"/>
  <c r="K694" i="12"/>
  <c r="J694" i="12"/>
  <c r="I694" i="12"/>
  <c r="K693" i="12"/>
  <c r="J693" i="12"/>
  <c r="I693" i="12"/>
  <c r="K692" i="12"/>
  <c r="J692" i="12"/>
  <c r="I692" i="12"/>
  <c r="K691" i="12"/>
  <c r="J691" i="12"/>
  <c r="I691" i="12"/>
  <c r="K690" i="12"/>
  <c r="J690" i="12"/>
  <c r="I690" i="12"/>
  <c r="K689" i="12"/>
  <c r="J689" i="12"/>
  <c r="I689" i="12"/>
  <c r="K688" i="12"/>
  <c r="J688" i="12"/>
  <c r="I688" i="12"/>
  <c r="K687" i="12"/>
  <c r="J687" i="12"/>
  <c r="I687" i="12"/>
  <c r="K686" i="12"/>
  <c r="J686" i="12"/>
  <c r="I686" i="12"/>
  <c r="K685" i="12"/>
  <c r="J685" i="12"/>
  <c r="I685" i="12"/>
  <c r="K684" i="12"/>
  <c r="J684" i="12"/>
  <c r="I684" i="12"/>
  <c r="K683" i="12"/>
  <c r="J683" i="12"/>
  <c r="I683" i="12"/>
  <c r="K682" i="12"/>
  <c r="J682" i="12"/>
  <c r="I682" i="12"/>
  <c r="K681" i="12"/>
  <c r="J681" i="12"/>
  <c r="I681" i="12"/>
  <c r="K680" i="12"/>
  <c r="J680" i="12"/>
  <c r="I680" i="12"/>
  <c r="K679" i="12"/>
  <c r="J679" i="12"/>
  <c r="I679" i="12"/>
  <c r="K678" i="12"/>
  <c r="J678" i="12"/>
  <c r="I678" i="12"/>
  <c r="K677" i="12"/>
  <c r="J677" i="12"/>
  <c r="I677" i="12"/>
  <c r="K676" i="12"/>
  <c r="J676" i="12"/>
  <c r="I676" i="12"/>
  <c r="K675" i="12"/>
  <c r="J675" i="12"/>
  <c r="I675" i="12"/>
  <c r="K674" i="12"/>
  <c r="J674" i="12"/>
  <c r="I674" i="12"/>
  <c r="K673" i="12"/>
  <c r="J673" i="12"/>
  <c r="I673" i="12"/>
  <c r="K672" i="12"/>
  <c r="J672" i="12"/>
  <c r="I672" i="12"/>
  <c r="K671" i="12"/>
  <c r="J671" i="12"/>
  <c r="I671" i="12"/>
  <c r="K670" i="12"/>
  <c r="J670" i="12"/>
  <c r="I670" i="12"/>
  <c r="K669" i="12"/>
  <c r="J669" i="12"/>
  <c r="I669" i="12"/>
  <c r="K668" i="12"/>
  <c r="J668" i="12"/>
  <c r="I668" i="12"/>
  <c r="K667" i="12"/>
  <c r="J667" i="12"/>
  <c r="I667" i="12"/>
  <c r="K666" i="12"/>
  <c r="J666" i="12"/>
  <c r="I666" i="12"/>
  <c r="K665" i="12"/>
  <c r="J665" i="12"/>
  <c r="I665" i="12"/>
  <c r="K664" i="12"/>
  <c r="J664" i="12"/>
  <c r="I664" i="12"/>
  <c r="K663" i="12"/>
  <c r="J663" i="12"/>
  <c r="I663" i="12"/>
  <c r="K662" i="12"/>
  <c r="J662" i="12"/>
  <c r="I662" i="12"/>
  <c r="K661" i="12"/>
  <c r="J661" i="12"/>
  <c r="I661" i="12"/>
  <c r="K660" i="12"/>
  <c r="J660" i="12"/>
  <c r="I660" i="12"/>
  <c r="K659" i="12"/>
  <c r="J659" i="12"/>
  <c r="I659" i="12"/>
  <c r="K658" i="12"/>
  <c r="J658" i="12"/>
  <c r="I658" i="12"/>
  <c r="K657" i="12"/>
  <c r="J657" i="12"/>
  <c r="I657" i="12"/>
  <c r="K656" i="12"/>
  <c r="J656" i="12"/>
  <c r="I656" i="12"/>
  <c r="K655" i="12"/>
  <c r="J655" i="12"/>
  <c r="I655" i="12"/>
  <c r="K654" i="12"/>
  <c r="J654" i="12"/>
  <c r="I654" i="12"/>
  <c r="K653" i="12"/>
  <c r="J653" i="12"/>
  <c r="I653" i="12"/>
  <c r="K652" i="12"/>
  <c r="J652" i="12"/>
  <c r="I652" i="12"/>
  <c r="K651" i="12"/>
  <c r="J651" i="12"/>
  <c r="I651" i="12"/>
  <c r="K650" i="12"/>
  <c r="J650" i="12"/>
  <c r="I650" i="12"/>
  <c r="K649" i="12"/>
  <c r="J649" i="12"/>
  <c r="I649" i="12"/>
  <c r="K648" i="12"/>
  <c r="J648" i="12"/>
  <c r="I648" i="12"/>
  <c r="K647" i="12"/>
  <c r="J647" i="12"/>
  <c r="I647" i="12"/>
  <c r="K646" i="12"/>
  <c r="J646" i="12"/>
  <c r="I646" i="12"/>
  <c r="K645" i="12"/>
  <c r="J645" i="12"/>
  <c r="I645" i="12"/>
  <c r="K644" i="12"/>
  <c r="J644" i="12"/>
  <c r="I644" i="12"/>
  <c r="K643" i="12"/>
  <c r="J643" i="12"/>
  <c r="I643" i="12"/>
  <c r="K642" i="12"/>
  <c r="J642" i="12"/>
  <c r="I642" i="12"/>
  <c r="K641" i="12"/>
  <c r="J641" i="12"/>
  <c r="I641" i="12"/>
  <c r="K640" i="12"/>
  <c r="J640" i="12"/>
  <c r="I640" i="12"/>
  <c r="K639" i="12"/>
  <c r="J639" i="12"/>
  <c r="I639" i="12"/>
  <c r="K638" i="12"/>
  <c r="J638" i="12"/>
  <c r="I638" i="12"/>
  <c r="K637" i="12"/>
  <c r="J637" i="12"/>
  <c r="I637" i="12"/>
  <c r="K636" i="12"/>
  <c r="J636" i="12"/>
  <c r="I636" i="12"/>
  <c r="K635" i="12"/>
  <c r="J635" i="12"/>
  <c r="I635" i="12"/>
  <c r="K634" i="12"/>
  <c r="J634" i="12"/>
  <c r="I634" i="12"/>
  <c r="K633" i="12"/>
  <c r="J633" i="12"/>
  <c r="I633" i="12"/>
  <c r="K632" i="12"/>
  <c r="J632" i="12"/>
  <c r="I632" i="12"/>
  <c r="K631" i="12"/>
  <c r="J631" i="12"/>
  <c r="I631" i="12"/>
  <c r="K630" i="12"/>
  <c r="J630" i="12"/>
  <c r="I630" i="12"/>
  <c r="K629" i="12"/>
  <c r="J629" i="12"/>
  <c r="I629" i="12"/>
  <c r="K628" i="12"/>
  <c r="J628" i="12"/>
  <c r="I628" i="12"/>
  <c r="K627" i="12"/>
  <c r="J627" i="12"/>
  <c r="I627" i="12"/>
  <c r="K626" i="12"/>
  <c r="J626" i="12"/>
  <c r="I626" i="12"/>
  <c r="K625" i="12"/>
  <c r="J625" i="12"/>
  <c r="I625" i="12"/>
  <c r="K624" i="12"/>
  <c r="J624" i="12"/>
  <c r="I624" i="12"/>
  <c r="K623" i="12"/>
  <c r="J623" i="12"/>
  <c r="I623" i="12"/>
  <c r="K622" i="12"/>
  <c r="J622" i="12"/>
  <c r="I622" i="12"/>
  <c r="K621" i="12"/>
  <c r="J621" i="12"/>
  <c r="I621" i="12"/>
  <c r="K620" i="12"/>
  <c r="J620" i="12"/>
  <c r="I620" i="12"/>
  <c r="K619" i="12"/>
  <c r="J619" i="12"/>
  <c r="I619" i="12"/>
  <c r="K618" i="12"/>
  <c r="J618" i="12"/>
  <c r="I618" i="12"/>
  <c r="K617" i="12"/>
  <c r="J617" i="12"/>
  <c r="I617" i="12"/>
  <c r="K616" i="12"/>
  <c r="J616" i="12"/>
  <c r="I616" i="12"/>
  <c r="K615" i="12"/>
  <c r="J615" i="12"/>
  <c r="I615" i="12"/>
  <c r="K614" i="12"/>
  <c r="J614" i="12"/>
  <c r="I614" i="12"/>
  <c r="K613" i="12"/>
  <c r="J613" i="12"/>
  <c r="I613" i="12"/>
  <c r="K612" i="12"/>
  <c r="J612" i="12"/>
  <c r="I612" i="12"/>
  <c r="K611" i="12"/>
  <c r="J611" i="12"/>
  <c r="I611" i="12"/>
  <c r="K610" i="12"/>
  <c r="J610" i="12"/>
  <c r="I610" i="12"/>
  <c r="K609" i="12"/>
  <c r="J609" i="12"/>
  <c r="I609" i="12"/>
  <c r="K608" i="12"/>
  <c r="J608" i="12"/>
  <c r="I608" i="12"/>
  <c r="K607" i="12"/>
  <c r="J607" i="12"/>
  <c r="I607" i="12"/>
  <c r="K606" i="12"/>
  <c r="J606" i="12"/>
  <c r="I606" i="12"/>
  <c r="K605" i="12"/>
  <c r="J605" i="12"/>
  <c r="I605" i="12"/>
  <c r="K604" i="12"/>
  <c r="J604" i="12"/>
  <c r="I604" i="12"/>
  <c r="K603" i="12"/>
  <c r="J603" i="12"/>
  <c r="I603" i="12"/>
  <c r="K602" i="12"/>
  <c r="J602" i="12"/>
  <c r="I602" i="12"/>
  <c r="K601" i="12"/>
  <c r="J601" i="12"/>
  <c r="I601" i="12"/>
  <c r="K600" i="12"/>
  <c r="J600" i="12"/>
  <c r="I600" i="12"/>
  <c r="K599" i="12"/>
  <c r="J599" i="12"/>
  <c r="I599" i="12"/>
  <c r="K598" i="12"/>
  <c r="J598" i="12"/>
  <c r="I598" i="12"/>
  <c r="K597" i="12"/>
  <c r="J597" i="12"/>
  <c r="I597" i="12"/>
  <c r="K596" i="12"/>
  <c r="J596" i="12"/>
  <c r="I596" i="12"/>
  <c r="K595" i="12"/>
  <c r="J595" i="12"/>
  <c r="I595" i="12"/>
  <c r="K594" i="12"/>
  <c r="J594" i="12"/>
  <c r="I594" i="12"/>
  <c r="K593" i="12"/>
  <c r="J593" i="12"/>
  <c r="I593" i="12"/>
  <c r="K592" i="12"/>
  <c r="J592" i="12"/>
  <c r="I592" i="12"/>
  <c r="K591" i="12"/>
  <c r="J591" i="12"/>
  <c r="I591" i="12"/>
  <c r="K590" i="12"/>
  <c r="J590" i="12"/>
  <c r="I590" i="12"/>
  <c r="K589" i="12"/>
  <c r="J589" i="12"/>
  <c r="I589" i="12"/>
  <c r="K588" i="12"/>
  <c r="J588" i="12"/>
  <c r="I588" i="12"/>
  <c r="K587" i="12"/>
  <c r="J587" i="12"/>
  <c r="I587" i="12"/>
  <c r="K586" i="12"/>
  <c r="J586" i="12"/>
  <c r="I586" i="12"/>
  <c r="K585" i="12"/>
  <c r="J585" i="12"/>
  <c r="I585" i="12"/>
  <c r="K584" i="12"/>
  <c r="J584" i="12"/>
  <c r="I584" i="12"/>
  <c r="K583" i="12"/>
  <c r="J583" i="12"/>
  <c r="I583" i="12"/>
  <c r="K582" i="12"/>
  <c r="J582" i="12"/>
  <c r="I582" i="12"/>
  <c r="K581" i="12"/>
  <c r="J581" i="12"/>
  <c r="I581" i="12"/>
  <c r="K580" i="12"/>
  <c r="J580" i="12"/>
  <c r="I580" i="12"/>
  <c r="K579" i="12"/>
  <c r="J579" i="12"/>
  <c r="I579" i="12"/>
  <c r="K578" i="12"/>
  <c r="J578" i="12"/>
  <c r="I578" i="12"/>
  <c r="K577" i="12"/>
  <c r="J577" i="12"/>
  <c r="I577" i="12"/>
  <c r="K576" i="12"/>
  <c r="J576" i="12"/>
  <c r="I576" i="12"/>
  <c r="K575" i="12"/>
  <c r="J575" i="12"/>
  <c r="I575" i="12"/>
  <c r="K574" i="12"/>
  <c r="J574" i="12"/>
  <c r="I574" i="12"/>
  <c r="K573" i="12"/>
  <c r="J573" i="12"/>
  <c r="I573" i="12"/>
  <c r="K572" i="12"/>
  <c r="J572" i="12"/>
  <c r="I572" i="12"/>
  <c r="K571" i="12"/>
  <c r="J571" i="12"/>
  <c r="I571" i="12"/>
  <c r="K570" i="12"/>
  <c r="J570" i="12"/>
  <c r="I570" i="12"/>
  <c r="K569" i="12"/>
  <c r="J569" i="12"/>
  <c r="I569" i="12"/>
  <c r="K568" i="12"/>
  <c r="J568" i="12"/>
  <c r="I568" i="12"/>
  <c r="K567" i="12"/>
  <c r="J567" i="12"/>
  <c r="I567" i="12"/>
  <c r="K566" i="12"/>
  <c r="J566" i="12"/>
  <c r="I566" i="12"/>
  <c r="K565" i="12"/>
  <c r="J565" i="12"/>
  <c r="I565" i="12"/>
  <c r="K564" i="12"/>
  <c r="J564" i="12"/>
  <c r="I564" i="12"/>
  <c r="K563" i="12"/>
  <c r="J563" i="12"/>
  <c r="I563" i="12"/>
  <c r="K562" i="12"/>
  <c r="J562" i="12"/>
  <c r="I562" i="12"/>
  <c r="K561" i="12"/>
  <c r="J561" i="12"/>
  <c r="I561" i="12"/>
  <c r="K560" i="12"/>
  <c r="J560" i="12"/>
  <c r="I560" i="12"/>
  <c r="K559" i="12"/>
  <c r="J559" i="12"/>
  <c r="I559" i="12"/>
  <c r="K558" i="12"/>
  <c r="J558" i="12"/>
  <c r="I558" i="12"/>
  <c r="K557" i="12"/>
  <c r="J557" i="12"/>
  <c r="I557" i="12"/>
  <c r="K556" i="12"/>
  <c r="J556" i="12"/>
  <c r="I556" i="12"/>
  <c r="K555" i="12"/>
  <c r="J555" i="12"/>
  <c r="I555" i="12"/>
  <c r="K554" i="12"/>
  <c r="J554" i="12"/>
  <c r="I554" i="12"/>
  <c r="K553" i="12"/>
  <c r="J553" i="12"/>
  <c r="I553" i="12"/>
  <c r="K552" i="12"/>
  <c r="J552" i="12"/>
  <c r="I552" i="12"/>
  <c r="K551" i="12"/>
  <c r="J551" i="12"/>
  <c r="I551" i="12"/>
  <c r="K550" i="12"/>
  <c r="J550" i="12"/>
  <c r="I550" i="12"/>
  <c r="K549" i="12"/>
  <c r="J549" i="12"/>
  <c r="I549" i="12"/>
  <c r="K548" i="12"/>
  <c r="J548" i="12"/>
  <c r="I548" i="12"/>
  <c r="K547" i="12"/>
  <c r="J547" i="12"/>
  <c r="I547" i="12"/>
  <c r="K546" i="12"/>
  <c r="J546" i="12"/>
  <c r="I546" i="12"/>
  <c r="K545" i="12"/>
  <c r="J545" i="12"/>
  <c r="I545" i="12"/>
  <c r="K544" i="12"/>
  <c r="J544" i="12"/>
  <c r="I544" i="12"/>
  <c r="K543" i="12"/>
  <c r="J543" i="12"/>
  <c r="I543" i="12"/>
  <c r="K542" i="12"/>
  <c r="J542" i="12"/>
  <c r="I542" i="12"/>
  <c r="K541" i="12"/>
  <c r="J541" i="12"/>
  <c r="I541" i="12"/>
  <c r="K540" i="12"/>
  <c r="J540" i="12"/>
  <c r="I540" i="12"/>
  <c r="K539" i="12"/>
  <c r="J539" i="12"/>
  <c r="I539" i="12"/>
  <c r="K538" i="12"/>
  <c r="J538" i="12"/>
  <c r="I538" i="12"/>
  <c r="K537" i="12"/>
  <c r="J537" i="12"/>
  <c r="I537" i="12"/>
  <c r="K536" i="12"/>
  <c r="J536" i="12"/>
  <c r="I536" i="12"/>
  <c r="K535" i="12"/>
  <c r="J535" i="12"/>
  <c r="I535" i="12"/>
  <c r="K534" i="12"/>
  <c r="J534" i="12"/>
  <c r="I534" i="12"/>
  <c r="K533" i="12"/>
  <c r="J533" i="12"/>
  <c r="I533" i="12"/>
  <c r="K532" i="12"/>
  <c r="J532" i="12"/>
  <c r="I532" i="12"/>
  <c r="K531" i="12"/>
  <c r="J531" i="12"/>
  <c r="I531" i="12"/>
  <c r="K530" i="12"/>
  <c r="J530" i="12"/>
  <c r="I530" i="12"/>
  <c r="K529" i="12"/>
  <c r="J529" i="12"/>
  <c r="I529" i="12"/>
  <c r="K528" i="12"/>
  <c r="J528" i="12"/>
  <c r="I528" i="12"/>
  <c r="K527" i="12"/>
  <c r="J527" i="12"/>
  <c r="I527" i="12"/>
  <c r="K526" i="12"/>
  <c r="J526" i="12"/>
  <c r="I526" i="12"/>
  <c r="K525" i="12"/>
  <c r="J525" i="12"/>
  <c r="I525" i="12"/>
  <c r="K524" i="12"/>
  <c r="J524" i="12"/>
  <c r="I524" i="12"/>
  <c r="K523" i="12"/>
  <c r="J523" i="12"/>
  <c r="I523" i="12"/>
  <c r="K522" i="12"/>
  <c r="J522" i="12"/>
  <c r="I522" i="12"/>
  <c r="K521" i="12"/>
  <c r="J521" i="12"/>
  <c r="I521" i="12"/>
  <c r="K520" i="12"/>
  <c r="J520" i="12"/>
  <c r="I520" i="12"/>
  <c r="K519" i="12"/>
  <c r="J519" i="12"/>
  <c r="I519" i="12"/>
  <c r="K518" i="12"/>
  <c r="J518" i="12"/>
  <c r="I518" i="12"/>
  <c r="K517" i="12"/>
  <c r="J517" i="12"/>
  <c r="I517" i="12"/>
  <c r="K516" i="12"/>
  <c r="J516" i="12"/>
  <c r="I516" i="12"/>
  <c r="K515" i="12"/>
  <c r="J515" i="12"/>
  <c r="I515" i="12"/>
  <c r="K514" i="12"/>
  <c r="J514" i="12"/>
  <c r="I514" i="12"/>
  <c r="K513" i="12"/>
  <c r="J513" i="12"/>
  <c r="I513" i="12"/>
  <c r="K512" i="12"/>
  <c r="J512" i="12"/>
  <c r="I512" i="12"/>
  <c r="K511" i="12"/>
  <c r="J511" i="12"/>
  <c r="I511" i="12"/>
  <c r="K510" i="12"/>
  <c r="J510" i="12"/>
  <c r="I510" i="12"/>
  <c r="K509" i="12"/>
  <c r="J509" i="12"/>
  <c r="I509" i="12"/>
  <c r="K508" i="12"/>
  <c r="J508" i="12"/>
  <c r="I508" i="12"/>
  <c r="K507" i="12"/>
  <c r="J507" i="12"/>
  <c r="I507" i="12"/>
  <c r="K506" i="12"/>
  <c r="J506" i="12"/>
  <c r="I506" i="12"/>
  <c r="K505" i="12"/>
  <c r="J505" i="12"/>
  <c r="I505" i="12"/>
  <c r="K504" i="12"/>
  <c r="J504" i="12"/>
  <c r="I504" i="12"/>
  <c r="K503" i="12"/>
  <c r="J503" i="12"/>
  <c r="I503" i="12"/>
  <c r="K502" i="12"/>
  <c r="J502" i="12"/>
  <c r="I502" i="12"/>
  <c r="K501" i="12"/>
  <c r="J501" i="12"/>
  <c r="I501" i="12"/>
  <c r="K500" i="12"/>
  <c r="J500" i="12"/>
  <c r="I500" i="12"/>
  <c r="K499" i="12"/>
  <c r="J499" i="12"/>
  <c r="I499" i="12"/>
  <c r="K498" i="12"/>
  <c r="J498" i="12"/>
  <c r="I498" i="12"/>
  <c r="K497" i="12"/>
  <c r="J497" i="12"/>
  <c r="I497" i="12"/>
  <c r="K496" i="12"/>
  <c r="J496" i="12"/>
  <c r="I496" i="12"/>
  <c r="K495" i="12"/>
  <c r="J495" i="12"/>
  <c r="I495" i="12"/>
  <c r="K494" i="12"/>
  <c r="J494" i="12"/>
  <c r="I494" i="12"/>
  <c r="K493" i="12"/>
  <c r="J493" i="12"/>
  <c r="I493" i="12"/>
  <c r="K492" i="12"/>
  <c r="J492" i="12"/>
  <c r="I492" i="12"/>
  <c r="K491" i="12"/>
  <c r="J491" i="12"/>
  <c r="I491" i="12"/>
  <c r="K490" i="12"/>
  <c r="J490" i="12"/>
  <c r="I490" i="12"/>
  <c r="K489" i="12"/>
  <c r="J489" i="12"/>
  <c r="I489" i="12"/>
  <c r="K488" i="12"/>
  <c r="J488" i="12"/>
  <c r="I488" i="12"/>
  <c r="K487" i="12"/>
  <c r="J487" i="12"/>
  <c r="I487" i="12"/>
  <c r="K486" i="12"/>
  <c r="J486" i="12"/>
  <c r="I486" i="12"/>
  <c r="K485" i="12"/>
  <c r="J485" i="12"/>
  <c r="I485" i="12"/>
  <c r="K484" i="12"/>
  <c r="J484" i="12"/>
  <c r="I484" i="12"/>
  <c r="K483" i="12"/>
  <c r="J483" i="12"/>
  <c r="I483" i="12"/>
  <c r="K482" i="12"/>
  <c r="J482" i="12"/>
  <c r="I482" i="12"/>
  <c r="K481" i="12"/>
  <c r="J481" i="12"/>
  <c r="I481" i="12"/>
  <c r="K480" i="12"/>
  <c r="J480" i="12"/>
  <c r="I480" i="12"/>
  <c r="K479" i="12"/>
  <c r="J479" i="12"/>
  <c r="I479" i="12"/>
  <c r="K478" i="12"/>
  <c r="J478" i="12"/>
  <c r="I478" i="12"/>
  <c r="K477" i="12"/>
  <c r="J477" i="12"/>
  <c r="I477" i="12"/>
  <c r="K476" i="12"/>
  <c r="J476" i="12"/>
  <c r="I476" i="12"/>
  <c r="K475" i="12"/>
  <c r="J475" i="12"/>
  <c r="I475" i="12"/>
  <c r="K474" i="12"/>
  <c r="J474" i="12"/>
  <c r="I474" i="12"/>
  <c r="K473" i="12"/>
  <c r="J473" i="12"/>
  <c r="I473" i="12"/>
  <c r="K472" i="12"/>
  <c r="J472" i="12"/>
  <c r="I472" i="12"/>
  <c r="K471" i="12"/>
  <c r="J471" i="12"/>
  <c r="I471" i="12"/>
  <c r="K470" i="12"/>
  <c r="J470" i="12"/>
  <c r="I470" i="12"/>
  <c r="K469" i="12"/>
  <c r="J469" i="12"/>
  <c r="I469" i="12"/>
  <c r="K468" i="12"/>
  <c r="J468" i="12"/>
  <c r="I468" i="12"/>
  <c r="K467" i="12"/>
  <c r="J467" i="12"/>
  <c r="I467" i="12"/>
  <c r="K466" i="12"/>
  <c r="J466" i="12"/>
  <c r="I466" i="12"/>
  <c r="K465" i="12"/>
  <c r="J465" i="12"/>
  <c r="I465" i="12"/>
  <c r="K464" i="12"/>
  <c r="J464" i="12"/>
  <c r="I464" i="12"/>
  <c r="K463" i="12"/>
  <c r="J463" i="12"/>
  <c r="I463" i="12"/>
  <c r="K462" i="12"/>
  <c r="J462" i="12"/>
  <c r="I462" i="12"/>
  <c r="K461" i="12"/>
  <c r="J461" i="12"/>
  <c r="I461" i="12"/>
  <c r="K460" i="12"/>
  <c r="J460" i="12"/>
  <c r="I460" i="12"/>
  <c r="K459" i="12"/>
  <c r="J459" i="12"/>
  <c r="I459" i="12"/>
  <c r="K458" i="12"/>
  <c r="J458" i="12"/>
  <c r="I458" i="12"/>
  <c r="K457" i="12"/>
  <c r="J457" i="12"/>
  <c r="I457" i="12"/>
  <c r="K456" i="12"/>
  <c r="J456" i="12"/>
  <c r="I456" i="12"/>
  <c r="K455" i="12"/>
  <c r="J455" i="12"/>
  <c r="I455" i="12"/>
  <c r="K454" i="12"/>
  <c r="J454" i="12"/>
  <c r="I454" i="12"/>
  <c r="K453" i="12"/>
  <c r="J453" i="12"/>
  <c r="I453" i="12"/>
  <c r="K452" i="12"/>
  <c r="J452" i="12"/>
  <c r="I452" i="12"/>
  <c r="K451" i="12"/>
  <c r="J451" i="12"/>
  <c r="I451" i="12"/>
  <c r="K450" i="12"/>
  <c r="J450" i="12"/>
  <c r="I450" i="12"/>
  <c r="K449" i="12"/>
  <c r="J449" i="12"/>
  <c r="I449" i="12"/>
  <c r="K448" i="12"/>
  <c r="J448" i="12"/>
  <c r="I448" i="12"/>
  <c r="K447" i="12"/>
  <c r="J447" i="12"/>
  <c r="I447" i="12"/>
  <c r="K446" i="12"/>
  <c r="J446" i="12"/>
  <c r="I446" i="12"/>
  <c r="K445" i="12"/>
  <c r="J445" i="12"/>
  <c r="I445" i="12"/>
  <c r="K444" i="12"/>
  <c r="J444" i="12"/>
  <c r="I444" i="12"/>
  <c r="K443" i="12"/>
  <c r="J443" i="12"/>
  <c r="I443" i="12"/>
  <c r="K442" i="12"/>
  <c r="J442" i="12"/>
  <c r="I442" i="12"/>
  <c r="K441" i="12"/>
  <c r="J441" i="12"/>
  <c r="I441" i="12"/>
  <c r="K440" i="12"/>
  <c r="J440" i="12"/>
  <c r="I440" i="12"/>
  <c r="K439" i="12"/>
  <c r="J439" i="12"/>
  <c r="I439" i="12"/>
  <c r="K438" i="12"/>
  <c r="J438" i="12"/>
  <c r="I438" i="12"/>
  <c r="K437" i="12"/>
  <c r="J437" i="12"/>
  <c r="I437" i="12"/>
  <c r="K436" i="12"/>
  <c r="J436" i="12"/>
  <c r="I436" i="12"/>
  <c r="K435" i="12"/>
  <c r="J435" i="12"/>
  <c r="I435" i="12"/>
  <c r="K434" i="12"/>
  <c r="J434" i="12"/>
  <c r="I434" i="12"/>
  <c r="K433" i="12"/>
  <c r="J433" i="12"/>
  <c r="I433" i="12"/>
  <c r="K432" i="12"/>
  <c r="J432" i="12"/>
  <c r="I432" i="12"/>
  <c r="K431" i="12"/>
  <c r="J431" i="12"/>
  <c r="I431" i="12"/>
  <c r="K430" i="12"/>
  <c r="J430" i="12"/>
  <c r="I430" i="12"/>
  <c r="K429" i="12"/>
  <c r="J429" i="12"/>
  <c r="I429" i="12"/>
  <c r="K428" i="12"/>
  <c r="J428" i="12"/>
  <c r="I428" i="12"/>
  <c r="K427" i="12"/>
  <c r="J427" i="12"/>
  <c r="I427" i="12"/>
  <c r="K426" i="12"/>
  <c r="J426" i="12"/>
  <c r="I426" i="12"/>
  <c r="K425" i="12"/>
  <c r="J425" i="12"/>
  <c r="I425" i="12"/>
  <c r="K424" i="12"/>
  <c r="J424" i="12"/>
  <c r="I424" i="12"/>
  <c r="K423" i="12"/>
  <c r="J423" i="12"/>
  <c r="I423" i="12"/>
  <c r="K422" i="12"/>
  <c r="J422" i="12"/>
  <c r="I422" i="12"/>
  <c r="K421" i="12"/>
  <c r="J421" i="12"/>
  <c r="I421" i="12"/>
  <c r="K420" i="12"/>
  <c r="J420" i="12"/>
  <c r="I420" i="12"/>
  <c r="K419" i="12"/>
  <c r="J419" i="12"/>
  <c r="I419" i="12"/>
  <c r="K418" i="12"/>
  <c r="J418" i="12"/>
  <c r="I418" i="12"/>
  <c r="K417" i="12"/>
  <c r="J417" i="12"/>
  <c r="I417" i="12"/>
  <c r="K416" i="12"/>
  <c r="J416" i="12"/>
  <c r="I416" i="12"/>
  <c r="K415" i="12"/>
  <c r="J415" i="12"/>
  <c r="I415" i="12"/>
  <c r="K414" i="12"/>
  <c r="J414" i="12"/>
  <c r="I414" i="12"/>
  <c r="K413" i="12"/>
  <c r="J413" i="12"/>
  <c r="I413" i="12"/>
  <c r="K412" i="12"/>
  <c r="J412" i="12"/>
  <c r="I412" i="12"/>
  <c r="K411" i="12"/>
  <c r="J411" i="12"/>
  <c r="I411" i="12"/>
  <c r="K410" i="12"/>
  <c r="J410" i="12"/>
  <c r="I410" i="12"/>
  <c r="K409" i="12"/>
  <c r="J409" i="12"/>
  <c r="I409" i="12"/>
  <c r="K408" i="12"/>
  <c r="J408" i="12"/>
  <c r="I408" i="12"/>
  <c r="K407" i="12"/>
  <c r="J407" i="12"/>
  <c r="I407" i="12"/>
  <c r="K406" i="12"/>
  <c r="J406" i="12"/>
  <c r="I406" i="12"/>
  <c r="K405" i="12"/>
  <c r="J405" i="12"/>
  <c r="I405" i="12"/>
  <c r="K404" i="12"/>
  <c r="J404" i="12"/>
  <c r="I404" i="12"/>
  <c r="K403" i="12"/>
  <c r="J403" i="12"/>
  <c r="I403" i="12"/>
  <c r="K402" i="12"/>
  <c r="J402" i="12"/>
  <c r="I402" i="12"/>
  <c r="K401" i="12"/>
  <c r="J401" i="12"/>
  <c r="I401" i="12"/>
  <c r="K400" i="12"/>
  <c r="J400" i="12"/>
  <c r="I400" i="12"/>
  <c r="K399" i="12"/>
  <c r="J399" i="12"/>
  <c r="I399" i="12"/>
  <c r="K398" i="12"/>
  <c r="J398" i="12"/>
  <c r="I398" i="12"/>
  <c r="K397" i="12"/>
  <c r="J397" i="12"/>
  <c r="I397" i="12"/>
  <c r="K396" i="12"/>
  <c r="J396" i="12"/>
  <c r="I396" i="12"/>
  <c r="K395" i="12"/>
  <c r="J395" i="12"/>
  <c r="I395" i="12"/>
  <c r="K394" i="12"/>
  <c r="J394" i="12"/>
  <c r="I394" i="12"/>
  <c r="K393" i="12"/>
  <c r="J393" i="12"/>
  <c r="I393" i="12"/>
  <c r="K392" i="12"/>
  <c r="J392" i="12"/>
  <c r="I392" i="12"/>
  <c r="K391" i="12"/>
  <c r="J391" i="12"/>
  <c r="I391" i="12"/>
  <c r="K390" i="12"/>
  <c r="J390" i="12"/>
  <c r="I390" i="12"/>
  <c r="K389" i="12"/>
  <c r="J389" i="12"/>
  <c r="I389" i="12"/>
  <c r="K388" i="12"/>
  <c r="J388" i="12"/>
  <c r="I388" i="12"/>
  <c r="K387" i="12"/>
  <c r="J387" i="12"/>
  <c r="I387" i="12"/>
  <c r="K386" i="12"/>
  <c r="J386" i="12"/>
  <c r="I386" i="12"/>
  <c r="K385" i="12"/>
  <c r="J385" i="12"/>
  <c r="I385" i="12"/>
  <c r="K384" i="12"/>
  <c r="J384" i="12"/>
  <c r="I384" i="12"/>
  <c r="K383" i="12"/>
  <c r="J383" i="12"/>
  <c r="I383" i="12"/>
  <c r="K382" i="12"/>
  <c r="J382" i="12"/>
  <c r="I382" i="12"/>
  <c r="K381" i="12"/>
  <c r="J381" i="12"/>
  <c r="I381" i="12"/>
  <c r="K380" i="12"/>
  <c r="J380" i="12"/>
  <c r="I380" i="12"/>
  <c r="K379" i="12"/>
  <c r="J379" i="12"/>
  <c r="I379" i="12"/>
  <c r="K378" i="12"/>
  <c r="J378" i="12"/>
  <c r="I378" i="12"/>
  <c r="K377" i="12"/>
  <c r="J377" i="12"/>
  <c r="I377" i="12"/>
  <c r="K376" i="12"/>
  <c r="J376" i="12"/>
  <c r="I376" i="12"/>
  <c r="K375" i="12"/>
  <c r="J375" i="12"/>
  <c r="I375" i="12"/>
  <c r="K374" i="12"/>
  <c r="J374" i="12"/>
  <c r="I374" i="12"/>
  <c r="K373" i="12"/>
  <c r="J373" i="12"/>
  <c r="I373" i="12"/>
  <c r="K372" i="12"/>
  <c r="J372" i="12"/>
  <c r="I372" i="12"/>
  <c r="K371" i="12"/>
  <c r="J371" i="12"/>
  <c r="I371" i="12"/>
  <c r="K370" i="12"/>
  <c r="J370" i="12"/>
  <c r="I370" i="12"/>
  <c r="K369" i="12"/>
  <c r="J369" i="12"/>
  <c r="I369" i="12"/>
  <c r="K368" i="12"/>
  <c r="J368" i="12"/>
  <c r="I368" i="12"/>
  <c r="K367" i="12"/>
  <c r="J367" i="12"/>
  <c r="I367" i="12"/>
  <c r="K366" i="12"/>
  <c r="J366" i="12"/>
  <c r="I366" i="12"/>
  <c r="K365" i="12"/>
  <c r="J365" i="12"/>
  <c r="I365" i="12"/>
  <c r="K364" i="12"/>
  <c r="J364" i="12"/>
  <c r="I364" i="12"/>
  <c r="K363" i="12"/>
  <c r="J363" i="12"/>
  <c r="I363" i="12"/>
  <c r="K362" i="12"/>
  <c r="J362" i="12"/>
  <c r="I362" i="12"/>
  <c r="K361" i="12"/>
  <c r="J361" i="12"/>
  <c r="I361" i="12"/>
  <c r="K360" i="12"/>
  <c r="J360" i="12"/>
  <c r="I360" i="12"/>
  <c r="K359" i="12"/>
  <c r="J359" i="12"/>
  <c r="I359" i="12"/>
  <c r="K358" i="12"/>
  <c r="J358" i="12"/>
  <c r="I358" i="12"/>
  <c r="K357" i="12"/>
  <c r="J357" i="12"/>
  <c r="I357" i="12"/>
  <c r="K356" i="12"/>
  <c r="J356" i="12"/>
  <c r="I356" i="12"/>
  <c r="K355" i="12"/>
  <c r="J355" i="12"/>
  <c r="I355" i="12"/>
  <c r="K354" i="12"/>
  <c r="J354" i="12"/>
  <c r="I354" i="12"/>
  <c r="K353" i="12"/>
  <c r="J353" i="12"/>
  <c r="I353" i="12"/>
  <c r="K352" i="12"/>
  <c r="J352" i="12"/>
  <c r="I352" i="12"/>
  <c r="K351" i="12"/>
  <c r="J351" i="12"/>
  <c r="I351" i="12"/>
  <c r="K350" i="12"/>
  <c r="J350" i="12"/>
  <c r="I350" i="12"/>
  <c r="K349" i="12"/>
  <c r="J349" i="12"/>
  <c r="I349" i="12"/>
  <c r="K348" i="12"/>
  <c r="J348" i="12"/>
  <c r="I348" i="12"/>
  <c r="K347" i="12"/>
  <c r="J347" i="12"/>
  <c r="I347" i="12"/>
  <c r="K346" i="12"/>
  <c r="J346" i="12"/>
  <c r="I346" i="12"/>
  <c r="K345" i="12"/>
  <c r="J345" i="12"/>
  <c r="I345" i="12"/>
  <c r="K344" i="12"/>
  <c r="J344" i="12"/>
  <c r="I344" i="12"/>
  <c r="K343" i="12"/>
  <c r="J343" i="12"/>
  <c r="I343" i="12"/>
  <c r="K342" i="12"/>
  <c r="J342" i="12"/>
  <c r="I342" i="12"/>
  <c r="K341" i="12"/>
  <c r="J341" i="12"/>
  <c r="I341" i="12"/>
  <c r="K340" i="12"/>
  <c r="J340" i="12"/>
  <c r="I340" i="12"/>
  <c r="K339" i="12"/>
  <c r="J339" i="12"/>
  <c r="I339" i="12"/>
  <c r="K338" i="12"/>
  <c r="J338" i="12"/>
  <c r="I338" i="12"/>
  <c r="K337" i="12"/>
  <c r="J337" i="12"/>
  <c r="I337" i="12"/>
  <c r="K336" i="12"/>
  <c r="J336" i="12"/>
  <c r="I336" i="12"/>
  <c r="K335" i="12"/>
  <c r="J335" i="12"/>
  <c r="I335" i="12"/>
  <c r="K334" i="12"/>
  <c r="J334" i="12"/>
  <c r="I334" i="12"/>
  <c r="K333" i="12"/>
  <c r="J333" i="12"/>
  <c r="I333" i="12"/>
  <c r="K332" i="12"/>
  <c r="J332" i="12"/>
  <c r="I332" i="12"/>
  <c r="K331" i="12"/>
  <c r="J331" i="12"/>
  <c r="I331" i="12"/>
  <c r="K330" i="12"/>
  <c r="J330" i="12"/>
  <c r="I330" i="12"/>
  <c r="K329" i="12"/>
  <c r="J329" i="12"/>
  <c r="I329" i="12"/>
  <c r="K328" i="12"/>
  <c r="J328" i="12"/>
  <c r="I328" i="12"/>
  <c r="K327" i="12"/>
  <c r="J327" i="12"/>
  <c r="I327" i="12"/>
  <c r="K326" i="12"/>
  <c r="J326" i="12"/>
  <c r="I326" i="12"/>
  <c r="K325" i="12"/>
  <c r="J325" i="12"/>
  <c r="I325" i="12"/>
  <c r="K324" i="12"/>
  <c r="J324" i="12"/>
  <c r="I324" i="12"/>
  <c r="K323" i="12"/>
  <c r="J323" i="12"/>
  <c r="I323" i="12"/>
  <c r="K322" i="12"/>
  <c r="J322" i="12"/>
  <c r="I322" i="12"/>
  <c r="K321" i="12"/>
  <c r="J321" i="12"/>
  <c r="I321" i="12"/>
  <c r="K320" i="12"/>
  <c r="J320" i="12"/>
  <c r="I320" i="12"/>
  <c r="K319" i="12"/>
  <c r="J319" i="12"/>
  <c r="I319" i="12"/>
  <c r="K318" i="12"/>
  <c r="J318" i="12"/>
  <c r="I318" i="12"/>
  <c r="K317" i="12"/>
  <c r="J317" i="12"/>
  <c r="I317" i="12"/>
  <c r="K316" i="12"/>
  <c r="J316" i="12"/>
  <c r="I316" i="12"/>
  <c r="K315" i="12"/>
  <c r="J315" i="12"/>
  <c r="I315" i="12"/>
  <c r="K314" i="12"/>
  <c r="J314" i="12"/>
  <c r="I314" i="12"/>
  <c r="K313" i="12"/>
  <c r="J313" i="12"/>
  <c r="I313" i="12"/>
  <c r="K312" i="12"/>
  <c r="J312" i="12"/>
  <c r="I312" i="12"/>
  <c r="K311" i="12"/>
  <c r="J311" i="12"/>
  <c r="I311" i="12"/>
  <c r="K310" i="12"/>
  <c r="J310" i="12"/>
  <c r="I310" i="12"/>
  <c r="K309" i="12"/>
  <c r="J309" i="12"/>
  <c r="I309" i="12"/>
  <c r="K308" i="12"/>
  <c r="J308" i="12"/>
  <c r="I308" i="12"/>
  <c r="K307" i="12"/>
  <c r="J307" i="12"/>
  <c r="I307" i="12"/>
  <c r="K306" i="12"/>
  <c r="J306" i="12"/>
  <c r="I306" i="12"/>
  <c r="K305" i="12"/>
  <c r="J305" i="12"/>
  <c r="I305" i="12"/>
  <c r="K304" i="12"/>
  <c r="J304" i="12"/>
  <c r="I304" i="12"/>
  <c r="K303" i="12"/>
  <c r="J303" i="12"/>
  <c r="I303" i="12"/>
  <c r="K302" i="12"/>
  <c r="J302" i="12"/>
  <c r="I302" i="12"/>
  <c r="K301" i="12"/>
  <c r="J301" i="12"/>
  <c r="I301" i="12"/>
  <c r="K300" i="12"/>
  <c r="J300" i="12"/>
  <c r="I300" i="12"/>
  <c r="K299" i="12"/>
  <c r="J299" i="12"/>
  <c r="I299" i="12"/>
  <c r="K298" i="12"/>
  <c r="J298" i="12"/>
  <c r="I298" i="12"/>
  <c r="K297" i="12"/>
  <c r="J297" i="12"/>
  <c r="I297" i="12"/>
  <c r="K296" i="12"/>
  <c r="J296" i="12"/>
  <c r="I296" i="12"/>
  <c r="K295" i="12"/>
  <c r="J295" i="12"/>
  <c r="I295" i="12"/>
  <c r="K294" i="12"/>
  <c r="J294" i="12"/>
  <c r="I294" i="12"/>
  <c r="K293" i="12"/>
  <c r="J293" i="12"/>
  <c r="I293" i="12"/>
  <c r="K292" i="12"/>
  <c r="J292" i="12"/>
  <c r="I292" i="12"/>
  <c r="K291" i="12"/>
  <c r="J291" i="12"/>
  <c r="I291" i="12"/>
  <c r="K290" i="12"/>
  <c r="J290" i="12"/>
  <c r="I290" i="12"/>
  <c r="K289" i="12"/>
  <c r="J289" i="12"/>
  <c r="I289" i="12"/>
  <c r="K288" i="12"/>
  <c r="J288" i="12"/>
  <c r="I288" i="12"/>
  <c r="K287" i="12"/>
  <c r="J287" i="12"/>
  <c r="I287" i="12"/>
  <c r="K286" i="12"/>
  <c r="J286" i="12"/>
  <c r="I286" i="12"/>
  <c r="K285" i="12"/>
  <c r="J285" i="12"/>
  <c r="I285" i="12"/>
  <c r="K284" i="12"/>
  <c r="J284" i="12"/>
  <c r="I284" i="12"/>
  <c r="K283" i="12"/>
  <c r="J283" i="12"/>
  <c r="I283" i="12"/>
  <c r="K282" i="12"/>
  <c r="J282" i="12"/>
  <c r="I282" i="12"/>
  <c r="K281" i="12"/>
  <c r="J281" i="12"/>
  <c r="I281" i="12"/>
  <c r="K280" i="12"/>
  <c r="J280" i="12"/>
  <c r="I280" i="12"/>
  <c r="K279" i="12"/>
  <c r="J279" i="12"/>
  <c r="I279" i="12"/>
  <c r="K278" i="12"/>
  <c r="J278" i="12"/>
  <c r="I278" i="12"/>
  <c r="K277" i="12"/>
  <c r="J277" i="12"/>
  <c r="I277" i="12"/>
  <c r="K276" i="12"/>
  <c r="J276" i="12"/>
  <c r="I276" i="12"/>
  <c r="K275" i="12"/>
  <c r="J275" i="12"/>
  <c r="I275" i="12"/>
  <c r="K274" i="12"/>
  <c r="J274" i="12"/>
  <c r="I274" i="12"/>
  <c r="K273" i="12"/>
  <c r="J273" i="12"/>
  <c r="I273" i="12"/>
  <c r="K272" i="12"/>
  <c r="J272" i="12"/>
  <c r="I272" i="12"/>
  <c r="K271" i="12"/>
  <c r="J271" i="12"/>
  <c r="I271" i="12"/>
  <c r="K270" i="12"/>
  <c r="J270" i="12"/>
  <c r="I270" i="12"/>
  <c r="K269" i="12"/>
  <c r="J269" i="12"/>
  <c r="I269" i="12"/>
  <c r="K268" i="12"/>
  <c r="J268" i="12"/>
  <c r="I268" i="12"/>
  <c r="K267" i="12"/>
  <c r="J267" i="12"/>
  <c r="I267" i="12"/>
  <c r="K266" i="12"/>
  <c r="J266" i="12"/>
  <c r="I266" i="12"/>
  <c r="K265" i="12"/>
  <c r="J265" i="12"/>
  <c r="I265" i="12"/>
  <c r="K264" i="12"/>
  <c r="J264" i="12"/>
  <c r="I264" i="12"/>
  <c r="K263" i="12"/>
  <c r="J263" i="12"/>
  <c r="I263" i="12"/>
  <c r="K262" i="12"/>
  <c r="J262" i="12"/>
  <c r="I262" i="12"/>
  <c r="K261" i="12"/>
  <c r="J261" i="12"/>
  <c r="I261" i="12"/>
  <c r="K260" i="12"/>
  <c r="J260" i="12"/>
  <c r="I260" i="12"/>
  <c r="K259" i="12"/>
  <c r="J259" i="12"/>
  <c r="I259" i="12"/>
  <c r="K258" i="12"/>
  <c r="J258" i="12"/>
  <c r="I258" i="12"/>
  <c r="K257" i="12"/>
  <c r="J257" i="12"/>
  <c r="I257" i="12"/>
  <c r="K256" i="12"/>
  <c r="J256" i="12"/>
  <c r="I256" i="12"/>
  <c r="K255" i="12"/>
  <c r="J255" i="12"/>
  <c r="I255" i="12"/>
  <c r="K254" i="12"/>
  <c r="J254" i="12"/>
  <c r="I254" i="12"/>
  <c r="K253" i="12"/>
  <c r="J253" i="12"/>
  <c r="I253" i="12"/>
  <c r="K252" i="12"/>
  <c r="J252" i="12"/>
  <c r="I252" i="12"/>
  <c r="K251" i="12"/>
  <c r="J251" i="12"/>
  <c r="I251" i="12"/>
  <c r="K250" i="12"/>
  <c r="J250" i="12"/>
  <c r="I250" i="12"/>
  <c r="K249" i="12"/>
  <c r="J249" i="12"/>
  <c r="I249" i="12"/>
  <c r="K248" i="12"/>
  <c r="J248" i="12"/>
  <c r="I248" i="12"/>
  <c r="K247" i="12"/>
  <c r="J247" i="12"/>
  <c r="I247" i="12"/>
  <c r="K246" i="12"/>
  <c r="J246" i="12"/>
  <c r="I246" i="12"/>
  <c r="K245" i="12"/>
  <c r="J245" i="12"/>
  <c r="I245" i="12"/>
  <c r="K244" i="12"/>
  <c r="J244" i="12"/>
  <c r="I244" i="12"/>
  <c r="K243" i="12"/>
  <c r="J243" i="12"/>
  <c r="I243" i="12"/>
  <c r="K242" i="12"/>
  <c r="J242" i="12"/>
  <c r="I242" i="12"/>
  <c r="K241" i="12"/>
  <c r="J241" i="12"/>
  <c r="I241" i="12"/>
  <c r="K240" i="12"/>
  <c r="J240" i="12"/>
  <c r="I240" i="12"/>
  <c r="K239" i="12"/>
  <c r="J239" i="12"/>
  <c r="I239" i="12"/>
  <c r="K238" i="12"/>
  <c r="J238" i="12"/>
  <c r="I238" i="12"/>
  <c r="K237" i="12"/>
  <c r="J237" i="12"/>
  <c r="I237" i="12"/>
  <c r="K236" i="12"/>
  <c r="J236" i="12"/>
  <c r="I236" i="12"/>
  <c r="K235" i="12"/>
  <c r="J235" i="12"/>
  <c r="I235" i="12"/>
  <c r="K234" i="12"/>
  <c r="J234" i="12"/>
  <c r="I234" i="12"/>
  <c r="K233" i="12"/>
  <c r="J233" i="12"/>
  <c r="I233" i="12"/>
  <c r="K232" i="12"/>
  <c r="J232" i="12"/>
  <c r="I232" i="12"/>
  <c r="K231" i="12"/>
  <c r="J231" i="12"/>
  <c r="I231" i="12"/>
  <c r="K230" i="12"/>
  <c r="J230" i="12"/>
  <c r="I230" i="12"/>
  <c r="K229" i="12"/>
  <c r="J229" i="12"/>
  <c r="I229" i="12"/>
  <c r="K228" i="12"/>
  <c r="J228" i="12"/>
  <c r="I228" i="12"/>
  <c r="K227" i="12"/>
  <c r="J227" i="12"/>
  <c r="I227" i="12"/>
  <c r="K226" i="12"/>
  <c r="J226" i="12"/>
  <c r="I226" i="12"/>
  <c r="K225" i="12"/>
  <c r="J225" i="12"/>
  <c r="I225" i="12"/>
  <c r="K224" i="12"/>
  <c r="J224" i="12"/>
  <c r="I224" i="12"/>
  <c r="K223" i="12"/>
  <c r="J223" i="12"/>
  <c r="I223" i="12"/>
  <c r="K222" i="12"/>
  <c r="J222" i="12"/>
  <c r="I222" i="12"/>
  <c r="K221" i="12"/>
  <c r="J221" i="12"/>
  <c r="I221" i="12"/>
  <c r="K220" i="12"/>
  <c r="J220" i="12"/>
  <c r="I220" i="12"/>
  <c r="K219" i="12"/>
  <c r="J219" i="12"/>
  <c r="I219" i="12"/>
  <c r="K218" i="12"/>
  <c r="J218" i="12"/>
  <c r="I218" i="12"/>
  <c r="K217" i="12"/>
  <c r="J217" i="12"/>
  <c r="I217" i="12"/>
  <c r="K216" i="12"/>
  <c r="J216" i="12"/>
  <c r="I216" i="12"/>
  <c r="K215" i="12"/>
  <c r="J215" i="12"/>
  <c r="I215" i="12"/>
  <c r="K214" i="12"/>
  <c r="J214" i="12"/>
  <c r="I214" i="12"/>
  <c r="K213" i="12"/>
  <c r="J213" i="12"/>
  <c r="I213" i="12"/>
  <c r="K212" i="12"/>
  <c r="J212" i="12"/>
  <c r="I212" i="12"/>
  <c r="K211" i="12"/>
  <c r="J211" i="12"/>
  <c r="I211" i="12"/>
  <c r="K210" i="12"/>
  <c r="J210" i="12"/>
  <c r="I210" i="12"/>
  <c r="K209" i="12"/>
  <c r="J209" i="12"/>
  <c r="I209" i="12"/>
  <c r="K208" i="12"/>
  <c r="J208" i="12"/>
  <c r="I208" i="12"/>
  <c r="K207" i="12"/>
  <c r="J207" i="12"/>
  <c r="I207" i="12"/>
  <c r="K206" i="12"/>
  <c r="J206" i="12"/>
  <c r="I206" i="12"/>
  <c r="K205" i="12"/>
  <c r="J205" i="12"/>
  <c r="I205" i="12"/>
  <c r="K204" i="12"/>
  <c r="J204" i="12"/>
  <c r="I204" i="12"/>
  <c r="K203" i="12"/>
  <c r="J203" i="12"/>
  <c r="I203" i="12"/>
  <c r="K202" i="12"/>
  <c r="J202" i="12"/>
  <c r="I202" i="12"/>
  <c r="K201" i="12"/>
  <c r="J201" i="12"/>
  <c r="I201" i="12"/>
  <c r="K200" i="12"/>
  <c r="J200" i="12"/>
  <c r="I200" i="12"/>
  <c r="K199" i="12"/>
  <c r="J199" i="12"/>
  <c r="I199" i="12"/>
  <c r="K198" i="12"/>
  <c r="J198" i="12"/>
  <c r="I198" i="12"/>
  <c r="K197" i="12"/>
  <c r="J197" i="12"/>
  <c r="I197" i="12"/>
  <c r="K196" i="12"/>
  <c r="J196" i="12"/>
  <c r="I196" i="12"/>
  <c r="K195" i="12"/>
  <c r="J195" i="12"/>
  <c r="I195" i="12"/>
  <c r="K194" i="12"/>
  <c r="J194" i="12"/>
  <c r="I194" i="12"/>
  <c r="K193" i="12"/>
  <c r="J193" i="12"/>
  <c r="I193" i="12"/>
  <c r="K192" i="12"/>
  <c r="J192" i="12"/>
  <c r="I192" i="12"/>
  <c r="K191" i="12"/>
  <c r="J191" i="12"/>
  <c r="I191" i="12"/>
  <c r="K190" i="12"/>
  <c r="J190" i="12"/>
  <c r="I190" i="12"/>
  <c r="K189" i="12"/>
  <c r="J189" i="12"/>
  <c r="I189" i="12"/>
  <c r="K188" i="12"/>
  <c r="J188" i="12"/>
  <c r="I188" i="12"/>
  <c r="K187" i="12"/>
  <c r="J187" i="12"/>
  <c r="I187" i="12"/>
  <c r="K186" i="12"/>
  <c r="J186" i="12"/>
  <c r="I186" i="12"/>
  <c r="K185" i="12"/>
  <c r="J185" i="12"/>
  <c r="I185" i="12"/>
  <c r="K184" i="12"/>
  <c r="J184" i="12"/>
  <c r="I184" i="12"/>
  <c r="K183" i="12"/>
  <c r="J183" i="12"/>
  <c r="I183" i="12"/>
  <c r="K182" i="12"/>
  <c r="J182" i="12"/>
  <c r="I182" i="12"/>
  <c r="K181" i="12"/>
  <c r="J181" i="12"/>
  <c r="I181" i="12"/>
  <c r="K180" i="12"/>
  <c r="J180" i="12"/>
  <c r="I180" i="12"/>
  <c r="K179" i="12"/>
  <c r="J179" i="12"/>
  <c r="I179" i="12"/>
  <c r="K178" i="12"/>
  <c r="J178" i="12"/>
  <c r="I178" i="12"/>
  <c r="K177" i="12"/>
  <c r="J177" i="12"/>
  <c r="I177" i="12"/>
  <c r="K176" i="12"/>
  <c r="J176" i="12"/>
  <c r="I176" i="12"/>
  <c r="K175" i="12"/>
  <c r="J175" i="12"/>
  <c r="I175" i="12"/>
  <c r="K174" i="12"/>
  <c r="J174" i="12"/>
  <c r="I174" i="12"/>
  <c r="K173" i="12"/>
  <c r="J173" i="12"/>
  <c r="I173" i="12"/>
  <c r="K172" i="12"/>
  <c r="J172" i="12"/>
  <c r="I172" i="12"/>
  <c r="K171" i="12"/>
  <c r="J171" i="12"/>
  <c r="I171" i="12"/>
  <c r="K170" i="12"/>
  <c r="J170" i="12"/>
  <c r="I170" i="12"/>
  <c r="K169" i="12"/>
  <c r="J169" i="12"/>
  <c r="I169" i="12"/>
  <c r="K168" i="12"/>
  <c r="J168" i="12"/>
  <c r="I168" i="12"/>
  <c r="K167" i="12"/>
  <c r="J167" i="12"/>
  <c r="I167" i="12"/>
  <c r="K166" i="12"/>
  <c r="J166" i="12"/>
  <c r="I166" i="12"/>
  <c r="K165" i="12"/>
  <c r="J165" i="12"/>
  <c r="I165" i="12"/>
  <c r="K164" i="12"/>
  <c r="J164" i="12"/>
  <c r="I164" i="12"/>
  <c r="K163" i="12"/>
  <c r="J163" i="12"/>
  <c r="I163" i="12"/>
  <c r="K162" i="12"/>
  <c r="J162" i="12"/>
  <c r="I162" i="12"/>
  <c r="K161" i="12"/>
  <c r="J161" i="12"/>
  <c r="I161" i="12"/>
  <c r="K160" i="12"/>
  <c r="J160" i="12"/>
  <c r="I160" i="12"/>
  <c r="K159" i="12"/>
  <c r="J159" i="12"/>
  <c r="I159" i="12"/>
  <c r="K158" i="12"/>
  <c r="J158" i="12"/>
  <c r="I158" i="12"/>
  <c r="K157" i="12"/>
  <c r="J157" i="12"/>
  <c r="I157" i="12"/>
  <c r="K156" i="12"/>
  <c r="J156" i="12"/>
  <c r="I156" i="12"/>
  <c r="K155" i="12"/>
  <c r="J155" i="12"/>
  <c r="I155" i="12"/>
  <c r="K154" i="12"/>
  <c r="J154" i="12"/>
  <c r="I154" i="12"/>
  <c r="K153" i="12"/>
  <c r="J153" i="12"/>
  <c r="I153" i="12"/>
  <c r="K152" i="12"/>
  <c r="J152" i="12"/>
  <c r="I152" i="12"/>
  <c r="K151" i="12"/>
  <c r="J151" i="12"/>
  <c r="I151" i="12"/>
  <c r="K150" i="12"/>
  <c r="J150" i="12"/>
  <c r="I150" i="12"/>
  <c r="K149" i="12"/>
  <c r="J149" i="12"/>
  <c r="I149" i="12"/>
  <c r="K148" i="12"/>
  <c r="J148" i="12"/>
  <c r="I148" i="12"/>
  <c r="K147" i="12"/>
  <c r="J147" i="12"/>
  <c r="I147" i="12"/>
  <c r="K146" i="12"/>
  <c r="J146" i="12"/>
  <c r="I146" i="12"/>
  <c r="K145" i="12"/>
  <c r="J145" i="12"/>
  <c r="I145" i="12"/>
  <c r="K144" i="12"/>
  <c r="J144" i="12"/>
  <c r="I144" i="12"/>
  <c r="K143" i="12"/>
  <c r="J143" i="12"/>
  <c r="I143" i="12"/>
  <c r="K142" i="12"/>
  <c r="J142" i="12"/>
  <c r="I142" i="12"/>
  <c r="K141" i="12"/>
  <c r="J141" i="12"/>
  <c r="I141" i="12"/>
  <c r="K140" i="12"/>
  <c r="J140" i="12"/>
  <c r="I140" i="12"/>
  <c r="K139" i="12"/>
  <c r="J139" i="12"/>
  <c r="I139" i="12"/>
  <c r="K138" i="12"/>
  <c r="J138" i="12"/>
  <c r="I138" i="12"/>
  <c r="K137" i="12"/>
  <c r="J137" i="12"/>
  <c r="I137" i="12"/>
  <c r="K136" i="12"/>
  <c r="J136" i="12"/>
  <c r="I136" i="12"/>
  <c r="K135" i="12"/>
  <c r="J135" i="12"/>
  <c r="I135" i="12"/>
  <c r="K134" i="12"/>
  <c r="J134" i="12"/>
  <c r="I134" i="12"/>
  <c r="K133" i="12"/>
  <c r="J133" i="12"/>
  <c r="I133" i="12"/>
  <c r="K132" i="12"/>
  <c r="J132" i="12"/>
  <c r="I132" i="12"/>
  <c r="K131" i="12"/>
  <c r="J131" i="12"/>
  <c r="I131" i="12"/>
  <c r="K130" i="12"/>
  <c r="J130" i="12"/>
  <c r="I130" i="12"/>
  <c r="K129" i="12"/>
  <c r="J129" i="12"/>
  <c r="I129" i="12"/>
  <c r="K128" i="12"/>
  <c r="J128" i="12"/>
  <c r="I128" i="12"/>
  <c r="K127" i="12"/>
  <c r="J127" i="12"/>
  <c r="I127" i="12"/>
  <c r="K126" i="12"/>
  <c r="J126" i="12"/>
  <c r="I126" i="12"/>
  <c r="K125" i="12"/>
  <c r="J125" i="12"/>
  <c r="I125" i="12"/>
  <c r="K124" i="12"/>
  <c r="J124" i="12"/>
  <c r="I124" i="12"/>
  <c r="K123" i="12"/>
  <c r="J123" i="12"/>
  <c r="I123" i="12"/>
  <c r="K122" i="12"/>
  <c r="J122" i="12"/>
  <c r="I122" i="12"/>
  <c r="K121" i="12"/>
  <c r="J121" i="12"/>
  <c r="I121" i="12"/>
  <c r="K120" i="12"/>
  <c r="J120" i="12"/>
  <c r="I120" i="12"/>
  <c r="K119" i="12"/>
  <c r="J119" i="12"/>
  <c r="I119" i="12"/>
  <c r="K118" i="12"/>
  <c r="J118" i="12"/>
  <c r="I118" i="12"/>
  <c r="K117" i="12"/>
  <c r="J117" i="12"/>
  <c r="I117" i="12"/>
  <c r="K116" i="12"/>
  <c r="J116" i="12"/>
  <c r="I116" i="12"/>
  <c r="K115" i="12"/>
  <c r="J115" i="12"/>
  <c r="I115" i="12"/>
  <c r="K114" i="12"/>
  <c r="J114" i="12"/>
  <c r="I114" i="12"/>
  <c r="K113" i="12"/>
  <c r="J113" i="12"/>
  <c r="I113" i="12"/>
  <c r="K112" i="12"/>
  <c r="J112" i="12"/>
  <c r="I112" i="12"/>
  <c r="K111" i="12"/>
  <c r="J111" i="12"/>
  <c r="I111" i="12"/>
  <c r="K110" i="12"/>
  <c r="J110" i="12"/>
  <c r="I110" i="12"/>
  <c r="K109" i="12"/>
  <c r="J109" i="12"/>
  <c r="I109" i="12"/>
  <c r="K108" i="12"/>
  <c r="J108" i="12"/>
  <c r="I108" i="12"/>
  <c r="K107" i="12"/>
  <c r="J107" i="12"/>
  <c r="I107" i="12"/>
  <c r="K106" i="12"/>
  <c r="J106" i="12"/>
  <c r="I106" i="12"/>
  <c r="K105" i="12"/>
  <c r="J105" i="12"/>
  <c r="I105" i="12"/>
  <c r="K104" i="12"/>
  <c r="J104" i="12"/>
  <c r="I104" i="12"/>
  <c r="K103" i="12"/>
  <c r="J103" i="12"/>
  <c r="I103" i="12"/>
  <c r="K102" i="12"/>
  <c r="J102" i="12"/>
  <c r="I102" i="12"/>
  <c r="K101" i="12"/>
  <c r="J101" i="12"/>
  <c r="I101" i="12"/>
  <c r="K100" i="12"/>
  <c r="J100" i="12"/>
  <c r="I100" i="12"/>
  <c r="K99" i="12"/>
  <c r="J99" i="12"/>
  <c r="I99" i="12"/>
  <c r="K98" i="12"/>
  <c r="J98" i="12"/>
  <c r="I98" i="12"/>
  <c r="K97" i="12"/>
  <c r="J97" i="12"/>
  <c r="I97" i="12"/>
  <c r="K96" i="12"/>
  <c r="J96" i="12"/>
  <c r="I96" i="12"/>
  <c r="K95" i="12"/>
  <c r="J95" i="12"/>
  <c r="I95" i="12"/>
  <c r="K94" i="12"/>
  <c r="J94" i="12"/>
  <c r="I94" i="12"/>
  <c r="K93" i="12"/>
  <c r="J93" i="12"/>
  <c r="I93" i="12"/>
  <c r="K92" i="12"/>
  <c r="J92" i="12"/>
  <c r="I92" i="12"/>
  <c r="K91" i="12"/>
  <c r="J91" i="12"/>
  <c r="I91" i="12"/>
  <c r="K90" i="12"/>
  <c r="J90" i="12"/>
  <c r="I90" i="12"/>
  <c r="K89" i="12"/>
  <c r="J89" i="12"/>
  <c r="I89" i="12"/>
  <c r="K88" i="12"/>
  <c r="J88" i="12"/>
  <c r="I88" i="12"/>
  <c r="K87" i="12"/>
  <c r="J87" i="12"/>
  <c r="I87" i="12"/>
  <c r="K86" i="12"/>
  <c r="J86" i="12"/>
  <c r="I86" i="12"/>
  <c r="K85" i="12"/>
  <c r="J85" i="12"/>
  <c r="I85" i="12"/>
  <c r="K84" i="12"/>
  <c r="J84" i="12"/>
  <c r="I84" i="12"/>
  <c r="K83" i="12"/>
  <c r="J83" i="12"/>
  <c r="I83" i="12"/>
  <c r="K82" i="12"/>
  <c r="J82" i="12"/>
  <c r="I82" i="12"/>
  <c r="K81" i="12"/>
  <c r="J81" i="12"/>
  <c r="I81" i="12"/>
  <c r="K80" i="12"/>
  <c r="J80" i="12"/>
  <c r="I80" i="12"/>
  <c r="K79" i="12"/>
  <c r="J79" i="12"/>
  <c r="I79" i="12"/>
  <c r="K78" i="12"/>
  <c r="J78" i="12"/>
  <c r="I78" i="12"/>
  <c r="K77" i="12"/>
  <c r="J77" i="12"/>
  <c r="I77" i="12"/>
  <c r="K76" i="12"/>
  <c r="J76" i="12"/>
  <c r="I76" i="12"/>
  <c r="K75" i="12"/>
  <c r="J75" i="12"/>
  <c r="I75" i="12"/>
  <c r="K74" i="12"/>
  <c r="J74" i="12"/>
  <c r="I74" i="12"/>
  <c r="K73" i="12"/>
  <c r="J73" i="12"/>
  <c r="I73" i="12"/>
  <c r="K72" i="12"/>
  <c r="J72" i="12"/>
  <c r="I72" i="12"/>
  <c r="K71" i="12"/>
  <c r="J71" i="12"/>
  <c r="I71" i="12"/>
  <c r="K70" i="12"/>
  <c r="J70" i="12"/>
  <c r="I70" i="12"/>
  <c r="K69" i="12"/>
  <c r="J69" i="12"/>
  <c r="I69" i="12"/>
  <c r="K68" i="12"/>
  <c r="J68" i="12"/>
  <c r="I68" i="12"/>
  <c r="K67" i="12"/>
  <c r="J67" i="12"/>
  <c r="I67" i="12"/>
  <c r="K66" i="12"/>
  <c r="J66" i="12"/>
  <c r="I66" i="12"/>
  <c r="K65" i="12"/>
  <c r="J65" i="12"/>
  <c r="I65" i="12"/>
  <c r="K64" i="12"/>
  <c r="J64" i="12"/>
  <c r="I64" i="12"/>
  <c r="K63" i="12"/>
  <c r="J63" i="12"/>
  <c r="I63" i="12"/>
  <c r="K62" i="12"/>
  <c r="J62" i="12"/>
  <c r="I62" i="12"/>
  <c r="K61" i="12"/>
  <c r="J61" i="12"/>
  <c r="I61" i="12"/>
  <c r="K60" i="12"/>
  <c r="J60" i="12"/>
  <c r="I60" i="12"/>
  <c r="K59" i="12"/>
  <c r="J59" i="12"/>
  <c r="I59" i="12"/>
  <c r="K58" i="12"/>
  <c r="J58" i="12"/>
  <c r="I58" i="12"/>
  <c r="K57" i="12"/>
  <c r="J57" i="12"/>
  <c r="I57" i="12"/>
  <c r="K56" i="12"/>
  <c r="J56" i="12"/>
  <c r="I56" i="12"/>
  <c r="K55" i="12"/>
  <c r="J55" i="12"/>
  <c r="I55" i="12"/>
  <c r="K54" i="12"/>
  <c r="J54" i="12"/>
  <c r="I54" i="12"/>
  <c r="K53" i="12"/>
  <c r="J53" i="12"/>
  <c r="I53" i="12"/>
  <c r="K52" i="12"/>
  <c r="J52" i="12"/>
  <c r="I52" i="12"/>
  <c r="K51" i="12"/>
  <c r="J51" i="12"/>
  <c r="I51" i="12"/>
  <c r="K50" i="12"/>
  <c r="J50" i="12"/>
  <c r="I50" i="12"/>
  <c r="K49" i="12"/>
  <c r="J49" i="12"/>
  <c r="I49" i="12"/>
  <c r="K48" i="12"/>
  <c r="J48" i="12"/>
  <c r="I48" i="12"/>
  <c r="K47" i="12"/>
  <c r="J47" i="12"/>
  <c r="I47" i="12"/>
  <c r="K46" i="12"/>
  <c r="J46" i="12"/>
  <c r="I46" i="12"/>
  <c r="K45" i="12"/>
  <c r="J45" i="12"/>
  <c r="I45" i="12"/>
  <c r="K44" i="12"/>
  <c r="J44" i="12"/>
  <c r="I44" i="12"/>
  <c r="K43" i="12"/>
  <c r="J43" i="12"/>
  <c r="I43" i="12"/>
  <c r="K42" i="12"/>
  <c r="J42" i="12"/>
  <c r="I42" i="12"/>
  <c r="K41" i="12"/>
  <c r="J41" i="12"/>
  <c r="I41" i="12"/>
  <c r="K40" i="12"/>
  <c r="J40" i="12"/>
  <c r="I40" i="12"/>
  <c r="K39" i="12"/>
  <c r="J39" i="12"/>
  <c r="I39" i="12"/>
  <c r="K38" i="12"/>
  <c r="J38" i="12"/>
  <c r="I38" i="12"/>
  <c r="K37" i="12"/>
  <c r="J37" i="12"/>
  <c r="I37" i="12"/>
  <c r="K36" i="12"/>
  <c r="J36" i="12"/>
  <c r="I36" i="12"/>
  <c r="K35" i="12"/>
  <c r="J35" i="12"/>
  <c r="I35" i="12"/>
  <c r="K34" i="12"/>
  <c r="J34" i="12"/>
  <c r="I34" i="12"/>
  <c r="K33" i="12"/>
  <c r="J33" i="12"/>
  <c r="I33" i="12"/>
  <c r="K32" i="12"/>
  <c r="J32" i="12"/>
  <c r="I32" i="12"/>
  <c r="K31" i="12"/>
  <c r="J31" i="12"/>
  <c r="I31" i="12"/>
  <c r="K30" i="12"/>
  <c r="J30" i="12"/>
  <c r="I30" i="12"/>
  <c r="K29" i="12"/>
  <c r="J29" i="12"/>
  <c r="I29" i="12"/>
  <c r="K28" i="12"/>
  <c r="J28" i="12"/>
  <c r="I28" i="12"/>
  <c r="K27" i="12"/>
  <c r="J27" i="12"/>
  <c r="I27" i="12"/>
  <c r="K26" i="12"/>
  <c r="J26" i="12"/>
  <c r="I26" i="12"/>
  <c r="K25" i="12"/>
  <c r="J25" i="12"/>
  <c r="I25" i="12"/>
  <c r="K24" i="12"/>
  <c r="J24" i="12"/>
  <c r="I24" i="12"/>
  <c r="K23" i="12"/>
  <c r="J23" i="12"/>
  <c r="I23" i="12"/>
  <c r="K22" i="12"/>
  <c r="J22" i="12"/>
  <c r="I22" i="12"/>
  <c r="K21" i="12"/>
  <c r="J21" i="12"/>
  <c r="I21" i="12"/>
  <c r="K20" i="12"/>
  <c r="J20" i="12"/>
  <c r="I20" i="12"/>
  <c r="K19" i="12"/>
  <c r="J19" i="12"/>
  <c r="I19" i="12"/>
  <c r="K18" i="12"/>
  <c r="J18" i="12"/>
  <c r="I18" i="12"/>
  <c r="K17" i="12"/>
  <c r="J17" i="12"/>
  <c r="I17" i="12"/>
  <c r="K16" i="12"/>
  <c r="J16" i="12"/>
  <c r="I16" i="12"/>
  <c r="K15" i="12"/>
  <c r="J15" i="12"/>
  <c r="I15" i="12"/>
  <c r="K14" i="12"/>
  <c r="J14" i="12"/>
  <c r="I14" i="12"/>
  <c r="K13" i="12"/>
  <c r="J13" i="12"/>
  <c r="I13" i="12"/>
  <c r="K12" i="12"/>
  <c r="J12" i="12"/>
  <c r="I12" i="12"/>
  <c r="K11" i="12"/>
  <c r="J11" i="12"/>
  <c r="I11" i="12"/>
  <c r="K10" i="12"/>
  <c r="J10" i="12"/>
  <c r="I10" i="12"/>
  <c r="K9" i="12"/>
  <c r="J9" i="12"/>
  <c r="I9" i="12"/>
  <c r="K8" i="12"/>
  <c r="J8" i="12"/>
  <c r="I8" i="12"/>
  <c r="K7" i="12"/>
  <c r="J7" i="12"/>
  <c r="I7" i="12"/>
  <c r="K6" i="12"/>
  <c r="J6" i="12"/>
  <c r="I6" i="12"/>
  <c r="K5" i="12"/>
  <c r="J5" i="12"/>
  <c r="I5" i="12"/>
  <c r="K4" i="12"/>
  <c r="J4" i="12"/>
  <c r="I4" i="12"/>
  <c r="G2221" i="11"/>
  <c r="G2220" i="11"/>
  <c r="G2219" i="11"/>
  <c r="G2218" i="11"/>
  <c r="G2217" i="11"/>
  <c r="G2216" i="11"/>
  <c r="G2215" i="11"/>
  <c r="G2214" i="11"/>
  <c r="G2213" i="11"/>
  <c r="G2212" i="11"/>
  <c r="G2211" i="11"/>
  <c r="G2210" i="11"/>
  <c r="G2209" i="11"/>
  <c r="G2208" i="11"/>
  <c r="G2207" i="11"/>
  <c r="G2206" i="11"/>
  <c r="G2205" i="11"/>
  <c r="G2204" i="11"/>
  <c r="G2203" i="11"/>
  <c r="G2202" i="11"/>
  <c r="G2201" i="11"/>
  <c r="G2200" i="11"/>
  <c r="G2199" i="11"/>
  <c r="G2198" i="11"/>
  <c r="G2197" i="11"/>
  <c r="G2196" i="11"/>
  <c r="G2195" i="11"/>
  <c r="G2194" i="11"/>
  <c r="G2193" i="11"/>
  <c r="G2192" i="11"/>
  <c r="G2191" i="11"/>
  <c r="G2190" i="11"/>
  <c r="G2189" i="11"/>
  <c r="G2188" i="11"/>
  <c r="G2187" i="11"/>
  <c r="G2186" i="11"/>
  <c r="G2185" i="11"/>
  <c r="G2184" i="11"/>
  <c r="G2183" i="11"/>
  <c r="G2182" i="11"/>
  <c r="G2181" i="11"/>
  <c r="G2180" i="11"/>
  <c r="G2179" i="11"/>
  <c r="G2178" i="11"/>
  <c r="G2177" i="11"/>
  <c r="G2176" i="11"/>
  <c r="G2175" i="11"/>
  <c r="G2174" i="11"/>
  <c r="G2173" i="11"/>
  <c r="G2172" i="11"/>
  <c r="G2171" i="11"/>
  <c r="G2170" i="11"/>
  <c r="G2169" i="11"/>
  <c r="G2168" i="11"/>
  <c r="G2167" i="11"/>
  <c r="G2166" i="11"/>
  <c r="G2165" i="11"/>
  <c r="G2164" i="11"/>
  <c r="G2163" i="11"/>
  <c r="G2162" i="11"/>
  <c r="G2161" i="11"/>
  <c r="G2160" i="11"/>
  <c r="G2159" i="11"/>
  <c r="G2158" i="11"/>
  <c r="G2157" i="11"/>
  <c r="G2156" i="11"/>
  <c r="G2155" i="11"/>
  <c r="G2154" i="11"/>
  <c r="G2153" i="11"/>
  <c r="G2152" i="11"/>
  <c r="G2151" i="11"/>
  <c r="G2150" i="11"/>
  <c r="G2149" i="11"/>
  <c r="G2148" i="11"/>
  <c r="G2147" i="11"/>
  <c r="G2146" i="11"/>
  <c r="G2145" i="11"/>
  <c r="G2144" i="11"/>
  <c r="G2143" i="11"/>
  <c r="G2142" i="11"/>
  <c r="G2141" i="11"/>
  <c r="G2140" i="11"/>
  <c r="G2139" i="11"/>
  <c r="G2138" i="11"/>
  <c r="G2137" i="11"/>
  <c r="G2136" i="11"/>
  <c r="G2135" i="11"/>
  <c r="G2134" i="11"/>
  <c r="G2133" i="11"/>
  <c r="G2132" i="11"/>
  <c r="G2131" i="11"/>
  <c r="G2130" i="11"/>
  <c r="G2129" i="11"/>
  <c r="G2128" i="11"/>
  <c r="G2127" i="11"/>
  <c r="G2126" i="11"/>
  <c r="G2125" i="11"/>
  <c r="G2124" i="11"/>
  <c r="G2123" i="11"/>
  <c r="G2122" i="11"/>
  <c r="G2121" i="11"/>
  <c r="G2120" i="11"/>
  <c r="G2119" i="11"/>
  <c r="G2118" i="11"/>
  <c r="G2117" i="11"/>
  <c r="G2116" i="11"/>
  <c r="G2115" i="11"/>
  <c r="G2114" i="11"/>
  <c r="G2113" i="11"/>
  <c r="G2112" i="11"/>
  <c r="G2111" i="11"/>
  <c r="G2110" i="11"/>
  <c r="G2109" i="11"/>
  <c r="G2108" i="11"/>
  <c r="G2107" i="11"/>
  <c r="G2106" i="11"/>
  <c r="G2105" i="11"/>
  <c r="G2104" i="11"/>
  <c r="G2103" i="11"/>
  <c r="G2102" i="11"/>
  <c r="G2101" i="11"/>
  <c r="G2100" i="11"/>
  <c r="G2099" i="11"/>
  <c r="G2098" i="11"/>
  <c r="G2097" i="11"/>
  <c r="G2096" i="11"/>
  <c r="G2095" i="11"/>
  <c r="G2094" i="11"/>
  <c r="G2093" i="11"/>
  <c r="G2092" i="11"/>
  <c r="G2091" i="11"/>
  <c r="G2090" i="11"/>
  <c r="G2089" i="11"/>
  <c r="G2088" i="11"/>
  <c r="G2087" i="11"/>
  <c r="G2086" i="11"/>
  <c r="G2085" i="11"/>
  <c r="G2084" i="11"/>
  <c r="G2083" i="11"/>
  <c r="G2082" i="11"/>
  <c r="G2081" i="11"/>
  <c r="G2080" i="11"/>
  <c r="G2079" i="11"/>
  <c r="G2078" i="11"/>
  <c r="G2077" i="11"/>
  <c r="G2076" i="11"/>
  <c r="G2075" i="11"/>
  <c r="G2074" i="11"/>
  <c r="G2073" i="11"/>
  <c r="G2072" i="11"/>
  <c r="G2071" i="11"/>
  <c r="G2070" i="11"/>
  <c r="G2069" i="11"/>
  <c r="G2068" i="11"/>
  <c r="G2067" i="11"/>
  <c r="G2066" i="11"/>
  <c r="G2065" i="11"/>
  <c r="G2064" i="11"/>
  <c r="G2063" i="11"/>
  <c r="G2062" i="11"/>
  <c r="G2061" i="11"/>
  <c r="G2060" i="11"/>
  <c r="G2059" i="11"/>
  <c r="G2058" i="11"/>
  <c r="G2057" i="11"/>
  <c r="G2056" i="11"/>
  <c r="G2055" i="11"/>
  <c r="G2054" i="11"/>
  <c r="G2053" i="11"/>
  <c r="G2052" i="11"/>
  <c r="G2051" i="11"/>
  <c r="G2050" i="11"/>
  <c r="G2049" i="11"/>
  <c r="G2048" i="11"/>
  <c r="G2047" i="11"/>
  <c r="G2046" i="11"/>
  <c r="G2045" i="11"/>
  <c r="G2044" i="11"/>
  <c r="G2043" i="11"/>
  <c r="G2042" i="11"/>
  <c r="G2041" i="11"/>
  <c r="G2040" i="11"/>
  <c r="G2039" i="11"/>
  <c r="G2038" i="11"/>
  <c r="G2037" i="11"/>
  <c r="G2036" i="11"/>
  <c r="G2035" i="11"/>
  <c r="G2034" i="11"/>
  <c r="G2033" i="11"/>
  <c r="G2032" i="11"/>
  <c r="G2031" i="11"/>
  <c r="G2030" i="11"/>
  <c r="G2029" i="11"/>
  <c r="G2028" i="11"/>
  <c r="G2027" i="11"/>
  <c r="G2026" i="11"/>
  <c r="G2025" i="11"/>
  <c r="G2024" i="11"/>
  <c r="G2023" i="11"/>
  <c r="G2022" i="11"/>
  <c r="G2021" i="11"/>
  <c r="G2020" i="11"/>
  <c r="G2019" i="11"/>
  <c r="G2018" i="11"/>
  <c r="G2017" i="11"/>
  <c r="G2016" i="11"/>
  <c r="G2015" i="11"/>
  <c r="G2014" i="11"/>
  <c r="G2013" i="11"/>
  <c r="G2012" i="11"/>
  <c r="G2011" i="11"/>
  <c r="G2010" i="11"/>
  <c r="G2009" i="11"/>
  <c r="G2008" i="11"/>
  <c r="G2007" i="11"/>
  <c r="G2006" i="11"/>
  <c r="G2005" i="11"/>
  <c r="G2004" i="11"/>
  <c r="G2003" i="11"/>
  <c r="G2002" i="11"/>
  <c r="G2001" i="11"/>
  <c r="G2000" i="11"/>
  <c r="G1999" i="11"/>
  <c r="G1998" i="11"/>
  <c r="G1997" i="11"/>
  <c r="G1996" i="11"/>
  <c r="G1995" i="11"/>
  <c r="G1994" i="11"/>
  <c r="G1993" i="11"/>
  <c r="G1992" i="11"/>
  <c r="G1991" i="11"/>
  <c r="G1990" i="11"/>
  <c r="G1989" i="11"/>
  <c r="G1988" i="11"/>
  <c r="G1987" i="11"/>
  <c r="G1986" i="11"/>
  <c r="G1985" i="11"/>
  <c r="G1984" i="11"/>
  <c r="G1983" i="11"/>
  <c r="G1982" i="11"/>
  <c r="G1981" i="11"/>
  <c r="G1980" i="11"/>
  <c r="G1979" i="11"/>
  <c r="G1978" i="11"/>
  <c r="G1977" i="11"/>
  <c r="G1976" i="11"/>
  <c r="G1975" i="11"/>
  <c r="G1974" i="11"/>
  <c r="G1973" i="11"/>
  <c r="G1972" i="11"/>
  <c r="G1971" i="11"/>
  <c r="G1970" i="11"/>
  <c r="G1969" i="11"/>
  <c r="G1968" i="11"/>
  <c r="G1967" i="11"/>
  <c r="G1966" i="11"/>
  <c r="G1965" i="11"/>
  <c r="G1964" i="11"/>
  <c r="G1963" i="11"/>
  <c r="G1962" i="11"/>
  <c r="G1961" i="11"/>
  <c r="G1960" i="11"/>
  <c r="G1959" i="11"/>
  <c r="G1958" i="11"/>
  <c r="G1957" i="11"/>
  <c r="G1956" i="11"/>
  <c r="G1955" i="11"/>
  <c r="G1954" i="11"/>
  <c r="G1953" i="11"/>
  <c r="G1952" i="11"/>
  <c r="G1951" i="11"/>
  <c r="G1950" i="11"/>
  <c r="G1949" i="11"/>
  <c r="G1948" i="11"/>
  <c r="G1947" i="11"/>
  <c r="G1946" i="11"/>
  <c r="G1945" i="11"/>
  <c r="G1944" i="11"/>
  <c r="G1943" i="11"/>
  <c r="G1942" i="11"/>
  <c r="G1941" i="11"/>
  <c r="G1940" i="11"/>
  <c r="G1939" i="11"/>
  <c r="G1938" i="11"/>
  <c r="G1937" i="11"/>
  <c r="G1936" i="11"/>
  <c r="G1935" i="11"/>
  <c r="G1934" i="11"/>
  <c r="G1933" i="11"/>
  <c r="G1932" i="11"/>
  <c r="G1931" i="11"/>
  <c r="G1930" i="11"/>
  <c r="G1929" i="11"/>
  <c r="G1928" i="11"/>
  <c r="G1927" i="11"/>
  <c r="G1926" i="11"/>
  <c r="G1925" i="11"/>
  <c r="G1924" i="11"/>
  <c r="G1923" i="11"/>
  <c r="G1922" i="11"/>
  <c r="G1921" i="11"/>
  <c r="G1920" i="11"/>
  <c r="G1919" i="11"/>
  <c r="G1918" i="11"/>
  <c r="G1917" i="11"/>
  <c r="G1916" i="11"/>
  <c r="G1915" i="11"/>
  <c r="G1914" i="11"/>
  <c r="G1913" i="11"/>
  <c r="G1912" i="11"/>
  <c r="G1911" i="11"/>
  <c r="G1910" i="11"/>
  <c r="G1909" i="11"/>
  <c r="G1908" i="11"/>
  <c r="G1907" i="11"/>
  <c r="G1906" i="11"/>
  <c r="G1905" i="11"/>
  <c r="G1904" i="11"/>
  <c r="G1903" i="11"/>
  <c r="G1902" i="11"/>
  <c r="G1901" i="11"/>
  <c r="G1900" i="11"/>
  <c r="G1899" i="11"/>
  <c r="G1898" i="11"/>
  <c r="G1897" i="11"/>
  <c r="G1896" i="11"/>
  <c r="G1895" i="11"/>
  <c r="G1894" i="11"/>
  <c r="G1893" i="11"/>
  <c r="G1892" i="11"/>
  <c r="G1891" i="11"/>
  <c r="G1890" i="11"/>
  <c r="G1889" i="11"/>
  <c r="G1888" i="11"/>
  <c r="G1887" i="11"/>
  <c r="G1886" i="11"/>
  <c r="G1885" i="11"/>
  <c r="G1884" i="11"/>
  <c r="G1883" i="11"/>
  <c r="G1882" i="11"/>
  <c r="G1881" i="11"/>
  <c r="G1880" i="11"/>
  <c r="G1879" i="11"/>
  <c r="G1878" i="11"/>
  <c r="G1877" i="11"/>
  <c r="G1876" i="11"/>
  <c r="G1875" i="11"/>
  <c r="G1874" i="11"/>
  <c r="G1873" i="11"/>
  <c r="G1872" i="11"/>
  <c r="G1871" i="11"/>
  <c r="G1870" i="11"/>
  <c r="G1869" i="11"/>
  <c r="G1868" i="11"/>
  <c r="G1867" i="11"/>
  <c r="G1866" i="11"/>
  <c r="G1865" i="11"/>
  <c r="G1864" i="11"/>
  <c r="G1863" i="11"/>
  <c r="G1862" i="11"/>
  <c r="G1861" i="11"/>
  <c r="G1860" i="11"/>
  <c r="G1859" i="11"/>
  <c r="G1858" i="11"/>
  <c r="G1857" i="11"/>
  <c r="G1856" i="11"/>
  <c r="G1855" i="11"/>
  <c r="G1854" i="11"/>
  <c r="G1853" i="11"/>
  <c r="G1852" i="11"/>
  <c r="G1851" i="11"/>
  <c r="G1850" i="11"/>
  <c r="G1849" i="11"/>
  <c r="G1848" i="11"/>
  <c r="G1847" i="11"/>
  <c r="G1846" i="11"/>
  <c r="G1845" i="11"/>
  <c r="G1844" i="11"/>
  <c r="G1843" i="11"/>
  <c r="G1842" i="11"/>
  <c r="G1841" i="11"/>
  <c r="G1840" i="11"/>
  <c r="G1839" i="11"/>
  <c r="G1838" i="11"/>
  <c r="G1837" i="11"/>
  <c r="G1836" i="11"/>
  <c r="G1835" i="11"/>
  <c r="G1834" i="11"/>
  <c r="G1833" i="11"/>
  <c r="G1832" i="11"/>
  <c r="G1831" i="11"/>
  <c r="G1830" i="11"/>
  <c r="G1829" i="11"/>
  <c r="G1828" i="11"/>
  <c r="G1827" i="11"/>
  <c r="G1826" i="11"/>
  <c r="G1825" i="11"/>
  <c r="G1824" i="11"/>
  <c r="G1823" i="11"/>
  <c r="G1822" i="11"/>
  <c r="G1821" i="11"/>
  <c r="G1820" i="11"/>
  <c r="G1819" i="11"/>
  <c r="G1818" i="11"/>
  <c r="G1817" i="11"/>
  <c r="G1816" i="11"/>
  <c r="G1815" i="11"/>
  <c r="G1814" i="11"/>
  <c r="G1813" i="11"/>
  <c r="G1812" i="11"/>
  <c r="G1811" i="11"/>
  <c r="G1810" i="11"/>
  <c r="G1809" i="11"/>
  <c r="G1808" i="11"/>
  <c r="G1807" i="11"/>
  <c r="G1806" i="11"/>
  <c r="G1805" i="11"/>
  <c r="G1804" i="11"/>
  <c r="G1803" i="11"/>
  <c r="G1802" i="11"/>
  <c r="G1801" i="11"/>
  <c r="G1800" i="11"/>
  <c r="G1799" i="11"/>
  <c r="G1798" i="11"/>
  <c r="G1797" i="11"/>
  <c r="G1796" i="11"/>
  <c r="G1795" i="11"/>
  <c r="G1794" i="11"/>
  <c r="G1793" i="11"/>
  <c r="G1792" i="11"/>
  <c r="G1791" i="11"/>
  <c r="G1790" i="11"/>
  <c r="G1789" i="11"/>
  <c r="G1788" i="11"/>
  <c r="G1787" i="11"/>
  <c r="G1786" i="11"/>
  <c r="G1785" i="11"/>
  <c r="G1784" i="11"/>
  <c r="G1783" i="11"/>
  <c r="G1782" i="11"/>
  <c r="G1781" i="11"/>
  <c r="G1780" i="11"/>
  <c r="G1779" i="11"/>
  <c r="G1778" i="11"/>
  <c r="G1777" i="11"/>
  <c r="G1776" i="11"/>
  <c r="G1775" i="11"/>
  <c r="G1774" i="11"/>
  <c r="G1773" i="11"/>
  <c r="G1772" i="11"/>
  <c r="G1771" i="11"/>
  <c r="G1770" i="11"/>
  <c r="G1769" i="11"/>
  <c r="G1768" i="11"/>
  <c r="G1767" i="11"/>
  <c r="G1766" i="11"/>
  <c r="G1765" i="11"/>
  <c r="G1764" i="11"/>
  <c r="G1763" i="11"/>
  <c r="G1762" i="11"/>
  <c r="G1761" i="11"/>
  <c r="G1760" i="11"/>
  <c r="G1759" i="11"/>
  <c r="G1758" i="11"/>
  <c r="G1757" i="11"/>
  <c r="G1756" i="11"/>
  <c r="G1755" i="11"/>
  <c r="G1754" i="11"/>
  <c r="G1753" i="11"/>
  <c r="G1752" i="11"/>
  <c r="G1751" i="11"/>
  <c r="G1750" i="11"/>
  <c r="G1749" i="11"/>
  <c r="G1748" i="11"/>
  <c r="G1747" i="11"/>
  <c r="G1746" i="11"/>
  <c r="G1745" i="11"/>
  <c r="G1744" i="11"/>
  <c r="G1743" i="11"/>
  <c r="G1742" i="11"/>
  <c r="G1741" i="11"/>
  <c r="G1740" i="11"/>
  <c r="G1739" i="11"/>
  <c r="G1738" i="11"/>
  <c r="G1737" i="11"/>
  <c r="G1736" i="11"/>
  <c r="G1735" i="11"/>
  <c r="G1734" i="11"/>
  <c r="G1733" i="11"/>
  <c r="G1732" i="11"/>
  <c r="G1731" i="11"/>
  <c r="G1730" i="11"/>
  <c r="G1729" i="11"/>
  <c r="G1728" i="11"/>
  <c r="G1727" i="11"/>
  <c r="G1726" i="11"/>
  <c r="G1725" i="11"/>
  <c r="G1724" i="11"/>
  <c r="G1723" i="11"/>
  <c r="G1722" i="11"/>
  <c r="G1721" i="11"/>
  <c r="G1720" i="11"/>
  <c r="G1719" i="11"/>
  <c r="G1718" i="11"/>
  <c r="G1717" i="11"/>
  <c r="G1716" i="11"/>
  <c r="G1715" i="11"/>
  <c r="G1714" i="11"/>
  <c r="G1713" i="11"/>
  <c r="G1712" i="11"/>
  <c r="G1711" i="11"/>
  <c r="G1710" i="11"/>
  <c r="G1709" i="11"/>
  <c r="G1708" i="11"/>
  <c r="G1707" i="11"/>
  <c r="G1706" i="11"/>
  <c r="G1705" i="11"/>
  <c r="G1704" i="11"/>
  <c r="G1703" i="11"/>
  <c r="G1702" i="11"/>
  <c r="G1701" i="11"/>
  <c r="G1700" i="11"/>
  <c r="G1699" i="11"/>
  <c r="G1698" i="11"/>
  <c r="G1697" i="11"/>
  <c r="G1696" i="11"/>
  <c r="G1695" i="11"/>
  <c r="G1694" i="11"/>
  <c r="G1693" i="11"/>
  <c r="G1692" i="11"/>
  <c r="G1691" i="11"/>
  <c r="G1690" i="11"/>
  <c r="G1689" i="11"/>
  <c r="G1688" i="11"/>
  <c r="G1687" i="11"/>
  <c r="G1686" i="11"/>
  <c r="G1685" i="11"/>
  <c r="G1684" i="11"/>
  <c r="G1683" i="11"/>
  <c r="G1682" i="11"/>
  <c r="G1681" i="11"/>
  <c r="G1680" i="11"/>
  <c r="G1679" i="11"/>
  <c r="G1678" i="11"/>
  <c r="G1677" i="11"/>
  <c r="G1676" i="11"/>
  <c r="G1675" i="11"/>
  <c r="G1674" i="11"/>
  <c r="G1673" i="11"/>
  <c r="G1672" i="11"/>
  <c r="G1671" i="11"/>
  <c r="G1670" i="11"/>
  <c r="G1669" i="11"/>
  <c r="G1668" i="11"/>
  <c r="G1667" i="11"/>
  <c r="G1666" i="11"/>
  <c r="G1665" i="11"/>
  <c r="G1664" i="11"/>
  <c r="G1663" i="11"/>
  <c r="G1662" i="11"/>
  <c r="G1661" i="11"/>
  <c r="G1660" i="11"/>
  <c r="G1659" i="11"/>
  <c r="G1658" i="11"/>
  <c r="G1657" i="11"/>
  <c r="G1656" i="11"/>
  <c r="G1655" i="11"/>
  <c r="G1654" i="11"/>
  <c r="G1653" i="11"/>
  <c r="G1652" i="11"/>
  <c r="G1651" i="11"/>
  <c r="G1650" i="11"/>
  <c r="G1649" i="11"/>
  <c r="G1648" i="11"/>
  <c r="G1647" i="11"/>
  <c r="G1646" i="11"/>
  <c r="G1645" i="11"/>
  <c r="G1644" i="11"/>
  <c r="G1643" i="11"/>
  <c r="G1642" i="11"/>
  <c r="G1641" i="11"/>
  <c r="G1640" i="11"/>
  <c r="G1639" i="11"/>
  <c r="G1638" i="11"/>
  <c r="G1637" i="11"/>
  <c r="G1636" i="11"/>
  <c r="G1635" i="11"/>
  <c r="G1634" i="11"/>
  <c r="G1633" i="11"/>
  <c r="G1632" i="11"/>
  <c r="G1631" i="11"/>
  <c r="G1630" i="11"/>
  <c r="G1629" i="11"/>
  <c r="G1628" i="11"/>
  <c r="G1627" i="11"/>
  <c r="G1626" i="11"/>
  <c r="G1625" i="11"/>
  <c r="G1624" i="11"/>
  <c r="G1623" i="11"/>
  <c r="G1622" i="11"/>
  <c r="G1621" i="11"/>
  <c r="G1620" i="11"/>
  <c r="G1619" i="11"/>
  <c r="G1618" i="11"/>
  <c r="G1617" i="11"/>
  <c r="G1616" i="11"/>
  <c r="G1615" i="11"/>
  <c r="G1614" i="11"/>
  <c r="G1613" i="11"/>
  <c r="G1612" i="11"/>
  <c r="G1611" i="11"/>
  <c r="G1610" i="11"/>
  <c r="G1609" i="11"/>
  <c r="G1608" i="11"/>
  <c r="G1607" i="11"/>
  <c r="G1606" i="11"/>
  <c r="G1605" i="11"/>
  <c r="G1604" i="11"/>
  <c r="G1603" i="11"/>
  <c r="G1602" i="11"/>
  <c r="G1601" i="11"/>
  <c r="G1600" i="11"/>
  <c r="G1599" i="11"/>
  <c r="G1598" i="11"/>
  <c r="G1597" i="11"/>
  <c r="G1596" i="11"/>
  <c r="G1595" i="11"/>
  <c r="G1594" i="11"/>
  <c r="G1593" i="11"/>
  <c r="G1592" i="11"/>
  <c r="G1591" i="11"/>
  <c r="G1590" i="11"/>
  <c r="G1589" i="11"/>
  <c r="G1588" i="11"/>
  <c r="G1587" i="11"/>
  <c r="G1586" i="11"/>
  <c r="G1585" i="11"/>
  <c r="G1584" i="11"/>
  <c r="G1583" i="11"/>
  <c r="G1582" i="11"/>
  <c r="G1581" i="11"/>
  <c r="G1580" i="11"/>
  <c r="G1579" i="11"/>
  <c r="G1578" i="11"/>
  <c r="G1577" i="11"/>
  <c r="G1576" i="11"/>
  <c r="G1575" i="11"/>
  <c r="G1574" i="11"/>
  <c r="G1573" i="11"/>
  <c r="G1572" i="11"/>
  <c r="G1571" i="11"/>
  <c r="G1570" i="11"/>
  <c r="G1569" i="11"/>
  <c r="G1568" i="11"/>
  <c r="G1567" i="11"/>
  <c r="G1566" i="11"/>
  <c r="G1565" i="11"/>
  <c r="G1564" i="11"/>
  <c r="G1563" i="11"/>
  <c r="G1562" i="11"/>
  <c r="G1561" i="11"/>
  <c r="G1560" i="11"/>
  <c r="G1559" i="11"/>
  <c r="G1558" i="11"/>
  <c r="G1557" i="11"/>
  <c r="G1556" i="11"/>
  <c r="G1555" i="11"/>
  <c r="G1554" i="11"/>
  <c r="G1553" i="11"/>
  <c r="G1552" i="11"/>
  <c r="G1551" i="11"/>
  <c r="G1550" i="11"/>
  <c r="G1549" i="11"/>
  <c r="G1548" i="11"/>
  <c r="G1547" i="11"/>
  <c r="G1546" i="11"/>
  <c r="G1545" i="11"/>
  <c r="G1544" i="11"/>
  <c r="G1543" i="11"/>
  <c r="G1542" i="11"/>
  <c r="G1541" i="11"/>
  <c r="G1540" i="11"/>
  <c r="G1539" i="11"/>
  <c r="G1538" i="11"/>
  <c r="G1537" i="11"/>
  <c r="G1536" i="11"/>
  <c r="G1535" i="11"/>
  <c r="G1534" i="11"/>
  <c r="G1533" i="11"/>
  <c r="G1532" i="11"/>
  <c r="G1531" i="11"/>
  <c r="G1530" i="11"/>
  <c r="G1529" i="11"/>
  <c r="G1528" i="11"/>
  <c r="G1527" i="11"/>
  <c r="G1526" i="11"/>
  <c r="G1525" i="11"/>
  <c r="G1524" i="11"/>
  <c r="G1523" i="11"/>
  <c r="G1522" i="11"/>
  <c r="G1521" i="11"/>
  <c r="G1520" i="11"/>
  <c r="G1519" i="11"/>
  <c r="G1518" i="11"/>
  <c r="G1517" i="11"/>
  <c r="G1516" i="11"/>
  <c r="G1515" i="11"/>
  <c r="G1514" i="11"/>
  <c r="G1513" i="11"/>
  <c r="G1512" i="11"/>
  <c r="G1511" i="11"/>
  <c r="G1510" i="11"/>
  <c r="G1509" i="11"/>
  <c r="G1508" i="11"/>
  <c r="G1507" i="11"/>
  <c r="G1506" i="11"/>
  <c r="G1505" i="11"/>
  <c r="G1504" i="11"/>
  <c r="G1503" i="11"/>
  <c r="G1502" i="11"/>
  <c r="G1501" i="11"/>
  <c r="G1500" i="11"/>
  <c r="G1499" i="11"/>
  <c r="G1498" i="11"/>
  <c r="G1497" i="11"/>
  <c r="G1496" i="11"/>
  <c r="G1495" i="11"/>
  <c r="G1494" i="11"/>
  <c r="G1493" i="11"/>
  <c r="G1492" i="11"/>
  <c r="G1491" i="11"/>
  <c r="G1490" i="11"/>
  <c r="G1489" i="11"/>
  <c r="G1488" i="11"/>
  <c r="G1487" i="11"/>
  <c r="G1486" i="11"/>
  <c r="G1485" i="11"/>
  <c r="G1484" i="11"/>
  <c r="G1483" i="11"/>
  <c r="G1482" i="11"/>
  <c r="G1481" i="11"/>
  <c r="G1480" i="11"/>
  <c r="G1479" i="11"/>
  <c r="G1478" i="11"/>
  <c r="G1477" i="11"/>
  <c r="G1476" i="11"/>
  <c r="G1475" i="11"/>
  <c r="G1474" i="11"/>
  <c r="G1473" i="11"/>
  <c r="G1472" i="11"/>
  <c r="G1471" i="11"/>
  <c r="G1470" i="11"/>
  <c r="G1469" i="11"/>
  <c r="G1468" i="11"/>
  <c r="G1467" i="11"/>
  <c r="G1466" i="11"/>
  <c r="G1465" i="11"/>
  <c r="G1464" i="11"/>
  <c r="G1463" i="11"/>
  <c r="G1462" i="11"/>
  <c r="G1461" i="11"/>
  <c r="G1460" i="11"/>
  <c r="G1459" i="11"/>
  <c r="G1458" i="11"/>
  <c r="G1457" i="11"/>
  <c r="G1456" i="11"/>
  <c r="G1455" i="11"/>
  <c r="G1454" i="11"/>
  <c r="G1453" i="11"/>
  <c r="G1452" i="11"/>
  <c r="G1451" i="11"/>
  <c r="G1450" i="11"/>
  <c r="G1449" i="11"/>
  <c r="G1448" i="11"/>
  <c r="G1447" i="11"/>
  <c r="G1446" i="11"/>
  <c r="G1445" i="11"/>
  <c r="G1444" i="11"/>
  <c r="G1443" i="11"/>
  <c r="G1442" i="11"/>
  <c r="G1441" i="11"/>
  <c r="G1440" i="11"/>
  <c r="G1439" i="11"/>
  <c r="G1438" i="11"/>
  <c r="G1437" i="11"/>
  <c r="G1436" i="11"/>
  <c r="G1435" i="11"/>
  <c r="G1434" i="11"/>
  <c r="G1433" i="11"/>
  <c r="G1432" i="11"/>
  <c r="G1431" i="11"/>
  <c r="G1430" i="11"/>
  <c r="G1429" i="11"/>
  <c r="G1428" i="11"/>
  <c r="G1427" i="11"/>
  <c r="G1426" i="11"/>
  <c r="G1425" i="11"/>
  <c r="G1424" i="11"/>
  <c r="G1423" i="11"/>
  <c r="G1422" i="11"/>
  <c r="G1421" i="11"/>
  <c r="G1420" i="11"/>
  <c r="G1419" i="11"/>
  <c r="G1418" i="11"/>
  <c r="G1417" i="11"/>
  <c r="G1416" i="11"/>
  <c r="G1415" i="11"/>
  <c r="G1414" i="11"/>
  <c r="G1413" i="11"/>
  <c r="G1412" i="11"/>
  <c r="G1411" i="11"/>
  <c r="G1410" i="11"/>
  <c r="G1409" i="11"/>
  <c r="G1408" i="11"/>
  <c r="G1407" i="11"/>
  <c r="G1406" i="11"/>
  <c r="G1405" i="11"/>
  <c r="G1404" i="11"/>
  <c r="G1403" i="11"/>
  <c r="G1402" i="11"/>
  <c r="G1401" i="11"/>
  <c r="G1400" i="11"/>
  <c r="G1399" i="11"/>
  <c r="G1398" i="11"/>
  <c r="G1397" i="11"/>
  <c r="G1396" i="11"/>
  <c r="G1395" i="11"/>
  <c r="G1394" i="11"/>
  <c r="G1393" i="11"/>
  <c r="G1392" i="11"/>
  <c r="G1391" i="11"/>
  <c r="G1390" i="11"/>
  <c r="G1389" i="11"/>
  <c r="G1388" i="11"/>
  <c r="G1387" i="11"/>
  <c r="G1386" i="11"/>
  <c r="G1385" i="11"/>
  <c r="G1384" i="11"/>
  <c r="G1383" i="11"/>
  <c r="G1382" i="11"/>
  <c r="G1381" i="11"/>
  <c r="G1380" i="11"/>
  <c r="G1379" i="11"/>
  <c r="G1378" i="11"/>
  <c r="G1377" i="11"/>
  <c r="G1376" i="11"/>
  <c r="G1375" i="11"/>
  <c r="G1374" i="11"/>
  <c r="G1373" i="11"/>
  <c r="G1372" i="11"/>
  <c r="G1371" i="11"/>
  <c r="G1370" i="11"/>
  <c r="G1369" i="11"/>
  <c r="G1368" i="11"/>
  <c r="G1367" i="11"/>
  <c r="G1366" i="11"/>
  <c r="G1365" i="11"/>
  <c r="G1364" i="11"/>
  <c r="G1363" i="11"/>
  <c r="G1362" i="11"/>
  <c r="G1361" i="11"/>
  <c r="G1360" i="11"/>
  <c r="G1359" i="11"/>
  <c r="G1358" i="11"/>
  <c r="G1357" i="11"/>
  <c r="G1356" i="11"/>
  <c r="G1355" i="11"/>
  <c r="G1354" i="11"/>
  <c r="G1353" i="11"/>
  <c r="G1352" i="11"/>
  <c r="G1351" i="11"/>
  <c r="G1350" i="11"/>
  <c r="G1349" i="11"/>
  <c r="G1348" i="11"/>
  <c r="G1347" i="11"/>
  <c r="G1346" i="11"/>
  <c r="G1345" i="11"/>
  <c r="G1344" i="11"/>
  <c r="G1343" i="11"/>
  <c r="G1342" i="11"/>
  <c r="G1341" i="11"/>
  <c r="G1340" i="11"/>
  <c r="G1339" i="11"/>
  <c r="G1338" i="11"/>
  <c r="G1337" i="11"/>
  <c r="G1336" i="11"/>
  <c r="G1335" i="11"/>
  <c r="G1334" i="11"/>
  <c r="G1333" i="11"/>
  <c r="G1332" i="11"/>
  <c r="G1331" i="11"/>
  <c r="G1330" i="11"/>
  <c r="G1329" i="11"/>
  <c r="G1328" i="11"/>
  <c r="G1327" i="11"/>
  <c r="G1326" i="11"/>
  <c r="G1325" i="11"/>
  <c r="G1324" i="11"/>
  <c r="G1323" i="11"/>
  <c r="G1322" i="11"/>
  <c r="G1321" i="11"/>
  <c r="G1320" i="11"/>
  <c r="G1319" i="11"/>
  <c r="G1318" i="11"/>
  <c r="G1317" i="11"/>
  <c r="G1316" i="11"/>
  <c r="G1315" i="11"/>
  <c r="G1314" i="11"/>
  <c r="G1313" i="11"/>
  <c r="G1312" i="11"/>
  <c r="G1311" i="11"/>
  <c r="G1310" i="11"/>
  <c r="G1309" i="11"/>
  <c r="G1308" i="11"/>
  <c r="G1307" i="11"/>
  <c r="G1306" i="11"/>
  <c r="G1305" i="11"/>
  <c r="G1304" i="11"/>
  <c r="G1303" i="11"/>
  <c r="G1302" i="11"/>
  <c r="G1301" i="11"/>
  <c r="G1300" i="11"/>
  <c r="G1299" i="11"/>
  <c r="G1298" i="11"/>
  <c r="G1297" i="11"/>
  <c r="G1296" i="11"/>
  <c r="G1295" i="11"/>
  <c r="G1294" i="11"/>
  <c r="G1293" i="11"/>
  <c r="G1292" i="11"/>
  <c r="G1291" i="11"/>
  <c r="G1290" i="11"/>
  <c r="G1289" i="11"/>
  <c r="G1288" i="11"/>
  <c r="G1287" i="11"/>
  <c r="G1286" i="11"/>
  <c r="G1285" i="11"/>
  <c r="G1284" i="11"/>
  <c r="G1283" i="11"/>
  <c r="G1282" i="11"/>
  <c r="G1281" i="11"/>
  <c r="G1280" i="11"/>
  <c r="G1279" i="11"/>
  <c r="G1278" i="11"/>
  <c r="G1277" i="11"/>
  <c r="G1276" i="11"/>
  <c r="G1275" i="11"/>
  <c r="G1274" i="11"/>
  <c r="G1273" i="11"/>
  <c r="G1272" i="11"/>
  <c r="G1271" i="11"/>
  <c r="G1270" i="11"/>
  <c r="G1269" i="11"/>
  <c r="G1268" i="11"/>
  <c r="G1267" i="11"/>
  <c r="G1266" i="11"/>
  <c r="G1265" i="11"/>
  <c r="G1264" i="11"/>
  <c r="G1263" i="11"/>
  <c r="G1262" i="11"/>
  <c r="G1261" i="11"/>
  <c r="G1260" i="11"/>
  <c r="G1259" i="11"/>
  <c r="G1258" i="11"/>
  <c r="G1257" i="11"/>
  <c r="G1256" i="11"/>
  <c r="G1255" i="11"/>
  <c r="G1254" i="11"/>
  <c r="G1253" i="11"/>
  <c r="G1252" i="11"/>
  <c r="G1251" i="11"/>
  <c r="G1250" i="11"/>
  <c r="G1249" i="11"/>
  <c r="G1248" i="11"/>
  <c r="G1247" i="11"/>
  <c r="G1246" i="11"/>
  <c r="G1245" i="11"/>
  <c r="G1244" i="11"/>
  <c r="G1243" i="11"/>
  <c r="G1242" i="11"/>
  <c r="G1241" i="11"/>
  <c r="G1240" i="11"/>
  <c r="G1239" i="11"/>
  <c r="G1238" i="11"/>
  <c r="G1237" i="11"/>
  <c r="G1236" i="11"/>
  <c r="G1235" i="11"/>
  <c r="G1234" i="11"/>
  <c r="G1233" i="11"/>
  <c r="G1232" i="11"/>
  <c r="G1231" i="11"/>
  <c r="G1230" i="11"/>
  <c r="G1229" i="11"/>
  <c r="G1228" i="11"/>
  <c r="G1227" i="11"/>
  <c r="G1226" i="11"/>
  <c r="G1225" i="11"/>
  <c r="G1224" i="11"/>
  <c r="G1223" i="11"/>
  <c r="G1222" i="11"/>
  <c r="G1221" i="11"/>
  <c r="G1220" i="11"/>
  <c r="G1219" i="11"/>
  <c r="G1218" i="11"/>
  <c r="G1217" i="11"/>
  <c r="G1216" i="11"/>
  <c r="G1215" i="11"/>
  <c r="G1214" i="11"/>
  <c r="G1213" i="11"/>
  <c r="G1212" i="11"/>
  <c r="G1211" i="11"/>
  <c r="G1210" i="11"/>
  <c r="G1209" i="11"/>
  <c r="G1208" i="11"/>
  <c r="G1207" i="11"/>
  <c r="G1206" i="11"/>
  <c r="G1205" i="11"/>
  <c r="G1204" i="11"/>
  <c r="G1203" i="11"/>
  <c r="G1202" i="11"/>
  <c r="G1201" i="11"/>
  <c r="G1200" i="11"/>
  <c r="G1199" i="11"/>
  <c r="G1198" i="11"/>
  <c r="G1197" i="11"/>
  <c r="G1196" i="11"/>
  <c r="G1195" i="11"/>
  <c r="G1194" i="11"/>
  <c r="G1193" i="11"/>
  <c r="G1192" i="11"/>
  <c r="G1191" i="11"/>
  <c r="G1190" i="11"/>
  <c r="G1189" i="11"/>
  <c r="G1188" i="11"/>
  <c r="G1187" i="11"/>
  <c r="G1186" i="11"/>
  <c r="G1185" i="11"/>
  <c r="G1184" i="11"/>
  <c r="G1183" i="11"/>
  <c r="G1182" i="11"/>
  <c r="G1181" i="11"/>
  <c r="G1180" i="11"/>
  <c r="G1179" i="11"/>
  <c r="G1178" i="11"/>
  <c r="G1177" i="11"/>
  <c r="G1176" i="11"/>
  <c r="G1175" i="11"/>
  <c r="G1174" i="11"/>
  <c r="G1173" i="11"/>
  <c r="G1172" i="11"/>
  <c r="G1171" i="11"/>
  <c r="G1170" i="11"/>
  <c r="G1169" i="11"/>
  <c r="G1168" i="11"/>
  <c r="G1167" i="11"/>
  <c r="G1166" i="11"/>
  <c r="G1165" i="11"/>
  <c r="G1164" i="11"/>
  <c r="G1163" i="11"/>
  <c r="G1162" i="11"/>
  <c r="G1161" i="11"/>
  <c r="G1160" i="11"/>
  <c r="G1159" i="11"/>
  <c r="G1158" i="11"/>
  <c r="G1157" i="11"/>
  <c r="G1156" i="11"/>
  <c r="G1155" i="11"/>
  <c r="G1154" i="11"/>
  <c r="G1153" i="11"/>
  <c r="G1152" i="11"/>
  <c r="G1151" i="11"/>
  <c r="G1150" i="11"/>
  <c r="G1149" i="11"/>
  <c r="G1148" i="11"/>
  <c r="G1147" i="11"/>
  <c r="G1146" i="11"/>
  <c r="G1145" i="11"/>
  <c r="G1144" i="11"/>
  <c r="G1143" i="11"/>
  <c r="G1142" i="11"/>
  <c r="G1141" i="11"/>
  <c r="G1140" i="11"/>
  <c r="G1139" i="11"/>
  <c r="G1138" i="11"/>
  <c r="G1137" i="11"/>
  <c r="G1136" i="11"/>
  <c r="G1135" i="11"/>
  <c r="G1134" i="11"/>
  <c r="G1133" i="11"/>
  <c r="G1132" i="11"/>
  <c r="G1131" i="11"/>
  <c r="G1130" i="11"/>
  <c r="G1129" i="11"/>
  <c r="G1128" i="11"/>
  <c r="G1127" i="11"/>
  <c r="G1126" i="11"/>
  <c r="G1125" i="11"/>
  <c r="G1124" i="11"/>
  <c r="G1123" i="11"/>
  <c r="G1122" i="11"/>
  <c r="G1121" i="11"/>
  <c r="G1120" i="11"/>
  <c r="G1119" i="11"/>
  <c r="G1118" i="11"/>
  <c r="G1117" i="11"/>
  <c r="G1116" i="11"/>
  <c r="G1115" i="11"/>
  <c r="G1114" i="11"/>
  <c r="G1113" i="11"/>
  <c r="G1112" i="11"/>
  <c r="G1111" i="11"/>
  <c r="G1110" i="11"/>
  <c r="G1109" i="11"/>
  <c r="G1108" i="11"/>
  <c r="G1107" i="11"/>
  <c r="G1106" i="11"/>
  <c r="G1105" i="11"/>
  <c r="G1104" i="11"/>
  <c r="G1103" i="11"/>
  <c r="G1102" i="11"/>
  <c r="G1101" i="11"/>
  <c r="G1100" i="11"/>
  <c r="G1099" i="11"/>
  <c r="G1098" i="11"/>
  <c r="G1097" i="11"/>
  <c r="G1096" i="11"/>
  <c r="G1095" i="11"/>
  <c r="G1094" i="11"/>
  <c r="G1093" i="11"/>
  <c r="G1092" i="11"/>
  <c r="G1091" i="11"/>
  <c r="G1090" i="11"/>
  <c r="G1089" i="11"/>
  <c r="G1088" i="11"/>
  <c r="G1087" i="11"/>
  <c r="G1086" i="11"/>
  <c r="G1085" i="11"/>
  <c r="G1084" i="11"/>
  <c r="G1083" i="11"/>
  <c r="G1082" i="11"/>
  <c r="G1081" i="11"/>
  <c r="G1080" i="11"/>
  <c r="G1079" i="11"/>
  <c r="G1078" i="11"/>
  <c r="G1077" i="11"/>
  <c r="G1076" i="11"/>
  <c r="G1075" i="11"/>
  <c r="G1074" i="11"/>
  <c r="G1073" i="11"/>
  <c r="G1072" i="11"/>
  <c r="G1071" i="11"/>
  <c r="G1070" i="11"/>
  <c r="G1069" i="11"/>
  <c r="G1068" i="11"/>
  <c r="G1067" i="11"/>
  <c r="G1066" i="11"/>
  <c r="G1065" i="11"/>
  <c r="G1064" i="11"/>
  <c r="G1063" i="11"/>
  <c r="G1062" i="11"/>
  <c r="G1061" i="11"/>
  <c r="G1060" i="11"/>
  <c r="G1059" i="11"/>
  <c r="G1058" i="11"/>
  <c r="G1057" i="11"/>
  <c r="G1056" i="11"/>
  <c r="G1055" i="11"/>
  <c r="G1054" i="11"/>
  <c r="G1053" i="11"/>
  <c r="G1052" i="11"/>
  <c r="G1051" i="11"/>
  <c r="G1050" i="11"/>
  <c r="G1049" i="11"/>
  <c r="G1048" i="11"/>
  <c r="G1047" i="11"/>
  <c r="G1046" i="11"/>
  <c r="G1045" i="11"/>
  <c r="G1044" i="11"/>
  <c r="G1043" i="11"/>
  <c r="G1042" i="11"/>
  <c r="G1041" i="11"/>
  <c r="G1040" i="11"/>
  <c r="G1039" i="11"/>
  <c r="G1038" i="11"/>
  <c r="G1037" i="11"/>
  <c r="G1036" i="11"/>
  <c r="G1035" i="11"/>
  <c r="G1034" i="11"/>
  <c r="G1033" i="11"/>
  <c r="G1032" i="11"/>
  <c r="G1031" i="11"/>
  <c r="G1030" i="11"/>
  <c r="G1029" i="11"/>
  <c r="G1028" i="11"/>
  <c r="G1027" i="11"/>
  <c r="G1026" i="11"/>
  <c r="G1025" i="11"/>
  <c r="G1024" i="11"/>
  <c r="G1023" i="11"/>
  <c r="G1022" i="11"/>
  <c r="G1021" i="11"/>
  <c r="G1020" i="11"/>
  <c r="G1019" i="11"/>
  <c r="G1018" i="11"/>
  <c r="G1017" i="11"/>
  <c r="G1016" i="11"/>
  <c r="G1015" i="11"/>
  <c r="G1014" i="11"/>
  <c r="G1013" i="11"/>
  <c r="G1012" i="11"/>
  <c r="G1011" i="11"/>
  <c r="G1010" i="11"/>
  <c r="G1009" i="11"/>
  <c r="G1008" i="11"/>
  <c r="G1007" i="11"/>
  <c r="G1006" i="11"/>
  <c r="G1005" i="11"/>
  <c r="G1004" i="11"/>
  <c r="G1003" i="11"/>
  <c r="G1002" i="11"/>
  <c r="G1001" i="11"/>
  <c r="G1000" i="11"/>
  <c r="G999" i="11"/>
  <c r="G998" i="11"/>
  <c r="G997" i="11"/>
  <c r="G996" i="11"/>
  <c r="G995" i="11"/>
  <c r="G994" i="11"/>
  <c r="G993" i="11"/>
  <c r="G992" i="11"/>
  <c r="G991" i="11"/>
  <c r="G990" i="11"/>
  <c r="G989" i="11"/>
  <c r="G988" i="11"/>
  <c r="G987" i="11"/>
  <c r="G986" i="11"/>
  <c r="G985" i="11"/>
  <c r="G984" i="11"/>
  <c r="G983" i="11"/>
  <c r="G982" i="11"/>
  <c r="G981" i="11"/>
  <c r="G980" i="11"/>
  <c r="G979" i="11"/>
  <c r="G978" i="11"/>
  <c r="G977" i="11"/>
  <c r="G976" i="11"/>
  <c r="G975" i="11"/>
  <c r="G974" i="11"/>
  <c r="G973" i="11"/>
  <c r="G972" i="11"/>
  <c r="G971" i="11"/>
  <c r="G970" i="11"/>
  <c r="G969" i="11"/>
  <c r="G968" i="11"/>
  <c r="G967" i="11"/>
  <c r="G966" i="11"/>
  <c r="G965" i="11"/>
  <c r="G964" i="11"/>
  <c r="G963" i="11"/>
  <c r="G962" i="11"/>
  <c r="G961" i="11"/>
  <c r="G960" i="11"/>
  <c r="G959" i="11"/>
  <c r="G958" i="11"/>
  <c r="G957" i="11"/>
  <c r="G956" i="11"/>
  <c r="G955" i="11"/>
  <c r="G954" i="11"/>
  <c r="G953" i="11"/>
  <c r="G952" i="11"/>
  <c r="G951" i="11"/>
  <c r="G950" i="11"/>
  <c r="G949" i="11"/>
  <c r="G948" i="11"/>
  <c r="G947" i="11"/>
  <c r="G946" i="11"/>
  <c r="G945" i="11"/>
  <c r="G944" i="11"/>
  <c r="G943" i="11"/>
  <c r="G942" i="11"/>
  <c r="G941" i="11"/>
  <c r="G940" i="11"/>
  <c r="G939" i="11"/>
  <c r="G938" i="11"/>
  <c r="G937" i="11"/>
  <c r="G936" i="11"/>
  <c r="G935" i="11"/>
  <c r="G934" i="11"/>
  <c r="G933" i="11"/>
  <c r="G932" i="11"/>
  <c r="G931" i="11"/>
  <c r="G930" i="11"/>
  <c r="G929" i="11"/>
  <c r="G928" i="11"/>
  <c r="G927" i="11"/>
  <c r="G926" i="11"/>
  <c r="G925" i="11"/>
  <c r="G924" i="11"/>
  <c r="G923" i="11"/>
  <c r="G922" i="11"/>
  <c r="G921" i="11"/>
  <c r="G920" i="11"/>
  <c r="G919" i="11"/>
  <c r="G918" i="11"/>
  <c r="G917" i="11"/>
  <c r="G916" i="11"/>
  <c r="G915" i="11"/>
  <c r="G914" i="11"/>
  <c r="G913" i="11"/>
  <c r="G912" i="11"/>
  <c r="G911" i="11"/>
  <c r="G910" i="11"/>
  <c r="G909" i="11"/>
  <c r="G908" i="11"/>
  <c r="G907" i="11"/>
  <c r="G906" i="11"/>
  <c r="G905" i="11"/>
  <c r="G904" i="11"/>
  <c r="G903" i="11"/>
  <c r="G902" i="11"/>
  <c r="G901" i="11"/>
  <c r="G900" i="11"/>
  <c r="G899" i="11"/>
  <c r="G898" i="11"/>
  <c r="G897" i="11"/>
  <c r="G896" i="11"/>
  <c r="G895" i="11"/>
  <c r="G894" i="11"/>
  <c r="G893" i="11"/>
  <c r="G892" i="11"/>
  <c r="G891" i="11"/>
  <c r="G890" i="11"/>
  <c r="G889" i="11"/>
  <c r="G888" i="11"/>
  <c r="G887" i="11"/>
  <c r="G886" i="11"/>
  <c r="G885" i="11"/>
  <c r="G884" i="11"/>
  <c r="G883" i="11"/>
  <c r="G882" i="11"/>
  <c r="G881" i="11"/>
  <c r="G880" i="11"/>
  <c r="G879" i="11"/>
  <c r="G878" i="11"/>
  <c r="G877" i="11"/>
  <c r="G876" i="11"/>
  <c r="G875" i="11"/>
  <c r="G874" i="11"/>
  <c r="G873" i="11"/>
  <c r="G872" i="11"/>
  <c r="G871" i="11"/>
  <c r="G870" i="11"/>
  <c r="G869" i="11"/>
  <c r="G868" i="11"/>
  <c r="G867" i="11"/>
  <c r="G866" i="11"/>
  <c r="G865" i="11"/>
  <c r="G864" i="11"/>
  <c r="G863" i="11"/>
  <c r="G862" i="11"/>
  <c r="G861" i="11"/>
  <c r="G860" i="11"/>
  <c r="G859" i="11"/>
  <c r="G858" i="11"/>
  <c r="G857" i="11"/>
  <c r="G856" i="11"/>
  <c r="G855" i="11"/>
  <c r="G854" i="11"/>
  <c r="G853" i="11"/>
  <c r="G852" i="11"/>
  <c r="G851" i="11"/>
  <c r="G850" i="11"/>
  <c r="G849" i="11"/>
  <c r="G848" i="11"/>
  <c r="G847" i="11"/>
  <c r="G846" i="11"/>
  <c r="G845" i="11"/>
  <c r="G844" i="11"/>
  <c r="G843" i="11"/>
  <c r="G842" i="11"/>
  <c r="G841" i="11"/>
  <c r="G840" i="11"/>
  <c r="G839" i="11"/>
  <c r="G838" i="11"/>
  <c r="G837" i="11"/>
  <c r="G836" i="11"/>
  <c r="G835" i="11"/>
  <c r="G834" i="11"/>
  <c r="G833" i="11"/>
  <c r="G832" i="11"/>
  <c r="G831" i="11"/>
  <c r="G830" i="11"/>
  <c r="G829" i="11"/>
  <c r="G828" i="11"/>
  <c r="G827" i="11"/>
  <c r="G826" i="11"/>
  <c r="G825" i="11"/>
  <c r="G824" i="11"/>
  <c r="G823" i="11"/>
  <c r="G822" i="11"/>
  <c r="G821" i="11"/>
  <c r="G820" i="11"/>
  <c r="G819" i="11"/>
  <c r="G818" i="11"/>
  <c r="G817" i="11"/>
  <c r="G816" i="11"/>
  <c r="G815" i="11"/>
  <c r="G814" i="11"/>
  <c r="G813" i="11"/>
  <c r="G812" i="11"/>
  <c r="G811" i="11"/>
  <c r="G810" i="11"/>
  <c r="G809" i="11"/>
  <c r="G808" i="11"/>
  <c r="G807" i="11"/>
  <c r="G806" i="11"/>
  <c r="G805" i="11"/>
  <c r="G804" i="11"/>
  <c r="G803" i="11"/>
  <c r="G802" i="11"/>
  <c r="G801" i="11"/>
  <c r="G800" i="11"/>
  <c r="G799" i="11"/>
  <c r="G798" i="11"/>
  <c r="G797" i="11"/>
  <c r="G796" i="11"/>
  <c r="G795" i="11"/>
  <c r="G794" i="11"/>
  <c r="G793" i="11"/>
  <c r="G792" i="11"/>
  <c r="G791" i="11"/>
  <c r="G790" i="11"/>
  <c r="G789" i="11"/>
  <c r="G788" i="11"/>
  <c r="G787" i="11"/>
  <c r="G786" i="11"/>
  <c r="G785" i="11"/>
  <c r="G784" i="11"/>
  <c r="G783" i="11"/>
  <c r="G782" i="11"/>
  <c r="G781" i="11"/>
  <c r="G780" i="11"/>
  <c r="G779" i="11"/>
  <c r="G778" i="11"/>
  <c r="G777" i="11"/>
  <c r="G776" i="11"/>
  <c r="G775" i="11"/>
  <c r="G774" i="11"/>
  <c r="G773" i="11"/>
  <c r="G772" i="11"/>
  <c r="G771" i="11"/>
  <c r="G770" i="11"/>
  <c r="G769" i="11"/>
  <c r="G768" i="11"/>
  <c r="G767" i="11"/>
  <c r="G766" i="11"/>
  <c r="G765" i="11"/>
  <c r="G764" i="11"/>
  <c r="G763" i="11"/>
  <c r="G762" i="11"/>
  <c r="G761" i="11"/>
  <c r="G760" i="11"/>
  <c r="G759" i="11"/>
  <c r="G758" i="11"/>
  <c r="G757" i="11"/>
  <c r="G756" i="11"/>
  <c r="G755" i="11"/>
  <c r="G754" i="11"/>
  <c r="G753" i="11"/>
  <c r="G752" i="11"/>
  <c r="G751" i="11"/>
  <c r="G750" i="11"/>
  <c r="G749" i="11"/>
  <c r="G748" i="11"/>
  <c r="G747" i="11"/>
  <c r="G746" i="11"/>
  <c r="G745" i="11"/>
  <c r="G744" i="11"/>
  <c r="G743" i="11"/>
  <c r="G742" i="11"/>
  <c r="G741" i="11"/>
  <c r="G740" i="11"/>
  <c r="G739" i="11"/>
  <c r="G738" i="11"/>
  <c r="G737" i="11"/>
  <c r="G736" i="11"/>
  <c r="G735" i="11"/>
  <c r="G734" i="11"/>
  <c r="G733" i="11"/>
  <c r="G732" i="11"/>
  <c r="G731" i="11"/>
  <c r="G730" i="11"/>
  <c r="G729" i="11"/>
  <c r="G728" i="11"/>
  <c r="G727" i="11"/>
  <c r="G726" i="11"/>
  <c r="G725" i="11"/>
  <c r="G724" i="11"/>
  <c r="G723" i="11"/>
  <c r="G722" i="11"/>
  <c r="G721" i="11"/>
  <c r="G720" i="11"/>
  <c r="G719" i="11"/>
  <c r="G718" i="11"/>
  <c r="G717" i="11"/>
  <c r="G716" i="11"/>
  <c r="G715" i="11"/>
  <c r="G714" i="11"/>
  <c r="G713" i="11"/>
  <c r="G712" i="11"/>
  <c r="G711" i="11"/>
  <c r="G710" i="11"/>
  <c r="G709" i="11"/>
  <c r="G708" i="11"/>
  <c r="G707" i="11"/>
  <c r="G706" i="11"/>
  <c r="G705" i="11"/>
  <c r="G704" i="11"/>
  <c r="G703" i="11"/>
  <c r="G702" i="11"/>
  <c r="G701" i="11"/>
  <c r="G700" i="11"/>
  <c r="G699" i="11"/>
  <c r="G698" i="11"/>
  <c r="G697" i="11"/>
  <c r="G696" i="11"/>
  <c r="G695" i="11"/>
  <c r="G694" i="11"/>
  <c r="G693" i="11"/>
  <c r="G692" i="11"/>
  <c r="G691" i="11"/>
  <c r="G690" i="11"/>
  <c r="G689" i="11"/>
  <c r="G688" i="11"/>
  <c r="G687" i="11"/>
  <c r="G686" i="11"/>
  <c r="G685" i="11"/>
  <c r="G684" i="11"/>
  <c r="G683" i="11"/>
  <c r="G682" i="11"/>
  <c r="G681" i="11"/>
  <c r="G680" i="11"/>
  <c r="G679" i="11"/>
  <c r="G678" i="11"/>
  <c r="G677" i="11"/>
  <c r="G676" i="11"/>
  <c r="G675" i="11"/>
  <c r="G674" i="11"/>
  <c r="G673" i="11"/>
  <c r="G672" i="11"/>
  <c r="G671" i="11"/>
  <c r="G670" i="11"/>
  <c r="G669" i="11"/>
  <c r="G668" i="11"/>
  <c r="G667" i="11"/>
  <c r="G666" i="11"/>
  <c r="G665" i="11"/>
  <c r="G664" i="11"/>
  <c r="G663" i="11"/>
  <c r="G662" i="11"/>
  <c r="G661" i="11"/>
  <c r="G660" i="11"/>
  <c r="G659" i="11"/>
  <c r="G658" i="11"/>
  <c r="G657" i="11"/>
  <c r="G656" i="11"/>
  <c r="G655" i="11"/>
  <c r="G654" i="11"/>
  <c r="G653" i="11"/>
  <c r="G652" i="11"/>
  <c r="G651" i="11"/>
  <c r="G650" i="11"/>
  <c r="G649" i="11"/>
  <c r="G648" i="11"/>
  <c r="G647" i="11"/>
  <c r="G646" i="11"/>
  <c r="G645" i="11"/>
  <c r="G644" i="11"/>
  <c r="G643" i="11"/>
  <c r="G642" i="11"/>
  <c r="G641" i="11"/>
  <c r="G640" i="11"/>
  <c r="G639" i="11"/>
  <c r="G638" i="11"/>
  <c r="G637" i="11"/>
  <c r="G636" i="11"/>
  <c r="G635" i="11"/>
  <c r="G634" i="11"/>
  <c r="G633" i="11"/>
  <c r="G632" i="11"/>
  <c r="G631" i="11"/>
  <c r="G630" i="11"/>
  <c r="G629" i="11"/>
  <c r="G628" i="11"/>
  <c r="G627" i="11"/>
  <c r="G626" i="11"/>
  <c r="G625" i="11"/>
  <c r="G624" i="11"/>
  <c r="G623" i="11"/>
  <c r="G622" i="11"/>
  <c r="G621" i="11"/>
  <c r="G620" i="11"/>
  <c r="G619" i="11"/>
  <c r="G618" i="11"/>
  <c r="G617" i="11"/>
  <c r="G616" i="11"/>
  <c r="G615" i="11"/>
  <c r="G614" i="11"/>
  <c r="G613" i="11"/>
  <c r="G612" i="11"/>
  <c r="G611" i="11"/>
  <c r="G610" i="11"/>
  <c r="G609" i="11"/>
  <c r="G608" i="11"/>
  <c r="G607" i="11"/>
  <c r="G606" i="11"/>
  <c r="G605" i="11"/>
  <c r="G604" i="11"/>
  <c r="G603" i="11"/>
  <c r="G602" i="11"/>
  <c r="G601" i="11"/>
  <c r="G600" i="11"/>
  <c r="G599" i="11"/>
  <c r="G598" i="11"/>
  <c r="G597" i="11"/>
  <c r="G596" i="11"/>
  <c r="G595" i="11"/>
  <c r="G594" i="11"/>
  <c r="G593" i="11"/>
  <c r="G592" i="11"/>
  <c r="G591" i="11"/>
  <c r="G590" i="11"/>
  <c r="G589" i="11"/>
  <c r="G588" i="11"/>
  <c r="G587" i="11"/>
  <c r="G586" i="11"/>
  <c r="G585" i="11"/>
  <c r="G584" i="11"/>
  <c r="G583" i="11"/>
  <c r="G582" i="11"/>
  <c r="G581" i="11"/>
  <c r="G580" i="11"/>
  <c r="G579" i="11"/>
  <c r="G578" i="11"/>
  <c r="G577" i="11"/>
  <c r="G576" i="11"/>
  <c r="G575" i="11"/>
  <c r="G574" i="11"/>
  <c r="G573" i="11"/>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4" i="11"/>
  <c r="J83" i="9"/>
  <c r="G83" i="9"/>
  <c r="J82" i="9"/>
  <c r="G82" i="9"/>
  <c r="J81" i="9"/>
  <c r="G81" i="9"/>
  <c r="J80" i="9"/>
  <c r="G80" i="9"/>
  <c r="J79" i="9"/>
  <c r="G79" i="9"/>
  <c r="J78" i="9"/>
  <c r="G78" i="9"/>
  <c r="J77" i="9"/>
  <c r="G77" i="9"/>
  <c r="J76" i="9"/>
  <c r="G76" i="9"/>
  <c r="J75" i="9"/>
  <c r="G75" i="9"/>
  <c r="J74" i="9"/>
  <c r="G74" i="9"/>
  <c r="J73" i="9"/>
  <c r="G73" i="9"/>
  <c r="J72" i="9"/>
  <c r="G72" i="9"/>
  <c r="J71" i="9"/>
  <c r="G71" i="9"/>
  <c r="J70" i="9"/>
  <c r="G70" i="9"/>
  <c r="J69" i="9"/>
  <c r="G69" i="9"/>
  <c r="J68" i="9"/>
  <c r="G68" i="9"/>
  <c r="J67" i="9"/>
  <c r="G67" i="9"/>
  <c r="J66" i="9"/>
  <c r="G66" i="9"/>
  <c r="J65" i="9"/>
  <c r="G65" i="9"/>
  <c r="J64" i="9"/>
  <c r="G64" i="9"/>
  <c r="J63" i="9"/>
  <c r="G63" i="9"/>
  <c r="J62" i="9"/>
  <c r="G62" i="9"/>
  <c r="J61" i="9"/>
  <c r="G61" i="9"/>
  <c r="J60" i="9"/>
  <c r="G60" i="9"/>
  <c r="J59" i="9"/>
  <c r="G59" i="9"/>
  <c r="J58" i="9"/>
  <c r="G58" i="9"/>
  <c r="J57" i="9"/>
  <c r="G57" i="9"/>
  <c r="J56" i="9"/>
  <c r="G56" i="9"/>
  <c r="J55" i="9"/>
  <c r="G55" i="9"/>
  <c r="J54" i="9"/>
  <c r="G54" i="9"/>
  <c r="J53" i="9"/>
  <c r="G53" i="9"/>
  <c r="J52" i="9"/>
  <c r="G52" i="9"/>
  <c r="J51" i="9"/>
  <c r="G51" i="9"/>
  <c r="J50" i="9"/>
  <c r="G50" i="9"/>
  <c r="J49" i="9"/>
  <c r="G49" i="9"/>
  <c r="J48" i="9"/>
  <c r="G48" i="9"/>
  <c r="J47" i="9"/>
  <c r="G47" i="9"/>
  <c r="J46" i="9"/>
  <c r="G46" i="9"/>
  <c r="J45" i="9"/>
  <c r="G45" i="9"/>
  <c r="J44" i="9"/>
  <c r="G44" i="9"/>
  <c r="J43" i="9"/>
  <c r="G43" i="9"/>
  <c r="J42" i="9"/>
  <c r="G42" i="9"/>
  <c r="J41" i="9"/>
  <c r="G41" i="9"/>
  <c r="J40" i="9"/>
  <c r="G40" i="9"/>
  <c r="J39" i="9"/>
  <c r="G39" i="9"/>
  <c r="J38" i="9"/>
  <c r="G38" i="9"/>
  <c r="J37" i="9"/>
  <c r="G37" i="9"/>
  <c r="J36" i="9"/>
  <c r="G36" i="9"/>
  <c r="J35" i="9"/>
  <c r="G35" i="9"/>
  <c r="J34" i="9"/>
  <c r="G34" i="9"/>
  <c r="J33" i="9"/>
  <c r="G33" i="9"/>
  <c r="J32" i="9"/>
  <c r="G32" i="9"/>
  <c r="J31" i="9"/>
  <c r="G31" i="9"/>
  <c r="J30" i="9"/>
  <c r="G30" i="9"/>
  <c r="J29" i="9"/>
  <c r="G29" i="9"/>
  <c r="J28" i="9"/>
  <c r="G28" i="9"/>
  <c r="J27" i="9"/>
  <c r="G27" i="9"/>
  <c r="J26" i="9"/>
  <c r="G26" i="9"/>
  <c r="J25" i="9"/>
  <c r="G25" i="9"/>
  <c r="J24" i="9"/>
  <c r="G24" i="9"/>
  <c r="J23" i="9"/>
  <c r="G23" i="9"/>
  <c r="J22" i="9"/>
  <c r="G22" i="9"/>
  <c r="J21" i="9"/>
  <c r="G21" i="9"/>
  <c r="J20" i="9"/>
  <c r="G20" i="9"/>
  <c r="J19" i="9"/>
  <c r="G19" i="9"/>
  <c r="J18" i="9"/>
  <c r="G18" i="9"/>
  <c r="J17" i="9"/>
  <c r="G17" i="9"/>
  <c r="J16" i="9"/>
  <c r="G16" i="9"/>
  <c r="J15" i="9"/>
  <c r="G15" i="9"/>
  <c r="J14" i="9"/>
  <c r="G14" i="9"/>
  <c r="J13" i="9"/>
  <c r="G13" i="9"/>
  <c r="J12" i="9"/>
  <c r="G12" i="9"/>
  <c r="J11" i="9"/>
  <c r="G11" i="9"/>
  <c r="J10" i="9"/>
  <c r="G10" i="9"/>
  <c r="J9" i="9"/>
  <c r="G9" i="9"/>
  <c r="J8" i="9"/>
  <c r="G8" i="9"/>
  <c r="J7" i="9"/>
  <c r="G7" i="9"/>
  <c r="J6" i="9"/>
  <c r="G6" i="9"/>
  <c r="J5" i="9"/>
  <c r="G5" i="9"/>
  <c r="J4" i="9"/>
  <c r="G4" i="9"/>
  <c r="G848" i="8"/>
  <c r="G847" i="8"/>
  <c r="G846" i="8"/>
  <c r="G845" i="8"/>
  <c r="G844" i="8"/>
  <c r="G843" i="8"/>
  <c r="G842" i="8"/>
  <c r="G841" i="8"/>
  <c r="G840" i="8"/>
  <c r="G839" i="8"/>
  <c r="G838" i="8"/>
  <c r="G837" i="8"/>
  <c r="G836" i="8"/>
  <c r="G835" i="8"/>
  <c r="G834" i="8"/>
  <c r="G833" i="8"/>
  <c r="G832" i="8"/>
  <c r="G831" i="8"/>
  <c r="G830" i="8"/>
  <c r="G829" i="8"/>
  <c r="G828" i="8"/>
  <c r="G827" i="8"/>
  <c r="G826" i="8"/>
  <c r="G825" i="8"/>
  <c r="G824" i="8"/>
  <c r="G823" i="8"/>
  <c r="G822" i="8"/>
  <c r="G821" i="8"/>
  <c r="G820" i="8"/>
  <c r="G819" i="8"/>
  <c r="G818" i="8"/>
  <c r="G817" i="8"/>
  <c r="G816" i="8"/>
  <c r="G815" i="8"/>
  <c r="G814" i="8"/>
  <c r="G813" i="8"/>
  <c r="G812" i="8"/>
  <c r="G811" i="8"/>
  <c r="G810" i="8"/>
  <c r="G809" i="8"/>
  <c r="G808" i="8"/>
  <c r="G807" i="8"/>
  <c r="G806" i="8"/>
  <c r="G805" i="8"/>
  <c r="G804" i="8"/>
  <c r="G803" i="8"/>
  <c r="G802" i="8"/>
  <c r="G801" i="8"/>
  <c r="G800" i="8"/>
  <c r="G799" i="8"/>
  <c r="G798" i="8"/>
  <c r="G797" i="8"/>
  <c r="G796" i="8"/>
  <c r="G795" i="8"/>
  <c r="G794" i="8"/>
  <c r="G793" i="8"/>
  <c r="G792" i="8"/>
  <c r="G791" i="8"/>
  <c r="G790" i="8"/>
  <c r="G789" i="8"/>
  <c r="G788" i="8"/>
  <c r="G787" i="8"/>
  <c r="G786" i="8"/>
  <c r="G785" i="8"/>
  <c r="G784" i="8"/>
  <c r="G783" i="8"/>
  <c r="G782" i="8"/>
  <c r="G781" i="8"/>
  <c r="G780" i="8"/>
  <c r="G779" i="8"/>
  <c r="G778" i="8"/>
  <c r="G777" i="8"/>
  <c r="G776" i="8"/>
  <c r="G775" i="8"/>
  <c r="G774" i="8"/>
  <c r="G773" i="8"/>
  <c r="G772" i="8"/>
  <c r="G771" i="8"/>
  <c r="G770" i="8"/>
  <c r="G769" i="8"/>
  <c r="G768" i="8"/>
  <c r="G767" i="8"/>
  <c r="G766" i="8"/>
  <c r="G765" i="8"/>
  <c r="G764" i="8"/>
  <c r="G763" i="8"/>
  <c r="G762" i="8"/>
  <c r="G761" i="8"/>
  <c r="G760" i="8"/>
  <c r="G759" i="8"/>
  <c r="G758" i="8"/>
  <c r="G757" i="8"/>
  <c r="G756" i="8"/>
  <c r="G755" i="8"/>
  <c r="G754" i="8"/>
  <c r="G753" i="8"/>
  <c r="G752" i="8"/>
  <c r="G751" i="8"/>
  <c r="G750" i="8"/>
  <c r="G749" i="8"/>
  <c r="G748" i="8"/>
  <c r="G747" i="8"/>
  <c r="G746" i="8"/>
  <c r="G745" i="8"/>
  <c r="G744" i="8"/>
  <c r="G743" i="8"/>
  <c r="G742" i="8"/>
  <c r="G741" i="8"/>
  <c r="G740" i="8"/>
  <c r="G739" i="8"/>
  <c r="G738" i="8"/>
  <c r="G737" i="8"/>
  <c r="G736" i="8"/>
  <c r="G735" i="8"/>
  <c r="G734" i="8"/>
  <c r="G733" i="8"/>
  <c r="G732" i="8"/>
  <c r="G731" i="8"/>
  <c r="G730" i="8"/>
  <c r="G729" i="8"/>
  <c r="G728" i="8"/>
  <c r="G727" i="8"/>
  <c r="G726" i="8"/>
  <c r="G725" i="8"/>
  <c r="G724" i="8"/>
  <c r="G723" i="8"/>
  <c r="G722" i="8"/>
  <c r="G721" i="8"/>
  <c r="G720" i="8"/>
  <c r="G719" i="8"/>
  <c r="G718" i="8"/>
  <c r="G717" i="8"/>
  <c r="G716" i="8"/>
  <c r="G715" i="8"/>
  <c r="G714" i="8"/>
  <c r="G713" i="8"/>
  <c r="G712" i="8"/>
  <c r="G711" i="8"/>
  <c r="G710" i="8"/>
  <c r="G709" i="8"/>
  <c r="G708" i="8"/>
  <c r="G707" i="8"/>
  <c r="G706" i="8"/>
  <c r="G705" i="8"/>
  <c r="G704" i="8"/>
  <c r="G703" i="8"/>
  <c r="G702" i="8"/>
  <c r="G701" i="8"/>
  <c r="G700" i="8"/>
  <c r="G699" i="8"/>
  <c r="G698" i="8"/>
  <c r="G697" i="8"/>
  <c r="G696" i="8"/>
  <c r="G695" i="8"/>
  <c r="G694" i="8"/>
  <c r="G693" i="8"/>
  <c r="G692" i="8"/>
  <c r="G691" i="8"/>
  <c r="G690" i="8"/>
  <c r="G689" i="8"/>
  <c r="G688" i="8"/>
  <c r="G687" i="8"/>
  <c r="G686" i="8"/>
  <c r="G685" i="8"/>
  <c r="G684" i="8"/>
  <c r="G683" i="8"/>
  <c r="G682" i="8"/>
  <c r="G681" i="8"/>
  <c r="G680" i="8"/>
  <c r="G679" i="8"/>
  <c r="G678" i="8"/>
  <c r="G677" i="8"/>
  <c r="G676" i="8"/>
  <c r="G675" i="8"/>
  <c r="G674" i="8"/>
  <c r="G673" i="8"/>
  <c r="G672" i="8"/>
  <c r="G671" i="8"/>
  <c r="G670"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917" i="7"/>
  <c r="G916" i="7"/>
  <c r="G915" i="7"/>
  <c r="G914" i="7"/>
  <c r="G913" i="7"/>
  <c r="G912" i="7"/>
  <c r="G911" i="7"/>
  <c r="G910" i="7"/>
  <c r="G909" i="7"/>
  <c r="G908" i="7"/>
  <c r="G907" i="7"/>
  <c r="G906" i="7"/>
  <c r="G905" i="7"/>
  <c r="G904" i="7"/>
  <c r="G903" i="7"/>
  <c r="G902" i="7"/>
  <c r="G901" i="7"/>
  <c r="G900" i="7"/>
  <c r="G899" i="7"/>
  <c r="G898" i="7"/>
  <c r="G897" i="7"/>
  <c r="G896" i="7"/>
  <c r="G895" i="7"/>
  <c r="G894" i="7"/>
  <c r="G893" i="7"/>
  <c r="G892" i="7"/>
  <c r="G891" i="7"/>
  <c r="G890" i="7"/>
  <c r="G889" i="7"/>
  <c r="G888" i="7"/>
  <c r="G887" i="7"/>
  <c r="G886" i="7"/>
  <c r="G885" i="7"/>
  <c r="G884" i="7"/>
  <c r="G883" i="7"/>
  <c r="G882" i="7"/>
  <c r="G881" i="7"/>
  <c r="G880" i="7"/>
  <c r="G879" i="7"/>
  <c r="G878" i="7"/>
  <c r="G877" i="7"/>
  <c r="G876" i="7"/>
  <c r="G875" i="7"/>
  <c r="G874" i="7"/>
  <c r="G873" i="7"/>
  <c r="G872" i="7"/>
  <c r="G871" i="7"/>
  <c r="G870" i="7"/>
  <c r="G869" i="7"/>
  <c r="G868" i="7"/>
  <c r="G867" i="7"/>
  <c r="G866" i="7"/>
  <c r="G865" i="7"/>
  <c r="G864" i="7"/>
  <c r="G863" i="7"/>
  <c r="G862" i="7"/>
  <c r="G861" i="7"/>
  <c r="G860" i="7"/>
  <c r="G859" i="7"/>
  <c r="G858" i="7"/>
  <c r="G857" i="7"/>
  <c r="G856" i="7"/>
  <c r="G855" i="7"/>
  <c r="G854" i="7"/>
  <c r="G853" i="7"/>
  <c r="G852" i="7"/>
  <c r="G851" i="7"/>
  <c r="G850" i="7"/>
  <c r="G849" i="7"/>
  <c r="G848" i="7"/>
  <c r="G847" i="7"/>
  <c r="G846" i="7"/>
  <c r="G845" i="7"/>
  <c r="G844" i="7"/>
  <c r="G843" i="7"/>
  <c r="G842" i="7"/>
  <c r="G841" i="7"/>
  <c r="G840" i="7"/>
  <c r="G839" i="7"/>
  <c r="G838" i="7"/>
  <c r="G837" i="7"/>
  <c r="G836" i="7"/>
  <c r="G835" i="7"/>
  <c r="G834" i="7"/>
  <c r="G833" i="7"/>
  <c r="G832" i="7"/>
  <c r="G831" i="7"/>
  <c r="G830" i="7"/>
  <c r="G829" i="7"/>
  <c r="G828" i="7"/>
  <c r="G827" i="7"/>
  <c r="G826" i="7"/>
  <c r="G825" i="7"/>
  <c r="G824" i="7"/>
  <c r="G823" i="7"/>
  <c r="G822" i="7"/>
  <c r="G821" i="7"/>
  <c r="G820" i="7"/>
  <c r="G819" i="7"/>
  <c r="G818" i="7"/>
  <c r="G817" i="7"/>
  <c r="G816" i="7"/>
  <c r="G815" i="7"/>
  <c r="G814" i="7"/>
  <c r="G813" i="7"/>
  <c r="G812" i="7"/>
  <c r="G811" i="7"/>
  <c r="G810"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690" i="7"/>
  <c r="G689" i="7"/>
  <c r="G688" i="7"/>
  <c r="G687" i="7"/>
  <c r="G686" i="7"/>
  <c r="G685" i="7"/>
  <c r="G684" i="7"/>
  <c r="G683" i="7"/>
  <c r="G682" i="7"/>
  <c r="G681" i="7"/>
  <c r="G680" i="7"/>
  <c r="G679" i="7"/>
  <c r="G678" i="7"/>
  <c r="G677" i="7"/>
  <c r="G676" i="7"/>
  <c r="G675" i="7"/>
  <c r="G674" i="7"/>
  <c r="G673" i="7"/>
  <c r="G672" i="7"/>
  <c r="G671" i="7"/>
  <c r="G670" i="7"/>
  <c r="G669" i="7"/>
  <c r="G668" i="7"/>
  <c r="G667" i="7"/>
  <c r="G666" i="7"/>
  <c r="G665" i="7"/>
  <c r="G664" i="7"/>
  <c r="G663" i="7"/>
  <c r="G662" i="7"/>
  <c r="G661" i="7"/>
  <c r="G660" i="7"/>
  <c r="G659" i="7"/>
  <c r="G658" i="7"/>
  <c r="G657" i="7"/>
  <c r="G656" i="7"/>
  <c r="G655" i="7"/>
  <c r="G654" i="7"/>
  <c r="G653" i="7"/>
  <c r="G652" i="7"/>
  <c r="G651" i="7"/>
  <c r="G650" i="7"/>
  <c r="G649" i="7"/>
  <c r="G648" i="7"/>
  <c r="G647" i="7"/>
  <c r="G646" i="7"/>
  <c r="G645" i="7"/>
  <c r="G644" i="7"/>
  <c r="G643" i="7"/>
  <c r="G642" i="7"/>
  <c r="G641" i="7"/>
  <c r="G640" i="7"/>
  <c r="G639" i="7"/>
  <c r="G638" i="7"/>
  <c r="G637" i="7"/>
  <c r="G636" i="7"/>
  <c r="G635" i="7"/>
  <c r="G634" i="7"/>
  <c r="G633" i="7"/>
  <c r="G632" i="7"/>
  <c r="G631" i="7"/>
  <c r="G630" i="7"/>
  <c r="G629" i="7"/>
  <c r="G628" i="7"/>
  <c r="G627" i="7"/>
  <c r="G626" i="7"/>
  <c r="G625" i="7"/>
  <c r="G624" i="7"/>
  <c r="G623" i="7"/>
  <c r="G622" i="7"/>
  <c r="G621" i="7"/>
  <c r="G620" i="7"/>
  <c r="G619" i="7"/>
  <c r="G618" i="7"/>
  <c r="G617" i="7"/>
  <c r="G616" i="7"/>
  <c r="G615" i="7"/>
  <c r="G614" i="7"/>
  <c r="G613" i="7"/>
  <c r="G612" i="7"/>
  <c r="G611" i="7"/>
  <c r="G610" i="7"/>
  <c r="G609" i="7"/>
  <c r="G608" i="7"/>
  <c r="G607" i="7"/>
  <c r="G606" i="7"/>
  <c r="G605" i="7"/>
  <c r="G604" i="7"/>
  <c r="G603" i="7"/>
  <c r="G602" i="7"/>
  <c r="G601" i="7"/>
  <c r="G600" i="7"/>
  <c r="G599" i="7"/>
  <c r="G598" i="7"/>
  <c r="G597" i="7"/>
  <c r="G596" i="7"/>
  <c r="G595" i="7"/>
  <c r="G594" i="7"/>
  <c r="G593" i="7"/>
  <c r="G592" i="7"/>
  <c r="G591" i="7"/>
  <c r="G590" i="7"/>
  <c r="G589" i="7"/>
  <c r="G588" i="7"/>
  <c r="G587" i="7"/>
  <c r="G586" i="7"/>
  <c r="G585" i="7"/>
  <c r="G584" i="7"/>
  <c r="G583" i="7"/>
  <c r="G582" i="7"/>
  <c r="G581" i="7"/>
  <c r="G580" i="7"/>
  <c r="G579" i="7"/>
  <c r="G578" i="7"/>
  <c r="G577" i="7"/>
  <c r="G576" i="7"/>
  <c r="G575" i="7"/>
  <c r="G574" i="7"/>
  <c r="G573" i="7"/>
  <c r="G572" i="7"/>
  <c r="G571" i="7"/>
  <c r="G570" i="7"/>
  <c r="G569" i="7"/>
  <c r="G568" i="7"/>
  <c r="G567" i="7"/>
  <c r="G566" i="7"/>
  <c r="G565" i="7"/>
  <c r="G564" i="7"/>
  <c r="G563" i="7"/>
  <c r="G562" i="7"/>
  <c r="G561" i="7"/>
  <c r="G560" i="7"/>
  <c r="G559" i="7"/>
  <c r="G558" i="7"/>
  <c r="G557" i="7"/>
  <c r="G556" i="7"/>
  <c r="G555" i="7"/>
  <c r="G554" i="7"/>
  <c r="G553" i="7"/>
  <c r="G552" i="7"/>
  <c r="G551" i="7"/>
  <c r="G550" i="7"/>
  <c r="G549" i="7"/>
  <c r="G548" i="7"/>
  <c r="G547" i="7"/>
  <c r="G546" i="7"/>
  <c r="G545" i="7"/>
  <c r="G544" i="7"/>
  <c r="G543" i="7"/>
  <c r="G542" i="7"/>
  <c r="G541" i="7"/>
  <c r="G540" i="7"/>
  <c r="G539" i="7"/>
  <c r="G538" i="7"/>
  <c r="G537" i="7"/>
  <c r="G536" i="7"/>
  <c r="G535" i="7"/>
  <c r="G534" i="7"/>
  <c r="G533" i="7"/>
  <c r="G532" i="7"/>
  <c r="G531" i="7"/>
  <c r="G530" i="7"/>
  <c r="G529" i="7"/>
  <c r="G528" i="7"/>
  <c r="G527" i="7"/>
  <c r="G526" i="7"/>
  <c r="G525" i="7"/>
  <c r="G524" i="7"/>
  <c r="G523" i="7"/>
  <c r="G522" i="7"/>
  <c r="G521" i="7"/>
  <c r="G520" i="7"/>
  <c r="G519" i="7"/>
  <c r="G518" i="7"/>
  <c r="G517" i="7"/>
  <c r="G516" i="7"/>
  <c r="G515" i="7"/>
  <c r="G514" i="7"/>
  <c r="G513" i="7"/>
  <c r="G512" i="7"/>
  <c r="G511" i="7"/>
  <c r="G510" i="7"/>
  <c r="G509" i="7"/>
  <c r="G508" i="7"/>
  <c r="G507" i="7"/>
  <c r="G506" i="7"/>
  <c r="G505" i="7"/>
  <c r="G504" i="7"/>
  <c r="G503" i="7"/>
  <c r="G502" i="7"/>
  <c r="G501" i="7"/>
  <c r="G500" i="7"/>
  <c r="G499" i="7"/>
  <c r="G498" i="7"/>
  <c r="G497" i="7"/>
  <c r="G496" i="7"/>
  <c r="G495" i="7"/>
  <c r="G494" i="7"/>
  <c r="G493" i="7"/>
  <c r="G492" i="7"/>
  <c r="G491" i="7"/>
  <c r="G490" i="7"/>
  <c r="G489" i="7"/>
  <c r="G488" i="7"/>
  <c r="G487" i="7"/>
  <c r="G486" i="7"/>
  <c r="G485" i="7"/>
  <c r="G484" i="7"/>
  <c r="G483" i="7"/>
  <c r="G482" i="7"/>
  <c r="G481" i="7"/>
  <c r="G480" i="7"/>
  <c r="G479" i="7"/>
  <c r="G478" i="7"/>
  <c r="G477" i="7"/>
  <c r="G476" i="7"/>
  <c r="G475" i="7"/>
  <c r="G474" i="7"/>
  <c r="G473" i="7"/>
  <c r="G472" i="7"/>
  <c r="G471" i="7"/>
  <c r="G470" i="7"/>
  <c r="G469" i="7"/>
  <c r="G468" i="7"/>
  <c r="G467" i="7"/>
  <c r="G466" i="7"/>
  <c r="G465" i="7"/>
  <c r="G464" i="7"/>
  <c r="G463" i="7"/>
  <c r="G462" i="7"/>
  <c r="G461" i="7"/>
  <c r="G460" i="7"/>
  <c r="G459" i="7"/>
  <c r="G458" i="7"/>
  <c r="G457" i="7"/>
  <c r="G456" i="7"/>
  <c r="G455" i="7"/>
  <c r="G454" i="7"/>
  <c r="G453" i="7"/>
  <c r="G452" i="7"/>
  <c r="G451" i="7"/>
  <c r="G450" i="7"/>
  <c r="G449" i="7"/>
  <c r="G448" i="7"/>
  <c r="G447" i="7"/>
  <c r="G446" i="7"/>
  <c r="G445" i="7"/>
  <c r="G444" i="7"/>
  <c r="G443" i="7"/>
  <c r="G442" i="7"/>
  <c r="G441" i="7"/>
  <c r="G440" i="7"/>
  <c r="G439" i="7"/>
  <c r="G438" i="7"/>
  <c r="G437" i="7"/>
  <c r="G436" i="7"/>
  <c r="G435" i="7"/>
  <c r="G434" i="7"/>
  <c r="G433" i="7"/>
  <c r="G432" i="7"/>
  <c r="G431" i="7"/>
  <c r="G430" i="7"/>
  <c r="G429" i="7"/>
  <c r="G428" i="7"/>
  <c r="G427" i="7"/>
  <c r="G426" i="7"/>
  <c r="G425" i="7"/>
  <c r="G424" i="7"/>
  <c r="G423" i="7"/>
  <c r="G422" i="7"/>
  <c r="G421" i="7"/>
  <c r="G420" i="7"/>
  <c r="G419" i="7"/>
  <c r="G418" i="7"/>
  <c r="G417" i="7"/>
  <c r="G416" i="7"/>
  <c r="G415" i="7"/>
  <c r="G414" i="7"/>
  <c r="G413" i="7"/>
  <c r="G412" i="7"/>
  <c r="G411" i="7"/>
  <c r="G410" i="7"/>
  <c r="G409" i="7"/>
  <c r="G408" i="7"/>
  <c r="G407" i="7"/>
  <c r="G406" i="7"/>
  <c r="G405" i="7"/>
  <c r="G404" i="7"/>
  <c r="G403" i="7"/>
  <c r="G402" i="7"/>
  <c r="G401" i="7"/>
  <c r="G400" i="7"/>
  <c r="G399" i="7"/>
  <c r="G398" i="7"/>
  <c r="G397" i="7"/>
  <c r="G396" i="7"/>
  <c r="G395" i="7"/>
  <c r="G394" i="7"/>
  <c r="G393" i="7"/>
  <c r="G392" i="7"/>
  <c r="G391" i="7"/>
  <c r="G390" i="7"/>
  <c r="G389" i="7"/>
  <c r="G388" i="7"/>
  <c r="G387" i="7"/>
  <c r="G386" i="7"/>
  <c r="G385" i="7"/>
  <c r="G384" i="7"/>
  <c r="G383" i="7"/>
  <c r="G382" i="7"/>
  <c r="G381" i="7"/>
  <c r="G380" i="7"/>
  <c r="G379" i="7"/>
  <c r="G378" i="7"/>
  <c r="G377" i="7"/>
  <c r="G376" i="7"/>
  <c r="G375" i="7"/>
  <c r="G374" i="7"/>
  <c r="G373" i="7"/>
  <c r="G372" i="7"/>
  <c r="G371" i="7"/>
  <c r="G370" i="7"/>
  <c r="G369" i="7"/>
  <c r="G368" i="7"/>
  <c r="G367" i="7"/>
  <c r="G366" i="7"/>
  <c r="G365" i="7"/>
  <c r="G364" i="7"/>
  <c r="G363" i="7"/>
  <c r="G362" i="7"/>
  <c r="G361" i="7"/>
  <c r="G360" i="7"/>
  <c r="G359" i="7"/>
  <c r="G358" i="7"/>
  <c r="G357" i="7"/>
  <c r="G356" i="7"/>
  <c r="G355" i="7"/>
  <c r="G354" i="7"/>
  <c r="G353" i="7"/>
  <c r="G352" i="7"/>
  <c r="G351" i="7"/>
  <c r="G350" i="7"/>
  <c r="G349" i="7"/>
  <c r="G348" i="7"/>
  <c r="G347" i="7"/>
  <c r="G346" i="7"/>
  <c r="G345" i="7"/>
  <c r="G344" i="7"/>
  <c r="G343" i="7"/>
  <c r="G342" i="7"/>
  <c r="G341" i="7"/>
  <c r="G340" i="7"/>
  <c r="G339" i="7"/>
  <c r="G338" i="7"/>
  <c r="G337" i="7"/>
  <c r="G336" i="7"/>
  <c r="G335" i="7"/>
  <c r="G334" i="7"/>
  <c r="G333" i="7"/>
  <c r="G332" i="7"/>
  <c r="G331" i="7"/>
  <c r="G330" i="7"/>
  <c r="G329" i="7"/>
  <c r="G328" i="7"/>
  <c r="G327" i="7"/>
  <c r="G326" i="7"/>
  <c r="G325" i="7"/>
  <c r="G324" i="7"/>
  <c r="G323" i="7"/>
  <c r="G322" i="7"/>
  <c r="G321" i="7"/>
  <c r="G320" i="7"/>
  <c r="G319" i="7"/>
  <c r="G318" i="7"/>
  <c r="G317" i="7"/>
  <c r="G316" i="7"/>
  <c r="G315" i="7"/>
  <c r="G314" i="7"/>
  <c r="G313" i="7"/>
  <c r="G312" i="7"/>
  <c r="G311" i="7"/>
  <c r="G310" i="7"/>
  <c r="G309" i="7"/>
  <c r="G308" i="7"/>
  <c r="G307" i="7"/>
  <c r="G306" i="7"/>
  <c r="G305" i="7"/>
  <c r="G304" i="7"/>
  <c r="G303" i="7"/>
  <c r="G302" i="7"/>
  <c r="G301" i="7"/>
  <c r="G300" i="7"/>
  <c r="G299" i="7"/>
  <c r="G298" i="7"/>
  <c r="G297" i="7"/>
  <c r="G296" i="7"/>
  <c r="G295" i="7"/>
  <c r="G294" i="7"/>
  <c r="G293" i="7"/>
  <c r="G292" i="7"/>
  <c r="G291" i="7"/>
  <c r="G290" i="7"/>
  <c r="G289" i="7"/>
  <c r="G288" i="7"/>
  <c r="G287" i="7"/>
  <c r="G286" i="7"/>
  <c r="G285" i="7"/>
  <c r="G284" i="7"/>
  <c r="G283" i="7"/>
  <c r="G282" i="7"/>
  <c r="G281" i="7"/>
  <c r="G280" i="7"/>
  <c r="G279" i="7"/>
  <c r="G278" i="7"/>
  <c r="G277" i="7"/>
  <c r="G276" i="7"/>
  <c r="G275" i="7"/>
  <c r="G274" i="7"/>
  <c r="G273" i="7"/>
  <c r="G272" i="7"/>
  <c r="G271" i="7"/>
  <c r="G270" i="7"/>
  <c r="G269" i="7"/>
  <c r="G268" i="7"/>
  <c r="G267" i="7"/>
  <c r="G266" i="7"/>
  <c r="G265" i="7"/>
  <c r="G264" i="7"/>
  <c r="G263" i="7"/>
  <c r="G262" i="7"/>
  <c r="G261" i="7"/>
  <c r="G260" i="7"/>
  <c r="G259" i="7"/>
  <c r="G258" i="7"/>
  <c r="G257" i="7"/>
  <c r="G256" i="7"/>
  <c r="G255" i="7"/>
  <c r="G254" i="7"/>
  <c r="G253" i="7"/>
  <c r="G252" i="7"/>
  <c r="G251" i="7"/>
  <c r="G250" i="7"/>
  <c r="G249" i="7"/>
  <c r="G248" i="7"/>
  <c r="G247" i="7"/>
  <c r="G246" i="7"/>
  <c r="G245" i="7"/>
  <c r="G244" i="7"/>
  <c r="G243" i="7"/>
  <c r="G242" i="7"/>
  <c r="G241" i="7"/>
  <c r="G240" i="7"/>
  <c r="G239" i="7"/>
  <c r="G238" i="7"/>
  <c r="G237" i="7"/>
  <c r="G236" i="7"/>
  <c r="G235" i="7"/>
  <c r="G234" i="7"/>
  <c r="G233" i="7"/>
  <c r="G232" i="7"/>
  <c r="G231" i="7"/>
  <c r="G230" i="7"/>
  <c r="G229" i="7"/>
  <c r="G228" i="7"/>
  <c r="G227" i="7"/>
  <c r="G226" i="7"/>
  <c r="G225" i="7"/>
  <c r="G224" i="7"/>
  <c r="G223" i="7"/>
  <c r="G222" i="7"/>
  <c r="G221" i="7"/>
  <c r="G220" i="7"/>
  <c r="G219" i="7"/>
  <c r="G218" i="7"/>
  <c r="G217" i="7"/>
  <c r="G216" i="7"/>
  <c r="G215" i="7"/>
  <c r="G214" i="7"/>
  <c r="G213" i="7"/>
  <c r="G212" i="7"/>
  <c r="G211" i="7"/>
  <c r="G210" i="7"/>
  <c r="G209" i="7"/>
  <c r="G208" i="7"/>
  <c r="G207" i="7"/>
  <c r="G206" i="7"/>
  <c r="G205" i="7"/>
  <c r="G204" i="7"/>
  <c r="G203" i="7"/>
  <c r="G202" i="7"/>
  <c r="G201" i="7"/>
  <c r="G200" i="7"/>
  <c r="G199" i="7"/>
  <c r="G198" i="7"/>
  <c r="G197" i="7"/>
  <c r="G196" i="7"/>
  <c r="G195" i="7"/>
  <c r="G194" i="7"/>
  <c r="G193" i="7"/>
  <c r="G192" i="7"/>
  <c r="G191" i="7"/>
  <c r="G190" i="7"/>
  <c r="G189" i="7"/>
  <c r="G188" i="7"/>
  <c r="G187" i="7"/>
  <c r="G186" i="7"/>
  <c r="G185" i="7"/>
  <c r="G184" i="7"/>
  <c r="G183" i="7"/>
  <c r="G182" i="7"/>
  <c r="G181" i="7"/>
  <c r="G180" i="7"/>
  <c r="G179" i="7"/>
  <c r="G178" i="7"/>
  <c r="G177" i="7"/>
  <c r="G176" i="7"/>
  <c r="G175" i="7"/>
  <c r="G174" i="7"/>
  <c r="G173" i="7"/>
  <c r="G172" i="7"/>
  <c r="G171" i="7"/>
  <c r="G170" i="7"/>
  <c r="G169" i="7"/>
  <c r="G168" i="7"/>
  <c r="G167" i="7"/>
  <c r="G166" i="7"/>
  <c r="G165" i="7"/>
  <c r="G164" i="7"/>
  <c r="G163" i="7"/>
  <c r="G162" i="7"/>
  <c r="G161" i="7"/>
  <c r="G160" i="7"/>
  <c r="G159" i="7"/>
  <c r="G158" i="7"/>
  <c r="G157" i="7"/>
  <c r="G156" i="7"/>
  <c r="G155" i="7"/>
  <c r="G154" i="7"/>
  <c r="G153" i="7"/>
  <c r="G152" i="7"/>
  <c r="G151" i="7"/>
  <c r="G150" i="7"/>
  <c r="G149" i="7"/>
  <c r="G148" i="7"/>
  <c r="G147" i="7"/>
  <c r="G146" i="7"/>
  <c r="G145" i="7"/>
  <c r="G144" i="7"/>
  <c r="G143" i="7"/>
  <c r="G142" i="7"/>
  <c r="G141" i="7"/>
  <c r="G140" i="7"/>
  <c r="G139" i="7"/>
  <c r="G138" i="7"/>
  <c r="G137" i="7"/>
  <c r="G136" i="7"/>
  <c r="G135" i="7"/>
  <c r="G134" i="7"/>
  <c r="G133" i="7"/>
  <c r="G132" i="7"/>
  <c r="G131" i="7"/>
  <c r="G130" i="7"/>
  <c r="G129" i="7"/>
  <c r="G128" i="7"/>
  <c r="G127" i="7"/>
  <c r="G126" i="7"/>
  <c r="G125" i="7"/>
  <c r="G124" i="7"/>
  <c r="G123" i="7"/>
  <c r="G122" i="7"/>
  <c r="G121" i="7"/>
  <c r="G120" i="7"/>
  <c r="G119" i="7"/>
  <c r="G118" i="7"/>
  <c r="G117" i="7"/>
  <c r="G116" i="7"/>
  <c r="G115" i="7"/>
  <c r="G114" i="7"/>
  <c r="G113" i="7"/>
  <c r="G112" i="7"/>
  <c r="G111" i="7"/>
  <c r="G110" i="7"/>
  <c r="G109" i="7"/>
  <c r="G108" i="7"/>
  <c r="G107" i="7"/>
  <c r="G106" i="7"/>
  <c r="G105" i="7"/>
  <c r="G104" i="7"/>
  <c r="G103" i="7"/>
  <c r="G102" i="7"/>
  <c r="G101" i="7"/>
  <c r="G100" i="7"/>
  <c r="G99" i="7"/>
  <c r="G98" i="7"/>
  <c r="G97" i="7"/>
  <c r="G96" i="7"/>
  <c r="G95" i="7"/>
  <c r="G94" i="7"/>
  <c r="G93" i="7"/>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1" i="7"/>
  <c r="H462" i="5"/>
  <c r="G462" i="5"/>
  <c r="H461" i="5"/>
  <c r="G461" i="5"/>
  <c r="H460" i="5"/>
  <c r="G460" i="5"/>
  <c r="H459" i="5"/>
  <c r="G459" i="5"/>
  <c r="H458" i="5"/>
  <c r="G458" i="5"/>
  <c r="H457" i="5"/>
  <c r="G457" i="5"/>
  <c r="H456" i="5"/>
  <c r="G456" i="5"/>
  <c r="H455" i="5"/>
  <c r="G455" i="5"/>
  <c r="H454" i="5"/>
  <c r="G454" i="5"/>
  <c r="H453" i="5"/>
  <c r="G453" i="5"/>
  <c r="H452" i="5"/>
  <c r="G452" i="5"/>
  <c r="H451" i="5"/>
  <c r="G451" i="5"/>
  <c r="H450" i="5"/>
  <c r="G450" i="5"/>
  <c r="H449" i="5"/>
  <c r="G449" i="5"/>
  <c r="H448" i="5"/>
  <c r="G448" i="5"/>
  <c r="H447" i="5"/>
  <c r="G447" i="5"/>
  <c r="H446" i="5"/>
  <c r="G446" i="5"/>
  <c r="H445" i="5"/>
  <c r="G445" i="5"/>
  <c r="H444" i="5"/>
  <c r="G444" i="5"/>
  <c r="H443" i="5"/>
  <c r="G443" i="5"/>
  <c r="H442" i="5"/>
  <c r="G442" i="5"/>
  <c r="H441" i="5"/>
  <c r="G441" i="5"/>
  <c r="H440" i="5"/>
  <c r="G440" i="5"/>
  <c r="H439" i="5"/>
  <c r="G439" i="5"/>
  <c r="H438" i="5"/>
  <c r="G438" i="5"/>
  <c r="H437" i="5"/>
  <c r="G437" i="5"/>
  <c r="H436" i="5"/>
  <c r="G436" i="5"/>
  <c r="H435" i="5"/>
  <c r="G435" i="5"/>
  <c r="H434" i="5"/>
  <c r="G434" i="5"/>
  <c r="H433" i="5"/>
  <c r="G433" i="5"/>
  <c r="H432" i="5"/>
  <c r="G432" i="5"/>
  <c r="H431" i="5"/>
  <c r="G431" i="5"/>
  <c r="H430" i="5"/>
  <c r="G430" i="5"/>
  <c r="H429" i="5"/>
  <c r="G429" i="5"/>
  <c r="H428" i="5"/>
  <c r="G428" i="5"/>
  <c r="H427" i="5"/>
  <c r="G427" i="5"/>
  <c r="H426" i="5"/>
  <c r="G426" i="5"/>
  <c r="H425" i="5"/>
  <c r="G425" i="5"/>
  <c r="H424" i="5"/>
  <c r="G424" i="5"/>
  <c r="H423" i="5"/>
  <c r="G423" i="5"/>
  <c r="H422" i="5"/>
  <c r="G422" i="5"/>
  <c r="H421" i="5"/>
  <c r="G421" i="5"/>
  <c r="H420" i="5"/>
  <c r="G420" i="5"/>
  <c r="H419" i="5"/>
  <c r="G419" i="5"/>
  <c r="H418" i="5"/>
  <c r="G418" i="5"/>
  <c r="H417" i="5"/>
  <c r="G417" i="5"/>
  <c r="H416" i="5"/>
  <c r="G416" i="5"/>
  <c r="H415" i="5"/>
  <c r="G415" i="5"/>
  <c r="H414" i="5"/>
  <c r="G414" i="5"/>
  <c r="H413" i="5"/>
  <c r="G413" i="5"/>
  <c r="H412" i="5"/>
  <c r="G412" i="5"/>
  <c r="H411" i="5"/>
  <c r="G411" i="5"/>
  <c r="H410" i="5"/>
  <c r="G410" i="5"/>
  <c r="H409" i="5"/>
  <c r="G409" i="5"/>
  <c r="H408" i="5"/>
  <c r="G408" i="5"/>
  <c r="H407" i="5"/>
  <c r="G407" i="5"/>
  <c r="H406" i="5"/>
  <c r="G406" i="5"/>
  <c r="H405" i="5"/>
  <c r="G405" i="5"/>
  <c r="H404" i="5"/>
  <c r="G404" i="5"/>
  <c r="H403" i="5"/>
  <c r="G403" i="5"/>
  <c r="H402" i="5"/>
  <c r="G402" i="5"/>
  <c r="H401" i="5"/>
  <c r="G401" i="5"/>
  <c r="H400" i="5"/>
  <c r="G400" i="5"/>
  <c r="H399" i="5"/>
  <c r="G399" i="5"/>
  <c r="H398" i="5"/>
  <c r="G398" i="5"/>
  <c r="H397" i="5"/>
  <c r="G397" i="5"/>
  <c r="H396" i="5"/>
  <c r="G396" i="5"/>
  <c r="H395" i="5"/>
  <c r="G395" i="5"/>
  <c r="H394" i="5"/>
  <c r="G394" i="5"/>
  <c r="H393" i="5"/>
  <c r="G393" i="5"/>
  <c r="H392" i="5"/>
  <c r="G392" i="5"/>
  <c r="H391" i="5"/>
  <c r="G391" i="5"/>
  <c r="H390" i="5"/>
  <c r="G390" i="5"/>
  <c r="H389" i="5"/>
  <c r="G389" i="5"/>
  <c r="H388" i="5"/>
  <c r="G388" i="5"/>
  <c r="H387" i="5"/>
  <c r="G387" i="5"/>
  <c r="H386" i="5"/>
  <c r="G386" i="5"/>
  <c r="H385" i="5"/>
  <c r="G385" i="5"/>
  <c r="H384" i="5"/>
  <c r="G384" i="5"/>
  <c r="H383" i="5"/>
  <c r="G383" i="5"/>
  <c r="H382" i="5"/>
  <c r="G382" i="5"/>
  <c r="H381" i="5"/>
  <c r="G381" i="5"/>
  <c r="H380" i="5"/>
  <c r="G380" i="5"/>
  <c r="H379" i="5"/>
  <c r="G379" i="5"/>
  <c r="H378" i="5"/>
  <c r="G378" i="5"/>
  <c r="H377" i="5"/>
  <c r="G377" i="5"/>
  <c r="H376" i="5"/>
  <c r="G376" i="5"/>
  <c r="H375" i="5"/>
  <c r="G375" i="5"/>
  <c r="H374" i="5"/>
  <c r="G374" i="5"/>
  <c r="H373" i="5"/>
  <c r="G373" i="5"/>
  <c r="H372" i="5"/>
  <c r="G372" i="5"/>
  <c r="H371" i="5"/>
  <c r="G371" i="5"/>
  <c r="H370" i="5"/>
  <c r="G370" i="5"/>
  <c r="H369" i="5"/>
  <c r="G369" i="5"/>
  <c r="H368" i="5"/>
  <c r="G368" i="5"/>
  <c r="H367" i="5"/>
  <c r="G367" i="5"/>
  <c r="H366" i="5"/>
  <c r="G366" i="5"/>
  <c r="H365" i="5"/>
  <c r="G365" i="5"/>
  <c r="H364" i="5"/>
  <c r="G364" i="5"/>
  <c r="H363" i="5"/>
  <c r="G363" i="5"/>
  <c r="H362" i="5"/>
  <c r="G362" i="5"/>
  <c r="H361" i="5"/>
  <c r="G361" i="5"/>
  <c r="H360" i="5"/>
  <c r="G360" i="5"/>
  <c r="H359" i="5"/>
  <c r="G359" i="5"/>
  <c r="H358" i="5"/>
  <c r="G358" i="5"/>
  <c r="H357" i="5"/>
  <c r="G357" i="5"/>
  <c r="H356" i="5"/>
  <c r="G356" i="5"/>
  <c r="H355" i="5"/>
  <c r="G355" i="5"/>
  <c r="H354" i="5"/>
  <c r="G354" i="5"/>
  <c r="H353" i="5"/>
  <c r="G353" i="5"/>
  <c r="H352" i="5"/>
  <c r="G352" i="5"/>
  <c r="H351" i="5"/>
  <c r="G351" i="5"/>
  <c r="H350" i="5"/>
  <c r="G350" i="5"/>
  <c r="H349" i="5"/>
  <c r="G349" i="5"/>
  <c r="H348" i="5"/>
  <c r="G348" i="5"/>
  <c r="H347" i="5"/>
  <c r="G347" i="5"/>
  <c r="H346" i="5"/>
  <c r="G346" i="5"/>
  <c r="H345" i="5"/>
  <c r="G345" i="5"/>
  <c r="H344" i="5"/>
  <c r="G344" i="5"/>
  <c r="H343" i="5"/>
  <c r="G343" i="5"/>
  <c r="H342" i="5"/>
  <c r="G342" i="5"/>
  <c r="H341" i="5"/>
  <c r="G341" i="5"/>
  <c r="H340" i="5"/>
  <c r="G340" i="5"/>
  <c r="H339" i="5"/>
  <c r="G339" i="5"/>
  <c r="H338" i="5"/>
  <c r="G338" i="5"/>
  <c r="H337" i="5"/>
  <c r="G337" i="5"/>
  <c r="H336" i="5"/>
  <c r="G336" i="5"/>
  <c r="H335" i="5"/>
  <c r="G335" i="5"/>
  <c r="H334" i="5"/>
  <c r="G334" i="5"/>
  <c r="H333" i="5"/>
  <c r="G333" i="5"/>
  <c r="H332" i="5"/>
  <c r="G332" i="5"/>
  <c r="H331" i="5"/>
  <c r="G331" i="5"/>
  <c r="H330" i="5"/>
  <c r="G330" i="5"/>
  <c r="H329" i="5"/>
  <c r="G329" i="5"/>
  <c r="H328" i="5"/>
  <c r="G328" i="5"/>
  <c r="H327" i="5"/>
  <c r="G327" i="5"/>
  <c r="H326" i="5"/>
  <c r="G326" i="5"/>
  <c r="H325" i="5"/>
  <c r="G325" i="5"/>
  <c r="H324" i="5"/>
  <c r="G324" i="5"/>
  <c r="H323" i="5"/>
  <c r="G323" i="5"/>
  <c r="H322" i="5"/>
  <c r="G322" i="5"/>
  <c r="H321" i="5"/>
  <c r="G321" i="5"/>
  <c r="H320" i="5"/>
  <c r="G320" i="5"/>
  <c r="H319" i="5"/>
  <c r="G319" i="5"/>
  <c r="H318" i="5"/>
  <c r="G318" i="5"/>
  <c r="H317" i="5"/>
  <c r="G317" i="5"/>
  <c r="H316" i="5"/>
  <c r="G316" i="5"/>
  <c r="H315" i="5"/>
  <c r="G315" i="5"/>
  <c r="H314" i="5"/>
  <c r="G314" i="5"/>
  <c r="H313" i="5"/>
  <c r="G313" i="5"/>
  <c r="H312" i="5"/>
  <c r="G312" i="5"/>
  <c r="H311" i="5"/>
  <c r="G311" i="5"/>
  <c r="H310" i="5"/>
  <c r="G310" i="5"/>
  <c r="H309" i="5"/>
  <c r="G309" i="5"/>
  <c r="H308" i="5"/>
  <c r="G308" i="5"/>
  <c r="H307" i="5"/>
  <c r="G307" i="5"/>
  <c r="H306" i="5"/>
  <c r="G306" i="5"/>
  <c r="H305" i="5"/>
  <c r="G305" i="5"/>
  <c r="H304" i="5"/>
  <c r="G304" i="5"/>
  <c r="H303" i="5"/>
  <c r="G303" i="5"/>
  <c r="H302" i="5"/>
  <c r="G302" i="5"/>
  <c r="H301" i="5"/>
  <c r="G301" i="5"/>
  <c r="H300" i="5"/>
  <c r="G300" i="5"/>
  <c r="H299" i="5"/>
  <c r="G299" i="5"/>
  <c r="H298" i="5"/>
  <c r="G298" i="5"/>
  <c r="H297" i="5"/>
  <c r="G297" i="5"/>
  <c r="H296" i="5"/>
  <c r="G296" i="5"/>
  <c r="H295" i="5"/>
  <c r="G295" i="5"/>
  <c r="H294" i="5"/>
  <c r="G294" i="5"/>
  <c r="H293" i="5"/>
  <c r="G293" i="5"/>
  <c r="H292" i="5"/>
  <c r="G292" i="5"/>
  <c r="H291" i="5"/>
  <c r="G291" i="5"/>
  <c r="H290" i="5"/>
  <c r="G290" i="5"/>
  <c r="H289" i="5"/>
  <c r="G289" i="5"/>
  <c r="H288" i="5"/>
  <c r="G288" i="5"/>
  <c r="H287" i="5"/>
  <c r="G287" i="5"/>
  <c r="H286" i="5"/>
  <c r="G286" i="5"/>
  <c r="H285" i="5"/>
  <c r="G285" i="5"/>
  <c r="H284" i="5"/>
  <c r="G284" i="5"/>
  <c r="H283" i="5"/>
  <c r="G283" i="5"/>
  <c r="H282" i="5"/>
  <c r="G282" i="5"/>
  <c r="H281" i="5"/>
  <c r="G281" i="5"/>
  <c r="H280" i="5"/>
  <c r="G280" i="5"/>
  <c r="H279" i="5"/>
  <c r="G279" i="5"/>
  <c r="H278" i="5"/>
  <c r="G278" i="5"/>
  <c r="H277" i="5"/>
  <c r="G277" i="5"/>
  <c r="H276" i="5"/>
  <c r="G276" i="5"/>
  <c r="H275" i="5"/>
  <c r="G275" i="5"/>
  <c r="H274" i="5"/>
  <c r="G274" i="5"/>
  <c r="H273" i="5"/>
  <c r="G273" i="5"/>
  <c r="H272" i="5"/>
  <c r="G272" i="5"/>
  <c r="H271" i="5"/>
  <c r="G271" i="5"/>
  <c r="H270" i="5"/>
  <c r="G270" i="5"/>
  <c r="H269" i="5"/>
  <c r="G269" i="5"/>
  <c r="H268" i="5"/>
  <c r="G268" i="5"/>
  <c r="H267" i="5"/>
  <c r="G267" i="5"/>
  <c r="H266" i="5"/>
  <c r="G266" i="5"/>
  <c r="H265" i="5"/>
  <c r="G265" i="5"/>
  <c r="H264" i="5"/>
  <c r="G264" i="5"/>
  <c r="H263" i="5"/>
  <c r="G263" i="5"/>
  <c r="H262" i="5"/>
  <c r="G262" i="5"/>
  <c r="H261" i="5"/>
  <c r="G261" i="5"/>
  <c r="H260" i="5"/>
  <c r="G260" i="5"/>
  <c r="H259" i="5"/>
  <c r="G259" i="5"/>
  <c r="H258" i="5"/>
  <c r="G258" i="5"/>
  <c r="H257" i="5"/>
  <c r="G257" i="5"/>
  <c r="H256" i="5"/>
  <c r="G256" i="5"/>
  <c r="H255" i="5"/>
  <c r="G255" i="5"/>
  <c r="H254" i="5"/>
  <c r="G254" i="5"/>
  <c r="H253" i="5"/>
  <c r="G253" i="5"/>
  <c r="H252" i="5"/>
  <c r="G252" i="5"/>
  <c r="H251" i="5"/>
  <c r="G251" i="5"/>
  <c r="H250" i="5"/>
  <c r="G250" i="5"/>
  <c r="H249" i="5"/>
  <c r="G249" i="5"/>
  <c r="H248" i="5"/>
  <c r="G248" i="5"/>
  <c r="H247" i="5"/>
  <c r="G247" i="5"/>
  <c r="H246" i="5"/>
  <c r="G246" i="5"/>
  <c r="H245" i="5"/>
  <c r="G245" i="5"/>
  <c r="H244" i="5"/>
  <c r="G244" i="5"/>
  <c r="H243" i="5"/>
  <c r="G243" i="5"/>
  <c r="H242" i="5"/>
  <c r="G242" i="5"/>
  <c r="H241" i="5"/>
  <c r="G241" i="5"/>
  <c r="H240" i="5"/>
  <c r="G240" i="5"/>
  <c r="H239" i="5"/>
  <c r="G239" i="5"/>
  <c r="H238" i="5"/>
  <c r="G238" i="5"/>
  <c r="H237" i="5"/>
  <c r="G237" i="5"/>
  <c r="H236" i="5"/>
  <c r="G236" i="5"/>
  <c r="H235" i="5"/>
  <c r="G235" i="5"/>
  <c r="H234" i="5"/>
  <c r="G234" i="5"/>
  <c r="H233" i="5"/>
  <c r="G233" i="5"/>
  <c r="H232" i="5"/>
  <c r="G232" i="5"/>
  <c r="H231" i="5"/>
  <c r="G231" i="5"/>
  <c r="H230" i="5"/>
  <c r="G230" i="5"/>
  <c r="H229" i="5"/>
  <c r="G229" i="5"/>
  <c r="H228" i="5"/>
  <c r="G228" i="5"/>
  <c r="H227" i="5"/>
  <c r="G227" i="5"/>
  <c r="H226" i="5"/>
  <c r="G226" i="5"/>
  <c r="H225" i="5"/>
  <c r="G225" i="5"/>
  <c r="H224" i="5"/>
  <c r="G224" i="5"/>
  <c r="H223" i="5"/>
  <c r="G223" i="5"/>
  <c r="H222" i="5"/>
  <c r="G222" i="5"/>
  <c r="H221" i="5"/>
  <c r="G221" i="5"/>
  <c r="H220" i="5"/>
  <c r="G220" i="5"/>
  <c r="H219" i="5"/>
  <c r="G219" i="5"/>
  <c r="H218" i="5"/>
  <c r="G218" i="5"/>
  <c r="H217" i="5"/>
  <c r="G217" i="5"/>
  <c r="H216" i="5"/>
  <c r="G216" i="5"/>
  <c r="H215" i="5"/>
  <c r="G215" i="5"/>
  <c r="H214" i="5"/>
  <c r="G214" i="5"/>
  <c r="H213" i="5"/>
  <c r="G213" i="5"/>
  <c r="H212" i="5"/>
  <c r="G212" i="5"/>
  <c r="H211" i="5"/>
  <c r="G211" i="5"/>
  <c r="H210" i="5"/>
  <c r="G210" i="5"/>
  <c r="H209" i="5"/>
  <c r="G209" i="5"/>
  <c r="H208" i="5"/>
  <c r="G208" i="5"/>
  <c r="H207" i="5"/>
  <c r="G207" i="5"/>
  <c r="H206" i="5"/>
  <c r="G206" i="5"/>
  <c r="H205" i="5"/>
  <c r="G205" i="5"/>
  <c r="H204" i="5"/>
  <c r="G204" i="5"/>
  <c r="H203" i="5"/>
  <c r="G203" i="5"/>
  <c r="H202" i="5"/>
  <c r="G202" i="5"/>
  <c r="H201" i="5"/>
  <c r="G201" i="5"/>
  <c r="H200" i="5"/>
  <c r="G200" i="5"/>
  <c r="H199" i="5"/>
  <c r="G199" i="5"/>
  <c r="H198" i="5"/>
  <c r="G198" i="5"/>
  <c r="H197" i="5"/>
  <c r="G197" i="5"/>
  <c r="H196" i="5"/>
  <c r="G196" i="5"/>
  <c r="H195" i="5"/>
  <c r="G195" i="5"/>
  <c r="H194" i="5"/>
  <c r="G194" i="5"/>
  <c r="H193" i="5"/>
  <c r="G193" i="5"/>
  <c r="H192" i="5"/>
  <c r="G192" i="5"/>
  <c r="H191" i="5"/>
  <c r="G191" i="5"/>
  <c r="H190" i="5"/>
  <c r="G190" i="5"/>
  <c r="H189" i="5"/>
  <c r="G189" i="5"/>
  <c r="H188" i="5"/>
  <c r="G188" i="5"/>
  <c r="H187" i="5"/>
  <c r="G187" i="5"/>
  <c r="H186" i="5"/>
  <c r="G186" i="5"/>
  <c r="H185" i="5"/>
  <c r="G185" i="5"/>
  <c r="H184" i="5"/>
  <c r="G184" i="5"/>
  <c r="H183" i="5"/>
  <c r="G183" i="5"/>
  <c r="H182" i="5"/>
  <c r="G182" i="5"/>
  <c r="H181" i="5"/>
  <c r="G181" i="5"/>
  <c r="H180" i="5"/>
  <c r="G180" i="5"/>
  <c r="H179" i="5"/>
  <c r="G179" i="5"/>
  <c r="H178" i="5"/>
  <c r="G178" i="5"/>
  <c r="H177" i="5"/>
  <c r="G177" i="5"/>
  <c r="H176" i="5"/>
  <c r="G176" i="5"/>
  <c r="H175" i="5"/>
  <c r="G175" i="5"/>
  <c r="H174" i="5"/>
  <c r="G174" i="5"/>
  <c r="H173" i="5"/>
  <c r="G173" i="5"/>
  <c r="H172" i="5"/>
  <c r="G172" i="5"/>
  <c r="H171" i="5"/>
  <c r="G171" i="5"/>
  <c r="H170" i="5"/>
  <c r="G170" i="5"/>
  <c r="H169" i="5"/>
  <c r="G169" i="5"/>
  <c r="H168" i="5"/>
  <c r="G168" i="5"/>
  <c r="H167" i="5"/>
  <c r="G167" i="5"/>
  <c r="H166" i="5"/>
  <c r="G166" i="5"/>
  <c r="H165" i="5"/>
  <c r="G165" i="5"/>
  <c r="H164" i="5"/>
  <c r="G164" i="5"/>
  <c r="H163" i="5"/>
  <c r="G163" i="5"/>
  <c r="H162" i="5"/>
  <c r="G162" i="5"/>
  <c r="H161" i="5"/>
  <c r="G161" i="5"/>
  <c r="H160" i="5"/>
  <c r="G160" i="5"/>
  <c r="H159" i="5"/>
  <c r="G159" i="5"/>
  <c r="H158" i="5"/>
  <c r="G158" i="5"/>
  <c r="H157" i="5"/>
  <c r="G157" i="5"/>
  <c r="H156" i="5"/>
  <c r="G156" i="5"/>
  <c r="H155" i="5"/>
  <c r="G155" i="5"/>
  <c r="H154" i="5"/>
  <c r="G154" i="5"/>
  <c r="H153" i="5"/>
  <c r="G153" i="5"/>
  <c r="H152" i="5"/>
  <c r="G152" i="5"/>
  <c r="H151" i="5"/>
  <c r="G151" i="5"/>
  <c r="H150" i="5"/>
  <c r="G150" i="5"/>
  <c r="H149" i="5"/>
  <c r="G149" i="5"/>
  <c r="H148" i="5"/>
  <c r="G148" i="5"/>
  <c r="H147" i="5"/>
  <c r="G147" i="5"/>
  <c r="H146" i="5"/>
  <c r="G146" i="5"/>
  <c r="H145" i="5"/>
  <c r="G145" i="5"/>
  <c r="H144" i="5"/>
  <c r="G144" i="5"/>
  <c r="H143" i="5"/>
  <c r="G143" i="5"/>
  <c r="H142" i="5"/>
  <c r="G142" i="5"/>
  <c r="H141" i="5"/>
  <c r="G141" i="5"/>
  <c r="H140" i="5"/>
  <c r="G140" i="5"/>
  <c r="H139" i="5"/>
  <c r="G139" i="5"/>
  <c r="H138" i="5"/>
  <c r="G138" i="5"/>
  <c r="H137" i="5"/>
  <c r="G137" i="5"/>
  <c r="H136" i="5"/>
  <c r="G136" i="5"/>
  <c r="H135" i="5"/>
  <c r="G135" i="5"/>
  <c r="H134" i="5"/>
  <c r="G134" i="5"/>
  <c r="H133" i="5"/>
  <c r="G133" i="5"/>
  <c r="H132" i="5"/>
  <c r="G132" i="5"/>
  <c r="H131" i="5"/>
  <c r="G131" i="5"/>
  <c r="H130" i="5"/>
  <c r="G130" i="5"/>
  <c r="H129" i="5"/>
  <c r="G129" i="5"/>
  <c r="H128" i="5"/>
  <c r="G128" i="5"/>
  <c r="H127" i="5"/>
  <c r="G127" i="5"/>
  <c r="H126" i="5"/>
  <c r="G126" i="5"/>
  <c r="H125" i="5"/>
  <c r="G125" i="5"/>
  <c r="H124" i="5"/>
  <c r="G124" i="5"/>
  <c r="H123" i="5"/>
  <c r="G123" i="5"/>
  <c r="H122" i="5"/>
  <c r="G122" i="5"/>
  <c r="H121" i="5"/>
  <c r="G121" i="5"/>
  <c r="H120" i="5"/>
  <c r="G120" i="5"/>
  <c r="H119" i="5"/>
  <c r="G119" i="5"/>
  <c r="H118" i="5"/>
  <c r="G118" i="5"/>
  <c r="H117" i="5"/>
  <c r="G117" i="5"/>
  <c r="H116" i="5"/>
  <c r="G116" i="5"/>
  <c r="H115" i="5"/>
  <c r="G115" i="5"/>
  <c r="H114" i="5"/>
  <c r="G114" i="5"/>
  <c r="H113" i="5"/>
  <c r="G113" i="5"/>
  <c r="H112" i="5"/>
  <c r="G112" i="5"/>
  <c r="H111" i="5"/>
  <c r="G111" i="5"/>
  <c r="H110" i="5"/>
  <c r="G110" i="5"/>
  <c r="H109" i="5"/>
  <c r="G109" i="5"/>
  <c r="H108" i="5"/>
  <c r="G108" i="5"/>
  <c r="H107" i="5"/>
  <c r="G107" i="5"/>
  <c r="H106" i="5"/>
  <c r="G106" i="5"/>
  <c r="H105" i="5"/>
  <c r="G105" i="5"/>
  <c r="H104" i="5"/>
  <c r="G104" i="5"/>
  <c r="H103" i="5"/>
  <c r="G103" i="5"/>
  <c r="H102" i="5"/>
  <c r="G102" i="5"/>
  <c r="H101" i="5"/>
  <c r="G101" i="5"/>
  <c r="H100" i="5"/>
  <c r="G100" i="5"/>
  <c r="H99" i="5"/>
  <c r="G99" i="5"/>
  <c r="H98" i="5"/>
  <c r="G98" i="5"/>
  <c r="H97" i="5"/>
  <c r="G97" i="5"/>
  <c r="H96" i="5"/>
  <c r="G96" i="5"/>
  <c r="H95" i="5"/>
  <c r="G95" i="5"/>
  <c r="H94" i="5"/>
  <c r="G94" i="5"/>
  <c r="H93" i="5"/>
  <c r="G93" i="5"/>
  <c r="H92" i="5"/>
  <c r="G92" i="5"/>
  <c r="H91" i="5"/>
  <c r="G91" i="5"/>
  <c r="H90" i="5"/>
  <c r="G90" i="5"/>
  <c r="H89" i="5"/>
  <c r="G89" i="5"/>
  <c r="H88" i="5"/>
  <c r="G88" i="5"/>
  <c r="H87" i="5"/>
  <c r="G87" i="5"/>
  <c r="H86" i="5"/>
  <c r="G86" i="5"/>
  <c r="H85" i="5"/>
  <c r="G85" i="5"/>
  <c r="H84" i="5"/>
  <c r="G84" i="5"/>
  <c r="H83" i="5"/>
  <c r="G83" i="5"/>
  <c r="H82" i="5"/>
  <c r="G82" i="5"/>
  <c r="H81" i="5"/>
  <c r="G81" i="5"/>
  <c r="H80" i="5"/>
  <c r="G80" i="5"/>
  <c r="H79" i="5"/>
  <c r="G79" i="5"/>
  <c r="H78" i="5"/>
  <c r="G78" i="5"/>
  <c r="H77" i="5"/>
  <c r="G77" i="5"/>
  <c r="H76" i="5"/>
  <c r="G76" i="5"/>
  <c r="H75" i="5"/>
  <c r="G75" i="5"/>
  <c r="H74" i="5"/>
  <c r="G74" i="5"/>
  <c r="H73" i="5"/>
  <c r="G73" i="5"/>
  <c r="H72" i="5"/>
  <c r="G72" i="5"/>
  <c r="H71" i="5"/>
  <c r="G71" i="5"/>
  <c r="H70" i="5"/>
  <c r="G70" i="5"/>
  <c r="H69" i="5"/>
  <c r="G69" i="5"/>
  <c r="H68" i="5"/>
  <c r="G68" i="5"/>
  <c r="H67" i="5"/>
  <c r="G67" i="5"/>
  <c r="H66" i="5"/>
  <c r="G66" i="5"/>
  <c r="H65" i="5"/>
  <c r="G65" i="5"/>
  <c r="H64" i="5"/>
  <c r="G64" i="5"/>
  <c r="H63" i="5"/>
  <c r="G63" i="5"/>
  <c r="H62" i="5"/>
  <c r="G62" i="5"/>
  <c r="H61" i="5"/>
  <c r="G61" i="5"/>
  <c r="H60" i="5"/>
  <c r="G60" i="5"/>
  <c r="H59" i="5"/>
  <c r="G59" i="5"/>
  <c r="H58" i="5"/>
  <c r="G58" i="5"/>
  <c r="H57" i="5"/>
  <c r="G57" i="5"/>
  <c r="H56" i="5"/>
  <c r="G56" i="5"/>
  <c r="H55" i="5"/>
  <c r="G55" i="5"/>
  <c r="H54" i="5"/>
  <c r="G54" i="5"/>
  <c r="H53" i="5"/>
  <c r="G53" i="5"/>
  <c r="H52" i="5"/>
  <c r="G52" i="5"/>
  <c r="H51" i="5"/>
  <c r="G51" i="5"/>
  <c r="H50" i="5"/>
  <c r="G50" i="5"/>
  <c r="H49" i="5"/>
  <c r="G49" i="5"/>
  <c r="H48" i="5"/>
  <c r="G48" i="5"/>
  <c r="H47" i="5"/>
  <c r="G47" i="5"/>
  <c r="H46" i="5"/>
  <c r="G46" i="5"/>
  <c r="H45" i="5"/>
  <c r="G45" i="5"/>
  <c r="H44" i="5"/>
  <c r="G44" i="5"/>
  <c r="H43" i="5"/>
  <c r="G43" i="5"/>
  <c r="H42" i="5"/>
  <c r="G42" i="5"/>
  <c r="H41" i="5"/>
  <c r="G41" i="5"/>
  <c r="H40" i="5"/>
  <c r="G40" i="5"/>
  <c r="H39" i="5"/>
  <c r="G39" i="5"/>
  <c r="H38" i="5"/>
  <c r="G38" i="5"/>
  <c r="H37" i="5"/>
  <c r="G37" i="5"/>
  <c r="H36" i="5"/>
  <c r="G36" i="5"/>
  <c r="H35" i="5"/>
  <c r="G35" i="5"/>
  <c r="H34" i="5"/>
  <c r="G34" i="5"/>
  <c r="H33" i="5"/>
  <c r="G33" i="5"/>
  <c r="H32" i="5"/>
  <c r="G32" i="5"/>
  <c r="H31" i="5"/>
  <c r="G31" i="5"/>
  <c r="H30" i="5"/>
  <c r="G30" i="5"/>
  <c r="H29" i="5"/>
  <c r="G29" i="5"/>
  <c r="H28" i="5"/>
  <c r="G28" i="5"/>
  <c r="H27" i="5"/>
  <c r="G27" i="5"/>
  <c r="H26" i="5"/>
  <c r="G26" i="5"/>
  <c r="H25" i="5"/>
  <c r="G25" i="5"/>
  <c r="H24" i="5"/>
  <c r="G24" i="5"/>
  <c r="H23" i="5"/>
  <c r="G23" i="5"/>
  <c r="H22" i="5"/>
  <c r="G22" i="5"/>
  <c r="H21" i="5"/>
  <c r="G21" i="5"/>
  <c r="H20" i="5"/>
  <c r="G20" i="5"/>
  <c r="H19" i="5"/>
  <c r="G19" i="5"/>
  <c r="H18" i="5"/>
  <c r="G18" i="5"/>
  <c r="H17" i="5"/>
  <c r="G17" i="5"/>
  <c r="H16" i="5"/>
  <c r="G16" i="5"/>
  <c r="H15" i="5"/>
  <c r="G15" i="5"/>
  <c r="H14" i="5"/>
  <c r="G14" i="5"/>
  <c r="H13" i="5"/>
  <c r="G13" i="5"/>
  <c r="H12" i="5"/>
  <c r="G12" i="5"/>
  <c r="H11" i="5"/>
  <c r="G11" i="5"/>
  <c r="H10" i="5"/>
  <c r="G10" i="5"/>
  <c r="H9" i="5"/>
  <c r="G9" i="5"/>
  <c r="H8" i="5"/>
  <c r="G8" i="5"/>
  <c r="H7" i="5"/>
  <c r="G7" i="5"/>
  <c r="H6" i="5"/>
  <c r="G6" i="5"/>
  <c r="H5" i="5"/>
  <c r="G5" i="5"/>
  <c r="H4" i="5"/>
  <c r="G4" i="5"/>
  <c r="G1" i="5"/>
  <c r="I379" i="3"/>
  <c r="G379" i="3"/>
  <c r="I378" i="3"/>
  <c r="G378" i="3"/>
  <c r="I377" i="3"/>
  <c r="G377" i="3"/>
  <c r="I376" i="3"/>
  <c r="G376" i="3"/>
  <c r="I375" i="3"/>
  <c r="G375" i="3"/>
  <c r="I374" i="3"/>
  <c r="G374" i="3"/>
  <c r="I373" i="3"/>
  <c r="G373" i="3"/>
  <c r="I372" i="3"/>
  <c r="G372" i="3"/>
  <c r="I371" i="3"/>
  <c r="G371" i="3"/>
  <c r="I370" i="3"/>
  <c r="G370" i="3"/>
  <c r="I369" i="3"/>
  <c r="G369" i="3"/>
  <c r="I368" i="3"/>
  <c r="G368" i="3"/>
  <c r="I367" i="3"/>
  <c r="G367" i="3"/>
  <c r="I366" i="3"/>
  <c r="G366" i="3"/>
  <c r="I365" i="3"/>
  <c r="G365" i="3"/>
  <c r="I364" i="3"/>
  <c r="G364" i="3"/>
  <c r="I363" i="3"/>
  <c r="G363" i="3"/>
  <c r="I362" i="3"/>
  <c r="G362" i="3"/>
  <c r="I361" i="3"/>
  <c r="G361" i="3"/>
  <c r="I360" i="3"/>
  <c r="G360" i="3"/>
  <c r="I359" i="3"/>
  <c r="G359" i="3"/>
  <c r="I358" i="3"/>
  <c r="G358" i="3"/>
  <c r="I357" i="3"/>
  <c r="G357" i="3"/>
  <c r="I356" i="3"/>
  <c r="G356" i="3"/>
  <c r="I355" i="3"/>
  <c r="G355" i="3"/>
  <c r="I354" i="3"/>
  <c r="G354" i="3"/>
  <c r="I353" i="3"/>
  <c r="G353" i="3"/>
  <c r="I352" i="3"/>
  <c r="G352" i="3"/>
  <c r="I351" i="3"/>
  <c r="G351" i="3"/>
  <c r="I350" i="3"/>
  <c r="G350" i="3"/>
  <c r="I349" i="3"/>
  <c r="G349" i="3"/>
  <c r="I348" i="3"/>
  <c r="G348" i="3"/>
  <c r="I347" i="3"/>
  <c r="G347" i="3"/>
  <c r="I346" i="3"/>
  <c r="G346" i="3"/>
  <c r="I345" i="3"/>
  <c r="G345" i="3"/>
  <c r="I344" i="3"/>
  <c r="G344" i="3"/>
  <c r="I343" i="3"/>
  <c r="G343" i="3"/>
  <c r="I342" i="3"/>
  <c r="G342" i="3"/>
  <c r="I341" i="3"/>
  <c r="G341" i="3"/>
  <c r="J341" i="3" s="1"/>
  <c r="I340" i="3"/>
  <c r="G340" i="3"/>
  <c r="I339" i="3"/>
  <c r="G339" i="3"/>
  <c r="I338" i="3"/>
  <c r="G338" i="3"/>
  <c r="I337" i="3"/>
  <c r="G337" i="3"/>
  <c r="I336" i="3"/>
  <c r="G336" i="3"/>
  <c r="I335" i="3"/>
  <c r="G335" i="3"/>
  <c r="I334" i="3"/>
  <c r="G334" i="3"/>
  <c r="I333" i="3"/>
  <c r="G333" i="3"/>
  <c r="I332" i="3"/>
  <c r="G332" i="3"/>
  <c r="I331" i="3"/>
  <c r="G331" i="3"/>
  <c r="I330" i="3"/>
  <c r="G330" i="3"/>
  <c r="I329" i="3"/>
  <c r="G329" i="3"/>
  <c r="I328" i="3"/>
  <c r="G328" i="3"/>
  <c r="I327" i="3"/>
  <c r="G327" i="3"/>
  <c r="I326" i="3"/>
  <c r="G326" i="3"/>
  <c r="I325" i="3"/>
  <c r="G325" i="3"/>
  <c r="I324" i="3"/>
  <c r="G324" i="3"/>
  <c r="I323" i="3"/>
  <c r="G323" i="3"/>
  <c r="I322" i="3"/>
  <c r="G322" i="3"/>
  <c r="I321" i="3"/>
  <c r="G321" i="3"/>
  <c r="I320" i="3"/>
  <c r="G320" i="3"/>
  <c r="I319" i="3"/>
  <c r="G319" i="3"/>
  <c r="I318" i="3"/>
  <c r="G318" i="3"/>
  <c r="I317" i="3"/>
  <c r="G317" i="3"/>
  <c r="I316" i="3"/>
  <c r="G316" i="3"/>
  <c r="I315" i="3"/>
  <c r="G315" i="3"/>
  <c r="I314" i="3"/>
  <c r="G314" i="3"/>
  <c r="I313" i="3"/>
  <c r="G313" i="3"/>
  <c r="I312" i="3"/>
  <c r="G312" i="3"/>
  <c r="I311" i="3"/>
  <c r="G311" i="3"/>
  <c r="I310" i="3"/>
  <c r="G310" i="3"/>
  <c r="I309" i="3"/>
  <c r="G309" i="3"/>
  <c r="I308" i="3"/>
  <c r="G308" i="3"/>
  <c r="I307" i="3"/>
  <c r="G307" i="3"/>
  <c r="I306" i="3"/>
  <c r="G306" i="3"/>
  <c r="I305" i="3"/>
  <c r="G305" i="3"/>
  <c r="I304" i="3"/>
  <c r="G304" i="3"/>
  <c r="I303" i="3"/>
  <c r="G303" i="3"/>
  <c r="I302" i="3"/>
  <c r="G302" i="3"/>
  <c r="I301" i="3"/>
  <c r="G301" i="3"/>
  <c r="I300" i="3"/>
  <c r="G300" i="3"/>
  <c r="I299" i="3"/>
  <c r="G299" i="3"/>
  <c r="I298" i="3"/>
  <c r="G298" i="3"/>
  <c r="I297" i="3"/>
  <c r="G297" i="3"/>
  <c r="I296" i="3"/>
  <c r="G296" i="3"/>
  <c r="I295" i="3"/>
  <c r="G295" i="3"/>
  <c r="I294" i="3"/>
  <c r="G294" i="3"/>
  <c r="I293" i="3"/>
  <c r="G293" i="3"/>
  <c r="I292" i="3"/>
  <c r="G292" i="3"/>
  <c r="I291" i="3"/>
  <c r="G291" i="3"/>
  <c r="I290" i="3"/>
  <c r="G290" i="3"/>
  <c r="I289" i="3"/>
  <c r="G289" i="3"/>
  <c r="I288" i="3"/>
  <c r="G288" i="3"/>
  <c r="I287" i="3"/>
  <c r="G287" i="3"/>
  <c r="I286" i="3"/>
  <c r="G286" i="3"/>
  <c r="I285" i="3"/>
  <c r="G285" i="3"/>
  <c r="I284" i="3"/>
  <c r="G284" i="3"/>
  <c r="I283" i="3"/>
  <c r="G283" i="3"/>
  <c r="I282" i="3"/>
  <c r="G282" i="3"/>
  <c r="I281" i="3"/>
  <c r="G281" i="3"/>
  <c r="I280" i="3"/>
  <c r="G280" i="3"/>
  <c r="I279" i="3"/>
  <c r="G279" i="3"/>
  <c r="I278" i="3"/>
  <c r="G278" i="3"/>
  <c r="I277" i="3"/>
  <c r="G277" i="3"/>
  <c r="I276" i="3"/>
  <c r="G276" i="3"/>
  <c r="I275" i="3"/>
  <c r="G275" i="3"/>
  <c r="I274" i="3"/>
  <c r="G274" i="3"/>
  <c r="I273" i="3"/>
  <c r="G273" i="3"/>
  <c r="I272" i="3"/>
  <c r="G272" i="3"/>
  <c r="I271" i="3"/>
  <c r="G271" i="3"/>
  <c r="I270" i="3"/>
  <c r="G270" i="3"/>
  <c r="I269" i="3"/>
  <c r="G269" i="3"/>
  <c r="I268" i="3"/>
  <c r="G268" i="3"/>
  <c r="I267" i="3"/>
  <c r="G267" i="3"/>
  <c r="I266" i="3"/>
  <c r="G266" i="3"/>
  <c r="I265" i="3"/>
  <c r="G265" i="3"/>
  <c r="I264" i="3"/>
  <c r="G264" i="3"/>
  <c r="I263" i="3"/>
  <c r="G263" i="3"/>
  <c r="I262" i="3"/>
  <c r="G262" i="3"/>
  <c r="I261" i="3"/>
  <c r="G261" i="3"/>
  <c r="I260" i="3"/>
  <c r="G260" i="3"/>
  <c r="I259" i="3"/>
  <c r="G259" i="3"/>
  <c r="I258" i="3"/>
  <c r="G258" i="3"/>
  <c r="I257" i="3"/>
  <c r="G257" i="3"/>
  <c r="I256" i="3"/>
  <c r="G256" i="3"/>
  <c r="I255" i="3"/>
  <c r="G255" i="3"/>
  <c r="I254" i="3"/>
  <c r="G254" i="3"/>
  <c r="I253" i="3"/>
  <c r="G253" i="3"/>
  <c r="I252" i="3"/>
  <c r="G252" i="3"/>
  <c r="I251" i="3"/>
  <c r="G251" i="3"/>
  <c r="I250" i="3"/>
  <c r="G250" i="3"/>
  <c r="I249" i="3"/>
  <c r="G249" i="3"/>
  <c r="I248" i="3"/>
  <c r="G248" i="3"/>
  <c r="I247" i="3"/>
  <c r="G247" i="3"/>
  <c r="I246" i="3"/>
  <c r="G246" i="3"/>
  <c r="I245" i="3"/>
  <c r="G245" i="3"/>
  <c r="I244" i="3"/>
  <c r="G244" i="3"/>
  <c r="I243" i="3"/>
  <c r="G243" i="3"/>
  <c r="I242" i="3"/>
  <c r="G242" i="3"/>
  <c r="I241" i="3"/>
  <c r="G241" i="3"/>
  <c r="I240" i="3"/>
  <c r="G240" i="3"/>
  <c r="I239" i="3"/>
  <c r="G239" i="3"/>
  <c r="I238" i="3"/>
  <c r="G238" i="3"/>
  <c r="I237" i="3"/>
  <c r="G237" i="3"/>
  <c r="I236" i="3"/>
  <c r="G236" i="3"/>
  <c r="I235" i="3"/>
  <c r="G235" i="3"/>
  <c r="I234" i="3"/>
  <c r="G234" i="3"/>
  <c r="I233" i="3"/>
  <c r="G233" i="3"/>
  <c r="I232" i="3"/>
  <c r="G232" i="3"/>
  <c r="I231" i="3"/>
  <c r="G231" i="3"/>
  <c r="I230" i="3"/>
  <c r="G230" i="3"/>
  <c r="I229" i="3"/>
  <c r="G229" i="3"/>
  <c r="I228" i="3"/>
  <c r="G228" i="3"/>
  <c r="I227" i="3"/>
  <c r="G227" i="3"/>
  <c r="I226" i="3"/>
  <c r="G226" i="3"/>
  <c r="I225" i="3"/>
  <c r="G225" i="3"/>
  <c r="I224" i="3"/>
  <c r="G224" i="3"/>
  <c r="I223" i="3"/>
  <c r="G223" i="3"/>
  <c r="I222" i="3"/>
  <c r="G222" i="3"/>
  <c r="I221" i="3"/>
  <c r="G221" i="3"/>
  <c r="I220" i="3"/>
  <c r="G220" i="3"/>
  <c r="I219" i="3"/>
  <c r="G219" i="3"/>
  <c r="I218" i="3"/>
  <c r="G218" i="3"/>
  <c r="I217" i="3"/>
  <c r="G217" i="3"/>
  <c r="I216" i="3"/>
  <c r="G216" i="3"/>
  <c r="I215" i="3"/>
  <c r="G215" i="3"/>
  <c r="I214" i="3"/>
  <c r="G214" i="3"/>
  <c r="I213" i="3"/>
  <c r="G213" i="3"/>
  <c r="I212" i="3"/>
  <c r="G212" i="3"/>
  <c r="I211" i="3"/>
  <c r="G211" i="3"/>
  <c r="I210" i="3"/>
  <c r="G210" i="3"/>
  <c r="I209" i="3"/>
  <c r="G209" i="3"/>
  <c r="I208" i="3"/>
  <c r="G208" i="3"/>
  <c r="I207" i="3"/>
  <c r="G207" i="3"/>
  <c r="I206" i="3"/>
  <c r="G206" i="3"/>
  <c r="I205" i="3"/>
  <c r="G205" i="3"/>
  <c r="I204" i="3"/>
  <c r="G204" i="3"/>
  <c r="I203" i="3"/>
  <c r="G203" i="3"/>
  <c r="I202" i="3"/>
  <c r="G202" i="3"/>
  <c r="I201" i="3"/>
  <c r="G201" i="3"/>
  <c r="I200" i="3"/>
  <c r="G200" i="3"/>
  <c r="I199" i="3"/>
  <c r="G199" i="3"/>
  <c r="I198" i="3"/>
  <c r="G198" i="3"/>
  <c r="I197" i="3"/>
  <c r="G197" i="3"/>
  <c r="I196" i="3"/>
  <c r="G196" i="3"/>
  <c r="I195" i="3"/>
  <c r="G195" i="3"/>
  <c r="I194" i="3"/>
  <c r="G194" i="3"/>
  <c r="I193" i="3"/>
  <c r="G193" i="3"/>
  <c r="I192" i="3"/>
  <c r="G192" i="3"/>
  <c r="I191" i="3"/>
  <c r="G191" i="3"/>
  <c r="I190" i="3"/>
  <c r="G190" i="3"/>
  <c r="I189" i="3"/>
  <c r="G189" i="3"/>
  <c r="I188" i="3"/>
  <c r="G188" i="3"/>
  <c r="I187" i="3"/>
  <c r="G187" i="3"/>
  <c r="I186" i="3"/>
  <c r="G186" i="3"/>
  <c r="I185" i="3"/>
  <c r="G185" i="3"/>
  <c r="I184" i="3"/>
  <c r="G184" i="3"/>
  <c r="I183" i="3"/>
  <c r="G183" i="3"/>
  <c r="I182" i="3"/>
  <c r="G182" i="3"/>
  <c r="I181" i="3"/>
  <c r="G181" i="3"/>
  <c r="I180" i="3"/>
  <c r="G180" i="3"/>
  <c r="I179" i="3"/>
  <c r="G179" i="3"/>
  <c r="I178" i="3"/>
  <c r="G178" i="3"/>
  <c r="I177" i="3"/>
  <c r="G177" i="3"/>
  <c r="I176" i="3"/>
  <c r="G176" i="3"/>
  <c r="I175" i="3"/>
  <c r="G175" i="3"/>
  <c r="I174" i="3"/>
  <c r="G174" i="3"/>
  <c r="I173" i="3"/>
  <c r="G173" i="3"/>
  <c r="I172" i="3"/>
  <c r="G172" i="3"/>
  <c r="I171" i="3"/>
  <c r="G171" i="3"/>
  <c r="I170" i="3"/>
  <c r="G170" i="3"/>
  <c r="I169" i="3"/>
  <c r="G169" i="3"/>
  <c r="I168" i="3"/>
  <c r="G168" i="3"/>
  <c r="I167" i="3"/>
  <c r="G167" i="3"/>
  <c r="I166" i="3"/>
  <c r="G166" i="3"/>
  <c r="I165" i="3"/>
  <c r="G165" i="3"/>
  <c r="I164" i="3"/>
  <c r="G164" i="3"/>
  <c r="I163" i="3"/>
  <c r="G163" i="3"/>
  <c r="I162" i="3"/>
  <c r="G162" i="3"/>
  <c r="I161" i="3"/>
  <c r="G161" i="3"/>
  <c r="I160" i="3"/>
  <c r="G160" i="3"/>
  <c r="I159" i="3"/>
  <c r="G159" i="3"/>
  <c r="I158" i="3"/>
  <c r="G158" i="3"/>
  <c r="I157" i="3"/>
  <c r="G157" i="3"/>
  <c r="I156" i="3"/>
  <c r="G156" i="3"/>
  <c r="I155" i="3"/>
  <c r="G155" i="3"/>
  <c r="I154" i="3"/>
  <c r="G154" i="3"/>
  <c r="I153" i="3"/>
  <c r="G153" i="3"/>
  <c r="I152" i="3"/>
  <c r="G152" i="3"/>
  <c r="I151" i="3"/>
  <c r="G151" i="3"/>
  <c r="I150" i="3"/>
  <c r="G150" i="3"/>
  <c r="I149" i="3"/>
  <c r="G149" i="3"/>
  <c r="I148" i="3"/>
  <c r="G148" i="3"/>
  <c r="I147" i="3"/>
  <c r="G147" i="3"/>
  <c r="I146" i="3"/>
  <c r="G146" i="3"/>
  <c r="I145" i="3"/>
  <c r="G145" i="3"/>
  <c r="I144" i="3"/>
  <c r="G144" i="3"/>
  <c r="I143" i="3"/>
  <c r="G143" i="3"/>
  <c r="I142" i="3"/>
  <c r="G142" i="3"/>
  <c r="I141" i="3"/>
  <c r="G141" i="3"/>
  <c r="I140" i="3"/>
  <c r="G140" i="3"/>
  <c r="I139" i="3"/>
  <c r="G139" i="3"/>
  <c r="I138" i="3"/>
  <c r="G138" i="3"/>
  <c r="I137" i="3"/>
  <c r="G137" i="3"/>
  <c r="I136" i="3"/>
  <c r="G136" i="3"/>
  <c r="I135" i="3"/>
  <c r="G135" i="3"/>
  <c r="I134" i="3"/>
  <c r="G134" i="3"/>
  <c r="I133" i="3"/>
  <c r="G133" i="3"/>
  <c r="I132" i="3"/>
  <c r="G132" i="3"/>
  <c r="I131" i="3"/>
  <c r="G131" i="3"/>
  <c r="I130" i="3"/>
  <c r="G130" i="3"/>
  <c r="I129" i="3"/>
  <c r="G129" i="3"/>
  <c r="I128" i="3"/>
  <c r="G128" i="3"/>
  <c r="I127" i="3"/>
  <c r="G127" i="3"/>
  <c r="I126" i="3"/>
  <c r="G126" i="3"/>
  <c r="I125" i="3"/>
  <c r="G125" i="3"/>
  <c r="I124" i="3"/>
  <c r="G124" i="3"/>
  <c r="I123" i="3"/>
  <c r="G123" i="3"/>
  <c r="I122" i="3"/>
  <c r="G122" i="3"/>
  <c r="I121" i="3"/>
  <c r="G121" i="3"/>
  <c r="I120" i="3"/>
  <c r="G120" i="3"/>
  <c r="I119" i="3"/>
  <c r="G119" i="3"/>
  <c r="I118" i="3"/>
  <c r="G118" i="3"/>
  <c r="I117" i="3"/>
  <c r="G117" i="3"/>
  <c r="I116" i="3"/>
  <c r="G116" i="3"/>
  <c r="I115" i="3"/>
  <c r="G115" i="3"/>
  <c r="I114" i="3"/>
  <c r="G114" i="3"/>
  <c r="I113" i="3"/>
  <c r="G113" i="3"/>
  <c r="I112" i="3"/>
  <c r="G112" i="3"/>
  <c r="I111" i="3"/>
  <c r="G111" i="3"/>
  <c r="I110" i="3"/>
  <c r="G110" i="3"/>
  <c r="I109" i="3"/>
  <c r="G109" i="3"/>
  <c r="I108" i="3"/>
  <c r="G108" i="3"/>
  <c r="I107" i="3"/>
  <c r="G107" i="3"/>
  <c r="I106" i="3"/>
  <c r="G106" i="3"/>
  <c r="I105" i="3"/>
  <c r="G105" i="3"/>
  <c r="I104" i="3"/>
  <c r="G104" i="3"/>
  <c r="I103" i="3"/>
  <c r="G103" i="3"/>
  <c r="I102" i="3"/>
  <c r="G102" i="3"/>
  <c r="I101" i="3"/>
  <c r="G101" i="3"/>
  <c r="I100" i="3"/>
  <c r="G100" i="3"/>
  <c r="I99" i="3"/>
  <c r="G99" i="3"/>
  <c r="I98" i="3"/>
  <c r="G98" i="3"/>
  <c r="I97" i="3"/>
  <c r="G97" i="3"/>
  <c r="I96" i="3"/>
  <c r="G96" i="3"/>
  <c r="I95" i="3"/>
  <c r="G95" i="3"/>
  <c r="I94" i="3"/>
  <c r="G94" i="3"/>
  <c r="I93" i="3"/>
  <c r="G93" i="3"/>
  <c r="I92" i="3"/>
  <c r="G92" i="3"/>
  <c r="I91" i="3"/>
  <c r="G91" i="3"/>
  <c r="I90" i="3"/>
  <c r="G90" i="3"/>
  <c r="I89" i="3"/>
  <c r="G89" i="3"/>
  <c r="I88" i="3"/>
  <c r="G88" i="3"/>
  <c r="I87" i="3"/>
  <c r="G87" i="3"/>
  <c r="I86" i="3"/>
  <c r="G86" i="3"/>
  <c r="I85" i="3"/>
  <c r="G85" i="3"/>
  <c r="I84" i="3"/>
  <c r="G84" i="3"/>
  <c r="I83" i="3"/>
  <c r="G83" i="3"/>
  <c r="I82" i="3"/>
  <c r="G82" i="3"/>
  <c r="I81" i="3"/>
  <c r="G81" i="3"/>
  <c r="I80" i="3"/>
  <c r="G80" i="3"/>
  <c r="I79" i="3"/>
  <c r="G79" i="3"/>
  <c r="I78" i="3"/>
  <c r="G78" i="3"/>
  <c r="I77" i="3"/>
  <c r="G77" i="3"/>
  <c r="I76" i="3"/>
  <c r="G76" i="3"/>
  <c r="I75" i="3"/>
  <c r="G75" i="3"/>
  <c r="I74" i="3"/>
  <c r="G74" i="3"/>
  <c r="I73" i="3"/>
  <c r="G73" i="3"/>
  <c r="I72" i="3"/>
  <c r="G72" i="3"/>
  <c r="I71" i="3"/>
  <c r="G71" i="3"/>
  <c r="I70" i="3"/>
  <c r="G70" i="3"/>
  <c r="I69" i="3"/>
  <c r="G69" i="3"/>
  <c r="I68" i="3"/>
  <c r="G68" i="3"/>
  <c r="I67" i="3"/>
  <c r="G67" i="3"/>
  <c r="I66" i="3"/>
  <c r="G66" i="3"/>
  <c r="I65" i="3"/>
  <c r="G65" i="3"/>
  <c r="I64" i="3"/>
  <c r="G64" i="3"/>
  <c r="I63" i="3"/>
  <c r="G63" i="3"/>
  <c r="I62" i="3"/>
  <c r="G62" i="3"/>
  <c r="I61" i="3"/>
  <c r="G61" i="3"/>
  <c r="I60" i="3"/>
  <c r="G60" i="3"/>
  <c r="I59" i="3"/>
  <c r="G59" i="3"/>
  <c r="I58" i="3"/>
  <c r="G58" i="3"/>
  <c r="I57" i="3"/>
  <c r="G57" i="3"/>
  <c r="I56" i="3"/>
  <c r="G56" i="3"/>
  <c r="I55" i="3"/>
  <c r="G55" i="3"/>
  <c r="I54" i="3"/>
  <c r="G54" i="3"/>
  <c r="I53" i="3"/>
  <c r="G53" i="3"/>
  <c r="I52" i="3"/>
  <c r="G52" i="3"/>
  <c r="I51" i="3"/>
  <c r="G51" i="3"/>
  <c r="I50" i="3"/>
  <c r="G50" i="3"/>
  <c r="I49" i="3"/>
  <c r="G49" i="3"/>
  <c r="I48" i="3"/>
  <c r="G48" i="3"/>
  <c r="I47" i="3"/>
  <c r="G47" i="3"/>
  <c r="I46" i="3"/>
  <c r="G46" i="3"/>
  <c r="I45" i="3"/>
  <c r="G45" i="3"/>
  <c r="I44" i="3"/>
  <c r="G44" i="3"/>
  <c r="I43" i="3"/>
  <c r="G43" i="3"/>
  <c r="I42" i="3"/>
  <c r="G42" i="3"/>
  <c r="I41" i="3"/>
  <c r="G41" i="3"/>
  <c r="I40" i="3"/>
  <c r="G40" i="3"/>
  <c r="I39" i="3"/>
  <c r="G39" i="3"/>
  <c r="I38" i="3"/>
  <c r="G38" i="3"/>
  <c r="I37" i="3"/>
  <c r="G37" i="3"/>
  <c r="I36" i="3"/>
  <c r="G36" i="3"/>
  <c r="I35" i="3"/>
  <c r="G35" i="3"/>
  <c r="I34" i="3"/>
  <c r="G34" i="3"/>
  <c r="I33" i="3"/>
  <c r="G33" i="3"/>
  <c r="I32" i="3"/>
  <c r="G32" i="3"/>
  <c r="I31" i="3"/>
  <c r="G31" i="3"/>
  <c r="I30" i="3"/>
  <c r="G30" i="3"/>
  <c r="I29" i="3"/>
  <c r="G29" i="3"/>
  <c r="I28" i="3"/>
  <c r="G28" i="3"/>
  <c r="I27" i="3"/>
  <c r="G27" i="3"/>
  <c r="I26" i="3"/>
  <c r="G26" i="3"/>
  <c r="I25" i="3"/>
  <c r="G25" i="3"/>
  <c r="I24" i="3"/>
  <c r="G24" i="3"/>
  <c r="I23" i="3"/>
  <c r="G23" i="3"/>
  <c r="I22" i="3"/>
  <c r="G22" i="3"/>
  <c r="I21" i="3"/>
  <c r="G21" i="3"/>
  <c r="I20" i="3"/>
  <c r="G20" i="3"/>
  <c r="I19" i="3"/>
  <c r="G19" i="3"/>
  <c r="I18" i="3"/>
  <c r="G18" i="3"/>
  <c r="I17" i="3"/>
  <c r="G17" i="3"/>
  <c r="I16" i="3"/>
  <c r="G16" i="3"/>
  <c r="I15" i="3"/>
  <c r="G15" i="3"/>
  <c r="I14" i="3"/>
  <c r="G14" i="3"/>
  <c r="I13" i="3"/>
  <c r="G13" i="3"/>
  <c r="I12" i="3"/>
  <c r="G12" i="3"/>
  <c r="I11" i="3"/>
  <c r="G11" i="3"/>
  <c r="I10" i="3"/>
  <c r="G10" i="3"/>
  <c r="I9" i="3"/>
  <c r="G9" i="3"/>
  <c r="I8" i="3"/>
  <c r="G8" i="3"/>
  <c r="I7" i="3"/>
  <c r="G7" i="3"/>
  <c r="I6" i="3"/>
  <c r="G6" i="3"/>
  <c r="I5" i="3"/>
  <c r="G5" i="3"/>
  <c r="I4" i="3"/>
  <c r="G4" i="3"/>
  <c r="C15" i="1"/>
  <c r="E14" i="1"/>
  <c r="E8" i="1"/>
  <c r="E6" i="1"/>
  <c r="E3" i="1"/>
  <c r="E2" i="1"/>
  <c r="I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6" authorId="0" shapeId="0" xr:uid="{00000000-0006-0000-0200-000001000000}">
      <text>
        <r>
          <rPr>
            <sz val="10"/>
            <color rgb="FF000000"/>
            <rFont val="Arial"/>
          </rPr>
          <t>Haverá "centro de reinserção" ou algo assim? Verificar...
	-Miguel Azenha</t>
        </r>
      </text>
    </comment>
  </commentList>
</comments>
</file>

<file path=xl/sharedStrings.xml><?xml version="1.0" encoding="utf-8"?>
<sst xmlns="http://schemas.openxmlformats.org/spreadsheetml/2006/main" count="61711" uniqueCount="37282">
  <si>
    <t>No.</t>
  </si>
  <si>
    <t>Tabela</t>
  </si>
  <si>
    <t>Nº de termos</t>
  </si>
  <si>
    <t>Tradução LNEC</t>
  </si>
  <si>
    <t>Dissertação</t>
  </si>
  <si>
    <t>Tradução</t>
  </si>
  <si>
    <t>Revisão</t>
  </si>
  <si>
    <t>Status</t>
  </si>
  <si>
    <t>Comentários gerais na categoria</t>
  </si>
  <si>
    <t>Co - Complexes</t>
  </si>
  <si>
    <t>Extraida do PDF de Teresa Poejo por MA.</t>
  </si>
  <si>
    <t>LNEC, RPR</t>
  </si>
  <si>
    <t>Traduzido, falta revisão.</t>
  </si>
  <si>
    <t>This describes a project in overall terms. It can be a private house with garden, drive, garage and tool shed, or it can be a University campus with buildings for lecturing, administration, sport, halls of residence, etc. Rail networks and airports are also all examples of complexes.</t>
  </si>
  <si>
    <t>Complexo (Merrian-Webster ) é "building or group of buildings housing related units". Chamar edifícios não me parece bem pois na Tabela En_1.13 temos edifícios individuais e se chamamos aqui Edifícios mudamos apenas de singular para plural. Por outro lado algumas infraestruturas só aparecem nesta tabela.</t>
  </si>
  <si>
    <t>En - Entities</t>
  </si>
  <si>
    <t>Extraida do PDF de Teresa Poejo por RPR.</t>
  </si>
  <si>
    <t>LNEC, RPR, LC</t>
  </si>
  <si>
    <t>Tradução em curso - RPR e LC até 6/9</t>
  </si>
  <si>
    <t>Entities are discrete things like buildings, bridges, tunnels etc. They provide the areas where different activities occur. Within the holiday village above is a restaurant which is an Entity.</t>
  </si>
  <si>
    <t>Ac - Activities</t>
  </si>
  <si>
    <t>Não há</t>
  </si>
  <si>
    <t>Tradução em curso por RPR, suspensa até terminar Co e En.</t>
  </si>
  <si>
    <t xml:space="preserve">The Activities table defines what user activities are accommodated in the complex, entity or space. For example a prison complex provides a Detention activity at a high level, but can also be broken down into individual activities like exercise, sleeping, eating, working, etc.
The Activities table also includes project management, surveys, operation and maintenance and services. The user activities of dining and access are provided for by the Spaces in the restaurant
</t>
  </si>
  <si>
    <t xml:space="preserve">Na tradução do LNEC traduz-se Entidades em Edifícios, o que está de acordo com o espírito do Uniclass: "Entities are discrete things like buildings, bridges, tunnels etc. They provide the areas where different activities occur" https://www.thenbs.com/knowledge/what-is-uniclass-2015 
</t>
  </si>
  <si>
    <t>SL - Spaces/ locations</t>
  </si>
  <si>
    <t xml:space="preserve">In buildings, spaces are provided for various activities to take place. In some cases a space is only suitable for one activity, for example a kitchen, but a school hall may be used for assemblies, lunches, sports, concerts and dramas. For linear entities, such as transport corridors, the term location is more appropriate than space for breaking the project into suitable sections. For example, transport corridors that run between two locations, such as London Kings Cross to Newcastle, or the M1 from London to Leeds.
</t>
  </si>
  <si>
    <t>EF - Elements/ functions</t>
  </si>
  <si>
    <t>Fornecida por Paula Couto</t>
  </si>
  <si>
    <t>Elements are the main components of a building (floors, walls and roofs) or of a structure like a bridge (foundations, piers, deck). Functions are the building services to be provided and managed.</t>
  </si>
  <si>
    <t>Ss - Systems</t>
  </si>
  <si>
    <t xml:space="preserve">Either one or more Systems are collected together to describe an element or a function. Systems are collections of products, for example, a system for a timber pitched roof includes timber structural members, boards, fastenings, etc.; and a low temperature hot water heating system includes a boiler, pipework, tank, radiators, etc. A signal system for a railway is made up of signals, detection and warning equipment, posts, cables, etc.; and a scum removal system, part of a wastewater treatment entity, includes scum containers, scum pipelines, valves, pumps, etc.
</t>
  </si>
  <si>
    <t>Pr - Products</t>
  </si>
  <si>
    <t>Finally, the individual products used to construct a system can be specified, e.g. joist hangers, terrazzo tiles, gas fired boilers.</t>
  </si>
  <si>
    <t>TE - Tools and Equipment</t>
  </si>
  <si>
    <t>The Tools and equipment table includes lists of plant, equipment and tools for carrying out the construction of a project and the maintenance of a project.</t>
  </si>
  <si>
    <t>PM - Project management</t>
  </si>
  <si>
    <t>A caminho</t>
  </si>
  <si>
    <t>F Mesquita</t>
  </si>
  <si>
    <t>The Project management table includes classification codes for information for use throughout the life cycle of a project.</t>
  </si>
  <si>
    <t>Zz - CAD</t>
  </si>
  <si>
    <t>FI - Form of information</t>
  </si>
  <si>
    <t>The Form of Information table includes codes for the type of information format. For example, Communication includes Brochure, Correspondence and Memo; Graphical includes Animation file, Model – Three dimension, Photograph; and Record information includes Certificate, Plan, Report and Survey. The table does not include details of content.</t>
  </si>
  <si>
    <t>Ro - Roles</t>
  </si>
  <si>
    <t>Pp - Propriedades (LNEC)</t>
  </si>
  <si>
    <t>Total</t>
  </si>
  <si>
    <t>Português</t>
  </si>
  <si>
    <t>Inglês</t>
  </si>
  <si>
    <t>Hipótese 1</t>
  </si>
  <si>
    <t>Hipótese 2</t>
  </si>
  <si>
    <t>Hipótese 3</t>
  </si>
  <si>
    <t>Hipótese 4</t>
  </si>
  <si>
    <t>Hipótese 5</t>
  </si>
  <si>
    <t>Hipótese 6</t>
  </si>
  <si>
    <t>Comentários (iniciais)</t>
  </si>
  <si>
    <t>survey / surveying</t>
  </si>
  <si>
    <t>levantamento</t>
  </si>
  <si>
    <t>sondagem</t>
  </si>
  <si>
    <t>inspeção</t>
  </si>
  <si>
    <t>remediation</t>
  </si>
  <si>
    <t>Co Complexes - 31 July 2019 - v1.8</t>
  </si>
  <si>
    <t>Code</t>
  </si>
  <si>
    <t>Group</t>
  </si>
  <si>
    <t>Sub group</t>
  </si>
  <si>
    <t>Section</t>
  </si>
  <si>
    <t>Object</t>
  </si>
  <si>
    <t>Title</t>
  </si>
  <si>
    <t>PT (Google Translate)</t>
  </si>
  <si>
    <t>PT (RPR)</t>
  </si>
  <si>
    <t>PT (LNEC)</t>
  </si>
  <si>
    <t>PT (Consolidado)</t>
  </si>
  <si>
    <t>Comentarios Finais</t>
  </si>
  <si>
    <t>Comentários Ricardo Hilário</t>
  </si>
  <si>
    <t>Com. Miguel Azenha</t>
  </si>
  <si>
    <t>Com. Marta Campos</t>
  </si>
  <si>
    <t>Comentários JPPM</t>
  </si>
  <si>
    <t>Comentários Luís Coroado</t>
  </si>
  <si>
    <t>Comentários Paulo Monteiro</t>
  </si>
  <si>
    <t>NBS Code</t>
  </si>
  <si>
    <t>NRM</t>
  </si>
  <si>
    <t>Co_20</t>
  </si>
  <si>
    <t>Administrative, commercial and protective service complexes</t>
  </si>
  <si>
    <t>Complexos de serviços administrativos, comerciais e de segurança</t>
  </si>
  <si>
    <t>Consolidado 6/9/2019</t>
  </si>
  <si>
    <t>OK com Consolidado</t>
  </si>
  <si>
    <t>Aqui preferia seguir a proposta do Paulo Monteiro ("Complexos de edifícios de/para...") ou em alternativa omitir a palavra "complexos" em cada linha ("Edifícios de/para...") e admitir que todos os itens já são baptizados de "complexos" a partir do título da tabela. Nesta 1ª linha a tradução até me parece OK, mas rapidamente aparecem os "Complexos Comerciais", etc. e já não me soa bem. Este comentário aplica-se, naturalmente, a todos os itens abaixo.</t>
  </si>
  <si>
    <t>Parece-me melhor "Complexo de Edificios..." ou só "Edificios..."</t>
  </si>
  <si>
    <t>Co_20_10</t>
  </si>
  <si>
    <t>Legislative complexes</t>
  </si>
  <si>
    <t>Complexos legislativos</t>
  </si>
  <si>
    <t>Co_20_10_60</t>
  </si>
  <si>
    <t>Governmental complexes</t>
  </si>
  <si>
    <t>Complexos governamentais</t>
  </si>
  <si>
    <t>Co_20_15</t>
  </si>
  <si>
    <t>Administrative complexes</t>
  </si>
  <si>
    <t>Complexos administrativos</t>
  </si>
  <si>
    <t>Co_20_15_08</t>
  </si>
  <si>
    <t>Business parks</t>
  </si>
  <si>
    <t>Parques empresariais</t>
  </si>
  <si>
    <t>Co_20_15_58</t>
  </si>
  <si>
    <t>Office complexes</t>
  </si>
  <si>
    <t>Complexos de escritórios</t>
  </si>
  <si>
    <t>Co_20_20</t>
  </si>
  <si>
    <t>Secular representative complexes</t>
  </si>
  <si>
    <t>Complexos de representação laica</t>
  </si>
  <si>
    <t>Complexos de administração pública</t>
  </si>
  <si>
    <t>Co_20_20_15</t>
  </si>
  <si>
    <t>Complexes for representatives of nation states abroad</t>
  </si>
  <si>
    <t>Complexos de representação de estados no estrangeiro</t>
  </si>
  <si>
    <t xml:space="preserve">Complexos de representação de estados no estrangeiro </t>
  </si>
  <si>
    <t xml:space="preserve">Complexos de edifícios de representação de estados no estrangeiro </t>
  </si>
  <si>
    <t>Co_20_20_40</t>
  </si>
  <si>
    <t>Local government complexes</t>
  </si>
  <si>
    <t>Complexos de governo local</t>
  </si>
  <si>
    <t>Complexos governamentais locais</t>
  </si>
  <si>
    <t>OK com Marta Campos</t>
  </si>
  <si>
    <t>Co_20_20_50</t>
  </si>
  <si>
    <t>National government complexes</t>
  </si>
  <si>
    <t>Complexos governamentais nacionais</t>
  </si>
  <si>
    <t>...de governo nacional (homogeneizar com anterior)</t>
  </si>
  <si>
    <t>Co_20_20_70</t>
  </si>
  <si>
    <t>Regional government complexes</t>
  </si>
  <si>
    <t>Complexos governamentais regionais</t>
  </si>
  <si>
    <t>...de governo regional (idem)</t>
  </si>
  <si>
    <t>não seria mais coerente manter o termo Complexos?(Complexos governamentais regionais)</t>
  </si>
  <si>
    <t>OK com o Luis Coroado</t>
  </si>
  <si>
    <t>Co_20_45</t>
  </si>
  <si>
    <t>Motor vehicle maintenance and fuelling complexes</t>
  </si>
  <si>
    <t>Complexos de manutenção e abastecimento automóvel</t>
  </si>
  <si>
    <t>Complexos de manutenção e abastecimento de veículos motorizados</t>
  </si>
  <si>
    <t>É para todo o tipo de veículos. Proponho deixar apenas veículo (Centros de manutenção e abastecimento de veículos)</t>
  </si>
  <si>
    <t>Co_20_45_50</t>
  </si>
  <si>
    <t>Motor vehicle fuelling and charging stations</t>
  </si>
  <si>
    <t xml:space="preserve">Estações de abastecimento e carregamento de veículos automóveis </t>
  </si>
  <si>
    <t xml:space="preserve">Complexos de abastecimento e carregamento de veículos motorizados </t>
  </si>
  <si>
    <t>É para todo o tipo de veículos. Proponho deixar apenas veículo (Estações de abastecimento e carregamento de veículos)ou (Estações de Serviço)</t>
  </si>
  <si>
    <t>Co_20_45_54</t>
  </si>
  <si>
    <t>Motor vehicle servicing complexes</t>
  </si>
  <si>
    <t>Complexos de manutenção de veículos automóveis</t>
  </si>
  <si>
    <t>Complexos de reparação de veículos motorizados</t>
  </si>
  <si>
    <t>É para todo o tipo de veículos. Proponho deixar apenas veículo (Complexos de manutenção de veículos)</t>
  </si>
  <si>
    <t>Co_20_50</t>
  </si>
  <si>
    <t>Commercial complexes</t>
  </si>
  <si>
    <t>Complexos comerciais</t>
  </si>
  <si>
    <t>Complexos de atividade comercial</t>
  </si>
  <si>
    <t>Co_20_50_05</t>
  </si>
  <si>
    <t>Auction complexes</t>
  </si>
  <si>
    <t>Complexos de leiloeiras</t>
  </si>
  <si>
    <t>Complexos de atividade leiloeira</t>
  </si>
  <si>
    <t>Co_20_50_50</t>
  </si>
  <si>
    <t>Market complexes</t>
  </si>
  <si>
    <t>Complexos de mercados</t>
  </si>
  <si>
    <t>Co_20_50_53</t>
  </si>
  <si>
    <t>Mixed use complexes</t>
  </si>
  <si>
    <t>Complexos de utilização mista</t>
  </si>
  <si>
    <t>Co_20_50_60</t>
  </si>
  <si>
    <t>Parade of shops</t>
  </si>
  <si>
    <t>Galerias comerciais</t>
  </si>
  <si>
    <t>Conjuntos de lojas de comércio local</t>
  </si>
  <si>
    <t>Penso que assim é sinónimo de centro comercial. Não tenho a certeza, mas "Parade of shops" parece referir-se a um conjunto de lojas de rua. Se for assim, podia ser "Conjuntos de lojas de comércio local".</t>
  </si>
  <si>
    <t>Co_20_50_71</t>
  </si>
  <si>
    <t>Retail parks</t>
  </si>
  <si>
    <t>Parques de retalho</t>
  </si>
  <si>
    <t>Co_20_50_78</t>
  </si>
  <si>
    <t>Shopping complexes</t>
  </si>
  <si>
    <t>Centros comerciais</t>
  </si>
  <si>
    <t>Co_20_50_94</t>
  </si>
  <si>
    <t>Vehicle sales complexes</t>
  </si>
  <si>
    <t>Complexos de vendas de veículos</t>
  </si>
  <si>
    <t>Complexos de venda de veículos</t>
  </si>
  <si>
    <t>Co_20_55</t>
  </si>
  <si>
    <t>Postal complexes</t>
  </si>
  <si>
    <t>Complexos postais</t>
  </si>
  <si>
    <t>Complexos de edifícios dos correios</t>
  </si>
  <si>
    <t>Co_20_55_10</t>
  </si>
  <si>
    <t>Postal communications complexes</t>
  </si>
  <si>
    <t>Complexos de comunicações postal</t>
  </si>
  <si>
    <t>Complexos de comunicações postais</t>
  </si>
  <si>
    <t>Complexos de logistica e distribuição postal_ou_ Complexos de logistica e expedição postal</t>
  </si>
  <si>
    <t>Co_20_60</t>
  </si>
  <si>
    <t>Military complexes</t>
  </si>
  <si>
    <t>Complexos militares</t>
  </si>
  <si>
    <t>Co_20_60_02</t>
  </si>
  <si>
    <t>Air force complexes</t>
  </si>
  <si>
    <t>Complexos da Força Aérea</t>
  </si>
  <si>
    <t>Co_20_60_10</t>
  </si>
  <si>
    <t>Army complexes</t>
  </si>
  <si>
    <t>Complexos do Exército</t>
  </si>
  <si>
    <t>Co_20_60_56</t>
  </si>
  <si>
    <t>Navy complexes</t>
  </si>
  <si>
    <t>Complexos da Marinha</t>
  </si>
  <si>
    <t>Co_20_65</t>
  </si>
  <si>
    <t>Law enforcement complexes</t>
  </si>
  <si>
    <t>Complexos de forças de segurança</t>
  </si>
  <si>
    <t>Complexos de forças de segurança pública</t>
  </si>
  <si>
    <t>Co_20_65_56</t>
  </si>
  <si>
    <t>Law enforcement agency complexes</t>
  </si>
  <si>
    <t>Complexos de agências de segurança pública</t>
  </si>
  <si>
    <t>Co_20_70</t>
  </si>
  <si>
    <t>Judicial complexes</t>
  </si>
  <si>
    <t>Complexos judiciais</t>
  </si>
  <si>
    <t>Co_20_70_18</t>
  </si>
  <si>
    <t>Court complexes</t>
  </si>
  <si>
    <t>Complexos de tribunais</t>
  </si>
  <si>
    <t>Co_20_70_65</t>
  </si>
  <si>
    <t>Probation complexes</t>
  </si>
  <si>
    <t>Complexos de liberdade condicional</t>
  </si>
  <si>
    <t>De reinserção? acho que aqui precisamos de um input de um jurista!</t>
  </si>
  <si>
    <t>Co_20_75</t>
  </si>
  <si>
    <t>Detention complexes</t>
  </si>
  <si>
    <t>Complexos de detenção</t>
  </si>
  <si>
    <t>Co_20_75_42</t>
  </si>
  <si>
    <t>Immigrant detention complexes</t>
  </si>
  <si>
    <t>Complexos de detenção de imigrantes</t>
  </si>
  <si>
    <t>Co_20_75_64</t>
  </si>
  <si>
    <t>Prison complexes</t>
  </si>
  <si>
    <t>Complexos prisionais</t>
  </si>
  <si>
    <t>Co_20_75_71</t>
  </si>
  <si>
    <t>Refugee detention complexes</t>
  </si>
  <si>
    <t>Complexos de detenção de refugiados</t>
  </si>
  <si>
    <t>Co_20_80</t>
  </si>
  <si>
    <t>Weapons training complexes</t>
  </si>
  <si>
    <t>Complexos de treino de armas</t>
  </si>
  <si>
    <t>Complexos de treino com armas</t>
  </si>
  <si>
    <r>
      <t xml:space="preserve">Complexos de teino </t>
    </r>
    <r>
      <rPr>
        <b/>
        <sz val="10"/>
        <rFont val="Arial"/>
        <family val="2"/>
      </rPr>
      <t>com</t>
    </r>
    <r>
      <rPr>
        <sz val="10"/>
        <color rgb="FF000000"/>
        <rFont val="Arial"/>
      </rPr>
      <t xml:space="preserve"> armas</t>
    </r>
  </si>
  <si>
    <t>Co_20_80_04</t>
  </si>
  <si>
    <t>Artillery firing range complexes</t>
  </si>
  <si>
    <t>Carreiras de tiro de artilharia</t>
  </si>
  <si>
    <t>Co_20_80_80</t>
  </si>
  <si>
    <t>Small arms firing range complexes</t>
  </si>
  <si>
    <t>Carreiras de tiro de armas de pequeno porte</t>
  </si>
  <si>
    <t>Co_20_90</t>
  </si>
  <si>
    <t>Incident support complexes</t>
  </si>
  <si>
    <t>Complexos de suporte a incidentes</t>
  </si>
  <si>
    <t>Complexos de suporte a emergência</t>
  </si>
  <si>
    <t>de suporte em caso de acidente</t>
  </si>
  <si>
    <t>Insfraestruturas de suporte a emergências</t>
  </si>
  <si>
    <t>Co_20_90_02</t>
  </si>
  <si>
    <t>Air and sea rescue complexes</t>
  </si>
  <si>
    <t>Complexos de resgate aéreo e marítimo</t>
  </si>
  <si>
    <t>OK com ConsolidadoOK com Consolidado</t>
  </si>
  <si>
    <t>Co_20_90_16</t>
  </si>
  <si>
    <t>Coast guard stations</t>
  </si>
  <si>
    <t>Estações da guarda costeira</t>
  </si>
  <si>
    <t>Bases e estações da Guarda Costeira</t>
  </si>
  <si>
    <t>Bases da Guarda Costeira</t>
  </si>
  <si>
    <t>Co_20_90_27</t>
  </si>
  <si>
    <t>Fire brigade complexes</t>
  </si>
  <si>
    <t>Complexos de brigadas de combate ao fogo</t>
  </si>
  <si>
    <t>Quartéis de bombeiros</t>
  </si>
  <si>
    <t>Co_20_90_47</t>
  </si>
  <si>
    <t>Life boat stations</t>
  </si>
  <si>
    <t>Estações de salva-vidas</t>
  </si>
  <si>
    <t>Estações salva-vidas</t>
  </si>
  <si>
    <t>de embarcações salva-vidas</t>
  </si>
  <si>
    <t>Co_20_90_53</t>
  </si>
  <si>
    <t>Mountain rescue complexes</t>
  </si>
  <si>
    <t>Complexos de resgate de montanha</t>
  </si>
  <si>
    <t>Co_25</t>
  </si>
  <si>
    <t>Cultural, educational, scientific and information complexes</t>
  </si>
  <si>
    <t>Complexos culturais, educacionais, científicos e de informação</t>
  </si>
  <si>
    <t>Complexos… em vez de Centros, para manter a coerencia.</t>
  </si>
  <si>
    <t>Co_25_05</t>
  </si>
  <si>
    <t>Commemorative complexes</t>
  </si>
  <si>
    <t>Complexos comemorativos</t>
  </si>
  <si>
    <t>Co_25_10</t>
  </si>
  <si>
    <t>Educational complexes</t>
  </si>
  <si>
    <t>Complexos educacionais</t>
  </si>
  <si>
    <t>Centros Educacionais (para ser coerente com o anterior ou então udar tudo para complexos)</t>
  </si>
  <si>
    <t>Co_25_10_32</t>
  </si>
  <si>
    <t>Further education colleges</t>
  </si>
  <si>
    <t>Instituições de ensino superior e politécnico</t>
  </si>
  <si>
    <t>Instituições de ensino profissional</t>
  </si>
  <si>
    <t>Co_25_10_41</t>
  </si>
  <si>
    <t>Infant schools</t>
  </si>
  <si>
    <t>Escolas infantis</t>
  </si>
  <si>
    <t>Edifícios de educação infantil e pré-escolar</t>
  </si>
  <si>
    <t>Co_25_10_45</t>
  </si>
  <si>
    <t>Kindergartens, nurseries and pre-schools</t>
  </si>
  <si>
    <t>Jardins de infância, creches e pré-escolas</t>
  </si>
  <si>
    <t>Berçários e creches</t>
  </si>
  <si>
    <t>Infantários</t>
  </si>
  <si>
    <t>Co_25_10_66</t>
  </si>
  <si>
    <t>Primary schools</t>
  </si>
  <si>
    <t>Escolas primárias</t>
  </si>
  <si>
    <t>Escolas do ensino básico</t>
  </si>
  <si>
    <t>Co_25_10_77</t>
  </si>
  <si>
    <t>Secondary schools</t>
  </si>
  <si>
    <t>Escolas secundárias</t>
  </si>
  <si>
    <t>Escolas do ensino secundário</t>
  </si>
  <si>
    <t>Co_25_10_88</t>
  </si>
  <si>
    <t>Tertiary colleges</t>
  </si>
  <si>
    <t>Instituições de ensino superior</t>
  </si>
  <si>
    <t>Instituições de ensino de adultos</t>
  </si>
  <si>
    <t>Tertiary não está relacionado com terceira-idade mas com o terceiro ciclo</t>
  </si>
  <si>
    <t>Co_25_10_92</t>
  </si>
  <si>
    <t>Universities</t>
  </si>
  <si>
    <t>Universidades</t>
  </si>
  <si>
    <t>Co_25_30</t>
  </si>
  <si>
    <t>Scientific complexes</t>
  </si>
  <si>
    <t>Complexos científicos</t>
  </si>
  <si>
    <t>Centros científicos (para ser coerente com o anterior ou então udar tudo para complexos)</t>
  </si>
  <si>
    <t>Co_25_30_04</t>
  </si>
  <si>
    <t>Astronomical observatory complexes</t>
  </si>
  <si>
    <t>Complexos de observação astronómica</t>
  </si>
  <si>
    <t>Observatórios Astronómicos</t>
  </si>
  <si>
    <t>Co_25_30_08</t>
  </si>
  <si>
    <t>Botanic gardens</t>
  </si>
  <si>
    <t>Jardins botânicos</t>
  </si>
  <si>
    <t>Co_25_30_45</t>
  </si>
  <si>
    <t>Laboratory complexes</t>
  </si>
  <si>
    <t>Complexos laboratoriais</t>
  </si>
  <si>
    <t>Centros laboratoriais (para ser coerente com o anterior ou então udar tudo para complexos)</t>
  </si>
  <si>
    <t>Co_25_30_70</t>
  </si>
  <si>
    <t>Research complexes</t>
  </si>
  <si>
    <t>Complexos de investigação</t>
  </si>
  <si>
    <t>Centros de investigação (para ser coerente com o anterior ou então udar tudo para complexos)</t>
  </si>
  <si>
    <t>Co_25_50</t>
  </si>
  <si>
    <t>Exhibition complexes</t>
  </si>
  <si>
    <t>Complexos de exposição</t>
  </si>
  <si>
    <t>Centros de exposição (para ser coerente com o anterior ou então udar tudo para complexos)</t>
  </si>
  <si>
    <t>Co_25_50_03</t>
  </si>
  <si>
    <t>Art installations</t>
  </si>
  <si>
    <t>Instalações de arte</t>
  </si>
  <si>
    <t>Co_25_50_33</t>
  </si>
  <si>
    <t>Galleries</t>
  </si>
  <si>
    <t>Galerias</t>
  </si>
  <si>
    <t>Co_25_50_34</t>
  </si>
  <si>
    <t>Gardens and arboretums</t>
  </si>
  <si>
    <t>Jardins e viveiros</t>
  </si>
  <si>
    <t>Jardins e arboretos</t>
  </si>
  <si>
    <t>Co_25_50_50</t>
  </si>
  <si>
    <t>Memorial complexes</t>
  </si>
  <si>
    <t>Complexos memoriais</t>
  </si>
  <si>
    <t>Co_25_50_52</t>
  </si>
  <si>
    <t>Monument complexes</t>
  </si>
  <si>
    <t>Complexos monumentais</t>
  </si>
  <si>
    <t>Co_25_50_54</t>
  </si>
  <si>
    <t>Multi-purpose exhibition complexes</t>
  </si>
  <si>
    <t>Complexos de exposição polivalente</t>
  </si>
  <si>
    <t>Centros Multiusos</t>
  </si>
  <si>
    <t>Co_25_50_55</t>
  </si>
  <si>
    <t>Museums</t>
  </si>
  <si>
    <t>Museus</t>
  </si>
  <si>
    <t>Co_25_50_58</t>
  </si>
  <si>
    <t>Open air museums</t>
  </si>
  <si>
    <t>Museus ao ar livre</t>
  </si>
  <si>
    <t>Co_25_50_59</t>
  </si>
  <si>
    <t>Open air sculpture parks</t>
  </si>
  <si>
    <t>Parques de escultura ao ar livre</t>
  </si>
  <si>
    <t>Co_25_50_99</t>
  </si>
  <si>
    <t>Zoos</t>
  </si>
  <si>
    <t>Jardins Zoológicos</t>
  </si>
  <si>
    <t>Co_25_70</t>
  </si>
  <si>
    <t>Information complexes</t>
  </si>
  <si>
    <t>Complexos de informação</t>
  </si>
  <si>
    <t>Co_25_70_16</t>
  </si>
  <si>
    <t>Conference complexes</t>
  </si>
  <si>
    <t>Complexos para conferências</t>
  </si>
  <si>
    <t>Centros de conferências e congressos</t>
  </si>
  <si>
    <t>Co_25_70_23</t>
  </si>
  <si>
    <t>Document archives</t>
  </si>
  <si>
    <t>Arquivos documentais</t>
  </si>
  <si>
    <t>Arquivos</t>
  </si>
  <si>
    <t>Co_25_70_30</t>
  </si>
  <si>
    <t>Film archives</t>
  </si>
  <si>
    <t>Cinematecas</t>
  </si>
  <si>
    <t>Co_25_70_41</t>
  </si>
  <si>
    <t>Information centres</t>
  </si>
  <si>
    <t>Centros de informação</t>
  </si>
  <si>
    <t>Co_25_70_47</t>
  </si>
  <si>
    <t>Library complexes</t>
  </si>
  <si>
    <t>Complexos de bibliotecas</t>
  </si>
  <si>
    <t>Co_25_90</t>
  </si>
  <si>
    <t>Worship complexes</t>
  </si>
  <si>
    <t>Complexos de culto</t>
  </si>
  <si>
    <t>Centros de culto (quando usar complexos ou centros? Não encontro coerência!)</t>
  </si>
  <si>
    <t>Co_25_90_30</t>
  </si>
  <si>
    <t>Faith worship complexes</t>
  </si>
  <si>
    <t>Complexos de adoração</t>
  </si>
  <si>
    <t>Complexos de culto religioso</t>
  </si>
  <si>
    <t>Centros religiosos  (quando usar complexos ou centros? Não encontro coerência!)</t>
  </si>
  <si>
    <t>Co_30</t>
  </si>
  <si>
    <t>Industrial complexes</t>
  </si>
  <si>
    <t>Complexos industriais</t>
  </si>
  <si>
    <t>Co_30_10</t>
  </si>
  <si>
    <t>Mineral extraction complexes</t>
  </si>
  <si>
    <t>Complexos de extracção mineira</t>
  </si>
  <si>
    <t>Co_30_10_22</t>
  </si>
  <si>
    <t>Deep mines</t>
  </si>
  <si>
    <t>Minas profundas</t>
  </si>
  <si>
    <t>Co_30_10_24</t>
  </si>
  <si>
    <t>Drift mines</t>
  </si>
  <si>
    <t>Minas subterrâneas</t>
  </si>
  <si>
    <t>Minas</t>
  </si>
  <si>
    <t>Sei o que é mas não encontro tradução</t>
  </si>
  <si>
    <t>Co_30_10_51</t>
  </si>
  <si>
    <t>Methane hydrates extraction complexes</t>
  </si>
  <si>
    <t>Complexos de extração de hidratos de metano</t>
  </si>
  <si>
    <t>Co_30_10_61</t>
  </si>
  <si>
    <t>Open-cast mines</t>
  </si>
  <si>
    <t>Minas a céu aberto</t>
  </si>
  <si>
    <t>Co_30_10_69</t>
  </si>
  <si>
    <t>Quarries</t>
  </si>
  <si>
    <t>Pedreiras</t>
  </si>
  <si>
    <t>Co_30_10_77</t>
  </si>
  <si>
    <t>Shale gas extraction complexes</t>
  </si>
  <si>
    <t>Complexos de extracção de gás de xisto</t>
  </si>
  <si>
    <t>Co_30_10_78</t>
  </si>
  <si>
    <t>Shale oil extraction complexes</t>
  </si>
  <si>
    <t>Complexos de extracção de óleo de xisto</t>
  </si>
  <si>
    <t>Co_30_20</t>
  </si>
  <si>
    <t>Nuclear and chemical management complexes</t>
  </si>
  <si>
    <t>Complexos de gestão nucleares e químicos</t>
  </si>
  <si>
    <t>Co_30_20_80</t>
  </si>
  <si>
    <t>Surface radioactive waste management complexes</t>
  </si>
  <si>
    <t>Complexos de gestão de resíduos radioactivos à superfície</t>
  </si>
  <si>
    <t>Co_30_20_95</t>
  </si>
  <si>
    <t>Underground radioactive waste management complexes</t>
  </si>
  <si>
    <t>Complexos de gestão de resíduos radioactivos subterrâneos</t>
  </si>
  <si>
    <t>Co_30_30</t>
  </si>
  <si>
    <t>Mineral processing complexes</t>
  </si>
  <si>
    <t>Complexos de processamento de minerais</t>
  </si>
  <si>
    <t>Co_30_30_30</t>
  </si>
  <si>
    <t>Gas processing complexes</t>
  </si>
  <si>
    <t>Complexos de processamento de gás</t>
  </si>
  <si>
    <t>Co_30_30_50</t>
  </si>
  <si>
    <t>Oil processing complexes</t>
  </si>
  <si>
    <t>Complexos de processamento de petróleo</t>
  </si>
  <si>
    <t>Co_30_30_55</t>
  </si>
  <si>
    <t>Ore processing complexes</t>
  </si>
  <si>
    <t>Complexos de processamento de minério</t>
  </si>
  <si>
    <t>Co_30_40</t>
  </si>
  <si>
    <t>Animal and plant products processing complexes</t>
  </si>
  <si>
    <t>Complexos de processamento de produtos animais e vegetais</t>
  </si>
  <si>
    <t>Gosto mais da ideia do LNEC de chamar algo na óptica de "produtos derivados". Na minha anáilse pensei em "Complexos de processamento de produtos de origem animal e vegetal"</t>
  </si>
  <si>
    <t>Co_30_40_01</t>
  </si>
  <si>
    <t>Abattoirs</t>
  </si>
  <si>
    <t>Matadouros</t>
  </si>
  <si>
    <t>Co_30_40_03</t>
  </si>
  <si>
    <t>Animal product processing complexes</t>
  </si>
  <si>
    <t>Complexos de processamento de produtos animais</t>
  </si>
  <si>
    <t>O mesmo que o 30_40. "Complexos de processamento de produtos de origem animal"</t>
  </si>
  <si>
    <t>Co_30_40_04</t>
  </si>
  <si>
    <t>Arable crop processing complexes</t>
  </si>
  <si>
    <t>Complexos de processamento de grão</t>
  </si>
  <si>
    <t>Complexos de processamento de culturas arvenses</t>
  </si>
  <si>
    <t>O mesmo que o 30_40. "Complexos de processamento de produtos de origem vegetal"</t>
  </si>
  <si>
    <t>de processamento de colheitas agrícolas</t>
  </si>
  <si>
    <t>Co_30_40_06</t>
  </si>
  <si>
    <t>Bakeries</t>
  </si>
  <si>
    <t>Padarias</t>
  </si>
  <si>
    <t>Também poderia ser: Pastelarias ou os dois.</t>
  </si>
  <si>
    <t>Co_30_40_08</t>
  </si>
  <si>
    <t>Breweries</t>
  </si>
  <si>
    <t>Cervejarias</t>
  </si>
  <si>
    <t>Fábricas de cerveja</t>
  </si>
  <si>
    <t>Co_30_40_11</t>
  </si>
  <si>
    <t>Canneries</t>
  </si>
  <si>
    <t>Fábricas de conservas</t>
  </si>
  <si>
    <t>Co_30_40_22</t>
  </si>
  <si>
    <t>Distilleries</t>
  </si>
  <si>
    <t>Destilarias</t>
  </si>
  <si>
    <t>Co_30_40_30</t>
  </si>
  <si>
    <t>Fish processing complexes</t>
  </si>
  <si>
    <t>Complexos de processamento de peixe</t>
  </si>
  <si>
    <t>Co_30_40_40</t>
  </si>
  <si>
    <t>Horticultural crop processing complexes</t>
  </si>
  <si>
    <t>Complexos de processamento de hortícolas</t>
  </si>
  <si>
    <t>O mesmo que o 30_40. "Complexos de processamento de produtos hortículas"</t>
  </si>
  <si>
    <t>Co_30_40_55</t>
  </si>
  <si>
    <t>Mills</t>
  </si>
  <si>
    <t>Moagens</t>
  </si>
  <si>
    <t>Co_30_40_60</t>
  </si>
  <si>
    <t>Livestock processing complexes</t>
  </si>
  <si>
    <t>Complexos de processamento de gado</t>
  </si>
  <si>
    <t>Co_30_40_90</t>
  </si>
  <si>
    <t>Timber processing complexes</t>
  </si>
  <si>
    <t>Complexos de processamento de madeira</t>
  </si>
  <si>
    <t>Co_30_40_96</t>
  </si>
  <si>
    <t>Wineries</t>
  </si>
  <si>
    <t>Adegas</t>
  </si>
  <si>
    <t>Complexos vitivinícolas</t>
  </si>
  <si>
    <t>Co_30_50</t>
  </si>
  <si>
    <t>Manufacturing complexes</t>
  </si>
  <si>
    <t>Complexos de indústria secundária, ou, Complexos de produção (Complexos industriais está repetido em cima)</t>
  </si>
  <si>
    <t>Repetição de Co_30; É preciso uma descrição diferente! ...de manufactura industrial?</t>
  </si>
  <si>
    <t>está repetido (linha 84). Complexos industriais de sector secundário</t>
  </si>
  <si>
    <t>Co_30_50_37</t>
  </si>
  <si>
    <t>Heavy manufacturing complexes</t>
  </si>
  <si>
    <t>Complexos de produção pesada</t>
  </si>
  <si>
    <t>Complexos industriais de produção pesada</t>
  </si>
  <si>
    <t>Co_30_50_41</t>
  </si>
  <si>
    <t>Industrial parks</t>
  </si>
  <si>
    <t>Parques industriais</t>
  </si>
  <si>
    <t>Co_30_50_47</t>
  </si>
  <si>
    <t>Light manufacturing complexes</t>
  </si>
  <si>
    <t>Complexos de produção ligeira</t>
  </si>
  <si>
    <t>Complexos industriais de produção ligeira</t>
  </si>
  <si>
    <t>Complexos de insdústria secundária ligeira, ou, complexos de produção ligeira</t>
  </si>
  <si>
    <t>Co_30_50_77</t>
  </si>
  <si>
    <t>Ship and boat building yards</t>
  </si>
  <si>
    <t>Estaleiros</t>
  </si>
  <si>
    <t>Estaleiros navais</t>
  </si>
  <si>
    <t>Co_30_60</t>
  </si>
  <si>
    <t>Cleaning and maintenance complexes</t>
  </si>
  <si>
    <t>Complexos de limpeza e de manutenção</t>
  </si>
  <si>
    <t>Co_30_60_15</t>
  </si>
  <si>
    <t>Commercial laundries</t>
  </si>
  <si>
    <t>Lavandarias comerciais</t>
  </si>
  <si>
    <t>Co_30_60_94</t>
  </si>
  <si>
    <t>Vehicle cleaning complexes</t>
  </si>
  <si>
    <t>Complexos de limpeza de veículos</t>
  </si>
  <si>
    <t>Centros de limpeza de veículos (quando usar complexos ou centros? Não encontro coerência!)</t>
  </si>
  <si>
    <t>Co_30_80</t>
  </si>
  <si>
    <t>Mechanical power generation complexes</t>
  </si>
  <si>
    <t>Complexos de geração de energia mecânica</t>
  </si>
  <si>
    <t>Co_30_80_10</t>
  </si>
  <si>
    <t>Kinetic power generation complexes</t>
  </si>
  <si>
    <t>Complexos de geração de energia cinética</t>
  </si>
  <si>
    <t>Co_30_85</t>
  </si>
  <si>
    <t>Marine and water maintenance complexes</t>
  </si>
  <si>
    <t>Complexos de manutenção marinhos e aquáticos</t>
  </si>
  <si>
    <t>Co_30_90</t>
  </si>
  <si>
    <t>Warehousing and distribution complexes</t>
  </si>
  <si>
    <t>Complexos de armazenagem e distribuição</t>
  </si>
  <si>
    <t>Co_32</t>
  </si>
  <si>
    <t>Water and land management complexes</t>
  </si>
  <si>
    <t>Complexos de água e gestão de terras</t>
  </si>
  <si>
    <t>Complexos de gestão de água e território</t>
  </si>
  <si>
    <t>Co_32_10</t>
  </si>
  <si>
    <t>Agricultural and horticultural complexes</t>
  </si>
  <si>
    <t>Complexos agrícolas e hortícolas</t>
  </si>
  <si>
    <t>Co_32_10_02</t>
  </si>
  <si>
    <t>Arable farms</t>
  </si>
  <si>
    <t>Explorações agrícolas</t>
  </si>
  <si>
    <t>Co_32_10_15</t>
  </si>
  <si>
    <t>Crofts</t>
  </si>
  <si>
    <t>Quintas</t>
  </si>
  <si>
    <t>Co_32_10_28</t>
  </si>
  <si>
    <t>Fish farms</t>
  </si>
  <si>
    <t>Aquacultura</t>
  </si>
  <si>
    <t>Complexos de aquacultura</t>
  </si>
  <si>
    <t>Co_32_10_30</t>
  </si>
  <si>
    <t>Fish hatcheries</t>
  </si>
  <si>
    <t>Viveiros de peixe</t>
  </si>
  <si>
    <t>Não tenho a certeza, mas acho que aqui são centros de incubação (para distinguir de anterior)</t>
  </si>
  <si>
    <t>Co_32_10_39</t>
  </si>
  <si>
    <t>Horticultural nurseries</t>
  </si>
  <si>
    <t>Viveiros hortícolas</t>
  </si>
  <si>
    <t>Co_32_10_46</t>
  </si>
  <si>
    <t>Livestock farms</t>
  </si>
  <si>
    <t>Explorações pecuárias</t>
  </si>
  <si>
    <t>Co_32_10_50</t>
  </si>
  <si>
    <t>Managed forests</t>
  </si>
  <si>
    <t>Florestas sob gestão</t>
  </si>
  <si>
    <t>Florestas com exploração sustentável</t>
  </si>
  <si>
    <t>Co_32_10_58</t>
  </si>
  <si>
    <t>Orchards</t>
  </si>
  <si>
    <t>Pomares</t>
  </si>
  <si>
    <t>Co_32_10_94</t>
  </si>
  <si>
    <t>Vineyards</t>
  </si>
  <si>
    <t>Vinhas</t>
  </si>
  <si>
    <t>Co_32_20</t>
  </si>
  <si>
    <t>Designated areas</t>
  </si>
  <si>
    <t>Áreas designadas</t>
  </si>
  <si>
    <t>??</t>
  </si>
  <si>
    <t>Áreas classificadas</t>
  </si>
  <si>
    <t>Co_32_20_04</t>
  </si>
  <si>
    <t>Areas of special architectural or historical interest</t>
  </si>
  <si>
    <t>Áreas de especial interesse arquitectónico ou histórico</t>
  </si>
  <si>
    <t>Co_32_20_17</t>
  </si>
  <si>
    <t>Commons</t>
  </si>
  <si>
    <t>Baldios</t>
  </si>
  <si>
    <t>Co_32_20_22</t>
  </si>
  <si>
    <t>Designated archaeological sites</t>
  </si>
  <si>
    <t>Sítios arqueológicos</t>
  </si>
  <si>
    <t>Co_32_20_23</t>
  </si>
  <si>
    <t>Designated nature reserves</t>
  </si>
  <si>
    <t>Reservas naturais</t>
  </si>
  <si>
    <t>Co_32_20_57</t>
  </si>
  <si>
    <t>National parks</t>
  </si>
  <si>
    <t>Parques nacionais</t>
  </si>
  <si>
    <t>Co_32_50</t>
  </si>
  <si>
    <t>Marine ways and waterway complexes</t>
  </si>
  <si>
    <t>Complexos de navegação marinha e náutica</t>
  </si>
  <si>
    <t>Co_32_50_11</t>
  </si>
  <si>
    <t>Causeways</t>
  </si>
  <si>
    <t>Passadiços</t>
  </si>
  <si>
    <t>Co_32_50_48</t>
  </si>
  <si>
    <t>Lighthouse complexes</t>
  </si>
  <si>
    <t>Faróis</t>
  </si>
  <si>
    <t>Co_32_50_94</t>
  </si>
  <si>
    <t>Vessel berthing complexes</t>
  </si>
  <si>
    <t>Complexos de atracagem de embarcações</t>
  </si>
  <si>
    <t>Co_32_50_95</t>
  </si>
  <si>
    <t>Vessel launching complexes</t>
  </si>
  <si>
    <t>Complexos de lançamento de embarcações</t>
  </si>
  <si>
    <t>Co_32_55</t>
  </si>
  <si>
    <t>Marine and water protection complexes</t>
  </si>
  <si>
    <t>Complexos marinhos e de protecção aquática</t>
  </si>
  <si>
    <t>Co_32_55_20</t>
  </si>
  <si>
    <t>Coastal protection complexes</t>
  </si>
  <si>
    <t>Complexos de protecção costeira</t>
  </si>
  <si>
    <t>Co_32_55_27</t>
  </si>
  <si>
    <t>Erosion protection complexes</t>
  </si>
  <si>
    <t>Complexos de protecção contra a erosão</t>
  </si>
  <si>
    <t>Co_32_55_30</t>
  </si>
  <si>
    <t>Flood protection complexes</t>
  </si>
  <si>
    <t>Complexos de protecção contra inundações</t>
  </si>
  <si>
    <t>Co_32_65</t>
  </si>
  <si>
    <t>Natural areas</t>
  </si>
  <si>
    <t>Áreas naturais</t>
  </si>
  <si>
    <t>Co_32_65_04</t>
  </si>
  <si>
    <t>Aquifers</t>
  </si>
  <si>
    <t>Aquíferos</t>
  </si>
  <si>
    <t>Co_32_65_15</t>
  </si>
  <si>
    <t>Cliffs</t>
  </si>
  <si>
    <t>Falésias</t>
  </si>
  <si>
    <t>Co_32_65_16</t>
  </si>
  <si>
    <t>Coastal zones</t>
  </si>
  <si>
    <t>Zonas costeiras</t>
  </si>
  <si>
    <t>Co_32_65_22</t>
  </si>
  <si>
    <t>Deserts</t>
  </si>
  <si>
    <t>Desertos</t>
  </si>
  <si>
    <t>Co_32_65_27</t>
  </si>
  <si>
    <t>Estuaries</t>
  </si>
  <si>
    <t>Estuários</t>
  </si>
  <si>
    <t>Co_32_65_30</t>
  </si>
  <si>
    <t>Forests</t>
  </si>
  <si>
    <t>Florestas</t>
  </si>
  <si>
    <t>Co_32_65_38</t>
  </si>
  <si>
    <t>Hills</t>
  </si>
  <si>
    <t>Colinas</t>
  </si>
  <si>
    <t>Co_32_65_46</t>
  </si>
  <si>
    <t>Lakes</t>
  </si>
  <si>
    <t>Lagos</t>
  </si>
  <si>
    <t>Co_32_65_54</t>
  </si>
  <si>
    <t>Mountains</t>
  </si>
  <si>
    <t>Montanhas</t>
  </si>
  <si>
    <t>Co_32_65_64</t>
  </si>
  <si>
    <t>Ponds</t>
  </si>
  <si>
    <t>Charcos</t>
  </si>
  <si>
    <t>Co_32_65_72</t>
  </si>
  <si>
    <t>Rivers</t>
  </si>
  <si>
    <t>Rios</t>
  </si>
  <si>
    <t>Co_32_65_75</t>
  </si>
  <si>
    <t>Saltmarshes</t>
  </si>
  <si>
    <t>Pântanos marinhos</t>
  </si>
  <si>
    <t>Sapais</t>
  </si>
  <si>
    <t>Co_32_65_79</t>
  </si>
  <si>
    <t>Seasonal wetlands</t>
  </si>
  <si>
    <t>Zonas húmidas sazonais</t>
  </si>
  <si>
    <t>Co_32_65_82</t>
  </si>
  <si>
    <t>Springs</t>
  </si>
  <si>
    <t>Fontes</t>
  </si>
  <si>
    <t>Co_32_65_85</t>
  </si>
  <si>
    <t>Streams, brooks and burns</t>
  </si>
  <si>
    <t>Linhas de água, ribeiros e riachos</t>
  </si>
  <si>
    <t>Co_32_65_96</t>
  </si>
  <si>
    <t>Woodlands</t>
  </si>
  <si>
    <t>Matas</t>
  </si>
  <si>
    <t>Co_32_85</t>
  </si>
  <si>
    <t>Water control and retaining complexes</t>
  </si>
  <si>
    <t>Complexos de retenção e controlo de água</t>
  </si>
  <si>
    <t>Co_32_85_50</t>
  </si>
  <si>
    <t>Lock complexes</t>
  </si>
  <si>
    <t>Eclusas</t>
  </si>
  <si>
    <t>Co_32_85_70</t>
  </si>
  <si>
    <t>Reservoirs</t>
  </si>
  <si>
    <t>Reservatórios</t>
  </si>
  <si>
    <t>Co_32_85_88</t>
  </si>
  <si>
    <t>Tidal barriers</t>
  </si>
  <si>
    <t>Barreiras de maré</t>
  </si>
  <si>
    <t>Co_32_85_96</t>
  </si>
  <si>
    <t>Water control complexes</t>
  </si>
  <si>
    <t>Estações de controle de água</t>
  </si>
  <si>
    <t>Co_32_85_97</t>
  </si>
  <si>
    <t>Water level and flow monitoring complexes</t>
  </si>
  <si>
    <t>Estações de monitorização de nível e caudal</t>
  </si>
  <si>
    <t>Co_32_85_98</t>
  </si>
  <si>
    <t>Water pumping complexes</t>
  </si>
  <si>
    <t>Estações de bombagem de água</t>
  </si>
  <si>
    <t>Co_35</t>
  </si>
  <si>
    <t>Medical, health, welfare and sanitary complexes</t>
  </si>
  <si>
    <t>Complexos médicos, de saúde, bem-estar e sanitários</t>
  </si>
  <si>
    <t>Centros médicos, de saúde, bem-estar e sanitários (quando usar complexos ou centros? Não encontro coerência!)</t>
  </si>
  <si>
    <t>Co_35_10</t>
  </si>
  <si>
    <t>Medical complexes</t>
  </si>
  <si>
    <t>Complexos médicos</t>
  </si>
  <si>
    <t>Co_35_10_02</t>
  </si>
  <si>
    <t>Air ambulance complexes</t>
  </si>
  <si>
    <t>Complexos de ambulâncias aéreas</t>
  </si>
  <si>
    <t>Co_35_10_03</t>
  </si>
  <si>
    <t>Ambulance complexes</t>
  </si>
  <si>
    <t>Complexos de ambulâncias</t>
  </si>
  <si>
    <t>Complexos para ambulâncias</t>
  </si>
  <si>
    <t>Co_35_10_15</t>
  </si>
  <si>
    <t>Clinical complexes</t>
  </si>
  <si>
    <t>Complexos clínicos</t>
  </si>
  <si>
    <t>Complexos clínicos e de edifícios de saúde</t>
  </si>
  <si>
    <t>Sem internamento porquê?</t>
  </si>
  <si>
    <t>Centros clínicos (quando usar complexos ou centros? Não encontro coerência!)</t>
  </si>
  <si>
    <t>Co_35_10_37</t>
  </si>
  <si>
    <t>Hospital complexes</t>
  </si>
  <si>
    <t>Complexos hospitalares</t>
  </si>
  <si>
    <t>Centros hospitalares (quando usar complexos ou centros? Não encontro coerência!)</t>
  </si>
  <si>
    <t>Co_35_50</t>
  </si>
  <si>
    <t>Welfare complexes</t>
  </si>
  <si>
    <t>Complexos de bem-estar</t>
  </si>
  <si>
    <t>Complexos de Assistência Social</t>
  </si>
  <si>
    <t>Centros de Assistência Social (quando usar complexos ou centros? Não encontro coerência!)</t>
  </si>
  <si>
    <t>Co_35_50_30</t>
  </si>
  <si>
    <t>Fitness and detox complexes</t>
  </si>
  <si>
    <t>Complexos de fitness e desintoxicação</t>
  </si>
  <si>
    <t>Ginásios</t>
  </si>
  <si>
    <t>Co_35_50_37</t>
  </si>
  <si>
    <t>Hospices</t>
  </si>
  <si>
    <t>Lares</t>
  </si>
  <si>
    <t>Lares de 3ª idade</t>
  </si>
  <si>
    <t>Cuidados paliativos e continuados</t>
  </si>
  <si>
    <t>Co_35_50_58</t>
  </si>
  <si>
    <t>Nursing homes</t>
  </si>
  <si>
    <t>Casas de repouso</t>
  </si>
  <si>
    <t>Co_35_50_69</t>
  </si>
  <si>
    <t>Quarantine stations</t>
  </si>
  <si>
    <t>Estações de quarentena</t>
  </si>
  <si>
    <t>Co_35_50_82</t>
  </si>
  <si>
    <t>Spa complexes</t>
  </si>
  <si>
    <t>Complexos termais</t>
  </si>
  <si>
    <t>Co_35_50_90</t>
  </si>
  <si>
    <t>Turkish baths</t>
  </si>
  <si>
    <t>Banhos turcos</t>
  </si>
  <si>
    <t>Co_35_70</t>
  </si>
  <si>
    <t>Funerary complexes</t>
  </si>
  <si>
    <t>Complexos funerários</t>
  </si>
  <si>
    <t>Fúnebres?</t>
  </si>
  <si>
    <t>Co_35_70_13</t>
  </si>
  <si>
    <t>Cemeteries</t>
  </si>
  <si>
    <t>Cemitérios</t>
  </si>
  <si>
    <t>Co_35_70_16</t>
  </si>
  <si>
    <t>Crematoriums</t>
  </si>
  <si>
    <t>Crematórios</t>
  </si>
  <si>
    <t>Co_35_70_32</t>
  </si>
  <si>
    <t>Funeral complexes</t>
  </si>
  <si>
    <t>Centros funerários (quando usar complexos ou centros? Não encontro coerência!)</t>
  </si>
  <si>
    <t>Coincide com Co_35_70; Sugiro alterar em cima, de acordo com comentário.</t>
  </si>
  <si>
    <t>Co_35_85</t>
  </si>
  <si>
    <t>Animal complexes</t>
  </si>
  <si>
    <t>Complexos para animais</t>
  </si>
  <si>
    <t>Centros para animais (quando usar complexos ou centros? Não encontro coerência!)</t>
  </si>
  <si>
    <t>Co_35_85_02</t>
  </si>
  <si>
    <t>Animal cage complexes</t>
  </si>
  <si>
    <t>Complexos para animais enjaulados</t>
  </si>
  <si>
    <r>
      <t xml:space="preserve">Centros para animais em </t>
    </r>
    <r>
      <rPr>
        <b/>
        <sz val="10"/>
        <rFont val="Arial"/>
        <family val="2"/>
      </rPr>
      <t>CATIVEIRO</t>
    </r>
    <r>
      <rPr>
        <sz val="10"/>
        <color rgb="FF000000"/>
        <rFont val="Arial"/>
      </rPr>
      <t xml:space="preserve"> (quando usar complexos ou centros? Não encontro coerência!)</t>
    </r>
  </si>
  <si>
    <t>Co_35_85_03</t>
  </si>
  <si>
    <t>Animal pen complexes</t>
  </si>
  <si>
    <t>Currais</t>
  </si>
  <si>
    <t>Co_35_85_04</t>
  </si>
  <si>
    <t>Aquariums</t>
  </si>
  <si>
    <t>Aquários</t>
  </si>
  <si>
    <t>Co_35_85_05</t>
  </si>
  <si>
    <t>Aviary complexes</t>
  </si>
  <si>
    <t>Aviários</t>
  </si>
  <si>
    <t>Co_35_85_45</t>
  </si>
  <si>
    <t>Kennel complexes</t>
  </si>
  <si>
    <t>Canis</t>
  </si>
  <si>
    <t>Co_35_85_85</t>
  </si>
  <si>
    <t>Stable complexes</t>
  </si>
  <si>
    <t>Estábulos</t>
  </si>
  <si>
    <t>Co_35_90</t>
  </si>
  <si>
    <t>Animal medical, health, welfare, funerary and sanitary complexes</t>
  </si>
  <si>
    <t>Complexos animais médicos, bem-estar, funerários e sanitários</t>
  </si>
  <si>
    <t>Complexos de tratamento animal</t>
  </si>
  <si>
    <t>Centros de tratamento animal (quando usar complexos ou centros? Não encontro coerência!)</t>
  </si>
  <si>
    <t>Complexos de tratamento e abate animal</t>
  </si>
  <si>
    <t>Co_35_90_02</t>
  </si>
  <si>
    <t>Animal funerary complexes</t>
  </si>
  <si>
    <t>Complexos funerários para animais</t>
  </si>
  <si>
    <t>Centros fenerários para animais (quando usar complexos ou centros? Não encontro coerência!)</t>
  </si>
  <si>
    <t>Co_35_90_03</t>
  </si>
  <si>
    <t>Animal quarantine stations</t>
  </si>
  <si>
    <t>Estações de quarentena animal</t>
  </si>
  <si>
    <t>Co_35_90_95</t>
  </si>
  <si>
    <t>Veterinary hospitals</t>
  </si>
  <si>
    <t>Hospitais veterinários</t>
  </si>
  <si>
    <t>Co_40</t>
  </si>
  <si>
    <t>Recreational complexes</t>
  </si>
  <si>
    <t>Complexos recreativos</t>
  </si>
  <si>
    <t>Co_40_05</t>
  </si>
  <si>
    <t>Amusement complexes</t>
  </si>
  <si>
    <t>Complexos de diversão</t>
  </si>
  <si>
    <t>Co_40_05_02</t>
  </si>
  <si>
    <t>Amphitheatres</t>
  </si>
  <si>
    <t>Anfiteatros</t>
  </si>
  <si>
    <t>Co_40_05_03</t>
  </si>
  <si>
    <t>Amusement parks</t>
  </si>
  <si>
    <t>Parques de diversão</t>
  </si>
  <si>
    <t>Co_40_05_30</t>
  </si>
  <si>
    <t>Fairground complexes</t>
  </si>
  <si>
    <t>Feiras populares</t>
  </si>
  <si>
    <t>Parques de diversões</t>
  </si>
  <si>
    <t>Co_40_05_63</t>
  </si>
  <si>
    <t>Pleasure piers</t>
  </si>
  <si>
    <t>Cais de recreio</t>
  </si>
  <si>
    <t>Ver no Google Images, pois cais de recreio pode ser cais para barcos de recreio.</t>
  </si>
  <si>
    <t>Co_40_05_89</t>
  </si>
  <si>
    <t>Theme parks</t>
  </si>
  <si>
    <t>Parques temáticos</t>
  </si>
  <si>
    <t>Co_40_35</t>
  </si>
  <si>
    <t>Historic complexes</t>
  </si>
  <si>
    <t>Complexos históricos</t>
  </si>
  <si>
    <t>Centros históricos (?)</t>
  </si>
  <si>
    <t>Centros históricos</t>
  </si>
  <si>
    <t>Co_40_35_06</t>
  </si>
  <si>
    <t>Battle sites</t>
  </si>
  <si>
    <t>Locais de batalha</t>
  </si>
  <si>
    <t>Campos de batalha ou Locais de campos de batalha</t>
  </si>
  <si>
    <t>OK com Luis Coroado</t>
  </si>
  <si>
    <t>Co_40_35_39</t>
  </si>
  <si>
    <t>Historic sites</t>
  </si>
  <si>
    <t>Sítios históricos</t>
  </si>
  <si>
    <t>Lugares históricos (?)</t>
  </si>
  <si>
    <t>Co_40_35_78</t>
  </si>
  <si>
    <t>Sites of antiquity</t>
  </si>
  <si>
    <t>Sitios da antiguidade</t>
  </si>
  <si>
    <t>Lugares da antiguidade (?)</t>
  </si>
  <si>
    <t>Co_40_35_94</t>
  </si>
  <si>
    <t>Visible earthworks</t>
  </si>
  <si>
    <t>Terraplenagens visíveis</t>
  </si>
  <si>
    <t>Movimentos de terra visíveis</t>
  </si>
  <si>
    <t>Movimentos de terra superficiais</t>
  </si>
  <si>
    <t>Co_40_60</t>
  </si>
  <si>
    <t>Performing arts complexes</t>
  </si>
  <si>
    <t>Complexos para artes performativas</t>
  </si>
  <si>
    <t>Centros de artes performativas (quando usar complexos ou centros? Não encontro coerência!)</t>
  </si>
  <si>
    <t>Co_40_60_13</t>
  </si>
  <si>
    <t>Cinema complexes</t>
  </si>
  <si>
    <t>Complexos de cinemas</t>
  </si>
  <si>
    <t>Centros cinematográficos</t>
  </si>
  <si>
    <t>Co_40_60_14</t>
  </si>
  <si>
    <t>Circuses</t>
  </si>
  <si>
    <t>Circos</t>
  </si>
  <si>
    <t>Co_40_60_16</t>
  </si>
  <si>
    <t>Concert hall complexes</t>
  </si>
  <si>
    <t>Complexos de salas de concertos</t>
  </si>
  <si>
    <t>Co_40_60_30</t>
  </si>
  <si>
    <t>Film and television studio complexes</t>
  </si>
  <si>
    <t>Complexos de estúdios de cinema e televisão</t>
  </si>
  <si>
    <t>Estúdios de cinema e televisão</t>
  </si>
  <si>
    <t>Co_40_60_88</t>
  </si>
  <si>
    <t>Theatre complexes</t>
  </si>
  <si>
    <t>Complexos de cinema</t>
  </si>
  <si>
    <t>Teatros</t>
  </si>
  <si>
    <t>Co_40_75</t>
  </si>
  <si>
    <t>Social recreation complexes</t>
  </si>
  <si>
    <t>Complexos de recreação social</t>
  </si>
  <si>
    <t>Complexos de animação social</t>
  </si>
  <si>
    <t>Centros de aniação social (quando usar complexos ou centros? Não encontro coerência!)</t>
  </si>
  <si>
    <t>Co_40_75_15</t>
  </si>
  <si>
    <t>Community centres</t>
  </si>
  <si>
    <t>Centros comunitários</t>
  </si>
  <si>
    <t>Co_40_75_17</t>
  </si>
  <si>
    <t>Country parks</t>
  </si>
  <si>
    <t>Parques rurais</t>
  </si>
  <si>
    <t>Co_40_75_68</t>
  </si>
  <si>
    <t>Public parks</t>
  </si>
  <si>
    <t>Parques públicos</t>
  </si>
  <si>
    <t>Co_40_75_71</t>
  </si>
  <si>
    <t>Recreation grounds</t>
  </si>
  <si>
    <t>Locais recreativos</t>
  </si>
  <si>
    <t>Co_42</t>
  </si>
  <si>
    <t>Sport and activity complexes</t>
  </si>
  <si>
    <t>Complexos desportivos</t>
  </si>
  <si>
    <t>Complexos para prática desportiva e atividades</t>
  </si>
  <si>
    <t>...para a prática de desportos e actividades físicas</t>
  </si>
  <si>
    <t>Co_42_40</t>
  </si>
  <si>
    <t>Indoor activity complexes</t>
  </si>
  <si>
    <t>Complexos de actividades cobertos</t>
  </si>
  <si>
    <t>Co_42_40_10</t>
  </si>
  <si>
    <t>Indoor athletics stadiums</t>
  </si>
  <si>
    <t>Pistas de atletismo cobertas</t>
  </si>
  <si>
    <t>Diria que o atletismo engloba mais do que corridas. Para não pecar por defeito chamaria "Complexos de atletismo coberto"</t>
  </si>
  <si>
    <t>Co_42_40_40</t>
  </si>
  <si>
    <t>Indoor sports complexes</t>
  </si>
  <si>
    <t>Complexos desportivos cobertos</t>
  </si>
  <si>
    <t>Co_42_50</t>
  </si>
  <si>
    <t>Outdoor activity complexes</t>
  </si>
  <si>
    <t>Complexos de actividades ao ar livre</t>
  </si>
  <si>
    <t>Co_42_50_10</t>
  </si>
  <si>
    <t>Outdoor athletics stadiums</t>
  </si>
  <si>
    <t>Estádios de atletismo ao ar livre</t>
  </si>
  <si>
    <t>Pistas de atletismo ao ar livre</t>
  </si>
  <si>
    <t>Diria que o atletismo engloba mais do que corridas. Para não pecar por defeito chamaria "Complexos de atletismo ao ar livre"</t>
  </si>
  <si>
    <t>Co_42_50_30</t>
  </si>
  <si>
    <t>Golf courses</t>
  </si>
  <si>
    <t>Campos de golfe</t>
  </si>
  <si>
    <t>Co_42_50_60</t>
  </si>
  <si>
    <t>Outdoor sports complexes</t>
  </si>
  <si>
    <t>Complexos desportivos ao ar livre</t>
  </si>
  <si>
    <t>Co_42_50_70</t>
  </si>
  <si>
    <t>Race horse gallops</t>
  </si>
  <si>
    <t>Hipódromos</t>
  </si>
  <si>
    <t>Co_42_50_95</t>
  </si>
  <si>
    <t>Winter sport complexes</t>
  </si>
  <si>
    <t>Complexos desportivos de inverno</t>
  </si>
  <si>
    <t>Co_42_85</t>
  </si>
  <si>
    <t>Swimming complexes</t>
  </si>
  <si>
    <t>Complexos de natação</t>
  </si>
  <si>
    <t>Complexos aquáticos e de natação</t>
  </si>
  <si>
    <t>Complexos aquáticos</t>
  </si>
  <si>
    <t>Co_42_85_40</t>
  </si>
  <si>
    <t>Indoor swimming pool complexes</t>
  </si>
  <si>
    <t>Complexos de piscinas interiores</t>
  </si>
  <si>
    <t>Complexos de piscinas cobertas</t>
  </si>
  <si>
    <t>Co_42_85_60</t>
  </si>
  <si>
    <t>Outdoor swimming pool complexes</t>
  </si>
  <si>
    <t>Complexos de piscinas exteriores</t>
  </si>
  <si>
    <t>Complexos de piscinas ao ar livre</t>
  </si>
  <si>
    <t>Co_42_85_96</t>
  </si>
  <si>
    <t>Water parks</t>
  </si>
  <si>
    <t>Parques aquáticos</t>
  </si>
  <si>
    <t>Co_45</t>
  </si>
  <si>
    <t>Residential complexes</t>
  </si>
  <si>
    <t>Complexos residenciais</t>
  </si>
  <si>
    <t>Co_45_10</t>
  </si>
  <si>
    <t>Living complexes</t>
  </si>
  <si>
    <t>Complexos habitatcionais</t>
  </si>
  <si>
    <t>Complexos habitacionais</t>
  </si>
  <si>
    <t>erro ortográfico</t>
  </si>
  <si>
    <t>Co_45_10_11</t>
  </si>
  <si>
    <t>Camp sites</t>
  </si>
  <si>
    <t>Parques de campismo</t>
  </si>
  <si>
    <t>Co_45_10_12</t>
  </si>
  <si>
    <t>Caravan parks</t>
  </si>
  <si>
    <t>Parques de caravanismo</t>
  </si>
  <si>
    <t>Co_45_10_15</t>
  </si>
  <si>
    <t>Convents and monasteries</t>
  </si>
  <si>
    <t>Conventos e mosteiros</t>
  </si>
  <si>
    <t>Co_45_10_27</t>
  </si>
  <si>
    <t>Emergency camps</t>
  </si>
  <si>
    <t>Acampamentos de emergência</t>
  </si>
  <si>
    <t>Co_45_10_35</t>
  </si>
  <si>
    <t>Halls of residence</t>
  </si>
  <si>
    <t>Residências de estudantes</t>
  </si>
  <si>
    <t>Co_45_10_36</t>
  </si>
  <si>
    <t>High-rise residential complexes</t>
  </si>
  <si>
    <t>Complexos residenciais em altura</t>
  </si>
  <si>
    <t>Co_45_10_37</t>
  </si>
  <si>
    <t>Hostels</t>
  </si>
  <si>
    <t>Co_45_10_38</t>
  </si>
  <si>
    <t>Hotels</t>
  </si>
  <si>
    <t>Hotéis</t>
  </si>
  <si>
    <t>Co_45_10_40</t>
  </si>
  <si>
    <t>Houses in multiple occupation</t>
  </si>
  <si>
    <t>Casas de ocupação múltipla</t>
  </si>
  <si>
    <t>Co_45_10_41</t>
  </si>
  <si>
    <t>Housing estates</t>
  </si>
  <si>
    <t>Conjuntos habitacionais</t>
  </si>
  <si>
    <t>Parece sinónimo de Co_45_10; Penso que estes são "urbanizações uniformes", mas não me estou a lembrar de nenhuma expressão boa para isto!</t>
  </si>
  <si>
    <t>Co_45_10_51</t>
  </si>
  <si>
    <t>Military camps</t>
  </si>
  <si>
    <t>Acampamentos militares</t>
  </si>
  <si>
    <t>Campo militar</t>
  </si>
  <si>
    <t>Co_45_10_54</t>
  </si>
  <si>
    <t>Motels</t>
  </si>
  <si>
    <t>Motéis</t>
  </si>
  <si>
    <t>Co_45_10_72</t>
  </si>
  <si>
    <t>Religious retreats</t>
  </si>
  <si>
    <t>Retiros religiosos</t>
  </si>
  <si>
    <t>Co_45_10_74</t>
  </si>
  <si>
    <t>Residential properties</t>
  </si>
  <si>
    <t>Propriedades residenciais</t>
  </si>
  <si>
    <t>Co_45_10_78</t>
  </si>
  <si>
    <t>Sheltered housing</t>
  </si>
  <si>
    <t>Residências assistidas</t>
  </si>
  <si>
    <t>Co_45_10_98</t>
  </si>
  <si>
    <t>Youth group camps</t>
  </si>
  <si>
    <t>Acampamentos de jovens</t>
  </si>
  <si>
    <t>Co_50</t>
  </si>
  <si>
    <t>Waste disposal complexes</t>
  </si>
  <si>
    <t>Complexos de eliminação de resíduos</t>
  </si>
  <si>
    <t>OK com LNEC</t>
  </si>
  <si>
    <t>Co_50_20</t>
  </si>
  <si>
    <t>Wet waste collection and distribution complexes</t>
  </si>
  <si>
    <t>Complexos de recolha e distribuição de resíduos húmidos</t>
  </si>
  <si>
    <t>Co_50_20_10</t>
  </si>
  <si>
    <t>Wastewater collection complexes</t>
  </si>
  <si>
    <t>Complexos de recolha de águas residuais</t>
  </si>
  <si>
    <t>Co_50_20_20</t>
  </si>
  <si>
    <t>Wastewater collection networks</t>
  </si>
  <si>
    <t>Redes de recolha de águas residuais</t>
  </si>
  <si>
    <t>Co_50_20_60</t>
  </si>
  <si>
    <t>Drainage collection networks</t>
  </si>
  <si>
    <t>Redes de coleta de drenagem</t>
  </si>
  <si>
    <t>Redes de drenagem?</t>
  </si>
  <si>
    <t>Co_50_40</t>
  </si>
  <si>
    <t>Dry waste collection and distribution complexes</t>
  </si>
  <si>
    <t>Complexos de recolha e distribuição de resíduos secos</t>
  </si>
  <si>
    <t>Complexos de recolha e distribuição de resíduos sólidos</t>
  </si>
  <si>
    <t>Co_50_40_10</t>
  </si>
  <si>
    <t>Dry waste collection complexes</t>
  </si>
  <si>
    <t>Complexos de recolha de resíduos secos</t>
  </si>
  <si>
    <t>Complexos de recolha de resíduos sólidos</t>
  </si>
  <si>
    <t>Co_50_40_50</t>
  </si>
  <si>
    <t>Dry waste distribution complexes</t>
  </si>
  <si>
    <t>Complexos de distribuição de resíduos secos</t>
  </si>
  <si>
    <t>Complexos de distribuição de resíduos sólidos</t>
  </si>
  <si>
    <t>Co_50_60</t>
  </si>
  <si>
    <t>Wet waste treatment and disposal complexes</t>
  </si>
  <si>
    <t>Complexos de tratamento e eliminação de resíduos húmidos</t>
  </si>
  <si>
    <t>Complexos de tratamento e eliminação de resíduos líquidos</t>
  </si>
  <si>
    <t>Co_50_60_40</t>
  </si>
  <si>
    <t>Wastewater treatment complexes</t>
  </si>
  <si>
    <t>Complexos de tratamento de águas residuais</t>
  </si>
  <si>
    <t>Co_50_60_80</t>
  </si>
  <si>
    <t>Drainage disposal networks</t>
  </si>
  <si>
    <t>Redes de drenagem</t>
  </si>
  <si>
    <t>Co_50_80</t>
  </si>
  <si>
    <t>Dry waste treatment and disposal complexes</t>
  </si>
  <si>
    <t>Complexos de tratamento e eliminação de resíduos secos</t>
  </si>
  <si>
    <t>Complexos de tratamento e eliminação de resíduos sólidos</t>
  </si>
  <si>
    <t>Co_50_80_40</t>
  </si>
  <si>
    <t>Dry waste treatment complexes</t>
  </si>
  <si>
    <t>Complexos de tratamento de resíduos secos</t>
  </si>
  <si>
    <t>Complexos de tratamento de resíduos sólidos</t>
  </si>
  <si>
    <t>Co_50_80_70</t>
  </si>
  <si>
    <t>Dry waste disposal complexes</t>
  </si>
  <si>
    <t>Complexos de eliminação de resíduos secos</t>
  </si>
  <si>
    <t>Complexos de eliminação de resíduos sólidos</t>
  </si>
  <si>
    <t>Co_55</t>
  </si>
  <si>
    <t>Piped supply complexes</t>
  </si>
  <si>
    <t>Complexos de fornecimento canalizado</t>
  </si>
  <si>
    <t>Não encontro melhor</t>
  </si>
  <si>
    <t>Uma vez que todo o englobado no 55 é relativo a liquidos e gases, porque não: "Complexos de fornecimento de liquidos e gases canalizados"</t>
  </si>
  <si>
    <t>Complexos de fornecimento de fluidos ou Complexos de fornecimento de fluidos canalizados</t>
  </si>
  <si>
    <t>Co_55_05</t>
  </si>
  <si>
    <t>Gas extraction and treatment complexes</t>
  </si>
  <si>
    <t>Complexos de extracção e tratamento de gás</t>
  </si>
  <si>
    <t>Co_55_05_30</t>
  </si>
  <si>
    <t>Gas extraction complexes</t>
  </si>
  <si>
    <t>Complexos de extracção de gás</t>
  </si>
  <si>
    <t>Co_55_05_70</t>
  </si>
  <si>
    <t>Gas treatment complexes</t>
  </si>
  <si>
    <t>Complexos de tratamento de gás</t>
  </si>
  <si>
    <t>Co_55_10</t>
  </si>
  <si>
    <t>Liquid fuel extraction and treatment complexes</t>
  </si>
  <si>
    <t>Complexos de extracção e tratamento de combustível líquido</t>
  </si>
  <si>
    <t>Co_55_10_40</t>
  </si>
  <si>
    <t>Oil extraction complexes</t>
  </si>
  <si>
    <t>Complexos de extracção de petróleo</t>
  </si>
  <si>
    <t>Co_55_10_80</t>
  </si>
  <si>
    <t>Oil treatment complexes</t>
  </si>
  <si>
    <t>Complexos de tratamento de petróleo</t>
  </si>
  <si>
    <t>Co_55_15</t>
  </si>
  <si>
    <t>Water extraction and treatment complexes</t>
  </si>
  <si>
    <t>Complexos de extracção e tratamento de água</t>
  </si>
  <si>
    <t>Estações de extracção e tratamento de água</t>
  </si>
  <si>
    <t>Co_55_15_10</t>
  </si>
  <si>
    <t>Water extraction complexes</t>
  </si>
  <si>
    <t>Complexos de extracção de água</t>
  </si>
  <si>
    <t>Estações de captação, elevação e filtração de água</t>
  </si>
  <si>
    <t>Co_55_15_50</t>
  </si>
  <si>
    <t>Water treatment complexes</t>
  </si>
  <si>
    <t>Complexos de tratamento de água</t>
  </si>
  <si>
    <t>Estações de tratamento de água</t>
  </si>
  <si>
    <t>Estações para fornecimento de gás (para coerência?)</t>
  </si>
  <si>
    <t>Co_55_20</t>
  </si>
  <si>
    <t>Gas supply complexes</t>
  </si>
  <si>
    <t>Complexos de abastecimento de gás</t>
  </si>
  <si>
    <t>Complexos para fornecimento de gás</t>
  </si>
  <si>
    <t>Estações de fornecimento de gás</t>
  </si>
  <si>
    <t>Co_55_20_50</t>
  </si>
  <si>
    <t>Gas distribution complexes</t>
  </si>
  <si>
    <t>Complexos de distribuição de gás</t>
  </si>
  <si>
    <t>Estações de transporte de gás</t>
  </si>
  <si>
    <t>Co_55_20_60</t>
  </si>
  <si>
    <t>Gas distribution networks</t>
  </si>
  <si>
    <t>Redes de distribuição de gás</t>
  </si>
  <si>
    <t>Gasodutos</t>
  </si>
  <si>
    <t>Co_55_50</t>
  </si>
  <si>
    <t>Liquid fuel supply complexes</t>
  </si>
  <si>
    <t>Complexos de abastecimento de combustíveis líquidos</t>
  </si>
  <si>
    <t>Oleodutos</t>
  </si>
  <si>
    <t>Co_55_50_10</t>
  </si>
  <si>
    <t>Liquid fuel distribution complexes</t>
  </si>
  <si>
    <t>Complexos de distribuição de combustíveis líquidos</t>
  </si>
  <si>
    <t>Co_55_50_50</t>
  </si>
  <si>
    <t>Liquid fuel distribution networks</t>
  </si>
  <si>
    <t>Redes de distribuição de combustíveis líquidos</t>
  </si>
  <si>
    <t>Co_55_70</t>
  </si>
  <si>
    <t>Water supply complexes</t>
  </si>
  <si>
    <t>Complexos de abastecimento de água</t>
  </si>
  <si>
    <t>Estações de abastecimento de água (?)</t>
  </si>
  <si>
    <t>Co_55_70_20</t>
  </si>
  <si>
    <t>Water distribution complexes</t>
  </si>
  <si>
    <t>Complexos de distribuição de água</t>
  </si>
  <si>
    <t>Estações de distribuição de água (?)</t>
  </si>
  <si>
    <t>Co_55_70_60</t>
  </si>
  <si>
    <t>Water distribution networks</t>
  </si>
  <si>
    <t>Redes de distribuição de água</t>
  </si>
  <si>
    <t>Co_60</t>
  </si>
  <si>
    <t>Heating, cooling and refrigeration complexes</t>
  </si>
  <si>
    <t>Complexos de aquecimento, arrefecimento e refrigeração</t>
  </si>
  <si>
    <t xml:space="preserve">Parece-me melhor "Equipamentos ou Infraestruturas..." </t>
  </si>
  <si>
    <t>Co_60_10</t>
  </si>
  <si>
    <t>Heating complexes</t>
  </si>
  <si>
    <t>Complexos de aquecimento</t>
  </si>
  <si>
    <t>Co_60_10_10</t>
  </si>
  <si>
    <t>District heating complexes</t>
  </si>
  <si>
    <t>Complexos de aquecimento urbano</t>
  </si>
  <si>
    <t>Co_60_40</t>
  </si>
  <si>
    <t>Cooling complexes</t>
  </si>
  <si>
    <t>Complexos de arrefecimento</t>
  </si>
  <si>
    <t>Co_60_40_10</t>
  </si>
  <si>
    <t>District cooling complexes</t>
  </si>
  <si>
    <t>Complexos de arrefecimento distritais</t>
  </si>
  <si>
    <t>Complexos de arrefecimento urbano</t>
  </si>
  <si>
    <t>Co_65</t>
  </si>
  <si>
    <t>Ventilation and air conditioning complexes</t>
  </si>
  <si>
    <t>Complexos de ventilação e ar condicionado</t>
  </si>
  <si>
    <t>Co_70</t>
  </si>
  <si>
    <t>Electrical power generation and distribution complexes</t>
  </si>
  <si>
    <t>Complexos de geração e distribuição de energia eléctrica</t>
  </si>
  <si>
    <t xml:space="preserve">Parece-me melhor "Centrais..." </t>
  </si>
  <si>
    <t>Co_70_10</t>
  </si>
  <si>
    <t>Electrical power generation complexes</t>
  </si>
  <si>
    <t>Complexos de geração de energia eléctrica</t>
  </si>
  <si>
    <t>Co_70_10_08</t>
  </si>
  <si>
    <t>Biomass power generation complexes</t>
  </si>
  <si>
    <t>Complexos de geração de energia de biomassa</t>
  </si>
  <si>
    <t>Co_70_10_16</t>
  </si>
  <si>
    <t>Coal power generation complexes</t>
  </si>
  <si>
    <t>Complexos de geração de energia de carvão</t>
  </si>
  <si>
    <t>Co_70_10_17</t>
  </si>
  <si>
    <t>Combined heat and power generation complexes</t>
  </si>
  <si>
    <t>Complexos de geração combinada de calor e energia</t>
  </si>
  <si>
    <t>Co_70_10_33</t>
  </si>
  <si>
    <t>Gas power generation complexes</t>
  </si>
  <si>
    <t>Complexos de geração de energia de gás</t>
  </si>
  <si>
    <t>Co_70_10_34</t>
  </si>
  <si>
    <t>Geothermal power generation complexes</t>
  </si>
  <si>
    <t>Complexos de geração de energia geotérmica</t>
  </si>
  <si>
    <t>Co_70_10_38</t>
  </si>
  <si>
    <t>Hydroelectric power generation complexes</t>
  </si>
  <si>
    <t>Complexos de geração de energia hidroeléctrica</t>
  </si>
  <si>
    <t>Co_70_10_57</t>
  </si>
  <si>
    <t>Nuclear power generation complexes</t>
  </si>
  <si>
    <t>Complexos de geração de energia nuclear</t>
  </si>
  <si>
    <t>Co_70_10_58</t>
  </si>
  <si>
    <t>Offshore wind power generation complexes</t>
  </si>
  <si>
    <t>Complexos de geração de energia eólica offshore</t>
  </si>
  <si>
    <t>Parques éolicos offshore</t>
  </si>
  <si>
    <t>Não sei se faz sentido traduzir tudo. Se fizer, pensei em "Parques éolicos em alto-mar"</t>
  </si>
  <si>
    <t>Parques éolicos maritimos</t>
  </si>
  <si>
    <t>Co_70_10_59</t>
  </si>
  <si>
    <t>Oil-fired power generation complexes</t>
  </si>
  <si>
    <t>Complexos de geração de energia termoelétrica a fuel</t>
  </si>
  <si>
    <t>Complexos de geração de energia termoelétrica com combustível</t>
  </si>
  <si>
    <t>Co_70_10_60</t>
  </si>
  <si>
    <t>Onshore wind power generation complexes</t>
  </si>
  <si>
    <t>Complexos de geração de energia do vento onshore</t>
  </si>
  <si>
    <t>Parques éolicos</t>
  </si>
  <si>
    <t>Co_70_10_63</t>
  </si>
  <si>
    <t>Photovoltaic power generation complexes</t>
  </si>
  <si>
    <t>Complexos de geração de energia fotovoltaica</t>
  </si>
  <si>
    <t>Co_70_10_81</t>
  </si>
  <si>
    <t>Solar reflector power generation complexes</t>
  </si>
  <si>
    <t>Complexos de geração de energia solar por reflexão</t>
  </si>
  <si>
    <t>Co_70_10_88</t>
  </si>
  <si>
    <t>Tidal power generation complexes</t>
  </si>
  <si>
    <t>Complexos de geração de energia de marés</t>
  </si>
  <si>
    <t>Co_70_10_96</t>
  </si>
  <si>
    <t>Wave power generation complexes</t>
  </si>
  <si>
    <t>Complexos de geração de energia das ondas</t>
  </si>
  <si>
    <t>Co_70_30</t>
  </si>
  <si>
    <t>Electricity distribution complexes</t>
  </si>
  <si>
    <t>Complexos de distribuição de electricidade</t>
  </si>
  <si>
    <t>Co_70_30_35</t>
  </si>
  <si>
    <t>High voltage electricity substation complexes</t>
  </si>
  <si>
    <t>Complexos de subestações de electricidade de alta tensão</t>
  </si>
  <si>
    <t>Co_70_30_40</t>
  </si>
  <si>
    <t>High voltage electricity networks</t>
  </si>
  <si>
    <t>Redes de electricidade de alta tensão</t>
  </si>
  <si>
    <t>Co_70_30_45</t>
  </si>
  <si>
    <t>Low voltage electricity substation complexes</t>
  </si>
  <si>
    <t>Complexos de subestações de electricidade de baixa tensão</t>
  </si>
  <si>
    <t>Co_70_30_50</t>
  </si>
  <si>
    <t>Low voltage electricity networks</t>
  </si>
  <si>
    <t>Redes eléctricas de baixa tensão</t>
  </si>
  <si>
    <t>Co_75</t>
  </si>
  <si>
    <t>Communications, security, safety and protection complexes</t>
  </si>
  <si>
    <t>Complexos de comunicações, segurança e protecção</t>
  </si>
  <si>
    <t>Co_75_10</t>
  </si>
  <si>
    <t>Communications complexes</t>
  </si>
  <si>
    <t>Complexos de comunicações</t>
  </si>
  <si>
    <t>Co_75_10_10</t>
  </si>
  <si>
    <t>Broadcast communications complexes</t>
  </si>
  <si>
    <t>Complexos de transmissão de comunicações</t>
  </si>
  <si>
    <t>Co_75_10_20</t>
  </si>
  <si>
    <t>Broadcast communications networks</t>
  </si>
  <si>
    <t>Redes de transmissão de comunicações</t>
  </si>
  <si>
    <t>Co_75_10_80</t>
  </si>
  <si>
    <t>Telecommunications complexes</t>
  </si>
  <si>
    <t>Complexos de telecomunicações</t>
  </si>
  <si>
    <t>Co_75_10_90</t>
  </si>
  <si>
    <t>Telecommunications networks</t>
  </si>
  <si>
    <t>Redes de telecomunicações</t>
  </si>
  <si>
    <t>Co_80</t>
  </si>
  <si>
    <t>Transport complexes</t>
  </si>
  <si>
    <t>Complexos de transporte</t>
  </si>
  <si>
    <t>Co_80_05</t>
  </si>
  <si>
    <t>Aerospace complexes</t>
  </si>
  <si>
    <t>Complexos aeroespaciais</t>
  </si>
  <si>
    <t>Co_80_05_02</t>
  </si>
  <si>
    <t>Airports and airfields</t>
  </si>
  <si>
    <t>Aeroportos e aeródromos</t>
  </si>
  <si>
    <t>Co_80_05_38</t>
  </si>
  <si>
    <t>Heliports</t>
  </si>
  <si>
    <t>Heliportos</t>
  </si>
  <si>
    <t>Co_80_05_84</t>
  </si>
  <si>
    <t>Spacecraft complexes</t>
  </si>
  <si>
    <t>Complexos de naves espaciais</t>
  </si>
  <si>
    <t>Co_80_20</t>
  </si>
  <si>
    <t>Cable transport complexes</t>
  </si>
  <si>
    <t>Ascensores</t>
  </si>
  <si>
    <t>Ascensores por cabo</t>
  </si>
  <si>
    <t>Co_80_20_02</t>
  </si>
  <si>
    <t>Aerial tramway complexes</t>
  </si>
  <si>
    <t>Teleféricos</t>
  </si>
  <si>
    <t>Co_80_20_10</t>
  </si>
  <si>
    <t>Cable railway complexes</t>
  </si>
  <si>
    <t>Ascensores por ferrovia</t>
  </si>
  <si>
    <t>Co_80_20_13</t>
  </si>
  <si>
    <t>Chairlift way complexes</t>
  </si>
  <si>
    <t>Teleféricos por telecadeira</t>
  </si>
  <si>
    <t>Co_80_20_32</t>
  </si>
  <si>
    <t>Funicular railway complexes</t>
  </si>
  <si>
    <t>Funiculares</t>
  </si>
  <si>
    <t>Co_80_20_34</t>
  </si>
  <si>
    <t>Gondola lift way complexes</t>
  </si>
  <si>
    <t>Teleféricos de gôndola</t>
  </si>
  <si>
    <t>Co_80_20_84</t>
  </si>
  <si>
    <t>Surface lift way complexes</t>
  </si>
  <si>
    <t>Elevadores de superfície</t>
  </si>
  <si>
    <t>Co_80_20_99</t>
  </si>
  <si>
    <t>Zip line way complexes</t>
  </si>
  <si>
    <t>Slides</t>
  </si>
  <si>
    <t>Co_80_35</t>
  </si>
  <si>
    <t>Road complexes</t>
  </si>
  <si>
    <t>Estradas</t>
  </si>
  <si>
    <t>Complexos de transporte rodoviário</t>
  </si>
  <si>
    <t>Co_80_35_75</t>
  </si>
  <si>
    <t>Road networks</t>
  </si>
  <si>
    <t>Redes rodoviárias</t>
  </si>
  <si>
    <t>Co_80_50</t>
  </si>
  <si>
    <t>Railway complexes</t>
  </si>
  <si>
    <t>Ferrovias</t>
  </si>
  <si>
    <t>Edifícios e instalações para o transporte ferroviário</t>
  </si>
  <si>
    <t>Co_80_50_35</t>
  </si>
  <si>
    <t>Heavy rail complexes</t>
  </si>
  <si>
    <t>Ferrovias pesadas</t>
  </si>
  <si>
    <t>Co_80_50_37</t>
  </si>
  <si>
    <t>High-speed rail complexes</t>
  </si>
  <si>
    <t>Ferrovias de alta velocidade</t>
  </si>
  <si>
    <t>Complexos de ferrovia de alta velocidade</t>
  </si>
  <si>
    <t>Co_80_50_45</t>
  </si>
  <si>
    <t>Light rail complexes</t>
  </si>
  <si>
    <t>Ferrovia ligeira</t>
  </si>
  <si>
    <t>Complexos de ferrovia ligeira</t>
  </si>
  <si>
    <t>Co_80_50_50</t>
  </si>
  <si>
    <t>Magnetic levitation ways</t>
  </si>
  <si>
    <t>Ferrovia de levitação magnética</t>
  </si>
  <si>
    <t>Caminhos para levitação magnética</t>
  </si>
  <si>
    <t>Caminhos de levitação magnética (mantar a coerencia do "de")</t>
  </si>
  <si>
    <t>Co_80_50_53</t>
  </si>
  <si>
    <t>Monorail complexes</t>
  </si>
  <si>
    <t>Monocarril</t>
  </si>
  <si>
    <t>Complexos de monocarril</t>
  </si>
  <si>
    <t>Co_80_50_56</t>
  </si>
  <si>
    <t>Narrow-gauge rail complexes</t>
  </si>
  <si>
    <t>Ferrovia de bitola estreita</t>
  </si>
  <si>
    <t>Complexos para ferrovia de bitola estreita</t>
  </si>
  <si>
    <t>Complexos "de" ferrovia de bitola estreita</t>
  </si>
  <si>
    <t>Co_80_50_69</t>
  </si>
  <si>
    <t>Rack rail complexes</t>
  </si>
  <si>
    <t>Ferrovia de cremalheira</t>
  </si>
  <si>
    <t>Complexos para ferrovia de cremalheira</t>
  </si>
  <si>
    <t>Complexos "de" ferrovia …</t>
  </si>
  <si>
    <t>Co_80_50_76</t>
  </si>
  <si>
    <t>Road-based light rail complexes</t>
  </si>
  <si>
    <t>Ferrovia ligeira em estrada</t>
  </si>
  <si>
    <t>Complexos para ferrovia ligeita emestrada</t>
  </si>
  <si>
    <t>Co_80_70</t>
  </si>
  <si>
    <t>Marine and waterways transport complexes</t>
  </si>
  <si>
    <t>Transportes marítimos e em vias aquáticas</t>
  </si>
  <si>
    <t>Complexos de transporte marítimo e fluvial</t>
  </si>
  <si>
    <t>Co_80_70_11</t>
  </si>
  <si>
    <t>Cable ferry complexes</t>
  </si>
  <si>
    <t>Ferries de cabo</t>
  </si>
  <si>
    <t>Complexos de ferries de cabo</t>
  </si>
  <si>
    <t>Co_80_70_13</t>
  </si>
  <si>
    <t>Canal complexes</t>
  </si>
  <si>
    <t>Canais</t>
  </si>
  <si>
    <t>Complexos de canais</t>
  </si>
  <si>
    <t>Co_80_70_17</t>
  </si>
  <si>
    <t>Container ports</t>
  </si>
  <si>
    <t>Portos de contentores</t>
  </si>
  <si>
    <t>Co_80_70_23</t>
  </si>
  <si>
    <t>Dry bulk ports</t>
  </si>
  <si>
    <t>Portos de secos a granel</t>
  </si>
  <si>
    <t>Portos de sólidos a granel</t>
  </si>
  <si>
    <t>Co_80_70_30</t>
  </si>
  <si>
    <t>Fishing ports</t>
  </si>
  <si>
    <t>Portos de pesca</t>
  </si>
  <si>
    <t>Co_80_70_36</t>
  </si>
  <si>
    <t>Harbours</t>
  </si>
  <si>
    <t>Portos</t>
  </si>
  <si>
    <t>Co_80_70_47</t>
  </si>
  <si>
    <t>Liquid bulk ports</t>
  </si>
  <si>
    <t>Portos de líquidos a granel</t>
  </si>
  <si>
    <t>Co_80_70_70</t>
  </si>
  <si>
    <t>River ferry complexes</t>
  </si>
  <si>
    <t>Ferries fluviais</t>
  </si>
  <si>
    <t>Complexos de transporte fluvial</t>
  </si>
  <si>
    <t>Co_80_70_72</t>
  </si>
  <si>
    <t>Roll-on roll-off ports</t>
  </si>
  <si>
    <t>Portos  roll-on roll-off</t>
  </si>
  <si>
    <t>Co_80_70_77</t>
  </si>
  <si>
    <t>Sea cruise ports</t>
  </si>
  <si>
    <t>Portos marítimos de cruzeiros</t>
  </si>
  <si>
    <t>Co_80_70_78</t>
  </si>
  <si>
    <t>Sea ferry ports</t>
  </si>
  <si>
    <t>Portos de ferries marítimos</t>
  </si>
  <si>
    <t>Co_80_90</t>
  </si>
  <si>
    <t>Transport interchange complexes</t>
  </si>
  <si>
    <t>Interfaces de transporte</t>
  </si>
  <si>
    <t>Co_90</t>
  </si>
  <si>
    <t>Circulation and storage complexes</t>
  </si>
  <si>
    <t>Complexos de circulação e de armazenamento</t>
  </si>
  <si>
    <t>Complexos de transbordo e armazenamento</t>
  </si>
  <si>
    <t>Co_90_50</t>
  </si>
  <si>
    <t>Storage complexes</t>
  </si>
  <si>
    <t>Complexos de armazenamento</t>
  </si>
  <si>
    <t>Co_90_50_03</t>
  </si>
  <si>
    <t>Ambient food storage complexes</t>
  </si>
  <si>
    <t>Complexos de armazenamento de alimentos</t>
  </si>
  <si>
    <t>Complexos de armazenamento de alimentos à temperatura ambiente</t>
  </si>
  <si>
    <t>Co_90_50_04</t>
  </si>
  <si>
    <t>Arms storage complexes</t>
  </si>
  <si>
    <t>Complexos de armazenamento de armas (paiois)</t>
  </si>
  <si>
    <t>Co_90_50_15</t>
  </si>
  <si>
    <t>Cold storage complexes</t>
  </si>
  <si>
    <t>Complexos de armazenamento em frio</t>
  </si>
  <si>
    <t>Co_90_50_16</t>
  </si>
  <si>
    <t>Complexes for the storage of human remains</t>
  </si>
  <si>
    <t>Complexos para o armazenamento de restos mortais humanos</t>
  </si>
  <si>
    <t>Co_90_50_24</t>
  </si>
  <si>
    <t>Dry waste storage complexes</t>
  </si>
  <si>
    <t>Complexos de armazenamento de resíduos secos</t>
  </si>
  <si>
    <t>Complexos de armazenamento de resíduos sólidos</t>
  </si>
  <si>
    <t>Co_90_50_34</t>
  </si>
  <si>
    <t>Gas storage complexes</t>
  </si>
  <si>
    <t>Complexos de armazenamento de gás</t>
  </si>
  <si>
    <t>Co_90_50_45</t>
  </si>
  <si>
    <t>Liquid fuel storage complexes</t>
  </si>
  <si>
    <t>Complexos de armazenamento de combustível líquido</t>
  </si>
  <si>
    <t>Co_90_50_51</t>
  </si>
  <si>
    <t>Military arsenals</t>
  </si>
  <si>
    <t>Arsenais militares</t>
  </si>
  <si>
    <t>Co_90_50_52</t>
  </si>
  <si>
    <t>Mineral storage complexes</t>
  </si>
  <si>
    <t>Complexos de armazenamento de minerais</t>
  </si>
  <si>
    <t>Co_90_50_71</t>
  </si>
  <si>
    <t>Refrigerated food storage complexes</t>
  </si>
  <si>
    <t>Complexos de armazenamento refrigerado de alimentos</t>
  </si>
  <si>
    <t xml:space="preserve">Complexos de armazenamento de alimentos refrigerado </t>
  </si>
  <si>
    <t>Co_90_50_77</t>
  </si>
  <si>
    <t>Secure storage complexes</t>
  </si>
  <si>
    <t>Complexos de armazenamento seguros</t>
  </si>
  <si>
    <t>Complexos de aluguer de garagens para armazenamento com segurança</t>
  </si>
  <si>
    <t>Co_90_50_78</t>
  </si>
  <si>
    <t>Self storage complexes</t>
  </si>
  <si>
    <t>Complexos de auto-armazenamento</t>
  </si>
  <si>
    <t>Complexos de aluguer de garagens para armazenamento</t>
  </si>
  <si>
    <t>Co_90_50_80</t>
  </si>
  <si>
    <t>Solid fuel storage complexes</t>
  </si>
  <si>
    <t>Complexos de armazenamento de combustível sólido</t>
  </si>
  <si>
    <t>Co_90_50_94</t>
  </si>
  <si>
    <t>Warehouses</t>
  </si>
  <si>
    <t>Armazéns</t>
  </si>
  <si>
    <t>Co_90_50_95</t>
  </si>
  <si>
    <t>Wastewater storage complexes</t>
  </si>
  <si>
    <t>Complexos de armazenamento de águas residuais</t>
  </si>
  <si>
    <t>Estações de armazenamento de águas residuais (?)</t>
  </si>
  <si>
    <t>Co_90_50_96</t>
  </si>
  <si>
    <t>Water storage complexes</t>
  </si>
  <si>
    <t>Complexos de armazenamento de água</t>
  </si>
  <si>
    <t>Estações de armazenamento de água (?)</t>
  </si>
  <si>
    <t>Nota geral: Necessário coerência na utilização dos termos CENTROS/COMPLEXOS/ESTAÇÕES</t>
  </si>
  <si>
    <t>Tabela - Dissertação Teresa Poejo</t>
  </si>
  <si>
    <t>Código</t>
  </si>
  <si>
    <t>Código_CO</t>
  </si>
  <si>
    <t>Grupo</t>
  </si>
  <si>
    <t>Subgrupo</t>
  </si>
  <si>
    <t>Secção</t>
  </si>
  <si>
    <t>Título</t>
  </si>
  <si>
    <t>Em_20</t>
  </si>
  <si>
    <t>Edifícios da administração, de Comércio e de proteção</t>
  </si>
  <si>
    <t>Em_20_10</t>
  </si>
  <si>
    <t>Edifícios legislativos</t>
  </si>
  <si>
    <t>Em_20_10_60</t>
  </si>
  <si>
    <t>Edifícios governamentais</t>
  </si>
  <si>
    <t>Em_20_15</t>
  </si>
  <si>
    <t>Edifícios administrativos</t>
  </si>
  <si>
    <t>Em_20_15_08</t>
  </si>
  <si>
    <t>Em_20_15_58</t>
  </si>
  <si>
    <t>Escritórios</t>
  </si>
  <si>
    <t>Em_20_20</t>
  </si>
  <si>
    <t>Edifícios administração pública</t>
  </si>
  <si>
    <t>Em_20_20_40</t>
  </si>
  <si>
    <t>Edifícios das câmaras municipais</t>
  </si>
  <si>
    <t>Em_20_20_50</t>
  </si>
  <si>
    <t>Edifícios do governo nacional</t>
  </si>
  <si>
    <t>Em_20_20_70</t>
  </si>
  <si>
    <t>Edifícios do governo regional</t>
  </si>
  <si>
    <t>Em_20_30</t>
  </si>
  <si>
    <t>Co_20_30</t>
  </si>
  <si>
    <t>Edifícios das Instituições monetárias e financeiras</t>
  </si>
  <si>
    <t>Em_20_30_10</t>
  </si>
  <si>
    <t>Co_20_30_10</t>
  </si>
  <si>
    <t>Edifícios de Instituições monetárias</t>
  </si>
  <si>
    <t>Em_20_30_20</t>
  </si>
  <si>
    <t>Co_20_30_20</t>
  </si>
  <si>
    <t>Edifícios de Seguros</t>
  </si>
  <si>
    <t>Em_20_45</t>
  </si>
  <si>
    <t>Edifícios de manutenção e abastecimento de veículos a motor</t>
  </si>
  <si>
    <t>Em_20_45_50</t>
  </si>
  <si>
    <t>Estações de abastecimento e carregamento de veículos a motor</t>
  </si>
  <si>
    <t>Em_20_45_54</t>
  </si>
  <si>
    <t>Edifícios para manutenção de veículos a motor</t>
  </si>
  <si>
    <t>Em_20_50</t>
  </si>
  <si>
    <t>Edifícios comerciais</t>
  </si>
  <si>
    <t>Em_20_50_40</t>
  </si>
  <si>
    <t>Co_20_50_40</t>
  </si>
  <si>
    <t>Mercados abastecedores</t>
  </si>
  <si>
    <t>Em_20_50_41</t>
  </si>
  <si>
    <t>Co_20_50_41</t>
  </si>
  <si>
    <t>Lotas</t>
  </si>
  <si>
    <t>Em_20_50_42</t>
  </si>
  <si>
    <t>Co_20_50_42</t>
  </si>
  <si>
    <t>Edifícios de grandes superfícies grossitas</t>
  </si>
  <si>
    <t>Em_20_50_50</t>
  </si>
  <si>
    <t>Praças ou mercados municipais</t>
  </si>
  <si>
    <t>Em_20_50_78</t>
  </si>
  <si>
    <t>Em_20_50_94</t>
  </si>
  <si>
    <t>Edifícios de venda de veículos</t>
  </si>
  <si>
    <t>Em_20_55</t>
  </si>
  <si>
    <t>Edifícios dos Correios, centros de conferência e serviços similares</t>
  </si>
  <si>
    <t>Em_20_55_15</t>
  </si>
  <si>
    <t>Co_20_55_15</t>
  </si>
  <si>
    <t>Edifícios de tratamento postal</t>
  </si>
  <si>
    <t>Em_20_55_16</t>
  </si>
  <si>
    <t>Co_20_55_16</t>
  </si>
  <si>
    <t>Edifícios de distribuição postal</t>
  </si>
  <si>
    <t>Em_20_55_17</t>
  </si>
  <si>
    <t>Co_20_55_17</t>
  </si>
  <si>
    <t>Edifícios das estações dos correios e equipamentos de apoio</t>
  </si>
  <si>
    <t>Em_20_60</t>
  </si>
  <si>
    <t>Edifícios militares</t>
  </si>
  <si>
    <t>Em_20_60_02</t>
  </si>
  <si>
    <t>Edifícios da força aérea</t>
  </si>
  <si>
    <t>Em_20_60_10</t>
  </si>
  <si>
    <t>Edifícios do exercito</t>
  </si>
  <si>
    <t>Em_20_60_56</t>
  </si>
  <si>
    <t>Edifícios da marinha</t>
  </si>
  <si>
    <t>Em_20_65</t>
  </si>
  <si>
    <t>Infraestruturas de forças de segurança</t>
  </si>
  <si>
    <t>Em_20_65_56</t>
  </si>
  <si>
    <t>Esquadras da polícia</t>
  </si>
  <si>
    <t>Em_20_70</t>
  </si>
  <si>
    <t>Edifícios judiciais</t>
  </si>
  <si>
    <t>Em_20_70_18</t>
  </si>
  <si>
    <t>Edifícios dos Tribunais</t>
  </si>
  <si>
    <t>Em_20_75</t>
  </si>
  <si>
    <t>Edifícios de detenção</t>
  </si>
  <si>
    <t>Em_20_75_64</t>
  </si>
  <si>
    <t>Prisões</t>
  </si>
  <si>
    <t>Em_20_90</t>
  </si>
  <si>
    <t>Infraestruturas para suporte de acidentes</t>
  </si>
  <si>
    <t>Em_20_90_16</t>
  </si>
  <si>
    <t>Infraestruturas da guarda costeira</t>
  </si>
  <si>
    <t>Em_20_90_27</t>
  </si>
  <si>
    <t>Quartéis de Bombeiros</t>
  </si>
  <si>
    <t>Em_25</t>
  </si>
  <si>
    <t>Edifícios culturais, educacionais e de informação</t>
  </si>
  <si>
    <t>Em_25_10</t>
  </si>
  <si>
    <t>Edifícios Educacionais</t>
  </si>
  <si>
    <t>Em_25_10_15</t>
  </si>
  <si>
    <t>Co_25_10_15</t>
  </si>
  <si>
    <t>Escolas e centros de formação</t>
  </si>
  <si>
    <t>Em_25_10_20</t>
  </si>
  <si>
    <t>Co_25_10_20</t>
  </si>
  <si>
    <t>Academias de arte</t>
  </si>
  <si>
    <t>Em_25_10_45</t>
  </si>
  <si>
    <t>Edifícios de educação pré-escolar e creches</t>
  </si>
  <si>
    <t>Em_25_10_66</t>
  </si>
  <si>
    <t>Edifícios de ensino básico</t>
  </si>
  <si>
    <t>Em_25_10_77</t>
  </si>
  <si>
    <t>Edifícios de ensino secundário</t>
  </si>
  <si>
    <t>Em_25_10_80</t>
  </si>
  <si>
    <t>Co_25_10_80</t>
  </si>
  <si>
    <t>Edifícios de ensino superior</t>
  </si>
  <si>
    <t>Em_25_10_88</t>
  </si>
  <si>
    <t>Universidades seniores</t>
  </si>
  <si>
    <t>Em_25_10_92</t>
  </si>
  <si>
    <t>Em_25_30</t>
  </si>
  <si>
    <t>Edifícios científicos</t>
  </si>
  <si>
    <t>Em_25_30_04</t>
  </si>
  <si>
    <t>Observatório Astronómico</t>
  </si>
  <si>
    <t>Em_25_30_08</t>
  </si>
  <si>
    <t>Jardins Botânicos</t>
  </si>
  <si>
    <t>Em_25_30_45</t>
  </si>
  <si>
    <t>Laboratórios de investigação cientifica</t>
  </si>
  <si>
    <t>Em_25_30_50</t>
  </si>
  <si>
    <t>Co_25_30_50</t>
  </si>
  <si>
    <t>Estações meteorológicas</t>
  </si>
  <si>
    <t>Em_25_30_70</t>
  </si>
  <si>
    <t>Centros de investigação</t>
  </si>
  <si>
    <t>Em_25_50</t>
  </si>
  <si>
    <t>Edifícios de exibições</t>
  </si>
  <si>
    <t>Em_25_50_33</t>
  </si>
  <si>
    <t>Galerias de arte</t>
  </si>
  <si>
    <t>Em_25_50_34</t>
  </si>
  <si>
    <t>Jardins e viveiros de plantas</t>
  </si>
  <si>
    <t>Em_25_50_52</t>
  </si>
  <si>
    <t>Monumentos</t>
  </si>
  <si>
    <t>Em_25_50_55</t>
  </si>
  <si>
    <t>Em_25_50_58</t>
  </si>
  <si>
    <t>Em_25_50_99</t>
  </si>
  <si>
    <t>Em_25_70</t>
  </si>
  <si>
    <t>Edifícios de informação</t>
  </si>
  <si>
    <t>Em_25_70_16</t>
  </si>
  <si>
    <t>Edifícios de centros de conferências e de congressos</t>
  </si>
  <si>
    <t>Em_25_70_23</t>
  </si>
  <si>
    <t>Em_25_70_47</t>
  </si>
  <si>
    <t>Bibliotecas</t>
  </si>
  <si>
    <t>Em_25_90</t>
  </si>
  <si>
    <t>Edifícios para o culto e práticas religiosas</t>
  </si>
  <si>
    <t>Em_25_90_30</t>
  </si>
  <si>
    <t>Edifícios para o culto religioso</t>
  </si>
  <si>
    <t>Em_30</t>
  </si>
  <si>
    <t>Edifícios Industriais</t>
  </si>
  <si>
    <t>Em_30_40</t>
  </si>
  <si>
    <t>Infraestruturas de processamento de produtos derivados de animais e plantas</t>
  </si>
  <si>
    <t>Em_30_40_01</t>
  </si>
  <si>
    <t>Edifícios e instalações para matadouros</t>
  </si>
  <si>
    <t>Em_30_40_96</t>
  </si>
  <si>
    <t>Edifícios e instalações para a indústria do vinho</t>
  </si>
  <si>
    <t>Em_30_90</t>
  </si>
  <si>
    <t>Reservatórios, armazéns e centros de distribuição</t>
  </si>
  <si>
    <t>Em_35</t>
  </si>
  <si>
    <t>Edifícios de saúde</t>
  </si>
  <si>
    <t>Em_35_10</t>
  </si>
  <si>
    <t>Edifícios para fins médicos</t>
  </si>
  <si>
    <t>Em_35_10_15</t>
  </si>
  <si>
    <t>Clínicas e Edifícios de saúde sem internamento</t>
  </si>
  <si>
    <t>Em_35_10_37</t>
  </si>
  <si>
    <t>Hospitais Gerais</t>
  </si>
  <si>
    <t>Em_35_10_50</t>
  </si>
  <si>
    <t>Co_35_10_50</t>
  </si>
  <si>
    <t>Hospitais Especializados</t>
  </si>
  <si>
    <t>Em_35_10_60</t>
  </si>
  <si>
    <t>Co_35_10_60</t>
  </si>
  <si>
    <t>Centros de saúde</t>
  </si>
  <si>
    <t>Em_35_10_70</t>
  </si>
  <si>
    <t>Co_35_10_70</t>
  </si>
  <si>
    <t>Centros de diagnóstico e de terapêutica</t>
  </si>
  <si>
    <t>Em_35_10_80</t>
  </si>
  <si>
    <t>Co_35_10_80</t>
  </si>
  <si>
    <t>Instalações de estabelecimentos termais</t>
  </si>
  <si>
    <t>Em_35_50</t>
  </si>
  <si>
    <t>Edifícios de bem-estar</t>
  </si>
  <si>
    <t>Em_35_50_30</t>
  </si>
  <si>
    <t>Ginásios e centros de Fitness</t>
  </si>
  <si>
    <t>Em_35_50_37</t>
  </si>
  <si>
    <t>Hospitais Psiquiátricos</t>
  </si>
  <si>
    <t>Em_35_50_82</t>
  </si>
  <si>
    <t>Spas</t>
  </si>
  <si>
    <t>Em_35_70</t>
  </si>
  <si>
    <t>Edifícios funerários</t>
  </si>
  <si>
    <t>Em_35_70_13</t>
  </si>
  <si>
    <t>Em_35_70_16</t>
  </si>
  <si>
    <t>Em_35_70_32</t>
  </si>
  <si>
    <t>Em_35_85</t>
  </si>
  <si>
    <t>Instalações para animais</t>
  </si>
  <si>
    <t>Em_35_85_05</t>
  </si>
  <si>
    <t>Em_35_85_10</t>
  </si>
  <si>
    <t>Co_35_85_10</t>
  </si>
  <si>
    <t>Pocilgas</t>
  </si>
  <si>
    <t>Em_35_85_45</t>
  </si>
  <si>
    <t>Em_35_85_85</t>
  </si>
  <si>
    <t>Estábulos e currais</t>
  </si>
  <si>
    <t>Em_35_85_90</t>
  </si>
  <si>
    <t>Co_35_85_90</t>
  </si>
  <si>
    <t>Coudelarias</t>
  </si>
  <si>
    <t>Em_35_90</t>
  </si>
  <si>
    <t>Infraestruturas relativas ao tratamento de animais</t>
  </si>
  <si>
    <t>Em_35_90_95</t>
  </si>
  <si>
    <t>Em_40</t>
  </si>
  <si>
    <t>Edifícios recreativos</t>
  </si>
  <si>
    <t>Em_40_05</t>
  </si>
  <si>
    <t>Infraestruturas para recreativos diversos</t>
  </si>
  <si>
    <t>Em_40_05_02</t>
  </si>
  <si>
    <t>Em_40_05_03</t>
  </si>
  <si>
    <t>Em_40_05_30</t>
  </si>
  <si>
    <t>Espaços de jogos e entretenimento infantil</t>
  </si>
  <si>
    <t>Em_40_05_89</t>
  </si>
  <si>
    <t>Em_40_60</t>
  </si>
  <si>
    <t>Infraestruturas ligadas às artes</t>
  </si>
  <si>
    <t>Em_40_60_13</t>
  </si>
  <si>
    <t>Cinemas</t>
  </si>
  <si>
    <t>Em_40_60_16</t>
  </si>
  <si>
    <t>Edifícios para concertos</t>
  </si>
  <si>
    <t>Em_40_60_20</t>
  </si>
  <si>
    <t>Co_40_60_20</t>
  </si>
  <si>
    <t>Casinos</t>
  </si>
  <si>
    <t>Em_40_60_25</t>
  </si>
  <si>
    <t>Co_40_60_25</t>
  </si>
  <si>
    <t>Praças de touros</t>
  </si>
  <si>
    <t>Em_40_60_30</t>
  </si>
  <si>
    <t>Estúdios de televisão e filmagens</t>
  </si>
  <si>
    <t>Em_40_60_35</t>
  </si>
  <si>
    <t>Co_40_60_35</t>
  </si>
  <si>
    <t>Coretos</t>
  </si>
  <si>
    <t>Em_40_60_88</t>
  </si>
  <si>
    <t>Em_40_75</t>
  </si>
  <si>
    <t>Edifícios de ação social</t>
  </si>
  <si>
    <t>Em_40_75_15</t>
  </si>
  <si>
    <t>Em_40_75_20</t>
  </si>
  <si>
    <t>Co_40_75_20</t>
  </si>
  <si>
    <t>Centros de atividades de tempos livres - ATL</t>
  </si>
  <si>
    <t>Em_40_75_25</t>
  </si>
  <si>
    <t>Co_40_75_25</t>
  </si>
  <si>
    <t>Centros de atividades ocupacionais</t>
  </si>
  <si>
    <t>Em_40_75_30</t>
  </si>
  <si>
    <t>Co_40_75_30</t>
  </si>
  <si>
    <t>Centros de dia</t>
  </si>
  <si>
    <t>Em_40_75_68</t>
  </si>
  <si>
    <t>Em_42</t>
  </si>
  <si>
    <t>Infraestruturas para práticas desportivas e atividades</t>
  </si>
  <si>
    <t>Em_42_40</t>
  </si>
  <si>
    <t>Infraestruturas cobertas para a prática de atividades</t>
  </si>
  <si>
    <t>Em_42_40_10</t>
  </si>
  <si>
    <t>Em_42_40_20</t>
  </si>
  <si>
    <t>Co_42_40_20</t>
  </si>
  <si>
    <t>Campos de ténis cobertos</t>
  </si>
  <si>
    <t>Em_42_40_40</t>
  </si>
  <si>
    <t>Polidesportivos</t>
  </si>
  <si>
    <t>Em_42_40_45</t>
  </si>
  <si>
    <t>Co_42_40_45</t>
  </si>
  <si>
    <t>Salas de desporto</t>
  </si>
  <si>
    <t>Em_42_50</t>
  </si>
  <si>
    <t>Infraestruturas ao ar livre para a prática de atividades</t>
  </si>
  <si>
    <t>Em_42_50_10</t>
  </si>
  <si>
    <t>Em_42_50_20</t>
  </si>
  <si>
    <t>Co_42_50_20</t>
  </si>
  <si>
    <t>Campos de ténis ao ar livre</t>
  </si>
  <si>
    <t>Em_42_50_30</t>
  </si>
  <si>
    <t>Em_42_50_60</t>
  </si>
  <si>
    <t>Polidesportivos ao ar livre</t>
  </si>
  <si>
    <t>Em_42_50_70</t>
  </si>
  <si>
    <t>Hipódromos e outras instalações para desportos equestres</t>
  </si>
  <si>
    <t>Em_42_85</t>
  </si>
  <si>
    <t>Infraestruturas aquáticas</t>
  </si>
  <si>
    <t>Em_42_85_40</t>
  </si>
  <si>
    <t>Piscinas cobertas</t>
  </si>
  <si>
    <t>Em_42_85_60</t>
  </si>
  <si>
    <t>Piscinas ao ar livre</t>
  </si>
  <si>
    <t>Em_42_85_96</t>
  </si>
  <si>
    <t>Parques de diversão aquáticos</t>
  </si>
  <si>
    <t>Em_42_90</t>
  </si>
  <si>
    <t>Co_42_90</t>
  </si>
  <si>
    <t>Outras infraestruturas para desporto</t>
  </si>
  <si>
    <t>Em_42_90_05</t>
  </si>
  <si>
    <t>Co_42_90_05</t>
  </si>
  <si>
    <t>Estádios</t>
  </si>
  <si>
    <t>Em_42_90_10</t>
  </si>
  <si>
    <t>Co_42_90_10</t>
  </si>
  <si>
    <t>Infraestruturas para desportos motorizados</t>
  </si>
  <si>
    <t>Em_44</t>
  </si>
  <si>
    <t>Co_44</t>
  </si>
  <si>
    <t>Edifícios com fogos</t>
  </si>
  <si>
    <t>Em_45</t>
  </si>
  <si>
    <t>Edifícios de alojamento coletivo</t>
  </si>
  <si>
    <t>Em_45_10</t>
  </si>
  <si>
    <t>Edifícios para residência</t>
  </si>
  <si>
    <t>Em_45_10_15</t>
  </si>
  <si>
    <t>Em_45_10_16</t>
  </si>
  <si>
    <t>Co_45_10_16</t>
  </si>
  <si>
    <t>Centros de acolhimento temporário para crianças e jovens</t>
  </si>
  <si>
    <t>Em_45_10_17</t>
  </si>
  <si>
    <t>Co_45_10_17</t>
  </si>
  <si>
    <t>Lares de apoio para crianças e jovens com deficiência</t>
  </si>
  <si>
    <t>Em_45_10_18</t>
  </si>
  <si>
    <t>Co_45_10_18</t>
  </si>
  <si>
    <t>Lares residenciais para jovens e adultos com deficiência</t>
  </si>
  <si>
    <t>Em_45_10_23</t>
  </si>
  <si>
    <t>Co_45_10_23</t>
  </si>
  <si>
    <t>Edifícios de alojamento coletivo para famílias e comunidade</t>
  </si>
  <si>
    <t>Em_45_10_24</t>
  </si>
  <si>
    <t>Co_45_10_24</t>
  </si>
  <si>
    <t>Residências para estudantes</t>
  </si>
  <si>
    <t>Em_45_10_25</t>
  </si>
  <si>
    <t>Co_45_10_25</t>
  </si>
  <si>
    <t>Residências para trabalhadores</t>
  </si>
  <si>
    <t>Em_45_10_44</t>
  </si>
  <si>
    <t>Co_45_10_44</t>
  </si>
  <si>
    <t>Lares para pessoas idosas</t>
  </si>
  <si>
    <t>Em_45_10_45</t>
  </si>
  <si>
    <t>Co_45_10_45</t>
  </si>
  <si>
    <t>Residências para pessoas idosas</t>
  </si>
  <si>
    <t>Em_45_10_47</t>
  </si>
  <si>
    <t>Co_45_10_47</t>
  </si>
  <si>
    <t>Centros de noite para pessoas idosas</t>
  </si>
  <si>
    <t>Em_45_10_78</t>
  </si>
  <si>
    <t>Centros de acolhimento</t>
  </si>
  <si>
    <t>Em_47</t>
  </si>
  <si>
    <t>Co_47</t>
  </si>
  <si>
    <t>Edifícios de hotelaria e similares e edifícios de restauração e bebidas</t>
  </si>
  <si>
    <t>Em_47_10</t>
  </si>
  <si>
    <t>Co_47_10</t>
  </si>
  <si>
    <t>Edifícios de hotelaria</t>
  </si>
  <si>
    <t>Em_47_10_05</t>
  </si>
  <si>
    <t>Co_47_10_05</t>
  </si>
  <si>
    <t>Em_47_10_10</t>
  </si>
  <si>
    <t>Co_47_10_10</t>
  </si>
  <si>
    <t>Hotéis-apartamentos</t>
  </si>
  <si>
    <t>Em_47_10_15</t>
  </si>
  <si>
    <t>Co_47_10_15</t>
  </si>
  <si>
    <t>Pensões</t>
  </si>
  <si>
    <t>Em_47_10_20</t>
  </si>
  <si>
    <t>Co_47_10_20</t>
  </si>
  <si>
    <t>Estalagens</t>
  </si>
  <si>
    <t>Em_47_10_25</t>
  </si>
  <si>
    <t>Co_47_10_25</t>
  </si>
  <si>
    <t>Em_47_10_30</t>
  </si>
  <si>
    <t>Co_47_10_30</t>
  </si>
  <si>
    <t>Pousadas</t>
  </si>
  <si>
    <t>Em_47_20</t>
  </si>
  <si>
    <t>Co_47_20</t>
  </si>
  <si>
    <t>Meios complementares de alojamento turístico</t>
  </si>
  <si>
    <t>Em_47_20_05</t>
  </si>
  <si>
    <t>Co_47_20_05</t>
  </si>
  <si>
    <t>Aldeamentos turísticos</t>
  </si>
  <si>
    <t>Em_47_20_10</t>
  </si>
  <si>
    <t>Co_47_20_10</t>
  </si>
  <si>
    <t>Apartamentos turísticos</t>
  </si>
  <si>
    <t>Em_47_20_15</t>
  </si>
  <si>
    <t>Co_47_20_15</t>
  </si>
  <si>
    <t>Moradias turísticas</t>
  </si>
  <si>
    <t>Em_47_30</t>
  </si>
  <si>
    <t>Co_47_30</t>
  </si>
  <si>
    <t>Em_47_50</t>
  </si>
  <si>
    <t>Co_47_50</t>
  </si>
  <si>
    <t>Edifícios de turismo no espaço rural</t>
  </si>
  <si>
    <t>Em_47_50_05</t>
  </si>
  <si>
    <t>Co_47_50_05</t>
  </si>
  <si>
    <t>Edifícios de turismo de habitação</t>
  </si>
  <si>
    <t>Em_47_50_10</t>
  </si>
  <si>
    <t>Co_47_50_10</t>
  </si>
  <si>
    <t>Edifícios de turismo rural</t>
  </si>
  <si>
    <t>Em_47_50_15</t>
  </si>
  <si>
    <t>Co_47_50_15</t>
  </si>
  <si>
    <t>Edifícios de agroturismo</t>
  </si>
  <si>
    <t>Em_47_60</t>
  </si>
  <si>
    <t>Co_47_60</t>
  </si>
  <si>
    <t>Outros edifícios para alojamento de curta duração</t>
  </si>
  <si>
    <t>Em_47_60_05</t>
  </si>
  <si>
    <t>Co_47_60_05</t>
  </si>
  <si>
    <t>Pousadas da juventude</t>
  </si>
  <si>
    <t>Em_47_60_10</t>
  </si>
  <si>
    <t>Co_47_60_10</t>
  </si>
  <si>
    <t>Colónias de férias</t>
  </si>
  <si>
    <t>Em_47_70</t>
  </si>
  <si>
    <t>Co_47_70</t>
  </si>
  <si>
    <t>Edifícios de restauração e de bebidas</t>
  </si>
  <si>
    <t>Em_47_70_05</t>
  </si>
  <si>
    <t>Co_47_70_05</t>
  </si>
  <si>
    <t>Edifícios de restauração</t>
  </si>
  <si>
    <t>Em_47_70_10</t>
  </si>
  <si>
    <t>Co_47_70_10</t>
  </si>
  <si>
    <t>Edifícios para estabelecimentos de bebidas sem espaço para dança</t>
  </si>
  <si>
    <t>Em_47_70_15</t>
  </si>
  <si>
    <t>Co_47_70_15</t>
  </si>
  <si>
    <t>Edifícios para estabelecimentos de bebidas com espaço para dança</t>
  </si>
  <si>
    <t>Em_50</t>
  </si>
  <si>
    <t>Infraestruturas para eliminação de resíduos</t>
  </si>
  <si>
    <t>Em_50_20</t>
  </si>
  <si>
    <t>Infraestruturas para recolha de águas residuais</t>
  </si>
  <si>
    <t>Em_50_20_10</t>
  </si>
  <si>
    <t>Sistema de recolha de águas residuais</t>
  </si>
  <si>
    <t>Em_50_20_20</t>
  </si>
  <si>
    <t>Redes de esgotos</t>
  </si>
  <si>
    <t>Em_50_20_30</t>
  </si>
  <si>
    <t>Co_50_20_30</t>
  </si>
  <si>
    <t>Sistema de recolha de águas pluviais</t>
  </si>
  <si>
    <t>Em_50_40</t>
  </si>
  <si>
    <t>Infraestruturas para recolha e separação de resíduos</t>
  </si>
  <si>
    <t>Em_50_40_10</t>
  </si>
  <si>
    <t>Infraestruturas para recolha de resíduos</t>
  </si>
  <si>
    <t>Em_50_40_50</t>
  </si>
  <si>
    <t>Infraestruturas para separação de resíduos</t>
  </si>
  <si>
    <t>Em_50_60</t>
  </si>
  <si>
    <t>Infraestruturas de tratamento de águas residuais</t>
  </si>
  <si>
    <t>Em_50_60_40</t>
  </si>
  <si>
    <t>Estações de tratamento de águas residuais</t>
  </si>
  <si>
    <t>Em_50_80</t>
  </si>
  <si>
    <t>Infraestruturas para tratamento e eliminação de resíduos</t>
  </si>
  <si>
    <t>Em_50_80_40</t>
  </si>
  <si>
    <t>Infraestruturas para tratamento de resíduos</t>
  </si>
  <si>
    <t>Em_50_80_70</t>
  </si>
  <si>
    <t>Em_55</t>
  </si>
  <si>
    <t>Infraestruturas de fornecimento</t>
  </si>
  <si>
    <t>Em_55_15</t>
  </si>
  <si>
    <t>Infraestruturas de extração e tratamento de água</t>
  </si>
  <si>
    <t>Em_55_15_10</t>
  </si>
  <si>
    <t>Em_55_15_50</t>
  </si>
  <si>
    <t>Em_55_20</t>
  </si>
  <si>
    <t>Em_55_20_50</t>
  </si>
  <si>
    <t>Estações de compressão para transporte por gasodutos</t>
  </si>
  <si>
    <t>Em_55_20_60</t>
  </si>
  <si>
    <t>Em_55_50</t>
  </si>
  <si>
    <t>Em_55_50_10</t>
  </si>
  <si>
    <t>Estações de bombagem para o transporte de oleodutos</t>
  </si>
  <si>
    <t>Em_55_50_50</t>
  </si>
  <si>
    <t>Oleodutos para transporte de produtos petrolíferos</t>
  </si>
  <si>
    <t>Em_55_70</t>
  </si>
  <si>
    <t>Infraestruturas para a distribuição de água</t>
  </si>
  <si>
    <t>Em_55_70_20</t>
  </si>
  <si>
    <t>Estações de distribuição de água</t>
  </si>
  <si>
    <t>Em_55_70_60</t>
  </si>
  <si>
    <t>Condutas para o transporte de água</t>
  </si>
  <si>
    <t>Em_70</t>
  </si>
  <si>
    <t>Infraestruturas de geração e distribuição de energia elétrica</t>
  </si>
  <si>
    <t>Em_70_10</t>
  </si>
  <si>
    <t>Infraestruturas de geração de energia elétrica</t>
  </si>
  <si>
    <t>Em_70_10_34</t>
  </si>
  <si>
    <t>Centrais Geotérmicas</t>
  </si>
  <si>
    <t>Em_70_10_38</t>
  </si>
  <si>
    <t>Centrais Hidroelétricas</t>
  </si>
  <si>
    <t>Em_70_10_50</t>
  </si>
  <si>
    <t>Co_70_10_50</t>
  </si>
  <si>
    <t>Centrais Termoelétricas</t>
  </si>
  <si>
    <t>Em_70_10_60</t>
  </si>
  <si>
    <t>Parques eólicos</t>
  </si>
  <si>
    <t>Em_70_10_81</t>
  </si>
  <si>
    <t>Centrais solares</t>
  </si>
  <si>
    <t>Em_70_30</t>
  </si>
  <si>
    <t>Infraestruturas para a distribuição de energia elétrica</t>
  </si>
  <si>
    <t>Em_70_30_35</t>
  </si>
  <si>
    <t>Subestações de transformação de energia elétrica de alta e média tensão</t>
  </si>
  <si>
    <t>Em_70_30_40</t>
  </si>
  <si>
    <t>Linhas de transporte de energia elétrica de alta e média tensão</t>
  </si>
  <si>
    <t>Em_70_30_45</t>
  </si>
  <si>
    <t>Subestações da rede urbana e local para a eletricidade de baixa tensão</t>
  </si>
  <si>
    <t>Em_70_30_50</t>
  </si>
  <si>
    <t>Linhas urbanas e locais para a eletricidade de baixa tensão</t>
  </si>
  <si>
    <t>Em_75</t>
  </si>
  <si>
    <t>communications, security, safety and protection complexes</t>
  </si>
  <si>
    <t>Em_75_10</t>
  </si>
  <si>
    <t>Edifícios e instalações para a comunicação</t>
  </si>
  <si>
    <t>Em_75_10_10</t>
  </si>
  <si>
    <t>Em_75_10_20</t>
  </si>
  <si>
    <t>Redes utilizadas para transmissão e comunicação</t>
  </si>
  <si>
    <t>Em_75_10_80</t>
  </si>
  <si>
    <t>Infraestruturas de apoio às linhas de telecomunicações</t>
  </si>
  <si>
    <t>Em_75_10_90</t>
  </si>
  <si>
    <t>Linhas urbanas e locais para telecomunicações</t>
  </si>
  <si>
    <t>Em_75_30</t>
  </si>
  <si>
    <t>Co_75_30</t>
  </si>
  <si>
    <t>Edifícios e instalações para as telecomunicações</t>
  </si>
  <si>
    <t>Em_80</t>
  </si>
  <si>
    <t>Infraestruturas de transportes</t>
  </si>
  <si>
    <t>Em_80_05</t>
  </si>
  <si>
    <t>Edifícios e instalações para o transporte aéreo</t>
  </si>
  <si>
    <t>Em_80_05_02</t>
  </si>
  <si>
    <t>Em_80_05_38</t>
  </si>
  <si>
    <t>Em_80_05_40</t>
  </si>
  <si>
    <t>Co_80_05_40</t>
  </si>
  <si>
    <t>Edifícios e instalações para a reparação e manutenção de meios de transporte aéreo</t>
  </si>
  <si>
    <t>Em_80_05_50</t>
  </si>
  <si>
    <t>Co_80_05_50</t>
  </si>
  <si>
    <t>Infraestruturas para funcionamento das pistas de aviação</t>
  </si>
  <si>
    <t>Em_80_35</t>
  </si>
  <si>
    <t>Edifícios e instalações para o transporte rodoviário</t>
  </si>
  <si>
    <t>Em_80_35_07</t>
  </si>
  <si>
    <t>Co_80_35_07</t>
  </si>
  <si>
    <t>Edifícios e instalações para reparação e manutenção de autocarros</t>
  </si>
  <si>
    <t>Em_80_35_09</t>
  </si>
  <si>
    <t>Co_80_35_09</t>
  </si>
  <si>
    <t>Estações de autocarros</t>
  </si>
  <si>
    <t>Em_80_35_11</t>
  </si>
  <si>
    <t>Co_80_35_11</t>
  </si>
  <si>
    <t>Garagens e parques de estacionamento subterrâneos</t>
  </si>
  <si>
    <t>Em_80_35_20</t>
  </si>
  <si>
    <t>Co_80_35_20</t>
  </si>
  <si>
    <t>Garagens e parques de estacionamento cobertos, não subterrâneos</t>
  </si>
  <si>
    <t>Em_80_35_35</t>
  </si>
  <si>
    <t>Co_80_35_35</t>
  </si>
  <si>
    <t>Infraestruturas e instalações de exploração, sinalização, iluminação, zonas de estacionamento e de segurança em estradas</t>
  </si>
  <si>
    <t>Em_80_35_40</t>
  </si>
  <si>
    <t>Co_80_35_40</t>
  </si>
  <si>
    <t>Estações centrais de camionagem</t>
  </si>
  <si>
    <t>Em_80_35_88</t>
  </si>
  <si>
    <t>Co_80_35_88</t>
  </si>
  <si>
    <t>Edifícios e instalações para reparação e manutenção de camiões</t>
  </si>
  <si>
    <t>Em_80_35_90</t>
  </si>
  <si>
    <t>Co_80_35_90</t>
  </si>
  <si>
    <t>Abrigos</t>
  </si>
  <si>
    <t>Em_80_35_95</t>
  </si>
  <si>
    <t>Co_80_35_95</t>
  </si>
  <si>
    <t>Interfaces</t>
  </si>
  <si>
    <t>Em_80_40</t>
  </si>
  <si>
    <t>Co_80_40</t>
  </si>
  <si>
    <t>Estações de serviço e portagens nas autoestradas</t>
  </si>
  <si>
    <t>Em_80_40_35</t>
  </si>
  <si>
    <t>Co_80_40_35</t>
  </si>
  <si>
    <t>Estações de serviço de autoestradas</t>
  </si>
  <si>
    <t>Em_80_40_40</t>
  </si>
  <si>
    <t>Co_80_40_40</t>
  </si>
  <si>
    <t>Portagens de autoestradas</t>
  </si>
  <si>
    <t>Em_80_50</t>
  </si>
  <si>
    <t>Em_80_50_20</t>
  </si>
  <si>
    <t>Co_80_50_20</t>
  </si>
  <si>
    <t>Instalações associadas ao transporte por caminhos de ferro de passageiros e de mercadorias</t>
  </si>
  <si>
    <t>Em_80_50_35</t>
  </si>
  <si>
    <t>Edifícios e instalações associados a outro transporte ferroviário</t>
  </si>
  <si>
    <t>Em_80_50_40</t>
  </si>
  <si>
    <t>Co_80_50_40</t>
  </si>
  <si>
    <t>Edifícios e instalações para reparação e manutenção de meios de transporte ferroviário</t>
  </si>
  <si>
    <t>Em_80_50_74</t>
  </si>
  <si>
    <t>Co_80_50_74</t>
  </si>
  <si>
    <t>Estações de comboios</t>
  </si>
  <si>
    <t>Em_80_50_75</t>
  </si>
  <si>
    <t>Co_80_50_75</t>
  </si>
  <si>
    <t>Infraestruturas para funcionamento das vias férreas</t>
  </si>
  <si>
    <t>Em_80_70</t>
  </si>
  <si>
    <t>Edifícios e instalações para os transportes marítimo e fluvial</t>
  </si>
  <si>
    <t>Em_80_70_17</t>
  </si>
  <si>
    <t>Docas</t>
  </si>
  <si>
    <t>Em_80_70_30</t>
  </si>
  <si>
    <t>Em_80_70_36</t>
  </si>
  <si>
    <t>Portos e cais marítimos ou fluviais</t>
  </si>
  <si>
    <t>Em_80_70_50</t>
  </si>
  <si>
    <t>Co_80_70_50</t>
  </si>
  <si>
    <t>Marinas</t>
  </si>
  <si>
    <t>Em_80_70_60</t>
  </si>
  <si>
    <t>Co_80_70_60</t>
  </si>
  <si>
    <t>Instalações associadas as transporte fluvial de passageiros e mercadorias</t>
  </si>
  <si>
    <t>Em_80_70_70</t>
  </si>
  <si>
    <t>Instalações associados ao transporte marítimo de passageiros e de mercadoria</t>
  </si>
  <si>
    <t>Em_80_70_75</t>
  </si>
  <si>
    <t>Co_80_70_75</t>
  </si>
  <si>
    <t>Edifícios e instalações para reparação e manutenção de meios de transporte marítimo e fluvial</t>
  </si>
  <si>
    <t>Em_80_70_77</t>
  </si>
  <si>
    <t>Portos para cruzeiros</t>
  </si>
  <si>
    <t>Em_90</t>
  </si>
  <si>
    <t>Edifícios e instalações de armazenagem e circulação</t>
  </si>
  <si>
    <t>Em_90_50</t>
  </si>
  <si>
    <t>Edifícios de armazenagem</t>
  </si>
  <si>
    <t>Em_90_50_03</t>
  </si>
  <si>
    <t>Silos para cereais</t>
  </si>
  <si>
    <t>Em_90_50_07</t>
  </si>
  <si>
    <t>Co_90_50_07</t>
  </si>
  <si>
    <t>Silos para cimentos e outros agregados secos</t>
  </si>
  <si>
    <t>Em_90_50_15</t>
  </si>
  <si>
    <t>Armazéns frigoríficos</t>
  </si>
  <si>
    <t>Em_90_50_24</t>
  </si>
  <si>
    <t>Infraestruturas de deposição de resíduos</t>
  </si>
  <si>
    <t>Em_90_50_34</t>
  </si>
  <si>
    <t>Reservatórios para gás</t>
  </si>
  <si>
    <t>Em_90_50_45</t>
  </si>
  <si>
    <t>Reservatórios para petróleo</t>
  </si>
  <si>
    <t>Em_90_50_50</t>
  </si>
  <si>
    <t>Co_90_50_50</t>
  </si>
  <si>
    <t>Lagares e instalações para a indústria do azeite</t>
  </si>
  <si>
    <t>Em_90_50_60</t>
  </si>
  <si>
    <t>Co_90_50_60</t>
  </si>
  <si>
    <t>Armazéns não frigoríficos</t>
  </si>
  <si>
    <t>Em_90_50_71</t>
  </si>
  <si>
    <t>Armazéns frigoríficos para armazenamento de alimentos</t>
  </si>
  <si>
    <t>Em_90_50_94</t>
  </si>
  <si>
    <t>Edifícios e instalações para a indústria têxtil e do vestuário</t>
  </si>
  <si>
    <t>Em_90_50_95</t>
  </si>
  <si>
    <t>Reservatórios de águas residuais</t>
  </si>
  <si>
    <t>Em_90_50_96</t>
  </si>
  <si>
    <t>Reservatórios de água</t>
  </si>
  <si>
    <t>En Entities - 31 July 2019 - v1.13</t>
  </si>
  <si>
    <t>Traduzido por</t>
  </si>
  <si>
    <t>Comentários</t>
  </si>
  <si>
    <t>En_20</t>
  </si>
  <si>
    <t>Administrative, commercial and protective service entities</t>
  </si>
  <si>
    <t>Edifícios administrativos, comerciais e de serviços de proteção</t>
  </si>
  <si>
    <t>RPR</t>
  </si>
  <si>
    <t>En_20_10</t>
  </si>
  <si>
    <t>Legislative entities</t>
  </si>
  <si>
    <t>En_20_10_45</t>
  </si>
  <si>
    <t>Governmental buildings</t>
  </si>
  <si>
    <t>En_20_15</t>
  </si>
  <si>
    <t>Administrative office entities</t>
  </si>
  <si>
    <t>?</t>
  </si>
  <si>
    <t>En_20_15_10</t>
  </si>
  <si>
    <t>Multiple occupation office buildings</t>
  </si>
  <si>
    <t>Edifícios de escritórios de ocupação múltipla</t>
  </si>
  <si>
    <t>En_20_15_70</t>
  </si>
  <si>
    <t>Single occupation office buildings</t>
  </si>
  <si>
    <t>Edifícios de escritórios de ocupação única</t>
  </si>
  <si>
    <t>En_20_20</t>
  </si>
  <si>
    <t>Secular representative entities</t>
  </si>
  <si>
    <t>Edifícios da administração pública</t>
  </si>
  <si>
    <t>En_20_20_10</t>
  </si>
  <si>
    <t>Buildings for representatives of nation states abroad</t>
  </si>
  <si>
    <t>Complexos de representação de estados estrangeiros</t>
  </si>
  <si>
    <t>Coordenar com Complexos</t>
  </si>
  <si>
    <t>En_20_20_40</t>
  </si>
  <si>
    <t>Local government buildings</t>
  </si>
  <si>
    <t>Edifícios de governo local</t>
  </si>
  <si>
    <t>En_20_20_50</t>
  </si>
  <si>
    <t>National government buildings</t>
  </si>
  <si>
    <t>En_20_20_70</t>
  </si>
  <si>
    <t>Regional government buildings</t>
  </si>
  <si>
    <t>En_20_45</t>
  </si>
  <si>
    <t>Motor vehicle maintenance and fuelling entities</t>
  </si>
  <si>
    <t>En_20_45_50</t>
  </si>
  <si>
    <t>Motor vehicle fuelling and charging entities</t>
  </si>
  <si>
    <t>En_20_45_54</t>
  </si>
  <si>
    <t>Motor vehicle servicing and repair entities</t>
  </si>
  <si>
    <t>Edifícios de serviço e manutenção de veículos a motor</t>
  </si>
  <si>
    <t>En_20_50</t>
  </si>
  <si>
    <t>Commercial entities</t>
  </si>
  <si>
    <t>En_20_50_05</t>
  </si>
  <si>
    <t>Auction buildings</t>
  </si>
  <si>
    <t>Edifícios de leiloeiras</t>
  </si>
  <si>
    <t>En_20_50_22</t>
  </si>
  <si>
    <t>Department stores</t>
  </si>
  <si>
    <t>Lojas armazem</t>
  </si>
  <si>
    <t>Deve haver melhor</t>
  </si>
  <si>
    <t>En_20_50_29</t>
  </si>
  <si>
    <t>Financial and professional services buildings</t>
  </si>
  <si>
    <t>Edifícios de serviços financeiros e profissionais</t>
  </si>
  <si>
    <t>En_20_50_50</t>
  </si>
  <si>
    <t>Markets</t>
  </si>
  <si>
    <t>En_20_50_53</t>
  </si>
  <si>
    <t>Mixed use buildings</t>
  </si>
  <si>
    <t>Edifícios de uso misto</t>
  </si>
  <si>
    <t>En_20_50_55</t>
  </si>
  <si>
    <t>Motor vehicle sales entities</t>
  </si>
  <si>
    <t>Entidades de venda de veículos a motor</t>
  </si>
  <si>
    <t>En_20_50_80</t>
  </si>
  <si>
    <t>Shop units</t>
  </si>
  <si>
    <t>Lojas</t>
  </si>
  <si>
    <t>En_20_50_85</t>
  </si>
  <si>
    <t>Supermarkets</t>
  </si>
  <si>
    <t>Supermercados</t>
  </si>
  <si>
    <t>En_20_50_97</t>
  </si>
  <si>
    <t>Wholesale buildings</t>
  </si>
  <si>
    <t>Edifícios de venda grossista</t>
  </si>
  <si>
    <t>En_20_55</t>
  </si>
  <si>
    <t>Postal communications entities</t>
  </si>
  <si>
    <t>Edifícios de comunicações postais</t>
  </si>
  <si>
    <t>En_20_55_65</t>
  </si>
  <si>
    <t>Post office buildings</t>
  </si>
  <si>
    <t>Edifícios de serviços postais</t>
  </si>
  <si>
    <t>Pode não ser dos CTT, AKA, Correios</t>
  </si>
  <si>
    <t>En_20_55_80</t>
  </si>
  <si>
    <t>Sorting office buildings</t>
  </si>
  <si>
    <t>Edifícios de classificação postal</t>
  </si>
  <si>
    <t>En_20_60</t>
  </si>
  <si>
    <t>Military entities</t>
  </si>
  <si>
    <t>En_20_60_02</t>
  </si>
  <si>
    <t>Air force buildings</t>
  </si>
  <si>
    <t>Edifícios da Força Aérea</t>
  </si>
  <si>
    <t>En_20_60_10</t>
  </si>
  <si>
    <t>Army buildings</t>
  </si>
  <si>
    <t>Edifícios do Exército</t>
  </si>
  <si>
    <t>En_20_60_56</t>
  </si>
  <si>
    <t>Navy buildings</t>
  </si>
  <si>
    <t>Edifícios da Marinha</t>
  </si>
  <si>
    <t>En_20_65</t>
  </si>
  <si>
    <t>Law enforcement operational entities</t>
  </si>
  <si>
    <t>Edifícios das forças de segurança</t>
  </si>
  <si>
    <t>En_20_65_09</t>
  </si>
  <si>
    <t>Police buildings</t>
  </si>
  <si>
    <t>Edifícios da polícia</t>
  </si>
  <si>
    <t>En_20_70</t>
  </si>
  <si>
    <t>Judicial entities</t>
  </si>
  <si>
    <t>En_20_70_40</t>
  </si>
  <si>
    <t>Law court buildings</t>
  </si>
  <si>
    <t>Tribunais</t>
  </si>
  <si>
    <t>En_20_75</t>
  </si>
  <si>
    <t>Detention entities</t>
  </si>
  <si>
    <t>En_20_75_10</t>
  </si>
  <si>
    <t>Detention buildings</t>
  </si>
  <si>
    <t>En_20_80</t>
  </si>
  <si>
    <t>Weapons training ranges</t>
  </si>
  <si>
    <t>Carreiras de tiro</t>
  </si>
  <si>
    <t>En_20_80_29</t>
  </si>
  <si>
    <t>Firing range buildings</t>
  </si>
  <si>
    <t>Carreira de tiro interiores</t>
  </si>
  <si>
    <t>En_20_80_30</t>
  </si>
  <si>
    <t>Exterior firing ranges</t>
  </si>
  <si>
    <t>Carreiras de tiro exteriores</t>
  </si>
  <si>
    <t>En_20_85</t>
  </si>
  <si>
    <t>Security entities</t>
  </si>
  <si>
    <t>Edifícios de segurança</t>
  </si>
  <si>
    <t>En_20_85_15</t>
  </si>
  <si>
    <t>Security control buildings</t>
  </si>
  <si>
    <t>Edifícios de controle de segurança</t>
  </si>
  <si>
    <t>En_20_85_30</t>
  </si>
  <si>
    <t>Security fences</t>
  </si>
  <si>
    <t>Vedações de segurança</t>
  </si>
  <si>
    <t>En_20_90</t>
  </si>
  <si>
    <t>Incident support entities</t>
  </si>
  <si>
    <t>Edifícios de suporte de acidentes</t>
  </si>
  <si>
    <t>En_20_90_10</t>
  </si>
  <si>
    <t>Fire and rescue training buildings</t>
  </si>
  <si>
    <t>Edifícios de treino de incêndio e salvamento</t>
  </si>
  <si>
    <t>En_20_90_15</t>
  </si>
  <si>
    <t>Fire station buildings</t>
  </si>
  <si>
    <t>En_25</t>
  </si>
  <si>
    <t>Cultural, educational, scientific and information entities</t>
  </si>
  <si>
    <t>En_25_05</t>
  </si>
  <si>
    <t>Commemoration entities</t>
  </si>
  <si>
    <t>Edifícios comemorativos</t>
  </si>
  <si>
    <t>En_25_05_35</t>
  </si>
  <si>
    <t>Gardens of remembrance</t>
  </si>
  <si>
    <t>Jardins memoriais</t>
  </si>
  <si>
    <t>En_25_05_50</t>
  </si>
  <si>
    <t>Memorials</t>
  </si>
  <si>
    <t>Memoriais</t>
  </si>
  <si>
    <t>En_25_05_55</t>
  </si>
  <si>
    <t>Monuments</t>
  </si>
  <si>
    <t>En_25_10</t>
  </si>
  <si>
    <t>Educational entities</t>
  </si>
  <si>
    <t>En_25_10_10</t>
  </si>
  <si>
    <t>Pre-school educational buildings</t>
  </si>
  <si>
    <t>Ver como ficou nos conplexos</t>
  </si>
  <si>
    <t>En_25_10_20</t>
  </si>
  <si>
    <t>Infant educational buildings</t>
  </si>
  <si>
    <t>En_25_10_30</t>
  </si>
  <si>
    <t>Primary educational buildings</t>
  </si>
  <si>
    <t>En_25_10_40</t>
  </si>
  <si>
    <t>Secondary educational buildings</t>
  </si>
  <si>
    <t>En_25_10_50</t>
  </si>
  <si>
    <t>Pre-tertiary educational buildings</t>
  </si>
  <si>
    <t>En_25_10_60</t>
  </si>
  <si>
    <t>Tertiary educational buildings</t>
  </si>
  <si>
    <t>En_25_10_70</t>
  </si>
  <si>
    <t>Adult educational buildings</t>
  </si>
  <si>
    <t>En_25_30</t>
  </si>
  <si>
    <t>Scientific and laboratory entities</t>
  </si>
  <si>
    <t>En_25_30_40</t>
  </si>
  <si>
    <t>Laboratory buildings</t>
  </si>
  <si>
    <t>En_25_30_50</t>
  </si>
  <si>
    <t>Meteorological stations</t>
  </si>
  <si>
    <t>En_25_30_60</t>
  </si>
  <si>
    <t>Observatory buildings</t>
  </si>
  <si>
    <t>Edifícios de observatórios</t>
  </si>
  <si>
    <t>En_25_30_66</t>
  </si>
  <si>
    <t>Observatory antennas</t>
  </si>
  <si>
    <t>Antenas de observação</t>
  </si>
  <si>
    <t>En_25_30_70</t>
  </si>
  <si>
    <t>Research buildings</t>
  </si>
  <si>
    <t>Edifícios destinados à investigação</t>
  </si>
  <si>
    <t>Edifício está mais de acordo com a tabela, centro podem ser vários edifícios</t>
  </si>
  <si>
    <t>En_25_30_77</t>
  </si>
  <si>
    <t>Seed banks</t>
  </si>
  <si>
    <t>Bancos de sementes</t>
  </si>
  <si>
    <t>En_25_30_90</t>
  </si>
  <si>
    <t>Triangulation pillars</t>
  </si>
  <si>
    <t>Vértices geodésicos</t>
  </si>
  <si>
    <t>En_25_50</t>
  </si>
  <si>
    <t>Exhibition entities</t>
  </si>
  <si>
    <t>Edifícios para exposições</t>
  </si>
  <si>
    <t>En_25_50_02</t>
  </si>
  <si>
    <t>Art exhibition buildings</t>
  </si>
  <si>
    <t>Edifícios para exposições de arte</t>
  </si>
  <si>
    <t>En_25_50_04</t>
  </si>
  <si>
    <t>Instalações artísticas</t>
  </si>
  <si>
    <t>En_25_50_15</t>
  </si>
  <si>
    <t>Collection exhibition buildings</t>
  </si>
  <si>
    <t>Edifícios para exposições de colecções</t>
  </si>
  <si>
    <t>En_25_50_29</t>
  </si>
  <si>
    <t>Fauna exhibition buildings</t>
  </si>
  <si>
    <t>En_25_50_30</t>
  </si>
  <si>
    <t>Fauna exhibition grounds</t>
  </si>
  <si>
    <t>En_25_50_31</t>
  </si>
  <si>
    <t>Flora exhibition buildings</t>
  </si>
  <si>
    <t>En_25_50_32</t>
  </si>
  <si>
    <t>Flora exhibition grounds</t>
  </si>
  <si>
    <t>En_25_50_54</t>
  </si>
  <si>
    <t>Multipurpose exhibition buildings</t>
  </si>
  <si>
    <t>En_25_70</t>
  </si>
  <si>
    <t>Information entities</t>
  </si>
  <si>
    <t>En_25_70_02</t>
  </si>
  <si>
    <t>Archive buildings</t>
  </si>
  <si>
    <t>Edifícios de arquivos</t>
  </si>
  <si>
    <t>En_25_70_13</t>
  </si>
  <si>
    <t>Conference buildings</t>
  </si>
  <si>
    <t>Edifícios para conferências</t>
  </si>
  <si>
    <t>En_25_70_42</t>
  </si>
  <si>
    <t>Information kiosks</t>
  </si>
  <si>
    <t>Quiosques de informação</t>
  </si>
  <si>
    <t>En_25_70_47</t>
  </si>
  <si>
    <t>Library buildings</t>
  </si>
  <si>
    <t>Edifícios de bibliotecas</t>
  </si>
  <si>
    <t>En_25_90</t>
  </si>
  <si>
    <t>Worship entities</t>
  </si>
  <si>
    <t>En_25_90_30</t>
  </si>
  <si>
    <t>Faith worship buildings</t>
  </si>
  <si>
    <t>En_30</t>
  </si>
  <si>
    <t>Industrial entities</t>
  </si>
  <si>
    <t>En_30_10</t>
  </si>
  <si>
    <t>Mineral extraction entities</t>
  </si>
  <si>
    <t>En_30_10_57</t>
  </si>
  <si>
    <t>Offshore oil and gas extraction platforms</t>
  </si>
  <si>
    <t>Plataformas de extração de petróleo e gás</t>
  </si>
  <si>
    <t>En_30_10_80</t>
  </si>
  <si>
    <t>Spoil heaps</t>
  </si>
  <si>
    <t>En_30_10_85</t>
  </si>
  <si>
    <t>Surface mining structures</t>
  </si>
  <si>
    <t>En_30_10_86</t>
  </si>
  <si>
    <t>Surface mining cuttings</t>
  </si>
  <si>
    <t>En_30_10_90</t>
  </si>
  <si>
    <t>Underground mining structures</t>
  </si>
  <si>
    <t>En_30_20</t>
  </si>
  <si>
    <t>Nuclear and chemical management entities</t>
  </si>
  <si>
    <t>Edifícios de gestão de resíduos químicos e nucleares</t>
  </si>
  <si>
    <t>En_30_20_15</t>
  </si>
  <si>
    <t>Radioactivity waste management control buildings</t>
  </si>
  <si>
    <t>Edifícios de gestão e controlo de resíduos radioativos</t>
  </si>
  <si>
    <t>En_30_20_30</t>
  </si>
  <si>
    <t>High heat generating radioactive waste management tunnel</t>
  </si>
  <si>
    <t>Cavernas de gestão de resíduos radioativos geradores de altas temperaturas</t>
  </si>
  <si>
    <t>En_30_20_35</t>
  </si>
  <si>
    <t>High heat radioactive waste package transfer buildings</t>
  </si>
  <si>
    <t>Edifícios de transferência de resíduos radioativos geradores de altas temperaturas</t>
  </si>
  <si>
    <t>En_30_20_45</t>
  </si>
  <si>
    <t>Low heat radioactive waste package transfer buildings</t>
  </si>
  <si>
    <t>Edifícios de transferência de resíduos radioativos geradores de médias temperaturas</t>
  </si>
  <si>
    <t>En_30_20_60</t>
  </si>
  <si>
    <t>Low heat generating radioactive waste management vault</t>
  </si>
  <si>
    <t>Camaras para resíduos radioativos emissores de médias temperaturas</t>
  </si>
  <si>
    <t>En_30_20_70</t>
  </si>
  <si>
    <t>Radioactivity decontamination buildings</t>
  </si>
  <si>
    <t>Edifícios de descontaminação de radioactividade</t>
  </si>
  <si>
    <t>En_30_20_75</t>
  </si>
  <si>
    <t>Radioactivity effluent management buildings</t>
  </si>
  <si>
    <t>Edifícios de gestão de efluentes radioactivos</t>
  </si>
  <si>
    <t>En_30_30</t>
  </si>
  <si>
    <t>Mineral processing entities</t>
  </si>
  <si>
    <t>Instalações de processamento de produtos minerais</t>
  </si>
  <si>
    <t>En_30_30_33</t>
  </si>
  <si>
    <t>Gas processing structures</t>
  </si>
  <si>
    <t>Instalações de processamento de hidrocarbonetos gasosos</t>
  </si>
  <si>
    <t>En_30_30_58</t>
  </si>
  <si>
    <t>Oil processing structures</t>
  </si>
  <si>
    <t>Instalações de processamento de hidrocarbonetos líquidos</t>
  </si>
  <si>
    <t>En_30_30_59</t>
  </si>
  <si>
    <t>Ore processing structures</t>
  </si>
  <si>
    <t>Instalações de processamento de minério</t>
  </si>
  <si>
    <t>En_30_40</t>
  </si>
  <si>
    <t>Animal and plant products processing entities</t>
  </si>
  <si>
    <t>Instalações de processamento de derivados de animais e plantas</t>
  </si>
  <si>
    <t>En_30_40_01</t>
  </si>
  <si>
    <t>Animal processing buildings</t>
  </si>
  <si>
    <t>Instalações para matadouros</t>
  </si>
  <si>
    <t>En_30_40_20</t>
  </si>
  <si>
    <t>Crop processing buildings</t>
  </si>
  <si>
    <t>En_30_40_30</t>
  </si>
  <si>
    <t>Fish processing buildings</t>
  </si>
  <si>
    <t>En_30_40_40</t>
  </si>
  <si>
    <t>Horticultural processing buildings</t>
  </si>
  <si>
    <t>En_30_40_90</t>
  </si>
  <si>
    <t>Timber processing buildings</t>
  </si>
  <si>
    <t>En_30_50</t>
  </si>
  <si>
    <t>Manufacturing entities</t>
  </si>
  <si>
    <t>En_30_50_15</t>
  </si>
  <si>
    <t>Cranes</t>
  </si>
  <si>
    <t>En_30_50_50</t>
  </si>
  <si>
    <t>Manufacturing buildings</t>
  </si>
  <si>
    <t>En_30_60</t>
  </si>
  <si>
    <t>Cleaning and maintenance entities</t>
  </si>
  <si>
    <t>En_30_60_20</t>
  </si>
  <si>
    <t>Decontamination laundry buildings</t>
  </si>
  <si>
    <t>En_30_60_40</t>
  </si>
  <si>
    <t>Laundry buildings</t>
  </si>
  <si>
    <t>En_30_60_50</t>
  </si>
  <si>
    <t>Maintenance buildings</t>
  </si>
  <si>
    <t>En_30_60_94</t>
  </si>
  <si>
    <t>Vehicle cleaning buildings</t>
  </si>
  <si>
    <t>En_30_70</t>
  </si>
  <si>
    <t>Process entities</t>
  </si>
  <si>
    <t>En_30_70_13</t>
  </si>
  <si>
    <t>Chimney stacks</t>
  </si>
  <si>
    <t>En_30_70_15</t>
  </si>
  <si>
    <t>Conveyors</t>
  </si>
  <si>
    <t>En_30_70_17</t>
  </si>
  <si>
    <t>Cooling towers</t>
  </si>
  <si>
    <t>En_30_70_28</t>
  </si>
  <si>
    <t>Equipment gantries</t>
  </si>
  <si>
    <t>En_30_80</t>
  </si>
  <si>
    <t>Mechanical power generation</t>
  </si>
  <si>
    <t>En_30_80_96</t>
  </si>
  <si>
    <t>Watermills</t>
  </si>
  <si>
    <t>Moinhos hidráulicos</t>
  </si>
  <si>
    <t>En_30_80_97</t>
  </si>
  <si>
    <t>Windmills</t>
  </si>
  <si>
    <t>Moinhos de vento</t>
  </si>
  <si>
    <t>En_30_85</t>
  </si>
  <si>
    <t>Marine and water entities</t>
  </si>
  <si>
    <t>En_30_85_07</t>
  </si>
  <si>
    <t>Boathouse buildings</t>
  </si>
  <si>
    <t>En_30_85_08</t>
  </si>
  <si>
    <t>Boatyard buildings</t>
  </si>
  <si>
    <t>Edifícios de estaleiros navais</t>
  </si>
  <si>
    <t>En_30_85_24</t>
  </si>
  <si>
    <t>Dry docks</t>
  </si>
  <si>
    <t>Docas secas</t>
  </si>
  <si>
    <t>En_30_85_80</t>
  </si>
  <si>
    <t>Shipyard buildings</t>
  </si>
  <si>
    <t>En_30_90</t>
  </si>
  <si>
    <t>Warehousing and distribution entities</t>
  </si>
  <si>
    <t>En_30_90_33</t>
  </si>
  <si>
    <t>Goods warehousing buildings</t>
  </si>
  <si>
    <t>En_30_90_35</t>
  </si>
  <si>
    <t>Goods distribution buildings</t>
  </si>
  <si>
    <t>En_32</t>
  </si>
  <si>
    <t>Water and land management entities</t>
  </si>
  <si>
    <t>En_32_10</t>
  </si>
  <si>
    <t>Agricultural and horticultural entities</t>
  </si>
  <si>
    <t>En_32_10_02</t>
  </si>
  <si>
    <t>Arable buildings</t>
  </si>
  <si>
    <t>En_32_10_04</t>
  </si>
  <si>
    <t>Arable land</t>
  </si>
  <si>
    <t>Terra arável</t>
  </si>
  <si>
    <t>En_32_10_20</t>
  </si>
  <si>
    <t>Coppices</t>
  </si>
  <si>
    <t>Arvoredos</t>
  </si>
  <si>
    <t>En_32_10_28</t>
  </si>
  <si>
    <t>Fishing buildings</t>
  </si>
  <si>
    <t>En_32_10_29</t>
  </si>
  <si>
    <t>Fishing cages</t>
  </si>
  <si>
    <t>Armadilhas de pesca</t>
  </si>
  <si>
    <t>En_32_10_30</t>
  </si>
  <si>
    <t>Forestry buildings</t>
  </si>
  <si>
    <t>En_32_10_31</t>
  </si>
  <si>
    <t>Forestry plantations</t>
  </si>
  <si>
    <t>En_32_10_39</t>
  </si>
  <si>
    <t>Horticultural buildings</t>
  </si>
  <si>
    <t>En_32_10_40</t>
  </si>
  <si>
    <t>Horticultural land</t>
  </si>
  <si>
    <t>En_32_10_46</t>
  </si>
  <si>
    <t>Livestock buildings</t>
  </si>
  <si>
    <t>En_32_10_47</t>
  </si>
  <si>
    <t>Livestock paddocks and fields</t>
  </si>
  <si>
    <t>En_32_10_93</t>
  </si>
  <si>
    <t>Vineyard and winery buildings</t>
  </si>
  <si>
    <t>En_32_10_94</t>
  </si>
  <si>
    <t>Vineyard plantations</t>
  </si>
  <si>
    <t>En_32_35</t>
  </si>
  <si>
    <t>Grounds</t>
  </si>
  <si>
    <t>En_32_35_05</t>
  </si>
  <si>
    <t>Arboretums</t>
  </si>
  <si>
    <t>En_32_35_12</t>
  </si>
  <si>
    <t>Botanical gardens</t>
  </si>
  <si>
    <t>En_32_35_15</t>
  </si>
  <si>
    <t>Community gardens</t>
  </si>
  <si>
    <t>En_32_35_33</t>
  </si>
  <si>
    <t>Gardens</t>
  </si>
  <si>
    <t>En_32_35_36</t>
  </si>
  <si>
    <t>Hard landscapes</t>
  </si>
  <si>
    <t>En_32_35_80</t>
  </si>
  <si>
    <t>Soft landscapes</t>
  </si>
  <si>
    <t>En_32_40</t>
  </si>
  <si>
    <t>Land managed entities</t>
  </si>
  <si>
    <t>En_32_40_20</t>
  </si>
  <si>
    <t>Cuttings</t>
  </si>
  <si>
    <t>En_32_40_26</t>
  </si>
  <si>
    <t>Embankments</t>
  </si>
  <si>
    <t>En_32_40_30</t>
  </si>
  <si>
    <t>False cuttings</t>
  </si>
  <si>
    <t>En_32_40_90</t>
  </si>
  <si>
    <t>Trenches</t>
  </si>
  <si>
    <t>En_32_50</t>
  </si>
  <si>
    <t>Marine and water side entities</t>
  </si>
  <si>
    <t>En_32_50_20</t>
  </si>
  <si>
    <t>Degaussing and acoustic ranges</t>
  </si>
  <si>
    <t>En_32_50_22</t>
  </si>
  <si>
    <t>Dock buildings</t>
  </si>
  <si>
    <t>En_32_50_44</t>
  </si>
  <si>
    <t>Jetties</t>
  </si>
  <si>
    <t>Molhes</t>
  </si>
  <si>
    <t>En_32_50_46</t>
  </si>
  <si>
    <t>Landing stages</t>
  </si>
  <si>
    <t>En_32_50_58</t>
  </si>
  <si>
    <t>Offshore anchorages</t>
  </si>
  <si>
    <t>En_32_50_63</t>
  </si>
  <si>
    <t>Piers</t>
  </si>
  <si>
    <t>Pontões</t>
  </si>
  <si>
    <t>En_32_50_69</t>
  </si>
  <si>
    <t>Quays</t>
  </si>
  <si>
    <t>En_32_50_98</t>
  </si>
  <si>
    <t>Wharfs</t>
  </si>
  <si>
    <t>En_32_85</t>
  </si>
  <si>
    <t>Water control and retaining entities</t>
  </si>
  <si>
    <t>En_32_85_06</t>
  </si>
  <si>
    <t>Barrier beaches</t>
  </si>
  <si>
    <t>En_32_85_10</t>
  </si>
  <si>
    <t>Breakwaters</t>
  </si>
  <si>
    <t>Quebra-mares</t>
  </si>
  <si>
    <t>En_32_85_15</t>
  </si>
  <si>
    <t>Control gates</t>
  </si>
  <si>
    <t>Barreiras de controle de acesso</t>
  </si>
  <si>
    <t>En_32_85_21</t>
  </si>
  <si>
    <t>Dams</t>
  </si>
  <si>
    <t>Barragens</t>
  </si>
  <si>
    <t>En_32_85_23</t>
  </si>
  <si>
    <t>Debris screens</t>
  </si>
  <si>
    <t>En_32_85_24</t>
  </si>
  <si>
    <t>Dolphins</t>
  </si>
  <si>
    <t>En_32_85_25</t>
  </si>
  <si>
    <t>Draw-off towers</t>
  </si>
  <si>
    <t>En_32_85_30</t>
  </si>
  <si>
    <t>Flood prevention structures</t>
  </si>
  <si>
    <t>Estruturas de prevenção de inundações</t>
  </si>
  <si>
    <t>En_32_85_31</t>
  </si>
  <si>
    <t>Flumes</t>
  </si>
  <si>
    <t>En_32_85_35</t>
  </si>
  <si>
    <t>Groynes</t>
  </si>
  <si>
    <t>En_32_85_37</t>
  </si>
  <si>
    <t>High ground</t>
  </si>
  <si>
    <t>Terreno elevado</t>
  </si>
  <si>
    <t>En_32_85_45</t>
  </si>
  <si>
    <t>Levees</t>
  </si>
  <si>
    <t>En_32_85_59</t>
  </si>
  <si>
    <t>Outfalls</t>
  </si>
  <si>
    <t>En_32_85_72</t>
  </si>
  <si>
    <t>Revetments</t>
  </si>
  <si>
    <t>Revestimentos</t>
  </si>
  <si>
    <t>En_32_85_77</t>
  </si>
  <si>
    <t>Sea dikes</t>
  </si>
  <si>
    <t>Diques marinhos</t>
  </si>
  <si>
    <t>En_32_85_80</t>
  </si>
  <si>
    <t>Sluices</t>
  </si>
  <si>
    <t>En_32_85_82</t>
  </si>
  <si>
    <t>Spillways</t>
  </si>
  <si>
    <t>En_32_85_84</t>
  </si>
  <si>
    <t>Stilling basins</t>
  </si>
  <si>
    <t>En_32_85_96</t>
  </si>
  <si>
    <t>Water retaining structures</t>
  </si>
  <si>
    <t>Estruturas de retenção de água</t>
  </si>
  <si>
    <t>En_32_85_97</t>
  </si>
  <si>
    <t>Weirs</t>
  </si>
  <si>
    <t>En_32_85_98</t>
  </si>
  <si>
    <t>Wells</t>
  </si>
  <si>
    <t>Poços</t>
  </si>
  <si>
    <t>En_32_95</t>
  </si>
  <si>
    <t>Waterways</t>
  </si>
  <si>
    <t>En_32_95_14</t>
  </si>
  <si>
    <t>Channels</t>
  </si>
  <si>
    <t>En_32_95_16</t>
  </si>
  <si>
    <t>Complex culverts</t>
  </si>
  <si>
    <t>En_32_95_23</t>
  </si>
  <si>
    <t>Ditches</t>
  </si>
  <si>
    <t>Valas</t>
  </si>
  <si>
    <t>En_32_95_59</t>
  </si>
  <si>
    <t>Open channels</t>
  </si>
  <si>
    <t>En_32_95_80</t>
  </si>
  <si>
    <t>Simple culverts</t>
  </si>
  <si>
    <t>En_32_95_85</t>
  </si>
  <si>
    <t>Surface water channels</t>
  </si>
  <si>
    <t>En_32_95_86</t>
  </si>
  <si>
    <t>Swales</t>
  </si>
  <si>
    <t>En_35</t>
  </si>
  <si>
    <t>Medical, health, welfare and sanitary entities</t>
  </si>
  <si>
    <t>En_35_10</t>
  </si>
  <si>
    <t>Medical entities</t>
  </si>
  <si>
    <t>En_35_10_10</t>
  </si>
  <si>
    <t>Medical buildings</t>
  </si>
  <si>
    <t>Edifícios médicos</t>
  </si>
  <si>
    <t>En_35_50</t>
  </si>
  <si>
    <t>Welfare entities</t>
  </si>
  <si>
    <t>En_35_50_21</t>
  </si>
  <si>
    <t>Day welfare buildings</t>
  </si>
  <si>
    <t>En_35_50_70</t>
  </si>
  <si>
    <t>Residential welfare buildings</t>
  </si>
  <si>
    <t>En_35_50_94</t>
  </si>
  <si>
    <t>Visitor welfare buildings</t>
  </si>
  <si>
    <t>En_35_70</t>
  </si>
  <si>
    <t>Funerary entities</t>
  </si>
  <si>
    <t>En_35_70_06</t>
  </si>
  <si>
    <t>Body storage buildings</t>
  </si>
  <si>
    <t>En_35_70_10</t>
  </si>
  <si>
    <t>Burial buildings</t>
  </si>
  <si>
    <t>En_35_70_11</t>
  </si>
  <si>
    <t>Burial grounds</t>
  </si>
  <si>
    <t>En_35_70_30</t>
  </si>
  <si>
    <t>Funeral buildings</t>
  </si>
  <si>
    <t>En_35_70_60</t>
  </si>
  <si>
    <t>Medical chimney stacks</t>
  </si>
  <si>
    <t>En_35_80</t>
  </si>
  <si>
    <t>Sanitary entities</t>
  </si>
  <si>
    <t>Edifícios sanitários</t>
  </si>
  <si>
    <t>En_35_80_10</t>
  </si>
  <si>
    <t>Bathing buildings</t>
  </si>
  <si>
    <t>En_35_80_90</t>
  </si>
  <si>
    <t>Toilet buildings</t>
  </si>
  <si>
    <t>En_35_85</t>
  </si>
  <si>
    <t>Animal entities</t>
  </si>
  <si>
    <t>En_35_85_02</t>
  </si>
  <si>
    <t>Animal cage buildings</t>
  </si>
  <si>
    <t>En_35_85_03</t>
  </si>
  <si>
    <t>Animal pen buildings</t>
  </si>
  <si>
    <t>En_35_85_84</t>
  </si>
  <si>
    <t>Stable buildings</t>
  </si>
  <si>
    <t>En_35_90</t>
  </si>
  <si>
    <t>Animal medical, health, welfare and funerary entities</t>
  </si>
  <si>
    <t>Ver com complexos</t>
  </si>
  <si>
    <t>En_35_90_10</t>
  </si>
  <si>
    <t>Animal cemeteries</t>
  </si>
  <si>
    <t>Cemitérios de animais</t>
  </si>
  <si>
    <t>En_35_90_30</t>
  </si>
  <si>
    <t>Animal funerary buildings</t>
  </si>
  <si>
    <t>En_35_90_50</t>
  </si>
  <si>
    <t>Animal medical buildings</t>
  </si>
  <si>
    <t>En_40</t>
  </si>
  <si>
    <t>Recreational entities</t>
  </si>
  <si>
    <t>En_40_05</t>
  </si>
  <si>
    <t>Amusement entities</t>
  </si>
  <si>
    <t>En_40_05_03</t>
  </si>
  <si>
    <t>Amusement buildings</t>
  </si>
  <si>
    <t>En_40_05_13</t>
  </si>
  <si>
    <t>En_40_05_42</t>
  </si>
  <si>
    <t>Indoor fairgrounds</t>
  </si>
  <si>
    <t>En_40_05_60</t>
  </si>
  <si>
    <t>Outdoor fairgrounds</t>
  </si>
  <si>
    <t>En_40_05_68</t>
  </si>
  <si>
    <t>Public amenities</t>
  </si>
  <si>
    <t>En_40_20</t>
  </si>
  <si>
    <t>Dining entities</t>
  </si>
  <si>
    <t>En_40_20_23</t>
  </si>
  <si>
    <t>Dining buildings</t>
  </si>
  <si>
    <t>En_40_35</t>
  </si>
  <si>
    <t>Historic entities</t>
  </si>
  <si>
    <t>En_40_35_10</t>
  </si>
  <si>
    <t>Buildings of historic interest</t>
  </si>
  <si>
    <t>En_40_35_36</t>
  </si>
  <si>
    <t>Historic buildings</t>
  </si>
  <si>
    <t>En_40_60</t>
  </si>
  <si>
    <t>Performing arts entities</t>
  </si>
  <si>
    <t>En_40_60_10</t>
  </si>
  <si>
    <t>Multiple performing arts buildings</t>
  </si>
  <si>
    <t>En_40_60_70</t>
  </si>
  <si>
    <t>Single performing arts buildings</t>
  </si>
  <si>
    <t>En_40_75</t>
  </si>
  <si>
    <t>Social recreation entities</t>
  </si>
  <si>
    <t>En_40_75_10</t>
  </si>
  <si>
    <t>Multiple social recreation buildings</t>
  </si>
  <si>
    <t>En_40_75_15</t>
  </si>
  <si>
    <t>Club houses</t>
  </si>
  <si>
    <t>En_40_75_70</t>
  </si>
  <si>
    <t>Single social recreation buildings</t>
  </si>
  <si>
    <t>En_40_75_94</t>
  </si>
  <si>
    <t>Visitor centres</t>
  </si>
  <si>
    <t>En_42</t>
  </si>
  <si>
    <t>Sport and activity entities</t>
  </si>
  <si>
    <t>En_42_15</t>
  </si>
  <si>
    <t>Courts, pitches and field sports entities</t>
  </si>
  <si>
    <t>En_42_15_06</t>
  </si>
  <si>
    <t>Ball courts</t>
  </si>
  <si>
    <t>En_42_15_81</t>
  </si>
  <si>
    <t>Sports grounds</t>
  </si>
  <si>
    <t>En_42_15_82</t>
  </si>
  <si>
    <t>Sports pitches</t>
  </si>
  <si>
    <t>En_42_40</t>
  </si>
  <si>
    <t>Indoor activity entities</t>
  </si>
  <si>
    <t>En_42_40_80</t>
  </si>
  <si>
    <t>Sports buildings</t>
  </si>
  <si>
    <t>En_42_55</t>
  </si>
  <si>
    <t>Outdoor activity entities</t>
  </si>
  <si>
    <t>En_42_55_01</t>
  </si>
  <si>
    <t>Activity grounds</t>
  </si>
  <si>
    <t>En_42_55_34</t>
  </si>
  <si>
    <t>Golf driving ranges</t>
  </si>
  <si>
    <t>En_42_85</t>
  </si>
  <si>
    <t>Swimming entities</t>
  </si>
  <si>
    <t>En_42_85_60</t>
  </si>
  <si>
    <t>Outdoor swimming pools</t>
  </si>
  <si>
    <t>En_42_85_83</t>
  </si>
  <si>
    <t>Swimming pool buildings</t>
  </si>
  <si>
    <t>En_42_90</t>
  </si>
  <si>
    <t>Water activity entities</t>
  </si>
  <si>
    <t>En_42_95</t>
  </si>
  <si>
    <t>Winter sports entities</t>
  </si>
  <si>
    <t>En_42_95_40</t>
  </si>
  <si>
    <t>Ice rink buildings</t>
  </si>
  <si>
    <t>En_42_95_80</t>
  </si>
  <si>
    <t>Ski resort buildings</t>
  </si>
  <si>
    <t>En_45</t>
  </si>
  <si>
    <t>Residential entities</t>
  </si>
  <si>
    <t>En_45_10</t>
  </si>
  <si>
    <t>Residential buildings</t>
  </si>
  <si>
    <t>En_45_10_39</t>
  </si>
  <si>
    <t>Houses</t>
  </si>
  <si>
    <t>En_45_10_47</t>
  </si>
  <si>
    <t>Long-term residential buildings</t>
  </si>
  <si>
    <t>En_45_10_70</t>
  </si>
  <si>
    <t>Short term residential buildings</t>
  </si>
  <si>
    <t>En_45_10_90</t>
  </si>
  <si>
    <t>Temporary residential buildings</t>
  </si>
  <si>
    <t>En_50</t>
  </si>
  <si>
    <t>Waste disposal entities</t>
  </si>
  <si>
    <t>En_50_10</t>
  </si>
  <si>
    <t>Gas waste collection entities</t>
  </si>
  <si>
    <t>En_50_20</t>
  </si>
  <si>
    <t>Wet waste collection entities</t>
  </si>
  <si>
    <t>En_50_20_10</t>
  </si>
  <si>
    <t>Wet waste collection tanks</t>
  </si>
  <si>
    <t>En_50_30</t>
  </si>
  <si>
    <t>Drainage and wastewater collection</t>
  </si>
  <si>
    <t>En_50_30_25</t>
  </si>
  <si>
    <t>Drainage collection pipelines</t>
  </si>
  <si>
    <t>En_50_30_85</t>
  </si>
  <si>
    <t>Surface water collection pipelines</t>
  </si>
  <si>
    <t>En_50_30_98</t>
  </si>
  <si>
    <t>Wastewater collection pipelines</t>
  </si>
  <si>
    <t>En_50_30_99</t>
  </si>
  <si>
    <t>Wastewater collection structures</t>
  </si>
  <si>
    <t>En_50_40</t>
  </si>
  <si>
    <t>Dry waste collection and distribution</t>
  </si>
  <si>
    <t>En_50_40_10</t>
  </si>
  <si>
    <t>Dry waste collection structures</t>
  </si>
  <si>
    <t>En_50_40_50</t>
  </si>
  <si>
    <t>Dry waste distribution structures</t>
  </si>
  <si>
    <t>En_50_50</t>
  </si>
  <si>
    <t>Gas waste storage, treatment and disposal</t>
  </si>
  <si>
    <t>En_50_60</t>
  </si>
  <si>
    <t>Wet waste storage, treatment and disposal</t>
  </si>
  <si>
    <t>En_50_70</t>
  </si>
  <si>
    <t>Drainage storage, treatment and disposal</t>
  </si>
  <si>
    <t>En_50_75</t>
  </si>
  <si>
    <t>Wastewater storage, treatment and disposal</t>
  </si>
  <si>
    <t>En_50_75_15</t>
  </si>
  <si>
    <t>Wastewater entities</t>
  </si>
  <si>
    <t>En_50_75_40</t>
  </si>
  <si>
    <t>Wastewater treatment buildings</t>
  </si>
  <si>
    <t>En_50_75_45</t>
  </si>
  <si>
    <t>Wastewater treatment entities</t>
  </si>
  <si>
    <t>En_50_75_70</t>
  </si>
  <si>
    <t>Wastewater disposal buildings</t>
  </si>
  <si>
    <t>En_50_80</t>
  </si>
  <si>
    <t>Dry waste treatment and disposal</t>
  </si>
  <si>
    <t>En_50_80_40</t>
  </si>
  <si>
    <t>Dry waste treatment structures</t>
  </si>
  <si>
    <t>En_50_80_70</t>
  </si>
  <si>
    <t>Dry waste disposal structures</t>
  </si>
  <si>
    <t>En_55</t>
  </si>
  <si>
    <t>Piped supply entities</t>
  </si>
  <si>
    <t>En_55_05</t>
  </si>
  <si>
    <t>Gas extraction, treatment and storage</t>
  </si>
  <si>
    <t>En_55_05_30</t>
  </si>
  <si>
    <t>Gas extraction structures</t>
  </si>
  <si>
    <t>En_55_05_35</t>
  </si>
  <si>
    <t>Gas extraction vessels</t>
  </si>
  <si>
    <t>Navios de extracção de gás</t>
  </si>
  <si>
    <t>En_55_05_38</t>
  </si>
  <si>
    <t>Gas extraction pipelines</t>
  </si>
  <si>
    <t>Condutas de extracção de gás</t>
  </si>
  <si>
    <t>En_55_05_70</t>
  </si>
  <si>
    <t>Gas treatment buildings</t>
  </si>
  <si>
    <t>Edifícios de processamento de gás</t>
  </si>
  <si>
    <t>En_55_05_75</t>
  </si>
  <si>
    <t>Gas treatment plant</t>
  </si>
  <si>
    <t>Instalações de processamento de gás</t>
  </si>
  <si>
    <t>En_55_05_78</t>
  </si>
  <si>
    <t>Gas treatment pipelines</t>
  </si>
  <si>
    <t>En_55_10</t>
  </si>
  <si>
    <t>Liquid fuel extraction and treatment entities</t>
  </si>
  <si>
    <t>En_55_10_10</t>
  </si>
  <si>
    <t>Oil extraction structures</t>
  </si>
  <si>
    <t>En_55_10_50</t>
  </si>
  <si>
    <t>Fuel treatment buildings</t>
  </si>
  <si>
    <t>En_55_10_55</t>
  </si>
  <si>
    <t>Fuel treatment tanks</t>
  </si>
  <si>
    <t>En_55_10_58</t>
  </si>
  <si>
    <t>Fuel treatment pipelines</t>
  </si>
  <si>
    <t>En_55_15</t>
  </si>
  <si>
    <t>Water extraction and treatment entities</t>
  </si>
  <si>
    <t>En_55_15_10</t>
  </si>
  <si>
    <t>Water extraction buildings</t>
  </si>
  <si>
    <t>En_55_15_15</t>
  </si>
  <si>
    <t>Water extraction tanks</t>
  </si>
  <si>
    <t>En_55_15_20</t>
  </si>
  <si>
    <t>Water extraction pipelines</t>
  </si>
  <si>
    <t>Condutas de extracção de água</t>
  </si>
  <si>
    <t>En_55_15_50</t>
  </si>
  <si>
    <t>Water treatment buildings</t>
  </si>
  <si>
    <t>En_55_15_55</t>
  </si>
  <si>
    <t>Water treatment tanks</t>
  </si>
  <si>
    <t>En_55_20</t>
  </si>
  <si>
    <t>Gas supply entities</t>
  </si>
  <si>
    <t>En_55_20_50</t>
  </si>
  <si>
    <t>Gas distribution structures</t>
  </si>
  <si>
    <t>En_55_20_60</t>
  </si>
  <si>
    <t>Gas distribution pipelines</t>
  </si>
  <si>
    <t>En_55_30</t>
  </si>
  <si>
    <t>Fire extinguishing supply entities</t>
  </si>
  <si>
    <t>En_55_40</t>
  </si>
  <si>
    <t>Steam supply entities</t>
  </si>
  <si>
    <t>En_55_50</t>
  </si>
  <si>
    <t>Liquid fuel supply entities</t>
  </si>
  <si>
    <t>En_55_50_20</t>
  </si>
  <si>
    <t>Fuel distribution pipelines</t>
  </si>
  <si>
    <t>En_55_50_45</t>
  </si>
  <si>
    <t>Liquid fuel distribution buildings</t>
  </si>
  <si>
    <t>En_55_60</t>
  </si>
  <si>
    <t>Process liquid supply entities</t>
  </si>
  <si>
    <t>En_55_70</t>
  </si>
  <si>
    <t>Water supply entities</t>
  </si>
  <si>
    <t>En_55_70_10</t>
  </si>
  <si>
    <t>Water distribution buildings</t>
  </si>
  <si>
    <t>En_55_70_18</t>
  </si>
  <si>
    <t>Water distribution pipelines</t>
  </si>
  <si>
    <t>En_55_90</t>
  </si>
  <si>
    <t>Piped solids supply entities</t>
  </si>
  <si>
    <t>En_60</t>
  </si>
  <si>
    <t>Heating, cooling and refrigeration entities</t>
  </si>
  <si>
    <t>En_60_30</t>
  </si>
  <si>
    <t>Rail and paving heating entities</t>
  </si>
  <si>
    <t>En_60_40</t>
  </si>
  <si>
    <t>Space heating and cooling entities</t>
  </si>
  <si>
    <t>En_60_40_10</t>
  </si>
  <si>
    <t>District heating buildings</t>
  </si>
  <si>
    <t>En_60_40_20</t>
  </si>
  <si>
    <t>District heating pipelines</t>
  </si>
  <si>
    <t>En_60_40_50</t>
  </si>
  <si>
    <t>District cooling buildings</t>
  </si>
  <si>
    <t>En_60_40_60</t>
  </si>
  <si>
    <t>District cooling pipelines</t>
  </si>
  <si>
    <t>En_60_60</t>
  </si>
  <si>
    <t>Refrigeration entities</t>
  </si>
  <si>
    <t>En_60_80</t>
  </si>
  <si>
    <t>Drying entities</t>
  </si>
  <si>
    <t>En_65</t>
  </si>
  <si>
    <t>Ventilation and air conditioning entities</t>
  </si>
  <si>
    <t>En_65_40</t>
  </si>
  <si>
    <t>Ventilation entities</t>
  </si>
  <si>
    <t>En_65_40_80</t>
  </si>
  <si>
    <t>Shaft and tunnel ventilation plant building</t>
  </si>
  <si>
    <t>En_65_80</t>
  </si>
  <si>
    <t>Air conditioning entities</t>
  </si>
  <si>
    <t>En_70</t>
  </si>
  <si>
    <t>Electrical power generation and distribution entities</t>
  </si>
  <si>
    <t>En_70_10</t>
  </si>
  <si>
    <t>Electrical power generation entities</t>
  </si>
  <si>
    <t>En_70_10_10</t>
  </si>
  <si>
    <t>Electrical power generation buildings</t>
  </si>
  <si>
    <t>En_70_10_80</t>
  </si>
  <si>
    <t>Solar panel fields</t>
  </si>
  <si>
    <t>Campos de painéis solares</t>
  </si>
  <si>
    <t>En_70_10_90</t>
  </si>
  <si>
    <t>Wind turbines</t>
  </si>
  <si>
    <t>En_70_30</t>
  </si>
  <si>
    <t>Electricity distribution and transmission entities</t>
  </si>
  <si>
    <t>En_70_30_18</t>
  </si>
  <si>
    <t>Electricity transmission pylons and lines</t>
  </si>
  <si>
    <t>Postes e linhas de transmissão de electricidade</t>
  </si>
  <si>
    <t>En_70_30_35</t>
  </si>
  <si>
    <t>High-voltage electricity substations</t>
  </si>
  <si>
    <t>Subestações de energia elétrica de média e alta tensão</t>
  </si>
  <si>
    <t>En_70_30_45</t>
  </si>
  <si>
    <t>Low-voltage electricity substations</t>
  </si>
  <si>
    <t>Subestações de energia elétrica de baixa tensão</t>
  </si>
  <si>
    <t>En_70_30_90</t>
  </si>
  <si>
    <t>Underground electricity transmission lines</t>
  </si>
  <si>
    <t>Linhas de transmissão de electricidade enterradas</t>
  </si>
  <si>
    <t>En_75</t>
  </si>
  <si>
    <t>Communications, security, safety and protection entities</t>
  </si>
  <si>
    <t>En_75_10</t>
  </si>
  <si>
    <t>Communication entities</t>
  </si>
  <si>
    <t>En_75_10_10</t>
  </si>
  <si>
    <t>Broadcast communications buildings</t>
  </si>
  <si>
    <t>Edifícios e instalações de transmissão de comunicações</t>
  </si>
  <si>
    <t>En_75_10_16</t>
  </si>
  <si>
    <t>Broadcast communications masts and towers</t>
  </si>
  <si>
    <t>Torres e mastros de telecomunicações</t>
  </si>
  <si>
    <t>En_75_10_20</t>
  </si>
  <si>
    <t>Data centres</t>
  </si>
  <si>
    <t>Centros de dados</t>
  </si>
  <si>
    <t>En_75_30</t>
  </si>
  <si>
    <t>Signalling entities</t>
  </si>
  <si>
    <t>En_75_30_10</t>
  </si>
  <si>
    <t>Peer-to-peer communications buildings</t>
  </si>
  <si>
    <t>En_75_30_18</t>
  </si>
  <si>
    <t>Peer-to-peer communications networks</t>
  </si>
  <si>
    <t>En_75_40</t>
  </si>
  <si>
    <t>Security systems entities</t>
  </si>
  <si>
    <t>En_75_50</t>
  </si>
  <si>
    <t>Safety and protection entities</t>
  </si>
  <si>
    <t>En_75_60</t>
  </si>
  <si>
    <t>Environmental safety entities</t>
  </si>
  <si>
    <t>En_75_70</t>
  </si>
  <si>
    <t>Control and management entities</t>
  </si>
  <si>
    <t>En_75_80</t>
  </si>
  <si>
    <t>Protection entities</t>
  </si>
  <si>
    <t>En_80</t>
  </si>
  <si>
    <t>Transport entities</t>
  </si>
  <si>
    <t>Infraestruturasde transportes</t>
  </si>
  <si>
    <t>En_80_05</t>
  </si>
  <si>
    <t>Aerospace entities</t>
  </si>
  <si>
    <t>En_80_05_01</t>
  </si>
  <si>
    <t>Air traffic control towers</t>
  </si>
  <si>
    <t>En_80_05_02</t>
  </si>
  <si>
    <t>Aircraft hangars</t>
  </si>
  <si>
    <t>En_80_05_60</t>
  </si>
  <si>
    <t>Passenger terminal buildings</t>
  </si>
  <si>
    <t>En_80_20</t>
  </si>
  <si>
    <t>Cable transport entities</t>
  </si>
  <si>
    <t>En_80_20_11</t>
  </si>
  <si>
    <t>Cable car entities</t>
  </si>
  <si>
    <t>En_80_20_12</t>
  </si>
  <si>
    <t>Cable car stations</t>
  </si>
  <si>
    <t>En_80_20_86</t>
  </si>
  <si>
    <t>Suspended cableways</t>
  </si>
  <si>
    <t>En_80_35</t>
  </si>
  <si>
    <t>Road entities</t>
  </si>
  <si>
    <t>En_80_35_01</t>
  </si>
  <si>
    <t>Access roads</t>
  </si>
  <si>
    <t>En_80_35_07</t>
  </si>
  <si>
    <t>Bus maintenance depots</t>
  </si>
  <si>
    <t>En_80_35_09</t>
  </si>
  <si>
    <t>Bus and coach stations</t>
  </si>
  <si>
    <t>En_80_35_34</t>
  </si>
  <si>
    <t>Guided bus lanes</t>
  </si>
  <si>
    <t>En_80_35_35</t>
  </si>
  <si>
    <t>Highway maintenance depots</t>
  </si>
  <si>
    <t>En_80_35_38</t>
  </si>
  <si>
    <t>Highway service stations</t>
  </si>
  <si>
    <t>En_80_35_56</t>
  </si>
  <si>
    <t>Motorways</t>
  </si>
  <si>
    <t>En_80_35_67</t>
  </si>
  <si>
    <t>Private roads</t>
  </si>
  <si>
    <t>En_80_35_73</t>
  </si>
  <si>
    <t>Road freight depots</t>
  </si>
  <si>
    <t>En_80_35_74</t>
  </si>
  <si>
    <t>Roads</t>
  </si>
  <si>
    <t>En_80_35_77</t>
  </si>
  <si>
    <t>Service area buildings</t>
  </si>
  <si>
    <t>En_80_35_88</t>
  </si>
  <si>
    <t>Tollgates</t>
  </si>
  <si>
    <t>En_80_35_89</t>
  </si>
  <si>
    <t>Tracks</t>
  </si>
  <si>
    <t>En_80_35_90</t>
  </si>
  <si>
    <t>Truck maintenance depots</t>
  </si>
  <si>
    <t>En_80_40</t>
  </si>
  <si>
    <t>Pathways</t>
  </si>
  <si>
    <t>En_80_40_08</t>
  </si>
  <si>
    <t>Bridleways</t>
  </si>
  <si>
    <t>En_80_40_10</t>
  </si>
  <si>
    <t>Byways</t>
  </si>
  <si>
    <t>En_80_40_20</t>
  </si>
  <si>
    <t>Cycle pathways</t>
  </si>
  <si>
    <t>En_80_40_30</t>
  </si>
  <si>
    <t>Footpaths</t>
  </si>
  <si>
    <t>En_80_40_37</t>
  </si>
  <si>
    <t>Hiking paths</t>
  </si>
  <si>
    <t>En_80_40_66</t>
  </si>
  <si>
    <t>Promenades</t>
  </si>
  <si>
    <t>En_80_40_70</t>
  </si>
  <si>
    <t>Rambler ways</t>
  </si>
  <si>
    <t>En_80_40_90</t>
  </si>
  <si>
    <t>Trails</t>
  </si>
  <si>
    <t>En_80_45</t>
  </si>
  <si>
    <t>Vehicle storage entities</t>
  </si>
  <si>
    <t>En_80_45_08</t>
  </si>
  <si>
    <t>Bus parks</t>
  </si>
  <si>
    <t>En_80_45_11</t>
  </si>
  <si>
    <t>Car garaging entities</t>
  </si>
  <si>
    <t>En_80_45_17</t>
  </si>
  <si>
    <t>Coach parks</t>
  </si>
  <si>
    <t>En_80_45_55</t>
  </si>
  <si>
    <t>Multi-storey vehicle parks</t>
  </si>
  <si>
    <t>En_80_45_85</t>
  </si>
  <si>
    <t>Surface vehicle parks</t>
  </si>
  <si>
    <t>En_80_45_89</t>
  </si>
  <si>
    <t>Truck parks</t>
  </si>
  <si>
    <t>En_80_45_92</t>
  </si>
  <si>
    <t>Underground vehicle parks</t>
  </si>
  <si>
    <t>En_80_50</t>
  </si>
  <si>
    <t>Railway entities</t>
  </si>
  <si>
    <t>En_80_50_53</t>
  </si>
  <si>
    <t>Monorail entities</t>
  </si>
  <si>
    <t>En_80_50_58</t>
  </si>
  <si>
    <t>Platforms</t>
  </si>
  <si>
    <t>En_80_50_60</t>
  </si>
  <si>
    <t>Rack rail maintenance buildings</t>
  </si>
  <si>
    <t>En_80_50_62</t>
  </si>
  <si>
    <t>Rack railways track entities</t>
  </si>
  <si>
    <t>En_80_50_64</t>
  </si>
  <si>
    <t>Rail distribution depots</t>
  </si>
  <si>
    <t>En_80_50_66</t>
  </si>
  <si>
    <t>Rail freight entities</t>
  </si>
  <si>
    <t>En_80_50_68</t>
  </si>
  <si>
    <t>Rail marshalling entities</t>
  </si>
  <si>
    <t>En_80_50_71</t>
  </si>
  <si>
    <t>Railway corridors</t>
  </si>
  <si>
    <t>En_80_50_74</t>
  </si>
  <si>
    <t>Railway stations</t>
  </si>
  <si>
    <t>En_80_50_76</t>
  </si>
  <si>
    <t>Railway sidings</t>
  </si>
  <si>
    <t>En_80_50_78</t>
  </si>
  <si>
    <t>Rolling stock depots</t>
  </si>
  <si>
    <t>En_80_50_83</t>
  </si>
  <si>
    <t>Station buildings</t>
  </si>
  <si>
    <t>En_80_50_86</t>
  </si>
  <si>
    <t>Track maintenance depots</t>
  </si>
  <si>
    <t>En_80_50_87</t>
  </si>
  <si>
    <t>Trackside circuit breaker equipment buildings</t>
  </si>
  <si>
    <t>En_80_50_88</t>
  </si>
  <si>
    <t>Train maintenance buildings</t>
  </si>
  <si>
    <t>En_80_50_90</t>
  </si>
  <si>
    <t>Tramways</t>
  </si>
  <si>
    <t>En_80_50_94</t>
  </si>
  <si>
    <t>Underground railway stations</t>
  </si>
  <si>
    <t>En_80_50_95</t>
  </si>
  <si>
    <t>Wagon decontamination buildings</t>
  </si>
  <si>
    <t>En_80_50_97</t>
  </si>
  <si>
    <t>Wagon maintenance buildings</t>
  </si>
  <si>
    <t>En_80_70</t>
  </si>
  <si>
    <t>Marine and waterways transport entities</t>
  </si>
  <si>
    <t>En_80_70_06</t>
  </si>
  <si>
    <t>Barge loading terminals</t>
  </si>
  <si>
    <t>En_80_70_11</t>
  </si>
  <si>
    <t>Canal channels</t>
  </si>
  <si>
    <t>En_80_70_15</t>
  </si>
  <si>
    <t>Canal locks</t>
  </si>
  <si>
    <t>En_80_70_46</t>
  </si>
  <si>
    <t>Lake passenger terminals</t>
  </si>
  <si>
    <t>En_80_70_50</t>
  </si>
  <si>
    <t>En_80_70_71</t>
  </si>
  <si>
    <t>River passenger terminals</t>
  </si>
  <si>
    <t>En_80_90</t>
  </si>
  <si>
    <t>Transport hub entities</t>
  </si>
  <si>
    <t>En_80_94</t>
  </si>
  <si>
    <t>Bridges</t>
  </si>
  <si>
    <t>En_80_94_30</t>
  </si>
  <si>
    <t>Fixed bridges</t>
  </si>
  <si>
    <t>En_80_94_50</t>
  </si>
  <si>
    <t>Moveable bridges</t>
  </si>
  <si>
    <t>En_80_96</t>
  </si>
  <si>
    <t>Tunnels and shafts</t>
  </si>
  <si>
    <t>En_80_96_20</t>
  </si>
  <si>
    <t>Drift tunnels</t>
  </si>
  <si>
    <t>En_80_96_46</t>
  </si>
  <si>
    <t>Lined drift tunnels</t>
  </si>
  <si>
    <t>En_80_96_49</t>
  </si>
  <si>
    <t>Lined tunnels</t>
  </si>
  <si>
    <t>En_80_96_80</t>
  </si>
  <si>
    <t>Shafts</t>
  </si>
  <si>
    <t>En_80_96_90</t>
  </si>
  <si>
    <t>Tunnels</t>
  </si>
  <si>
    <t>En_80_96_91</t>
  </si>
  <si>
    <t>Tunnel portals</t>
  </si>
  <si>
    <t>En_80_96_92</t>
  </si>
  <si>
    <t>Underpasses</t>
  </si>
  <si>
    <t>En_90</t>
  </si>
  <si>
    <t>Circulation and storage entities</t>
  </si>
  <si>
    <t>En_90_10</t>
  </si>
  <si>
    <t>Circulation entities</t>
  </si>
  <si>
    <t>En_90_10_02</t>
  </si>
  <si>
    <t>Access stairways and walkways</t>
  </si>
  <si>
    <t>En_90_10_62</t>
  </si>
  <si>
    <t>Pedestrianized areas</t>
  </si>
  <si>
    <t>En_90_10_77</t>
  </si>
  <si>
    <t>External service areas</t>
  </si>
  <si>
    <t>En_90_50</t>
  </si>
  <si>
    <t>Storage entities</t>
  </si>
  <si>
    <t>En_90_50_02</t>
  </si>
  <si>
    <t>Agricultural storage buildings</t>
  </si>
  <si>
    <t>En_90_50_03</t>
  </si>
  <si>
    <t>Agricultural storage silos</t>
  </si>
  <si>
    <t>En_90_50_10</t>
  </si>
  <si>
    <t>Dry waste storage structures</t>
  </si>
  <si>
    <t>En_90_50_11</t>
  </si>
  <si>
    <t>Dry waste storage yards</t>
  </si>
  <si>
    <t>En_90_50_28</t>
  </si>
  <si>
    <t>Explosives stores</t>
  </si>
  <si>
    <t>En_90_50_50</t>
  </si>
  <si>
    <t>Manufacturing tanks and silos</t>
  </si>
  <si>
    <t>En_90_50_53</t>
  </si>
  <si>
    <t>Mineral storage silos</t>
  </si>
  <si>
    <t>En_90_50_55</t>
  </si>
  <si>
    <t>Motor vehicle storage entities</t>
  </si>
  <si>
    <t>En_90_50_58</t>
  </si>
  <si>
    <t>Oil and gas storage tanks</t>
  </si>
  <si>
    <t>En_90_50_68</t>
  </si>
  <si>
    <t>Refrigerated container storage entities</t>
  </si>
  <si>
    <t>En_90_50_70</t>
  </si>
  <si>
    <t>Storage buildings</t>
  </si>
  <si>
    <t>En_90_50_96</t>
  </si>
  <si>
    <t>Wastewater storage structures</t>
  </si>
  <si>
    <t>En_90_90</t>
  </si>
  <si>
    <t>Plant and control entities</t>
  </si>
  <si>
    <t>En_90_90_33</t>
  </si>
  <si>
    <t>Gauge houses</t>
  </si>
  <si>
    <t>En_90_90_35</t>
  </si>
  <si>
    <t>Gauging station buildings</t>
  </si>
  <si>
    <t>En_90_90_50</t>
  </si>
  <si>
    <t>Mechanical services buildings</t>
  </si>
  <si>
    <t>En_90_90_68</t>
  </si>
  <si>
    <t>Pump houses</t>
  </si>
  <si>
    <t>En_20_10_60</t>
  </si>
  <si>
    <t>En_20_15_08</t>
  </si>
  <si>
    <t>En_20_15_58</t>
  </si>
  <si>
    <t>En_20_30</t>
  </si>
  <si>
    <t>En_20_30_10</t>
  </si>
  <si>
    <t>En_20_30_20</t>
  </si>
  <si>
    <t>En_20_50_40</t>
  </si>
  <si>
    <t>En_20_50_41</t>
  </si>
  <si>
    <t>En_20_50_42</t>
  </si>
  <si>
    <t>En_20_50_78</t>
  </si>
  <si>
    <t>En_20_50_94</t>
  </si>
  <si>
    <t>En_20_55_15</t>
  </si>
  <si>
    <t>En_20_55_16</t>
  </si>
  <si>
    <t>En_20_55_17</t>
  </si>
  <si>
    <t>En_20_65_56</t>
  </si>
  <si>
    <t>En_20_70_18</t>
  </si>
  <si>
    <t>En_20_75_64</t>
  </si>
  <si>
    <t>En_20_90_16</t>
  </si>
  <si>
    <t>En_20_90_27</t>
  </si>
  <si>
    <t>En_25_10_15</t>
  </si>
  <si>
    <t>En_25_10_45</t>
  </si>
  <si>
    <t>En_25_10_66</t>
  </si>
  <si>
    <t>En_25_10_77</t>
  </si>
  <si>
    <t>En_25_10_80</t>
  </si>
  <si>
    <t>En_25_10_88</t>
  </si>
  <si>
    <t>En_25_10_92</t>
  </si>
  <si>
    <t>En_25_30_04</t>
  </si>
  <si>
    <t>En_25_30_08</t>
  </si>
  <si>
    <t>En_25_30_45</t>
  </si>
  <si>
    <t>En_25_50_33</t>
  </si>
  <si>
    <t>En_25_50_34</t>
  </si>
  <si>
    <t>En_25_50_52</t>
  </si>
  <si>
    <t>En_25_50_55</t>
  </si>
  <si>
    <t>En_25_50_58</t>
  </si>
  <si>
    <t>En_25_50_99</t>
  </si>
  <si>
    <t>En_25_70_16</t>
  </si>
  <si>
    <t>En_25_70_23</t>
  </si>
  <si>
    <t>En_30_40_96</t>
  </si>
  <si>
    <t>En_35_10_15</t>
  </si>
  <si>
    <t>En_35_10_37</t>
  </si>
  <si>
    <t>En_35_10_50</t>
  </si>
  <si>
    <t>En_35_10_60</t>
  </si>
  <si>
    <t>En_35_10_70</t>
  </si>
  <si>
    <t>En_35_10_80</t>
  </si>
  <si>
    <t>En_35_50_30</t>
  </si>
  <si>
    <t>En_35_50_37</t>
  </si>
  <si>
    <t>En_35_50_82</t>
  </si>
  <si>
    <t>En_35_70_13</t>
  </si>
  <si>
    <t>En_35_70_16</t>
  </si>
  <si>
    <t>En_35_70_32</t>
  </si>
  <si>
    <t>En_35_85_05</t>
  </si>
  <si>
    <t>En_35_85_10</t>
  </si>
  <si>
    <t>En_35_85_45</t>
  </si>
  <si>
    <t>En_35_85_85</t>
  </si>
  <si>
    <t>En_35_85_90</t>
  </si>
  <si>
    <t>En_35_90_95</t>
  </si>
  <si>
    <t>En_40_05_02</t>
  </si>
  <si>
    <t>En_40_05_30</t>
  </si>
  <si>
    <t>En_40_05_89</t>
  </si>
  <si>
    <t>En_40_60_13</t>
  </si>
  <si>
    <t>En_40_60_16</t>
  </si>
  <si>
    <t>En_40_60_20</t>
  </si>
  <si>
    <t>En_40_60_25</t>
  </si>
  <si>
    <t>En_40_60_30</t>
  </si>
  <si>
    <t>En_40_60_35</t>
  </si>
  <si>
    <t>En_40_60_88</t>
  </si>
  <si>
    <t>En_40_75_20</t>
  </si>
  <si>
    <t>En_40_75_25</t>
  </si>
  <si>
    <t>En_40_75_30</t>
  </si>
  <si>
    <t>En_40_75_68</t>
  </si>
  <si>
    <t>En_42_40_10</t>
  </si>
  <si>
    <t>En_42_40_20</t>
  </si>
  <si>
    <t>En_42_40_40</t>
  </si>
  <si>
    <t>En_42_40_45</t>
  </si>
  <si>
    <t>En_42_50</t>
  </si>
  <si>
    <t>En_42_50_10</t>
  </si>
  <si>
    <t>En_42_50_20</t>
  </si>
  <si>
    <t>En_42_50_30</t>
  </si>
  <si>
    <t>En_42_50_60</t>
  </si>
  <si>
    <t>En_42_50_70</t>
  </si>
  <si>
    <t>En_42_85_40</t>
  </si>
  <si>
    <t>En_42_85_96</t>
  </si>
  <si>
    <t>En_42_90_05</t>
  </si>
  <si>
    <t>En_42_90_10</t>
  </si>
  <si>
    <t>En_44</t>
  </si>
  <si>
    <t>En_45_10_15</t>
  </si>
  <si>
    <t>En_45_10_16</t>
  </si>
  <si>
    <t>En_45_10_17</t>
  </si>
  <si>
    <t>En_45_10_18</t>
  </si>
  <si>
    <t>En_45_10_23</t>
  </si>
  <si>
    <t>En_45_10_24</t>
  </si>
  <si>
    <t>En_45_10_25</t>
  </si>
  <si>
    <t>En_45_10_44</t>
  </si>
  <si>
    <t>En_45_10_45</t>
  </si>
  <si>
    <t>En_45_10_78</t>
  </si>
  <si>
    <t>En_47</t>
  </si>
  <si>
    <t>En_47_10</t>
  </si>
  <si>
    <t>En_47_10_05</t>
  </si>
  <si>
    <t>En_47_10_10</t>
  </si>
  <si>
    <t>En_47_10_15</t>
  </si>
  <si>
    <t>En_47_10_20</t>
  </si>
  <si>
    <t>En_47_10_25</t>
  </si>
  <si>
    <t>En_47_10_30</t>
  </si>
  <si>
    <t>En_47_20</t>
  </si>
  <si>
    <t>En_47_20_05</t>
  </si>
  <si>
    <t>En_47_20_10</t>
  </si>
  <si>
    <t>En_47_20_15</t>
  </si>
  <si>
    <t>En_47_30</t>
  </si>
  <si>
    <t>En_47_50</t>
  </si>
  <si>
    <t>En_47_50_05</t>
  </si>
  <si>
    <t>En_47_50_10</t>
  </si>
  <si>
    <t>En_47_50_15</t>
  </si>
  <si>
    <t>En_47_60</t>
  </si>
  <si>
    <t>En_47_60_05</t>
  </si>
  <si>
    <t>En_47_60_10</t>
  </si>
  <si>
    <t>En_47_70</t>
  </si>
  <si>
    <t>En_47_70_05</t>
  </si>
  <si>
    <t>En_47_70_10</t>
  </si>
  <si>
    <t>En_47_70_15</t>
  </si>
  <si>
    <t>En_50_20_20</t>
  </si>
  <si>
    <t>En_50_20_30</t>
  </si>
  <si>
    <t>En_50_60_40</t>
  </si>
  <si>
    <t>En_55_50_10</t>
  </si>
  <si>
    <t>En_55_50_50</t>
  </si>
  <si>
    <t>En_55_70_20</t>
  </si>
  <si>
    <t>En_55_70_60</t>
  </si>
  <si>
    <t>Infraestruturasde geração e distribuição de energia elétrica</t>
  </si>
  <si>
    <t>En_70_10_34</t>
  </si>
  <si>
    <t>En_70_10_38</t>
  </si>
  <si>
    <t>En_70_10_50</t>
  </si>
  <si>
    <t>En_70_10_60</t>
  </si>
  <si>
    <t>En_70_10_81</t>
  </si>
  <si>
    <t>Infraestruturaspara a distribuição de energia elétrica</t>
  </si>
  <si>
    <t>En_70_30_40</t>
  </si>
  <si>
    <t>En_70_30_50</t>
  </si>
  <si>
    <t>En_75_10_80</t>
  </si>
  <si>
    <t>En_75_10_90</t>
  </si>
  <si>
    <t>En_80_05_38</t>
  </si>
  <si>
    <t>En_80_05_40</t>
  </si>
  <si>
    <t>En_80_05_50</t>
  </si>
  <si>
    <t>En_80_35_11</t>
  </si>
  <si>
    <t>En_80_35_20</t>
  </si>
  <si>
    <t>En_80_35_40</t>
  </si>
  <si>
    <t>En_80_35_95</t>
  </si>
  <si>
    <t>En_80_40_35</t>
  </si>
  <si>
    <t>En_80_40_40</t>
  </si>
  <si>
    <t>En_80_50_20</t>
  </si>
  <si>
    <t>En_80_50_35</t>
  </si>
  <si>
    <t>En_80_50_40</t>
  </si>
  <si>
    <t>En_80_50_75</t>
  </si>
  <si>
    <t>En_80_70_17</t>
  </si>
  <si>
    <t>En_80_70_30</t>
  </si>
  <si>
    <t>En_80_70_36</t>
  </si>
  <si>
    <t>En_80_70_60</t>
  </si>
  <si>
    <t>En_80_70_70</t>
  </si>
  <si>
    <t>En_80_70_75</t>
  </si>
  <si>
    <t>En_80_70_77</t>
  </si>
  <si>
    <t>En_90_50_07</t>
  </si>
  <si>
    <t>En_90_50_15</t>
  </si>
  <si>
    <t>En_90_50_24</t>
  </si>
  <si>
    <t>En_90_50_34</t>
  </si>
  <si>
    <t>En_90_50_45</t>
  </si>
  <si>
    <t>En_90_50_60</t>
  </si>
  <si>
    <t>En_90_50_71</t>
  </si>
  <si>
    <t>En_90_50_94</t>
  </si>
  <si>
    <t>En_90_50_95</t>
  </si>
  <si>
    <t>Ac Activities - 31 July 2019 - v1.10</t>
  </si>
  <si>
    <t>PT (Humano)</t>
  </si>
  <si>
    <t>Comentários (deixar sigla no final)</t>
  </si>
  <si>
    <t>Ac_05</t>
  </si>
  <si>
    <t>Project management activities</t>
  </si>
  <si>
    <t>Atividades de gestão de projeto</t>
  </si>
  <si>
    <t>Ac_05_00</t>
  </si>
  <si>
    <t>Strategy stage activities</t>
  </si>
  <si>
    <t>Atividades de definição estratégica</t>
  </si>
  <si>
    <t>Ac_05_00_10</t>
  </si>
  <si>
    <t>Business case development</t>
  </si>
  <si>
    <t>Desenvolvimento de casos</t>
  </si>
  <si>
    <t>Ac_05_00_80</t>
  </si>
  <si>
    <t>Strategic brief preparation</t>
  </si>
  <si>
    <t>Preparação estratégica</t>
  </si>
  <si>
    <t>Ac_05_00_82</t>
  </si>
  <si>
    <t>Strategic brief submission</t>
  </si>
  <si>
    <t>Submissão de programa</t>
  </si>
  <si>
    <t>Strategic brief é o mesmo que programa? (RPR)</t>
  </si>
  <si>
    <t>Ac_05_10</t>
  </si>
  <si>
    <t>Brief stage activities</t>
  </si>
  <si>
    <t>Preparação de programa</t>
  </si>
  <si>
    <t>Ac_05_10_15</t>
  </si>
  <si>
    <t>Cost estimate preparation</t>
  </si>
  <si>
    <t>Preparação de estimativa de custo</t>
  </si>
  <si>
    <t>Ac_05_10_17</t>
  </si>
  <si>
    <t>Cost estimate submission</t>
  </si>
  <si>
    <t>Submissão de estimativa de custo</t>
  </si>
  <si>
    <t>Ac_05_10_29</t>
  </si>
  <si>
    <t>Feasibility study preparation</t>
  </si>
  <si>
    <t>Preparação de estudo de viabilidade</t>
  </si>
  <si>
    <t>Ac_05_10_31</t>
  </si>
  <si>
    <t>Feasibility study submission</t>
  </si>
  <si>
    <t>Submissão de estudo de viabilidade</t>
  </si>
  <si>
    <t>Ac_05_10_61</t>
  </si>
  <si>
    <t>Preliminary design preparation</t>
  </si>
  <si>
    <t>Preparação de projeto preliminar</t>
  </si>
  <si>
    <t>Ac_05_10_63</t>
  </si>
  <si>
    <t>Preliminary design submission</t>
  </si>
  <si>
    <t>Submissão de projeto preliminar</t>
  </si>
  <si>
    <t>Ac_05_10_65</t>
  </si>
  <si>
    <t>Project brief and objectives preparation</t>
  </si>
  <si>
    <t>Preparação de programa e objetivos</t>
  </si>
  <si>
    <t>Ac_05_10_67</t>
  </si>
  <si>
    <t>Project brief and objectives submission</t>
  </si>
  <si>
    <t>Submissão de programa e objetivos</t>
  </si>
  <si>
    <t>Ac_05_20</t>
  </si>
  <si>
    <t>Concept stage activities</t>
  </si>
  <si>
    <t>Atividades de definição de conceito</t>
  </si>
  <si>
    <t>Ac_05_20_15</t>
  </si>
  <si>
    <t>Concept cost report preparation</t>
  </si>
  <si>
    <t>Ac_05_20_17</t>
  </si>
  <si>
    <t>Concept cost report submission</t>
  </si>
  <si>
    <t>Ac_05_20_21</t>
  </si>
  <si>
    <t>Concept design development</t>
  </si>
  <si>
    <t>Ac_05_20_23</t>
  </si>
  <si>
    <t>Concept design report preparation</t>
  </si>
  <si>
    <t>Ac_05_20_25</t>
  </si>
  <si>
    <t>Concept design report submission</t>
  </si>
  <si>
    <t>Ac_05_30</t>
  </si>
  <si>
    <t>Definition stage activities</t>
  </si>
  <si>
    <t>Ac_05_30_03</t>
  </si>
  <si>
    <t>Agreement negotiating</t>
  </si>
  <si>
    <t>Ac_05_30_10</t>
  </si>
  <si>
    <t>Building regulation assessing</t>
  </si>
  <si>
    <t>Avaliação de regulamentos de construção</t>
  </si>
  <si>
    <t>Ac_05_30_21</t>
  </si>
  <si>
    <t>Definition design cost report preparation</t>
  </si>
  <si>
    <t>Ac_05_30_23</t>
  </si>
  <si>
    <t>Definition design cost report submission</t>
  </si>
  <si>
    <t>Ac_05_30_25</t>
  </si>
  <si>
    <t>Definition design development</t>
  </si>
  <si>
    <t>Ac_05_30_27</t>
  </si>
  <si>
    <t>Definition design report preparation</t>
  </si>
  <si>
    <t>Ac_05_30_28</t>
  </si>
  <si>
    <t>Definition design submission</t>
  </si>
  <si>
    <t>Ac_05_30_29</t>
  </si>
  <si>
    <t>Drainage adoption agreeing</t>
  </si>
  <si>
    <t>Ac_05_30_37</t>
  </si>
  <si>
    <t>Highways adoption agreeing</t>
  </si>
  <si>
    <t>Ac_05_30_60</t>
  </si>
  <si>
    <t>Party wall notices agreeing</t>
  </si>
  <si>
    <t>Ac_05_30_64</t>
  </si>
  <si>
    <t>Planning preparation</t>
  </si>
  <si>
    <t>Preparação do planeamento</t>
  </si>
  <si>
    <t>Ac_05_30_85</t>
  </si>
  <si>
    <t>Sustainability assessing</t>
  </si>
  <si>
    <t>Avaliação de sustentabilidade</t>
  </si>
  <si>
    <t>Ac_05_40</t>
  </si>
  <si>
    <t>Design stage activities</t>
  </si>
  <si>
    <t>Atividades de projeto</t>
  </si>
  <si>
    <t>Ac_05_40_60</t>
  </si>
  <si>
    <t>Prototype requesting</t>
  </si>
  <si>
    <t>Solicitação de protótipos</t>
  </si>
  <si>
    <t>Ac_05_40_70</t>
  </si>
  <si>
    <t>Sample requesting</t>
  </si>
  <si>
    <t>Solicitação de amostras</t>
  </si>
  <si>
    <t>Ac_05_40_85</t>
  </si>
  <si>
    <t>Technical design cost report preparation</t>
  </si>
  <si>
    <t>Ac_05_40_87</t>
  </si>
  <si>
    <t>Technical design development</t>
  </si>
  <si>
    <t>Desenvolvimento de projeto</t>
  </si>
  <si>
    <t>Ac_05_40_89</t>
  </si>
  <si>
    <t>Technical design report preparation</t>
  </si>
  <si>
    <t>Preparação de relatório de projeto</t>
  </si>
  <si>
    <t>Ac_05_40_91</t>
  </si>
  <si>
    <t>Technical design submission</t>
  </si>
  <si>
    <t>Submissão de projeto</t>
  </si>
  <si>
    <t>Ac_05_50</t>
  </si>
  <si>
    <t>Build and commission stage activities</t>
  </si>
  <si>
    <t>Ac_05_50_15</t>
  </si>
  <si>
    <t>Contractor mobilizing</t>
  </si>
  <si>
    <t>Mobilização do empreiteiro</t>
  </si>
  <si>
    <t>Ac_05_50_41</t>
  </si>
  <si>
    <t>Information submitting</t>
  </si>
  <si>
    <t>Submissão de informações</t>
  </si>
  <si>
    <t>Ac_05_50_43</t>
  </si>
  <si>
    <t>Inspecting</t>
  </si>
  <si>
    <t>Inspeções</t>
  </si>
  <si>
    <t>Ac_05_50_51</t>
  </si>
  <si>
    <t>Measuring</t>
  </si>
  <si>
    <t>Medições</t>
  </si>
  <si>
    <t>Ac_05_50_54</t>
  </si>
  <si>
    <t>Monitoring</t>
  </si>
  <si>
    <t>Monitoração</t>
  </si>
  <si>
    <t>Ac_05_50_60</t>
  </si>
  <si>
    <t>Prototype submission</t>
  </si>
  <si>
    <t>Submissão de protótipos</t>
  </si>
  <si>
    <t>Ac_05_50_70</t>
  </si>
  <si>
    <t>Sample submission</t>
  </si>
  <si>
    <t>Envio de amostras</t>
  </si>
  <si>
    <t>Ac_05_50_72</t>
  </si>
  <si>
    <t>Setting out</t>
  </si>
  <si>
    <t>Ac_05_50_75</t>
  </si>
  <si>
    <t>Starting on site</t>
  </si>
  <si>
    <t>Ac_05_50_85</t>
  </si>
  <si>
    <t>Tender analyzing</t>
  </si>
  <si>
    <t>Análise de propostas</t>
  </si>
  <si>
    <t>Ac_05_50_87</t>
  </si>
  <si>
    <t>Tender negotiating</t>
  </si>
  <si>
    <t>Negociação de propostas</t>
  </si>
  <si>
    <t>Ac_05_50_89</t>
  </si>
  <si>
    <t>Tender recommendation reporting</t>
  </si>
  <si>
    <t>Relatórios de recomendação tender</t>
  </si>
  <si>
    <t>Ac_05_50_91</t>
  </si>
  <si>
    <t>Timber sourcing</t>
  </si>
  <si>
    <t>Fornecimento de madeira</t>
  </si>
  <si>
    <t>45-60-90/340 Timber procurement;</t>
  </si>
  <si>
    <t>Ac_05_50_97</t>
  </si>
  <si>
    <t>Works commencing</t>
  </si>
  <si>
    <t>Início dos trabalhos</t>
  </si>
  <si>
    <t>Ac_05_60</t>
  </si>
  <si>
    <t>Handover and close-out stage activities</t>
  </si>
  <si>
    <t>Atividades de estágio transferência de soberania e close-out</t>
  </si>
  <si>
    <t>Ac_05_60_10</t>
  </si>
  <si>
    <t>Building contract administrating</t>
  </si>
  <si>
    <t>Administração do contrato de construção</t>
  </si>
  <si>
    <t>Ac_05_60_15</t>
  </si>
  <si>
    <t>Completing</t>
  </si>
  <si>
    <t>Ac_05_60_30</t>
  </si>
  <si>
    <t>Final clean</t>
  </si>
  <si>
    <t>Limpeza final</t>
  </si>
  <si>
    <t>Ac_05_60_35</t>
  </si>
  <si>
    <t>Handing over</t>
  </si>
  <si>
    <t>Ac_05_60_60</t>
  </si>
  <si>
    <t>Partial handing over</t>
  </si>
  <si>
    <t>Ac_05_60_70</t>
  </si>
  <si>
    <t>Rectifying non-compliant items</t>
  </si>
  <si>
    <t>Ac_05_60_80</t>
  </si>
  <si>
    <t>Sectional completing</t>
  </si>
  <si>
    <t>Ac_05_70</t>
  </si>
  <si>
    <t>Operation and end of life stage activities</t>
  </si>
  <si>
    <t>Operação e actividades de fim de vida</t>
  </si>
  <si>
    <t>Ac_05_70_10</t>
  </si>
  <si>
    <t>Building user assisting</t>
  </si>
  <si>
    <t>Assistência ao utilizador</t>
  </si>
  <si>
    <t>Ac_05_70_48</t>
  </si>
  <si>
    <t>Logistics</t>
  </si>
  <si>
    <t>Logística</t>
  </si>
  <si>
    <t>Ac_10</t>
  </si>
  <si>
    <t>Preparation, construction and repair</t>
  </si>
  <si>
    <t>Preparação, construção e reparação</t>
  </si>
  <si>
    <t>Ac_10_10</t>
  </si>
  <si>
    <t>Deconstruction and demolition</t>
  </si>
  <si>
    <t>Desconstrução e demolição</t>
  </si>
  <si>
    <t>Ac_10_10_20</t>
  </si>
  <si>
    <t>Deconstruction</t>
  </si>
  <si>
    <t>Desconstrução</t>
  </si>
  <si>
    <t>10-45-20/110 Deconstruction system;</t>
  </si>
  <si>
    <t>0.2.1 Demolition works (default); 7.1.1 Minor demolition and alteration works;</t>
  </si>
  <si>
    <t>Ac_10_10_25</t>
  </si>
  <si>
    <t>Demolition</t>
  </si>
  <si>
    <t>Demolição</t>
  </si>
  <si>
    <t>10-45-20/120 Demolition system;</t>
  </si>
  <si>
    <t>8.1.1 Site clearance; 0.2.1 Demolition works (default); 7.1.1 Minor demolition and alteration works;</t>
  </si>
  <si>
    <t>Ac_10_20</t>
  </si>
  <si>
    <t>Decontamination</t>
  </si>
  <si>
    <t>Descontaminação</t>
  </si>
  <si>
    <t>Ac_10_30</t>
  </si>
  <si>
    <t>Site clearance</t>
  </si>
  <si>
    <t>Limpeza do local</t>
  </si>
  <si>
    <t>Ac_10_30_10</t>
  </si>
  <si>
    <t>Bush and scrub removal</t>
  </si>
  <si>
    <t>Desmatação e remoção de entulho</t>
  </si>
  <si>
    <t>Ac_10_30_15</t>
  </si>
  <si>
    <t>Constructed material clearance</t>
  </si>
  <si>
    <t>Apuramento material construído</t>
  </si>
  <si>
    <t>Ac_10_30_80</t>
  </si>
  <si>
    <t>Soil removal</t>
  </si>
  <si>
    <t>Remoção de camada superficial</t>
  </si>
  <si>
    <t>Ac_10_30_90</t>
  </si>
  <si>
    <t>Tree removal</t>
  </si>
  <si>
    <t>Remoção de árvores</t>
  </si>
  <si>
    <t>Ac_10_40</t>
  </si>
  <si>
    <t>Construction</t>
  </si>
  <si>
    <t>Construção</t>
  </si>
  <si>
    <t>Ac_10_40_08</t>
  </si>
  <si>
    <t>Bricklaying</t>
  </si>
  <si>
    <t>Alvenaria</t>
  </si>
  <si>
    <t>Ac_10_40_11</t>
  </si>
  <si>
    <t>Carpentry and joinery</t>
  </si>
  <si>
    <t>Carpintaria e marcenaria</t>
  </si>
  <si>
    <t>Ac_10_40_13</t>
  </si>
  <si>
    <t>Carpet laying</t>
  </si>
  <si>
    <t>Colocação de alcatifa</t>
  </si>
  <si>
    <t>Ac_10_40_22</t>
  </si>
  <si>
    <t>Diamond drilling</t>
  </si>
  <si>
    <t>Perfuração</t>
  </si>
  <si>
    <t>Ac_10_40_25</t>
  </si>
  <si>
    <t>Ductwork installing</t>
  </si>
  <si>
    <t>Instalação de condutas</t>
  </si>
  <si>
    <t>Ac_10_40_27</t>
  </si>
  <si>
    <t>Electrical system installing</t>
  </si>
  <si>
    <t>Instalação de instalações elétricas</t>
  </si>
  <si>
    <t>Ac_10_40_30</t>
  </si>
  <si>
    <t>Formwork installing</t>
  </si>
  <si>
    <t>Montagem de cofragem</t>
  </si>
  <si>
    <t>Ac_10_40_41</t>
  </si>
  <si>
    <t>Internal fitting out</t>
  </si>
  <si>
    <t>Montagem interna para fora</t>
  </si>
  <si>
    <t>Ac_10_40_60</t>
  </si>
  <si>
    <t>Painting and decorating</t>
  </si>
  <si>
    <t>Pintura e decoração</t>
  </si>
  <si>
    <t>Ac_10_40_63</t>
  </si>
  <si>
    <t>Pipe fitting</t>
  </si>
  <si>
    <t>Ac_10_40_65</t>
  </si>
  <si>
    <t>Plastering and rendering</t>
  </si>
  <si>
    <t>Ac_10_40_67</t>
  </si>
  <si>
    <t>Plumbing</t>
  </si>
  <si>
    <t>Canalização</t>
  </si>
  <si>
    <t>Ac_10_40_88</t>
  </si>
  <si>
    <t>Tiling</t>
  </si>
  <si>
    <t>Ac_10_60</t>
  </si>
  <si>
    <t>Protection activities</t>
  </si>
  <si>
    <t>Atividades de proteção</t>
  </si>
  <si>
    <t>Ac_10_60_90</t>
  </si>
  <si>
    <t>Tree protecting</t>
  </si>
  <si>
    <t>Proteção arbórea</t>
  </si>
  <si>
    <t>Ac_10_70</t>
  </si>
  <si>
    <t>Remediation, repair and renovation</t>
  </si>
  <si>
    <t>Remediação, reparação e renovação</t>
  </si>
  <si>
    <t>Ac_10_70_65</t>
  </si>
  <si>
    <t>Remediation</t>
  </si>
  <si>
    <t>Remediação</t>
  </si>
  <si>
    <t>Ac_10_70_70</t>
  </si>
  <si>
    <t>Renovation</t>
  </si>
  <si>
    <t>Renovação</t>
  </si>
  <si>
    <t>Ac_10_70_75</t>
  </si>
  <si>
    <t>Repair</t>
  </si>
  <si>
    <t>Reparação</t>
  </si>
  <si>
    <t>Ac_10_80</t>
  </si>
  <si>
    <t>Structure moving</t>
  </si>
  <si>
    <t>Transporte de estruturas</t>
  </si>
  <si>
    <t>Ac_15</t>
  </si>
  <si>
    <t>Survey activities</t>
  </si>
  <si>
    <t>Ac_15_05</t>
  </si>
  <si>
    <t>Aquatic surveying</t>
  </si>
  <si>
    <t>Ac_15_05_11</t>
  </si>
  <si>
    <t>Canals surveying</t>
  </si>
  <si>
    <t>Ac_15_05_15</t>
  </si>
  <si>
    <t>Coastal surveying</t>
  </si>
  <si>
    <t>Ac_15_05_36</t>
  </si>
  <si>
    <t>Hydrological surveying</t>
  </si>
  <si>
    <t>Levantamento hidrológico</t>
  </si>
  <si>
    <t>Ac_15_05_46</t>
  </si>
  <si>
    <t>Lakes and ponds surveying</t>
  </si>
  <si>
    <t>Ac_15_05_70</t>
  </si>
  <si>
    <t>Reservoirs surveying</t>
  </si>
  <si>
    <t>Ac_15_05_72</t>
  </si>
  <si>
    <t>Rivers and streams surveying</t>
  </si>
  <si>
    <t>Ac_15_05_73</t>
  </si>
  <si>
    <t>River estuary surveying</t>
  </si>
  <si>
    <t>Levantamento</t>
  </si>
  <si>
    <t>Ac_15_10</t>
  </si>
  <si>
    <t>Surveying methods</t>
  </si>
  <si>
    <t>Topografia métodos</t>
  </si>
  <si>
    <t>10-10-95/110 Underground services survey;</t>
  </si>
  <si>
    <t>11.1.2 Other consultants' fees (default);</t>
  </si>
  <si>
    <t>Ac_15_10_01</t>
  </si>
  <si>
    <t>Acoustic surveying</t>
  </si>
  <si>
    <t>Ac_15_10_03</t>
  </si>
  <si>
    <t>Aerial surveying</t>
  </si>
  <si>
    <t>Ac_15_10_10</t>
  </si>
  <si>
    <t>Borehole surveying</t>
  </si>
  <si>
    <t>Ac_15_10_14</t>
  </si>
  <si>
    <t>Closed-circuit television surveying</t>
  </si>
  <si>
    <t>Ac_15_10_22</t>
  </si>
  <si>
    <t>Desk top studying</t>
  </si>
  <si>
    <t>10-10-45/610 Desk study for ground investigation;</t>
  </si>
  <si>
    <t>Ac_15_10_32</t>
  </si>
  <si>
    <t>Geophysical surveying</t>
  </si>
  <si>
    <t>Prospecção geofísica</t>
  </si>
  <si>
    <t>10-10-75/135 Geophysical survey;</t>
  </si>
  <si>
    <t>11.1.2 Other consultants' fees (default); 0.3.1 Temporary support to adjacent structures; 9.2.6 Control and protection;</t>
  </si>
  <si>
    <t>Ac_15_10_34</t>
  </si>
  <si>
    <t>Ground penetrating radar surveying</t>
  </si>
  <si>
    <t>Ac_15_10_70</t>
  </si>
  <si>
    <t>Radio frequency location surveying</t>
  </si>
  <si>
    <t>Ac_15_10_80</t>
  </si>
  <si>
    <t>Satellite surveying</t>
  </si>
  <si>
    <t>Prospeção por satélite</t>
  </si>
  <si>
    <t>Ac_15_10_90</t>
  </si>
  <si>
    <t>Trial holes surveying</t>
  </si>
  <si>
    <t>Ac_15_15</t>
  </si>
  <si>
    <t>Building services condition surveying</t>
  </si>
  <si>
    <t>10-20-75/110 Engineering services survey;</t>
  </si>
  <si>
    <t>11.1.1 Project team and design team consultants' fees (default);</t>
  </si>
  <si>
    <t>Ac_15_15_06</t>
  </si>
  <si>
    <t>Below ground services surveying</t>
  </si>
  <si>
    <t>Ac_15_15_08</t>
  </si>
  <si>
    <t>Boilers, heating and hot water systems surveying</t>
  </si>
  <si>
    <t>Levantamento de caldeiras e sistemas de aquecimento de água</t>
  </si>
  <si>
    <t>Ac_15_15_11</t>
  </si>
  <si>
    <t>Catering equipment surveying</t>
  </si>
  <si>
    <t>Levantamento de equipamentos de restauração</t>
  </si>
  <si>
    <t>Ac_15_15_15</t>
  </si>
  <si>
    <t>Cold water and water treatment systems surveying</t>
  </si>
  <si>
    <t>Água e sistemas de tratamento de água fria levantamento</t>
  </si>
  <si>
    <t>Ac_15_15_16</t>
  </si>
  <si>
    <t>Control systems surveying</t>
  </si>
  <si>
    <t>Levantamento sistemas de controle</t>
  </si>
  <si>
    <t>Ac_15_15_28</t>
  </si>
  <si>
    <t>Escalator and moving pavement systems surveying</t>
  </si>
  <si>
    <t>Sistemas de pavimento em movimento rolante e levantamento</t>
  </si>
  <si>
    <t>Ac_15_15_30</t>
  </si>
  <si>
    <t>Fire alarm systems surveying</t>
  </si>
  <si>
    <t>Fogo levantamento sistemas de alarme</t>
  </si>
  <si>
    <t>Ac_15_15_34</t>
  </si>
  <si>
    <t>Generators system surveying</t>
  </si>
  <si>
    <t>Levantamento sistema de geradores</t>
  </si>
  <si>
    <t>Ac_15_15_47</t>
  </si>
  <si>
    <t>Lift installation surveying</t>
  </si>
  <si>
    <t>Levantamento instalação de elevadores</t>
  </si>
  <si>
    <t>Ac_15_15_48</t>
  </si>
  <si>
    <t>Low voltage general power electrical installations surveying</t>
  </si>
  <si>
    <t>Baixa tensão poder geral instalações elétricas levantamento</t>
  </si>
  <si>
    <t>70-70-40/130 Inspection and testing of existing electrical installations;</t>
  </si>
  <si>
    <t>7.2.1 Repairs to existing services (default);</t>
  </si>
  <si>
    <t>Ac_15_15_71</t>
  </si>
  <si>
    <t>Refrigeration systems surveying</t>
  </si>
  <si>
    <t>Levantamento sistemas de refrigeração</t>
  </si>
  <si>
    <t>Ac_15_15_82</t>
  </si>
  <si>
    <t>Sprinkler systems surveying</t>
  </si>
  <si>
    <t>Levantamento sistemas de aspersão</t>
  </si>
  <si>
    <t>Ac_15_15_95</t>
  </si>
  <si>
    <t>Ventilation and air conditioning systems surveying</t>
  </si>
  <si>
    <t>Levantamento sistemas de ventilação e ar condicionado</t>
  </si>
  <si>
    <t>Ac_15_20</t>
  </si>
  <si>
    <t>Ecological and environmental surveying</t>
  </si>
  <si>
    <t>Levantamento ecológico e ambiental</t>
  </si>
  <si>
    <t>Ac_15_20_03</t>
  </si>
  <si>
    <t>Animal conservation assessment surveying</t>
  </si>
  <si>
    <t>Animal levantamento avaliação conservação</t>
  </si>
  <si>
    <t>40-10-06/105 Animal conservation assessment survey;</t>
  </si>
  <si>
    <t>0.6.3 Other extraordinary site investigation works (default);</t>
  </si>
  <si>
    <t>Ac_15_20_05</t>
  </si>
  <si>
    <t>Arboricultural surveying</t>
  </si>
  <si>
    <t>Levantamento arboricultura</t>
  </si>
  <si>
    <t>10-10-75/105 Arboricultural survey;</t>
  </si>
  <si>
    <t>11.3.1 Main contractor's design consultants' fees; 11.1.2 Other consultants' fees (default); 9.2.6 Control and protection;</t>
  </si>
  <si>
    <t>Ac_15_20_08</t>
  </si>
  <si>
    <t>Bird and pest surveying</t>
  </si>
  <si>
    <t>Aves e pragas levantamento</t>
  </si>
  <si>
    <t>10-10-75/106 Bird and pest survey;</t>
  </si>
  <si>
    <t>11.1.2 Other consultants' fees; 4.1.8 Bird and vermin control (default);</t>
  </si>
  <si>
    <t>Ac_15_20_25</t>
  </si>
  <si>
    <t>Ecological building surveying</t>
  </si>
  <si>
    <t>Levantamento construção ecológica</t>
  </si>
  <si>
    <t>Ac_15_20_27</t>
  </si>
  <si>
    <t>Ecological site surveying</t>
  </si>
  <si>
    <t>Ecológica levantamento local</t>
  </si>
  <si>
    <t>10-10-75/125 Ecological survey;</t>
  </si>
  <si>
    <t>11.1.2 Other consultants' fees (default); 9.2.6 Control and protection;</t>
  </si>
  <si>
    <t>Ac_15_20_28</t>
  </si>
  <si>
    <t>Environmental impact assessment surveying</t>
  </si>
  <si>
    <t>Levantamento avaliação de impacto ambiental</t>
  </si>
  <si>
    <t>Ac_15_20_40</t>
  </si>
  <si>
    <t>Invasive species surveying</t>
  </si>
  <si>
    <t>Espécies invasivas levantamento</t>
  </si>
  <si>
    <t>10-10-75/140 Invasive species survey;</t>
  </si>
  <si>
    <t>Ac_15_20_46</t>
  </si>
  <si>
    <t>Landscape character assessing</t>
  </si>
  <si>
    <t>Carácter da paisagem avaliar</t>
  </si>
  <si>
    <t>Ac_15_20_48</t>
  </si>
  <si>
    <t>Landscape visual assessing</t>
  </si>
  <si>
    <t>Paisagem visuais avaliar</t>
  </si>
  <si>
    <t>Ac_15_20_56</t>
  </si>
  <si>
    <t>Nuisance animal species surveying</t>
  </si>
  <si>
    <t>Espécies animais incomodativas levantamento</t>
  </si>
  <si>
    <t>10-10-75/107 Invasive and nuisance animal species survey;</t>
  </si>
  <si>
    <t>Ac_15_20_58</t>
  </si>
  <si>
    <t>Ornithological surveying</t>
  </si>
  <si>
    <t>Levantamento ornitológico</t>
  </si>
  <si>
    <t>Ac_15_20_85</t>
  </si>
  <si>
    <t>Strategic environmental assessing</t>
  </si>
  <si>
    <t>Estratégica ambiental avaliação</t>
  </si>
  <si>
    <t>Ac_15_30</t>
  </si>
  <si>
    <t>Geometric surveying</t>
  </si>
  <si>
    <t>Levantamento geométrica</t>
  </si>
  <si>
    <t>Ac_15_30_50</t>
  </si>
  <si>
    <t>Measured and metric surveying</t>
  </si>
  <si>
    <t>Medido e levantamento métrico</t>
  </si>
  <si>
    <t>Ac_15_30_90</t>
  </si>
  <si>
    <t>Topographical surveying</t>
  </si>
  <si>
    <t>Levantamento topográfico</t>
  </si>
  <si>
    <t>10-10-75/185 Topographic survey;</t>
  </si>
  <si>
    <t>Ac_15_40</t>
  </si>
  <si>
    <t>Hazardous material surveying</t>
  </si>
  <si>
    <t>Levantamento material perigoso</t>
  </si>
  <si>
    <t>10-20-30/120 Deleterious materials survey;</t>
  </si>
  <si>
    <t>Ac_15_40_05</t>
  </si>
  <si>
    <t>Asbestos surveying</t>
  </si>
  <si>
    <t>Levantamento de amianto</t>
  </si>
  <si>
    <t>Ac_15_40_45</t>
  </si>
  <si>
    <t>Lead paint surveying</t>
  </si>
  <si>
    <t>Levantamento tinta com chumbo</t>
  </si>
  <si>
    <t>Ac_15_40_70</t>
  </si>
  <si>
    <t>Radon and hazardous ground gases surveying</t>
  </si>
  <si>
    <t>Radão e gases perigosos no solo levantamento</t>
  </si>
  <si>
    <t>Ac_15_45</t>
  </si>
  <si>
    <t>Historic building and site surveying</t>
  </si>
  <si>
    <t>Edifício histórico e levantamento local</t>
  </si>
  <si>
    <t>Ac_15_45_35</t>
  </si>
  <si>
    <t>Historic building surveying</t>
  </si>
  <si>
    <t>Levantamento edifício histórico</t>
  </si>
  <si>
    <t>Ac_15_45_37</t>
  </si>
  <si>
    <t>Historic site surveying</t>
  </si>
  <si>
    <t>Historic levantamento local</t>
  </si>
  <si>
    <t>10-10-75/110 Assessment survey;</t>
  </si>
  <si>
    <t>11.1.3 Site investigation fees (default); 9.2.6 Control and protection;</t>
  </si>
  <si>
    <t>Ac_15_50</t>
  </si>
  <si>
    <t>Building fabric surveying</t>
  </si>
  <si>
    <t>Levantamento estrutura do edifício</t>
  </si>
  <si>
    <t>Ac_15_50_10</t>
  </si>
  <si>
    <t>Building surveying</t>
  </si>
  <si>
    <t>Inspecção de edifícios</t>
  </si>
  <si>
    <t>10-20-30/110 Building survey;</t>
  </si>
  <si>
    <t>11.1.2 Other consultants' fees (default); 0.3.1 Temporary support to adjacent structures;</t>
  </si>
  <si>
    <t>Ac_15_50_15</t>
  </si>
  <si>
    <t>Concealed elements surveying</t>
  </si>
  <si>
    <t>Elementos escondidos levantamento</t>
  </si>
  <si>
    <t>Ac_15_50_17</t>
  </si>
  <si>
    <t>Concrete cover surveying</t>
  </si>
  <si>
    <t>Cobertura de concreto levantamento</t>
  </si>
  <si>
    <t>Ac_15_50_20</t>
  </si>
  <si>
    <t>Damp ingress and excess moisture surveying</t>
  </si>
  <si>
    <t>Penetração húmida e o excesso de humidade levantamento</t>
  </si>
  <si>
    <t>10-20-30/130 Specialist or elemental survey;</t>
  </si>
  <si>
    <t>Ac_15_50_22</t>
  </si>
  <si>
    <t>Dilapidations surveying</t>
  </si>
  <si>
    <t>Dilapidations levantamento</t>
  </si>
  <si>
    <t>Ac_15_50_25</t>
  </si>
  <si>
    <t>Doors, windows and glazing surveying</t>
  </si>
  <si>
    <t>Portas, janelas e vidros levantamento</t>
  </si>
  <si>
    <t>Ac_15_50_50</t>
  </si>
  <si>
    <t>Masonry surveying</t>
  </si>
  <si>
    <t>Levantamento de alvenaria</t>
  </si>
  <si>
    <t>Ac_15_50_52</t>
  </si>
  <si>
    <t>Metalwork surveying</t>
  </si>
  <si>
    <t>Levantamento e encurtar</t>
  </si>
  <si>
    <t>Ac_15_50_73</t>
  </si>
  <si>
    <t>Roof surveying</t>
  </si>
  <si>
    <t>Levantamento telhado</t>
  </si>
  <si>
    <t>Ac_15_50_85</t>
  </si>
  <si>
    <t>Structural surveying</t>
  </si>
  <si>
    <t>Inspeção estrutural</t>
  </si>
  <si>
    <t>10-20-60/180 Structural appraisal;</t>
  </si>
  <si>
    <t>Ac_15_50_90</t>
  </si>
  <si>
    <t>Timber surveying</t>
  </si>
  <si>
    <t>Levantamento timber</t>
  </si>
  <si>
    <t>10-70-90/105 Timber defects survey;</t>
  </si>
  <si>
    <t>11.3.1 Main contractor's design consultants' fees; 11.1.2 Other consultants' fees (default);</t>
  </si>
  <si>
    <t>Ac_15_55</t>
  </si>
  <si>
    <t>Performance surveying</t>
  </si>
  <si>
    <t>Levantamento desempenho</t>
  </si>
  <si>
    <t>Ac_15_55_02</t>
  </si>
  <si>
    <t>Access auditing</t>
  </si>
  <si>
    <t>Auditoria de acesso</t>
  </si>
  <si>
    <t>10-20-60/105 Access audit;</t>
  </si>
  <si>
    <t>Ac_15_55_04</t>
  </si>
  <si>
    <t>Acoustics and noise transfer surveying</t>
  </si>
  <si>
    <t>Acústica e transferência de ruído levantamento</t>
  </si>
  <si>
    <t>10-20-60/110 Building fabric performance survey;</t>
  </si>
  <si>
    <t>Ac_15_55_06</t>
  </si>
  <si>
    <t>Airtightness surveying</t>
  </si>
  <si>
    <t>Levantamento estanqueidade</t>
  </si>
  <si>
    <t>Ac_15_55_26</t>
  </si>
  <si>
    <t>Energy assessment surveying</t>
  </si>
  <si>
    <t>Levantamento avaliação energética</t>
  </si>
  <si>
    <t>10-20-60/125 Energy audits and assessments;</t>
  </si>
  <si>
    <t>Ac_15_55_30</t>
  </si>
  <si>
    <t>Fire protection surveying</t>
  </si>
  <si>
    <t>Levantamento de proteção contra incêndio</t>
  </si>
  <si>
    <t>Ac_15_55_75</t>
  </si>
  <si>
    <t>Security auditing</t>
  </si>
  <si>
    <t>A auditoria de segurança</t>
  </si>
  <si>
    <t>10-20-60/175 Security audit;</t>
  </si>
  <si>
    <t>Ac_15_60</t>
  </si>
  <si>
    <t>Rail track surveying</t>
  </si>
  <si>
    <t>Levantamento via férrea</t>
  </si>
  <si>
    <t>Ac_15_70</t>
  </si>
  <si>
    <t>Road and bridge surveying</t>
  </si>
  <si>
    <t>Estrada e ponte de levantamento</t>
  </si>
  <si>
    <t>Ac_15_70_70</t>
  </si>
  <si>
    <t>Road safety auditing</t>
  </si>
  <si>
    <t>Auditoria de segurança rodoviária</t>
  </si>
  <si>
    <t>Ac_15_70_90</t>
  </si>
  <si>
    <t>Traffic surveying</t>
  </si>
  <si>
    <t>Levantamento de tráfego</t>
  </si>
  <si>
    <t>Ac_15_75</t>
  </si>
  <si>
    <t>Ground investigating</t>
  </si>
  <si>
    <t>Chão investigar</t>
  </si>
  <si>
    <t>Ac_15_75_20</t>
  </si>
  <si>
    <t>Geochemical surveying</t>
  </si>
  <si>
    <t>Levantamento geoquímico</t>
  </si>
  <si>
    <t>Ac_15_75_25</t>
  </si>
  <si>
    <t>Geoenvironmental exploratory investigating</t>
  </si>
  <si>
    <t>Exploratória geoambiental investigar</t>
  </si>
  <si>
    <t>Ac_15_75_30</t>
  </si>
  <si>
    <t>Geoenvironmental ground investigating</t>
  </si>
  <si>
    <t>Chão geoambiental investigar</t>
  </si>
  <si>
    <t>Ac_15_75_35</t>
  </si>
  <si>
    <t>Geological boundaries surveying</t>
  </si>
  <si>
    <t>Limites geológicos levantamento</t>
  </si>
  <si>
    <t>Ac_15_75_40</t>
  </si>
  <si>
    <t>Geological faults surveying</t>
  </si>
  <si>
    <t>Falhas geológicas levantamento</t>
  </si>
  <si>
    <t>Ac_15_75_45</t>
  </si>
  <si>
    <t>Geological surveying</t>
  </si>
  <si>
    <t>Geológica</t>
  </si>
  <si>
    <t>Ac_15_75_50</t>
  </si>
  <si>
    <t>Geotechnical ground investigating</t>
  </si>
  <si>
    <t>Chão geotécnica investigar</t>
  </si>
  <si>
    <t>10-10-45/135 Geotechnical ground investigation;</t>
  </si>
  <si>
    <t>11.1.3 Site investigation fees (default);</t>
  </si>
  <si>
    <t>Ac_15_75_55</t>
  </si>
  <si>
    <t>Geotechnical substructure investigating</t>
  </si>
  <si>
    <t>Subestrutura geotécnica investigar</t>
  </si>
  <si>
    <t>Ac_15_75_60</t>
  </si>
  <si>
    <t>Ground levels surveying</t>
  </si>
  <si>
    <t>Níveis de solo levantamento</t>
  </si>
  <si>
    <t>Ac_15_75_65</t>
  </si>
  <si>
    <t>Ground water table surveying</t>
  </si>
  <si>
    <t>Solo freático levantamento</t>
  </si>
  <si>
    <t>Ac_15_75_70</t>
  </si>
  <si>
    <t>Preliminary site investigating</t>
  </si>
  <si>
    <t>Local preliminar investigar</t>
  </si>
  <si>
    <t>10-10-45/165 Preliminary geotechnical ground investigation;</t>
  </si>
  <si>
    <t>Ac_15_75_80</t>
  </si>
  <si>
    <t>Soil surveying</t>
  </si>
  <si>
    <t>Levantamento do solo</t>
  </si>
  <si>
    <t>Ac_15_80</t>
  </si>
  <si>
    <t>Site surveying</t>
  </si>
  <si>
    <t>Levantamento do site</t>
  </si>
  <si>
    <t>Ac_15_80_65</t>
  </si>
  <si>
    <t>Preliminary site surveying</t>
  </si>
  <si>
    <t>Preliminar levantamento local</t>
  </si>
  <si>
    <t>10-10-75/160 Preliminary site survey;</t>
  </si>
  <si>
    <t>Ac_15_80_92</t>
  </si>
  <si>
    <t>Utilities surveying</t>
  </si>
  <si>
    <t>Utilities levantamento</t>
  </si>
  <si>
    <t>Ac_15_90</t>
  </si>
  <si>
    <t>Tunnel surveying</t>
  </si>
  <si>
    <t>Levantamento de túnel</t>
  </si>
  <si>
    <t>Ac_20</t>
  </si>
  <si>
    <t>Administrative, commercial and protective services activities</t>
  </si>
  <si>
    <t>Actividades de serviços administrativos, comerciais e de proteção</t>
  </si>
  <si>
    <t>Ac_20_10</t>
  </si>
  <si>
    <t>Legislative activities</t>
  </si>
  <si>
    <t>Actividades legislativas</t>
  </si>
  <si>
    <t>Ac_20_10_47</t>
  </si>
  <si>
    <t>Legislating activities</t>
  </si>
  <si>
    <t>Legislar atividades</t>
  </si>
  <si>
    <t>Ac_20_10_66</t>
  </si>
  <si>
    <t>Public viewing of legislating activities</t>
  </si>
  <si>
    <t>Exibição pública das atividades legislando</t>
  </si>
  <si>
    <t>Ac_20_15</t>
  </si>
  <si>
    <t>Administrative office activities</t>
  </si>
  <si>
    <t>Atividades de escritório administrativos</t>
  </si>
  <si>
    <t>Ac_20_15_15</t>
  </si>
  <si>
    <t>Counter service</t>
  </si>
  <si>
    <t>Serviço de balcão</t>
  </si>
  <si>
    <t>Ac_20_15_22</t>
  </si>
  <si>
    <t>Desk-based office tasks</t>
  </si>
  <si>
    <t>Tarefas de escritório com base em documentos</t>
  </si>
  <si>
    <t>Ac_20_15_50</t>
  </si>
  <si>
    <t>Meetings</t>
  </si>
  <si>
    <t>Reuniões</t>
  </si>
  <si>
    <t>Ac_20_15_59</t>
  </si>
  <si>
    <t>Office maintenance tasks</t>
  </si>
  <si>
    <t>Tarefas de manutenção de escritório</t>
  </si>
  <si>
    <t>Ac_20_15_71</t>
  </si>
  <si>
    <t>Reception tasks</t>
  </si>
  <si>
    <t>Tarefas de recepção</t>
  </si>
  <si>
    <t>Ac_20_45</t>
  </si>
  <si>
    <t>Motor vehicle maintenance and fuelling activities</t>
  </si>
  <si>
    <t>Manutenção de veículos automóveis e actividades de abastecimento</t>
  </si>
  <si>
    <t>Ac_20_45_30</t>
  </si>
  <si>
    <t>Fuel station air and water dispensing</t>
  </si>
  <si>
    <t>Ar estação de combustível e distribuição de água</t>
  </si>
  <si>
    <t>Ac_20_45_31</t>
  </si>
  <si>
    <t>Fuel station fuel storing</t>
  </si>
  <si>
    <t>Combustível armazenamento posto de combustível</t>
  </si>
  <si>
    <t>Ac_20_45_51</t>
  </si>
  <si>
    <t>Motor vehicle fuelling</t>
  </si>
  <si>
    <t>Abastecimento de veículos automóveis</t>
  </si>
  <si>
    <t>Ac_20_45_53</t>
  </si>
  <si>
    <t>Motor vehicle maintaining</t>
  </si>
  <si>
    <t>Veículo automóvel de manutenção</t>
  </si>
  <si>
    <t>Ac_20_50</t>
  </si>
  <si>
    <t>Commercial activities</t>
  </si>
  <si>
    <t>Atividades comerciais</t>
  </si>
  <si>
    <t>Ac_20_50_03</t>
  </si>
  <si>
    <t>Ambient products wholesale selling</t>
  </si>
  <si>
    <t>Produtos ambientais de venda por atacado</t>
  </si>
  <si>
    <t>Ac_20_50_05</t>
  </si>
  <si>
    <t>Auctioning</t>
  </si>
  <si>
    <t>Leilão</t>
  </si>
  <si>
    <t>Ac_20_50_12</t>
  </si>
  <si>
    <t>Checking out and paying</t>
  </si>
  <si>
    <t>Check-out e pagar</t>
  </si>
  <si>
    <t>Ac_20_50_22</t>
  </si>
  <si>
    <t>Department store retail selling</t>
  </si>
  <si>
    <t>Departamento de venda loja de varejo</t>
  </si>
  <si>
    <t>Ac_20_50_29</t>
  </si>
  <si>
    <t>Financial and professional services activity</t>
  </si>
  <si>
    <t>Atividade de serviços financeiros e profissionais</t>
  </si>
  <si>
    <t>Ac_20_50_32</t>
  </si>
  <si>
    <t>Food and drink retail selling</t>
  </si>
  <si>
    <t>Comida e bebida de venda a retalho</t>
  </si>
  <si>
    <t>Ac_20_50_33</t>
  </si>
  <si>
    <t>General retail selling</t>
  </si>
  <si>
    <t>De venda ao público em geral</t>
  </si>
  <si>
    <t>Ac_20_50_36</t>
  </si>
  <si>
    <t>Hair and beauty treatment activities</t>
  </si>
  <si>
    <t>Atividades de tratamento de beleza e cabeleireiro</t>
  </si>
  <si>
    <t>Ac_20_50_45</t>
  </si>
  <si>
    <t>Kiosk retail selling</t>
  </si>
  <si>
    <t>De venda a retalho kiosk</t>
  </si>
  <si>
    <t>Ac_20_50_47</t>
  </si>
  <si>
    <t>Livestock wholesale selling</t>
  </si>
  <si>
    <t>Pecuária de venda por atacado</t>
  </si>
  <si>
    <t>Ac_20_50_50</t>
  </si>
  <si>
    <t>Mail order sorting and despatching</t>
  </si>
  <si>
    <t xml:space="preserve">Triagem e expedição de correio </t>
  </si>
  <si>
    <t>Ac_20_50_51</t>
  </si>
  <si>
    <t>Market retail selling</t>
  </si>
  <si>
    <t>Venda a retalho</t>
  </si>
  <si>
    <t>Ac_20_50_55</t>
  </si>
  <si>
    <t>Motor vehicle selling</t>
  </si>
  <si>
    <t>Venda de veículos automóveis</t>
  </si>
  <si>
    <t>Ac_20_50_70</t>
  </si>
  <si>
    <t>Refrigerated products wholesale selling</t>
  </si>
  <si>
    <t xml:space="preserve">Venda de produtos refrigerados por atacado </t>
  </si>
  <si>
    <t>Ac_20_50_85</t>
  </si>
  <si>
    <t>Supermarket retail selling</t>
  </si>
  <si>
    <t>Venda a retalho em supermercado</t>
  </si>
  <si>
    <t>Ac_20_50_87</t>
  </si>
  <si>
    <t>Tattooing and piercing</t>
  </si>
  <si>
    <t>Tatuagens e piercing</t>
  </si>
  <si>
    <t>Ac_20_50_90</t>
  </si>
  <si>
    <t>Trying out goods</t>
  </si>
  <si>
    <t>Ac_20_50_96</t>
  </si>
  <si>
    <t>Waste and scrap wholesale selling</t>
  </si>
  <si>
    <t xml:space="preserve">Venda de resíduos e sucata por atacado </t>
  </si>
  <si>
    <t>Ac_20_55</t>
  </si>
  <si>
    <t>Postal communications activities</t>
  </si>
  <si>
    <t>Atividades de comunicações postais</t>
  </si>
  <si>
    <t>Ac_20_55_45</t>
  </si>
  <si>
    <t>Letter sorting</t>
  </si>
  <si>
    <t>Classificação carta</t>
  </si>
  <si>
    <t>Ac_20_55_60</t>
  </si>
  <si>
    <t>Parcel sorting</t>
  </si>
  <si>
    <t>Classificação parcel</t>
  </si>
  <si>
    <t>Ac_20_60</t>
  </si>
  <si>
    <t>Military protective activities</t>
  </si>
  <si>
    <t>Actividades de protecção militares</t>
  </si>
  <si>
    <t>Ac_20_60_08</t>
  </si>
  <si>
    <t>Bombardment sheltering</t>
  </si>
  <si>
    <t>Bombardeio abrigando</t>
  </si>
  <si>
    <t>Ac_20_60_70</t>
  </si>
  <si>
    <t>Radioactive fallout sheltering</t>
  </si>
  <si>
    <t>Precipitação radioativa abrigando</t>
  </si>
  <si>
    <t>Ac_20_62</t>
  </si>
  <si>
    <t>Parade activities</t>
  </si>
  <si>
    <t>Atividades parade</t>
  </si>
  <si>
    <t>Ac_20_62_65</t>
  </si>
  <si>
    <t>Parading</t>
  </si>
  <si>
    <t>Desfilando</t>
  </si>
  <si>
    <t>Ac_20_65</t>
  </si>
  <si>
    <t>Law enforcement activities</t>
  </si>
  <si>
    <t>Atividades de aplicação da lei</t>
  </si>
  <si>
    <t>Ac_20_65_08</t>
  </si>
  <si>
    <t>Breathalyzing</t>
  </si>
  <si>
    <t>Ac_20_65_15</t>
  </si>
  <si>
    <t>Counter terrorism activities</t>
  </si>
  <si>
    <t>Atividades de combate ao terrorismo</t>
  </si>
  <si>
    <t>Ac_20_65_19</t>
  </si>
  <si>
    <t>Custody activities</t>
  </si>
  <si>
    <t>Atividades de custódia</t>
  </si>
  <si>
    <t>Ac_20_65_40</t>
  </si>
  <si>
    <t>Identification parading</t>
  </si>
  <si>
    <t>Desfile de identificação</t>
  </si>
  <si>
    <t>Ac_20_65_59</t>
  </si>
  <si>
    <t>Operational activities</t>
  </si>
  <si>
    <t>Atividades operacionais</t>
  </si>
  <si>
    <t>Ac_20_65_65</t>
  </si>
  <si>
    <t>Police detaining</t>
  </si>
  <si>
    <t>Detenção da polícia</t>
  </si>
  <si>
    <t>Ac_20_65_87</t>
  </si>
  <si>
    <t>Testing for illegal substances</t>
  </si>
  <si>
    <t>Testes para substâncias ilegais</t>
  </si>
  <si>
    <t>Ac_20_65_94</t>
  </si>
  <si>
    <t>Victim examining</t>
  </si>
  <si>
    <t>Vítima examinando</t>
  </si>
  <si>
    <t>Ac_20_70</t>
  </si>
  <si>
    <t>Judicial activities</t>
  </si>
  <si>
    <t>Atividades judiciais</t>
  </si>
  <si>
    <t>Ac_20_70_15</t>
  </si>
  <si>
    <t>Conducting trials and hearings</t>
  </si>
  <si>
    <t>Realização de ensaios e audiências</t>
  </si>
  <si>
    <t>Ac_20_70_23</t>
  </si>
  <si>
    <t>Defendant seating</t>
  </si>
  <si>
    <t>Estar réu</t>
  </si>
  <si>
    <t>Ac_20_70_27</t>
  </si>
  <si>
    <t>Evidence drying</t>
  </si>
  <si>
    <t>Secagem evidence</t>
  </si>
  <si>
    <t>Ac_20_70_41</t>
  </si>
  <si>
    <t>Judicial seating</t>
  </si>
  <si>
    <t>Estar judicial</t>
  </si>
  <si>
    <t>Ac_20_70_44</t>
  </si>
  <si>
    <t>Jury seating</t>
  </si>
  <si>
    <t>Estar júri</t>
  </si>
  <si>
    <t>Ac_20_70_68</t>
  </si>
  <si>
    <t>Public gallery viewing</t>
  </si>
  <si>
    <t>Visualização galeria pública</t>
  </si>
  <si>
    <t>Ac_20_70_93</t>
  </si>
  <si>
    <t>Victim supporting</t>
  </si>
  <si>
    <t>Apoio a vítimas</t>
  </si>
  <si>
    <t>Ac_20_70_94</t>
  </si>
  <si>
    <t>Vulnerable victim supporting</t>
  </si>
  <si>
    <t>Apoio a vítimas vulneráveis</t>
  </si>
  <si>
    <t>Ac_20_70_95</t>
  </si>
  <si>
    <t>Vulnerable witness supporting</t>
  </si>
  <si>
    <t>Apoio a testemunhas vulneráveis</t>
  </si>
  <si>
    <t>Ac_20_70_97</t>
  </si>
  <si>
    <t>Witness standing</t>
  </si>
  <si>
    <t>Testemunha pé</t>
  </si>
  <si>
    <t>Ac_20_70_98</t>
  </si>
  <si>
    <t>Witness supporting</t>
  </si>
  <si>
    <t>Testemunha apoio</t>
  </si>
  <si>
    <t>Ac_20_75</t>
  </si>
  <si>
    <t>Detention activities</t>
  </si>
  <si>
    <t>Atividades de detenção</t>
  </si>
  <si>
    <t>Ac_20_75_12</t>
  </si>
  <si>
    <t>Close supervising</t>
  </si>
  <si>
    <t>Fechar supervisão</t>
  </si>
  <si>
    <t>Ac_20_75_15</t>
  </si>
  <si>
    <t>Communal inmate day activities</t>
  </si>
  <si>
    <t>Atividades do dia presos comunal</t>
  </si>
  <si>
    <t>Ac_20_75_20</t>
  </si>
  <si>
    <t>Detainee exercising</t>
  </si>
  <si>
    <t>Detido exercício</t>
  </si>
  <si>
    <t>Ac_20_75_22</t>
  </si>
  <si>
    <t>Detainee processing</t>
  </si>
  <si>
    <t>Processamento detido</t>
  </si>
  <si>
    <t>Ac_20_75_35</t>
  </si>
  <si>
    <t>Guarding detainees</t>
  </si>
  <si>
    <t>Guardando detidos</t>
  </si>
  <si>
    <t>Ac_20_75_38</t>
  </si>
  <si>
    <t>Holding of prisoners</t>
  </si>
  <si>
    <t>Segurando de prisioneiros</t>
  </si>
  <si>
    <t>Ac_20_75_41</t>
  </si>
  <si>
    <t>Inmate exercising</t>
  </si>
  <si>
    <t>Detento exercício</t>
  </si>
  <si>
    <t>Ac_20_75_44</t>
  </si>
  <si>
    <t>Juvenile detaining</t>
  </si>
  <si>
    <t>Detenção juvenil</t>
  </si>
  <si>
    <t>Ac_20_75_67</t>
  </si>
  <si>
    <t>Prison detaining</t>
  </si>
  <si>
    <t>Detenção prisão</t>
  </si>
  <si>
    <t>Ac_20_75_75</t>
  </si>
  <si>
    <t>Secure entering and exiting</t>
  </si>
  <si>
    <t>Seguro entrar e sair</t>
  </si>
  <si>
    <t>Ac_20_75_77</t>
  </si>
  <si>
    <t>Secure visiting</t>
  </si>
  <si>
    <t>Garantir visita</t>
  </si>
  <si>
    <t>Ac_20_75_95</t>
  </si>
  <si>
    <t>Vehicle impounding</t>
  </si>
  <si>
    <t>Apreensão do veículo</t>
  </si>
  <si>
    <t>Ac_20_80</t>
  </si>
  <si>
    <t>Weapons training activities</t>
  </si>
  <si>
    <t>Atividades armas de treinamento</t>
  </si>
  <si>
    <t>Ac_20_80_29</t>
  </si>
  <si>
    <t>Firearms training</t>
  </si>
  <si>
    <t>Treinamento de armas de fogo</t>
  </si>
  <si>
    <t>Ac_20_80_31</t>
  </si>
  <si>
    <t>Firing of weapons</t>
  </si>
  <si>
    <t>Disparo de armas</t>
  </si>
  <si>
    <t>Ac_20_85</t>
  </si>
  <si>
    <t>Security activities</t>
  </si>
  <si>
    <t>Atividades de segurança</t>
  </si>
  <si>
    <t>Ac_20_85_08</t>
  </si>
  <si>
    <t>Biometric identifying</t>
  </si>
  <si>
    <t>Biométrico de identificação</t>
  </si>
  <si>
    <t>Ac_20_85_63</t>
  </si>
  <si>
    <t>Pedestrian security checking</t>
  </si>
  <si>
    <t>Verificação de segurança de pedestres</t>
  </si>
  <si>
    <t>Ac_20_85_77</t>
  </si>
  <si>
    <t>Secure activities</t>
  </si>
  <si>
    <t>Atividades de seguros</t>
  </si>
  <si>
    <t>Ac_20_85_79</t>
  </si>
  <si>
    <t>Sensitive activities</t>
  </si>
  <si>
    <t>Actividades sensíveis</t>
  </si>
  <si>
    <t>Ac_20_85_95</t>
  </si>
  <si>
    <t>Vehicular security checking</t>
  </si>
  <si>
    <t>Verificação de segurança veicular</t>
  </si>
  <si>
    <t>Ac_20_90</t>
  </si>
  <si>
    <t>Incident support activities</t>
  </si>
  <si>
    <t>Atividades de apoio incidentes</t>
  </si>
  <si>
    <t>Ac_20_90_31</t>
  </si>
  <si>
    <t>Fire training</t>
  </si>
  <si>
    <t>Treinamento de incêndio</t>
  </si>
  <si>
    <t>Ac_20_90_41</t>
  </si>
  <si>
    <t>Incident prevention</t>
  </si>
  <si>
    <t>Prevenção de incidentes</t>
  </si>
  <si>
    <t>Ac_20_90_42</t>
  </si>
  <si>
    <t>Incident support</t>
  </si>
  <si>
    <t>Apoio incidente</t>
  </si>
  <si>
    <t>Ac_20_90_78</t>
  </si>
  <si>
    <t>Sheltering from fire</t>
  </si>
  <si>
    <t>Protegendo do fogo</t>
  </si>
  <si>
    <t>Ac_25</t>
  </si>
  <si>
    <t>Cultural, educational, scientific and information activities</t>
  </si>
  <si>
    <t>Atividades culturais, educacionais, científicas e de informação</t>
  </si>
  <si>
    <t>Ac_25_05</t>
  </si>
  <si>
    <t>Commemoration activities</t>
  </si>
  <si>
    <t>Atividades de comemoração</t>
  </si>
  <si>
    <t>Ac_25_05_15</t>
  </si>
  <si>
    <t>Commemoration events</t>
  </si>
  <si>
    <t>Eventos de comemoração</t>
  </si>
  <si>
    <t>Ac_25_10</t>
  </si>
  <si>
    <t>Educational activities</t>
  </si>
  <si>
    <t>Atividades educacionais</t>
  </si>
  <si>
    <t>Ac_25_10_05</t>
  </si>
  <si>
    <t>Assembling</t>
  </si>
  <si>
    <t>Montagem</t>
  </si>
  <si>
    <t>Ac_25_10_15</t>
  </si>
  <si>
    <t>Communal educational activities</t>
  </si>
  <si>
    <t>Atividades educacionais comuns</t>
  </si>
  <si>
    <t>Ac_25_10_26</t>
  </si>
  <si>
    <t>Driving tuition</t>
  </si>
  <si>
    <t>Propinas condução</t>
  </si>
  <si>
    <t>Ac_25_10_35</t>
  </si>
  <si>
    <t>Group work</t>
  </si>
  <si>
    <t>Trabalho em equipe</t>
  </si>
  <si>
    <t>Ac_25_10_47</t>
  </si>
  <si>
    <t>Lecturing</t>
  </si>
  <si>
    <t>Palestras</t>
  </si>
  <si>
    <t>Ac_25_10_71</t>
  </si>
  <si>
    <t>Researching</t>
  </si>
  <si>
    <t>Pesquisando</t>
  </si>
  <si>
    <t>Ac_25_10_78</t>
  </si>
  <si>
    <t>Seminar activities</t>
  </si>
  <si>
    <t>Atividades de seminário</t>
  </si>
  <si>
    <t>Ac_25_10_84</t>
  </si>
  <si>
    <t>Studying</t>
  </si>
  <si>
    <t>Estudando</t>
  </si>
  <si>
    <t>Ac_25_10_88</t>
  </si>
  <si>
    <t>Teaching</t>
  </si>
  <si>
    <t>Ensino</t>
  </si>
  <si>
    <t>Ac_25_20</t>
  </si>
  <si>
    <t>Design and craft activities</t>
  </si>
  <si>
    <t>Atividades de design e artesanato</t>
  </si>
  <si>
    <t>Ac_25_20_13</t>
  </si>
  <si>
    <t>Ceramics making</t>
  </si>
  <si>
    <t>Tomada de cerâmica</t>
  </si>
  <si>
    <t>Ac_25_20_15</t>
  </si>
  <si>
    <t>Craft activities</t>
  </si>
  <si>
    <t>Actividades artesanais</t>
  </si>
  <si>
    <t>Ac_25_20_21</t>
  </si>
  <si>
    <t>Designing</t>
  </si>
  <si>
    <t>Desenho</t>
  </si>
  <si>
    <t>Ac_25_20_24</t>
  </si>
  <si>
    <t>Drawing</t>
  </si>
  <si>
    <t>Desenhando</t>
  </si>
  <si>
    <t>Ac_25_20_60</t>
  </si>
  <si>
    <t>Painting</t>
  </si>
  <si>
    <t>Pintura</t>
  </si>
  <si>
    <t>Ac_25_20_88</t>
  </si>
  <si>
    <t>Technical drawing</t>
  </si>
  <si>
    <t>Desenho técnico</t>
  </si>
  <si>
    <t>Ac_25_30</t>
  </si>
  <si>
    <t>Scientific and laboratory activities</t>
  </si>
  <si>
    <t>Atividades científicas e laboratoriais</t>
  </si>
  <si>
    <t>Ac_25_30_02</t>
  </si>
  <si>
    <t>Anechoic chamber activities</t>
  </si>
  <si>
    <t>Actividades câmara anecóica</t>
  </si>
  <si>
    <t>Ac_25_30_04</t>
  </si>
  <si>
    <t>Astronomy activities</t>
  </si>
  <si>
    <t>Atividades de astronomia</t>
  </si>
  <si>
    <t>Ac_25_30_07</t>
  </si>
  <si>
    <t>Biology activities</t>
  </si>
  <si>
    <t>Atividades de biologia</t>
  </si>
  <si>
    <t>Ac_25_30_10</t>
  </si>
  <si>
    <t>Bioscience activities</t>
  </si>
  <si>
    <t>Atividades de biociência</t>
  </si>
  <si>
    <t>Ac_25_30_13</t>
  </si>
  <si>
    <t>Chemistry activities</t>
  </si>
  <si>
    <t>Atividades de química</t>
  </si>
  <si>
    <t>Ac_25_30_15</t>
  </si>
  <si>
    <t>Clinical biochemistry activities</t>
  </si>
  <si>
    <t>Actividades de bioquímica</t>
  </si>
  <si>
    <t>Ac_25_30_16</t>
  </si>
  <si>
    <t>Clinical microbiology activities</t>
  </si>
  <si>
    <t>Actividades de microbiologia clínica</t>
  </si>
  <si>
    <t>Ac_25_30_17</t>
  </si>
  <si>
    <t>Clinical pathology activities</t>
  </si>
  <si>
    <t>Actividades de patologia clínica</t>
  </si>
  <si>
    <t>Ac_25_30_19</t>
  </si>
  <si>
    <t>Containment activities</t>
  </si>
  <si>
    <t>Atividades de contenção</t>
  </si>
  <si>
    <t>Ac_25_30_21</t>
  </si>
  <si>
    <t>Dark room activities</t>
  </si>
  <si>
    <t>Atividades quarto escuro</t>
  </si>
  <si>
    <t>Ac_25_30_22</t>
  </si>
  <si>
    <t>Dental laboratory activities</t>
  </si>
  <si>
    <t>Atividades laboratoriais de prótese dentária</t>
  </si>
  <si>
    <t>Ac_25_30_23</t>
  </si>
  <si>
    <t>Dissection</t>
  </si>
  <si>
    <t>Dissecação</t>
  </si>
  <si>
    <t>Ac_25_30_26</t>
  </si>
  <si>
    <t>Earth sciences activities</t>
  </si>
  <si>
    <t>Atividades de ciências da terra</t>
  </si>
  <si>
    <t>Ac_25_30_27</t>
  </si>
  <si>
    <t>Engineering activities</t>
  </si>
  <si>
    <t>Atividades de engenharia</t>
  </si>
  <si>
    <t>Ac_25_30_28</t>
  </si>
  <si>
    <t>Experiment controlling</t>
  </si>
  <si>
    <t>Controlo de experiências</t>
  </si>
  <si>
    <t>Ac_25_30_29</t>
  </si>
  <si>
    <t>Flow cytometry activities</t>
  </si>
  <si>
    <t>Citometria de fluxo atividades</t>
  </si>
  <si>
    <t>Ac_25_30_30</t>
  </si>
  <si>
    <t>Food testing</t>
  </si>
  <si>
    <t>Análise de alimentos</t>
  </si>
  <si>
    <t>Ac_25_30_31</t>
  </si>
  <si>
    <t>Forensic science activities</t>
  </si>
  <si>
    <t>Atividades de ciência forense</t>
  </si>
  <si>
    <t>Ac_25_30_33</t>
  </si>
  <si>
    <t>Geology activities</t>
  </si>
  <si>
    <t>Atividades de geologia</t>
  </si>
  <si>
    <t>Ac_25_30_36</t>
  </si>
  <si>
    <t>Hyperbaric chamber activities</t>
  </si>
  <si>
    <t>Actividades em câmara hiperbárica</t>
  </si>
  <si>
    <t>Ac_25_30_46</t>
  </si>
  <si>
    <t>Laboratory cold activities</t>
  </si>
  <si>
    <t>Actividades frio laboratoriais</t>
  </si>
  <si>
    <t>Ac_25_30_47</t>
  </si>
  <si>
    <t>Laboratory warm activities</t>
  </si>
  <si>
    <t>Actividades quentes laboratoriais</t>
  </si>
  <si>
    <t>Ac_25_30_50</t>
  </si>
  <si>
    <t>Material testing</t>
  </si>
  <si>
    <t>Teste de materiais</t>
  </si>
  <si>
    <t>Ac_25_30_66</t>
  </si>
  <si>
    <t>Physics activities</t>
  </si>
  <si>
    <t>Actividades de física</t>
  </si>
  <si>
    <t>Ac_25_30_68</t>
  </si>
  <si>
    <t>Psychology activities</t>
  </si>
  <si>
    <t>Atividades de psicologia</t>
  </si>
  <si>
    <t>Ac_25_30_70</t>
  </si>
  <si>
    <t>Radiation shielded activities</t>
  </si>
  <si>
    <t>Atividades de radiação blindado</t>
  </si>
  <si>
    <t>Ac_25_30_72</t>
  </si>
  <si>
    <t>Results interpreting</t>
  </si>
  <si>
    <t>Interpretação de resultados</t>
  </si>
  <si>
    <t>Ac_25_30_76</t>
  </si>
  <si>
    <t>Scientific instrument activities</t>
  </si>
  <si>
    <t>Atividades científicas instrumento</t>
  </si>
  <si>
    <t>Ac_25_30_78</t>
  </si>
  <si>
    <t>Seismograph activities</t>
  </si>
  <si>
    <t>Atividades sismográficas</t>
  </si>
  <si>
    <t>Ac_25_30_85</t>
  </si>
  <si>
    <t>Sterilizing activities</t>
  </si>
  <si>
    <t>Esterilização atividades</t>
  </si>
  <si>
    <t>Ac_25_30_89</t>
  </si>
  <si>
    <t>Tissue culturing</t>
  </si>
  <si>
    <t>Cultura de tecidos</t>
  </si>
  <si>
    <t>Ac_25_30_90</t>
  </si>
  <si>
    <t>Toxicology activities</t>
  </si>
  <si>
    <t>Atividades de toxicologia</t>
  </si>
  <si>
    <t>Ac_25_50</t>
  </si>
  <si>
    <t>Exhibition activities</t>
  </si>
  <si>
    <t>Exposiçao de</t>
  </si>
  <si>
    <t>Ac_25_50_04</t>
  </si>
  <si>
    <t>Art exhibiting</t>
  </si>
  <si>
    <t>Exposição de arte</t>
  </si>
  <si>
    <t>Ac_25_50_15</t>
  </si>
  <si>
    <t>Collection exhibiting</t>
  </si>
  <si>
    <t>Exposição de coleções</t>
  </si>
  <si>
    <t>Ac_25_50_16</t>
  </si>
  <si>
    <t>Conservation of art and artefacts</t>
  </si>
  <si>
    <t>Conservação de arte e artefatos</t>
  </si>
  <si>
    <t>Ac_25_50_21</t>
  </si>
  <si>
    <t>Diorama exhibiting</t>
  </si>
  <si>
    <t>Exposição de dioramas</t>
  </si>
  <si>
    <t>Ac_25_50_29</t>
  </si>
  <si>
    <t>Fauna exhibiting</t>
  </si>
  <si>
    <t>Exposiçao de fauna</t>
  </si>
  <si>
    <t>Ac_25_50_31</t>
  </si>
  <si>
    <t>Flora exhibiting</t>
  </si>
  <si>
    <t>Exposiçao de flora</t>
  </si>
  <si>
    <t>Ac_25_50_65</t>
  </si>
  <si>
    <t>Projecting representations of the night sky</t>
  </si>
  <si>
    <t>Ac_25_50_73</t>
  </si>
  <si>
    <t>Sculpture exhibiting</t>
  </si>
  <si>
    <t>Exposição de escultura</t>
  </si>
  <si>
    <t>Ac_25_50_94</t>
  </si>
  <si>
    <t>Viewing activities</t>
  </si>
  <si>
    <t>Visualizando atividades</t>
  </si>
  <si>
    <t>Ac_25_70</t>
  </si>
  <si>
    <t>Information activities</t>
  </si>
  <si>
    <t>Actividades de informação</t>
  </si>
  <si>
    <t>Ac_25_70_04</t>
  </si>
  <si>
    <t>Archiving</t>
  </si>
  <si>
    <t>Arquivamento</t>
  </si>
  <si>
    <t>Ac_25_70_05</t>
  </si>
  <si>
    <t>Audio-visual studying</t>
  </si>
  <si>
    <t>Áudio-visual estudando</t>
  </si>
  <si>
    <t>Ac_25_70_11</t>
  </si>
  <si>
    <t>Cataloguing</t>
  </si>
  <si>
    <t>Catalogação</t>
  </si>
  <si>
    <t>Ac_25_70_23</t>
  </si>
  <si>
    <t>Domestic book storing and reading</t>
  </si>
  <si>
    <t>Armazenamento livro doméstica e leitura</t>
  </si>
  <si>
    <t>Ac_25_70_30</t>
  </si>
  <si>
    <t>Film storing</t>
  </si>
  <si>
    <t>Armazenamento de filme</t>
  </si>
  <si>
    <t>Ac_25_70_47</t>
  </si>
  <si>
    <t>Library storing</t>
  </si>
  <si>
    <t>Ac_25_70_71</t>
  </si>
  <si>
    <t>Reading</t>
  </si>
  <si>
    <t>Leitura</t>
  </si>
  <si>
    <t>Ac_25_70_72</t>
  </si>
  <si>
    <t>Records storing</t>
  </si>
  <si>
    <t>Registros de armazenamento</t>
  </si>
  <si>
    <t>Ac_25_70_76</t>
  </si>
  <si>
    <t>Scanning</t>
  </si>
  <si>
    <t>Exploração</t>
  </si>
  <si>
    <t>Ac_25_90</t>
  </si>
  <si>
    <t>Worship activities</t>
  </si>
  <si>
    <t>Atividades de adoração</t>
  </si>
  <si>
    <t>Ac_25_90_12</t>
  </si>
  <si>
    <t>Ceremonial worship activities</t>
  </si>
  <si>
    <t>Atividades de adoração cerimonial</t>
  </si>
  <si>
    <t>Ac_25_90_15</t>
  </si>
  <si>
    <t>Conducting acts of worship</t>
  </si>
  <si>
    <t>Realização de atos de adoração</t>
  </si>
  <si>
    <t>Ac_25_90_60</t>
  </si>
  <si>
    <t>Pastoral care</t>
  </si>
  <si>
    <t>Pastoral</t>
  </si>
  <si>
    <t>Ac_25_90_67</t>
  </si>
  <si>
    <t>Preparing for acts of worship</t>
  </si>
  <si>
    <t>Preparação para actos de culto</t>
  </si>
  <si>
    <t>Ac_30</t>
  </si>
  <si>
    <t>Industrial activities</t>
  </si>
  <si>
    <t>As atividades industriais</t>
  </si>
  <si>
    <t>Ac_30_10</t>
  </si>
  <si>
    <t>Mineral extraction activities</t>
  </si>
  <si>
    <t>Atividades de extração mineral</t>
  </si>
  <si>
    <t>Ac_30_10_57</t>
  </si>
  <si>
    <t>Offshore oil and gas drilling</t>
  </si>
  <si>
    <t>Offshore de petróleo e exploração de gás</t>
  </si>
  <si>
    <t>Ac_30_10_59</t>
  </si>
  <si>
    <t>Onshore oil and gas drilling</t>
  </si>
  <si>
    <t>Perfuração de petróleo e de gás em terra</t>
  </si>
  <si>
    <t>Ac_30_10_60</t>
  </si>
  <si>
    <t>Opencast mining</t>
  </si>
  <si>
    <t>Mineração a céu aberto</t>
  </si>
  <si>
    <t>Ac_30_10_69</t>
  </si>
  <si>
    <t>Quarrying</t>
  </si>
  <si>
    <t>Ac_30_10_91</t>
  </si>
  <si>
    <t>Underground mining</t>
  </si>
  <si>
    <t>Mineração subterrânea</t>
  </si>
  <si>
    <t>Ac_30_10_93</t>
  </si>
  <si>
    <t>Underground mine accessing</t>
  </si>
  <si>
    <t>Acessando mina subterrânea</t>
  </si>
  <si>
    <t>Ac_30_10_94</t>
  </si>
  <si>
    <t>Underground mine tunnelling</t>
  </si>
  <si>
    <t>Tunneling mina subterrânea</t>
  </si>
  <si>
    <t>Ac_30_20</t>
  </si>
  <si>
    <t>Nuclear and chemical management activities</t>
  </si>
  <si>
    <t>Actividades de gestão nucleares e químicas</t>
  </si>
  <si>
    <t>Ac_30_20_30</t>
  </si>
  <si>
    <t>High heat highly enriched uranium radioactive waste managing</t>
  </si>
  <si>
    <t>Calor elevado urânio altamente enriquecido gestão dos resíduos radioactivos</t>
  </si>
  <si>
    <t>Ac_30_20_35</t>
  </si>
  <si>
    <t>High heat mixed oxide fuel radioactive waste managing</t>
  </si>
  <si>
    <t>Calor elevado de combustível de óxido misto gestão dos resíduos radioactivos</t>
  </si>
  <si>
    <t>Ac_30_20_40</t>
  </si>
  <si>
    <t>High heat plutonium radioactive waste managing</t>
  </si>
  <si>
    <t>Alta plutônio calor gestão dos resíduos radioactivos</t>
  </si>
  <si>
    <t>Ac_30_20_45</t>
  </si>
  <si>
    <t>High heat radioactive waste managing</t>
  </si>
  <si>
    <t>Gestão dos resíduos radioactivos calor elevado</t>
  </si>
  <si>
    <t>Ac_30_20_50</t>
  </si>
  <si>
    <t>High heat spent fuel radioactive waste managing</t>
  </si>
  <si>
    <t>Calor elevado de combustível gasto no gerenciamento de resíduos radioactivos</t>
  </si>
  <si>
    <t>Ac_30_20_60</t>
  </si>
  <si>
    <t>Low heat depleted natural low enrichment uranium managing</t>
  </si>
  <si>
    <t>Baixo calor esgotado baixo enriquecimento natural gestão de urânio</t>
  </si>
  <si>
    <t>Ac_30_20_65</t>
  </si>
  <si>
    <t>Low heat robust shielded radioactive waste managing</t>
  </si>
  <si>
    <t>Baixo calor robusta blindado gestão dos resíduos radioactivos</t>
  </si>
  <si>
    <t>Ac_30_20_70</t>
  </si>
  <si>
    <t>Low heat shielded radioactive waste managing</t>
  </si>
  <si>
    <t>Baixo calor blindado gestão dos resíduos radioactivos</t>
  </si>
  <si>
    <t>Ac_30_20_75</t>
  </si>
  <si>
    <t>Low heat unshielded radioactive waste managing</t>
  </si>
  <si>
    <t>Lume brando sem blindagem gestão dos resíduos radioactivos</t>
  </si>
  <si>
    <t>Ac_30_30</t>
  </si>
  <si>
    <t>Mineral processing activities</t>
  </si>
  <si>
    <t>Atividades de processamento mineral</t>
  </si>
  <si>
    <t>Ac_30_30_33</t>
  </si>
  <si>
    <t>Gas processing</t>
  </si>
  <si>
    <t>Processamento de gás</t>
  </si>
  <si>
    <t>Ac_30_30_58</t>
  </si>
  <si>
    <t>Oil processing</t>
  </si>
  <si>
    <t>Processamento de petróleo</t>
  </si>
  <si>
    <t>Ac_30_30_59</t>
  </si>
  <si>
    <t>Ore processing</t>
  </si>
  <si>
    <t>Processamento de minério</t>
  </si>
  <si>
    <t>Ac_30_40</t>
  </si>
  <si>
    <t>Animal and plant products processing activities</t>
  </si>
  <si>
    <t>Animais e vegetais produtos atividades de processamento</t>
  </si>
  <si>
    <t>Ac_30_40_06</t>
  </si>
  <si>
    <t>Baking</t>
  </si>
  <si>
    <t>Ac_30_40_07</t>
  </si>
  <si>
    <t>Bottling</t>
  </si>
  <si>
    <t>Engarrafamento</t>
  </si>
  <si>
    <t>Ac_30_40_09</t>
  </si>
  <si>
    <t>Brewing</t>
  </si>
  <si>
    <t>Preparação</t>
  </si>
  <si>
    <t>Ac_30_40_10</t>
  </si>
  <si>
    <t>Butter-making</t>
  </si>
  <si>
    <t>De produção de manteiga</t>
  </si>
  <si>
    <t>Ac_30_40_11</t>
  </si>
  <si>
    <t>Canning</t>
  </si>
  <si>
    <t>Enlatamento</t>
  </si>
  <si>
    <t>Ac_30_40_18</t>
  </si>
  <si>
    <t>Cheese making</t>
  </si>
  <si>
    <t>Fabrico de queijo</t>
  </si>
  <si>
    <t>Ac_30_40_22</t>
  </si>
  <si>
    <t>Distilling</t>
  </si>
  <si>
    <t>Ac_30_40_30</t>
  </si>
  <si>
    <t>Fish processing</t>
  </si>
  <si>
    <t>Processamento de peixe</t>
  </si>
  <si>
    <t>Ac_30_40_32</t>
  </si>
  <si>
    <t>Fresh fruit and vegetable packing</t>
  </si>
  <si>
    <t>Frutas frescas e embalagem vegetal</t>
  </si>
  <si>
    <t>Ac_30_40_44</t>
  </si>
  <si>
    <t>Juicing</t>
  </si>
  <si>
    <t>Ac_30_40_52</t>
  </si>
  <si>
    <t>Meat processing</t>
  </si>
  <si>
    <t>Processamento de carne</t>
  </si>
  <si>
    <t>Ac_30_40_54</t>
  </si>
  <si>
    <t>Milk processing</t>
  </si>
  <si>
    <t>Processamento de leite</t>
  </si>
  <si>
    <t>Ac_30_40_55</t>
  </si>
  <si>
    <t>Milling</t>
  </si>
  <si>
    <t>Moagem</t>
  </si>
  <si>
    <t>Ac_30_40_63</t>
  </si>
  <si>
    <t>Plant fibre sorting</t>
  </si>
  <si>
    <t>Triagem fibra vegetal</t>
  </si>
  <si>
    <t>Ac_30_40_65</t>
  </si>
  <si>
    <t>Poultry processing</t>
  </si>
  <si>
    <t>Processamento de aves</t>
  </si>
  <si>
    <t>Ac_30_40_80</t>
  </si>
  <si>
    <t>Slaughtering</t>
  </si>
  <si>
    <t>Abate</t>
  </si>
  <si>
    <t>Ac_30_40_87</t>
  </si>
  <si>
    <t>Tanning</t>
  </si>
  <si>
    <t>Ac_30_40_88</t>
  </si>
  <si>
    <t>Threshing</t>
  </si>
  <si>
    <t>Debulha</t>
  </si>
  <si>
    <t>Ac_30_40_89</t>
  </si>
  <si>
    <t>Timber sawing</t>
  </si>
  <si>
    <t>Serragem de madeira</t>
  </si>
  <si>
    <t>Ac_30_40_90</t>
  </si>
  <si>
    <t>Tobacco drying</t>
  </si>
  <si>
    <t>Secagem de tabaco</t>
  </si>
  <si>
    <t>Ac_30_40_96</t>
  </si>
  <si>
    <t>Wine making</t>
  </si>
  <si>
    <t>Vinificação</t>
  </si>
  <si>
    <t>Ac_30_40_98</t>
  </si>
  <si>
    <t>Wool sorting</t>
  </si>
  <si>
    <t>Classificação de lã</t>
  </si>
  <si>
    <t>Ac_30_50</t>
  </si>
  <si>
    <t>Manufacturing activities</t>
  </si>
  <si>
    <t>Atividades de fabricação</t>
  </si>
  <si>
    <t>Ac_30_50_27</t>
  </si>
  <si>
    <t>Electronics clean activities</t>
  </si>
  <si>
    <t>Eletrônica atividades limpas</t>
  </si>
  <si>
    <t>Ac_30_50_30</t>
  </si>
  <si>
    <t>Heavy industrial activities</t>
  </si>
  <si>
    <t>Atividades industriais pesadas</t>
  </si>
  <si>
    <t>Ac_30_50_53</t>
  </si>
  <si>
    <t>Light industrial activities</t>
  </si>
  <si>
    <t>Atividades industriais ligeiras</t>
  </si>
  <si>
    <t>Ac_30_50_60</t>
  </si>
  <si>
    <t>Packaging</t>
  </si>
  <si>
    <t>Embalagem</t>
  </si>
  <si>
    <t>Ac_30_50_61</t>
  </si>
  <si>
    <t>Paint spraying</t>
  </si>
  <si>
    <t>Pintura por pulverização</t>
  </si>
  <si>
    <t>Ac_30_50_64</t>
  </si>
  <si>
    <t>Printing</t>
  </si>
  <si>
    <t>Impressão</t>
  </si>
  <si>
    <t>Ac_30_60</t>
  </si>
  <si>
    <t>Cleaning and maintenance activities</t>
  </si>
  <si>
    <t>Atividades de limpeza e manutenção</t>
  </si>
  <si>
    <t>Ac_30_60_12</t>
  </si>
  <si>
    <t>Cleaning</t>
  </si>
  <si>
    <t>Limpeza</t>
  </si>
  <si>
    <t>Ac_30_60_13</t>
  </si>
  <si>
    <t>Clothes drying and airing</t>
  </si>
  <si>
    <t>Secagem e arejamento de vestuário</t>
  </si>
  <si>
    <t>Ac_30_60_15</t>
  </si>
  <si>
    <t>Commercial laundering</t>
  </si>
  <si>
    <t>Lavagem comercial</t>
  </si>
  <si>
    <t>Ac_30_60_22</t>
  </si>
  <si>
    <t>Decontaminating</t>
  </si>
  <si>
    <t>Ac_30_60_23</t>
  </si>
  <si>
    <t>Domestic laundering</t>
  </si>
  <si>
    <t>Lavagem de roupa doméstica</t>
  </si>
  <si>
    <t>Ac_30_60_24</t>
  </si>
  <si>
    <t>Dry cleaning</t>
  </si>
  <si>
    <t>Limpeza a seco</t>
  </si>
  <si>
    <t>Ac_30_60_42</t>
  </si>
  <si>
    <t>Ironing</t>
  </si>
  <si>
    <t>Engomar</t>
  </si>
  <si>
    <t>Ac_30_60_47</t>
  </si>
  <si>
    <t>Laundering</t>
  </si>
  <si>
    <t>Lavagem de roupa</t>
  </si>
  <si>
    <t>Ac_30_60_75</t>
  </si>
  <si>
    <t>Service laundering</t>
  </si>
  <si>
    <t>Lavagem de roupa industrial</t>
  </si>
  <si>
    <t>Ac_30_60_94</t>
  </si>
  <si>
    <t>Vehicle washing</t>
  </si>
  <si>
    <t>Lavagem de veículos</t>
  </si>
  <si>
    <t>Ac_30_60_96</t>
  </si>
  <si>
    <t>Washing up</t>
  </si>
  <si>
    <t>Enxaguamento</t>
  </si>
  <si>
    <t>Ac_30_80</t>
  </si>
  <si>
    <t>Kinetic power generation</t>
  </si>
  <si>
    <t>Geração de energia mecânica</t>
  </si>
  <si>
    <t>ficará melhor cinética? não costumamos usar</t>
  </si>
  <si>
    <t>Ac_30_85</t>
  </si>
  <si>
    <t>Marine and water storage and maintenance activities</t>
  </si>
  <si>
    <t>Atividades de armazenamento e manutenção marítimas e aquáticas</t>
  </si>
  <si>
    <t>Ac_30_85_08</t>
  </si>
  <si>
    <t>Boat repairing</t>
  </si>
  <si>
    <t>Reparação de embarcações</t>
  </si>
  <si>
    <t>Ac_30_85_24</t>
  </si>
  <si>
    <t>Dry dock ship repairing</t>
  </si>
  <si>
    <t>Reparação de embarcações em doca seca</t>
  </si>
  <si>
    <t>Ac_30_85_30</t>
  </si>
  <si>
    <t>Floating dock ship repairing</t>
  </si>
  <si>
    <t>Reparação de embarcações em doca flutuante</t>
  </si>
  <si>
    <t>Ac_30_85_97</t>
  </si>
  <si>
    <t>Wet dock ship repairing</t>
  </si>
  <si>
    <t>Reparação de embarcações em doca molhada</t>
  </si>
  <si>
    <t>ou apenas doca</t>
  </si>
  <si>
    <t>Ac_30_90</t>
  </si>
  <si>
    <t>Warehousing and distribution activities</t>
  </si>
  <si>
    <t>Atividades de armazenagem e distribuição</t>
  </si>
  <si>
    <t>Ac_30_90_33</t>
  </si>
  <si>
    <t>Goods delivery</t>
  </si>
  <si>
    <t>Entrega de mercadorias</t>
  </si>
  <si>
    <t>Ac_30_90_48</t>
  </si>
  <si>
    <t>Loading and unloading</t>
  </si>
  <si>
    <t>Cargas e descargas</t>
  </si>
  <si>
    <t>Ac_30_90_80</t>
  </si>
  <si>
    <t>Sorting and distributing</t>
  </si>
  <si>
    <t>Triagem e distribuição</t>
  </si>
  <si>
    <t>Ac_30_90_96</t>
  </si>
  <si>
    <t>Warehousing</t>
  </si>
  <si>
    <t>Armazenagem</t>
  </si>
  <si>
    <t>Ac_32</t>
  </si>
  <si>
    <t>Water and land management activities</t>
  </si>
  <si>
    <t>Atividades de gestão do território</t>
  </si>
  <si>
    <t>omite-se água?</t>
  </si>
  <si>
    <t>Ac_32_10</t>
  </si>
  <si>
    <t>Agricultural and horticultural activities</t>
  </si>
  <si>
    <t>Actividades agrícolas e hortícolas</t>
  </si>
  <si>
    <t>Ac_32_10_02</t>
  </si>
  <si>
    <t>Agricultural maintenance</t>
  </si>
  <si>
    <t>Manutenção agrícola</t>
  </si>
  <si>
    <t>Ac_32_10_26</t>
  </si>
  <si>
    <t>Farm yard activities</t>
  </si>
  <si>
    <t>Atividades farm quintal</t>
  </si>
  <si>
    <t>Ac_32_10_27</t>
  </si>
  <si>
    <t>Fertilizing</t>
  </si>
  <si>
    <t>Adubação</t>
  </si>
  <si>
    <t>Ac_32_10_29</t>
  </si>
  <si>
    <t>Fish cultivating</t>
  </si>
  <si>
    <t>Piscicultura</t>
  </si>
  <si>
    <t>Ac_32_10_34</t>
  </si>
  <si>
    <t>Glasshouse growing</t>
  </si>
  <si>
    <t>Glasshouse crescimento</t>
  </si>
  <si>
    <t>Ac_32_10_35</t>
  </si>
  <si>
    <t>Harvesting</t>
  </si>
  <si>
    <t>Colheita</t>
  </si>
  <si>
    <t>Ac_32_10_36</t>
  </si>
  <si>
    <t>Hedge laying</t>
  </si>
  <si>
    <t>Colocação de sebes</t>
  </si>
  <si>
    <t>Ac_32_10_38</t>
  </si>
  <si>
    <t>Horticultural activities</t>
  </si>
  <si>
    <t>Atividades hortícolas</t>
  </si>
  <si>
    <t>Ac_32_10_42</t>
  </si>
  <si>
    <t>Irrigating</t>
  </si>
  <si>
    <t>Irrigação</t>
  </si>
  <si>
    <t>Ac_32_10_47</t>
  </si>
  <si>
    <t>Livestock activities</t>
  </si>
  <si>
    <t>Actividades pecuárias</t>
  </si>
  <si>
    <t>Ac_32_10_52</t>
  </si>
  <si>
    <t>Milking</t>
  </si>
  <si>
    <t>Ordenha</t>
  </si>
  <si>
    <t>Ac_32_10_55</t>
  </si>
  <si>
    <t>Mushroom cultivating</t>
  </si>
  <si>
    <t>Cultivo de cogumelos</t>
  </si>
  <si>
    <t>Ac_32_10_61</t>
  </si>
  <si>
    <t>Pest management</t>
  </si>
  <si>
    <t>Gestão de pragas</t>
  </si>
  <si>
    <t>Ac_32_10_64</t>
  </si>
  <si>
    <t>Ploughing</t>
  </si>
  <si>
    <t>Arar</t>
  </si>
  <si>
    <t>Ac_32_10_66</t>
  </si>
  <si>
    <t>Poultry rearing</t>
  </si>
  <si>
    <t>Avícolas</t>
  </si>
  <si>
    <t>Ac_32_10_68</t>
  </si>
  <si>
    <t>Propagating</t>
  </si>
  <si>
    <t>Propagação</t>
  </si>
  <si>
    <t>Ac_32_10_70</t>
  </si>
  <si>
    <t>Pruning</t>
  </si>
  <si>
    <t>Poda</t>
  </si>
  <si>
    <t>Ac_32_10_77</t>
  </si>
  <si>
    <t>Sheep shearing</t>
  </si>
  <si>
    <t>Tosquia de ovelhas</t>
  </si>
  <si>
    <t>Ac_32_10_78</t>
  </si>
  <si>
    <t>Sheep dipping</t>
  </si>
  <si>
    <t>Dipping sheep</t>
  </si>
  <si>
    <t>Ac_32_10_79</t>
  </si>
  <si>
    <t>Silviculture</t>
  </si>
  <si>
    <t>Silvicultura</t>
  </si>
  <si>
    <t>Ac_32_10_80</t>
  </si>
  <si>
    <t>Sowing</t>
  </si>
  <si>
    <t>Semeadura</t>
  </si>
  <si>
    <t>Ac_32_10_94</t>
  </si>
  <si>
    <t>Viticulture</t>
  </si>
  <si>
    <t>Viticultura</t>
  </si>
  <si>
    <t>Ac_32_10_96</t>
  </si>
  <si>
    <t>Weed management</t>
  </si>
  <si>
    <t>Gestão de plantas daninhas</t>
  </si>
  <si>
    <t>Ac_32_50</t>
  </si>
  <si>
    <t>Marine and water activities</t>
  </si>
  <si>
    <t>Actividades marinhos e de água</t>
  </si>
  <si>
    <t>Ac_32_50_30</t>
  </si>
  <si>
    <t>Flood defending</t>
  </si>
  <si>
    <t>Flood defender</t>
  </si>
  <si>
    <t>Ac_32_50_38</t>
  </si>
  <si>
    <t>Harbour protecting</t>
  </si>
  <si>
    <t>Proteger harbour</t>
  </si>
  <si>
    <t>Ac_32_50_94</t>
  </si>
  <si>
    <t>Vessel berthing</t>
  </si>
  <si>
    <t>Atracação navio</t>
  </si>
  <si>
    <t>Ac_32_50_95</t>
  </si>
  <si>
    <t>Vessel launching</t>
  </si>
  <si>
    <t>Lançamento navio</t>
  </si>
  <si>
    <t>Ac_32_60</t>
  </si>
  <si>
    <t>Natural spaces activities</t>
  </si>
  <si>
    <t>Atividades espaços naturais</t>
  </si>
  <si>
    <t>Ac_32_60_27</t>
  </si>
  <si>
    <t>Erosion</t>
  </si>
  <si>
    <t>Erosão</t>
  </si>
  <si>
    <t>Ac_32_60_30</t>
  </si>
  <si>
    <t>Flooding</t>
  </si>
  <si>
    <t>Inundação</t>
  </si>
  <si>
    <t>Ac_35</t>
  </si>
  <si>
    <t>Medical, health, welfare and sanitary activities</t>
  </si>
  <si>
    <t>Médico, saúde, bem-estar e actividades sanitárias</t>
  </si>
  <si>
    <t>Ac_35_10</t>
  </si>
  <si>
    <t>Medical activities</t>
  </si>
  <si>
    <t>Atividades médicas</t>
  </si>
  <si>
    <t>Ac_35_10_08</t>
  </si>
  <si>
    <t>Birthing</t>
  </si>
  <si>
    <t>Nascimento</t>
  </si>
  <si>
    <t>Ac_35_10_10</t>
  </si>
  <si>
    <t>Burns treating</t>
  </si>
  <si>
    <t>Tratamento de queimaduras</t>
  </si>
  <si>
    <t>Ac_35_10_15</t>
  </si>
  <si>
    <t>Consulting</t>
  </si>
  <si>
    <t>Consultando</t>
  </si>
  <si>
    <t>Ac_35_10_31</t>
  </si>
  <si>
    <t>First aiding</t>
  </si>
  <si>
    <t>Primeiros-socorros</t>
  </si>
  <si>
    <t>Ac_35_10_36</t>
  </si>
  <si>
    <t>Hearing testing</t>
  </si>
  <si>
    <t>Testes de audição</t>
  </si>
  <si>
    <t>Ac_35_10_39</t>
  </si>
  <si>
    <t>Hydrotherapy</t>
  </si>
  <si>
    <t>Hidroterapia</t>
  </si>
  <si>
    <t>Ac_35_10_42</t>
  </si>
  <si>
    <t>Intensive caring</t>
  </si>
  <si>
    <t>Cuidados intensivos</t>
  </si>
  <si>
    <t>Ac_35_10_43</t>
  </si>
  <si>
    <t>Isolation caring</t>
  </si>
  <si>
    <t>Ac_35_10_51</t>
  </si>
  <si>
    <t>Medical scanning</t>
  </si>
  <si>
    <t>Digitalização médica</t>
  </si>
  <si>
    <t>Ac_35_10_53</t>
  </si>
  <si>
    <t>Midwifery</t>
  </si>
  <si>
    <t>Obstetrícia</t>
  </si>
  <si>
    <t>Ac_35_10_57</t>
  </si>
  <si>
    <t>Nursing</t>
  </si>
  <si>
    <t>Enfermagem</t>
  </si>
  <si>
    <t>Ac_35_10_58</t>
  </si>
  <si>
    <t>Occupational therapy</t>
  </si>
  <si>
    <t>Terapia ocupacional</t>
  </si>
  <si>
    <t>Ac_35_10_61</t>
  </si>
  <si>
    <t>Patient examining</t>
  </si>
  <si>
    <t>Exame de pacientes</t>
  </si>
  <si>
    <t>Ac_35_10_62</t>
  </si>
  <si>
    <t>Patient screening</t>
  </si>
  <si>
    <t>Triagem de pacientes</t>
  </si>
  <si>
    <t>Ac_35_10_64</t>
  </si>
  <si>
    <t>Pharmaceutical dispensing</t>
  </si>
  <si>
    <t>Dispensa farmacêutica</t>
  </si>
  <si>
    <t>Ac_35_10_65</t>
  </si>
  <si>
    <t>Phototherapy</t>
  </si>
  <si>
    <t>Fototerapia</t>
  </si>
  <si>
    <t>Ac_35_10_66</t>
  </si>
  <si>
    <t>Physiotherapy</t>
  </si>
  <si>
    <t>Fisioterapia</t>
  </si>
  <si>
    <t>Ac_35_10_70</t>
  </si>
  <si>
    <t>Radiography</t>
  </si>
  <si>
    <t>Radiografia</t>
  </si>
  <si>
    <t>Ac_35_10_71</t>
  </si>
  <si>
    <t>Radiotherapy</t>
  </si>
  <si>
    <t>Radioterapia</t>
  </si>
  <si>
    <t>Ac_35_10_74</t>
  </si>
  <si>
    <t>Rehabilitating</t>
  </si>
  <si>
    <t>Reabilitação</t>
  </si>
  <si>
    <t>Ac_35_10_85</t>
  </si>
  <si>
    <t>Surgical operating</t>
  </si>
  <si>
    <t>Cirurgia</t>
  </si>
  <si>
    <t>Ac_35_50</t>
  </si>
  <si>
    <t>Welfare activities</t>
  </si>
  <si>
    <t>Atividades de bem-estar</t>
  </si>
  <si>
    <t>Ac_35_50_21</t>
  </si>
  <si>
    <t>Day care</t>
  </si>
  <si>
    <t>Creche</t>
  </si>
  <si>
    <t>Ac_35_50_42</t>
  </si>
  <si>
    <t>Infant caring</t>
  </si>
  <si>
    <t>Cuidados infantis</t>
  </si>
  <si>
    <t>Ac_35_60</t>
  </si>
  <si>
    <t>Food management activities</t>
  </si>
  <si>
    <t>Atividades de gestão de alimentos</t>
  </si>
  <si>
    <t>Ac_35_60_16</t>
  </si>
  <si>
    <t>Cooking</t>
  </si>
  <si>
    <t>Atividades de cozinha</t>
  </si>
  <si>
    <t>Ac_35_60_30</t>
  </si>
  <si>
    <t>Food preparation</t>
  </si>
  <si>
    <t>Preparação de alimentos</t>
  </si>
  <si>
    <t>Ac_35_60_31</t>
  </si>
  <si>
    <t>Food serving</t>
  </si>
  <si>
    <t>Servir comida</t>
  </si>
  <si>
    <t>Ac_35_70</t>
  </si>
  <si>
    <t>Funerary activities</t>
  </si>
  <si>
    <t>Atividades funerárias</t>
  </si>
  <si>
    <t>Ac_35_70_04</t>
  </si>
  <si>
    <t>Ash urn storing</t>
  </si>
  <si>
    <t>Armazenamento de urnas de cinzas</t>
  </si>
  <si>
    <t>Ac_35_70_10</t>
  </si>
  <si>
    <t>Burial</t>
  </si>
  <si>
    <t>Enterro</t>
  </si>
  <si>
    <t>Ac_35_70_18</t>
  </si>
  <si>
    <t>Cremating</t>
  </si>
  <si>
    <t>Cremação</t>
  </si>
  <si>
    <t>Ac_35_70_42</t>
  </si>
  <si>
    <t>Interment in a vault or tomb</t>
  </si>
  <si>
    <t>Enterro em um cofre ou túmulo</t>
  </si>
  <si>
    <t>Ac_35_80</t>
  </si>
  <si>
    <t>Sanitary activities</t>
  </si>
  <si>
    <t>Atividades sanitárias</t>
  </si>
  <si>
    <t>Ac_35_80_06</t>
  </si>
  <si>
    <t>Baby changing</t>
  </si>
  <si>
    <t>Ac_35_80_07</t>
  </si>
  <si>
    <t>Bathing</t>
  </si>
  <si>
    <t>Banho</t>
  </si>
  <si>
    <t>Ac_35_80_80</t>
  </si>
  <si>
    <t>Showering</t>
  </si>
  <si>
    <t>Regando</t>
  </si>
  <si>
    <t>Ac_35_85</t>
  </si>
  <si>
    <t>Animal activities</t>
  </si>
  <si>
    <t>Atividades animais</t>
  </si>
  <si>
    <t>Ac_35_85_02</t>
  </si>
  <si>
    <t>Animal care</t>
  </si>
  <si>
    <t>Cuidados com os animais</t>
  </si>
  <si>
    <t>Ac_35_85_04</t>
  </si>
  <si>
    <t>Animal exercising</t>
  </si>
  <si>
    <t>Animal exercício</t>
  </si>
  <si>
    <t>Ac_35_85_88</t>
  </si>
  <si>
    <t>Tack maintaining</t>
  </si>
  <si>
    <t>Manutenção de arreios</t>
  </si>
  <si>
    <t>Ac_35_90</t>
  </si>
  <si>
    <t>Animal medical, health, welfare, funerary and sanitary activities</t>
  </si>
  <si>
    <t>Animal médico, saúde, bem-estar, funerário e atividades sanitárias</t>
  </si>
  <si>
    <t>Ac_35_90_25</t>
  </si>
  <si>
    <t>Animal drug dispensing</t>
  </si>
  <si>
    <t>Distribuição de drogas animais</t>
  </si>
  <si>
    <t>Ac_35_90_32</t>
  </si>
  <si>
    <t>Animal funerary activities</t>
  </si>
  <si>
    <t>Atividades funerárias animal</t>
  </si>
  <si>
    <t>Ac_35_90_34</t>
  </si>
  <si>
    <t>Animal grooming</t>
  </si>
  <si>
    <t>Preparação animal</t>
  </si>
  <si>
    <t>Ac_35_90_39</t>
  </si>
  <si>
    <t>Animal hydrotherapy</t>
  </si>
  <si>
    <t>Hidroterapia animal</t>
  </si>
  <si>
    <t>Ac_35_90_59</t>
  </si>
  <si>
    <t>Veterinary caring</t>
  </si>
  <si>
    <t>Cuidar veterinária</t>
  </si>
  <si>
    <t>Ac_40</t>
  </si>
  <si>
    <t>Recreational activities</t>
  </si>
  <si>
    <t>Atividades recreativas</t>
  </si>
  <si>
    <t>Ac_40_05</t>
  </si>
  <si>
    <t>Amusement activities</t>
  </si>
  <si>
    <t>Actividades de diversão</t>
  </si>
  <si>
    <t>Ac_40_05_03</t>
  </si>
  <si>
    <t>Amusement arcade activities</t>
  </si>
  <si>
    <t>Atividades de diversões arcada</t>
  </si>
  <si>
    <t>Ac_40_05_33</t>
  </si>
  <si>
    <t>Gambling</t>
  </si>
  <si>
    <t>Jogos de azar</t>
  </si>
  <si>
    <t>Ac_40_05_42</t>
  </si>
  <si>
    <t>Indoor fairground riding</t>
  </si>
  <si>
    <t>Passeios recinto interior</t>
  </si>
  <si>
    <t>Ac_40_05_58</t>
  </si>
  <si>
    <t>Observing</t>
  </si>
  <si>
    <t>Observando</t>
  </si>
  <si>
    <t>Ac_40_05_59</t>
  </si>
  <si>
    <t>Outdoor activities</t>
  </si>
  <si>
    <t>Atividades ao ar livre</t>
  </si>
  <si>
    <t>Ac_40_05_60</t>
  </si>
  <si>
    <t>Outdoor fairground riding</t>
  </si>
  <si>
    <t>Ac_40_05_63</t>
  </si>
  <si>
    <t>Playing</t>
  </si>
  <si>
    <t>Jogos</t>
  </si>
  <si>
    <t>Ac_40_05_89</t>
  </si>
  <si>
    <t>Theme park activities</t>
  </si>
  <si>
    <t>Atividades do parque temático</t>
  </si>
  <si>
    <t>Ac_40_20</t>
  </si>
  <si>
    <t>Dining activities</t>
  </si>
  <si>
    <t>Atividades de refeições</t>
  </si>
  <si>
    <t>Ac_40_20_09</t>
  </si>
  <si>
    <t>Beverage dispensing</t>
  </si>
  <si>
    <t>Distribuição de bebidas</t>
  </si>
  <si>
    <t>Ac_40_20_27</t>
  </si>
  <si>
    <t>Enclosed dining</t>
  </si>
  <si>
    <t>Jantar fechado</t>
  </si>
  <si>
    <t>Ac_40_20_28</t>
  </si>
  <si>
    <t>Food dispensing</t>
  </si>
  <si>
    <t>Distribuição de alimentos</t>
  </si>
  <si>
    <t>Ac_40_20_59</t>
  </si>
  <si>
    <t>Outdoor dining</t>
  </si>
  <si>
    <t>Refeições ao ar livre</t>
  </si>
  <si>
    <t>Ac_40_35</t>
  </si>
  <si>
    <t>Historic recreational activities</t>
  </si>
  <si>
    <t>Atividades recreativas históricos</t>
  </si>
  <si>
    <t>Ac_40_35_37</t>
  </si>
  <si>
    <t>Historic earthworks exploring</t>
  </si>
  <si>
    <t>Terraplenagem históricos explorando</t>
  </si>
  <si>
    <t>Ac_40_35_38</t>
  </si>
  <si>
    <t>Historic ruins exploring</t>
  </si>
  <si>
    <t>Ruínas históricas explorando</t>
  </si>
  <si>
    <t>Ac_40_35_39</t>
  </si>
  <si>
    <t>Historic sites exploring</t>
  </si>
  <si>
    <t>Locais históricos explorando</t>
  </si>
  <si>
    <t>Ac_40_60</t>
  </si>
  <si>
    <t>Performing arts performance activities</t>
  </si>
  <si>
    <t>Realizar atividades de desempenho de artes</t>
  </si>
  <si>
    <t>Ac_40_60_13</t>
  </si>
  <si>
    <t>Circus performing</t>
  </si>
  <si>
    <t>Desempenho circus</t>
  </si>
  <si>
    <t>Ac_40_60_21</t>
  </si>
  <si>
    <t>Dancing</t>
  </si>
  <si>
    <t>Dançando</t>
  </si>
  <si>
    <t>Ac_40_60_29</t>
  </si>
  <si>
    <t>Fashion showing</t>
  </si>
  <si>
    <t>De forma que mostra</t>
  </si>
  <si>
    <t>Ac_40_60_30</t>
  </si>
  <si>
    <t>Filming</t>
  </si>
  <si>
    <t>Filmando</t>
  </si>
  <si>
    <t>Ac_40_60_31</t>
  </si>
  <si>
    <t>Film screening</t>
  </si>
  <si>
    <t>Apresentação de filme</t>
  </si>
  <si>
    <t>Ac_40_60_38</t>
  </si>
  <si>
    <t>Indoor music performing</t>
  </si>
  <si>
    <t>Executar a música indoor</t>
  </si>
  <si>
    <t>Ac_40_60_40</t>
  </si>
  <si>
    <t>Indoor theatre activities</t>
  </si>
  <si>
    <t>Atividades de teatro interior</t>
  </si>
  <si>
    <t>Ac_40_60_55</t>
  </si>
  <si>
    <t>Music recording</t>
  </si>
  <si>
    <t>Gravação de música</t>
  </si>
  <si>
    <t>Ac_40_60_58</t>
  </si>
  <si>
    <t>Outdoor music performing</t>
  </si>
  <si>
    <t>Executar a música ao ar livre</t>
  </si>
  <si>
    <t>Ac_40_60_59</t>
  </si>
  <si>
    <t>Outdoor theatre activities</t>
  </si>
  <si>
    <t>Atividades de teatro ao ar livre</t>
  </si>
  <si>
    <t>Ac_40_65</t>
  </si>
  <si>
    <t>Performing arts ancillary activities</t>
  </si>
  <si>
    <t>Artes actividades auxiliares</t>
  </si>
  <si>
    <t>Ac_40_65_02</t>
  </si>
  <si>
    <t>Amphitheatre seating</t>
  </si>
  <si>
    <t>Estar amphitheater</t>
  </si>
  <si>
    <t>Ac_40_65_03</t>
  </si>
  <si>
    <t>Artiste changing and make-up activities</t>
  </si>
  <si>
    <t>Mudança artiste e atividades fazem-up</t>
  </si>
  <si>
    <t>Ac_40_65_04</t>
  </si>
  <si>
    <t>Audience breaking out</t>
  </si>
  <si>
    <t>Audiência sair</t>
  </si>
  <si>
    <t>Ac_40_65_05</t>
  </si>
  <si>
    <t>Audience seating</t>
  </si>
  <si>
    <t>Audiência assentos</t>
  </si>
  <si>
    <t>Ac_40_65_06</t>
  </si>
  <si>
    <t>Backstage activities</t>
  </si>
  <si>
    <t>Atividades de bastidores</t>
  </si>
  <si>
    <t>Ac_40_65_55</t>
  </si>
  <si>
    <t>Music recording controlling</t>
  </si>
  <si>
    <t>Controle de gravação de música</t>
  </si>
  <si>
    <t>Ac_40_65_59</t>
  </si>
  <si>
    <t>Overhead scenery storing</t>
  </si>
  <si>
    <t>Armazenamento cenário overhead</t>
  </si>
  <si>
    <t>Ac_40_65_76</t>
  </si>
  <si>
    <t>Scenery controlling</t>
  </si>
  <si>
    <t>Controladora cenário</t>
  </si>
  <si>
    <t>Ac_40_65_79</t>
  </si>
  <si>
    <t>Sound controlling</t>
  </si>
  <si>
    <t>Controle de som</t>
  </si>
  <si>
    <t>Ac_40_65_80</t>
  </si>
  <si>
    <t>Sound excluding</t>
  </si>
  <si>
    <t>Som excluindo</t>
  </si>
  <si>
    <t>Ac_40_65_88</t>
  </si>
  <si>
    <t>Theatrical lighting controlling</t>
  </si>
  <si>
    <t>Controle de iluminação teatral</t>
  </si>
  <si>
    <t>Ac_40_65_89</t>
  </si>
  <si>
    <t>Theatrical rehearsing</t>
  </si>
  <si>
    <t>Ensaiando teatral</t>
  </si>
  <si>
    <t>Ac_42</t>
  </si>
  <si>
    <t>Sports activities</t>
  </si>
  <si>
    <t>Atividades esportivas</t>
  </si>
  <si>
    <t>Ac_42_15</t>
  </si>
  <si>
    <t>Court, pitch and field sport activities</t>
  </si>
  <si>
    <t>Actividades desportivas tribunal, pitch e de campo</t>
  </si>
  <si>
    <t>Ac_42_15_30</t>
  </si>
  <si>
    <t>Field athletics</t>
  </si>
  <si>
    <t>Atletismo</t>
  </si>
  <si>
    <t>Ac_42_15_42</t>
  </si>
  <si>
    <t>Indoor court sports</t>
  </si>
  <si>
    <t>Esportes de quadra coberta</t>
  </si>
  <si>
    <t>Ac_42_15_58</t>
  </si>
  <si>
    <t>Outdoor court sports</t>
  </si>
  <si>
    <t>Esportes de quadra ao ar livre</t>
  </si>
  <si>
    <t>Ac_42_15_59</t>
  </si>
  <si>
    <t>Outdoor field sports</t>
  </si>
  <si>
    <t>Campo desportivo ao ar livre</t>
  </si>
  <si>
    <t>Ac_42_15_90</t>
  </si>
  <si>
    <t>Track athletics</t>
  </si>
  <si>
    <t>Pista de atletismo</t>
  </si>
  <si>
    <t>Ac_42_40</t>
  </si>
  <si>
    <t>Indoor sports activities</t>
  </si>
  <si>
    <t>Atividades esportivas internas</t>
  </si>
  <si>
    <t>Ac_42_40_09</t>
  </si>
  <si>
    <t>Bouldering</t>
  </si>
  <si>
    <t>Ac_42_40_14</t>
  </si>
  <si>
    <t>Climbing wall activities</t>
  </si>
  <si>
    <t>Escalada actividades de parede</t>
  </si>
  <si>
    <t>Ac_42_40_28</t>
  </si>
  <si>
    <t>Exercising</t>
  </si>
  <si>
    <t>Exercício</t>
  </si>
  <si>
    <t>Ac_42_40_37</t>
  </si>
  <si>
    <t>Gymnastics</t>
  </si>
  <si>
    <t>Ginástica</t>
  </si>
  <si>
    <t>Ac_42_40_79</t>
  </si>
  <si>
    <t>Snooker, billiards and pool</t>
  </si>
  <si>
    <t>Snooker, bilhar e piscina</t>
  </si>
  <si>
    <t>Ac_42_40_90</t>
  </si>
  <si>
    <t>Ten pin bowling</t>
  </si>
  <si>
    <t>Bowling</t>
  </si>
  <si>
    <t>Ac_42_40_92</t>
  </si>
  <si>
    <t>Track cycling</t>
  </si>
  <si>
    <t>Ciclismo de pista</t>
  </si>
  <si>
    <t>Ac_42_55</t>
  </si>
  <si>
    <t>Outdoor sports activities</t>
  </si>
  <si>
    <t>Actividades desportivas ao ar livre</t>
  </si>
  <si>
    <t>Ac_42_55_01</t>
  </si>
  <si>
    <t>Archery</t>
  </si>
  <si>
    <t>Tiro com arco</t>
  </si>
  <si>
    <t>Ac_42_55_07</t>
  </si>
  <si>
    <t>BMX cycling</t>
  </si>
  <si>
    <t>Ciclismo bmx</t>
  </si>
  <si>
    <t>Ac_42_55_08</t>
  </si>
  <si>
    <t>Boliche</t>
  </si>
  <si>
    <t>Ac_42_55_18</t>
  </si>
  <si>
    <t>Cross-country cycling</t>
  </si>
  <si>
    <t>Ciclismo cross-country</t>
  </si>
  <si>
    <t>Ac_42_55_19</t>
  </si>
  <si>
    <t>Cross-country rallying</t>
  </si>
  <si>
    <t>Rali cross-country</t>
  </si>
  <si>
    <t>Ac_42_55_20</t>
  </si>
  <si>
    <t>Cross-country running</t>
  </si>
  <si>
    <t>Cruzando o país correndo</t>
  </si>
  <si>
    <t>Ac_42_55_23</t>
  </si>
  <si>
    <t>Dog racing</t>
  </si>
  <si>
    <t>Corridas de cães</t>
  </si>
  <si>
    <t>Ac_42_55_26</t>
  </si>
  <si>
    <t>Equestrian dressage</t>
  </si>
  <si>
    <t>Dressage equestre</t>
  </si>
  <si>
    <t>Ac_42_55_27</t>
  </si>
  <si>
    <t>Equestrian cross country eventing</t>
  </si>
  <si>
    <t>Eventing cross country equestrian</t>
  </si>
  <si>
    <t>Ac_42_55_28</t>
  </si>
  <si>
    <t>Equestrian show jumping</t>
  </si>
  <si>
    <t>Ac_42_55_30</t>
  </si>
  <si>
    <t>Fishing</t>
  </si>
  <si>
    <t>Pescaria</t>
  </si>
  <si>
    <t>Ac_42_55_34</t>
  </si>
  <si>
    <t>Golfing</t>
  </si>
  <si>
    <t>Golfe</t>
  </si>
  <si>
    <t>Ac_42_55_39</t>
  </si>
  <si>
    <t>Horse racing</t>
  </si>
  <si>
    <t>Corrida de cavalo</t>
  </si>
  <si>
    <t>Ac_42_55_40</t>
  </si>
  <si>
    <t>Hunting</t>
  </si>
  <si>
    <t>Caçando</t>
  </si>
  <si>
    <t>Ac_42_55_53</t>
  </si>
  <si>
    <t>Motor racing</t>
  </si>
  <si>
    <t>Corrida de motos</t>
  </si>
  <si>
    <t>Ac_42_55_58</t>
  </si>
  <si>
    <t>Orienteering</t>
  </si>
  <si>
    <t>Orientação</t>
  </si>
  <si>
    <t>Ac_42_55_60</t>
  </si>
  <si>
    <t>Parkour</t>
  </si>
  <si>
    <t>Ac_42_55_70</t>
  </si>
  <si>
    <t>Recreational cycling</t>
  </si>
  <si>
    <t>Ciclismo recreativo</t>
  </si>
  <si>
    <t>Ac_42_55_71</t>
  </si>
  <si>
    <t>Recreational walking</t>
  </si>
  <si>
    <t>Passeio pedestre</t>
  </si>
  <si>
    <t>Ac_42_55_72</t>
  </si>
  <si>
    <t>Riding</t>
  </si>
  <si>
    <t>Equitação</t>
  </si>
  <si>
    <t>Ac_42_55_74</t>
  </si>
  <si>
    <t>Running</t>
  </si>
  <si>
    <t>Corrida</t>
  </si>
  <si>
    <t>Ac_42_55_76</t>
  </si>
  <si>
    <t>Skateboarding</t>
  </si>
  <si>
    <t>Skate</t>
  </si>
  <si>
    <t>Ac_42_55_82</t>
  </si>
  <si>
    <t>Speedway racing</t>
  </si>
  <si>
    <t>Corridas de speedway</t>
  </si>
  <si>
    <t>Ac_42_80</t>
  </si>
  <si>
    <t>Sports ancillary activities</t>
  </si>
  <si>
    <t>Esportes actividades auxiliares</t>
  </si>
  <si>
    <t>Ac_42_80_15</t>
  </si>
  <si>
    <t>Corporate and VIP spectating</t>
  </si>
  <si>
    <t>Spectating corporativa e vip</t>
  </si>
  <si>
    <t>Ac_42_80_50</t>
  </si>
  <si>
    <t>Manager and coach seating</t>
  </si>
  <si>
    <t>Estar gerente e treinador</t>
  </si>
  <si>
    <t>Ac_42_80_65</t>
  </si>
  <si>
    <t>Press spectating</t>
  </si>
  <si>
    <t>Imprensa spectating</t>
  </si>
  <si>
    <t>Ac_42_80_72</t>
  </si>
  <si>
    <t>Reserves seating</t>
  </si>
  <si>
    <t>Reservas de estar</t>
  </si>
  <si>
    <t>Ac_42_85</t>
  </si>
  <si>
    <t>Swimming activities</t>
  </si>
  <si>
    <t>Atividades de natação</t>
  </si>
  <si>
    <t>Ac_42_85_15</t>
  </si>
  <si>
    <t>Competition swimming</t>
  </si>
  <si>
    <t>Competição de natação</t>
  </si>
  <si>
    <t>Ac_42_85_22</t>
  </si>
  <si>
    <t>Diving</t>
  </si>
  <si>
    <t>Mergulho</t>
  </si>
  <si>
    <t>Ac_42_85_71</t>
  </si>
  <si>
    <t>Recreational swimming</t>
  </si>
  <si>
    <t>Natação recreativa</t>
  </si>
  <si>
    <t>Ac_42_85_80</t>
  </si>
  <si>
    <t>Spa activities</t>
  </si>
  <si>
    <t>Atividades de spa</t>
  </si>
  <si>
    <t>Ac_42_85_92</t>
  </si>
  <si>
    <t>Underwater observation</t>
  </si>
  <si>
    <t>Observação subaquática</t>
  </si>
  <si>
    <t>Ac_42_85_94</t>
  </si>
  <si>
    <t>Water flume, slide and tube riding</t>
  </si>
  <si>
    <t>Caleira de água, escorrega e passeios tubo</t>
  </si>
  <si>
    <t>Ac_42_85_95</t>
  </si>
  <si>
    <t>Water polo</t>
  </si>
  <si>
    <t>Pólo aquático</t>
  </si>
  <si>
    <t>Ac_42_85_97</t>
  </si>
  <si>
    <t>Wave riding</t>
  </si>
  <si>
    <t>Ac_42_85_98</t>
  </si>
  <si>
    <t>Whirlpool bath activities</t>
  </si>
  <si>
    <t>Atividades banheira de hidromassagem</t>
  </si>
  <si>
    <t>Ac_42_90</t>
  </si>
  <si>
    <t>Water activities</t>
  </si>
  <si>
    <t>Atividades aquáticas</t>
  </si>
  <si>
    <t>Ac_42_90_11</t>
  </si>
  <si>
    <t>Canoe slalom</t>
  </si>
  <si>
    <t>Canoa do slalom</t>
  </si>
  <si>
    <t>Ac_42_90_12</t>
  </si>
  <si>
    <t>Canoe sprint</t>
  </si>
  <si>
    <t>Canoa sprint</t>
  </si>
  <si>
    <t>Ac_42_90_50</t>
  </si>
  <si>
    <t>Motor boating</t>
  </si>
  <si>
    <t>Barco a motor</t>
  </si>
  <si>
    <t>Ac_42_90_73</t>
  </si>
  <si>
    <t>Rowing</t>
  </si>
  <si>
    <t>Remo</t>
  </si>
  <si>
    <t>Ac_42_90_75</t>
  </si>
  <si>
    <t>Sailing</t>
  </si>
  <si>
    <t>Navegação</t>
  </si>
  <si>
    <t>Ac_42_90_97</t>
  </si>
  <si>
    <t>Water skiing</t>
  </si>
  <si>
    <t>Esqui aquático</t>
  </si>
  <si>
    <t>Ac_42_90_98</t>
  </si>
  <si>
    <t>White water canoeing</t>
  </si>
  <si>
    <t>Canoagem em águas brancas</t>
  </si>
  <si>
    <t>Ac_42_95</t>
  </si>
  <si>
    <t>Winter sports activities</t>
  </si>
  <si>
    <t>Desportos de inverno</t>
  </si>
  <si>
    <t>Ac_42_95_02</t>
  </si>
  <si>
    <t>Alpine skiing</t>
  </si>
  <si>
    <t>Esqui alpino</t>
  </si>
  <si>
    <t>Ac_42_95_08</t>
  </si>
  <si>
    <t>Bobsleighing</t>
  </si>
  <si>
    <t>Ac_42_95_19</t>
  </si>
  <si>
    <t>Cross-country skiing</t>
  </si>
  <si>
    <t>Esqui cross-country</t>
  </si>
  <si>
    <t>Ac_42_95_20</t>
  </si>
  <si>
    <t>Curling</t>
  </si>
  <si>
    <t>Ondulação</t>
  </si>
  <si>
    <t>Ac_42_95_32</t>
  </si>
  <si>
    <t>Freestyle skiing</t>
  </si>
  <si>
    <t>Esquiando em estilo livre</t>
  </si>
  <si>
    <t>Ac_42_95_40</t>
  </si>
  <si>
    <t>Ice skating</t>
  </si>
  <si>
    <t>Patinagem no gelo</t>
  </si>
  <si>
    <t>Ac_42_95_41</t>
  </si>
  <si>
    <t>Ice hockey</t>
  </si>
  <si>
    <t>Hockey no gelo</t>
  </si>
  <si>
    <t>Ac_42_95_49</t>
  </si>
  <si>
    <t>Luge</t>
  </si>
  <si>
    <t>Ac_42_95_76</t>
  </si>
  <si>
    <t>Short track speed skating</t>
  </si>
  <si>
    <t>Patinação de velocidade em pista curta</t>
  </si>
  <si>
    <t>Ac_42_95_77</t>
  </si>
  <si>
    <t>Skeleton sledding</t>
  </si>
  <si>
    <t>Esqueleto trenó</t>
  </si>
  <si>
    <t>Ac_42_95_78</t>
  </si>
  <si>
    <t>Skiing</t>
  </si>
  <si>
    <t>Esquiar</t>
  </si>
  <si>
    <t>Ac_42_95_79</t>
  </si>
  <si>
    <t>Ski jumping</t>
  </si>
  <si>
    <t>Salto de esqui</t>
  </si>
  <si>
    <t>Ac_42_95_80</t>
  </si>
  <si>
    <t>Snowboarding</t>
  </si>
  <si>
    <t>Ac_42_95_83</t>
  </si>
  <si>
    <t>Speed skating</t>
  </si>
  <si>
    <t>Patinação de velocidade</t>
  </si>
  <si>
    <t>Ac_45</t>
  </si>
  <si>
    <t>Residential activities</t>
  </si>
  <si>
    <t>Atividades residenciais</t>
  </si>
  <si>
    <t>Ac_45_30</t>
  </si>
  <si>
    <t>External living activities</t>
  </si>
  <si>
    <t>Atividades de vida externos</t>
  </si>
  <si>
    <t>Ac_45_30_11</t>
  </si>
  <si>
    <t>Camping</t>
  </si>
  <si>
    <t>Acampamento</t>
  </si>
  <si>
    <t>Ac_45_30_12</t>
  </si>
  <si>
    <t>Caravanning</t>
  </si>
  <si>
    <t>Caravanismo</t>
  </si>
  <si>
    <t>Ac_45_30_33</t>
  </si>
  <si>
    <t>Gardening</t>
  </si>
  <si>
    <t>Jardinagem</t>
  </si>
  <si>
    <t>Ac_45_45</t>
  </si>
  <si>
    <t>Living activities</t>
  </si>
  <si>
    <t>Atividades de vida</t>
  </si>
  <si>
    <t>Ac_45_45_14</t>
  </si>
  <si>
    <t>Communal socializing</t>
  </si>
  <si>
    <t>Socialização comunitária</t>
  </si>
  <si>
    <t>Ac_45_45_22</t>
  </si>
  <si>
    <t>Dining</t>
  </si>
  <si>
    <t>Jantar</t>
  </si>
  <si>
    <t>Ac_45_45_79</t>
  </si>
  <si>
    <t>Sleeping</t>
  </si>
  <si>
    <t>Adormecido</t>
  </si>
  <si>
    <t>Ac_45_70</t>
  </si>
  <si>
    <t>Residential support activities</t>
  </si>
  <si>
    <t>Atividades de apoio residenciais</t>
  </si>
  <si>
    <t>Ac_45_70_16</t>
  </si>
  <si>
    <t>Concierge servicing</t>
  </si>
  <si>
    <t>Serviço concierge</t>
  </si>
  <si>
    <t>Ac_45_70_93</t>
  </si>
  <si>
    <t>Utility activities</t>
  </si>
  <si>
    <t>Atividades de utilidade pública</t>
  </si>
  <si>
    <t>Ac_50</t>
  </si>
  <si>
    <t>Waste disposal activities</t>
  </si>
  <si>
    <t>Atividades de eliminação de resíduos</t>
  </si>
  <si>
    <t>Ac_50_40</t>
  </si>
  <si>
    <t>Dry waste collecting</t>
  </si>
  <si>
    <t>Coleta de lixo seco</t>
  </si>
  <si>
    <t>Ac_50_40_72</t>
  </si>
  <si>
    <t>Refuse storing</t>
  </si>
  <si>
    <t>Recusar armazenar</t>
  </si>
  <si>
    <t>Ac_50_40_78</t>
  </si>
  <si>
    <t>Scrapping</t>
  </si>
  <si>
    <t>Ac_55</t>
  </si>
  <si>
    <t>Piped supply activities</t>
  </si>
  <si>
    <t>Atividades de abastecimento canalizado</t>
  </si>
  <si>
    <t>Ac_55_60</t>
  </si>
  <si>
    <t>Piped supply installations testing</t>
  </si>
  <si>
    <t>Canalizado testes de instalações de abastecimento</t>
  </si>
  <si>
    <t>Ac_55_60_30</t>
  </si>
  <si>
    <t>Fire suppression installation testing</t>
  </si>
  <si>
    <t>Testes de instalação de extinção de incêndio</t>
  </si>
  <si>
    <t>Ac_55_60_68</t>
  </si>
  <si>
    <t>Public health installation testing</t>
  </si>
  <si>
    <t>Teste da instalação de saúde pública</t>
  </si>
  <si>
    <t>Ac_55_60_96</t>
  </si>
  <si>
    <t>Water supply installation testing</t>
  </si>
  <si>
    <t>Teste da instalação de abastecimento de água</t>
  </si>
  <si>
    <t>Ac_55_65</t>
  </si>
  <si>
    <t>Piped supply systems commissioning</t>
  </si>
  <si>
    <t>Comissionamento de sistemas de abastecimento canalizado</t>
  </si>
  <si>
    <t>Ac_55_65_31</t>
  </si>
  <si>
    <t>Fire suppression systems commissioning</t>
  </si>
  <si>
    <t>Fogo comissionamento sistemas de supressão</t>
  </si>
  <si>
    <t>Ac_55_65_96</t>
  </si>
  <si>
    <t>Water supply systems commissioning</t>
  </si>
  <si>
    <t>Comissionamento de sistemas de abastecimento de água</t>
  </si>
  <si>
    <t>Ac_60</t>
  </si>
  <si>
    <t>Heating, cooling and refrigeration activities</t>
  </si>
  <si>
    <t>Aquecimento, arrefecimento e atividades de refrigeração</t>
  </si>
  <si>
    <t>Ac_60_60</t>
  </si>
  <si>
    <t>Heating and chilled water installations testing</t>
  </si>
  <si>
    <t>Testes de instalações de aquecimento e de água gelada</t>
  </si>
  <si>
    <t>Ac_60_60_13</t>
  </si>
  <si>
    <t>Chilled water installations testing</t>
  </si>
  <si>
    <t>Refrigeradas testes instalações de água</t>
  </si>
  <si>
    <t>Ac_60_60_36</t>
  </si>
  <si>
    <t>Heating installations testing</t>
  </si>
  <si>
    <t>Testes de instalações de aquecimento</t>
  </si>
  <si>
    <t>Ac_60_60_63</t>
  </si>
  <si>
    <t>Heating and cooling plant and equipment testing</t>
  </si>
  <si>
    <t>Testes de aquecimento e de arrefecimento e equipamento de planta</t>
  </si>
  <si>
    <t>Ac_60_60_65</t>
  </si>
  <si>
    <t>Pressure testing pipework</t>
  </si>
  <si>
    <t>Teste de pressão tubagem</t>
  </si>
  <si>
    <t>Ac_60_65</t>
  </si>
  <si>
    <t>Heating and cooling systems and plant commissioning</t>
  </si>
  <si>
    <t>Os sistemas de aquecimento e de arrefecimento e comissionamento planta</t>
  </si>
  <si>
    <t>Ac_60_65_06</t>
  </si>
  <si>
    <t>Boilers commissioning</t>
  </si>
  <si>
    <t>Caldeiras comissionamento</t>
  </si>
  <si>
    <t>Ac_60_65_13</t>
  </si>
  <si>
    <t>Chilled water systems commissioning</t>
  </si>
  <si>
    <t>Comissionamento sistemas de água refrigerada</t>
  </si>
  <si>
    <t>Ac_60_65_36</t>
  </si>
  <si>
    <t>Heating systems commissioning</t>
  </si>
  <si>
    <t>Comissionamento de sistemas de aquecimento</t>
  </si>
  <si>
    <t>Ac_60_65_70</t>
  </si>
  <si>
    <t>Refrigeration plant and equipment commissioning</t>
  </si>
  <si>
    <t>Instalações de refrigeração e equipamentos de comissionamento</t>
  </si>
  <si>
    <t>Ac_65</t>
  </si>
  <si>
    <t>Ventilation and air conditioning activities</t>
  </si>
  <si>
    <t>Actividades de ventilação e de ar condicionado</t>
  </si>
  <si>
    <t>Ac_65_60</t>
  </si>
  <si>
    <t>Ventilation and air conditioning installation testing</t>
  </si>
  <si>
    <t>Os testes de instalação de ventilação e ar condicionado</t>
  </si>
  <si>
    <t>Ac_65_60_01</t>
  </si>
  <si>
    <t>Air conditioning plant and equipment testing</t>
  </si>
  <si>
    <t>Ar condicionado planta e equipamento de testes</t>
  </si>
  <si>
    <t>Ac_65_60_02</t>
  </si>
  <si>
    <t>Air supply installations testing</t>
  </si>
  <si>
    <t>Testes de instalações de abastecimento de ar</t>
  </si>
  <si>
    <t>Ac_65_60_63</t>
  </si>
  <si>
    <t>Ventilation plant and equipment testing</t>
  </si>
  <si>
    <t>Planta ventilação e equipamento de testes</t>
  </si>
  <si>
    <t>Ac_65_65</t>
  </si>
  <si>
    <t>Ventilation and air conditioning systems commissioning</t>
  </si>
  <si>
    <t>Comissionamento sistemas de ventilação e ar condicionado</t>
  </si>
  <si>
    <t>Ac_65_65_02</t>
  </si>
  <si>
    <t>Air systems commissioning</t>
  </si>
  <si>
    <t>Comissionamento de sistemas de ar</t>
  </si>
  <si>
    <t>Ac_70</t>
  </si>
  <si>
    <t>Electrical activities</t>
  </si>
  <si>
    <t>Atividades elétricas</t>
  </si>
  <si>
    <t>Ac_70_60</t>
  </si>
  <si>
    <t>Electrical installations testing</t>
  </si>
  <si>
    <t>Teste de instalações eléctricas</t>
  </si>
  <si>
    <t>Ac_70_60_28</t>
  </si>
  <si>
    <t>Emergency lighting installations testing</t>
  </si>
  <si>
    <t>Testes de instalações de iluminação de emergência</t>
  </si>
  <si>
    <t>Ac_70_60_37</t>
  </si>
  <si>
    <t>High voltage electrical installations testing</t>
  </si>
  <si>
    <t>Alta tensão testes instalações eléctricas</t>
  </si>
  <si>
    <t>Ac_70_60_46</t>
  </si>
  <si>
    <t>Lighting installations testing</t>
  </si>
  <si>
    <t>Testes de instalações de iluminação</t>
  </si>
  <si>
    <t>Ac_70_60_47</t>
  </si>
  <si>
    <t>Lightning protection installations testing</t>
  </si>
  <si>
    <t>Testes de instalações de protecção contra raios</t>
  </si>
  <si>
    <t>Ac_70_60_49</t>
  </si>
  <si>
    <t>Low voltage electrical installation testing and inspecting</t>
  </si>
  <si>
    <t>Testes de instalação eléctrica de baixa tensão e inspeccionar</t>
  </si>
  <si>
    <t>70-70-40/120 Inspection and testing of minor electrical installation work;</t>
  </si>
  <si>
    <t>5.8.1 Electrical mains and sub-mains distribution;</t>
  </si>
  <si>
    <t>Ac_70_65</t>
  </si>
  <si>
    <t>Electrical systems commissioning</t>
  </si>
  <si>
    <t>Comissionamento sistemas elétricos</t>
  </si>
  <si>
    <t>Ac_70_65_46</t>
  </si>
  <si>
    <t>Lighting systems commissioning</t>
  </si>
  <si>
    <t>Comissionamento de sistemas de iluminação</t>
  </si>
  <si>
    <t>Ac_75</t>
  </si>
  <si>
    <t>Communications, security, safety and protection activities</t>
  </si>
  <si>
    <t>Comunicações, segurança, atividades de segurança e protecção</t>
  </si>
  <si>
    <t>Ac_75_60</t>
  </si>
  <si>
    <t>Communications, security, safety and protection installations testing</t>
  </si>
  <si>
    <t>Comunicações, segurança, teste de instalações de segurança e protecção</t>
  </si>
  <si>
    <t>Ac_75_60_01</t>
  </si>
  <si>
    <t>Access control systems testing</t>
  </si>
  <si>
    <t>Teste de sistemas de controle de acesso</t>
  </si>
  <si>
    <t>Ac_75_60_04</t>
  </si>
  <si>
    <t>Audio visual systems testing</t>
  </si>
  <si>
    <t>Áudio testes de sistemas visuais</t>
  </si>
  <si>
    <t>Ac_75_60_15</t>
  </si>
  <si>
    <t>Control systems testing</t>
  </si>
  <si>
    <t>Testes de sistemas de controle</t>
  </si>
  <si>
    <t>Ac_75_60_30</t>
  </si>
  <si>
    <t>Fire protection installation testing</t>
  </si>
  <si>
    <t>Testes de instalação de protecção contra incêndios</t>
  </si>
  <si>
    <t>Ac_75_60_42</t>
  </si>
  <si>
    <t>Intruder alarm systems testing</t>
  </si>
  <si>
    <t>Teste de sistemas de alarme de intrusão</t>
  </si>
  <si>
    <t>Ac_75_60_47</t>
  </si>
  <si>
    <t>Lifts testing</t>
  </si>
  <si>
    <t>Testes de elevadores</t>
  </si>
  <si>
    <t>Ac_75_60_80</t>
  </si>
  <si>
    <t>Security systems testing</t>
  </si>
  <si>
    <t>Testes de sistemas de segurança</t>
  </si>
  <si>
    <t>Ac_75_60_85</t>
  </si>
  <si>
    <t>Surveillance equipment installations testing</t>
  </si>
  <si>
    <t>Vigilância testes de instalações de equipamentos</t>
  </si>
  <si>
    <t>Ac_75_60_92</t>
  </si>
  <si>
    <t>Telecommunications systems testing</t>
  </si>
  <si>
    <t>Testes de sistemas de telecomunicações</t>
  </si>
  <si>
    <t>Ac_75_65</t>
  </si>
  <si>
    <t>Communications, security, safety and protection systems commissioning</t>
  </si>
  <si>
    <t>Comunicações, segurança, comissionamento de sistemas de segurança e protecção</t>
  </si>
  <si>
    <t>Ac_75_65_01</t>
  </si>
  <si>
    <t>Access control systems commissioning</t>
  </si>
  <si>
    <t>Comissionamento de sistemas de controle de acesso</t>
  </si>
  <si>
    <t>Ac_75_65_04</t>
  </si>
  <si>
    <t>Audio visual systems commissioning</t>
  </si>
  <si>
    <t>Sistemas visuais áudio comissionamento</t>
  </si>
  <si>
    <t>Ac_75_65_15</t>
  </si>
  <si>
    <t>Control systems commissioning</t>
  </si>
  <si>
    <t>Comissionamento sistemas de controle</t>
  </si>
  <si>
    <t>Ac_75_65_30</t>
  </si>
  <si>
    <t>Fire alarm systems commissioning</t>
  </si>
  <si>
    <t>Fogo comissionamento sistemas de alarme</t>
  </si>
  <si>
    <t>Ac_75_65_42</t>
  </si>
  <si>
    <t>Intruder alarm systems commissioning</t>
  </si>
  <si>
    <t>Comissionamento de sistemas de alarme de intrusão</t>
  </si>
  <si>
    <t>Ac_75_65_47</t>
  </si>
  <si>
    <t>Lifts commissioning</t>
  </si>
  <si>
    <t>Elevadores comissionamento</t>
  </si>
  <si>
    <t>Ac_75_65_80</t>
  </si>
  <si>
    <t>Security systems commissioning</t>
  </si>
  <si>
    <t>Comissionamento de sistemas de segurança</t>
  </si>
  <si>
    <t>Ac_75_65_85</t>
  </si>
  <si>
    <t>Surveillance systems commissioning</t>
  </si>
  <si>
    <t>Comissionamento de sistemas de vigilância</t>
  </si>
  <si>
    <t>Ac_75_65_92</t>
  </si>
  <si>
    <t>Telecommunications systems commissioning</t>
  </si>
  <si>
    <t>Comissionamento sistemas de telecomunicações</t>
  </si>
  <si>
    <t>Ac_80</t>
  </si>
  <si>
    <t>Transport activities</t>
  </si>
  <si>
    <t>Actividades de transporte</t>
  </si>
  <si>
    <t>Ac_80_00</t>
  </si>
  <si>
    <t>Accommodation works activities</t>
  </si>
  <si>
    <t>Alojamento actividades funciona</t>
  </si>
  <si>
    <t>Ac_80_05</t>
  </si>
  <si>
    <t>Aerospace ground activities</t>
  </si>
  <si>
    <t>Atividades terrestres aerospace</t>
  </si>
  <si>
    <t>Ac_80_05_02</t>
  </si>
  <si>
    <t>Aeroplane landing</t>
  </si>
  <si>
    <t>Aterragem de avião</t>
  </si>
  <si>
    <t>Ac_80_05_03</t>
  </si>
  <si>
    <t>Aeroplane take-off</t>
  </si>
  <si>
    <t>Avião de decolagem</t>
  </si>
  <si>
    <t>Ac_80_05_05</t>
  </si>
  <si>
    <t>Aircraft manoeuvring</t>
  </si>
  <si>
    <t>Manobras de aeronaves</t>
  </si>
  <si>
    <t>Ac_80_05_06</t>
  </si>
  <si>
    <t>Aircraft manoeuvring buffering</t>
  </si>
  <si>
    <t>Aircraft buffer manobras</t>
  </si>
  <si>
    <t>Ac_80_05_07</t>
  </si>
  <si>
    <t>Aircraft standing</t>
  </si>
  <si>
    <t>Aviões de pé</t>
  </si>
  <si>
    <t>Ac_80_05_09</t>
  </si>
  <si>
    <t>Airport controlling</t>
  </si>
  <si>
    <t>Controladora aeroporto</t>
  </si>
  <si>
    <t>Ac_80_05_33</t>
  </si>
  <si>
    <t>Glider landing</t>
  </si>
  <si>
    <t>Pouso glider</t>
  </si>
  <si>
    <t>Ac_80_05_34</t>
  </si>
  <si>
    <t>Glider take-off</t>
  </si>
  <si>
    <t>Ac_80_05_36</t>
  </si>
  <si>
    <t>Hang gliding landing</t>
  </si>
  <si>
    <t>Pendure pouso planando</t>
  </si>
  <si>
    <t>Ac_80_05_37</t>
  </si>
  <si>
    <t>Hang gliding take-off</t>
  </si>
  <si>
    <t>Asa delta take-off</t>
  </si>
  <si>
    <t>Ac_80_05_38</t>
  </si>
  <si>
    <t>Helicopter landing</t>
  </si>
  <si>
    <t>Aterragem do helicóptero</t>
  </si>
  <si>
    <t>Ac_80_05_39</t>
  </si>
  <si>
    <t>Helicopter take-off</t>
  </si>
  <si>
    <t>Helicóptero take-off</t>
  </si>
  <si>
    <t>Ac_80_05_82</t>
  </si>
  <si>
    <t>Spacecraft landing</t>
  </si>
  <si>
    <t>Pouso nave espacial</t>
  </si>
  <si>
    <t>Ac_80_05_84</t>
  </si>
  <si>
    <t>Spacecraft take-off</t>
  </si>
  <si>
    <t>Espaçonave take-off</t>
  </si>
  <si>
    <t>Ac_80_10</t>
  </si>
  <si>
    <t>Loading and embarkation activities</t>
  </si>
  <si>
    <t>Atividades de carga e embarque</t>
  </si>
  <si>
    <t>Ac_80_10_04</t>
  </si>
  <si>
    <t>Aircraft fuelling</t>
  </si>
  <si>
    <t>Abastecimento de aeronaves</t>
  </si>
  <si>
    <t>Ac_80_10_06</t>
  </si>
  <si>
    <t>Baggage claiming</t>
  </si>
  <si>
    <t>Bagagem reivindicando</t>
  </si>
  <si>
    <t>Ac_80_10_07</t>
  </si>
  <si>
    <t>Baggage handling</t>
  </si>
  <si>
    <t>Manuseio de bagagem</t>
  </si>
  <si>
    <t>Ac_80_10_08</t>
  </si>
  <si>
    <t>Baggage loading</t>
  </si>
  <si>
    <t>Carregamento de bagagens</t>
  </si>
  <si>
    <t>Ac_80_10_12</t>
  </si>
  <si>
    <t>Cargo handling</t>
  </si>
  <si>
    <t>Movimentação de carga</t>
  </si>
  <si>
    <t>Ac_80_10_13</t>
  </si>
  <si>
    <t>Cargo loading</t>
  </si>
  <si>
    <t>Carregamento da carga</t>
  </si>
  <si>
    <t>Ac_80_10_20</t>
  </si>
  <si>
    <t>Customs controlling</t>
  </si>
  <si>
    <t>Aduaneiras que controlam</t>
  </si>
  <si>
    <t>Ac_80_10_60</t>
  </si>
  <si>
    <t>Passenger arriving</t>
  </si>
  <si>
    <t>Passageiro que chega</t>
  </si>
  <si>
    <t>Ac_80_10_61</t>
  </si>
  <si>
    <t>Passenger departing</t>
  </si>
  <si>
    <t>Passageiro embarcado</t>
  </si>
  <si>
    <t>Ac_80_10_62</t>
  </si>
  <si>
    <t>Passenger disembarking</t>
  </si>
  <si>
    <t>Desembarque de passageiros</t>
  </si>
  <si>
    <t>Ac_80_10_63</t>
  </si>
  <si>
    <t>Passenger embarking</t>
  </si>
  <si>
    <t>Embarque de passageiros</t>
  </si>
  <si>
    <t>Ac_80_10_64</t>
  </si>
  <si>
    <t>Passenger gathering</t>
  </si>
  <si>
    <t>Coleta de passageiros</t>
  </si>
  <si>
    <t>Ac_80_10_65</t>
  </si>
  <si>
    <t>Passport controlling</t>
  </si>
  <si>
    <t>Passaporte controle</t>
  </si>
  <si>
    <t>Ac_80_10_86</t>
  </si>
  <si>
    <t>Ticketing</t>
  </si>
  <si>
    <t>Ac_80_15</t>
  </si>
  <si>
    <t>Aerospace maintenance activities</t>
  </si>
  <si>
    <t>Atividades de manutenção aerospace</t>
  </si>
  <si>
    <t>Ac_80_15_01</t>
  </si>
  <si>
    <t>Aircraft cleaning</t>
  </si>
  <si>
    <t>Limpeza de aeronaves</t>
  </si>
  <si>
    <t>Ac_80_15_02</t>
  </si>
  <si>
    <t>Aircraft maintaining</t>
  </si>
  <si>
    <t>Aircraft manutenção</t>
  </si>
  <si>
    <t>Ac_80_15_04</t>
  </si>
  <si>
    <t>Aircraft repairing</t>
  </si>
  <si>
    <t>Reparação de aeronaves</t>
  </si>
  <si>
    <t>Ac_80_15_79</t>
  </si>
  <si>
    <t>Spacecraft cleaning</t>
  </si>
  <si>
    <t>Limpeza nave espacial</t>
  </si>
  <si>
    <t>Ac_80_15_80</t>
  </si>
  <si>
    <t>Spacecraft maintaining</t>
  </si>
  <si>
    <t>Espaçonave manutenção</t>
  </si>
  <si>
    <t>Ac_80_15_81</t>
  </si>
  <si>
    <t>Spacecraft preparing</t>
  </si>
  <si>
    <t>Espaçonave preparando</t>
  </si>
  <si>
    <t>Ac_80_15_82</t>
  </si>
  <si>
    <t>Spacecraft repairing</t>
  </si>
  <si>
    <t>Reparação nave espacial</t>
  </si>
  <si>
    <t>Ac_80_20</t>
  </si>
  <si>
    <t>Cable way activities</t>
  </si>
  <si>
    <t>Atividades maneira de cabo</t>
  </si>
  <si>
    <t>Ac_80_20_13</t>
  </si>
  <si>
    <t>Cableway travelling</t>
  </si>
  <si>
    <t>Teleférico viagem</t>
  </si>
  <si>
    <t>Ac_80_30</t>
  </si>
  <si>
    <t>Cable transport storage and maintenance activities</t>
  </si>
  <si>
    <t>Atividades de armazenamento de transporte por cabo e de manutenção</t>
  </si>
  <si>
    <t>Ac_80_30_34</t>
  </si>
  <si>
    <t>Gondola repair and cleaning</t>
  </si>
  <si>
    <t>Reparação e limpeza gôndola</t>
  </si>
  <si>
    <t>Ac_80_30_35</t>
  </si>
  <si>
    <t>Gondola storing</t>
  </si>
  <si>
    <t>Gondola armazenamento</t>
  </si>
  <si>
    <t>Ac_80_35</t>
  </si>
  <si>
    <t>Highway activities</t>
  </si>
  <si>
    <t>Atividades de rodovias</t>
  </si>
  <si>
    <t>Ac_80_35_08</t>
  </si>
  <si>
    <t>Bus manoeuvring</t>
  </si>
  <si>
    <t>Manobras bus</t>
  </si>
  <si>
    <t>Ac_80_35_12</t>
  </si>
  <si>
    <t>Car manoeuvring</t>
  </si>
  <si>
    <t>Manobra de carro</t>
  </si>
  <si>
    <t>Ac_80_35_16</t>
  </si>
  <si>
    <t>Carriageway separating</t>
  </si>
  <si>
    <t>Carriageway separação</t>
  </si>
  <si>
    <t>Ac_80_35_24</t>
  </si>
  <si>
    <t>Driving</t>
  </si>
  <si>
    <t>Dirigindo</t>
  </si>
  <si>
    <t>Ac_80_35_46</t>
  </si>
  <si>
    <t>Laying-by and passing</t>
  </si>
  <si>
    <t>Deitado-by e de passagem</t>
  </si>
  <si>
    <t>Ac_80_35_63</t>
  </si>
  <si>
    <t>Pedestrian crossing</t>
  </si>
  <si>
    <t>Faixa de pedestre</t>
  </si>
  <si>
    <t>Ac_80_35_64</t>
  </si>
  <si>
    <t>Pedestrian standing</t>
  </si>
  <si>
    <t>Pedestre pé</t>
  </si>
  <si>
    <t>Ac_80_35_70</t>
  </si>
  <si>
    <t>Railway crossing</t>
  </si>
  <si>
    <t>Cruzamento railway</t>
  </si>
  <si>
    <t>Ac_80_35_73</t>
  </si>
  <si>
    <t>Road buffering</t>
  </si>
  <si>
    <t>Buffer estrada</t>
  </si>
  <si>
    <t>Ac_80_35_90</t>
  </si>
  <si>
    <t>Truck manoeuvring</t>
  </si>
  <si>
    <t>Manobras truck</t>
  </si>
  <si>
    <t>Ac_80_35_95</t>
  </si>
  <si>
    <t>Vehicle manoeuvring</t>
  </si>
  <si>
    <t>Manobrar veículo</t>
  </si>
  <si>
    <t>Ac_80_45</t>
  </si>
  <si>
    <t>Highway storage and maintenance activities</t>
  </si>
  <si>
    <t>Atividades de armazenamento e manutenção das rodovias</t>
  </si>
  <si>
    <t>Ac_80_45_09</t>
  </si>
  <si>
    <t>Bus standing</t>
  </si>
  <si>
    <t>Bus pé</t>
  </si>
  <si>
    <t>Ac_80_45_40</t>
  </si>
  <si>
    <t>Indoor vehicle parking</t>
  </si>
  <si>
    <t>Estacionamento de veículos indoor</t>
  </si>
  <si>
    <t>Ac_80_45_59</t>
  </si>
  <si>
    <t>Outdoor vehicle parking</t>
  </si>
  <si>
    <t>Estacionamento de veículos ao ar livre</t>
  </si>
  <si>
    <t>Ac_80_45_91</t>
  </si>
  <si>
    <t>Truck standing</t>
  </si>
  <si>
    <t>Truck pé</t>
  </si>
  <si>
    <t>Ac_80_45_94</t>
  </si>
  <si>
    <t>Vehicle fuelling and charging</t>
  </si>
  <si>
    <t>Abastecimento de veículos e de carga</t>
  </si>
  <si>
    <t>Ac_80_45_95</t>
  </si>
  <si>
    <t>Vehicle inspecting</t>
  </si>
  <si>
    <t>Inspeção de veículos</t>
  </si>
  <si>
    <t>Ac_80_45_96</t>
  </si>
  <si>
    <t>Vehicle servicing</t>
  </si>
  <si>
    <t>Manutenção do veículo</t>
  </si>
  <si>
    <t>Ac_80_50</t>
  </si>
  <si>
    <t>Railway activities</t>
  </si>
  <si>
    <t>Atividades ferroviárias</t>
  </si>
  <si>
    <t>Ac_80_50_50</t>
  </si>
  <si>
    <t>Marshalling</t>
  </si>
  <si>
    <t>Ac_80_50_70</t>
  </si>
  <si>
    <t>Rail over passing</t>
  </si>
  <si>
    <t>Rail sobre passagem</t>
  </si>
  <si>
    <t>Ac_80_50_71</t>
  </si>
  <si>
    <t>Rail signal controlling</t>
  </si>
  <si>
    <t>Controle de sinal ferroviário</t>
  </si>
  <si>
    <t>Ac_80_50_73</t>
  </si>
  <si>
    <t>Railway track buffering</t>
  </si>
  <si>
    <t>Buffer de linha férrea</t>
  </si>
  <si>
    <t>Ac_80_50_75</t>
  </si>
  <si>
    <t>Railway travel</t>
  </si>
  <si>
    <t>Curso railway</t>
  </si>
  <si>
    <t>Ac_80_50_76</t>
  </si>
  <si>
    <t>Rail under passing</t>
  </si>
  <si>
    <t>Rail sob passagem</t>
  </si>
  <si>
    <t>Ac_80_50_90</t>
  </si>
  <si>
    <t>Train stopping</t>
  </si>
  <si>
    <t>Trem de parada</t>
  </si>
  <si>
    <t>Ac_80_60</t>
  </si>
  <si>
    <t>Rail storage and maintenance activities</t>
  </si>
  <si>
    <t>Atividades de armazenamento ferroviário e manutenção</t>
  </si>
  <si>
    <t>Ac_80_60_11</t>
  </si>
  <si>
    <t>Carriage cleaning</t>
  </si>
  <si>
    <t>Limpeza carriage</t>
  </si>
  <si>
    <t>Ac_80_60_26</t>
  </si>
  <si>
    <t>Engine fuelling</t>
  </si>
  <si>
    <t>Abastecimento de combustível do motor</t>
  </si>
  <si>
    <t>Ac_80_60_27</t>
  </si>
  <si>
    <t>Engine inspecting</t>
  </si>
  <si>
    <t>Inspeção do motor</t>
  </si>
  <si>
    <t>Ac_80_60_28</t>
  </si>
  <si>
    <t>Engine servicing</t>
  </si>
  <si>
    <t>Manutenção do motor</t>
  </si>
  <si>
    <t>Ac_80_60_29</t>
  </si>
  <si>
    <t>Engine washing</t>
  </si>
  <si>
    <t>Lavagem do motor</t>
  </si>
  <si>
    <t>Ac_80_60_70</t>
  </si>
  <si>
    <t>Rail repairing</t>
  </si>
  <si>
    <t>Reparação ferroviário</t>
  </si>
  <si>
    <t>Ac_80_70</t>
  </si>
  <si>
    <t>Marine way and waterway activities</t>
  </si>
  <si>
    <t>Maneira marinha e atividades de navegação</t>
  </si>
  <si>
    <t>Ac_80_70_11</t>
  </si>
  <si>
    <t>Canal level changing</t>
  </si>
  <si>
    <t>Mudança nível canal</t>
  </si>
  <si>
    <t>Ac_80_70_12</t>
  </si>
  <si>
    <t>Canal travelling</t>
  </si>
  <si>
    <t>Canal viagem</t>
  </si>
  <si>
    <t>Ac_80_70_37</t>
  </si>
  <si>
    <t>Harbour level changing</t>
  </si>
  <si>
    <t>Porto de mudança de nível</t>
  </si>
  <si>
    <t>Ac_80_94</t>
  </si>
  <si>
    <t>Bridge function</t>
  </si>
  <si>
    <t>Função de ponte</t>
  </si>
  <si>
    <t>Ac_80_94_41</t>
  </si>
  <si>
    <t>Bridge inspecting</t>
  </si>
  <si>
    <t>Inspeção ponte</t>
  </si>
  <si>
    <t>Ac_80_94_60</t>
  </si>
  <si>
    <t>Passing over a bridge</t>
  </si>
  <si>
    <t>Passando através de uma ponte</t>
  </si>
  <si>
    <t>Ac_80_94_90</t>
  </si>
  <si>
    <t>Passing under a bridge</t>
  </si>
  <si>
    <t>Que passa sob uma ponte</t>
  </si>
  <si>
    <t>Ac_85</t>
  </si>
  <si>
    <t>Operation and maintenance activities</t>
  </si>
  <si>
    <t>Atividades de operação e manutenção</t>
  </si>
  <si>
    <t>Ac_85_10</t>
  </si>
  <si>
    <t>Barrier and fence maintenance activities</t>
  </si>
  <si>
    <t>Atividades de manutenção de barreira e cerca</t>
  </si>
  <si>
    <t>Ac_85_10_06</t>
  </si>
  <si>
    <t>Barrier maintenance</t>
  </si>
  <si>
    <t>Manutenção barreira</t>
  </si>
  <si>
    <t>25-25-60/190 Barrier maintenance system;</t>
  </si>
  <si>
    <t>8.4.4 Barriers and guardrails (default); 2.7.2 Balustrades and handrails; 2.5.5 Subsidiary walls, balustrades and proprietary balconies;</t>
  </si>
  <si>
    <t>Ac_85_10_30</t>
  </si>
  <si>
    <t>Fencing maintenance</t>
  </si>
  <si>
    <t>Manutenção esgrima</t>
  </si>
  <si>
    <t>25-20-30/190 Fencing maintenance system;</t>
  </si>
  <si>
    <t>8.4.1 Fencing and railings (default); 8.4.4 Barriers and guardrails;</t>
  </si>
  <si>
    <t>Ac_85_10_45</t>
  </si>
  <si>
    <t>Kerbs and channels maintenance</t>
  </si>
  <si>
    <t>Lancis e canais de manutenção</t>
  </si>
  <si>
    <t>20-85-45/190 Maintenance system for kerbs and channels;</t>
  </si>
  <si>
    <t>8.6.1 Surface water and foul water drainage; 2.2.3 Drainage to balconies; 8.2.1 Roads, paths and pavings (default); 2.3.4 Roof drainage; 8.5.1 Site/street furniture and equipment;</t>
  </si>
  <si>
    <t>Ac_85_10_95</t>
  </si>
  <si>
    <t>Vehicle restraint systems maintenance</t>
  </si>
  <si>
    <t>Manutenção de sistemas de retenção do veículo</t>
  </si>
  <si>
    <t>25-20-85/190 Vehicle restraint system maintenance;</t>
  </si>
  <si>
    <t>8.4.1 Fencing and railings; 8.4.4 Barriers and guardrails (default);</t>
  </si>
  <si>
    <t>Ac_85_30</t>
  </si>
  <si>
    <t>Flora maintenance activities</t>
  </si>
  <si>
    <t>Atividades de manutenção flora</t>
  </si>
  <si>
    <t>Ac_85_30_01</t>
  </si>
  <si>
    <t>Amenity grass maintenance</t>
  </si>
  <si>
    <t>Manutenção grama amenity</t>
  </si>
  <si>
    <t>40-35-35/190 Amenity grass maintenance system;</t>
  </si>
  <si>
    <t>8.3.1 Seeding and turfing (default);</t>
  </si>
  <si>
    <t>Ac_85_30_02</t>
  </si>
  <si>
    <t>Amenity planting maintenance</t>
  </si>
  <si>
    <t>Manutenção plantio amenity</t>
  </si>
  <si>
    <t>40-35-00/190 Amenity planting maintenance system;</t>
  </si>
  <si>
    <t>8.3.2 External planting (default);</t>
  </si>
  <si>
    <t>Ac_85_30_04</t>
  </si>
  <si>
    <t>Aquatic and wetland planting maintenance</t>
  </si>
  <si>
    <t>Manutenção aquática e plantio de zonas húmidas</t>
  </si>
  <si>
    <t>40-30-00/190 Aquatic and wetland planting maintenance system;</t>
  </si>
  <si>
    <t>Ac_85_30_28</t>
  </si>
  <si>
    <t>External container planting maintenance</t>
  </si>
  <si>
    <t>Manutenção plantação recipiente externo</t>
  </si>
  <si>
    <t>40-40-25/190 Container planting maintenance system;</t>
  </si>
  <si>
    <t>8.3.3 Irrigation systems; 8.3.2 External planting (default);</t>
  </si>
  <si>
    <t>Ac_85_30_30</t>
  </si>
  <si>
    <t>Forestry maintenance</t>
  </si>
  <si>
    <t>Manutenção florestal</t>
  </si>
  <si>
    <t>40-35-30/191 Forestry maintenance system;</t>
  </si>
  <si>
    <t>Ac_85_30_37</t>
  </si>
  <si>
    <t>Hedgerow maintenance</t>
  </si>
  <si>
    <t>Manutenção hedgerow</t>
  </si>
  <si>
    <t>40-35-30/190 Hedgerow maintenance system;</t>
  </si>
  <si>
    <t>Ac_85_30_40</t>
  </si>
  <si>
    <t>Internal container planting maintenance</t>
  </si>
  <si>
    <t>Manutenção plantio recipiente interno</t>
  </si>
  <si>
    <t>40-40-40/190 Container planting maintenance system;</t>
  </si>
  <si>
    <t>4.1.7 Internal planting (default);</t>
  </si>
  <si>
    <t>Ac_85_30_47</t>
  </si>
  <si>
    <t>Living roof maintenance</t>
  </si>
  <si>
    <t>Vivendo manutenção telhado</t>
  </si>
  <si>
    <t>40-40-45/190 Living roof maintenance system;</t>
  </si>
  <si>
    <t>2.3.2 Roof coverings (default);</t>
  </si>
  <si>
    <t>Ac_85_30_50</t>
  </si>
  <si>
    <t>Meadow grass maintenance</t>
  </si>
  <si>
    <t>Manutenção da grama de prado</t>
  </si>
  <si>
    <t>40-35-35/195 Meadow grass maintenance system;</t>
  </si>
  <si>
    <t>Ac_85_30_80</t>
  </si>
  <si>
    <t>Sports turf maintenance</t>
  </si>
  <si>
    <t>Manutenção de gramados sports</t>
  </si>
  <si>
    <t>40-35-35/197 Sports turf maintenance system;</t>
  </si>
  <si>
    <t>Ac_85_30_95</t>
  </si>
  <si>
    <t>Vegetation control maintenance</t>
  </si>
  <si>
    <t>Manutenção controlo da vegetação</t>
  </si>
  <si>
    <t>35-70-41/190 Vegetation control maintenance system;</t>
  </si>
  <si>
    <t>0.1.3 Eradication of plant growth; 4.1.7 Internal planting; 8.3.2 External planting (default);</t>
  </si>
  <si>
    <t>Ac_85_30_97</t>
  </si>
  <si>
    <t>Wildflowers meadow maintenance</t>
  </si>
  <si>
    <t>Wildflowers manutenção prado</t>
  </si>
  <si>
    <t>Ac_85_50</t>
  </si>
  <si>
    <t>Marine maintenance activities</t>
  </si>
  <si>
    <t>Actividades de manutenção marinhos</t>
  </si>
  <si>
    <t>Ac_85_50_24</t>
  </si>
  <si>
    <t>Dredging</t>
  </si>
  <si>
    <t>Dragagem</t>
  </si>
  <si>
    <t>Ac_85_60</t>
  </si>
  <si>
    <t>Paving maintenance activities</t>
  </si>
  <si>
    <t>Pavimentação atividades de manutenção</t>
  </si>
  <si>
    <t>Ac_85_60_02</t>
  </si>
  <si>
    <t>Asphalt paving maintenance</t>
  </si>
  <si>
    <t>Manutenção pavimentação asfáltica</t>
  </si>
  <si>
    <t>20-15-05/190 Asphalt paving maintenance system;</t>
  </si>
  <si>
    <t>2.4.2 Stair/ramp finishes; 3.2.1 Finishes to floors; 2.3.2 Roof coverings; 8.2.1 Roads, paths and pavings (default);</t>
  </si>
  <si>
    <t>Ac_85_60_04</t>
  </si>
  <si>
    <t>Asphalt sports paving maintenance</t>
  </si>
  <si>
    <t>Esportes pavimentação asfáltica manutenção</t>
  </si>
  <si>
    <t>20-15-05/195 Asphalt sports paving maintenance system;</t>
  </si>
  <si>
    <t>2.4.2 Stair/ramp finishes; 8.2.2 Special surfacings and pavings (default); 3.2.1 Finishes to floors; 2.3.2 Roof coverings;</t>
  </si>
  <si>
    <t>Ac_85_60_10</t>
  </si>
  <si>
    <t>Bound aggregate paving maintenance</t>
  </si>
  <si>
    <t>Manutenção pavimentação agregado ligado</t>
  </si>
  <si>
    <t>20-15-35/190 Bound aggregate paving maintenance system;</t>
  </si>
  <si>
    <t>7.6.2 Concrete repairs; 2.4.2 Stair/ramp finishes; 8.2.2 Special surfacings and pavings (default); 3.2.1 Finishes to floors; 2.3.2 Roof coverings;</t>
  </si>
  <si>
    <t>Ac_85_60_50</t>
  </si>
  <si>
    <t>Mat and sheet paving maintenance</t>
  </si>
  <si>
    <t>Manutenção esteira e pavimentação folha</t>
  </si>
  <si>
    <t>20-15-50/190 Mat and sheet paving maintenance system;</t>
  </si>
  <si>
    <t>Ac_85_60_80</t>
  </si>
  <si>
    <t>Sport or play paving maintenance</t>
  </si>
  <si>
    <t>Esporte ou manutenção jogo pavimentação</t>
  </si>
  <si>
    <t>20-15-35/195 Sport or play paving maintenance system;</t>
  </si>
  <si>
    <t>Ac_85_60_82</t>
  </si>
  <si>
    <t>Sports or play unbound paving maintenance</t>
  </si>
  <si>
    <t>Esportes ou jogar manutenção pavimentação desacoplado</t>
  </si>
  <si>
    <t>20-15-85/195 Sports or play unbound paving maintenance system;</t>
  </si>
  <si>
    <t>8.2.2 Special surfacings and pavings (default);</t>
  </si>
  <si>
    <t>Ac_85_60_92</t>
  </si>
  <si>
    <t>Unbound paving maintenance</t>
  </si>
  <si>
    <t>Manutenção pavimentação unbound</t>
  </si>
  <si>
    <t>20-15-85/190 Unbound paving maintenance system;</t>
  </si>
  <si>
    <t>8.2.1 Roads, paths and pavings (default);</t>
  </si>
  <si>
    <t>Ac_85_60_93</t>
  </si>
  <si>
    <t>Unit paving maintenance</t>
  </si>
  <si>
    <t>Manutenção pavimentação unidade</t>
  </si>
  <si>
    <t>20-15-90/190 Unit paving maintenance system;</t>
  </si>
  <si>
    <t>2.4.2 Stair/ramp finishes; 2.3.2 Roof coverings; 8.2.1 Roads, paths and pavings (default);</t>
  </si>
  <si>
    <t>Ac_85_65</t>
  </si>
  <si>
    <t>Plant and controls operating</t>
  </si>
  <si>
    <t>Planta e controles de operação</t>
  </si>
  <si>
    <t>Ac_85_65_08</t>
  </si>
  <si>
    <t>Boiler operating</t>
  </si>
  <si>
    <t>Operacional da caldeira</t>
  </si>
  <si>
    <t>Ac_85_65_15</t>
  </si>
  <si>
    <t>Controlling</t>
  </si>
  <si>
    <t>Controlador</t>
  </si>
  <si>
    <t>Ac_85_65_26</t>
  </si>
  <si>
    <t>Electrical switching</t>
  </si>
  <si>
    <t>Comutação elétrica</t>
  </si>
  <si>
    <t>Ac_85_65_27</t>
  </si>
  <si>
    <t>Equipment operating</t>
  </si>
  <si>
    <t>Operacional equipamentos</t>
  </si>
  <si>
    <t>Ac_85_65_32</t>
  </si>
  <si>
    <t>Furnace operating</t>
  </si>
  <si>
    <t>Operacional furnace</t>
  </si>
  <si>
    <t>Ac_85_65_42</t>
  </si>
  <si>
    <t>Incinerating</t>
  </si>
  <si>
    <t>Incinerando</t>
  </si>
  <si>
    <t>Ac_85_65_48</t>
  </si>
  <si>
    <t>Lift machine operating</t>
  </si>
  <si>
    <t>De operação da máquina de elevação</t>
  </si>
  <si>
    <t>Ac_85_65_50</t>
  </si>
  <si>
    <t>Meter checking</t>
  </si>
  <si>
    <t>Verificação do medidor</t>
  </si>
  <si>
    <t>Ac_85_65_64</t>
  </si>
  <si>
    <t>Plant operating</t>
  </si>
  <si>
    <t>Operacional planta</t>
  </si>
  <si>
    <t>Ac_85_65_77</t>
  </si>
  <si>
    <t>Server operating</t>
  </si>
  <si>
    <t>Operativo de servidor</t>
  </si>
  <si>
    <t>Ac_85_65_90</t>
  </si>
  <si>
    <t>Transformer operating</t>
  </si>
  <si>
    <t>Operacional transformer</t>
  </si>
  <si>
    <t>Ac_85_70</t>
  </si>
  <si>
    <t>Retrospective application activities</t>
  </si>
  <si>
    <t>Atividades de aplicação retrospectiva</t>
  </si>
  <si>
    <t>Ac_85_70_40</t>
  </si>
  <si>
    <t>Insulating and waterproofing retrofitted living roofs</t>
  </si>
  <si>
    <t>Isolantes e impermeabilizantes adaptados coberturas vivas</t>
  </si>
  <si>
    <t>40-40-45/105 Insulation and waterproofing system for retrofitted living roofs;</t>
  </si>
  <si>
    <t>Ac_85_70_70</t>
  </si>
  <si>
    <t>Retrospective applying of fire retardant treatment</t>
  </si>
  <si>
    <t>Retrospectiva da aplicação do tratamento retardador de fogo</t>
  </si>
  <si>
    <t>Ac_85_70_75</t>
  </si>
  <si>
    <t>Retrospective applying of preservative treatment</t>
  </si>
  <si>
    <t>Retrospectiva aplicação de tratamento conservante</t>
  </si>
  <si>
    <t>Ac_90</t>
  </si>
  <si>
    <t>Circulation and plant activities</t>
  </si>
  <si>
    <t>Atividades de circulação e de plantas</t>
  </si>
  <si>
    <t>Ac_90_10</t>
  </si>
  <si>
    <t>Circulation activities</t>
  </si>
  <si>
    <t>Atividades de circulação</t>
  </si>
  <si>
    <t>Ac_90_10_02</t>
  </si>
  <si>
    <t>Air blocking</t>
  </si>
  <si>
    <t>Bloqueio air</t>
  </si>
  <si>
    <t>Ac_90_10_14</t>
  </si>
  <si>
    <t>Circulating between rooms</t>
  </si>
  <si>
    <t>Circulando entre quartos</t>
  </si>
  <si>
    <t>Ac_90_10_16</t>
  </si>
  <si>
    <t>Covered walking</t>
  </si>
  <si>
    <t>Curta coberta</t>
  </si>
  <si>
    <t>Ac_90_10_24</t>
  </si>
  <si>
    <t>Dropping-off and collecting</t>
  </si>
  <si>
    <t>Soltando-off e recolhendo</t>
  </si>
  <si>
    <t>Ac_90_10_27</t>
  </si>
  <si>
    <t>Entering and exiting</t>
  </si>
  <si>
    <t>Entrar e sair</t>
  </si>
  <si>
    <t>Ac_90_10_34</t>
  </si>
  <si>
    <t>Goods conveying</t>
  </si>
  <si>
    <t>Produtos de transporte</t>
  </si>
  <si>
    <t>Ac_90_10_49</t>
  </si>
  <si>
    <t>Lift stopping and calling</t>
  </si>
  <si>
    <t>Levante parar e chamar</t>
  </si>
  <si>
    <t>Ac_90_10_50</t>
  </si>
  <si>
    <t>Lift travelling</t>
  </si>
  <si>
    <t>Elevador de viagem</t>
  </si>
  <si>
    <t>Ac_90_10_77</t>
  </si>
  <si>
    <t>Sheltering</t>
  </si>
  <si>
    <t>Abrigando</t>
  </si>
  <si>
    <t>Ac_90_10_78</t>
  </si>
  <si>
    <t>Shoppers moving and circulation</t>
  </si>
  <si>
    <t>Os clientes móveis e circulação</t>
  </si>
  <si>
    <t>Ac_90_10_93</t>
  </si>
  <si>
    <t>Uncovered walking</t>
  </si>
  <si>
    <t>Curta descoberto</t>
  </si>
  <si>
    <t>Ac_90_10_96</t>
  </si>
  <si>
    <t>Wheelchair travelling</t>
  </si>
  <si>
    <t>Viajar para cadeira de rodas</t>
  </si>
  <si>
    <t>Ac_90_20</t>
  </si>
  <si>
    <t>Common activities</t>
  </si>
  <si>
    <t>Atividades comuns</t>
  </si>
  <si>
    <t>Ac_90_20_09</t>
  </si>
  <si>
    <t>Briefing</t>
  </si>
  <si>
    <t>Instruções</t>
  </si>
  <si>
    <t>Ac_90_20_13</t>
  </si>
  <si>
    <t>Changing</t>
  </si>
  <si>
    <t>Alterar</t>
  </si>
  <si>
    <t>Ac_90_20_42</t>
  </si>
  <si>
    <t>Interviewing</t>
  </si>
  <si>
    <t>Entrevistar</t>
  </si>
  <si>
    <t>Ac_90_20_69</t>
  </si>
  <si>
    <t>Queuing</t>
  </si>
  <si>
    <t>Enfileiramento</t>
  </si>
  <si>
    <t>Ac_90_20_72</t>
  </si>
  <si>
    <t>Resting</t>
  </si>
  <si>
    <t>Em repouso</t>
  </si>
  <si>
    <t>Ac_90_20_82</t>
  </si>
  <si>
    <t>Spectator seating</t>
  </si>
  <si>
    <t>Estar spectator</t>
  </si>
  <si>
    <t>Ac_90_20_83</t>
  </si>
  <si>
    <t>Spectator standing</t>
  </si>
  <si>
    <t>Espectador pé</t>
  </si>
  <si>
    <t>Ac_90_20_96</t>
  </si>
  <si>
    <t>Waiting</t>
  </si>
  <si>
    <t>Esperando</t>
  </si>
  <si>
    <t>Ac_90_50</t>
  </si>
  <si>
    <t>Storing activities</t>
  </si>
  <si>
    <t>Armazenando atividades</t>
  </si>
  <si>
    <t>Ac_90_50_02</t>
  </si>
  <si>
    <t>Aircraft storing</t>
  </si>
  <si>
    <t>Armazenamento aeronaves</t>
  </si>
  <si>
    <t>Ac_90_50_04</t>
  </si>
  <si>
    <t>Arms storing</t>
  </si>
  <si>
    <t>Armazenamento de armas</t>
  </si>
  <si>
    <t>Ac_90_50_06</t>
  </si>
  <si>
    <t>Baggage storing</t>
  </si>
  <si>
    <t>Baggage armazenamento</t>
  </si>
  <si>
    <t>Ac_90_50_07</t>
  </si>
  <si>
    <t>Beer storing</t>
  </si>
  <si>
    <t>Armazenamento de cerveja</t>
  </si>
  <si>
    <t>Ac_90_50_09</t>
  </si>
  <si>
    <t>Blood storing</t>
  </si>
  <si>
    <t>Armazenar sangue</t>
  </si>
  <si>
    <t>Ac_90_50_10</t>
  </si>
  <si>
    <t>Boat storing</t>
  </si>
  <si>
    <t>Armazenamento barco</t>
  </si>
  <si>
    <t>Ac_90_50_11</t>
  </si>
  <si>
    <t>Cargo storing</t>
  </si>
  <si>
    <t>Armazenamento de cargas</t>
  </si>
  <si>
    <t>Ac_90_50_13</t>
  </si>
  <si>
    <t>Chemicals storing</t>
  </si>
  <si>
    <t>Chemicals armazenamento</t>
  </si>
  <si>
    <t>Ac_90_50_14</t>
  </si>
  <si>
    <t>Clothes storing</t>
  </si>
  <si>
    <t>Roupa de armazenamento</t>
  </si>
  <si>
    <t>Ac_90_50_15</t>
  </si>
  <si>
    <t>Cold storing</t>
  </si>
  <si>
    <t>Armazenamento frio</t>
  </si>
  <si>
    <t>Ac_90_50_24</t>
  </si>
  <si>
    <t>Dry waste storing</t>
  </si>
  <si>
    <t>Armazenamento de resíduos secos</t>
  </si>
  <si>
    <t>Ac_90_50_25</t>
  </si>
  <si>
    <t>Evidence storing</t>
  </si>
  <si>
    <t>Evidência armazenar</t>
  </si>
  <si>
    <t>Ac_90_50_26</t>
  </si>
  <si>
    <t>Explosives storing</t>
  </si>
  <si>
    <t>Explosivos armazenamento</t>
  </si>
  <si>
    <t>Ac_90_50_28</t>
  </si>
  <si>
    <t>Feed storing</t>
  </si>
  <si>
    <t>Armazenamento de alimentação</t>
  </si>
  <si>
    <t>Ac_90_50_29</t>
  </si>
  <si>
    <t>Flammable chemicals storing</t>
  </si>
  <si>
    <t>Produtos químicos inflamáveis ​​armazenamento</t>
  </si>
  <si>
    <t>Ac_90_50_30</t>
  </si>
  <si>
    <t>Food storing</t>
  </si>
  <si>
    <t>Armazenar alimentos</t>
  </si>
  <si>
    <t>Ac_90_50_32</t>
  </si>
  <si>
    <t>Fuel storing</t>
  </si>
  <si>
    <t>Armazenamento de combustível</t>
  </si>
  <si>
    <t>Ac_90_50_34</t>
  </si>
  <si>
    <t>Gas storing</t>
  </si>
  <si>
    <t>Armazenamento de gás</t>
  </si>
  <si>
    <t>Ac_90_50_35</t>
  </si>
  <si>
    <t>General storing</t>
  </si>
  <si>
    <t>Armazenamento geral</t>
  </si>
  <si>
    <t>Ac_90_50_36</t>
  </si>
  <si>
    <t>Glider storing</t>
  </si>
  <si>
    <t>Armazenamento glider</t>
  </si>
  <si>
    <t>Ac_90_50_37</t>
  </si>
  <si>
    <t>Goods storing</t>
  </si>
  <si>
    <t>Produtos de armazenamento</t>
  </si>
  <si>
    <t>Ac_90_50_39</t>
  </si>
  <si>
    <t>Grain storing</t>
  </si>
  <si>
    <t>Armazenamento de grãos</t>
  </si>
  <si>
    <t>Ac_90_50_41</t>
  </si>
  <si>
    <t>Hang glider storing</t>
  </si>
  <si>
    <t>Pendure armazenamento planador</t>
  </si>
  <si>
    <t>Ac_90_50_42</t>
  </si>
  <si>
    <t>Hazardous waste storing</t>
  </si>
  <si>
    <t>Armazenamento de resíduos perigosos</t>
  </si>
  <si>
    <t>Ac_90_50_44</t>
  </si>
  <si>
    <t>Helicoptor storing</t>
  </si>
  <si>
    <t>Armazenamento helicoptor</t>
  </si>
  <si>
    <t>Ac_90_50_47</t>
  </si>
  <si>
    <t>Left luggage storing</t>
  </si>
  <si>
    <t>Bagagens armazenamento</t>
  </si>
  <si>
    <t>Ac_90_50_52</t>
  </si>
  <si>
    <t>Medical records storing</t>
  </si>
  <si>
    <t>Os registros médicos de armazenamento</t>
  </si>
  <si>
    <t>Ac_90_50_53</t>
  </si>
  <si>
    <t>Mineral storing</t>
  </si>
  <si>
    <t>Armazenamento mineral</t>
  </si>
  <si>
    <t>Ac_90_50_58</t>
  </si>
  <si>
    <t>Oil storing</t>
  </si>
  <si>
    <t>Armazenamento de petróleo</t>
  </si>
  <si>
    <t>Ac_90_50_59</t>
  </si>
  <si>
    <t>Outdoor storing</t>
  </si>
  <si>
    <t>Armazenamento ao ar livre</t>
  </si>
  <si>
    <t>Ac_90_50_65</t>
  </si>
  <si>
    <t>Pharmacy storing</t>
  </si>
  <si>
    <t>Armazenamento pharmacy</t>
  </si>
  <si>
    <t>Ac_90_50_70</t>
  </si>
  <si>
    <t>Raw materials storing</t>
  </si>
  <si>
    <t>As matérias-primas que armazenam</t>
  </si>
  <si>
    <t>Ac_90_50_75</t>
  </si>
  <si>
    <t>Scientific equipment storing</t>
  </si>
  <si>
    <t>Equipamento científico armazenar</t>
  </si>
  <si>
    <t>Ac_90_50_77</t>
  </si>
  <si>
    <t>Secure storing</t>
  </si>
  <si>
    <t>Seguro de armazenamento</t>
  </si>
  <si>
    <t>Ac_90_50_80</t>
  </si>
  <si>
    <t>Solid fuel storing</t>
  </si>
  <si>
    <t>Armazenamento combustível sólido</t>
  </si>
  <si>
    <t>Ac_90_50_84</t>
  </si>
  <si>
    <t>Storage of human remains</t>
  </si>
  <si>
    <t>Armazenamento de restos humanos</t>
  </si>
  <si>
    <t>Ac_90_50_91</t>
  </si>
  <si>
    <t>Vehicle storing</t>
  </si>
  <si>
    <t>Armazenamento veículo</t>
  </si>
  <si>
    <t>Ac_90_50_92</t>
  </si>
  <si>
    <t>Walk-in clothes storing</t>
  </si>
  <si>
    <t>Walk-in roupa de armazenamento</t>
  </si>
  <si>
    <t>Ac_90_50_93</t>
  </si>
  <si>
    <t>Waste gas storing</t>
  </si>
  <si>
    <t>Armazenamento de gás residual</t>
  </si>
  <si>
    <t>Ac_90_50_94</t>
  </si>
  <si>
    <t>Waste liquids storing</t>
  </si>
  <si>
    <t>Armazenamento de líquidos residuais</t>
  </si>
  <si>
    <t>Ac_90_50_95</t>
  </si>
  <si>
    <t>Waste solids storing</t>
  </si>
  <si>
    <t>Armazenamento de resíduos sólidos</t>
  </si>
  <si>
    <t>Ac_90_50_96</t>
  </si>
  <si>
    <t>Water storing</t>
  </si>
  <si>
    <t>Armazenar água</t>
  </si>
  <si>
    <t>Ac_90_50_97</t>
  </si>
  <si>
    <t>Wet waste storing</t>
  </si>
  <si>
    <t>Armazenamento de resíduos wet</t>
  </si>
  <si>
    <t>Ac_90_50_98</t>
  </si>
  <si>
    <t>Wine storing</t>
  </si>
  <si>
    <t>Armazenamento de vinho</t>
  </si>
  <si>
    <t>SL Spaces/ locations - 31 July 2019 - v1.13</t>
  </si>
  <si>
    <t>SL_20</t>
  </si>
  <si>
    <t>Administrative, commercial and protective service spaces</t>
  </si>
  <si>
    <t>SL_20_10</t>
  </si>
  <si>
    <t>Legislative spaces</t>
  </si>
  <si>
    <t>SL_20_10_47</t>
  </si>
  <si>
    <t>Legislative chambers</t>
  </si>
  <si>
    <t>SL_20_10_49</t>
  </si>
  <si>
    <t>Legislative chamber viewing galleries</t>
  </si>
  <si>
    <t>SL_20_15</t>
  </si>
  <si>
    <t>Administrative spaces</t>
  </si>
  <si>
    <t>SL_20_15_27</t>
  </si>
  <si>
    <t>Enclosed offices</t>
  </si>
  <si>
    <t>SL_20_15_50</t>
  </si>
  <si>
    <t>Meeting rooms</t>
  </si>
  <si>
    <t>SL_20_15_59</t>
  </si>
  <si>
    <t>Offices</t>
  </si>
  <si>
    <t>SL_20_15_61</t>
  </si>
  <si>
    <t>Open-plan offices</t>
  </si>
  <si>
    <t>SL_20_15_71</t>
  </si>
  <si>
    <t>Reception areas</t>
  </si>
  <si>
    <t>SL_20_45</t>
  </si>
  <si>
    <t>Motor vehicle maintenance and fuelling spaces</t>
  </si>
  <si>
    <t>SL_20_45_27</t>
  </si>
  <si>
    <t>Electric motor vehicle charging points</t>
  </si>
  <si>
    <t>SL_20_45_29</t>
  </si>
  <si>
    <t>Fuel filling station air and water points</t>
  </si>
  <si>
    <t>SL_20_45_30</t>
  </si>
  <si>
    <t>Fuel filling station forecourts</t>
  </si>
  <si>
    <t>SL_20_45_31</t>
  </si>
  <si>
    <t>Fuel filling station tanks areas</t>
  </si>
  <si>
    <t>SL_20_45_53</t>
  </si>
  <si>
    <t>Motor vehicle maintenance areas</t>
  </si>
  <si>
    <t>SL_20_45_95</t>
  </si>
  <si>
    <t>Vehicle inspection pits</t>
  </si>
  <si>
    <t>SL_20_45_96</t>
  </si>
  <si>
    <t>Vehicle servicing areas</t>
  </si>
  <si>
    <t>SL_20_50</t>
  </si>
  <si>
    <t>Commercial spaces</t>
  </si>
  <si>
    <t>SL_20_50_03</t>
  </si>
  <si>
    <t>Ambient wholesale spaces</t>
  </si>
  <si>
    <t>SL_20_50_05</t>
  </si>
  <si>
    <t>Auction rooms</t>
  </si>
  <si>
    <t>SL_20_50_10</t>
  </si>
  <si>
    <t>Beauty salons</t>
  </si>
  <si>
    <t>SL_20_50_12</t>
  </si>
  <si>
    <t>Checkout points</t>
  </si>
  <si>
    <t>SL_20_50_22</t>
  </si>
  <si>
    <t>Department store shop floors</t>
  </si>
  <si>
    <t>SL_20_50_29</t>
  </si>
  <si>
    <t>Financial and professional services outlets</t>
  </si>
  <si>
    <t>SL_20_50_30</t>
  </si>
  <si>
    <t>Fitting rooms</t>
  </si>
  <si>
    <t>SL_20_50_32</t>
  </si>
  <si>
    <t>Food and drink outlets</t>
  </si>
  <si>
    <t>SL_20_50_36</t>
  </si>
  <si>
    <t>Hair and beauty salons</t>
  </si>
  <si>
    <t>SL_20_50_37</t>
  </si>
  <si>
    <t>Hair salons</t>
  </si>
  <si>
    <t>SL_20_50_47</t>
  </si>
  <si>
    <t>Livestock auction rooms</t>
  </si>
  <si>
    <t>SL_20_50_51</t>
  </si>
  <si>
    <t>Market stalls</t>
  </si>
  <si>
    <t>SL_20_50_55</t>
  </si>
  <si>
    <t>Motor vehicle showrooms</t>
  </si>
  <si>
    <t>SL_20_50_70</t>
  </si>
  <si>
    <t>Refrigerated wholesale spaces</t>
  </si>
  <si>
    <t>SL_20_50_72</t>
  </si>
  <si>
    <t>Retail kiosks</t>
  </si>
  <si>
    <t>SL_20_50_85</t>
  </si>
  <si>
    <t>Supermarket shop floors</t>
  </si>
  <si>
    <t>SL_20_50_86</t>
  </si>
  <si>
    <t>Tan spray booths</t>
  </si>
  <si>
    <t>SL_20_50_87</t>
  </si>
  <si>
    <t>Tattoo and piercing parlours</t>
  </si>
  <si>
    <t>SL_20_50_96</t>
  </si>
  <si>
    <t>Waste and scrap yards</t>
  </si>
  <si>
    <t>SL_20_55</t>
  </si>
  <si>
    <t>Postal communications spaces</t>
  </si>
  <si>
    <t>SL_20_55_45</t>
  </si>
  <si>
    <t>Letter sorting offices</t>
  </si>
  <si>
    <t>SL_20_55_50</t>
  </si>
  <si>
    <t>Mail order sorting and despatch facilities</t>
  </si>
  <si>
    <t>SL_20_55_60</t>
  </si>
  <si>
    <t>Parcel sorting offices</t>
  </si>
  <si>
    <t>SL_20_55_65</t>
  </si>
  <si>
    <t>Post rooms</t>
  </si>
  <si>
    <t>SL_20_60</t>
  </si>
  <si>
    <t>Military protective spaces</t>
  </si>
  <si>
    <t>SL_20_60_08</t>
  </si>
  <si>
    <t>Bombardment shelters</t>
  </si>
  <si>
    <t>SL_20_60_27</t>
  </si>
  <si>
    <t>Emergency shelters</t>
  </si>
  <si>
    <t>SL_20_60_70</t>
  </si>
  <si>
    <t>Radiation protection shelters</t>
  </si>
  <si>
    <t>SL_20_60_98</t>
  </si>
  <si>
    <t>War emergency centres</t>
  </si>
  <si>
    <t>SL_20_62</t>
  </si>
  <si>
    <t>Parade spaces</t>
  </si>
  <si>
    <t>SL_20_62_65</t>
  </si>
  <si>
    <t>Parade grounds</t>
  </si>
  <si>
    <t>SL_20_65</t>
  </si>
  <si>
    <t>Law enforcement spaces</t>
  </si>
  <si>
    <t>SL_20_65_15</t>
  </si>
  <si>
    <t>Command and control spaces</t>
  </si>
  <si>
    <t>SL_20_65_28</t>
  </si>
  <si>
    <t>Examination rooms</t>
  </si>
  <si>
    <t>SL_20_65_39</t>
  </si>
  <si>
    <t>Identification control rooms</t>
  </si>
  <si>
    <t>SL_20_65_40</t>
  </si>
  <si>
    <t>Identification suites</t>
  </si>
  <si>
    <t>SL_20_65_41</t>
  </si>
  <si>
    <t>Interview monitoring rooms</t>
  </si>
  <si>
    <t>SL_20_65_42</t>
  </si>
  <si>
    <t>Interview rooms</t>
  </si>
  <si>
    <t>SL_20_65_65</t>
  </si>
  <si>
    <t>Police boxes</t>
  </si>
  <si>
    <t>SL_20_70</t>
  </si>
  <si>
    <t>Judicial spaces</t>
  </si>
  <si>
    <t>SL_20_70_15</t>
  </si>
  <si>
    <t>Court rooms</t>
  </si>
  <si>
    <t>SL_20_70_18</t>
  </si>
  <si>
    <t>Court room viewing galleries</t>
  </si>
  <si>
    <t>SL_20_70_23</t>
  </si>
  <si>
    <t>Defendant docks</t>
  </si>
  <si>
    <t>SL_20_70_28</t>
  </si>
  <si>
    <t>Evidence rooms</t>
  </si>
  <si>
    <t>SL_20_70_41</t>
  </si>
  <si>
    <t>Judicial benches</t>
  </si>
  <si>
    <t>SL_20_70_44</t>
  </si>
  <si>
    <t>Jury boxes</t>
  </si>
  <si>
    <t>SL_20_70_97</t>
  </si>
  <si>
    <t>Witness stands</t>
  </si>
  <si>
    <t>SL_20_75</t>
  </si>
  <si>
    <t>Detention spaces</t>
  </si>
  <si>
    <t>SL_20_75_13</t>
  </si>
  <si>
    <t>Charge areas</t>
  </si>
  <si>
    <t>SL_20_75_15</t>
  </si>
  <si>
    <t>Communal inmate dayrooms</t>
  </si>
  <si>
    <t>SL_20_75_22</t>
  </si>
  <si>
    <t>Detention cells</t>
  </si>
  <si>
    <t>SL_20_75_28</t>
  </si>
  <si>
    <t>Exercise yards</t>
  </si>
  <si>
    <t>SL_20_75_35</t>
  </si>
  <si>
    <t>Guard stations</t>
  </si>
  <si>
    <t>SL_20_75_38</t>
  </si>
  <si>
    <t>Holding cells</t>
  </si>
  <si>
    <t>SL_20_75_75</t>
  </si>
  <si>
    <t>Sally ports</t>
  </si>
  <si>
    <t>SL_20_75_77</t>
  </si>
  <si>
    <t>Secure visiting rooms</t>
  </si>
  <si>
    <t>SL_20_75_95</t>
  </si>
  <si>
    <t>Vehicle impound yards</t>
  </si>
  <si>
    <t>SL_20_80</t>
  </si>
  <si>
    <t>Weapons training spaces</t>
  </si>
  <si>
    <t>SL_20_80_03</t>
  </si>
  <si>
    <t>Artillery firing ranges</t>
  </si>
  <si>
    <t>SL_20_80_30</t>
  </si>
  <si>
    <t>Firing ranges</t>
  </si>
  <si>
    <t>SL_20_80_63</t>
  </si>
  <si>
    <t>Pistol firing ranges</t>
  </si>
  <si>
    <t>SL_20_80_72</t>
  </si>
  <si>
    <t>Rifle firing ranges</t>
  </si>
  <si>
    <t>SL_20_85</t>
  </si>
  <si>
    <t>Security spaces</t>
  </si>
  <si>
    <t>SL_20_85_63</t>
  </si>
  <si>
    <t>Pedestrian security check points</t>
  </si>
  <si>
    <t>SL_20_85_75</t>
  </si>
  <si>
    <t>Security control spaces</t>
  </si>
  <si>
    <t>SL_20_85_80</t>
  </si>
  <si>
    <t>Security offices</t>
  </si>
  <si>
    <t>SL_20_85_95</t>
  </si>
  <si>
    <t>Vehicular security check points</t>
  </si>
  <si>
    <t>SL_20_90</t>
  </si>
  <si>
    <t>Fire and incident support spaces</t>
  </si>
  <si>
    <t>SL_20_90_25</t>
  </si>
  <si>
    <t>Escape stairs</t>
  </si>
  <si>
    <t>SL_20_90_28</t>
  </si>
  <si>
    <t>Firefighting stairs</t>
  </si>
  <si>
    <t>SL_20_90_30</t>
  </si>
  <si>
    <t>Fire refuge spaces</t>
  </si>
  <si>
    <t>SL_20_90_31</t>
  </si>
  <si>
    <t>Fire training spaces</t>
  </si>
  <si>
    <t>SL_20_90_60</t>
  </si>
  <si>
    <t>Protected escape corridors</t>
  </si>
  <si>
    <t>SL_20_95</t>
  </si>
  <si>
    <t>Protected zones</t>
  </si>
  <si>
    <t>SL_20_95_20</t>
  </si>
  <si>
    <t>Detection zones</t>
  </si>
  <si>
    <t>SL_20_95_28</t>
  </si>
  <si>
    <t>Evacuation zones</t>
  </si>
  <si>
    <t>SL_20_95_30</t>
  </si>
  <si>
    <t>Fire compartments</t>
  </si>
  <si>
    <t>SL_20_95_32</t>
  </si>
  <si>
    <t>Fire suppression zones</t>
  </si>
  <si>
    <t>SL_20_95_80</t>
  </si>
  <si>
    <t>Smoke control zones</t>
  </si>
  <si>
    <t>SL_25</t>
  </si>
  <si>
    <t>Cultural, educational, scientific and information spaces</t>
  </si>
  <si>
    <t>SL_25_05</t>
  </si>
  <si>
    <t>Commemoration spaces</t>
  </si>
  <si>
    <t>SL_25_05_72</t>
  </si>
  <si>
    <t>Commemoration sites</t>
  </si>
  <si>
    <t>SL_25_10</t>
  </si>
  <si>
    <t>Educational spaces</t>
  </si>
  <si>
    <t>SL_25_10_04</t>
  </si>
  <si>
    <t>Art classrooms</t>
  </si>
  <si>
    <t>SL_25_10_05</t>
  </si>
  <si>
    <t>Assembly halls</t>
  </si>
  <si>
    <t>SL_25_10_08</t>
  </si>
  <si>
    <t>Biology teaching laboratories</t>
  </si>
  <si>
    <t>SL_25_10_13</t>
  </si>
  <si>
    <t>Chemistry teaching laboratories</t>
  </si>
  <si>
    <t>SL_25_10_14</t>
  </si>
  <si>
    <t>Classrooms</t>
  </si>
  <si>
    <t>SL_25_10_15</t>
  </si>
  <si>
    <t>Common rooms</t>
  </si>
  <si>
    <t>SL_25_10_17</t>
  </si>
  <si>
    <t>Craft classrooms</t>
  </si>
  <si>
    <t>SL_25_10_21</t>
  </si>
  <si>
    <t>Dance studios</t>
  </si>
  <si>
    <t>SL_25_10_22</t>
  </si>
  <si>
    <t>Dissection theatres</t>
  </si>
  <si>
    <t>SL_25_10_24</t>
  </si>
  <si>
    <t>Drama studios</t>
  </si>
  <si>
    <t>SL_25_10_25</t>
  </si>
  <si>
    <t>Driving skid pans</t>
  </si>
  <si>
    <t>SL_25_10_26</t>
  </si>
  <si>
    <t>Driving tuition spaces</t>
  </si>
  <si>
    <t>SL_25_10_28</t>
  </si>
  <si>
    <t>Educational workshops</t>
  </si>
  <si>
    <t>SL_25_10_30</t>
  </si>
  <si>
    <t>Food technology classrooms</t>
  </si>
  <si>
    <t>SL_25_10_40</t>
  </si>
  <si>
    <t>Information and communications technology (ICT) laboratories</t>
  </si>
  <si>
    <t>SL_25_10_46</t>
  </si>
  <si>
    <t>Language laboratories</t>
  </si>
  <si>
    <t>SL_25_10_47</t>
  </si>
  <si>
    <t>Lecture theatres</t>
  </si>
  <si>
    <t>SL_25_10_55</t>
  </si>
  <si>
    <t>Music classrooms</t>
  </si>
  <si>
    <t>SL_25_10_66</t>
  </si>
  <si>
    <t>Physics teaching laboratories</t>
  </si>
  <si>
    <t>SL_25_10_78</t>
  </si>
  <si>
    <t>Seminar rooms</t>
  </si>
  <si>
    <t>SL_25_10_84</t>
  </si>
  <si>
    <t>Study rooms</t>
  </si>
  <si>
    <t>SL_25_20</t>
  </si>
  <si>
    <t>Design spaces</t>
  </si>
  <si>
    <t>SL_25_20_04</t>
  </si>
  <si>
    <t>Artists' studios</t>
  </si>
  <si>
    <t>SL_25_20_18</t>
  </si>
  <si>
    <t>Creative art studios</t>
  </si>
  <si>
    <t>SL_25_20_23</t>
  </si>
  <si>
    <t>Designers' studios</t>
  </si>
  <si>
    <t>SL_25_30</t>
  </si>
  <si>
    <t>Scientific and laboratory spaces</t>
  </si>
  <si>
    <t>SL_25_30_02</t>
  </si>
  <si>
    <t>Anechoic chambers</t>
  </si>
  <si>
    <t>SL_25_30_04</t>
  </si>
  <si>
    <t>Astronomical observatories</t>
  </si>
  <si>
    <t>SL_25_30_05</t>
  </si>
  <si>
    <t>Autoclave rooms</t>
  </si>
  <si>
    <t>SL_25_30_07</t>
  </si>
  <si>
    <t>Biological laboratories</t>
  </si>
  <si>
    <t>SL_25_30_10</t>
  </si>
  <si>
    <t>Bioscience laboratories</t>
  </si>
  <si>
    <t>SL_25_30_13</t>
  </si>
  <si>
    <t>Chemistry laboratories</t>
  </si>
  <si>
    <t>SL_25_30_14</t>
  </si>
  <si>
    <t>Clean rooms</t>
  </si>
  <si>
    <t>SL_25_30_15</t>
  </si>
  <si>
    <t>Clinical biochemistry laboratories</t>
  </si>
  <si>
    <t>SL_25_30_16</t>
  </si>
  <si>
    <t>Clinical microbiology laboratories</t>
  </si>
  <si>
    <t>SL_25_30_17</t>
  </si>
  <si>
    <t>Clinical pathology laboratories</t>
  </si>
  <si>
    <t>SL_25_30_19</t>
  </si>
  <si>
    <t>Containment laboratories</t>
  </si>
  <si>
    <t>SL_25_30_21</t>
  </si>
  <si>
    <t>Dark rooms</t>
  </si>
  <si>
    <t>SL_25_30_22</t>
  </si>
  <si>
    <t>Dental laboratories</t>
  </si>
  <si>
    <t>SL_25_30_23</t>
  </si>
  <si>
    <t>Dissection rooms</t>
  </si>
  <si>
    <t>SL_25_30_26</t>
  </si>
  <si>
    <t>Earth sciences laboratories</t>
  </si>
  <si>
    <t>SL_25_30_27</t>
  </si>
  <si>
    <t>Engineering laboratories</t>
  </si>
  <si>
    <t>SL_25_30_28</t>
  </si>
  <si>
    <t>Experiment control rooms</t>
  </si>
  <si>
    <t>SL_25_30_29</t>
  </si>
  <si>
    <t>Flow cytometry rooms</t>
  </si>
  <si>
    <t>SL_25_30_30</t>
  </si>
  <si>
    <t>Food testing laboratories</t>
  </si>
  <si>
    <t>SL_25_30_31</t>
  </si>
  <si>
    <t>Forensics laboratories</t>
  </si>
  <si>
    <t>SL_25_30_32</t>
  </si>
  <si>
    <t>Forensic scientific support rooms</t>
  </si>
  <si>
    <t>SL_25_30_33</t>
  </si>
  <si>
    <t>Geology laboratories</t>
  </si>
  <si>
    <t>SL_25_30_42</t>
  </si>
  <si>
    <t>Instrument rooms</t>
  </si>
  <si>
    <t>SL_25_30_46</t>
  </si>
  <si>
    <t>Laboratory cold rooms</t>
  </si>
  <si>
    <t>SL_25_30_47</t>
  </si>
  <si>
    <t>Laboratory warm rooms</t>
  </si>
  <si>
    <t>SL_25_30_50</t>
  </si>
  <si>
    <t>Material testing laboratories</t>
  </si>
  <si>
    <t>SL_25_30_66</t>
  </si>
  <si>
    <t>Physics laboratories</t>
  </si>
  <si>
    <t>SL_25_30_68</t>
  </si>
  <si>
    <t>Psychology laboratories</t>
  </si>
  <si>
    <t>SL_25_30_70</t>
  </si>
  <si>
    <t>Radiation shielded rooms</t>
  </si>
  <si>
    <t>SL_25_30_76</t>
  </si>
  <si>
    <t>Scientific equipment rooms</t>
  </si>
  <si>
    <t>SL_25_30_78</t>
  </si>
  <si>
    <t>Seismograph rooms</t>
  </si>
  <si>
    <t>SL_25_30_88</t>
  </si>
  <si>
    <t>Testing rooms</t>
  </si>
  <si>
    <t>SL_25_50</t>
  </si>
  <si>
    <t>Exhibition spaces</t>
  </si>
  <si>
    <t>SL_25_50_15</t>
  </si>
  <si>
    <t>Collection exhibition spaces</t>
  </si>
  <si>
    <t>SL_25_50_16</t>
  </si>
  <si>
    <t>Conservation rooms</t>
  </si>
  <si>
    <t>SL_25_50_21</t>
  </si>
  <si>
    <t>Diorama rooms</t>
  </si>
  <si>
    <t>SL_25_50_26</t>
  </si>
  <si>
    <t>External galleries</t>
  </si>
  <si>
    <t>SL_25_50_29</t>
  </si>
  <si>
    <t>Fauna exhibition spaces</t>
  </si>
  <si>
    <t>SL_25_50_31</t>
  </si>
  <si>
    <t>Flora exhibition spaces</t>
  </si>
  <si>
    <t>SL_25_50_42</t>
  </si>
  <si>
    <t>Internal galleries</t>
  </si>
  <si>
    <t>SL_25_50_63</t>
  </si>
  <si>
    <t>Planetariums</t>
  </si>
  <si>
    <t>SL_25_50_94</t>
  </si>
  <si>
    <t>Viewing spaces</t>
  </si>
  <si>
    <t>SL_25_70</t>
  </si>
  <si>
    <t>Information spaces</t>
  </si>
  <si>
    <t>SL_25_70_02</t>
  </si>
  <si>
    <t>Archives</t>
  </si>
  <si>
    <t>SL_25_70_04</t>
  </si>
  <si>
    <t>Audio-visual archives</t>
  </si>
  <si>
    <t>SL_25_70_05</t>
  </si>
  <si>
    <t>Audio-visual study rooms</t>
  </si>
  <si>
    <t>SL_25_70_13</t>
  </si>
  <si>
    <t>Conference rooms</t>
  </si>
  <si>
    <t>SL_25_70_47</t>
  </si>
  <si>
    <t>Library rooms</t>
  </si>
  <si>
    <t>SL_25_70_72</t>
  </si>
  <si>
    <t>Reading rooms</t>
  </si>
  <si>
    <t>SL_25_70_73</t>
  </si>
  <si>
    <t>Records stores</t>
  </si>
  <si>
    <t>SL_25_90</t>
  </si>
  <si>
    <t>Worship spaces</t>
  </si>
  <si>
    <t>SL_25_90_30</t>
  </si>
  <si>
    <t>Faith spaces</t>
  </si>
  <si>
    <t>SL_25_90_65</t>
  </si>
  <si>
    <t>Prayer rooms</t>
  </si>
  <si>
    <t>SL_25_90_78</t>
  </si>
  <si>
    <t>Shrines</t>
  </si>
  <si>
    <t>SL_30</t>
  </si>
  <si>
    <t>Industrial spaces</t>
  </si>
  <si>
    <t>SL_30_10</t>
  </si>
  <si>
    <t>Mineral extraction spaces</t>
  </si>
  <si>
    <t>SL_30_10_57</t>
  </si>
  <si>
    <t>Offshore oil and gas drilling spaces</t>
  </si>
  <si>
    <t>SL_30_10_59</t>
  </si>
  <si>
    <t>Onshore oil and gas drilling spaces</t>
  </si>
  <si>
    <t>SL_30_10_69</t>
  </si>
  <si>
    <t>Quarrying areas</t>
  </si>
  <si>
    <t>SL_30_10_85</t>
  </si>
  <si>
    <t>Surface mine workings</t>
  </si>
  <si>
    <t>SL_30_10_91</t>
  </si>
  <si>
    <t>Underground mine chambers</t>
  </si>
  <si>
    <t>SL_30_10_93</t>
  </si>
  <si>
    <t>Underground mine shafts</t>
  </si>
  <si>
    <t>SL_30_10_94</t>
  </si>
  <si>
    <t>Underground mine tunnels</t>
  </si>
  <si>
    <t>SL_30_20</t>
  </si>
  <si>
    <t>Nuclear and chemical management spaces</t>
  </si>
  <si>
    <t>SL_30_20_70</t>
  </si>
  <si>
    <t>Radioactive decontamination spaces</t>
  </si>
  <si>
    <t>SL_30_20_75</t>
  </si>
  <si>
    <t>Radioactive waste package transfer spaces</t>
  </si>
  <si>
    <t>SL_30_30</t>
  </si>
  <si>
    <t>Mineral processing spaces</t>
  </si>
  <si>
    <t>SL_30_30_33</t>
  </si>
  <si>
    <t>Gas processing spaces</t>
  </si>
  <si>
    <t>SL_30_30_58</t>
  </si>
  <si>
    <t>Oil processing spaces</t>
  </si>
  <si>
    <t>SL_30_30_59</t>
  </si>
  <si>
    <t>Ore processing spaces</t>
  </si>
  <si>
    <t>SL_30_40</t>
  </si>
  <si>
    <t>Animal and plant products processing spaces</t>
  </si>
  <si>
    <t>SL_30_40_07</t>
  </si>
  <si>
    <t>Bottling rooms</t>
  </si>
  <si>
    <t>SL_30_40_10</t>
  </si>
  <si>
    <t>Butter making rooms</t>
  </si>
  <si>
    <t>SL_30_40_18</t>
  </si>
  <si>
    <t>Cheese making rooms</t>
  </si>
  <si>
    <t>SL_30_40_30</t>
  </si>
  <si>
    <t>Fish processing rooms</t>
  </si>
  <si>
    <t>SL_30_40_32</t>
  </si>
  <si>
    <t>Fresh fruit and vegetable packing rooms</t>
  </si>
  <si>
    <t>SL_30_40_44</t>
  </si>
  <si>
    <t>Juicing rooms</t>
  </si>
  <si>
    <t>SL_30_40_50</t>
  </si>
  <si>
    <t>Meat processing rooms</t>
  </si>
  <si>
    <t>SL_30_40_54</t>
  </si>
  <si>
    <t>Milk processing rooms</t>
  </si>
  <si>
    <t>SL_30_40_63</t>
  </si>
  <si>
    <t>Plant fibre sorting rooms</t>
  </si>
  <si>
    <t>SL_30_40_65</t>
  </si>
  <si>
    <t>Poultry and game processing rooms</t>
  </si>
  <si>
    <t>SL_30_40_75</t>
  </si>
  <si>
    <t>Saw mills</t>
  </si>
  <si>
    <t>SL_30_40_80</t>
  </si>
  <si>
    <t>Silk production rooms</t>
  </si>
  <si>
    <t>SL_30_40_82</t>
  </si>
  <si>
    <t>Spinning rooms</t>
  </si>
  <si>
    <t>SL_30_40_87</t>
  </si>
  <si>
    <t>Tanneries</t>
  </si>
  <si>
    <t>SL_30_40_88</t>
  </si>
  <si>
    <t>Threshing rooms</t>
  </si>
  <si>
    <t>SL_30_40_90</t>
  </si>
  <si>
    <t>Tobacco drying rooms</t>
  </si>
  <si>
    <t>SL_30_40_96</t>
  </si>
  <si>
    <t>Weaving rooms</t>
  </si>
  <si>
    <t>SL_30_40_98</t>
  </si>
  <si>
    <t>Wool sorting rooms</t>
  </si>
  <si>
    <t>SL_30_50</t>
  </si>
  <si>
    <t>Manufacturing spaces</t>
  </si>
  <si>
    <t>SL_30_50_27</t>
  </si>
  <si>
    <t>Electronics clean rooms</t>
  </si>
  <si>
    <t>SL_30_50_30</t>
  </si>
  <si>
    <t>Heavy industrial spaces</t>
  </si>
  <si>
    <t>SL_30_50_40</t>
  </si>
  <si>
    <t>Kiln rooms</t>
  </si>
  <si>
    <t>SL_30_50_43</t>
  </si>
  <si>
    <t>Light industrial spaces</t>
  </si>
  <si>
    <t>SL_30_50_50</t>
  </si>
  <si>
    <t>Manufacturing workshops</t>
  </si>
  <si>
    <t>SL_30_50_60</t>
  </si>
  <si>
    <t>Packaging lines</t>
  </si>
  <si>
    <t>SL_30_50_61</t>
  </si>
  <si>
    <t>Paint spray booths</t>
  </si>
  <si>
    <t>SL_30_50_62</t>
  </si>
  <si>
    <t>Pharmaceuticals clean rooms</t>
  </si>
  <si>
    <t>SL_30_50_64</t>
  </si>
  <si>
    <t>Printing spaces</t>
  </si>
  <si>
    <t>SL_30_60</t>
  </si>
  <si>
    <t>Cleaning and maintenance spaces</t>
  </si>
  <si>
    <t>SL_30_60_11</t>
  </si>
  <si>
    <t>Caretaker rooms</t>
  </si>
  <si>
    <t>SL_30_60_13</t>
  </si>
  <si>
    <t>Clothes drying and airing rooms</t>
  </si>
  <si>
    <t>SL_30_60_22</t>
  </si>
  <si>
    <t>Decontamination spaces</t>
  </si>
  <si>
    <t>SL_30_60_24</t>
  </si>
  <si>
    <t>Dry cleaning spaces</t>
  </si>
  <si>
    <t>SL_30_60_42</t>
  </si>
  <si>
    <t>Ironing rooms</t>
  </si>
  <si>
    <t>SL_30_60_46</t>
  </si>
  <si>
    <t>Laundrettes</t>
  </si>
  <si>
    <t>SL_30_60_47</t>
  </si>
  <si>
    <t>Laundries</t>
  </si>
  <si>
    <t>SL_30_60_50</t>
  </si>
  <si>
    <t>Maintenance workshops</t>
  </si>
  <si>
    <t>SL_30_60_75</t>
  </si>
  <si>
    <t>Service laundries</t>
  </si>
  <si>
    <t>SL_30_60_94</t>
  </si>
  <si>
    <t>Vehicle washes</t>
  </si>
  <si>
    <t>SL_30_60_96</t>
  </si>
  <si>
    <t>Wash up spaces</t>
  </si>
  <si>
    <t>SL_30_80</t>
  </si>
  <si>
    <t>Kinetic power generation spaces</t>
  </si>
  <si>
    <t>SL_30_80_96</t>
  </si>
  <si>
    <t>Water mill houses</t>
  </si>
  <si>
    <t>SL_30_80_97</t>
  </si>
  <si>
    <t>Wind mill houses</t>
  </si>
  <si>
    <t>SL_30_85</t>
  </si>
  <si>
    <t>Marine and water maintenance spaces</t>
  </si>
  <si>
    <t>SL_30_85_08</t>
  </si>
  <si>
    <t>Boat repair spaces</t>
  </si>
  <si>
    <t>SL_30_85_24</t>
  </si>
  <si>
    <t>Dry dock chambers</t>
  </si>
  <si>
    <t>SL_30_85_30</t>
  </si>
  <si>
    <t>Floating docks</t>
  </si>
  <si>
    <t>SL_30_85_97</t>
  </si>
  <si>
    <t>Wet docks</t>
  </si>
  <si>
    <t>SL_30_90</t>
  </si>
  <si>
    <t>Warehousing and distribution spaces</t>
  </si>
  <si>
    <t>SL_30_90_33</t>
  </si>
  <si>
    <t>Goods delivery bays</t>
  </si>
  <si>
    <t>SL_30_90_48</t>
  </si>
  <si>
    <t>Loading docks</t>
  </si>
  <si>
    <t>SL_30_90_80</t>
  </si>
  <si>
    <t>Sorting and distribution spaces</t>
  </si>
  <si>
    <t>SL_30_90_84</t>
  </si>
  <si>
    <t>Storage yards</t>
  </si>
  <si>
    <t>SL_30_90_96</t>
  </si>
  <si>
    <t>Warehouse spaces</t>
  </si>
  <si>
    <t>SL_32</t>
  </si>
  <si>
    <t>Water and land management spaces</t>
  </si>
  <si>
    <t>SL_32_10</t>
  </si>
  <si>
    <t>Agricultural and horticultural spaces</t>
  </si>
  <si>
    <t>SL_32_10_03</t>
  </si>
  <si>
    <t>Arable fields</t>
  </si>
  <si>
    <t>SL_32_10_26</t>
  </si>
  <si>
    <t>Farm yards</t>
  </si>
  <si>
    <t>SL_32_10_28</t>
  </si>
  <si>
    <t>Fisheries</t>
  </si>
  <si>
    <t>SL_32_10_30</t>
  </si>
  <si>
    <t>Fish farm tanks</t>
  </si>
  <si>
    <t>SL_32_10_34</t>
  </si>
  <si>
    <t>Glasshouse spaces</t>
  </si>
  <si>
    <t>SL_32_10_39</t>
  </si>
  <si>
    <t>Hothouse spaces</t>
  </si>
  <si>
    <t>SL_32_10_47</t>
  </si>
  <si>
    <t>Livestock fields</t>
  </si>
  <si>
    <t>SL_32_10_52</t>
  </si>
  <si>
    <t>Milking parlours</t>
  </si>
  <si>
    <t>SL_32_10_55</t>
  </si>
  <si>
    <t>Mushroom cultivation spaces</t>
  </si>
  <si>
    <t>SL_32_10_60</t>
  </si>
  <si>
    <t>Paddocks</t>
  </si>
  <si>
    <t>SL_32_10_65</t>
  </si>
  <si>
    <t>Poly tunnel spaces</t>
  </si>
  <si>
    <t>SL_32_10_66</t>
  </si>
  <si>
    <t>Poultry batteries</t>
  </si>
  <si>
    <t>SL_32_10_77</t>
  </si>
  <si>
    <t>Shearing spaces</t>
  </si>
  <si>
    <t>SL_32_10_78</t>
  </si>
  <si>
    <t>Sheep dips</t>
  </si>
  <si>
    <t>SL_32_10_94</t>
  </si>
  <si>
    <t>Vineyard spaces</t>
  </si>
  <si>
    <t>SL_32_35</t>
  </si>
  <si>
    <t>Ground spaces</t>
  </si>
  <si>
    <t>SL_32_35_22</t>
  </si>
  <si>
    <t>Decking areas</t>
  </si>
  <si>
    <t>SL_32_35_24</t>
  </si>
  <si>
    <t>Driveways</t>
  </si>
  <si>
    <t>SL_32_35_30</t>
  </si>
  <si>
    <t>Flower beds</t>
  </si>
  <si>
    <t>SL_32_35_46</t>
  </si>
  <si>
    <t>Lawns</t>
  </si>
  <si>
    <t>SL_32_35_60</t>
  </si>
  <si>
    <t>Patios</t>
  </si>
  <si>
    <t>SL_32_35_94</t>
  </si>
  <si>
    <t>Vegetable gardens</t>
  </si>
  <si>
    <t>SL_32_40</t>
  </si>
  <si>
    <t>Land managed spaces</t>
  </si>
  <si>
    <t>SL_32_40_90</t>
  </si>
  <si>
    <t>Tree protection zones</t>
  </si>
  <si>
    <t>SL_32_50</t>
  </si>
  <si>
    <t>Marine ways and waterway spaces</t>
  </si>
  <si>
    <t>SL_32_50_06</t>
  </si>
  <si>
    <t>Beach ramps</t>
  </si>
  <si>
    <t>SL_32_50_18</t>
  </si>
  <si>
    <t>Deep berths</t>
  </si>
  <si>
    <t>SL_32_50_47</t>
  </si>
  <si>
    <t>Lifeboat vessel launch spaces</t>
  </si>
  <si>
    <t>SL_32_50_79</t>
  </si>
  <si>
    <t>Slipways</t>
  </si>
  <si>
    <t>SL_32_60</t>
  </si>
  <si>
    <t>Marine and waterside spaces</t>
  </si>
  <si>
    <t>SL_32_60_06</t>
  </si>
  <si>
    <t>Beaches</t>
  </si>
  <si>
    <t>SL_32_60_55</t>
  </si>
  <si>
    <t>Mudflats</t>
  </si>
  <si>
    <t>SL_32_60_65</t>
  </si>
  <si>
    <t>Pontoons</t>
  </si>
  <si>
    <t>SL_32_60_76</t>
  </si>
  <si>
    <t>Sand dunes</t>
  </si>
  <si>
    <t>SL_32_65</t>
  </si>
  <si>
    <t>Natural spaces</t>
  </si>
  <si>
    <t>SL_32_65_37</t>
  </si>
  <si>
    <t>Heathlands</t>
  </si>
  <si>
    <t>SL_32_65_50</t>
  </si>
  <si>
    <t>Marshes and wet grasslands</t>
  </si>
  <si>
    <t>SL_32_65_51</t>
  </si>
  <si>
    <t>Meadows</t>
  </si>
  <si>
    <t>SL_32_65_53</t>
  </si>
  <si>
    <t>Moorlands</t>
  </si>
  <si>
    <t>SL_32_65_59</t>
  </si>
  <si>
    <t>Open grasslands</t>
  </si>
  <si>
    <t>SL_32_65_71</t>
  </si>
  <si>
    <t>River beds</t>
  </si>
  <si>
    <t>SL_32_65_72</t>
  </si>
  <si>
    <t>River reaches</t>
  </si>
  <si>
    <t>SL_32_65_73</t>
  </si>
  <si>
    <t>Rocks and screes</t>
  </si>
  <si>
    <t>SL_32_65_76</t>
  </si>
  <si>
    <t>Scrub</t>
  </si>
  <si>
    <t>SL_32_65_82</t>
  </si>
  <si>
    <t>Species rich grassland</t>
  </si>
  <si>
    <t>SL_32_65_95</t>
  </si>
  <si>
    <t>Washland</t>
  </si>
  <si>
    <t>SL_32_80</t>
  </si>
  <si>
    <t>Semi-natural spaces</t>
  </si>
  <si>
    <t>SL_32_80_03</t>
  </si>
  <si>
    <t>Amenity grass areas</t>
  </si>
  <si>
    <t>SL_32_80_08</t>
  </si>
  <si>
    <t>Brownfield sites</t>
  </si>
  <si>
    <t>SL_32_80_23</t>
  </si>
  <si>
    <t>Disused mineral extraction sites</t>
  </si>
  <si>
    <t>SL_32_80_50</t>
  </si>
  <si>
    <t>Mowing strips</t>
  </si>
  <si>
    <t>SL_32_80_89</t>
  </si>
  <si>
    <t>Transport corridor verges</t>
  </si>
  <si>
    <t>SL_35</t>
  </si>
  <si>
    <t>Medical, health, welfare and sanitary spaces</t>
  </si>
  <si>
    <t>SL_35_10</t>
  </si>
  <si>
    <t>Medical spaces</t>
  </si>
  <si>
    <t>SL_35_10_08</t>
  </si>
  <si>
    <t>Birthing rooms</t>
  </si>
  <si>
    <t>SL_35_10_10</t>
  </si>
  <si>
    <t>Burns units</t>
  </si>
  <si>
    <t>SL_35_10_15</t>
  </si>
  <si>
    <t>Consulting rooms</t>
  </si>
  <si>
    <t>SL_35_10_30</t>
  </si>
  <si>
    <t>First aid posts</t>
  </si>
  <si>
    <t>SL_35_10_31</t>
  </si>
  <si>
    <t>First aid rooms</t>
  </si>
  <si>
    <t>SL_35_10_36</t>
  </si>
  <si>
    <t>Hearing test rooms</t>
  </si>
  <si>
    <t>SL_35_10_39</t>
  </si>
  <si>
    <t>Hydrotherapy pools</t>
  </si>
  <si>
    <t>SL_35_10_42</t>
  </si>
  <si>
    <t>Intensive care units</t>
  </si>
  <si>
    <t>SL_35_10_43</t>
  </si>
  <si>
    <t>Isolation units</t>
  </si>
  <si>
    <t>SL_35_10_51</t>
  </si>
  <si>
    <t>Medical scanning and x-ray rooms</t>
  </si>
  <si>
    <t>SL_35_10_53</t>
  </si>
  <si>
    <t>Medical treatment spaces</t>
  </si>
  <si>
    <t>SL_35_10_58</t>
  </si>
  <si>
    <t>Occupational therapy rooms</t>
  </si>
  <si>
    <t>SL_35_10_59</t>
  </si>
  <si>
    <t>Operating theatres</t>
  </si>
  <si>
    <t>SL_35_10_64</t>
  </si>
  <si>
    <t>Pharmaceutical dispensaries</t>
  </si>
  <si>
    <t>SL_35_10_65</t>
  </si>
  <si>
    <t>Phototherapy spaces</t>
  </si>
  <si>
    <t>SL_35_10_66</t>
  </si>
  <si>
    <t>Physiotherapy rooms</t>
  </si>
  <si>
    <t>SL_35_10_70</t>
  </si>
  <si>
    <t>Radiography rooms</t>
  </si>
  <si>
    <t>SL_35_10_71</t>
  </si>
  <si>
    <t>Radiotherapy rooms</t>
  </si>
  <si>
    <t>SL_35_10_73</t>
  </si>
  <si>
    <t>Recovery rooms</t>
  </si>
  <si>
    <t>SL_35_10_74</t>
  </si>
  <si>
    <t>Rehabilitation rooms</t>
  </si>
  <si>
    <t>SL_35_10_96</t>
  </si>
  <si>
    <t>Wards</t>
  </si>
  <si>
    <t>SL_35_50</t>
  </si>
  <si>
    <t>Welfare spaces</t>
  </si>
  <si>
    <t>SL_35_50_17</t>
  </si>
  <si>
    <t>Crèches and nurseries</t>
  </si>
  <si>
    <t>SL_35_50_21</t>
  </si>
  <si>
    <t>Day care spaces</t>
  </si>
  <si>
    <t>SL_35_50_60</t>
  </si>
  <si>
    <t>Parent and baby rooms</t>
  </si>
  <si>
    <t>SL_35_50_75</t>
  </si>
  <si>
    <t>Sauna rooms</t>
  </si>
  <si>
    <t>SL_35_50_90</t>
  </si>
  <si>
    <t>Treatment rooms</t>
  </si>
  <si>
    <t>SL_35_60</t>
  </si>
  <si>
    <t>Food management spaces</t>
  </si>
  <si>
    <t>SL_35_60_14</t>
  </si>
  <si>
    <t>Commercial kitchens</t>
  </si>
  <si>
    <t>SL_35_60_16</t>
  </si>
  <si>
    <t>Cooking spaces</t>
  </si>
  <si>
    <t>SL_35_60_30</t>
  </si>
  <si>
    <t>Food preparation areas</t>
  </si>
  <si>
    <t>SL_35_60_56</t>
  </si>
  <si>
    <t>Non-domestic kitchens</t>
  </si>
  <si>
    <t>SL_35_70</t>
  </si>
  <si>
    <t>Funerary spaces</t>
  </si>
  <si>
    <t>SL_35_70_12</t>
  </si>
  <si>
    <t>Cemetery plots</t>
  </si>
  <si>
    <t>SL_35_70_15</t>
  </si>
  <si>
    <t>Columbariums</t>
  </si>
  <si>
    <t>SL_35_70_18</t>
  </si>
  <si>
    <t>Crematorium oven rooms</t>
  </si>
  <si>
    <t>SL_35_70_32</t>
  </si>
  <si>
    <t>Funeral vaults</t>
  </si>
  <si>
    <t>SL_35_70_50</t>
  </si>
  <si>
    <t>Mausoleums</t>
  </si>
  <si>
    <t>SL_35_70_90</t>
  </si>
  <si>
    <t>Tombs</t>
  </si>
  <si>
    <t>SL_35_80</t>
  </si>
  <si>
    <t>Sanitary spaces</t>
  </si>
  <si>
    <t>SL_35_80_06</t>
  </si>
  <si>
    <t>Baby changing rooms</t>
  </si>
  <si>
    <t>SL_35_80_08</t>
  </si>
  <si>
    <t>Bathrooms</t>
  </si>
  <si>
    <t>SL_35_80_59</t>
  </si>
  <si>
    <t>Open shower areas</t>
  </si>
  <si>
    <t>SL_35_80_68</t>
  </si>
  <si>
    <t>Public toilets</t>
  </si>
  <si>
    <t>SL_35_80_80</t>
  </si>
  <si>
    <t>Showers</t>
  </si>
  <si>
    <t>SL_35_80_89</t>
  </si>
  <si>
    <t>Toilets</t>
  </si>
  <si>
    <t>SL_35_85</t>
  </si>
  <si>
    <t>Animal spaces</t>
  </si>
  <si>
    <t>SL_35_85_00</t>
  </si>
  <si>
    <t>Animal arks</t>
  </si>
  <si>
    <t>SL_35_85_01</t>
  </si>
  <si>
    <t>Animal cages</t>
  </si>
  <si>
    <t>SL_35_85_03</t>
  </si>
  <si>
    <t>Animal enclosures</t>
  </si>
  <si>
    <t>SL_35_85_04</t>
  </si>
  <si>
    <t>Animal exercise arenas</t>
  </si>
  <si>
    <t>SL_35_85_05</t>
  </si>
  <si>
    <t>Aviaries</t>
  </si>
  <si>
    <t>SL_35_85_12</t>
  </si>
  <si>
    <t>Cattle byres</t>
  </si>
  <si>
    <t>SL_35_85_39</t>
  </si>
  <si>
    <t>Fish tanks</t>
  </si>
  <si>
    <t>SL_35_85_45</t>
  </si>
  <si>
    <t>Kennels</t>
  </si>
  <si>
    <t>SL_35_85_47</t>
  </si>
  <si>
    <t>Loose boxes</t>
  </si>
  <si>
    <t>SL_35_85_62</t>
  </si>
  <si>
    <t>Pens</t>
  </si>
  <si>
    <t>SL_35_85_83</t>
  </si>
  <si>
    <t>Stables</t>
  </si>
  <si>
    <t>SL_35_85_84</t>
  </si>
  <si>
    <t>Stable yards</t>
  </si>
  <si>
    <t>SL_35_85_85</t>
  </si>
  <si>
    <t>Stalls</t>
  </si>
  <si>
    <t>SL_35_85_86</t>
  </si>
  <si>
    <t>Sties</t>
  </si>
  <si>
    <t>SL_35_85_88</t>
  </si>
  <si>
    <t>Tack rooms</t>
  </si>
  <si>
    <t>SL_35_90</t>
  </si>
  <si>
    <t>Animal medical, health, welfare and funerary spaces</t>
  </si>
  <si>
    <t>SL_35_90_10</t>
  </si>
  <si>
    <t>Animal burial plots</t>
  </si>
  <si>
    <t>SL_35_90_15</t>
  </si>
  <si>
    <t>Animal clinics</t>
  </si>
  <si>
    <t>SL_35_90_22</t>
  </si>
  <si>
    <t>Animal dispensaries</t>
  </si>
  <si>
    <t>SL_35_90_32</t>
  </si>
  <si>
    <t>Animal funerary spaces</t>
  </si>
  <si>
    <t>SL_35_90_34</t>
  </si>
  <si>
    <t>Animal grooming facilities</t>
  </si>
  <si>
    <t>SL_35_90_37</t>
  </si>
  <si>
    <t>Animal hydrotherapy pools</t>
  </si>
  <si>
    <t>SL_35_90_59</t>
  </si>
  <si>
    <t>Animal operating theatres</t>
  </si>
  <si>
    <t>SL_35_90_72</t>
  </si>
  <si>
    <t>Animal wards</t>
  </si>
  <si>
    <t>SL_40</t>
  </si>
  <si>
    <t>Recreational spaces</t>
  </si>
  <si>
    <t>SL_40_05</t>
  </si>
  <si>
    <t>Amusement spaces</t>
  </si>
  <si>
    <t>SL_40_05_03</t>
  </si>
  <si>
    <t>Amusement arcades</t>
  </si>
  <si>
    <t>SL_40_05_13</t>
  </si>
  <si>
    <t>Casino floors</t>
  </si>
  <si>
    <t>SL_40_05_42</t>
  </si>
  <si>
    <t>Indoor fairground spaces</t>
  </si>
  <si>
    <t>SL_40_05_43</t>
  </si>
  <si>
    <t>Indoor play spaces</t>
  </si>
  <si>
    <t>SL_40_05_58</t>
  </si>
  <si>
    <t>Observation decks</t>
  </si>
  <si>
    <t>SL_40_05_59</t>
  </si>
  <si>
    <t>Outdoor activity areas</t>
  </si>
  <si>
    <t>SL_40_05_60</t>
  </si>
  <si>
    <t>Outdoor fairground spaces</t>
  </si>
  <si>
    <t>SL_40_05_61</t>
  </si>
  <si>
    <t>Outdoor playgrounds</t>
  </si>
  <si>
    <t>SL_40_05_68</t>
  </si>
  <si>
    <t>Public parks and gardens</t>
  </si>
  <si>
    <t>SL_40_20</t>
  </si>
  <si>
    <t>Dining spaces</t>
  </si>
  <si>
    <t>SL_40_20_06</t>
  </si>
  <si>
    <t>Bars</t>
  </si>
  <si>
    <t>SL_40_20_09</t>
  </si>
  <si>
    <t>Beverage stations</t>
  </si>
  <si>
    <t>SL_40_20_27</t>
  </si>
  <si>
    <t>Enclosed dining areas</t>
  </si>
  <si>
    <t>SL_40_20_28</t>
  </si>
  <si>
    <t>Food courts</t>
  </si>
  <si>
    <t>SL_40_20_59</t>
  </si>
  <si>
    <t>Outdoor dining areas</t>
  </si>
  <si>
    <t>SL_40_60</t>
  </si>
  <si>
    <t>Performing arts spaces</t>
  </si>
  <si>
    <t>SL_40_60_05</t>
  </si>
  <si>
    <t>Auditoriums</t>
  </si>
  <si>
    <t>SL_40_60_06</t>
  </si>
  <si>
    <t>Bandstands</t>
  </si>
  <si>
    <t>SL_40_60_11</t>
  </si>
  <si>
    <t>Cat walks</t>
  </si>
  <si>
    <t>SL_40_60_13</t>
  </si>
  <si>
    <t>Circus rings</t>
  </si>
  <si>
    <t>SL_40_60_21</t>
  </si>
  <si>
    <t>Dance floors</t>
  </si>
  <si>
    <t>SL_40_60_31</t>
  </si>
  <si>
    <t>Fixed stages</t>
  </si>
  <si>
    <t>SL_40_60_40</t>
  </si>
  <si>
    <t>Indoor theatre spaces</t>
  </si>
  <si>
    <t>SL_40_60_52</t>
  </si>
  <si>
    <t>Mobile stages</t>
  </si>
  <si>
    <t>SL_40_60_58</t>
  </si>
  <si>
    <t>Orchestra pits</t>
  </si>
  <si>
    <t>SL_40_60_59</t>
  </si>
  <si>
    <t>Outdoor theatre spaces</t>
  </si>
  <si>
    <t>SL_40_60_78</t>
  </si>
  <si>
    <t>Sound recording studios</t>
  </si>
  <si>
    <t>SL_40_60_80</t>
  </si>
  <si>
    <t>Sound shells</t>
  </si>
  <si>
    <t>SL_40_60_81</t>
  </si>
  <si>
    <t>Sound stages</t>
  </si>
  <si>
    <t>SL_40_65</t>
  </si>
  <si>
    <t>Performing arts ancillary spaces</t>
  </si>
  <si>
    <t>SL_40_65_04</t>
  </si>
  <si>
    <t>Audience lobbies</t>
  </si>
  <si>
    <t>SL_40_65_24</t>
  </si>
  <si>
    <t>Dressing rooms</t>
  </si>
  <si>
    <t>SL_40_65_35</t>
  </si>
  <si>
    <t>Green rooms</t>
  </si>
  <si>
    <t>SL_40_65_47</t>
  </si>
  <si>
    <t>Lighting control booths</t>
  </si>
  <si>
    <t>SL_40_65_66</t>
  </si>
  <si>
    <t>Projection booths</t>
  </si>
  <si>
    <t>SL_40_65_70</t>
  </si>
  <si>
    <t>Recording control booths</t>
  </si>
  <si>
    <t>SL_40_65_72</t>
  </si>
  <si>
    <t>Rehearsal rooms</t>
  </si>
  <si>
    <t>SL_40_65_76</t>
  </si>
  <si>
    <t>Scenery control booths</t>
  </si>
  <si>
    <t>SL_40_65_79</t>
  </si>
  <si>
    <t>Sound control booths</t>
  </si>
  <si>
    <t>SL_40_65_80</t>
  </si>
  <si>
    <t>Sound locks</t>
  </si>
  <si>
    <t>SL_40_65_85</t>
  </si>
  <si>
    <t>Stage wings</t>
  </si>
  <si>
    <t>SL_42</t>
  </si>
  <si>
    <t>Sport and activity spaces</t>
  </si>
  <si>
    <t>SL_42_15</t>
  </si>
  <si>
    <t>Courts, pitches and field sports spaces</t>
  </si>
  <si>
    <t>SL_42_15_37</t>
  </si>
  <si>
    <t>High jump areas</t>
  </si>
  <si>
    <t>SL_42_15_42</t>
  </si>
  <si>
    <t>Indoor sports courts and pitches</t>
  </si>
  <si>
    <t>SL_42_15_44</t>
  </si>
  <si>
    <t>Javelin throwing areas</t>
  </si>
  <si>
    <t>SL_42_15_47</t>
  </si>
  <si>
    <t>Long jump tracks and pits</t>
  </si>
  <si>
    <t>SL_42_15_59</t>
  </si>
  <si>
    <t>Outdoor sports courts</t>
  </si>
  <si>
    <t>SL_42_15_60</t>
  </si>
  <si>
    <t>Outdoor sports pitches and fields</t>
  </si>
  <si>
    <t>SL_42_15_65</t>
  </si>
  <si>
    <t>Pole vaulting areas</t>
  </si>
  <si>
    <t>SL_42_15_74</t>
  </si>
  <si>
    <t>Running tracks</t>
  </si>
  <si>
    <t>SL_42_15_78</t>
  </si>
  <si>
    <t>Shot put and hammer throwing areas</t>
  </si>
  <si>
    <t>SL_42_40</t>
  </si>
  <si>
    <t>Indoor activity spaces</t>
  </si>
  <si>
    <t>SL_42_40_09</t>
  </si>
  <si>
    <t>Bouldering spaces</t>
  </si>
  <si>
    <t>SL_42_40_14</t>
  </si>
  <si>
    <t>Climbing wall areas</t>
  </si>
  <si>
    <t>SL_42_40_20</t>
  </si>
  <si>
    <t>Cycle tracks</t>
  </si>
  <si>
    <t>SL_42_40_23</t>
  </si>
  <si>
    <t>Dojo</t>
  </si>
  <si>
    <t>SL_42_40_30</t>
  </si>
  <si>
    <t>Fitness rooms</t>
  </si>
  <si>
    <t>SL_42_40_35</t>
  </si>
  <si>
    <t>Gymnasiums</t>
  </si>
  <si>
    <t>SL_42_40_37</t>
  </si>
  <si>
    <t>Gymnastics areas</t>
  </si>
  <si>
    <t>SL_42_40_79</t>
  </si>
  <si>
    <t>Snooker, billiards and pool halls</t>
  </si>
  <si>
    <t>SL_42_40_90</t>
  </si>
  <si>
    <t>Ten pin bowling alleys</t>
  </si>
  <si>
    <t>SL_42_55</t>
  </si>
  <si>
    <t>Outdoor activity spaces</t>
  </si>
  <si>
    <t>SL_42_55_01</t>
  </si>
  <si>
    <t>Archery ranges</t>
  </si>
  <si>
    <t>SL_42_55_07</t>
  </si>
  <si>
    <t>BMX cycling tracks</t>
  </si>
  <si>
    <t>SL_42_55_08</t>
  </si>
  <si>
    <t>Bowling greens</t>
  </si>
  <si>
    <t>SL_42_55_17</t>
  </si>
  <si>
    <t>Cross-country cycling courses</t>
  </si>
  <si>
    <t>SL_42_55_18</t>
  </si>
  <si>
    <t>Cross country equestrian courses</t>
  </si>
  <si>
    <t>SL_42_55_19</t>
  </si>
  <si>
    <t>Cross-country rallying courses</t>
  </si>
  <si>
    <t>SL_42_55_20</t>
  </si>
  <si>
    <t>Cross-country running courses</t>
  </si>
  <si>
    <t>SL_42_55_23</t>
  </si>
  <si>
    <t>Dog racing tracks</t>
  </si>
  <si>
    <t>SL_42_55_26</t>
  </si>
  <si>
    <t>Equestrian arenas</t>
  </si>
  <si>
    <t>SL_42_55_35</t>
  </si>
  <si>
    <t>Golf fairways</t>
  </si>
  <si>
    <t>SL_42_55_39</t>
  </si>
  <si>
    <t>Horse racing courses</t>
  </si>
  <si>
    <t>SL_42_55_53</t>
  </si>
  <si>
    <t>Motor racing tracks</t>
  </si>
  <si>
    <t>SL_42_55_60</t>
  </si>
  <si>
    <t>Parkour courses</t>
  </si>
  <si>
    <t>SL_42_55_65</t>
  </si>
  <si>
    <t>Putting greens</t>
  </si>
  <si>
    <t>SL_42_55_72</t>
  </si>
  <si>
    <t>Road running courses</t>
  </si>
  <si>
    <t>SL_42_55_76</t>
  </si>
  <si>
    <t>Skateboarding parks</t>
  </si>
  <si>
    <t>SL_42_55_82</t>
  </si>
  <si>
    <t>Speedway tracks</t>
  </si>
  <si>
    <t>SL_42_55_96</t>
  </si>
  <si>
    <t>Walking trails</t>
  </si>
  <si>
    <t>SL_42_80</t>
  </si>
  <si>
    <t>Sports and activity ancillary spaces</t>
  </si>
  <si>
    <t>SL_42_80_65</t>
  </si>
  <si>
    <t>Press boxes</t>
  </si>
  <si>
    <t>SL_42_80_88</t>
  </si>
  <si>
    <t>Technical areas and dugouts</t>
  </si>
  <si>
    <t>SL_42_85</t>
  </si>
  <si>
    <t>Swimming spaces</t>
  </si>
  <si>
    <t>SL_42_85_23</t>
  </si>
  <si>
    <t>Diving pools</t>
  </si>
  <si>
    <t>SL_42_85_64</t>
  </si>
  <si>
    <t>Plunge pools</t>
  </si>
  <si>
    <t>SL_42_85_80</t>
  </si>
  <si>
    <t>Spa pools</t>
  </si>
  <si>
    <t>SL_42_85_82</t>
  </si>
  <si>
    <t>Splash pools</t>
  </si>
  <si>
    <t>SL_42_85_83</t>
  </si>
  <si>
    <t>Swimming pools</t>
  </si>
  <si>
    <t>SL_42_85_94</t>
  </si>
  <si>
    <t>Water flumes, slides and tubes</t>
  </si>
  <si>
    <t>SL_42_85_97</t>
  </si>
  <si>
    <t>Wave pools</t>
  </si>
  <si>
    <t>SL_42_85_98</t>
  </si>
  <si>
    <t>Whirlpools</t>
  </si>
  <si>
    <t>SL_42_90</t>
  </si>
  <si>
    <t>Water activity spaces</t>
  </si>
  <si>
    <t>SL_42_90_11</t>
  </si>
  <si>
    <t>Canoe slalom courses</t>
  </si>
  <si>
    <t>SL_42_90_12</t>
  </si>
  <si>
    <t>Canoe sprint courses</t>
  </si>
  <si>
    <t>SL_42_90_50</t>
  </si>
  <si>
    <t>Motor boat courses</t>
  </si>
  <si>
    <t>SL_42_90_73</t>
  </si>
  <si>
    <t>Rowing courses</t>
  </si>
  <si>
    <t>SL_42_90_75</t>
  </si>
  <si>
    <t>Sailing courses</t>
  </si>
  <si>
    <t>SL_42_90_97</t>
  </si>
  <si>
    <t>Water skiing courses</t>
  </si>
  <si>
    <t>SL_42_90_98</t>
  </si>
  <si>
    <t>White water canoe courses</t>
  </si>
  <si>
    <t>SL_42_95</t>
  </si>
  <si>
    <t>Winter sports spaces</t>
  </si>
  <si>
    <t>SL_42_95_02</t>
  </si>
  <si>
    <t>Alpine skiing courses</t>
  </si>
  <si>
    <t>SL_42_95_04</t>
  </si>
  <si>
    <t>Artificial ski slopes</t>
  </si>
  <si>
    <t>SL_42_95_08</t>
  </si>
  <si>
    <t>Bobsleigh courses</t>
  </si>
  <si>
    <t>SL_42_95_19</t>
  </si>
  <si>
    <t>Cross-country skiing courses</t>
  </si>
  <si>
    <t>SL_42_95_20</t>
  </si>
  <si>
    <t>Curling rinks</t>
  </si>
  <si>
    <t>SL_42_95_32</t>
  </si>
  <si>
    <t>Freestyle skiing courses</t>
  </si>
  <si>
    <t>SL_42_95_40</t>
  </si>
  <si>
    <t>Ice skating rinks</t>
  </si>
  <si>
    <t>SL_42_95_76</t>
  </si>
  <si>
    <t>Short track speed skating tracks</t>
  </si>
  <si>
    <t>SL_42_95_79</t>
  </si>
  <si>
    <t>Ski jumps</t>
  </si>
  <si>
    <t>SL_42_95_80</t>
  </si>
  <si>
    <t>Snowboarding courses</t>
  </si>
  <si>
    <t>SL_42_95_83</t>
  </si>
  <si>
    <t>Speed skating courses</t>
  </si>
  <si>
    <t>SL_45</t>
  </si>
  <si>
    <t>Residential spaces</t>
  </si>
  <si>
    <t>SL_45_10</t>
  </si>
  <si>
    <t>Living spaces</t>
  </si>
  <si>
    <t>SL_45_10_06</t>
  </si>
  <si>
    <t>Balconies</t>
  </si>
  <si>
    <t>SL_45_10_08</t>
  </si>
  <si>
    <t>Bedroom-studies</t>
  </si>
  <si>
    <t>SL_45_10_09</t>
  </si>
  <si>
    <t>Bedrooms</t>
  </si>
  <si>
    <t>SL_45_10_12</t>
  </si>
  <si>
    <t>Caravan pitches</t>
  </si>
  <si>
    <t>SL_45_10_14</t>
  </si>
  <si>
    <t>Communal living rooms</t>
  </si>
  <si>
    <t>SL_45_10_16</t>
  </si>
  <si>
    <t>Concierge offices</t>
  </si>
  <si>
    <t>SL_45_10_18</t>
  </si>
  <si>
    <t>Conservatories</t>
  </si>
  <si>
    <t>SL_45_10_22</t>
  </si>
  <si>
    <t>Domestic dining rooms</t>
  </si>
  <si>
    <t>SL_45_10_23</t>
  </si>
  <si>
    <t>Domestic kitchens</t>
  </si>
  <si>
    <t>SL_45_10_24</t>
  </si>
  <si>
    <t>Dormitories</t>
  </si>
  <si>
    <t>SL_45_10_37</t>
  </si>
  <si>
    <t>Hotel rooms</t>
  </si>
  <si>
    <t>SL_45_10_44</t>
  </si>
  <si>
    <t>Kitchen-dining rooms</t>
  </si>
  <si>
    <t>SL_45_10_49</t>
  </si>
  <si>
    <t>Living rooms</t>
  </si>
  <si>
    <t>SL_45_10_57</t>
  </si>
  <si>
    <t>Nursing home bedrooms</t>
  </si>
  <si>
    <t>SL_45_10_60</t>
  </si>
  <si>
    <t>Panic rooms</t>
  </si>
  <si>
    <t>SL_45_10_85</t>
  </si>
  <si>
    <t>Studies</t>
  </si>
  <si>
    <t>SL_45_10_88</t>
  </si>
  <si>
    <t>Tent pitches</t>
  </si>
  <si>
    <t>SL_45_10_93</t>
  </si>
  <si>
    <t>Utility rooms</t>
  </si>
  <si>
    <t>SL_45_10_94</t>
  </si>
  <si>
    <t>Verandas</t>
  </si>
  <si>
    <t>SL_50</t>
  </si>
  <si>
    <t>Waste disposal spaces and locations</t>
  </si>
  <si>
    <t>SL_50_10</t>
  </si>
  <si>
    <t>Gas waste collection spaces</t>
  </si>
  <si>
    <t>SL_50_20</t>
  </si>
  <si>
    <t>Wet waste collection spaces</t>
  </si>
  <si>
    <t>SL_50_30</t>
  </si>
  <si>
    <t>Drainage collection spaces</t>
  </si>
  <si>
    <t>SL_50_35</t>
  </si>
  <si>
    <t>Drainage collection locations</t>
  </si>
  <si>
    <t>SL_50_35_36</t>
  </si>
  <si>
    <t>Grip inlets</t>
  </si>
  <si>
    <t>SL_50_35_41</t>
  </si>
  <si>
    <t>Inlet discharge</t>
  </si>
  <si>
    <t>SL_50_35_59</t>
  </si>
  <si>
    <t>Outlet discharge</t>
  </si>
  <si>
    <t>SL_50_40</t>
  </si>
  <si>
    <t>Dry waste collection spaces</t>
  </si>
  <si>
    <t>SL_50_40_72</t>
  </si>
  <si>
    <t>Refuse storage space</t>
  </si>
  <si>
    <t>SL_50_50</t>
  </si>
  <si>
    <t>Gas waste treatment and disposal spaces</t>
  </si>
  <si>
    <t>SL_50_50_92</t>
  </si>
  <si>
    <t>Waste gas treatment spaces</t>
  </si>
  <si>
    <t>SL_50_60</t>
  </si>
  <si>
    <t>Wet waste treatment and disposal spaces</t>
  </si>
  <si>
    <t>SL_50_60_28</t>
  </si>
  <si>
    <t>Evaporation ponds</t>
  </si>
  <si>
    <t>SL_50_60_94</t>
  </si>
  <si>
    <t>Waste liquids treatment spaces</t>
  </si>
  <si>
    <t>SL_50_70</t>
  </si>
  <si>
    <t>Drainage treatment and disposal spaces</t>
  </si>
  <si>
    <t>SL_50_75</t>
  </si>
  <si>
    <t>Wastewater treatment and disposal spaces</t>
  </si>
  <si>
    <t>SL_50_75_40</t>
  </si>
  <si>
    <t>Wastewater treatment spaces</t>
  </si>
  <si>
    <t>SL_50_75_70</t>
  </si>
  <si>
    <t>Wastewater disposal spaces</t>
  </si>
  <si>
    <t>SL_50_80</t>
  </si>
  <si>
    <t>Dry waste treatment and disposal spaces</t>
  </si>
  <si>
    <t>SL_50_80_40</t>
  </si>
  <si>
    <t>Dry waste treatment spaces</t>
  </si>
  <si>
    <t>SL_50_80_70</t>
  </si>
  <si>
    <t>Dry waste disposal spaces</t>
  </si>
  <si>
    <t>SL_55</t>
  </si>
  <si>
    <t>Piped supply spaces</t>
  </si>
  <si>
    <t>SL_55_05</t>
  </si>
  <si>
    <t>Gas extraction and treatment spaces</t>
  </si>
  <si>
    <t>SL_55_05_30</t>
  </si>
  <si>
    <t>Gas extraction spaces</t>
  </si>
  <si>
    <t>SL_55_05_70</t>
  </si>
  <si>
    <t>Gas treatment spaces</t>
  </si>
  <si>
    <t>SL_55_10</t>
  </si>
  <si>
    <t>Liquid fuel extraction and treatment spaces</t>
  </si>
  <si>
    <t>SL_55_10_10</t>
  </si>
  <si>
    <t>Oil extraction spaces</t>
  </si>
  <si>
    <t>SL_55_10_50</t>
  </si>
  <si>
    <t>Oil treatment spaces</t>
  </si>
  <si>
    <t>SL_55_15</t>
  </si>
  <si>
    <t>Water extraction and treatment spaces</t>
  </si>
  <si>
    <t>SL_55_15_10</t>
  </si>
  <si>
    <t>Water extraction spaces</t>
  </si>
  <si>
    <t>SL_55_15_50</t>
  </si>
  <si>
    <t>Water treatment spaces</t>
  </si>
  <si>
    <t>SL_55_20</t>
  </si>
  <si>
    <t>Gas supply spaces</t>
  </si>
  <si>
    <t>SL_55_30</t>
  </si>
  <si>
    <t>Fire extinguishing supply spaces</t>
  </si>
  <si>
    <t>SL_55_40</t>
  </si>
  <si>
    <t>Steam supply spaces</t>
  </si>
  <si>
    <t>SL_55_50</t>
  </si>
  <si>
    <t>Liquid fuel supply spaces</t>
  </si>
  <si>
    <t>SL_55_60</t>
  </si>
  <si>
    <t>Process liquid supply spaces</t>
  </si>
  <si>
    <t>SL_55_65</t>
  </si>
  <si>
    <t>Ventilation and air conditioning spaces</t>
  </si>
  <si>
    <t>SL_55_70</t>
  </si>
  <si>
    <t>Water supply spaces</t>
  </si>
  <si>
    <t>SL_55_70_65</t>
  </si>
  <si>
    <t>Private supply pipes</t>
  </si>
  <si>
    <t>SL_55_90</t>
  </si>
  <si>
    <t>Piped solids supply spaces</t>
  </si>
  <si>
    <t>SL_60</t>
  </si>
  <si>
    <t>Heating, cooling and refrigeration spaces</t>
  </si>
  <si>
    <t>SL_60_30</t>
  </si>
  <si>
    <t>Rail and paving heating spaces</t>
  </si>
  <si>
    <t>SL_60_40</t>
  </si>
  <si>
    <t>Space heating and cooling spaces</t>
  </si>
  <si>
    <t>SL_60_60</t>
  </si>
  <si>
    <t>Refrigeration spaces</t>
  </si>
  <si>
    <t>SL_60_80</t>
  </si>
  <si>
    <t>Drying spaces</t>
  </si>
  <si>
    <t>SL_60_80_25</t>
  </si>
  <si>
    <t>Drying rooms</t>
  </si>
  <si>
    <t>SL_70</t>
  </si>
  <si>
    <t>Electrical power generation and lighting spaces</t>
  </si>
  <si>
    <t>SL_70_10</t>
  </si>
  <si>
    <t>Electrical power generation spaces</t>
  </si>
  <si>
    <t>SL_70_10_91</t>
  </si>
  <si>
    <t>Turbine rooms</t>
  </si>
  <si>
    <t>SL_70_30</t>
  </si>
  <si>
    <t>Electricity distribution and transmission spaces</t>
  </si>
  <si>
    <t>SL_70_30_35</t>
  </si>
  <si>
    <t>High-voltage electricity substation chambers</t>
  </si>
  <si>
    <t>SL_70_30_45</t>
  </si>
  <si>
    <t>Low-voltage electricity substation chambers</t>
  </si>
  <si>
    <t>SL_75</t>
  </si>
  <si>
    <t>Communications, security, safety and protection spaces</t>
  </si>
  <si>
    <t>SL_75_10</t>
  </si>
  <si>
    <t>Communications spaces</t>
  </si>
  <si>
    <t>SL_75_10_21</t>
  </si>
  <si>
    <t>Communications equipment rooms</t>
  </si>
  <si>
    <t>SL_75_10_23</t>
  </si>
  <si>
    <t>Digital data transmission networks</t>
  </si>
  <si>
    <t>SL_75_10_70</t>
  </si>
  <si>
    <t>Radio broadcast control booths</t>
  </si>
  <si>
    <t>SL_75_10_73</t>
  </si>
  <si>
    <t>Radio studios</t>
  </si>
  <si>
    <t>SL_75_10_88</t>
  </si>
  <si>
    <t>Telecommunications control spaces</t>
  </si>
  <si>
    <t>SL_75_10_89</t>
  </si>
  <si>
    <t>Telephone boxes and booths</t>
  </si>
  <si>
    <t>SL_75_10_90</t>
  </si>
  <si>
    <t>Telephone exchange spaces</t>
  </si>
  <si>
    <t>SL_75_10_91</t>
  </si>
  <si>
    <t>Television broadcast control booths</t>
  </si>
  <si>
    <t>SL_75_10_93</t>
  </si>
  <si>
    <t>Television studios</t>
  </si>
  <si>
    <t>SL_75_30</t>
  </si>
  <si>
    <t>Signalling spaces</t>
  </si>
  <si>
    <t>SL_75_30_80</t>
  </si>
  <si>
    <t>Signal boxes</t>
  </si>
  <si>
    <t>SL_75_40</t>
  </si>
  <si>
    <t>Electronic security spaces</t>
  </si>
  <si>
    <t>SL_75_40_28</t>
  </si>
  <si>
    <t>Electronic security control rooms</t>
  </si>
  <si>
    <t>SL_75_50</t>
  </si>
  <si>
    <t>Safety and protection spaces</t>
  </si>
  <si>
    <t>SL_75_60</t>
  </si>
  <si>
    <t>Environmental safety</t>
  </si>
  <si>
    <t>SL_75_70</t>
  </si>
  <si>
    <t>Control and management spaces</t>
  </si>
  <si>
    <t>SL_75_80</t>
  </si>
  <si>
    <t>Protection spaces</t>
  </si>
  <si>
    <t>SL_80</t>
  </si>
  <si>
    <t>Transport spaces</t>
  </si>
  <si>
    <t>SL_80_05</t>
  </si>
  <si>
    <t>Aerospace ground spaces</t>
  </si>
  <si>
    <t>SL_80_05_02</t>
  </si>
  <si>
    <t>Aeroplane landing strips</t>
  </si>
  <si>
    <t>SL_80_05_03</t>
  </si>
  <si>
    <t>Aeroplane runways</t>
  </si>
  <si>
    <t>SL_80_05_04</t>
  </si>
  <si>
    <t>Aircraft fuelling spaces</t>
  </si>
  <si>
    <t>SL_80_05_05</t>
  </si>
  <si>
    <t>Aircraft manoeuvring areas</t>
  </si>
  <si>
    <t>SL_80_05_06</t>
  </si>
  <si>
    <t>Aircraft standing areas</t>
  </si>
  <si>
    <t>SL_80_05_07</t>
  </si>
  <si>
    <t>Aircraft storage spaces</t>
  </si>
  <si>
    <t>SL_80_05_33</t>
  </si>
  <si>
    <t>Gliding runways</t>
  </si>
  <si>
    <t>SL_80_05_37</t>
  </si>
  <si>
    <t>Hang gliding launch spaces</t>
  </si>
  <si>
    <t>SL_80_05_38</t>
  </si>
  <si>
    <t>Helipads</t>
  </si>
  <si>
    <t>SL_80_05_82</t>
  </si>
  <si>
    <t>Spacecraft landing strips</t>
  </si>
  <si>
    <t>SL_80_05_84</t>
  </si>
  <si>
    <t>Spacecraft launch pads</t>
  </si>
  <si>
    <t>SL_80_10</t>
  </si>
  <si>
    <t>Loading and embarkation spaces</t>
  </si>
  <si>
    <t>SL_80_10_06</t>
  </si>
  <si>
    <t>Baggage claim areas</t>
  </si>
  <si>
    <t>SL_80_10_07</t>
  </si>
  <si>
    <t>Baggage handling areas</t>
  </si>
  <si>
    <t>SL_80_10_09</t>
  </si>
  <si>
    <t>Boarding areas</t>
  </si>
  <si>
    <t>SL_80_10_10</t>
  </si>
  <si>
    <t>Bus stops</t>
  </si>
  <si>
    <t>SL_80_10_12</t>
  </si>
  <si>
    <t>Cargo handling areas</t>
  </si>
  <si>
    <t>SL_80_10_13</t>
  </si>
  <si>
    <t>Cargo loading areas</t>
  </si>
  <si>
    <t>SL_80_10_16</t>
  </si>
  <si>
    <t>Concourses</t>
  </si>
  <si>
    <t>SL_80_10_20</t>
  </si>
  <si>
    <t>Customs control areas</t>
  </si>
  <si>
    <t>SL_80_10_22</t>
  </si>
  <si>
    <t>Departure lounges</t>
  </si>
  <si>
    <t>SL_80_10_55</t>
  </si>
  <si>
    <t>Passenger gates</t>
  </si>
  <si>
    <t>SL_80_10_60</t>
  </si>
  <si>
    <t>Passport control offices</t>
  </si>
  <si>
    <t>SL_80_10_77</t>
  </si>
  <si>
    <t>Security screening areas</t>
  </si>
  <si>
    <t>SL_80_10_80</t>
  </si>
  <si>
    <t>Ship gangways</t>
  </si>
  <si>
    <t>SL_80_15</t>
  </si>
  <si>
    <t>Aerospace maintenance spaces</t>
  </si>
  <si>
    <t>SL_80_15_01</t>
  </si>
  <si>
    <t>Aircraft cleaning spaces</t>
  </si>
  <si>
    <t>SL_80_15_04</t>
  </si>
  <si>
    <t>Aircraft repair spaces</t>
  </si>
  <si>
    <t>SL_80_15_06</t>
  </si>
  <si>
    <t>Airport control spaces</t>
  </si>
  <si>
    <t>SL_80_15_79</t>
  </si>
  <si>
    <t>Spacecraft cleaning spaces</t>
  </si>
  <si>
    <t>SL_80_15_81</t>
  </si>
  <si>
    <t>Spacecraft preparation spaces</t>
  </si>
  <si>
    <t>SL_80_15_82</t>
  </si>
  <si>
    <t>Spacecraft repair spaces</t>
  </si>
  <si>
    <t>SL_80_20</t>
  </si>
  <si>
    <t>Cableways</t>
  </si>
  <si>
    <t>SL_80_20_13</t>
  </si>
  <si>
    <t>SL_80_30</t>
  </si>
  <si>
    <t>Cable transport storage and maintenance spaces</t>
  </si>
  <si>
    <t>SL_80_30_34</t>
  </si>
  <si>
    <t>Gondola repair and cleaning spaces</t>
  </si>
  <si>
    <t>SL_80_30_35</t>
  </si>
  <si>
    <t>Gondola storage spaces</t>
  </si>
  <si>
    <t>SL_80_35</t>
  </si>
  <si>
    <t>Road spaces</t>
  </si>
  <si>
    <t>SL_80_35_04</t>
  </si>
  <si>
    <t>Arrestor beds</t>
  </si>
  <si>
    <t>SL_80_35_08</t>
  </si>
  <si>
    <t>Bus manoeuvring areas</t>
  </si>
  <si>
    <t>SL_80_35_11</t>
  </si>
  <si>
    <t>Car manoeuvring areas</t>
  </si>
  <si>
    <t>SL_80_35_13</t>
  </si>
  <si>
    <t>Carriageways</t>
  </si>
  <si>
    <t>SL_80_35_16</t>
  </si>
  <si>
    <t>Central reservations</t>
  </si>
  <si>
    <t>SL_80_35_18</t>
  </si>
  <si>
    <t>Crossover spaces</t>
  </si>
  <si>
    <t>SL_80_35_19</t>
  </si>
  <si>
    <t>Cycle crossings</t>
  </si>
  <si>
    <t>SL_80_35_20</t>
  </si>
  <si>
    <t>Cycle lanes</t>
  </si>
  <si>
    <t>SL_80_35_22</t>
  </si>
  <si>
    <t>Diversion routes</t>
  </si>
  <si>
    <t>SL_80_35_36</t>
  </si>
  <si>
    <t>Hard shoulders</t>
  </si>
  <si>
    <t>SL_80_35_37</t>
  </si>
  <si>
    <t>Hard standings</t>
  </si>
  <si>
    <t>SL_80_35_39</t>
  </si>
  <si>
    <t>Highway pull-offs</t>
  </si>
  <si>
    <t>SL_80_35_40</t>
  </si>
  <si>
    <t>Highway roundabouts</t>
  </si>
  <si>
    <t>SL_80_35_42</t>
  </si>
  <si>
    <t>Intersections</t>
  </si>
  <si>
    <t>SL_80_35_44</t>
  </si>
  <si>
    <t>Junctions</t>
  </si>
  <si>
    <t>SL_80_35_45</t>
  </si>
  <si>
    <t>Lanes</t>
  </si>
  <si>
    <t>SL_80_35_46</t>
  </si>
  <si>
    <t>Lay-bys and passing places</t>
  </si>
  <si>
    <t>SL_80_35_57</t>
  </si>
  <si>
    <t>Non-motorized use crossings</t>
  </si>
  <si>
    <t>SL_80_35_59</t>
  </si>
  <si>
    <t>Ox-bow laybys</t>
  </si>
  <si>
    <t>SL_80_35_62</t>
  </si>
  <si>
    <t>Pedestrian crossings</t>
  </si>
  <si>
    <t>SL_80_35_63</t>
  </si>
  <si>
    <t>Pedestrian routes</t>
  </si>
  <si>
    <t>SL_80_35_64</t>
  </si>
  <si>
    <t>Pedestrian refuges and islands</t>
  </si>
  <si>
    <t>SL_80_35_66</t>
  </si>
  <si>
    <t>Police ramps</t>
  </si>
  <si>
    <t>SL_80_35_70</t>
  </si>
  <si>
    <t>Railway crossings</t>
  </si>
  <si>
    <t>SL_80_35_71</t>
  </si>
  <si>
    <t>Refuge areas</t>
  </si>
  <si>
    <t>SL_80_35_72</t>
  </si>
  <si>
    <t>Roadside rest areas</t>
  </si>
  <si>
    <t>SL_80_35_74</t>
  </si>
  <si>
    <t>Road sections</t>
  </si>
  <si>
    <t>SL_80_35_77</t>
  </si>
  <si>
    <t>Side reservations</t>
  </si>
  <si>
    <t>SL_80_35_78</t>
  </si>
  <si>
    <t>Side road carriageways</t>
  </si>
  <si>
    <t>SL_80_35_80</t>
  </si>
  <si>
    <t>Slip road carriageways</t>
  </si>
  <si>
    <t>SL_80_35_81</t>
  </si>
  <si>
    <t>Soft shoulders</t>
  </si>
  <si>
    <t>SL_80_35_87</t>
  </si>
  <si>
    <t>Taxi ranks</t>
  </si>
  <si>
    <t>SL_80_35_90</t>
  </si>
  <si>
    <t>Truck manoeuvring areas</t>
  </si>
  <si>
    <t>SL_80_35_94</t>
  </si>
  <si>
    <t>Vaulted spaces</t>
  </si>
  <si>
    <t>SL_80_45</t>
  </si>
  <si>
    <t>Vehicle storage spaces</t>
  </si>
  <si>
    <t>SL_80_45_09</t>
  </si>
  <si>
    <t>Bus standing spaces</t>
  </si>
  <si>
    <t>SL_80_45_11</t>
  </si>
  <si>
    <t>Car park attendant booths</t>
  </si>
  <si>
    <t>SL_80_45_13</t>
  </si>
  <si>
    <t>Car park ramps</t>
  </si>
  <si>
    <t>SL_80_45_15</t>
  </si>
  <si>
    <t>Cycle parking spaces</t>
  </si>
  <si>
    <t>SL_80_45_40</t>
  </si>
  <si>
    <t>Indoor vehicle parking spaces</t>
  </si>
  <si>
    <t>SL_80_45_59</t>
  </si>
  <si>
    <t>Outdoor vehicle parking spaces</t>
  </si>
  <si>
    <t>SL_80_45_91</t>
  </si>
  <si>
    <t>Truck standing spaces</t>
  </si>
  <si>
    <t>SL_80_50</t>
  </si>
  <si>
    <t>Railway spaces</t>
  </si>
  <si>
    <t>SL_80_50_11</t>
  </si>
  <si>
    <t>Carriage cleaning spaces</t>
  </si>
  <si>
    <t>SL_80_50_24</t>
  </si>
  <si>
    <t>Double sided platforms</t>
  </si>
  <si>
    <t>SL_80_50_26</t>
  </si>
  <si>
    <t>Engine fuelling areas</t>
  </si>
  <si>
    <t>SL_80_50_27</t>
  </si>
  <si>
    <t>Engine inspection pits</t>
  </si>
  <si>
    <t>SL_80_50_28</t>
  </si>
  <si>
    <t>Engine servicing areas</t>
  </si>
  <si>
    <t>SL_80_50_29</t>
  </si>
  <si>
    <t>Engine wash areas</t>
  </si>
  <si>
    <t>SL_80_50_47</t>
  </si>
  <si>
    <t>Light rail stops</t>
  </si>
  <si>
    <t>SL_80_50_50</t>
  </si>
  <si>
    <t>Marshalling yards</t>
  </si>
  <si>
    <t>SL_80_50_58</t>
  </si>
  <si>
    <t>Railway overpasses</t>
  </si>
  <si>
    <t>SL_80_50_70</t>
  </si>
  <si>
    <t>Rail repair spaces</t>
  </si>
  <si>
    <t>SL_80_50_71</t>
  </si>
  <si>
    <t>Railway side reservations</t>
  </si>
  <si>
    <t>SL_80_50_72</t>
  </si>
  <si>
    <t>Railway lines</t>
  </si>
  <si>
    <t>SL_80_50_74</t>
  </si>
  <si>
    <t>Railway sections</t>
  </si>
  <si>
    <t>SL_80_50_77</t>
  </si>
  <si>
    <t>Railway signal control spaces</t>
  </si>
  <si>
    <t>SL_80_50_79</t>
  </si>
  <si>
    <t>Signalling equipment room</t>
  </si>
  <si>
    <t>SL_80_50_80</t>
  </si>
  <si>
    <t>Single sided platforms</t>
  </si>
  <si>
    <t>SL_80_50_88</t>
  </si>
  <si>
    <t>Track paralleling huts</t>
  </si>
  <si>
    <t>SL_80_50_90</t>
  </si>
  <si>
    <t>Train stops</t>
  </si>
  <si>
    <t>SL_80_50_92</t>
  </si>
  <si>
    <t>Railway underpasses</t>
  </si>
  <si>
    <t>SL_80_50_95</t>
  </si>
  <si>
    <t>Wagon decontamination spaces</t>
  </si>
  <si>
    <t>SL_80_50_97</t>
  </si>
  <si>
    <t>Wagon maintenance spaces</t>
  </si>
  <si>
    <t>SL_80_70</t>
  </si>
  <si>
    <t>Marine and waterways transport spaces</t>
  </si>
  <si>
    <t>SL_80_70_11</t>
  </si>
  <si>
    <t>Canal lock chambers</t>
  </si>
  <si>
    <t>SL_80_70_37</t>
  </si>
  <si>
    <t>Harbour locks</t>
  </si>
  <si>
    <t>SL_80_90</t>
  </si>
  <si>
    <t>Transport hubs</t>
  </si>
  <si>
    <t>SL_80_92</t>
  </si>
  <si>
    <t>Grid systems</t>
  </si>
  <si>
    <t>SL_80_92_34</t>
  </si>
  <si>
    <t>Geospatial grids</t>
  </si>
  <si>
    <t>SL_80_92_37</t>
  </si>
  <si>
    <t>Horizontal alignment grids</t>
  </si>
  <si>
    <t>SL_80_92_94</t>
  </si>
  <si>
    <t>Vertical alignment grids</t>
  </si>
  <si>
    <t>SL_80_94</t>
  </si>
  <si>
    <t>Bridge and structure spaces</t>
  </si>
  <si>
    <t>SL_80_94_07</t>
  </si>
  <si>
    <t>Bearing shelves</t>
  </si>
  <si>
    <t>SL_80_94_09</t>
  </si>
  <si>
    <t>Bridge aprons</t>
  </si>
  <si>
    <t>SL_80_94_71</t>
  </si>
  <si>
    <t>Retaining wall aprons</t>
  </si>
  <si>
    <t>SL_80_96</t>
  </si>
  <si>
    <t>Tunnel and shaft spaces</t>
  </si>
  <si>
    <t>SL_80_96_15</t>
  </si>
  <si>
    <t>Concourse tunnels</t>
  </si>
  <si>
    <t>SL_80_96_18</t>
  </si>
  <si>
    <t>Crossover tunnels</t>
  </si>
  <si>
    <t>SL_80_96_20</t>
  </si>
  <si>
    <t>Drift tunnel portals</t>
  </si>
  <si>
    <t>SL_80_96_58</t>
  </si>
  <si>
    <t>Overrun tunnels</t>
  </si>
  <si>
    <t>SL_80_96_60</t>
  </si>
  <si>
    <t>Passageway tunnels</t>
  </si>
  <si>
    <t>SL_80_96_64</t>
  </si>
  <si>
    <t>Platform tunnels</t>
  </si>
  <si>
    <t>SL_80_96_78</t>
  </si>
  <si>
    <t>Sidings tunnels</t>
  </si>
  <si>
    <t>SL_80_98</t>
  </si>
  <si>
    <t>Transport kinematic envelopes</t>
  </si>
  <si>
    <t>SL_80_98_09</t>
  </si>
  <si>
    <t>Bridge headrooms</t>
  </si>
  <si>
    <t>SL_80_98_15</t>
  </si>
  <si>
    <t>Collapse radius</t>
  </si>
  <si>
    <t>SL_80_98_46</t>
  </si>
  <si>
    <t>Lateral safety zones</t>
  </si>
  <si>
    <t>SL_80_98_48</t>
  </si>
  <si>
    <t>Longitudinal safety zones</t>
  </si>
  <si>
    <t>SL_80_98_75</t>
  </si>
  <si>
    <t>Safety clearance zones</t>
  </si>
  <si>
    <t>SL_80_98_85</t>
  </si>
  <si>
    <t>Swept path areas</t>
  </si>
  <si>
    <t>SL_80_98_90</t>
  </si>
  <si>
    <t>Tunnel headrooms</t>
  </si>
  <si>
    <t>SL_80_98_97</t>
  </si>
  <si>
    <t>Working widths</t>
  </si>
  <si>
    <t>SL_90</t>
  </si>
  <si>
    <t>General spaces</t>
  </si>
  <si>
    <t>SL_90_10</t>
  </si>
  <si>
    <t>Circulation spaces</t>
  </si>
  <si>
    <t>SL_90_10_02</t>
  </si>
  <si>
    <t>Air locks</t>
  </si>
  <si>
    <t>SL_90_10_04</t>
  </si>
  <si>
    <t>Atriums</t>
  </si>
  <si>
    <t>SL_90_10_08</t>
  </si>
  <si>
    <t>Breezeways</t>
  </si>
  <si>
    <t>SL_90_10_15</t>
  </si>
  <si>
    <t>Corridors</t>
  </si>
  <si>
    <t>SL_90_10_16</t>
  </si>
  <si>
    <t>Covered walkways and internal bridges</t>
  </si>
  <si>
    <t>SL_90_10_24</t>
  </si>
  <si>
    <t>Drop-off and collection areas</t>
  </si>
  <si>
    <t>SL_90_10_27</t>
  </si>
  <si>
    <t>Entrance halls</t>
  </si>
  <si>
    <t>SL_90_10_28</t>
  </si>
  <si>
    <t>Escalators and travellators</t>
  </si>
  <si>
    <t>SL_90_10_34</t>
  </si>
  <si>
    <t>Goods conveyors</t>
  </si>
  <si>
    <t>SL_90_10_36</t>
  </si>
  <si>
    <t>Hallways</t>
  </si>
  <si>
    <t>SL_90_10_46</t>
  </si>
  <si>
    <t>Landings</t>
  </si>
  <si>
    <t>SL_90_10_47</t>
  </si>
  <si>
    <t>Lifts</t>
  </si>
  <si>
    <t>SL_90_10_51</t>
  </si>
  <si>
    <t>Lobbies</t>
  </si>
  <si>
    <t>SL_90_10_64</t>
  </si>
  <si>
    <t>Porches</t>
  </si>
  <si>
    <t>SL_90_10_68</t>
  </si>
  <si>
    <t>Public squares</t>
  </si>
  <si>
    <t>SL_90_10_71</t>
  </si>
  <si>
    <t>Retail circulation spaces</t>
  </si>
  <si>
    <t>SL_90_10_77</t>
  </si>
  <si>
    <t>Shelters</t>
  </si>
  <si>
    <t>SL_90_10_87</t>
  </si>
  <si>
    <t>Stairways</t>
  </si>
  <si>
    <t>SL_90_10_94</t>
  </si>
  <si>
    <t>Vestibules</t>
  </si>
  <si>
    <t>SL_90_10_95</t>
  </si>
  <si>
    <t>Walkways</t>
  </si>
  <si>
    <t>SL_90_10_96</t>
  </si>
  <si>
    <t>Wheelchair circulation spaces</t>
  </si>
  <si>
    <t>SL_90_20</t>
  </si>
  <si>
    <t>Common spaces</t>
  </si>
  <si>
    <t>SL_90_20_01</t>
  </si>
  <si>
    <t>Accident and emergency waiting rooms</t>
  </si>
  <si>
    <t>SL_90_20_04</t>
  </si>
  <si>
    <t>Audience seating areas</t>
  </si>
  <si>
    <t>SL_90_20_05</t>
  </si>
  <si>
    <t>Audience standing areas</t>
  </si>
  <si>
    <t>SL_90_20_08</t>
  </si>
  <si>
    <t>Breakout spaces</t>
  </si>
  <si>
    <t>SL_90_20_13</t>
  </si>
  <si>
    <t>Changing rooms</t>
  </si>
  <si>
    <t>SL_90_20_14</t>
  </si>
  <si>
    <t>Cloakrooms</t>
  </si>
  <si>
    <t>SL_90_20_15</t>
  </si>
  <si>
    <t>Corporate boxes and VIP seating</t>
  </si>
  <si>
    <t>SL_90_20_16</t>
  </si>
  <si>
    <t>Customer service counter areas</t>
  </si>
  <si>
    <t>SL_90_20_69</t>
  </si>
  <si>
    <t>Queuing areas</t>
  </si>
  <si>
    <t>SL_90_20_82</t>
  </si>
  <si>
    <t>Spectator seating areas</t>
  </si>
  <si>
    <t>SL_90_20_83</t>
  </si>
  <si>
    <t>Spectator standing areas</t>
  </si>
  <si>
    <t>SL_90_20_88</t>
  </si>
  <si>
    <t>Temporary seating areas</t>
  </si>
  <si>
    <t>SL_90_20_89</t>
  </si>
  <si>
    <t>Ticket offices</t>
  </si>
  <si>
    <t>SL_90_20_96</t>
  </si>
  <si>
    <t>Waiting rooms</t>
  </si>
  <si>
    <t>SL_90_20_98</t>
  </si>
  <si>
    <t>Work booths</t>
  </si>
  <si>
    <t>SL_90_30</t>
  </si>
  <si>
    <t>Construction voids</t>
  </si>
  <si>
    <t>SL_90_30_25</t>
  </si>
  <si>
    <t>Excavation volumes</t>
  </si>
  <si>
    <t>SL_90_30_30</t>
  </si>
  <si>
    <t>Finishes allowances</t>
  </si>
  <si>
    <t>SL_90_30_80</t>
  </si>
  <si>
    <t>Space proofing envelopes</t>
  </si>
  <si>
    <t>SL_90_30_90</t>
  </si>
  <si>
    <t>Tolerance zones</t>
  </si>
  <si>
    <t>SL_90_40</t>
  </si>
  <si>
    <t>General levels</t>
  </si>
  <si>
    <t>SL_90_40_46</t>
  </si>
  <si>
    <t>Levels</t>
  </si>
  <si>
    <t>SL_90_50</t>
  </si>
  <si>
    <t>Storage spaces</t>
  </si>
  <si>
    <t>SL_90_50_04</t>
  </si>
  <si>
    <t>Arms depots and armouries</t>
  </si>
  <si>
    <t>SL_90_50_06</t>
  </si>
  <si>
    <t>Baggage storage areas</t>
  </si>
  <si>
    <t>SL_90_50_07</t>
  </si>
  <si>
    <t>Battery stores</t>
  </si>
  <si>
    <t>SL_90_50_08</t>
  </si>
  <si>
    <t>Blood banks</t>
  </si>
  <si>
    <t>SL_90_50_09</t>
  </si>
  <si>
    <t>Boat storage spaces</t>
  </si>
  <si>
    <t>SL_90_50_11</t>
  </si>
  <si>
    <t>Cargo storage areas</t>
  </si>
  <si>
    <t>SL_90_50_12</t>
  </si>
  <si>
    <t>Car ports</t>
  </si>
  <si>
    <t>SL_90_50_13</t>
  </si>
  <si>
    <t>Chemicals stores</t>
  </si>
  <si>
    <t>SL_90_50_14</t>
  </si>
  <si>
    <t>Clothes stores</t>
  </si>
  <si>
    <t>SL_90_50_15</t>
  </si>
  <si>
    <t>Cold stores</t>
  </si>
  <si>
    <t>SL_90_50_17</t>
  </si>
  <si>
    <t>Cycle storage spaces</t>
  </si>
  <si>
    <t>SL_90_50_24</t>
  </si>
  <si>
    <t>Dry waste storage spaces</t>
  </si>
  <si>
    <t>SL_90_50_25</t>
  </si>
  <si>
    <t>Dungsteads</t>
  </si>
  <si>
    <t>SL_90_50_26</t>
  </si>
  <si>
    <t>Effluent tanks</t>
  </si>
  <si>
    <t>SL_90_50_27</t>
  </si>
  <si>
    <t>Equipment stores</t>
  </si>
  <si>
    <t>SL_90_50_28</t>
  </si>
  <si>
    <t>Explosives and ordnance storerooms</t>
  </si>
  <si>
    <t>SL_90_50_30</t>
  </si>
  <si>
    <t>Feed stores</t>
  </si>
  <si>
    <t>SL_90_50_31</t>
  </si>
  <si>
    <t>Flammable chemical stores</t>
  </si>
  <si>
    <t>SL_90_50_32</t>
  </si>
  <si>
    <t>Fuel storage areas</t>
  </si>
  <si>
    <t>SL_90_50_33</t>
  </si>
  <si>
    <t>Garages</t>
  </si>
  <si>
    <t>SL_90_50_34</t>
  </si>
  <si>
    <t>Gas storage spaces</t>
  </si>
  <si>
    <t>SL_90_50_35</t>
  </si>
  <si>
    <t>General storerooms</t>
  </si>
  <si>
    <t>SL_90_50_36</t>
  </si>
  <si>
    <t>Goods stores</t>
  </si>
  <si>
    <t>SL_90_50_37</t>
  </si>
  <si>
    <t>Grain stores</t>
  </si>
  <si>
    <t>SL_90_50_38</t>
  </si>
  <si>
    <t>Hazardous waste storage spaces</t>
  </si>
  <si>
    <t>SL_90_50_44</t>
  </si>
  <si>
    <t>Janitor stores</t>
  </si>
  <si>
    <t>SL_90_50_45</t>
  </si>
  <si>
    <t>Keg stores</t>
  </si>
  <si>
    <t>SL_90_50_46</t>
  </si>
  <si>
    <t>Larders and pantries</t>
  </si>
  <si>
    <t>SL_90_50_47</t>
  </si>
  <si>
    <t>Left luggage stores</t>
  </si>
  <si>
    <t>SL_90_50_48</t>
  </si>
  <si>
    <t>Locker rooms</t>
  </si>
  <si>
    <t>SL_90_50_52</t>
  </si>
  <si>
    <t>Mineral storage spaces</t>
  </si>
  <si>
    <t>SL_90_50_54</t>
  </si>
  <si>
    <t>Morgues</t>
  </si>
  <si>
    <t>SL_90_50_55</t>
  </si>
  <si>
    <t>Mortuaries</t>
  </si>
  <si>
    <t>SL_90_50_58</t>
  </si>
  <si>
    <t>Oil storage spaces</t>
  </si>
  <si>
    <t>SL_90_50_65</t>
  </si>
  <si>
    <t>Pharmaceutical stores</t>
  </si>
  <si>
    <t>SL_90_50_70</t>
  </si>
  <si>
    <t>Raw materials storage silos</t>
  </si>
  <si>
    <t>SL_90_50_71</t>
  </si>
  <si>
    <t>Raw materials storage spaces</t>
  </si>
  <si>
    <t>SL_90_50_72</t>
  </si>
  <si>
    <t>Raw materials storage tanks</t>
  </si>
  <si>
    <t>SL_90_50_77</t>
  </si>
  <si>
    <t>Secure storerooms</t>
  </si>
  <si>
    <t>SL_90_50_80</t>
  </si>
  <si>
    <t>Solid fuel storerooms</t>
  </si>
  <si>
    <t>SL_90_50_84</t>
  </si>
  <si>
    <t>Storage rooms</t>
  </si>
  <si>
    <t>SL_90_50_88</t>
  </si>
  <si>
    <t>Tissue and organ stores</t>
  </si>
  <si>
    <t>SL_90_50_90</t>
  </si>
  <si>
    <t>Vaults and strong rooms</t>
  </si>
  <si>
    <t>SL_90_50_93</t>
  </si>
  <si>
    <t>Walk-in wardrobes</t>
  </si>
  <si>
    <t>SL_90_50_94</t>
  </si>
  <si>
    <t>Waste gas storage spaces</t>
  </si>
  <si>
    <t>SL_90_50_95</t>
  </si>
  <si>
    <t>Waste liquids storage spaces</t>
  </si>
  <si>
    <t>SL_90_50_96</t>
  </si>
  <si>
    <t>Waste solids storage spaces</t>
  </si>
  <si>
    <t>SL_90_50_97</t>
  </si>
  <si>
    <t>Wet waste storage spaces</t>
  </si>
  <si>
    <t>SL_90_50_98</t>
  </si>
  <si>
    <t>Wine cellars</t>
  </si>
  <si>
    <t>SL_90_60</t>
  </si>
  <si>
    <t>Unoccupied voids</t>
  </si>
  <si>
    <t>SL_90_60_01</t>
  </si>
  <si>
    <t>Access spaces</t>
  </si>
  <si>
    <t>SL_90_60_02</t>
  </si>
  <si>
    <t>Air shafts</t>
  </si>
  <si>
    <t>SL_90_60_10</t>
  </si>
  <si>
    <t>Cavities</t>
  </si>
  <si>
    <t>SL_90_60_12</t>
  </si>
  <si>
    <t>Chimneys</t>
  </si>
  <si>
    <t>SL_90_60_13</t>
  </si>
  <si>
    <t>Chutes</t>
  </si>
  <si>
    <t>SL_90_60_18</t>
  </si>
  <si>
    <t>Crawl spaces</t>
  </si>
  <si>
    <t>SL_90_60_49</t>
  </si>
  <si>
    <t>Lift pits</t>
  </si>
  <si>
    <t>SL_90_60_50</t>
  </si>
  <si>
    <t>Lift shafts</t>
  </si>
  <si>
    <t>SL_90_60_51</t>
  </si>
  <si>
    <t>Light wells</t>
  </si>
  <si>
    <t>SL_90_60_64</t>
  </si>
  <si>
    <t>Platform voids</t>
  </si>
  <si>
    <t>SL_90_60_72</t>
  </si>
  <si>
    <t>Roof surface spaces</t>
  </si>
  <si>
    <t>SL_90_60_74</t>
  </si>
  <si>
    <t>Roof voids</t>
  </si>
  <si>
    <t>SL_90_90</t>
  </si>
  <si>
    <t>Plant and control spaces</t>
  </si>
  <si>
    <t>SL_90_90_01</t>
  </si>
  <si>
    <t>Access floor voids</t>
  </si>
  <si>
    <t>SL_90_90_08</t>
  </si>
  <si>
    <t>Boiler rooms</t>
  </si>
  <si>
    <t>SL_90_90_13</t>
  </si>
  <si>
    <t>Ceiling voids</t>
  </si>
  <si>
    <t>SL_90_90_15</t>
  </si>
  <si>
    <t>Control rooms</t>
  </si>
  <si>
    <t>SL_90_90_32</t>
  </si>
  <si>
    <t>Furnace rooms</t>
  </si>
  <si>
    <t>SL_90_90_42</t>
  </si>
  <si>
    <t>Incinerator rooms</t>
  </si>
  <si>
    <t>SL_90_90_48</t>
  </si>
  <si>
    <t>Lift machine rooms</t>
  </si>
  <si>
    <t>SL_90_90_64</t>
  </si>
  <si>
    <t>Plant rooms</t>
  </si>
  <si>
    <t>SL_90_90_77</t>
  </si>
  <si>
    <t>Server rooms</t>
  </si>
  <si>
    <t>SL_90_90_78</t>
  </si>
  <si>
    <t>Services shafts</t>
  </si>
  <si>
    <t>SL_90_90_85</t>
  </si>
  <si>
    <t>Switch rooms</t>
  </si>
  <si>
    <t>SL_90_90_87</t>
  </si>
  <si>
    <t>Tank rooms</t>
  </si>
  <si>
    <t>SL_90_90_90</t>
  </si>
  <si>
    <t>Transformer rooms</t>
  </si>
  <si>
    <t>SL_90_90_96</t>
  </si>
  <si>
    <t>Wall services voids</t>
  </si>
  <si>
    <t>EF Elements/ functions - 31 July 2019 - v1.6</t>
  </si>
  <si>
    <t>NORMA EUROPEIA (LNEC)</t>
  </si>
  <si>
    <t>EF_15</t>
  </si>
  <si>
    <t>Site elements</t>
  </si>
  <si>
    <t>EF_15_15</t>
  </si>
  <si>
    <t>Construction sites</t>
  </si>
  <si>
    <t>EF_15_95</t>
  </si>
  <si>
    <t>Work areas</t>
  </si>
  <si>
    <t>EF_20</t>
  </si>
  <si>
    <t>Structural elements</t>
  </si>
  <si>
    <t>EF_20_05</t>
  </si>
  <si>
    <t>Substructure</t>
  </si>
  <si>
    <t>EF_20_10</t>
  </si>
  <si>
    <t>Superstructure</t>
  </si>
  <si>
    <t>EF_20_50</t>
  </si>
  <si>
    <t>Bridge abutments and piers</t>
  </si>
  <si>
    <t>EF_25</t>
  </si>
  <si>
    <t>Wall and barrier elements</t>
  </si>
  <si>
    <t>EF_25_10</t>
  </si>
  <si>
    <t>Walls</t>
  </si>
  <si>
    <t>EF_25_30</t>
  </si>
  <si>
    <t>Doors and windows</t>
  </si>
  <si>
    <t>EF_25_55</t>
  </si>
  <si>
    <t>Barriers</t>
  </si>
  <si>
    <t>EF_30</t>
  </si>
  <si>
    <t>Roofs, floor and paving elements</t>
  </si>
  <si>
    <t>EF_30_10</t>
  </si>
  <si>
    <t>Roofs</t>
  </si>
  <si>
    <t>EF_30_20</t>
  </si>
  <si>
    <t>Floors</t>
  </si>
  <si>
    <t>EF_30_60</t>
  </si>
  <si>
    <t>Pavements</t>
  </si>
  <si>
    <t>EF_30_70</t>
  </si>
  <si>
    <t>Bridge decks</t>
  </si>
  <si>
    <t>EF_35</t>
  </si>
  <si>
    <t>Stairs and ramps</t>
  </si>
  <si>
    <t>EF_35_10</t>
  </si>
  <si>
    <t>Stairs</t>
  </si>
  <si>
    <t>EF_35_20</t>
  </si>
  <si>
    <t>Ramps</t>
  </si>
  <si>
    <t>EF_37</t>
  </si>
  <si>
    <t>Tunnel, vessel and tower elements</t>
  </si>
  <si>
    <t>EF_37_16</t>
  </si>
  <si>
    <t>Vessels and trenches</t>
  </si>
  <si>
    <t>EF_37_17</t>
  </si>
  <si>
    <t>Towers, chimneys and masts</t>
  </si>
  <si>
    <t>EF_37_50</t>
  </si>
  <si>
    <t>EF_40</t>
  </si>
  <si>
    <t>Signage, fittings, furnishings and equipment</t>
  </si>
  <si>
    <t>EF_40_10</t>
  </si>
  <si>
    <t>Signage</t>
  </si>
  <si>
    <t>EF_40_20</t>
  </si>
  <si>
    <t>Fittings</t>
  </si>
  <si>
    <t>EF_40_30</t>
  </si>
  <si>
    <t>Furnishings</t>
  </si>
  <si>
    <t>EF_40_40</t>
  </si>
  <si>
    <t>Equipment</t>
  </si>
  <si>
    <t>EF_45</t>
  </si>
  <si>
    <t>Flora and fauna elements</t>
  </si>
  <si>
    <t>EF_45_10</t>
  </si>
  <si>
    <t>Planted elements</t>
  </si>
  <si>
    <t>EF_45_20</t>
  </si>
  <si>
    <t>Grassed elements</t>
  </si>
  <si>
    <t>EF_45_30</t>
  </si>
  <si>
    <t>Fauna elements</t>
  </si>
  <si>
    <t>EF_45_75</t>
  </si>
  <si>
    <t>Fish and eel pass elements</t>
  </si>
  <si>
    <t>EF_50</t>
  </si>
  <si>
    <t>Waste disposal functions</t>
  </si>
  <si>
    <t>EF_50_10</t>
  </si>
  <si>
    <t>Gas waste collection</t>
  </si>
  <si>
    <t>EF_50_20</t>
  </si>
  <si>
    <t>Wet waste collection</t>
  </si>
  <si>
    <t>EF_50_30</t>
  </si>
  <si>
    <t>Drainage collection</t>
  </si>
  <si>
    <t>EF_50_40</t>
  </si>
  <si>
    <t>Dry waste collection</t>
  </si>
  <si>
    <t>EF_50_50</t>
  </si>
  <si>
    <t>Gas waste treatment and disposal</t>
  </si>
  <si>
    <t>EF_50_60</t>
  </si>
  <si>
    <t>Wet waste treatment and disposal</t>
  </si>
  <si>
    <t>EF_50_70</t>
  </si>
  <si>
    <t>Drainage treatment and disposal</t>
  </si>
  <si>
    <t>EF_50_75</t>
  </si>
  <si>
    <t>Wastewater treatment and disposal</t>
  </si>
  <si>
    <t>EF_50_80</t>
  </si>
  <si>
    <t>EF_55</t>
  </si>
  <si>
    <t>Piped supply functions</t>
  </si>
  <si>
    <t>EF_55_05</t>
  </si>
  <si>
    <t>Gas extraction and treatment</t>
  </si>
  <si>
    <t>EF_55_10</t>
  </si>
  <si>
    <t>Liquid fuel extraction and treatment</t>
  </si>
  <si>
    <t>EF_55_15</t>
  </si>
  <si>
    <t>Water extraction and treatment</t>
  </si>
  <si>
    <t>EF_55_20</t>
  </si>
  <si>
    <t>Gas supply</t>
  </si>
  <si>
    <t>EF_55_30</t>
  </si>
  <si>
    <t>Fire extinguishing supply</t>
  </si>
  <si>
    <t>EF_55_40</t>
  </si>
  <si>
    <t>Steam supply</t>
  </si>
  <si>
    <t>EF_55_50</t>
  </si>
  <si>
    <t>Liquid fuel supply</t>
  </si>
  <si>
    <t>EF_55_60</t>
  </si>
  <si>
    <t>Process liquid supply</t>
  </si>
  <si>
    <t>EF_55_70</t>
  </si>
  <si>
    <t>Water supply</t>
  </si>
  <si>
    <t>EF_55_90</t>
  </si>
  <si>
    <t>Piped solids supply</t>
  </si>
  <si>
    <t>EF_60</t>
  </si>
  <si>
    <t>Heating, cooling and refrigeration functions</t>
  </si>
  <si>
    <t>EF_60_30</t>
  </si>
  <si>
    <t>Rail and paving heating</t>
  </si>
  <si>
    <t>EF_60_40</t>
  </si>
  <si>
    <t>Space heating and cooling</t>
  </si>
  <si>
    <t>EF_60_60</t>
  </si>
  <si>
    <t>Refrigeration</t>
  </si>
  <si>
    <t>EF_60_80</t>
  </si>
  <si>
    <t>Drying</t>
  </si>
  <si>
    <t>EF_65</t>
  </si>
  <si>
    <t>Ventilation and air conditioning functions</t>
  </si>
  <si>
    <t>EF_65_40</t>
  </si>
  <si>
    <t>Ventilation</t>
  </si>
  <si>
    <t>EF_65_80</t>
  </si>
  <si>
    <t>Air conditioning</t>
  </si>
  <si>
    <t>EF_70</t>
  </si>
  <si>
    <t>Electrical power and lighting functions</t>
  </si>
  <si>
    <t>EF_70_10</t>
  </si>
  <si>
    <t>Electrical power generation</t>
  </si>
  <si>
    <t>EF_70_30</t>
  </si>
  <si>
    <t>Electricity distribution and transmission</t>
  </si>
  <si>
    <t>EF_70_80</t>
  </si>
  <si>
    <t>Lighting</t>
  </si>
  <si>
    <t>EF_75</t>
  </si>
  <si>
    <t>Communications, security, safety and protection functions</t>
  </si>
  <si>
    <t>EF_75_10</t>
  </si>
  <si>
    <t>Communication</t>
  </si>
  <si>
    <t>EF_75_30</t>
  </si>
  <si>
    <t>Signalling</t>
  </si>
  <si>
    <t>EF_75_40</t>
  </si>
  <si>
    <t>Security</t>
  </si>
  <si>
    <t>EF_75_50</t>
  </si>
  <si>
    <t>Safety and protection</t>
  </si>
  <si>
    <t>EF_75_60</t>
  </si>
  <si>
    <t>EF_75_70</t>
  </si>
  <si>
    <t>Control and management</t>
  </si>
  <si>
    <t>EF_75_80</t>
  </si>
  <si>
    <t>Protection</t>
  </si>
  <si>
    <t>EF_80</t>
  </si>
  <si>
    <t>Transport functions</t>
  </si>
  <si>
    <t>EF_80_10</t>
  </si>
  <si>
    <t>Cable transport</t>
  </si>
  <si>
    <t>EF_80_20</t>
  </si>
  <si>
    <t>EF_80_30</t>
  </si>
  <si>
    <t>Cranes and hoists</t>
  </si>
  <si>
    <t>EF_80_50</t>
  </si>
  <si>
    <t>EF_80_70</t>
  </si>
  <si>
    <t>Rail tracks</t>
  </si>
  <si>
    <t>EF Elements/Functions - 24 March 2016 - v1.1</t>
  </si>
  <si>
    <t>Nl SFB</t>
  </si>
  <si>
    <t>Elementos estruturais</t>
  </si>
  <si>
    <t>Infraestrutura / Fundações e contenções</t>
  </si>
  <si>
    <t>Estruturas porticadas</t>
  </si>
  <si>
    <t>Frames</t>
  </si>
  <si>
    <t>EF_20_20</t>
  </si>
  <si>
    <t>Vigas</t>
  </si>
  <si>
    <t>Beams</t>
  </si>
  <si>
    <t>EF_20_30</t>
  </si>
  <si>
    <t>Pilares</t>
  </si>
  <si>
    <t>Columns</t>
  </si>
  <si>
    <t>Encontros e pilares de pontes</t>
  </si>
  <si>
    <t>Elementos de confinamento de espaços</t>
  </si>
  <si>
    <t>Paredes</t>
  </si>
  <si>
    <t>Portas e janelas</t>
  </si>
  <si>
    <t>Barreiras</t>
  </si>
  <si>
    <t>EF_25_60</t>
  </si>
  <si>
    <t>Vedações e guardas</t>
  </si>
  <si>
    <t>Elementos de cobertura, pisos e pavimentos</t>
  </si>
  <si>
    <t>Coberturas</t>
  </si>
  <si>
    <t>Pisos</t>
  </si>
  <si>
    <t>Pavimentos</t>
  </si>
  <si>
    <t>Tabuleiros de pontes</t>
  </si>
  <si>
    <t>Escadas e rampas</t>
  </si>
  <si>
    <t>Escadas</t>
  </si>
  <si>
    <t>Rampas</t>
  </si>
  <si>
    <t>Reservatórios elevados e torres</t>
  </si>
  <si>
    <t>Vessel and tower elements</t>
  </si>
  <si>
    <t>Reservatórios elevados</t>
  </si>
  <si>
    <t>Vessels</t>
  </si>
  <si>
    <t>Torres</t>
  </si>
  <si>
    <t>Elementos de flora e de fauna</t>
  </si>
  <si>
    <t>Elementos plantados</t>
  </si>
  <si>
    <t>Relvados</t>
  </si>
  <si>
    <t>Elementos de fauna</t>
  </si>
  <si>
    <t>Recolha e eliminação de resíduos</t>
  </si>
  <si>
    <t>Recolha de resíduos gasosos</t>
  </si>
  <si>
    <t>Recolha de resíduos húmidos</t>
  </si>
  <si>
    <t>Recolha de fluidos drenados</t>
  </si>
  <si>
    <t>Recolha de resíduos secos</t>
  </si>
  <si>
    <t>Tratamento e eliminação de resíduos gasosos</t>
  </si>
  <si>
    <t>Tratamento e eliminação de resíduos húmidos</t>
  </si>
  <si>
    <t>Tratamento e eliminação de drenagens</t>
  </si>
  <si>
    <t>Tratamento e eliminação de águas residuais</t>
  </si>
  <si>
    <t>Tratamento e eliminação de resíduos secos</t>
  </si>
  <si>
    <t>Abastecimento e distribuição em tubagem</t>
  </si>
  <si>
    <t>Extração e tratamento de gás</t>
  </si>
  <si>
    <t>Extração e tratamento de combustível líquido</t>
  </si>
  <si>
    <t>Captação e tratamento de água</t>
  </si>
  <si>
    <t>Abastecimento / distribuição de gás</t>
  </si>
  <si>
    <t>Abastecimento / distribuição de agentes de extinção de incêndio</t>
  </si>
  <si>
    <t>Abastecimento / distribuição de vapor de água</t>
  </si>
  <si>
    <t>Abastecimento / distribuição de combustível líquido</t>
  </si>
  <si>
    <t>Abastecimento / distribuição de fluidos de processo</t>
  </si>
  <si>
    <t>Abastecimento / distribuição de água</t>
  </si>
  <si>
    <t>Abstecimento / distribuição de sólidos em tubagem</t>
  </si>
  <si>
    <t>Aquecimento, arrefecimento e refrigeração</t>
  </si>
  <si>
    <t>Pavimentos radiantes</t>
  </si>
  <si>
    <t>Aquecimento e arrefecimento de espaços</t>
  </si>
  <si>
    <t>Refrigeração</t>
  </si>
  <si>
    <t>Secagem</t>
  </si>
  <si>
    <t>Ventilação e ar condicionado</t>
  </si>
  <si>
    <t>Ventilação</t>
  </si>
  <si>
    <t>Ar condicionado</t>
  </si>
  <si>
    <t>Energia elétrica e iluminação</t>
  </si>
  <si>
    <t>Produção de energia elétrica</t>
  </si>
  <si>
    <t>Distribuição e transmissão de energia elétrica</t>
  </si>
  <si>
    <t>Iluminação</t>
  </si>
  <si>
    <t>Comunicações, segurança e proteção</t>
  </si>
  <si>
    <t>Comunicações</t>
  </si>
  <si>
    <t>Sinalização</t>
  </si>
  <si>
    <t>Segurança patrimonial</t>
  </si>
  <si>
    <t>Segurança, higiene e saúde</t>
  </si>
  <si>
    <t>Segurança ambiental</t>
  </si>
  <si>
    <t>Controlo e gestão</t>
  </si>
  <si>
    <t>Proteção</t>
  </si>
  <si>
    <t>Ss Systems - 31 July 2019 - v1.15</t>
  </si>
  <si>
    <t>Ss_15</t>
  </si>
  <si>
    <t>Earthworks, remediation and temporary systems</t>
  </si>
  <si>
    <t>Ss_15_10</t>
  </si>
  <si>
    <t>Groundworks and earthworks systems</t>
  </si>
  <si>
    <t>Ss_15_10_30</t>
  </si>
  <si>
    <t>Excavating and filling systems</t>
  </si>
  <si>
    <t>Ss_15_10_30_05</t>
  </si>
  <si>
    <t>Backfill systems</t>
  </si>
  <si>
    <t>Ss_15_10_30_25</t>
  </si>
  <si>
    <t>Earthworks excavating systems</t>
  </si>
  <si>
    <t>10-35-35/125 Earthworks excavating system;</t>
  </si>
  <si>
    <t>0.4.2 Soil stabilisation measures; 0.1.1 Toxic or hazardous material removal; 1.1.4 Basement excavation; 1.1.5 Basement retaining walls; 8.2.1 Roads, paths and pavings; 0.1.2 Contaminated land; 1.1.1 Standard foundations (default); 1.1.2 Specialist foundations; 8.1.2 Preparatory groundworks;</t>
  </si>
  <si>
    <t>Ss_15_10_30_27</t>
  </si>
  <si>
    <t>Earthworks filling systems</t>
  </si>
  <si>
    <t>10-35-35/127 Earthworks filling system;</t>
  </si>
  <si>
    <t>1.1.4 Basement excavation; 1.1.5 Basement retaining walls; 8.2.1 Roads, paths and pavings (default); 8.1.2 Preparatory groundworks; 8.3.2 External planting;</t>
  </si>
  <si>
    <t>Ss_15_10_30_29</t>
  </si>
  <si>
    <t>Earthworks filling systems around trees</t>
  </si>
  <si>
    <t>10-35-35/130 Earthworks filling system around trees;</t>
  </si>
  <si>
    <t>4.1.7 Internal planting; 8.3.2 External planting (default);</t>
  </si>
  <si>
    <t>Ss_15_10_30_31</t>
  </si>
  <si>
    <t>Earthworks filling systems behind retaining walls</t>
  </si>
  <si>
    <t>10-35-35/132 Earthworks filling system behind retaining walls;</t>
  </si>
  <si>
    <t>1.1.5 Basement retaining walls (default); 8.4.3 Retaining walls;</t>
  </si>
  <si>
    <t>Ss_15_10_30_65</t>
  </si>
  <si>
    <t>Puddled clay lining systems</t>
  </si>
  <si>
    <t>10-35-35/160 Puddled clay lining systems;</t>
  </si>
  <si>
    <t>8.6.2 Ancillary drainage systems; 8.6.4 Land drainage; 8.5.2 Ornamental features (default); 8.6.3 External chemical, toxic and industrial liquid waste drainage;</t>
  </si>
  <si>
    <t>Ss_15_10_30_90</t>
  </si>
  <si>
    <t>Topsoil filling systems</t>
  </si>
  <si>
    <t>10-35-35/185 Topsoil filling system;</t>
  </si>
  <si>
    <t>Ss_15_10_33</t>
  </si>
  <si>
    <t>Ground gas disposal systems</t>
  </si>
  <si>
    <t>Ss_15_10_33_34</t>
  </si>
  <si>
    <t>Ground gas collection and venting systems</t>
  </si>
  <si>
    <t>10-60-35/130 Ground gas collection and venting system;</t>
  </si>
  <si>
    <t>0.4.3 Ground gas venting measures (default);</t>
  </si>
  <si>
    <t>Ss_15_10_35</t>
  </si>
  <si>
    <t>Ground remediation systems</t>
  </si>
  <si>
    <t>Ss_15_10_35_07</t>
  </si>
  <si>
    <t>Bioremediation systems</t>
  </si>
  <si>
    <t>Ss_15_10_45</t>
  </si>
  <si>
    <t>Landfill systems</t>
  </si>
  <si>
    <t>Ss_15_10_76</t>
  </si>
  <si>
    <t>Site waste disposal systems</t>
  </si>
  <si>
    <t>Ss_15_10_76_21</t>
  </si>
  <si>
    <t>Dewatering systems</t>
  </si>
  <si>
    <t>Ss_15_10_78</t>
  </si>
  <si>
    <t>Slurry wall systems</t>
  </si>
  <si>
    <t>Ss_15_10_80</t>
  </si>
  <si>
    <t>Stabilization systems</t>
  </si>
  <si>
    <t>Ss_15_10_80_33</t>
  </si>
  <si>
    <t>Erosion control systems</t>
  </si>
  <si>
    <t>10-35-35/135 Erosion control system;</t>
  </si>
  <si>
    <t>0.4.2 Soil stabilisation measures (default); 8.3.1 Seeding and turfing;</t>
  </si>
  <si>
    <t>Ss_15_10_80_70</t>
  </si>
  <si>
    <t>Rock bolting and dowelling systems</t>
  </si>
  <si>
    <t>10-35-80/120 Rock bolting system;</t>
  </si>
  <si>
    <t>Ss_15_10_80_80</t>
  </si>
  <si>
    <t>Soil nailing systems</t>
  </si>
  <si>
    <t>10-35-85/110 Soil nailing system;</t>
  </si>
  <si>
    <t>0.4.2 Soil stabilisation measures (default);</t>
  </si>
  <si>
    <t>Ss_15_10_80_85</t>
  </si>
  <si>
    <t>Subterranean void filling systems</t>
  </si>
  <si>
    <t>Ss_15_30</t>
  </si>
  <si>
    <t>Remediation, repair and renovation systems</t>
  </si>
  <si>
    <t>Ss_15_30_10</t>
  </si>
  <si>
    <t>Building services remediation systems</t>
  </si>
  <si>
    <t>Ss_15_30_12</t>
  </si>
  <si>
    <t>Ceramics repair and renovation systems</t>
  </si>
  <si>
    <t>Ss_15_30_15</t>
  </si>
  <si>
    <t>Concrete and masonry cleaning systems</t>
  </si>
  <si>
    <t>Ss_15_30_15_15</t>
  </si>
  <si>
    <t>Concrete cleaning systems</t>
  </si>
  <si>
    <t>10-70-15/120 Concrete cleaning system;</t>
  </si>
  <si>
    <t>7.5.1 Cleaning (default);</t>
  </si>
  <si>
    <t>Ss_15_30_15_50</t>
  </si>
  <si>
    <t>Masonry cleaning systems</t>
  </si>
  <si>
    <t>10-70-15/150 Masonry cleaning system;</t>
  </si>
  <si>
    <t>Ss_15_30_15_65</t>
  </si>
  <si>
    <t>Preliminary concrete cleaning systems</t>
  </si>
  <si>
    <t>10-70-15/110 Concrete and masonry cleaning trials system;</t>
  </si>
  <si>
    <t>Ss_15_30_15_66</t>
  </si>
  <si>
    <t>Preliminary masonry cleaning systems</t>
  </si>
  <si>
    <t>Ss_15_30_17</t>
  </si>
  <si>
    <t>Concrete repair and renovation systems</t>
  </si>
  <si>
    <t>Ss_15_30_17_10</t>
  </si>
  <si>
    <t>Bonded steel plate repair systems</t>
  </si>
  <si>
    <t>10-70-20/110 Bonded steel plate repair system;</t>
  </si>
  <si>
    <t>7.6.2 Concrete repairs (default); 7.1.1 Minor demolition and alteration works;</t>
  </si>
  <si>
    <t>Ss_15_30_17_12</t>
  </si>
  <si>
    <t>Concrete crack repair or filling systems</t>
  </si>
  <si>
    <t>10-70-20/115 Concrete crack repair system;</t>
  </si>
  <si>
    <t>7.6.2 Concrete repairs (default);</t>
  </si>
  <si>
    <t>Ss_15_30_17_14</t>
  </si>
  <si>
    <t>Concrete mortar or overlay systems</t>
  </si>
  <si>
    <t>10-70-20/120 Concrete or mortar overlay system;</t>
  </si>
  <si>
    <t>Ss_15_30_17_16</t>
  </si>
  <si>
    <t>Concrete protective coating systems</t>
  </si>
  <si>
    <t>10-70-20/125 Concrete protective coating system;</t>
  </si>
  <si>
    <t>7.5.2 Protective coatings (default);</t>
  </si>
  <si>
    <t>Ss_15_30_17_18</t>
  </si>
  <si>
    <t>Concrete repair systems</t>
  </si>
  <si>
    <t>10-70-20/130 Concrete repair system;</t>
  </si>
  <si>
    <t>Ss_15_30_17_85</t>
  </si>
  <si>
    <t>Sprayed concrete repair systems</t>
  </si>
  <si>
    <t>10-70-20/140 Sprayed concrete repair system;</t>
  </si>
  <si>
    <t>Ss_15_30_32</t>
  </si>
  <si>
    <t>Fungus and beetle eradication systems</t>
  </si>
  <si>
    <t>Ss_15_30_32_05</t>
  </si>
  <si>
    <t>Beetle eradication systems</t>
  </si>
  <si>
    <t>10-70-30/120 Treatment systems for beetle infected timber;</t>
  </si>
  <si>
    <t>7.3.2 Fungus/beetle eradication (default);</t>
  </si>
  <si>
    <t>Ss_15_30_32_15</t>
  </si>
  <si>
    <t>Combined fungus and beetle treatment systems</t>
  </si>
  <si>
    <t>10-70-30/130 Treatment systems for combined fungus and beetle infected timber;</t>
  </si>
  <si>
    <t>Ss_15_30_32_35</t>
  </si>
  <si>
    <t>Hot air infestation treatment systems</t>
  </si>
  <si>
    <t>10-70-30/735 Hot air treatment;</t>
  </si>
  <si>
    <t>Ss_15_30_32_50</t>
  </si>
  <si>
    <t>Masonry fungus treatment systems</t>
  </si>
  <si>
    <t>10-70-30/140 Treatment systems for fungus infected masonry;</t>
  </si>
  <si>
    <t>Ss_15_30_32_85</t>
  </si>
  <si>
    <t>Termite treatment systems</t>
  </si>
  <si>
    <t>Ss_15_30_32_90</t>
  </si>
  <si>
    <t>Timber fungus treatment systems</t>
  </si>
  <si>
    <t>10-70-30/150 Treatment systems for fungus infected timber;</t>
  </si>
  <si>
    <t>Ss_15_30_33</t>
  </si>
  <si>
    <t>Glass repair and renovation systems</t>
  </si>
  <si>
    <t>Ss_15_30_36</t>
  </si>
  <si>
    <t>Grouting systems</t>
  </si>
  <si>
    <t>Ss_15_30_50</t>
  </si>
  <si>
    <t>Masonry repair and renovation systems</t>
  </si>
  <si>
    <t>Ss_15_30_50_50</t>
  </si>
  <si>
    <t>Masonry repair systems</t>
  </si>
  <si>
    <t>10-70-55/155 Masonry repair system;</t>
  </si>
  <si>
    <t>7.6.1 Masonry repairs (default); 7.1.1 Minor demolition and alteration works;</t>
  </si>
  <si>
    <t>Ss_15_30_50_53</t>
  </si>
  <si>
    <t>Mortar joint repair systems</t>
  </si>
  <si>
    <t>10-70-65/150 Mortar repairs system;</t>
  </si>
  <si>
    <t>7.6.1 Masonry repairs (default);</t>
  </si>
  <si>
    <t>Ss_15_30_50_55</t>
  </si>
  <si>
    <t>Mortar repointing systems</t>
  </si>
  <si>
    <t>10-70-65/155 Mortar repointing system;</t>
  </si>
  <si>
    <t>Ss_15_30_52</t>
  </si>
  <si>
    <t>Metal repair and renovation systems</t>
  </si>
  <si>
    <t>Ss_15_30_52_03</t>
  </si>
  <si>
    <t>Aluminium repair systems</t>
  </si>
  <si>
    <t>Ss_15_30_52_15</t>
  </si>
  <si>
    <t>Copper repair systems</t>
  </si>
  <si>
    <t>Ss_15_30_52_42</t>
  </si>
  <si>
    <t>Iron repair systems</t>
  </si>
  <si>
    <t>Ss_15_30_52_46</t>
  </si>
  <si>
    <t>Lead repair systems</t>
  </si>
  <si>
    <t>Ss_15_30_52_84</t>
  </si>
  <si>
    <t>Steel repair systems</t>
  </si>
  <si>
    <t>Ss_15_30_65</t>
  </si>
  <si>
    <t>Pipeline renovation systems</t>
  </si>
  <si>
    <t>Ss_15_30_65_15</t>
  </si>
  <si>
    <t>Close fit plastics pipe lining systems</t>
  </si>
  <si>
    <t>10-80-60/110 Close fit plastics pipe lining system;</t>
  </si>
  <si>
    <t>Ss_15_30_65_17</t>
  </si>
  <si>
    <t>Continuous plastics pipe lining systems</t>
  </si>
  <si>
    <t>10-80-60/150 Continuous plastics pipe lining system;</t>
  </si>
  <si>
    <t>Ss_15_30_65_20</t>
  </si>
  <si>
    <t>Cured in place lining systems</t>
  </si>
  <si>
    <t>10-80-60/120 Cured in place lining system;</t>
  </si>
  <si>
    <t>Ss_15_30_65_65</t>
  </si>
  <si>
    <t>Preformed lining systems</t>
  </si>
  <si>
    <t>10-80-60/105 Preformed lining system;</t>
  </si>
  <si>
    <t>Ss_15_30_65_72</t>
  </si>
  <si>
    <t>Rigidly anchored plastics inner layer (RAPL) lining systems</t>
  </si>
  <si>
    <t>10-80-60/130 Rigidly anchored plastics inner layer (RAPL) lining system;</t>
  </si>
  <si>
    <t>Ss_15_30_65_80</t>
  </si>
  <si>
    <t>Spray lining systems</t>
  </si>
  <si>
    <t>Ss_15_30_65_81</t>
  </si>
  <si>
    <t>Spirally wound plastics pipe lining systems</t>
  </si>
  <si>
    <t>10-80-60/140 Spirally wound plastics pipe lining system;</t>
  </si>
  <si>
    <t>Ss_15_30_90</t>
  </si>
  <si>
    <t>Timber repair and renovation systems</t>
  </si>
  <si>
    <t>Ss_15_30_90_82</t>
  </si>
  <si>
    <t>Timber end lap repair systems</t>
  </si>
  <si>
    <t>10-70-90/140 Timber section repair system;</t>
  </si>
  <si>
    <t>7.6.4 Timber repairs (default); 7.1.1 Minor demolition and alteration works;</t>
  </si>
  <si>
    <t>Ss_15_30_90_84</t>
  </si>
  <si>
    <t>Timber joint strengthening systems</t>
  </si>
  <si>
    <t>10-70-90/120 Timber joint strengthening system;</t>
  </si>
  <si>
    <t>Ss_15_30_90_86</t>
  </si>
  <si>
    <t>Timber section repair external splice systems</t>
  </si>
  <si>
    <t>Ss_15_30_90_88</t>
  </si>
  <si>
    <t>Timber section repair internal reinforcement systems</t>
  </si>
  <si>
    <t>Ss_15_30_90_90</t>
  </si>
  <si>
    <t>Timber section strengthening external reinforcement systems</t>
  </si>
  <si>
    <t>10-70-90/160 Timber section strengthening system;</t>
  </si>
  <si>
    <t>Ss_15_30_90_92</t>
  </si>
  <si>
    <t>Timber section strengthening internal reinforcement systems</t>
  </si>
  <si>
    <t>Ss_15_95</t>
  </si>
  <si>
    <t>Temporary works systems</t>
  </si>
  <si>
    <t>Ss_15_95_15</t>
  </si>
  <si>
    <t>Temporary preparatory works systems</t>
  </si>
  <si>
    <t>Ss_15_95_15_10</t>
  </si>
  <si>
    <t>Borehole systems</t>
  </si>
  <si>
    <t>Ss_15_95_17</t>
  </si>
  <si>
    <t>Temporary protection systems</t>
  </si>
  <si>
    <t>Ss_15_95_17_90</t>
  </si>
  <si>
    <t>Temporary backfill systems</t>
  </si>
  <si>
    <t>Ss_15_95_20</t>
  </si>
  <si>
    <t>Temporary whole entity structural works systems</t>
  </si>
  <si>
    <t>Ss_15_95_20_30</t>
  </si>
  <si>
    <t>Flying shores systems</t>
  </si>
  <si>
    <t>10-85-15/130 Flying shores system;</t>
  </si>
  <si>
    <t>7.4.1 Facade retention; 0.3.1 Temporary support to adjacent structures (default);</t>
  </si>
  <si>
    <t>Ss_15_95_20_32</t>
  </si>
  <si>
    <t>Framed retention structure systems</t>
  </si>
  <si>
    <t>10-85-15/110 Framed retention structure system;</t>
  </si>
  <si>
    <t>7.4.1 Facade retention (default); 0.3.1 Temporary support to adjacent structures;</t>
  </si>
  <si>
    <t>Ss_15_95_20_70</t>
  </si>
  <si>
    <t>Raking shores systems</t>
  </si>
  <si>
    <t>10-85-15/140 Raking shores system;</t>
  </si>
  <si>
    <t>Ss_15_95_20_72</t>
  </si>
  <si>
    <t>Retention structure systems</t>
  </si>
  <si>
    <t>10-85-15/120 Retention structure system;</t>
  </si>
  <si>
    <t>Ss_15_95_20_75</t>
  </si>
  <si>
    <t>Scaffold retention structure systems</t>
  </si>
  <si>
    <t>Ss_15_95_20_87</t>
  </si>
  <si>
    <t>Thrust pit systems</t>
  </si>
  <si>
    <t>Ss_15_95_25</t>
  </si>
  <si>
    <t>Temporary wall and barrier works systems</t>
  </si>
  <si>
    <t>Ss_15_95_30</t>
  </si>
  <si>
    <t>Temporary roof, floor and paving works systems</t>
  </si>
  <si>
    <t>Ss_15_95_32</t>
  </si>
  <si>
    <t>Temporary water and land management systems</t>
  </si>
  <si>
    <t>Ss_15_95_32_85</t>
  </si>
  <si>
    <t>Sedimentation ponds</t>
  </si>
  <si>
    <t>Ss_15_95_35</t>
  </si>
  <si>
    <t>Temporary fixed access, tunnel, shaft, vessel and tower works systems</t>
  </si>
  <si>
    <t>Ss_15_95_40</t>
  </si>
  <si>
    <t>Temporary signage and fittings, furnishings and equipment (FF&amp;E) works systems</t>
  </si>
  <si>
    <t>Ss_15_95_45</t>
  </si>
  <si>
    <t>Temporary flora and fauna systems</t>
  </si>
  <si>
    <t>Ss_15_95_45_42</t>
  </si>
  <si>
    <t>Intercropping systems</t>
  </si>
  <si>
    <t>10-85-40/135 Intercropping system;</t>
  </si>
  <si>
    <t>Ss_15_95_45_85</t>
  </si>
  <si>
    <t>Spoil heap temporary crop systems</t>
  </si>
  <si>
    <t>10-85-40/175 Spoil heap temporary crop system;</t>
  </si>
  <si>
    <t>Ss_15_95_45_90</t>
  </si>
  <si>
    <t>Topsoil heap temporary crop systems</t>
  </si>
  <si>
    <t>10-85-40/185 Topsoil heap temporary crop system;</t>
  </si>
  <si>
    <t>Ss_15_95_55</t>
  </si>
  <si>
    <t>Temporary piped supply works systems</t>
  </si>
  <si>
    <t>Ss_15_95_55_90</t>
  </si>
  <si>
    <t>Tunnelling compressed air systems</t>
  </si>
  <si>
    <t>Ss_15_95_60</t>
  </si>
  <si>
    <t>Temporary heating, cooling and refrigeration works systems</t>
  </si>
  <si>
    <t>Ss_15_95_65</t>
  </si>
  <si>
    <t>Temporary ventilation and air conditioning works systems</t>
  </si>
  <si>
    <t>Ss_15_95_70</t>
  </si>
  <si>
    <t>Temporary electrical works systems</t>
  </si>
  <si>
    <t>Ss_15_95_75</t>
  </si>
  <si>
    <t>Temporary communications, security, safety, control and protection works systems</t>
  </si>
  <si>
    <t>Ss_15_95_80</t>
  </si>
  <si>
    <t>Temporary pavement works systems</t>
  </si>
  <si>
    <t>Ss_15_95_80_02</t>
  </si>
  <si>
    <t>Temporary access road systems</t>
  </si>
  <si>
    <t>Ss_15_95_80_72</t>
  </si>
  <si>
    <t>Temporary roadwork systems</t>
  </si>
  <si>
    <t>Ss_15_95_85</t>
  </si>
  <si>
    <t>Temporary process engineering works systems</t>
  </si>
  <si>
    <t>Ss_15_95_90</t>
  </si>
  <si>
    <t>Temporary soft facility management works services</t>
  </si>
  <si>
    <t>Ss_20</t>
  </si>
  <si>
    <t>Structural systems</t>
  </si>
  <si>
    <t>Ss_20_05</t>
  </si>
  <si>
    <t>Substructure systems</t>
  </si>
  <si>
    <t>Ss_20_05_15</t>
  </si>
  <si>
    <t>Concrete foundation systems</t>
  </si>
  <si>
    <t>Ss_20_05_15_65</t>
  </si>
  <si>
    <t>Precast concrete pad and strip foundation systems</t>
  </si>
  <si>
    <t>15-05-15/160 Precast concrete pad and strip foundation system;</t>
  </si>
  <si>
    <t>1.1.1 Standard foundations (default);</t>
  </si>
  <si>
    <t>Ss_20_05_15_70</t>
  </si>
  <si>
    <t>Reinforced concrete pad and strip foundation systems</t>
  </si>
  <si>
    <t>15-05-15/110 In situ reinforced concrete pad and strip foundation system;</t>
  </si>
  <si>
    <t>Ss_20_05_15_71</t>
  </si>
  <si>
    <t>Reinforced concrete pilecap and ground beam foundation systems</t>
  </si>
  <si>
    <t>15-05-15/120 In situ reinforced concrete pilecap and ground beam foundation system;</t>
  </si>
  <si>
    <t>Ss_20_05_15_72</t>
  </si>
  <si>
    <t>Reinforced concrete raft foundation systems</t>
  </si>
  <si>
    <t>15-05-15/130 In situ reinforced concrete raft foundation system;</t>
  </si>
  <si>
    <t>1.1.3 Lowest floor construction (default);</t>
  </si>
  <si>
    <t>Ss_20_05_15_80</t>
  </si>
  <si>
    <t>Steel ground beam foundation systems</t>
  </si>
  <si>
    <t>15-05-15/170 Steel ground beam foundation system;</t>
  </si>
  <si>
    <t>Ss_20_05_15_90</t>
  </si>
  <si>
    <t>Unreinforced concrete foundation systems for cast in products</t>
  </si>
  <si>
    <t>15-05-15/135 In situ unreinforced concrete foundation system for cast in products;</t>
  </si>
  <si>
    <t>Ss_20_05_15_91</t>
  </si>
  <si>
    <t>Unreinforced concrete pad and strip foundation systems</t>
  </si>
  <si>
    <t>15-05-15/140 In situ unreinforced concrete pad and strip foundation system;</t>
  </si>
  <si>
    <t>Ss_20_05_15_92</t>
  </si>
  <si>
    <t>Unreinforced concrete trench fill foundation systems</t>
  </si>
  <si>
    <t>15-05-15/150 In situ unreinforced concrete trench fill foundation system;</t>
  </si>
  <si>
    <t>Ss_20_05_50</t>
  </si>
  <si>
    <t>Minor concrete substructure systems</t>
  </si>
  <si>
    <t>Ss_20_05_50_15</t>
  </si>
  <si>
    <t>Concrete haunching systems</t>
  </si>
  <si>
    <t>Ss_20_05_50_65</t>
  </si>
  <si>
    <t>Precast concrete foundation and plinth systems</t>
  </si>
  <si>
    <t>15-05-50/140 Precast concrete foundation and plinth system;</t>
  </si>
  <si>
    <t>Ss_20_05_50_70</t>
  </si>
  <si>
    <t>Reinforced concrete base or foundation systems</t>
  </si>
  <si>
    <t>15-05-50/110 In situ reinforced concrete foundation and plinth system;</t>
  </si>
  <si>
    <t>Ss_20_05_50_92</t>
  </si>
  <si>
    <t>Unreinforced concrete foundation with cast in products systems</t>
  </si>
  <si>
    <t>15-05-50/120 In situ unreinforced concrete foundation system for cast in products;</t>
  </si>
  <si>
    <t>Ss_20_05_50_93</t>
  </si>
  <si>
    <t>Unreinforced concrete foundation and plinth systems</t>
  </si>
  <si>
    <t>15-05-50/130 In situ unreinforced concrete foundation and plinth system;</t>
  </si>
  <si>
    <t>Ss_20_05_65</t>
  </si>
  <si>
    <t>Piling systems</t>
  </si>
  <si>
    <t>15-05-65/190 Piling system;</t>
  </si>
  <si>
    <t>1.1.2 Specialist foundations (default);</t>
  </si>
  <si>
    <t>Ss_20_05_65_24</t>
  </si>
  <si>
    <t>Driven precast or prestressed concrete piling systems</t>
  </si>
  <si>
    <t>15-05-65/155 Driven precast or prestressed concrete piling system;</t>
  </si>
  <si>
    <t>Ss_20_05_65_40</t>
  </si>
  <si>
    <t>In situ concrete augered piling systems</t>
  </si>
  <si>
    <t>15-05-65/110 In situ concrete augered piling system;</t>
  </si>
  <si>
    <t>Ss_20_05_65_41</t>
  </si>
  <si>
    <t>In situ concrete bored piling systems</t>
  </si>
  <si>
    <t>15-05-65/120 In situ concrete bored piling system;</t>
  </si>
  <si>
    <t>Ss_20_05_65_42</t>
  </si>
  <si>
    <t>In situ concrete cased displacement piling systems</t>
  </si>
  <si>
    <t>15-05-65/130 In situ concrete cased displacement piling system;</t>
  </si>
  <si>
    <t>Ss_20_05_65_43</t>
  </si>
  <si>
    <t>In situ concrete displacement piling systems</t>
  </si>
  <si>
    <t>15-05-65/140 In situ concrete displacement piling system;</t>
  </si>
  <si>
    <t>Ss_20_05_65_44</t>
  </si>
  <si>
    <t>In situ concrete mini-piling or micro-piling systems</t>
  </si>
  <si>
    <t>15-05-65/185 In situ concrete mini-piling or micro-piling system;</t>
  </si>
  <si>
    <t>Ss_20_05_65_64</t>
  </si>
  <si>
    <t>Plunge column piling systems</t>
  </si>
  <si>
    <t>15-05-65/150 Plunge column piling system;</t>
  </si>
  <si>
    <t>Ss_20_05_65_76</t>
  </si>
  <si>
    <t>Screw piling systems</t>
  </si>
  <si>
    <t>15-05-65/180 Screw piling system;</t>
  </si>
  <si>
    <t>Ss_20_05_65_84</t>
  </si>
  <si>
    <t>Steel bearing pile systems</t>
  </si>
  <si>
    <t>15-05-65/160 Steel bearing pile system;</t>
  </si>
  <si>
    <t>Ss_20_05_65_89</t>
  </si>
  <si>
    <t>Timber piling systems</t>
  </si>
  <si>
    <t>15-05-65/170 Timber piling system;</t>
  </si>
  <si>
    <t>Ss_20_05_90</t>
  </si>
  <si>
    <t>Underpinning systems</t>
  </si>
  <si>
    <t>Ss_20_05_90_10</t>
  </si>
  <si>
    <t>Beam and pier unreinforced concrete underpinning systems</t>
  </si>
  <si>
    <t>15-05-90/110 Beam and pier underpinning system;</t>
  </si>
  <si>
    <t>8.8.3 Underpinning to external site boundary walls; 1.1.2 Specialist foundations (default);</t>
  </si>
  <si>
    <t>Ss_20_05_90_35</t>
  </si>
  <si>
    <t>Grouted underpinning systems</t>
  </si>
  <si>
    <t>15-05-90/120 Grouted underpinning system;</t>
  </si>
  <si>
    <t>Ss_20_05_90_45</t>
  </si>
  <si>
    <t>Jacked pile underpinning systems</t>
  </si>
  <si>
    <t>15-05-90/130 Jacked pile underpinning system;</t>
  </si>
  <si>
    <t>Ss_20_05_90_46</t>
  </si>
  <si>
    <t>Jet grouted underpinning systems</t>
  </si>
  <si>
    <t>15-05-90/125 Jet grouted underpinning system;</t>
  </si>
  <si>
    <t>Ss_20_05_90_50</t>
  </si>
  <si>
    <t>Mass concrete underpinning systems</t>
  </si>
  <si>
    <t>15-05-90/140 Mass concrete underpinning system;</t>
  </si>
  <si>
    <t>Ss_20_05_90_60</t>
  </si>
  <si>
    <t>Pile and cantilever support underpinning systems</t>
  </si>
  <si>
    <t>15-05-90/150 Pile and cantilever support underpinning system;</t>
  </si>
  <si>
    <t>Ss_20_05_90_61</t>
  </si>
  <si>
    <t>Pile and needle underpinning systems</t>
  </si>
  <si>
    <t>15-05-90/160 Pile and needle underpinning system;</t>
  </si>
  <si>
    <t>Ss_20_05_90_70</t>
  </si>
  <si>
    <t>Raking pile underpinning systems</t>
  </si>
  <si>
    <t>15-05-90/170 Raking pile underpinning system;</t>
  </si>
  <si>
    <t>Ss_20_10</t>
  </si>
  <si>
    <t>Structural frame systems</t>
  </si>
  <si>
    <t>Ss_20_10_30</t>
  </si>
  <si>
    <t>Bridge structure systems</t>
  </si>
  <si>
    <t>Ss_20_10_30_30</t>
  </si>
  <si>
    <t>Footbridge systems</t>
  </si>
  <si>
    <t>20-15-25/130 Footbridge system;</t>
  </si>
  <si>
    <t>8.2.1 Roads, paths and pavings (default); 2.2.1 Floors;</t>
  </si>
  <si>
    <t>Ss_20_10_30_65</t>
  </si>
  <si>
    <t>Pipe bridge systems</t>
  </si>
  <si>
    <t>Ss_20_10_60</t>
  </si>
  <si>
    <t>Prefabricated framed and panelled structures</t>
  </si>
  <si>
    <t>Ss_20_10_60_34</t>
  </si>
  <si>
    <t>Glazed structural systems</t>
  </si>
  <si>
    <t>15-75-65/130 Glazed structures;</t>
  </si>
  <si>
    <t>Ss_20_10_60_60</t>
  </si>
  <si>
    <t>Panelled and framed structural systems</t>
  </si>
  <si>
    <t>15-75-65/110 Panelled or framed structures;</t>
  </si>
  <si>
    <t>Ss_20_10_60_84</t>
  </si>
  <si>
    <t>Structural insulated panel systems</t>
  </si>
  <si>
    <t>15-75-65/120 Structural insulated panels;</t>
  </si>
  <si>
    <t>Ss_20_10_65</t>
  </si>
  <si>
    <t>Prefabricated room systems</t>
  </si>
  <si>
    <t>Ss_20_10_65_15</t>
  </si>
  <si>
    <t>Composite pods</t>
  </si>
  <si>
    <t>05-70-10/140 Building units (pods);</t>
  </si>
  <si>
    <t>Ss_20_10_65_17</t>
  </si>
  <si>
    <t>Concrete pods</t>
  </si>
  <si>
    <t>Ss_20_10_65_65</t>
  </si>
  <si>
    <t>Polypropylene pods</t>
  </si>
  <si>
    <t>Ss_20_10_70</t>
  </si>
  <si>
    <t>Shelter systems</t>
  </si>
  <si>
    <t>Ss_20_10_70_03</t>
  </si>
  <si>
    <t>Animal shelter systems</t>
  </si>
  <si>
    <t>35-70-75/105 Animal shelter system;</t>
  </si>
  <si>
    <t>6.1.1 Complete buildings (default); 6.1.2 Building units;</t>
  </si>
  <si>
    <t>Ss_20_10_70_62</t>
  </si>
  <si>
    <t>People shelter systems</t>
  </si>
  <si>
    <t>35-70-75/155 People shelter system;</t>
  </si>
  <si>
    <t>6.1.1 Complete buildings; 8.5.1 Site/street furniture and equipment (default);</t>
  </si>
  <si>
    <t>Ss_20_10_70_64</t>
  </si>
  <si>
    <t>Plant shelter systems</t>
  </si>
  <si>
    <t>35-70-75/160 Plant shelter system;</t>
  </si>
  <si>
    <t>Ss_20_10_70_84</t>
  </si>
  <si>
    <t>Storage shelter systems</t>
  </si>
  <si>
    <t>35-70-75/165 Storage shelter system;</t>
  </si>
  <si>
    <t>6.1.1 Complete buildings (default); 8.5.1 Site/street furniture and equipment;</t>
  </si>
  <si>
    <t>Ss_20_10_75</t>
  </si>
  <si>
    <t>Structural framing systems</t>
  </si>
  <si>
    <t>Ss_20_10_75_15</t>
  </si>
  <si>
    <t>Concrete framing systems</t>
  </si>
  <si>
    <t>Ss_20_10_75_35</t>
  </si>
  <si>
    <t>Heavy steel framing systems</t>
  </si>
  <si>
    <t>15-65-75/135 Heavy steel framing system;</t>
  </si>
  <si>
    <t>2.1.1 Steel frames (default);</t>
  </si>
  <si>
    <t>Ss_20_10_75_45</t>
  </si>
  <si>
    <t>Light steel framing systems</t>
  </si>
  <si>
    <t>15-65-75/145 Light steel framing system;</t>
  </si>
  <si>
    <t>Ss_20_10_75_65</t>
  </si>
  <si>
    <t>Precast reinforced concrete framing systems</t>
  </si>
  <si>
    <t>15-65-75/160 Precast concrete framing system;</t>
  </si>
  <si>
    <t>2.1.4 Concrete frames (default);</t>
  </si>
  <si>
    <t>Ss_20_10_75_70</t>
  </si>
  <si>
    <t>In situ reinforced concrete framing systems</t>
  </si>
  <si>
    <t>15-65-75/140 In situ reinforced concrete framing system;</t>
  </si>
  <si>
    <t>Ss_20_10_75_85</t>
  </si>
  <si>
    <t>Timber framing systems</t>
  </si>
  <si>
    <t>15-65-75/185 Timber framing system;</t>
  </si>
  <si>
    <t>2.1.5 Timber frames (default);</t>
  </si>
  <si>
    <t>Ss_20_20</t>
  </si>
  <si>
    <t>Structural beams</t>
  </si>
  <si>
    <t>Ss_20_20_75</t>
  </si>
  <si>
    <t>Structural beam systems</t>
  </si>
  <si>
    <t>Ss_20_20_75_15</t>
  </si>
  <si>
    <t>Concrete beam systems</t>
  </si>
  <si>
    <t>Ss_20_20_75_80</t>
  </si>
  <si>
    <t>Steel beam systems</t>
  </si>
  <si>
    <t>Ss_20_20_75_85</t>
  </si>
  <si>
    <t>Timber beam systems</t>
  </si>
  <si>
    <t>Ss_20_30</t>
  </si>
  <si>
    <t>Structural columns</t>
  </si>
  <si>
    <t>Ss_20_30_75</t>
  </si>
  <si>
    <t>Structural column systems</t>
  </si>
  <si>
    <t>Ss_20_30_75_15</t>
  </si>
  <si>
    <t>Concrete column systems</t>
  </si>
  <si>
    <t>Ss_20_30_75_50</t>
  </si>
  <si>
    <t>Masonry column systems</t>
  </si>
  <si>
    <t>Ss_20_30_75_80</t>
  </si>
  <si>
    <t>Steel column systems</t>
  </si>
  <si>
    <t>Ss_20_30_75_85</t>
  </si>
  <si>
    <t>Timber column systems</t>
  </si>
  <si>
    <t>Ss_20_40</t>
  </si>
  <si>
    <t>Structural sheet and cable systems</t>
  </si>
  <si>
    <t>Ss_20_40_07</t>
  </si>
  <si>
    <t>Bridge suspension cable systems</t>
  </si>
  <si>
    <t>Ss_20_40_07_11</t>
  </si>
  <si>
    <t>Cable stayed bridge cable systems</t>
  </si>
  <si>
    <t>15-20-20/115 Cable stayed bridge cable system;</t>
  </si>
  <si>
    <t>Ss_20_40_07_85</t>
  </si>
  <si>
    <t>Suspension bridge cable systems</t>
  </si>
  <si>
    <t>15-20-20/105 Suspension bridge cable system;</t>
  </si>
  <si>
    <t>Ss_20_40_10</t>
  </si>
  <si>
    <t>Building cable systems</t>
  </si>
  <si>
    <t>Ss_20_50</t>
  </si>
  <si>
    <t>Bridge abutment and pier systems</t>
  </si>
  <si>
    <t>Ss_20_50_10</t>
  </si>
  <si>
    <t>Abutment systems</t>
  </si>
  <si>
    <t>Ss_20_50_10_10</t>
  </si>
  <si>
    <t>Bank seat abutments</t>
  </si>
  <si>
    <t>Ss_20_50_10_30</t>
  </si>
  <si>
    <t>Embedded retaining wall bridge abutments</t>
  </si>
  <si>
    <t>Ss_20_50_10_40</t>
  </si>
  <si>
    <t>Integral abutments</t>
  </si>
  <si>
    <t>Ss_20_50_10_50</t>
  </si>
  <si>
    <t>Masonry bridge abutments</t>
  </si>
  <si>
    <t>Ss_20_50_10_70</t>
  </si>
  <si>
    <t>Reinforced concrete bridge abutments</t>
  </si>
  <si>
    <t>Ss_20_50_10_80</t>
  </si>
  <si>
    <t>Sheet piled bridge abutments</t>
  </si>
  <si>
    <t>Ss_20_50_10_85</t>
  </si>
  <si>
    <t>Spill-through abutments</t>
  </si>
  <si>
    <t>Ss_20_50_10_90</t>
  </si>
  <si>
    <t>Tied embedded retaining wall bridge abutments</t>
  </si>
  <si>
    <t>Ss_20_50_10_95</t>
  </si>
  <si>
    <t>Wing wall systems</t>
  </si>
  <si>
    <t>Ss_20_50_20</t>
  </si>
  <si>
    <t>Bridge pier systems</t>
  </si>
  <si>
    <t>Ss_20_50_20_50</t>
  </si>
  <si>
    <t>Masonry bridge piers</t>
  </si>
  <si>
    <t>Ss_20_50_20_70</t>
  </si>
  <si>
    <t>Reinforced concrete bridge piers</t>
  </si>
  <si>
    <t>Ss_20_50_30</t>
  </si>
  <si>
    <t>Abutment and pier component systems</t>
  </si>
  <si>
    <t>Ss_20_50_30_11</t>
  </si>
  <si>
    <t>Capping beam systems</t>
  </si>
  <si>
    <t>Ss_20_50_30_37</t>
  </si>
  <si>
    <t>Headwall systems</t>
  </si>
  <si>
    <t>Ss_20_50_30_80</t>
  </si>
  <si>
    <t>Spandrel wall systems</t>
  </si>
  <si>
    <t>Ss_20_60</t>
  </si>
  <si>
    <t>Retaining wall systems</t>
  </si>
  <si>
    <t>Ss_20_60_30</t>
  </si>
  <si>
    <t>Embedded retaining wall systems</t>
  </si>
  <si>
    <t>Ss_20_60_30_03</t>
  </si>
  <si>
    <t>Anchored steel sheet pile embedded retaining wall systems</t>
  </si>
  <si>
    <t>Ss_20_60_30_08</t>
  </si>
  <si>
    <t>Bored king post embedded retaining wall systems</t>
  </si>
  <si>
    <t>10-35-30/110 Bored king post retaining wall system;</t>
  </si>
  <si>
    <t>1.1.5 Basement retaining walls; 8.4.3 Retaining walls (default);</t>
  </si>
  <si>
    <t>Ss_20_60_30_13</t>
  </si>
  <si>
    <t>Combi retaining wall systems</t>
  </si>
  <si>
    <t>Ss_20_60_30_15</t>
  </si>
  <si>
    <t>Contiguous bored pile embedded retaining wall systems</t>
  </si>
  <si>
    <t>10-35-30/115 Contiguous pile retaining wall system;</t>
  </si>
  <si>
    <t>Ss_20_60_30_24</t>
  </si>
  <si>
    <t>Driven king post embedded retaining wall systems</t>
  </si>
  <si>
    <t>10-35-30/120 Driven king post retaining wall system;</t>
  </si>
  <si>
    <t>Ss_20_60_30_70</t>
  </si>
  <si>
    <t>Reinforced concrete diaphragm retaining wall systems</t>
  </si>
  <si>
    <t>10-35-30/125 In situ reinforced concrete diaphragm retaining wall system;</t>
  </si>
  <si>
    <t>Ss_20_60_30_80</t>
  </si>
  <si>
    <t>Secant pile embedded retaining wall systems</t>
  </si>
  <si>
    <t>10-35-30/135 Secant pile retaining wall system;</t>
  </si>
  <si>
    <t>Ss_20_60_30_83</t>
  </si>
  <si>
    <t>Slurry diaphragm embedded retaining wall systems</t>
  </si>
  <si>
    <t>10-35-30/140 Slurry diaphragm retaining wall system;</t>
  </si>
  <si>
    <t>1.1.5 Basement retaining walls (default);</t>
  </si>
  <si>
    <t>Ss_20_60_30_85</t>
  </si>
  <si>
    <t>Steel sheet pile embedded retaining wall systems</t>
  </si>
  <si>
    <t>10-35-30/150 Sheet pile retaining wall system;</t>
  </si>
  <si>
    <t>Ss_20_60_30_92</t>
  </si>
  <si>
    <t>Unreinforced concrete diaphragm retaining wall systems</t>
  </si>
  <si>
    <t>10-35-30/130 In situ unreinforced concrete diaphragm retaining wall system;</t>
  </si>
  <si>
    <t>Ss_20_60_35</t>
  </si>
  <si>
    <t>Gravity retaining wall systems</t>
  </si>
  <si>
    <t>Ss_20_60_35_10</t>
  </si>
  <si>
    <t>Caged rock unit (gabion) retaining wall systems</t>
  </si>
  <si>
    <t>10-35-40/110 Caged fill retaining wall system;</t>
  </si>
  <si>
    <t>8.4.3 Retaining walls (default);</t>
  </si>
  <si>
    <t>Ss_20_60_35_13</t>
  </si>
  <si>
    <t>Concrete bagwork retaining wall systems</t>
  </si>
  <si>
    <t>10-35-40/115 Concrete bagwork retaining wall system;</t>
  </si>
  <si>
    <t>Ss_20_60_35_15</t>
  </si>
  <si>
    <t>Crib retaining wall systems</t>
  </si>
  <si>
    <t>10-35-40/120 Crib retaining wall system;</t>
  </si>
  <si>
    <t>Ss_20_60_35_25</t>
  </si>
  <si>
    <t>Drystack masonry unit retaining wall systems</t>
  </si>
  <si>
    <t>10-35-40/130 Drystack masonry unit retaining wall system;</t>
  </si>
  <si>
    <t>Ss_20_60_35_50</t>
  </si>
  <si>
    <t>Masonry retaining wall systems</t>
  </si>
  <si>
    <t>10-35-40/150 Masonry retaining wall system;</t>
  </si>
  <si>
    <t>Ss_20_60_35_66</t>
  </si>
  <si>
    <t>Precast concrete stem wall retaining wall systems</t>
  </si>
  <si>
    <t>10-35-40/160 Precast reinforced concrete stem wall retaining wall system;</t>
  </si>
  <si>
    <t>Ss_20_60_35_70</t>
  </si>
  <si>
    <t>Reinforced concrete retaining wall systems</t>
  </si>
  <si>
    <t>10-35-40/140 In situ reinforced concrete retaining wall system;</t>
  </si>
  <si>
    <t>Ss_20_60_35_72</t>
  </si>
  <si>
    <t>Reinforced earth retaining wall systems</t>
  </si>
  <si>
    <t>10-35-40/170 Reinforced earth retaining wall system;</t>
  </si>
  <si>
    <t>8.4.3 Retaining walls;</t>
  </si>
  <si>
    <t>Ss_20_60_35_90</t>
  </si>
  <si>
    <t>Timber retaining wall systems</t>
  </si>
  <si>
    <t>10-35-40/180 Timber retaining wall system;</t>
  </si>
  <si>
    <t>Ss_20_60_35_91</t>
  </si>
  <si>
    <t>Tyre bale retaining wall systems</t>
  </si>
  <si>
    <t>10-35-40/190 Tyre bale retaining wall system;</t>
  </si>
  <si>
    <t>Ss_20_70</t>
  </si>
  <si>
    <t>Structure covering and finishing systems</t>
  </si>
  <si>
    <t>Ss_20_70_15</t>
  </si>
  <si>
    <t>Concrete protection systems</t>
  </si>
  <si>
    <t>Ss_20_70_65</t>
  </si>
  <si>
    <t>Protective painting systems</t>
  </si>
  <si>
    <t>Ss_20_70_80</t>
  </si>
  <si>
    <t>Steel encasement systems</t>
  </si>
  <si>
    <t>Ss_20_80</t>
  </si>
  <si>
    <t>Structure accessory systems</t>
  </si>
  <si>
    <t>Ss_20_80_60</t>
  </si>
  <si>
    <t>Permanent formwork systems</t>
  </si>
  <si>
    <t>Ss_20_95</t>
  </si>
  <si>
    <t>Temporary structural systems</t>
  </si>
  <si>
    <t>Ss_25</t>
  </si>
  <si>
    <t>Wall and barrier systems</t>
  </si>
  <si>
    <t>Ss_25_10</t>
  </si>
  <si>
    <t>Framed wall systems</t>
  </si>
  <si>
    <t>Ss_25_10_20</t>
  </si>
  <si>
    <t>Curtain walling systems</t>
  </si>
  <si>
    <t>Ss_25_10_20_85</t>
  </si>
  <si>
    <t>Stick curtain walling systems</t>
  </si>
  <si>
    <t>25-80-15/175 Stick curtain walling system;</t>
  </si>
  <si>
    <t>2.5.1 External enclosing walls above ground level (default);</t>
  </si>
  <si>
    <t>Ss_25_10_20_90</t>
  </si>
  <si>
    <t>Unitized curtain walling systems</t>
  </si>
  <si>
    <t>25-80-15/190 Unitized curtain walling system;</t>
  </si>
  <si>
    <t>Ss_25_10_30</t>
  </si>
  <si>
    <t>Framed partition systems</t>
  </si>
  <si>
    <t>Ss_25_10_30_35</t>
  </si>
  <si>
    <t>Gypsum board partition systems</t>
  </si>
  <si>
    <t>25-15-25/135 Gypsum board partition system;</t>
  </si>
  <si>
    <t>2.7.1 Walls and partitions (default); 2.7.2 Balustrades and handrails;</t>
  </si>
  <si>
    <t>Ss_25_10_30_70</t>
  </si>
  <si>
    <t>Rigid sheet partition systems</t>
  </si>
  <si>
    <t>25-15-25/170 Rigid sheet partition system;</t>
  </si>
  <si>
    <t>Ss_25_10_32</t>
  </si>
  <si>
    <t>Framed wall structure systems</t>
  </si>
  <si>
    <t>Ss_25_10_32_03</t>
  </si>
  <si>
    <t>Aluminium wall framing systems</t>
  </si>
  <si>
    <t>Ss_25_10_32_35</t>
  </si>
  <si>
    <t>Heavy steel wall framing systems</t>
  </si>
  <si>
    <t>25-15-35/135 Heavy steel framed wall structure system;</t>
  </si>
  <si>
    <t>2.5.2 External enclosing walls below ground level; 2.7.1 Walls and partitions; 2.5.1 External enclosing walls above ground level (default); 2.5.5 Subsidiary walls, balustrades and proprietary balconies;</t>
  </si>
  <si>
    <t>Ss_25_10_32_45</t>
  </si>
  <si>
    <t>Light steel wall framing systems</t>
  </si>
  <si>
    <t>25-15-35/145 Light steel framed wall structure system;</t>
  </si>
  <si>
    <t>2.7.1 Walls and partitions; 2.5.1 External enclosing walls above ground level (default); 2.7.2 Balustrades and handrails; 2.5.5 Subsidiary walls, balustrades and proprietary balconies;</t>
  </si>
  <si>
    <t>Ss_25_10_32_58</t>
  </si>
  <si>
    <t>Plastics wall framing systems</t>
  </si>
  <si>
    <t>Ss_25_10_32_90</t>
  </si>
  <si>
    <t>Timber wall framing systems</t>
  </si>
  <si>
    <t>25-15-35/185 Timber framed wall structure system;</t>
  </si>
  <si>
    <t>Ss_25_10_35</t>
  </si>
  <si>
    <t>Framed glazed systems</t>
  </si>
  <si>
    <t>Ss_25_10_35_35</t>
  </si>
  <si>
    <t>Glazed screen systems</t>
  </si>
  <si>
    <t>Ss_25_10_35_95</t>
  </si>
  <si>
    <t>Vertical patent glazing systems</t>
  </si>
  <si>
    <t>25-80-93/195 Vertical patent glazing system;</t>
  </si>
  <si>
    <t>Ss_25_10_35_97</t>
  </si>
  <si>
    <t>Window wall glazed screen systems</t>
  </si>
  <si>
    <t>Ss_25_11</t>
  </si>
  <si>
    <t>Monolithic wall structure systems</t>
  </si>
  <si>
    <t>Ss_25_11_13</t>
  </si>
  <si>
    <t>Cob wall systems</t>
  </si>
  <si>
    <t>Ss_25_11_15</t>
  </si>
  <si>
    <t>Concrete form masonry unit wall systems</t>
  </si>
  <si>
    <t>Ss_25_11_16</t>
  </si>
  <si>
    <t>Concrete wall systems</t>
  </si>
  <si>
    <t>Ss_25_11_16_65</t>
  </si>
  <si>
    <t>Precast concrete wall systems</t>
  </si>
  <si>
    <t>25-15-35/160 Precast concrete wall system;</t>
  </si>
  <si>
    <t>2.5.2 External enclosing walls below ground level; 2.7.1 Walls and partitions (default); 2.5.1 External enclosing walls above ground level (default); 2.7.2 Balustrades and handrails; 2.5.5 Subsidiary walls, balustrades and proprietary balconies;</t>
  </si>
  <si>
    <t>Ss_25_11_16_70</t>
  </si>
  <si>
    <t>Reinforced concrete wall structure systems</t>
  </si>
  <si>
    <t>25-15-35/140 In situ reinforced concrete wall structure system;</t>
  </si>
  <si>
    <t>2.5.2 External enclosing walls below ground level; 2.7.1 Walls and partitions; 1.1.5 Basement retaining walls; 2.5.1 External enclosing walls above ground level (default); 2.7.2 Balustrades and handrails; 2.5.5 Subsidiary walls, balustrades and proprietary balconies;</t>
  </si>
  <si>
    <t>Ss_25_11_16_80</t>
  </si>
  <si>
    <t>Sprayed concrete wall structure systems</t>
  </si>
  <si>
    <t>25-15-35/175 Sprayed concrete wall structure system;</t>
  </si>
  <si>
    <t>2.5.2 External enclosing walls below ground level; 2.7.1 Walls and partitions; 2.5.1 External enclosing walls above ground level (default); 2.7.2 Balustrades and handrails; 2.5.5 Subsidiary walls, balustrades and proprietary balconies;</t>
  </si>
  <si>
    <t>Ss_25_11_70</t>
  </si>
  <si>
    <t>Rammed earth wall systems</t>
  </si>
  <si>
    <t>Ss_25_11_70_55</t>
  </si>
  <si>
    <t>Non-stabilized rammed earth wall systems</t>
  </si>
  <si>
    <t>25-00-70/150 Non-stabilized rammed earth wall system;</t>
  </si>
  <si>
    <t>2.5.2 External enclosing walls below ground level; 2.5.1 External enclosing walls above ground level (default); 2.5.5 Subsidiary walls, balustrades and proprietary balconies;</t>
  </si>
  <si>
    <t>Ss_25_11_70_83</t>
  </si>
  <si>
    <t>Stabilized rammed earth plinth systems</t>
  </si>
  <si>
    <t>Ss_25_11_70_85</t>
  </si>
  <si>
    <t>Stabilized rammed earth wall systems</t>
  </si>
  <si>
    <t>25-00-70/180 Stabilized rammed earth wall system;</t>
  </si>
  <si>
    <t>Ss_25_11_90</t>
  </si>
  <si>
    <t>Timber wall systems</t>
  </si>
  <si>
    <t>Ss_25_11_90_15</t>
  </si>
  <si>
    <t>Cross-laminated timber wall systems</t>
  </si>
  <si>
    <t>Ss_25_11_90_96</t>
  </si>
  <si>
    <t>Wood log wall systems</t>
  </si>
  <si>
    <t>Ss_25_12</t>
  </si>
  <si>
    <t>Panel wall structure systems</t>
  </si>
  <si>
    <t>Ss_25_12_10</t>
  </si>
  <si>
    <t>Brick panel wall systems</t>
  </si>
  <si>
    <t>Ss_25_12_15</t>
  </si>
  <si>
    <t>Concrete panel wall systems</t>
  </si>
  <si>
    <t>Ss_25_12_60</t>
  </si>
  <si>
    <t>Panel enclosure systems</t>
  </si>
  <si>
    <t>Ss_25_12_60_30</t>
  </si>
  <si>
    <t>Fully-framed panel cubicle systems</t>
  </si>
  <si>
    <t>25-05-60/130 Fully-framed panel cubicle system;</t>
  </si>
  <si>
    <t>2.7.4 Cubicles (default);</t>
  </si>
  <si>
    <t>Ss_25_12_60_60</t>
  </si>
  <si>
    <t>Panel cubicle systems</t>
  </si>
  <si>
    <t>25-05-60/160 Panel cubicle system;</t>
  </si>
  <si>
    <t>Ss_25_12_60_65</t>
  </si>
  <si>
    <t>Privacy screen systems</t>
  </si>
  <si>
    <t>25-05-60/165 Privacy screen system;</t>
  </si>
  <si>
    <t>Ss_25_12_65</t>
  </si>
  <si>
    <t>Panel partition systems</t>
  </si>
  <si>
    <t>Ss_25_12_65_50</t>
  </si>
  <si>
    <t>Media wall systems</t>
  </si>
  <si>
    <t>25-05-65/120 Media wall partition system;</t>
  </si>
  <si>
    <t>2.7.1 Walls and partitions (default); 2.7.3 Moveable room dividers;</t>
  </si>
  <si>
    <t>Ss_25_12_65_55</t>
  </si>
  <si>
    <t>Mesh panel partition systems</t>
  </si>
  <si>
    <t>Ss_25_12_65_60</t>
  </si>
  <si>
    <t>Plasterboard laminated partition systems</t>
  </si>
  <si>
    <t>Ss_25_12_65_65</t>
  </si>
  <si>
    <t>Plasterboard panel partition systems</t>
  </si>
  <si>
    <t>25-05-65/110 Panel partition system;</t>
  </si>
  <si>
    <t>2.7.1 Walls and partitions (default);</t>
  </si>
  <si>
    <t>Ss_25_12_65_70</t>
  </si>
  <si>
    <t>Relocatable partition and ceiling systems</t>
  </si>
  <si>
    <t>Ss_25_12_65_75</t>
  </si>
  <si>
    <t>Relocatable partition systems</t>
  </si>
  <si>
    <t>Ss_25_12_65_85</t>
  </si>
  <si>
    <t>Storage wall systems</t>
  </si>
  <si>
    <t>25-05-65/130 Storage wall partition system;</t>
  </si>
  <si>
    <t>Ss_25_12_80</t>
  </si>
  <si>
    <t>Structural glass wall systems</t>
  </si>
  <si>
    <t>Ss_25_12_80_65</t>
  </si>
  <si>
    <t>Point-fixed structural glass wall systems</t>
  </si>
  <si>
    <t>25-05-75/110 Point-fixed structural glass wall system;</t>
  </si>
  <si>
    <t>2.7.1 Walls and partitions; 2.5.3 Solar/rain screening; 2.5.1 External enclosing walls above ground level (default); 2.5.5 Subsidiary walls, balustrades and proprietary balconies;</t>
  </si>
  <si>
    <t>Ss_25_12_80_83</t>
  </si>
  <si>
    <t>Stacked structural glass wall systems</t>
  </si>
  <si>
    <t>25-05-75/120 Stacked structural glass wall system;</t>
  </si>
  <si>
    <t>2.7.1 Walls and partitions; 2.7.3 Moveable room dividers (default);</t>
  </si>
  <si>
    <t>Ss_25_12_80_85</t>
  </si>
  <si>
    <t>Suspended structural glass wall systems</t>
  </si>
  <si>
    <t>25-05-75/130 Suspended structural glass wall system;</t>
  </si>
  <si>
    <t>Ss_25_12_85</t>
  </si>
  <si>
    <t>Structural steel panel wall systems</t>
  </si>
  <si>
    <t>Ss_25_12_85_60</t>
  </si>
  <si>
    <t>Prefabricated metal wall systems</t>
  </si>
  <si>
    <t>Ss_25_12_85_63</t>
  </si>
  <si>
    <t>Profile metal sheet wall systems</t>
  </si>
  <si>
    <t>Ss_25_13</t>
  </si>
  <si>
    <t>Unit wall structure systems</t>
  </si>
  <si>
    <t>Ss_25_13_05</t>
  </si>
  <si>
    <t>Adobe block wall systems</t>
  </si>
  <si>
    <t>Ss_25_13_24</t>
  </si>
  <si>
    <t>Dry stone wall systems</t>
  </si>
  <si>
    <t>Ss_25_13_30</t>
  </si>
  <si>
    <t>Gabion wall systems</t>
  </si>
  <si>
    <t>Ss_25_13_33</t>
  </si>
  <si>
    <t>Glass wall systems</t>
  </si>
  <si>
    <t>Ss_25_13_33_33</t>
  </si>
  <si>
    <t>Glass block wall systems</t>
  </si>
  <si>
    <t>25-10-40/140 In situ glass block wall system;</t>
  </si>
  <si>
    <t>2.5.2 External enclosing walls below ground level; 2.7.1 Walls and partitions; 2.5.1 External enclosing walls above ground level (default); 2.7.2 Balustrades and handrails;</t>
  </si>
  <si>
    <t>Ss_25_13_33_64</t>
  </si>
  <si>
    <t>Prefabricated glass block wall systems</t>
  </si>
  <si>
    <t>25-10-40/150 Prefabricated glass block wall system;</t>
  </si>
  <si>
    <t>Ss_25_13_35</t>
  </si>
  <si>
    <t>Gypsum block wall systems</t>
  </si>
  <si>
    <t>Ss_25_13_45</t>
  </si>
  <si>
    <t>Lead brick wall systems</t>
  </si>
  <si>
    <t>Ss_25_13_50</t>
  </si>
  <si>
    <t>Masonry wall systems</t>
  </si>
  <si>
    <t>Ss_25_13_50_11</t>
  </si>
  <si>
    <t>Cavity wall insulation systems</t>
  </si>
  <si>
    <t>10-70-50/110 Cavity wall insulation system;</t>
  </si>
  <si>
    <t>2.5.2 External enclosing walls below ground level; 2.7.1 Walls and partitions; 2.5.1 External enclosing walls above ground level (default);</t>
  </si>
  <si>
    <t>Ss_25_13_50_49</t>
  </si>
  <si>
    <t>Masonry exposed feature systems</t>
  </si>
  <si>
    <t>25-10-55/185 Masonry exposed feature system;</t>
  </si>
  <si>
    <t>2.5.2 External enclosing walls below ground level; 8.4.2 Walls and screens; 2.7.1 Walls and partitions; 2.5.1 External enclosing walls above ground level (default); 2.5.5 Subsidiary walls, balustrades and proprietary balconies;</t>
  </si>
  <si>
    <t>Ss_25_13_50_50</t>
  </si>
  <si>
    <t>Masonry wall external leaf systems</t>
  </si>
  <si>
    <t>25-10-55/150 Masonry external leaf system;</t>
  </si>
  <si>
    <t>2.5.2 External enclosing walls below ground level; 1.1.5 Basement retaining walls; 2.5.1 External enclosing walls above ground level (default); 2.5.5 Subsidiary walls, balustrades and proprietary balconies;</t>
  </si>
  <si>
    <t>Ss_25_13_50_51</t>
  </si>
  <si>
    <t>Masonry wall internal leaf systems</t>
  </si>
  <si>
    <t>25-10-55/160 Masonry internal leaf system;</t>
  </si>
  <si>
    <t>Ss_25_13_50_52</t>
  </si>
  <si>
    <t>Masonry wall single leaf systems</t>
  </si>
  <si>
    <t>Ss_25_13_50_54</t>
  </si>
  <si>
    <t>Masonry free-standing wall leaf systems</t>
  </si>
  <si>
    <t>25-10-55/170 Masonry freestanding wall leaf system;</t>
  </si>
  <si>
    <t>2.5.2 External enclosing walls below ground level; 8.4.2 Walls and screens; 2.5.1 External enclosing walls above ground level (default); 2.5.5 Subsidiary walls, balustrades and proprietary balconies;</t>
  </si>
  <si>
    <t>Ss_25_13_50_56</t>
  </si>
  <si>
    <t>Masonry internal partition systems</t>
  </si>
  <si>
    <t>25-10-55/165 Masonry internal partition system;</t>
  </si>
  <si>
    <t>Ss_25_13_70</t>
  </si>
  <si>
    <t>Reinforced masonry wall systems</t>
  </si>
  <si>
    <t>Ss_25_13_70_70</t>
  </si>
  <si>
    <t>Reinforced masonry wall external leaf systems</t>
  </si>
  <si>
    <t>Ss_25_13_70_71</t>
  </si>
  <si>
    <t>Reinforced masonry wall internal leaf systems</t>
  </si>
  <si>
    <t>Ss_25_13_70_72</t>
  </si>
  <si>
    <t>Reinforced masonry wall single leaf systems</t>
  </si>
  <si>
    <t>Ss_25_13_70_74</t>
  </si>
  <si>
    <t>Reinforced masonry free-standing wall leaf systems</t>
  </si>
  <si>
    <t>Ss_25_13_70_76</t>
  </si>
  <si>
    <t>Reinforced masonry internal partition systems</t>
  </si>
  <si>
    <t>Ss_25_13_85</t>
  </si>
  <si>
    <t>Straw bale wall systems</t>
  </si>
  <si>
    <t>Ss_25_13_85_30</t>
  </si>
  <si>
    <t>Framed straw bale wall systems</t>
  </si>
  <si>
    <t>25-10-75/130 Framed straw bale wall systems;</t>
  </si>
  <si>
    <t>Ss_25_13_85_95</t>
  </si>
  <si>
    <t>Unframed straw bale wall systems</t>
  </si>
  <si>
    <t>25-10-75/190 Unframed straw bale wall system;</t>
  </si>
  <si>
    <t>Ss_25_14</t>
  </si>
  <si>
    <t>Fence systems</t>
  </si>
  <si>
    <t>Ss_25_14_30</t>
  </si>
  <si>
    <t>Framed fence systems</t>
  </si>
  <si>
    <t>Ss_25_14_55</t>
  </si>
  <si>
    <t>Monolithic fence systems</t>
  </si>
  <si>
    <t>Ss_25_14_63</t>
  </si>
  <si>
    <t>Post, rail and board fence systems</t>
  </si>
  <si>
    <t>Ss_25_14_63_06</t>
  </si>
  <si>
    <t>Bespoke fencing systems</t>
  </si>
  <si>
    <t>Ss_25_14_63_08</t>
  </si>
  <si>
    <t>Board or palisade fencing systems</t>
  </si>
  <si>
    <t>25-20-30/111 Composite board or palisade fencing system;</t>
  </si>
  <si>
    <t>Ss_25_14_63_11</t>
  </si>
  <si>
    <t>Carbon steel continuous bar fencing systems</t>
  </si>
  <si>
    <t>25-20-30/101 Carbon steel continuous bar fencing system;</t>
  </si>
  <si>
    <t>Ss_25_14_63_51</t>
  </si>
  <si>
    <t>Metal post and rail fencing systems</t>
  </si>
  <si>
    <t>25-20-30/105 Metal post and rail fencing system;</t>
  </si>
  <si>
    <t>Ss_25_14_63_52</t>
  </si>
  <si>
    <t>Metal vertical pale fencing systems</t>
  </si>
  <si>
    <t>25-20-30/147 Metal vertical pale fencing system;</t>
  </si>
  <si>
    <t>Ss_25_14_63_56</t>
  </si>
  <si>
    <t>Natural hurdle fencing systems</t>
  </si>
  <si>
    <t>25-20-30/151 Natural hurdle fencing system;</t>
  </si>
  <si>
    <t>Ss_25_14_63_62</t>
  </si>
  <si>
    <t>Post and panel fencing systems</t>
  </si>
  <si>
    <t>25-20-30/143 Composite post and panel fencing system;</t>
  </si>
  <si>
    <t>Ss_25_14_63_63</t>
  </si>
  <si>
    <t>Post and rail fencing systems</t>
  </si>
  <si>
    <t>25-20-30/103 Composite post and rail fencing system;</t>
  </si>
  <si>
    <t>Ss_25_14_63_64</t>
  </si>
  <si>
    <t>Precast concrete palisade fencing systems</t>
  </si>
  <si>
    <t>25-20-30/113 Precast concrete palisade fencing system;</t>
  </si>
  <si>
    <t>Ss_25_14_63_65</t>
  </si>
  <si>
    <t>Precast concrete post and panel fencing systems</t>
  </si>
  <si>
    <t>25-20-30/153 Precast concrete post and panel fencing system;</t>
  </si>
  <si>
    <t>Ss_25_14_63_66</t>
  </si>
  <si>
    <t>Precast concrete post and rail fencing systems</t>
  </si>
  <si>
    <t>25-20-30/107 Precast concrete post and rail fencing system;</t>
  </si>
  <si>
    <t>Ss_25_14_63_67</t>
  </si>
  <si>
    <t>Prefabricated wood or plastics panel fencing systems</t>
  </si>
  <si>
    <t>25-20-30/155 Prefabricated wood or plastics panel fencing system;</t>
  </si>
  <si>
    <t>Ss_25_14_63_84</t>
  </si>
  <si>
    <t>Steel hurdle fencing systems</t>
  </si>
  <si>
    <t>25-20-30/157 Steel hurdle fencing system;</t>
  </si>
  <si>
    <t>Ss_25_14_63_85</t>
  </si>
  <si>
    <t>Steel palisade panel fencing systems</t>
  </si>
  <si>
    <t>25-20-30/159 Steel palisade panel fencing system;</t>
  </si>
  <si>
    <t>Ss_25_14_63_86</t>
  </si>
  <si>
    <t>Steel vertical bar fencing systems</t>
  </si>
  <si>
    <t>25-20-30/161 Steel vertical bar fencing system;</t>
  </si>
  <si>
    <t>Ss_25_14_63_95</t>
  </si>
  <si>
    <t>Wood close boarded fencing systems</t>
  </si>
  <si>
    <t>25-20-30/115 Wood close boarded fencing system;</t>
  </si>
  <si>
    <t>Ss_25_14_63_96</t>
  </si>
  <si>
    <t>Wood palisade fencing systems</t>
  </si>
  <si>
    <t>25-20-30/117 Wood palisade fencing system;</t>
  </si>
  <si>
    <t>Ss_25_14_63_97</t>
  </si>
  <si>
    <t>Wood post and rail fencing systems</t>
  </si>
  <si>
    <t>25-20-30/109 Wooden post and rail fencing system;</t>
  </si>
  <si>
    <t>Ss_25_14_63_98</t>
  </si>
  <si>
    <t>Wrought iron panel fencing systems</t>
  </si>
  <si>
    <t>25-20-30/163 Wrought iron panel fencing system;</t>
  </si>
  <si>
    <t>Ss_25_14_67</t>
  </si>
  <si>
    <t>Post, wire and mesh fence systems</t>
  </si>
  <si>
    <t>Ss_25_14_67_12</t>
  </si>
  <si>
    <t>Chain link fencing systems</t>
  </si>
  <si>
    <t>25-20-30/133 Chain link fencing system;</t>
  </si>
  <si>
    <t>Ss_25_14_67_14</t>
  </si>
  <si>
    <t>Cleft chestnut pale fencing systems</t>
  </si>
  <si>
    <t>25-20-30/135 Cleft chestnut pale fencing system;</t>
  </si>
  <si>
    <t>Ss_25_14_67_15</t>
  </si>
  <si>
    <t>Continuous mesh fencing systems</t>
  </si>
  <si>
    <t>25-20-30/137 Composite continuous mesh fencing system;</t>
  </si>
  <si>
    <t>Ss_25_14_67_24</t>
  </si>
  <si>
    <t>Dropper pattern strained wire fencing systems</t>
  </si>
  <si>
    <t>25-20-30/123 Dropper pattern strained wire fencing system;</t>
  </si>
  <si>
    <t>Ss_25_14_67_27</t>
  </si>
  <si>
    <t>Electric fencing systems</t>
  </si>
  <si>
    <t>25-20-30/125 Electric fencing system;</t>
  </si>
  <si>
    <t>Ss_25_14_67_28</t>
  </si>
  <si>
    <t>Electric security fencing systems</t>
  </si>
  <si>
    <t>25-20-30/127 Electric security fencing system;</t>
  </si>
  <si>
    <t>Ss_25_14_67_33</t>
  </si>
  <si>
    <t>General pattern strained wire fencing systems</t>
  </si>
  <si>
    <t>25-20-30/129 General pattern strained wire fencing system;</t>
  </si>
  <si>
    <t>Ss_25_14_67_34</t>
  </si>
  <si>
    <t>General pattern wire mesh fencing systems</t>
  </si>
  <si>
    <t>25-20-30/139 General pattern wire mesh fencing system;</t>
  </si>
  <si>
    <t>Ss_25_14_67_51</t>
  </si>
  <si>
    <t>Metal mesh panel fencing systems</t>
  </si>
  <si>
    <t>25-20-30/145 Metal mesh panel fencing system;</t>
  </si>
  <si>
    <t>Ss_25_14_67_70</t>
  </si>
  <si>
    <t>Rope or chain fencing systems</t>
  </si>
  <si>
    <t>25-20-30/131 Rope or chain fencing system;</t>
  </si>
  <si>
    <t>Ss_25_14_67_80</t>
  </si>
  <si>
    <t>Spring steel and high tensile wire mesh fencing systems</t>
  </si>
  <si>
    <t>25-20-30/141 Spring steel and high tensile wire mesh fencing system;</t>
  </si>
  <si>
    <t>Ss_25_14_67_97</t>
  </si>
  <si>
    <t>Wire fencing systems</t>
  </si>
  <si>
    <t>25-20-30/121 Composite wire fencing system;</t>
  </si>
  <si>
    <t>Ss_25_15</t>
  </si>
  <si>
    <t>Fixed pedestrian barrier systems</t>
  </si>
  <si>
    <t>Ss_25_15_60</t>
  </si>
  <si>
    <t>Pedestrian safety barrier and guarding systems</t>
  </si>
  <si>
    <t>Ss_25_15_60_05</t>
  </si>
  <si>
    <t>Balustrade and guarding systems</t>
  </si>
  <si>
    <t>25-25-10/110 Balustrade and guarding system;</t>
  </si>
  <si>
    <t>Ss_25_15_60_14</t>
  </si>
  <si>
    <t>Composite barrier systems</t>
  </si>
  <si>
    <t>Ss_25_15_60_15</t>
  </si>
  <si>
    <t>Composite pedestrian parapet systems</t>
  </si>
  <si>
    <t>25-25-60/105 Composite pedestrian parapet system;</t>
  </si>
  <si>
    <t>Ss_25_15_60_16</t>
  </si>
  <si>
    <t>Composite post and panel barrier systems</t>
  </si>
  <si>
    <t>25-25-60/115 Composite post and panel barrier system;</t>
  </si>
  <si>
    <t>Ss_25_15_60_17</t>
  </si>
  <si>
    <t>Composite post and rail barrier systems</t>
  </si>
  <si>
    <t>25-25-60/110 Composite post and rail barrier system;</t>
  </si>
  <si>
    <t>Ss_25_15_60_18</t>
  </si>
  <si>
    <t>Concrete post and rail barrier systems</t>
  </si>
  <si>
    <t>25-25-60/120 Concrete post and rail barrier system;</t>
  </si>
  <si>
    <t>Ss_25_15_60_35</t>
  </si>
  <si>
    <t>Handrail systems</t>
  </si>
  <si>
    <t>25-25-10/135 Handrail system;</t>
  </si>
  <si>
    <t>Ss_25_15_60_37</t>
  </si>
  <si>
    <t>Hoop barrier systems</t>
  </si>
  <si>
    <t>25-25-60/130 Metal hoop barrier system;</t>
  </si>
  <si>
    <t>Ss_25_15_60_52</t>
  </si>
  <si>
    <t>Metal modular barrier systems</t>
  </si>
  <si>
    <t>25-25-60/135 Metal modular barrier system;</t>
  </si>
  <si>
    <t>Ss_25_15_60_53</t>
  </si>
  <si>
    <t>Metal pedestrian parapet systems</t>
  </si>
  <si>
    <t>25-25-60/145 Metal pedestrian parapet system;</t>
  </si>
  <si>
    <t>Ss_25_15_60_54</t>
  </si>
  <si>
    <t>Metal post and mesh panel barrier systems</t>
  </si>
  <si>
    <t>25-25-60/140 Metal post and mesh panel barrier system;</t>
  </si>
  <si>
    <t>Ss_25_15_60_55</t>
  </si>
  <si>
    <t>Metal post and panel barrier systems</t>
  </si>
  <si>
    <t>25-25-60/150 Metal post and panel barrier system;</t>
  </si>
  <si>
    <t>Ss_25_15_60_56</t>
  </si>
  <si>
    <t>Metal post and rail barrier systems</t>
  </si>
  <si>
    <t>25-25-60/155 Metal post and rail barrier system;</t>
  </si>
  <si>
    <t>Ss_25_15_60_57</t>
  </si>
  <si>
    <t>Metal vertical bar pedestrian guard rail systems</t>
  </si>
  <si>
    <t>25-25-60/160 Metal vertical bar pedestrian guard rail system;</t>
  </si>
  <si>
    <t>Ss_25_15_60_60</t>
  </si>
  <si>
    <t>Pedestrian parapet systems</t>
  </si>
  <si>
    <t>Ss_25_15_60_65</t>
  </si>
  <si>
    <t>Post and panel barrier systems</t>
  </si>
  <si>
    <t>Ss_25_15_60_66</t>
  </si>
  <si>
    <t>Post and rail barrier systems</t>
  </si>
  <si>
    <t>Ss_25_15_60_67</t>
  </si>
  <si>
    <t>Post and rope barrier systems</t>
  </si>
  <si>
    <t>Ss_25_15_60_68</t>
  </si>
  <si>
    <t>Post and wire barrier systems</t>
  </si>
  <si>
    <t>25-25-60/170 Post and wire barrier system;</t>
  </si>
  <si>
    <t>Ss_25_15_60_96</t>
  </si>
  <si>
    <t>Wood post and panel barrier systems</t>
  </si>
  <si>
    <t>25-25-60/180 Wood post and panel barrier system;</t>
  </si>
  <si>
    <t>Ss_25_15_60_97</t>
  </si>
  <si>
    <t>Wood post and rail barrier systems</t>
  </si>
  <si>
    <t>25-25-60/185 Wood post and rail barrier system;</t>
  </si>
  <si>
    <t>Ss_25_15_85</t>
  </si>
  <si>
    <t>Sports barrier systems</t>
  </si>
  <si>
    <t>Ss_25_15_85_55</t>
  </si>
  <si>
    <t>Multi-use games fencing systems</t>
  </si>
  <si>
    <t>25-20-30/149 Multi use games fencing system;</t>
  </si>
  <si>
    <t>Ss_25_16</t>
  </si>
  <si>
    <t>Fixed traffic and protective barrier systems</t>
  </si>
  <si>
    <t>Ss_25_16_04</t>
  </si>
  <si>
    <t>Artificial reef systems</t>
  </si>
  <si>
    <t>Ss_25_16_05</t>
  </si>
  <si>
    <t>Avalanche and snow barrier systems</t>
  </si>
  <si>
    <t>Ss_25_16_08</t>
  </si>
  <si>
    <t>Blast barrier systems</t>
  </si>
  <si>
    <t>Ss_25_16_08_44</t>
  </si>
  <si>
    <t>Jet blast deflection systems</t>
  </si>
  <si>
    <t>25-30-45/110 Jet blast deflection system;</t>
  </si>
  <si>
    <t>Ss_25_16_21</t>
  </si>
  <si>
    <t>Debris flow barrier systems</t>
  </si>
  <si>
    <t>Ss_25_16_30</t>
  </si>
  <si>
    <t>Fish barrier systems</t>
  </si>
  <si>
    <t>Ss_25_16_46</t>
  </si>
  <si>
    <t>Landslide barrier systems</t>
  </si>
  <si>
    <t>Ss_25_16_50</t>
  </si>
  <si>
    <t>Coastal, river and waterways protection systems</t>
  </si>
  <si>
    <t>Ss_25_16_50_72</t>
  </si>
  <si>
    <t>Rock armour systems</t>
  </si>
  <si>
    <t>Ss_25_16_50_77</t>
  </si>
  <si>
    <t>Scouring protection systems</t>
  </si>
  <si>
    <t>Ss_25_16_50_80</t>
  </si>
  <si>
    <t>Sea wall systems</t>
  </si>
  <si>
    <t>Ss_25_16_73</t>
  </si>
  <si>
    <t>Road and rail barrier systems</t>
  </si>
  <si>
    <t>Ss_25_16_73_03</t>
  </si>
  <si>
    <t>Acoustic barrier systems</t>
  </si>
  <si>
    <t>Ss_25_16_73_26</t>
  </si>
  <si>
    <t>Environment protection screen systems</t>
  </si>
  <si>
    <t>Ss_25_16_73_80</t>
  </si>
  <si>
    <t>Socket for temporary barrier systems</t>
  </si>
  <si>
    <t>Ss_25_16_76</t>
  </si>
  <si>
    <t>Rockfall barrier systems</t>
  </si>
  <si>
    <t>Ss_25_16_94</t>
  </si>
  <si>
    <t>Vehicle restraint systems</t>
  </si>
  <si>
    <t>Ss_25_16_94_10</t>
  </si>
  <si>
    <t>Bollard systems</t>
  </si>
  <si>
    <t>25-20-85/110 Bollard system;</t>
  </si>
  <si>
    <t>8.4.4 Barriers and guardrails; 8.5.1 Site/street furniture and equipment (default);</t>
  </si>
  <si>
    <t>Ss_25_16_94_14</t>
  </si>
  <si>
    <t>Combined metal and concrete vehicle safety parapet systems</t>
  </si>
  <si>
    <t>25-20-85/115 Combined metal and concrete vehicle containment parapet system;</t>
  </si>
  <si>
    <t>Ss_25_16_94_16</t>
  </si>
  <si>
    <t>Concrete safety barrier (CSB) systems</t>
  </si>
  <si>
    <t>25-20-85/160 Precast concrete safety barrier system;</t>
  </si>
  <si>
    <t>Ss_25_16_94_44</t>
  </si>
  <si>
    <t>Low-speed precast concrete safety parapet (PCONC) systems</t>
  </si>
  <si>
    <t>25-20-85/165 Precast concrete vehicle containment parapet system;</t>
  </si>
  <si>
    <t>8.4.4 Barriers and guardrails (default);</t>
  </si>
  <si>
    <t>Ss_25_16_94_46</t>
  </si>
  <si>
    <t>Low-speed masonry safety parapet (PMAS) systems</t>
  </si>
  <si>
    <t>Ss_25_16_94_48</t>
  </si>
  <si>
    <t>Low-speed metal vehicle safety parapet systems</t>
  </si>
  <si>
    <t>25-20-85/145 Metal vehicle containment parapet system;</t>
  </si>
  <si>
    <t>Ss_25_16_94_50</t>
  </si>
  <si>
    <t>Metal vehicle safety fence systems</t>
  </si>
  <si>
    <t>25-20-85/150 Metal beam vehicle safety fence system;</t>
  </si>
  <si>
    <t>Ss_25_16_94_65</t>
  </si>
  <si>
    <t>Protective rail systems</t>
  </si>
  <si>
    <t>25-20-85/105 Protective rail system;</t>
  </si>
  <si>
    <t>Ss_25_16_94_95</t>
  </si>
  <si>
    <t>Vehicle safety control systems</t>
  </si>
  <si>
    <t>Ss_25_16_94_97</t>
  </si>
  <si>
    <t>Wire rope safety fence (WRSF) systems</t>
  </si>
  <si>
    <t>25-20-85/185 Wire rope safety fence system;</t>
  </si>
  <si>
    <t>Ss_25_17</t>
  </si>
  <si>
    <t>Dam and levee structure systems</t>
  </si>
  <si>
    <t>Ss_25_17_05</t>
  </si>
  <si>
    <t>Arch dam systems</t>
  </si>
  <si>
    <t>Ss_25_17_10</t>
  </si>
  <si>
    <t>Buttress dam systems</t>
  </si>
  <si>
    <t>Ss_25_17_25</t>
  </si>
  <si>
    <t>Embankment dam and levee systems</t>
  </si>
  <si>
    <t>Ss_25_17_35</t>
  </si>
  <si>
    <t>Gravity dam systems</t>
  </si>
  <si>
    <t>Ss_25_20</t>
  </si>
  <si>
    <t>Wall cladding systems</t>
  </si>
  <si>
    <t>Ss_25_20_08</t>
  </si>
  <si>
    <t>Board cladding systems</t>
  </si>
  <si>
    <t>Ss_25_20_08_95</t>
  </si>
  <si>
    <t>Weatherboarding systems</t>
  </si>
  <si>
    <t>25-80-95/195 Weatherboarding system;</t>
  </si>
  <si>
    <t>Ss_25_20_14</t>
  </si>
  <si>
    <t>Composite panel cladding systems</t>
  </si>
  <si>
    <t>Ss_25_20_14_10</t>
  </si>
  <si>
    <t>Built up metal insulating sandwich panel cladding systems</t>
  </si>
  <si>
    <t>Ss_25_20_14_52</t>
  </si>
  <si>
    <t>Metal composite panel cladding systems</t>
  </si>
  <si>
    <t>Ss_25_20_14_54</t>
  </si>
  <si>
    <t>Metal insulating sandwich panel cladding systems</t>
  </si>
  <si>
    <t>25-80-52/150 Metal insulating sandwich panel cladding system;</t>
  </si>
  <si>
    <t>Ss_25_20_14_55</t>
  </si>
  <si>
    <t>Metal semi-composite panel cladding systems</t>
  </si>
  <si>
    <t>25-80-52/155 Metal semi-composite panel cladding system;</t>
  </si>
  <si>
    <t>Ss_25_20_15</t>
  </si>
  <si>
    <t>Concrete cladding systems</t>
  </si>
  <si>
    <t>Ss_25_20_15_16</t>
  </si>
  <si>
    <t>Concrete panel cladding systems</t>
  </si>
  <si>
    <t>25-80-65/155 Precast concrete panel cladding system;</t>
  </si>
  <si>
    <t>Ss_25_20_33</t>
  </si>
  <si>
    <t>Glass fibre reinforced concrete (GRC) cladding systems</t>
  </si>
  <si>
    <t>Ss_25_20_33_35</t>
  </si>
  <si>
    <t>GRC cladding systems</t>
  </si>
  <si>
    <t>25-80-35/130 Glass fibre reinforced concrete (GRC) cladding system;</t>
  </si>
  <si>
    <t>Ss_25_20_34</t>
  </si>
  <si>
    <t>Glass fibre reinforced gypsum (GRG) cladding systems</t>
  </si>
  <si>
    <t>Ss_25_20_34_35</t>
  </si>
  <si>
    <t>GRG cladding systems</t>
  </si>
  <si>
    <t>Ss_25_20_35</t>
  </si>
  <si>
    <t>Glass fibre reinforced plastics (GRP) cladding systems</t>
  </si>
  <si>
    <t>Ss_25_20_35_35</t>
  </si>
  <si>
    <t>GRP cladding systems</t>
  </si>
  <si>
    <t>25-80-40/130 Glass fibre reinforced plastics (GRP) cladding system;</t>
  </si>
  <si>
    <t>Ss_25_20_50</t>
  </si>
  <si>
    <t>Metal sheet fully supported wall covering systems</t>
  </si>
  <si>
    <t>Ss_25_20_50_05</t>
  </si>
  <si>
    <t>Aluminium sheet cladding systems</t>
  </si>
  <si>
    <t>25-80-50/105 Aluminium sheet cladding system;</t>
  </si>
  <si>
    <t>Ss_25_20_50_11</t>
  </si>
  <si>
    <t>Carbon steel sheet cladding systems</t>
  </si>
  <si>
    <t>Ss_25_20_50_15</t>
  </si>
  <si>
    <t>Copper sheet cladding systems</t>
  </si>
  <si>
    <t>25-80-50/115 Copper sheet cladding system;</t>
  </si>
  <si>
    <t>Ss_25_20_50_45</t>
  </si>
  <si>
    <t>Lead sheet cladding systems</t>
  </si>
  <si>
    <t>25-80-50/145 Lead sheet cladding system;</t>
  </si>
  <si>
    <t>Ss_25_20_50_50</t>
  </si>
  <si>
    <t>Lead-wrapped panel cladding systems</t>
  </si>
  <si>
    <t>25-80-50/150 Lead-wrapped panel cladding system;</t>
  </si>
  <si>
    <t>Ss_25_20_50_85</t>
  </si>
  <si>
    <t>Stainless steel sheet cladding systems</t>
  </si>
  <si>
    <t>25-80-50/175 Stainless steel sheet cladding system;</t>
  </si>
  <si>
    <t>Ss_25_20_50_95</t>
  </si>
  <si>
    <t>Zinc sheet cladding systems</t>
  </si>
  <si>
    <t>25-80-50/195 Zinc sheet cladding system;</t>
  </si>
  <si>
    <t>Ss_25_20_60</t>
  </si>
  <si>
    <t>Panel and sheet cladding systems</t>
  </si>
  <si>
    <t>Ss_25_20_68</t>
  </si>
  <si>
    <t>Profiled sheet cladding systems</t>
  </si>
  <si>
    <t>Ss_25_20_68_30</t>
  </si>
  <si>
    <t>Fibre cement profiled sheet cladding systems</t>
  </si>
  <si>
    <t>25-80-68/130 Fibre cement profiled sheet cladding system;</t>
  </si>
  <si>
    <t>2.7.1 Walls and partitions; 2.5.1 External enclosing walls above ground level (default);</t>
  </si>
  <si>
    <t>Ss_25_20_68_50</t>
  </si>
  <si>
    <t>Metal profiled sheet cladding systems</t>
  </si>
  <si>
    <t>25-80-68/150 Metal profiled sheet cladding system;</t>
  </si>
  <si>
    <t>Ss_25_20_68_65</t>
  </si>
  <si>
    <t>Plastics profiled sheet cladding systems</t>
  </si>
  <si>
    <t>25-80-68/160 Plastics profiled sheet cladding system;</t>
  </si>
  <si>
    <t>Ss_25_20_70</t>
  </si>
  <si>
    <t>Rainscreen cladding systems</t>
  </si>
  <si>
    <t>Ss_25_20_70_25</t>
  </si>
  <si>
    <t>Drained and back-ventilated rainscreen cladding systems</t>
  </si>
  <si>
    <t>25-80-70/120 Drained and back-ventilated rainscreen cladding system;</t>
  </si>
  <si>
    <t>2.5.3 Solar/rain screening (default);</t>
  </si>
  <si>
    <t>Ss_25_20_70_65</t>
  </si>
  <si>
    <t>Pressure equalized rainscreen cladding systems</t>
  </si>
  <si>
    <t>25-80-70/160 Pressure equalized rainscreen cladding system;</t>
  </si>
  <si>
    <t>Ss_25_20_72</t>
  </si>
  <si>
    <t>Sheet cladding systems</t>
  </si>
  <si>
    <t>Ss_25_20_72_72</t>
  </si>
  <si>
    <t>Rigid sheet cladding systems</t>
  </si>
  <si>
    <t>25-80-76/170 Rigid sheet cladding system;</t>
  </si>
  <si>
    <t>Ss_25_20_85</t>
  </si>
  <si>
    <t>Stone cladding systems</t>
  </si>
  <si>
    <t>Ss_25_20_85_50</t>
  </si>
  <si>
    <t>Manufactured stone cladding systems</t>
  </si>
  <si>
    <t>Ss_25_20_85_55</t>
  </si>
  <si>
    <t>Natural stone cladding systems</t>
  </si>
  <si>
    <t>25-80-55/155 Natural stone cladding system;</t>
  </si>
  <si>
    <t>2.5.1 External enclosing walls above ground level (default); 3.1.1 Wall finishes;</t>
  </si>
  <si>
    <t>Ss_25_20_90</t>
  </si>
  <si>
    <t>Unit cladding systems</t>
  </si>
  <si>
    <t>Ss_25_20_90_13</t>
  </si>
  <si>
    <t>Clay plain tile cladding systems</t>
  </si>
  <si>
    <t>25-80-90/115 Clay plain tile cladding system;</t>
  </si>
  <si>
    <t>Ss_25_20_90_15</t>
  </si>
  <si>
    <t>Concrete plain tile cladding systems</t>
  </si>
  <si>
    <t>25-80-90/120 Concrete plain tile cladding system;</t>
  </si>
  <si>
    <t>Ss_25_20_90_30</t>
  </si>
  <si>
    <t>Fibre cement slate cladding systems</t>
  </si>
  <si>
    <t>25-80-90/130 Fibre cement slate cladding system;</t>
  </si>
  <si>
    <t>Ss_25_20_90_50</t>
  </si>
  <si>
    <t>Metal tile cladding systems</t>
  </si>
  <si>
    <t>25-80-90/150 Metal tile cladding system;</t>
  </si>
  <si>
    <t>Ss_25_20_90_55</t>
  </si>
  <si>
    <t>Natural slate cladding systems</t>
  </si>
  <si>
    <t>25-80-90/160 Natural slate cladding system;</t>
  </si>
  <si>
    <t>Ss_25_20_90_65</t>
  </si>
  <si>
    <t>Precast concrete cladding systems</t>
  </si>
  <si>
    <t>Ss_25_20_90_95</t>
  </si>
  <si>
    <t>Wood shingle or shake cladding systems</t>
  </si>
  <si>
    <t>25-80-90/195 Wood shingle or shake cladding system;</t>
  </si>
  <si>
    <t>Ss_25_25</t>
  </si>
  <si>
    <t>Wall lining systems</t>
  </si>
  <si>
    <t>Ss_25_25_05</t>
  </si>
  <si>
    <t>Acoustic panel systems</t>
  </si>
  <si>
    <t>Ss_25_25_45</t>
  </si>
  <si>
    <t>Lining and casing systems</t>
  </si>
  <si>
    <t>Ss_25_25_45_25</t>
  </si>
  <si>
    <t>Duct and wall panel lining systems</t>
  </si>
  <si>
    <t>25-85-45/120 Duct and wall panel lining system;</t>
  </si>
  <si>
    <t>3.1.1 Wall finishes (default);</t>
  </si>
  <si>
    <t>Ss_25_25_45_33</t>
  </si>
  <si>
    <t>Gypsum board casing systems</t>
  </si>
  <si>
    <t>25-85-45/135 Gypsum board casing system;</t>
  </si>
  <si>
    <t>Ss_25_25_45_35</t>
  </si>
  <si>
    <t>Gypsum board wall lining systems</t>
  </si>
  <si>
    <t>25-85-45/140 Gypsum board wall lining system;</t>
  </si>
  <si>
    <t>Ss_25_25_45_50</t>
  </si>
  <si>
    <t>Metal framed wall lining systems</t>
  </si>
  <si>
    <t>25-85-45/150 Metal framed wall lining system;</t>
  </si>
  <si>
    <t>Ss_25_25_45_70</t>
  </si>
  <si>
    <t>Rigid sheet wall lining and casing systems</t>
  </si>
  <si>
    <t>25-85-45/170 Rigid sheet wall lining and casing system;</t>
  </si>
  <si>
    <t>Ss_25_25_45_88</t>
  </si>
  <si>
    <t>Timber board casing systems</t>
  </si>
  <si>
    <t>25-85-45/185 Timber board casing system;</t>
  </si>
  <si>
    <t>Ss_25_25_45_90</t>
  </si>
  <si>
    <t>Timber board wall lining systems</t>
  </si>
  <si>
    <t>25-85-45/190 Timber board wall lining system;</t>
  </si>
  <si>
    <t>Ss_25_25_70</t>
  </si>
  <si>
    <t>Radiation shielding lining systems</t>
  </si>
  <si>
    <t>Ss_25_25_75</t>
  </si>
  <si>
    <t>Rigid sheet fine lining and panelling systems</t>
  </si>
  <si>
    <t>Ss_25_25_75_05</t>
  </si>
  <si>
    <t>Acoustic panel lining systems</t>
  </si>
  <si>
    <t>25-85-75/105 Acoustic panel lining system;</t>
  </si>
  <si>
    <t>Ss_25_25_75_30</t>
  </si>
  <si>
    <t>Framed wood panel lining systems</t>
  </si>
  <si>
    <t>25-85-75/130 Framed wood panel lining system;</t>
  </si>
  <si>
    <t>Ss_25_25_75_63</t>
  </si>
  <si>
    <t>Plastics panel lining systems</t>
  </si>
  <si>
    <t>25-85-75/160 Plastics panel lining system;</t>
  </si>
  <si>
    <t>Ss_25_25_75_65</t>
  </si>
  <si>
    <t>Plastics veneered panel lining systems</t>
  </si>
  <si>
    <t>25-85-75/165 Plastics veneered panel lining system;</t>
  </si>
  <si>
    <t>Ss_25_25_75_85</t>
  </si>
  <si>
    <t>Specialist faced panel lining systems</t>
  </si>
  <si>
    <t>25-85-75/175 Specialist faced panel lining system;</t>
  </si>
  <si>
    <t>Ss_25_25_75_95</t>
  </si>
  <si>
    <t>Wood veneered panel lining systems</t>
  </si>
  <si>
    <t>25-85-75/195 Wood veneered panel lining system;</t>
  </si>
  <si>
    <t>Ss_25_25_85</t>
  </si>
  <si>
    <t>Stone lining systems</t>
  </si>
  <si>
    <t>Ss_25_25_85_50</t>
  </si>
  <si>
    <t>Manufactured stone lining systems</t>
  </si>
  <si>
    <t>Ss_25_25_85_55</t>
  </si>
  <si>
    <t>Natural stone lining systems</t>
  </si>
  <si>
    <t>25-80-55/160 Natural stone internal lining system;</t>
  </si>
  <si>
    <t>Ss_25_25_95</t>
  </si>
  <si>
    <t>Wall sheathing systems</t>
  </si>
  <si>
    <t>Ss_25_25_95_28</t>
  </si>
  <si>
    <t>External wall sheathing systems</t>
  </si>
  <si>
    <t>25-90-90/125 External wall sheathing system;</t>
  </si>
  <si>
    <t>Ss_25_30</t>
  </si>
  <si>
    <t>Door and window systems</t>
  </si>
  <si>
    <t>Ss_25_30_15</t>
  </si>
  <si>
    <t>Concrete wall glazing systems</t>
  </si>
  <si>
    <t>Ss_25_30_15_66</t>
  </si>
  <si>
    <t>Precast concrete security window systems</t>
  </si>
  <si>
    <t>20-40-60/180 Precast security window system;</t>
  </si>
  <si>
    <t>2.6.1 External windows (default); 2.3.1 Roof structure; 2.2.2 Balconies;</t>
  </si>
  <si>
    <t>Ss_25_30_20</t>
  </si>
  <si>
    <t>Door, shutter and hatch systems</t>
  </si>
  <si>
    <t>Ss_25_30_20_16</t>
  </si>
  <si>
    <t>Collapsible gate and grille doorset systems</t>
  </si>
  <si>
    <t>Ss_25_30_20_22</t>
  </si>
  <si>
    <t>Door assembly systems</t>
  </si>
  <si>
    <t>25-50-20/122 Door assembly system;</t>
  </si>
  <si>
    <t>Ss_25_30_20_25</t>
  </si>
  <si>
    <t>Doorset systems</t>
  </si>
  <si>
    <t>25-50-20/120 Doorset system;</t>
  </si>
  <si>
    <t>2.6.2 External doors; 2.8.1 Internal doors (default);</t>
  </si>
  <si>
    <t>Ss_25_30_20_30</t>
  </si>
  <si>
    <t>Frame and door leaf systems</t>
  </si>
  <si>
    <t>25-50-20/125 Frame and door leaf system;</t>
  </si>
  <si>
    <t>Ss_25_30_20_32</t>
  </si>
  <si>
    <t>Frameless glass door systems</t>
  </si>
  <si>
    <t>25-50-20/130 Frameless glass door system;</t>
  </si>
  <si>
    <t>2.6.2 External doors (default); 2.8.1 Internal doors;</t>
  </si>
  <si>
    <t>Ss_25_30_20_35</t>
  </si>
  <si>
    <t>Hatch systems</t>
  </si>
  <si>
    <t>25-50-20/135 Hatch system;</t>
  </si>
  <si>
    <t>2.6.2 External doors; 2.8.1 Internal doors (default); 2.3.5 Rooflights, skylights and openings;</t>
  </si>
  <si>
    <t>Ss_25_30_20_37</t>
  </si>
  <si>
    <t>High security doorset systems</t>
  </si>
  <si>
    <t>Ss_25_30_20_38</t>
  </si>
  <si>
    <t>High speed doorset systems</t>
  </si>
  <si>
    <t>Ss_25_30_20_39</t>
  </si>
  <si>
    <t>Hinged doorset systems</t>
  </si>
  <si>
    <t>Ss_25_30_20_40</t>
  </si>
  <si>
    <t>Industrial doorset systems</t>
  </si>
  <si>
    <t>25-50-20/145 Industrial doorset system;</t>
  </si>
  <si>
    <t>Ss_25_30_20_45</t>
  </si>
  <si>
    <t>Loading bay doorset systems</t>
  </si>
  <si>
    <t>25-50-20/150 Loading bay system;</t>
  </si>
  <si>
    <t>2.6.2 External doors (default);</t>
  </si>
  <si>
    <t>Ss_25_30_20_46</t>
  </si>
  <si>
    <t>Louvre doorset systems</t>
  </si>
  <si>
    <t>Ss_25_30_20_62</t>
  </si>
  <si>
    <t>Pivot doorset systems</t>
  </si>
  <si>
    <t>Ss_25_30_20_70</t>
  </si>
  <si>
    <t>Revolving doorset systems</t>
  </si>
  <si>
    <t>25-50-20/170 Revolving doorset system;</t>
  </si>
  <si>
    <t>Ss_25_30_20_73</t>
  </si>
  <si>
    <t>Roller grille doorset systems</t>
  </si>
  <si>
    <t>Ss_25_30_20_74</t>
  </si>
  <si>
    <t>Roller shutter doorset systems</t>
  </si>
  <si>
    <t>Ss_25_30_20_76</t>
  </si>
  <si>
    <t>Sectional overhead doorset systems</t>
  </si>
  <si>
    <t>Ss_25_30_20_77</t>
  </si>
  <si>
    <t>Sliding doorset systems</t>
  </si>
  <si>
    <t>25-50-20/175 Sliding doorset system;</t>
  </si>
  <si>
    <t>Ss_25_30_20_78</t>
  </si>
  <si>
    <t>Sliding folding doorset systems</t>
  </si>
  <si>
    <t>25-50-20/180 Sliding folding doorset system;</t>
  </si>
  <si>
    <t>2.7.3 Moveable room dividers; 2.6.2 External doors (default); 2.8.1 Internal doors;</t>
  </si>
  <si>
    <t>Ss_25_30_20_80</t>
  </si>
  <si>
    <t>Sliding stacking panel partition systems</t>
  </si>
  <si>
    <t>25-50-20/185 Sliding stacking panel partition system;</t>
  </si>
  <si>
    <t>2.7.3 Moveable room dividers (default);</t>
  </si>
  <si>
    <t>Ss_25_30_20_84</t>
  </si>
  <si>
    <t>Strip curtain doorset systems</t>
  </si>
  <si>
    <t>Ss_25_30_20_93</t>
  </si>
  <si>
    <t>Up and over doorset systems</t>
  </si>
  <si>
    <t>Ss_25_30_29</t>
  </si>
  <si>
    <t>Fire and smoke curtain systems</t>
  </si>
  <si>
    <t>Ss_25_30_29_38</t>
  </si>
  <si>
    <t>Horizontal fire curtain systems</t>
  </si>
  <si>
    <t>Ss_25_30_29_39</t>
  </si>
  <si>
    <t>Horizontal smoke curtain systems</t>
  </si>
  <si>
    <t>Ss_25_30_29_94</t>
  </si>
  <si>
    <t>Vertical fire curtain systems</t>
  </si>
  <si>
    <t>Ss_25_30_29_95</t>
  </si>
  <si>
    <t>Vertical smoke curtain systems</t>
  </si>
  <si>
    <t>Ss_25_30_95</t>
  </si>
  <si>
    <t>Window systems</t>
  </si>
  <si>
    <t>Ss_25_30_95_26</t>
  </si>
  <si>
    <t>External window systems</t>
  </si>
  <si>
    <t>25-50-95/125 External window system;</t>
  </si>
  <si>
    <t>2.6.1 External windows (default);</t>
  </si>
  <si>
    <t>Ss_25_30_95_41</t>
  </si>
  <si>
    <t>Internal window systems</t>
  </si>
  <si>
    <t>Ss_25_30_95_96</t>
  </si>
  <si>
    <t>Window walling systems</t>
  </si>
  <si>
    <t>Ss_25_32</t>
  </si>
  <si>
    <t>Gate and access control systems</t>
  </si>
  <si>
    <t>Ss_25_32_35</t>
  </si>
  <si>
    <t>Gate systems</t>
  </si>
  <si>
    <t>Ss_25_32_35_05</t>
  </si>
  <si>
    <t>Animal gate systems</t>
  </si>
  <si>
    <t>25-60-35/125 Animal gate system;</t>
  </si>
  <si>
    <t>8.4.1 Fencing and railings (default);</t>
  </si>
  <si>
    <t>Ss_25_32_35_15</t>
  </si>
  <si>
    <t>Chicane systems</t>
  </si>
  <si>
    <t>25-60-35/120 Chicane system;</t>
  </si>
  <si>
    <t>Ss_25_32_35_30</t>
  </si>
  <si>
    <t>Folding gate systems</t>
  </si>
  <si>
    <t>25-60-35/105 Folding gate system;</t>
  </si>
  <si>
    <t>Ss_25_32_35_37</t>
  </si>
  <si>
    <t>Hinged gate systems</t>
  </si>
  <si>
    <t>25-60-35/109 Hinged gate system;</t>
  </si>
  <si>
    <t>Ss_25_32_35_41</t>
  </si>
  <si>
    <t>In-line inhibitor systems</t>
  </si>
  <si>
    <t>25-60-35/130 In-line inhibitor system;</t>
  </si>
  <si>
    <t>Ss_25_32_35_45</t>
  </si>
  <si>
    <t>Kissing gate systems</t>
  </si>
  <si>
    <t>25-60-35/135 Kissing gate system;</t>
  </si>
  <si>
    <t>Ss_25_32_35_80</t>
  </si>
  <si>
    <t>Sliding gate systems</t>
  </si>
  <si>
    <t>25-60-35/115 Sliding gate system;</t>
  </si>
  <si>
    <t>Ss_25_32_35_85</t>
  </si>
  <si>
    <t>Stile systems</t>
  </si>
  <si>
    <t>25-60-35/140 Stile system;</t>
  </si>
  <si>
    <t>Ss_25_32_35_90</t>
  </si>
  <si>
    <t>Turnstile systems</t>
  </si>
  <si>
    <t>25-60-35/145 Turnstile system;</t>
  </si>
  <si>
    <t>Ss_25_32_60</t>
  </si>
  <si>
    <t>Passport control gate systems</t>
  </si>
  <si>
    <t>Ss_25_32_60_26</t>
  </si>
  <si>
    <t>e-passport gate systems</t>
  </si>
  <si>
    <t>75-60-60/110 e-Passport gate system;</t>
  </si>
  <si>
    <t>Ss_25_32_60_60</t>
  </si>
  <si>
    <t>Passport gate systems</t>
  </si>
  <si>
    <t>75-60-60/120 Passport gate system;</t>
  </si>
  <si>
    <t>Ss_25_32_70</t>
  </si>
  <si>
    <t>Railway platform automated barrier systems</t>
  </si>
  <si>
    <t>Ss_25_36</t>
  </si>
  <si>
    <t>Operable barrier systems</t>
  </si>
  <si>
    <t>Ss_25_36_24</t>
  </si>
  <si>
    <t>Dry dock automated gate systems</t>
  </si>
  <si>
    <t>Ss_25_36_30</t>
  </si>
  <si>
    <t>Flood and storm surge barrier systems</t>
  </si>
  <si>
    <t>Ss_25_36_30_30</t>
  </si>
  <si>
    <t>Flood gate systems</t>
  </si>
  <si>
    <t>Ss_25_36_50</t>
  </si>
  <si>
    <t>Marina and sea gate automated systems</t>
  </si>
  <si>
    <t>Ss_25_36_58</t>
  </si>
  <si>
    <t>Operable rail barrier systems</t>
  </si>
  <si>
    <t>Ss_25_36_62</t>
  </si>
  <si>
    <t>Operable water barrier systems</t>
  </si>
  <si>
    <t>Ss_25_36_64</t>
  </si>
  <si>
    <t>Operable bridge barrier systems</t>
  </si>
  <si>
    <t>Ss_25_36_66</t>
  </si>
  <si>
    <t>Operable tunnel barrier systems</t>
  </si>
  <si>
    <t>Ss_25_36_70</t>
  </si>
  <si>
    <t>Railway crossing systems</t>
  </si>
  <si>
    <t>Ss_25_36_95</t>
  </si>
  <si>
    <t>Vehicle access point control systems</t>
  </si>
  <si>
    <t>Ss_25_36_95_05</t>
  </si>
  <si>
    <t>Automated heavy-duty gate systems</t>
  </si>
  <si>
    <t>Ss_25_36_95_35</t>
  </si>
  <si>
    <t>Heavy duty sliding beam barrier systems</t>
  </si>
  <si>
    <t>25-70-05/115 Heavy duty sliding barrier system;</t>
  </si>
  <si>
    <t>Ss_25_36_95_36</t>
  </si>
  <si>
    <t>Height restrictor systems</t>
  </si>
  <si>
    <t>25-70-05/120 Height restrictor system;</t>
  </si>
  <si>
    <t>Ss_25_36_95_38</t>
  </si>
  <si>
    <t>Horizontal swing gate systems</t>
  </si>
  <si>
    <t>25-70-05/125 Horizontal swing gate system;</t>
  </si>
  <si>
    <t>Ss_25_36_95_40</t>
  </si>
  <si>
    <t>Hydraulic ramp systems</t>
  </si>
  <si>
    <t>25-70-05/130 Hydraulic ramp system;</t>
  </si>
  <si>
    <t>Ss_25_36_95_50</t>
  </si>
  <si>
    <t>Movable bollard and car park post systems</t>
  </si>
  <si>
    <t>25-70-05/145 Movable bollard system;</t>
  </si>
  <si>
    <t>Ss_25_36_95_70</t>
  </si>
  <si>
    <t>Rising arm barrier systems</t>
  </si>
  <si>
    <t>25-70-05/160 Rising arm barrier system;</t>
  </si>
  <si>
    <t>Ss_25_36_95_72</t>
  </si>
  <si>
    <t>Rising bollard systems</t>
  </si>
  <si>
    <t>25-70-05/165 Rising bollard system;</t>
  </si>
  <si>
    <t>Ss_25_36_95_85</t>
  </si>
  <si>
    <t>Static bollard systems</t>
  </si>
  <si>
    <t>Ss_25_36_95_94</t>
  </si>
  <si>
    <t>Vehicle flow plate systems</t>
  </si>
  <si>
    <t>25-70-05/180 Vehicle flow plate system;</t>
  </si>
  <si>
    <t>Ss_25_36_95_96</t>
  </si>
  <si>
    <t>Vehicle stop systems</t>
  </si>
  <si>
    <t>25-70-05/185 Vehicle stop system;</t>
  </si>
  <si>
    <t>Ss_25_38</t>
  </si>
  <si>
    <t>Wall and barrier opening hardware systems</t>
  </si>
  <si>
    <t>Ss_25_38_20</t>
  </si>
  <si>
    <t>Door, window and gate hardware systems</t>
  </si>
  <si>
    <t>Ss_25_38_20_20</t>
  </si>
  <si>
    <t>Door hardware systems</t>
  </si>
  <si>
    <t>25-90-20/120 Door hardware system;</t>
  </si>
  <si>
    <t>Ss_25_38_20_30</t>
  </si>
  <si>
    <t>Garage door hardware systems</t>
  </si>
  <si>
    <t>25-90-20/130 Garage door hardware system;</t>
  </si>
  <si>
    <t>Ss_25_38_20_33</t>
  </si>
  <si>
    <t>Gate hardware systems</t>
  </si>
  <si>
    <t>25-90-20/135 Gate hardware system;</t>
  </si>
  <si>
    <t>8.4.1 Fencing and railings (default); 8.4.4 Barriers and guardrails; 2.8.1 Internal doors;</t>
  </si>
  <si>
    <t>Ss_25_38_20_35</t>
  </si>
  <si>
    <t>Hatch hardware systems</t>
  </si>
  <si>
    <t>25-90-20/140 Hatch hardware system;</t>
  </si>
  <si>
    <t>Ss_25_38_20_70</t>
  </si>
  <si>
    <t>Relocatable partition hardware systems</t>
  </si>
  <si>
    <t>25-90-20/170 Relocatable partition hardware system;</t>
  </si>
  <si>
    <t>Ss_25_38_20_80</t>
  </si>
  <si>
    <t>Shutter hardware systems</t>
  </si>
  <si>
    <t>25-90-20/175 Shutter hardware system;</t>
  </si>
  <si>
    <t>Ss_25_38_20_95</t>
  </si>
  <si>
    <t>Window hardware systems</t>
  </si>
  <si>
    <t>25-90-95/195 Window hardware system;</t>
  </si>
  <si>
    <t>Ss_25_45</t>
  </si>
  <si>
    <t>Wall covering and finish systems</t>
  </si>
  <si>
    <t>Ss_25_45_02</t>
  </si>
  <si>
    <t>Acoustic covering systems</t>
  </si>
  <si>
    <t>Ss_25_45_02_60</t>
  </si>
  <si>
    <t>Parge coat systems</t>
  </si>
  <si>
    <t>25-85-60/160 Parge coat system;</t>
  </si>
  <si>
    <t>Ss_25_45_25</t>
  </si>
  <si>
    <t>Drapery systems</t>
  </si>
  <si>
    <t>Ss_25_45_70</t>
  </si>
  <si>
    <t>Render and roughcast coating systems</t>
  </si>
  <si>
    <t>Ss_25_45_70_55</t>
  </si>
  <si>
    <t>Multicoat render systems</t>
  </si>
  <si>
    <t>25-80-72/150 Multicoat render system;</t>
  </si>
  <si>
    <t>Ss_25_45_70_60</t>
  </si>
  <si>
    <t>One coat render systems</t>
  </si>
  <si>
    <t>25-80-72/160 One coat render system;</t>
  </si>
  <si>
    <t>Ss_25_45_70_90</t>
  </si>
  <si>
    <t>Tiling and mosaic render substrate systems</t>
  </si>
  <si>
    <t>25-80-72/185 Tiling and mosaic for render mortar substrate system;</t>
  </si>
  <si>
    <t>Ss_25_45_72</t>
  </si>
  <si>
    <t>Rendered insulation systems</t>
  </si>
  <si>
    <t>Ss_25_45_72_02</t>
  </si>
  <si>
    <t>Adhesive fixed external wall insulation systems</t>
  </si>
  <si>
    <t>25-80-79/110 Adhesive fixed external wall insulation system;</t>
  </si>
  <si>
    <t>Ss_25_45_72_42</t>
  </si>
  <si>
    <t>Insulated plinth systems</t>
  </si>
  <si>
    <t>25-80-79/130 Insulated plinth system;</t>
  </si>
  <si>
    <t>Ss_25_45_72_70</t>
  </si>
  <si>
    <t>Rail fixed external wall insulation systems</t>
  </si>
  <si>
    <t>25-80-79/120 Rail fixed external wall insulation system;</t>
  </si>
  <si>
    <t>Ss_25_45_74</t>
  </si>
  <si>
    <t>Rolled paper and fabric covering systems</t>
  </si>
  <si>
    <t>Ss_25_45_74_70</t>
  </si>
  <si>
    <t>Rolled covering systems</t>
  </si>
  <si>
    <t>25-85-80/170 Rolled covering system;</t>
  </si>
  <si>
    <t>Ss_25_45_85</t>
  </si>
  <si>
    <t>Sprayed coating systems</t>
  </si>
  <si>
    <t>Ss_25_45_85_82</t>
  </si>
  <si>
    <t>Sprayed external monolithic coating systems</t>
  </si>
  <si>
    <t>25-80-78/175 Sprayed external monolithic coating system;</t>
  </si>
  <si>
    <t>Ss_25_45_85_85</t>
  </si>
  <si>
    <t>Sprayed internal monolithic coating systems</t>
  </si>
  <si>
    <t>25-85-85/175 Sprayed internal monolithic coating system;</t>
  </si>
  <si>
    <t>Ss_25_45_86</t>
  </si>
  <si>
    <t>Suspended render systems</t>
  </si>
  <si>
    <t>Ss_25_45_88</t>
  </si>
  <si>
    <t>Tiling systems</t>
  </si>
  <si>
    <t>Ss_25_45_88_25</t>
  </si>
  <si>
    <t>External wall tiling systems</t>
  </si>
  <si>
    <t>25-85-97/125 External wall tiling system;</t>
  </si>
  <si>
    <t>Ss_25_45_88_40</t>
  </si>
  <si>
    <t>Internal wall tiling systems</t>
  </si>
  <si>
    <t>25-85-97/140 Internal wall tiling system;</t>
  </si>
  <si>
    <t>Ss_25_45_88_88</t>
  </si>
  <si>
    <t>Terrazzo wall tiling systems</t>
  </si>
  <si>
    <t>25-85-90/185 Terrazzo wall tiling system;</t>
  </si>
  <si>
    <t>Ss_25_45_88_90</t>
  </si>
  <si>
    <t>Tiling and mosaic mortar substrate systems</t>
  </si>
  <si>
    <t>Ss_25_45_90</t>
  </si>
  <si>
    <t>Unit facing systems</t>
  </si>
  <si>
    <t>Ss_25_50</t>
  </si>
  <si>
    <t>Wall mounted canopy and screen systems</t>
  </si>
  <si>
    <t>Ss_25_50_05</t>
  </si>
  <si>
    <t>Awning systems</t>
  </si>
  <si>
    <t>Ss_25_50_35</t>
  </si>
  <si>
    <t>Grille systems</t>
  </si>
  <si>
    <t>Ss_25_50_45</t>
  </si>
  <si>
    <t>Louvre and shading systems</t>
  </si>
  <si>
    <t>Ss_25_50_45_10</t>
  </si>
  <si>
    <t>Canopy systems</t>
  </si>
  <si>
    <t>Ss_25_50_45_30</t>
  </si>
  <si>
    <t>Facade-aligned brise soleil systems</t>
  </si>
  <si>
    <t>25-55-45/110 Facade aligned brise-soleil system;</t>
  </si>
  <si>
    <t>Ss_25_50_45_45</t>
  </si>
  <si>
    <t>Louvre screen systems</t>
  </si>
  <si>
    <t>25-55-45/150 Louvre screen system;</t>
  </si>
  <si>
    <t>Ss_25_50_45_60</t>
  </si>
  <si>
    <t>Panellized louvre screen systems</t>
  </si>
  <si>
    <t>25-55-45/170 Panellized louvre screen system;</t>
  </si>
  <si>
    <t>2.7.3 Moveable room dividers (default); 2.8.1 Internal doors;</t>
  </si>
  <si>
    <t>Ss_25_50_45_65</t>
  </si>
  <si>
    <t>Projecting brise soleil systems</t>
  </si>
  <si>
    <t>25-55-45/130 Projecting brise-soleil system;</t>
  </si>
  <si>
    <t>Ss_25_50_75</t>
  </si>
  <si>
    <t>Screen systems</t>
  </si>
  <si>
    <t>Ss_25_50_80</t>
  </si>
  <si>
    <t>Shutter systems</t>
  </si>
  <si>
    <t>Ss_25_60</t>
  </si>
  <si>
    <t>Wall and barrier accessory systems</t>
  </si>
  <si>
    <t>Ss_25_60_10</t>
  </si>
  <si>
    <t>Cavity wall tie renewal and insertion systems</t>
  </si>
  <si>
    <t>Ss_25_60_30</t>
  </si>
  <si>
    <t>Fire stopping systems</t>
  </si>
  <si>
    <t>Ss_25_60_30_40</t>
  </si>
  <si>
    <t>Individual services penetrations fire stopping systems</t>
  </si>
  <si>
    <t>30-85-30/140 Individual services penetrations fire stopping system;</t>
  </si>
  <si>
    <t>5.14.1 Builder's work in connection with services (default);</t>
  </si>
  <si>
    <t>Ss_25_60_30_45</t>
  </si>
  <si>
    <t>Linear gap fire stopping systems</t>
  </si>
  <si>
    <t>30-85-30/145 Linear gap fire stopping system;</t>
  </si>
  <si>
    <t>Ss_25_60_30_48</t>
  </si>
  <si>
    <t>Loose fire stopping systems</t>
  </si>
  <si>
    <t>30-85-30/150 Loose fire stopping system;</t>
  </si>
  <si>
    <t>Ss_25_60_30_55</t>
  </si>
  <si>
    <t>Multiple services penetrations fire stopping systems</t>
  </si>
  <si>
    <t>30-85-30/155 Multiple services penetrations fire stopping system;</t>
  </si>
  <si>
    <t>Ss_25_60_30_62</t>
  </si>
  <si>
    <t>Pipe collar fire stopping systems</t>
  </si>
  <si>
    <t>30-85-30/160 Pipe collar system;</t>
  </si>
  <si>
    <t>Ss_25_60_35</t>
  </si>
  <si>
    <t>Glazing systems</t>
  </si>
  <si>
    <t>Ss_25_60_35_06</t>
  </si>
  <si>
    <t>Bead-fixed insulating glazing systems</t>
  </si>
  <si>
    <t>25-90-35/105 Bead-fixed insulating glazing system;</t>
  </si>
  <si>
    <t>2.7.1 Walls and partitions; 2.5.1 External enclosing walls above ground level (default); 2.7.2 Balustrades and handrails; 2.8.1 Internal doors; 2.5.5 Subsidiary walls, balustrades and proprietary balconies;</t>
  </si>
  <si>
    <t>Ss_25_60_35_08</t>
  </si>
  <si>
    <t>Bead-fixed single glazing systems</t>
  </si>
  <si>
    <t>25-90-35/110 Bead-fixed single glazing system;</t>
  </si>
  <si>
    <t>2.7.1 Walls and partitions; 2.6.1 External windows (default); 2.6.2 External doors; 2.8.1 Internal doors;</t>
  </si>
  <si>
    <t>Ss_25_60_35_30</t>
  </si>
  <si>
    <t>Fire-resistant glazing systems</t>
  </si>
  <si>
    <t>25-90-35/120 Fire-resistant glazing system;</t>
  </si>
  <si>
    <t>2.7.1 Walls and partitions; 2.6.1 External windows; 2.6.2 External doors; 2.8.1 Internal doors (default);</t>
  </si>
  <si>
    <t>Ss_25_60_35_33</t>
  </si>
  <si>
    <t>Glazing film systems</t>
  </si>
  <si>
    <t>25-90-35/130 Glazing film system;</t>
  </si>
  <si>
    <t>Ss_25_60_35_35</t>
  </si>
  <si>
    <t>Groove-fixed single glazing systems</t>
  </si>
  <si>
    <t>25-90-35/135 Groove-fixed single glazing system;</t>
  </si>
  <si>
    <t>Ss_25_60_35_40</t>
  </si>
  <si>
    <t>Internal use bead and tape, groove or channel glazing systems</t>
  </si>
  <si>
    <t>25-90-35/140 Internal use bead and tape, groove or channel glazing system;</t>
  </si>
  <si>
    <t>2.7.1 Walls and partitions (default); 2.7.2 Balustrades and handrails; 2.8.1 Internal doors;</t>
  </si>
  <si>
    <t>Ss_25_60_35_50</t>
  </si>
  <si>
    <t>Mirror glazing systems</t>
  </si>
  <si>
    <t>25-90-35/145 Mirror glazing system;</t>
  </si>
  <si>
    <t>4.1.1 General fittings, furnishings and equipment (default);</t>
  </si>
  <si>
    <t>Ss_25_60_35_65</t>
  </si>
  <si>
    <t>Putty-fronted single glazing systems</t>
  </si>
  <si>
    <t>25-90-35/150 Putty-fronted single glazing system;</t>
  </si>
  <si>
    <t>Ss_25_60_35_75</t>
  </si>
  <si>
    <t>Single-sided gasket glazing systems</t>
  </si>
  <si>
    <t>25-90-35/155 Single-sided gasket glazing system;</t>
  </si>
  <si>
    <t>Ss_25_60_35_85</t>
  </si>
  <si>
    <t>Structural zipper gasket glazing systems</t>
  </si>
  <si>
    <t>25-90-35/160 Structural zipper gasket glazing system;</t>
  </si>
  <si>
    <t>Ss_25_60_35_95</t>
  </si>
  <si>
    <t>U-profiled glazing systems</t>
  </si>
  <si>
    <t>25-90-35/165 U-profiled glazing system;</t>
  </si>
  <si>
    <t>Ss_25_60_50</t>
  </si>
  <si>
    <t>Metal sheet wall flashing and weathering systems</t>
  </si>
  <si>
    <t>Ss_25_60_50_03</t>
  </si>
  <si>
    <t>Aluminium sheet wall flashing systems</t>
  </si>
  <si>
    <t>30-85-50/105 Aluminium flashing system;</t>
  </si>
  <si>
    <t>2.3.2 Roof coverings (default); 2.5.1 External enclosing walls above ground level;</t>
  </si>
  <si>
    <t>Ss_25_60_50_04</t>
  </si>
  <si>
    <t>Aluminium sheet wall weathering systems</t>
  </si>
  <si>
    <t>30-85-50/115 Aluminium sheet weathering system;</t>
  </si>
  <si>
    <t>Ss_25_60_50_11</t>
  </si>
  <si>
    <t>Carbon steel wall flashing systems</t>
  </si>
  <si>
    <t>30-85-50/170 Steel Flashing System;</t>
  </si>
  <si>
    <t>Ss_25_60_50_12</t>
  </si>
  <si>
    <t>Carbon steel wall weathering systems</t>
  </si>
  <si>
    <t>Ss_25_60_50_14</t>
  </si>
  <si>
    <t>Copper sheet wall flashing systems</t>
  </si>
  <si>
    <t>30-85-50/120 Copper sheet weathering system;</t>
  </si>
  <si>
    <t>Ss_25_60_50_15</t>
  </si>
  <si>
    <t>Copper sheet wall weathering systems</t>
  </si>
  <si>
    <t>Ss_25_60_50_47</t>
  </si>
  <si>
    <t>Lead damp proof course systems</t>
  </si>
  <si>
    <t>30-85-50/130 Lead damp proof course system;</t>
  </si>
  <si>
    <t>2.5.2 External enclosing walls below ground level (default); 2.5.1 External enclosing walls above ground level; 2.3.1 Roof structure; 1.1.3 Lowest floor construction;</t>
  </si>
  <si>
    <t>Ss_25_60_50_48</t>
  </si>
  <si>
    <t>Lead sheet wall flashing systems</t>
  </si>
  <si>
    <t>30-85-50/125 Lead cladding flashing system;</t>
  </si>
  <si>
    <t>Ss_25_60_50_49</t>
  </si>
  <si>
    <t>Lead sheet wall weathering systems</t>
  </si>
  <si>
    <t>30-85-50/140 Lead sheet weathering system;</t>
  </si>
  <si>
    <t>2.3.2 Roof coverings (default); 2.5.1 External enclosing walls above ground level; 2.3.6 Roof features;</t>
  </si>
  <si>
    <t>Ss_25_60_50_84</t>
  </si>
  <si>
    <t>Stainless steel sheet wall flashing systems</t>
  </si>
  <si>
    <t>30-85-50/155 Stainless steel sheet weathering system;</t>
  </si>
  <si>
    <t>2.3.2 Roof coverings (default); 2.5.1 External enclosing walls above ground level; 2.3.6 Roof features; 2.3.3 Specialist roof systems;</t>
  </si>
  <si>
    <t>Ss_25_60_50_85</t>
  </si>
  <si>
    <t>Stainless steel sheet wall weathering systems</t>
  </si>
  <si>
    <t>Ss_25_60_50_94</t>
  </si>
  <si>
    <t>Zinc sheet wall flashing systems</t>
  </si>
  <si>
    <t>30-85-50/160 Zinc sheet weathering system;</t>
  </si>
  <si>
    <t>Ss_25_60_50_95</t>
  </si>
  <si>
    <t>Zinc sheet wall weathering systems</t>
  </si>
  <si>
    <t>Ss_25_95</t>
  </si>
  <si>
    <t>Temporary wall and barrier systems</t>
  </si>
  <si>
    <t>Ss_25_95_30</t>
  </si>
  <si>
    <t>Temporary flood barrier systems</t>
  </si>
  <si>
    <t>Ss_25_95_60</t>
  </si>
  <si>
    <t>Temporary pedestrian barrier systems</t>
  </si>
  <si>
    <t>Ss_25_95_70</t>
  </si>
  <si>
    <t>Temporary rail barrier systems</t>
  </si>
  <si>
    <t>Ss_25_95_75</t>
  </si>
  <si>
    <t>Temporary road barrier systems</t>
  </si>
  <si>
    <t>Ss_25_95_85</t>
  </si>
  <si>
    <t>Temporary traffic barrier systems</t>
  </si>
  <si>
    <t>Ss_25_95_90</t>
  </si>
  <si>
    <t>Temporary water barrier systems</t>
  </si>
  <si>
    <t>Ss_30</t>
  </si>
  <si>
    <t>Roof, floor and paving systems</t>
  </si>
  <si>
    <t>Ss_30_10</t>
  </si>
  <si>
    <t>Pitched, arched and domed roof structure systems</t>
  </si>
  <si>
    <t>Ss_30_10_30</t>
  </si>
  <si>
    <t>Framed roof structure systems</t>
  </si>
  <si>
    <t>Ss_30_10_30_03</t>
  </si>
  <si>
    <t>Aluminium roof framing systems</t>
  </si>
  <si>
    <t>Ss_30_10_30_20</t>
  </si>
  <si>
    <t>Glazed unit roof framing systems</t>
  </si>
  <si>
    <t>Ss_30_10_30_25</t>
  </si>
  <si>
    <t>Heavy steel roof framing systems</t>
  </si>
  <si>
    <t>20-00-75/135 Heavy steel framed roof structure system;</t>
  </si>
  <si>
    <t>Ss_30_10_30_30</t>
  </si>
  <si>
    <t>Heavy steel roof space frame systems</t>
  </si>
  <si>
    <t>20-00-75/137 Heavy steel space frame system;</t>
  </si>
  <si>
    <t>2.1.1 Steel frames; 2.1.2 Space frames/decks (default);</t>
  </si>
  <si>
    <t>Ss_30_10_30_35</t>
  </si>
  <si>
    <t>Heavy steel roof space truss systems</t>
  </si>
  <si>
    <t>20-00-75/139 Heavy steel space truss system;</t>
  </si>
  <si>
    <t>2.1.1 Steel frames (default); 2.1.2 Space frames/decks;</t>
  </si>
  <si>
    <t>Ss_30_10_30_45</t>
  </si>
  <si>
    <t>Light steel roof framing systems</t>
  </si>
  <si>
    <t>20-00-75/140 Light steel framed roof structure system;</t>
  </si>
  <si>
    <t>Ss_30_10_30_58</t>
  </si>
  <si>
    <t>Plastics roof framing systems</t>
  </si>
  <si>
    <t>Ss_30_10_30_60</t>
  </si>
  <si>
    <t>Precast concrete roof structure systems</t>
  </si>
  <si>
    <t>20-00-75/145 Precast concrete roof structure system;</t>
  </si>
  <si>
    <t>Ss_30_10_30_70</t>
  </si>
  <si>
    <t>Reinforced concrete roof framing systems</t>
  </si>
  <si>
    <t>Ss_30_10_30_85</t>
  </si>
  <si>
    <t>Timber roof framing systems</t>
  </si>
  <si>
    <t>20-00-75/185 Timber framed roof structure system;</t>
  </si>
  <si>
    <t>2.3.1 Roof structure (default);</t>
  </si>
  <si>
    <t>Ss_30_10_50</t>
  </si>
  <si>
    <t>Monolithic roof structure systems</t>
  </si>
  <si>
    <t>Ss_30_10_50_70</t>
  </si>
  <si>
    <t>Sprayed concrete roof systems</t>
  </si>
  <si>
    <t>20-00-75/175 Sprayed concrete framed roof structure system;</t>
  </si>
  <si>
    <t>2.1.6 Specialist frames (default);</t>
  </si>
  <si>
    <t>Ss_30_10_60</t>
  </si>
  <si>
    <t>Panel roof structure systems</t>
  </si>
  <si>
    <t>Ss_30_10_90</t>
  </si>
  <si>
    <t>Unit roof structure systems</t>
  </si>
  <si>
    <t>Ss_30_10_90_50</t>
  </si>
  <si>
    <t>Masonry roof systems</t>
  </si>
  <si>
    <t>20-00-75/150 Masonry roof structure system;</t>
  </si>
  <si>
    <t>Ss_30_12</t>
  </si>
  <si>
    <t>Flat roof, floor and deck structure systems</t>
  </si>
  <si>
    <t>Ss_30_12_05</t>
  </si>
  <si>
    <t>Beam and block floor systems</t>
  </si>
  <si>
    <t>Ss_30_12_15</t>
  </si>
  <si>
    <t>Concrete plank floor systems</t>
  </si>
  <si>
    <t>Ss_30_12_20</t>
  </si>
  <si>
    <t>Deck systems</t>
  </si>
  <si>
    <t>Ss_30_12_30</t>
  </si>
  <si>
    <t>Flat roof and floor cassette structural insulated panel (SIP) systems</t>
  </si>
  <si>
    <t>Ss_30_12_32</t>
  </si>
  <si>
    <t>Framed decking systems</t>
  </si>
  <si>
    <t>Ss_30_12_33</t>
  </si>
  <si>
    <t>Framed floor systems</t>
  </si>
  <si>
    <t>Ss_30_12_34</t>
  </si>
  <si>
    <t>Framed mezzanine systems</t>
  </si>
  <si>
    <t>Ss_30_12_35</t>
  </si>
  <si>
    <t>Glass unit masonry floor systems</t>
  </si>
  <si>
    <t>Ss_30_12_45</t>
  </si>
  <si>
    <t>Lift-up concrete plank floor systems</t>
  </si>
  <si>
    <t>Ss_30_12_50</t>
  </si>
  <si>
    <t>Masonry (flat arch) floor systems</t>
  </si>
  <si>
    <t>Ss_30_12_60</t>
  </si>
  <si>
    <t>Pier and jetty structure systems</t>
  </si>
  <si>
    <t>Ss_30_12_64</t>
  </si>
  <si>
    <t>Platform systems</t>
  </si>
  <si>
    <t>Ss_30_12_64_17</t>
  </si>
  <si>
    <t>Crosswall platform systems</t>
  </si>
  <si>
    <t>20-05-60/120 Crosswall platform system;</t>
  </si>
  <si>
    <t>Ss_30_12_64_30</t>
  </si>
  <si>
    <t>Front wall platform systems</t>
  </si>
  <si>
    <t>20-05-60/110 Front wall platform system;</t>
  </si>
  <si>
    <t>Ss_30_12_64_53</t>
  </si>
  <si>
    <t>Modular platform systems</t>
  </si>
  <si>
    <t>20-05-60/105 Modular platform system;</t>
  </si>
  <si>
    <t>Ss_30_12_85</t>
  </si>
  <si>
    <t>Structural deck systems</t>
  </si>
  <si>
    <t>Ss_30_12_85_15</t>
  </si>
  <si>
    <t>Composite concrete floor, roof or balcony deck systems</t>
  </si>
  <si>
    <t>20-05-80/110 Composite concrete floor, roof deck or balcony system;</t>
  </si>
  <si>
    <t>2.3.1 Roof structure; 2.2.2 Balconies; 1.1.3 Lowest floor construction; 2.2.1 Floors (default);</t>
  </si>
  <si>
    <t>Ss_30_12_85_16</t>
  </si>
  <si>
    <t>Composite steel and concrete floor, roof or balcony deck systems</t>
  </si>
  <si>
    <t>20-05-80/115 Composite steel and concrete floor, roof deck or balcony system;</t>
  </si>
  <si>
    <t>Ss_30_12_85_17</t>
  </si>
  <si>
    <t>Concrete beam and block floor or roof deck systems</t>
  </si>
  <si>
    <t>20-05-80/160 Precast concrete beam and block floor or roof deck system;</t>
  </si>
  <si>
    <t>2.3.1 Roof structure; 1.1.3 Lowest floor construction; 2.2.1 Floors (default);</t>
  </si>
  <si>
    <t>Ss_30_12_85_18</t>
  </si>
  <si>
    <t>Concrete floor or roof deck systems</t>
  </si>
  <si>
    <t>20-05-80/165 Precast concrete floor or roof deck system;</t>
  </si>
  <si>
    <t>Ss_30_12_85_30</t>
  </si>
  <si>
    <t>Glazed unit floor or roof deck systems</t>
  </si>
  <si>
    <t>20-05-80/130 Glazed unit floor or roof deck system;</t>
  </si>
  <si>
    <t>2.2.2 Balconies; 1.1.3 Lowest floor construction; 2.2.1 Floors; 2.3.3 Specialist roof systems (default);</t>
  </si>
  <si>
    <t>Ss_30_12_85_40</t>
  </si>
  <si>
    <t>Heavy steel floor, roof or balcony deck systems</t>
  </si>
  <si>
    <t>20-05-80/140 Heavy steel floor, roof or balcony decking system;</t>
  </si>
  <si>
    <t>2.1.2 Space frames/decks (default); 2.3.1 Roof structure; 2.2.2 Balconies; 1.1.3 Lowest floor construction; 2.2.1 Floors;</t>
  </si>
  <si>
    <t>Ss_30_12_85_50</t>
  </si>
  <si>
    <t>Light steel floor, roof or balcony deck systems</t>
  </si>
  <si>
    <t>20-05-80/150 Light steel floor, roof deck or balcony framing system;</t>
  </si>
  <si>
    <t>Ss_30_12_85_65</t>
  </si>
  <si>
    <t>Post tensioned concrete floor or roof deck systems</t>
  </si>
  <si>
    <t>20-05-80/120 Post tensioned concrete floor or roof deck system;</t>
  </si>
  <si>
    <t>Ss_30_12_85_70</t>
  </si>
  <si>
    <t>Reinforced concrete floor, roof or balcony deck systems</t>
  </si>
  <si>
    <t>20-05-80/145 In situ reinforced concrete floor, roof deck or balcony system;</t>
  </si>
  <si>
    <t>Ss_30_12_85_90</t>
  </si>
  <si>
    <t>Timber floor, roof or balcony deck systems</t>
  </si>
  <si>
    <t>20-05-80/190 Timber floor, roof deck or balcony decking system;</t>
  </si>
  <si>
    <t>Ss_30_14</t>
  </si>
  <si>
    <t>Paving systems</t>
  </si>
  <si>
    <t>Ss_30_14_02</t>
  </si>
  <si>
    <t>Acrylic and resin bound aggregate paving systems</t>
  </si>
  <si>
    <t>Ss_30_14_02_30</t>
  </si>
  <si>
    <t>Fibre-reinforced resin-bound aggregate overlay systems</t>
  </si>
  <si>
    <t>20-15-35/170 Fibre-reinforced resin-bound aggregate overlay system;</t>
  </si>
  <si>
    <t>Ss_30_14_02_41</t>
  </si>
  <si>
    <t>Impact absorbing synthetic play and sport paving systems</t>
  </si>
  <si>
    <t>20-15-35/152 Impact absorbing synthetic play and sport paving system;</t>
  </si>
  <si>
    <t>Ss_30_14_02_42</t>
  </si>
  <si>
    <t>Impervious acrylic coated sports paving systems</t>
  </si>
  <si>
    <t>20-15-35/154 Impervious acrylic coated paving system;</t>
  </si>
  <si>
    <t>Ss_30_14_02_70</t>
  </si>
  <si>
    <t>Resin-bonded aggregate paving systems</t>
  </si>
  <si>
    <t>20-15-35/155 Resin-bonded aggregate paving system;</t>
  </si>
  <si>
    <t>Ss_30_14_02_71</t>
  </si>
  <si>
    <t>Resin-bound aggregate light duty paving systems</t>
  </si>
  <si>
    <t>20-15-35/160 Resin-bound aggregate light duty paving system;</t>
  </si>
  <si>
    <t>Ss_30_14_02_72</t>
  </si>
  <si>
    <t>Resin-bound aggregate heavy duty paving systems</t>
  </si>
  <si>
    <t>Ss_30_14_02_73</t>
  </si>
  <si>
    <t>Resin-bound aggregate overlay systems</t>
  </si>
  <si>
    <t>20-15-35/180 Resin-bound aggregate overlay system;</t>
  </si>
  <si>
    <t>Ss_30_14_02_74</t>
  </si>
  <si>
    <t>Resin-bound stone aggregate sports paving systems</t>
  </si>
  <si>
    <t>Ss_30_14_02_85</t>
  </si>
  <si>
    <t>Synthetic play surfacing systems</t>
  </si>
  <si>
    <t>Ss_30_14_05</t>
  </si>
  <si>
    <t>Asphalt road and paving systems</t>
  </si>
  <si>
    <t>Ss_30_14_05_05</t>
  </si>
  <si>
    <t>Asphalt concrete light duty paving systems</t>
  </si>
  <si>
    <t>Ss_30_14_05_06</t>
  </si>
  <si>
    <t>Asphalt concrete paving systems</t>
  </si>
  <si>
    <t>20-15-05/110 Asphalt concrete paving system;</t>
  </si>
  <si>
    <t>Ss_30_14_05_07</t>
  </si>
  <si>
    <t>Asphalt concrete runway paving systems</t>
  </si>
  <si>
    <t>Ss_30_14_05_08</t>
  </si>
  <si>
    <t>Asphalt concrete surface overlay systems</t>
  </si>
  <si>
    <t>20-15-05/130 Existing pavement surface overlay system;</t>
  </si>
  <si>
    <t>Ss_30_14_05_35</t>
  </si>
  <si>
    <t>Hot rolled asphalt paving systems</t>
  </si>
  <si>
    <t>20-15-05/135 Hot rolled asphalt paving system;</t>
  </si>
  <si>
    <t>Ss_30_14_05_36</t>
  </si>
  <si>
    <t>Hot rolled asphalt runway paving systems</t>
  </si>
  <si>
    <t>Ss_30_14_05_40</t>
  </si>
  <si>
    <t>Hot rolled asphalt sports paving systems</t>
  </si>
  <si>
    <t>20-15-05/140 Hot rolled asphalt sports paving system;</t>
  </si>
  <si>
    <t>Ss_30_14_05_50</t>
  </si>
  <si>
    <t>Mastic asphalt pedestrian paving systems</t>
  </si>
  <si>
    <t>20-15-05/150 Mastic asphalt light duty paving system;</t>
  </si>
  <si>
    <t>Ss_30_14_05_65</t>
  </si>
  <si>
    <t>Porous asphalt concrete paving systems</t>
  </si>
  <si>
    <t>20-15-05/165 Porous asphalt concrete paving system;</t>
  </si>
  <si>
    <t>Ss_30_14_05_70</t>
  </si>
  <si>
    <t>Porous asphalt concrete sports paving systems</t>
  </si>
  <si>
    <t>20-15-05/170 Porous asphalt concrete sports paving system;</t>
  </si>
  <si>
    <t>Ss_30_14_05_75</t>
  </si>
  <si>
    <t>Stone mastic asphalt paving systems</t>
  </si>
  <si>
    <t>20-15-05/175 Stone mastic asphalt paving system;</t>
  </si>
  <si>
    <t>Ss_30_14_15</t>
  </si>
  <si>
    <t>Concrete road and paving systems</t>
  </si>
  <si>
    <t>Ss_30_14_15_14</t>
  </si>
  <si>
    <t>Concrete grass-filled paving systems</t>
  </si>
  <si>
    <t>20-15-45/110 In situ concrete grass-filled paving system;</t>
  </si>
  <si>
    <t>2.4.2 Stair/ramp finishes; 8.2.2 Special surfacings and pavings (default); 3.2.1 Finishes to floors; 2.3.2 Roof coverings; 8.3.1 Seeding and turfing;</t>
  </si>
  <si>
    <t>Ss_30_14_15_16</t>
  </si>
  <si>
    <t>Concrete paving systems</t>
  </si>
  <si>
    <t>20-15-45/120 In situ concrete paving system;</t>
  </si>
  <si>
    <t>Ss_30_14_15_17</t>
  </si>
  <si>
    <t>Concrete porous paving systems</t>
  </si>
  <si>
    <t>20-15-45/130 In situ concrete porous paving system;</t>
  </si>
  <si>
    <t>2.4.2 Stair/ramp finishes; 3.2.1 Finishes to floors; 2.3.2 Roof coverings; 8.2.1 Roads, paths and pavings (default); 8.6.4 Land drainage;</t>
  </si>
  <si>
    <t>Ss_30_14_15_18</t>
  </si>
  <si>
    <t>Concrete runway paving systems</t>
  </si>
  <si>
    <t>Ss_30_14_50</t>
  </si>
  <si>
    <t>Mat and sheet paving systems</t>
  </si>
  <si>
    <t>Ss_30_14_50_25</t>
  </si>
  <si>
    <t>Dry ski slope synthetic matting systems</t>
  </si>
  <si>
    <t>20-15-50/125 Dry ski slope synthetic matting system;</t>
  </si>
  <si>
    <t>Ss_30_14_50_65</t>
  </si>
  <si>
    <t>Polymeric sports paving systems</t>
  </si>
  <si>
    <t>20-15-50/175 Polymer play and sports paving system;</t>
  </si>
  <si>
    <t>Ss_30_14_50_80</t>
  </si>
  <si>
    <t>Synthetic grass surfacing systems</t>
  </si>
  <si>
    <t>20-15-50/180 Synthetic grass surfacing system;</t>
  </si>
  <si>
    <t>Ss_30_14_80</t>
  </si>
  <si>
    <t>Unbound aggregate paving systems</t>
  </si>
  <si>
    <t>Ss_30_14_80_30</t>
  </si>
  <si>
    <t>Fast dry clay sports paving systems</t>
  </si>
  <si>
    <t>20-15-85/120 Fast-dry clay sports paving system;</t>
  </si>
  <si>
    <t>Ss_30_14_80_37</t>
  </si>
  <si>
    <t>Hoggin paving systems</t>
  </si>
  <si>
    <t>20-15-85/130 Hoggin paving system;</t>
  </si>
  <si>
    <t>Ss_30_14_80_40</t>
  </si>
  <si>
    <t>Hard binding gravel paving systems</t>
  </si>
  <si>
    <t>20-15-85/125 Hard binding gravel paving system;</t>
  </si>
  <si>
    <t>2.4.2 Stair/ramp finishes; 8.2.1 Roads, paths and pavings (default);</t>
  </si>
  <si>
    <t>Ss_30_14_80_45</t>
  </si>
  <si>
    <t>Loose laid aggregate paving systems</t>
  </si>
  <si>
    <t>20-15-85/145 Loose laid aggregate paving system;</t>
  </si>
  <si>
    <t>Ss_30_14_80_47</t>
  </si>
  <si>
    <t>Loose aggregate overlay systems</t>
  </si>
  <si>
    <t>20-15-85/140 Loose aggregate overlay system;</t>
  </si>
  <si>
    <t>2.3.2 Roof coverings; 8.2.1 Roads, paths and pavings (default);</t>
  </si>
  <si>
    <t>Ss_30_14_80_48</t>
  </si>
  <si>
    <t>Loose gravel paving systems</t>
  </si>
  <si>
    <t>Ss_30_14_80_75</t>
  </si>
  <si>
    <t>Sand play surfacing systems</t>
  </si>
  <si>
    <t>Ss_30_14_80_80</t>
  </si>
  <si>
    <t>Slurry surfacing overlay systems</t>
  </si>
  <si>
    <t>20-15-05/125 Slurry surfacing overlay system;</t>
  </si>
  <si>
    <t>Ss_30_14_80_90</t>
  </si>
  <si>
    <t>Unbound aggregate cycle paving systems</t>
  </si>
  <si>
    <t>20-15-85/175 Unbound aggregate cycle paving system;</t>
  </si>
  <si>
    <t>Ss_30_14_80_95</t>
  </si>
  <si>
    <t>Woodchip and stone trim trail paving systems</t>
  </si>
  <si>
    <t>Ss_30_14_80_98</t>
  </si>
  <si>
    <t>Woodchip and woodfibre surface paving systems</t>
  </si>
  <si>
    <t>20-15-85/180 Woodchip or bark paving system;</t>
  </si>
  <si>
    <t>Ss_30_14_90</t>
  </si>
  <si>
    <t>Unit paving systems</t>
  </si>
  <si>
    <t>Ss_30_14_90_11</t>
  </si>
  <si>
    <t>Cellular plastics grass-filled paving systems</t>
  </si>
  <si>
    <t>20-15-90/155 Cellular grass-filled paving system;</t>
  </si>
  <si>
    <t>8.2.2 Special surfacings and pavings; 8.2.1 Roads, paths and pavings (default);</t>
  </si>
  <si>
    <t>Ss_30_14_90_12</t>
  </si>
  <si>
    <t>Cellular plastics gravel-filled paving systems</t>
  </si>
  <si>
    <t>20-15-90/160 Cellular gravel-filled paving system;</t>
  </si>
  <si>
    <t>Ss_30_14_90_30</t>
  </si>
  <si>
    <t>Flag and slab bound paving systems</t>
  </si>
  <si>
    <t>20-15-90/120 Flag and slab bound paving system;</t>
  </si>
  <si>
    <t>Ss_30_14_90_32</t>
  </si>
  <si>
    <t>Flag and slab paving overlay systems</t>
  </si>
  <si>
    <t>20-15-90/125 Flag and slab paving overlay system;</t>
  </si>
  <si>
    <t>Ss_30_14_90_34</t>
  </si>
  <si>
    <t>Flag and slab pedestal-supported paving systems</t>
  </si>
  <si>
    <t>20-15-90/130 Flag and slab pedestal-supported paving system;</t>
  </si>
  <si>
    <t>2.4.2 Stair/ramp finishes; 2.3.2 Roof coverings (default); 8.2.1 Roads, paths and pavings;</t>
  </si>
  <si>
    <t>Ss_30_14_90_36</t>
  </si>
  <si>
    <t>Flag and slab unbound paving systems</t>
  </si>
  <si>
    <t>20-15-90/135 Flag and slab unbound paving system;</t>
  </si>
  <si>
    <t>Ss_30_14_90_50</t>
  </si>
  <si>
    <t>Mosaic paving systems</t>
  </si>
  <si>
    <t>20-15-90/138 Mosaic paving system;</t>
  </si>
  <si>
    <t>Ss_30_14_90_60</t>
  </si>
  <si>
    <t>Permeable flag and slab paving systems</t>
  </si>
  <si>
    <t>20-15-90/165 Permeable flag and slab paving system;</t>
  </si>
  <si>
    <t>Ss_30_14_90_62</t>
  </si>
  <si>
    <t>Permeable small unit paving systems</t>
  </si>
  <si>
    <t>20-15-90/170 Permeable small unit paving system;</t>
  </si>
  <si>
    <t>Ss_30_14_90_70</t>
  </si>
  <si>
    <t>Rail track paving systems</t>
  </si>
  <si>
    <t>20-15-90/180 Rail track paving system;</t>
  </si>
  <si>
    <t>Ss_30_14_90_75</t>
  </si>
  <si>
    <t>Small unit bound paving systems</t>
  </si>
  <si>
    <t>20-15-90/140 Small unit mortar-bedded paving system;</t>
  </si>
  <si>
    <t>Ss_30_14_90_80</t>
  </si>
  <si>
    <t>Small unit paving overlay systems</t>
  </si>
  <si>
    <t>20-15-90/145 Small unit paving overlay system;</t>
  </si>
  <si>
    <t>Ss_30_14_90_85</t>
  </si>
  <si>
    <t>Small unit unbound paving systems</t>
  </si>
  <si>
    <t>20-15-90/150 Small unit unbound paving system;</t>
  </si>
  <si>
    <t>Ss_30_16</t>
  </si>
  <si>
    <t>Static bridge deck structure systems</t>
  </si>
  <si>
    <t>Ss_30_16_10</t>
  </si>
  <si>
    <t>Bridge deck systems</t>
  </si>
  <si>
    <t>Ss_30_16_10_08</t>
  </si>
  <si>
    <t>Box girder bridge deck systems</t>
  </si>
  <si>
    <t>20-20-10/155 Box girder;</t>
  </si>
  <si>
    <t>Ss_30_16_10_12</t>
  </si>
  <si>
    <t>Composite steel and concrete bridge deck systems</t>
  </si>
  <si>
    <t>20-20-10/122 Composite steel and concrete bridge deck;</t>
  </si>
  <si>
    <t>Ss_30_16_10_13</t>
  </si>
  <si>
    <t>Conarch bridge systems</t>
  </si>
  <si>
    <t>20-20-10/140 Conarch bridge;</t>
  </si>
  <si>
    <t>Ss_30_16_10_15</t>
  </si>
  <si>
    <t>Concrete half through deck systems</t>
  </si>
  <si>
    <t>20-20-10/130 Concrete half through deck;</t>
  </si>
  <si>
    <t>Ss_30_16_10_16</t>
  </si>
  <si>
    <t>Concrete slab deck systems</t>
  </si>
  <si>
    <t>20-20-10/120 Concrete slab deck;</t>
  </si>
  <si>
    <t>Ss_30_16_10_30</t>
  </si>
  <si>
    <t>Filler beam deck systems</t>
  </si>
  <si>
    <t>20-20-10/115 Filler beam deck;</t>
  </si>
  <si>
    <t>Ss_30_16_10_31</t>
  </si>
  <si>
    <t>Flat and stepped deck systems</t>
  </si>
  <si>
    <t>20-20-10/145 Flat / stepped deck;</t>
  </si>
  <si>
    <t>Ss_30_16_10_53</t>
  </si>
  <si>
    <t>Modular precast concrete deck systems</t>
  </si>
  <si>
    <t>20-20-10/135 Modular precast concrete deck;</t>
  </si>
  <si>
    <t>Ss_30_16_10_59</t>
  </si>
  <si>
    <t>Orthotropic deck systems</t>
  </si>
  <si>
    <t>20-20-10/110 Orthotropic deck;</t>
  </si>
  <si>
    <t>Ss_30_16_10_65</t>
  </si>
  <si>
    <t>Pre-stressed concrete beam deck systems</t>
  </si>
  <si>
    <t>20-20-10/125 Pre-stressed concrete beam deck;</t>
  </si>
  <si>
    <t>Ss_30_16_10_80</t>
  </si>
  <si>
    <t>Solid steel slab systems</t>
  </si>
  <si>
    <t>20-20-10/105 Solid steel slab;</t>
  </si>
  <si>
    <t>Ss_30_16_30</t>
  </si>
  <si>
    <t>Bridge expansion joint systems</t>
  </si>
  <si>
    <t>Ss_30_16_30_04</t>
  </si>
  <si>
    <t>Asphaltic plug joint systems</t>
  </si>
  <si>
    <t>20-20-30/110 Asphaltic plug joint system;</t>
  </si>
  <si>
    <t>Ss_30_16_30_09</t>
  </si>
  <si>
    <t>Buried expansion joint systems</t>
  </si>
  <si>
    <t>20-20-30/105 Buried expansion joint system;</t>
  </si>
  <si>
    <t>Ss_30_16_30_56</t>
  </si>
  <si>
    <t>Nosing expansion joint systems with poured sealants</t>
  </si>
  <si>
    <t>20-20-30/120 Nosing expansion joint system with poured sealant;</t>
  </si>
  <si>
    <t>Ss_30_16_30_57</t>
  </si>
  <si>
    <t>Nosing expansion joint systems with preformed compression seals</t>
  </si>
  <si>
    <t>20-20-30/125 Nosing expansion joint system with preformed compression seal;</t>
  </si>
  <si>
    <t>Ss_30_20</t>
  </si>
  <si>
    <t>Flooring and decking systems</t>
  </si>
  <si>
    <t>Ss_30_20_10</t>
  </si>
  <si>
    <t>Board and rigid sheet floor systems</t>
  </si>
  <si>
    <t>Ss_30_20_10_10</t>
  </si>
  <si>
    <t>Battened timber board floating floor systems</t>
  </si>
  <si>
    <t>20-55-05/110 Battened timber board floating floor system;</t>
  </si>
  <si>
    <t>2.4.1 Stair/ramp structures; 1.1.3 Lowest floor construction; 2.2.1 Floors (default);</t>
  </si>
  <si>
    <t>Ss_30_20_10_15</t>
  </si>
  <si>
    <t>Battened wood-based rigid sheet floating floor systems</t>
  </si>
  <si>
    <t>20-55-05/115 Battened wood-based rigid sheet floating floor system;</t>
  </si>
  <si>
    <t>2.4.2 Stair/ramp finishes; 3.2.1 Finishes to floors (default);</t>
  </si>
  <si>
    <t>Ss_30_20_10_45</t>
  </si>
  <si>
    <t>Joist-supported timber board floor systems</t>
  </si>
  <si>
    <t>20-55-05/145 Joist-supported timber board floor system;</t>
  </si>
  <si>
    <t>Ss_30_20_10_50</t>
  </si>
  <si>
    <t>Joist-supported wood-based rigid sheet floor systems</t>
  </si>
  <si>
    <t>20-55-05/150 Joist-supported wood-based rigid sheet floor system;</t>
  </si>
  <si>
    <t>Ss_30_20_10_95</t>
  </si>
  <si>
    <t>Wood-based rigid sheet floating floor systems</t>
  </si>
  <si>
    <t>20-55-05/195 Wood-based rigid sheet floating floor system;</t>
  </si>
  <si>
    <t>Ss_30_20_15</t>
  </si>
  <si>
    <t>Construction site</t>
  </si>
  <si>
    <t>Ss_30_20_22</t>
  </si>
  <si>
    <t>Demountable athletics floor systems</t>
  </si>
  <si>
    <t>Ss_30_20_30</t>
  </si>
  <si>
    <t>External deck and boardwalk systems</t>
  </si>
  <si>
    <t>Ss_30_20_30_10</t>
  </si>
  <si>
    <t>Boardwalk systems</t>
  </si>
  <si>
    <t>20-15-25/110 Boardwalk system;</t>
  </si>
  <si>
    <t>Ss_30_20_30_25</t>
  </si>
  <si>
    <t>Decking systems</t>
  </si>
  <si>
    <t>20-15-25/125 Deck system;</t>
  </si>
  <si>
    <t>Ss_30_20_70</t>
  </si>
  <si>
    <t>Raised floor systems</t>
  </si>
  <si>
    <t>Ss_30_20_70_70</t>
  </si>
  <si>
    <t>Raised access floor systems</t>
  </si>
  <si>
    <t>20-55-70/170 Raised access floor system;</t>
  </si>
  <si>
    <t>3.2.2 Raised access floors (default);</t>
  </si>
  <si>
    <t>Ss_30_20_90</t>
  </si>
  <si>
    <t>Wood and composite unit flooring systems</t>
  </si>
  <si>
    <t>Ss_30_20_90_15</t>
  </si>
  <si>
    <t>Composition block flooring systems</t>
  </si>
  <si>
    <t>20-55-90/115 Composition block flooring system;</t>
  </si>
  <si>
    <t>Ss_30_20_90_50</t>
  </si>
  <si>
    <t>Mosaic parquet panel flooring systems</t>
  </si>
  <si>
    <t>20-55-90/150 Mosaic parquet panel flooring system;</t>
  </si>
  <si>
    <t>Ss_30_20_90_95</t>
  </si>
  <si>
    <t>Wood block flooring systems</t>
  </si>
  <si>
    <t>20-55-90/195 Wood block flooring system;</t>
  </si>
  <si>
    <t>Ss_30_20_95</t>
  </si>
  <si>
    <t>Wood strip and board fine flooring systems</t>
  </si>
  <si>
    <t>Ss_30_20_95_10</t>
  </si>
  <si>
    <t>Battened wood floating floor systems</t>
  </si>
  <si>
    <t>20-55-95/110 Battened wood floating floor system;</t>
  </si>
  <si>
    <t>Ss_30_20_95_15</t>
  </si>
  <si>
    <t>Composite laminate floating floor systems</t>
  </si>
  <si>
    <t>20-55-95/115 Composite laminate floating floor system;</t>
  </si>
  <si>
    <t>Ss_30_20_95_20</t>
  </si>
  <si>
    <t>Direct-fixed wood floor systems</t>
  </si>
  <si>
    <t>20-55-95/120 Direct-fixed wood floor system;</t>
  </si>
  <si>
    <t>2.4.2 Stair/ramp finishes; 3.2.1 Finishes to floors; 2.2.1 Floors (default);</t>
  </si>
  <si>
    <t>Ss_30_20_95_25</t>
  </si>
  <si>
    <t>Direct-glued wood floor systems</t>
  </si>
  <si>
    <t>20-55-95/125 Direct-glued wood floor system;</t>
  </si>
  <si>
    <t>Ss_30_20_95_95</t>
  </si>
  <si>
    <t>Wood floating floor systems</t>
  </si>
  <si>
    <t>20-55-95/195 Wood floating floor system;</t>
  </si>
  <si>
    <t>2.4.2 Stair/ramp finishes; 3.2.1 Finishes to floors; 1.1.3 Lowest floor construction; 2.2.1 Floors (default);</t>
  </si>
  <si>
    <t>Ss_30_25</t>
  </si>
  <si>
    <t>Ceiling and soffit systems</t>
  </si>
  <si>
    <t>Ss_30_25_10</t>
  </si>
  <si>
    <t>Board and sheet ceiling systems</t>
  </si>
  <si>
    <t>Ss_30_25_10_10</t>
  </si>
  <si>
    <t>Board suspended ceiling systems</t>
  </si>
  <si>
    <t>20-10-10/110 Board suspended ceiling system;</t>
  </si>
  <si>
    <t>3.3.3 Demountable suspended ceilings; 3.3.2 False ceilings (default);</t>
  </si>
  <si>
    <t>Ss_30_25_10_26</t>
  </si>
  <si>
    <t>External ceiling systems</t>
  </si>
  <si>
    <t>Ss_30_25_10_28</t>
  </si>
  <si>
    <t>External soffit systems</t>
  </si>
  <si>
    <t>Ss_30_25_10_80</t>
  </si>
  <si>
    <t>Soffit lining and beam casing systems</t>
  </si>
  <si>
    <t>20-10-10/170 Soffit lining and beam casing system;</t>
  </si>
  <si>
    <t>2.1.1 Steel frames; 3.3.2 False ceilings; 3.3.1 Finishes to ceilings (default);</t>
  </si>
  <si>
    <t>Ss_30_25_22</t>
  </si>
  <si>
    <t>Demountable suspended ceiling systems</t>
  </si>
  <si>
    <t>Ss_30_25_22_01</t>
  </si>
  <si>
    <t>Acoustic baffle suspended ceiling systems</t>
  </si>
  <si>
    <t>20-10-20/110 Acoustic baffle suspended ceiling system;</t>
  </si>
  <si>
    <t>Ss_30_25_22_30</t>
  </si>
  <si>
    <t>Fabric membrane ceiling systems</t>
  </si>
  <si>
    <t>20-10-20/130 Fabric membrane (stretch) ceiling system;</t>
  </si>
  <si>
    <t>3.3.2 False ceilings (default);</t>
  </si>
  <si>
    <t>Ss_30_25_22_52</t>
  </si>
  <si>
    <t>Monolithic suspended ceiling systems</t>
  </si>
  <si>
    <t>20-10-10/150 Monolithic specialist suspended ceiling system;</t>
  </si>
  <si>
    <t>Ss_30_25_22_70</t>
  </si>
  <si>
    <t>Raft or island suspended ceiling systems</t>
  </si>
  <si>
    <t>20-10-20/170 Raft or island suspended ceiling system;</t>
  </si>
  <si>
    <t>Ss_30_25_22_90</t>
  </si>
  <si>
    <t>Unit/ modular suspended ceiling systems</t>
  </si>
  <si>
    <t>20-10-20/190 Unit (modular) suspended ceiling system;</t>
  </si>
  <si>
    <t>Ss_30_30</t>
  </si>
  <si>
    <t>Roof opening systems</t>
  </si>
  <si>
    <t>Ss_30_30_15</t>
  </si>
  <si>
    <t>Concrete roof glazing systems</t>
  </si>
  <si>
    <t>Ss_30_30_15_42</t>
  </si>
  <si>
    <t>In situ concrete roof glazing systems</t>
  </si>
  <si>
    <t>20-40-60/110 Cast in situ floor and roof glazing systems;</t>
  </si>
  <si>
    <t>2.3.1 Roof structure; 2.2.2 Balconies; 2.2.1 Floors; 2.3.5 Rooflights, skylights and openings (default);</t>
  </si>
  <si>
    <t>Ss_30_30_15_64</t>
  </si>
  <si>
    <t>Precast concrete lift-out access roof glazing systems</t>
  </si>
  <si>
    <t>20-40-60/150 Precast lift-out access floor and roof glazing systems;</t>
  </si>
  <si>
    <t>Ss_30_30_15_65</t>
  </si>
  <si>
    <t>Precast concrete roof glazing systems</t>
  </si>
  <si>
    <t>20-40-60/140 Precast floor and roof glazing system;</t>
  </si>
  <si>
    <t>2.2.2 Balconies; 2.2.1 Floors; 2.3.5 Rooflights, skylights and openings (default);</t>
  </si>
  <si>
    <t>Ss_30_30_34</t>
  </si>
  <si>
    <t>Glass unit masonry roof light systems</t>
  </si>
  <si>
    <t>Ss_30_30_71</t>
  </si>
  <si>
    <t>Roof hatch systems</t>
  </si>
  <si>
    <t>Ss_30_30_72</t>
  </si>
  <si>
    <t>Rooflight and roof window systems</t>
  </si>
  <si>
    <t>Ss_30_30_72_21</t>
  </si>
  <si>
    <t>Daylight pipe systems</t>
  </si>
  <si>
    <t>20-25-75/120 Daylight pipe system;</t>
  </si>
  <si>
    <t>2.3.5 Rooflights, skylights and openings (default);</t>
  </si>
  <si>
    <t>Ss_30_30_72_72</t>
  </si>
  <si>
    <t>Rooflight systems</t>
  </si>
  <si>
    <t>20-25-75/170 Rooflight system;</t>
  </si>
  <si>
    <t>Ss_30_30_72_73</t>
  </si>
  <si>
    <t>Roof window systems</t>
  </si>
  <si>
    <t>20-25-75/180 Roof window system;</t>
  </si>
  <si>
    <t>Ss_30_30_73</t>
  </si>
  <si>
    <t>Roof ventilator systems</t>
  </si>
  <si>
    <t>Ss_30_30_73_60</t>
  </si>
  <si>
    <t>Passive roof natural ventilator systems</t>
  </si>
  <si>
    <t>20-25-75/165 Passive roof ventilator system;</t>
  </si>
  <si>
    <t>Ss_30_30_73_72</t>
  </si>
  <si>
    <t>Roof smoke ventilator systems</t>
  </si>
  <si>
    <t>Ss_30_32</t>
  </si>
  <si>
    <t>Floor opening systems</t>
  </si>
  <si>
    <t>Ss_30_32_15</t>
  </si>
  <si>
    <t>Floor glazing systems</t>
  </si>
  <si>
    <t>Ss_30_32_15_15</t>
  </si>
  <si>
    <t>Concrete floor glazing systems</t>
  </si>
  <si>
    <t>Ss_30_32_15_64</t>
  </si>
  <si>
    <t>Precast concrete lift-out access floor glazing systems</t>
  </si>
  <si>
    <t>Ss_30_32_15_65</t>
  </si>
  <si>
    <t>Precast concrete floor glazing systems</t>
  </si>
  <si>
    <t>Ss_30_32_30</t>
  </si>
  <si>
    <t>Floor hatch systems</t>
  </si>
  <si>
    <t>Ss_30_34</t>
  </si>
  <si>
    <t>Pavement opening systems</t>
  </si>
  <si>
    <t>Ss_30_34_03</t>
  </si>
  <si>
    <t>Animal grid systems</t>
  </si>
  <si>
    <t>Ss_30_34_03_11</t>
  </si>
  <si>
    <t>Cattle grid systems</t>
  </si>
  <si>
    <t>25-70-05/105 Animal grid system;</t>
  </si>
  <si>
    <t>Ss_30_34_15</t>
  </si>
  <si>
    <t>Pavement glazing systems</t>
  </si>
  <si>
    <t>Ss_30_34_15_15</t>
  </si>
  <si>
    <t>Concrete pavement glazing systems</t>
  </si>
  <si>
    <t>20-40-60/125 Cast in situ pavement glazing system;</t>
  </si>
  <si>
    <t>Ss_30_34_15_64</t>
  </si>
  <si>
    <t>Precast concrete lift-out access pavement glazing systems</t>
  </si>
  <si>
    <t>20-40-60/155 Precast lift-out access pavement glazing system;</t>
  </si>
  <si>
    <t>8.2.1 Roads, paths and pavings (default); 2.3.1 Roof structure; 2.2.2 Balconies; 2.2.1 Floors;</t>
  </si>
  <si>
    <t>Ss_30_34_15_65</t>
  </si>
  <si>
    <t>Precast concrete pavement glazing systems</t>
  </si>
  <si>
    <t>20-40-60/165 Precast pavement glazing system;</t>
  </si>
  <si>
    <t>8.2.1 Roads, paths and pavings (default); 2.3.5 Rooflights, skylights and openings;</t>
  </si>
  <si>
    <t>Ss_30_34_16</t>
  </si>
  <si>
    <t>Pavement smoke venting systems</t>
  </si>
  <si>
    <t>Ss_30_34_16_15</t>
  </si>
  <si>
    <t>Concrete pavement glazing smoke venting systems</t>
  </si>
  <si>
    <t>20-40-60/115 Cast in situ glazed smoke venting system;</t>
  </si>
  <si>
    <t>Ss_30_34_16_16</t>
  </si>
  <si>
    <t>Concrete pavement non-glazed smoke venting systems</t>
  </si>
  <si>
    <t>20-40-60/120 Cast in situ non-glazed smoke venting system;</t>
  </si>
  <si>
    <t>2.3.1 Roof structure; 2.2.2 Balconies; 2.2.1 Floors (default);</t>
  </si>
  <si>
    <t>Ss_30_34_16_64</t>
  </si>
  <si>
    <t>Precast concrete pavement glazing smoke venting systems</t>
  </si>
  <si>
    <t>20-40-60/145 Precast glazed smoke venting system;</t>
  </si>
  <si>
    <t>Ss_30_34_16_65</t>
  </si>
  <si>
    <t>Precast concrete pavement non-glazed smoke venting systems</t>
  </si>
  <si>
    <t>20-40-60/160 Precast non-glazed smoke venting system;</t>
  </si>
  <si>
    <t>Ss_30_36</t>
  </si>
  <si>
    <t>Ceiling and soffit opening systems</t>
  </si>
  <si>
    <t>Ss_30_36_10</t>
  </si>
  <si>
    <t>Ceiling hatch systems</t>
  </si>
  <si>
    <t>Ss_30_36_75</t>
  </si>
  <si>
    <t>Soffit vent systems</t>
  </si>
  <si>
    <t>Ss_30_40</t>
  </si>
  <si>
    <t>Roof and balcony covering and finish systems</t>
  </si>
  <si>
    <t>Ss_30_40_10</t>
  </si>
  <si>
    <t>Board roof covering systems</t>
  </si>
  <si>
    <t>Ss_30_40_10_30</t>
  </si>
  <si>
    <t>Flat board roof deck systems</t>
  </si>
  <si>
    <t>20-50-05/130 Flat board roof deck system;</t>
  </si>
  <si>
    <t>Ss_30_40_10_60</t>
  </si>
  <si>
    <t>Pitched board roof sarking systems</t>
  </si>
  <si>
    <t>20-50-05/160 Pitched board roof sarking system;</t>
  </si>
  <si>
    <t>Ss_30_40_30</t>
  </si>
  <si>
    <t>Flat roof covering systems</t>
  </si>
  <si>
    <t>Ss_30_40_30_40</t>
  </si>
  <si>
    <t>Liquid-applied cold roof covering systems</t>
  </si>
  <si>
    <t>20-50-30/130 Liquid applied cold roof covering system;</t>
  </si>
  <si>
    <t>Ss_30_40_30_42</t>
  </si>
  <si>
    <t>Liquid-applied inverted roof covering systems</t>
  </si>
  <si>
    <t>20-50-30/135 Liquid applied inverted roof covering system;</t>
  </si>
  <si>
    <t>Ss_30_40_30_43</t>
  </si>
  <si>
    <t>Liquid-applied warm roof covering systems</t>
  </si>
  <si>
    <t>20-50-30/140 Liquid applied warm roof covering system;</t>
  </si>
  <si>
    <t>Ss_30_40_30_50</t>
  </si>
  <si>
    <t>Mastic asphalt cold roof covering systems</t>
  </si>
  <si>
    <t>20-50-30/145 Mastic asphalt cold roof covering system;</t>
  </si>
  <si>
    <t>Ss_30_40_30_52</t>
  </si>
  <si>
    <t>Mastic asphalt inverted roof covering systems</t>
  </si>
  <si>
    <t>20-50-30/150 Mastic asphalt inverted roof covering system;</t>
  </si>
  <si>
    <t>Ss_30_40_30_55</t>
  </si>
  <si>
    <t>Mastic asphalt warm roof covering systems</t>
  </si>
  <si>
    <t>20-50-30/155 Mastic asphalt warm roof covering system;</t>
  </si>
  <si>
    <t>Ss_30_40_30_70</t>
  </si>
  <si>
    <t>Reinforced bitumen membrane cold roof covering systems</t>
  </si>
  <si>
    <t>20-50-30/175 Reinforced bitumen membrane cold roof covering system;</t>
  </si>
  <si>
    <t>Ss_30_40_30_71</t>
  </si>
  <si>
    <t>Reinforced bitumen membrane inverted roof covering systems</t>
  </si>
  <si>
    <t>20-50-30/180 Reinforced bitumen membrane inverted roof covering system;</t>
  </si>
  <si>
    <t>Ss_30_40_30_72</t>
  </si>
  <si>
    <t>Reinforced bitumen membrane warm roof covering systems</t>
  </si>
  <si>
    <t>20-50-30/185 Reinforced bitumen membrane warm roof covering system;</t>
  </si>
  <si>
    <t>Ss_30_40_30_78</t>
  </si>
  <si>
    <t>Single layer sheet cold roof covering systems</t>
  </si>
  <si>
    <t>20-50-30/160 Single layer cold roof covering system;</t>
  </si>
  <si>
    <t>Ss_30_40_30_79</t>
  </si>
  <si>
    <t>Single layer sheet inverted roof covering systems</t>
  </si>
  <si>
    <t>20-50-30/165 Single layer inverted roof covering system;</t>
  </si>
  <si>
    <t>Ss_30_40_30_80</t>
  </si>
  <si>
    <t>Single layer sheet warm roof covering systems</t>
  </si>
  <si>
    <t>20-50-30/170 Single layer warm roof covering system;</t>
  </si>
  <si>
    <t>Ss_30_40_34</t>
  </si>
  <si>
    <t>Glass roofing systems</t>
  </si>
  <si>
    <t>Ss_30_40_34_15</t>
  </si>
  <si>
    <t>Cantilevered structural glass beam canopy systems</t>
  </si>
  <si>
    <t>Ss_30_40_34_60</t>
  </si>
  <si>
    <t>Point-fixed structural glass canopy systems</t>
  </si>
  <si>
    <t>20-50-75/110 Point-fixed structural glass canopy system;</t>
  </si>
  <si>
    <t>2.5.3 Solar/rain screening (default); 2.3.6 Roof features; 2.3.5 Rooflights, skylights and openings;</t>
  </si>
  <si>
    <t>Ss_30_40_34_65</t>
  </si>
  <si>
    <t>Point-fixed structural glass roof systems</t>
  </si>
  <si>
    <t>20-50-75/120 Point-fixed structural glass roof system;</t>
  </si>
  <si>
    <t>2.3.6 Roof features; 2.3.3 Specialist roof systems (default); 2.3.5 Rooflights, skylights and openings;</t>
  </si>
  <si>
    <t>Ss_30_40_34_70</t>
  </si>
  <si>
    <t>Point-fixed structural glass soffit systems</t>
  </si>
  <si>
    <t>20-50-75/130 Point-fixed structural glass soffit system;</t>
  </si>
  <si>
    <t>2.5.4 External soffits (default);</t>
  </si>
  <si>
    <t>Ss_30_40_34_75</t>
  </si>
  <si>
    <t>Sloping patent glazing systems</t>
  </si>
  <si>
    <t>20-50-70/175 Sloping patent glazing system;</t>
  </si>
  <si>
    <t>2.5.1 External enclosing walls above ground level; 2.3.6 Roof features; 2.3.3 Specialist roof systems (default); 2.3.5 Rooflights, skylights and openings;</t>
  </si>
  <si>
    <t>Ss_30_40_50</t>
  </si>
  <si>
    <t>Metal sheet, fully supported roof and dormer covering systems</t>
  </si>
  <si>
    <t>Ss_30_40_50_05</t>
  </si>
  <si>
    <t>Aluminium sheet dormer covering systems</t>
  </si>
  <si>
    <t>Ss_30_40_50_10</t>
  </si>
  <si>
    <t>Aluminium sheet roof covering systems</t>
  </si>
  <si>
    <t>20-50-50/110 Aluminium sheet roof covering system;</t>
  </si>
  <si>
    <t>Ss_30_40_50_12</t>
  </si>
  <si>
    <t>Carbon steel sheet dormer covering systems</t>
  </si>
  <si>
    <t>Ss_30_40_50_13</t>
  </si>
  <si>
    <t>Carbon steel sheet roof covering systems</t>
  </si>
  <si>
    <t>Ss_30_40_50_15</t>
  </si>
  <si>
    <t>Copper sheet dormer covering systems</t>
  </si>
  <si>
    <t>Ss_30_40_50_20</t>
  </si>
  <si>
    <t>Copper sheet roof covering systems</t>
  </si>
  <si>
    <t>20-50-50/120 Copper sheet roof covering system;</t>
  </si>
  <si>
    <t>Ss_30_40_50_40</t>
  </si>
  <si>
    <t>Lead sheet dormer covering systems</t>
  </si>
  <si>
    <t>Ss_30_40_50_45</t>
  </si>
  <si>
    <t>Lead sheet roof covering systems</t>
  </si>
  <si>
    <t>20-50-50/130 Lead sheet roof covering system;</t>
  </si>
  <si>
    <t>Ss_30_40_50_50</t>
  </si>
  <si>
    <t>Lead-wrapped panel systems</t>
  </si>
  <si>
    <t>20-50-50/135 Lead-wrapped panel system;</t>
  </si>
  <si>
    <t>2.5.1 External enclosing walls above ground level; 2.3.6 Roof features; 2.3.3 Specialist roof systems (default);</t>
  </si>
  <si>
    <t>Ss_30_40_50_75</t>
  </si>
  <si>
    <t>Stainless steel sheet dormer covering systems</t>
  </si>
  <si>
    <t>Ss_30_40_50_80</t>
  </si>
  <si>
    <t>Stainless steel sheet roof covering systems</t>
  </si>
  <si>
    <t>20-50-50/145 Stainless steel sheet roof covering system;</t>
  </si>
  <si>
    <t>Ss_30_40_50_90</t>
  </si>
  <si>
    <t>Zinc sheet dormer covering systems</t>
  </si>
  <si>
    <t>Ss_30_40_50_95</t>
  </si>
  <si>
    <t>Zinc sheet roof covering systems</t>
  </si>
  <si>
    <t>20-50-50/155 Zinc sheet roof covering system;</t>
  </si>
  <si>
    <t>Ss_30_40_55</t>
  </si>
  <si>
    <t>Metal composite panel roof covering systems</t>
  </si>
  <si>
    <t>Ss_30_40_55_10</t>
  </si>
  <si>
    <t>Built up metal insulating sandwich panel roof systems</t>
  </si>
  <si>
    <t>Ss_30_40_55_50</t>
  </si>
  <si>
    <t>Metal composite panel roofing systems</t>
  </si>
  <si>
    <t>Ss_30_40_55_54</t>
  </si>
  <si>
    <t>Metal insulating sandwich panel roof systems</t>
  </si>
  <si>
    <t>20-50-55/150 Metal insulating sandwich panel roofing system;</t>
  </si>
  <si>
    <t>2.3.2 Roof coverings (default); 2.3.6 Roof features;</t>
  </si>
  <si>
    <t>Ss_30_40_55_55</t>
  </si>
  <si>
    <t>Metal semi-composite panel roofing systems</t>
  </si>
  <si>
    <t>20-50-55/155 Metal semi-composite panel roofing system;</t>
  </si>
  <si>
    <t>Ss_30_40_65</t>
  </si>
  <si>
    <t>Profiled sheet roof covering systems</t>
  </si>
  <si>
    <t>Ss_30_40_65_30</t>
  </si>
  <si>
    <t>Fibre cement profiled sheet roof covering systems</t>
  </si>
  <si>
    <t>20-50-60/130 Fibre cement profiled sheet roof covering system;</t>
  </si>
  <si>
    <t>Ss_30_40_65_50</t>
  </si>
  <si>
    <t>Metal profiled sheet roof covering systems</t>
  </si>
  <si>
    <t>20-50-60/150 Metal profiled sheet roof covering system;</t>
  </si>
  <si>
    <t>Ss_30_40_65_60</t>
  </si>
  <si>
    <t>Plastics profiled sheet roof covering systems</t>
  </si>
  <si>
    <t>20-50-60/160 Plastics profiled sheet roof covering system;</t>
  </si>
  <si>
    <t>Ss_30_40_90</t>
  </si>
  <si>
    <t>Tensile fabric roofing systems</t>
  </si>
  <si>
    <t>Ss_30_40_90_40</t>
  </si>
  <si>
    <t>Internal single layer tensile fabric roofing systems</t>
  </si>
  <si>
    <t>20-50-85/110 Internal single layer tensile fabric covering system;</t>
  </si>
  <si>
    <t>Ss_30_40_90_50</t>
  </si>
  <si>
    <t>Multilayer tensile fabric roofing systems</t>
  </si>
  <si>
    <t>20-50-85/120 Multilayer tensile fabric covering system;</t>
  </si>
  <si>
    <t>2.3.3 Specialist roof systems (default);</t>
  </si>
  <si>
    <t>Ss_30_40_90_75</t>
  </si>
  <si>
    <t>Single layer tensile fabric roofing systems</t>
  </si>
  <si>
    <t>20-50-85/130 Single layer tensile fabric covering system;</t>
  </si>
  <si>
    <t>Ss_30_40_92</t>
  </si>
  <si>
    <t>Thatch roof covering systems</t>
  </si>
  <si>
    <t>Ss_30_40_92_85</t>
  </si>
  <si>
    <t>Thatch roofing systems</t>
  </si>
  <si>
    <t>20-50-90/185 Thatch roofing system;</t>
  </si>
  <si>
    <t>Ss_30_40_95</t>
  </si>
  <si>
    <t>Unit roofing systems</t>
  </si>
  <si>
    <t>Ss_30_40_95_10</t>
  </si>
  <si>
    <t>Bitumen membrane shingle roofing systems</t>
  </si>
  <si>
    <t>20-50-95/110 Bitumen membrane shingle roofing system;</t>
  </si>
  <si>
    <t>Ss_30_40_95_15</t>
  </si>
  <si>
    <t>Ceramic slate roofing systems</t>
  </si>
  <si>
    <t>20-50-95/115 Ceramic slate roofing system;</t>
  </si>
  <si>
    <t>Ss_30_40_95_30</t>
  </si>
  <si>
    <t>Fibre cement slate roofing systems</t>
  </si>
  <si>
    <t>20-50-95/130 Fibre cement slate roofing system;</t>
  </si>
  <si>
    <t>Ss_30_40_95_40</t>
  </si>
  <si>
    <t>Interlocking tile roofing systems</t>
  </si>
  <si>
    <t>20-50-95/140 Interlocking tile roofing system;</t>
  </si>
  <si>
    <t>Ss_30_40_95_50</t>
  </si>
  <si>
    <t>Metal tile roofing systems</t>
  </si>
  <si>
    <t>20-50-95/150 Metal tile roofing system;</t>
  </si>
  <si>
    <t>Ss_30_40_95_55</t>
  </si>
  <si>
    <t>Natural slate roofing systems</t>
  </si>
  <si>
    <t>20-50-95/155 Natural slate roofing system;</t>
  </si>
  <si>
    <t>Ss_30_40_95_60</t>
  </si>
  <si>
    <t>Natural stone slate roofing systems</t>
  </si>
  <si>
    <t>20-50-95/160 Natural stone slate roofing system;</t>
  </si>
  <si>
    <t>Ss_30_40_95_65</t>
  </si>
  <si>
    <t>Plain tile roofing systems</t>
  </si>
  <si>
    <t>20-50-95/165 Plain tile roofing system;</t>
  </si>
  <si>
    <t>Ss_30_40_95_70</t>
  </si>
  <si>
    <t>Reconstituted slate roofing systems</t>
  </si>
  <si>
    <t>20-50-95/170 Reconstituted slate roofing system;</t>
  </si>
  <si>
    <t>Ss_30_40_95_74</t>
  </si>
  <si>
    <t>Roofing edges and junction systems</t>
  </si>
  <si>
    <t>20-50-95/199 Roofing edges and junctions systems;</t>
  </si>
  <si>
    <t>Ss_30_40_95_95</t>
  </si>
  <si>
    <t>Wood shake or shingle roofing systems</t>
  </si>
  <si>
    <t>20-50-95/195 Wood shake or shingle roofing system;</t>
  </si>
  <si>
    <t>Ss_30_42</t>
  </si>
  <si>
    <t>Floor covering and finishing systems</t>
  </si>
  <si>
    <t>Ss_30_42_10</t>
  </si>
  <si>
    <t>Calcium sulfate-based screed systems</t>
  </si>
  <si>
    <t>Ss_30_42_10_10</t>
  </si>
  <si>
    <t>Bonded calcium sulfate-based screed systems</t>
  </si>
  <si>
    <t>20-55-10/110 Bonded calcium sulfate-based screed system;</t>
  </si>
  <si>
    <t>Ss_30_42_10_30</t>
  </si>
  <si>
    <t>Floating calcium sulfate-based screed systems</t>
  </si>
  <si>
    <t>20-55-10/130 Floating calcium sulfate-based screed system;</t>
  </si>
  <si>
    <t>Ss_30_42_10_90</t>
  </si>
  <si>
    <t>Unbonded calcium sulfate-based screed systems</t>
  </si>
  <si>
    <t>20-55-10/190 Unbonded calcium sulfate-based screed system;</t>
  </si>
  <si>
    <t>Ss_30_42_15</t>
  </si>
  <si>
    <t>Cementitious screed systems</t>
  </si>
  <si>
    <t>Ss_30_42_15_10</t>
  </si>
  <si>
    <t>Bonded or partially bonded cementitious levelling screed systems</t>
  </si>
  <si>
    <t>20-55-15/110 Bonded or partially bonded cementitious levelling screed system;</t>
  </si>
  <si>
    <t>Ss_30_42_15_15</t>
  </si>
  <si>
    <t>Cementitious wearing screed systems</t>
  </si>
  <si>
    <t>20-55-15/115 Cementitious wearing screed system;</t>
  </si>
  <si>
    <t>Ss_30_42_15_30</t>
  </si>
  <si>
    <t>Floating cementitious levelling screed systems</t>
  </si>
  <si>
    <t>20-55-15/130 Floating cementitious levelling screed system;</t>
  </si>
  <si>
    <t>Ss_30_42_15_90</t>
  </si>
  <si>
    <t>Unbonded cementitious levelling screed systems</t>
  </si>
  <si>
    <t>20-55-15/190 Unbonded cementitious levelling screed system;</t>
  </si>
  <si>
    <t>Ss_30_42_20</t>
  </si>
  <si>
    <t>Deck covering systems</t>
  </si>
  <si>
    <t>Ss_30_42_30</t>
  </si>
  <si>
    <t>Floor paint systems</t>
  </si>
  <si>
    <t>Ss_30_42_30_30</t>
  </si>
  <si>
    <t>Floor coating systems</t>
  </si>
  <si>
    <t>35-85-60/130 Floor coating system;</t>
  </si>
  <si>
    <t>Ss_30_42_32</t>
  </si>
  <si>
    <t>Floor tiling systems</t>
  </si>
  <si>
    <t>Ss_30_42_32_30</t>
  </si>
  <si>
    <t>External floor tiling systems</t>
  </si>
  <si>
    <t>20-55-35/130 External floor tiling system;</t>
  </si>
  <si>
    <t>2.4.2 Stair/ramp finishes; 3.2.1 Finishes to floors (default); 2.3.2 Roof coverings; 8.2.1 Roads, paths and pavings;</t>
  </si>
  <si>
    <t>Ss_30_42_32_40</t>
  </si>
  <si>
    <t>Internal floor tiling systems</t>
  </si>
  <si>
    <t>20-55-35/140 Internal floor tiling system;</t>
  </si>
  <si>
    <t>Ss_30_42_40</t>
  </si>
  <si>
    <t>Ice rink floor systems</t>
  </si>
  <si>
    <t>Ss_30_42_50</t>
  </si>
  <si>
    <t>Masonry flooring systems</t>
  </si>
  <si>
    <t>Ss_30_42_52</t>
  </si>
  <si>
    <t>Mastic asphalt flooring and floor underlay systems</t>
  </si>
  <si>
    <t>Ss_30_42_52_50</t>
  </si>
  <si>
    <t>Mastic asphalt flooring systems</t>
  </si>
  <si>
    <t>20-55-55/150 Mastic asphalt flooring system;</t>
  </si>
  <si>
    <t>2.4.2 Stair/ramp finishes; 3.2.1 Finishes to floors (default); 8.2.1 Roads, paths and pavings; 2.2.2 Balconies;</t>
  </si>
  <si>
    <t>Ss_30_42_52_52</t>
  </si>
  <si>
    <t>Mastic asphalt floor underlay systems</t>
  </si>
  <si>
    <t>20-55-55/155 Mastic asphalt floor underlay system;</t>
  </si>
  <si>
    <t>3.2.1 Finishes to floors (default); 8.2.1 Roads, paths and pavings; 2.2.2 Balconies;</t>
  </si>
  <si>
    <t>Ss_30_42_54</t>
  </si>
  <si>
    <t>Monolithic flooring systems</t>
  </si>
  <si>
    <t>Ss_30_42_54_75</t>
  </si>
  <si>
    <t>Resin flooring systems</t>
  </si>
  <si>
    <t>20-55-77/170 Resin flooring system;</t>
  </si>
  <si>
    <t>Ss_30_42_72</t>
  </si>
  <si>
    <t>Resilient and textile floor covering systems</t>
  </si>
  <si>
    <t>Ss_30_42_72_05</t>
  </si>
  <si>
    <t>Adhesive-fixed rolled carpet systems</t>
  </si>
  <si>
    <t>20-55-75/175 Rolled carpet system;</t>
  </si>
  <si>
    <t>Ss_30_42_72_10</t>
  </si>
  <si>
    <t>Carpet tile systems</t>
  </si>
  <si>
    <t>20-55-75/110 Carpet tile system;</t>
  </si>
  <si>
    <t>Ss_30_42_72_25</t>
  </si>
  <si>
    <t>Edge-fixed carpet systems</t>
  </si>
  <si>
    <t>20-55-25/125 Edge-fixed carpeting system;</t>
  </si>
  <si>
    <t>Ss_30_42_72_72</t>
  </si>
  <si>
    <t>Resilient sheet floor covering systems</t>
  </si>
  <si>
    <t>20-55-75/165 Resilient sheet flooring system;</t>
  </si>
  <si>
    <t>Ss_30_42_72_75</t>
  </si>
  <si>
    <t>Resilient tile floor covering systems</t>
  </si>
  <si>
    <t>20-55-75/170 Resilient tile flooring system;</t>
  </si>
  <si>
    <t>Ss_30_42_90</t>
  </si>
  <si>
    <t>Terrazzo floor tiling and screed systems</t>
  </si>
  <si>
    <t>Ss_30_42_90_90</t>
  </si>
  <si>
    <t>Terrazzo floor covering systems</t>
  </si>
  <si>
    <t>20-55-85/185 Terrazzo floor covering system;</t>
  </si>
  <si>
    <t>Ss_30_45</t>
  </si>
  <si>
    <t>Pavement covering and finishing systems</t>
  </si>
  <si>
    <t>Ss_30_47</t>
  </si>
  <si>
    <t>Ceiling and soffit covering and finishing systems</t>
  </si>
  <si>
    <t>Ss_30_60</t>
  </si>
  <si>
    <t>Roof, floor and paving accessory systems</t>
  </si>
  <si>
    <t>Ss_30_60_30</t>
  </si>
  <si>
    <t>Floor feature systems</t>
  </si>
  <si>
    <t>Ss_30_60_30_26</t>
  </si>
  <si>
    <t>Entrance matting systems</t>
  </si>
  <si>
    <t>Ss_30_60_50</t>
  </si>
  <si>
    <t>Metal sheet roof flashing systems</t>
  </si>
  <si>
    <t>Ss_30_60_50_03</t>
  </si>
  <si>
    <t>Aluminium roof flashing systems</t>
  </si>
  <si>
    <t>Ss_30_60_50_04</t>
  </si>
  <si>
    <t>Aluminium roof weathering systems</t>
  </si>
  <si>
    <t>30-85-50/110 Aluminium roof flashing system;</t>
  </si>
  <si>
    <t>Ss_30_60_50_11</t>
  </si>
  <si>
    <t>Carbon steel roof flashing systems</t>
  </si>
  <si>
    <t>Ss_30_60_50_12</t>
  </si>
  <si>
    <t>Carbon steel roof weathering systems</t>
  </si>
  <si>
    <t>Ss_30_60_50_19</t>
  </si>
  <si>
    <t>Copper roof flashing systems</t>
  </si>
  <si>
    <t>Ss_30_60_50_20</t>
  </si>
  <si>
    <t>Copper roof weathering systems</t>
  </si>
  <si>
    <t>Ss_30_60_50_47</t>
  </si>
  <si>
    <t>Lead roof flashing systems</t>
  </si>
  <si>
    <t>30-85-50/135 Lead roof flashing system;</t>
  </si>
  <si>
    <t>Ss_30_60_50_48</t>
  </si>
  <si>
    <t>Lead roof weathering systems</t>
  </si>
  <si>
    <t>Ss_30_60_50_84</t>
  </si>
  <si>
    <t>Stainless steel roof flashing systems</t>
  </si>
  <si>
    <t>Ss_30_60_50_85</t>
  </si>
  <si>
    <t>Stainless steel roof weathering systems</t>
  </si>
  <si>
    <t>Ss_30_60_50_98</t>
  </si>
  <si>
    <t>Zinc roof flashing systems</t>
  </si>
  <si>
    <t>Ss_30_60_50_99</t>
  </si>
  <si>
    <t>Zinc roof weathering systems</t>
  </si>
  <si>
    <t>Ss_30_60_70</t>
  </si>
  <si>
    <t>Roof feature systems</t>
  </si>
  <si>
    <t>Ss_30_75</t>
  </si>
  <si>
    <t>Roof, floor and paving drainage systems</t>
  </si>
  <si>
    <t>Ss_30_75_40</t>
  </si>
  <si>
    <t>Kerb and channel systems</t>
  </si>
  <si>
    <t>Ss_30_75_40_30</t>
  </si>
  <si>
    <t>Footway grating systems</t>
  </si>
  <si>
    <t>20-85-45/130 Footway grating system;</t>
  </si>
  <si>
    <t>8.6.1 Surface water and foul water drainage (default); 2.2.3 Drainage to balconies; 2.3.4 Roof drainage;</t>
  </si>
  <si>
    <t>Ss_30_75_40_50</t>
  </si>
  <si>
    <t>Multi unit surface drainage channel systems</t>
  </si>
  <si>
    <t>20-85-45/150 Multi unit surface drainage channel system;</t>
  </si>
  <si>
    <t>Ss_30_75_40_75</t>
  </si>
  <si>
    <t>Single unit surface drainage channel systems</t>
  </si>
  <si>
    <t>20-85-45/175 Single unit surface drainage channel system;</t>
  </si>
  <si>
    <t>Ss_30_75_45</t>
  </si>
  <si>
    <t>Kerb and traffic separation systems</t>
  </si>
  <si>
    <t>Ss_30_75_45_03</t>
  </si>
  <si>
    <t>Asphalt kerb systems</t>
  </si>
  <si>
    <t>20-85-45/142 In-situ asphalt kerb system;</t>
  </si>
  <si>
    <t>Ss_30_75_45_15</t>
  </si>
  <si>
    <t>Concrete kerb systems</t>
  </si>
  <si>
    <t>20-85-45/140 In-situ concrete kerb system;</t>
  </si>
  <si>
    <t>Ss_30_75_45_20</t>
  </si>
  <si>
    <t>Demarcation paving systems</t>
  </si>
  <si>
    <t>20-85-45/120 Demarcation paving system;</t>
  </si>
  <si>
    <t>Ss_30_75_45_45</t>
  </si>
  <si>
    <t>Light duty kerb systems</t>
  </si>
  <si>
    <t>20-85-45/145 Light duty kerb system;</t>
  </si>
  <si>
    <t>Ss_30_75_45_55</t>
  </si>
  <si>
    <t>Multi unit traffic calming systems</t>
  </si>
  <si>
    <t>20-85-45/155 Multi unit traffic calming system;</t>
  </si>
  <si>
    <t>8.2.1 Roads, paths and pavings (default); 8.5.1 Site/street furniture and equipment;</t>
  </si>
  <si>
    <t>Ss_30_75_45_65</t>
  </si>
  <si>
    <t>Precast kerb systems</t>
  </si>
  <si>
    <t>Ss_30_75_45_80</t>
  </si>
  <si>
    <t>Single unit traffic calming systems</t>
  </si>
  <si>
    <t>20-85-45/180 Single unit traffic calming system;</t>
  </si>
  <si>
    <t>Ss_30_75_45_85</t>
  </si>
  <si>
    <t>Traffic kerb systems</t>
  </si>
  <si>
    <t>20-85-45/185 Traffic kerb system;</t>
  </si>
  <si>
    <t>Ss_30_75_45_86</t>
  </si>
  <si>
    <t>Traffic separation systems</t>
  </si>
  <si>
    <t>20-85-45/135 Ground level traffic separation systems;</t>
  </si>
  <si>
    <t>Ss_30_75_50</t>
  </si>
  <si>
    <t>Metal sheet gutter lining systems</t>
  </si>
  <si>
    <t>Ss_30_75_50_05</t>
  </si>
  <si>
    <t>Aluminium sheet gutter lining systems</t>
  </si>
  <si>
    <t>20-70-50/110 Aluminium sheet gutter lining system;</t>
  </si>
  <si>
    <t>2.3.4 Roof drainage (default);</t>
  </si>
  <si>
    <t>Ss_30_75_50_11</t>
  </si>
  <si>
    <t>Carbon steel sheet gutter lining systems</t>
  </si>
  <si>
    <t>Ss_30_75_50_15</t>
  </si>
  <si>
    <t>Copper sheet gutter lining systems</t>
  </si>
  <si>
    <t>20-70-50/120 Copper sheet gutter lining system;</t>
  </si>
  <si>
    <t>Ss_30_75_50_45</t>
  </si>
  <si>
    <t>Lead sheet gutter lining systems</t>
  </si>
  <si>
    <t>20-70-50/130 Lead sheet gutter lining system;</t>
  </si>
  <si>
    <t>Ss_30_75_50_75</t>
  </si>
  <si>
    <t>Stainless steel sheet gutter lining systems</t>
  </si>
  <si>
    <t>20-70-50/140 Stainless steel sheet gutter lining system;</t>
  </si>
  <si>
    <t>Ss_30_75_50_95</t>
  </si>
  <si>
    <t>Zinc sheet gutter lining systems</t>
  </si>
  <si>
    <t>20-70-50/150 Zinc sheet gutter lining system;</t>
  </si>
  <si>
    <t>Ss_30_95</t>
  </si>
  <si>
    <t>Temporary roof, floor and paving systems</t>
  </si>
  <si>
    <t>Ss_32</t>
  </si>
  <si>
    <t>Damp proofing, waterproofing and plaster finishing systems</t>
  </si>
  <si>
    <t>Ss_32_20</t>
  </si>
  <si>
    <t>Damp proofing systems</t>
  </si>
  <si>
    <t>Ss_32_20_20</t>
  </si>
  <si>
    <t>Damp proof courses renewal and insertion systems</t>
  </si>
  <si>
    <t>Ss_32_20_20_15</t>
  </si>
  <si>
    <t>Chemical injection damp proof course systems</t>
  </si>
  <si>
    <t>25-10-30/110 Chemical injection damp proof course system;</t>
  </si>
  <si>
    <t>7.3.1 Damp-proof courses (default);</t>
  </si>
  <si>
    <t>Ss_32_20_20_62</t>
  </si>
  <si>
    <t>Physical insertion horizontal damp proof course systems</t>
  </si>
  <si>
    <t>25-10-30/120 Physical insertion horizontal damp proof course system;</t>
  </si>
  <si>
    <t>Ss_32_20_20_63</t>
  </si>
  <si>
    <t>Physical insertion horizontal or stepped cavity tray systems</t>
  </si>
  <si>
    <t>25-10-30/130 Physical insertion horizontal or stepped cavity tray system;</t>
  </si>
  <si>
    <t>Ss_32_20_20_64</t>
  </si>
  <si>
    <t>Physical insertion proprietary rising damp remedial systems</t>
  </si>
  <si>
    <t>25-10-30/140 Physical insertion proprietary rising damp remedial system;</t>
  </si>
  <si>
    <t>Ss_32_20_20_65</t>
  </si>
  <si>
    <t>Physical insertion vertical damp proof course systems</t>
  </si>
  <si>
    <t>25-10-30/150 Physical insertion vertical damp proof course system;</t>
  </si>
  <si>
    <t>Ss_32_20_30</t>
  </si>
  <si>
    <t>Floor damp proofing systems</t>
  </si>
  <si>
    <t>Ss_32_20_30_10</t>
  </si>
  <si>
    <t>Cementitious mortar slurry floor damp proofing systems</t>
  </si>
  <si>
    <t>20-75-30/110 Cementitious proprietary mortar slurry floor damp-proofing system;</t>
  </si>
  <si>
    <t>1.1.3 Lowest floor construction (default); 2.2.1 Floors;</t>
  </si>
  <si>
    <t>Ss_32_20_30_15</t>
  </si>
  <si>
    <t>Cold-applied liquid floor damp proofing systems</t>
  </si>
  <si>
    <t>20-75-30/115 Cold-applied liquid floor damp-proofing system;</t>
  </si>
  <si>
    <t>Ss_32_20_30_30</t>
  </si>
  <si>
    <t>Fully-bonded bitumen membrane overslab damp proofing systems</t>
  </si>
  <si>
    <t>20-75-30/130 Fully-bonded bitumen membrane overslab damp-proofing system;</t>
  </si>
  <si>
    <t>Ss_32_20_30_35</t>
  </si>
  <si>
    <t>Fully-bonded bitumen membrane underslab damp proofing systems</t>
  </si>
  <si>
    <t>20-75-30/135 Fully-bonded bitumen membrane underslab damp-proofing system;</t>
  </si>
  <si>
    <t>Ss_32_20_30_40</t>
  </si>
  <si>
    <t>Hot-applied liquid floor damp proofing systems</t>
  </si>
  <si>
    <t>20-75-30/140 Hot-applied liquid floor damp-proofing system;</t>
  </si>
  <si>
    <t>Ss_32_20_30_45</t>
  </si>
  <si>
    <t>Loose-laid bitumen membrane overslab damp proofing systems</t>
  </si>
  <si>
    <t>20-75-30/145 Loose-laid bitumen membrane overslab damp-proofing system;</t>
  </si>
  <si>
    <t>Ss_32_20_30_46</t>
  </si>
  <si>
    <t>Loose-laid bitumen membrane underslab damp proofing systems</t>
  </si>
  <si>
    <t>20-75-30/146 Loose-laid bitumen membrane underslab damp-proofing system;</t>
  </si>
  <si>
    <t>Ss_32_20_30_48</t>
  </si>
  <si>
    <t>Loose-laid polyethylene membrane oversite damp proofing systems</t>
  </si>
  <si>
    <t>20-75-30/151 Loose-laid polyethylene membrane oversite damp-proofing system;</t>
  </si>
  <si>
    <t>Ss_32_20_30_50</t>
  </si>
  <si>
    <t>Loose-laid polyethylene membrane overslab damp proofing systems</t>
  </si>
  <si>
    <t>20-75-30/152 Loose-laid polyethylene membrane overslab damp-proofing system;</t>
  </si>
  <si>
    <t>Ss_32_20_30_51</t>
  </si>
  <si>
    <t>Loose-laid polyethylene membrane underslab damp proofing systems</t>
  </si>
  <si>
    <t>20-75-30/153 Loose-laid polyethylene membrane underslab damp-proofing system;</t>
  </si>
  <si>
    <t>Ss_32_20_30_55</t>
  </si>
  <si>
    <t>Mastic asphalt floor damp proofing systems</t>
  </si>
  <si>
    <t>20-75-30/155 Mastic asphalt floor damp-proofing system;</t>
  </si>
  <si>
    <t>Ss_32_20_30_60</t>
  </si>
  <si>
    <t>Plastics studded membrane floor damp proofing systems</t>
  </si>
  <si>
    <t>20-75-30/150 Loose-laid plastics studded membrane floor damp-proofing system;</t>
  </si>
  <si>
    <t>Ss_32_20_30_65</t>
  </si>
  <si>
    <t>Pre-applied anchored membrane underslab damp proofing systems</t>
  </si>
  <si>
    <t>20-75-30/165 Pre-applied anchored membrane underslab damp-proofing system;</t>
  </si>
  <si>
    <t>Ss_32_20_30_75</t>
  </si>
  <si>
    <t>Self-adhesive bitumen membrane floor damp proofing systems</t>
  </si>
  <si>
    <t>20-75-30/175 Self-adhesive bitumen membrane floor damp-proofing system;</t>
  </si>
  <si>
    <t>Ss_32_20_95</t>
  </si>
  <si>
    <t>Wall damp proofing systems</t>
  </si>
  <si>
    <t>Ss_32_20_95_10</t>
  </si>
  <si>
    <t>Cementitious mortar slurry internal wall damp proofing systems</t>
  </si>
  <si>
    <t>25-90-85/110 Cementitious proprietary mortar slurry internal wall damp-proofing system;</t>
  </si>
  <si>
    <t>1.1.5 Basement retaining walls; 1.1.1 Standard foundations (default);</t>
  </si>
  <si>
    <t>Ss_32_20_95_15</t>
  </si>
  <si>
    <t>Cold-applied liquid internal wall damp proofing systems</t>
  </si>
  <si>
    <t>25-90-85/115 Cold-applied liquid internal wall damp-proofing system;</t>
  </si>
  <si>
    <t>1.1.5 Basement retaining walls; 7.3.1 Damp-proof courses; 1.1.1 Standard foundations (default);</t>
  </si>
  <si>
    <t>Ss_32_20_95_65</t>
  </si>
  <si>
    <t>Plastics studded membrane internal wall damp-proofing systems</t>
  </si>
  <si>
    <t>25-90-85/160 Plastics studded membrane internal wall damp-proofing system;</t>
  </si>
  <si>
    <t>Ss_32_46</t>
  </si>
  <si>
    <t>Lath and plaster systems</t>
  </si>
  <si>
    <t>Ss_32_46_50</t>
  </si>
  <si>
    <t>Metal lathing and anchored mesh reinforcement systems</t>
  </si>
  <si>
    <t>Ss_32_46_50_05</t>
  </si>
  <si>
    <t>Anchored mesh reinforcement systems</t>
  </si>
  <si>
    <t>25-90-50/105 Anchored mesh reinforcement system;</t>
  </si>
  <si>
    <t>8.4.2 Walls and screens; 2.5.1 External enclosing walls above ground level (default); 3.1.1 Wall finishes; 8.4.3 Retaining walls; 2.5.4 External soffits;</t>
  </si>
  <si>
    <t>Ss_32_46_50_50</t>
  </si>
  <si>
    <t>Metal lathing casing systems</t>
  </si>
  <si>
    <t>25-90-50/150 Metal lathing casing system;</t>
  </si>
  <si>
    <t>Ss_32_46_50_51</t>
  </si>
  <si>
    <t>Metal lathing on framing systems</t>
  </si>
  <si>
    <t>25-90-50/155 Metal lathing on framing system;</t>
  </si>
  <si>
    <t>Ss_32_46_50_52</t>
  </si>
  <si>
    <t>Metal lathing on hangers, bearers and runners systems</t>
  </si>
  <si>
    <t>25-90-50/160 Metal lathing on hangers, bearers and runners system;</t>
  </si>
  <si>
    <t>Ss_32_46_50_53</t>
  </si>
  <si>
    <t>Metal lathing on solid substrate systems</t>
  </si>
  <si>
    <t>25-90-50/165 Metal lathing on solid substrate system;</t>
  </si>
  <si>
    <t>Ss_32_46_65</t>
  </si>
  <si>
    <t>Plaster coating systems</t>
  </si>
  <si>
    <t>Ss_32_46_65_15</t>
  </si>
  <si>
    <t>Clay plaster systems</t>
  </si>
  <si>
    <t>25-85-60/115 Clay plaster system;</t>
  </si>
  <si>
    <t>Ss_32_46_65_55</t>
  </si>
  <si>
    <t>Multicoat plaster systems</t>
  </si>
  <si>
    <t>25-85-60/150 Multicoat plaster system;</t>
  </si>
  <si>
    <t>Ss_32_46_65_58</t>
  </si>
  <si>
    <t>One coat plaster systems</t>
  </si>
  <si>
    <t>25-85-60/155 One coat plaster system;</t>
  </si>
  <si>
    <t>Ss_32_46_65_90</t>
  </si>
  <si>
    <t>Tiling and mosaic plaster substrate systems</t>
  </si>
  <si>
    <t>25-85-60/185 Tiling and mosaic mortar for plaster substrate system;</t>
  </si>
  <si>
    <t>Ss_32_80</t>
  </si>
  <si>
    <t>Waterproofing and tanking systems</t>
  </si>
  <si>
    <t>Ss_32_80_03</t>
  </si>
  <si>
    <t>Applied waterproofing and tanking systems</t>
  </si>
  <si>
    <t>Ss_32_80_03_08</t>
  </si>
  <si>
    <t>Bridge deck liquid sprayed systems</t>
  </si>
  <si>
    <t>20-20-90/115 Liquid (sprayed) system;</t>
  </si>
  <si>
    <t>Ss_32_80_03_10</t>
  </si>
  <si>
    <t>Cementitious proprietary mortar slurry tanking systems</t>
  </si>
  <si>
    <t>30-70-90/105 Cementitious proprietary mortar slurry tanking system;</t>
  </si>
  <si>
    <t>2.5.2 External enclosing walls below ground level; 1.1.5 Basement retaining walls; 7.3.1 Damp-proof courses; 1.1.1 Standard foundations; 1.1.3 Lowest floor construction (default);</t>
  </si>
  <si>
    <t>Ss_32_80_03_12</t>
  </si>
  <si>
    <t>Cementitious site-batched-and-mixed mortar tanking systems</t>
  </si>
  <si>
    <t>30-70-90/110 Cementitious site-batched-and-mixed mortar tanking system;</t>
  </si>
  <si>
    <t>Ss_32_80_03_14</t>
  </si>
  <si>
    <t>Cold-applied liquid external tanking systems</t>
  </si>
  <si>
    <t>30-70-90/115 Cold-applied liquid external tanking system;</t>
  </si>
  <si>
    <t>2.5.2 External enclosing walls below ground level; 1.1.5 Basement retaining walls (default); 7.3.1 Damp-proof courses; 1.1.1 Standard foundations; 1.1.3 Lowest floor construction;</t>
  </si>
  <si>
    <t>Ss_32_80_03_16</t>
  </si>
  <si>
    <t>Cold-applied liquid sandwiched tanking systems</t>
  </si>
  <si>
    <t>30-70-90/120 Cold-applied liquid sandwiched tanking system;</t>
  </si>
  <si>
    <t>Ss_32_80_03_18</t>
  </si>
  <si>
    <t>Crystallization-active cementitious mortar dry shake tanking systems</t>
  </si>
  <si>
    <t>30-70-90/125 Crystallization-active cementitious mortar dry shake tanking system;</t>
  </si>
  <si>
    <t>Ss_32_80_03_20</t>
  </si>
  <si>
    <t>Crystallization-active cementitious mortar slurry tanking systems</t>
  </si>
  <si>
    <t>30-70-90/130 Crystallization-active cementitious mortar slurry tanking system;</t>
  </si>
  <si>
    <t>Ss_32_80_03_40</t>
  </si>
  <si>
    <t>Interstitial grouting systems</t>
  </si>
  <si>
    <t>30-70-30/110 Interstitial grouting system;</t>
  </si>
  <si>
    <t>Ss_32_80_03_50</t>
  </si>
  <si>
    <t>Mastic asphalt external tanking systems</t>
  </si>
  <si>
    <t>30-70-90/155 Mastic asphalt external tanking system;</t>
  </si>
  <si>
    <t>Ss_32_80_03_52</t>
  </si>
  <si>
    <t>Mastic asphalt sandwiched tanking systems</t>
  </si>
  <si>
    <t>30-70-90/160 Mastic asphalt sandwiched tanking system;</t>
  </si>
  <si>
    <t>Ss_32_80_03_54</t>
  </si>
  <si>
    <t>Mastic asphalt tank lining systems</t>
  </si>
  <si>
    <t>30-70-90/165 Mastic asphalt tank lining system;</t>
  </si>
  <si>
    <t>8.6.2 Ancillary drainage systems; 5.14.1 Builder's work in connection with services; 5.3.2 Chemical, toxic and industrial liquid waste drainage; 8.5.2 Ornamental features; 1.1.3 Lowest floor construction (default); 2.2.1 Floors; 8.6.3 External chemical, toxic and industrial liquid waste drainage; 5.13.5 Water features;</t>
  </si>
  <si>
    <t>Ss_32_80_03_90</t>
  </si>
  <si>
    <t>Tunnel spray-applied membrane systems</t>
  </si>
  <si>
    <t>Ss_32_80_79</t>
  </si>
  <si>
    <t>Sheeted waterproofing and tanking systems</t>
  </si>
  <si>
    <t>Ss_32_80_79_08</t>
  </si>
  <si>
    <t>Bridge deck sheet systems</t>
  </si>
  <si>
    <t>20-20-90/105 Sheet system;</t>
  </si>
  <si>
    <t>Ss_32_80_79_30</t>
  </si>
  <si>
    <t>Fully bonded bitumen membrane external tanking systems</t>
  </si>
  <si>
    <t>30-70-90/135 Fully-bonded bitumen membrane external tanking system;</t>
  </si>
  <si>
    <t>Ss_32_80_79_32</t>
  </si>
  <si>
    <t>Fully bonded bitumen membrane sandwiched tanking systems</t>
  </si>
  <si>
    <t>30-70-90/140 Fully-bonded bitumen membrane sandwiched tanking system;</t>
  </si>
  <si>
    <t>Ss_32_80_79_33</t>
  </si>
  <si>
    <t>Fully bonded flexible sheet membrane waterproofing systems</t>
  </si>
  <si>
    <t>Ss_32_80_79_35</t>
  </si>
  <si>
    <t>Ground supported water retention sheet lining systems</t>
  </si>
  <si>
    <t>20-05-95/110 Ground supported water retention sheet lining system;</t>
  </si>
  <si>
    <t>1.1.3 Lowest floor construction;</t>
  </si>
  <si>
    <t>Ss_32_80_79_36</t>
  </si>
  <si>
    <t>Hard rigid plastics sheet membrane waterproofing systems</t>
  </si>
  <si>
    <t>30-70-90/190 Hard rigid plastics sheet membrane waterproofing system;</t>
  </si>
  <si>
    <t>Ss_32_80_79_40</t>
  </si>
  <si>
    <t>High density plastics studded membrane cavity drain waterproofing systems</t>
  </si>
  <si>
    <t>30-70-90/145 High density plastics studded membrane cavity drain waterproofing system;</t>
  </si>
  <si>
    <t>2.5.2 External enclosing walls below ground level; 1.1.5 Basement retaining walls (default); 1.1.1 Standard foundations; 1.1.3 Lowest floor construction;</t>
  </si>
  <si>
    <t>Ss_32_80_79_45</t>
  </si>
  <si>
    <t>Loose-laid bentonite membrane external or sandwiched tanking systems</t>
  </si>
  <si>
    <t>30-70-90/150 Loose-laid bentonite membrane external or sandwiched tanking system;</t>
  </si>
  <si>
    <t>Ss_32_80_79_75</t>
  </si>
  <si>
    <t>Self-adhesive bitumen membrane external tanking systems</t>
  </si>
  <si>
    <t>30-70-90/175 Self-adhesive bitumen membrane external tanking system;</t>
  </si>
  <si>
    <t>Ss_32_80_79_77</t>
  </si>
  <si>
    <t>Self-adhesive bitumen membrane sandwiched tanking systems</t>
  </si>
  <si>
    <t>30-70-90/180 Self-adhesive bitumen membrane sandwiched tanking system;</t>
  </si>
  <si>
    <t>Ss_32_80_79_84</t>
  </si>
  <si>
    <t>Steel membrane waterproofing systems</t>
  </si>
  <si>
    <t>30-70-90/185 Steel membrane waterproofing system;</t>
  </si>
  <si>
    <t>Ss_32_80_79_85</t>
  </si>
  <si>
    <t>Structure supported water retention sheet lining systems</t>
  </si>
  <si>
    <t>20-05-95/120 Structure supported water retention sheet lining system;</t>
  </si>
  <si>
    <t>Ss_32_80_79_90</t>
  </si>
  <si>
    <t>Tunnel sheet membrane systems</t>
  </si>
  <si>
    <t>Ss_32_80_79_92</t>
  </si>
  <si>
    <t>Unbonded flexible sheet membrane waterproofing systems</t>
  </si>
  <si>
    <t>30-70-90/195 Unbonded flexible sheet membrane waterproofing system;</t>
  </si>
  <si>
    <t>Ss_35</t>
  </si>
  <si>
    <t>Stair and ramp systems</t>
  </si>
  <si>
    <t>Ss_35_10</t>
  </si>
  <si>
    <t>Stair and ramp structure systems</t>
  </si>
  <si>
    <t>Ss_35_10_25</t>
  </si>
  <si>
    <t>External stair and ramp systems</t>
  </si>
  <si>
    <t>Ss_35_10_25_34</t>
  </si>
  <si>
    <t>Ground bearing external ramp systems</t>
  </si>
  <si>
    <t>30-05-25/140 Ground bearing external ramp system;</t>
  </si>
  <si>
    <t>Ss_35_10_25_35</t>
  </si>
  <si>
    <t>Ground bearing external stair systems</t>
  </si>
  <si>
    <t>30-05-25/135 Ground bearing external stair system;</t>
  </si>
  <si>
    <t>2.5.6 Facade access/cleaning systems; 2.4.1 Stair/ramp structures (default);</t>
  </si>
  <si>
    <t>Ss_35_10_25_83</t>
  </si>
  <si>
    <t>Suspended external ramp systems</t>
  </si>
  <si>
    <t>Ss_35_10_25_85</t>
  </si>
  <si>
    <t>Suspended external stair systems</t>
  </si>
  <si>
    <t>Ss_35_10_30</t>
  </si>
  <si>
    <t>Fixed utilitarian access systems</t>
  </si>
  <si>
    <t>Ss_35_10_30_15</t>
  </si>
  <si>
    <t>Companionway ladder systems</t>
  </si>
  <si>
    <t>30-05-30/115 Companionway ladder system;</t>
  </si>
  <si>
    <t>2.5.6 Facade access/cleaning systems; 2.4.4 Ladders/chutes/slides (default);</t>
  </si>
  <si>
    <t>Ss_35_10_30_40</t>
  </si>
  <si>
    <t>Industrial stair systems</t>
  </si>
  <si>
    <t>30-05-30/140 Industrial stair system;</t>
  </si>
  <si>
    <t>2.4.4 Ladders/chutes/slides (default); 2.4.1 Stair/ramp structures;</t>
  </si>
  <si>
    <t>Ss_35_10_30_60</t>
  </si>
  <si>
    <t>Permanently-fixed roof ladder systems</t>
  </si>
  <si>
    <t>30-05-30/160 Permanently-fixed roof ladder system;</t>
  </si>
  <si>
    <t>Ss_35_10_30_62</t>
  </si>
  <si>
    <t>Permanently-fixed vertical ladder systems</t>
  </si>
  <si>
    <t>30-05-30/165 Permanently-fixed vertical ladder system;</t>
  </si>
  <si>
    <t>Ss_35_10_30_95</t>
  </si>
  <si>
    <t>Working platform and walkway systems</t>
  </si>
  <si>
    <t>30-05-30/195 Working platform and walkway system;</t>
  </si>
  <si>
    <t>2.5.6 Facade access/cleaning systems (default); 2.4.4 Ladders/chutes/slides;</t>
  </si>
  <si>
    <t>Ss_35_10_40</t>
  </si>
  <si>
    <t>Internal stair and ramp systems</t>
  </si>
  <si>
    <t>Ss_35_10_40_20</t>
  </si>
  <si>
    <t>Curved internal stair systems</t>
  </si>
  <si>
    <t>30-05-40/115 Curved internal stair system;</t>
  </si>
  <si>
    <t>2.4.1 Stair/ramp structures (default); 2.4.3 Stair/ramp balustrades and handrails;</t>
  </si>
  <si>
    <t>Ss_35_10_40_40</t>
  </si>
  <si>
    <t>Internal ramp systems</t>
  </si>
  <si>
    <t>30-05-40/140 Internal ramp system;</t>
  </si>
  <si>
    <t>Ss_35_10_40_42</t>
  </si>
  <si>
    <t>Internal stair systems</t>
  </si>
  <si>
    <t>30-05-40/145 Internal stair system;</t>
  </si>
  <si>
    <t>Ss_35_10_40_84</t>
  </si>
  <si>
    <t>Straight internal stair systems</t>
  </si>
  <si>
    <t>30-05-40/175 Straight internal stair system;</t>
  </si>
  <si>
    <t>Ss_35_10_50</t>
  </si>
  <si>
    <t>Marine and waterside ramp systems</t>
  </si>
  <si>
    <t>Ss_35_10_50_29</t>
  </si>
  <si>
    <t>Fixed ramp systems</t>
  </si>
  <si>
    <t>Ss_35_10_50_31</t>
  </si>
  <si>
    <t>Floating pontoon ramp systems</t>
  </si>
  <si>
    <t>Ss_35_10_50_42</t>
  </si>
  <si>
    <t>Integral pontoon ramp systems</t>
  </si>
  <si>
    <t>Ss_35_10_85</t>
  </si>
  <si>
    <t>Structural stair and ramp systems</t>
  </si>
  <si>
    <t>Ss_35_10_85_15</t>
  </si>
  <si>
    <t>Concrete stair or ramp systems</t>
  </si>
  <si>
    <t>30-05-75/140 In situ reinforced concrete stair or ramp system;</t>
  </si>
  <si>
    <t>Ss_35_10_85_35</t>
  </si>
  <si>
    <t>Heavy steel stair or ramp systems</t>
  </si>
  <si>
    <t>30-05-75/135 Heavy steel stair or ramp system;</t>
  </si>
  <si>
    <t>Ss_35_10_85_65</t>
  </si>
  <si>
    <t>Precast concrete stair or ramp systems</t>
  </si>
  <si>
    <t>30-05-75/160 Precast concrete stair or ramp system;</t>
  </si>
  <si>
    <t>Ss_35_10_85_90</t>
  </si>
  <si>
    <t>Timber stair or ramp systems</t>
  </si>
  <si>
    <t>30-05-75/185 Timber stair or ramp system;</t>
  </si>
  <si>
    <t>Ss_35_30</t>
  </si>
  <si>
    <t>Stair and ramp opening systems</t>
  </si>
  <si>
    <t>Ss_35_30_15</t>
  </si>
  <si>
    <t>Concrete stair and ramp glazing systems</t>
  </si>
  <si>
    <t>Ss_35_30_15_15</t>
  </si>
  <si>
    <t>Concrete stair tread glazing systems</t>
  </si>
  <si>
    <t>20-40-60/185 Precast stair tread and landing glazing system;</t>
  </si>
  <si>
    <t>2.2.2 Balconies; 2.4.1 Stair/ramp structures (default);</t>
  </si>
  <si>
    <t>Ss_35_40</t>
  </si>
  <si>
    <t>Stair and ramp covering and finishing systems</t>
  </si>
  <si>
    <t>Ss_35_40_82</t>
  </si>
  <si>
    <t>Stair carpeting systems</t>
  </si>
  <si>
    <t>Ss_35_40_82_05</t>
  </si>
  <si>
    <t>Adhesive-fixed stair carpeting systems</t>
  </si>
  <si>
    <t>20-55-75/180 Stair carpeting system;</t>
  </si>
  <si>
    <t>2.4.2 Stair/ramp finishes (default); 3.2.1 Finishes to floors;</t>
  </si>
  <si>
    <t>Ss_35_95</t>
  </si>
  <si>
    <t>Temporary stair and ramp systems</t>
  </si>
  <si>
    <t>Ss_37</t>
  </si>
  <si>
    <t>Tunnel, shaft, vessel and tower systems</t>
  </si>
  <si>
    <t>Ss_37_14</t>
  </si>
  <si>
    <t>Chute systems</t>
  </si>
  <si>
    <t>Ss_37_14_10</t>
  </si>
  <si>
    <t>Bulk material chute systems</t>
  </si>
  <si>
    <t>Ss_37_14_25</t>
  </si>
  <si>
    <t>Escape chute systems</t>
  </si>
  <si>
    <t>Ss_37_14_70</t>
  </si>
  <si>
    <t>Refuse and linen chute systems</t>
  </si>
  <si>
    <t>Ss_37_14_70_08</t>
  </si>
  <si>
    <t>Built-in linen chute systems</t>
  </si>
  <si>
    <t>30-50-70/110 Built-in linen chute system;</t>
  </si>
  <si>
    <t>2.4.4 Ladders/chutes/slides (default);</t>
  </si>
  <si>
    <t>Ss_37_14_70_10</t>
  </si>
  <si>
    <t>Built-in refuse chute systems</t>
  </si>
  <si>
    <t>30-50-70/115 Built-in refuse chute system;</t>
  </si>
  <si>
    <t>5.3.3 Refuse disposal (default);</t>
  </si>
  <si>
    <t>Ss_37_14_70_63</t>
  </si>
  <si>
    <t>Post-fixed linen chute systems</t>
  </si>
  <si>
    <t>30-50-70/160 Post-fixed linen chute system;</t>
  </si>
  <si>
    <t>Ss_37_14_70_65</t>
  </si>
  <si>
    <t>Post-fixed refuse chute systems</t>
  </si>
  <si>
    <t>30-50-70/165 Post-fixed refuse chute system;</t>
  </si>
  <si>
    <t>Ss_37_16</t>
  </si>
  <si>
    <t>Vessel and trench systems</t>
  </si>
  <si>
    <t>Ss_37_16_02</t>
  </si>
  <si>
    <t>Above ground pool systems</t>
  </si>
  <si>
    <t>Ss_37_16_05</t>
  </si>
  <si>
    <t>Basement water retaining systems</t>
  </si>
  <si>
    <t>Ss_37_16_10</t>
  </si>
  <si>
    <t>Bund systems</t>
  </si>
  <si>
    <t>Ss_37_16_10_32</t>
  </si>
  <si>
    <t>Fuel tank bund systems</t>
  </si>
  <si>
    <t>Ss_37_16_50</t>
  </si>
  <si>
    <t>Metal and plastics water retaining systems</t>
  </si>
  <si>
    <t>Ss_37_16_65</t>
  </si>
  <si>
    <t>Pond and wetland systems</t>
  </si>
  <si>
    <t>Ss_37_16_65_40</t>
  </si>
  <si>
    <t>Informal pond systems</t>
  </si>
  <si>
    <t>30-60-60/130 Informal pond system;</t>
  </si>
  <si>
    <t>8.3.3 Irrigation systems; 8.6.2 Ancillary drainage systems; 8.5.2 Ornamental features (default); 5.13.5 Water features;</t>
  </si>
  <si>
    <t>Ss_37_16_65_70</t>
  </si>
  <si>
    <t>Raised formal pond systems</t>
  </si>
  <si>
    <t>30-60-60/170 Raised formal pond system;</t>
  </si>
  <si>
    <t>Ss_37_16_65_85</t>
  </si>
  <si>
    <t>Submerged formal pond systems</t>
  </si>
  <si>
    <t>30-60-60/175 Submerged formal pond system;</t>
  </si>
  <si>
    <t>Ss_37_16_65_95</t>
  </si>
  <si>
    <t>Wetland systems</t>
  </si>
  <si>
    <t>30-60-60/180 Wetland system;</t>
  </si>
  <si>
    <t>8.3.3 Irrigation systems; 8.6.2 Ancillary drainage systems (default); 8.5.2 Ornamental features;</t>
  </si>
  <si>
    <t>Ss_37_16_75</t>
  </si>
  <si>
    <t>Silo systems</t>
  </si>
  <si>
    <t>Ss_37_16_90</t>
  </si>
  <si>
    <t>Trench, pipeway and pit systems</t>
  </si>
  <si>
    <t>Ss_37_16_90_11</t>
  </si>
  <si>
    <t>Cable protection systems</t>
  </si>
  <si>
    <t>Ss_37_16_90_28</t>
  </si>
  <si>
    <t>External underground service duct systems</t>
  </si>
  <si>
    <t>30-15-85/120 External underground surface duct system;</t>
  </si>
  <si>
    <t>8.7.11 Builder's work in connection with external services (default);</t>
  </si>
  <si>
    <t>Ss_37_16_90_63</t>
  </si>
  <si>
    <t>Pit systems</t>
  </si>
  <si>
    <t>Ss_37_16_95</t>
  </si>
  <si>
    <t>Watertight structural systems</t>
  </si>
  <si>
    <t>Ss_37_16_95_78</t>
  </si>
  <si>
    <t>Sewage treatment vessel systems</t>
  </si>
  <si>
    <t>Ss_37_17</t>
  </si>
  <si>
    <t>Tower, chimney and mast systems</t>
  </si>
  <si>
    <t>Ss_37_17_13</t>
  </si>
  <si>
    <t>Chimney systems</t>
  </si>
  <si>
    <t>Ss_37_17_13_50</t>
  </si>
  <si>
    <t>Masonry chimney stack systems</t>
  </si>
  <si>
    <t>25-10-55/180 Masonry chimney stack system;</t>
  </si>
  <si>
    <t>2.7.1 Walls and partitions; 2.5.1 External enclosing walls above ground level (default); 5.5.1 Heat source; 2.3.1 Roof structure;</t>
  </si>
  <si>
    <t>Ss_37_17_13_65</t>
  </si>
  <si>
    <t>Pollution control systems</t>
  </si>
  <si>
    <t>Ss_37_17_35</t>
  </si>
  <si>
    <t>Gantry systems</t>
  </si>
  <si>
    <t>Ss_37_17_35_11</t>
  </si>
  <si>
    <t>Cantilever gantry systems</t>
  </si>
  <si>
    <t>Ss_37_17_35_32</t>
  </si>
  <si>
    <t>Full span gantry systems</t>
  </si>
  <si>
    <t>Ss_37_17_35_50</t>
  </si>
  <si>
    <t>Mast arm sign gantry systems</t>
  </si>
  <si>
    <t>Ss_37_17_35_60</t>
  </si>
  <si>
    <t>Portal sign gantry systems</t>
  </si>
  <si>
    <t>Ss_37_17_35_70</t>
  </si>
  <si>
    <t>Reefer gantry systems</t>
  </si>
  <si>
    <t>Ss_37_17_45</t>
  </si>
  <si>
    <t>Lattice tower and pylon systems</t>
  </si>
  <si>
    <t>Ss_37_17_50</t>
  </si>
  <si>
    <t>Mast and pole systems</t>
  </si>
  <si>
    <t>Ss_37_17_50_54</t>
  </si>
  <si>
    <t>Multi-function pole systems</t>
  </si>
  <si>
    <t>Ss_37_17_50_72</t>
  </si>
  <si>
    <t>Road mast systems</t>
  </si>
  <si>
    <t>Ss_37_17_90</t>
  </si>
  <si>
    <t>Tower systems</t>
  </si>
  <si>
    <t>Ss_37_40</t>
  </si>
  <si>
    <t>Tunnel, shaft, vessel and tower covering and finishing systems</t>
  </si>
  <si>
    <t>Ss_37_40_85</t>
  </si>
  <si>
    <t>Swimming pool tiling systems</t>
  </si>
  <si>
    <t>Ss_37_40_85_83</t>
  </si>
  <si>
    <t>Swimming pool floor tiling systems</t>
  </si>
  <si>
    <t>30-70-75/175 Swimming pool floor tiling system;</t>
  </si>
  <si>
    <t>3.2.1 Finishes to floors (default);</t>
  </si>
  <si>
    <t>Ss_37_40_85_85</t>
  </si>
  <si>
    <t>Swimming pool wall tiling systems</t>
  </si>
  <si>
    <t>30-70-75/180 Swimming pool wall tiling system;</t>
  </si>
  <si>
    <t>Ss_37_50</t>
  </si>
  <si>
    <t>Shaft and tunnel structural systems</t>
  </si>
  <si>
    <t>Ss_37_50_80</t>
  </si>
  <si>
    <t>Shaft structure systems</t>
  </si>
  <si>
    <t>Ss_37_50_80_50</t>
  </si>
  <si>
    <t>Masonry lined shaft systems</t>
  </si>
  <si>
    <t>Ss_37_50_80_71</t>
  </si>
  <si>
    <t>Reinforced concrete shaft structure systems</t>
  </si>
  <si>
    <t>Ss_37_50_80_77</t>
  </si>
  <si>
    <t>Segmental shaft structure systems</t>
  </si>
  <si>
    <t>30-30-10/130 In situ reinforced concrete shaft structure system;</t>
  </si>
  <si>
    <t>Ss_37_50_80_83</t>
  </si>
  <si>
    <t>Sprayed concrete shaft lining systems</t>
  </si>
  <si>
    <t>30-30-10/120 Sprayed concrete shaft lining system;</t>
  </si>
  <si>
    <t>Ss_37_50_80_90</t>
  </si>
  <si>
    <t>Unit lined shaft systems</t>
  </si>
  <si>
    <t>30-30-10/110 Segmental shaft structure system;</t>
  </si>
  <si>
    <t>Ss_37_50_92</t>
  </si>
  <si>
    <t>Tunnel structure systems</t>
  </si>
  <si>
    <t>Ss_37_50_92_11</t>
  </si>
  <si>
    <t>Cast concrete tunnel invert systems</t>
  </si>
  <si>
    <t>Ss_37_50_92_15</t>
  </si>
  <si>
    <t>Colliery arch tunnel or adit systems</t>
  </si>
  <si>
    <t>30-15-10/101 Colliery arch tunnel or adit system;</t>
  </si>
  <si>
    <t>Ss_37_50_92_50</t>
  </si>
  <si>
    <t>Masonry tunnel structure systems</t>
  </si>
  <si>
    <t>30-15-10/150 Masonry tunnel structure system;</t>
  </si>
  <si>
    <t>Ss_37_50_92_64</t>
  </si>
  <si>
    <t>Primary regulating layer sprayed concrete lining systems</t>
  </si>
  <si>
    <t>Ss_37_50_92_66</t>
  </si>
  <si>
    <t>Primary sprayed concrete lining systems</t>
  </si>
  <si>
    <t>Ss_37_50_92_71</t>
  </si>
  <si>
    <t>Reinforced concrete tunnel structure systems</t>
  </si>
  <si>
    <t>30-15-10/140 In situ reinforced concrete tunnel structure system;</t>
  </si>
  <si>
    <t>Ss_37_50_92_75</t>
  </si>
  <si>
    <t>Secondary cast concrete lining systems</t>
  </si>
  <si>
    <t>Ss_37_50_92_76</t>
  </si>
  <si>
    <t>Secondary regulating layer sprayed concrete lining systems</t>
  </si>
  <si>
    <t>Ss_37_50_92_77</t>
  </si>
  <si>
    <t>Secondary sprayed concrete lining systems</t>
  </si>
  <si>
    <t>Ss_37_50_92_79</t>
  </si>
  <si>
    <t>Sectional tunnel structure systems</t>
  </si>
  <si>
    <t>30-15-10/130 Sectional tunnel structure system;</t>
  </si>
  <si>
    <t>Ss_37_50_92_83</t>
  </si>
  <si>
    <t>Sprayed concrete tunnel lining systems</t>
  </si>
  <si>
    <t>30-15-10/120 Sprayed concrete tunnel lining system;</t>
  </si>
  <si>
    <t>Ss_37_50_92_90</t>
  </si>
  <si>
    <t>Unit lined tunnel systems</t>
  </si>
  <si>
    <t>30-15-10/110 Unit lined tunnel system;</t>
  </si>
  <si>
    <t>Ss_37_55</t>
  </si>
  <si>
    <t>Tunnel and shaft opening systems</t>
  </si>
  <si>
    <t>Ss_37_55_60</t>
  </si>
  <si>
    <t>Opening frame systems</t>
  </si>
  <si>
    <t>Ss_37_55_60_90</t>
  </si>
  <si>
    <t>Tunnel opening frame systems</t>
  </si>
  <si>
    <t>Ss_37_60</t>
  </si>
  <si>
    <t>Tunnel, shaft, vessel and tower accessory systems</t>
  </si>
  <si>
    <t>Ss_37_95</t>
  </si>
  <si>
    <t>Temporary tunnel, shaft, vessel and tower systems</t>
  </si>
  <si>
    <t>Ss_40</t>
  </si>
  <si>
    <t>Signage, fittings, furnishings and equipment (FF&amp;E) and general finishing systems</t>
  </si>
  <si>
    <t>Ss_40_05</t>
  </si>
  <si>
    <t>Modular systems</t>
  </si>
  <si>
    <t>Ss_40_05_80</t>
  </si>
  <si>
    <t>Sanitary modular systems</t>
  </si>
  <si>
    <t>Ss_40_05_80_10</t>
  </si>
  <si>
    <t>Bathroom pod systems</t>
  </si>
  <si>
    <t>Ss_40_10</t>
  </si>
  <si>
    <t>Signage systems</t>
  </si>
  <si>
    <t>Ss_40_10_20</t>
  </si>
  <si>
    <t>Direction signage systems</t>
  </si>
  <si>
    <t>Ss_40_10_20_70</t>
  </si>
  <si>
    <t>Route marker signage systems</t>
  </si>
  <si>
    <t>Ss_40_10_20_96</t>
  </si>
  <si>
    <t>Wayfinding signage systems</t>
  </si>
  <si>
    <t>Ss_40_10_25</t>
  </si>
  <si>
    <t>External signage and interpretation systems</t>
  </si>
  <si>
    <t>Ss_40_10_25_25</t>
  </si>
  <si>
    <t>Electrical external signage systems</t>
  </si>
  <si>
    <t>35-80-25/130 External electrical signage system;</t>
  </si>
  <si>
    <t>8.7.9 External street lighting systems (default); 8.5.1 Site/street furniture and equipment;</t>
  </si>
  <si>
    <t>Ss_40_10_25_30</t>
  </si>
  <si>
    <t>Fixed external signage systems</t>
  </si>
  <si>
    <t>35-80-25/110 Fixed external signage system;</t>
  </si>
  <si>
    <t>8.5.1 Site/street furniture and equipment (default);</t>
  </si>
  <si>
    <t>Ss_40_10_25_32</t>
  </si>
  <si>
    <t>Free-standing external architectural signage systems</t>
  </si>
  <si>
    <t>35-80-25/120 Free standing external signage system;</t>
  </si>
  <si>
    <t>Ss_40_10_30</t>
  </si>
  <si>
    <t>Fire and safety signage systems</t>
  </si>
  <si>
    <t>Ss_40_10_30_20</t>
  </si>
  <si>
    <t>Emergency 'do not enter' signage systems</t>
  </si>
  <si>
    <t>Ss_40_10_30_25</t>
  </si>
  <si>
    <t>Evacuation and safe condition signage systems</t>
  </si>
  <si>
    <t>35-80-30/120 Evacuation and safe condition sign system;</t>
  </si>
  <si>
    <t>Ss_40_10_30_27</t>
  </si>
  <si>
    <t>Evacuation and safety way guidance systems</t>
  </si>
  <si>
    <t>35-80-30/130 Evacuation and safety way guidance system;</t>
  </si>
  <si>
    <t>Ss_40_10_30_30</t>
  </si>
  <si>
    <t>Fire signage systems</t>
  </si>
  <si>
    <t>Ss_40_10_30_36</t>
  </si>
  <si>
    <t>Hazard signage systems</t>
  </si>
  <si>
    <t>Ss_40_10_30_70</t>
  </si>
  <si>
    <t>Regulatory signage systems</t>
  </si>
  <si>
    <t>Ss_40_10_30_75</t>
  </si>
  <si>
    <t>Safety signage systems</t>
  </si>
  <si>
    <t>35-80-30/110 Safety signage system;</t>
  </si>
  <si>
    <t>5.8.3 Lighting installations; 4.1.4 Signs/notices (default); 8.7.9 External street lighting systems; 8.5.1 Site/street furniture and equipment;</t>
  </si>
  <si>
    <t>Ss_40_10_30_93</t>
  </si>
  <si>
    <t>Warning signage systems</t>
  </si>
  <si>
    <t>Ss_40_10_30_95</t>
  </si>
  <si>
    <t>Water safety signage systems</t>
  </si>
  <si>
    <t>35-80-30/140 Water safety sign system;</t>
  </si>
  <si>
    <t>Ss_40_10_35</t>
  </si>
  <si>
    <t>Identification signage systems</t>
  </si>
  <si>
    <t>Ss_40_10_35_10</t>
  </si>
  <si>
    <t>Building signage systems</t>
  </si>
  <si>
    <t>Ss_40_10_35_70</t>
  </si>
  <si>
    <t>Room signage systems</t>
  </si>
  <si>
    <t>Ss_40_10_35_80</t>
  </si>
  <si>
    <t>Spaces signage systems</t>
  </si>
  <si>
    <t>Ss_40_10_40</t>
  </si>
  <si>
    <t>Internal architectural signage systems</t>
  </si>
  <si>
    <t>Ss_40_10_40_25</t>
  </si>
  <si>
    <t>Electrical internal architectural signage systems</t>
  </si>
  <si>
    <t>35-80-40/140 Internal electrical architectural signage system;</t>
  </si>
  <si>
    <t>5.8.3 Lighting installations (default);</t>
  </si>
  <si>
    <t>Ss_40_10_40_30</t>
  </si>
  <si>
    <t>Fixed internal architectural signage systems</t>
  </si>
  <si>
    <t>35-80-40/110 Internal fixed architectural signage system;</t>
  </si>
  <si>
    <t>4.1.4 Signs/notices (default);</t>
  </si>
  <si>
    <t>Ss_40_10_40_32</t>
  </si>
  <si>
    <t>Free-standing internal architectural signage systems</t>
  </si>
  <si>
    <t>35-80-40/120 Internal free standing architectural signage system;</t>
  </si>
  <si>
    <t>Ss_40_10_50</t>
  </si>
  <si>
    <t>Information signage systems</t>
  </si>
  <si>
    <t>Ss_40_10_50_03</t>
  </si>
  <si>
    <t>Advertising signage systems</t>
  </si>
  <si>
    <t>Ss_40_10_50_05</t>
  </si>
  <si>
    <t>Advisory signage systems</t>
  </si>
  <si>
    <t>Ss_40_10_50_22</t>
  </si>
  <si>
    <t>Descriptive signage systems</t>
  </si>
  <si>
    <t>Ss_40_10_50_24</t>
  </si>
  <si>
    <t>Directory signage systems</t>
  </si>
  <si>
    <t>Ss_40_10_50_42</t>
  </si>
  <si>
    <t>Interpretive signage systems</t>
  </si>
  <si>
    <t>Ss_40_10_90</t>
  </si>
  <si>
    <t>Traffic signage and marking systems</t>
  </si>
  <si>
    <t>Ss_40_10_90_03</t>
  </si>
  <si>
    <t>Air traffic signage systems</t>
  </si>
  <si>
    <t>Ss_40_10_90_18</t>
  </si>
  <si>
    <t>Crossing road marking systems</t>
  </si>
  <si>
    <t>Ss_40_10_90_20</t>
  </si>
  <si>
    <t>Cycle traffic signage systems</t>
  </si>
  <si>
    <t>Ss_40_10_90_23</t>
  </si>
  <si>
    <t>Diagrammatic road marking systems</t>
  </si>
  <si>
    <t>Ss_40_10_90_36</t>
  </si>
  <si>
    <t>Hatched road marking systems</t>
  </si>
  <si>
    <t>Ss_40_10_90_50</t>
  </si>
  <si>
    <t>Marine traffic signage systems</t>
  </si>
  <si>
    <t>Ss_40_10_90_70</t>
  </si>
  <si>
    <t>Rail traffic signage systems</t>
  </si>
  <si>
    <t>Ss_40_10_90_72</t>
  </si>
  <si>
    <t>Road traffic signage systems</t>
  </si>
  <si>
    <t>Ss_40_15</t>
  </si>
  <si>
    <t>General fittings, furnishings and equipment (FF&amp;E) systems</t>
  </si>
  <si>
    <t>Ss_40_15_25</t>
  </si>
  <si>
    <t>Catering FF&amp;E systems</t>
  </si>
  <si>
    <t>Ss_40_15_25_15</t>
  </si>
  <si>
    <t>Commercial catering FF&amp;E systems</t>
  </si>
  <si>
    <t>35-70-20/115 Commercial catering fittings, furnishings and equipment system;</t>
  </si>
  <si>
    <t>4.1.3 Special purpose fittings, furnishings and equipment (default);</t>
  </si>
  <si>
    <t>Ss_40_15_25_20</t>
  </si>
  <si>
    <t>Domestic catering FF&amp;E systems</t>
  </si>
  <si>
    <t>35-70-20/120 Domestic catering fittings, furnishings and equipment system;</t>
  </si>
  <si>
    <t>4.1.2 Domestic kitchen fittings and equipment (default);</t>
  </si>
  <si>
    <t>Ss_40_15_35</t>
  </si>
  <si>
    <t>General and joinery FF&amp;E systems</t>
  </si>
  <si>
    <t>Ss_40_15_35_35</t>
  </si>
  <si>
    <t>General FF&amp;E systems</t>
  </si>
  <si>
    <t>35-05-35/135 General fittings, furnishings and equipment system;</t>
  </si>
  <si>
    <t>Ss_40_15_35_50</t>
  </si>
  <si>
    <t>Minor joinery systems</t>
  </si>
  <si>
    <t>35-05-50/150 Minor joinery system;</t>
  </si>
  <si>
    <t>Ss_40_15_46</t>
  </si>
  <si>
    <t>Laundry FF&amp;E systems</t>
  </si>
  <si>
    <t>Ss_40_15_46_15</t>
  </si>
  <si>
    <t>Commercial laundry FF&amp;E systems</t>
  </si>
  <si>
    <t>35-70-50/110 Laundry fittings, furnishings and equipment system;</t>
  </si>
  <si>
    <t>Ss_40_15_46_20</t>
  </si>
  <si>
    <t>Domestic laundry FF&amp;E systems</t>
  </si>
  <si>
    <t>Ss_40_15_58</t>
  </si>
  <si>
    <t>Office equipment systems</t>
  </si>
  <si>
    <t>Ss_40_15_58_50</t>
  </si>
  <si>
    <t>Meeting booth systems</t>
  </si>
  <si>
    <t>Ss_40_15_75</t>
  </si>
  <si>
    <t>Sanitary appliance systems</t>
  </si>
  <si>
    <t>Ss_40_15_75_05</t>
  </si>
  <si>
    <t>Bath systems</t>
  </si>
  <si>
    <t>35-70-70/110 Bath assembly;</t>
  </si>
  <si>
    <t>5.1.1 Sanitary appliances (default);</t>
  </si>
  <si>
    <t>Ss_40_15_75_10</t>
  </si>
  <si>
    <t>Bidet systems</t>
  </si>
  <si>
    <t>35-70-70/112 Bidet assembly;</t>
  </si>
  <si>
    <t>Ss_40_15_75_20</t>
  </si>
  <si>
    <t>Disposal unit (slop hopper) systems</t>
  </si>
  <si>
    <t>35-70-70/132 Disposal unit (slop hopper) assembly;</t>
  </si>
  <si>
    <t>Ss_40_15_75_25</t>
  </si>
  <si>
    <t>Drinking fountain systems</t>
  </si>
  <si>
    <t>35-70-70/146 Drinking fountain assembly;</t>
  </si>
  <si>
    <t>Ss_40_15_75_35</t>
  </si>
  <si>
    <t>Health care macerator systems</t>
  </si>
  <si>
    <t>35-70-70/152 Health care macerator assembly;</t>
  </si>
  <si>
    <t>5.1.2 Sanitary ancillaries (default);</t>
  </si>
  <si>
    <t>Ss_40_15_75_45</t>
  </si>
  <si>
    <t>Janitorial unit systems</t>
  </si>
  <si>
    <t>35-70-70/120 Janitorial unit assembly;</t>
  </si>
  <si>
    <t>Ss_40_15_75_75</t>
  </si>
  <si>
    <t>Sanitary accessory systems</t>
  </si>
  <si>
    <t>35-70-70/190 Sanitary accessories;</t>
  </si>
  <si>
    <t>Ss_40_15_75_76</t>
  </si>
  <si>
    <t>Sauna package systems</t>
  </si>
  <si>
    <t>35-70-70/148 Sauna package assembly;</t>
  </si>
  <si>
    <t>5.13.3 Specialist mechanical installations (default);</t>
  </si>
  <si>
    <t>Ss_40_15_75_77</t>
  </si>
  <si>
    <t>Scrub-up trough systems</t>
  </si>
  <si>
    <t>35-70-70/130 Scrub-up trough assembly;</t>
  </si>
  <si>
    <t>Ss_40_15_75_78</t>
  </si>
  <si>
    <t>Shower area systems</t>
  </si>
  <si>
    <t>35-70-70/114 Shower area assembly;</t>
  </si>
  <si>
    <t>Ss_40_15_75_79</t>
  </si>
  <si>
    <t>Shower cubicle systems</t>
  </si>
  <si>
    <t>35-70-70/116 Shower cubicle assembly;</t>
  </si>
  <si>
    <t>Ss_40_15_75_80</t>
  </si>
  <si>
    <t>Sink systems</t>
  </si>
  <si>
    <t>35-70-70/118 Sink assembly;</t>
  </si>
  <si>
    <t>5.1.1 Sanitary appliances;</t>
  </si>
  <si>
    <t>Ss_40_15_75_85</t>
  </si>
  <si>
    <t>Steam bath package systems</t>
  </si>
  <si>
    <t>35-70-70/150 Steam bath package assembly;</t>
  </si>
  <si>
    <t>Ss_40_15_75_92</t>
  </si>
  <si>
    <t>Urinal systems</t>
  </si>
  <si>
    <t>35-70-70/122 Urinal assembly;</t>
  </si>
  <si>
    <t>Ss_40_15_75_94</t>
  </si>
  <si>
    <t>Wash basin systems</t>
  </si>
  <si>
    <t>35-70-70/124 Wash basin assembly;</t>
  </si>
  <si>
    <t>Ss_40_15_75_96</t>
  </si>
  <si>
    <t>Wash fountain systems</t>
  </si>
  <si>
    <t>35-70-70/126 Wash fountain assembly;</t>
  </si>
  <si>
    <t>Ss_40_15_75_98</t>
  </si>
  <si>
    <t>Wash trough systems</t>
  </si>
  <si>
    <t>35-70-70/128 Wash trough assembly;</t>
  </si>
  <si>
    <t>Ss_40_15_77</t>
  </si>
  <si>
    <t>Sauna FF&amp;E systems</t>
  </si>
  <si>
    <t>Ss_40_15_90</t>
  </si>
  <si>
    <t>Toilet systems</t>
  </si>
  <si>
    <t>Ss_40_15_90_05</t>
  </si>
  <si>
    <t>Accessible WC package systems</t>
  </si>
  <si>
    <t>35-70-70/140 Accessible WC package assembly;</t>
  </si>
  <si>
    <t>5.1.2 Sanitary ancillaries (default); 5.1.1 Sanitary appliances;</t>
  </si>
  <si>
    <t>Ss_40_15_90_85</t>
  </si>
  <si>
    <t>Squatting WC systems</t>
  </si>
  <si>
    <t>35-70-70/136 Squatting WC assembly;</t>
  </si>
  <si>
    <t>Ss_40_15_90_95</t>
  </si>
  <si>
    <t>Waterless toilet systems</t>
  </si>
  <si>
    <t>35-70-70/138 Waterless WC assembly;</t>
  </si>
  <si>
    <t>Ss_40_15_90_96</t>
  </si>
  <si>
    <t>WC and wash basin combination systems</t>
  </si>
  <si>
    <t>35-70-70/144 WC and washbasin combination assembly;</t>
  </si>
  <si>
    <t>Ss_40_15_90_97</t>
  </si>
  <si>
    <t>WC systems</t>
  </si>
  <si>
    <t>35-70-70/134 WC assembly;</t>
  </si>
  <si>
    <t>Ss_40_15_90_98</t>
  </si>
  <si>
    <t>WC wash and dry combination systems</t>
  </si>
  <si>
    <t>35-70-70/142 WC wash and dry combination assembly;</t>
  </si>
  <si>
    <t>Ss_40_20</t>
  </si>
  <si>
    <t>Administrative, commercial and protective service FF&amp;E systems</t>
  </si>
  <si>
    <t>Ss_40_20_01</t>
  </si>
  <si>
    <t>Administrative FF&amp;E systems</t>
  </si>
  <si>
    <t>Ss_40_20_01_27</t>
  </si>
  <si>
    <t>Embassy FF&amp;E systems</t>
  </si>
  <si>
    <t>Ss_40_20_01_60</t>
  </si>
  <si>
    <t>Office FF&amp;E systems</t>
  </si>
  <si>
    <t>35-10-60/160 Office fittings, furnishings and equipment system;</t>
  </si>
  <si>
    <t>Ss_40_20_01_71</t>
  </si>
  <si>
    <t>Reception FF&amp;E systems</t>
  </si>
  <si>
    <t>Ss_40_20_15</t>
  </si>
  <si>
    <t>Commercial FF&amp;E systems</t>
  </si>
  <si>
    <t>Ss_40_20_15_71</t>
  </si>
  <si>
    <t>Retail FF&amp;E systems</t>
  </si>
  <si>
    <t>Ss_40_20_15_89</t>
  </si>
  <si>
    <t>Trading floor FF&amp;E systems</t>
  </si>
  <si>
    <t>Ss_40_20_30</t>
  </si>
  <si>
    <t>External public realm FF&amp;E systems</t>
  </si>
  <si>
    <t>Ss_40_20_30_01</t>
  </si>
  <si>
    <t>Acceptance and dispensing systems</t>
  </si>
  <si>
    <t>35-35-30/105 Acceptance and dispensing system;</t>
  </si>
  <si>
    <t>Ss_40_20_30_20</t>
  </si>
  <si>
    <t>Cycle parking equipment systems</t>
  </si>
  <si>
    <t>35-35-30/160 Parking equipment system;</t>
  </si>
  <si>
    <t>Ss_40_20_30_28</t>
  </si>
  <si>
    <t>External furniture systems</t>
  </si>
  <si>
    <t>35-35-30/130 External furniture system;</t>
  </si>
  <si>
    <t>Ss_40_20_30_30</t>
  </si>
  <si>
    <t>Fixed bin systems</t>
  </si>
  <si>
    <t>35-35-30/140 Fixed bin system;</t>
  </si>
  <si>
    <t>Ss_40_20_30_65</t>
  </si>
  <si>
    <t>Playground equipment systems</t>
  </si>
  <si>
    <t>35-35-55/105 Playground equipment;</t>
  </si>
  <si>
    <t>4.1.3 Special purpose fittings, furnishings and equipment; 8.5.1 Site/street furniture and equipment (default);</t>
  </si>
  <si>
    <t>Ss_40_20_65</t>
  </si>
  <si>
    <t>Protective service FF&amp;E systems</t>
  </si>
  <si>
    <t>Ss_40_20_65_22</t>
  </si>
  <si>
    <t>Detention FF&amp;E systems</t>
  </si>
  <si>
    <t>Ss_40_20_65_25</t>
  </si>
  <si>
    <t>Emergency shelter FF&amp;E systems</t>
  </si>
  <si>
    <t>Ss_40_20_65_46</t>
  </si>
  <si>
    <t>Law court FF&amp;E systems</t>
  </si>
  <si>
    <t>Ss_40_25</t>
  </si>
  <si>
    <t>Cultural, educational, scientific and information FF&amp;E systems</t>
  </si>
  <si>
    <t>Ss_40_25_20</t>
  </si>
  <si>
    <t>Cultural FF&amp;E systems</t>
  </si>
  <si>
    <t>Ss_40_25_20_02</t>
  </si>
  <si>
    <t>Aquarium FF&amp;E systems</t>
  </si>
  <si>
    <t>Ss_40_25_20_03</t>
  </si>
  <si>
    <t>Art gallery FF&amp;E systems</t>
  </si>
  <si>
    <t>Ss_40_25_20_04</t>
  </si>
  <si>
    <t>Artwork systems</t>
  </si>
  <si>
    <t>35-35-30/110 Artwork system;</t>
  </si>
  <si>
    <t>8.5.2 Ornamental features (default);</t>
  </si>
  <si>
    <t>Ss_40_25_20_05</t>
  </si>
  <si>
    <t>Auditorium FF&amp;E systems</t>
  </si>
  <si>
    <t>35-15-05/105 Auditoria fittings, furnishings and equipment system;</t>
  </si>
  <si>
    <t>Ss_40_25_20_22</t>
  </si>
  <si>
    <t>Display FF&amp;E systems</t>
  </si>
  <si>
    <t>Ss_40_25_20_28</t>
  </si>
  <si>
    <t>Exhibition FF&amp;E systems</t>
  </si>
  <si>
    <t>Ss_40_25_20_85</t>
  </si>
  <si>
    <t>Studio FF&amp;E systems</t>
  </si>
  <si>
    <t>Ss_40_25_20_90</t>
  </si>
  <si>
    <t>Theatre FF&amp;E systems</t>
  </si>
  <si>
    <t>Ss_40_25_26</t>
  </si>
  <si>
    <t>Education and information FF&amp;E systems</t>
  </si>
  <si>
    <t>Ss_40_25_26_15</t>
  </si>
  <si>
    <t>Classroom FF&amp;E systems</t>
  </si>
  <si>
    <t>35-15-15/115 Classroom fittings, furnishings and equipment system;</t>
  </si>
  <si>
    <t>Ss_40_25_26_47</t>
  </si>
  <si>
    <t>Library FF&amp;E systems</t>
  </si>
  <si>
    <t>Ss_40_25_32</t>
  </si>
  <si>
    <t>Funerary FF&amp;E systems</t>
  </si>
  <si>
    <t>Ss_40_25_32_12</t>
  </si>
  <si>
    <t>Cemetery equipment systems</t>
  </si>
  <si>
    <t>Ss_40_25_71</t>
  </si>
  <si>
    <t>Religious FF&amp;E systems</t>
  </si>
  <si>
    <t>Ss_40_25_71_11</t>
  </si>
  <si>
    <t>Cathedral, church and chapel FF&amp;E systems</t>
  </si>
  <si>
    <t>Ss_40_25_71_52</t>
  </si>
  <si>
    <t>Mosque FF&amp;E systems</t>
  </si>
  <si>
    <t>Ss_40_25_71_86</t>
  </si>
  <si>
    <t>Synagogue FF&amp;E systems</t>
  </si>
  <si>
    <t>Ss_40_25_71_90</t>
  </si>
  <si>
    <t>Temple FF&amp;E systems</t>
  </si>
  <si>
    <t>Ss_40_25_75</t>
  </si>
  <si>
    <t>Scientific FF&amp;E systems</t>
  </si>
  <si>
    <t>Ss_40_25_75_21</t>
  </si>
  <si>
    <t>Dark room FF&amp;E systems</t>
  </si>
  <si>
    <t>Ss_40_25_75_45</t>
  </si>
  <si>
    <t>Laboratory FF&amp;E systems</t>
  </si>
  <si>
    <t>35-15-45/145 Laboratory fittings, furnishings and equipment system;</t>
  </si>
  <si>
    <t>Ss_40_25_75_58</t>
  </si>
  <si>
    <t>Observatory FF&amp;E systems</t>
  </si>
  <si>
    <t>Ss_40_25_80</t>
  </si>
  <si>
    <t>Stage FF&amp;E systems</t>
  </si>
  <si>
    <t>Ss_40_25_80_90</t>
  </si>
  <si>
    <t>Tension wire grid systems</t>
  </si>
  <si>
    <t>Ss_40_30</t>
  </si>
  <si>
    <t>Industrial and agricultural FF&amp;E systems</t>
  </si>
  <si>
    <t>Ss_40_30_02</t>
  </si>
  <si>
    <t>Agricultural FF&amp;E systems</t>
  </si>
  <si>
    <t>Ss_40_30_02_37</t>
  </si>
  <si>
    <t>Horticultural FF&amp;E systems</t>
  </si>
  <si>
    <t>Ss_40_30_02_47</t>
  </si>
  <si>
    <t>Livestock FF&amp;E systems</t>
  </si>
  <si>
    <t>Ss_40_30_42</t>
  </si>
  <si>
    <t>Industrial FF&amp;E systems</t>
  </si>
  <si>
    <t>Ss_40_30_42_29</t>
  </si>
  <si>
    <t>Factory FF&amp;E systems</t>
  </si>
  <si>
    <t>Ss_40_30_42_52</t>
  </si>
  <si>
    <t>Mine FF&amp;E systems</t>
  </si>
  <si>
    <t>Ss_40_30_42_58</t>
  </si>
  <si>
    <t>Offshore platform FF&amp;E systems</t>
  </si>
  <si>
    <t>Ss_40_30_42_96</t>
  </si>
  <si>
    <t>Warehouse FF&amp;E systems</t>
  </si>
  <si>
    <t>Ss_40_30_85</t>
  </si>
  <si>
    <t>Static permanent access and safety equipment systems</t>
  </si>
  <si>
    <t>Ss_40_30_85_55</t>
  </si>
  <si>
    <t>Netting systems</t>
  </si>
  <si>
    <t>80-50-25/125 Netting system;</t>
  </si>
  <si>
    <t>2.5.6 Facade access/cleaning systems (default); 8.4.4 Barriers and guardrails;</t>
  </si>
  <si>
    <t>Ss_40_45</t>
  </si>
  <si>
    <t>Living space FF&amp;E systems</t>
  </si>
  <si>
    <t>Ss_40_45_37</t>
  </si>
  <si>
    <t>Hotel living space FF&amp;E systems</t>
  </si>
  <si>
    <t>Ss_40_45_37_28</t>
  </si>
  <si>
    <t>External FF&amp;E systems</t>
  </si>
  <si>
    <t>Ss_40_45_37_36</t>
  </si>
  <si>
    <t>Hotel bedroom FF&amp;E systems</t>
  </si>
  <si>
    <t>Ss_40_45_37_38</t>
  </si>
  <si>
    <t>Hotel dining room FF&amp;E systems</t>
  </si>
  <si>
    <t>Ss_40_45_37_45</t>
  </si>
  <si>
    <t>Kitchen FF&amp;E systems</t>
  </si>
  <si>
    <t>Ss_40_45_37_47</t>
  </si>
  <si>
    <t>Lounge FF&amp;E systems</t>
  </si>
  <si>
    <t>Ss_40_45_70</t>
  </si>
  <si>
    <t>Residential living space FF&amp;E systems</t>
  </si>
  <si>
    <t>Ss_40_45_70_07</t>
  </si>
  <si>
    <t>Bedroom FF&amp;E systems</t>
  </si>
  <si>
    <t>Ss_40_45_70_22</t>
  </si>
  <si>
    <t>Dining room FF&amp;E systems</t>
  </si>
  <si>
    <t>Ss_40_45_70_24</t>
  </si>
  <si>
    <t>Domestic kitchen FF&amp;E systems</t>
  </si>
  <si>
    <t>Ss_40_45_70_33</t>
  </si>
  <si>
    <t>Garden FF&amp;E systems</t>
  </si>
  <si>
    <t>Ss_40_45_70_47</t>
  </si>
  <si>
    <t>Living room FF&amp;E systems</t>
  </si>
  <si>
    <t>Ss_40_50</t>
  </si>
  <si>
    <t>Medical, health and welfare FF&amp;E systems</t>
  </si>
  <si>
    <t>Ss_40_50_50</t>
  </si>
  <si>
    <t>Medical and health FF&amp;E systems</t>
  </si>
  <si>
    <t>Ss_40_50_50_18</t>
  </si>
  <si>
    <t>Crèche FF&amp;E systems</t>
  </si>
  <si>
    <t>Ss_40_50_50_37</t>
  </si>
  <si>
    <t>Hospital ward FF&amp;E systems</t>
  </si>
  <si>
    <t>Ss_40_50_50_50</t>
  </si>
  <si>
    <t>Medical and dental surgery FF&amp;E systems</t>
  </si>
  <si>
    <t>Ss_40_50_50_59</t>
  </si>
  <si>
    <t>Operating theatre FF&amp;E systems</t>
  </si>
  <si>
    <t>Ss_40_50_96</t>
  </si>
  <si>
    <t>Welfare FF&amp;E systems</t>
  </si>
  <si>
    <t>Ss_40_50_96_04</t>
  </si>
  <si>
    <t>Animal welfare FF&amp;E systems</t>
  </si>
  <si>
    <t>Ss_40_50_96_71</t>
  </si>
  <si>
    <t>Rehabilitation FF&amp;E systems</t>
  </si>
  <si>
    <t>Ss_40_70</t>
  </si>
  <si>
    <t>Recreational FF&amp;E systems</t>
  </si>
  <si>
    <t>Ss_40_70_20</t>
  </si>
  <si>
    <t>Casino FF&amp;E systems</t>
  </si>
  <si>
    <t>Ss_40_70_55</t>
  </si>
  <si>
    <t>Play FF&amp;E systems</t>
  </si>
  <si>
    <t>Ss_40_70_55_10</t>
  </si>
  <si>
    <t>Climbing equipment systems</t>
  </si>
  <si>
    <t>Ss_40_70_55_15</t>
  </si>
  <si>
    <t>Combination play equipment systems</t>
  </si>
  <si>
    <t>Ss_40_70_55_35</t>
  </si>
  <si>
    <t>Gymnastics and exercising equipment systems</t>
  </si>
  <si>
    <t>Ss_40_70_55_70</t>
  </si>
  <si>
    <t>Rocking equipment systems</t>
  </si>
  <si>
    <t>Ss_40_70_55_73</t>
  </si>
  <si>
    <t>Runway equipment systems</t>
  </si>
  <si>
    <t>Ss_40_70_55_75</t>
  </si>
  <si>
    <t>Sand and water play equipment systems</t>
  </si>
  <si>
    <t>Ss_40_70_55_80</t>
  </si>
  <si>
    <t>Slide equipment systems</t>
  </si>
  <si>
    <t>Ss_40_70_55_83</t>
  </si>
  <si>
    <t>Spinning equipment systems</t>
  </si>
  <si>
    <t>Ss_40_70_55_85</t>
  </si>
  <si>
    <t>Swinging equipment systems</t>
  </si>
  <si>
    <t>Ss_40_70_60</t>
  </si>
  <si>
    <t>Pool FF&amp;E systems</t>
  </si>
  <si>
    <t>Ss_40_70_60_15</t>
  </si>
  <si>
    <t>Competitive swimming pool FF&amp;E systems</t>
  </si>
  <si>
    <t>35-35-60/110 Competitive swimming pool equipment systems;</t>
  </si>
  <si>
    <t>4.1.3 Special purpose fittings, furnishings and equipment (default); 8.5.1 Site/street furniture and equipment;</t>
  </si>
  <si>
    <t>Ss_40_70_60_25</t>
  </si>
  <si>
    <t>Diving pool FF&amp;E systems</t>
  </si>
  <si>
    <t>35-35-60/120 Diving pool equipment system;</t>
  </si>
  <si>
    <t>Ss_40_70_60_45</t>
  </si>
  <si>
    <t>Leisure swimming pool FF&amp;E systems</t>
  </si>
  <si>
    <t>35-35-60/130 Leisure swimming pool equipment systems;</t>
  </si>
  <si>
    <t>Ss_40_70_60_62</t>
  </si>
  <si>
    <t>Pool transfer aid equipment systems</t>
  </si>
  <si>
    <t>35-35-60/140 Pool transfer aid equipment system;</t>
  </si>
  <si>
    <t>Ss_40_70_65</t>
  </si>
  <si>
    <t>Public house FF&amp;E systems</t>
  </si>
  <si>
    <t>Ss_40_70_70</t>
  </si>
  <si>
    <t>Restaurant FF&amp;E systems</t>
  </si>
  <si>
    <t>Ss_40_70_75</t>
  </si>
  <si>
    <t>Sports FF&amp;E systems</t>
  </si>
  <si>
    <t>Ss_40_70_75_05</t>
  </si>
  <si>
    <t>Ball court FF&amp;E systems</t>
  </si>
  <si>
    <t>35-35-75/110 Court equipment systems;</t>
  </si>
  <si>
    <t>Ss_40_70_75_20</t>
  </si>
  <si>
    <t>Cycle course FF&amp;E systems</t>
  </si>
  <si>
    <t>35-35-75/130 Cycle course equipment systems;</t>
  </si>
  <si>
    <t>Ss_40_70_75_27</t>
  </si>
  <si>
    <t>Equestrian equipment systems</t>
  </si>
  <si>
    <t>35-35-75/160 Equestrian equipment systems;</t>
  </si>
  <si>
    <t>Ss_40_70_75_50</t>
  </si>
  <si>
    <t>Multi-use games area FF&amp;E systems</t>
  </si>
  <si>
    <t>Ss_40_70_75_80</t>
  </si>
  <si>
    <t>Skate park FF&amp;E systems</t>
  </si>
  <si>
    <t>35-35-75/140 Skate parks equipment systems;</t>
  </si>
  <si>
    <t>Ss_40_70_75_85</t>
  </si>
  <si>
    <t>Sports pitch FF&amp;E systems</t>
  </si>
  <si>
    <t>35-35-75/120 Pitch equipment systems;</t>
  </si>
  <si>
    <t>Ss_40_70_75_90</t>
  </si>
  <si>
    <t>Trim trail FF&amp;E systems</t>
  </si>
  <si>
    <t>35-35-75/150 Trim trail equipment systems;</t>
  </si>
  <si>
    <t>Ss_40_70_80</t>
  </si>
  <si>
    <t>Stadium FF&amp;E systems</t>
  </si>
  <si>
    <t>Ss_40_70_95</t>
  </si>
  <si>
    <t>Wildlife, eco site and nature conservation FF&amp;E systems</t>
  </si>
  <si>
    <t>Ss_40_85</t>
  </si>
  <si>
    <t>Transport FF&amp;E systems</t>
  </si>
  <si>
    <t>Ss_40_85_01</t>
  </si>
  <si>
    <t>Aerospace FF&amp;E systems</t>
  </si>
  <si>
    <t>Ss_40_85_01_01</t>
  </si>
  <si>
    <t>Aircraft fire training simulation systems</t>
  </si>
  <si>
    <t>35-70-65/105 Aircraft fire training simulation system;</t>
  </si>
  <si>
    <t>Ss_40_85_11</t>
  </si>
  <si>
    <t>Cable transport FF&amp;E systems</t>
  </si>
  <si>
    <t>Ss_40_85_50</t>
  </si>
  <si>
    <t>Marine and waterway FF&amp;E systems</t>
  </si>
  <si>
    <t>Ss_40_85_50_95</t>
  </si>
  <si>
    <t>Waterside FF&amp;E systems</t>
  </si>
  <si>
    <t>Ss_40_85_70</t>
  </si>
  <si>
    <t>Rail FF&amp;E systems</t>
  </si>
  <si>
    <t>Ss_40_85_70_60</t>
  </si>
  <si>
    <t>Passenger concourse FF&amp;E systems</t>
  </si>
  <si>
    <t>Ss_40_85_72</t>
  </si>
  <si>
    <t>Road FF&amp;E systems</t>
  </si>
  <si>
    <t>Ss_40_85_72_11</t>
  </si>
  <si>
    <t>Car park equipment systems</t>
  </si>
  <si>
    <t>Ss_40_85_72_33</t>
  </si>
  <si>
    <t>Garage FF&amp;E systems</t>
  </si>
  <si>
    <t>Ss_40_85_75</t>
  </si>
  <si>
    <t>Rolling stock depot systems</t>
  </si>
  <si>
    <t>Ss_40_85_75_07</t>
  </si>
  <si>
    <t>Bogie handling systems</t>
  </si>
  <si>
    <t>35-90-80/135 Bogie handling system;</t>
  </si>
  <si>
    <t>Ss_40_85_75_15</t>
  </si>
  <si>
    <t>Controlled emission toilet (CET) systems</t>
  </si>
  <si>
    <t>35-90-80/140 Controlled Emission Toilet (CET) system;</t>
  </si>
  <si>
    <t>Ss_40_85_75_24</t>
  </si>
  <si>
    <t>Drop systems</t>
  </si>
  <si>
    <t>35-90-80/115 Drop system;</t>
  </si>
  <si>
    <t>Ss_40_85_75_65</t>
  </si>
  <si>
    <t>Press systems</t>
  </si>
  <si>
    <t>35-90-80/110 Press system;</t>
  </si>
  <si>
    <t>Ss_40_85_75_70</t>
  </si>
  <si>
    <t>Rail lifting systems</t>
  </si>
  <si>
    <t>35-90-80/120 Rail lifting system;</t>
  </si>
  <si>
    <t>Ss_40_85_75_75</t>
  </si>
  <si>
    <t>Sand feeding systems</t>
  </si>
  <si>
    <t>35-90-80/125 Sand feeding system;</t>
  </si>
  <si>
    <t>Ss_40_85_75_97</t>
  </si>
  <si>
    <t>Wheel lathe systems</t>
  </si>
  <si>
    <t>35-90-80/105 Wheel lathe system;</t>
  </si>
  <si>
    <t>Ss_40_90</t>
  </si>
  <si>
    <t>General finishing systems</t>
  </si>
  <si>
    <t>Ss_40_90_05</t>
  </si>
  <si>
    <t>Anodizing systems</t>
  </si>
  <si>
    <t>Ss_40_90_05_05</t>
  </si>
  <si>
    <t>Aluminium anodic coating systems</t>
  </si>
  <si>
    <t>Ss_40_90_35</t>
  </si>
  <si>
    <t>Hot dip galvanizing systems</t>
  </si>
  <si>
    <t>Ss_40_90_40</t>
  </si>
  <si>
    <t>Intumescent systems</t>
  </si>
  <si>
    <t>Ss_40_90_40_40</t>
  </si>
  <si>
    <t>Intumescent casting systems</t>
  </si>
  <si>
    <t>35-85-40/140 Intumescent casting system;</t>
  </si>
  <si>
    <t>2.1.1 Steel frames (default); 2.1.2 Space frames/decks; 2.1.6 Specialist frames;</t>
  </si>
  <si>
    <t>Ss_40_90_40_42</t>
  </si>
  <si>
    <t>Intumescent coating systems</t>
  </si>
  <si>
    <t>35-85-40/145 Intumescent coating system;</t>
  </si>
  <si>
    <t>Ss_40_90_60</t>
  </si>
  <si>
    <t>Painting and clear finishing systems</t>
  </si>
  <si>
    <t>Ss_40_90_60_05</t>
  </si>
  <si>
    <t>Anti-graffiti coating systems</t>
  </si>
  <si>
    <t>35-85-60/105 Anti-graffiti coating system;</t>
  </si>
  <si>
    <t>2.4.2 Stair/ramp finishes; 5.14.1 Builder's work in connection with services; 2.5.1 External enclosing walls above ground level; 8.4.1 Fencing and railings; 3.1.1 Wall finishes (default); 2.6.1 External windows; 2.6.2 External doors; 8.5.1 Site/street furniture and equipment;</t>
  </si>
  <si>
    <t>Ss_40_90_60_20</t>
  </si>
  <si>
    <t>Decorative varnish or lacquer systems</t>
  </si>
  <si>
    <t>35-85-60/120 Decorative varnish or lacquer system;</t>
  </si>
  <si>
    <t>2.4.2 Stair/ramp finishes; 3.2.1 Finishes to floors; 5.14.1 Builder's work in connection with services; 8.4.1 Fencing and railings; 3.1.1 Wall finishes (default); 3.3.1 Finishes to ceilings; 2.6.1 External windows; 2.6.2 External doors; 2.8.1 Internal doors; 4.1.1 General fittings, furnishings and equipment; 8.5.1 Site/street furniture and equipment;</t>
  </si>
  <si>
    <t>Ss_40_90_60_22</t>
  </si>
  <si>
    <t>Decorative wood stain or dye systems</t>
  </si>
  <si>
    <t>35-85-60/125 Decorative wood stain or dye system;</t>
  </si>
  <si>
    <t>Ss_40_90_60_55</t>
  </si>
  <si>
    <t>Multi-colour coating systems</t>
  </si>
  <si>
    <t>35-85-60/150 Multi-colour coating system;</t>
  </si>
  <si>
    <t>Ss_40_90_60_60</t>
  </si>
  <si>
    <t>Oil gilding systems</t>
  </si>
  <si>
    <t>35-85-60/160 Oil gilding system;</t>
  </si>
  <si>
    <t>2.4.2 Stair/ramp finishes; 3.2.1 Finishes to floors; 8.4.1 Fencing and railings; 3.1.1 Wall finishes (default); 3.3.1 Finishes to ceilings; 2.6.1 External windows; 2.6.2 External doors; 2.8.1 Internal doors; 4.1.1 General fittings, furnishings and equipment; 8.5.1 Site/street furniture and equipment;</t>
  </si>
  <si>
    <t>Ss_40_90_60_65</t>
  </si>
  <si>
    <t>Plastic texture coating systems</t>
  </si>
  <si>
    <t>35-85-60/165 Plastic texture coating system;</t>
  </si>
  <si>
    <t>8.4.1 Fencing and railings; 3.1.1 Wall finishes (default); 3.3.1 Finishes to ceilings; 4.1.1 General fittings, furnishings and equipment; 8.5.1 Site/street furniture and equipment;</t>
  </si>
  <si>
    <t>Ss_40_90_60_80</t>
  </si>
  <si>
    <t>Solvent-borne paint systems</t>
  </si>
  <si>
    <t>35-85-60/175 Solvent-borne paint system;</t>
  </si>
  <si>
    <t>Ss_40_90_60_85</t>
  </si>
  <si>
    <t>Special coating systems</t>
  </si>
  <si>
    <t>35-85-60/180 Special coating system;</t>
  </si>
  <si>
    <t>Ss_40_90_60_94</t>
  </si>
  <si>
    <t>Water-based anti-corrosion systems</t>
  </si>
  <si>
    <t>Ss_40_90_60_95</t>
  </si>
  <si>
    <t>Waterborne paint systems</t>
  </si>
  <si>
    <t>35-85-60/195 Water-borne paint system;</t>
  </si>
  <si>
    <t>Ss_40_90_65</t>
  </si>
  <si>
    <t>Powder coating systems</t>
  </si>
  <si>
    <t>Ss_40_90_65_05</t>
  </si>
  <si>
    <t>Powder coating for aluminium systems</t>
  </si>
  <si>
    <t>Ss_40_90_65_85</t>
  </si>
  <si>
    <t>Powder coating for steel systems</t>
  </si>
  <si>
    <t>Ss_40_90_75</t>
  </si>
  <si>
    <t>Services painting systems</t>
  </si>
  <si>
    <t>Ss_40_90_95</t>
  </si>
  <si>
    <t>Wood preservative and fire retardant treatment systems</t>
  </si>
  <si>
    <t>Ss_40_90_95_30</t>
  </si>
  <si>
    <t>Fire retardant treatment systems</t>
  </si>
  <si>
    <t>35-85-95/150 Fire retardant treatment;</t>
  </si>
  <si>
    <t>2.3.2 Roof coverings; 2.1.5 Timber frames (default); 2.5.1 External enclosing walls above ground level; 8.4.1 Fencing and railings; 2.6.1 External windows; 2.3.1 Roof structure; 2.6.2 External doors;</t>
  </si>
  <si>
    <t>Ss_40_90_95_65</t>
  </si>
  <si>
    <t>Preservative treatment systems</t>
  </si>
  <si>
    <t>35-85-95/110 Preservative treatment;</t>
  </si>
  <si>
    <t>2.3.2 Roof coverings; 2.1.5 Timber frames; 2.5.1 External enclosing walls above ground level; 8.4.1 Fencing and railings (default); 2.6.1 External windows; 2.3.1 Roof structure; 2.6.2 External doors;</t>
  </si>
  <si>
    <t>Ss_40_95</t>
  </si>
  <si>
    <t>Temporary signage and FF&amp;E systems</t>
  </si>
  <si>
    <t>Ss_45</t>
  </si>
  <si>
    <t>Flora and fauna systems</t>
  </si>
  <si>
    <t>Ss_45_05</t>
  </si>
  <si>
    <t>Ecosystems</t>
  </si>
  <si>
    <t>Ss_45_10</t>
  </si>
  <si>
    <t>Flora and fauna control systems</t>
  </si>
  <si>
    <t>Ss_45_10_10</t>
  </si>
  <si>
    <t>Bird, insect and vermin control systems</t>
  </si>
  <si>
    <t>Ss_45_10_10_04</t>
  </si>
  <si>
    <t>Animal control systems</t>
  </si>
  <si>
    <t>35-70-10/130 Animal control system;</t>
  </si>
  <si>
    <t>4.1.8 Bird and vermin control (default);</t>
  </si>
  <si>
    <t>Ss_45_10_10_10</t>
  </si>
  <si>
    <t>Bird control systems</t>
  </si>
  <si>
    <t>35-70-10/120 Bird control system;</t>
  </si>
  <si>
    <t>Ss_45_10_10_14</t>
  </si>
  <si>
    <t>Chemical termite protection systems</t>
  </si>
  <si>
    <t>Ss_45_10_10_40</t>
  </si>
  <si>
    <t>Insect control systems</t>
  </si>
  <si>
    <t>35-70-10/140 Insect control system;</t>
  </si>
  <si>
    <t>Ss_45_10_10_64</t>
  </si>
  <si>
    <t>Physical termite protection systems</t>
  </si>
  <si>
    <t>Ss_45_10_10_72</t>
  </si>
  <si>
    <t>Rodent control systems</t>
  </si>
  <si>
    <t>35-70-10/150 Rodent control system;</t>
  </si>
  <si>
    <t>Ss_45_10_40</t>
  </si>
  <si>
    <t>Invasive microbial and invertebrate control systems</t>
  </si>
  <si>
    <t>Ss_45_10_40_40</t>
  </si>
  <si>
    <t>Invertebrate control systems</t>
  </si>
  <si>
    <t>Ss_45_10_40_50</t>
  </si>
  <si>
    <t>Microbial control systems</t>
  </si>
  <si>
    <t>Ss_45_10_95</t>
  </si>
  <si>
    <t>Vegetation control systems</t>
  </si>
  <si>
    <t>Ss_45_10_95_50</t>
  </si>
  <si>
    <t>Moss, algae and lichen control systems</t>
  </si>
  <si>
    <t>35-70-41/110 Control system for rooted plants on hard surfaces;</t>
  </si>
  <si>
    <t>Ss_45_10_95_72</t>
  </si>
  <si>
    <t>Rooted plants on hard surfaces control systems</t>
  </si>
  <si>
    <t>35-70-41/115 Control system for self-clinging plants on hard surfaces;</t>
  </si>
  <si>
    <t>Ss_45_10_95_80</t>
  </si>
  <si>
    <t>Selective vegetation control systems</t>
  </si>
  <si>
    <t>35-70-41/175 Selective vegetation control system;</t>
  </si>
  <si>
    <t>Ss_45_10_95_81</t>
  </si>
  <si>
    <t>Self-clinging plants on hard surfaces control systems</t>
  </si>
  <si>
    <t>35-70-41/145 Moss, algae and lichen control system;</t>
  </si>
  <si>
    <t>7.5.1 Cleaning; 8.2.1 Roads, paths and pavings (default);</t>
  </si>
  <si>
    <t>Ss_45_10_95_83</t>
  </si>
  <si>
    <t>Site vegetation control systems</t>
  </si>
  <si>
    <t>35-70-41/180 Site vegetation control system;</t>
  </si>
  <si>
    <t>0.1.3 Eradication of plant growth; 8.3.2 External planting (default);</t>
  </si>
  <si>
    <t>Ss_45_10_95_95</t>
  </si>
  <si>
    <t>Waterborne vegetation control systems</t>
  </si>
  <si>
    <t>35-70-41/185 Waterborne vegetation control system;</t>
  </si>
  <si>
    <t>Ss_45_30</t>
  </si>
  <si>
    <t>Aquatic flora systems</t>
  </si>
  <si>
    <t>Ss_45_30_05</t>
  </si>
  <si>
    <t>Aquatic and wetland planting systems</t>
  </si>
  <si>
    <t>Ss_45_30_05_05</t>
  </si>
  <si>
    <t>Aquatic planting systems</t>
  </si>
  <si>
    <t>40-30-00/105 Aquatic planting system;</t>
  </si>
  <si>
    <t>Ss_45_30_05_50</t>
  </si>
  <si>
    <t>Marginal planting systems</t>
  </si>
  <si>
    <t>40-30-00/150 Marginal planting system;</t>
  </si>
  <si>
    <t>Ss_45_30_05_70</t>
  </si>
  <si>
    <t>Reedbed planting systems</t>
  </si>
  <si>
    <t>40-30-00/170 Reedbed planting system;</t>
  </si>
  <si>
    <t>Ss_45_30_40</t>
  </si>
  <si>
    <t>Hydroponic planting systems</t>
  </si>
  <si>
    <t>Ss_45_35</t>
  </si>
  <si>
    <t>Ground based flora systems</t>
  </si>
  <si>
    <t>Ss_45_35_05</t>
  </si>
  <si>
    <t>Amenity and ornamental planting systems</t>
  </si>
  <si>
    <t>Ss_45_35_05_08</t>
  </si>
  <si>
    <t>Bed-planted annual, perennial and bulb systems</t>
  </si>
  <si>
    <t>40-35-00/110 Bed-planted annual, perennial and bulb system;</t>
  </si>
  <si>
    <t>Ss_45_35_05_35</t>
  </si>
  <si>
    <t>Grass-planted bulb and wildflower systems</t>
  </si>
  <si>
    <t>40-35-00/135 Grass-planted bulb and wildflower system;</t>
  </si>
  <si>
    <t>Ss_45_35_05_37</t>
  </si>
  <si>
    <t>Grass-planted small tree and shrub systems</t>
  </si>
  <si>
    <t>Ss_45_35_05_42</t>
  </si>
  <si>
    <t>Long-stem planted small tree and shrub systems</t>
  </si>
  <si>
    <t>Ss_45_35_05_62</t>
  </si>
  <si>
    <t>Pit-planted climber systems</t>
  </si>
  <si>
    <t>40-35-00/160 Pit-planted climber system;</t>
  </si>
  <si>
    <t>Ss_45_35_05_64</t>
  </si>
  <si>
    <t>Pit-planted perennial systems</t>
  </si>
  <si>
    <t>40-35-00/165 Pit-planted perennial system;</t>
  </si>
  <si>
    <t>Ss_45_35_05_66</t>
  </si>
  <si>
    <t>Pit-planted large tree systems</t>
  </si>
  <si>
    <t>40-35-00/170 Pit-planted semi-mature tree system;</t>
  </si>
  <si>
    <t>Ss_45_35_05_67</t>
  </si>
  <si>
    <t>Pit-planted small tree and shrub systems</t>
  </si>
  <si>
    <t>40-35-00/175 Pit-planted small tree or shrub system;</t>
  </si>
  <si>
    <t>Ss_45_35_08</t>
  </si>
  <si>
    <t>Biodiversity and environmental conservation systems</t>
  </si>
  <si>
    <t>Ss_45_35_08_29</t>
  </si>
  <si>
    <t>Flora species introduction systems</t>
  </si>
  <si>
    <t>Ss_45_35_08_30</t>
  </si>
  <si>
    <t>Flora species protection systems</t>
  </si>
  <si>
    <t>Ss_45_35_08_35</t>
  </si>
  <si>
    <t>Habitat creation systems</t>
  </si>
  <si>
    <t>Ss_45_35_08_37</t>
  </si>
  <si>
    <t>Habitat management and enhancement systems</t>
  </si>
  <si>
    <t>Ss_45_35_08_38</t>
  </si>
  <si>
    <t>Habitat protection systems</t>
  </si>
  <si>
    <t>Ss_45_35_30</t>
  </si>
  <si>
    <t>Forestry, biomass, hedging and roadside planting systems</t>
  </si>
  <si>
    <t>Ss_45_35_30_40</t>
  </si>
  <si>
    <t>Hydraulic seeded tree and shrub systems</t>
  </si>
  <si>
    <t>40-35-30/135 Hydraulic seeded tree and shrub system;</t>
  </si>
  <si>
    <t>Ss_45_35_30_55</t>
  </si>
  <si>
    <t>Notch-planted tree and shrub systems</t>
  </si>
  <si>
    <t>40-35-30/155 Notch-planted tree and shrub system;</t>
  </si>
  <si>
    <t>Ss_45_35_30_62</t>
  </si>
  <si>
    <t>Pit-planted tree and shrub systems</t>
  </si>
  <si>
    <t>40-35-30/160 Pit-planted tree and shrub system;</t>
  </si>
  <si>
    <t>Ss_45_35_30_72</t>
  </si>
  <si>
    <t>Ridge and furrow-planted tree and shrub systems</t>
  </si>
  <si>
    <t>40-35-30/170 Ridge and furrow-planted tree and shrub system;</t>
  </si>
  <si>
    <t>Ss_45_35_30_75</t>
  </si>
  <si>
    <t>Seeded tree and shrub systems</t>
  </si>
  <si>
    <t>40-35-30/180 Seeded tree and shrub system;</t>
  </si>
  <si>
    <t>Ss_45_35_30_90</t>
  </si>
  <si>
    <t>Trench-planted tree and shrub systems</t>
  </si>
  <si>
    <t>40-35-30/185 Trench-planted tree and shrub system;</t>
  </si>
  <si>
    <t>Ss_45_35_45</t>
  </si>
  <si>
    <t>Lawn and meadow planting systems</t>
  </si>
  <si>
    <t>Ss_45_35_45_33</t>
  </si>
  <si>
    <t>Grass and wildflower seeding systems</t>
  </si>
  <si>
    <t>40-35-35/130 Grass and wildflower seeding system;</t>
  </si>
  <si>
    <t>Ss_45_35_45_35</t>
  </si>
  <si>
    <t>Grass seeding systems</t>
  </si>
  <si>
    <t>40-35-35/135 Grass seeding system;</t>
  </si>
  <si>
    <t>Ss_45_35_45_40</t>
  </si>
  <si>
    <t>Hydraulic seeding systems</t>
  </si>
  <si>
    <t>40-35-35/140 Hydraulic seeding system;</t>
  </si>
  <si>
    <t>Ss_45_35_45_62</t>
  </si>
  <si>
    <t>Plastics paving and turf systems</t>
  </si>
  <si>
    <t>40-35-35/160 Plastics paving and turf system;</t>
  </si>
  <si>
    <t>8.2.2 Special surfacings and pavings; 8.3.1 Seeding and turfing (default);</t>
  </si>
  <si>
    <t>Ss_45_35_45_65</t>
  </si>
  <si>
    <t>Pre-seeded mat systems</t>
  </si>
  <si>
    <t>40-35-35/165 Pre-seeded mat system;</t>
  </si>
  <si>
    <t>Ss_45_35_45_70</t>
  </si>
  <si>
    <t>Reinforced grass planting systems</t>
  </si>
  <si>
    <t>40-35-35/170 Reinforced grass planting system;</t>
  </si>
  <si>
    <t>Ss_45_35_45_90</t>
  </si>
  <si>
    <t>Turf planting systems</t>
  </si>
  <si>
    <t>40-35-35/185 Turf planting system;</t>
  </si>
  <si>
    <t>Ss_45_40</t>
  </si>
  <si>
    <t>Artificially supported flora systems</t>
  </si>
  <si>
    <t>Ss_45_40_28</t>
  </si>
  <si>
    <t>External container planting systems</t>
  </si>
  <si>
    <t>Ss_45_40_28_25</t>
  </si>
  <si>
    <t>External planter systems</t>
  </si>
  <si>
    <t>40-40-25/165 External planter system;</t>
  </si>
  <si>
    <t>Ss_45_40_28_32</t>
  </si>
  <si>
    <t>Free standing external container planting systems</t>
  </si>
  <si>
    <t>40-40-25/130 External freestanding container planting system;</t>
  </si>
  <si>
    <t>Ss_45_40_28_35</t>
  </si>
  <si>
    <t>Hanging container planting systems</t>
  </si>
  <si>
    <t>40-40-25/135 Hanging container planting system;</t>
  </si>
  <si>
    <t>Ss_45_40_28_85</t>
  </si>
  <si>
    <t>External planting systems</t>
  </si>
  <si>
    <t>Ss_45_40_40</t>
  </si>
  <si>
    <t>Internal container planting systems</t>
  </si>
  <si>
    <t>Ss_45_40_40_32</t>
  </si>
  <si>
    <t>Free standing internal container planting systems</t>
  </si>
  <si>
    <t>40-40-40/130 Internal freestanding container planting system;</t>
  </si>
  <si>
    <t>Ss_45_40_40_34</t>
  </si>
  <si>
    <t>Ground level internal container planting systems</t>
  </si>
  <si>
    <t>Ss_45_40_40_41</t>
  </si>
  <si>
    <t>Internal hanging container planting systems</t>
  </si>
  <si>
    <t>40-40-40/135 Hanging container planting system;</t>
  </si>
  <si>
    <t>Ss_45_40_40_42</t>
  </si>
  <si>
    <t>Internal planter systems</t>
  </si>
  <si>
    <t>40-40-40/165 Internal planter system;</t>
  </si>
  <si>
    <t>Ss_45_40_47</t>
  </si>
  <si>
    <t>Living roof systems</t>
  </si>
  <si>
    <t>Ss_45_40_47_09</t>
  </si>
  <si>
    <t>Brown roof systems</t>
  </si>
  <si>
    <t>40-40-45/110 Brown roof system;</t>
  </si>
  <si>
    <t>Ss_45_40_47_28</t>
  </si>
  <si>
    <t>Extensive green roof systems</t>
  </si>
  <si>
    <t>40-40-45/125 Extensive green roof system;</t>
  </si>
  <si>
    <t>Ss_45_40_47_40</t>
  </si>
  <si>
    <t>Intensive green roof systems</t>
  </si>
  <si>
    <t>40-40-45/140 Intensive green roof system;</t>
  </si>
  <si>
    <t>Ss_45_40_47_75</t>
  </si>
  <si>
    <t>Semi-intensive green roof systems</t>
  </si>
  <si>
    <t>40-40-45/175 Semi-intensive green roof system;</t>
  </si>
  <si>
    <t>Ss_45_40_95</t>
  </si>
  <si>
    <t>Vertical planting systems</t>
  </si>
  <si>
    <t>Ss_45_40_95_08</t>
  </si>
  <si>
    <t>Biofiltration vertical planting systems</t>
  </si>
  <si>
    <t>40-40-95/110 Biofiltration vertical planting system;</t>
  </si>
  <si>
    <t>4.1.7 Internal planting (default); 8.3.2 External planting;</t>
  </si>
  <si>
    <t>Ss_45_40_95_52</t>
  </si>
  <si>
    <t>Membranous vertical planting systems</t>
  </si>
  <si>
    <t>40-40-95/150 Membranous vertical planting system;</t>
  </si>
  <si>
    <t>Ss_45_40_95_54</t>
  </si>
  <si>
    <t>Modular unit vertical planting systems</t>
  </si>
  <si>
    <t>40-40-95/155 Modular unit vertical planting system;</t>
  </si>
  <si>
    <t>Ss_45_50</t>
  </si>
  <si>
    <t>Artificial flora systems</t>
  </si>
  <si>
    <t>Ss_45_50_05</t>
  </si>
  <si>
    <t>Artificial planting systems</t>
  </si>
  <si>
    <t>Ss_45_50_05_40</t>
  </si>
  <si>
    <t>Internal artificial planting systems</t>
  </si>
  <si>
    <t>40-50-50/110 Artificial planting system;</t>
  </si>
  <si>
    <t>Ss_45_60</t>
  </si>
  <si>
    <t>Avian fauna systems</t>
  </si>
  <si>
    <t>Ss_45_65</t>
  </si>
  <si>
    <t>Insectile fauna systems</t>
  </si>
  <si>
    <t>Ss_45_70</t>
  </si>
  <si>
    <t>Mammalian fauna systems</t>
  </si>
  <si>
    <t>Ss_45_70_05</t>
  </si>
  <si>
    <t>Animal conservation systems</t>
  </si>
  <si>
    <t>Ss_45_70_05_27</t>
  </si>
  <si>
    <t>Animal road crossing systems</t>
  </si>
  <si>
    <t>Ss_45_70_05_29</t>
  </si>
  <si>
    <t>Animal species introduction systems</t>
  </si>
  <si>
    <t>40-10-06/130 Animal species introduction system;</t>
  </si>
  <si>
    <t>0.6.2 Reptile/wildlife mitigation measures (default);</t>
  </si>
  <si>
    <t>Ss_45_70_05_30</t>
  </si>
  <si>
    <t>Animal species protection systems</t>
  </si>
  <si>
    <t>40-10-06/150 Species protection system;</t>
  </si>
  <si>
    <t>Ss_45_75</t>
  </si>
  <si>
    <t>Piscine fauna systems</t>
  </si>
  <si>
    <t>Ss_45_75_30</t>
  </si>
  <si>
    <t>Fish, eel and lamprey pass systems</t>
  </si>
  <si>
    <t>Ss_45_75_30_03</t>
  </si>
  <si>
    <t>Alaskan A baffle pass systems</t>
  </si>
  <si>
    <t>Ss_45_75_30_06</t>
  </si>
  <si>
    <t>Baffle and brush pass systems</t>
  </si>
  <si>
    <t>Ss_45_75_30_09</t>
  </si>
  <si>
    <t>Brush furnished baffle pass systems</t>
  </si>
  <si>
    <t>Ss_45_75_30_13</t>
  </si>
  <si>
    <t>Chevron bottom baffle pass systems</t>
  </si>
  <si>
    <t>Ss_45_75_30_21</t>
  </si>
  <si>
    <t>Deep notch and orifice pool pass systems</t>
  </si>
  <si>
    <t>Ss_45_75_30_23</t>
  </si>
  <si>
    <t>Deep notch no orifice pool pass systems</t>
  </si>
  <si>
    <t>Ss_45_75_30_30</t>
  </si>
  <si>
    <t>Fish pass systems</t>
  </si>
  <si>
    <t>40-10-30/110 Fish pass system;</t>
  </si>
  <si>
    <t>Ss_45_75_30_46</t>
  </si>
  <si>
    <t>Larinier super active baffle pass systems</t>
  </si>
  <si>
    <t>Ss_45_75_30_63</t>
  </si>
  <si>
    <t>Plane baffle denil pass systems</t>
  </si>
  <si>
    <t>Ss_45_75_30_65</t>
  </si>
  <si>
    <t>Pool and orifice pass systems</t>
  </si>
  <si>
    <t>Ss_45_75_30_67</t>
  </si>
  <si>
    <t>Pool and traverse pass systems</t>
  </si>
  <si>
    <t>Ss_45_75_30_77</t>
  </si>
  <si>
    <t>Shallow v notch pool pass systems</t>
  </si>
  <si>
    <t>Ss_45_75_30_94</t>
  </si>
  <si>
    <t>Vertical slot pool pass systems</t>
  </si>
  <si>
    <t>Ss_45_80</t>
  </si>
  <si>
    <t>Reptilian fauna systems</t>
  </si>
  <si>
    <t>Ss_45_85</t>
  </si>
  <si>
    <t>Artificial fauna systems</t>
  </si>
  <si>
    <t>Ss_50</t>
  </si>
  <si>
    <t>Disposal systems</t>
  </si>
  <si>
    <t>Ss_50_10</t>
  </si>
  <si>
    <t>Gas waste collection and distribution systems</t>
  </si>
  <si>
    <t>Ss_50_10_45</t>
  </si>
  <si>
    <t>Landfill gas collection and distribution systems</t>
  </si>
  <si>
    <t>Ss_50_10_95</t>
  </si>
  <si>
    <t>Waste gas collection and distribution systems</t>
  </si>
  <si>
    <t>Ss_50_20</t>
  </si>
  <si>
    <t>Non-aqueous liquid waste collection and distribution systems</t>
  </si>
  <si>
    <t>Ss_50_20_45</t>
  </si>
  <si>
    <t>Landfill liquid collection and distribution systems</t>
  </si>
  <si>
    <t>Ss_50_20_90</t>
  </si>
  <si>
    <t>Waste liquid fuel collection and distribution systems</t>
  </si>
  <si>
    <t>Ss_50_20_95</t>
  </si>
  <si>
    <t>Waste process liquid collection and distribution systems</t>
  </si>
  <si>
    <t>Ss_50_30</t>
  </si>
  <si>
    <t>Building and land drainage collection systems</t>
  </si>
  <si>
    <t>Ss_50_30_02</t>
  </si>
  <si>
    <t>Rainwater drainage systems</t>
  </si>
  <si>
    <t>Ss_50_30_02_28</t>
  </si>
  <si>
    <t>External gravity rainwater drainage systems</t>
  </si>
  <si>
    <t>50-10-00/110 External gravity rainwater drainage system;</t>
  </si>
  <si>
    <t>Ss_50_30_02_40</t>
  </si>
  <si>
    <t>Internal gravity rainwater drainage systems</t>
  </si>
  <si>
    <t>50-10-00/120 Internal gravity rainwater drainage system;</t>
  </si>
  <si>
    <t>Ss_50_30_02_65</t>
  </si>
  <si>
    <t>Pressure-assisted full bore rainwater drainage systems</t>
  </si>
  <si>
    <t>50-10-00/130 Siphonic full bore rainwater drainage system;</t>
  </si>
  <si>
    <t>2.2.3 Drainage to balconies; 2.3.4 Roof drainage (default);</t>
  </si>
  <si>
    <t>Ss_50_30_02_80</t>
  </si>
  <si>
    <t>Siphonic full bore rainwater drainage systems</t>
  </si>
  <si>
    <t>50-10-00/140 Pressure assisted full bore rainwater drainage system;</t>
  </si>
  <si>
    <t>Ss_50_30_04</t>
  </si>
  <si>
    <t>Above ground waste water drainage systems</t>
  </si>
  <si>
    <t>Ss_50_30_04_05</t>
  </si>
  <si>
    <t>Basement waste water drainage systems</t>
  </si>
  <si>
    <t>50-10-05/130 Basement wastewater drainage system;</t>
  </si>
  <si>
    <t>5.3.1 Foul drainage above ground (default); 5.3.2 Chemical, toxic and industrial liquid waste drainage;</t>
  </si>
  <si>
    <t>Ss_50_30_04_15</t>
  </si>
  <si>
    <t>Commercial catering waste water drainage systems</t>
  </si>
  <si>
    <t>50-10-05/140 Commercial catering wastewater drainage system;</t>
  </si>
  <si>
    <t>Ss_50_30_04_95</t>
  </si>
  <si>
    <t>Above ground external stack wastewater drainage systems</t>
  </si>
  <si>
    <t>50-10-05/110 Above ground wastewater drainage system with external stacks;</t>
  </si>
  <si>
    <t>Ss_50_30_04_97</t>
  </si>
  <si>
    <t>Above ground internal stack wastewater drainage systems</t>
  </si>
  <si>
    <t>50-10-05/120 Above ground wastewater drainage system with internal stacks;</t>
  </si>
  <si>
    <t>Ss_50_30_06</t>
  </si>
  <si>
    <t>Below ground inspection systems</t>
  </si>
  <si>
    <t>Ss_50_30_06_06</t>
  </si>
  <si>
    <t>Brick manhole systems</t>
  </si>
  <si>
    <t>50-10-10/110 Brick shallow inspection chamber system for below ground drainage;</t>
  </si>
  <si>
    <t>8.6.1 Surface water and foul water drainage (default); 8.6.2 Ancillary drainage systems; 8.6.4 Land drainage; 8.6.3 External chemical, toxic and industrial liquid waste drainage;</t>
  </si>
  <si>
    <t>Ss_50_30_06_08</t>
  </si>
  <si>
    <t>Brick shallow inspection chamber systems</t>
  </si>
  <si>
    <t>50-10-10/115 Brick shallow silt trap and flow control chamber system for below ground drainage;</t>
  </si>
  <si>
    <t>Ss_50_30_06_10</t>
  </si>
  <si>
    <t>Brick shallow silt trap and flow control chamber systems</t>
  </si>
  <si>
    <t>50-10-10/120 Brick manhole system for below ground drainage;</t>
  </si>
  <si>
    <t>Ss_50_30_06_12</t>
  </si>
  <si>
    <t>Concrete deep manhole systems</t>
  </si>
  <si>
    <t>50-10-10/155 Precast concrete deep manhole system for below ground drainage;</t>
  </si>
  <si>
    <t>Ss_50_30_06_14</t>
  </si>
  <si>
    <t>Concrete manhole systems</t>
  </si>
  <si>
    <t>50-10-10/150 Precast concrete manhole system for below ground drainage;</t>
  </si>
  <si>
    <t>Ss_50_30_06_16</t>
  </si>
  <si>
    <t>Concrete shallow inspection chamber systems</t>
  </si>
  <si>
    <t>50-10-10/145 Precast concrete shallow inspection chamber system for below ground drainage;</t>
  </si>
  <si>
    <t>Ss_50_30_06_18</t>
  </si>
  <si>
    <t>Concrete silt trap and flow control chamber systems</t>
  </si>
  <si>
    <t>50-10-10/140 Precast concrete silt trap and flow control chamber system for below ground drainage;</t>
  </si>
  <si>
    <t>Ss_50_30_06_62</t>
  </si>
  <si>
    <t>Plastics deep non-entry inspection chamber systems</t>
  </si>
  <si>
    <t>50-10-10/130 Plastics deep non entry inspection chamber system for below ground drainage;</t>
  </si>
  <si>
    <t>Ss_50_30_06_64</t>
  </si>
  <si>
    <t>Plastics distribution and sampling chamber systems</t>
  </si>
  <si>
    <t>50-10-10/135 Plastics distribution and sampling chamber system for below ground drainage;</t>
  </si>
  <si>
    <t>Ss_50_30_06_66</t>
  </si>
  <si>
    <t>Plastics shallow inspection chamber systems</t>
  </si>
  <si>
    <t>50-10-10/125 Plastics shallow inspection chamber system for below ground drainage;</t>
  </si>
  <si>
    <t>Ss_50_30_08</t>
  </si>
  <si>
    <t>Below ground gravity drainage systems</t>
  </si>
  <si>
    <t>Ss_50_30_08_15</t>
  </si>
  <si>
    <t>Combined below-ground drainage pipeline systems</t>
  </si>
  <si>
    <t>Ss_50_30_08_16</t>
  </si>
  <si>
    <t>Combined sewer overflow systems</t>
  </si>
  <si>
    <t>50-10-10/160 Precast concrete combined sewer overflow system;</t>
  </si>
  <si>
    <t>Ss_50_30_08_30</t>
  </si>
  <si>
    <t>Foul waste water below-ground drainage pipeline systems</t>
  </si>
  <si>
    <t>50-10-15/115 Below ground foul wastewater gravity drainage pipeline system;</t>
  </si>
  <si>
    <t>8.6.1 Surface water and foul water drainage (default); 8.6.2 Ancillary drainage systems; 8.6.3 External chemical, toxic and industrial liquid waste drainage;</t>
  </si>
  <si>
    <t>Ss_50_30_08_85</t>
  </si>
  <si>
    <t>Surface water below-ground drainage pipeline systems</t>
  </si>
  <si>
    <t>50-10-15/110 Below ground surface water gravity drainage pipeline system;</t>
  </si>
  <si>
    <t>8.6.1 Surface water and foul water drainage (default); 8.6.2 Ancillary drainage systems; 8.6.4 Land drainage;</t>
  </si>
  <si>
    <t>Ss_50_30_10</t>
  </si>
  <si>
    <t>Below ground pumped drainage systems</t>
  </si>
  <si>
    <t>Ss_50_30_10_06</t>
  </si>
  <si>
    <t>Below-ground private packaged pumping station and pressure pipeline drainage systems</t>
  </si>
  <si>
    <t>50-10-20/110 Below ground private packaged pumping station and pressure pipeline drainage system;</t>
  </si>
  <si>
    <t>8.6.2 Ancillary drainage systems (default);</t>
  </si>
  <si>
    <t>Ss_50_30_45</t>
  </si>
  <si>
    <t>Land drainage systems</t>
  </si>
  <si>
    <t>Ss_50_30_45_08</t>
  </si>
  <si>
    <t>Blanket drain land drainage systems</t>
  </si>
  <si>
    <t>50-10-45/110 Blanket drain system for land drainage;</t>
  </si>
  <si>
    <t>8.6.4 Land drainage (default);</t>
  </si>
  <si>
    <t>Ss_50_30_45_20</t>
  </si>
  <si>
    <t>Culvert land drainage systems</t>
  </si>
  <si>
    <t>50-10-45/150 Culvert system for land drainage;</t>
  </si>
  <si>
    <t>Ss_50_30_45_30</t>
  </si>
  <si>
    <t>Filter drain land drainage systems</t>
  </si>
  <si>
    <t>50-10-45/115 Filter drain system for land drainage;</t>
  </si>
  <si>
    <t>Ss_50_30_45_32</t>
  </si>
  <si>
    <t>Fin drain piped land drainage systems</t>
  </si>
  <si>
    <t>50-10-45/120 Fin drain piped system for land drainage;</t>
  </si>
  <si>
    <t>Ss_50_30_45_53</t>
  </si>
  <si>
    <t>Mole or subsoiling drain land drainage systems</t>
  </si>
  <si>
    <t>50-10-45/130 Mole drain or subsoiling drain system for land drainage;</t>
  </si>
  <si>
    <t>0.4.1 Site dewatering and pumping; 8.6.4 Land drainage (default);</t>
  </si>
  <si>
    <t>Ss_50_30_45_55</t>
  </si>
  <si>
    <t>Narrow slot fin drain land drainage systems</t>
  </si>
  <si>
    <t>Ss_50_30_45_75</t>
  </si>
  <si>
    <t>Slitting or grooving land drainage systems</t>
  </si>
  <si>
    <t>50-10-45/140 Slitting or grooving system for land drainage;</t>
  </si>
  <si>
    <t>Ss_50_30_45_85</t>
  </si>
  <si>
    <t>Subsoil drainage pipe drain systems</t>
  </si>
  <si>
    <t>Ss_50_30_45_90</t>
  </si>
  <si>
    <t>Trenchless drain land drainage systems</t>
  </si>
  <si>
    <t>50-10-45/145 Trenchless drain system for land drainage;</t>
  </si>
  <si>
    <t>Ss_50_35</t>
  </si>
  <si>
    <t>Utility surface and waste water drainage collection systems</t>
  </si>
  <si>
    <t>Ss_50_35_65</t>
  </si>
  <si>
    <t>Pressure relief drainage systems</t>
  </si>
  <si>
    <t>Ss_50_35_65_08</t>
  </si>
  <si>
    <t>Blanket drain pressure relief systems</t>
  </si>
  <si>
    <t>50-10-60/110 Pressure relief blanket drain system;</t>
  </si>
  <si>
    <t>Ss_50_35_65_30</t>
  </si>
  <si>
    <t>Filter drain pressure relief systems</t>
  </si>
  <si>
    <t>50-10-60/120 Pressure relief filter drain system;</t>
  </si>
  <si>
    <t>Ss_50_35_65_35</t>
  </si>
  <si>
    <t>Geocomposite sheet fin drain pressure relief systems</t>
  </si>
  <si>
    <t>50-10-60/130 Pressure relief geocomposite sheet fin drain system;</t>
  </si>
  <si>
    <t>Ss_50_35_80</t>
  </si>
  <si>
    <t>Storm water gravity drainage systems</t>
  </si>
  <si>
    <t>Ss_50_35_80_10</t>
  </si>
  <si>
    <t>Bifurcation storm water overflow systems</t>
  </si>
  <si>
    <t>Ss_50_35_80_72</t>
  </si>
  <si>
    <t>Rigid attenuation or storage tank for stormwater flood attenuation systems</t>
  </si>
  <si>
    <t>50-50-05/180 Rigid attenuation or storage tank system for stormwater flood attenuation;</t>
  </si>
  <si>
    <t>Ss_50_35_82</t>
  </si>
  <si>
    <t>Surface and waste water gravity drainage systems</t>
  </si>
  <si>
    <t>Ss_50_35_82_41</t>
  </si>
  <si>
    <t>Inlet drainage systems</t>
  </si>
  <si>
    <t>Ss_50_35_82_59</t>
  </si>
  <si>
    <t>Outlet drainage systems</t>
  </si>
  <si>
    <t>Ss_50_35_82_73</t>
  </si>
  <si>
    <t>Road drainage systems</t>
  </si>
  <si>
    <t>Ss_50_35_85</t>
  </si>
  <si>
    <t>Surface and waste water pumped drainage systems</t>
  </si>
  <si>
    <t>Ss_50_40</t>
  </si>
  <si>
    <t>Solid waste collection and distribution systems</t>
  </si>
  <si>
    <t>Ss_50_50</t>
  </si>
  <si>
    <t>Gas waste storage, treatment and disposal systems</t>
  </si>
  <si>
    <t>Ss_50_50_45</t>
  </si>
  <si>
    <t>Landfill gas disposal systems</t>
  </si>
  <si>
    <t>Ss_50_50_95</t>
  </si>
  <si>
    <t>Waste gas treatment and disposal systems</t>
  </si>
  <si>
    <t>Ss_50_60</t>
  </si>
  <si>
    <t>Non-aqueous liquid waste storage, treatment and disposal systems</t>
  </si>
  <si>
    <t>Ss_50_60_45</t>
  </si>
  <si>
    <t>Landfill liquid disposal systems</t>
  </si>
  <si>
    <t>Ss_50_60_90</t>
  </si>
  <si>
    <t>Waste liquid fuel storage and treatment systems</t>
  </si>
  <si>
    <t>Ss_50_60_95</t>
  </si>
  <si>
    <t>Waste process liquid storage and treatment systems</t>
  </si>
  <si>
    <t>Ss_50_70</t>
  </si>
  <si>
    <t>Water waste (drainage) storage, treatment and disposal systems</t>
  </si>
  <si>
    <t>Ss_50_70_05</t>
  </si>
  <si>
    <t>Below-ground private drainage disposal systems</t>
  </si>
  <si>
    <t>Ss_50_70_05_20</t>
  </si>
  <si>
    <t>Below-ground waste water drainage field systems</t>
  </si>
  <si>
    <t>50-50-05/170 Drainage field system for below ground wastewater drainage;</t>
  </si>
  <si>
    <t>8.6.1 Surface water and foul water drainage (default);</t>
  </si>
  <si>
    <t>Ss_50_70_05_22</t>
  </si>
  <si>
    <t>Below-ground drainage packaged grease trap systems</t>
  </si>
  <si>
    <t>50-50-05/150 Packaged grease trap system for below ground domestic wastewater drainage;</t>
  </si>
  <si>
    <t>Ss_50_70_05_23</t>
  </si>
  <si>
    <t>Below-ground drainage private packaged septic tank systems</t>
  </si>
  <si>
    <t>50-50-05/160 Private packaged septic tank system for below ground domestic wastewater drainage;</t>
  </si>
  <si>
    <t>Ss_50_70_05_24</t>
  </si>
  <si>
    <t>Below-ground drainage private packaged sewage treatment systems</t>
  </si>
  <si>
    <t>50-50-05/165 Private packaged sewage treatment system for below ground domestic wastewater drainage;</t>
  </si>
  <si>
    <t>Ss_50_70_05_25</t>
  </si>
  <si>
    <t>Below-ground drainage private packaged storage tank systems</t>
  </si>
  <si>
    <t>50-50-05/155 Private packaged domestic wastewater below ground storage tank system (cesspool);</t>
  </si>
  <si>
    <t>Ss_50_70_05_79</t>
  </si>
  <si>
    <t>Below-ground drainage concrete soakaway systems</t>
  </si>
  <si>
    <t>50-50-05/130 Precast concrete soakaway system for below ground surface water drainage;</t>
  </si>
  <si>
    <t>Ss_50_70_05_80</t>
  </si>
  <si>
    <t>Below-ground drainage granular fill soakaway systems</t>
  </si>
  <si>
    <t>50-50-05/120 Granular fill soakaway system for below ground surface water drainage;</t>
  </si>
  <si>
    <t>Ss_50_70_05_81</t>
  </si>
  <si>
    <t>Below-ground drainage modular plastics attenuation or storage tank systems</t>
  </si>
  <si>
    <t>50-50-05/135 Modular plastics attenuation or storage tank system for below ground surface water drainage;</t>
  </si>
  <si>
    <t>Ss_50_70_05_82</t>
  </si>
  <si>
    <t>Below-ground drainage modular plastics soakaway systems</t>
  </si>
  <si>
    <t>50-50-05/125 Modular plastics soakaway system for below ground surface water drainage;</t>
  </si>
  <si>
    <t>Ss_50_70_05_83</t>
  </si>
  <si>
    <t>Below-ground drainage packaged oil and petrol interceptor systems</t>
  </si>
  <si>
    <t>50-50-05/145 Packaged oil and petrol interceptor system for below ground surface water drainage;</t>
  </si>
  <si>
    <t>Ss_50_70_05_84</t>
  </si>
  <si>
    <t>Below-ground drainage packaged silt trap systems</t>
  </si>
  <si>
    <t>50-50-05/110 Packaged silt trap system for below ground surface water drainage;</t>
  </si>
  <si>
    <t>Ss_50_70_05_85</t>
  </si>
  <si>
    <t>Below-ground drainage rigid attenuation or storage tank systems</t>
  </si>
  <si>
    <t>50-50-05/140 Rigid attenuation or storage tank system for below ground surface water drainage;</t>
  </si>
  <si>
    <t>Ss_50_70_05_86</t>
  </si>
  <si>
    <t>Below-ground drainage wet well systems</t>
  </si>
  <si>
    <t>50-50-05/115 Wet well system for below ground surface water drainage;</t>
  </si>
  <si>
    <t>Ss_50_70_05_95</t>
  </si>
  <si>
    <t>Below-ground drainage outfall systems</t>
  </si>
  <si>
    <t>50-50-05/175 Drainage outfall system for below ground wastewater drainage;</t>
  </si>
  <si>
    <t>Ss_50_70_24</t>
  </si>
  <si>
    <t>Drainage disposal systems</t>
  </si>
  <si>
    <t>Ss_50_70_24_80</t>
  </si>
  <si>
    <t>Soakaway borehole systems</t>
  </si>
  <si>
    <t>Ss_50_70_60</t>
  </si>
  <si>
    <t>Private drainage treatment systems</t>
  </si>
  <si>
    <t>Ss_50_70_60_70</t>
  </si>
  <si>
    <t>Radioactive wastewater treatment systems</t>
  </si>
  <si>
    <t>Ss_50_70_83</t>
  </si>
  <si>
    <t>Surface water tank systems</t>
  </si>
  <si>
    <t>Ss_50_70_85</t>
  </si>
  <si>
    <t>Sustainable drainage systems (SuDS)</t>
  </si>
  <si>
    <t>Ss_50_70_85_00</t>
  </si>
  <si>
    <t>SuDS management train systems</t>
  </si>
  <si>
    <t>Ss_50_70_85_06</t>
  </si>
  <si>
    <t>Below ground surface water storage tank systems</t>
  </si>
  <si>
    <t>50-50-75/104 SuDS below ground rigid attenuation storage tank system;</t>
  </si>
  <si>
    <t>Ss_50_70_85_08</t>
  </si>
  <si>
    <t>Bioretention area systems</t>
  </si>
  <si>
    <t>50-50-75/108 SuDS bioretention area system;</t>
  </si>
  <si>
    <t>8.6.2 Ancillary drainage systems (default); 8.3.2 External planting;</t>
  </si>
  <si>
    <t>Ss_50_70_85_15</t>
  </si>
  <si>
    <t>Conveyance swale systems</t>
  </si>
  <si>
    <t>50-50-75/112 SuDS conveyance swale system;</t>
  </si>
  <si>
    <t>Ss_50_70_85_21</t>
  </si>
  <si>
    <t>Detention basin systems</t>
  </si>
  <si>
    <t>50-50-75/116 SuDS detention basin system;</t>
  </si>
  <si>
    <t>Ss_50_70_85_24</t>
  </si>
  <si>
    <t>Dry swale systems</t>
  </si>
  <si>
    <t>Ss_50_70_85_30</t>
  </si>
  <si>
    <t>Filter strip systems</t>
  </si>
  <si>
    <t>50-50-75/124 SuDS filter strip system;</t>
  </si>
  <si>
    <t>Ss_50_70_85_31</t>
  </si>
  <si>
    <t>Filter drain systems</t>
  </si>
  <si>
    <t>50-50-75/128 SuDS filter trench system;</t>
  </si>
  <si>
    <t>Ss_50_70_85_32</t>
  </si>
  <si>
    <t>Filtration treatment and separation systems</t>
  </si>
  <si>
    <t>50-50-75/198 Proprietary treatment system;</t>
  </si>
  <si>
    <t>Ss_50_70_85_33</t>
  </si>
  <si>
    <t>Geocellular attenuation tank systems</t>
  </si>
  <si>
    <t>Ss_50_70_85_34</t>
  </si>
  <si>
    <t>Geocellular soakaway systems</t>
  </si>
  <si>
    <t>50-50-75/136 SuDS geocellular soakaway system;</t>
  </si>
  <si>
    <t>Ss_50_70_85_35</t>
  </si>
  <si>
    <t>Granular fill soakaway systems</t>
  </si>
  <si>
    <t>50-50-75/140 SuDS granular fill soakaway system;</t>
  </si>
  <si>
    <t>Ss_50_70_85_41</t>
  </si>
  <si>
    <t>Infiltration basin systems</t>
  </si>
  <si>
    <t>50-50-75/152 SuDS infiltration basin system;</t>
  </si>
  <si>
    <t>Ss_50_70_85_42</t>
  </si>
  <si>
    <t>Infiltration trench systems</t>
  </si>
  <si>
    <t>Ss_50_70_85_58</t>
  </si>
  <si>
    <t>Open channel conveyance systems</t>
  </si>
  <si>
    <t>50-50-75/160 SuDS open channel conveyance system;</t>
  </si>
  <si>
    <t>Ss_50_70_85_61</t>
  </si>
  <si>
    <t>Pervious pavement systems</t>
  </si>
  <si>
    <t>50-50-75/164 SuDS permeable pavement system;</t>
  </si>
  <si>
    <t>Ss_50_70_85_64</t>
  </si>
  <si>
    <t>Pond systems</t>
  </si>
  <si>
    <t>50-50-75/176 SuDS retention pond system;</t>
  </si>
  <si>
    <t>Ss_50_70_85_66</t>
  </si>
  <si>
    <t>Precast concrete soakaway systems</t>
  </si>
  <si>
    <t>50-50-75/168 SuDS precast concrete ring soakaway system;</t>
  </si>
  <si>
    <t>Ss_50_70_85_70</t>
  </si>
  <si>
    <t>Rainwater harvesting systems</t>
  </si>
  <si>
    <t>50-50-75/172 SuDS rainwater harvesting system;</t>
  </si>
  <si>
    <t>8.6.2 Ancillary drainage systems (default); 8.7.1 Water mains supply; 2.3.4 Roof drainage; 5.4.2 Cold water distribution;</t>
  </si>
  <si>
    <t>Ss_50_70_85_75</t>
  </si>
  <si>
    <t>Sand filter bed systems</t>
  </si>
  <si>
    <t>50-50-75/180 SuDS sand filter bed below ground system;</t>
  </si>
  <si>
    <t>Ss_50_70_85_76</t>
  </si>
  <si>
    <t>Sand filter bed surface systems</t>
  </si>
  <si>
    <t>Ss_50_70_85_85</t>
  </si>
  <si>
    <t>Swale systems</t>
  </si>
  <si>
    <t>Ss_50_70_85_96</t>
  </si>
  <si>
    <t>Water butt systems</t>
  </si>
  <si>
    <t>50-50-75/188 SuDS water butt system;</t>
  </si>
  <si>
    <t>Ss_50_70_85_97</t>
  </si>
  <si>
    <t>Wet swale systems</t>
  </si>
  <si>
    <t>Ss_50_70_85_98</t>
  </si>
  <si>
    <t>Wetland drainage systems</t>
  </si>
  <si>
    <t>50-50-75/196 SuDS wetland system;</t>
  </si>
  <si>
    <t>8.6.2 Ancillary drainage systems (default); 8.5.2 Ornamental features; 8.3.2 External planting;</t>
  </si>
  <si>
    <t>Ss_50_75</t>
  </si>
  <si>
    <t>Wastewater storage, treatment and disposal systems</t>
  </si>
  <si>
    <t>Ss_50_75_01</t>
  </si>
  <si>
    <t>Aeration systems</t>
  </si>
  <si>
    <t>Ss_50_75_01_22</t>
  </si>
  <si>
    <t>Diffused aeration systems</t>
  </si>
  <si>
    <t>50-55-05/101 Diffused aeration system;</t>
  </si>
  <si>
    <t>Ss_50_75_01_44</t>
  </si>
  <si>
    <t>Jet aeration systems</t>
  </si>
  <si>
    <t>50-55-05/105 Jet aeration system;</t>
  </si>
  <si>
    <t>Ss_50_75_01_51</t>
  </si>
  <si>
    <t>Mechanical aeration systems</t>
  </si>
  <si>
    <t>50-55-05/110 Mechanical aeration system;</t>
  </si>
  <si>
    <t>Ss_50_75_01_90</t>
  </si>
  <si>
    <t>Tray cascade aeration systems</t>
  </si>
  <si>
    <t>50-55-05/120 Tray cascade aeration system;</t>
  </si>
  <si>
    <t>Ss_50_75_20</t>
  </si>
  <si>
    <t>Decanting systems</t>
  </si>
  <si>
    <t>Ss_50_75_20_96</t>
  </si>
  <si>
    <t>Wastewater decanting systems</t>
  </si>
  <si>
    <t>50-55-10/101 Wastewater decant system;</t>
  </si>
  <si>
    <t>Ss_50_75_21</t>
  </si>
  <si>
    <t>Desludging and sludge handling systems</t>
  </si>
  <si>
    <t>Ss_50_75_21_20</t>
  </si>
  <si>
    <t>Desludging systems</t>
  </si>
  <si>
    <t>50-55-15/110 Desludging system;</t>
  </si>
  <si>
    <t>Ss_50_75_21_75</t>
  </si>
  <si>
    <t>Settlement tank gravity desludging systems</t>
  </si>
  <si>
    <t>Ss_50_75_21_80</t>
  </si>
  <si>
    <t>Sludge handling and treatment systems</t>
  </si>
  <si>
    <t>50-55-70/110 Sludge handling and treatment system;</t>
  </si>
  <si>
    <t>Ss_50_75_34</t>
  </si>
  <si>
    <t>Grit treatment and removal systems</t>
  </si>
  <si>
    <t>Ss_50_75_34_16</t>
  </si>
  <si>
    <t>Crossflow grit removal systems</t>
  </si>
  <si>
    <t>50-55-20/105 Crossflow grit removal system;</t>
  </si>
  <si>
    <t>Ss_50_75_34_60</t>
  </si>
  <si>
    <t>Package grit treatment and removal systems</t>
  </si>
  <si>
    <t>50-55-20/115 Package grit treatment and removal system;</t>
  </si>
  <si>
    <t>Ss_50_75_34_94</t>
  </si>
  <si>
    <t>Vortex grit removal systems</t>
  </si>
  <si>
    <t>50-55-20/110 Vortex grit removal system;</t>
  </si>
  <si>
    <t>Ss_50_75_41</t>
  </si>
  <si>
    <t>Inlet works systems</t>
  </si>
  <si>
    <t>Ss_50_75_41_15</t>
  </si>
  <si>
    <t>Concrete inlet works systems</t>
  </si>
  <si>
    <t>50-55-40/105 Inlet works (In-situ);</t>
  </si>
  <si>
    <t>Ss_50_75_41_60</t>
  </si>
  <si>
    <t>Package inlet works systems</t>
  </si>
  <si>
    <t>50-55-40/106 Inlet works (In-situ concrete);</t>
  </si>
  <si>
    <t>Ss_50_75_41_66</t>
  </si>
  <si>
    <t>Prefabricated inlet works systems</t>
  </si>
  <si>
    <t>Ss_50_75_58</t>
  </si>
  <si>
    <t>Odour control systems</t>
  </si>
  <si>
    <t>Ss_50_75_58_07</t>
  </si>
  <si>
    <t>Bio-filtration systems</t>
  </si>
  <si>
    <t>50-55-45/105 Bio-filtration system;</t>
  </si>
  <si>
    <t>Ss_50_75_58_08</t>
  </si>
  <si>
    <t>Bio-scrubber systems</t>
  </si>
  <si>
    <t>50-55-45/110 Bio-scrubber system;</t>
  </si>
  <si>
    <t>Ss_50_75_58_11</t>
  </si>
  <si>
    <t>Catalytic iron filter systems</t>
  </si>
  <si>
    <t>50-55-45/115 Catalytic iron filter system;</t>
  </si>
  <si>
    <t>Ss_50_75_58_23</t>
  </si>
  <si>
    <t>Dry installation systems</t>
  </si>
  <si>
    <t>50-55-45/120 Dry installation system;</t>
  </si>
  <si>
    <t>Ss_50_75_58_96</t>
  </si>
  <si>
    <t>Wet scrubber systems</t>
  </si>
  <si>
    <t>50-55-45/125 Wet scrubber system;</t>
  </si>
  <si>
    <t>Ss_50_75_67</t>
  </si>
  <si>
    <t>Primary sewage treatment and final settlement systems</t>
  </si>
  <si>
    <t>Ss_50_75_67_38</t>
  </si>
  <si>
    <t>Horizontal flow tank systems</t>
  </si>
  <si>
    <t>50-55-50/110 Horizontal flow tank system;</t>
  </si>
  <si>
    <t>Ss_50_75_67_46</t>
  </si>
  <si>
    <t>Lamella tank systems</t>
  </si>
  <si>
    <t>50-55-50/120 Lamella tank system;</t>
  </si>
  <si>
    <t>Ss_50_75_67_70</t>
  </si>
  <si>
    <t>Radial flow tank systems</t>
  </si>
  <si>
    <t>50-55-50/115 Radial flow tank system;</t>
  </si>
  <si>
    <t>Ss_50_75_75</t>
  </si>
  <si>
    <t>Scum removal systems</t>
  </si>
  <si>
    <t>Ss_50_75_75_96</t>
  </si>
  <si>
    <t>Wastewater scum removal systems</t>
  </si>
  <si>
    <t>50-55-65/110 Wastewater scum removal system;</t>
  </si>
  <si>
    <t>Ss_50_75_77</t>
  </si>
  <si>
    <t>Secondary sewage treatment systems</t>
  </si>
  <si>
    <t>Ss_50_75_77_01</t>
  </si>
  <si>
    <t>Activated sludge aeration tank systems</t>
  </si>
  <si>
    <t>50-55-67/115 Activated sludge aeration tank system;</t>
  </si>
  <si>
    <t>Ss_50_75_77_07</t>
  </si>
  <si>
    <t>Biological filter tank systems</t>
  </si>
  <si>
    <t>50-55-67/110 Biological filter tanks;</t>
  </si>
  <si>
    <t>Ss_50_75_92</t>
  </si>
  <si>
    <t>Wastewater chemical dosing systems</t>
  </si>
  <si>
    <t>Ss_50_75_92_13</t>
  </si>
  <si>
    <t>Chemical dosing systems</t>
  </si>
  <si>
    <t>50-55-80/101 Chemical dosing system;</t>
  </si>
  <si>
    <t>Ss_50_75_93</t>
  </si>
  <si>
    <t>Wastewater filtration systems</t>
  </si>
  <si>
    <t>Ss_50_75_93_02</t>
  </si>
  <si>
    <t>Aggregate filtration systems</t>
  </si>
  <si>
    <t>50-55-83/110 Aggregate filtration system;</t>
  </si>
  <si>
    <t>Ss_50_75_93_07</t>
  </si>
  <si>
    <t>Biological percolating filter tiling systems</t>
  </si>
  <si>
    <t>50-55-83/120 Wastewater biological percolating filter tiling system;</t>
  </si>
  <si>
    <t>Ss_50_75_93_52</t>
  </si>
  <si>
    <t>Membrane filtration systems</t>
  </si>
  <si>
    <t>50-55-83/130 Membrane filtration system;</t>
  </si>
  <si>
    <t>Ss_50_75_94</t>
  </si>
  <si>
    <t>Wastewater screenings handling systems</t>
  </si>
  <si>
    <t>Ss_50_75_94_16</t>
  </si>
  <si>
    <t>Combined screenings capture and handling systems</t>
  </si>
  <si>
    <t>50-55-85/105 Combined screenings capture and treatment system;</t>
  </si>
  <si>
    <t>Ss_50_75_94_56</t>
  </si>
  <si>
    <t>Non-powered screening systems</t>
  </si>
  <si>
    <t>50-55-85/110 Non-powered screening system;</t>
  </si>
  <si>
    <t>Ss_50_75_94_64</t>
  </si>
  <si>
    <t>Powered screenings capture and handling systems</t>
  </si>
  <si>
    <t>50-55-85/101 Powered screenings capture and handling system;</t>
  </si>
  <si>
    <t>Ss_50_75_95</t>
  </si>
  <si>
    <t>Wastewater supply systems</t>
  </si>
  <si>
    <t>Ss_50_75_95_67</t>
  </si>
  <si>
    <t>Pumped wastewater supply systems</t>
  </si>
  <si>
    <t>50-55-95/120 Wastewater supply system;</t>
  </si>
  <si>
    <t>Ss_50_75_98</t>
  </si>
  <si>
    <t>Wastewater tank systems</t>
  </si>
  <si>
    <t>Ss_50_75_98_96</t>
  </si>
  <si>
    <t>Wastewater tank flushing systems</t>
  </si>
  <si>
    <t>50-55-97/101 Tank flushing system;</t>
  </si>
  <si>
    <t>Ss_50_80</t>
  </si>
  <si>
    <t>Solid waste storage, treatment and disposal systems</t>
  </si>
  <si>
    <t>Ss_50_80_40</t>
  </si>
  <si>
    <t>Incinerator systems</t>
  </si>
  <si>
    <t>Ss_50_80_80</t>
  </si>
  <si>
    <t>Solid waste compacting systems</t>
  </si>
  <si>
    <t>Ss_50_80_80_96</t>
  </si>
  <si>
    <t>Waste compactor systems</t>
  </si>
  <si>
    <t>50-80-80/105 Waste compactor system;</t>
  </si>
  <si>
    <t>Ss_50_80_82</t>
  </si>
  <si>
    <t>Solid waste sorting systems</t>
  </si>
  <si>
    <t>Ss_50_80_96</t>
  </si>
  <si>
    <t>Weighbridge systems</t>
  </si>
  <si>
    <t>Ss_50_80_96_00</t>
  </si>
  <si>
    <t>Above ground weighbridge systems</t>
  </si>
  <si>
    <t>75-75-95/120 Above ground weighbridge system;</t>
  </si>
  <si>
    <t>Ss_50_80_96_63</t>
  </si>
  <si>
    <t>Pit weighbridge systems</t>
  </si>
  <si>
    <t>75-75-95/110 Pit weighbridge system;</t>
  </si>
  <si>
    <t>Ss_50_95</t>
  </si>
  <si>
    <t>Temporary disposal systems</t>
  </si>
  <si>
    <t>Ss_55</t>
  </si>
  <si>
    <t>Piped supply systems</t>
  </si>
  <si>
    <t>Ss_55_05</t>
  </si>
  <si>
    <t>Gas extraction, treatment and storage systems</t>
  </si>
  <si>
    <t>Ss_55_05_30</t>
  </si>
  <si>
    <t>Gas extraction systems</t>
  </si>
  <si>
    <t>Ss_55_05_75</t>
  </si>
  <si>
    <t>Gas storage tank systems</t>
  </si>
  <si>
    <t>Ss_55_05_85</t>
  </si>
  <si>
    <t>Gas treatment systems</t>
  </si>
  <si>
    <t>Ss_55_05_95</t>
  </si>
  <si>
    <t>Gas well systems</t>
  </si>
  <si>
    <t>Ss_55_10</t>
  </si>
  <si>
    <t>Liquid fuel extraction, treatment and storage systems</t>
  </si>
  <si>
    <t>Ss_55_10_70</t>
  </si>
  <si>
    <t>Liquid fuel extraction systems</t>
  </si>
  <si>
    <t>Ss_55_10_75</t>
  </si>
  <si>
    <t>Liquid fuel storage tank systems</t>
  </si>
  <si>
    <t>Ss_55_10_85</t>
  </si>
  <si>
    <t>Liquid fuel treatment systems</t>
  </si>
  <si>
    <t>Ss_55_10_95</t>
  </si>
  <si>
    <t>Liquid fuel well systems</t>
  </si>
  <si>
    <t>Ss_55_15</t>
  </si>
  <si>
    <t>Water extraction, treatment and storage systems</t>
  </si>
  <si>
    <t>Ss_55_15_65</t>
  </si>
  <si>
    <t>Potable water storage tank systems</t>
  </si>
  <si>
    <t>Ss_55_15_65_15</t>
  </si>
  <si>
    <t>Concrete potable water storage systems</t>
  </si>
  <si>
    <t>55-05-65/130 Precast concrete potable water storage system;</t>
  </si>
  <si>
    <t>Ss_55_15_65_65</t>
  </si>
  <si>
    <t>Plastics potable water storage systems</t>
  </si>
  <si>
    <t>55-05-65/120 Plastics potable water storage system;</t>
  </si>
  <si>
    <t>Ss_55_15_65_72</t>
  </si>
  <si>
    <t>Reinforced concrete potable water storage systems</t>
  </si>
  <si>
    <t>55-05-65/101 Reinforced concrete potable water storage system;</t>
  </si>
  <si>
    <t>Ss_55_15_65_84</t>
  </si>
  <si>
    <t>Steel framed potable water storage systems</t>
  </si>
  <si>
    <t>55-05-65/110 Steel framed potable water storage system;</t>
  </si>
  <si>
    <t>Ss_55_15_70</t>
  </si>
  <si>
    <t>Water reservoir systems</t>
  </si>
  <si>
    <t>Ss_55_15_72</t>
  </si>
  <si>
    <t>Water extraction and monitoring systems</t>
  </si>
  <si>
    <t>Ss_55_15_72_20</t>
  </si>
  <si>
    <t>Water extraction borehole systems</t>
  </si>
  <si>
    <t>Ss_55_15_72_50</t>
  </si>
  <si>
    <t>Water monitoring borehole systems</t>
  </si>
  <si>
    <t>Ss_55_15_85</t>
  </si>
  <si>
    <t>Water treatment and purification systems</t>
  </si>
  <si>
    <t>Ss_55_15_85_08</t>
  </si>
  <si>
    <t>Biological aerated flooded filter systems</t>
  </si>
  <si>
    <t>55-05-85/115 Biological aerated flooded filter system;</t>
  </si>
  <si>
    <t>Ss_55_15_85_23</t>
  </si>
  <si>
    <t>Dissolved air flotation systems</t>
  </si>
  <si>
    <t>55-05-85/110 Dissolved air flotation system;</t>
  </si>
  <si>
    <t>Ss_55_15_85_46</t>
  </si>
  <si>
    <t>Lamella plate systems</t>
  </si>
  <si>
    <t>55-05-85/105 Lamella plate system;</t>
  </si>
  <si>
    <t>Ss_55_15_85_75</t>
  </si>
  <si>
    <t>Sandfilter systems</t>
  </si>
  <si>
    <t>55-05-85/120 Sandfilter system;</t>
  </si>
  <si>
    <t>Ss_55_15_85_85</t>
  </si>
  <si>
    <t>Submerged aerated filter systems</t>
  </si>
  <si>
    <t>55-05-85/101 Submerged aerated filter system;</t>
  </si>
  <si>
    <t>Ss_55_15_95</t>
  </si>
  <si>
    <t>Wet well systems</t>
  </si>
  <si>
    <t>Ss_55_15_95_64</t>
  </si>
  <si>
    <t>Piled wet well systems</t>
  </si>
  <si>
    <t>55-05-95/110 Piled wet well system;</t>
  </si>
  <si>
    <t>Ss_55_15_95_72</t>
  </si>
  <si>
    <t>Reinforced concrete wet well systems</t>
  </si>
  <si>
    <t>55-05-95/105 Reinforced concrete wet well system;</t>
  </si>
  <si>
    <t>Ss_55_20</t>
  </si>
  <si>
    <t>Gas distribution and supply systems</t>
  </si>
  <si>
    <t>Ss_55_20_15</t>
  </si>
  <si>
    <t>Compressed air supply systems</t>
  </si>
  <si>
    <t>Ss_55_20_15_42</t>
  </si>
  <si>
    <t>Industrial compressed air supply systems</t>
  </si>
  <si>
    <t>55-60-10/110 Compressed air supply system;</t>
  </si>
  <si>
    <t>5.13.1 Specialist piped supply installations (default);</t>
  </si>
  <si>
    <t>Ss_55_20_15_46</t>
  </si>
  <si>
    <t>Laboratory compressed air supply systems</t>
  </si>
  <si>
    <t>Ss_55_20_15_51</t>
  </si>
  <si>
    <t>Medical compressed air supply systems</t>
  </si>
  <si>
    <t>55-65-40/140 Medical compressed air supply system;</t>
  </si>
  <si>
    <t>Ss_55_20_33</t>
  </si>
  <si>
    <t>Gas distribution network systems</t>
  </si>
  <si>
    <t>Ss_55_20_33_56</t>
  </si>
  <si>
    <t>Natural gas distribution network systems</t>
  </si>
  <si>
    <t>55-60-55/110 Incoming gas supply;</t>
  </si>
  <si>
    <t>5.9.2 Fuel distribution systems; 8.7.5 Gas mains supply (default);</t>
  </si>
  <si>
    <t>Ss_55_20_34</t>
  </si>
  <si>
    <t>Gas supply systems</t>
  </si>
  <si>
    <t>Ss_55_20_34_05</t>
  </si>
  <si>
    <t>Biogas supply systems</t>
  </si>
  <si>
    <t>55-60-05/110 Biogas system;</t>
  </si>
  <si>
    <t>5.9.1 Fuel storage; 8.7.7 External fuel storage and piped distribution systems (default); 5.9.2 Fuel distribution systems;</t>
  </si>
  <si>
    <t>Ss_55_20_34_46</t>
  </si>
  <si>
    <t>Liquefied petroleum gas (LPG) supply systems</t>
  </si>
  <si>
    <t>55-60-50/110 LPG supply system;</t>
  </si>
  <si>
    <t>Ss_55_20_34_57</t>
  </si>
  <si>
    <t>Natural gas supply systems</t>
  </si>
  <si>
    <t>55-60-55/120 Natural gas supply system;</t>
  </si>
  <si>
    <t>Ss_55_20_34_95</t>
  </si>
  <si>
    <t>Welding gas supply systems</t>
  </si>
  <si>
    <t>Ss_55_20_40</t>
  </si>
  <si>
    <t>Inert gas supply systems</t>
  </si>
  <si>
    <t>Ss_55_20_45</t>
  </si>
  <si>
    <t>Laboratory gas supply systems</t>
  </si>
  <si>
    <t>Ss_55_20_45_05</t>
  </si>
  <si>
    <t>Laboratory argon supply systems</t>
  </si>
  <si>
    <t>55-60-45/110 Laboratory argon supply system;</t>
  </si>
  <si>
    <t>Ss_55_20_45_36</t>
  </si>
  <si>
    <t>Laboratory helium supply systems</t>
  </si>
  <si>
    <t>55-60-45/120 Laboratory helium supply system;</t>
  </si>
  <si>
    <t>Ss_55_20_45_39</t>
  </si>
  <si>
    <t>Laboratory hydrogen supply systems</t>
  </si>
  <si>
    <t>55-60-45/130 Laboratory hydrogen supply system;</t>
  </si>
  <si>
    <t>Ss_55_20_45_56</t>
  </si>
  <si>
    <t>Laboratory nitrogen supply systems</t>
  </si>
  <si>
    <t>55-60-45/140 Laboratory nitrogen supply system;</t>
  </si>
  <si>
    <t>Ss_55_20_45_59</t>
  </si>
  <si>
    <t>Laboratory oxygen supply systems</t>
  </si>
  <si>
    <t>55-60-45/150 Laboratory oxygen supply system;</t>
  </si>
  <si>
    <t>Ss_55_20_51</t>
  </si>
  <si>
    <t>Medical gas supply systems</t>
  </si>
  <si>
    <t>Ss_55_20_51_03</t>
  </si>
  <si>
    <t>Medical anaesthetic gas scavenging systems</t>
  </si>
  <si>
    <t>55-65-40/160 Medical anaesthetic gas scavenging system;</t>
  </si>
  <si>
    <t>5.7.2 Local and special ventilation (default);</t>
  </si>
  <si>
    <t>Ss_55_20_51_27</t>
  </si>
  <si>
    <t>Medical entonox supply systems</t>
  </si>
  <si>
    <t>Ss_55_20_51_36</t>
  </si>
  <si>
    <t>Medical helium/ oxygen mixture supply systems</t>
  </si>
  <si>
    <t>55-65-40/170 Medical helium/ oxygen mixture supply system;</t>
  </si>
  <si>
    <t>Ss_55_20_51_56</t>
  </si>
  <si>
    <t>Medical nitrous oxide supply systems</t>
  </si>
  <si>
    <t>55-65-40/120 Medical nitrous oxide supply system;</t>
  </si>
  <si>
    <t>Ss_55_20_51_57</t>
  </si>
  <si>
    <t>Medical nitrous oxide/ oxygen mixture supply systems</t>
  </si>
  <si>
    <t>55-65-40/130 Medical nitrous oxide/ oxygen mixture supply system;</t>
  </si>
  <si>
    <t>Ss_55_20_51_59</t>
  </si>
  <si>
    <t>Medical oxygen supply systems</t>
  </si>
  <si>
    <t>55-65-40/110 Medical oxygen supply system;</t>
  </si>
  <si>
    <t>Ss_55_20_60</t>
  </si>
  <si>
    <t>Process gas systems</t>
  </si>
  <si>
    <t>Ss_55_20_60_33</t>
  </si>
  <si>
    <t>Gas vaporizing systems</t>
  </si>
  <si>
    <t>Ss_55_20_85</t>
  </si>
  <si>
    <t>Specialist and high purity gas supply systems</t>
  </si>
  <si>
    <t>Ss_55_20_94</t>
  </si>
  <si>
    <t>Vacuum supply systems</t>
  </si>
  <si>
    <t>Ss_55_20_94_51</t>
  </si>
  <si>
    <t>Medical vacuum supply systems</t>
  </si>
  <si>
    <t>55-65-40/150 Medical vacuum system;</t>
  </si>
  <si>
    <t>Ss_55_30</t>
  </si>
  <si>
    <t>Fire extinguishing systems</t>
  </si>
  <si>
    <t>Ss_55_30_35</t>
  </si>
  <si>
    <t>Gaseous and foam fire extinguishing systems</t>
  </si>
  <si>
    <t>Ss_55_30_35_10</t>
  </si>
  <si>
    <t>Carbon dioxide fire extinguishing systems</t>
  </si>
  <si>
    <t>55-85-40/110 Carbon dioxide fire-extinguishing system;</t>
  </si>
  <si>
    <t>5.11.2 Fire suppression systems;</t>
  </si>
  <si>
    <t>Ss_55_30_35_31</t>
  </si>
  <si>
    <t>Foam fire extinguishing systems</t>
  </si>
  <si>
    <t>55-85-35/110 Foam fire fighting system;</t>
  </si>
  <si>
    <t>5.11.1 Fire fighting systems (default);</t>
  </si>
  <si>
    <t>Ss_55_30_35_35</t>
  </si>
  <si>
    <t>Halocarbon gas total flooding fire extinguishing systems</t>
  </si>
  <si>
    <t>55-85-40/120 Halocarbon gas total flooding fire-extinguishing system;</t>
  </si>
  <si>
    <t>5.11.2 Fire suppression systems (default);</t>
  </si>
  <si>
    <t>Ss_55_30_35_40</t>
  </si>
  <si>
    <t>Inert gas total flooding fire extinguishing systems</t>
  </si>
  <si>
    <t>55-85-40/130 Inert gas total flooding fire-extinguishing system;</t>
  </si>
  <si>
    <t>Ss_55_30_65</t>
  </si>
  <si>
    <t>Portable fire extinguishing systems</t>
  </si>
  <si>
    <t>Ss_55_30_65_30</t>
  </si>
  <si>
    <t>Fire blanket systems</t>
  </si>
  <si>
    <t>35-70-60/110 Fire blanket system;</t>
  </si>
  <si>
    <t>Ss_55_30_65_35</t>
  </si>
  <si>
    <t>Fire bucket systems</t>
  </si>
  <si>
    <t>35-70-60/120 Fire bucket system;</t>
  </si>
  <si>
    <t>Ss_55_30_65_65</t>
  </si>
  <si>
    <t>Portable fire extinguisher systems</t>
  </si>
  <si>
    <t>35-70-60/130 Portable fire extinguisher system;</t>
  </si>
  <si>
    <t>Ss_55_30_96</t>
  </si>
  <si>
    <t>Water firefighting systems</t>
  </si>
  <si>
    <t>Ss_55_30_96_24</t>
  </si>
  <si>
    <t>Dry dropper systems</t>
  </si>
  <si>
    <t>Ss_55_30_96_25</t>
  </si>
  <si>
    <t>Dry riser systems</t>
  </si>
  <si>
    <t>55-85-20/110 Dry riser system;</t>
  </si>
  <si>
    <t>Ss_55_30_96_29</t>
  </si>
  <si>
    <t>Fire hose reel systems</t>
  </si>
  <si>
    <t>55-85-25/110 Fire hose reel system;</t>
  </si>
  <si>
    <t>Ss_55_30_96_30</t>
  </si>
  <si>
    <t>Fire hydrant systems</t>
  </si>
  <si>
    <t>55-85-30/110 Fire hydrant system;</t>
  </si>
  <si>
    <t>5.4.1 Mains water supply (default);</t>
  </si>
  <si>
    <t>Ss_55_30_96_95</t>
  </si>
  <si>
    <t>Water cannon firefighting systems</t>
  </si>
  <si>
    <t>Ss_55_30_96_97</t>
  </si>
  <si>
    <t>Wet riser systems</t>
  </si>
  <si>
    <t>55-85-95/110 Wet riser system;</t>
  </si>
  <si>
    <t>Ss_55_30_98</t>
  </si>
  <si>
    <t>Water fire suppression systems</t>
  </si>
  <si>
    <t>Ss_55_30_98_21</t>
  </si>
  <si>
    <t>Deluge systems</t>
  </si>
  <si>
    <t>55-85-15/110 Deluge system;</t>
  </si>
  <si>
    <t>Ss_55_30_98_23</t>
  </si>
  <si>
    <t>Domestic sprinkler systems</t>
  </si>
  <si>
    <t>55-85-75/120 Domestic and residential sprinkler system;</t>
  </si>
  <si>
    <t>Ss_55_30_98_85</t>
  </si>
  <si>
    <t>Sprinkler systems</t>
  </si>
  <si>
    <t>55-85-75/110 Sprinkler system;</t>
  </si>
  <si>
    <t>Ss_55_30_98_96</t>
  </si>
  <si>
    <t>Water mist systems</t>
  </si>
  <si>
    <t>55-85-90/110 Water mist system;</t>
  </si>
  <si>
    <t>Ss_55_40</t>
  </si>
  <si>
    <t>Steam distribution and supply systems</t>
  </si>
  <si>
    <t>Ss_55_40_85</t>
  </si>
  <si>
    <t>Steam supply and condensate systems</t>
  </si>
  <si>
    <t>55-55-75/110 Steam and condensate system;</t>
  </si>
  <si>
    <t>5.4.5 Steam and condensate distribution (default); 8.7.10 Local/district heating installations;</t>
  </si>
  <si>
    <t>Ss_55_40_85_38</t>
  </si>
  <si>
    <t>Hospital steam supply and condensate systems</t>
  </si>
  <si>
    <t>Ss_55_40_85_41</t>
  </si>
  <si>
    <t>Industrial steam supply and condensate systems</t>
  </si>
  <si>
    <t>Ss_55_50</t>
  </si>
  <si>
    <t>Liquid fuel distribution and supply systems</t>
  </si>
  <si>
    <t>Ss_55_50_46</t>
  </si>
  <si>
    <t>Liquid fuel distribution network systems</t>
  </si>
  <si>
    <t>Ss_55_50_46_58</t>
  </si>
  <si>
    <t>Oil distribution network systems</t>
  </si>
  <si>
    <t>Ss_55_50_47</t>
  </si>
  <si>
    <t>Liquid fuel supply systems</t>
  </si>
  <si>
    <t>Ss_55_50_47_10</t>
  </si>
  <si>
    <t>Biodiesel supply systems</t>
  </si>
  <si>
    <t>Ss_55_50_47_12</t>
  </si>
  <si>
    <t>Bioethanol supply systems</t>
  </si>
  <si>
    <t>55-45-50/120 Bioethanol supply system;</t>
  </si>
  <si>
    <t>Ss_55_50_47_21</t>
  </si>
  <si>
    <t>Diesel supply systems</t>
  </si>
  <si>
    <t>55-45-20/120 Diesel supply system;</t>
  </si>
  <si>
    <t>Ss_55_50_47_32</t>
  </si>
  <si>
    <t>Fuel oil supply systems</t>
  </si>
  <si>
    <t>55-45-30/110 Fuel oil supply system;</t>
  </si>
  <si>
    <t>Ss_55_50_47_45</t>
  </si>
  <si>
    <t>Kerosene/ jet fuel supply systems</t>
  </si>
  <si>
    <t>Ss_55_50_47_46</t>
  </si>
  <si>
    <t>Liquid biofuel supply systems</t>
  </si>
  <si>
    <t>55-45-50/110 Biofuel supply system;</t>
  </si>
  <si>
    <t>Ss_55_50_47_61</t>
  </si>
  <si>
    <t>Petrol supply systems</t>
  </si>
  <si>
    <t>55-45-20/110 Petrol supply system;</t>
  </si>
  <si>
    <t>Ss_55_60</t>
  </si>
  <si>
    <t>Process liquid distribution and supply systems</t>
  </si>
  <si>
    <t>Ss_55_60_45</t>
  </si>
  <si>
    <t>Liquid acids and bases supply systems</t>
  </si>
  <si>
    <t>Ss_55_60_47</t>
  </si>
  <si>
    <t>Liquid chemicals supply systems</t>
  </si>
  <si>
    <t>Ss_55_60_50</t>
  </si>
  <si>
    <t>Liquid polymer supply systems</t>
  </si>
  <si>
    <t>Ss_55_60_55</t>
  </si>
  <si>
    <t>Lubrication supply systems</t>
  </si>
  <si>
    <t>Ss_55_60_55_70</t>
  </si>
  <si>
    <t>Rail lubrication supply systems</t>
  </si>
  <si>
    <t>55-45-55/101 Rail lubrication system;</t>
  </si>
  <si>
    <t>Ss_55_70</t>
  </si>
  <si>
    <t>Water distribution and supply systems</t>
  </si>
  <si>
    <t>Ss_55_70_38</t>
  </si>
  <si>
    <t>Hot and cold water supply systems</t>
  </si>
  <si>
    <t>Ss_55_70_38_15</t>
  </si>
  <si>
    <t>Cold water supply systems</t>
  </si>
  <si>
    <t>55-40-40/120 Cold water supply system;</t>
  </si>
  <si>
    <t>5.4.2 Cold water distribution (default);</t>
  </si>
  <si>
    <t>Ss_55_70_38_20</t>
  </si>
  <si>
    <t>Direct hot water storage supply systems</t>
  </si>
  <si>
    <t>55-40-40/150 Direct hot water storage supply system;</t>
  </si>
  <si>
    <t>5.4.3 Hot water distribution (default);</t>
  </si>
  <si>
    <t>Ss_55_70_38_40</t>
  </si>
  <si>
    <t>Incoming water supply systems</t>
  </si>
  <si>
    <t>55-40-40/110 Incoming water supply;</t>
  </si>
  <si>
    <t>Ss_55_70_38_42</t>
  </si>
  <si>
    <t>Indirect hot water storage supply systems</t>
  </si>
  <si>
    <t>55-40-40/160 Indirect hot water storage supply system;</t>
  </si>
  <si>
    <t>Ss_55_70_38_45</t>
  </si>
  <si>
    <t>Instantaneous hot water supply systems</t>
  </si>
  <si>
    <t>55-40-40/140 Instantaneous hot water supply system;</t>
  </si>
  <si>
    <t>5.4.4 Local hot water distribution (default);</t>
  </si>
  <si>
    <t>Ss_55_70_38_65</t>
  </si>
  <si>
    <t>Pumped cold water supply systems</t>
  </si>
  <si>
    <t>55-40-40/130 Pumped cold water supply system;</t>
  </si>
  <si>
    <t>Ss_55_70_39</t>
  </si>
  <si>
    <t>Hydroelectric pressure water supply systems</t>
  </si>
  <si>
    <t>Ss_55_70_39_10</t>
  </si>
  <si>
    <t>Buried pressure pipeline systems</t>
  </si>
  <si>
    <t>55-40-55/110 Buried pressure pipeline system;</t>
  </si>
  <si>
    <t>Ss_55_70_42</t>
  </si>
  <si>
    <t>Irrigation systems</t>
  </si>
  <si>
    <t>Ss_55_70_42_20</t>
  </si>
  <si>
    <t>Drip irrigation systems</t>
  </si>
  <si>
    <t>55-40-50/115 Drip irrigation system;</t>
  </si>
  <si>
    <t>8.3.3 Irrigation systems (default); 5.13.1 Specialist piped supply installations;</t>
  </si>
  <si>
    <t>Ss_55_70_42_50</t>
  </si>
  <si>
    <t>Manual irrigation systems</t>
  </si>
  <si>
    <t>55-40-50/145 Manual irrigation system;</t>
  </si>
  <si>
    <t>Ss_55_70_42_60</t>
  </si>
  <si>
    <t>Passive irrigation systems</t>
  </si>
  <si>
    <t>55-40-50/160 Passive irrigation system;</t>
  </si>
  <si>
    <t>Ss_55_70_42_85</t>
  </si>
  <si>
    <t>Sprinkler irrigation systems</t>
  </si>
  <si>
    <t>55-40-50/175 Sprinkler irrigation system;</t>
  </si>
  <si>
    <t>Ss_55_70_42_87</t>
  </si>
  <si>
    <t>Sub-irrigation systems</t>
  </si>
  <si>
    <t>55-40-50/170 Sub irrigation system;</t>
  </si>
  <si>
    <t>Ss_55_70_94</t>
  </si>
  <si>
    <t>Washing systems</t>
  </si>
  <si>
    <t>Ss_55_70_94_94</t>
  </si>
  <si>
    <t>Wash plant systems</t>
  </si>
  <si>
    <t>55-40-85/130 Wash plant system;</t>
  </si>
  <si>
    <t>Ss_55_70_94_96</t>
  </si>
  <si>
    <t>Wheel washing systems</t>
  </si>
  <si>
    <t>55-40-85/110 Wheel washing system;</t>
  </si>
  <si>
    <t>Ss_55_70_95</t>
  </si>
  <si>
    <t>Water distribution network systems</t>
  </si>
  <si>
    <t>Ss_55_70_95_50</t>
  </si>
  <si>
    <t>Mains water distribution network systems</t>
  </si>
  <si>
    <t>Ss_55_70_95_66</t>
  </si>
  <si>
    <t>Private water distribution network systems</t>
  </si>
  <si>
    <t>Ss_55_70_96</t>
  </si>
  <si>
    <t>Water feature systems</t>
  </si>
  <si>
    <t>Ss_55_70_96_15</t>
  </si>
  <si>
    <t>Cascade and waterfall systems</t>
  </si>
  <si>
    <t>55-40-90/120 Cascade and waterfall system;</t>
  </si>
  <si>
    <t>8.5.2 Ornamental features; 5.13.5 Water features (default);</t>
  </si>
  <si>
    <t>Ss_55_70_96_31</t>
  </si>
  <si>
    <t>Fountain and jet systems</t>
  </si>
  <si>
    <t>55-40-90/135 Fountain and jet system;</t>
  </si>
  <si>
    <t>Ss_55_70_96_83</t>
  </si>
  <si>
    <t>Self-contained water feature systems</t>
  </si>
  <si>
    <t>55-40-90/170 Self-contained water feature system;</t>
  </si>
  <si>
    <t>Ss_55_70_96_96</t>
  </si>
  <si>
    <t>Water play systems</t>
  </si>
  <si>
    <t>55-40-90/180 Water play system;</t>
  </si>
  <si>
    <t>Ss_55_70_97</t>
  </si>
  <si>
    <t>Water reclamation systems</t>
  </si>
  <si>
    <t>Ss_55_70_97_35</t>
  </si>
  <si>
    <t>Grey water reclamation systems</t>
  </si>
  <si>
    <t>55-40-95/110 Grey water reclamation system;</t>
  </si>
  <si>
    <t>Ss_55_70_97_70</t>
  </si>
  <si>
    <t>Rainwater reclamation systems</t>
  </si>
  <si>
    <t>55-40-95/120 Rainwater reclamation system;</t>
  </si>
  <si>
    <t>Ss_55_70_98</t>
  </si>
  <si>
    <t>Water treatment systems</t>
  </si>
  <si>
    <t>Ss_55_70_98_08</t>
  </si>
  <si>
    <t>Bore water treatment systems</t>
  </si>
  <si>
    <t>Ss_55_70_98_85</t>
  </si>
  <si>
    <t>Swimming pool water treatment systems</t>
  </si>
  <si>
    <t>55-40-80/110 Pool water treatment system;</t>
  </si>
  <si>
    <t>Ss_55_70_98_92</t>
  </si>
  <si>
    <t>Ultrapure water treatment systems</t>
  </si>
  <si>
    <t>Ss_55_70_99</t>
  </si>
  <si>
    <t>Water management systems</t>
  </si>
  <si>
    <t>Ss_55_70_99_84</t>
  </si>
  <si>
    <t>Stoplog systems</t>
  </si>
  <si>
    <t>Ss_55_90</t>
  </si>
  <si>
    <t>Piped solids distribution and supply systems</t>
  </si>
  <si>
    <t>Ss_55_90_65</t>
  </si>
  <si>
    <t>Piped granule and powder supply systems</t>
  </si>
  <si>
    <t>Ss_55_95</t>
  </si>
  <si>
    <t>Temporary piped supply systems</t>
  </si>
  <si>
    <t>Ss_60</t>
  </si>
  <si>
    <t>Heating, cooling and refrigeration systems</t>
  </si>
  <si>
    <t>Ss_60_30</t>
  </si>
  <si>
    <t>Rail and paving heating systems</t>
  </si>
  <si>
    <t>Ss_60_30_60</t>
  </si>
  <si>
    <t>Pavement heating systems</t>
  </si>
  <si>
    <t>Ss_60_30_60_27</t>
  </si>
  <si>
    <t>Electric pavement heating systems</t>
  </si>
  <si>
    <t>60-20-60/101 Electric pavement heating system;</t>
  </si>
  <si>
    <t>Ss_60_30_70</t>
  </si>
  <si>
    <t>Railway heating systems</t>
  </si>
  <si>
    <t>Ss_60_30_70_65</t>
  </si>
  <si>
    <t>Points heating systems</t>
  </si>
  <si>
    <t>Ss_60_30_75</t>
  </si>
  <si>
    <t>Runway heating systems</t>
  </si>
  <si>
    <t>Ss_60_30_90</t>
  </si>
  <si>
    <t>Tramway heating systems</t>
  </si>
  <si>
    <t>Ss_60_40</t>
  </si>
  <si>
    <t>Space heating and cooling systems</t>
  </si>
  <si>
    <t>Ss_60_40_13</t>
  </si>
  <si>
    <t>Climatic ceiling and beam systems</t>
  </si>
  <si>
    <t>Ss_60_40_13_13</t>
  </si>
  <si>
    <t>Climatic beam systems</t>
  </si>
  <si>
    <t>60-45-15/110 Climatic beam system;</t>
  </si>
  <si>
    <t>5.6.5 Central heating and cooling (default);</t>
  </si>
  <si>
    <t>Ss_60_40_13_14</t>
  </si>
  <si>
    <t>Climatic ceiling systems</t>
  </si>
  <si>
    <t>60-45-15/120 Climatic ceiling system;</t>
  </si>
  <si>
    <t>Ss_60_40_15</t>
  </si>
  <si>
    <t>Combined heating, cooling and power systems</t>
  </si>
  <si>
    <t>Ss_60_40_15_40</t>
  </si>
  <si>
    <t>Combined heat and power systems</t>
  </si>
  <si>
    <t>60-45-20/110 Combined heat and power system;</t>
  </si>
  <si>
    <t>5.8.5 Local electricity generation systems (default);</t>
  </si>
  <si>
    <t>Ss_60_40_15_90</t>
  </si>
  <si>
    <t>Combined underfloor heating and cooling systems</t>
  </si>
  <si>
    <t>60-45-90/130 Combined underfloor heating and cooling;</t>
  </si>
  <si>
    <t>Ss_60_40_17</t>
  </si>
  <si>
    <t>Cooling systems</t>
  </si>
  <si>
    <t>Ss_60_40_17_12</t>
  </si>
  <si>
    <t>Chilled water systems</t>
  </si>
  <si>
    <t>60-45-10/110 Chilled water system;</t>
  </si>
  <si>
    <t>5.6.3 Central cooling (default); 5.6.5 Central heating and cooling;</t>
  </si>
  <si>
    <t>Ss_60_40_17_21</t>
  </si>
  <si>
    <t>District cooling systems</t>
  </si>
  <si>
    <t>Ss_60_40_17_71</t>
  </si>
  <si>
    <t>Refrigerant cooling systems</t>
  </si>
  <si>
    <t>Ss_60_40_17_92</t>
  </si>
  <si>
    <t>Underfloor chilled water systems</t>
  </si>
  <si>
    <t>60-45-90/120 Chilled water underfloor cooling;</t>
  </si>
  <si>
    <t>5.6.3 Central cooling (default);</t>
  </si>
  <si>
    <t>Ss_60_40_17_94</t>
  </si>
  <si>
    <t>Variable refrigerant flow systems</t>
  </si>
  <si>
    <t>60-45-95/110 Variable refrigerant flow system;</t>
  </si>
  <si>
    <t>Ss_60_40_17_96</t>
  </si>
  <si>
    <t>Water cooling systems</t>
  </si>
  <si>
    <t>Ss_60_40_36</t>
  </si>
  <si>
    <t>Heat pump systems</t>
  </si>
  <si>
    <t>Ss_60_40_36_05</t>
  </si>
  <si>
    <t>Air source heat pump systems</t>
  </si>
  <si>
    <t>60-45-35/110 Air source heat pump system;</t>
  </si>
  <si>
    <t>5.5.1 Heat source (default);</t>
  </si>
  <si>
    <t>Ss_60_40_36_35</t>
  </si>
  <si>
    <t>Ground source heat pump systems</t>
  </si>
  <si>
    <t>60-45-35/130 Ground source heat pump system;</t>
  </si>
  <si>
    <t>Ss_60_40_36_96</t>
  </si>
  <si>
    <t>Water source heat pump systems</t>
  </si>
  <si>
    <t>60-45-35/120 Water source heat pump system;</t>
  </si>
  <si>
    <t>Ss_60_40_37</t>
  </si>
  <si>
    <t>Heating systems</t>
  </si>
  <si>
    <t>Ss_60_40_37_21</t>
  </si>
  <si>
    <t>Direct gas fired heating systems</t>
  </si>
  <si>
    <t>60-45-40/150 Direct gas fired heating system;</t>
  </si>
  <si>
    <t>5.6.2 Local heating (default);</t>
  </si>
  <si>
    <t>Ss_60_40_37_22</t>
  </si>
  <si>
    <t>District heating systems</t>
  </si>
  <si>
    <t>Ss_60_40_37_26</t>
  </si>
  <si>
    <t>Electric heating systems</t>
  </si>
  <si>
    <t>60-45-40/160 Electric heating system;</t>
  </si>
  <si>
    <t>5.6.1 Central heating; 5.6.2 Local heating (default);</t>
  </si>
  <si>
    <t>Ss_60_40_37_27</t>
  </si>
  <si>
    <t>Electric underfloor heating systems</t>
  </si>
  <si>
    <t>60-45-90/140 Electrical underfloor heating;</t>
  </si>
  <si>
    <t>5.6.1 Central heating (default);</t>
  </si>
  <si>
    <t>Ss_60_40_37_28</t>
  </si>
  <si>
    <t>Electrical resistance trace heating systems</t>
  </si>
  <si>
    <t>60-45-45/110 Electrical resistance trace heating systems;</t>
  </si>
  <si>
    <t>Ss_60_40_37_48</t>
  </si>
  <si>
    <t>Low temperature hot water heating systems</t>
  </si>
  <si>
    <t>60-45-40/110 Low temperature hot water heating system;</t>
  </si>
  <si>
    <t>Ss_60_40_37_51</t>
  </si>
  <si>
    <t>Medium temperature hot water heating systems</t>
  </si>
  <si>
    <t>60-45-40/120 Medium temperature hot water heating system;</t>
  </si>
  <si>
    <t>Ss_60_40_37_81</t>
  </si>
  <si>
    <t>Solar heating systems</t>
  </si>
  <si>
    <t>60-45-40/140 Solar heating system;</t>
  </si>
  <si>
    <t>Ss_60_40_37_85</t>
  </si>
  <si>
    <t>Steam heating systems</t>
  </si>
  <si>
    <t>Ss_60_40_37_94</t>
  </si>
  <si>
    <t>Underfloor low temperature hot water heating systems</t>
  </si>
  <si>
    <t>60-45-90/110 Low temperature hot water underfloor heating;</t>
  </si>
  <si>
    <t>Ss_60_40_84</t>
  </si>
  <si>
    <t>Space heating and cooling distribution network systems</t>
  </si>
  <si>
    <t>Ss_60_40_84_21</t>
  </si>
  <si>
    <t>District cooling distribution network systems</t>
  </si>
  <si>
    <t>Ss_60_40_84_22</t>
  </si>
  <si>
    <t>District heating distribution network systems</t>
  </si>
  <si>
    <t>Ss_60_60</t>
  </si>
  <si>
    <t>Refrigeration systems</t>
  </si>
  <si>
    <t>Ss_60_60_15</t>
  </si>
  <si>
    <t>Cold room systems</t>
  </si>
  <si>
    <t>Ss_60_60_15_10</t>
  </si>
  <si>
    <t>Catering cold room systems</t>
  </si>
  <si>
    <t>60-55-10/110 Catering cold room system;</t>
  </si>
  <si>
    <t>5.13.2 Specialist refrigeration systems (default);</t>
  </si>
  <si>
    <t>Ss_60_60_15_50</t>
  </si>
  <si>
    <t>Mortuary cold room systems</t>
  </si>
  <si>
    <t>60-55-10/120 Mortuary cold room system;</t>
  </si>
  <si>
    <t>Ss_60_60_17</t>
  </si>
  <si>
    <t>Cold storage systems</t>
  </si>
  <si>
    <t>Ss_60_60_70</t>
  </si>
  <si>
    <t>Refrigerant systems</t>
  </si>
  <si>
    <t>Ss_60_60_70_15</t>
  </si>
  <si>
    <t>Refrigerant charging systems</t>
  </si>
  <si>
    <t>Ss_60_60_70_70</t>
  </si>
  <si>
    <t>Refrigerant recovery systems</t>
  </si>
  <si>
    <t>Ss_60_80</t>
  </si>
  <si>
    <t>Drying systems</t>
  </si>
  <si>
    <t>Ss_60_80_08</t>
  </si>
  <si>
    <t>Bottle and can drying systems</t>
  </si>
  <si>
    <t>Ss_60_95</t>
  </si>
  <si>
    <t>Temporary heating, cooling and refrigeration systems</t>
  </si>
  <si>
    <t>Ss_65</t>
  </si>
  <si>
    <t>Ventilation and air conditioning systems</t>
  </si>
  <si>
    <t>Ss_65_40</t>
  </si>
  <si>
    <t>Ventilation systems</t>
  </si>
  <si>
    <t>Ss_65_40_25</t>
  </si>
  <si>
    <t>Dust extract systems</t>
  </si>
  <si>
    <t>Ss_65_40_32</t>
  </si>
  <si>
    <t>Fume extract systems</t>
  </si>
  <si>
    <t>Ss_65_40_32_32</t>
  </si>
  <si>
    <t>Fume cupboard extract systems</t>
  </si>
  <si>
    <t>65-10-30/120 Fume cupboard extract system;</t>
  </si>
  <si>
    <t>Ss_65_40_32_70</t>
  </si>
  <si>
    <t>Recirculatory fume cupboard systems</t>
  </si>
  <si>
    <t>65-10-30/130 Recirculatory fume cupboards system;</t>
  </si>
  <si>
    <t>Ss_65_40_32_75</t>
  </si>
  <si>
    <t>Safety cabinet extract systems</t>
  </si>
  <si>
    <t>65-10-30/110 Safety cabinet extract system;</t>
  </si>
  <si>
    <t>Ss_65_40_33</t>
  </si>
  <si>
    <t>General space ventilation systems</t>
  </si>
  <si>
    <t>Ss_65_40_33_45</t>
  </si>
  <si>
    <t>Kitchen extract ventilation systems</t>
  </si>
  <si>
    <t>65-10-95/160 Kitchen extract ventilation system;</t>
  </si>
  <si>
    <t>Ss_65_40_33_48</t>
  </si>
  <si>
    <t>Local extract ventilation systems</t>
  </si>
  <si>
    <t>65-10-95/175 Local extract ventilation system;</t>
  </si>
  <si>
    <t>Ss_65_40_33_50</t>
  </si>
  <si>
    <t>Mechanical extract ventilation systems</t>
  </si>
  <si>
    <t>65-10-95/140 Mechanical extract ventilation system;</t>
  </si>
  <si>
    <t>5.7.1 Central ventilation (default);</t>
  </si>
  <si>
    <t>Ss_65_40_33_51</t>
  </si>
  <si>
    <t>Mechanical supply ventilation systems</t>
  </si>
  <si>
    <t>65-10-95/130 Mechanical supply ventilation system;</t>
  </si>
  <si>
    <t>Ss_65_40_33_52</t>
  </si>
  <si>
    <t>Mechanical and whole building ventilation systems</t>
  </si>
  <si>
    <t>65-10-95/180 Mechanical and whole building ventilation system;</t>
  </si>
  <si>
    <t>Ss_65_40_33_56</t>
  </si>
  <si>
    <t>Natural ventilation systems</t>
  </si>
  <si>
    <t>65-10-95/110 Natural ventilation system;</t>
  </si>
  <si>
    <t>Ss_65_40_33_60</t>
  </si>
  <si>
    <t>Passive stack ventilation systems</t>
  </si>
  <si>
    <t>65-10-95/170 Passive stack ventilation system;</t>
  </si>
  <si>
    <t>Ss_65_40_33_90</t>
  </si>
  <si>
    <t>Toilet extract ventilation systems</t>
  </si>
  <si>
    <t>65-10-95/150 Toilet extract ventilation system;</t>
  </si>
  <si>
    <t>Ss_65_40_42</t>
  </si>
  <si>
    <t>Industrial fume extract systems</t>
  </si>
  <si>
    <t>Ss_65_40_42_45</t>
  </si>
  <si>
    <t>Local exhaust ventilation systems</t>
  </si>
  <si>
    <t>65-40-45/130 Local exhaust ventilation system;</t>
  </si>
  <si>
    <t>Ss_65_40_42_95</t>
  </si>
  <si>
    <t>Vehicle exhaust extract systems</t>
  </si>
  <si>
    <t>65-40-45/110 Vehicle exhaust extract system;</t>
  </si>
  <si>
    <t>Ss_65_40_55</t>
  </si>
  <si>
    <t>Nuclear ventilation systems</t>
  </si>
  <si>
    <t>Ss_65_40_55_22</t>
  </si>
  <si>
    <t>Decontamination areas ventilation systems</t>
  </si>
  <si>
    <t>Ss_65_40_80</t>
  </si>
  <si>
    <t>Smoke extract and control systems</t>
  </si>
  <si>
    <t>Ss_65_40_80_65</t>
  </si>
  <si>
    <t>Pressure differential systems</t>
  </si>
  <si>
    <t>65-10-75/120 Pressure differential system;</t>
  </si>
  <si>
    <t>5.7.3 Smoke extract/control (default);</t>
  </si>
  <si>
    <t>Ss_65_40_80_80</t>
  </si>
  <si>
    <t>Smoke and heat exhaust ventilation systems</t>
  </si>
  <si>
    <t>65-10-75/110 Smoke and heat exhaust ventilation system;</t>
  </si>
  <si>
    <t>Ss_65_40_94</t>
  </si>
  <si>
    <t>Vehicular space ventilation systems</t>
  </si>
  <si>
    <t>Ss_65_40_94_10</t>
  </si>
  <si>
    <t>Car park extract systems</t>
  </si>
  <si>
    <t>65-10-10/110 Car park extract system;</t>
  </si>
  <si>
    <t>Ss_65_40_94_11</t>
  </si>
  <si>
    <t>Car park supply systems</t>
  </si>
  <si>
    <t>65-10-10/120 Car park supply system;</t>
  </si>
  <si>
    <t>Ss_65_40_94_90</t>
  </si>
  <si>
    <t>Tunnel ventilation systems</t>
  </si>
  <si>
    <t>65-10-80/101 Tunnel ventilation system;</t>
  </si>
  <si>
    <t>Ss_65_60</t>
  </si>
  <si>
    <t>Specialist ventilation systems</t>
  </si>
  <si>
    <t>Ss_65_60_95</t>
  </si>
  <si>
    <t>Wind tunnel systems</t>
  </si>
  <si>
    <t>Ss_65_80</t>
  </si>
  <si>
    <t>Air conditioning systems</t>
  </si>
  <si>
    <t>Ss_65_80_05</t>
  </si>
  <si>
    <t>Central air conditioning systems</t>
  </si>
  <si>
    <t>Ss_65_80_05_10</t>
  </si>
  <si>
    <t>Centralized all-air conditioning systems</t>
  </si>
  <si>
    <t>65-70-05/110 Centralized all-air conditioning system;</t>
  </si>
  <si>
    <t>5.6.7 Central air conditioning (default);</t>
  </si>
  <si>
    <t>Ss_65_80_05_30</t>
  </si>
  <si>
    <t>Fan coil unit air conditioning systems</t>
  </si>
  <si>
    <t>65-70-05/130 Fan coil unit air conditioning system;</t>
  </si>
  <si>
    <t>5.6.3 Central cooling (default); 5.6.1 Central heating; 5.6.5 Central heating and cooling;</t>
  </si>
  <si>
    <t>Ss_65_80_05_40</t>
  </si>
  <si>
    <t>Induction unit air conditioning systems</t>
  </si>
  <si>
    <t>65-70-05/140 Induction unit air conditioning system;</t>
  </si>
  <si>
    <t>Ss_65_80_15</t>
  </si>
  <si>
    <t>Controlled environment systems</t>
  </si>
  <si>
    <t>Ss_65_80_45</t>
  </si>
  <si>
    <t>Local air conditioning systems</t>
  </si>
  <si>
    <t>Ss_65_80_45_25</t>
  </si>
  <si>
    <t>Evaporative cooling systems</t>
  </si>
  <si>
    <t>65-70-45/150 Evaporative cooling systems;</t>
  </si>
  <si>
    <t>5.6.4 Local cooling (default);</t>
  </si>
  <si>
    <t>Ss_65_80_45_48</t>
  </si>
  <si>
    <t>Local underfloor air conditioning systems</t>
  </si>
  <si>
    <t>65-70-45/130 Local underfloor air conditioning system;</t>
  </si>
  <si>
    <t>5.6.8 Local air conditioning (default);</t>
  </si>
  <si>
    <t>Ss_65_80_45_72</t>
  </si>
  <si>
    <t>Room air conditioning systems</t>
  </si>
  <si>
    <t>65-70-45/110 Room air conditioning system;</t>
  </si>
  <si>
    <t>Ss_65_95</t>
  </si>
  <si>
    <t>Temporary ventilation and air conditioning systems</t>
  </si>
  <si>
    <t>Ss_70</t>
  </si>
  <si>
    <t>Electrical systems</t>
  </si>
  <si>
    <t>Ss_70_10</t>
  </si>
  <si>
    <t>Electrical power generation and transmission systems</t>
  </si>
  <si>
    <t>Ss_70_10_30</t>
  </si>
  <si>
    <t>Fossil fuel power generation systems</t>
  </si>
  <si>
    <t>Ss_70_10_30_33</t>
  </si>
  <si>
    <t>Gas power generating systems</t>
  </si>
  <si>
    <t>70-10-30/110 Gas power generating system;</t>
  </si>
  <si>
    <t>Ss_70_10_30_70</t>
  </si>
  <si>
    <t>Reciprocating internal combustion engine</t>
  </si>
  <si>
    <t>70-65-35/110 Reciprocating internal combustion engine driven alternating current generator system;</t>
  </si>
  <si>
    <t>Ss_70_10_30_72</t>
  </si>
  <si>
    <t>Reciprocating internal combustion engine driven alternating current generator systems</t>
  </si>
  <si>
    <t>Ss_70_10_35</t>
  </si>
  <si>
    <t>High voltage transmission systems</t>
  </si>
  <si>
    <t>Ss_70_10_70</t>
  </si>
  <si>
    <t>Renewable power generation systems</t>
  </si>
  <si>
    <t>Ss_70_10_70_33</t>
  </si>
  <si>
    <t>Geothermal power generation systems</t>
  </si>
  <si>
    <t>Ss_70_10_70_35</t>
  </si>
  <si>
    <t>Grid-connected photovoltaic systems</t>
  </si>
  <si>
    <t>70-65-60/110 Grid connected photovoltaic system;</t>
  </si>
  <si>
    <t>Ss_70_10_70_36</t>
  </si>
  <si>
    <t>Hydroelectric power generation systems</t>
  </si>
  <si>
    <t>70-10-40/110 Hydroelectric power generating system;</t>
  </si>
  <si>
    <t>Ss_70_10_70_80</t>
  </si>
  <si>
    <t>Small-scale wave and tidal power generation systems</t>
  </si>
  <si>
    <t>Ss_70_10_70_82</t>
  </si>
  <si>
    <t>Small-scale wind power generation systems</t>
  </si>
  <si>
    <t>70-65-85/110 Small scale wind generating system;</t>
  </si>
  <si>
    <t>Ss_70_10_70_85</t>
  </si>
  <si>
    <t>Stand-alone photovoltaic systems</t>
  </si>
  <si>
    <t>70-65-60/115 Stand-alone photovoltaic system;</t>
  </si>
  <si>
    <t>Ss_70_10_70_95</t>
  </si>
  <si>
    <t>Water mill systems</t>
  </si>
  <si>
    <t>Ss_70_10_70_97</t>
  </si>
  <si>
    <t>Water turbine systems</t>
  </si>
  <si>
    <t>Ss_70_10_70_98</t>
  </si>
  <si>
    <t>Wind power generating systems</t>
  </si>
  <si>
    <t>70-10-95/110 Wind power generating system;</t>
  </si>
  <si>
    <t>Ss_70_30</t>
  </si>
  <si>
    <t>Electricity distribution systems</t>
  </si>
  <si>
    <t>Ss_70_30_25</t>
  </si>
  <si>
    <t>Protection systems</t>
  </si>
  <si>
    <t>Ss_70_30_25_25</t>
  </si>
  <si>
    <t>Earthing and bonding systems</t>
  </si>
  <si>
    <t>70-70-25/110 Earthing and bonding system;</t>
  </si>
  <si>
    <t>5.8.6 Earthing and bonding systems (default);</t>
  </si>
  <si>
    <t>Ss_70_30_35</t>
  </si>
  <si>
    <t>High voltage systems</t>
  </si>
  <si>
    <t>Ss_70_30_35_30</t>
  </si>
  <si>
    <t>High voltage site connection systems</t>
  </si>
  <si>
    <t>70-50-35/110 Incoming high voltage electricity supply system;</t>
  </si>
  <si>
    <t>5.8.1 Electrical mains and sub-mains distribution (default);</t>
  </si>
  <si>
    <t>Ss_70_30_35_35</t>
  </si>
  <si>
    <t>High voltage distribution systems</t>
  </si>
  <si>
    <t>70-70-35/110 High voltage distribution system;</t>
  </si>
  <si>
    <t>Ss_70_30_45</t>
  </si>
  <si>
    <t>Low voltage systems</t>
  </si>
  <si>
    <t>Ss_70_30_45_40</t>
  </si>
  <si>
    <t>Low voltage site connection systems</t>
  </si>
  <si>
    <t>70-50-45/110 Incoming low voltage electricity supply;</t>
  </si>
  <si>
    <t>Ss_70_30_45_45</t>
  </si>
  <si>
    <t>Low voltage distribution systems</t>
  </si>
  <si>
    <t>70-70-45/110 Low voltage distribution system;</t>
  </si>
  <si>
    <t>5.8.1 Electrical mains and sub-mains distribution (default); 8.7.4 Electricity distribution to external plant and equipment;</t>
  </si>
  <si>
    <t>Ss_70_30_45_92</t>
  </si>
  <si>
    <t>Uninterruptible power supply systems</t>
  </si>
  <si>
    <t>Ss_70_30_60</t>
  </si>
  <si>
    <t>Overhead line traction power distribution systems</t>
  </si>
  <si>
    <t>Ss_70_30_60_11</t>
  </si>
  <si>
    <t>Catenary overhead line systems</t>
  </si>
  <si>
    <t>70-55-55/101 Catenary overhead line system;</t>
  </si>
  <si>
    <t>Ss_70_30_60_89</t>
  </si>
  <si>
    <t>Trolley wire overhead line systems</t>
  </si>
  <si>
    <t>70-55-55/105 Trolley wire overhead line system;</t>
  </si>
  <si>
    <t>Ss_70_30_80</t>
  </si>
  <si>
    <t>Small power systems</t>
  </si>
  <si>
    <t>Ss_70_30_80_35</t>
  </si>
  <si>
    <t>Hard-wired voltage small power systems</t>
  </si>
  <si>
    <t>70-70-75/110 Hard wired low voltage small power system;</t>
  </si>
  <si>
    <t>5.8.2 Power installations (default);</t>
  </si>
  <si>
    <t>Ss_70_30_80_45</t>
  </si>
  <si>
    <t>Low voltage small power systems with prefabricated wiring</t>
  </si>
  <si>
    <t>70-70-75/120 Low voltage small power systems with prefabricated wiring;</t>
  </si>
  <si>
    <t>Ss_70_30_90</t>
  </si>
  <si>
    <t>Conductor rail traction power distribution systems</t>
  </si>
  <si>
    <t>Ss_70_30_90_15</t>
  </si>
  <si>
    <t>Conductor rail electrification systems</t>
  </si>
  <si>
    <t>Ss_70_30_90_90</t>
  </si>
  <si>
    <t>Third rail electrification systems</t>
  </si>
  <si>
    <t>70-55-85/101 Third rail electrification system;</t>
  </si>
  <si>
    <t>Ss_70_30_94</t>
  </si>
  <si>
    <t>Vehicle charging systems</t>
  </si>
  <si>
    <t>Ss_70_30_94_27</t>
  </si>
  <si>
    <t>Electric vehicle charging systems</t>
  </si>
  <si>
    <t>70-55-90/101 Electric vehicle charging system;</t>
  </si>
  <si>
    <t>Ss_70_80</t>
  </si>
  <si>
    <t>Lighting systems</t>
  </si>
  <si>
    <t>Ss_70_80_01</t>
  </si>
  <si>
    <t>Aeronautical lighting systems</t>
  </si>
  <si>
    <t>Ss_70_80_01_02</t>
  </si>
  <si>
    <t>Approach lighting systems</t>
  </si>
  <si>
    <t>70-80-05/110 Approach lighting system;</t>
  </si>
  <si>
    <t>Ss_70_80_01_03</t>
  </si>
  <si>
    <t>Apron lighting systems</t>
  </si>
  <si>
    <t>70-80-05/115 Apron lighting system;</t>
  </si>
  <si>
    <t>Ss_70_80_01_47</t>
  </si>
  <si>
    <t>Lighting beacon systems</t>
  </si>
  <si>
    <t>70-80-05/120 Lighting beacon system;</t>
  </si>
  <si>
    <t>Ss_70_80_01_65</t>
  </si>
  <si>
    <t>Precision approach path indicator systems</t>
  </si>
  <si>
    <t>70-80-05/125 Precision approach path indicator system;</t>
  </si>
  <si>
    <t>Ss_70_80_01_74</t>
  </si>
  <si>
    <t>Runway lighting systems</t>
  </si>
  <si>
    <t>70-80-05/101 Runway lighting system;</t>
  </si>
  <si>
    <t>Ss_70_80_01_87</t>
  </si>
  <si>
    <t>Taxiway lighting systems</t>
  </si>
  <si>
    <t>70-80-05/105 Taxiway lighting system;</t>
  </si>
  <si>
    <t>Ss_70_80_25</t>
  </si>
  <si>
    <t>External lighting systems</t>
  </si>
  <si>
    <t>Ss_70_80_25_05</t>
  </si>
  <si>
    <t>Amenity lighting systems</t>
  </si>
  <si>
    <t>70-80-25/120 Amenity lighting system;</t>
  </si>
  <si>
    <t>8.7.9 External street lighting systems (default);</t>
  </si>
  <si>
    <t>Ss_70_80_25_70</t>
  </si>
  <si>
    <t>Roadway lighting systems</t>
  </si>
  <si>
    <t>70-80-25/110 Roadway lighting system;</t>
  </si>
  <si>
    <t>Ss_70_80_25_90</t>
  </si>
  <si>
    <t>Tunnel lighting systems</t>
  </si>
  <si>
    <t>Ss_70_80_33</t>
  </si>
  <si>
    <t>General space lighting systems</t>
  </si>
  <si>
    <t>Ss_70_80_33_12</t>
  </si>
  <si>
    <t>Central battery supplied emergency lighting systems</t>
  </si>
  <si>
    <t>70-80-35/130 Central battery supplied emergency lighting system;</t>
  </si>
  <si>
    <t>Ss_70_80_33_30</t>
  </si>
  <si>
    <t>Fibre optic lighting systems</t>
  </si>
  <si>
    <t>Ss_70_80_33_33</t>
  </si>
  <si>
    <t>General lighting systems with prefabricated wiring</t>
  </si>
  <si>
    <t>70-80-35/120 General lighting systems with prefabricated wiring;</t>
  </si>
  <si>
    <t>Ss_70_80_33_35</t>
  </si>
  <si>
    <t>Hard-wired general lighting systems</t>
  </si>
  <si>
    <t>70-80-35/110 Hard wired general lighting system;</t>
  </si>
  <si>
    <t>Ss_70_80_33_88</t>
  </si>
  <si>
    <t>Theatrical/ stage lighting systems</t>
  </si>
  <si>
    <t>Ss_70_80_33_92</t>
  </si>
  <si>
    <t>Underwater lighting systems</t>
  </si>
  <si>
    <t>70-80-90/110 Underwater lighting system;</t>
  </si>
  <si>
    <t>5.8.4 Specialist lighting installations (default); 8.7.9 External street lighting systems;</t>
  </si>
  <si>
    <t>Ss_70_95</t>
  </si>
  <si>
    <t>Temporary electrical systems</t>
  </si>
  <si>
    <t>Ss_75</t>
  </si>
  <si>
    <t>Communications, security, safety, control and protection systems</t>
  </si>
  <si>
    <t>Ss_75_10</t>
  </si>
  <si>
    <t>Communications systems</t>
  </si>
  <si>
    <t>Ss_75_10_21</t>
  </si>
  <si>
    <t>Data distribution and telecommunications systems</t>
  </si>
  <si>
    <t>Ss_75_10_21_21</t>
  </si>
  <si>
    <t>Data distribution systems</t>
  </si>
  <si>
    <t>75-45-20/110 Data distribution system;</t>
  </si>
  <si>
    <t>8.7.6 Telecommunications and other communication system connections; 5.12.1 Communication systems (default);</t>
  </si>
  <si>
    <t>Ss_75_10_21_48</t>
  </si>
  <si>
    <t>Local area network (LAN) systems</t>
  </si>
  <si>
    <t>Ss_75_10_21_52</t>
  </si>
  <si>
    <t>Mobile telecommunications systems</t>
  </si>
  <si>
    <t>Ss_75_10_21_88</t>
  </si>
  <si>
    <t>Telecommunications systems</t>
  </si>
  <si>
    <t>75-45-85/110 Telecommunications system;</t>
  </si>
  <si>
    <t>5.12.1 Communication systems (default);</t>
  </si>
  <si>
    <t>Ss_75_10_21_97</t>
  </si>
  <si>
    <t>Wide area network (WAN) systems</t>
  </si>
  <si>
    <t>Ss_75_10_46</t>
  </si>
  <si>
    <t>Listening systems</t>
  </si>
  <si>
    <t>Ss_75_10_46_05</t>
  </si>
  <si>
    <t>Audio-frequency induction-loop systems</t>
  </si>
  <si>
    <t>75-45-40/110 Audio-frequency-induction-loop system;</t>
  </si>
  <si>
    <t>Ss_75_10_46_42</t>
  </si>
  <si>
    <t>Infrared listening systems</t>
  </si>
  <si>
    <t>75-45-50/110 Infrared listening system;</t>
  </si>
  <si>
    <t>Ss_75_10_68</t>
  </si>
  <si>
    <t>Public communications systems</t>
  </si>
  <si>
    <t>Ss_75_10_68_02</t>
  </si>
  <si>
    <t>Advertising display systems</t>
  </si>
  <si>
    <t>Ss_75_10_68_13</t>
  </si>
  <si>
    <t>Clock systems</t>
  </si>
  <si>
    <t>Ss_75_10_68_42</t>
  </si>
  <si>
    <t>Information display systems</t>
  </si>
  <si>
    <t>Ss_75_10_68_68</t>
  </si>
  <si>
    <t>Public address systems</t>
  </si>
  <si>
    <t>75-45-60/110 Public address system;</t>
  </si>
  <si>
    <t>Ss_75_10_68_69</t>
  </si>
  <si>
    <t>Queue management systems</t>
  </si>
  <si>
    <t>Ss_75_10_70</t>
  </si>
  <si>
    <t>Radio and television distribution systems</t>
  </si>
  <si>
    <t>Ss_75_10_70_70</t>
  </si>
  <si>
    <t>Radio distribution systems</t>
  </si>
  <si>
    <t>75-45-90/115 Radio distribution system;</t>
  </si>
  <si>
    <t>Ss_75_10_70_88</t>
  </si>
  <si>
    <t>Television distribution systems</t>
  </si>
  <si>
    <t>75-45-90/110 Television distribution system;</t>
  </si>
  <si>
    <t>5.13.4 Specialist electrical/electronic installations (default);</t>
  </si>
  <si>
    <t>Ss_75_10_72</t>
  </si>
  <si>
    <t>Emergency communication systems</t>
  </si>
  <si>
    <t>Ss_75_10_72_70</t>
  </si>
  <si>
    <t>Radio communications systems</t>
  </si>
  <si>
    <t>Ss_75_10_72_72</t>
  </si>
  <si>
    <t>Roadway emergency communication systems</t>
  </si>
  <si>
    <t>Ss_75_10_88</t>
  </si>
  <si>
    <t>Timing and scoring systems</t>
  </si>
  <si>
    <t>Ss_75_10_88_05</t>
  </si>
  <si>
    <t>Athletics timing and scoring systems</t>
  </si>
  <si>
    <t>Ss_75_10_88_86</t>
  </si>
  <si>
    <t>Swimming pool timing and scoring systems</t>
  </si>
  <si>
    <t>75-55-75/110 Swimming pool timing and scoring system;</t>
  </si>
  <si>
    <t>Ss_75_30</t>
  </si>
  <si>
    <t>Signal systems</t>
  </si>
  <si>
    <t>Ss_75_30_35</t>
  </si>
  <si>
    <t>Highway signal and control systems</t>
  </si>
  <si>
    <t>Ss_75_30_35_52</t>
  </si>
  <si>
    <t>Motorway signal and control systems</t>
  </si>
  <si>
    <t>75-25-35/110 Motorway traffic signal and control system;</t>
  </si>
  <si>
    <t>Ss_75_30_35_72</t>
  </si>
  <si>
    <t>Road signal and control systems</t>
  </si>
  <si>
    <t>75-25-35/101 Traffic signal and control system;</t>
  </si>
  <si>
    <t>Ss_75_30_50</t>
  </si>
  <si>
    <t>Marine signal systems</t>
  </si>
  <si>
    <t>Ss_75_30_60</t>
  </si>
  <si>
    <t>Obstacle beacon systems</t>
  </si>
  <si>
    <t>Ss_75_30_70</t>
  </si>
  <si>
    <t>Railway signal and control systems</t>
  </si>
  <si>
    <t>Ss_75_30_70_02</t>
  </si>
  <si>
    <t>Automatic train operation (ATO) systems</t>
  </si>
  <si>
    <t>Ss_75_30_70_03</t>
  </si>
  <si>
    <t>Automatic train protection (ATP) systems</t>
  </si>
  <si>
    <t>Ss_75_30_70_05</t>
  </si>
  <si>
    <t>Automatic warning systems (AWS)</t>
  </si>
  <si>
    <t>Ss_75_30_70_15</t>
  </si>
  <si>
    <t>Communications based train control (CBTC) systems</t>
  </si>
  <si>
    <t>Ss_75_30_70_27</t>
  </si>
  <si>
    <t>Emergency traction current discharge systems (ETCDS)</t>
  </si>
  <si>
    <t>Ss_75_30_70_30</t>
  </si>
  <si>
    <t>Fixed block signalling systems</t>
  </si>
  <si>
    <t>Ss_75_30_70_53</t>
  </si>
  <si>
    <t>Moving block signalling systems</t>
  </si>
  <si>
    <t>Ss_75_30_70_70</t>
  </si>
  <si>
    <t>Rail signal systems</t>
  </si>
  <si>
    <t>75-20-70/101 Rail signal system;</t>
  </si>
  <si>
    <t>Ss_75_30_70_90</t>
  </si>
  <si>
    <t>Train protection warning systems (TPWS)</t>
  </si>
  <si>
    <t>Ss_75_30_90</t>
  </si>
  <si>
    <t>Tramway signal systems</t>
  </si>
  <si>
    <t>Ss_75_30_97</t>
  </si>
  <si>
    <t>Waterway signal systems</t>
  </si>
  <si>
    <t>Ss_75_30_98</t>
  </si>
  <si>
    <t>Wind direction indication systems</t>
  </si>
  <si>
    <t>Ss_75_30_98_96</t>
  </si>
  <si>
    <t>Windsock systems</t>
  </si>
  <si>
    <t>75-35-90/105 Windsock system;</t>
  </si>
  <si>
    <t>Ss_75_40</t>
  </si>
  <si>
    <t>Security systems</t>
  </si>
  <si>
    <t>Ss_75_40_02</t>
  </si>
  <si>
    <t>Access control systems</t>
  </si>
  <si>
    <t>Ss_75_40_02_05</t>
  </si>
  <si>
    <t>Audio intercom systems</t>
  </si>
  <si>
    <t>75-60-05/120 Audio intercom system;</t>
  </si>
  <si>
    <t>Ss_75_40_02_11</t>
  </si>
  <si>
    <t>Card access control systems</t>
  </si>
  <si>
    <t>75-60-05/110 Access control system;</t>
  </si>
  <si>
    <t>5.12.2 Security systems (default);</t>
  </si>
  <si>
    <t>Ss_75_40_02_94</t>
  </si>
  <si>
    <t>Video intercom systems</t>
  </si>
  <si>
    <t>Ss_75_40_53</t>
  </si>
  <si>
    <t>Monitoring systems</t>
  </si>
  <si>
    <t>Ss_75_40_53_86</t>
  </si>
  <si>
    <t>Surveillance systems</t>
  </si>
  <si>
    <t>75-60-10/110 CCTV system;</t>
  </si>
  <si>
    <t>Ss_75_40_53_90</t>
  </si>
  <si>
    <t>Train dispatch CCTV systems</t>
  </si>
  <si>
    <t>Ss_75_40_53_95</t>
  </si>
  <si>
    <t>Voice recording systems</t>
  </si>
  <si>
    <t>Ss_75_40_73</t>
  </si>
  <si>
    <t>Security screening systems</t>
  </si>
  <si>
    <t>Ss_75_40_73_11</t>
  </si>
  <si>
    <t>Cabin baggage screening systems</t>
  </si>
  <si>
    <t>75-60-75/120 Cabin baggage screening system;</t>
  </si>
  <si>
    <t>Ss_75_40_73_60</t>
  </si>
  <si>
    <t>Passenger screening systems</t>
  </si>
  <si>
    <t>75-60-75/110 Passenger screening system;</t>
  </si>
  <si>
    <t>Ss_75_40_75</t>
  </si>
  <si>
    <t>Security detection alarm systems</t>
  </si>
  <si>
    <t>Ss_75_40_75_02</t>
  </si>
  <si>
    <t>Aerospace security detection and warning systems</t>
  </si>
  <si>
    <t>Ss_75_40_75_40</t>
  </si>
  <si>
    <t>Intruder detection and alarm systems</t>
  </si>
  <si>
    <t>75-60-40/110 Intruder detection and alarm system;</t>
  </si>
  <si>
    <t>Ss_75_40_75_50</t>
  </si>
  <si>
    <t>Marine and waterway security detection and warning systems</t>
  </si>
  <si>
    <t>Ss_75_50</t>
  </si>
  <si>
    <t>Safety and protection systems</t>
  </si>
  <si>
    <t>Ss_75_50_11</t>
  </si>
  <si>
    <t>Call and alarm systems</t>
  </si>
  <si>
    <t>Ss_75_50_11_05</t>
  </si>
  <si>
    <t>Assistance call systems</t>
  </si>
  <si>
    <t>75-70-05/110 Assistance call system;</t>
  </si>
  <si>
    <t>Ss_75_50_11_27</t>
  </si>
  <si>
    <t>Emergency voice communication systems</t>
  </si>
  <si>
    <t>75-70-05/120 Emergency voice communication system;</t>
  </si>
  <si>
    <t>Ss_75_50_11_57</t>
  </si>
  <si>
    <t>Nurse call systems</t>
  </si>
  <si>
    <t>75-70-55/110 Nurse call system;</t>
  </si>
  <si>
    <t>Ss_75_50_11_95</t>
  </si>
  <si>
    <t>Voice alarm systems</t>
  </si>
  <si>
    <t>75-70-95/110 Voice alarm system;</t>
  </si>
  <si>
    <t>Ss_75_50_15</t>
  </si>
  <si>
    <t>Cathodic protection systems</t>
  </si>
  <si>
    <t>Ss_75_50_15_02</t>
  </si>
  <si>
    <t>Adhesive backed zinc sheet anode systems</t>
  </si>
  <si>
    <t>75-85-15/105 Adhesive backed zinc sheet anode system;</t>
  </si>
  <si>
    <t>Ss_75_50_15_09</t>
  </si>
  <si>
    <t>Buried galvanic anode systems</t>
  </si>
  <si>
    <t>75-85-15/135 Buried galvanic anode system;</t>
  </si>
  <si>
    <t>Ss_75_50_15_10</t>
  </si>
  <si>
    <t>Buried impressed current anode systems</t>
  </si>
  <si>
    <t>75-85-15/140 Buried impressed current anode system;</t>
  </si>
  <si>
    <t>Ss_75_50_15_27</t>
  </si>
  <si>
    <t>Embedded impressed current anode systems</t>
  </si>
  <si>
    <t>75-85-15/130 Embedded impressed current anode system;</t>
  </si>
  <si>
    <t>Ss_75_50_15_28</t>
  </si>
  <si>
    <t>Embedded zinc anode systems</t>
  </si>
  <si>
    <t>75-85-15/110 Embedded zinc anode system;</t>
  </si>
  <si>
    <t>Ss_75_50_15_41</t>
  </si>
  <si>
    <t>Immersed galvanic anode systems</t>
  </si>
  <si>
    <t>75-85-15/145 Immersed galvanic anodes system;</t>
  </si>
  <si>
    <t>Ss_75_50_15_42</t>
  </si>
  <si>
    <t>Immersed impressed current anode systems</t>
  </si>
  <si>
    <t>75-85-15/150 Immersed impressed current anode system;</t>
  </si>
  <si>
    <t>Ss_75_50_15_72</t>
  </si>
  <si>
    <t>Recess mounted impressed current anode systems</t>
  </si>
  <si>
    <t>75-85-15/125 Recess mounted impressed current anode system;</t>
  </si>
  <si>
    <t>Ss_75_50_15_85</t>
  </si>
  <si>
    <t>Surface mounted impressed current anode systems</t>
  </si>
  <si>
    <t>75-85-15/120 Surface mounted impressed current anode system;</t>
  </si>
  <si>
    <t>Ss_75_50_15_99</t>
  </si>
  <si>
    <t>Zinc mesh in overlay systems</t>
  </si>
  <si>
    <t>75-85-15/115 Zinc mesh in overlay system;</t>
  </si>
  <si>
    <t>Ss_75_50_26</t>
  </si>
  <si>
    <t>Debris detection systems</t>
  </si>
  <si>
    <t>Ss_75_50_26_30</t>
  </si>
  <si>
    <t>Foreign object debris (FOD) detection systems</t>
  </si>
  <si>
    <t>75-65-32/105 Foreign object debris detection system;</t>
  </si>
  <si>
    <t>Ss_75_50_28</t>
  </si>
  <si>
    <t>Detection and alarm systems</t>
  </si>
  <si>
    <t>Ss_75_50_28_05</t>
  </si>
  <si>
    <t>Aspirating detection systems</t>
  </si>
  <si>
    <t>75-65-30/120 Aspirating detection system;</t>
  </si>
  <si>
    <t>Ss_75_50_28_22</t>
  </si>
  <si>
    <t>Domestic premises fire detection and alarm systems</t>
  </si>
  <si>
    <t>75-65-30/115 Fire detection and alarm systems in domestic premises;</t>
  </si>
  <si>
    <t>Ss_75_50_28_24</t>
  </si>
  <si>
    <t>Duct smoke detector systems</t>
  </si>
  <si>
    <t>75-65-30/130 Duct smoke detector system;</t>
  </si>
  <si>
    <t>Ss_75_50_28_29</t>
  </si>
  <si>
    <t>Fire detection and alarm systems</t>
  </si>
  <si>
    <t>75-65-30/110 Fire detection and alarm system;</t>
  </si>
  <si>
    <t>Ss_75_50_28_30</t>
  </si>
  <si>
    <t>Fixed gas detection and alarm systems</t>
  </si>
  <si>
    <t>75-65-35/110 Fixed gas detection and alarm system;</t>
  </si>
  <si>
    <t>Ss_75_50_28_32</t>
  </si>
  <si>
    <t>Flow sample gas detection and alarm systems</t>
  </si>
  <si>
    <t>75-65-35/120 Flow sample gas detection and alarm system;</t>
  </si>
  <si>
    <t>Ss_75_50_28_96</t>
  </si>
  <si>
    <t>Water leak detection and alarm systems</t>
  </si>
  <si>
    <t>75-65-95/120 Water leak detection and alarm system;</t>
  </si>
  <si>
    <t>Ss_75_50_28_97</t>
  </si>
  <si>
    <t>Water presence detection and alarm systems</t>
  </si>
  <si>
    <t>75-65-95/110 Water presence detection and alarm system;</t>
  </si>
  <si>
    <t>Ss_75_50_35</t>
  </si>
  <si>
    <t>Healthcare imaging systems</t>
  </si>
  <si>
    <t>Ss_75_50_45</t>
  </si>
  <si>
    <t>Electrical protection systems</t>
  </si>
  <si>
    <t>Ss_75_50_45_45</t>
  </si>
  <si>
    <t>Lightning protection systems</t>
  </si>
  <si>
    <t>75-85-45/110 Lightning protection system;</t>
  </si>
  <si>
    <t>5.11.3 Lightning protection (default);</t>
  </si>
  <si>
    <t>Ss_75_50_60</t>
  </si>
  <si>
    <t>Patient monitoring and telemetry systems</t>
  </si>
  <si>
    <t>Ss_75_60</t>
  </si>
  <si>
    <t>Environmental safety systems</t>
  </si>
  <si>
    <t>Ss_75_60_25</t>
  </si>
  <si>
    <t>Earthquake warning systems</t>
  </si>
  <si>
    <t>Ss_75_60_30</t>
  </si>
  <si>
    <t>Flood warning systems</t>
  </si>
  <si>
    <t>Ss_75_60_50</t>
  </si>
  <si>
    <t>Meteorological detection and warning systems</t>
  </si>
  <si>
    <t>Ss_75_60_52</t>
  </si>
  <si>
    <t>Meteorological instrumentation systems</t>
  </si>
  <si>
    <t>Ss_75_60_52_95</t>
  </si>
  <si>
    <t>Weather observation systems</t>
  </si>
  <si>
    <t>75-75-55/101 Weather observation systems;</t>
  </si>
  <si>
    <t>Ss_75_60_70</t>
  </si>
  <si>
    <t>Radiation detection and alarm systems</t>
  </si>
  <si>
    <t>Ss_75_60_75</t>
  </si>
  <si>
    <t>Seismic instrumentation systems</t>
  </si>
  <si>
    <t>Ss_75_60_90</t>
  </si>
  <si>
    <t>Tsunami warning systems</t>
  </si>
  <si>
    <t>Ss_75_60_95</t>
  </si>
  <si>
    <t>Volcanic eruption warning systems</t>
  </si>
  <si>
    <t>Ss_75_70</t>
  </si>
  <si>
    <t>Control and management systems</t>
  </si>
  <si>
    <t>Ss_75_70_05</t>
  </si>
  <si>
    <t>Airport control systems</t>
  </si>
  <si>
    <t>Ss_75_70_05_04</t>
  </si>
  <si>
    <t>Automatic aircraft docking systems</t>
  </si>
  <si>
    <t>Ss_75_70_10</t>
  </si>
  <si>
    <t>Bridge control systems</t>
  </si>
  <si>
    <t>Ss_75_70_20</t>
  </si>
  <si>
    <t>Dam control systems</t>
  </si>
  <si>
    <t>Ss_75_70_35</t>
  </si>
  <si>
    <t>Highway control systems</t>
  </si>
  <si>
    <t>Ss_75_70_50</t>
  </si>
  <si>
    <t>Marine control systems</t>
  </si>
  <si>
    <t>Ss_75_70_52</t>
  </si>
  <si>
    <t>Mechanical engineering services control and management systems</t>
  </si>
  <si>
    <t>Ss_75_70_52_03</t>
  </si>
  <si>
    <t>Air to air heat pump control systems</t>
  </si>
  <si>
    <t>75-75-50/135 Air to air heat pump system control;</t>
  </si>
  <si>
    <t>Ss_75_70_52_14</t>
  </si>
  <si>
    <t>Climatic ceiling panels and beams control systems</t>
  </si>
  <si>
    <t>75-75-50/130 Climatic ceiling panels and beams control;</t>
  </si>
  <si>
    <t>Ss_75_70_52_15</t>
  </si>
  <si>
    <t>Combined heat and power control systems</t>
  </si>
  <si>
    <t>75-75-50/198 CHP control strategy;</t>
  </si>
  <si>
    <t>Ss_75_70_52_16</t>
  </si>
  <si>
    <t>Constant volume air conditioning control systems</t>
  </si>
  <si>
    <t>75-75-50/165 Constant volume air conditioning system control;</t>
  </si>
  <si>
    <t>Ss_75_70_52_17</t>
  </si>
  <si>
    <t>Cooling system control systems</t>
  </si>
  <si>
    <t>75-75-50/125 Cooling systems control;</t>
  </si>
  <si>
    <t>Ss_75_70_52_23</t>
  </si>
  <si>
    <t>Domestic heating system control systems</t>
  </si>
  <si>
    <t>75-75-50/122 Domestic heating systems control;</t>
  </si>
  <si>
    <t>Ss_75_70_52_28</t>
  </si>
  <si>
    <t>Extract ventilation control systems</t>
  </si>
  <si>
    <t>75-75-50/160 Mechanical extract systems control;</t>
  </si>
  <si>
    <t>Ss_75_70_52_29</t>
  </si>
  <si>
    <t>Fan coil unit air conditioning control systems</t>
  </si>
  <si>
    <t>75-75-50/175 Fan coil unit air conditioning system control;</t>
  </si>
  <si>
    <t>Ss_75_70_52_32</t>
  </si>
  <si>
    <t>Fuel supply control systems</t>
  </si>
  <si>
    <t>Ss_75_70_52_33</t>
  </si>
  <si>
    <t>Gas fired heating control systems</t>
  </si>
  <si>
    <t>75-75-50/190 Gas fired heating system control strategy;</t>
  </si>
  <si>
    <t>Ss_75_70_52_36</t>
  </si>
  <si>
    <t>Heating system control systems</t>
  </si>
  <si>
    <t>75-75-50/120 Heating systems control;</t>
  </si>
  <si>
    <t>Ss_75_70_52_38</t>
  </si>
  <si>
    <t>Heat pump control systems</t>
  </si>
  <si>
    <t>75-75-50/140 Heat pump system control;</t>
  </si>
  <si>
    <t>Ss_75_70_52_52</t>
  </si>
  <si>
    <t>Mixed mode ventilation control systems</t>
  </si>
  <si>
    <t>75-75-50/150 Mixed mode ventilation system control;</t>
  </si>
  <si>
    <t>5.7.2 Local and special ventilation; 5.7.1 Central ventilation (default);</t>
  </si>
  <si>
    <t>Ss_75_70_52_56</t>
  </si>
  <si>
    <t>Natural ventilation control systems</t>
  </si>
  <si>
    <t>75-75-50/145 Natural ventilation control;</t>
  </si>
  <si>
    <t>Ss_75_70_52_70</t>
  </si>
  <si>
    <t>Radiant heating control systems</t>
  </si>
  <si>
    <t>75-75-50/195 Radiant heating system control strategy;</t>
  </si>
  <si>
    <t>Ss_75_70_52_80</t>
  </si>
  <si>
    <t>Smoke and heat detection extract control systems</t>
  </si>
  <si>
    <t>75-75-50/185 Smoke and heat control system, extract position control;</t>
  </si>
  <si>
    <t>Ss_75_70_52_81</t>
  </si>
  <si>
    <t>Smoke and heat detection shut down control systems</t>
  </si>
  <si>
    <t>75-75-50/180 Smoke and heat control system, plant shutdown control;</t>
  </si>
  <si>
    <t>Ss_75_70_52_85</t>
  </si>
  <si>
    <t>Steam and condensate control systems</t>
  </si>
  <si>
    <t>75-75-50/115 Steam and condensate control;</t>
  </si>
  <si>
    <t>5.4.5 Steam and condensate distribution (default);</t>
  </si>
  <si>
    <t>Ss_75_70_52_93</t>
  </si>
  <si>
    <t>Variable volume air conditioning control systems</t>
  </si>
  <si>
    <t>75-75-50/170 Variable air volume air conditioning system control;</t>
  </si>
  <si>
    <t>Ss_75_70_52_94</t>
  </si>
  <si>
    <t>Ventilation control systems</t>
  </si>
  <si>
    <t>75-75-50/155 Mechanical ventilation systems control;</t>
  </si>
  <si>
    <t>5.7.2 Local and special ventilation; 5.7.3 Smoke extract/control; 5.7.1 Central ventilation (default);</t>
  </si>
  <si>
    <t>Ss_75_70_52_96</t>
  </si>
  <si>
    <t>Water supply control systems</t>
  </si>
  <si>
    <t>75-75-50/110 Water supply systems control;</t>
  </si>
  <si>
    <t>5.4.2 Cold water distribution (default); 5.4.1 Mains water supply; 5.4.3 Hot water distribution;</t>
  </si>
  <si>
    <t>Ss_75_70_52_97</t>
  </si>
  <si>
    <t>Water to air heat pump control systems</t>
  </si>
  <si>
    <t>Ss_75_70_54</t>
  </si>
  <si>
    <t>Metering, monitoring and management systems</t>
  </si>
  <si>
    <t>Ss_75_70_54_03</t>
  </si>
  <si>
    <t>Active water monitoring systems</t>
  </si>
  <si>
    <t>Ss_75_70_54_10</t>
  </si>
  <si>
    <t>Building monitoring and management systems</t>
  </si>
  <si>
    <t>75-75-05/150 Building monitoring and management system;</t>
  </si>
  <si>
    <t>5.12.3 Central control/building management systems (default);</t>
  </si>
  <si>
    <t>Ss_75_70_54_15</t>
  </si>
  <si>
    <t>Communications monitoring and management systems</t>
  </si>
  <si>
    <t>Ss_75_70_54_25</t>
  </si>
  <si>
    <t>Electricity metering systems</t>
  </si>
  <si>
    <t>75-75-05/110 Electricity metering;</t>
  </si>
  <si>
    <t>5.8.1 Electrical mains and sub-mains distribution; 8.7.2 Electricity mains supply (default);</t>
  </si>
  <si>
    <t>Ss_75_70_54_30</t>
  </si>
  <si>
    <t>Fuel metering systems</t>
  </si>
  <si>
    <t>75-75-05/120 Fuel metering;</t>
  </si>
  <si>
    <t>8.7.7 External fuel storage and piped distribution systems (default); 5.9.2 Fuel distribution systems;</t>
  </si>
  <si>
    <t>Ss_75_70_54_60</t>
  </si>
  <si>
    <t>Passive water monitoring systems</t>
  </si>
  <si>
    <t>Ss_75_70_54_95</t>
  </si>
  <si>
    <t>Water metering systems</t>
  </si>
  <si>
    <t>75-75-05/130 Water metering;</t>
  </si>
  <si>
    <t>8.7.1 Water mains supply; 5.4.1 Mains water supply (default);</t>
  </si>
  <si>
    <t>Ss_75_70_72</t>
  </si>
  <si>
    <t>Road control systems</t>
  </si>
  <si>
    <t>Ss_75_70_85</t>
  </si>
  <si>
    <t>Structural monitoring systems</t>
  </si>
  <si>
    <t>Ss_75_70_85_18</t>
  </si>
  <si>
    <t>Crack gauge monitoring systems</t>
  </si>
  <si>
    <t>75-75-85/145 Crack gauge monitoring system;</t>
  </si>
  <si>
    <t>Ss_75_70_85_27</t>
  </si>
  <si>
    <t>Electrolevel monitoring systems</t>
  </si>
  <si>
    <t>75-75-85/130 Electrolevel monitoring system;</t>
  </si>
  <si>
    <t>Ss_75_70_85_30</t>
  </si>
  <si>
    <t>Fibre optic monitoring systems</t>
  </si>
  <si>
    <t>Ss_75_70_85_47</t>
  </si>
  <si>
    <t>Liquid levelling monitoring systems</t>
  </si>
  <si>
    <t>75-75-85/125 Liquid levelling monitoring system;</t>
  </si>
  <si>
    <t>Ss_75_70_85_48</t>
  </si>
  <si>
    <t>Load cell monitoring systems</t>
  </si>
  <si>
    <t>75-75-85/120 Load cell monitoring system;</t>
  </si>
  <si>
    <t>Ss_75_70_85_62</t>
  </si>
  <si>
    <t>Piezometer monitoring systems</t>
  </si>
  <si>
    <t>75-75-85/140 Piezometer monitoring system;</t>
  </si>
  <si>
    <t>Ss_75_70_85_66</t>
  </si>
  <si>
    <t>Precise levelling monitoring systems</t>
  </si>
  <si>
    <t>75-75-85/105 Precise levelling monitoring system;</t>
  </si>
  <si>
    <t>Ss_75_70_85_67</t>
  </si>
  <si>
    <t>Prism monitoring systems</t>
  </si>
  <si>
    <t>75-75-85/101 Prism monitoring system;</t>
  </si>
  <si>
    <t>Ss_75_70_85_84</t>
  </si>
  <si>
    <t>Strain gauge monitoring systems</t>
  </si>
  <si>
    <t>75-75-85/115 Strain gauge monitoring system;</t>
  </si>
  <si>
    <t>Ss_75_70_85_86</t>
  </si>
  <si>
    <t>Sub-surface monitoring array systems</t>
  </si>
  <si>
    <t>75-75-85/150 Sub-surface monitoring arrays system;</t>
  </si>
  <si>
    <t>Ss_75_70_85_87</t>
  </si>
  <si>
    <t>Tape extensometer monitoring systems</t>
  </si>
  <si>
    <t>75-75-85/110 Tape extensometer monitoring system;</t>
  </si>
  <si>
    <t>Ss_75_70_85_90</t>
  </si>
  <si>
    <t>Tilt sensor monitoring systems</t>
  </si>
  <si>
    <t>75-75-85/135 Tilt sensors monitoring system;</t>
  </si>
  <si>
    <t>Ss_75_70_85_92</t>
  </si>
  <si>
    <t>Total station monitoring systems</t>
  </si>
  <si>
    <t>Ss_75_70_90</t>
  </si>
  <si>
    <t>Traffic monitoring systems</t>
  </si>
  <si>
    <t>Ss_75_70_90_90</t>
  </si>
  <si>
    <t>Traffic enforcement camera systems</t>
  </si>
  <si>
    <t>75-75-87/101 Traffic enforcement camera system;</t>
  </si>
  <si>
    <t>Ss_75_70_96</t>
  </si>
  <si>
    <t>Water supply and wastewater control systems</t>
  </si>
  <si>
    <t>Ss_75_70_96_21</t>
  </si>
  <si>
    <t>Desludging control systems</t>
  </si>
  <si>
    <t>75-75-90/105 De-sludging control system;</t>
  </si>
  <si>
    <t>Ss_75_70_96_30</t>
  </si>
  <si>
    <t>Flow measurement and control systems</t>
  </si>
  <si>
    <t>75-75-90/101 Flow measurement and control system;</t>
  </si>
  <si>
    <t>Ss_75_70_96_96</t>
  </si>
  <si>
    <t>Wastewater supply control systems</t>
  </si>
  <si>
    <t>75-75-90/108 Wastewater supply control system;</t>
  </si>
  <si>
    <t>Ss_75_70_96_98</t>
  </si>
  <si>
    <t>Water supply quality control systems</t>
  </si>
  <si>
    <t>Ss_75_70_97</t>
  </si>
  <si>
    <t>Waterway control systems</t>
  </si>
  <si>
    <t>Ss_75_90</t>
  </si>
  <si>
    <t>Ticket management systems</t>
  </si>
  <si>
    <t>Ss_75_90_80</t>
  </si>
  <si>
    <t>Ticketing systems</t>
  </si>
  <si>
    <t>Ss_75_90_93</t>
  </si>
  <si>
    <t>Ticket validation systems</t>
  </si>
  <si>
    <t>Ss_75_90_93_11</t>
  </si>
  <si>
    <t>Card reading systems</t>
  </si>
  <si>
    <t>Ss_75_90_93_60</t>
  </si>
  <si>
    <t>Passenger check-in systems</t>
  </si>
  <si>
    <t>Ss_75_90_93_88</t>
  </si>
  <si>
    <t>Ticket reading systems</t>
  </si>
  <si>
    <t>Ss_75_95</t>
  </si>
  <si>
    <t>Temporary communications, security, safety, control and protection systems</t>
  </si>
  <si>
    <t>Ss_80</t>
  </si>
  <si>
    <t>Transport systems</t>
  </si>
  <si>
    <t>Ss_80_10</t>
  </si>
  <si>
    <t>Cable transport systems</t>
  </si>
  <si>
    <t>Ss_80_10_05</t>
  </si>
  <si>
    <t>Aerial tram systems</t>
  </si>
  <si>
    <t>Ss_80_10_10</t>
  </si>
  <si>
    <t>Cable car systems</t>
  </si>
  <si>
    <t>Ss_80_10_15</t>
  </si>
  <si>
    <t>Chairlift systems</t>
  </si>
  <si>
    <t>Ss_80_10_30</t>
  </si>
  <si>
    <t>Funicular systems</t>
  </si>
  <si>
    <t>Ss_80_10_35</t>
  </si>
  <si>
    <t>Gondola systems</t>
  </si>
  <si>
    <t>Ss_80_10_70</t>
  </si>
  <si>
    <t>Ropeway tow systems</t>
  </si>
  <si>
    <t>Ss_80_10_85</t>
  </si>
  <si>
    <t>Surface lift systems</t>
  </si>
  <si>
    <t>Ss_80_20</t>
  </si>
  <si>
    <t>Conveying systems</t>
  </si>
  <si>
    <t>Ss_80_20_05</t>
  </si>
  <si>
    <t>Automatic guided vehicle systems</t>
  </si>
  <si>
    <t>Ss_80_20_06</t>
  </si>
  <si>
    <t>Baggage handling systems</t>
  </si>
  <si>
    <t>Ss_80_20_06_04</t>
  </si>
  <si>
    <t>Airport baggage handling systems</t>
  </si>
  <si>
    <t>80-65-10/101 Baggage handling system;</t>
  </si>
  <si>
    <t>Ss_80_20_10</t>
  </si>
  <si>
    <t>Bulk material conveying systems</t>
  </si>
  <si>
    <t>Ss_80_20_11</t>
  </si>
  <si>
    <t>Cargo handling systems</t>
  </si>
  <si>
    <t>Ss_80_20_23</t>
  </si>
  <si>
    <t>Document conveying systems</t>
  </si>
  <si>
    <t>Ss_80_20_23_65</t>
  </si>
  <si>
    <t>Pneumatic document conveying systems</t>
  </si>
  <si>
    <t>80-65-75/110 Pneumatic document conveying system;</t>
  </si>
  <si>
    <t>5.10.9 Document handling systems (default);</t>
  </si>
  <si>
    <t>Ss_80_20_60</t>
  </si>
  <si>
    <t>Parcel sorting systems</t>
  </si>
  <si>
    <t>Ss_80_20_62</t>
  </si>
  <si>
    <t>People conveying systems</t>
  </si>
  <si>
    <t>Ss_80_20_62_28</t>
  </si>
  <si>
    <t>Escalator systems</t>
  </si>
  <si>
    <t>80-40-25/110 Escalator system;</t>
  </si>
  <si>
    <t>5.10.2 Escalators (default);</t>
  </si>
  <si>
    <t>Ss_80_20_62_53</t>
  </si>
  <si>
    <t>Moving walkway systems</t>
  </si>
  <si>
    <t>80-40-25/120 Moving walk system;</t>
  </si>
  <si>
    <t>5.10.3 Moving pavements (default);</t>
  </si>
  <si>
    <t>Ss_80_20_63</t>
  </si>
  <si>
    <t>Piece conveying systems</t>
  </si>
  <si>
    <t>Ss_80_20_63_59</t>
  </si>
  <si>
    <t>Overhead piece conveying systems</t>
  </si>
  <si>
    <t>Ss_80_20_65</t>
  </si>
  <si>
    <t>Pneumatic conveying systems</t>
  </si>
  <si>
    <t>Ss_80_30</t>
  </si>
  <si>
    <t>Crane and hoist systems</t>
  </si>
  <si>
    <t>Ss_80_30_15</t>
  </si>
  <si>
    <t>Crane systems</t>
  </si>
  <si>
    <t>Ss_80_30_15_10</t>
  </si>
  <si>
    <t>Bulk handling crane systems</t>
  </si>
  <si>
    <t>Ss_80_30_15_15</t>
  </si>
  <si>
    <t>Container handling crane systems</t>
  </si>
  <si>
    <t>Ss_80_30_15_59</t>
  </si>
  <si>
    <t>Overhead crane systems</t>
  </si>
  <si>
    <t>80-50-40/101 Overhead crane system;</t>
  </si>
  <si>
    <t>Ss_80_30_20</t>
  </si>
  <si>
    <t>Derrick systems</t>
  </si>
  <si>
    <t>Ss_80_30_25</t>
  </si>
  <si>
    <t>Dynamic permanent access and safety equipment systems</t>
  </si>
  <si>
    <t>Ss_80_30_25_30</t>
  </si>
  <si>
    <t>Fixed rig suspended access systems</t>
  </si>
  <si>
    <t>80-50-25/135 Suspended access system - fixed rig;</t>
  </si>
  <si>
    <t>2.5.6 Facade access/cleaning systems (default); 2.3.6 Roof features;</t>
  </si>
  <si>
    <t>Ss_80_30_25_32</t>
  </si>
  <si>
    <t>Gantry access systems</t>
  </si>
  <si>
    <t>80-50-25/120 Gantry access system;</t>
  </si>
  <si>
    <t>2.5.6 Facade access/cleaning systems; 2.3.6 Roof features (default);</t>
  </si>
  <si>
    <t>Ss_80_30_25_35</t>
  </si>
  <si>
    <t>Guided type fall arrest systems</t>
  </si>
  <si>
    <t>80-50-25/110 Fall arrest system - guided anchor line;</t>
  </si>
  <si>
    <t>Ss_80_30_25_50</t>
  </si>
  <si>
    <t>Mobile rig monorail suspended access systems</t>
  </si>
  <si>
    <t>80-50-25/140 Suspended access system - mobile rig on monorail;</t>
  </si>
  <si>
    <t>Ss_80_30_25_52</t>
  </si>
  <si>
    <t>Mobile rig tracked suspended access systems</t>
  </si>
  <si>
    <t>80-50-25/145 Suspended access system - mobile rig on tracks;</t>
  </si>
  <si>
    <t>Ss_80_30_25_55</t>
  </si>
  <si>
    <t>Mobile rig trackless suspended access systems</t>
  </si>
  <si>
    <t>80-50-25/150 Suspended access system - trackless mobile rig;</t>
  </si>
  <si>
    <t>Ss_80_30_25_75</t>
  </si>
  <si>
    <t>Robotic cleaning systems</t>
  </si>
  <si>
    <t>80-50-25/130 Robotic cleaning system;</t>
  </si>
  <si>
    <t>2.5.6 Facade access/cleaning systems (default);</t>
  </si>
  <si>
    <t>Ss_80_30_25_80</t>
  </si>
  <si>
    <t>Single point anchorage fall arrest systems</t>
  </si>
  <si>
    <t>80-50-25/115 Fall arrest system - single point anchorage;</t>
  </si>
  <si>
    <t>Ss_80_30_25_90</t>
  </si>
  <si>
    <t>Travelling ladder access systems</t>
  </si>
  <si>
    <t>80-50-25/155 Travelling ladder access system;</t>
  </si>
  <si>
    <t>Ss_80_30_40</t>
  </si>
  <si>
    <t>Hoist systems</t>
  </si>
  <si>
    <t>Ss_80_50</t>
  </si>
  <si>
    <t>Lift systems</t>
  </si>
  <si>
    <t>Ss_80_50_60</t>
  </si>
  <si>
    <t>Passenger and goods lift systems</t>
  </si>
  <si>
    <t>Ss_80_50_60_26</t>
  </si>
  <si>
    <t>Electric lift systems</t>
  </si>
  <si>
    <t>80-45-45/110 Electric lift system;</t>
  </si>
  <si>
    <t>5.10.1 Lifts and enclosed hoists (default);</t>
  </si>
  <si>
    <t>Ss_80_50_60_39</t>
  </si>
  <si>
    <t>Hydraulic lift systems</t>
  </si>
  <si>
    <t>80-45-45/120 Hydraulic lift system;</t>
  </si>
  <si>
    <t>5.10.1 Lifts and enclosed hoists;</t>
  </si>
  <si>
    <t>Ss_80_50_60_50</t>
  </si>
  <si>
    <t>Manual dumbwaiter systems</t>
  </si>
  <si>
    <t>Ss_80_50_60_60</t>
  </si>
  <si>
    <t>Paternoster systems</t>
  </si>
  <si>
    <t>Ss_80_50_60_65</t>
  </si>
  <si>
    <t>Powered homelift systems</t>
  </si>
  <si>
    <t>80-45-90/160 Powered homelift system;</t>
  </si>
  <si>
    <t>Ss_80_50_60_83</t>
  </si>
  <si>
    <t>Stairlift systems</t>
  </si>
  <si>
    <t>80-45-40/140 Inclined stairlift system;</t>
  </si>
  <si>
    <t>5.10.4 Powered stairlifts (default);</t>
  </si>
  <si>
    <t>Ss_80_50_60_85</t>
  </si>
  <si>
    <t>Step lift systems</t>
  </si>
  <si>
    <t>80-45-90/130 Step lift system;</t>
  </si>
  <si>
    <t>Ss_80_50_60_94</t>
  </si>
  <si>
    <t>Vertical platform lift systems</t>
  </si>
  <si>
    <t>80-45-90/140 Vertical lifting platform system;</t>
  </si>
  <si>
    <t>Ss_80_50_94</t>
  </si>
  <si>
    <t>Vehicle and boat stacking systems</t>
  </si>
  <si>
    <t>Ss_80_50_96</t>
  </si>
  <si>
    <t>Warehouse stacking systems</t>
  </si>
  <si>
    <t>Ss_80_70</t>
  </si>
  <si>
    <t>Track systems</t>
  </si>
  <si>
    <t>Ss_80_70_46</t>
  </si>
  <si>
    <t>Level crossing systems</t>
  </si>
  <si>
    <t>Ss_80_70_46_60</t>
  </si>
  <si>
    <t>Pedestrian level crossing systems</t>
  </si>
  <si>
    <t>80-05-45/115 Pedestrian level crossing system;</t>
  </si>
  <si>
    <t>Ss_80_70_46_93</t>
  </si>
  <si>
    <t>User worked level crossing systems</t>
  </si>
  <si>
    <t>80-05-45/105 User worked level crossing system;</t>
  </si>
  <si>
    <t>Ss_80_70_46_95</t>
  </si>
  <si>
    <t>Vehicular level crossing systems</t>
  </si>
  <si>
    <t>80-05-45/110 Public vehicular level crossing system;</t>
  </si>
  <si>
    <t>Ss_80_70_50</t>
  </si>
  <si>
    <t>Monorail systems</t>
  </si>
  <si>
    <t>Ss_80_70_70</t>
  </si>
  <si>
    <t>Rail track systems</t>
  </si>
  <si>
    <t>Ss_80_70_70_06</t>
  </si>
  <si>
    <t>Ballasted rail track systems</t>
  </si>
  <si>
    <t>80-05-85/101 Ballasted rail track system;</t>
  </si>
  <si>
    <t>Ss_80_70_70_27</t>
  </si>
  <si>
    <t>Embedded rail systems</t>
  </si>
  <si>
    <t>80-05-85/120 Embedded rail system;</t>
  </si>
  <si>
    <t>Ss_80_70_70_56</t>
  </si>
  <si>
    <t>Non-embedded slab track rail systems</t>
  </si>
  <si>
    <t>80-05-85/130 Non-embedded slab track rail system;</t>
  </si>
  <si>
    <t>Ss_80_70_70_65</t>
  </si>
  <si>
    <t>Precast track bed systems</t>
  </si>
  <si>
    <t>80-05-85/110 Precast track bed system;</t>
  </si>
  <si>
    <t>Ss_80_70_89</t>
  </si>
  <si>
    <t>Train arrestor systems</t>
  </si>
  <si>
    <t>Ss_80_70_89_30</t>
  </si>
  <si>
    <t>Fixed train arrestor systems</t>
  </si>
  <si>
    <t>80-05-75/110 Fixed buffer system;</t>
  </si>
  <si>
    <t>Ss_80_70_89_50</t>
  </si>
  <si>
    <t>Moveable train arrestor systems</t>
  </si>
  <si>
    <t>80-05-75/120 Friction buffer system;</t>
  </si>
  <si>
    <t>Ss_80_80</t>
  </si>
  <si>
    <t>Turntable systems</t>
  </si>
  <si>
    <t>Ss_80_80_20</t>
  </si>
  <si>
    <t>Display turntable systems</t>
  </si>
  <si>
    <t>Ss_80_80_30</t>
  </si>
  <si>
    <t>Floor turntable systems</t>
  </si>
  <si>
    <t>Ss_80_80_40</t>
  </si>
  <si>
    <t>Industrial turntable systems</t>
  </si>
  <si>
    <t>Ss_80_80_70</t>
  </si>
  <si>
    <t>Railway turntable systems</t>
  </si>
  <si>
    <t>Ss_80_80_85</t>
  </si>
  <si>
    <t>Stage turntable systems</t>
  </si>
  <si>
    <t>Ss_80_90</t>
  </si>
  <si>
    <t>Vehicle access systems</t>
  </si>
  <si>
    <t>Ss_80_90_05</t>
  </si>
  <si>
    <t>Aircraft passenger loading bridge systems</t>
  </si>
  <si>
    <t>Ss_80_90_05_60</t>
  </si>
  <si>
    <t>Passenger loading bridge systems</t>
  </si>
  <si>
    <t>80-35-05/105 Passenger loading bridge system;</t>
  </si>
  <si>
    <t>Ss_80_90_70</t>
  </si>
  <si>
    <t>Rocket passenger access systems</t>
  </si>
  <si>
    <t>Ss_80_90_75</t>
  </si>
  <si>
    <t>Ship passenger loading bridge systems</t>
  </si>
  <si>
    <t>Ss_80_95</t>
  </si>
  <si>
    <t>Temporary transport systems</t>
  </si>
  <si>
    <t>Ss_85</t>
  </si>
  <si>
    <t>Process engineering systems</t>
  </si>
  <si>
    <t>Ss_85_72</t>
  </si>
  <si>
    <t>Robotic systems</t>
  </si>
  <si>
    <t>Ss_85_95</t>
  </si>
  <si>
    <t>Temporary process engineering systems</t>
  </si>
  <si>
    <t>Ss_90</t>
  </si>
  <si>
    <t>Soft facility management systems</t>
  </si>
  <si>
    <t>Ss_90_05</t>
  </si>
  <si>
    <t>Demand for space</t>
  </si>
  <si>
    <t>Ss_90_06</t>
  </si>
  <si>
    <t>Demand for technical infrastructure</t>
  </si>
  <si>
    <t>Ss_90_07</t>
  </si>
  <si>
    <t>Demand for cleaning</t>
  </si>
  <si>
    <t>Ss_90_08</t>
  </si>
  <si>
    <t>Demand related to outdoor space</t>
  </si>
  <si>
    <t>Ss_90_09</t>
  </si>
  <si>
    <t>Workplace</t>
  </si>
  <si>
    <t>Ss_90_10</t>
  </si>
  <si>
    <t>Specific demand related to space and infrastructure</t>
  </si>
  <si>
    <t>Ss_90_11</t>
  </si>
  <si>
    <t>Demand for health, safety and security</t>
  </si>
  <si>
    <t>Ss_90_12</t>
  </si>
  <si>
    <t>Hospitality demands</t>
  </si>
  <si>
    <t>Ss_90_13</t>
  </si>
  <si>
    <t>Demand for information and communication</t>
  </si>
  <si>
    <t>Ss_90_14</t>
  </si>
  <si>
    <t>Demand for logistics</t>
  </si>
  <si>
    <t>Ss_90_15</t>
  </si>
  <si>
    <t>Demand for integrated management, consultancy and administration</t>
  </si>
  <si>
    <t>Ss_90_20</t>
  </si>
  <si>
    <t>Specific demand of administrative, commercial and protective services</t>
  </si>
  <si>
    <t>Ss_90_25</t>
  </si>
  <si>
    <t>Specific demand of cultural, educational, scientific and information organizations</t>
  </si>
  <si>
    <t>Ss_90_30</t>
  </si>
  <si>
    <t>Specific demand of industrial organizations</t>
  </si>
  <si>
    <t>Ss_90_35</t>
  </si>
  <si>
    <t>Specific demand of medical, health, welfare and sanitary organizations</t>
  </si>
  <si>
    <t>Ss_90_40</t>
  </si>
  <si>
    <t>Specific demand of recreational organizations</t>
  </si>
  <si>
    <t>Ss_90_45</t>
  </si>
  <si>
    <t>Specific demand of residential organizations</t>
  </si>
  <si>
    <t>Ss_90_50</t>
  </si>
  <si>
    <t>Specific demand of disposal organizations</t>
  </si>
  <si>
    <t>Ss_90_55</t>
  </si>
  <si>
    <t>Specific demand of piped supply organizations</t>
  </si>
  <si>
    <t>Ss_90_60</t>
  </si>
  <si>
    <t>Specific demand of heating, cooling and refrigeration organizations</t>
  </si>
  <si>
    <t>Ss_90_65</t>
  </si>
  <si>
    <t>Specific demand of ventilation and air conditioning organizations</t>
  </si>
  <si>
    <t>Ss_90_70</t>
  </si>
  <si>
    <t>Specific demand of electrical organizations</t>
  </si>
  <si>
    <t>Ss_90_75</t>
  </si>
  <si>
    <t>Specific demand of communications, security, safety and protection organisations</t>
  </si>
  <si>
    <t>Ss_90_80</t>
  </si>
  <si>
    <t>Specific demand of rail organizations</t>
  </si>
  <si>
    <t>Ss_90_81</t>
  </si>
  <si>
    <t>Specific demand of road organizations</t>
  </si>
  <si>
    <t>Ss_90_82</t>
  </si>
  <si>
    <t>Specific demand of marine and waterway organizations</t>
  </si>
  <si>
    <t>Ss_90_83</t>
  </si>
  <si>
    <t>Specific demand of cable transport organizations</t>
  </si>
  <si>
    <t>Ss_90_84</t>
  </si>
  <si>
    <t>Specific demand of aerospace organizations</t>
  </si>
  <si>
    <t>Pr Products - 31 July 2019 - v1.15</t>
  </si>
  <si>
    <t>PT LNEC</t>
  </si>
  <si>
    <t>NORMA EUROPEIA - LNEC</t>
  </si>
  <si>
    <t>Pr_15</t>
  </si>
  <si>
    <t>Preparatory products</t>
  </si>
  <si>
    <t>Pr_15_31</t>
  </si>
  <si>
    <t>Formless preparatory products</t>
  </si>
  <si>
    <t>Pr_15_31_04</t>
  </si>
  <si>
    <t>Applied cleaning and treatment products</t>
  </si>
  <si>
    <t>Pr_15_31_04_02</t>
  </si>
  <si>
    <t>Acid neutralization products</t>
  </si>
  <si>
    <t>Pr_15_31_04_06</t>
  </si>
  <si>
    <t>Biocidal cleaning solutions</t>
  </si>
  <si>
    <t>45-40-05/311 Biocidal cleaning solution;</t>
  </si>
  <si>
    <t>Pr_15_31_04_10</t>
  </si>
  <si>
    <t>Chemical absorbent products</t>
  </si>
  <si>
    <t>Pr_15_31_04_11</t>
  </si>
  <si>
    <t>Chemical cleaning gels and liquids</t>
  </si>
  <si>
    <t>45-55-08/318 Chemical cleaning gels and liquids;</t>
  </si>
  <si>
    <t>Pr_15_31_04_12</t>
  </si>
  <si>
    <t>Chemical poultices</t>
  </si>
  <si>
    <t>45-35-88/460 Chemical poultices;</t>
  </si>
  <si>
    <t>Pr_15_31_04_13</t>
  </si>
  <si>
    <t>Cleaners</t>
  </si>
  <si>
    <t>45-35-62/325 Cleaner;</t>
  </si>
  <si>
    <t>Pr_15_31_04_14</t>
  </si>
  <si>
    <t>Cleaning agents</t>
  </si>
  <si>
    <t>45-55-08/320 Cleaning agents;</t>
  </si>
  <si>
    <t>Pr_15_31_04_15</t>
  </si>
  <si>
    <t>Concrete surface retarders</t>
  </si>
  <si>
    <t>45-35-88/475 Concrete surface retarders;</t>
  </si>
  <si>
    <t>Pr_15_31_04_16</t>
  </si>
  <si>
    <t>Concrete treatment surface and injection chemicals</t>
  </si>
  <si>
    <t>45-35-88/450 Concrete treatment surface or injection chemicals;</t>
  </si>
  <si>
    <t>Pr_15_31_04_20</t>
  </si>
  <si>
    <t>Curing compounds</t>
  </si>
  <si>
    <t>45-35-88/465 Curing compounds;</t>
  </si>
  <si>
    <t>Pr_15_31_04_23</t>
  </si>
  <si>
    <t>De-icing chemicals</t>
  </si>
  <si>
    <t>Pr_15_31_04_34</t>
  </si>
  <si>
    <t>Graffiti-removing chemicals</t>
  </si>
  <si>
    <t>45-55-08/330 Graffiti removing chemicals;</t>
  </si>
  <si>
    <t>Pr_15_31_04_35</t>
  </si>
  <si>
    <t>Grit</t>
  </si>
  <si>
    <t>Pr_15_31_04_53</t>
  </si>
  <si>
    <t>Mould removers</t>
  </si>
  <si>
    <t>45-40-05/317 Mould removers;</t>
  </si>
  <si>
    <t>Pr_15_31_04_58</t>
  </si>
  <si>
    <t>Oil-absorbent products</t>
  </si>
  <si>
    <t>Pr_15_31_04_60</t>
  </si>
  <si>
    <t>Paint strippers</t>
  </si>
  <si>
    <t>Pr_15_31_04_64</t>
  </si>
  <si>
    <t>Plain poultices</t>
  </si>
  <si>
    <t>45-35-88/455 Plain poultices;</t>
  </si>
  <si>
    <t>Pr_15_31_04_72</t>
  </si>
  <si>
    <t>Rock salt</t>
  </si>
  <si>
    <t>Pr_15_31_04_77</t>
  </si>
  <si>
    <t>Shampoos</t>
  </si>
  <si>
    <t>Pr_15_31_04_80</t>
  </si>
  <si>
    <t>Snow clearing chemicals</t>
  </si>
  <si>
    <t>45-55-08/340 Snow clearing chemicals;</t>
  </si>
  <si>
    <t>Pr_15_31_04_81</t>
  </si>
  <si>
    <t>Solvents</t>
  </si>
  <si>
    <t>Pr_15_31_04_84</t>
  </si>
  <si>
    <t>Spot-removing chemicals</t>
  </si>
  <si>
    <t>Pr_15_31_04_85</t>
  </si>
  <si>
    <t>Sugar soap</t>
  </si>
  <si>
    <t>45-35-62/375 Sugar soap;</t>
  </si>
  <si>
    <t>Pr_15_31_04_86</t>
  </si>
  <si>
    <t>Surface cleaners</t>
  </si>
  <si>
    <t>Pr_15_31_12</t>
  </si>
  <si>
    <t>Chemical soils stabilizers</t>
  </si>
  <si>
    <t>Pr_15_31_12_42</t>
  </si>
  <si>
    <t>Injectable resinous soil stabilizers</t>
  </si>
  <si>
    <t>Pr_15_31_26</t>
  </si>
  <si>
    <t>Excavated earth and fill materials</t>
  </si>
  <si>
    <t>Pr_15_31_26_02</t>
  </si>
  <si>
    <t>Asphalt arisings granular unbound mixtures</t>
  </si>
  <si>
    <t>45-55-28/390 Type 4 unbound mixture;</t>
  </si>
  <si>
    <t>Pr_15_31_26_07</t>
  </si>
  <si>
    <t>Bentonite</t>
  </si>
  <si>
    <t>Pr_15_31_26_13</t>
  </si>
  <si>
    <t>Chalk</t>
  </si>
  <si>
    <t>45-35-88/375 Chalk;</t>
  </si>
  <si>
    <t>Pr_15_31_26_14</t>
  </si>
  <si>
    <t>Clay</t>
  </si>
  <si>
    <t>45-55-28/320 Clay;</t>
  </si>
  <si>
    <t>Pr_15_31_26_15</t>
  </si>
  <si>
    <t>Coarse no fines rubble fill materials</t>
  </si>
  <si>
    <t>Pr_15_31_26_17</t>
  </si>
  <si>
    <t>Cohesive material</t>
  </si>
  <si>
    <t>Pr_15_31_26_18</t>
  </si>
  <si>
    <t>Close-graded granular unbound mixtures</t>
  </si>
  <si>
    <t>45-55-28/420 Highways Agency unbound mixture Category B;</t>
  </si>
  <si>
    <t>Pr_15_31_26_26</t>
  </si>
  <si>
    <t>Earth</t>
  </si>
  <si>
    <t>45-55-28/330 Earth;</t>
  </si>
  <si>
    <t>Pr_15_31_26_31</t>
  </si>
  <si>
    <t>Glass bottles</t>
  </si>
  <si>
    <t>45-55-28/345 Glass bottles;</t>
  </si>
  <si>
    <t>Pr_15_31_26_33</t>
  </si>
  <si>
    <t>Graded granular fill materials</t>
  </si>
  <si>
    <t>Pr_15_31_26_34</t>
  </si>
  <si>
    <t>Graded natural granular fill materials</t>
  </si>
  <si>
    <t>Pr_15_31_26_35</t>
  </si>
  <si>
    <t>Graded recycled granular fill materials</t>
  </si>
  <si>
    <t>Pr_15_31_26_36</t>
  </si>
  <si>
    <t>Hardcore</t>
  </si>
  <si>
    <t>45-55-28/350 Hardcore;</t>
  </si>
  <si>
    <t>Pr_15_31_26_39</t>
  </si>
  <si>
    <t>Higher fines content well-graded granular mixtures</t>
  </si>
  <si>
    <t>45-55-28/370 Highways Agency unbound mixture Type 2;</t>
  </si>
  <si>
    <t>Pr_15_31_26_42</t>
  </si>
  <si>
    <t>Hoggin</t>
  </si>
  <si>
    <t>45-55-28/400 Hoggin;</t>
  </si>
  <si>
    <t>Pr_15_31_26_46</t>
  </si>
  <si>
    <t>Landscape area fill materials</t>
  </si>
  <si>
    <t>45-55-28/340 Fill materials for landscape areas;</t>
  </si>
  <si>
    <t>Pr_15_31_26_50</t>
  </si>
  <si>
    <t>Made ground</t>
  </si>
  <si>
    <t>Pr_15_31_26_58</t>
  </si>
  <si>
    <t>Open-graded granular unbound mixtures</t>
  </si>
  <si>
    <t>45-55-28/380 Type 3 unbound mixture;</t>
  </si>
  <si>
    <t>Pr_15_31_26_71</t>
  </si>
  <si>
    <t>River deposits</t>
  </si>
  <si>
    <t>Pr_15_31_26_75</t>
  </si>
  <si>
    <t>Sand</t>
  </si>
  <si>
    <t>Pr_15_31_26_90</t>
  </si>
  <si>
    <t>Topsoil</t>
  </si>
  <si>
    <t>Pr_15_31_26_96</t>
  </si>
  <si>
    <t>Well-graded granular unbound mixtures</t>
  </si>
  <si>
    <t>45-55-28/360 Type 1 unbound mixture;</t>
  </si>
  <si>
    <t>Pr_15_57</t>
  </si>
  <si>
    <t>Non-rigid sheet, mat and strip preparatory products</t>
  </si>
  <si>
    <t>Pr_15_57_04</t>
  </si>
  <si>
    <t>Applied cleaning and repair products</t>
  </si>
  <si>
    <t>Pr_15_57_04_34</t>
  </si>
  <si>
    <t>Graffiti-removing wipes</t>
  </si>
  <si>
    <t>Pr_15_57_25</t>
  </si>
  <si>
    <t>Geocells</t>
  </si>
  <si>
    <t>Pr_15_57_25_03</t>
  </si>
  <si>
    <t>Acrylonitrile butadiene styrene (ABS) geocell boards</t>
  </si>
  <si>
    <t>45-65-35/309 Plastics geocell boards;</t>
  </si>
  <si>
    <t>Pr_15_57_25_04</t>
  </si>
  <si>
    <t>Acrylonitrile butadiene styrene (ABS) geocell sheets</t>
  </si>
  <si>
    <t>45-65-35/307 Plastics geocell sheets;</t>
  </si>
  <si>
    <t>Pr_15_57_25_32</t>
  </si>
  <si>
    <t>Geocell boards</t>
  </si>
  <si>
    <t>Pr_15_57_25_33</t>
  </si>
  <si>
    <t>Geocell sheets</t>
  </si>
  <si>
    <t>Pr_15_57_25_35</t>
  </si>
  <si>
    <t>Heavy-duty polystyrene geocell boards</t>
  </si>
  <si>
    <t>Pr_15_57_25_36</t>
  </si>
  <si>
    <t>Heavy-duty polystyrene geocell sheets</t>
  </si>
  <si>
    <t>Pr_15_57_25_39</t>
  </si>
  <si>
    <t>High density polyethylene (PE-HD) geocell boards</t>
  </si>
  <si>
    <t>Pr_15_57_25_40</t>
  </si>
  <si>
    <t>High density polyethylene (PE-HD) geocell sheets</t>
  </si>
  <si>
    <t>Pr_15_57_25_57</t>
  </si>
  <si>
    <t>Needle-punched polyester linen</t>
  </si>
  <si>
    <t>Pr_15_57_25_70</t>
  </si>
  <si>
    <t>Polyester strips</t>
  </si>
  <si>
    <t>Pr_15_57_25_74</t>
  </si>
  <si>
    <t>Polypropylene geocell boards</t>
  </si>
  <si>
    <t>Pr_15_57_25_75</t>
  </si>
  <si>
    <t>Polypropylene geocell sheets</t>
  </si>
  <si>
    <t>Pr_15_57_27</t>
  </si>
  <si>
    <t>Geocomposites</t>
  </si>
  <si>
    <t>Pr_15_57_27_33</t>
  </si>
  <si>
    <t>Geocomposite sheets</t>
  </si>
  <si>
    <t>Pr_15_57_27_36</t>
  </si>
  <si>
    <t>Geocomposite studded sheets</t>
  </si>
  <si>
    <t>Pr_15_57_27_38</t>
  </si>
  <si>
    <t>Geomembrane geogrid composite sheets</t>
  </si>
  <si>
    <t>Pr_15_57_27_39</t>
  </si>
  <si>
    <t>Geosynthetic clay liners (GCLs)</t>
  </si>
  <si>
    <t>45-65-35/345 Geosynthetic clay liners (GCLs);</t>
  </si>
  <si>
    <t>Pr_15_57_27_43</t>
  </si>
  <si>
    <t>Geotextile geogrid composite sheets</t>
  </si>
  <si>
    <t>Pr_15_57_27_45</t>
  </si>
  <si>
    <t>Geotextile geomembrane composite sheets</t>
  </si>
  <si>
    <t>Pr_15_57_27_47</t>
  </si>
  <si>
    <t>Geotextile geonet composite sheets</t>
  </si>
  <si>
    <t>Pr_15_57_27_49</t>
  </si>
  <si>
    <t>Geotextile plastics composite sheets</t>
  </si>
  <si>
    <t>Pr_15_57_27_60</t>
  </si>
  <si>
    <t>Plastics geocomposite sheets</t>
  </si>
  <si>
    <t>Pr_15_57_30</t>
  </si>
  <si>
    <t>Geomembranes</t>
  </si>
  <si>
    <t>Pr_15_57_33</t>
  </si>
  <si>
    <t>Geosynthetics</t>
  </si>
  <si>
    <t>Pr_15_57_33_36</t>
  </si>
  <si>
    <t>Geogrids</t>
  </si>
  <si>
    <t>Pr_15_57_33_37</t>
  </si>
  <si>
    <t>Geomats</t>
  </si>
  <si>
    <t>45-65-35/335 Geomats;</t>
  </si>
  <si>
    <t>Pr_15_57_33_38</t>
  </si>
  <si>
    <t>Geonets</t>
  </si>
  <si>
    <t>45-65-35/340 Geonets;</t>
  </si>
  <si>
    <t>Pr_15_57_33_41</t>
  </si>
  <si>
    <t>High density polyethylene (PE-HD) geogrids</t>
  </si>
  <si>
    <t>Pr_15_57_33_42</t>
  </si>
  <si>
    <t>High density polyethylene (PE-HD) geonets</t>
  </si>
  <si>
    <t>Pr_15_57_33_64</t>
  </si>
  <si>
    <t>Plastics geogrids</t>
  </si>
  <si>
    <t>45-65-35/352 Plastics geogrids;</t>
  </si>
  <si>
    <t>Pr_15_57_33_75</t>
  </si>
  <si>
    <t>Polyester geogrids</t>
  </si>
  <si>
    <t>Pr_15_57_33_77</t>
  </si>
  <si>
    <t>Polyethylene geomats</t>
  </si>
  <si>
    <t>Pr_15_57_33_79</t>
  </si>
  <si>
    <t>Polymeric rib geonets</t>
  </si>
  <si>
    <t>Pr_15_57_33_80</t>
  </si>
  <si>
    <t>Polyolefin geomats</t>
  </si>
  <si>
    <t>Pr_15_57_33_85</t>
  </si>
  <si>
    <t>Spun-bonded polypropylene (PP) membranes</t>
  </si>
  <si>
    <t>Pr_15_57_33_97</t>
  </si>
  <si>
    <t>Woven polypropylene (PP) membranes</t>
  </si>
  <si>
    <t>Pr_15_57_35</t>
  </si>
  <si>
    <t>Geotextiles</t>
  </si>
  <si>
    <t>Pr_15_57_35_56</t>
  </si>
  <si>
    <t>Natural material geotextiles</t>
  </si>
  <si>
    <t>Pr_15_57_35_57</t>
  </si>
  <si>
    <t>Needle-punched nonwoven geotextiles</t>
  </si>
  <si>
    <t>Pr_15_57_35_61</t>
  </si>
  <si>
    <t>Plastics geotextiles</t>
  </si>
  <si>
    <t>Pr_15_57_35_88</t>
  </si>
  <si>
    <t>Thermally-bonded nonwoven geotextiles</t>
  </si>
  <si>
    <t>Pr_15_71</t>
  </si>
  <si>
    <t>Rigid board, panel and sheet preparatory products</t>
  </si>
  <si>
    <t>Pr_15_71_90</t>
  </si>
  <si>
    <t>Trench boards and sheets</t>
  </si>
  <si>
    <t>Pr_15_71_90_90</t>
  </si>
  <si>
    <t>Trench boards</t>
  </si>
  <si>
    <t>Pr_15_71_90_91</t>
  </si>
  <si>
    <t>Trench sheets</t>
  </si>
  <si>
    <t>Pr_15_93</t>
  </si>
  <si>
    <t>Unit preparatory products</t>
  </si>
  <si>
    <t>Pr_15_93_30</t>
  </si>
  <si>
    <t>Fill blocks</t>
  </si>
  <si>
    <t>Pr_15_93_30_28</t>
  </si>
  <si>
    <t>Expanded polystyrene (EPS) fill blocks</t>
  </si>
  <si>
    <t>45-55-28/335 Expanded polystyrene blocks;</t>
  </si>
  <si>
    <t>Pr_20</t>
  </si>
  <si>
    <t>Structure and general products</t>
  </si>
  <si>
    <t>Pr_20_29</t>
  </si>
  <si>
    <t>Fastener products</t>
  </si>
  <si>
    <t>Pr_20_29_03</t>
  </si>
  <si>
    <t>Anchors and components</t>
  </si>
  <si>
    <t>Pr_20_29_03_04</t>
  </si>
  <si>
    <t>Anchor blocks</t>
  </si>
  <si>
    <t>Pr_20_29_03_05</t>
  </si>
  <si>
    <t>Anchor rails</t>
  </si>
  <si>
    <t>Pr_20_29_03_10</t>
  </si>
  <si>
    <t>Carbon steel anchor plates</t>
  </si>
  <si>
    <t>45-60-50/450 Carbon steel anchor plates;</t>
  </si>
  <si>
    <t>Pr_20_29_03_11</t>
  </si>
  <si>
    <t>Carbon steel chemical anchor rods</t>
  </si>
  <si>
    <t>45-50-12/330 Carbon steel anchor rods;</t>
  </si>
  <si>
    <t>Pr_20_29_03_12</t>
  </si>
  <si>
    <t>Carbon steel chemical anchor sockets</t>
  </si>
  <si>
    <t>45-50-12/350 Carbon steel anchor sockets;</t>
  </si>
  <si>
    <t>Pr_20_29_03_13</t>
  </si>
  <si>
    <t>Carbon steel post base plates</t>
  </si>
  <si>
    <t>45-50-05/420 Carbon steel post baseplates;</t>
  </si>
  <si>
    <t>Pr_20_29_03_14</t>
  </si>
  <si>
    <t>Carbon steel post spikes</t>
  </si>
  <si>
    <t>45-50-05/410 Carbon steel post spikes;</t>
  </si>
  <si>
    <t>Pr_20_29_03_15</t>
  </si>
  <si>
    <t>Cavity anchors</t>
  </si>
  <si>
    <t>45-50-05/305 Cavity anchors;</t>
  </si>
  <si>
    <t>Pr_20_29_03_16</t>
  </si>
  <si>
    <t>Chemical anchor capsules</t>
  </si>
  <si>
    <t>45-50-12/320 Chemical anchor capsules;</t>
  </si>
  <si>
    <t>Pr_20_29_03_17</t>
  </si>
  <si>
    <t>Chemical anchor cartridges</t>
  </si>
  <si>
    <t>45-50-12/310 Chemical anchor cartridges;</t>
  </si>
  <si>
    <t>Pr_20_29_03_18</t>
  </si>
  <si>
    <t>Chemical anchors</t>
  </si>
  <si>
    <t>Pr_20_29_03_28</t>
  </si>
  <si>
    <t>Expansion anchors</t>
  </si>
  <si>
    <t>45-50-05/310 Expansion anchors;</t>
  </si>
  <si>
    <t>Pr_20_29_03_30</t>
  </si>
  <si>
    <t>Fixing discs</t>
  </si>
  <si>
    <t>Pr_20_29_03_31</t>
  </si>
  <si>
    <t>Framing anchors</t>
  </si>
  <si>
    <t>45-50-50/405 Framing anchors;</t>
  </si>
  <si>
    <t>Pr_20_29_03_32</t>
  </si>
  <si>
    <t>Framing fasteners</t>
  </si>
  <si>
    <t>45-50-05/315 Frame fasteners;</t>
  </si>
  <si>
    <t>Pr_20_29_03_33</t>
  </si>
  <si>
    <t>Ground anchor heads</t>
  </si>
  <si>
    <t>45-50-05/345 Ground anchors;</t>
  </si>
  <si>
    <t>Pr_20_29_03_34</t>
  </si>
  <si>
    <t>Ground plate anchors</t>
  </si>
  <si>
    <t>Pr_20_29_03_35</t>
  </si>
  <si>
    <t>Grouted ground anchors</t>
  </si>
  <si>
    <t>Pr_20_29_03_36</t>
  </si>
  <si>
    <t>Hammer-in fasteners</t>
  </si>
  <si>
    <t>45-50-05/320 Hammer-in fasteners;</t>
  </si>
  <si>
    <t>Pr_20_29_03_44</t>
  </si>
  <si>
    <t>J-pins</t>
  </si>
  <si>
    <t>45-50-05/430 J-Pins;</t>
  </si>
  <si>
    <t>Pr_20_29_03_47</t>
  </si>
  <si>
    <t>Lifting anchors</t>
  </si>
  <si>
    <t>Pr_20_29_03_48</t>
  </si>
  <si>
    <t>Lifting hoops</t>
  </si>
  <si>
    <t>Pr_20_29_03_66</t>
  </si>
  <si>
    <t>Prestressing anchors</t>
  </si>
  <si>
    <t>Pr_20_29_03_72</t>
  </si>
  <si>
    <t>Rock bolts</t>
  </si>
  <si>
    <t>45-50-05/370 Rock bolts;</t>
  </si>
  <si>
    <t>Pr_20_29_03_73</t>
  </si>
  <si>
    <t>Rock dowels</t>
  </si>
  <si>
    <t>45-50-05/380 Rock dowels;</t>
  </si>
  <si>
    <t>Pr_20_29_03_77</t>
  </si>
  <si>
    <t>Socket anchors</t>
  </si>
  <si>
    <t>45-50-05/325 Socket anchors;</t>
  </si>
  <si>
    <t>Pr_20_29_03_78</t>
  </si>
  <si>
    <t>Solar module roof anchors</t>
  </si>
  <si>
    <t>Pr_20_29_03_79</t>
  </si>
  <si>
    <t>Split rings</t>
  </si>
  <si>
    <t>45-25-38/425 Split rings;</t>
  </si>
  <si>
    <t>Pr_20_29_03_80</t>
  </si>
  <si>
    <t>Sprayed concrete anchor studs</t>
  </si>
  <si>
    <t>45-50-05/350 Studs for sprayed concrete;</t>
  </si>
  <si>
    <t>Pr_20_29_03_81</t>
  </si>
  <si>
    <t>Sprayed concrete ties</t>
  </si>
  <si>
    <t>45-50-05/355 Ties for sprayed concrete;</t>
  </si>
  <si>
    <t>Pr_20_29_03_82</t>
  </si>
  <si>
    <t>Stainless steel anchor plates</t>
  </si>
  <si>
    <t>45-60-50/455 Stainless steel anchor plates;</t>
  </si>
  <si>
    <t>Pr_20_29_03_83</t>
  </si>
  <si>
    <t>Stainless steel chemical anchor rods</t>
  </si>
  <si>
    <t>45-50-12/340 Stainless steel anchor rods;</t>
  </si>
  <si>
    <t>Pr_20_29_03_84</t>
  </si>
  <si>
    <t>Stainless steel chemical anchor sockets</t>
  </si>
  <si>
    <t>45-50-12/360 Stainless steel anchor sockets;</t>
  </si>
  <si>
    <t>Pr_20_29_03_86</t>
  </si>
  <si>
    <t>Structural anchors</t>
  </si>
  <si>
    <t>45-50-05/400 Structural anchors;</t>
  </si>
  <si>
    <t>Pr_20_29_03_88</t>
  </si>
  <si>
    <t>Threaded anchors</t>
  </si>
  <si>
    <t>45-50-05/330 Threaded anchors;</t>
  </si>
  <si>
    <t>Pr_20_29_03_92</t>
  </si>
  <si>
    <t>Undercut anchors</t>
  </si>
  <si>
    <t>45-50-05/335 Undercut anchors;</t>
  </si>
  <si>
    <t>Pr_20_29_03_97</t>
  </si>
  <si>
    <t>Wedge anchors</t>
  </si>
  <si>
    <t>45-50-05/340 Wedge anchors;</t>
  </si>
  <si>
    <t>Pr_20_29_04</t>
  </si>
  <si>
    <t>Angle fasteners</t>
  </si>
  <si>
    <t>Pr_20_29_04_26</t>
  </si>
  <si>
    <t>Equal angles fasteners</t>
  </si>
  <si>
    <t>45-70-05/470 Equal angles fastenings;</t>
  </si>
  <si>
    <t>Pr_20_29_04_27</t>
  </si>
  <si>
    <t>Equipment fasteners</t>
  </si>
  <si>
    <t>45-70-05/475 Fasteners for securing equipment;</t>
  </si>
  <si>
    <t>Pr_20_29_08</t>
  </si>
  <si>
    <t>Bolts and accessories</t>
  </si>
  <si>
    <t>Pr_20_29_08_04</t>
  </si>
  <si>
    <t>Anchor bolts</t>
  </si>
  <si>
    <t>Pr_20_29_08_07</t>
  </si>
  <si>
    <t>Black hexagon nuts and bolts</t>
  </si>
  <si>
    <t>45-50-10/310 Black hexagon nuts and bolts;</t>
  </si>
  <si>
    <t>Pr_20_29_08_08</t>
  </si>
  <si>
    <t>Bolt boxes</t>
  </si>
  <si>
    <t>45-50-10/400 Bolt boxes;</t>
  </si>
  <si>
    <t>Pr_20_29_08_11</t>
  </si>
  <si>
    <t>Carbon steel hexagon headed nuts and bolts</t>
  </si>
  <si>
    <t>45-50-10/330 Hexagon head carbon steel nuts and bolts;</t>
  </si>
  <si>
    <t>Pr_20_29_08_12</t>
  </si>
  <si>
    <t>Carbon steel hook bolts (J-bolts)</t>
  </si>
  <si>
    <t>45-50-10/340 Carbon steel hook bolts;</t>
  </si>
  <si>
    <t>Pr_20_29_08_15</t>
  </si>
  <si>
    <t>Coach (carriage) bolts and nuts</t>
  </si>
  <si>
    <t>45-50-10/325 Coach bolts and nuts;</t>
  </si>
  <si>
    <t>Pr_20_29_08_18</t>
  </si>
  <si>
    <t>Crossing bolts</t>
  </si>
  <si>
    <t>Pr_20_29_08_26</t>
  </si>
  <si>
    <t>Elevator bolts</t>
  </si>
  <si>
    <t>Pr_20_29_08_27</t>
  </si>
  <si>
    <t>Eye bolts</t>
  </si>
  <si>
    <t>Pr_20_29_08_28</t>
  </si>
  <si>
    <t>Expanding bolts</t>
  </si>
  <si>
    <t>Pr_20_29_08_30</t>
  </si>
  <si>
    <t>Fishplate bolts</t>
  </si>
  <si>
    <t>Pr_20_29_08_32</t>
  </si>
  <si>
    <t>Flangeway bolts</t>
  </si>
  <si>
    <t>Pr_20_29_08_36</t>
  </si>
  <si>
    <t>Hanger bolts</t>
  </si>
  <si>
    <t>Pr_20_29_08_38</t>
  </si>
  <si>
    <t>Holding down bolt assemblies</t>
  </si>
  <si>
    <t>45-50-10/315 Carbon steel holding down bolt assemblies with anchorages;</t>
  </si>
  <si>
    <t>Pr_20_29_08_42</t>
  </si>
  <si>
    <t>Indented bolts</t>
  </si>
  <si>
    <t>45-50-10/350 Indented bolts;</t>
  </si>
  <si>
    <t>Pr_20_29_08_46</t>
  </si>
  <si>
    <t>Lag bolts</t>
  </si>
  <si>
    <t>Pr_20_29_08_57</t>
  </si>
  <si>
    <t>Nylon gutter bolts</t>
  </si>
  <si>
    <t>90-05-35/455 Nylon gutter bolts;</t>
  </si>
  <si>
    <t>Pr_20_29_08_66</t>
  </si>
  <si>
    <t>Preloaded bolt assemblies</t>
  </si>
  <si>
    <t>45-50-10/320 Carbon steel preloaded bolt assemblies;</t>
  </si>
  <si>
    <t>Pr_20_29_08_70</t>
  </si>
  <si>
    <t>Rail securing bolts</t>
  </si>
  <si>
    <t>Pr_20_29_08_78</t>
  </si>
  <si>
    <t>Shoulder bolts</t>
  </si>
  <si>
    <t>Pr_20_29_08_83</t>
  </si>
  <si>
    <t>Stainless steel gutter bolts</t>
  </si>
  <si>
    <t>90-05-35/470 Stainless steel gutter bolts;</t>
  </si>
  <si>
    <t>Pr_20_29_08_84</t>
  </si>
  <si>
    <t>Stainless steel hexagon headed nuts and bolts</t>
  </si>
  <si>
    <t>45-50-10/335 Hexagon head stainless steel nuts and bolts;</t>
  </si>
  <si>
    <t>Pr_20_29_08_85</t>
  </si>
  <si>
    <t>Stainless steel hook bolts (J-bolts)</t>
  </si>
  <si>
    <t>45-50-10/345 Stainless steel hook bolts;</t>
  </si>
  <si>
    <t>Pr_20_29_08_86</t>
  </si>
  <si>
    <t>Stud bolts</t>
  </si>
  <si>
    <t>Pr_20_29_08_92</t>
  </si>
  <si>
    <t>U-bolts</t>
  </si>
  <si>
    <t>Pr_20_29_10</t>
  </si>
  <si>
    <t>Bridge suspension cable accessories</t>
  </si>
  <si>
    <t>Pr_20_29_10_11</t>
  </si>
  <si>
    <t>Cable sleeves</t>
  </si>
  <si>
    <t>45-70-10/350 Cable sleeves;</t>
  </si>
  <si>
    <t>Pr_20_29_10_12</t>
  </si>
  <si>
    <t>Cable strand sockets</t>
  </si>
  <si>
    <t>45-70-10/340 Cable strand sockets;</t>
  </si>
  <si>
    <t>Pr_20_29_10_13</t>
  </si>
  <si>
    <t>Cast steel anchorage couplers</t>
  </si>
  <si>
    <t>45-70-10/320 Cast steel anchorage couplers;</t>
  </si>
  <si>
    <t>Pr_20_29_10_14</t>
  </si>
  <si>
    <t>Cast steel cable bands</t>
  </si>
  <si>
    <t>45-70-10/330 Cast steel cable bands;</t>
  </si>
  <si>
    <t>Pr_20_29_10_15</t>
  </si>
  <si>
    <t>Cast steel saddles</t>
  </si>
  <si>
    <t>45-70-10/335 Cast steel saddles;</t>
  </si>
  <si>
    <t>Pr_20_29_10_16</t>
  </si>
  <si>
    <t>Cast steel suspender sockets</t>
  </si>
  <si>
    <t>45-70-10/325 Cast steel suspender sockets;</t>
  </si>
  <si>
    <t>Pr_20_29_10_21</t>
  </si>
  <si>
    <t>Dampers</t>
  </si>
  <si>
    <t>45-70-10/360 Dampers;</t>
  </si>
  <si>
    <t>Pr_20_29_10_79</t>
  </si>
  <si>
    <t>Sleeve clamps</t>
  </si>
  <si>
    <t>45-70-10/355 Sleeve clamps;</t>
  </si>
  <si>
    <t>Pr_20_29_14</t>
  </si>
  <si>
    <t>Clips, clamps and couplers</t>
  </si>
  <si>
    <t>Pr_20_29_14_07</t>
  </si>
  <si>
    <t>Beam clamps</t>
  </si>
  <si>
    <t>90-90-60/400 Beam clamps;</t>
  </si>
  <si>
    <t>Pr_20_29_14_08</t>
  </si>
  <si>
    <t>Beam clips</t>
  </si>
  <si>
    <t>90-90-60/395 Beam clips;</t>
  </si>
  <si>
    <t>Pr_20_29_14_13</t>
  </si>
  <si>
    <t>Circlips</t>
  </si>
  <si>
    <t>Pr_20_29_14_15</t>
  </si>
  <si>
    <t>Coupler connections</t>
  </si>
  <si>
    <t>45-50-70/352 Coupler connections;</t>
  </si>
  <si>
    <t>Pr_20_29_14_16</t>
  </si>
  <si>
    <t>Colour pipe clips</t>
  </si>
  <si>
    <t>Pr_20_29_14_17</t>
  </si>
  <si>
    <t>Copper clips</t>
  </si>
  <si>
    <t>45-50-17/310 Copper clips;</t>
  </si>
  <si>
    <t>Pr_20_29_14_22</t>
  </si>
  <si>
    <t>Deck board clips</t>
  </si>
  <si>
    <t>45-50-17/320 Deck board clips;</t>
  </si>
  <si>
    <t>Pr_20_29_14_24</t>
  </si>
  <si>
    <t>Drainage pipe clips</t>
  </si>
  <si>
    <t>Pr_20_29_14_30</t>
  </si>
  <si>
    <t>Fence panel clips</t>
  </si>
  <si>
    <t>45-50-17/340 Fence panel clips;</t>
  </si>
  <si>
    <t>Pr_20_29_14_31</t>
  </si>
  <si>
    <t>Floor clips</t>
  </si>
  <si>
    <t>Pr_20_29_14_32</t>
  </si>
  <si>
    <t>Frame cramps</t>
  </si>
  <si>
    <t>45-50-50/320 Frame cramps;</t>
  </si>
  <si>
    <t>Pr_20_29_14_33</t>
  </si>
  <si>
    <t>Glass panel fixing clips</t>
  </si>
  <si>
    <t>45-50-17/330 Glass panel fixing clips;</t>
  </si>
  <si>
    <t>Pr_20_29_14_34</t>
  </si>
  <si>
    <t>Glass-to-glass clips</t>
  </si>
  <si>
    <t>Pr_20_29_14_35</t>
  </si>
  <si>
    <t>Glass-to-wall clips</t>
  </si>
  <si>
    <t>Pr_20_29_14_36</t>
  </si>
  <si>
    <t>Girder clamps</t>
  </si>
  <si>
    <t>Pr_20_29_14_40</t>
  </si>
  <si>
    <t>Iron clips</t>
  </si>
  <si>
    <t>Pr_20_29_14_45</t>
  </si>
  <si>
    <t>Lift-off panel clips</t>
  </si>
  <si>
    <t>45-50-17/350 Lift off panel clips;</t>
  </si>
  <si>
    <t>Pr_20_29_14_50</t>
  </si>
  <si>
    <t>Masonry cramps</t>
  </si>
  <si>
    <t>45-50-50/335 Masonry cramps and dowels;</t>
  </si>
  <si>
    <t>Pr_20_29_14_65</t>
  </si>
  <si>
    <t>Pipe clips</t>
  </si>
  <si>
    <t>90-90-60/405 Pipe clips;</t>
  </si>
  <si>
    <t>Pr_20_29_14_68</t>
  </si>
  <si>
    <t>Push-fit panel clips</t>
  </si>
  <si>
    <t>45-50-17/360 Push fit panel clips;</t>
  </si>
  <si>
    <t>Pr_20_29_14_76</t>
  </si>
  <si>
    <t>Security glazing clips</t>
  </si>
  <si>
    <t>45-50-17/370 Security glazing clips;</t>
  </si>
  <si>
    <t>Pr_20_29_14_79</t>
  </si>
  <si>
    <t>Shackles</t>
  </si>
  <si>
    <t>Pr_20_29_14_82</t>
  </si>
  <si>
    <t>Stainless steel spring clips</t>
  </si>
  <si>
    <t>45-50-17/380 Stainless steel spring clips;</t>
  </si>
  <si>
    <t>Pr_20_29_14_84</t>
  </si>
  <si>
    <t>Standing seam fixed clips</t>
  </si>
  <si>
    <t>45-50-17/390 Standing seam fixed clips;</t>
  </si>
  <si>
    <t>Pr_20_29_14_85</t>
  </si>
  <si>
    <t>Standing seam sliding clips</t>
  </si>
  <si>
    <t>45-50-17/400 Standing seam sliding clips;</t>
  </si>
  <si>
    <t>Pr_20_29_14_86</t>
  </si>
  <si>
    <t>Steel clips</t>
  </si>
  <si>
    <t>45-50-17/410 Steel clips;</t>
  </si>
  <si>
    <t>Pr_20_29_14_87</t>
  </si>
  <si>
    <t>Suspended ceiling clips</t>
  </si>
  <si>
    <t>45-50-17/420 Suspended ceiling clips;</t>
  </si>
  <si>
    <t>Pr_20_29_14_90</t>
  </si>
  <si>
    <t>Truss clips</t>
  </si>
  <si>
    <t>45-50-50/435 Truss clips;</t>
  </si>
  <si>
    <t>Pr_20_29_23</t>
  </si>
  <si>
    <t>Dowels and rods</t>
  </si>
  <si>
    <t>Pr_20_29_23_11</t>
  </si>
  <si>
    <t>Carbon steel dowel bars</t>
  </si>
  <si>
    <t>45-75-42/400 Carbon steel dowel bar;</t>
  </si>
  <si>
    <t>Pr_20_29_23_12</t>
  </si>
  <si>
    <t>Carbon steel rods</t>
  </si>
  <si>
    <t>45-50-20/340 Carbon steel rods;</t>
  </si>
  <si>
    <t>Pr_20_29_23_22</t>
  </si>
  <si>
    <t>Dowel bar caps</t>
  </si>
  <si>
    <t>Pr_20_29_23_23</t>
  </si>
  <si>
    <t>Dowel-retaining fasteners</t>
  </si>
  <si>
    <t>45-50-50/325 Dowel retaining fasteners;</t>
  </si>
  <si>
    <t>Pr_20_29_23_30</t>
  </si>
  <si>
    <t>Fibre-reinforced plastics dowels</t>
  </si>
  <si>
    <t>45-50-20/310 Fibre reinforced plastics dowels;</t>
  </si>
  <si>
    <t>Pr_20_29_23_36</t>
  </si>
  <si>
    <t>Hardwood dowels</t>
  </si>
  <si>
    <t>45-50-20/320 Hardwood dowels;</t>
  </si>
  <si>
    <t>Pr_20_29_23_40</t>
  </si>
  <si>
    <t>Hot welding rods</t>
  </si>
  <si>
    <t>45-20-70/497 Hot welding rods;</t>
  </si>
  <si>
    <t>Pr_20_29_23_50</t>
  </si>
  <si>
    <t>Masonry dowels</t>
  </si>
  <si>
    <t>Pr_20_29_23_52</t>
  </si>
  <si>
    <t>Metal dowels, pins and rods</t>
  </si>
  <si>
    <t>45-50-20/325 Metal dowels, pins and rods;</t>
  </si>
  <si>
    <t>Pr_20_29_23_65</t>
  </si>
  <si>
    <t>Plastics dowel bar caps</t>
  </si>
  <si>
    <t>45-75-42/420 Plastics dowel bar cap;</t>
  </si>
  <si>
    <t>Pr_20_29_23_80</t>
  </si>
  <si>
    <t>Softwood dowels</t>
  </si>
  <si>
    <t>Pr_20_29_23_83</t>
  </si>
  <si>
    <t>Stainless steel dowel bars</t>
  </si>
  <si>
    <t>45-75-42/430 Stainless steel dowel bar;</t>
  </si>
  <si>
    <t>Pr_20_29_23_84</t>
  </si>
  <si>
    <t>Stainless steel rods</t>
  </si>
  <si>
    <t>45-50-20/350 Stainless steel rods;</t>
  </si>
  <si>
    <t>Pr_20_29_23_92</t>
  </si>
  <si>
    <t>U-pins</t>
  </si>
  <si>
    <t>45-50-20/370 U pins;</t>
  </si>
  <si>
    <t>Pr_20_29_29</t>
  </si>
  <si>
    <t>Ferrules and sleeves</t>
  </si>
  <si>
    <t>Pr_20_29_29_23</t>
  </si>
  <si>
    <t>Dowel bar sleeves</t>
  </si>
  <si>
    <t>45-75-42/410 Plastics dowel sleeve;</t>
  </si>
  <si>
    <t>Pr_20_29_29_29</t>
  </si>
  <si>
    <t>Ferrules</t>
  </si>
  <si>
    <t>45-50-65/330 Ferrules;</t>
  </si>
  <si>
    <t>Pr_20_29_29_62</t>
  </si>
  <si>
    <t>Plastics pile sleeves</t>
  </si>
  <si>
    <t>45-60-60/380 Plastics pile sleeves;</t>
  </si>
  <si>
    <t>Pr_20_29_29_66</t>
  </si>
  <si>
    <t>Pre-stressed reinforcement cable conduits</t>
  </si>
  <si>
    <t>Pr_20_29_29_84</t>
  </si>
  <si>
    <t>Spacer sleeves</t>
  </si>
  <si>
    <t>45-50-65/380 Spacer sleeves;</t>
  </si>
  <si>
    <t>Pr_20_29_29_96</t>
  </si>
  <si>
    <t>Wire-crimp ferrules</t>
  </si>
  <si>
    <t>Pr_20_29_30</t>
  </si>
  <si>
    <t>Fixing lugs</t>
  </si>
  <si>
    <t>Pr_20_29_30_11</t>
  </si>
  <si>
    <t>Cable fixing lugs</t>
  </si>
  <si>
    <t>Pr_20_29_30_12</t>
  </si>
  <si>
    <t>Carbon steel fixing lugs</t>
  </si>
  <si>
    <t>45-50-65/340 Carbon steel fixing lugs;</t>
  </si>
  <si>
    <t>Pr_20_29_30_24</t>
  </si>
  <si>
    <t>Door fixing lugs</t>
  </si>
  <si>
    <t>Pr_20_29_30_31</t>
  </si>
  <si>
    <t>Furniture floor fixing lugs</t>
  </si>
  <si>
    <t>Pr_20_29_30_32</t>
  </si>
  <si>
    <t>Furniture wall fixing lugs</t>
  </si>
  <si>
    <t>Pr_20_29_30_96</t>
  </si>
  <si>
    <t>Window fixing lugs</t>
  </si>
  <si>
    <t>Pr_20_29_31</t>
  </si>
  <si>
    <t>Flat and folded plate fasteners</t>
  </si>
  <si>
    <t>Pr_20_29_31_08</t>
  </si>
  <si>
    <t>Bolted joint connectors</t>
  </si>
  <si>
    <t>45-50-50/400 Bolted joint connectors;</t>
  </si>
  <si>
    <t>Pr_20_29_31_12</t>
  </si>
  <si>
    <t>Carbon steel nailing plates</t>
  </si>
  <si>
    <t>45-50-50/415 Carbon steel nailing plates;</t>
  </si>
  <si>
    <t>Pr_20_29_31_13</t>
  </si>
  <si>
    <t>Carbon steel punched metal plate fasteners</t>
  </si>
  <si>
    <t>45-50-50/425 Carbon steel punched metal plate fasteners;</t>
  </si>
  <si>
    <t>Pr_20_29_31_44</t>
  </si>
  <si>
    <t>Joist hangers</t>
  </si>
  <si>
    <t>45-50-50/410 Joist hangers;</t>
  </si>
  <si>
    <t>Pr_20_29_31_52</t>
  </si>
  <si>
    <t>Mortise and tenon joint oak pegs</t>
  </si>
  <si>
    <t>45-50-50/440 Oak pegs for mortise and tenon joints in structural timber;</t>
  </si>
  <si>
    <t>Pr_20_29_31_84</t>
  </si>
  <si>
    <t>Stainless steel nailing plates</t>
  </si>
  <si>
    <t>45-50-50/420 Stainless steel nailing plates;</t>
  </si>
  <si>
    <t>Pr_20_29_31_85</t>
  </si>
  <si>
    <t>Stainless steel punched metal plate fasteners</t>
  </si>
  <si>
    <t>45-50-50/430 Stainless steel punched metal plate fasteners;</t>
  </si>
  <si>
    <t>Pr_20_29_34</t>
  </si>
  <si>
    <t>Glass fixing plates, brackets and anchors</t>
  </si>
  <si>
    <t>Pr_20_29_34_16</t>
  </si>
  <si>
    <t>Cast brass glass fixing brackets</t>
  </si>
  <si>
    <t>45-50-35/320 Cast brass brackets;</t>
  </si>
  <si>
    <t>Pr_20_29_34_34</t>
  </si>
  <si>
    <t>Glass fin splice plates</t>
  </si>
  <si>
    <t>45-50-35/340 Glass fin splice plates;</t>
  </si>
  <si>
    <t>Pr_20_29_34_35</t>
  </si>
  <si>
    <t>Glass patch plates</t>
  </si>
  <si>
    <t>45-50-35/310 Patch plates;</t>
  </si>
  <si>
    <t>Pr_20_29_34_85</t>
  </si>
  <si>
    <t>Stainless steel glass block panel anchors</t>
  </si>
  <si>
    <t>45-50-35/370 Stainless steel glass block panel anchors;</t>
  </si>
  <si>
    <t>Pr_20_29_34_86</t>
  </si>
  <si>
    <t>Stainless steel point connectors</t>
  </si>
  <si>
    <t>45-50-35/330 Stainless steel point connectors;</t>
  </si>
  <si>
    <t>Pr_20_29_56</t>
  </si>
  <si>
    <t>Nails</t>
  </si>
  <si>
    <t>Pr_20_29_56_02</t>
  </si>
  <si>
    <t>Aluminium nails</t>
  </si>
  <si>
    <t>45-50-60/320 Aluminium nails;</t>
  </si>
  <si>
    <t>Pr_20_29_56_03</t>
  </si>
  <si>
    <t>Annular nails</t>
  </si>
  <si>
    <t>Pr_20_29_56_11</t>
  </si>
  <si>
    <t>Carbon steel nails</t>
  </si>
  <si>
    <t>45-50-60/345 Carbon steel nails;</t>
  </si>
  <si>
    <t>Pr_20_29_56_12</t>
  </si>
  <si>
    <t>Carbon steel wire nails</t>
  </si>
  <si>
    <t>45-50-60/325 Carbon steel wire nails;</t>
  </si>
  <si>
    <t>Pr_20_29_56_14</t>
  </si>
  <si>
    <t>Clout head nails</t>
  </si>
  <si>
    <t>Pr_20_29_56_15</t>
  </si>
  <si>
    <t>Copper nails</t>
  </si>
  <si>
    <t>45-50-60/330 Copper nails;</t>
  </si>
  <si>
    <t>Pr_20_29_56_16</t>
  </si>
  <si>
    <t>Corrugated fasteners</t>
  </si>
  <si>
    <t>Pr_20_29_56_19</t>
  </si>
  <si>
    <t>Cut clasp nails</t>
  </si>
  <si>
    <t>Pr_20_29_56_20</t>
  </si>
  <si>
    <t>Cut floor brads</t>
  </si>
  <si>
    <t>Pr_20_29_56_36</t>
  </si>
  <si>
    <t>Hardboard nails</t>
  </si>
  <si>
    <t>Pr_20_29_56_48</t>
  </si>
  <si>
    <t>Lost head (round) nails</t>
  </si>
  <si>
    <t>Pr_20_29_56_50</t>
  </si>
  <si>
    <t>Masonry nails</t>
  </si>
  <si>
    <t>Pr_20_29_56_59</t>
  </si>
  <si>
    <t>Oval wire nails</t>
  </si>
  <si>
    <t>Pr_20_29_56_60</t>
  </si>
  <si>
    <t>Panel pins</t>
  </si>
  <si>
    <t>Pr_20_29_56_65</t>
  </si>
  <si>
    <t>Power driven nails</t>
  </si>
  <si>
    <t>45-50-60/335 Power driven nails;</t>
  </si>
  <si>
    <t>Pr_20_29_56_78</t>
  </si>
  <si>
    <t>Shot-fire nails</t>
  </si>
  <si>
    <t>45-50-60/340 Shot-fire nails;</t>
  </si>
  <si>
    <t>Pr_20_29_56_82</t>
  </si>
  <si>
    <t>Sprigs</t>
  </si>
  <si>
    <t>Pr_20_29_56_83</t>
  </si>
  <si>
    <t>Spring-head roofing nails</t>
  </si>
  <si>
    <t>Pr_20_29_56_84</t>
  </si>
  <si>
    <t>Square twisted nails</t>
  </si>
  <si>
    <t>Pr_20_29_56_85</t>
  </si>
  <si>
    <t>Stainless steel nails</t>
  </si>
  <si>
    <t>45-50-60/350 Stainless steel nails;</t>
  </si>
  <si>
    <t>Pr_20_29_56_86</t>
  </si>
  <si>
    <t>Staples</t>
  </si>
  <si>
    <t>45-50-60/450 Staples;</t>
  </si>
  <si>
    <t>Pr_20_29_56_87</t>
  </si>
  <si>
    <t>Tacks</t>
  </si>
  <si>
    <t>Pr_20_29_56_93</t>
  </si>
  <si>
    <t>Upholstery nails</t>
  </si>
  <si>
    <t>Pr_20_29_57</t>
  </si>
  <si>
    <t>Nuts</t>
  </si>
  <si>
    <t>Pr_20_29_57_01</t>
  </si>
  <si>
    <t>Acorn nuts</t>
  </si>
  <si>
    <t>Pr_20_29_57_02</t>
  </si>
  <si>
    <t>Aerotite nuts</t>
  </si>
  <si>
    <t>Pr_20_29_57_11</t>
  </si>
  <si>
    <t>Cage nuts</t>
  </si>
  <si>
    <t>Pr_20_29_57_12</t>
  </si>
  <si>
    <t>Captive nuts</t>
  </si>
  <si>
    <t>Pr_20_29_57_13</t>
  </si>
  <si>
    <t>Castle nuts</t>
  </si>
  <si>
    <t>Pr_20_29_57_23</t>
  </si>
  <si>
    <t>Dome (cap) nuts</t>
  </si>
  <si>
    <t>Pr_20_29_57_30</t>
  </si>
  <si>
    <t>Flange nuts</t>
  </si>
  <si>
    <t>Pr_20_29_57_35</t>
  </si>
  <si>
    <t>Hard lock nuts</t>
  </si>
  <si>
    <t>Pr_20_29_57_36</t>
  </si>
  <si>
    <t>Half nuts</t>
  </si>
  <si>
    <t>Pr_20_29_57_37</t>
  </si>
  <si>
    <t>Heavy hex nuts</t>
  </si>
  <si>
    <t>Pr_20_29_57_38</t>
  </si>
  <si>
    <t>Hex nuts</t>
  </si>
  <si>
    <t>Pr_20_29_57_44</t>
  </si>
  <si>
    <t>Jam nuts</t>
  </si>
  <si>
    <t>Pr_20_29_57_45</t>
  </si>
  <si>
    <t>K-lock nuts</t>
  </si>
  <si>
    <t>Pr_20_29_57_50</t>
  </si>
  <si>
    <t>Manifold nuts</t>
  </si>
  <si>
    <t>Pr_20_29_57_56</t>
  </si>
  <si>
    <t>Nylon-insert jam nuts</t>
  </si>
  <si>
    <t>Pr_20_29_57_57</t>
  </si>
  <si>
    <t>Nylon-insert lock nuts</t>
  </si>
  <si>
    <t>Pr_20_29_57_66</t>
  </si>
  <si>
    <t>Prevailing torque lock nuts</t>
  </si>
  <si>
    <t>Pr_20_29_57_75</t>
  </si>
  <si>
    <t>Self-locking nuts</t>
  </si>
  <si>
    <t>Pr_20_29_57_76</t>
  </si>
  <si>
    <t>Serrated flange nuts</t>
  </si>
  <si>
    <t>Pr_20_29_57_80</t>
  </si>
  <si>
    <t>Slotted nuts</t>
  </si>
  <si>
    <t>Pr_20_29_57_83</t>
  </si>
  <si>
    <t>Square nuts</t>
  </si>
  <si>
    <t>Pr_20_29_57_84</t>
  </si>
  <si>
    <t>Stover nuts</t>
  </si>
  <si>
    <t>Pr_20_29_57_85</t>
  </si>
  <si>
    <t>Stud connector (coupling) nuts</t>
  </si>
  <si>
    <t>Pr_20_29_57_88</t>
  </si>
  <si>
    <t>Tee nuts</t>
  </si>
  <si>
    <t>Pr_20_29_57_96</t>
  </si>
  <si>
    <t>Wing nuts</t>
  </si>
  <si>
    <t>Pr_20_29_60</t>
  </si>
  <si>
    <t>Packings, washers and spacers</t>
  </si>
  <si>
    <t>Pr_20_29_60_07</t>
  </si>
  <si>
    <t>Bituminous felt packers</t>
  </si>
  <si>
    <t>45-50-65/300 Bituminous felt packer;</t>
  </si>
  <si>
    <t>Pr_20_29_60_17</t>
  </si>
  <si>
    <t>Crinkle washers</t>
  </si>
  <si>
    <t>Pr_20_29_60_20</t>
  </si>
  <si>
    <t>Cup (finishing) washers</t>
  </si>
  <si>
    <t>45-50-65/320 Cups;</t>
  </si>
  <si>
    <t>Pr_20_29_60_28</t>
  </si>
  <si>
    <t>External tooth lock (shake-proof) washers</t>
  </si>
  <si>
    <t>Pr_20_29_60_29</t>
  </si>
  <si>
    <t>Fender washers</t>
  </si>
  <si>
    <t>Pr_20_29_60_30</t>
  </si>
  <si>
    <t>Fibre washers</t>
  </si>
  <si>
    <t>Pr_20_29_60_31</t>
  </si>
  <si>
    <t>Flat washers</t>
  </si>
  <si>
    <t>Pr_20_29_60_32</t>
  </si>
  <si>
    <t>Formwork cover spacers</t>
  </si>
  <si>
    <t>45-50-30/450 Cover spacer;</t>
  </si>
  <si>
    <t>Pr_20_29_60_34</t>
  </si>
  <si>
    <t>Grommets</t>
  </si>
  <si>
    <t>45-50-65/370 Grommets;</t>
  </si>
  <si>
    <t>Pr_20_29_60_36</t>
  </si>
  <si>
    <t>Hardwood packers</t>
  </si>
  <si>
    <t>45-50-65/310 Hardwood packer;</t>
  </si>
  <si>
    <t>Pr_20_29_60_37</t>
  </si>
  <si>
    <t>Hardwood wedges</t>
  </si>
  <si>
    <t>Pr_20_29_60_42</t>
  </si>
  <si>
    <t>Internal tooth lock (shake-proof) washers</t>
  </si>
  <si>
    <t>Pr_20_29_60_58</t>
  </si>
  <si>
    <t>Ogee washers</t>
  </si>
  <si>
    <t>Pr_20_29_60_59</t>
  </si>
  <si>
    <t>Open push</t>
  </si>
  <si>
    <t>Pr_20_29_60_60</t>
  </si>
  <si>
    <t>Packings</t>
  </si>
  <si>
    <t>45-50-65/360 Packings;</t>
  </si>
  <si>
    <t>Pr_20_29_60_61</t>
  </si>
  <si>
    <t>Parallel circumferential packings</t>
  </si>
  <si>
    <t>Pr_20_29_60_62</t>
  </si>
  <si>
    <t>Penny (dock) washers</t>
  </si>
  <si>
    <t>Pr_20_29_60_63</t>
  </si>
  <si>
    <t>Plate (square) washers</t>
  </si>
  <si>
    <t>Pr_20_29_60_64</t>
  </si>
  <si>
    <t>Plywood packers</t>
  </si>
  <si>
    <t>45-50-65/315 Plywood packer;</t>
  </si>
  <si>
    <t>Pr_20_29_60_65</t>
  </si>
  <si>
    <t>Polyethylene packers</t>
  </si>
  <si>
    <t>45-50-65/305 Polyethylene packer;</t>
  </si>
  <si>
    <t>Pr_20_29_60_75</t>
  </si>
  <si>
    <t>Serrated washers</t>
  </si>
  <si>
    <t>Pr_20_29_60_76</t>
  </si>
  <si>
    <t>Sealing washers</t>
  </si>
  <si>
    <t>Pr_20_29_60_77</t>
  </si>
  <si>
    <t>Shims and folding wedges</t>
  </si>
  <si>
    <t>45-15-75/340 Steel shims and folding wedges;</t>
  </si>
  <si>
    <t>Pr_20_29_60_81</t>
  </si>
  <si>
    <t>Softwood packs</t>
  </si>
  <si>
    <t>Pr_20_29_60_82</t>
  </si>
  <si>
    <t>Softwood wedges</t>
  </si>
  <si>
    <t>Pr_20_29_60_84</t>
  </si>
  <si>
    <t>Sprung (split lock) washers</t>
  </si>
  <si>
    <t>Pr_20_29_60_87</t>
  </si>
  <si>
    <t>Tapered circumferential packings</t>
  </si>
  <si>
    <t>Pr_20_29_60_96</t>
  </si>
  <si>
    <t>Washers</t>
  </si>
  <si>
    <t>45-50-65/420 Washers;</t>
  </si>
  <si>
    <t>Pr_20_29_63</t>
  </si>
  <si>
    <t>Plugs</t>
  </si>
  <si>
    <t>Pr_20_29_63_50</t>
  </si>
  <si>
    <t>Masonry plugs</t>
  </si>
  <si>
    <t>45-50-67/350 Masonry plugs;</t>
  </si>
  <si>
    <t>Pr_20_29_63_63</t>
  </si>
  <si>
    <t>Plastics plugs</t>
  </si>
  <si>
    <t>45-50-67/340 Plastics plugs;</t>
  </si>
  <si>
    <t>Pr_20_29_63_84</t>
  </si>
  <si>
    <t>Studded cavity drainage membrane plugs</t>
  </si>
  <si>
    <t>45-50-67/360 Plugs for studded cavity drainage membranes;</t>
  </si>
  <si>
    <t>Pr_20_29_63_85</t>
  </si>
  <si>
    <t>Surface plugs and pellets</t>
  </si>
  <si>
    <t>45-50-67/330 Surface plugs or pellets;</t>
  </si>
  <si>
    <t>Pr_20_29_70</t>
  </si>
  <si>
    <t>Rail fasteners</t>
  </si>
  <si>
    <t>Pr_20_29_70_02</t>
  </si>
  <si>
    <t>Adjustable rail clips</t>
  </si>
  <si>
    <t>45-50-69/322 Rail clip fasteners;</t>
  </si>
  <si>
    <t>Pr_20_29_70_09</t>
  </si>
  <si>
    <t>Bull head rail keys</t>
  </si>
  <si>
    <t>Pr_20_29_70_11</t>
  </si>
  <si>
    <t>Cast-in rail clip shoulders</t>
  </si>
  <si>
    <t>Pr_20_29_70_13</t>
  </si>
  <si>
    <t>Clamp brackets</t>
  </si>
  <si>
    <t>Pr_20_29_70_22</t>
  </si>
  <si>
    <t>Distance block bolts</t>
  </si>
  <si>
    <t>Pr_20_29_70_31</t>
  </si>
  <si>
    <t>Fishplates</t>
  </si>
  <si>
    <t>45-50-69/350 Fishplate;</t>
  </si>
  <si>
    <t>Pr_20_29_70_32</t>
  </si>
  <si>
    <t>Fishwashers</t>
  </si>
  <si>
    <t>Pr_20_29_70_36</t>
  </si>
  <si>
    <t>Heel blocks</t>
  </si>
  <si>
    <t>Pr_20_29_70_37</t>
  </si>
  <si>
    <t>Heel block bolts</t>
  </si>
  <si>
    <t>Pr_20_29_70_41</t>
  </si>
  <si>
    <t>Insulated fishplates</t>
  </si>
  <si>
    <t>Pr_20_29_70_46</t>
  </si>
  <si>
    <t>Long defect fishplates</t>
  </si>
  <si>
    <t>Pr_20_29_70_68</t>
  </si>
  <si>
    <t>Rail anchors</t>
  </si>
  <si>
    <t>Pr_20_29_70_69</t>
  </si>
  <si>
    <t>Rail clamp assemblies</t>
  </si>
  <si>
    <t>Pr_20_29_70_70</t>
  </si>
  <si>
    <t>Rail clips</t>
  </si>
  <si>
    <t>45-50-69/326 Slabtrack rail clip;</t>
  </si>
  <si>
    <t>Pr_20_29_70_72</t>
  </si>
  <si>
    <t>Rail joint clamps</t>
  </si>
  <si>
    <t>Pr_20_29_70_73</t>
  </si>
  <si>
    <t>Rail foot insulators</t>
  </si>
  <si>
    <t>Pr_20_29_70_85</t>
  </si>
  <si>
    <t>Stock rail anchor bolts</t>
  </si>
  <si>
    <t>Pr_20_29_70_87</t>
  </si>
  <si>
    <t>Switch rail anchor</t>
  </si>
  <si>
    <t>Pr_20_29_70_96</t>
  </si>
  <si>
    <t>Weldable rail clip shoulders</t>
  </si>
  <si>
    <t>Pr_20_29_71</t>
  </si>
  <si>
    <t>Rivets</t>
  </si>
  <si>
    <t>Pr_20_29_71_08</t>
  </si>
  <si>
    <t>Blind (pop) rivets</t>
  </si>
  <si>
    <t>45-50-15/310 Blind rivets;</t>
  </si>
  <si>
    <t>Pr_20_29_71_24</t>
  </si>
  <si>
    <t>Drive rivets</t>
  </si>
  <si>
    <t>Pr_20_29_71_30</t>
  </si>
  <si>
    <t>Flush rivets</t>
  </si>
  <si>
    <t>Pr_20_29_71_31</t>
  </si>
  <si>
    <t>Friction rivets</t>
  </si>
  <si>
    <t>Pr_20_29_71_59</t>
  </si>
  <si>
    <t>Oscar rivets</t>
  </si>
  <si>
    <t>Pr_20_29_71_76</t>
  </si>
  <si>
    <t>Self-pierce rivets</t>
  </si>
  <si>
    <t>Pr_20_29_71_77</t>
  </si>
  <si>
    <t>Semi-tubular rivets</t>
  </si>
  <si>
    <t>45-50-15/350 Rivets;</t>
  </si>
  <si>
    <t>Pr_20_29_71_81</t>
  </si>
  <si>
    <t>Solid rivets</t>
  </si>
  <si>
    <t>Pr_20_29_76</t>
  </si>
  <si>
    <t>Screws</t>
  </si>
  <si>
    <t>Pr_20_29_76_11</t>
  </si>
  <si>
    <t>Carbon steel hexagon head screws</t>
  </si>
  <si>
    <t>45-50-60/405 Hexagon head carbon steel screws;</t>
  </si>
  <si>
    <t>Pr_20_29_76_15</t>
  </si>
  <si>
    <t>Coach screws</t>
  </si>
  <si>
    <t>45-50-60/400 Coach screws;</t>
  </si>
  <si>
    <t>Pr_20_29_76_28</t>
  </si>
  <si>
    <t>Eye lags</t>
  </si>
  <si>
    <t>Pr_20_29_76_50</t>
  </si>
  <si>
    <t>Machine screws</t>
  </si>
  <si>
    <t>Pr_20_29_76_65</t>
  </si>
  <si>
    <t>Plasterboard screws</t>
  </si>
  <si>
    <t>45-50-60/445 Plasterboard screws;</t>
  </si>
  <si>
    <t>Pr_20_29_76_72</t>
  </si>
  <si>
    <t>Rigging screws</t>
  </si>
  <si>
    <t>Pr_20_29_76_75</t>
  </si>
  <si>
    <t>Self-tapping screws</t>
  </si>
  <si>
    <t>Pr_20_29_76_76</t>
  </si>
  <si>
    <t>Self-drilling screws</t>
  </si>
  <si>
    <t>45-50-60/415 Self-drilling or self-tapping screws;</t>
  </si>
  <si>
    <t>Pr_20_29_76_77</t>
  </si>
  <si>
    <t>Set screws</t>
  </si>
  <si>
    <t>45-50-60/425 Stainless steel set screws;</t>
  </si>
  <si>
    <t>Pr_20_29_76_78</t>
  </si>
  <si>
    <t>Sheet metal screws</t>
  </si>
  <si>
    <t>Pr_20_29_76_81</t>
  </si>
  <si>
    <t>Socket screws</t>
  </si>
  <si>
    <t>Pr_20_29_76_85</t>
  </si>
  <si>
    <t>Stainless steel hexagon head screws</t>
  </si>
  <si>
    <t>45-50-60/410 Hexagon head stainless steel screws;</t>
  </si>
  <si>
    <t>Pr_20_29_76_86</t>
  </si>
  <si>
    <t>Stainless steel screws</t>
  </si>
  <si>
    <t>Pr_20_29_76_88</t>
  </si>
  <si>
    <t>Thread-cutting machine screws</t>
  </si>
  <si>
    <t>Pr_20_29_76_98</t>
  </si>
  <si>
    <t>Wood screws</t>
  </si>
  <si>
    <t>45-50-60/440 Wood screws;</t>
  </si>
  <si>
    <t>Pr_20_29_81</t>
  </si>
  <si>
    <t>Soil nails</t>
  </si>
  <si>
    <t>Pr_20_29_81_11</t>
  </si>
  <si>
    <t>Carbon steel soil nails</t>
  </si>
  <si>
    <t>45-10-75/310 Carbon steel soil nails;</t>
  </si>
  <si>
    <t>Pr_20_29_81_63</t>
  </si>
  <si>
    <t>Plastics soil nails</t>
  </si>
  <si>
    <t>45-10-75/320 Stainless steel soil nails;</t>
  </si>
  <si>
    <t>Pr_20_29_81_84</t>
  </si>
  <si>
    <t>Stainless steel soil nails</t>
  </si>
  <si>
    <t>45-10-75/330 Plastics soil nails;</t>
  </si>
  <si>
    <t>Pr_20_29_85</t>
  </si>
  <si>
    <t>Straw bale fixings</t>
  </si>
  <si>
    <t>Pr_20_29_85_64</t>
  </si>
  <si>
    <t>Plastics sleeving</t>
  </si>
  <si>
    <t>45-50-50/470 Plastics sleeving;</t>
  </si>
  <si>
    <t>Pr_20_29_85_65</t>
  </si>
  <si>
    <t>Polyester straps</t>
  </si>
  <si>
    <t>45-50-50/475 Polyester straps;</t>
  </si>
  <si>
    <t>Pr_20_29_87</t>
  </si>
  <si>
    <t>Thatch roofing fasteners</t>
  </si>
  <si>
    <t>Pr_20_29_87_36</t>
  </si>
  <si>
    <t>Hazel staples</t>
  </si>
  <si>
    <t>45-50-70/365 Hazel staples;</t>
  </si>
  <si>
    <t>Pr_20_29_87_37</t>
  </si>
  <si>
    <t>Hazel sways</t>
  </si>
  <si>
    <t>45-50-70/370 Hazel sways;</t>
  </si>
  <si>
    <t>Pr_20_29_87_52</t>
  </si>
  <si>
    <t>Metal sways</t>
  </si>
  <si>
    <t>45-50-70/380 Metal sways;</t>
  </si>
  <si>
    <t>Pr_20_29_87_87</t>
  </si>
  <si>
    <t>Thatching hooks</t>
  </si>
  <si>
    <t>45-50-70/385 Thatching hooks;</t>
  </si>
  <si>
    <t>Pr_20_29_87_96</t>
  </si>
  <si>
    <t>Willow sways</t>
  </si>
  <si>
    <t>45-50-70/375 Willow sways;</t>
  </si>
  <si>
    <t>Pr_20_29_88</t>
  </si>
  <si>
    <t>Tile and fabric fasteners</t>
  </si>
  <si>
    <t>Pr_20_29_88_26</t>
  </si>
  <si>
    <t>Edge beading</t>
  </si>
  <si>
    <t>45-50-70/354 Edge beading;</t>
  </si>
  <si>
    <t>Pr_20_29_88_27</t>
  </si>
  <si>
    <t>Edge beading rails</t>
  </si>
  <si>
    <t>45-50-70/356 Edge beading rails;</t>
  </si>
  <si>
    <t>Pr_20_29_88_31</t>
  </si>
  <si>
    <t>Forked roofing connectors</t>
  </si>
  <si>
    <t>45-50-70/350 Forked connectors;</t>
  </si>
  <si>
    <t>Pr_20_29_88_37</t>
  </si>
  <si>
    <t>Hip irons</t>
  </si>
  <si>
    <t>45-50-70/395 Hip irons;</t>
  </si>
  <si>
    <t>Pr_20_29_88_41</t>
  </si>
  <si>
    <t>Insulation fixing saddle clips</t>
  </si>
  <si>
    <t>Pr_20_29_88_42</t>
  </si>
  <si>
    <t>Insulation fixing spikes</t>
  </si>
  <si>
    <t>45-50-70/400 Insulation fixing spikes;</t>
  </si>
  <si>
    <t>Pr_20_29_88_43</t>
  </si>
  <si>
    <t>Insulation fixing straps</t>
  </si>
  <si>
    <t>45-50-70/405 Insulation fixing straps;</t>
  </si>
  <si>
    <t>Pr_20_29_88_59</t>
  </si>
  <si>
    <t>Overlay fasteners</t>
  </si>
  <si>
    <t>45-50-70/315 Overlay fasteners;</t>
  </si>
  <si>
    <t>Pr_20_29_88_70</t>
  </si>
  <si>
    <t>Roofing belts</t>
  </si>
  <si>
    <t>45-50-70/325 Belts;</t>
  </si>
  <si>
    <t>Pr_20_29_88_71</t>
  </si>
  <si>
    <t>Roofing clamps</t>
  </si>
  <si>
    <t>45-50-70/330 Clamps;</t>
  </si>
  <si>
    <t>Pr_20_29_88_72</t>
  </si>
  <si>
    <t>Roofing clamping plates</t>
  </si>
  <si>
    <t>45-50-70/335 Clamping plates;</t>
  </si>
  <si>
    <t>Pr_20_29_88_73</t>
  </si>
  <si>
    <t>Roofing corner plates</t>
  </si>
  <si>
    <t>45-50-70/340 Corner plates;</t>
  </si>
  <si>
    <t>Pr_20_29_88_74</t>
  </si>
  <si>
    <t>Roofing straps</t>
  </si>
  <si>
    <t>45-50-70/345 Straps;</t>
  </si>
  <si>
    <t>Pr_20_29_88_75</t>
  </si>
  <si>
    <t>Roofing swags</t>
  </si>
  <si>
    <t>45-50-70/358 Swags;</t>
  </si>
  <si>
    <t>Pr_20_29_96</t>
  </si>
  <si>
    <t>Welded joints</t>
  </si>
  <si>
    <t>Pr_20_29_96_03</t>
  </si>
  <si>
    <t>Aluminothermic rail welds</t>
  </si>
  <si>
    <t>Pr_20_29_97</t>
  </si>
  <si>
    <t>Welding joint fillers</t>
  </si>
  <si>
    <t>Pr_20_29_97_09</t>
  </si>
  <si>
    <t>Brazing joint fillers</t>
  </si>
  <si>
    <t>Pr_20_29_97_26</t>
  </si>
  <si>
    <t>Electric welding joint fillers</t>
  </si>
  <si>
    <t>Pr_20_29_97_33</t>
  </si>
  <si>
    <t>Gas welding joint fillers</t>
  </si>
  <si>
    <t>Pr_20_29_97_81</t>
  </si>
  <si>
    <t>Soldering joint fillers</t>
  </si>
  <si>
    <t>Pr_20_31</t>
  </si>
  <si>
    <t>Formless structure and general products</t>
  </si>
  <si>
    <t>Pr_20_31_01</t>
  </si>
  <si>
    <t>Additives</t>
  </si>
  <si>
    <t>Pr_20_31_01_11</t>
  </si>
  <si>
    <t>Carbon steel fibres</t>
  </si>
  <si>
    <t>45-55-04/400 Carbon steel fibres;</t>
  </si>
  <si>
    <t>Pr_20_31_01_22</t>
  </si>
  <si>
    <t>Dust suppression additive</t>
  </si>
  <si>
    <t>Pr_20_31_01_32</t>
  </si>
  <si>
    <t>Glass fibres</t>
  </si>
  <si>
    <t>45-55-04/405 Glass fibres;</t>
  </si>
  <si>
    <t>Pr_20_31_01_39</t>
  </si>
  <si>
    <t>Hydraulic road binders</t>
  </si>
  <si>
    <t>45-55-04/496 Hydraulic road binder;</t>
  </si>
  <si>
    <t>Pr_20_31_01_75</t>
  </si>
  <si>
    <t>Polypropylene (PP) fibres</t>
  </si>
  <si>
    <t>Pr_20_31_01_85</t>
  </si>
  <si>
    <t>Stainless steel fibres</t>
  </si>
  <si>
    <t>45-55-04/415 Stainless steel fibres;</t>
  </si>
  <si>
    <t>Pr_20_31_01_86</t>
  </si>
  <si>
    <t>Synthetic fibres</t>
  </si>
  <si>
    <t>45-55-04/410 Polymer fibres;</t>
  </si>
  <si>
    <t>Pr_20_31_01_96</t>
  </si>
  <si>
    <t>Waterborne absorption fluids</t>
  </si>
  <si>
    <t>Pr_20_31_01_99</t>
  </si>
  <si>
    <t>Zinc powders</t>
  </si>
  <si>
    <t>Pr_20_31_02</t>
  </si>
  <si>
    <t>Adhesives and bonding compounds</t>
  </si>
  <si>
    <t>Pr_20_31_02_02</t>
  </si>
  <si>
    <t>Acrylic anaerobic adhesives</t>
  </si>
  <si>
    <t>45-50-00/305 Acrylic anaerobic adhesives;</t>
  </si>
  <si>
    <t>Pr_20_31_02_03</t>
  </si>
  <si>
    <t>Acrylic and methacrylate adhesives</t>
  </si>
  <si>
    <t>45-50-00/310 Acrylic and methacrylate adhesives;</t>
  </si>
  <si>
    <t>Pr_20_31_02_04</t>
  </si>
  <si>
    <t>All-purpose pastes</t>
  </si>
  <si>
    <t>45-50-00/420 All purpose pastes;</t>
  </si>
  <si>
    <t>Pr_20_31_02_06</t>
  </si>
  <si>
    <t>Bio-resin adhesives</t>
  </si>
  <si>
    <t>45-50-00/315 Bio-resin adhesives;</t>
  </si>
  <si>
    <t>Pr_20_31_02_07</t>
  </si>
  <si>
    <t>Bitumen bonding compounds</t>
  </si>
  <si>
    <t>Pr_20_31_02_08</t>
  </si>
  <si>
    <t>Bitumen-based bonding compounds</t>
  </si>
  <si>
    <t>45-50-00/400 Bitumen based bonding compounds;</t>
  </si>
  <si>
    <t>Pr_20_31_02_09</t>
  </si>
  <si>
    <t>Bitumen rubber emulsion adhesives</t>
  </si>
  <si>
    <t>45-50-00/320 Bitumen rubber emulsion adhesives;</t>
  </si>
  <si>
    <t>Pr_20_31_02_11</t>
  </si>
  <si>
    <t>Casein adhesives</t>
  </si>
  <si>
    <t>Pr_20_31_02_12</t>
  </si>
  <si>
    <t>Cementitious adhesives</t>
  </si>
  <si>
    <t>45-50-00/325 Cementitious adhesives;</t>
  </si>
  <si>
    <t>Pr_20_31_02_13</t>
  </si>
  <si>
    <t>Cementitious bonding compounds</t>
  </si>
  <si>
    <t>45-50-00/380 Cementitious bonding agents;</t>
  </si>
  <si>
    <t>Pr_20_31_02_15</t>
  </si>
  <si>
    <t>Cold-applied bitumen bonding compounds</t>
  </si>
  <si>
    <t>45-55-12/360 Cold applied bitumen bonding compounds;</t>
  </si>
  <si>
    <t>Pr_20_31_02_18</t>
  </si>
  <si>
    <t>Cold water pastes</t>
  </si>
  <si>
    <t>45-50-00/425 Cold water pastes;</t>
  </si>
  <si>
    <t>Pr_20_31_02_21</t>
  </si>
  <si>
    <t>Damp proof course joint sealer adhesives</t>
  </si>
  <si>
    <t>Pr_20_31_02_26</t>
  </si>
  <si>
    <t>Epoxy resin-based adhesives</t>
  </si>
  <si>
    <t>45-50-00/330 Epoxy resin-based adhesives;</t>
  </si>
  <si>
    <t>Pr_20_31_02_28</t>
  </si>
  <si>
    <t>Epoxy resin-based bonding compounds</t>
  </si>
  <si>
    <t>45-50-00/385 Epoxy resin-based bonding agents;</t>
  </si>
  <si>
    <t>Pr_20_31_02_29</t>
  </si>
  <si>
    <t>Epoxy resin ballast glues</t>
  </si>
  <si>
    <t>Pr_20_31_02_35</t>
  </si>
  <si>
    <t>Gypsum-based adhesives</t>
  </si>
  <si>
    <t>45-50-00/335 Gypsum-based adhesives;</t>
  </si>
  <si>
    <t>Pr_20_31_02_36</t>
  </si>
  <si>
    <t>Heavy-duty pastes</t>
  </si>
  <si>
    <t>45-50-00/430 Heavy duty pastes;</t>
  </si>
  <si>
    <t>Pr_20_31_02_37</t>
  </si>
  <si>
    <t>Hot-applied bitumen bonding compounds</t>
  </si>
  <si>
    <t>45-55-12/370 Hot applied bitumen bonding compounds;</t>
  </si>
  <si>
    <t>Pr_20_31_02_38</t>
  </si>
  <si>
    <t>High-performance ready-mixed adhesives</t>
  </si>
  <si>
    <t>45-50-00/435 High performance, ready mixed adhesives;</t>
  </si>
  <si>
    <t>Pr_20_31_02_50</t>
  </si>
  <si>
    <t>Masonry injection resins</t>
  </si>
  <si>
    <t>45-55-70/320 Injection resin;</t>
  </si>
  <si>
    <t>Pr_20_31_02_52</t>
  </si>
  <si>
    <t>Modified silane (MS) polymer adhesives</t>
  </si>
  <si>
    <t>45-50-00/340 Modified silane (MS) polymer adhesives;</t>
  </si>
  <si>
    <t>Pr_20_31_02_56</t>
  </si>
  <si>
    <t>Natural rubber-based and latex adhesives</t>
  </si>
  <si>
    <t>45-50-00/345 Natural rubber-based and latex adhesives;</t>
  </si>
  <si>
    <t>Pr_20_31_02_57</t>
  </si>
  <si>
    <t>Non bitumen-based bonding compounds</t>
  </si>
  <si>
    <t>45-50-00/405 Non bitumen-based bonding compounds;</t>
  </si>
  <si>
    <t>Pr_20_31_02_59</t>
  </si>
  <si>
    <t>Overlap and border adhesives</t>
  </si>
  <si>
    <t>45-50-00/437 Overlap and border adhesive;</t>
  </si>
  <si>
    <t>Pr_20_31_02_60</t>
  </si>
  <si>
    <t>Parchment size</t>
  </si>
  <si>
    <t>45-35-84/450 Parchment size;</t>
  </si>
  <si>
    <t>Pr_20_31_02_61</t>
  </si>
  <si>
    <t>Phenolic, resorcinol and formaldehyde-based resin (PRF) thermosetting adhesives</t>
  </si>
  <si>
    <t>45-50-00/350 Phenolic, resorcinolic and formaldehyde-based resin (PRF) thermosetting adhesives;</t>
  </si>
  <si>
    <t>Pr_20_31_02_62</t>
  </si>
  <si>
    <t>Polyurethane (PUR) adhesives</t>
  </si>
  <si>
    <t>45-50-00/355 Polyurethane adhesives;</t>
  </si>
  <si>
    <t>Pr_20_31_02_63</t>
  </si>
  <si>
    <t>Polyurethane (PUR) ballast reinforcement</t>
  </si>
  <si>
    <t>Pr_20_31_02_64</t>
  </si>
  <si>
    <t>Polyurethane (PUR) based resin binders</t>
  </si>
  <si>
    <t>45-50-00/415 Polyurethane-based resin binders;</t>
  </si>
  <si>
    <t>Pr_20_31_02_65</t>
  </si>
  <si>
    <t>Polyvinyl acetate (PVAc) adhesives</t>
  </si>
  <si>
    <t>45-50-00/360 Polyvinyl acetate (PVAc) adhesives;</t>
  </si>
  <si>
    <t>Pr_20_31_02_66</t>
  </si>
  <si>
    <t>Polyvinyl acetate (PVAc) bonding compounds</t>
  </si>
  <si>
    <t>45-50-00/390 Polyvinyl acetate (PVAc) bonding agents;</t>
  </si>
  <si>
    <t>Pr_20_31_02_71</t>
  </si>
  <si>
    <t>Resin binders</t>
  </si>
  <si>
    <t>45-55-12/400 Resin binders;</t>
  </si>
  <si>
    <t>Pr_20_31_02_76</t>
  </si>
  <si>
    <t>Sodium silicate binders</t>
  </si>
  <si>
    <t>Pr_20_31_02_80</t>
  </si>
  <si>
    <t>Solvent-based synthetic rubber resin adhesives</t>
  </si>
  <si>
    <t>45-50-00/365 Solvent-based synthetic rubber resin adhesives;</t>
  </si>
  <si>
    <t>Pr_20_31_02_81</t>
  </si>
  <si>
    <t>Solvent-free cellulose adhesives</t>
  </si>
  <si>
    <t>45-50-00/440 Solvent-free cellulose adhesives;</t>
  </si>
  <si>
    <t>Pr_20_31_02_82</t>
  </si>
  <si>
    <t>Solvent-free synthetic rubber resin adhesives</t>
  </si>
  <si>
    <t>Pr_20_31_02_84</t>
  </si>
  <si>
    <t>Styrene butadiene rubber (SBR) bonding compounds</t>
  </si>
  <si>
    <t>45-50-00/395 Styrene butadiene rubber (SBR) bonding agents;</t>
  </si>
  <si>
    <t>Pr_20_31_02_85</t>
  </si>
  <si>
    <t>Synthetic bonding compounds</t>
  </si>
  <si>
    <t>45-35-50/370 Synthetic bonding compound;</t>
  </si>
  <si>
    <t>Pr_20_31_02_89</t>
  </si>
  <si>
    <t>Tile adhesives</t>
  </si>
  <si>
    <t>45-50-00/312 Tile adhesives;</t>
  </si>
  <si>
    <t>Pr_20_31_02_94</t>
  </si>
  <si>
    <t>Vermiculite-based adhesives</t>
  </si>
  <si>
    <t>45-50-00/375 Vermiculite-based adhesives;</t>
  </si>
  <si>
    <t>Pr_20_31_02_95</t>
  </si>
  <si>
    <t>Vinyl adhesives</t>
  </si>
  <si>
    <t>45-50-00/445 Vinyl adhesives;</t>
  </si>
  <si>
    <t>Pr_20_31_02_97</t>
  </si>
  <si>
    <t>Welding paste and solvents</t>
  </si>
  <si>
    <t>Pr_20_31_03</t>
  </si>
  <si>
    <t>Admixtures</t>
  </si>
  <si>
    <t>Pr_20_31_03_01</t>
  </si>
  <si>
    <t>Adherence proofing concrete admixtures</t>
  </si>
  <si>
    <t>Pr_20_31_03_02</t>
  </si>
  <si>
    <t>Air entraining and plasticizing concrete admixtures</t>
  </si>
  <si>
    <t>45-55-04/320 Air entraining/plasticizing admixture for concrete;</t>
  </si>
  <si>
    <t>Pr_20_31_03_03</t>
  </si>
  <si>
    <t>Air entraining and plasticizing mortar and screed admixtures</t>
  </si>
  <si>
    <t>45-55-04/325 Air entraining/ plasticizing admixture for mortars and screeds;</t>
  </si>
  <si>
    <t>Pr_20_31_03_15</t>
  </si>
  <si>
    <t>Concrete expanding agents</t>
  </si>
  <si>
    <t>Pr_20_31_03_16</t>
  </si>
  <si>
    <t>Concrete foaming agents</t>
  </si>
  <si>
    <t>45-55-04/330 Foaming agent for concrete;</t>
  </si>
  <si>
    <t>Pr_20_31_03_17</t>
  </si>
  <si>
    <t>Corrosion inhibiting admixtures</t>
  </si>
  <si>
    <t>45-55-04/392 Corrosion inhibiting admixture;</t>
  </si>
  <si>
    <t>Pr_20_31_03_31</t>
  </si>
  <si>
    <t>Frostproofing concrete admixtures</t>
  </si>
  <si>
    <t>Pr_20_31_03_36</t>
  </si>
  <si>
    <t>Hardening and accelerating concrete admixtures</t>
  </si>
  <si>
    <t>45-55-04/335 Hardening accelerating admixture for concrete;</t>
  </si>
  <si>
    <t>Pr_20_31_03_38</t>
  </si>
  <si>
    <t>High range water reducing and superplasticizing concrete admixtures</t>
  </si>
  <si>
    <t>45-55-04/340 High range water reducing/ superplasticizing admixture for concrete;</t>
  </si>
  <si>
    <t>Pr_20_31_03_52</t>
  </si>
  <si>
    <t>Mid-range water reducing and superplasticizing concrete admixtures</t>
  </si>
  <si>
    <t>45-55-04/342 Mid range water reducing/ superplasticizing admixture for concrete;</t>
  </si>
  <si>
    <t>Pr_20_31_03_58</t>
  </si>
  <si>
    <t>Oil proofing concrete admixtures</t>
  </si>
  <si>
    <t>Pr_20_31_03_64</t>
  </si>
  <si>
    <t>Polymer admixtures</t>
  </si>
  <si>
    <t>45-55-04/367 Polymer admixture;</t>
  </si>
  <si>
    <t>Pr_20_31_03_76</t>
  </si>
  <si>
    <t>Set-accelerating concrete admixtures</t>
  </si>
  <si>
    <t>45-55-04/345 Set accelerating admixture for concrete;</t>
  </si>
  <si>
    <t>Pr_20_31_03_77</t>
  </si>
  <si>
    <t>Set-accelerating, water reducing and plasticizing concrete admixtures</t>
  </si>
  <si>
    <t>45-55-04/350 Set accelerating/ water reducing/ plasticizing admixture for concrete;</t>
  </si>
  <si>
    <t>Pr_20_31_03_78</t>
  </si>
  <si>
    <t>Set-retarding concrete, mortar and plaster admixtures</t>
  </si>
  <si>
    <t>45-55-04/355 Set retarding admixture for concrete, mortar and plaster;</t>
  </si>
  <si>
    <t>Pr_20_31_03_79</t>
  </si>
  <si>
    <t>Set-retarding, high range water reducing and superplasticizing concrete admixtures</t>
  </si>
  <si>
    <t>45-55-04/365 Set retarding/ high range water reducing/ superplasticizing admixture for concrete;</t>
  </si>
  <si>
    <t>Pr_20_31_03_80</t>
  </si>
  <si>
    <t>Set-retarding, water reducing and plasticizing concrete admixtures</t>
  </si>
  <si>
    <t>45-55-04/360 Set retarding/ water reducing/ plasticizing admixture for concrete;</t>
  </si>
  <si>
    <t>Pr_20_31_03_84</t>
  </si>
  <si>
    <t>Sprayed concrete admixtures</t>
  </si>
  <si>
    <t>45-55-04/315 Admixtures for sprayed concrete;</t>
  </si>
  <si>
    <t>Pr_20_31_03_94</t>
  </si>
  <si>
    <t>Viscosity modifying admixtures</t>
  </si>
  <si>
    <t>45-55-04/390 Viscosity modifying admixture;</t>
  </si>
  <si>
    <t>Pr_20_31_03_95</t>
  </si>
  <si>
    <t>Waterproofing concrete admixtures</t>
  </si>
  <si>
    <t>Pr_20_31_03_96</t>
  </si>
  <si>
    <t>Waterproofing mortar admixtures</t>
  </si>
  <si>
    <t>45-55-04/385 Waterproofing admixture;</t>
  </si>
  <si>
    <t>Pr_20_31_03_97</t>
  </si>
  <si>
    <t>Water-reducing and plasticizing concrete admixtures</t>
  </si>
  <si>
    <t>45-55-04/370 Water reducing/plasticizing admixture for concrete;</t>
  </si>
  <si>
    <t>Pr_20_31_03_98</t>
  </si>
  <si>
    <t>Water-retaining concrete admixtures</t>
  </si>
  <si>
    <t>45-55-04/380 Water retaining admixture for concrete;</t>
  </si>
  <si>
    <t>Pr_20_31_04</t>
  </si>
  <si>
    <t>Aggregates</t>
  </si>
  <si>
    <t>Pr_20_31_04_01</t>
  </si>
  <si>
    <t>Air cooled steel slag</t>
  </si>
  <si>
    <t>45-55-06/370 Air cooled steel slag;</t>
  </si>
  <si>
    <t>Pr_20_31_04_02</t>
  </si>
  <si>
    <t>All-in normal and heavyweight aggregates</t>
  </si>
  <si>
    <t>45-55-06/312 All-in normal and heavyweight aggregates for concrete;</t>
  </si>
  <si>
    <t>Pr_20_31_04_04</t>
  </si>
  <si>
    <t>Armourstone coarse aggregates</t>
  </si>
  <si>
    <t>45-55-06/310 Armourstone coarse aggregates;</t>
  </si>
  <si>
    <t>Pr_20_31_04_05</t>
  </si>
  <si>
    <t>Barytes aggregates</t>
  </si>
  <si>
    <t>Pr_20_31_04_06</t>
  </si>
  <si>
    <t>Base, bed and fill all-in aggregates</t>
  </si>
  <si>
    <t>45-55-06/304 All-in aggregates for bases, beds and fill;</t>
  </si>
  <si>
    <t>Pr_20_31_04_07</t>
  </si>
  <si>
    <t>Base, bed and fill coarse aggregates</t>
  </si>
  <si>
    <t>45-55-06/306 Coarse aggregates for bases, beds and fill;</t>
  </si>
  <si>
    <t>Pr_20_31_04_08</t>
  </si>
  <si>
    <t>Base, bed and fill fine aggregates</t>
  </si>
  <si>
    <t>45-55-06/308 Fine aggregates for bases, beds and fill;</t>
  </si>
  <si>
    <t>Pr_20_31_04_09</t>
  </si>
  <si>
    <t>Blinding coarse aggregates</t>
  </si>
  <si>
    <t>45-55-06/332 Coarse aggregates for blinding;</t>
  </si>
  <si>
    <t>Pr_20_31_04_10</t>
  </si>
  <si>
    <t>Blinding fine aggregates</t>
  </si>
  <si>
    <t>45-55-06/334 Fine aggregates for blinding;</t>
  </si>
  <si>
    <t>Pr_20_31_04_11</t>
  </si>
  <si>
    <t>Bonded surfacing decorative aggregates</t>
  </si>
  <si>
    <t>45-55-06/340 Decorative aggregates for bonded surfacing;</t>
  </si>
  <si>
    <t>Pr_20_31_04_13</t>
  </si>
  <si>
    <t>Coarse general aggregates</t>
  </si>
  <si>
    <t>45-55-06/346 Coarse general aggregates;</t>
  </si>
  <si>
    <t>Pr_20_31_04_15</t>
  </si>
  <si>
    <t>Coarse lightweight aggregates for concrete and mortar</t>
  </si>
  <si>
    <t>45-55-06/318 Coarse lightweight aggregates for concrete and mortar;</t>
  </si>
  <si>
    <t>Pr_20_31_04_16</t>
  </si>
  <si>
    <t>Coarse normal and heavyweight aggregates</t>
  </si>
  <si>
    <t>45-55-06/314 Coarse normal and heavyweight aggregates for concrete;</t>
  </si>
  <si>
    <t>Pr_20_31_04_20</t>
  </si>
  <si>
    <t>Crushed stone aggregates</t>
  </si>
  <si>
    <t>Pr_20_31_04_25</t>
  </si>
  <si>
    <t>Expanded clay lightweight aggregates</t>
  </si>
  <si>
    <t>45-55-06/352 Lightweight general aggregates;</t>
  </si>
  <si>
    <t>Pr_20_31_04_26</t>
  </si>
  <si>
    <t>Expanded glass aggregates</t>
  </si>
  <si>
    <t>Pr_20_31_04_27</t>
  </si>
  <si>
    <t>Expanded slag aggregates</t>
  </si>
  <si>
    <t>Pr_20_31_04_28</t>
  </si>
  <si>
    <t>Expanded slate aggregates</t>
  </si>
  <si>
    <t>Pr_20_31_04_29</t>
  </si>
  <si>
    <t>Fine aggregates</t>
  </si>
  <si>
    <t>45-55-06/365 Fine aggregates for water filtration;</t>
  </si>
  <si>
    <t>Pr_20_31_04_30</t>
  </si>
  <si>
    <t>Fine general aggregates</t>
  </si>
  <si>
    <t>45-55-06/348 Fine general aggregates;</t>
  </si>
  <si>
    <t>Pr_20_31_04_31</t>
  </si>
  <si>
    <t>Fine lightweight aggregates for concrete and mortar</t>
  </si>
  <si>
    <t>45-55-06/320 Fine lightweight aggregates for concrete and mortar;</t>
  </si>
  <si>
    <t>Pr_20_31_04_32</t>
  </si>
  <si>
    <t>Fine normal and heavyweight aggregates</t>
  </si>
  <si>
    <t>45-55-06/316 Fine normal and heavyweight aggregates for concrete;</t>
  </si>
  <si>
    <t>Pr_20_31_04_35</t>
  </si>
  <si>
    <t>Granular cork aggregates</t>
  </si>
  <si>
    <t>Pr_20_31_04_42</t>
  </si>
  <si>
    <t>Iron ore aggregates</t>
  </si>
  <si>
    <t>Pr_20_31_04_44</t>
  </si>
  <si>
    <t>Jointing fine aggregates</t>
  </si>
  <si>
    <t>45-55-06/336 Fine aggregates for jointing;</t>
  </si>
  <si>
    <t>Pr_20_31_04_46</t>
  </si>
  <si>
    <t>Laying course fine aggregates</t>
  </si>
  <si>
    <t>45-55-06/330 Fine aggregates for laying courses;</t>
  </si>
  <si>
    <t>Pr_20_31_04_48</t>
  </si>
  <si>
    <t>Loose surfacing decorative aggregates</t>
  </si>
  <si>
    <t>45-55-06/342 Decorative aggregates for loose surfacing;</t>
  </si>
  <si>
    <t>Pr_20_31_04_51</t>
  </si>
  <si>
    <t>Mortar aggregates</t>
  </si>
  <si>
    <t>45-55-06/322 All-in aggregates for mortars;</t>
  </si>
  <si>
    <t>Pr_20_31_04_52</t>
  </si>
  <si>
    <t>Mortar coarse aggregates</t>
  </si>
  <si>
    <t>45-55-06/324 Coarse aggregates for mortars;</t>
  </si>
  <si>
    <t>Pr_20_31_04_53</t>
  </si>
  <si>
    <t>Mortar fine aggregates</t>
  </si>
  <si>
    <t>45-55-06/326 Fine aggregates for mortars;</t>
  </si>
  <si>
    <t>Pr_20_31_04_56</t>
  </si>
  <si>
    <t>Natural stone aggregates</t>
  </si>
  <si>
    <t>Pr_20_31_04_57</t>
  </si>
  <si>
    <t>Natural stone dusts</t>
  </si>
  <si>
    <t>45-55-06/327 Natural stone dust;</t>
  </si>
  <si>
    <t>Pr_20_31_04_59</t>
  </si>
  <si>
    <t>Oyster shells</t>
  </si>
  <si>
    <t>45-55-18/445 Oyster shells;</t>
  </si>
  <si>
    <t>Pr_20_31_04_60</t>
  </si>
  <si>
    <t>Pea gravel</t>
  </si>
  <si>
    <t>Pr_20_31_04_61</t>
  </si>
  <si>
    <t>Perlite aggregates</t>
  </si>
  <si>
    <t>Pr_20_31_04_62</t>
  </si>
  <si>
    <t>Permeable laying course aggregates</t>
  </si>
  <si>
    <t>45-55-06/328 Aggregates for permeable laying courses;</t>
  </si>
  <si>
    <t>Pr_20_31_04_71</t>
  </si>
  <si>
    <t>Recycled lightweight aggregates</t>
  </si>
  <si>
    <t>Pr_20_31_04_72</t>
  </si>
  <si>
    <t>Recycled rubber granules</t>
  </si>
  <si>
    <t>45-55-06/350 Recycled rubber granules;</t>
  </si>
  <si>
    <t>Pr_20_31_04_77</t>
  </si>
  <si>
    <t>Scrap iron aggregates</t>
  </si>
  <si>
    <t>Pr_20_31_04_79</t>
  </si>
  <si>
    <t>Single sized aggregates</t>
  </si>
  <si>
    <t>45-55-06/360 Single sized aggregates for biological filtration;</t>
  </si>
  <si>
    <t>Pr_20_31_04_80</t>
  </si>
  <si>
    <t>Soil amelioration aggregates</t>
  </si>
  <si>
    <t>45-55-06/338 Aggregates for soil amelioration;</t>
  </si>
  <si>
    <t>Pr_20_31_04_85</t>
  </si>
  <si>
    <t>Surface dressing aggregates</t>
  </si>
  <si>
    <t>45-55-06/302 Aggregates for surface dressings;</t>
  </si>
  <si>
    <t>Pr_20_31_04_86</t>
  </si>
  <si>
    <t>Surface treatment fine aggregates</t>
  </si>
  <si>
    <t>45-55-06/344 Fine aggregates for surface treatment;</t>
  </si>
  <si>
    <t>Pr_20_31_04_94</t>
  </si>
  <si>
    <t>Vermiculite aggregates</t>
  </si>
  <si>
    <t>Pr_20_31_12</t>
  </si>
  <si>
    <t>Cements and limes</t>
  </si>
  <si>
    <t>Pr_20_31_12_11</t>
  </si>
  <si>
    <t>Calcium aluminate cements</t>
  </si>
  <si>
    <t>45-55-18/310 Calcium aluminate cement;</t>
  </si>
  <si>
    <t>Pr_20_31_12_13</t>
  </si>
  <si>
    <t>Cement/cement replacement materials</t>
  </si>
  <si>
    <t>45-55-18/320 Cement/cement replacement materials;</t>
  </si>
  <si>
    <t>Pr_20_31_12_38</t>
  </si>
  <si>
    <t>Hydrated limes</t>
  </si>
  <si>
    <t>Pr_20_31_12_39</t>
  </si>
  <si>
    <t>Hydraulic limes</t>
  </si>
  <si>
    <t>45-55-18/430 Lime with hydraulic properties;</t>
  </si>
  <si>
    <t>Pr_20_31_12_50</t>
  </si>
  <si>
    <t>Masonry cements</t>
  </si>
  <si>
    <t>45-55-18/340 Masonry cement;</t>
  </si>
  <si>
    <t>Pr_20_31_12_57</t>
  </si>
  <si>
    <t>Non-hydraulic lime putties</t>
  </si>
  <si>
    <t>45-55-18/450 Ready prepared non-hydraulic lime putty;</t>
  </si>
  <si>
    <t>Pr_20_31_12_58</t>
  </si>
  <si>
    <t>Non-hydraulic limes</t>
  </si>
  <si>
    <t>45-55-18/440 Non-hydraulic lime;</t>
  </si>
  <si>
    <t>Pr_20_31_12_60</t>
  </si>
  <si>
    <t>Portland cements</t>
  </si>
  <si>
    <t>45-55-18/350 Portland cement;</t>
  </si>
  <si>
    <t>Pr_20_31_12_69</t>
  </si>
  <si>
    <t>Quicklime</t>
  </si>
  <si>
    <t>Pr_20_31_12_80</t>
  </si>
  <si>
    <t>Special purpose cements</t>
  </si>
  <si>
    <t>Pr_20_31_12_86</t>
  </si>
  <si>
    <t>Sulfate-resisting Portland cements</t>
  </si>
  <si>
    <t>45-55-18/360 Sulfate-resisting Portland cement;</t>
  </si>
  <si>
    <t>Pr_20_31_16</t>
  </si>
  <si>
    <t>Concretes</t>
  </si>
  <si>
    <t>Pr_20_31_16_12</t>
  </si>
  <si>
    <t>Cement-bound granular mixtures</t>
  </si>
  <si>
    <t>45-55-20/310 Cement bound granular mixtures;</t>
  </si>
  <si>
    <t>Pr_20_31_16_21</t>
  </si>
  <si>
    <t>Designated concrete</t>
  </si>
  <si>
    <t>45-55-20/330 Designated concrete;</t>
  </si>
  <si>
    <t>Pr_20_31_16_22</t>
  </si>
  <si>
    <t>Designed concrete</t>
  </si>
  <si>
    <t>45-55-20/325 Designed concrete;</t>
  </si>
  <si>
    <t>Pr_20_31_16_29</t>
  </si>
  <si>
    <t>Fine bedding concretes</t>
  </si>
  <si>
    <t>45-55-20/390 Ready-to-use fine concrete for bedding;</t>
  </si>
  <si>
    <t>Pr_20_31_16_30</t>
  </si>
  <si>
    <t>Fly ash bound mixtures</t>
  </si>
  <si>
    <t>45-55-20/312 Fly ash bound mixtures;</t>
  </si>
  <si>
    <t>Pr_20_31_16_31</t>
  </si>
  <si>
    <t>Foamed concrete</t>
  </si>
  <si>
    <t>45-55-10/370 Polymer modified levelling screed mix;</t>
  </si>
  <si>
    <t>Pr_20_31_16_37</t>
  </si>
  <si>
    <t>High strength concrete</t>
  </si>
  <si>
    <t>Pr_20_31_16_39</t>
  </si>
  <si>
    <t>Hydraulic road binder bound mixtures</t>
  </si>
  <si>
    <t>45-55-20/316 Hydraulic road binder bound mixtures;</t>
  </si>
  <si>
    <t>Pr_20_31_16_56</t>
  </si>
  <si>
    <t>Normal-class concretes</t>
  </si>
  <si>
    <t>Pr_20_31_16_66</t>
  </si>
  <si>
    <t>Pre-blended concretes</t>
  </si>
  <si>
    <t>45-55-20/340 Pre-blended concrete;</t>
  </si>
  <si>
    <t>Pr_20_31_16_67</t>
  </si>
  <si>
    <t>Prescribed concrete</t>
  </si>
  <si>
    <t>45-55-20/335 Prescribed concrete;</t>
  </si>
  <si>
    <t>Pr_20_31_16_68</t>
  </si>
  <si>
    <t>Proprietary concretes</t>
  </si>
  <si>
    <t>45-55-20/370 Proprietary concrete;</t>
  </si>
  <si>
    <t>Pr_20_31_16_70</t>
  </si>
  <si>
    <t>Resin concretes</t>
  </si>
  <si>
    <t>Pr_20_31_16_72</t>
  </si>
  <si>
    <t>Roman concretes</t>
  </si>
  <si>
    <t>Pr_20_31_16_76</t>
  </si>
  <si>
    <t>Self-compacting concretes</t>
  </si>
  <si>
    <t>Pr_20_31_16_78</t>
  </si>
  <si>
    <t>Slag bound mixtures</t>
  </si>
  <si>
    <t>45-55-20/314 Slag bound mixtures;</t>
  </si>
  <si>
    <t>Pr_20_31_16_80</t>
  </si>
  <si>
    <t>Small-area repair concretes</t>
  </si>
  <si>
    <t>45-55-20/320 Concrete for small area repairs;</t>
  </si>
  <si>
    <t>Pr_20_31_16_82</t>
  </si>
  <si>
    <t>Special-class performance concretes</t>
  </si>
  <si>
    <t>Pr_20_31_16_83</t>
  </si>
  <si>
    <t>Special-class prescription concretes</t>
  </si>
  <si>
    <t>Pr_20_31_16_84</t>
  </si>
  <si>
    <t>Sprayed concretes</t>
  </si>
  <si>
    <t>Pr_20_31_16_85</t>
  </si>
  <si>
    <t>Standardized prescribed concrete</t>
  </si>
  <si>
    <t>45-55-20/400 Standardized prescribed concrete;</t>
  </si>
  <si>
    <t>Pr_20_31_16_92</t>
  </si>
  <si>
    <t>Ultra high performance concrete</t>
  </si>
  <si>
    <t>Pr_20_31_35</t>
  </si>
  <si>
    <t>Granules and powders</t>
  </si>
  <si>
    <t>Pr_20_31_35_11</t>
  </si>
  <si>
    <t>Carborundum</t>
  </si>
  <si>
    <t>Pr_20_31_35_22</t>
  </si>
  <si>
    <t>Diatomaceous earth</t>
  </si>
  <si>
    <t>Pr_20_31_35_30</t>
  </si>
  <si>
    <t>Fly ash</t>
  </si>
  <si>
    <t>45-55-04/440 Fly ash;</t>
  </si>
  <si>
    <t>Pr_20_31_35_33</t>
  </si>
  <si>
    <t>Granulated blast furnace slag</t>
  </si>
  <si>
    <t>45-55-04/492 Granulated blast furnace slag;</t>
  </si>
  <si>
    <t>Pr_20_31_35_34</t>
  </si>
  <si>
    <t>Ground granulated blast furnace slag</t>
  </si>
  <si>
    <t>45-55-04/445 Ground granulated blast furnace slag;</t>
  </si>
  <si>
    <t>Pr_20_31_35_35</t>
  </si>
  <si>
    <t>Gypsum</t>
  </si>
  <si>
    <t>45-55-04/490 Gypsum;</t>
  </si>
  <si>
    <t>Pr_20_31_35_47</t>
  </si>
  <si>
    <t>Limestone fines</t>
  </si>
  <si>
    <t>45-55-04/450 Limestone fines;</t>
  </si>
  <si>
    <t>Pr_20_31_35_50</t>
  </si>
  <si>
    <t>Marble dust</t>
  </si>
  <si>
    <t>45-55-04/455 Marble dust;</t>
  </si>
  <si>
    <t>Pr_20_31_35_51</t>
  </si>
  <si>
    <t>Metakaolin</t>
  </si>
  <si>
    <t>45-55-04/460 Metakaolin;</t>
  </si>
  <si>
    <t>Pr_20_31_35_52</t>
  </si>
  <si>
    <t>Microsilica</t>
  </si>
  <si>
    <t>Pr_20_31_35_53</t>
  </si>
  <si>
    <t>Mineral pigments</t>
  </si>
  <si>
    <t>45-55-04/465 Pigments;</t>
  </si>
  <si>
    <t>Pr_20_31_35_56</t>
  </si>
  <si>
    <t>Natural pozzolan</t>
  </si>
  <si>
    <t>Pr_20_31_35_60</t>
  </si>
  <si>
    <t>Partially ground granulated blast furnace slag</t>
  </si>
  <si>
    <t>45-55-04/494 Partially ground granulated blast furnace slag;</t>
  </si>
  <si>
    <t>Pr_20_31_35_62</t>
  </si>
  <si>
    <t>Plaster of Paris</t>
  </si>
  <si>
    <t>45-55-04/470 Plaster of Paris;</t>
  </si>
  <si>
    <t>Pr_20_31_35_75</t>
  </si>
  <si>
    <t>Sawdust</t>
  </si>
  <si>
    <t>Pr_20_31_35_81</t>
  </si>
  <si>
    <t>Silica fume</t>
  </si>
  <si>
    <t>45-55-04/475 Silica fume;</t>
  </si>
  <si>
    <t>Pr_20_31_35_82</t>
  </si>
  <si>
    <t>Sintered pulverized fuel ash</t>
  </si>
  <si>
    <t>Pr_20_31_35_86</t>
  </si>
  <si>
    <t>Synthetic foam granules</t>
  </si>
  <si>
    <t>Pr_20_31_53</t>
  </si>
  <si>
    <t>Mortars and grouts</t>
  </si>
  <si>
    <t>Pr_20_31_53_08</t>
  </si>
  <si>
    <t>Brick slip adhesive mortars</t>
  </si>
  <si>
    <t>45-55-50/300 Brick slip adhesive mortar;</t>
  </si>
  <si>
    <t>Pr_20_31_53_10</t>
  </si>
  <si>
    <t>Cement gauged designed mortars</t>
  </si>
  <si>
    <t>45-55-50/302 Cement gauged designed mix mortar;</t>
  </si>
  <si>
    <t>Pr_20_31_53_11</t>
  </si>
  <si>
    <t>Cement gauged mortars</t>
  </si>
  <si>
    <t>45-55-50/303 Cement gauged prescribed mix mortar;</t>
  </si>
  <si>
    <t>Pr_20_31_53_12</t>
  </si>
  <si>
    <t>Cementitious and reaction resin grouts</t>
  </si>
  <si>
    <t>45-55-50/400 Cementitious and reaction resin grout;</t>
  </si>
  <si>
    <t>Pr_20_31_53_13</t>
  </si>
  <si>
    <t>Cementitious grouts</t>
  </si>
  <si>
    <t>45-55-50/405 Cementitious grout;</t>
  </si>
  <si>
    <t>Pr_20_31_53_14</t>
  </si>
  <si>
    <t>Cementitious tanking mortars</t>
  </si>
  <si>
    <t>45-55-50/305 Cementitious tanking mortar;</t>
  </si>
  <si>
    <t>Pr_20_31_53_15</t>
  </si>
  <si>
    <t>Concrete repair mortars</t>
  </si>
  <si>
    <t>45-55-50/350 Repair mortar for concrete;</t>
  </si>
  <si>
    <t>Pr_20_31_53_18</t>
  </si>
  <si>
    <t>Crystallization active slurry mortars</t>
  </si>
  <si>
    <t>45-55-50/460 Crystallization active slurry mortar;</t>
  </si>
  <si>
    <t>Pr_20_31_53_26</t>
  </si>
  <si>
    <t>Epoxy mortars</t>
  </si>
  <si>
    <t>45-55-50/310 Epoxy mortar;</t>
  </si>
  <si>
    <t>Pr_20_31_53_27</t>
  </si>
  <si>
    <t>Epoxy resin grouts</t>
  </si>
  <si>
    <t>45-55-50/410 Epoxy resin grout;</t>
  </si>
  <si>
    <t>Pr_20_31_53_28</t>
  </si>
  <si>
    <t>Epoxy resin-modified cementitious slurries</t>
  </si>
  <si>
    <t>45-55-50/465 Epoxy resin-modified cementitious slurry;</t>
  </si>
  <si>
    <t>Pr_20_31_53_30</t>
  </si>
  <si>
    <t>Fibre-reinforced polymer-modified cementitious mortars</t>
  </si>
  <si>
    <t>45-55-50/315 Fibre-reinforced polymer-modified cementitious mortar;</t>
  </si>
  <si>
    <t>Pr_20_31_53_31</t>
  </si>
  <si>
    <t>Fire-resisting mortars</t>
  </si>
  <si>
    <t>45-55-50/320 Fire resisting mortar;</t>
  </si>
  <si>
    <t>Pr_20_31_53_32</t>
  </si>
  <si>
    <t>General purpose cement:sand mortars</t>
  </si>
  <si>
    <t>Pr_20_31_53_33</t>
  </si>
  <si>
    <t>Glass block jointing mortars</t>
  </si>
  <si>
    <t>45-55-50/490 Glass block jointing mortar;</t>
  </si>
  <si>
    <t>Pr_20_31_53_34</t>
  </si>
  <si>
    <t>Glass block pointing mortars</t>
  </si>
  <si>
    <t>45-55-50/495 Glass block pointing mortar;</t>
  </si>
  <si>
    <t>Pr_20_31_53_39</t>
  </si>
  <si>
    <t>Hydraulic lime mortars</t>
  </si>
  <si>
    <t>45-55-50/347 Premixed hydraulic lime mortar;</t>
  </si>
  <si>
    <t>Pr_20_31_53_40</t>
  </si>
  <si>
    <t>Injection grouts</t>
  </si>
  <si>
    <t>45-55-50/450 Injection grout;</t>
  </si>
  <si>
    <t>Pr_20_31_53_41</t>
  </si>
  <si>
    <t>Injection mortar damp proof courses</t>
  </si>
  <si>
    <t>45-25-20/390 Rising damp injection materials;</t>
  </si>
  <si>
    <t>Pr_20_31_53_42</t>
  </si>
  <si>
    <t>Injection mortars</t>
  </si>
  <si>
    <t>45-55-50/380 Injection mortar;</t>
  </si>
  <si>
    <t>Pr_20_31_53_43</t>
  </si>
  <si>
    <t>Intumescent mortars</t>
  </si>
  <si>
    <t>45-55-50/325 Intumescent mortar;</t>
  </si>
  <si>
    <t>Pr_20_31_53_47</t>
  </si>
  <si>
    <t>Lightweight masonry mortars</t>
  </si>
  <si>
    <t>45-55-50/326 Lightweight masonry mortar;</t>
  </si>
  <si>
    <t>Pr_20_31_53_50</t>
  </si>
  <si>
    <t>Masonry grout</t>
  </si>
  <si>
    <t>45-55-50/415 Masonry grout;</t>
  </si>
  <si>
    <t>Pr_20_31_53_52</t>
  </si>
  <si>
    <t>Metal anchor and fixings grouts</t>
  </si>
  <si>
    <t>45-55-50/420 Metal fixings and anchors grout;</t>
  </si>
  <si>
    <t>Pr_20_31_53_54</t>
  </si>
  <si>
    <t>Mortar repair mortar</t>
  </si>
  <si>
    <t>45-55-50/327 Mortar repairs mortar;</t>
  </si>
  <si>
    <t>Pr_20_31_53_60</t>
  </si>
  <si>
    <t>Paving jointing mortars</t>
  </si>
  <si>
    <t>45-55-50/330 Paving jointing mortar;</t>
  </si>
  <si>
    <t>Pr_20_31_53_61</t>
  </si>
  <si>
    <t>Paving laying course mortars</t>
  </si>
  <si>
    <t>45-55-50/335 Paving laying course mortar;</t>
  </si>
  <si>
    <t>Pr_20_31_53_62</t>
  </si>
  <si>
    <t>Paving unit priming slurry mortars</t>
  </si>
  <si>
    <t>45-55-50/340 Paving unit priming slurry mortar;</t>
  </si>
  <si>
    <t>Pr_20_31_53_64</t>
  </si>
  <si>
    <t>Polyester resin grouts</t>
  </si>
  <si>
    <t>45-55-50/425 Polyester resin grout;</t>
  </si>
  <si>
    <t>Pr_20_31_53_65</t>
  </si>
  <si>
    <t>Polymer-modified cementitious mortars</t>
  </si>
  <si>
    <t>45-55-50/345 Polymer-modified cementitious mortar;</t>
  </si>
  <si>
    <t>Pr_20_31_53_66</t>
  </si>
  <si>
    <t>Polymer-modified cementitious slurries</t>
  </si>
  <si>
    <t>45-55-50/470 Polymer-modified cementitious slurry;</t>
  </si>
  <si>
    <t>Pr_20_31_53_71</t>
  </si>
  <si>
    <t>Resin grouts</t>
  </si>
  <si>
    <t>45-55-50/430 Resin grout;</t>
  </si>
  <si>
    <t>Pr_20_31_53_76</t>
  </si>
  <si>
    <t>Self-hardening slurry mixes</t>
  </si>
  <si>
    <t>45-55-50/475 Self-hardening slurry mix;</t>
  </si>
  <si>
    <t>Pr_20_31_53_79</t>
  </si>
  <si>
    <t>Silica grouts</t>
  </si>
  <si>
    <t>Pr_20_31_53_88</t>
  </si>
  <si>
    <t>Thin-layer mortars</t>
  </si>
  <si>
    <t>45-55-50/355 Thin layer mortar;</t>
  </si>
  <si>
    <t>Pr_20_31_53_90</t>
  </si>
  <si>
    <t>Thixotropic resin grouts</t>
  </si>
  <si>
    <t>45-55-50/435 Thixotropic resin grout;</t>
  </si>
  <si>
    <t>Pr_20_31_53_96</t>
  </si>
  <si>
    <t>Waterproof mortars</t>
  </si>
  <si>
    <t>45-55-50/360 Waterproof mortar;</t>
  </si>
  <si>
    <t>Pr_20_31_56</t>
  </si>
  <si>
    <t>Natural resins</t>
  </si>
  <si>
    <t>Pr_20_31_56_11</t>
  </si>
  <si>
    <t>Balsam resins</t>
  </si>
  <si>
    <t>Pr_20_31_56_13</t>
  </si>
  <si>
    <t>Benzoin resins</t>
  </si>
  <si>
    <t>Pr_20_31_56_16</t>
  </si>
  <si>
    <t>Copal resins</t>
  </si>
  <si>
    <t>Pr_20_31_56_21</t>
  </si>
  <si>
    <t>Damar resins</t>
  </si>
  <si>
    <t>Pr_20_31_56_46</t>
  </si>
  <si>
    <t>Lacquer resins</t>
  </si>
  <si>
    <t>Pr_20_31_56_50</t>
  </si>
  <si>
    <t>Mastic resins</t>
  </si>
  <si>
    <t>Pr_20_31_56_77</t>
  </si>
  <si>
    <t>Shellac resins</t>
  </si>
  <si>
    <t>Pr_20_31_56_91</t>
  </si>
  <si>
    <t>Turpentine resins</t>
  </si>
  <si>
    <t>Pr_20_31_86</t>
  </si>
  <si>
    <t>Synthetic resins</t>
  </si>
  <si>
    <t>Pr_20_31_86_01</t>
  </si>
  <si>
    <t>Acetal resins</t>
  </si>
  <si>
    <t>Pr_20_31_86_02</t>
  </si>
  <si>
    <t>Acrylic resins</t>
  </si>
  <si>
    <t>45-55-70/360 Surfacing resin;</t>
  </si>
  <si>
    <t>Pr_20_31_86_03</t>
  </si>
  <si>
    <t>Acrylonitrile butadiene styrene (ABS) resins</t>
  </si>
  <si>
    <t>Pr_20_31_86_04</t>
  </si>
  <si>
    <t>Alkyd resins</t>
  </si>
  <si>
    <t>Pr_20_31_86_27</t>
  </si>
  <si>
    <t>Epoxy resins</t>
  </si>
  <si>
    <t>45-55-70/365 Epoxy resin;</t>
  </si>
  <si>
    <t>Pr_20_31_86_28</t>
  </si>
  <si>
    <t>Ethylene vinyl acetate (EVA) resins</t>
  </si>
  <si>
    <t>Pr_20_31_86_46</t>
  </si>
  <si>
    <t>Liquid crystal polymer resins</t>
  </si>
  <si>
    <t>Pr_20_31_86_48</t>
  </si>
  <si>
    <t>Long-fibre reinforced plastics resins</t>
  </si>
  <si>
    <t>Pr_20_31_86_51</t>
  </si>
  <si>
    <t>Melamine formaldehyde (MF) resins</t>
  </si>
  <si>
    <t>Pr_20_31_86_58</t>
  </si>
  <si>
    <t>Phenol formaldehyde (PF) resins</t>
  </si>
  <si>
    <t>45-55-70/330 Resins for GRP units;</t>
  </si>
  <si>
    <t>Pr_20_31_86_59</t>
  </si>
  <si>
    <t>Polyamide (PA) resins</t>
  </si>
  <si>
    <t>Pr_20_31_86_60</t>
  </si>
  <si>
    <t>Polycarbonate resins</t>
  </si>
  <si>
    <t>Pr_20_31_86_61</t>
  </si>
  <si>
    <t>Polyester resins</t>
  </si>
  <si>
    <t>Pr_20_31_86_62</t>
  </si>
  <si>
    <t>Polyethylene (PE) resins</t>
  </si>
  <si>
    <t>Pr_20_31_86_63</t>
  </si>
  <si>
    <t>Polyethylene terephthalate (PET) resins</t>
  </si>
  <si>
    <t>Pr_20_31_86_64</t>
  </si>
  <si>
    <t>Polyphenylene sulfide resins</t>
  </si>
  <si>
    <t>Pr_20_31_86_65</t>
  </si>
  <si>
    <t>Polypropylene resins</t>
  </si>
  <si>
    <t>Pr_20_31_86_66</t>
  </si>
  <si>
    <t>Polystyrene (PS) resins</t>
  </si>
  <si>
    <t>Pr_20_31_86_67</t>
  </si>
  <si>
    <t>Polyurethane (PU) resins</t>
  </si>
  <si>
    <t>Pr_20_31_86_68</t>
  </si>
  <si>
    <t>Polyvinyl chloride (PVC) resins</t>
  </si>
  <si>
    <t>Pr_20_31_86_77</t>
  </si>
  <si>
    <t>Silicone resins</t>
  </si>
  <si>
    <t>Pr_20_31_86_88</t>
  </si>
  <si>
    <t>Thermoplastic elastomer (TPE) resins</t>
  </si>
  <si>
    <t>Pr_20_31_86_92</t>
  </si>
  <si>
    <t>Unsaturated polyester (UP) resins</t>
  </si>
  <si>
    <t>Pr_20_31_86_93</t>
  </si>
  <si>
    <t>Urea formaldehyde (UF) resins</t>
  </si>
  <si>
    <t>Pr_20_31_86_94</t>
  </si>
  <si>
    <t>Vinyl ester resins</t>
  </si>
  <si>
    <t>Pr_20_65</t>
  </si>
  <si>
    <t>Prefabricated buildings and structures</t>
  </si>
  <si>
    <t>Pr_20_65_34</t>
  </si>
  <si>
    <t>Glazed structures</t>
  </si>
  <si>
    <t>Pr_20_65_34_34</t>
  </si>
  <si>
    <t>Glazed enclosures</t>
  </si>
  <si>
    <t>45-05-60/340 Glazed structures;</t>
  </si>
  <si>
    <t>Pr_20_65_34_51</t>
  </si>
  <si>
    <t>Metal framed structures</t>
  </si>
  <si>
    <t>45-05-60/350 Metal framed structures;</t>
  </si>
  <si>
    <t>Pr_20_65_34_72</t>
  </si>
  <si>
    <t>Roof lanterns</t>
  </si>
  <si>
    <t>45-05-60/345 Roof lanterns;</t>
  </si>
  <si>
    <t>Pr_20_65_50</t>
  </si>
  <si>
    <t>Modular products</t>
  </si>
  <si>
    <t>Pr_20_65_50_10</t>
  </si>
  <si>
    <t>Bathroom pods</t>
  </si>
  <si>
    <t>Pr_20_65_60</t>
  </si>
  <si>
    <t>Panelled and framed structures</t>
  </si>
  <si>
    <t>Pr_20_65_60_15</t>
  </si>
  <si>
    <t>Concrete panelled buildings</t>
  </si>
  <si>
    <t>45-05-60/355 Concrete panelled building;</t>
  </si>
  <si>
    <t>Pr_20_65_60_17</t>
  </si>
  <si>
    <t>Cross laminated timber (CLT) panelled buildings</t>
  </si>
  <si>
    <t>45-05-60/360 Cross laminated timber (CLT) panelled building;</t>
  </si>
  <si>
    <t>Pr_20_65_60_47</t>
  </si>
  <si>
    <t>Light gauge steel floors and roofs</t>
  </si>
  <si>
    <t>45-05-60/380 Light gauge steel floors and roofs;</t>
  </si>
  <si>
    <t>Pr_20_65_60_48</t>
  </si>
  <si>
    <t>Light gauge steel frame walls</t>
  </si>
  <si>
    <t>45-05-60/375 Light gauge steel frame walls;</t>
  </si>
  <si>
    <t>Pr_20_65_60_60</t>
  </si>
  <si>
    <t>Packaged components</t>
  </si>
  <si>
    <t>45-05-60/390 Integral components;</t>
  </si>
  <si>
    <t>Pr_20_65_60_84</t>
  </si>
  <si>
    <t>Structural insulated panels (SIPs)</t>
  </si>
  <si>
    <t>45-05-60/385 Structural insulated panels (SIPs);</t>
  </si>
  <si>
    <t>Pr_20_65_60_88</t>
  </si>
  <si>
    <t>Timber frame floors and roofs</t>
  </si>
  <si>
    <t>45-05-60/370 Timber frame floors and roofs;</t>
  </si>
  <si>
    <t>Pr_20_65_60_89</t>
  </si>
  <si>
    <t>Timber frame panels</t>
  </si>
  <si>
    <t>45-05-60/365 Timber frame panels;</t>
  </si>
  <si>
    <t>Pr_20_65_78</t>
  </si>
  <si>
    <t>Shelter structures</t>
  </si>
  <si>
    <t>Pr_20_65_78_15</t>
  </si>
  <si>
    <t>Composite panelled shelters</t>
  </si>
  <si>
    <t>45-05-75/330 Composite panelled shelters;</t>
  </si>
  <si>
    <t>Pr_20_65_78_34</t>
  </si>
  <si>
    <t>Glazed shelters</t>
  </si>
  <si>
    <t>45-05-75/310 Glazed shelters;</t>
  </si>
  <si>
    <t>Pr_20_65_78_58</t>
  </si>
  <si>
    <t>Open sided shelters</t>
  </si>
  <si>
    <t>45-05-75/315 Open sided shelters;</t>
  </si>
  <si>
    <t>Pr_20_65_78_77</t>
  </si>
  <si>
    <t>Semi closed shelters</t>
  </si>
  <si>
    <t>45-05-75/320 Semi closed shelters;</t>
  </si>
  <si>
    <t>Pr_20_65_78_88</t>
  </si>
  <si>
    <t>Timber framed and panelled shelters</t>
  </si>
  <si>
    <t>45-05-75/325 Timber framed and panelled shelters;</t>
  </si>
  <si>
    <t>Pr_20_76</t>
  </si>
  <si>
    <t>Sectional products</t>
  </si>
  <si>
    <t>Pr_20_76_06</t>
  </si>
  <si>
    <t>Balusters and newel posts</t>
  </si>
  <si>
    <t>Pr_20_76_06_03</t>
  </si>
  <si>
    <t>Aluminium balusters and newel posts</t>
  </si>
  <si>
    <t>Pr_20_76_06_11</t>
  </si>
  <si>
    <t>Carbon steel balusters and newel posts</t>
  </si>
  <si>
    <t>Pr_20_76_06_12</t>
  </si>
  <si>
    <t>Cast iron balusters and newel posts</t>
  </si>
  <si>
    <t>Pr_20_76_06_16</t>
  </si>
  <si>
    <t>Concrete balusters and newel posts</t>
  </si>
  <si>
    <t>Pr_20_76_06_36</t>
  </si>
  <si>
    <t>Hardwood balusters and newel posts</t>
  </si>
  <si>
    <t>Pr_20_76_06_63</t>
  </si>
  <si>
    <t>Plastics balusters and newel posts</t>
  </si>
  <si>
    <t>Pr_20_76_06_80</t>
  </si>
  <si>
    <t>Softwood balusters and newel posts</t>
  </si>
  <si>
    <t>Pr_20_76_06_83</t>
  </si>
  <si>
    <t>Stainless steel balusters and newel posts</t>
  </si>
  <si>
    <t>Pr_20_76_06_86</t>
  </si>
  <si>
    <t>Stone balusters and newel posts</t>
  </si>
  <si>
    <t>45-30-75/330 Manufactured stone balusters;</t>
  </si>
  <si>
    <t>Pr_20_76_06_88</t>
  </si>
  <si>
    <t>Timber spindles</t>
  </si>
  <si>
    <t>45-30-75/345 Timber spindles;</t>
  </si>
  <si>
    <t>Pr_20_76_08</t>
  </si>
  <si>
    <t>Bollards and impact protectors</t>
  </si>
  <si>
    <t>Pr_20_76_08_02</t>
  </si>
  <si>
    <t>Aluminium alloy bollards</t>
  </si>
  <si>
    <t>45-25-15/301 Aluminium alloy bollards;</t>
  </si>
  <si>
    <t>Pr_20_76_08_03</t>
  </si>
  <si>
    <t>Aluminium alloy hinged bollards</t>
  </si>
  <si>
    <t>45-25-15/321 Aluminium alloy hinged bollards;</t>
  </si>
  <si>
    <t>Pr_20_76_08_04</t>
  </si>
  <si>
    <t>Aluminium alloy telescopic bollards</t>
  </si>
  <si>
    <t>45-25-15/341 Aluminium alloy telescopic bollards;</t>
  </si>
  <si>
    <t>Pr_20_76_08_10</t>
  </si>
  <si>
    <t>Carbon steel bollards</t>
  </si>
  <si>
    <t>45-25-15/303 Carbon steel bollards;</t>
  </si>
  <si>
    <t>Pr_20_76_08_11</t>
  </si>
  <si>
    <t>Carbon steel hinged bollards</t>
  </si>
  <si>
    <t>45-25-15/323 Carbon steel hinged bollards;</t>
  </si>
  <si>
    <t>Pr_20_76_08_12</t>
  </si>
  <si>
    <t>Carbon steel rising bollards</t>
  </si>
  <si>
    <t>45-25-15/331 Carbon steel rising bollards;</t>
  </si>
  <si>
    <t>Pr_20_76_08_13</t>
  </si>
  <si>
    <t>Carbon steel telescopic bollards</t>
  </si>
  <si>
    <t>45-25-15/343 Carbon steel telescopic bollards;</t>
  </si>
  <si>
    <t>Pr_20_76_08_14</t>
  </si>
  <si>
    <t>Cast iron bollards</t>
  </si>
  <si>
    <t>45-25-15/305 Cast iron bollards;</t>
  </si>
  <si>
    <t>Pr_20_76_08_15</t>
  </si>
  <si>
    <t>Collapsible metal bollards</t>
  </si>
  <si>
    <t>Pr_20_76_08_16</t>
  </si>
  <si>
    <t>Collapsible polymer bollards</t>
  </si>
  <si>
    <t>Pr_20_76_08_17</t>
  </si>
  <si>
    <t>Collapsible timber bollards</t>
  </si>
  <si>
    <t>Pr_20_76_08_18</t>
  </si>
  <si>
    <t>Composite bollards</t>
  </si>
  <si>
    <t>Pr_20_76_08_19</t>
  </si>
  <si>
    <t>Concrete bollards</t>
  </si>
  <si>
    <t>Pr_20_76_08_36</t>
  </si>
  <si>
    <t>Hardwood bollards</t>
  </si>
  <si>
    <t>45-25-15/307 Hardwood bollards;</t>
  </si>
  <si>
    <t>Pr_20_76_08_51</t>
  </si>
  <si>
    <t>Metal bollards</t>
  </si>
  <si>
    <t>Pr_20_76_08_52</t>
  </si>
  <si>
    <t>Metal impact protectors</t>
  </si>
  <si>
    <t>Pr_20_76_08_53</t>
  </si>
  <si>
    <t>Metal impact protectors with infill</t>
  </si>
  <si>
    <t>Pr_20_76_08_60</t>
  </si>
  <si>
    <t>Panel fenders</t>
  </si>
  <si>
    <t>Pr_20_76_08_62</t>
  </si>
  <si>
    <t>Plastics bollards</t>
  </si>
  <si>
    <t>45-25-15/309 Plastics bollards;</t>
  </si>
  <si>
    <t>Pr_20_76_08_63</t>
  </si>
  <si>
    <t>Plastics hinged car bollards</t>
  </si>
  <si>
    <t>45-25-15/325 Plastics hinged car bollards;</t>
  </si>
  <si>
    <t>Pr_20_76_08_64</t>
  </si>
  <si>
    <t>Plastics rising bollards</t>
  </si>
  <si>
    <t>45-25-15/333 Plastics rising bollards;</t>
  </si>
  <si>
    <t>Pr_20_76_08_65</t>
  </si>
  <si>
    <t>Plastics telescopic bollards</t>
  </si>
  <si>
    <t>45-25-15/345 Plastics telescopic bollards;</t>
  </si>
  <si>
    <t>Pr_20_76_08_66</t>
  </si>
  <si>
    <t>Polymer bollards</t>
  </si>
  <si>
    <t>Pr_20_76_08_67</t>
  </si>
  <si>
    <t>Precast concrete bollards</t>
  </si>
  <si>
    <t>45-25-15/311 Precast concrete bollards;</t>
  </si>
  <si>
    <t>Pr_20_76_08_71</t>
  </si>
  <si>
    <t>Retracting metal bollards</t>
  </si>
  <si>
    <t>Pr_20_76_08_82</t>
  </si>
  <si>
    <t>Stainless steel bollards</t>
  </si>
  <si>
    <t>45-25-15/313 Stainless steel bollards;</t>
  </si>
  <si>
    <t>Pr_20_76_08_83</t>
  </si>
  <si>
    <t>Stainless steel hinged bollards</t>
  </si>
  <si>
    <t>45-25-15/327 Stainless steel hinged bollards;</t>
  </si>
  <si>
    <t>Pr_20_76_08_84</t>
  </si>
  <si>
    <t>Stainless steel rising bollards</t>
  </si>
  <si>
    <t>45-25-15/335 Stainless steel rising bollards;</t>
  </si>
  <si>
    <t>Pr_20_76_08_85</t>
  </si>
  <si>
    <t>Stainless steel telescopic bollards</t>
  </si>
  <si>
    <t>45-25-15/347 Stainless steel telescopic bollards;</t>
  </si>
  <si>
    <t>Pr_20_76_08_86</t>
  </si>
  <si>
    <t>Stone bollards</t>
  </si>
  <si>
    <t>Pr_20_76_08_88</t>
  </si>
  <si>
    <t>Timber bollards</t>
  </si>
  <si>
    <t>Pr_20_76_51</t>
  </si>
  <si>
    <t>Metal sections</t>
  </si>
  <si>
    <t>Pr_20_76_51_01</t>
  </si>
  <si>
    <t>Aluminium cold drawn bars and rods</t>
  </si>
  <si>
    <t>45-60-50/370 Aluminium alloy cold drawn rods, bars and tubes;</t>
  </si>
  <si>
    <t>Pr_20_76_51_02</t>
  </si>
  <si>
    <t>Aluminium curtain wall frame sections</t>
  </si>
  <si>
    <t>45-70-30/305 Aluminium curtain wall frame sections;</t>
  </si>
  <si>
    <t>Pr_20_76_51_03</t>
  </si>
  <si>
    <t>Aluminium extruded bars and rods</t>
  </si>
  <si>
    <t>45-60-50/374 Aluminium alloy extruded rods, bars, tubes and profiles;</t>
  </si>
  <si>
    <t>Pr_20_76_51_04</t>
  </si>
  <si>
    <t>Aluminium extruded precision profiles</t>
  </si>
  <si>
    <t>45-60-50/372 Aluminium alloy extruded precision profiles;</t>
  </si>
  <si>
    <t>Pr_20_76_51_05</t>
  </si>
  <si>
    <t>Aluminium patent glazing bars</t>
  </si>
  <si>
    <t>45-70-30/330 Aluminium patent glazing bars;</t>
  </si>
  <si>
    <t>Pr_20_76_51_07</t>
  </si>
  <si>
    <t>Aluminium structural sections</t>
  </si>
  <si>
    <t>45-60-50/378 Aluminium alloy structural sections;</t>
  </si>
  <si>
    <t>Pr_20_76_51_08</t>
  </si>
  <si>
    <t>Box sections</t>
  </si>
  <si>
    <t>Pr_20_76_51_09</t>
  </si>
  <si>
    <t>Brass sections</t>
  </si>
  <si>
    <t>Pr_20_76_51_10</t>
  </si>
  <si>
    <t>Bronze sections</t>
  </si>
  <si>
    <t>Pr_20_76_51_11</t>
  </si>
  <si>
    <t>Carbon steel bars</t>
  </si>
  <si>
    <t>45-60-50/381 Carbon steel bars;</t>
  </si>
  <si>
    <t>Pr_20_76_51_12</t>
  </si>
  <si>
    <t>Carbon steel beams, columns, channels and tees</t>
  </si>
  <si>
    <t>45-60-50/382 Carbon steel beams, columns, channels and tee sections;</t>
  </si>
  <si>
    <t>Pr_20_76_51_13</t>
  </si>
  <si>
    <t>Carbon steel channels</t>
  </si>
  <si>
    <t>Pr_20_76_51_14</t>
  </si>
  <si>
    <t>Carbon steel curtain wall frame sections</t>
  </si>
  <si>
    <t>45-70-30/315 Carbon steel curtain wall frame sections;</t>
  </si>
  <si>
    <t>Pr_20_76_51_15</t>
  </si>
  <si>
    <t>Carbon steel curved sections</t>
  </si>
  <si>
    <t>45-60-50/360 Carbon steel curved sections;</t>
  </si>
  <si>
    <t>Pr_20_76_51_17</t>
  </si>
  <si>
    <t>Carbon steel pales</t>
  </si>
  <si>
    <t>45-65-52/380 Steel pales;</t>
  </si>
  <si>
    <t>Pr_20_76_51_18</t>
  </si>
  <si>
    <t>Carbon steel patent glazing bars</t>
  </si>
  <si>
    <t>45-70-30/335 Carbon steel patent glazing bars;</t>
  </si>
  <si>
    <t>Pr_20_76_51_19</t>
  </si>
  <si>
    <t>Carbon steel tees</t>
  </si>
  <si>
    <t>Pr_20_76_51_20</t>
  </si>
  <si>
    <t>Cast iron products</t>
  </si>
  <si>
    <t>45-60-50/390 Cast iron products;</t>
  </si>
  <si>
    <t>Pr_20_76_51_21</t>
  </si>
  <si>
    <t>Cold-formed galvanized steel sections</t>
  </si>
  <si>
    <t>45-60-50/400 Cold-formed galvanized steel sections;</t>
  </si>
  <si>
    <t>Pr_20_76_51_22</t>
  </si>
  <si>
    <t>Cold-formed steel strip studs</t>
  </si>
  <si>
    <t>Pr_20_76_51_23</t>
  </si>
  <si>
    <t>Copper alloy sections</t>
  </si>
  <si>
    <t>45-60-50/410 Copper alloy sections;</t>
  </si>
  <si>
    <t>Pr_20_76_51_25</t>
  </si>
  <si>
    <t>Curtain wall blast-resistant frame sections</t>
  </si>
  <si>
    <t>45-70-30/327 Blast resistant curtain wall frame sections;</t>
  </si>
  <si>
    <t>Pr_20_76_51_51</t>
  </si>
  <si>
    <t>Metal mullions and transoms</t>
  </si>
  <si>
    <t>45-70-30/345 Metal mullions and transoms;</t>
  </si>
  <si>
    <t>Pr_20_76_51_73</t>
  </si>
  <si>
    <t>Resilient bars</t>
  </si>
  <si>
    <t>45-70-30/385 Resilient (acoustic) bars;</t>
  </si>
  <si>
    <t>Pr_20_76_51_77</t>
  </si>
  <si>
    <t>Sheathed carbon steel patent glazing bars</t>
  </si>
  <si>
    <t>45-70-30/340 Sheathed carbon steel patent glazing bars;</t>
  </si>
  <si>
    <t>Pr_20_76_51_81</t>
  </si>
  <si>
    <t>Stainless steel bars and rods for construction</t>
  </si>
  <si>
    <t>45-60-50/420 Stainless steel bars, rods, sections and wire for construction purposes;</t>
  </si>
  <si>
    <t>Pr_20_76_51_82</t>
  </si>
  <si>
    <t>Stainless steel bars and rods for general purposes</t>
  </si>
  <si>
    <t>45-60-50/422 Stainless steel bars, rods, sections and wire for general purposes;</t>
  </si>
  <si>
    <t>Pr_20_76_51_83</t>
  </si>
  <si>
    <t>Stainless steel sheet, strip and plate for construction</t>
  </si>
  <si>
    <t>45-60-50/426 Stainless steel sheet, strip and plate for construction purposes;</t>
  </si>
  <si>
    <t>Pr_20_76_51_84</t>
  </si>
  <si>
    <t>Stainless steel sheet, strip and plate for general purposes</t>
  </si>
  <si>
    <t>45-60-50/428 Stainless steel sheet, strip and plate for general purposes;</t>
  </si>
  <si>
    <t>Pr_20_76_51_85</t>
  </si>
  <si>
    <t>Stainless steel pales</t>
  </si>
  <si>
    <t>Pr_20_76_51_90</t>
  </si>
  <si>
    <t>Universal beam sections</t>
  </si>
  <si>
    <t>Pr_20_76_51_92</t>
  </si>
  <si>
    <t>Universal column sections</t>
  </si>
  <si>
    <t>Pr_20_76_51_98</t>
  </si>
  <si>
    <t>Wrought iron sections</t>
  </si>
  <si>
    <t>45-60-50/430 Wrought iron sections;</t>
  </si>
  <si>
    <t>Pr_20_76_52</t>
  </si>
  <si>
    <t>Metal tubes and hollow sections</t>
  </si>
  <si>
    <t>Pr_20_76_52_01</t>
  </si>
  <si>
    <t>Aluminium cold drawn tubes</t>
  </si>
  <si>
    <t>Pr_20_76_52_03</t>
  </si>
  <si>
    <t>Aluminium extruded tubes</t>
  </si>
  <si>
    <t>Pr_20_76_52_16</t>
  </si>
  <si>
    <t>Carbon steel hot-finished hollow sections</t>
  </si>
  <si>
    <t>45-60-50/384 Carbon steel hot finished hollow sections;</t>
  </si>
  <si>
    <t>Pr_20_76_52_19</t>
  </si>
  <si>
    <t>Carbon steel seamless tubes</t>
  </si>
  <si>
    <t>45-60-50/386 Carbon steel seamless tube;</t>
  </si>
  <si>
    <t>Pr_20_76_52_20</t>
  </si>
  <si>
    <t>Carbon steel welded tubes</t>
  </si>
  <si>
    <t>45-60-50/389 Carbon steel welded tube;</t>
  </si>
  <si>
    <t>Pr_20_76_52_85</t>
  </si>
  <si>
    <t>Stainless steel seamless circular tubes</t>
  </si>
  <si>
    <t>45-60-50/424 Stainless steel seamless circular tubes;</t>
  </si>
  <si>
    <t>Pr_20_76_52_86</t>
  </si>
  <si>
    <t>Stainless steel welded circular tubes</t>
  </si>
  <si>
    <t>45-60-50/429 Stainless steel welded circular tubes;</t>
  </si>
  <si>
    <t>Pr_20_76_63</t>
  </si>
  <si>
    <t>Plastics sections</t>
  </si>
  <si>
    <t>Pr_20_76_63_30</t>
  </si>
  <si>
    <t>Flexible foam rods</t>
  </si>
  <si>
    <t>45-60-60/375 Flexible foam rods;</t>
  </si>
  <si>
    <t>Pr_20_76_63_63</t>
  </si>
  <si>
    <t>Plastics mullions and transoms</t>
  </si>
  <si>
    <t>Pr_20_76_63_65</t>
  </si>
  <si>
    <t>Plastics palisades</t>
  </si>
  <si>
    <t>45-60-60/370 Plastics palisades;</t>
  </si>
  <si>
    <t>Pr_20_76_63_85</t>
  </si>
  <si>
    <t>Structural plastics sections</t>
  </si>
  <si>
    <t>45-60-60/310 Plastics sections;</t>
  </si>
  <si>
    <t>Pr_20_76_63_92</t>
  </si>
  <si>
    <t>Unplasticized polyvinyl chloride (PVC-U) curtain wall frame sections</t>
  </si>
  <si>
    <t>45-70-30/325 PVC-U curtain wall frame sections;</t>
  </si>
  <si>
    <t>Pr_20_76_64</t>
  </si>
  <si>
    <t>Posts and post accessories</t>
  </si>
  <si>
    <t>Pr_20_76_64_01</t>
  </si>
  <si>
    <t>Adjustable post bases</t>
  </si>
  <si>
    <t>45-25-62/421 Adjustable post bases;</t>
  </si>
  <si>
    <t>Pr_20_76_64_03</t>
  </si>
  <si>
    <t>Aluminium alloy posts</t>
  </si>
  <si>
    <t>45-25-62/361 Aluminium alloy posts;</t>
  </si>
  <si>
    <t>Pr_20_76_64_04</t>
  </si>
  <si>
    <t>Aluminium post tops</t>
  </si>
  <si>
    <t>45-25-62/401 Aluminium post tops;</t>
  </si>
  <si>
    <t>Pr_20_76_64_10</t>
  </si>
  <si>
    <t>Carbon steel electric security fencing posts</t>
  </si>
  <si>
    <t>45-25-62/379 Carbon steel electric security fencing posts;</t>
  </si>
  <si>
    <t>Pr_20_76_64_11</t>
  </si>
  <si>
    <t>Carbon steel extension arms</t>
  </si>
  <si>
    <t>45-25-62/417 Carbon steel extension arms;</t>
  </si>
  <si>
    <t>Pr_20_76_64_12</t>
  </si>
  <si>
    <t>Carbon steel posts</t>
  </si>
  <si>
    <t>45-25-62/363 Carbon steel posts;</t>
  </si>
  <si>
    <t>Pr_20_76_64_13</t>
  </si>
  <si>
    <t>Carbon steel post tops</t>
  </si>
  <si>
    <t>45-25-62/403 Carbon steel post tops;</t>
  </si>
  <si>
    <t>Pr_20_76_64_14</t>
  </si>
  <si>
    <t>Carbon steel wind posts</t>
  </si>
  <si>
    <t>45-25-62/383 Carbon steel wind posts;</t>
  </si>
  <si>
    <t>Pr_20_76_64_15</t>
  </si>
  <si>
    <t>Cast iron posts</t>
  </si>
  <si>
    <t>45-25-62/367 Cast iron posts;</t>
  </si>
  <si>
    <t>Pr_20_76_64_16</t>
  </si>
  <si>
    <t>Cast iron post tops</t>
  </si>
  <si>
    <t>45-25-62/405 Cast iron post tops;</t>
  </si>
  <si>
    <t>Pr_20_76_64_17</t>
  </si>
  <si>
    <t>Cast stone or concrete posts</t>
  </si>
  <si>
    <t>Pr_20_76_64_18</t>
  </si>
  <si>
    <t>Cast stone or concrete post tops</t>
  </si>
  <si>
    <t>Pr_20_76_64_19</t>
  </si>
  <si>
    <t>Concrete extension arms</t>
  </si>
  <si>
    <t>45-25-62/419 Precast concrete extension arms;</t>
  </si>
  <si>
    <t>Pr_20_76_64_20</t>
  </si>
  <si>
    <t>Concrete posts</t>
  </si>
  <si>
    <t>45-25-62/371 Precast concrete posts;</t>
  </si>
  <si>
    <t>Pr_20_76_64_21</t>
  </si>
  <si>
    <t>Concrete post tops</t>
  </si>
  <si>
    <t>45-25-62/411 Precast concrete post tops;</t>
  </si>
  <si>
    <t>Pr_20_76_64_36</t>
  </si>
  <si>
    <t>Hardwood posts</t>
  </si>
  <si>
    <t>45-25-62/373 Hardwood posts;</t>
  </si>
  <si>
    <t>Pr_20_76_64_37</t>
  </si>
  <si>
    <t>Hardwood post tops</t>
  </si>
  <si>
    <t>45-25-62/407 Hardwood post tops;</t>
  </si>
  <si>
    <t>Pr_20_76_64_51</t>
  </si>
  <si>
    <t>Metal electric security fencing posts</t>
  </si>
  <si>
    <t>Pr_20_76_64_52</t>
  </si>
  <si>
    <t>Metal extension arms</t>
  </si>
  <si>
    <t>Pr_20_76_64_53</t>
  </si>
  <si>
    <t>Metal posts</t>
  </si>
  <si>
    <t>Pr_20_76_64_54</t>
  </si>
  <si>
    <t>Metal post bases</t>
  </si>
  <si>
    <t>Pr_20_76_64_55</t>
  </si>
  <si>
    <t>Metal post tops</t>
  </si>
  <si>
    <t>Pr_20_76_64_62</t>
  </si>
  <si>
    <t>Plastics posts</t>
  </si>
  <si>
    <t>45-25-62/369 Plastics posts;</t>
  </si>
  <si>
    <t>Pr_20_76_64_63</t>
  </si>
  <si>
    <t>Plastics post tops</t>
  </si>
  <si>
    <t>45-25-62/409 Plastics post tops;</t>
  </si>
  <si>
    <t>Pr_20_76_64_65</t>
  </si>
  <si>
    <t>Polymer posts</t>
  </si>
  <si>
    <t>Pr_20_76_64_66</t>
  </si>
  <si>
    <t>Polymer post tops</t>
  </si>
  <si>
    <t>Pr_20_76_64_77</t>
  </si>
  <si>
    <t>Softwood posts</t>
  </si>
  <si>
    <t>45-25-62/375 Softwood posts;</t>
  </si>
  <si>
    <t>Pr_20_76_64_78</t>
  </si>
  <si>
    <t>Softwood post tops</t>
  </si>
  <si>
    <t>45-25-62/413 Softwood post tops;</t>
  </si>
  <si>
    <t>Pr_20_76_64_80</t>
  </si>
  <si>
    <t>Stainless steel posts</t>
  </si>
  <si>
    <t>45-25-62/365 Stainless steel posts;</t>
  </si>
  <si>
    <t>Pr_20_76_64_81</t>
  </si>
  <si>
    <t>Stainless steel post tops</t>
  </si>
  <si>
    <t>45-25-62/415 Stainless steel post tops;</t>
  </si>
  <si>
    <t>Pr_20_76_64_82</t>
  </si>
  <si>
    <t>Stainless steel wind posts</t>
  </si>
  <si>
    <t>45-25-62/385 Stainless steel wind posts;</t>
  </si>
  <si>
    <t>Pr_20_76_64_83</t>
  </si>
  <si>
    <t>Stand-off post bases</t>
  </si>
  <si>
    <t>45-25-62/423 Stand-off post bases;</t>
  </si>
  <si>
    <t>Pr_20_76_64_87</t>
  </si>
  <si>
    <t>Timber hand posts</t>
  </si>
  <si>
    <t>Pr_20_76_64_88</t>
  </si>
  <si>
    <t>Timber posts</t>
  </si>
  <si>
    <t>Pr_20_76_64_89</t>
  </si>
  <si>
    <t>Timber post tops</t>
  </si>
  <si>
    <t>Pr_20_76_64_95</t>
  </si>
  <si>
    <t>Wood hand posts</t>
  </si>
  <si>
    <t>45-25-62/381 Wood hand posts;</t>
  </si>
  <si>
    <t>Pr_20_76_64_96</t>
  </si>
  <si>
    <t>Wood panel supports</t>
  </si>
  <si>
    <t>45-60-90/452 Wood panel supports;</t>
  </si>
  <si>
    <t>Pr_20_76_70</t>
  </si>
  <si>
    <t>Rail track and ancillaries</t>
  </si>
  <si>
    <t>Pr_20_76_70_09</t>
  </si>
  <si>
    <t>Bullhead rails</t>
  </si>
  <si>
    <t>Pr_20_76_70_12</t>
  </si>
  <si>
    <t>Check rails</t>
  </si>
  <si>
    <t>45-60-70/320 Check rail;</t>
  </si>
  <si>
    <t>Pr_20_76_70_15</t>
  </si>
  <si>
    <t>Conductor rails</t>
  </si>
  <si>
    <t>45-60-70/315 Conductor rail;</t>
  </si>
  <si>
    <t>Pr_20_76_70_22</t>
  </si>
  <si>
    <t>Derailment containment</t>
  </si>
  <si>
    <t>45-60-70/350 Derailment channel;</t>
  </si>
  <si>
    <t>Pr_20_76_70_27</t>
  </si>
  <si>
    <t>Equipment protection ramps</t>
  </si>
  <si>
    <t>Pr_20_76_70_28</t>
  </si>
  <si>
    <t>Expansion switches and adjustment switches</t>
  </si>
  <si>
    <t>Pr_20_76_70_30</t>
  </si>
  <si>
    <t>Flat bottom rails</t>
  </si>
  <si>
    <t>45-60-70/305 Vignole rail;</t>
  </si>
  <si>
    <t>Pr_20_76_70_34</t>
  </si>
  <si>
    <t>Grooved rails</t>
  </si>
  <si>
    <t>45-60-70/325 Grooved rail;</t>
  </si>
  <si>
    <t>Pr_20_76_70_60</t>
  </si>
  <si>
    <t>Particle magnets</t>
  </si>
  <si>
    <t>Pr_20_76_70_67</t>
  </si>
  <si>
    <t>Rail dampers</t>
  </si>
  <si>
    <t>Pr_20_76_70_69</t>
  </si>
  <si>
    <t>Rail groove drains</t>
  </si>
  <si>
    <t>45-60-70/355 Rail groove drain;</t>
  </si>
  <si>
    <t>Pr_20_76_70_70</t>
  </si>
  <si>
    <t>Rail track tie bars</t>
  </si>
  <si>
    <t>45-60-70/340 Rail track tie bar;</t>
  </si>
  <si>
    <t>Pr_20_76_70_71</t>
  </si>
  <si>
    <t>Rail section convertors</t>
  </si>
  <si>
    <t>Pr_20_76_70_80</t>
  </si>
  <si>
    <t>Slipper runs</t>
  </si>
  <si>
    <t>Pr_20_76_70_90</t>
  </si>
  <si>
    <t>Transition rails</t>
  </si>
  <si>
    <t>45-60-70/330 Transition rail;</t>
  </si>
  <si>
    <t>Pr_20_76_71</t>
  </si>
  <si>
    <t>Railway junction works</t>
  </si>
  <si>
    <t>Pr_20_76_71_15</t>
  </si>
  <si>
    <t>Common crossings</t>
  </si>
  <si>
    <t>45-60-71/320 Fixed rail crossing;</t>
  </si>
  <si>
    <t>Pr_20_76_71_17</t>
  </si>
  <si>
    <t>Crossovers</t>
  </si>
  <si>
    <t>Pr_20_76_71_21</t>
  </si>
  <si>
    <t>Derailers</t>
  </si>
  <si>
    <t>Pr_20_76_71_23</t>
  </si>
  <si>
    <t>Diamond crossings</t>
  </si>
  <si>
    <t>45-60-71/305 Rail diamond;</t>
  </si>
  <si>
    <t>Pr_20_76_71_50</t>
  </si>
  <si>
    <t>Moveable rail crossings</t>
  </si>
  <si>
    <t>Pr_20_76_71_58</t>
  </si>
  <si>
    <t>Obtuse crossings</t>
  </si>
  <si>
    <t>Pr_20_76_71_76</t>
  </si>
  <si>
    <t>Scissor crossovers</t>
  </si>
  <si>
    <t>45-60-71/310 Rail scissor;</t>
  </si>
  <si>
    <t>Pr_20_76_71_78</t>
  </si>
  <si>
    <t>Slips</t>
  </si>
  <si>
    <t>45-60-71/300 Rail slips;</t>
  </si>
  <si>
    <t>Pr_20_76_71_79</t>
  </si>
  <si>
    <t>Switch rollers</t>
  </si>
  <si>
    <t>Pr_20_76_71_80</t>
  </si>
  <si>
    <t>Stretcher bars</t>
  </si>
  <si>
    <t>Pr_20_76_71_81</t>
  </si>
  <si>
    <t>Stretcher bar brackets</t>
  </si>
  <si>
    <t>Pr_20_76_71_82</t>
  </si>
  <si>
    <t>Stretcher drive brackets</t>
  </si>
  <si>
    <t>Pr_20_76_71_83</t>
  </si>
  <si>
    <t>Swing nose crossings</t>
  </si>
  <si>
    <t>Pr_20_76_71_84</t>
  </si>
  <si>
    <t>Switch and stock rails</t>
  </si>
  <si>
    <t>Pr_20_76_71_85</t>
  </si>
  <si>
    <t>Switch diamonds</t>
  </si>
  <si>
    <t>45-60-70/310 Switch and crossing rail;</t>
  </si>
  <si>
    <t>Pr_20_76_71_86</t>
  </si>
  <si>
    <t>Switch supplementary drives</t>
  </si>
  <si>
    <t>Pr_20_76_71_87</t>
  </si>
  <si>
    <t>Tandem turnouts</t>
  </si>
  <si>
    <t>Pr_20_76_71_90</t>
  </si>
  <si>
    <t>Trap switches</t>
  </si>
  <si>
    <t>45-60-71/315 Rail trap;</t>
  </si>
  <si>
    <t>Pr_20_76_71_91</t>
  </si>
  <si>
    <t>Turnouts</t>
  </si>
  <si>
    <t>45-60-71/325 Rail turnout;</t>
  </si>
  <si>
    <t>Pr_20_76_78</t>
  </si>
  <si>
    <t>Shaft structure products</t>
  </si>
  <si>
    <t>Pr_20_76_78_12</t>
  </si>
  <si>
    <t>Concrete caisson rings</t>
  </si>
  <si>
    <t>45-80-77/310 Precast concrete caisson rings;</t>
  </si>
  <si>
    <t>Pr_20_76_78_14</t>
  </si>
  <si>
    <t>Concrete shaft cover slabs</t>
  </si>
  <si>
    <t>45-80-77/300 Precast concrete shaft cover slab;</t>
  </si>
  <si>
    <t>Pr_20_76_78_16</t>
  </si>
  <si>
    <t>Concrete shaft landing slabs</t>
  </si>
  <si>
    <t>45-80-77/305 Precast concrete shaft landing slab;</t>
  </si>
  <si>
    <t>Pr_20_76_78_65</t>
  </si>
  <si>
    <t>Precast concrete shaft units</t>
  </si>
  <si>
    <t>45-25-68/330 Precast concrete shaft units;</t>
  </si>
  <si>
    <t>Pr_20_76_88</t>
  </si>
  <si>
    <t>Timber sections</t>
  </si>
  <si>
    <t>Pr_20_76_88_14</t>
  </si>
  <si>
    <t>Cleft chestnut pales</t>
  </si>
  <si>
    <t>45-60-90/420 Cleft chestnut pales;</t>
  </si>
  <si>
    <t>Pr_20_76_88_32</t>
  </si>
  <si>
    <t>Hardwood capping and counter fencing rails</t>
  </si>
  <si>
    <t>45-60-90/422 Hardwood capping and counter rails for fencing;</t>
  </si>
  <si>
    <t>Pr_20_76_88_33</t>
  </si>
  <si>
    <t>Hardwood components for fencing and barriers</t>
  </si>
  <si>
    <t>45-60-90/424 Hardwood components for fencing/ barriers/ external products;</t>
  </si>
  <si>
    <t>Pr_20_76_88_34</t>
  </si>
  <si>
    <t>Hardwood fencing rails</t>
  </si>
  <si>
    <t>45-60-90/434 Hardwood rails for fencing;</t>
  </si>
  <si>
    <t>Pr_20_76_88_35</t>
  </si>
  <si>
    <t>Hardwood floating floor battens</t>
  </si>
  <si>
    <t>Pr_20_76_88_36</t>
  </si>
  <si>
    <t>Hardwood gravity battens</t>
  </si>
  <si>
    <t>Pr_20_76_88_37</t>
  </si>
  <si>
    <t>Hardwood log poles</t>
  </si>
  <si>
    <t>45-60-90/430 Hardwood log poles;</t>
  </si>
  <si>
    <t>Pr_20_76_88_40</t>
  </si>
  <si>
    <t>Hardwood pales</t>
  </si>
  <si>
    <t>45-60-90/432 Hardwood pales;</t>
  </si>
  <si>
    <t>Pr_20_76_88_41</t>
  </si>
  <si>
    <t>Hardwood partition studs</t>
  </si>
  <si>
    <t>Pr_20_76_88_42</t>
  </si>
  <si>
    <t>Hardwood rafters</t>
  </si>
  <si>
    <t>Pr_20_76_88_43</t>
  </si>
  <si>
    <t>Hardwood roofing and cladding battens</t>
  </si>
  <si>
    <t>Pr_20_76_88_44</t>
  </si>
  <si>
    <t>Hardwood sections</t>
  </si>
  <si>
    <t>45-60-90/355 Hardwood sections;</t>
  </si>
  <si>
    <t>Pr_20_76_88_46</t>
  </si>
  <si>
    <t>Hardwood weatherboarding battens</t>
  </si>
  <si>
    <t>Pr_20_76_88_48</t>
  </si>
  <si>
    <t>Laminated strand lumber (LSL) sections</t>
  </si>
  <si>
    <t>Pr_20_76_88_49</t>
  </si>
  <si>
    <t>Laminated veneer lumber (LVL) sections</t>
  </si>
  <si>
    <t>Pr_20_76_88_60</t>
  </si>
  <si>
    <t>Parallel strand lumber (PSL) sections</t>
  </si>
  <si>
    <t>Pr_20_76_88_72</t>
  </si>
  <si>
    <t>Softwood capping and counter fencing rails</t>
  </si>
  <si>
    <t>45-60-90/442 Softwood capping and counter rails for fencing;</t>
  </si>
  <si>
    <t>Pr_20_76_88_73</t>
  </si>
  <si>
    <t>Softwood components for fencing and barriers</t>
  </si>
  <si>
    <t>45-60-90/444 Softwood components for fencing/ barriers/ external products;</t>
  </si>
  <si>
    <t>Pr_20_76_88_74</t>
  </si>
  <si>
    <t>Softwood fencing rails</t>
  </si>
  <si>
    <t>45-60-90/450 Softwood rails for fencing;</t>
  </si>
  <si>
    <t>Pr_20_76_88_75</t>
  </si>
  <si>
    <t>Softwood floating floor battens</t>
  </si>
  <si>
    <t>45-60-90/374 Softwood battens for floating floors;</t>
  </si>
  <si>
    <t>Pr_20_76_88_76</t>
  </si>
  <si>
    <t>Softwood gravity battens</t>
  </si>
  <si>
    <t>45-60-90/380 Softwood gravity battens;</t>
  </si>
  <si>
    <t>Pr_20_76_88_79</t>
  </si>
  <si>
    <t>Softwood pales</t>
  </si>
  <si>
    <t>45-60-90/448 Softwood pales;</t>
  </si>
  <si>
    <t>Pr_20_76_88_80</t>
  </si>
  <si>
    <t>Softwood partition studs</t>
  </si>
  <si>
    <t>Pr_20_76_88_81</t>
  </si>
  <si>
    <t>Softwood rafters</t>
  </si>
  <si>
    <t>Pr_20_76_88_82</t>
  </si>
  <si>
    <t>Softwood roofing and cladding battens</t>
  </si>
  <si>
    <t>45-60-90/378 Softwood battens for roofing and cladding;</t>
  </si>
  <si>
    <t>Pr_20_76_88_83</t>
  </si>
  <si>
    <t>Softwood sections</t>
  </si>
  <si>
    <t>45-60-90/360 Softwood sections;</t>
  </si>
  <si>
    <t>Pr_20_76_88_84</t>
  </si>
  <si>
    <t>Softwood weatherboarding battens</t>
  </si>
  <si>
    <t>45-60-90/379 Softwood battens for sheet cladding and weatherboarding;</t>
  </si>
  <si>
    <t>Pr_20_76_88_85</t>
  </si>
  <si>
    <t>Timber beams, bearers, noggings, walings, wedges and packs</t>
  </si>
  <si>
    <t>45-60-90/400 Loadbearing and non-loadbearing timber beams, bearers, noggings, walings, wedges and packs;</t>
  </si>
  <si>
    <t>Pr_20_76_88_86</t>
  </si>
  <si>
    <t>Timber fencing battens</t>
  </si>
  <si>
    <t>45-60-90/382 Timber battens for fencing;</t>
  </si>
  <si>
    <t>Pr_20_76_88_87</t>
  </si>
  <si>
    <t>Timber partition battens</t>
  </si>
  <si>
    <t>45-60-90/364 Timber for plasterboard partitions;</t>
  </si>
  <si>
    <t>Pr_20_76_88_88</t>
  </si>
  <si>
    <t>Timber pales</t>
  </si>
  <si>
    <t>Pr_20_76_88_89</t>
  </si>
  <si>
    <t>Timber mullions and transoms</t>
  </si>
  <si>
    <t>Pr_20_76_92</t>
  </si>
  <si>
    <t>Tunnel structure products</t>
  </si>
  <si>
    <t>Pr_20_76_92_65</t>
  </si>
  <si>
    <t>Precast concrete tunnel units</t>
  </si>
  <si>
    <t>Pr_20_85</t>
  </si>
  <si>
    <t>Support and restraint products</t>
  </si>
  <si>
    <t>Pr_20_85_03</t>
  </si>
  <si>
    <t>Angles</t>
  </si>
  <si>
    <t>Pr_20_85_03_02</t>
  </si>
  <si>
    <t>Aluminium angles</t>
  </si>
  <si>
    <t>Pr_20_85_03_11</t>
  </si>
  <si>
    <t>Carbon steel angle sections</t>
  </si>
  <si>
    <t>45-60-50/380 Carbon steel angle sections;</t>
  </si>
  <si>
    <t>Pr_20_85_03_50</t>
  </si>
  <si>
    <t>Masonry angle supports</t>
  </si>
  <si>
    <t>45-25-95/410 Masonry supports;</t>
  </si>
  <si>
    <t>Pr_20_85_03_63</t>
  </si>
  <si>
    <t>Plain angle supports</t>
  </si>
  <si>
    <t>45-25-95/415 Plain angle support;</t>
  </si>
  <si>
    <t>Pr_20_85_03_84</t>
  </si>
  <si>
    <t>Stainless steel angles</t>
  </si>
  <si>
    <t>45-70-05/385 Stainless steel, angles and brackets;</t>
  </si>
  <si>
    <t>Pr_20_85_03_85</t>
  </si>
  <si>
    <t>Stainless steel cladding angles</t>
  </si>
  <si>
    <t>45-70-05/375 Stainless steel, cladding angles and brackets;</t>
  </si>
  <si>
    <t>Pr_20_85_06</t>
  </si>
  <si>
    <t>Bands and hoops</t>
  </si>
  <si>
    <t>Pr_20_85_06_06</t>
  </si>
  <si>
    <t>Bandings</t>
  </si>
  <si>
    <t>45-70-05/415 Banding;</t>
  </si>
  <si>
    <t>Pr_20_85_06_11</t>
  </si>
  <si>
    <t>Carbon steel hoops</t>
  </si>
  <si>
    <t>45-70-70/355 Carbon steel hoops;</t>
  </si>
  <si>
    <t>Pr_20_85_06_85</t>
  </si>
  <si>
    <t>Stainless steel hoops</t>
  </si>
  <si>
    <t>45-70-70/360 Stainless steel hoops;</t>
  </si>
  <si>
    <t>Pr_20_85_07</t>
  </si>
  <si>
    <t>Barrier rails</t>
  </si>
  <si>
    <t>Pr_20_85_07_02</t>
  </si>
  <si>
    <t>Aluminium alloy rails</t>
  </si>
  <si>
    <t>45-70-70/340 Aluminium alloy rails;</t>
  </si>
  <si>
    <t>Pr_20_85_07_03</t>
  </si>
  <si>
    <t>Aluminium support rails</t>
  </si>
  <si>
    <t>45-70-70/410 Aluminium alloy support rails;</t>
  </si>
  <si>
    <t>Pr_20_85_07_04</t>
  </si>
  <si>
    <t>Aluminium carrier rails</t>
  </si>
  <si>
    <t>45-70-05/360 Aluminium carrier rails;</t>
  </si>
  <si>
    <t>Pr_20_85_07_10</t>
  </si>
  <si>
    <t>Carbon steel carrier rails</t>
  </si>
  <si>
    <t>45-70-05/365 Carbon steel carrier rails;</t>
  </si>
  <si>
    <t>Pr_20_85_07_11</t>
  </si>
  <si>
    <t>Carbon steel fencing and barrier rails</t>
  </si>
  <si>
    <t>45-70-70/365 Carbon steel rails for fencing and barriers;</t>
  </si>
  <si>
    <t>Pr_20_85_07_12</t>
  </si>
  <si>
    <t>Carbon steel fencing and barrier top rails</t>
  </si>
  <si>
    <t>45-70-70/395 Carbon steel top rails for fencing and barriers;</t>
  </si>
  <si>
    <t>Pr_20_85_07_13</t>
  </si>
  <si>
    <t>Carbon steel safety barrier open box beams</t>
  </si>
  <si>
    <t>45-70-70/315 Carbon steel open box beams for safety barriers;</t>
  </si>
  <si>
    <t>Pr_20_85_07_14</t>
  </si>
  <si>
    <t>Carbon steel safety barrier rectangular hollow sections</t>
  </si>
  <si>
    <t>45-70-70/310 Carbon steel rectangular hollow sections for safety barriers;</t>
  </si>
  <si>
    <t>Pr_20_85_07_15</t>
  </si>
  <si>
    <t>Carbon steel safety barrier tensioned corrugated beams</t>
  </si>
  <si>
    <t>45-70-70/320 Carbon steel tensioned corrugated beams for safety barriers;</t>
  </si>
  <si>
    <t>Pr_20_85_07_16</t>
  </si>
  <si>
    <t>Carbon steel safety barrier transitions and connections</t>
  </si>
  <si>
    <t>45-70-70/330 Carbon steel transitions and connections for safety barriers;</t>
  </si>
  <si>
    <t>Pr_20_85_07_17</t>
  </si>
  <si>
    <t>Carbon steel safety barrier un-tensioned corrugated beams</t>
  </si>
  <si>
    <t>45-70-70/325 Carbon steel untensioned corrugated beams for safety barriers;</t>
  </si>
  <si>
    <t>Pr_20_85_07_18</t>
  </si>
  <si>
    <t>Carbon steel support rails</t>
  </si>
  <si>
    <t>45-70-70/415 Carbon steel support rails;</t>
  </si>
  <si>
    <t>Pr_20_85_07_19</t>
  </si>
  <si>
    <t>Cast iron rails</t>
  </si>
  <si>
    <t>45-70-70/370 Cast iron rails;</t>
  </si>
  <si>
    <t>Pr_20_85_07_20</t>
  </si>
  <si>
    <t>Concrete rails</t>
  </si>
  <si>
    <t>45-70-70/380 Precast concrete rails;</t>
  </si>
  <si>
    <t>Pr_20_85_07_63</t>
  </si>
  <si>
    <t>Plastics rails</t>
  </si>
  <si>
    <t>45-70-70/375 Plastics rails;</t>
  </si>
  <si>
    <t>Pr_20_85_07_65</t>
  </si>
  <si>
    <t>Protective frames</t>
  </si>
  <si>
    <t>45-70-70/435 Protective frames;</t>
  </si>
  <si>
    <t>Pr_20_85_07_83</t>
  </si>
  <si>
    <t>Stainless steel carrier rails</t>
  </si>
  <si>
    <t>45-70-05/390 Stainless steel carrier rails;</t>
  </si>
  <si>
    <t>Pr_20_85_07_84</t>
  </si>
  <si>
    <t>Stainless steel rails</t>
  </si>
  <si>
    <t>45-70-70/390 Stainless steel rails;</t>
  </si>
  <si>
    <t>Pr_20_85_07_85</t>
  </si>
  <si>
    <t>Stainless steel support rails</t>
  </si>
  <si>
    <t>45-70-70/420 Stainless steel support rails;</t>
  </si>
  <si>
    <t>Pr_20_85_07_92</t>
  </si>
  <si>
    <t>Unplasticized polyvinyl chloride (PVC-U) support rails</t>
  </si>
  <si>
    <t>45-70-70/425 PVC-U support rails;</t>
  </si>
  <si>
    <t>Pr_20_85_07_97</t>
  </si>
  <si>
    <t>Wall-mounted furniture support rails</t>
  </si>
  <si>
    <t>45-35-35/450 Wall mounted furniture support rails;</t>
  </si>
  <si>
    <t>Pr_20_85_08</t>
  </si>
  <si>
    <t>Beams and joists</t>
  </si>
  <si>
    <t>Pr_20_85_08_02</t>
  </si>
  <si>
    <t>Aluminium structural beams</t>
  </si>
  <si>
    <t>Pr_20_85_08_11</t>
  </si>
  <si>
    <t>Carbon steel beams</t>
  </si>
  <si>
    <t>Pr_20_85_08_12</t>
  </si>
  <si>
    <t>Castellated carbon steel beams</t>
  </si>
  <si>
    <t>Pr_20_85_08_15</t>
  </si>
  <si>
    <t>Concrete beams</t>
  </si>
  <si>
    <t>45-15-68/315 Precast concrete beams;</t>
  </si>
  <si>
    <t>Pr_20_85_08_17</t>
  </si>
  <si>
    <t>Cross laminated timber beams</t>
  </si>
  <si>
    <t>45-60-90/390 Cross laminated timber products;</t>
  </si>
  <si>
    <t>Pr_20_85_08_33</t>
  </si>
  <si>
    <t>Glued laminated timber beams</t>
  </si>
  <si>
    <t>45-60-90/392 Glued laminated timber products;</t>
  </si>
  <si>
    <t>Pr_20_85_08_36</t>
  </si>
  <si>
    <t>Hardwood beams</t>
  </si>
  <si>
    <t>Pr_20_85_08_63</t>
  </si>
  <si>
    <t>Plastics beams</t>
  </si>
  <si>
    <t>Pr_20_85_08_65</t>
  </si>
  <si>
    <t>Post-tensioned concrete beams</t>
  </si>
  <si>
    <t>Pr_20_85_08_66</t>
  </si>
  <si>
    <t>Prestressed concrete T-beams</t>
  </si>
  <si>
    <t>45-20-66/330 Prestressed concrete T-beams;</t>
  </si>
  <si>
    <t>Pr_20_85_08_81</t>
  </si>
  <si>
    <t>Softwood beams</t>
  </si>
  <si>
    <t>Pr_20_85_08_83</t>
  </si>
  <si>
    <t>Stainless steel structural beams</t>
  </si>
  <si>
    <t>Pr_20_85_08_84</t>
  </si>
  <si>
    <t>Structural wood-composite box beams</t>
  </si>
  <si>
    <t>45-60-90/394 Prefabricated structural wood composite I-joists, I-beams and box beams;</t>
  </si>
  <si>
    <t>Pr_20_85_08_85</t>
  </si>
  <si>
    <t>Structural wood-composite I-beams</t>
  </si>
  <si>
    <t>Pr_20_85_08_86</t>
  </si>
  <si>
    <t>Structural wood-composite I-joists</t>
  </si>
  <si>
    <t>Pr_20_85_08_87</t>
  </si>
  <si>
    <t>Structural wood composites</t>
  </si>
  <si>
    <t>45-60-90/396 Structural wood composite laminated veneer lumber (LVL), parallel strand lumber (PSL) and laminated strand lumber (LSL) products;</t>
  </si>
  <si>
    <t>Pr_20_85_09</t>
  </si>
  <si>
    <t>Brackets</t>
  </si>
  <si>
    <t>Pr_20_85_09_01</t>
  </si>
  <si>
    <t>Above-ground drainage pipe brackets</t>
  </si>
  <si>
    <t>90-10-20/340 Brackets and clips for above ground drainage pipelines;</t>
  </si>
  <si>
    <t>Pr_20_85_09_02</t>
  </si>
  <si>
    <t>Aluminium brackets</t>
  </si>
  <si>
    <t>45-70-05/395 Aluminium brackets;</t>
  </si>
  <si>
    <t>Pr_20_85_09_03</t>
  </si>
  <si>
    <t>Aluminium bronze brackets</t>
  </si>
  <si>
    <t>45-70-05/305 Aluminium bronze brackets;</t>
  </si>
  <si>
    <t>Pr_20_85_09_05</t>
  </si>
  <si>
    <t>Aluminium downpipe brackets</t>
  </si>
  <si>
    <t>45-70-05/425 Aluminium brackets for downpipes;</t>
  </si>
  <si>
    <t>Pr_20_85_09_07</t>
  </si>
  <si>
    <t>Aluminium rainwater gutter brackets</t>
  </si>
  <si>
    <t>45-70-05/420 Aluminium brackets for rainwater gutters;</t>
  </si>
  <si>
    <t>Pr_20_85_09_09</t>
  </si>
  <si>
    <t>Bracketed angle supports</t>
  </si>
  <si>
    <t>45-25-95/400 Bracketed angle support;</t>
  </si>
  <si>
    <t>Pr_20_85_09_11</t>
  </si>
  <si>
    <t>Carbon steel brackets</t>
  </si>
  <si>
    <t>45-70-05/400 Carbon steel brackets;</t>
  </si>
  <si>
    <t>Pr_20_85_09_12</t>
  </si>
  <si>
    <t>Carbon steel cavity barrier brackets</t>
  </si>
  <si>
    <t>45-70-05/335 Carbon steel cavity barrier brackets;</t>
  </si>
  <si>
    <t>Pr_20_85_09_14</t>
  </si>
  <si>
    <t>Carbon steel fencing brackets</t>
  </si>
  <si>
    <t>45-25-38/410 Fencing brackets;</t>
  </si>
  <si>
    <t>Pr_20_85_09_16</t>
  </si>
  <si>
    <t>Carbon steel masonry brackets</t>
  </si>
  <si>
    <t>45-70-05/310 Carbon steel brackets;</t>
  </si>
  <si>
    <t>Pr_20_85_09_17</t>
  </si>
  <si>
    <t>Cast and wrought iron brackets</t>
  </si>
  <si>
    <t>45-70-05/417 Cast and wrought iron brackets;</t>
  </si>
  <si>
    <t>Pr_20_85_09_18</t>
  </si>
  <si>
    <t>Cast iron downpipe brackets</t>
  </si>
  <si>
    <t>45-70-05/435 Cast iron brackets for downpipes;</t>
  </si>
  <si>
    <t>Pr_20_85_09_19</t>
  </si>
  <si>
    <t>Cast iron rainwater gutter brackets</t>
  </si>
  <si>
    <t>45-70-05/430 Cast iron brackets for rainwater gutters;</t>
  </si>
  <si>
    <t>Pr_20_85_09_20</t>
  </si>
  <si>
    <t>Copper brackets</t>
  </si>
  <si>
    <t>45-70-05/315 Copper brackets;</t>
  </si>
  <si>
    <t>Pr_20_85_09_21</t>
  </si>
  <si>
    <t>Copper downpipe brackets</t>
  </si>
  <si>
    <t>45-70-05/445 Copper brackets for downpipes;</t>
  </si>
  <si>
    <t>Pr_20_85_09_22</t>
  </si>
  <si>
    <t>Copper rainwater gutter brackets</t>
  </si>
  <si>
    <t>45-70-05/440 Copper brackets for rainwater gutters;</t>
  </si>
  <si>
    <t>Pr_20_85_09_23</t>
  </si>
  <si>
    <t>Curtain wall adjustable support brackets</t>
  </si>
  <si>
    <t>45-70-05/367 Curtain wall adjustable support brackets;</t>
  </si>
  <si>
    <t>Pr_20_85_09_24</t>
  </si>
  <si>
    <t>Downpipe brackets</t>
  </si>
  <si>
    <t>Pr_20_85_09_26</t>
  </si>
  <si>
    <t>Eaves gutter brackets</t>
  </si>
  <si>
    <t>90-05-35/450 Eaves gutter brackets;</t>
  </si>
  <si>
    <t>Pr_20_85_09_28</t>
  </si>
  <si>
    <t>Extinguisher mounting brackets</t>
  </si>
  <si>
    <t>45-35-28/460 Mounting brackets;</t>
  </si>
  <si>
    <t>Pr_20_85_09_30</t>
  </si>
  <si>
    <t>Fire bucket wall brackets</t>
  </si>
  <si>
    <t>45-35-10/325 Wall brackets for fire buckets;</t>
  </si>
  <si>
    <t>Pr_20_85_09_31</t>
  </si>
  <si>
    <t>Galvanized steel downpipe brackets</t>
  </si>
  <si>
    <t>45-70-05/455 Galvanized brackets for downpipes;</t>
  </si>
  <si>
    <t>Pr_20_85_09_32</t>
  </si>
  <si>
    <t>Galvanized steel rainwater gutter brackets</t>
  </si>
  <si>
    <t>45-70-05/450 Galvanized brackets for rainwater gutters;</t>
  </si>
  <si>
    <t>Pr_20_85_09_33</t>
  </si>
  <si>
    <t>Galvanized steel brackets</t>
  </si>
  <si>
    <t>45-70-05/370 Galvanized steel brackets;</t>
  </si>
  <si>
    <t>Pr_20_85_09_37</t>
  </si>
  <si>
    <t>Hollow box galvanized steel brackets</t>
  </si>
  <si>
    <t>Pr_20_85_09_38</t>
  </si>
  <si>
    <t>Hot-dip pre-coated carbon steel downpipe brackets</t>
  </si>
  <si>
    <t>Pr_20_85_09_39</t>
  </si>
  <si>
    <t>Hot-dip pre-coated carbon steel rainwater gutter brackets</t>
  </si>
  <si>
    <t>Pr_20_85_09_42</t>
  </si>
  <si>
    <t>Individual masonry brackets</t>
  </si>
  <si>
    <t>45-25-95/405 Individual brackets;</t>
  </si>
  <si>
    <t>Pr_20_85_09_46</t>
  </si>
  <si>
    <t>Ladder gutter brackets</t>
  </si>
  <si>
    <t>Pr_20_85_09_47</t>
  </si>
  <si>
    <t>Ladder wall brackets</t>
  </si>
  <si>
    <t>Pr_20_85_09_48</t>
  </si>
  <si>
    <t>Louvre and shading mounting brackets</t>
  </si>
  <si>
    <t>45-25-50/460 Mounting brackets for louvre and shading systems;</t>
  </si>
  <si>
    <t>Pr_20_85_09_52</t>
  </si>
  <si>
    <t>Metal timber member fixing brackets</t>
  </si>
  <si>
    <t>45-70-05/403 Metal brackets for fixing timber members;</t>
  </si>
  <si>
    <t>Pr_20_85_09_54</t>
  </si>
  <si>
    <t>Mounting brackets</t>
  </si>
  <si>
    <t>Pr_20_85_09_62</t>
  </si>
  <si>
    <t>Phosphor bronze brackets</t>
  </si>
  <si>
    <t>45-70-05/320 Phosphor bronze brackets;</t>
  </si>
  <si>
    <t>Pr_20_85_09_63</t>
  </si>
  <si>
    <t>Plastics brackets</t>
  </si>
  <si>
    <t>Pr_20_85_09_72</t>
  </si>
  <si>
    <t>Roof gutter brackets</t>
  </si>
  <si>
    <t>90-05-35/460 Roof gutter brackets and straps;</t>
  </si>
  <si>
    <t>Pr_20_85_09_81</t>
  </si>
  <si>
    <t>Stainless steel brackets</t>
  </si>
  <si>
    <t>45-70-05/405 Stainless steel brackets;</t>
  </si>
  <si>
    <t>Pr_20_85_09_82</t>
  </si>
  <si>
    <t>Stainless steel cavity barrier brackets</t>
  </si>
  <si>
    <t>45-70-05/340 Stainless steel cavity barrier brackets;</t>
  </si>
  <si>
    <t>Pr_20_85_09_84</t>
  </si>
  <si>
    <t>Stainless steel handrail brackets</t>
  </si>
  <si>
    <t>45-70-05/410 Stainless steel handrail brackets;</t>
  </si>
  <si>
    <t>Pr_20_85_09_87</t>
  </si>
  <si>
    <t>Stainless steel masonry brackets</t>
  </si>
  <si>
    <t>45-70-05/325 Stainless steel brackets;</t>
  </si>
  <si>
    <t>Pr_20_85_09_88</t>
  </si>
  <si>
    <t>Sink supports</t>
  </si>
  <si>
    <t>45-35-70/347 Supports for sinks;</t>
  </si>
  <si>
    <t>Pr_20_85_09_92</t>
  </si>
  <si>
    <t>Unplasticized polyvinyl chloride (PVC-U) downpipe brackets</t>
  </si>
  <si>
    <t>45-70-05/465 PVC-U brackets for downpipes;</t>
  </si>
  <si>
    <t>Pr_20_85_09_93</t>
  </si>
  <si>
    <t>Unplasticized polyvinyl chloride (PVC-U) rainwater gutter brackets</t>
  </si>
  <si>
    <t>45-70-05/460 PVC-U brackets for rainwater gutters;</t>
  </si>
  <si>
    <t>Pr_20_85_09_96</t>
  </si>
  <si>
    <t>Wall-hung WC support brackets</t>
  </si>
  <si>
    <t>45-35-70/393 Wall hung WC support brackets;</t>
  </si>
  <si>
    <t>Pr_20_85_09_98</t>
  </si>
  <si>
    <t>Wash basin support brackets</t>
  </si>
  <si>
    <t>45-35-70/374 Supports for wash basins;</t>
  </si>
  <si>
    <t>Pr_20_85_10</t>
  </si>
  <si>
    <t>Bridge bearings</t>
  </si>
  <si>
    <t>Pr_20_85_10_20</t>
  </si>
  <si>
    <t>Cylindrical PTFE bearings</t>
  </si>
  <si>
    <t>45-70-07/345 Cylindrical PTFE bearings;</t>
  </si>
  <si>
    <t>Pr_20_85_10_27</t>
  </si>
  <si>
    <t>Elastomeric bearings</t>
  </si>
  <si>
    <t>45-70-07/310 Elastomeric bearings;</t>
  </si>
  <si>
    <t>Pr_20_85_10_35</t>
  </si>
  <si>
    <t>Guide bearings</t>
  </si>
  <si>
    <t>45-70-07/330 Guide bearings;</t>
  </si>
  <si>
    <t>Pr_20_85_10_65</t>
  </si>
  <si>
    <t>Pot bearings</t>
  </si>
  <si>
    <t>45-70-07/315 Pot bearings;</t>
  </si>
  <si>
    <t>Pr_20_85_10_70</t>
  </si>
  <si>
    <t>Restraint bearings</t>
  </si>
  <si>
    <t>45-70-07/340 Restraint bearings;</t>
  </si>
  <si>
    <t>Pr_20_85_10_72</t>
  </si>
  <si>
    <t>Rocker bearings</t>
  </si>
  <si>
    <t>45-70-07/325 Rocker bearings;</t>
  </si>
  <si>
    <t>Pr_20_85_10_73</t>
  </si>
  <si>
    <t>Roller bearings</t>
  </si>
  <si>
    <t>45-70-07/335 Roller bearings;</t>
  </si>
  <si>
    <t>Pr_20_85_10_79</t>
  </si>
  <si>
    <t>Sliding element</t>
  </si>
  <si>
    <t>45-70-07/305 Sliding element;</t>
  </si>
  <si>
    <t>Pr_20_85_10_81</t>
  </si>
  <si>
    <t>Spherical PTFE bearings</t>
  </si>
  <si>
    <t>45-70-07/320 Spherical PTFE bearings;</t>
  </si>
  <si>
    <t>Pr_20_85_11</t>
  </si>
  <si>
    <t>Bridge suspension cables</t>
  </si>
  <si>
    <t>Pr_20_85_11_48</t>
  </si>
  <si>
    <t>Locked coil strand cables</t>
  </si>
  <si>
    <t>45-70-15/320 Locked coil strand;</t>
  </si>
  <si>
    <t>Pr_20_85_11_60</t>
  </si>
  <si>
    <t>Parallel wire strand cables</t>
  </si>
  <si>
    <t>45-70-15/330 Parallel wire strand;</t>
  </si>
  <si>
    <t>Pr_20_85_11_80</t>
  </si>
  <si>
    <t>Spiral strand cables</t>
  </si>
  <si>
    <t>45-70-15/310 Spiral strand;</t>
  </si>
  <si>
    <t>Pr_20_85_12</t>
  </si>
  <si>
    <t>Bunds and ducts</t>
  </si>
  <si>
    <t>Pr_20_85_12_14</t>
  </si>
  <si>
    <t>Concrete bund units</t>
  </si>
  <si>
    <t>45-30-60/410 Precast concrete bund units;</t>
  </si>
  <si>
    <t>Pr_20_85_12_24</t>
  </si>
  <si>
    <t>Concrete duct units</t>
  </si>
  <si>
    <t>45-30-60/430 Precast concrete duct units;</t>
  </si>
  <si>
    <t>Pr_20_85_13</t>
  </si>
  <si>
    <t>Concrete base and foundation products</t>
  </si>
  <si>
    <t>Pr_20_85_13_29</t>
  </si>
  <si>
    <t>Concrete bases for fence posts</t>
  </si>
  <si>
    <t>45-15-66/415 Precast concrete fence post bases;</t>
  </si>
  <si>
    <t>Pr_20_85_13_30</t>
  </si>
  <si>
    <t>Concrete floating slab foundations</t>
  </si>
  <si>
    <t>Pr_20_85_13_32</t>
  </si>
  <si>
    <t>Concrete foundation pads</t>
  </si>
  <si>
    <t>45-15-66/425 Precast concrete foundation pads;</t>
  </si>
  <si>
    <t>Pr_20_85_13_35</t>
  </si>
  <si>
    <t>Concrete ground beams</t>
  </si>
  <si>
    <t>45-15-66/430 Precast concrete ground beams;</t>
  </si>
  <si>
    <t>Pr_20_85_13_63</t>
  </si>
  <si>
    <t>Concrete plinth units</t>
  </si>
  <si>
    <t>45-30-60/420 Precast concrete plinth units;</t>
  </si>
  <si>
    <t>Pr_20_85_13_65</t>
  </si>
  <si>
    <t>Concrete pocket foundations</t>
  </si>
  <si>
    <t>45-15-66/420 Precast concrete pocket foundations;</t>
  </si>
  <si>
    <t>Pr_20_85_14</t>
  </si>
  <si>
    <t>Concrete flooring and decking products</t>
  </si>
  <si>
    <t>Pr_20_85_14_14</t>
  </si>
  <si>
    <t>Concrete hollow core slabs</t>
  </si>
  <si>
    <t>45-20-66/310 Precast concrete hollow core slabs;</t>
  </si>
  <si>
    <t>Pr_20_85_14_15</t>
  </si>
  <si>
    <t>Concrete kentledge blocks</t>
  </si>
  <si>
    <t>45-15-66/440 Precast concrete kentledge blocks;</t>
  </si>
  <si>
    <t>Pr_20_85_14_16</t>
  </si>
  <si>
    <t>Concrete solid slabs</t>
  </si>
  <si>
    <t>45-20-66/320 Precast concrete solid slabs;</t>
  </si>
  <si>
    <t>Pr_20_85_16</t>
  </si>
  <si>
    <t>Columns and column accessories</t>
  </si>
  <si>
    <t>Pr_20_85_16_02</t>
  </si>
  <si>
    <t>Aluminium structural columns</t>
  </si>
  <si>
    <t>Pr_20_85_16_03</t>
  </si>
  <si>
    <t>Aluminium column shoes</t>
  </si>
  <si>
    <t>Pr_20_85_16_11</t>
  </si>
  <si>
    <t>Carbon steel columns</t>
  </si>
  <si>
    <t>Pr_20_85_16_12</t>
  </si>
  <si>
    <t>Carbon steel column shoes</t>
  </si>
  <si>
    <t>45-60-50/340 Carbon steel column shoes;</t>
  </si>
  <si>
    <t>Pr_20_85_16_15</t>
  </si>
  <si>
    <t>Concrete columns</t>
  </si>
  <si>
    <t>45-15-68/310 Precast concrete columns;</t>
  </si>
  <si>
    <t>Pr_20_85_16_36</t>
  </si>
  <si>
    <t>Hardwood structural columns</t>
  </si>
  <si>
    <t>Pr_20_85_16_62</t>
  </si>
  <si>
    <t>Plastics columns</t>
  </si>
  <si>
    <t>Pr_20_85_16_81</t>
  </si>
  <si>
    <t>Softwood structural columns</t>
  </si>
  <si>
    <t>Pr_20_85_16_84</t>
  </si>
  <si>
    <t>Stainless steel structural columns</t>
  </si>
  <si>
    <t>Pr_20_85_16_85</t>
  </si>
  <si>
    <t>Stainless steel column shoes</t>
  </si>
  <si>
    <t>45-60-50/350 Stainless steel column shoes;</t>
  </si>
  <si>
    <t>Pr_20_85_16_86</t>
  </si>
  <si>
    <t>Stone columns</t>
  </si>
  <si>
    <t>Pr_20_85_16_96</t>
  </si>
  <si>
    <t>Wind posts</t>
  </si>
  <si>
    <t>45-25-95/425 Wind posts;</t>
  </si>
  <si>
    <t>Pr_20_85_18</t>
  </si>
  <si>
    <t>Bridge deck products</t>
  </si>
  <si>
    <t>Pr_20_85_18_10</t>
  </si>
  <si>
    <t>Bridge diaphragms</t>
  </si>
  <si>
    <t>Pr_20_85_18_12</t>
  </si>
  <si>
    <t>Cast iron bridge pedestals</t>
  </si>
  <si>
    <t>Pr_20_85_18_14</t>
  </si>
  <si>
    <t>Concrete bridge pedestals</t>
  </si>
  <si>
    <t>Pr_20_85_18_85</t>
  </si>
  <si>
    <t>Steel bridge pedestals</t>
  </si>
  <si>
    <t>Pr_20_85_28</t>
  </si>
  <si>
    <t>Erosion control and breakwater products</t>
  </si>
  <si>
    <t>Pr_20_85_28_09</t>
  </si>
  <si>
    <t>Brushwood fascines</t>
  </si>
  <si>
    <t>Pr_20_85_28_15</t>
  </si>
  <si>
    <t>Coir erosion mats</t>
  </si>
  <si>
    <t>45-65-30/310 Coir rolls, logs and pallets;</t>
  </si>
  <si>
    <t>Pr_20_85_28_16</t>
  </si>
  <si>
    <t>Concrete tetrapods</t>
  </si>
  <si>
    <t>Pr_20_85_28_27</t>
  </si>
  <si>
    <t>Erosion control logs</t>
  </si>
  <si>
    <t>Pr_20_85_28_28</t>
  </si>
  <si>
    <t>Erosion control pallets</t>
  </si>
  <si>
    <t>Pr_20_85_28_30</t>
  </si>
  <si>
    <t>Flood barriers</t>
  </si>
  <si>
    <t>Pr_20_85_28_33</t>
  </si>
  <si>
    <t>Galvanized wire bastion cages</t>
  </si>
  <si>
    <t>45-65-30/350 Galvanized wire bastion cages;</t>
  </si>
  <si>
    <t>Pr_20_85_28_34</t>
  </si>
  <si>
    <t>Galvanized wire mattress cages</t>
  </si>
  <si>
    <t>45-65-30/340 Galvanized wire mattress cages;</t>
  </si>
  <si>
    <t>Pr_20_85_28_35</t>
  </si>
  <si>
    <t>Galvanized wire trapion cages</t>
  </si>
  <si>
    <t>45-65-30/330 Galvanized wire trapion cages;</t>
  </si>
  <si>
    <t>Pr_20_85_28_36</t>
  </si>
  <si>
    <t>Galvanized wire gabion cages</t>
  </si>
  <si>
    <t>45-65-30/320 Galvanized wire gabion cages;</t>
  </si>
  <si>
    <t>Pr_20_85_28_38</t>
  </si>
  <si>
    <t>Hessian bags</t>
  </si>
  <si>
    <t>45-65-30/355 Hessian bags;</t>
  </si>
  <si>
    <t>Pr_20_85_28_45</t>
  </si>
  <si>
    <t>Liquid-absorbing barriers</t>
  </si>
  <si>
    <t>Pr_20_85_28_46</t>
  </si>
  <si>
    <t>Liquid-absorbing sacks</t>
  </si>
  <si>
    <t>Pr_20_85_28_62</t>
  </si>
  <si>
    <t>Plastics mattress cages</t>
  </si>
  <si>
    <t>45-65-30/360 Plastics mattress cages;</t>
  </si>
  <si>
    <t>Pr_20_85_28_63</t>
  </si>
  <si>
    <t>Polypropylene bags</t>
  </si>
  <si>
    <t>45-65-30/365 Polypropylene bags;</t>
  </si>
  <si>
    <t>Pr_20_85_28_64</t>
  </si>
  <si>
    <t>Polypropylene (PP) rock rolls</t>
  </si>
  <si>
    <t>45-65-30/370 Polypropylene rock rolls;</t>
  </si>
  <si>
    <t>Pr_20_85_28_75</t>
  </si>
  <si>
    <t>Sand bags</t>
  </si>
  <si>
    <t>Pr_20_85_32</t>
  </si>
  <si>
    <t>Frames and grids</t>
  </si>
  <si>
    <t>Pr_20_85_32_01</t>
  </si>
  <si>
    <t>Aluminium-zinc coated retention grids</t>
  </si>
  <si>
    <t>Pr_20_85_32_02</t>
  </si>
  <si>
    <t>Aluminium frames</t>
  </si>
  <si>
    <t>45-70-30/350 Aluminium frames;</t>
  </si>
  <si>
    <t>Pr_20_85_32_04</t>
  </si>
  <si>
    <t>Aluminium structural sealant glazing sub-frames</t>
  </si>
  <si>
    <t>45-70-30/310 Aluminium subframe for structural sealant glazing;</t>
  </si>
  <si>
    <t>Pr_20_85_32_06</t>
  </si>
  <si>
    <t>Aluminium sub-frames</t>
  </si>
  <si>
    <t>Pr_20_85_32_11</t>
  </si>
  <si>
    <t>Carbon steel frames</t>
  </si>
  <si>
    <t>45-70-30/355 Carbon steel frames;</t>
  </si>
  <si>
    <t>Pr_20_85_32_12</t>
  </si>
  <si>
    <t>Carbon steel frame fasteners</t>
  </si>
  <si>
    <t>45-70-30/415 Carbon steel components in timber frames;</t>
  </si>
  <si>
    <t>Pr_20_85_32_13</t>
  </si>
  <si>
    <t>Carbon steel structural sealant glazing sub-frames</t>
  </si>
  <si>
    <t>45-70-30/320 Carbon steel subframe for structural sealant glazing;</t>
  </si>
  <si>
    <t>Pr_20_85_32_14</t>
  </si>
  <si>
    <t>Carbon steel dry lining frames</t>
  </si>
  <si>
    <t>45-70-30/390 Steel frames for dry linings;</t>
  </si>
  <si>
    <t>Pr_20_85_32_16</t>
  </si>
  <si>
    <t>Carbon steel sub-frames</t>
  </si>
  <si>
    <t>Pr_20_85_32_22</t>
  </si>
  <si>
    <t>Demountable suspended ceiling grids</t>
  </si>
  <si>
    <t>45-70-45/335 Demountable suspended ceiling grid;</t>
  </si>
  <si>
    <t>Pr_20_85_32_30</t>
  </si>
  <si>
    <t>Floor level chute support frames</t>
  </si>
  <si>
    <t>45-30-15/330 Floor level support frames;</t>
  </si>
  <si>
    <t>Pr_20_85_32_80</t>
  </si>
  <si>
    <t>Solar module ballasted mounting frames</t>
  </si>
  <si>
    <t>Pr_20_85_32_81</t>
  </si>
  <si>
    <t>Solar module free-standing mounting frames</t>
  </si>
  <si>
    <t>Pr_20_85_32_82</t>
  </si>
  <si>
    <t>Space frames</t>
  </si>
  <si>
    <t>Pr_20_85_32_84</t>
  </si>
  <si>
    <t>Stainless steel frames</t>
  </si>
  <si>
    <t>45-70-30/370 Stainless steel frames;</t>
  </si>
  <si>
    <t>Pr_20_85_32_85</t>
  </si>
  <si>
    <t>Stainless steel frame fasteners</t>
  </si>
  <si>
    <t>45-70-30/420 Stainless steel components in timber frames;</t>
  </si>
  <si>
    <t>Pr_20_85_32_88</t>
  </si>
  <si>
    <t>Timber dry lining frames</t>
  </si>
  <si>
    <t>45-70-30/395 Timber frames for dry lining;</t>
  </si>
  <si>
    <t>Pr_20_85_32_92</t>
  </si>
  <si>
    <t>Unplasticized polyvinyl chloride (PVC-U) frames</t>
  </si>
  <si>
    <t>45-70-30/360 PVC-U frames;</t>
  </si>
  <si>
    <t>Pr_20_85_32_93</t>
  </si>
  <si>
    <t>Unplasticized polyvinyl chloride (PVC-U) sub-frames</t>
  </si>
  <si>
    <t>45-25-97/310 PVC-U subframes;</t>
  </si>
  <si>
    <t>Pr_20_85_32_94</t>
  </si>
  <si>
    <t>Unplasticized polyvinyl chloride (PVC-U) window sub-frames</t>
  </si>
  <si>
    <t>Pr_20_85_32_96</t>
  </si>
  <si>
    <t>Wood frames</t>
  </si>
  <si>
    <t>45-70-30/365 Wood frames;</t>
  </si>
  <si>
    <t>Pr_20_85_32_97</t>
  </si>
  <si>
    <t>Wood sub-frames</t>
  </si>
  <si>
    <t>45-25-97/320 Wood subframes;</t>
  </si>
  <si>
    <t>Pr_20_85_32_98</t>
  </si>
  <si>
    <t>Wood window sub-frames</t>
  </si>
  <si>
    <t>Pr_20_85_34</t>
  </si>
  <si>
    <t>Ground support products</t>
  </si>
  <si>
    <t>Pr_20_85_34_34</t>
  </si>
  <si>
    <t>Grouted pipe spiles</t>
  </si>
  <si>
    <t>Pr_20_85_34_84</t>
  </si>
  <si>
    <t>Steel spiles</t>
  </si>
  <si>
    <t>Pr_20_85_46</t>
  </si>
  <si>
    <t>Lathings and furrings</t>
  </si>
  <si>
    <t>Pr_20_85_46_21</t>
  </si>
  <si>
    <t>Damp proof lathings</t>
  </si>
  <si>
    <t>45-75-45/310 Damp-proof lathing;</t>
  </si>
  <si>
    <t>Pr_20_85_46_28</t>
  </si>
  <si>
    <t>Expanded metal lathings</t>
  </si>
  <si>
    <t>45-75-45/320 Expanded metal lathing;</t>
  </si>
  <si>
    <t>Pr_20_85_46_36</t>
  </si>
  <si>
    <t>Hardwood furrings</t>
  </si>
  <si>
    <t>Pr_20_85_46_52</t>
  </si>
  <si>
    <t>Metal arch form lathings</t>
  </si>
  <si>
    <t>45-75-45/330 Metal arch form lathing;</t>
  </si>
  <si>
    <t>Pr_20_85_46_53</t>
  </si>
  <si>
    <t>Metal furring channels</t>
  </si>
  <si>
    <t>45-75-45/380 Metal furring channels;</t>
  </si>
  <si>
    <t>Pr_20_85_46_96</t>
  </si>
  <si>
    <t>Wood lathings</t>
  </si>
  <si>
    <t>45-75-45/340 Wood lathing;</t>
  </si>
  <si>
    <t>Pr_20_85_46_97</t>
  </si>
  <si>
    <t>Wood tapered furring pieces</t>
  </si>
  <si>
    <t>45-75-45/390 Wood tapered firring pieces;</t>
  </si>
  <si>
    <t>Pr_20_85_47</t>
  </si>
  <si>
    <t>Legs, pedestals, hangers and stringers</t>
  </si>
  <si>
    <t>Pr_20_85_47_01</t>
  </si>
  <si>
    <t>Access floor bridging sections</t>
  </si>
  <si>
    <t>45-70-45/305 Access floor bridging sections;</t>
  </si>
  <si>
    <t>Pr_20_85_47_02</t>
  </si>
  <si>
    <t>Access floor pedestals</t>
  </si>
  <si>
    <t>45-70-45/310 Access floor pedestals;</t>
  </si>
  <si>
    <t>Pr_20_85_47_03</t>
  </si>
  <si>
    <t>Access floor stringers</t>
  </si>
  <si>
    <t>45-70-45/315 Access floor stringers;</t>
  </si>
  <si>
    <t>Pr_20_85_47_04</t>
  </si>
  <si>
    <t>Acoustic batten cradles</t>
  </si>
  <si>
    <t>45-70-45/320 Acoustic batten cradles;</t>
  </si>
  <si>
    <t>Pr_20_85_47_20</t>
  </si>
  <si>
    <t>Cubicle and partition legs</t>
  </si>
  <si>
    <t>45-70-45/325 Cubicle and partition legs;</t>
  </si>
  <si>
    <t>Pr_20_85_47_22</t>
  </si>
  <si>
    <t>Decking and paving pedestals</t>
  </si>
  <si>
    <t>45-70-45/330 Decking and paving pedestals;</t>
  </si>
  <si>
    <t>Pr_20_85_47_47</t>
  </si>
  <si>
    <t>Leg supports</t>
  </si>
  <si>
    <t>45-70-45/345 Leg supports;</t>
  </si>
  <si>
    <t>Pr_20_85_47_49</t>
  </si>
  <si>
    <t>Metal J hangers</t>
  </si>
  <si>
    <t>Pr_20_85_47_50</t>
  </si>
  <si>
    <t>Metal hanging rails</t>
  </si>
  <si>
    <t>Pr_20_85_47_51</t>
  </si>
  <si>
    <t>Metal suspended ceiling hangers</t>
  </si>
  <si>
    <t>45-70-45/350 Metal suspended ceiling hangers;</t>
  </si>
  <si>
    <t>Pr_20_85_47_84</t>
  </si>
  <si>
    <t>Stair stringers</t>
  </si>
  <si>
    <t>Pr_20_85_47_88</t>
  </si>
  <si>
    <t>Timber dowel hanging rails</t>
  </si>
  <si>
    <t>Pr_20_85_48</t>
  </si>
  <si>
    <t>Lintels</t>
  </si>
  <si>
    <t>Pr_20_85_48_02</t>
  </si>
  <si>
    <t>Aggregate concrete trough lintels</t>
  </si>
  <si>
    <t>45-80-50/400 Aggregate concrete trough lintels;</t>
  </si>
  <si>
    <t>Pr_20_85_48_11</t>
  </si>
  <si>
    <t>Carbon steel lintels</t>
  </si>
  <si>
    <t>45-80-50/406 Prefabricated steel lintels;</t>
  </si>
  <si>
    <t>Pr_20_85_48_13</t>
  </si>
  <si>
    <t>Clay block trough lintels</t>
  </si>
  <si>
    <t>45-80-50/402 Clay block trough lintels;</t>
  </si>
  <si>
    <t>Pr_20_85_48_15</t>
  </si>
  <si>
    <t>Concrete lintels</t>
  </si>
  <si>
    <t>45-80-50/404 Precast concrete lintels;</t>
  </si>
  <si>
    <t>Pr_20_85_48_33</t>
  </si>
  <si>
    <t>Glass-reinforced concrete (GRC) built-in lintel heads</t>
  </si>
  <si>
    <t>45-80-50/419 Glass fibre reinforced concrete (GRC) lintel heads;</t>
  </si>
  <si>
    <t>Pr_20_85_48_34</t>
  </si>
  <si>
    <t>Glass-reinforced concrete (GRC) dressing lintel heads</t>
  </si>
  <si>
    <t>45-75-30/385 Glass fibre reinforced concrete (GRC) lintel heads;</t>
  </si>
  <si>
    <t>Pr_20_85_48_43</t>
  </si>
  <si>
    <t>Inset open fireplace throat-forming lintels and corbel units</t>
  </si>
  <si>
    <t>45-80-50/382 Fireplace throat forming lintels and corbel units for inset open fires;</t>
  </si>
  <si>
    <t>Pr_20_85_48_50</t>
  </si>
  <si>
    <t>Manufactured stone lintels</t>
  </si>
  <si>
    <t>45-80-50/410 Manufactured stone lintels;</t>
  </si>
  <si>
    <t>Pr_20_85_48_56</t>
  </si>
  <si>
    <t>Natural stone lintels</t>
  </si>
  <si>
    <t>45-80-50/412 Natural stone lintels;</t>
  </si>
  <si>
    <t>Pr_20_85_48_67</t>
  </si>
  <si>
    <t>Prestressed concrete lintels</t>
  </si>
  <si>
    <t>45-80-50/408 Prestressed concrete lintels;</t>
  </si>
  <si>
    <t>Pr_20_85_48_84</t>
  </si>
  <si>
    <t>Stainless steel lintels</t>
  </si>
  <si>
    <t>Pr_20_85_48_88</t>
  </si>
  <si>
    <t>Timber lintels</t>
  </si>
  <si>
    <t>45-60-90/368 Timber lintels;</t>
  </si>
  <si>
    <t>Pr_20_85_50</t>
  </si>
  <si>
    <t>Masts and poles</t>
  </si>
  <si>
    <t>Pr_20_85_50_01</t>
  </si>
  <si>
    <t>Aeronautical ground lighting masts</t>
  </si>
  <si>
    <t>90-70-02/310 Aeronautical ground lighting mast;</t>
  </si>
  <si>
    <t>Pr_20_85_50_04</t>
  </si>
  <si>
    <t>Antenna poles</t>
  </si>
  <si>
    <t>Pr_20_85_50_50</t>
  </si>
  <si>
    <t>Metal windsock masts</t>
  </si>
  <si>
    <t>45-70-50/300 Metal windsock mast;</t>
  </si>
  <si>
    <t>Pr_20_85_50_64</t>
  </si>
  <si>
    <t>Plastics windsock masts</t>
  </si>
  <si>
    <t>45-70-50/310 Plastics windsock mast;</t>
  </si>
  <si>
    <t>Pr_20_85_50_85</t>
  </si>
  <si>
    <t>Surveillance camera masts</t>
  </si>
  <si>
    <t>90-75-10/450 Camera masts;</t>
  </si>
  <si>
    <t>Pr_20_85_50_90</t>
  </si>
  <si>
    <t>Traffic signal poles</t>
  </si>
  <si>
    <t>90-70-92/455 Traffic signal pole;</t>
  </si>
  <si>
    <t>Pr_20_85_62</t>
  </si>
  <si>
    <t>Piles and ancillary products</t>
  </si>
  <si>
    <t>Pr_20_85_62_10</t>
  </si>
  <si>
    <t>Carbon steel displacement piles</t>
  </si>
  <si>
    <t>45-15-60/330 Steel displacement piles;</t>
  </si>
  <si>
    <t>Pr_20_85_62_11</t>
  </si>
  <si>
    <t>Carbon steel pile casings</t>
  </si>
  <si>
    <t>Pr_20_85_62_12</t>
  </si>
  <si>
    <t>Carbon steel pile shoes</t>
  </si>
  <si>
    <t>45-15-60/380 Steel shoes for concrete piles;</t>
  </si>
  <si>
    <t>Pr_20_85_62_13</t>
  </si>
  <si>
    <t>Carbon steel screw piles</t>
  </si>
  <si>
    <t>45-15-60/340 Steel screw piles;</t>
  </si>
  <si>
    <t>Pr_20_85_62_14</t>
  </si>
  <si>
    <t>Carbon steel sheet piles</t>
  </si>
  <si>
    <t>45-15-60/320 Steel sheet piles;</t>
  </si>
  <si>
    <t>Pr_20_85_62_15</t>
  </si>
  <si>
    <t>Cast steel pile shoes</t>
  </si>
  <si>
    <t>45-15-60/385 Cast steel pile shoes;</t>
  </si>
  <si>
    <t>Pr_20_85_62_16</t>
  </si>
  <si>
    <t>Composite steel sheet piles</t>
  </si>
  <si>
    <t>Pr_20_85_62_17</t>
  </si>
  <si>
    <t>Concrete cantilevered knuckle piles</t>
  </si>
  <si>
    <t>Pr_20_85_62_18</t>
  </si>
  <si>
    <t>Concrete piles</t>
  </si>
  <si>
    <t>45-15-60/310 Precast concrete piles;</t>
  </si>
  <si>
    <t>Pr_20_85_62_19</t>
  </si>
  <si>
    <t>Concrete pile caps</t>
  </si>
  <si>
    <t>Pr_20_85_62_23</t>
  </si>
  <si>
    <t>Concrete sheet piles</t>
  </si>
  <si>
    <t>45-25-66/360 Precast reinforced concrete sheet piles;</t>
  </si>
  <si>
    <t>Pr_20_85_62_36</t>
  </si>
  <si>
    <t>Hardwood piles</t>
  </si>
  <si>
    <t>Pr_20_85_62_64</t>
  </si>
  <si>
    <t>Plastics drainage weep holes</t>
  </si>
  <si>
    <t>45-15-60/400 Plastics drainage weep holes;</t>
  </si>
  <si>
    <t>Pr_20_85_62_65</t>
  </si>
  <si>
    <t>Plastics screw piles</t>
  </si>
  <si>
    <t>45-15-60/350 Plastics screw piles;</t>
  </si>
  <si>
    <t>Pr_20_85_62_66</t>
  </si>
  <si>
    <t>Plastics sheet piles</t>
  </si>
  <si>
    <t>45-15-60/360 Plastics sheet piles;</t>
  </si>
  <si>
    <t>Pr_20_85_62_77</t>
  </si>
  <si>
    <t>Sheet pile wall corner connectors</t>
  </si>
  <si>
    <t>45-15-60/390 Prefabricated corner connectors to steel sheet pile walls;</t>
  </si>
  <si>
    <t>Pr_20_85_62_80</t>
  </si>
  <si>
    <t>Softwood piles</t>
  </si>
  <si>
    <t>Pr_20_85_65</t>
  </si>
  <si>
    <t>Platform products</t>
  </si>
  <si>
    <t>Pr_20_85_65_11</t>
  </si>
  <si>
    <t>Concrete platform copings</t>
  </si>
  <si>
    <t>45-20-65/330 Precast concrete platform copings;</t>
  </si>
  <si>
    <t>Pr_20_85_65_13</t>
  </si>
  <si>
    <t>Concrete platform sections</t>
  </si>
  <si>
    <t>45-20-65/340 Precast concrete platform sections;</t>
  </si>
  <si>
    <t>Pr_20_85_65_15</t>
  </si>
  <si>
    <t>Concrete platform slabs</t>
  </si>
  <si>
    <t>45-20-65/320 Precast concrete platform slab;</t>
  </si>
  <si>
    <t>Pr_20_85_65_17</t>
  </si>
  <si>
    <t>Concrete platform units</t>
  </si>
  <si>
    <t>45-20-65/310 Precast concrete platform units;</t>
  </si>
  <si>
    <t>Pr_20_85_65_34</t>
  </si>
  <si>
    <t>Glass reinforced plastics (GRP) modular platform panel</t>
  </si>
  <si>
    <t>45-20-65/350 GRP modular platform panel;</t>
  </si>
  <si>
    <t>Pr_20_85_70</t>
  </si>
  <si>
    <t>Rail supports and fixings</t>
  </si>
  <si>
    <t>Pr_20_85_70_08</t>
  </si>
  <si>
    <t>Bullhead rail chairs</t>
  </si>
  <si>
    <t>Pr_20_85_70_10</t>
  </si>
  <si>
    <t>Cast blocks and spacers assemblies</t>
  </si>
  <si>
    <t>Pr_20_85_70_12</t>
  </si>
  <si>
    <t>Check rail baseplates</t>
  </si>
  <si>
    <t>Pr_20_85_70_13</t>
  </si>
  <si>
    <t>Check rail resilient baseplates</t>
  </si>
  <si>
    <t>Pr_20_85_70_24</t>
  </si>
  <si>
    <t>Driven spikes</t>
  </si>
  <si>
    <t>45-50-69/315 Fang spike;</t>
  </si>
  <si>
    <t>Pr_20_85_70_30</t>
  </si>
  <si>
    <t>Ferrules and bushes</t>
  </si>
  <si>
    <t>Pr_20_85_70_44</t>
  </si>
  <si>
    <t>Junction work baseplates</t>
  </si>
  <si>
    <t>45-70-72/305 S&amp;C baseplate;</t>
  </si>
  <si>
    <t>Pr_20_85_70_45</t>
  </si>
  <si>
    <t>Junction work crossing plates</t>
  </si>
  <si>
    <t>Pr_20_85_70_46</t>
  </si>
  <si>
    <t>Junction work heel baseplates</t>
  </si>
  <si>
    <t>Pr_20_85_70_47</t>
  </si>
  <si>
    <t>Junction work resilient baseplates</t>
  </si>
  <si>
    <t>Pr_20_85_70_48</t>
  </si>
  <si>
    <t>Junction work resilient slide plates</t>
  </si>
  <si>
    <t>Pr_20_85_70_49</t>
  </si>
  <si>
    <t>Junction work slide plates</t>
  </si>
  <si>
    <t>Pr_20_85_70_54</t>
  </si>
  <si>
    <t>Metal spacers assemblies</t>
  </si>
  <si>
    <t>Pr_20_85_70_63</t>
  </si>
  <si>
    <t>Plain line resilient baseplates</t>
  </si>
  <si>
    <t>Pr_20_85_70_64</t>
  </si>
  <si>
    <t>Plain line baseplates</t>
  </si>
  <si>
    <t>45-70-72/310 Plain Line baseplate;</t>
  </si>
  <si>
    <t>Pr_20_85_70_65</t>
  </si>
  <si>
    <t>Plastics rail embedments</t>
  </si>
  <si>
    <t>45-70-65/310 Plastics rail embedment products;</t>
  </si>
  <si>
    <t>Pr_20_85_70_70</t>
  </si>
  <si>
    <t>Rail boots</t>
  </si>
  <si>
    <t>45-70-65/305 Rail boot;</t>
  </si>
  <si>
    <t>Pr_20_85_70_71</t>
  </si>
  <si>
    <t>Rail clip and shoulder assemblies</t>
  </si>
  <si>
    <t>Pr_20_85_70_74</t>
  </si>
  <si>
    <t>Rubber chamber filling elements</t>
  </si>
  <si>
    <t>45-70-65/315 Rubber chamber filling element;</t>
  </si>
  <si>
    <t>Pr_20_85_70_76</t>
  </si>
  <si>
    <t>Screw spikes</t>
  </si>
  <si>
    <t>45-50-69/310 Screw spike;</t>
  </si>
  <si>
    <t>Pr_20_85_70_80</t>
  </si>
  <si>
    <t>Soleplates</t>
  </si>
  <si>
    <t>Pr_20_85_70_82</t>
  </si>
  <si>
    <t>Spring spikes</t>
  </si>
  <si>
    <t>45-50-69/320 Spring spike;</t>
  </si>
  <si>
    <t>Pr_20_85_71</t>
  </si>
  <si>
    <t>Rail rings</t>
  </si>
  <si>
    <t>Pr_20_85_71_11</t>
  </si>
  <si>
    <t>Carbon steel rings</t>
  </si>
  <si>
    <t>Pr_20_85_71_12</t>
  </si>
  <si>
    <t>Cast iron bolted rings</t>
  </si>
  <si>
    <t>Pr_20_85_71_13</t>
  </si>
  <si>
    <t>Cast iron expanded rings</t>
  </si>
  <si>
    <t>Pr_20_85_71_15</t>
  </si>
  <si>
    <t>Concrete bolted rings</t>
  </si>
  <si>
    <t>Pr_20_85_71_16</t>
  </si>
  <si>
    <t>Concrete expanded rings</t>
  </si>
  <si>
    <t>Pr_20_85_71_57</t>
  </si>
  <si>
    <t>Nodular iron rings</t>
  </si>
  <si>
    <t>Pr_20_85_72</t>
  </si>
  <si>
    <t>Rail sleepers and bearers</t>
  </si>
  <si>
    <t>Pr_20_85_72_17</t>
  </si>
  <si>
    <t>Composite bearers</t>
  </si>
  <si>
    <t>Pr_20_85_72_18</t>
  </si>
  <si>
    <t>Composite sleepers</t>
  </si>
  <si>
    <t>Pr_20_85_72_20</t>
  </si>
  <si>
    <t>Concrete bearers</t>
  </si>
  <si>
    <t>45-70-76/330 Precast concrete bearers;</t>
  </si>
  <si>
    <t>Pr_20_85_72_21</t>
  </si>
  <si>
    <t>Concrete monoblock sleepers</t>
  </si>
  <si>
    <t>45-70-76/310 Precast concrete monoblock sleepers;</t>
  </si>
  <si>
    <t>Pr_20_85_72_22</t>
  </si>
  <si>
    <t>Concrete twinblock sleepers</t>
  </si>
  <si>
    <t>45-70-76/315 Precast concrete twinblock sleepers;</t>
  </si>
  <si>
    <t>Pr_20_85_72_47</t>
  </si>
  <si>
    <t>Longitudinal bearers</t>
  </si>
  <si>
    <t>Pr_20_85_72_50</t>
  </si>
  <si>
    <t>Modular bearer tie plates</t>
  </si>
  <si>
    <t>Pr_20_85_72_77</t>
  </si>
  <si>
    <t>Single block rail support</t>
  </si>
  <si>
    <t>Pr_20_85_72_80</t>
  </si>
  <si>
    <t>Sleeper anchors</t>
  </si>
  <si>
    <t>45-70-76/340 Sleeper anchor;</t>
  </si>
  <si>
    <t>Pr_20_85_72_85</t>
  </si>
  <si>
    <t>Steel sleepers</t>
  </si>
  <si>
    <t>45-70-76/325 Steel sleepers;</t>
  </si>
  <si>
    <t>Pr_20_85_72_88</t>
  </si>
  <si>
    <t>Timber bearers</t>
  </si>
  <si>
    <t>45-70-76/335 Timber bearers;</t>
  </si>
  <si>
    <t>Pr_20_85_72_89</t>
  </si>
  <si>
    <t>Timber sleepers</t>
  </si>
  <si>
    <t>45-60-90/436 Hardwood sleepers;</t>
  </si>
  <si>
    <t>Pr_20_85_74</t>
  </si>
  <si>
    <t>Rail pads and shims</t>
  </si>
  <si>
    <t>Pr_20_85_74_06</t>
  </si>
  <si>
    <t>Baseplate shims</t>
  </si>
  <si>
    <t>Pr_20_85_74_27</t>
  </si>
  <si>
    <t>Ethyl vinyl acetate rail pads</t>
  </si>
  <si>
    <t>45-70-60/305 Ethyl vinyl acetate rail pad;</t>
  </si>
  <si>
    <t>Pr_20_85_74_70</t>
  </si>
  <si>
    <t>Rail packing shims</t>
  </si>
  <si>
    <t>Pr_20_85_74_71</t>
  </si>
  <si>
    <t>Rail pads</t>
  </si>
  <si>
    <t>Pr_20_85_74_73</t>
  </si>
  <si>
    <t>Resilient baseplate pads</t>
  </si>
  <si>
    <t>Pr_20_85_74_74</t>
  </si>
  <si>
    <t>Resilient bearer pads</t>
  </si>
  <si>
    <t>Pr_20_85_74_76</t>
  </si>
  <si>
    <t>Resilient sleeper pads</t>
  </si>
  <si>
    <t>Pr_20_85_74_78</t>
  </si>
  <si>
    <t>Rubber bonded cork rail pads</t>
  </si>
  <si>
    <t>45-70-60/315 Rubber bonded cork rail pad;</t>
  </si>
  <si>
    <t>Pr_20_85_74_79</t>
  </si>
  <si>
    <t>Rubber rail pads</t>
  </si>
  <si>
    <t>45-70-60/310 Rubber rail pad;</t>
  </si>
  <si>
    <t>Pr_20_85_76</t>
  </si>
  <si>
    <t>Shock absorbers</t>
  </si>
  <si>
    <t>Pr_20_85_76_09</t>
  </si>
  <si>
    <t>Bridge shock absorbers</t>
  </si>
  <si>
    <t>Pr_20_85_76_76</t>
  </si>
  <si>
    <t>Seismic dampers</t>
  </si>
  <si>
    <t>Pr_20_85_84</t>
  </si>
  <si>
    <t>Straps, ties, channels and inserts</t>
  </si>
  <si>
    <t>Pr_20_85_84_02</t>
  </si>
  <si>
    <t>Aluminium bronze slot ties</t>
  </si>
  <si>
    <t>Pr_20_85_84_04</t>
  </si>
  <si>
    <t>Aluminium bronze wall head restraint slip ties</t>
  </si>
  <si>
    <t>Pr_20_85_84_11</t>
  </si>
  <si>
    <t>Carbon steel cast-in channels</t>
  </si>
  <si>
    <t>45-50-50/310 Carbon steel cast-in channels;</t>
  </si>
  <si>
    <t>Pr_20_85_84_12</t>
  </si>
  <si>
    <t>Carbon steel movement joint lateral restraint slip ties</t>
  </si>
  <si>
    <t>Pr_20_85_84_13</t>
  </si>
  <si>
    <t>Carbon steel lateral restraint straps</t>
  </si>
  <si>
    <t>45-50-75/420 Carbon steel lateral restraint straps;</t>
  </si>
  <si>
    <t>Pr_20_85_84_14</t>
  </si>
  <si>
    <t>Carbon steel slot ties</t>
  </si>
  <si>
    <t>Pr_20_85_84_15</t>
  </si>
  <si>
    <t>Carbon steel threaded studding ties</t>
  </si>
  <si>
    <t>45-50-75/390 Carbon steel threaded studding ties;</t>
  </si>
  <si>
    <t>Pr_20_85_84_16</t>
  </si>
  <si>
    <t>Carbon steel tie bars</t>
  </si>
  <si>
    <t>45-50-75/310 Carbon steel tie bars;</t>
  </si>
  <si>
    <t>Pr_20_85_84_17</t>
  </si>
  <si>
    <t>Carbon steel vertical restraint straps</t>
  </si>
  <si>
    <t>45-50-75/430 Carbon steel vertical restraint straps;</t>
  </si>
  <si>
    <t>Pr_20_85_84_18</t>
  </si>
  <si>
    <t>Carbon steel wall head restraint slip ties</t>
  </si>
  <si>
    <t>Pr_20_85_84_19</t>
  </si>
  <si>
    <t>Cavity wall ties</t>
  </si>
  <si>
    <t>45-25-95/315 Cavity wall ties to BS EN 845-1;</t>
  </si>
  <si>
    <t>Pr_20_85_84_20</t>
  </si>
  <si>
    <t>Channel slot ties</t>
  </si>
  <si>
    <t>45-25-95/320 Channel slot ties;</t>
  </si>
  <si>
    <t>Pr_20_85_84_21</t>
  </si>
  <si>
    <t>Copper slot ties</t>
  </si>
  <si>
    <t>Pr_20_85_84_22</t>
  </si>
  <si>
    <t>Copper wall head restraint slip ties</t>
  </si>
  <si>
    <t>Pr_20_85_84_28</t>
  </si>
  <si>
    <t>Existing wall tie isolating sleeves</t>
  </si>
  <si>
    <t>Pr_20_85_84_33</t>
  </si>
  <si>
    <t>General-purpose slip ties</t>
  </si>
  <si>
    <t>45-25-95/325 General purpose slip ties;</t>
  </si>
  <si>
    <t>Pr_20_85_84_36</t>
  </si>
  <si>
    <t>Head restraint slip ties</t>
  </si>
  <si>
    <t>45-25-95/370 Head restraint slip ties;</t>
  </si>
  <si>
    <t>Pr_20_85_84_46</t>
  </si>
  <si>
    <t>Lateral restraint ties</t>
  </si>
  <si>
    <t>45-25-95/372 Lateral restraint ties;</t>
  </si>
  <si>
    <t>Pr_20_85_84_50</t>
  </si>
  <si>
    <t>Masonry repair ties</t>
  </si>
  <si>
    <t>45-25-95/327 Masonry repair ties;</t>
  </si>
  <si>
    <t>Pr_20_85_84_57</t>
  </si>
  <si>
    <t>Non-loadbearing wall head restraints</t>
  </si>
  <si>
    <t>45-25-95/375 Restraints at head of non-loadbearing walls;</t>
  </si>
  <si>
    <t>Pr_20_85_84_61</t>
  </si>
  <si>
    <t>Permanent insulation formwork (PIF) connectors</t>
  </si>
  <si>
    <t>45-50-30/410 Connector for permanent insulation formwork;</t>
  </si>
  <si>
    <t>Pr_20_85_84_62</t>
  </si>
  <si>
    <t>Phosphor bronze slot ties</t>
  </si>
  <si>
    <t>Pr_20_85_84_63</t>
  </si>
  <si>
    <t>Phosphor bronze wall head restraint slip ties</t>
  </si>
  <si>
    <t>Pr_20_85_84_64</t>
  </si>
  <si>
    <t>Polyester (PET) straps</t>
  </si>
  <si>
    <t>Pr_20_85_84_68</t>
  </si>
  <si>
    <t>Retaining wall tie rods</t>
  </si>
  <si>
    <t>Pr_20_85_84_69</t>
  </si>
  <si>
    <t>Restraint belts</t>
  </si>
  <si>
    <t>Pr_20_85_84_70</t>
  </si>
  <si>
    <t>Roof gutter straps</t>
  </si>
  <si>
    <t>Pr_20_85_84_73</t>
  </si>
  <si>
    <t>Shear wall ties</t>
  </si>
  <si>
    <t>45-25-95/335 Shear wall ties to BS EN 845-1;</t>
  </si>
  <si>
    <t>Pr_20_85_84_74</t>
  </si>
  <si>
    <t>Slotted wall channels and brackets</t>
  </si>
  <si>
    <t>45-70-05/407 Slotted wall channel;</t>
  </si>
  <si>
    <t>Pr_20_85_84_75</t>
  </si>
  <si>
    <t>Stainless steel lateral restraint straps</t>
  </si>
  <si>
    <t>45-50-75/440 Stainless steel lateral restraint straps;</t>
  </si>
  <si>
    <t>Pr_20_85_84_76</t>
  </si>
  <si>
    <t>Stainless steel slot ties</t>
  </si>
  <si>
    <t>Pr_20_85_84_77</t>
  </si>
  <si>
    <t>Stainless steel threaded studding ties</t>
  </si>
  <si>
    <t>45-50-75/400 Stainless steel threaded studding ties;</t>
  </si>
  <si>
    <t>Pr_20_85_84_78</t>
  </si>
  <si>
    <t>Stainless steel tie bars</t>
  </si>
  <si>
    <t>45-50-75/315 Stainless steel tie bars;</t>
  </si>
  <si>
    <t>Pr_20_85_84_79</t>
  </si>
  <si>
    <t>Stainless steel vertical restraint straps</t>
  </si>
  <si>
    <t>45-50-75/450 Stainless steel vertical restraint straps;</t>
  </si>
  <si>
    <t>Pr_20_85_84_80</t>
  </si>
  <si>
    <t>Stainless steel wall head restraint slip ties</t>
  </si>
  <si>
    <t>Pr_20_85_84_81</t>
  </si>
  <si>
    <t>Stainless steel drive ties</t>
  </si>
  <si>
    <t>45-25-95/340 Stainless steel drive ties;</t>
  </si>
  <si>
    <t>Pr_20_85_84_82</t>
  </si>
  <si>
    <t>Stainless steel resin-bonded ties</t>
  </si>
  <si>
    <t>45-25-95/350 Stainless steel resin-bonded ties;</t>
  </si>
  <si>
    <t>Pr_20_85_84_83</t>
  </si>
  <si>
    <t>Stainless steel expansion ties</t>
  </si>
  <si>
    <t>45-25-95/345 Stainless steel expansion ties;</t>
  </si>
  <si>
    <t>Pr_20_85_84_84</t>
  </si>
  <si>
    <t>Stainless steel cast-in channels</t>
  </si>
  <si>
    <t>45-50-50/315 Stainless steel cast-in channels;</t>
  </si>
  <si>
    <t>Pr_20_85_84_85</t>
  </si>
  <si>
    <t>Stainless steel cladding channels</t>
  </si>
  <si>
    <t>45-70-05/380 Stainless steel, cladding channels and ties;</t>
  </si>
  <si>
    <t>Pr_20_85_84_86</t>
  </si>
  <si>
    <t>Stainless steel cladding ties</t>
  </si>
  <si>
    <t>Pr_20_85_84_87</t>
  </si>
  <si>
    <t>Surface mounted channels</t>
  </si>
  <si>
    <t>45-25-95/355 Surface mounted channels;</t>
  </si>
  <si>
    <t>Pr_20_85_84_88</t>
  </si>
  <si>
    <t>Tension or compression bracing products</t>
  </si>
  <si>
    <t>45-50-75/460 Tension or compression bracing products;</t>
  </si>
  <si>
    <t>Pr_20_85_84_89</t>
  </si>
  <si>
    <t>Tension straps</t>
  </si>
  <si>
    <t>45-25-95/380 Tension straps;</t>
  </si>
  <si>
    <t>Pr_20_85_84_95</t>
  </si>
  <si>
    <t>Wall starters and connectors</t>
  </si>
  <si>
    <t>45-25-95/420 Wall starters and connectors;</t>
  </si>
  <si>
    <t>Pr_20_85_84_97</t>
  </si>
  <si>
    <t>Water-resistant concrete formwork ties</t>
  </si>
  <si>
    <t>45-50-75/410 Formwork ties for water resistant concrete;</t>
  </si>
  <si>
    <t>Pr_20_85_85</t>
  </si>
  <si>
    <t>Structural bearings</t>
  </si>
  <si>
    <t>Pr_20_85_85_02</t>
  </si>
  <si>
    <t>Acoustic and vibration resistant bearings</t>
  </si>
  <si>
    <t>45-15-75/370 Acoustic and vibration resistant bearings;</t>
  </si>
  <si>
    <t>Pr_20_85_85_06</t>
  </si>
  <si>
    <t>Bearing strips and mats</t>
  </si>
  <si>
    <t>45-15-75/380 Bearing strips and mats;</t>
  </si>
  <si>
    <t>Pr_20_85_85_11</t>
  </si>
  <si>
    <t>Carbon steel stools</t>
  </si>
  <si>
    <t>45-15-75/350 Carbon steel stools;</t>
  </si>
  <si>
    <t>Pr_20_85_85_30</t>
  </si>
  <si>
    <t>Flat jacks</t>
  </si>
  <si>
    <t>45-15-75/310 Flat jacks;</t>
  </si>
  <si>
    <t>Pr_20_85_85_60</t>
  </si>
  <si>
    <t>Padstones</t>
  </si>
  <si>
    <t>45-15-75/390 Padstones;</t>
  </si>
  <si>
    <t>Pr_20_85_85_74</t>
  </si>
  <si>
    <t>Rubber bearings</t>
  </si>
  <si>
    <t>45-15-75/320 Rubber bearings;</t>
  </si>
  <si>
    <t>Pr_20_85_85_80</t>
  </si>
  <si>
    <t>Sliding surface bearings</t>
  </si>
  <si>
    <t>45-15-75/330 Sliding surface bearings;</t>
  </si>
  <si>
    <t>Pr_20_85_85_84</t>
  </si>
  <si>
    <t>Stainless steel stools</t>
  </si>
  <si>
    <t>45-15-75/360 Stainless steel stools;</t>
  </si>
  <si>
    <t>Pr_20_85_86</t>
  </si>
  <si>
    <t>Struts and props</t>
  </si>
  <si>
    <t>Pr_20_85_86_11</t>
  </si>
  <si>
    <t>Carbon steel struts</t>
  </si>
  <si>
    <t>45-70-05/350 Galvanized steel struts;</t>
  </si>
  <si>
    <t>Pr_20_85_86_30</t>
  </si>
  <si>
    <t>Formwork props</t>
  </si>
  <si>
    <t>45-50-30/360 Shoring and propping;</t>
  </si>
  <si>
    <t>Pr_20_85_86_31</t>
  </si>
  <si>
    <t>Formwork shores</t>
  </si>
  <si>
    <t>Pr_20_85_86_76</t>
  </si>
  <si>
    <t>Screw jacks</t>
  </si>
  <si>
    <t>Pr_20_85_86_84</t>
  </si>
  <si>
    <t>Stainless steel struts</t>
  </si>
  <si>
    <t>45-70-05/355 Stainless steel struts;</t>
  </si>
  <si>
    <t>Pr_20_85_86_89</t>
  </si>
  <si>
    <t>Trench boxes or shields</t>
  </si>
  <si>
    <t>Pr_20_85_86_90</t>
  </si>
  <si>
    <t>Trench shores</t>
  </si>
  <si>
    <t>Pr_20_85_86_91</t>
  </si>
  <si>
    <t>Trench struts</t>
  </si>
  <si>
    <t>Pr_20_85_88</t>
  </si>
  <si>
    <t>Track beds</t>
  </si>
  <si>
    <t>Pr_20_85_88_06</t>
  </si>
  <si>
    <t>Ballast mats</t>
  </si>
  <si>
    <t>Pr_20_85_88_07</t>
  </si>
  <si>
    <t>Ballast track beds</t>
  </si>
  <si>
    <t>Pr_20_85_88_17</t>
  </si>
  <si>
    <t>Concrete track beds</t>
  </si>
  <si>
    <t>45-70-73/310 Precast concrete track bed;</t>
  </si>
  <si>
    <t>Pr_20_85_89</t>
  </si>
  <si>
    <t>Train arrestors</t>
  </si>
  <si>
    <t>Pr_20_85_89_30</t>
  </si>
  <si>
    <t>Fixed train arrestors</t>
  </si>
  <si>
    <t>45-25-70/310 Fixed buffer stop;</t>
  </si>
  <si>
    <t>Pr_20_85_89_31</t>
  </si>
  <si>
    <t>Friction train arrestors</t>
  </si>
  <si>
    <t>45-25-70/320 Friction buffer stop;</t>
  </si>
  <si>
    <t>Pr_20_85_89_39</t>
  </si>
  <si>
    <t>Hydraulic train arrestors</t>
  </si>
  <si>
    <t>45-25-70/330 Hydraulic buffer stop;</t>
  </si>
  <si>
    <t>Pr_20_85_90</t>
  </si>
  <si>
    <t>Trusses and lattice frames</t>
  </si>
  <si>
    <t>Pr_20_85_90_02</t>
  </si>
  <si>
    <t>Aluminium lattice trusses and frames</t>
  </si>
  <si>
    <t>45-20-90/310 Aluminium lattice truss or frame;</t>
  </si>
  <si>
    <t>Pr_20_85_90_11</t>
  </si>
  <si>
    <t>Carbon steel lattice floor joists and purlins</t>
  </si>
  <si>
    <t>45-20-90/320 Carbon steel lattice floor joist or purlin;</t>
  </si>
  <si>
    <t>Pr_20_85_90_12</t>
  </si>
  <si>
    <t>Carbon steel pitched roof trusses</t>
  </si>
  <si>
    <t>45-20-90/330 Carbon steel pitched roof truss;</t>
  </si>
  <si>
    <t>Pr_20_85_90_36</t>
  </si>
  <si>
    <t>Hardwood lattice joists</t>
  </si>
  <si>
    <t>Pr_20_85_90_37</t>
  </si>
  <si>
    <t>Hardwood trussed rafters</t>
  </si>
  <si>
    <t>Pr_20_85_90_38</t>
  </si>
  <si>
    <t>Hardwood trusses</t>
  </si>
  <si>
    <t>Pr_20_85_90_81</t>
  </si>
  <si>
    <t>Softwood trusses</t>
  </si>
  <si>
    <t>Pr_20_85_90_82</t>
  </si>
  <si>
    <t>Softwood trussed rafters</t>
  </si>
  <si>
    <t>45-20-90/360 Trussed rafter;</t>
  </si>
  <si>
    <t>Pr_20_85_90_84</t>
  </si>
  <si>
    <t>Steel lattice frames</t>
  </si>
  <si>
    <t>Pr_20_93</t>
  </si>
  <si>
    <t>Unit structure and general products</t>
  </si>
  <si>
    <t>Pr_20_93_33</t>
  </si>
  <si>
    <t>Glass blocks and panels</t>
  </si>
  <si>
    <t>Pr_20_93_33_12</t>
  </si>
  <si>
    <t>Cellular glass thermal blocks</t>
  </si>
  <si>
    <t>45-80-50/372 Cellular glass thermal blocks;</t>
  </si>
  <si>
    <t>Pr_20_93_33_30</t>
  </si>
  <si>
    <t>Fire rated glass block wall panels</t>
  </si>
  <si>
    <t>45-80-35/340 Fire rated glass block wall panels;</t>
  </si>
  <si>
    <t>Pr_20_93_33_31</t>
  </si>
  <si>
    <t>Glass block dry joint spacers</t>
  </si>
  <si>
    <t>45-80-35/320 Glass block dry joint spacers;</t>
  </si>
  <si>
    <t>Pr_20_93_33_32</t>
  </si>
  <si>
    <t>Glass block mortar joint spacers</t>
  </si>
  <si>
    <t>45-80-35/315 Glass block mortar joint spacers;</t>
  </si>
  <si>
    <t>Pr_20_93_33_33</t>
  </si>
  <si>
    <t>Glass block wall panels</t>
  </si>
  <si>
    <t>45-80-35/345 Glass block wall panels with proprietary jointing system;</t>
  </si>
  <si>
    <t>Pr_20_93_33_34</t>
  </si>
  <si>
    <t>Glass blocks</t>
  </si>
  <si>
    <t>45-80-35/310 Glass blocks;</t>
  </si>
  <si>
    <t>Pr_20_93_33_52</t>
  </si>
  <si>
    <t>Mortar jointed glass block wall panels</t>
  </si>
  <si>
    <t>45-80-35/325 Mortar jointed glass block wall panels;</t>
  </si>
  <si>
    <t>Pr_20_93_33_53</t>
  </si>
  <si>
    <t>Mortar jointed and sealant pointed glass block wall panels</t>
  </si>
  <si>
    <t>45-80-35/330 Mortar jointed and sealant pointed glass block wall panels;</t>
  </si>
  <si>
    <t>Pr_20_93_33_76</t>
  </si>
  <si>
    <t>Sealant jointed glass block wall panels</t>
  </si>
  <si>
    <t>45-80-35/335 Sealant jointed glass block wall panels;</t>
  </si>
  <si>
    <t>Pr_20_93_37</t>
  </si>
  <si>
    <t>Headwall and swale inlet products</t>
  </si>
  <si>
    <t>Pr_20_93_37_62</t>
  </si>
  <si>
    <t>Plastics headwall units</t>
  </si>
  <si>
    <t>45-25-40/310 Plastics headwall products;</t>
  </si>
  <si>
    <t>Pr_20_93_37_63</t>
  </si>
  <si>
    <t>Plastics swale inlets</t>
  </si>
  <si>
    <t>45-25-40/320 Plastics swale inlets;</t>
  </si>
  <si>
    <t>Pr_20_93_37_65</t>
  </si>
  <si>
    <t>Precast concrete headwall units</t>
  </si>
  <si>
    <t>45-25-40/305 Pre-cast concrete headwall unit;</t>
  </si>
  <si>
    <t>Pr_20_93_37_66</t>
  </si>
  <si>
    <t>Precast concrete swale inlets</t>
  </si>
  <si>
    <t>45-25-40/315 Precast concrete swale inlets;</t>
  </si>
  <si>
    <t>Pr_20_93_51</t>
  </si>
  <si>
    <t>Masonry flooring units</t>
  </si>
  <si>
    <t>Pr_20_93_51_02</t>
  </si>
  <si>
    <t>Aggregate concrete infill blocks</t>
  </si>
  <si>
    <t>45-80-50/360 Aggregate concrete infill blocks;</t>
  </si>
  <si>
    <t>Pr_20_93_51_05</t>
  </si>
  <si>
    <t>Autoclaved aerated concrete (AAC) infill blocks</t>
  </si>
  <si>
    <t>45-80-50/362 Autoclaved aerated concrete (AAC) infill blocks;</t>
  </si>
  <si>
    <t>Pr_20_93_51_28</t>
  </si>
  <si>
    <t>Expanded polystyrene (EPS) infill blocks</t>
  </si>
  <si>
    <t>45-50-30/320 Expanded polystyrene infill blocks;</t>
  </si>
  <si>
    <t>Pr_20_93_52</t>
  </si>
  <si>
    <t>Masonry walling units</t>
  </si>
  <si>
    <t>Pr_20_93_52_01</t>
  </si>
  <si>
    <t>Aggregate concrete blocks</t>
  </si>
  <si>
    <t>45-80-50/300 Aggregate concrete blocks;</t>
  </si>
  <si>
    <t>Pr_20_93_52_02</t>
  </si>
  <si>
    <t>Aggregate concrete bricks</t>
  </si>
  <si>
    <t>45-80-50/302 Aggregate concrete bricks;</t>
  </si>
  <si>
    <t>Pr_20_93_52_05</t>
  </si>
  <si>
    <t>Autoclaved aerated concrete (AAC) blocks</t>
  </si>
  <si>
    <t>45-80-50/304 Autoclaved aerated concrete (AAC) blocks;</t>
  </si>
  <si>
    <t>Pr_20_93_52_11</t>
  </si>
  <si>
    <t>Calcium silicate blocks</t>
  </si>
  <si>
    <t>Pr_20_93_52_12</t>
  </si>
  <si>
    <t>Calcium silicate bricks</t>
  </si>
  <si>
    <t>Pr_20_93_52_13</t>
  </si>
  <si>
    <t>Cast stone masonry units</t>
  </si>
  <si>
    <t>45-80-50/312 Cast stone - ashlar masonry;</t>
  </si>
  <si>
    <t>Pr_20_93_52_14</t>
  </si>
  <si>
    <t>Clay blocks</t>
  </si>
  <si>
    <t>45-80-50/314 Clay blocks;</t>
  </si>
  <si>
    <t>Pr_20_93_52_15</t>
  </si>
  <si>
    <t>Clay bricks</t>
  </si>
  <si>
    <t>45-80-50/316 Clay bricks;</t>
  </si>
  <si>
    <t>Pr_20_93_52_23</t>
  </si>
  <si>
    <t>Dimensioned stones</t>
  </si>
  <si>
    <t>Pr_20_93_52_27</t>
  </si>
  <si>
    <t>Engineering bricks</t>
  </si>
  <si>
    <t>Pr_20_93_52_33</t>
  </si>
  <si>
    <t>Glass-reinforced concrete (GRC) blocks</t>
  </si>
  <si>
    <t>Pr_20_93_52_34</t>
  </si>
  <si>
    <t>Glazed clay bricks</t>
  </si>
  <si>
    <t>Pr_20_93_52_35</t>
  </si>
  <si>
    <t>Glazed concrete blocks</t>
  </si>
  <si>
    <t>Pr_20_93_52_36</t>
  </si>
  <si>
    <t>Gypsum blocks</t>
  </si>
  <si>
    <t>45-80-50/318 Gypsum blocks;</t>
  </si>
  <si>
    <t>Pr_20_93_52_42</t>
  </si>
  <si>
    <t>Insulated concrete blocks</t>
  </si>
  <si>
    <t>Pr_20_93_52_50</t>
  </si>
  <si>
    <t>Manufactured stone blocks</t>
  </si>
  <si>
    <t>45-80-50/322 Manufactured stone blocks;</t>
  </si>
  <si>
    <t>Pr_20_93_52_56</t>
  </si>
  <si>
    <t>Natural dimensioned stones</t>
  </si>
  <si>
    <t>45-80-50/324 Natural dimensioned stones;</t>
  </si>
  <si>
    <t>Pr_20_93_52_57</t>
  </si>
  <si>
    <t>Natural rubble stones</t>
  </si>
  <si>
    <t>45-80-50/326 Natural rubble stones;</t>
  </si>
  <si>
    <t>Pr_20_93_52_58</t>
  </si>
  <si>
    <t>Natural stone plugs</t>
  </si>
  <si>
    <t>45-80-50/327 Natural stone plugs;</t>
  </si>
  <si>
    <t>Pr_20_93_52_71</t>
  </si>
  <si>
    <t>Reclaimed clay bricks</t>
  </si>
  <si>
    <t>45-80-50/320 Reclaimed clay bricks;</t>
  </si>
  <si>
    <t>Pr_20_93_52_73</t>
  </si>
  <si>
    <t>Refractory bricks</t>
  </si>
  <si>
    <t>Pr_20_93_52_74</t>
  </si>
  <si>
    <t>Replacement natural dimensioned stones</t>
  </si>
  <si>
    <t>Pr_20_93_52_75</t>
  </si>
  <si>
    <t>Salvaged natural stones</t>
  </si>
  <si>
    <t>45-80-50/328 Salvaged natural stones;</t>
  </si>
  <si>
    <t>Pr_20_93_52_87</t>
  </si>
  <si>
    <t>Terracotta units</t>
  </si>
  <si>
    <t>45-80-50/321 Terracotta units;</t>
  </si>
  <si>
    <t>Pr_20_93_52_89</t>
  </si>
  <si>
    <t>Thin joint autoclaved aerated concrete (AAC) blocks</t>
  </si>
  <si>
    <t>45-80-50/306 Thin joint autoclaved aerated concrete (AAC) blocks;</t>
  </si>
  <si>
    <t>Pr_20_93_71</t>
  </si>
  <si>
    <t>Retaining wall units</t>
  </si>
  <si>
    <t>Pr_20_93_71_15</t>
  </si>
  <si>
    <t>Concrete interlocking blocks</t>
  </si>
  <si>
    <t>45-25-66/320 Precast concrete interlocking blocks;</t>
  </si>
  <si>
    <t>Pr_20_93_71_16</t>
  </si>
  <si>
    <t>Concrete crib wall units</t>
  </si>
  <si>
    <t>45-25-66/340 Precast concrete crib wall units;</t>
  </si>
  <si>
    <t>Pr_20_93_71_17</t>
  </si>
  <si>
    <t>Concrete panels</t>
  </si>
  <si>
    <t>45-25-66/330 Precast concrete panels;</t>
  </si>
  <si>
    <t>Pr_20_93_71_18</t>
  </si>
  <si>
    <t>Concrete diaphragm wall units</t>
  </si>
  <si>
    <t>45-25-66/350 Precast concrete diaphragm wall units;</t>
  </si>
  <si>
    <t>Pr_20_93_71_53</t>
  </si>
  <si>
    <t>Modular reinforced concrete stem wall units</t>
  </si>
  <si>
    <t>45-25-66/310 Modular precast reinforced concrete stem wall units;</t>
  </si>
  <si>
    <t>Pr_20_93_71_75</t>
  </si>
  <si>
    <t>Sawn hardwood crib wall units</t>
  </si>
  <si>
    <t>45-60-90/440 Sawn timber crib wall units;</t>
  </si>
  <si>
    <t>Pr_20_93_76</t>
  </si>
  <si>
    <t>Shaft-lining products</t>
  </si>
  <si>
    <t>Pr_20_93_76_11</t>
  </si>
  <si>
    <t>Carbon steel shaft-lining segments</t>
  </si>
  <si>
    <t>Pr_20_93_76_12</t>
  </si>
  <si>
    <t>Cast iron shaft-lining segments</t>
  </si>
  <si>
    <t>Pr_20_93_76_15</t>
  </si>
  <si>
    <t>Concrete shaft-lining segments</t>
  </si>
  <si>
    <t>Pr_20_93_76_80</t>
  </si>
  <si>
    <t>Spheroidal graphite iron (SGI) shaft-lining segments</t>
  </si>
  <si>
    <t>Pr_20_93_84</t>
  </si>
  <si>
    <t>Structural roofing units</t>
  </si>
  <si>
    <t>Pr_20_93_84_15</t>
  </si>
  <si>
    <t>Concrete arch units</t>
  </si>
  <si>
    <t>45-20-68/310 Precast concrete arch units;</t>
  </si>
  <si>
    <t>Pr_20_93_84_16</t>
  </si>
  <si>
    <t>Concrete dome units</t>
  </si>
  <si>
    <t>45-20-68/320 Precast concrete dome units;</t>
  </si>
  <si>
    <t>Pr_20_93_84_84</t>
  </si>
  <si>
    <t>Structural insulated roof panels</t>
  </si>
  <si>
    <t>45-60-90/410 Structural insulated roof panels;</t>
  </si>
  <si>
    <t>Pr_20_93_85</t>
  </si>
  <si>
    <t>Structural walling units</t>
  </si>
  <si>
    <t>Pr_20_93_85_14</t>
  </si>
  <si>
    <t>Concrete solid wall and composite wall units</t>
  </si>
  <si>
    <t>45-25-68/310 Precast concrete solid wall and composite wall units;</t>
  </si>
  <si>
    <t>Pr_20_93_85_16</t>
  </si>
  <si>
    <t>Concrete structural insulated panels (SIPs)</t>
  </si>
  <si>
    <t>45-25-68/320 Precast concrete structural insulated panels (SIPs);</t>
  </si>
  <si>
    <t>Pr_20_93_85_84</t>
  </si>
  <si>
    <t>Structural insulated wall panels</t>
  </si>
  <si>
    <t>45-60-90/415 Structural insulated wall panels;</t>
  </si>
  <si>
    <t>Pr_20_93_85_88</t>
  </si>
  <si>
    <t>Timber-framed straw-filled panels</t>
  </si>
  <si>
    <t>45-60-90/417 Timber framed, straw filled panels;</t>
  </si>
  <si>
    <t>Pr_20_93_90</t>
  </si>
  <si>
    <t>Tunnel-lining products</t>
  </si>
  <si>
    <t>Pr_20_93_90_11</t>
  </si>
  <si>
    <t>Carbon steel tunnel-lining segments</t>
  </si>
  <si>
    <t>45-80-92/330 Steel tunnel and shaft lining segments;</t>
  </si>
  <si>
    <t>Pr_20_93_90_12</t>
  </si>
  <si>
    <t>Cast iron tunnel-lining segments</t>
  </si>
  <si>
    <t>45-80-92/320 Cast iron tunnel and shaft lining segments;</t>
  </si>
  <si>
    <t>Pr_20_93_90_15</t>
  </si>
  <si>
    <t>Concrete tunnel-lining segments</t>
  </si>
  <si>
    <t>45-80-92/310 Precast concrete tunnel and shaft lining segments;</t>
  </si>
  <si>
    <t>Pr_20_93_90_80</t>
  </si>
  <si>
    <t>Spheroidal graphite iron (SGI) tunnel-lining segments</t>
  </si>
  <si>
    <t>45-80-92/340 Spheroidal Graphite Iron (SGI) tunnel and shaft lining segments;</t>
  </si>
  <si>
    <t>Pr_20_93_90_90</t>
  </si>
  <si>
    <t>Tunnel segment connectors</t>
  </si>
  <si>
    <t>Pr_20_93_95</t>
  </si>
  <si>
    <t>Tunnel opening products</t>
  </si>
  <si>
    <t>Pr_20_93_95_15</t>
  </si>
  <si>
    <t>Tunnel frame cills</t>
  </si>
  <si>
    <t>Pr_20_93_95_44</t>
  </si>
  <si>
    <t>Tunnel frame jambs</t>
  </si>
  <si>
    <t>Pr_20_93_95_47</t>
  </si>
  <si>
    <t>Tunnel frame lintels</t>
  </si>
  <si>
    <t>Pr_20_96</t>
  </si>
  <si>
    <t>Wire structure and general products</t>
  </si>
  <si>
    <t>Pr_20_96_71</t>
  </si>
  <si>
    <t>Reinforcement</t>
  </si>
  <si>
    <t>Pr_20_96_71_10</t>
  </si>
  <si>
    <t>Carbon steel bed joint reinforcement</t>
  </si>
  <si>
    <t>45-85-70/310 Carbon steel bed joint reinforcement;</t>
  </si>
  <si>
    <t>Pr_20_96_71_11</t>
  </si>
  <si>
    <t>Carbon steel cage reinforcement</t>
  </si>
  <si>
    <t>Pr_20_96_71_12</t>
  </si>
  <si>
    <t>Carbon steel fabric reinforcement</t>
  </si>
  <si>
    <t>45-85-70/370 Carbon steel fabric reinforcement;</t>
  </si>
  <si>
    <t>Pr_20_96_71_13</t>
  </si>
  <si>
    <t>Carbon steel plain bar reinforcement</t>
  </si>
  <si>
    <t>45-85-70/374 Carbon steel plain bar reinforcement;</t>
  </si>
  <si>
    <t>Pr_20_96_71_14</t>
  </si>
  <si>
    <t>Carbon steel ribbed bar reinforcement</t>
  </si>
  <si>
    <t>45-85-70/376 Carbon steel ribbed bar reinforcement;</t>
  </si>
  <si>
    <t>Pr_20_96_71_15</t>
  </si>
  <si>
    <t>Carbon steel post-installed starter bars</t>
  </si>
  <si>
    <t>45-85-70/382 Carbon steel post-installed starter bars;</t>
  </si>
  <si>
    <t>Pr_20_96_71_16</t>
  </si>
  <si>
    <t>Carbon steel tendons</t>
  </si>
  <si>
    <t>45-85-70/405 Carbon steel tendons;</t>
  </si>
  <si>
    <t>Pr_20_96_71_17</t>
  </si>
  <si>
    <t>Copper rod reinforcement</t>
  </si>
  <si>
    <t>45-85-70/315 Copper rod reinforcement;</t>
  </si>
  <si>
    <t>Pr_20_96_71_28</t>
  </si>
  <si>
    <t>Fibre reinforced plastics bar reinforcement</t>
  </si>
  <si>
    <t>45-85-70/390 Fibre reinforced plastics bar reinforcement;</t>
  </si>
  <si>
    <t>Pr_20_96_71_30</t>
  </si>
  <si>
    <t>Fibrous reinforcement</t>
  </si>
  <si>
    <t>45-85-70/410 Fibrous reinforcement;</t>
  </si>
  <si>
    <t>Pr_20_96_71_33</t>
  </si>
  <si>
    <t>Glass fibre fleece reinforcement</t>
  </si>
  <si>
    <t>45-85-70/340 Glass fibre fleece reinforcement;</t>
  </si>
  <si>
    <t>Pr_20_96_71_34</t>
  </si>
  <si>
    <t>Glass fibre mesh reinforcement</t>
  </si>
  <si>
    <t>45-85-70/355 Glass fibre mesh reinforcement;</t>
  </si>
  <si>
    <t>Pr_20_96_71_35</t>
  </si>
  <si>
    <t>Glass fibre reinforcement mats</t>
  </si>
  <si>
    <t>45-85-70/335 Glass fibre reinforcement mat;</t>
  </si>
  <si>
    <t>Pr_20_96_71_36</t>
  </si>
  <si>
    <t>Glass fibre reinforcement tendons</t>
  </si>
  <si>
    <t>Pr_20_96_71_51</t>
  </si>
  <si>
    <t>Mechanical reinforcement couplers</t>
  </si>
  <si>
    <t>45-85-70/400 Mechanical couplers;</t>
  </si>
  <si>
    <t>Pr_20_96_71_52</t>
  </si>
  <si>
    <t>Meshwork joint reinforcement</t>
  </si>
  <si>
    <t>Pr_20_96_71_62</t>
  </si>
  <si>
    <t>Phosphor bronze rod reinforcement</t>
  </si>
  <si>
    <t>Pr_20_96_71_64</t>
  </si>
  <si>
    <t>Polyester (PES) fibre fleece reinforcement</t>
  </si>
  <si>
    <t>45-85-70/350 Polyester fibre fleece reinforcement;</t>
  </si>
  <si>
    <t>Pr_20_96_71_66</t>
  </si>
  <si>
    <t>Prefabricated continuity reinforcement strips</t>
  </si>
  <si>
    <t>45-85-70/386 Prefabricated continuity reinforcement strips;</t>
  </si>
  <si>
    <t>Pr_20_96_71_67</t>
  </si>
  <si>
    <t>Prefabricated reinforcement</t>
  </si>
  <si>
    <t>45-85-70/388 Prefabricated reinforcement;</t>
  </si>
  <si>
    <t>Pr_20_96_71_83</t>
  </si>
  <si>
    <t>Stainless steel bed joint reinforcement</t>
  </si>
  <si>
    <t>45-85-70/330 Stainless steel bed joint reinforcement;</t>
  </si>
  <si>
    <t>Pr_20_96_71_84</t>
  </si>
  <si>
    <t>Stainless steel fabric reinforcement</t>
  </si>
  <si>
    <t>45-85-70/372 Stainless steel fabric reinforcement;</t>
  </si>
  <si>
    <t>Pr_20_96_71_85</t>
  </si>
  <si>
    <t>Stainless steel plain bar reinforcement</t>
  </si>
  <si>
    <t>45-85-70/378 Stainless steel plain bar reinforcement;</t>
  </si>
  <si>
    <t>Pr_20_96_71_86</t>
  </si>
  <si>
    <t>Stainless steel ribbed bar reinforcement</t>
  </si>
  <si>
    <t>45-85-70/380 Stainless steel ribbed bar reinforcement;</t>
  </si>
  <si>
    <t>Pr_20_96_71_87</t>
  </si>
  <si>
    <t>Stainless steel post-installed starter bars</t>
  </si>
  <si>
    <t>45-85-70/384 Stainless steel post installed starter bars;</t>
  </si>
  <si>
    <t>Pr_20_96_71_97</t>
  </si>
  <si>
    <t>Welded wire mesh reinforcement</t>
  </si>
  <si>
    <t>45-85-70/365 Welded wire mesh reinforcement;</t>
  </si>
  <si>
    <t>Pr_20_96_96</t>
  </si>
  <si>
    <t>Wire fencing ancillary products</t>
  </si>
  <si>
    <t>Pr_20_96_96_11</t>
  </si>
  <si>
    <t>Carbon steel fencing cleats</t>
  </si>
  <si>
    <t>45-25-38/415 Fencing cleats;</t>
  </si>
  <si>
    <t>Pr_20_96_96_12</t>
  </si>
  <si>
    <t>Carbon steel fencing droppers</t>
  </si>
  <si>
    <t>45-25-38/405 Carbon steel droppers;</t>
  </si>
  <si>
    <t>Pr_20_96_96_13</t>
  </si>
  <si>
    <t>Carbon steel fencing rings</t>
  </si>
  <si>
    <t>45-25-38/420 Fixing rings;</t>
  </si>
  <si>
    <t>Pr_20_96_96_14</t>
  </si>
  <si>
    <t>Carbon steel fencing strainers</t>
  </si>
  <si>
    <t>45-25-38/430 Fencing strainers;</t>
  </si>
  <si>
    <t>Pr_20_96_96_15</t>
  </si>
  <si>
    <t>Carbon steel fencing stretcher bars</t>
  </si>
  <si>
    <t>45-25-38/455 Stretcher bars;</t>
  </si>
  <si>
    <t>Pr_20_96_96_16</t>
  </si>
  <si>
    <t>Carbon steel fencing wedges</t>
  </si>
  <si>
    <t>45-25-38/435 Fencing wedges;</t>
  </si>
  <si>
    <t>Pr_20_96_96_17</t>
  </si>
  <si>
    <t>Carbon steel pre-formed fencing lashing rods</t>
  </si>
  <si>
    <t>45-25-38/440 Pre-formed lashing rods;</t>
  </si>
  <si>
    <t>Pr_20_96_96_72</t>
  </si>
  <si>
    <t>Rotating vane fence toppings</t>
  </si>
  <si>
    <t>45-25-38/445 Rotating vane toppings;</t>
  </si>
  <si>
    <t>Pr_20_96_97</t>
  </si>
  <si>
    <t>Wires, ropes, twines and chains</t>
  </si>
  <si>
    <t>Pr_20_96_97_02</t>
  </si>
  <si>
    <t>Aluminium wires</t>
  </si>
  <si>
    <t>45-85-95/305 Aluminium wires;</t>
  </si>
  <si>
    <t>Pr_20_96_97_11</t>
  </si>
  <si>
    <t>Carbon steel barbed tapes</t>
  </si>
  <si>
    <t>45-85-95/435 Carbon steel barbed tapes;</t>
  </si>
  <si>
    <t>Pr_20_96_97_12</t>
  </si>
  <si>
    <t>Carbon steel barbed wires</t>
  </si>
  <si>
    <t>45-85-95/310 Carbon steel barbed wires;</t>
  </si>
  <si>
    <t>Pr_20_96_97_13</t>
  </si>
  <si>
    <t>Carbon steel chains</t>
  </si>
  <si>
    <t>45-85-95/415 Carbon steel chains;</t>
  </si>
  <si>
    <t>Pr_20_96_97_14</t>
  </si>
  <si>
    <t>Carbon steel high tensile barbed wires</t>
  </si>
  <si>
    <t>45-85-95/325 High tensile steel barbed wires;</t>
  </si>
  <si>
    <t>Pr_20_96_97_15</t>
  </si>
  <si>
    <t>Carbon steel high tensile line wires</t>
  </si>
  <si>
    <t>45-85-95/330 High tensile steel line wires;</t>
  </si>
  <si>
    <t>Pr_20_96_97_16</t>
  </si>
  <si>
    <t>Carbon steel razor wires</t>
  </si>
  <si>
    <t>45-85-95/315 Carbon steel razor wires;</t>
  </si>
  <si>
    <t>Pr_20_96_97_17</t>
  </si>
  <si>
    <t>Carbon steel spring wires</t>
  </si>
  <si>
    <t>45-85-95/350 Spring steel wires;</t>
  </si>
  <si>
    <t>Pr_20_96_97_18</t>
  </si>
  <si>
    <t>Carbon steel wire ropes</t>
  </si>
  <si>
    <t>45-85-95/385 Carbon steel wire ropes;</t>
  </si>
  <si>
    <t>Pr_20_96_97_19</t>
  </si>
  <si>
    <t>Carbon steel wires</t>
  </si>
  <si>
    <t>45-85-95/320 Carbon steel wires;</t>
  </si>
  <si>
    <t>Pr_20_96_97_21</t>
  </si>
  <si>
    <t>Copper alloy wires</t>
  </si>
  <si>
    <t>45-85-95/322 Copper alloy wires;</t>
  </si>
  <si>
    <t>Pr_20_96_97_27</t>
  </si>
  <si>
    <t>Electric fence ropes</t>
  </si>
  <si>
    <t>45-85-95/390 Electric fence ropes;</t>
  </si>
  <si>
    <t>Pr_20_96_97_51</t>
  </si>
  <si>
    <t>Mixed fibre ropes</t>
  </si>
  <si>
    <t>Pr_20_96_97_56</t>
  </si>
  <si>
    <t>Natural ropes</t>
  </si>
  <si>
    <t>45-85-95/395 Natural ropes;</t>
  </si>
  <si>
    <t>Pr_20_96_97_57</t>
  </si>
  <si>
    <t>Natural threads</t>
  </si>
  <si>
    <t>Pr_20_96_97_58</t>
  </si>
  <si>
    <t>Natural twines</t>
  </si>
  <si>
    <t>45-85-95/360 Natural twines;</t>
  </si>
  <si>
    <t>Pr_20_96_97_60</t>
  </si>
  <si>
    <t>Phosphor bronze wires</t>
  </si>
  <si>
    <t>45-85-95/332 Phosphor bronze wires;</t>
  </si>
  <si>
    <t>Pr_20_96_97_62</t>
  </si>
  <si>
    <t>Plastics chains</t>
  </si>
  <si>
    <t>Pr_20_96_97_63</t>
  </si>
  <si>
    <t>Plastics wires or lines</t>
  </si>
  <si>
    <t>Pr_20_96_97_73</t>
  </si>
  <si>
    <t>Shock-absorbing lanyards</t>
  </si>
  <si>
    <t>Pr_20_96_97_74</t>
  </si>
  <si>
    <t>Stainless steel barbed tapes</t>
  </si>
  <si>
    <t>45-85-95/440 Stainless steel barbed tapes;</t>
  </si>
  <si>
    <t>Pr_20_96_97_75</t>
  </si>
  <si>
    <t>Stainless steel barbed wires</t>
  </si>
  <si>
    <t>45-85-95/335 Stainless steel barbed wires;</t>
  </si>
  <si>
    <t>Pr_20_96_97_76</t>
  </si>
  <si>
    <t>Stainless steel chains</t>
  </si>
  <si>
    <t>45-85-95/420 Stainless steel chains;</t>
  </si>
  <si>
    <t>Pr_20_96_97_77</t>
  </si>
  <si>
    <t>Stainless steel high tensile barbed wires</t>
  </si>
  <si>
    <t>Pr_20_96_97_78</t>
  </si>
  <si>
    <t>Stainless steel high tensile line wires</t>
  </si>
  <si>
    <t>Pr_20_96_97_79</t>
  </si>
  <si>
    <t>Stainless steel razor wires</t>
  </si>
  <si>
    <t>45-85-95/340 Stainless steel razor wires;</t>
  </si>
  <si>
    <t>Pr_20_96_97_80</t>
  </si>
  <si>
    <t>Stainless steel spring wires</t>
  </si>
  <si>
    <t>Pr_20_96_97_81</t>
  </si>
  <si>
    <t>Stainless steel wire ropes</t>
  </si>
  <si>
    <t>45-85-95/405 Stainless steel wire rope;</t>
  </si>
  <si>
    <t>Pr_20_96_97_82</t>
  </si>
  <si>
    <t>Stainless steel wires</t>
  </si>
  <si>
    <t>45-85-95/345 Stainless steel wires;</t>
  </si>
  <si>
    <t>Pr_20_96_97_83</t>
  </si>
  <si>
    <t>Swimming pool flagged ropes</t>
  </si>
  <si>
    <t>45-35-90/400 Flagged ropes;</t>
  </si>
  <si>
    <t>Pr_20_96_97_84</t>
  </si>
  <si>
    <t>Swimming pool false start ropes</t>
  </si>
  <si>
    <t>45-35-90/395 False start ropes;</t>
  </si>
  <si>
    <t>Pr_20_96_97_85</t>
  </si>
  <si>
    <t>Swimming pool lane ropes</t>
  </si>
  <si>
    <t>45-35-90/405 Lane ropes;</t>
  </si>
  <si>
    <t>Pr_20_96_97_86</t>
  </si>
  <si>
    <t>Synthetic chains</t>
  </si>
  <si>
    <t>45-85-95/425 Synthetic chains;</t>
  </si>
  <si>
    <t>Pr_20_96_97_87</t>
  </si>
  <si>
    <t>Synthetic ropes</t>
  </si>
  <si>
    <t>45-85-95/400 Synthetic ropes;</t>
  </si>
  <si>
    <t>Pr_20_96_97_88</t>
  </si>
  <si>
    <t>Synthetic threads</t>
  </si>
  <si>
    <t>45-85-95/365 Synthetic twines;</t>
  </si>
  <si>
    <t>Pr_20_96_97_89</t>
  </si>
  <si>
    <t>Synthetic twines</t>
  </si>
  <si>
    <t>45-85-95/375 Synthetic threads;</t>
  </si>
  <si>
    <t>Pr_25</t>
  </si>
  <si>
    <t>Skin products</t>
  </si>
  <si>
    <t>Pr_25_30</t>
  </si>
  <si>
    <t>Fixed access products</t>
  </si>
  <si>
    <t>Pr_25_30_30</t>
  </si>
  <si>
    <t>Floor plates, gratings and edgings</t>
  </si>
  <si>
    <t>Pr_25_30_30_01</t>
  </si>
  <si>
    <t>Aluminium cold formed planks</t>
  </si>
  <si>
    <t>45-30-40/310 Aluminium cold formed planks;</t>
  </si>
  <si>
    <t>Pr_25_30_30_02</t>
  </si>
  <si>
    <t>Aluminium duckboards</t>
  </si>
  <si>
    <t>Pr_25_30_30_03</t>
  </si>
  <si>
    <t>Aluminium edging sections</t>
  </si>
  <si>
    <t>45-30-40/400 Aluminium edging section;</t>
  </si>
  <si>
    <t>Pr_25_30_30_04</t>
  </si>
  <si>
    <t>Aluminium expanded gratings</t>
  </si>
  <si>
    <t>45-30-40/325 Aluminium expanded gratings;</t>
  </si>
  <si>
    <t>Pr_25_30_30_05</t>
  </si>
  <si>
    <t>Aluminium open bar metal gratings</t>
  </si>
  <si>
    <t>45-30-40/350 Aluminium open bar metal gratings;</t>
  </si>
  <si>
    <t>Pr_25_30_30_06</t>
  </si>
  <si>
    <t>Aluminium solid metal plates</t>
  </si>
  <si>
    <t>45-30-40/375 Aluminium solid metal plates;</t>
  </si>
  <si>
    <t>Pr_25_30_30_12</t>
  </si>
  <si>
    <t>Carbon steel cold formed planks</t>
  </si>
  <si>
    <t>45-30-40/315 Carbon steel cold formed planks;</t>
  </si>
  <si>
    <t>Pr_25_30_30_14</t>
  </si>
  <si>
    <t>Carbon steel edging sections</t>
  </si>
  <si>
    <t>45-30-40/405 Carbon steel edging section;</t>
  </si>
  <si>
    <t>Pr_25_30_30_16</t>
  </si>
  <si>
    <t>Carbon steel expanded gratings</t>
  </si>
  <si>
    <t>45-30-40/330 Carbon steel expanded gratings;</t>
  </si>
  <si>
    <t>Pr_25_30_30_18</t>
  </si>
  <si>
    <t>Carbon steel open bar metal gratings</t>
  </si>
  <si>
    <t>45-30-40/355 Carbon steel open bar metal gratings;</t>
  </si>
  <si>
    <t>Pr_25_30_30_20</t>
  </si>
  <si>
    <t>Carbon steel solid metal plates</t>
  </si>
  <si>
    <t>Pr_25_30_30_22</t>
  </si>
  <si>
    <t>Concrete planks</t>
  </si>
  <si>
    <t>Pr_25_30_30_34</t>
  </si>
  <si>
    <t>Glass-reinforced plastics (GRP) moulded open mesh gratings</t>
  </si>
  <si>
    <t>45-30-40/340 GRP moulded open mesh gratings;</t>
  </si>
  <si>
    <t>Pr_25_30_30_36</t>
  </si>
  <si>
    <t>Hardwood duckboards</t>
  </si>
  <si>
    <t>Pr_25_30_30_58</t>
  </si>
  <si>
    <t>Open bar glass-reinforced plastics (GRP) gratings</t>
  </si>
  <si>
    <t>45-30-40/345 Open bar GRP gratings;</t>
  </si>
  <si>
    <t>Pr_25_30_30_63</t>
  </si>
  <si>
    <t>Plastics perforated gratings</t>
  </si>
  <si>
    <t>Pr_25_30_30_80</t>
  </si>
  <si>
    <t>Softwood duckboards</t>
  </si>
  <si>
    <t>Pr_25_30_30_81</t>
  </si>
  <si>
    <t>Solid glass-reinforced plastics (GRP) plates</t>
  </si>
  <si>
    <t>45-30-40/370 Solid GRP plates;</t>
  </si>
  <si>
    <t>Pr_25_30_30_82</t>
  </si>
  <si>
    <t>Stainless steel cold formed planks</t>
  </si>
  <si>
    <t>45-30-40/320 Stainless steel cold formed planks;</t>
  </si>
  <si>
    <t>Pr_25_30_30_83</t>
  </si>
  <si>
    <t>Stainless steel edging sections</t>
  </si>
  <si>
    <t>45-30-40/410 Stainless steel edging section;</t>
  </si>
  <si>
    <t>Pr_25_30_30_84</t>
  </si>
  <si>
    <t>Stainless steel expanded gratings</t>
  </si>
  <si>
    <t>45-30-40/335 Stainless steel expanded gratings;</t>
  </si>
  <si>
    <t>Pr_25_30_30_85</t>
  </si>
  <si>
    <t>Stainless steel open bar metal gratings</t>
  </si>
  <si>
    <t>45-30-40/360 Stainless steel open bar metal gratings;</t>
  </si>
  <si>
    <t>Pr_25_30_30_86</t>
  </si>
  <si>
    <t>Stainless steel solid metal plates</t>
  </si>
  <si>
    <t>Pr_25_30_36</t>
  </si>
  <si>
    <t>Handrails</t>
  </si>
  <si>
    <t>Pr_25_30_36_03</t>
  </si>
  <si>
    <t>Aluminium handrails</t>
  </si>
  <si>
    <t>45-70-70/465 Aluminium handrails;</t>
  </si>
  <si>
    <t>Pr_25_30_36_11</t>
  </si>
  <si>
    <t>Carbon steel handrails</t>
  </si>
  <si>
    <t>45-70-70/475 Low carbon steel handrails;</t>
  </si>
  <si>
    <t>Pr_25_30_36_30</t>
  </si>
  <si>
    <t>Fibre-reinforced polymer handrails</t>
  </si>
  <si>
    <t>Pr_25_30_36_34</t>
  </si>
  <si>
    <t>Grab rails</t>
  </si>
  <si>
    <t>Pr_25_30_36_50</t>
  </si>
  <si>
    <t>Manufactured stone handrails</t>
  </si>
  <si>
    <t>45-70-70/485 Manufactured stone handrails;</t>
  </si>
  <si>
    <t>Pr_25_30_36_63</t>
  </si>
  <si>
    <t>Plastics handrails</t>
  </si>
  <si>
    <t>Pr_25_30_36_84</t>
  </si>
  <si>
    <t>Stainless steel handrails</t>
  </si>
  <si>
    <t>45-70-70/480 Stainless steel handrails;</t>
  </si>
  <si>
    <t>Pr_25_30_36_96</t>
  </si>
  <si>
    <t>Wood handrails</t>
  </si>
  <si>
    <t>45-70-70/470 Wood handrails;</t>
  </si>
  <si>
    <t>Pr_25_30_75</t>
  </si>
  <si>
    <t>Safety cages</t>
  </si>
  <si>
    <t>Pr_25_30_75_02</t>
  </si>
  <si>
    <t>Aluminium ladder safety cages</t>
  </si>
  <si>
    <t>45-30-75/475 Aluminium ladder safety cages;</t>
  </si>
  <si>
    <t>Pr_25_30_75_15</t>
  </si>
  <si>
    <t>Carbon steel ladder safety cages</t>
  </si>
  <si>
    <t>45-30-75/480 Carbon steel ladder safety cages;</t>
  </si>
  <si>
    <t>Pr_25_30_75_80</t>
  </si>
  <si>
    <t>Stainless steel ladder safety cages</t>
  </si>
  <si>
    <t>45-30-75/485 Stainless steel ladder safety cages;</t>
  </si>
  <si>
    <t>Pr_25_30_85</t>
  </si>
  <si>
    <t>Stair and ladder units</t>
  </si>
  <si>
    <t>Pr_25_30_85_02</t>
  </si>
  <si>
    <t>Access ladders</t>
  </si>
  <si>
    <t>Pr_25_30_85_03</t>
  </si>
  <si>
    <t>Aluminium loft ladders</t>
  </si>
  <si>
    <t>45-30-75/400 Aluminium loft ladders;</t>
  </si>
  <si>
    <t>Pr_25_30_85_11</t>
  </si>
  <si>
    <t>Cat ladders</t>
  </si>
  <si>
    <t>Pr_25_30_85_16</t>
  </si>
  <si>
    <t>Curved internal staircases</t>
  </si>
  <si>
    <t>45-30-75/490 Standard curved internal staircases;</t>
  </si>
  <si>
    <t>Pr_25_30_85_22</t>
  </si>
  <si>
    <t>Drainage access chamber ladders</t>
  </si>
  <si>
    <t>90-05-20/324 Access chamber ladders;</t>
  </si>
  <si>
    <t>Pr_25_30_85_23</t>
  </si>
  <si>
    <t>Drainage access chamber steps</t>
  </si>
  <si>
    <t>90-05-20/326 Access chamber steps;</t>
  </si>
  <si>
    <t>Pr_25_30_85_36</t>
  </si>
  <si>
    <t>Hardwood loft ladders</t>
  </si>
  <si>
    <t>45-30-75/405 Timber loft ladders;</t>
  </si>
  <si>
    <t>Pr_25_30_85_48</t>
  </si>
  <si>
    <t>Lift pit ladders</t>
  </si>
  <si>
    <t>90-80-60/360 Pit ladder;</t>
  </si>
  <si>
    <t>Pr_25_30_85_64</t>
  </si>
  <si>
    <t>Pool ladders</t>
  </si>
  <si>
    <t>45-35-90/365 Vertical pool ladders;</t>
  </si>
  <si>
    <t>Pr_25_30_85_65</t>
  </si>
  <si>
    <t>Pool stepladders</t>
  </si>
  <si>
    <t>45-35-90/370 Inclined pool stepladders;</t>
  </si>
  <si>
    <t>Pr_25_30_85_73</t>
  </si>
  <si>
    <t>Roll-up ladders</t>
  </si>
  <si>
    <t>Pr_25_30_85_79</t>
  </si>
  <si>
    <t>Sliding ladders</t>
  </si>
  <si>
    <t>Pr_25_30_85_84</t>
  </si>
  <si>
    <t>Spiral internal staircases</t>
  </si>
  <si>
    <t>Pr_25_30_85_85</t>
  </si>
  <si>
    <t>Step-over ladders</t>
  </si>
  <si>
    <t>Pr_25_30_85_86</t>
  </si>
  <si>
    <t>Straight internal staircases</t>
  </si>
  <si>
    <t>45-30-75/495 Standard straight internal staircases;</t>
  </si>
  <si>
    <t>Pr_25_30_85_90</t>
  </si>
  <si>
    <t>Travelling ladders</t>
  </si>
  <si>
    <t>45-35-74/440 Travelling ladders;</t>
  </si>
  <si>
    <t>Pr_25_30_86</t>
  </si>
  <si>
    <t>Surface level traffic control products</t>
  </si>
  <si>
    <t>Pr_25_30_86_03</t>
  </si>
  <si>
    <t>Aluminium alloy vehicle flow plates</t>
  </si>
  <si>
    <t>45-20-80/323 Aluminium alloy vehicle flow plates;</t>
  </si>
  <si>
    <t>Pr_25_30_86_04</t>
  </si>
  <si>
    <t>Aluminium alloy vehicle stops</t>
  </si>
  <si>
    <t>45-20-80/331 Aluminium alloy vehicle stops;</t>
  </si>
  <si>
    <t>Pr_25_30_86_11</t>
  </si>
  <si>
    <t>Carbon steel vehicle flow plates</t>
  </si>
  <si>
    <t>45-20-80/325 Carbon steel vehicle flow plates;</t>
  </si>
  <si>
    <t>Pr_25_30_86_12</t>
  </si>
  <si>
    <t>Carbon steel vehicle stops</t>
  </si>
  <si>
    <t>45-20-80/333 Carbon steel vehicle stops;</t>
  </si>
  <si>
    <t>Pr_25_30_86_15</t>
  </si>
  <si>
    <t>Concrete demarcation units</t>
  </si>
  <si>
    <t>45-20-80/314 Precast demarcation units;</t>
  </si>
  <si>
    <t>Pr_25_30_86_60</t>
  </si>
  <si>
    <t>Pavement extenders</t>
  </si>
  <si>
    <t>45-20-80/312 Pavement extenders;</t>
  </si>
  <si>
    <t>Pr_25_30_86_72</t>
  </si>
  <si>
    <t>Rising kerbs</t>
  </si>
  <si>
    <t>45-20-80/321 Rising kerbs;</t>
  </si>
  <si>
    <t>Pr_25_30_86_73</t>
  </si>
  <si>
    <t>Rising ramp vehicle barriers</t>
  </si>
  <si>
    <t>Pr_25_30_86_74</t>
  </si>
  <si>
    <t>Rising spike vehicle stops</t>
  </si>
  <si>
    <t>Pr_25_30_86_75</t>
  </si>
  <si>
    <t>Rubber vehicle stops</t>
  </si>
  <si>
    <t>45-20-80/337 Rubber vehicle stops;</t>
  </si>
  <si>
    <t>Pr_25_30_86_83</t>
  </si>
  <si>
    <t>Speed restriction ramps</t>
  </si>
  <si>
    <t>45-20-80/315 Speed restriction ramps;</t>
  </si>
  <si>
    <t>Pr_25_30_86_88</t>
  </si>
  <si>
    <t>Timber vehicle stops</t>
  </si>
  <si>
    <t>45-20-80/335 Timber vehicle stops;</t>
  </si>
  <si>
    <t>Pr_25_30_86_90</t>
  </si>
  <si>
    <t>Traffic calming speed cushions</t>
  </si>
  <si>
    <t>45-20-80/313 Precast concrete traffic calming speed cushions;</t>
  </si>
  <si>
    <t>Pr_25_30_86_91</t>
  </si>
  <si>
    <t>Traffic islands</t>
  </si>
  <si>
    <t>45-20-80/310 Traffic islands;</t>
  </si>
  <si>
    <t>Pr_25_30_90</t>
  </si>
  <si>
    <t>Treads and landing units</t>
  </si>
  <si>
    <t>Pr_25_30_90_10</t>
  </si>
  <si>
    <t>Carbon steel stair treads</t>
  </si>
  <si>
    <t>45-30-40/380 Carbon steel stair treads;</t>
  </si>
  <si>
    <t>Pr_25_30_90_11</t>
  </si>
  <si>
    <t>Concrete glazed stair treads</t>
  </si>
  <si>
    <t>45-30-60/370 Precast concrete glazed stair treads;</t>
  </si>
  <si>
    <t>Pr_25_30_90_12</t>
  </si>
  <si>
    <t>Concrete glazed stair landing panels</t>
  </si>
  <si>
    <t>45-20-60/370 Precast concrete glazed stair landing panels;</t>
  </si>
  <si>
    <t>Pr_25_30_90_13</t>
  </si>
  <si>
    <t>Concrete helical stair flight units</t>
  </si>
  <si>
    <t>45-30-60/310 Precast concrete helical stair flight units;</t>
  </si>
  <si>
    <t>Pr_25_30_90_14</t>
  </si>
  <si>
    <t>Concrete spiral stair flight units</t>
  </si>
  <si>
    <t>45-30-60/320 Precast concrete spiral stair flight units;</t>
  </si>
  <si>
    <t>Pr_25_30_90_15</t>
  </si>
  <si>
    <t>Concrete stair flight and landing units</t>
  </si>
  <si>
    <t>45-30-60/350 Precast concrete stair flight and landing units;</t>
  </si>
  <si>
    <t>Pr_25_30_90_16</t>
  </si>
  <si>
    <t>Concrete stair flight units</t>
  </si>
  <si>
    <t>45-30-60/340 Precast concrete stair flight units;</t>
  </si>
  <si>
    <t>Pr_25_30_90_17</t>
  </si>
  <si>
    <t>Concrete stair landing units</t>
  </si>
  <si>
    <t>45-30-60/360 Precast concrete stair landing units;</t>
  </si>
  <si>
    <t>Pr_25_30_90_18</t>
  </si>
  <si>
    <t>Concrete step units</t>
  </si>
  <si>
    <t>45-30-60/330 Precast concrete step units;</t>
  </si>
  <si>
    <t>Pr_25_30_90_33</t>
  </si>
  <si>
    <t>Glass stair treads</t>
  </si>
  <si>
    <t>45-20-60/375 Precast concrete glazed stair tread panels;</t>
  </si>
  <si>
    <t>Pr_25_30_90_36</t>
  </si>
  <si>
    <t>Hardwood stair treads</t>
  </si>
  <si>
    <t>Pr_25_30_90_63</t>
  </si>
  <si>
    <t>Plastics stair treads</t>
  </si>
  <si>
    <t>Pr_25_30_90_81</t>
  </si>
  <si>
    <t>Softwood stair treads</t>
  </si>
  <si>
    <t>Pr_25_30_90_83</t>
  </si>
  <si>
    <t>Stainless steel stair treads</t>
  </si>
  <si>
    <t>45-30-40/385 Stainless steel stair treads;</t>
  </si>
  <si>
    <t>Pr_25_30_90_84</t>
  </si>
  <si>
    <t>Stone stair treads</t>
  </si>
  <si>
    <t>Pr_25_30_90_85</t>
  </si>
  <si>
    <t>Stone step units</t>
  </si>
  <si>
    <t>45-30-75/380 Manufactured stone step units;</t>
  </si>
  <si>
    <t>Pr_25_31</t>
  </si>
  <si>
    <t>Formless skin products</t>
  </si>
  <si>
    <t>Pr_25_31_28</t>
  </si>
  <si>
    <t>Expanding foams</t>
  </si>
  <si>
    <t>Pr_25_31_28_65</t>
  </si>
  <si>
    <t>Polyisocyanurate (PIR) foam insulation</t>
  </si>
  <si>
    <t>45-55-45/400 Polyisocyanurate (PIR) foam insulation;</t>
  </si>
  <si>
    <t>Pr_25_31_28_66</t>
  </si>
  <si>
    <t>Polyurethane (PUR) injected foam insulation</t>
  </si>
  <si>
    <t>45-55-45/345 Polyurethane foam cavity insulation;</t>
  </si>
  <si>
    <t>Pr_25_31_28_67</t>
  </si>
  <si>
    <t>Polyurethane (PUR) foam insulation</t>
  </si>
  <si>
    <t>45-55-45/410 Polyurethane (PUR) foam insulation;</t>
  </si>
  <si>
    <t>Pr_25_31_28_93</t>
  </si>
  <si>
    <t>Urea-formaldehyde foam (UFF) insulation</t>
  </si>
  <si>
    <t>45-55-45/350 Urea-formaldehyde foam cavity insulation;</t>
  </si>
  <si>
    <t>Pr_25_31_28_94</t>
  </si>
  <si>
    <t>Vermin and insect-proof expanding foams</t>
  </si>
  <si>
    <t>Pr_25_31_48</t>
  </si>
  <si>
    <t>Loose insulation</t>
  </si>
  <si>
    <t>Pr_25_31_48_12</t>
  </si>
  <si>
    <t>Cellulose fibre loose insulation</t>
  </si>
  <si>
    <t>45-55-45/360 Cellulose fibres;</t>
  </si>
  <si>
    <t>Pr_25_31_48_27</t>
  </si>
  <si>
    <t>Expanded cork loose insulation</t>
  </si>
  <si>
    <t>45-55-45/370 Expanded cork loose fill insulation;</t>
  </si>
  <si>
    <t>Pr_25_31_48_28</t>
  </si>
  <si>
    <t>Expanded polystyrene (EPS) bead insulation</t>
  </si>
  <si>
    <t>45-55-45/320 Expanded polystyrene (EPS) bead insulation;</t>
  </si>
  <si>
    <t>Pr_25_31_48_34</t>
  </si>
  <si>
    <t>Granular mineral wool insulation</t>
  </si>
  <si>
    <t>45-55-45/440 Granular mineral wool insulation;</t>
  </si>
  <si>
    <t>Pr_25_31_48_61</t>
  </si>
  <si>
    <t>Perlite loose insulation</t>
  </si>
  <si>
    <t>45-55-45/390 Perlite insulation;</t>
  </si>
  <si>
    <t>Pr_25_31_48_66</t>
  </si>
  <si>
    <t>Polyurethane (PUR) foam chip insulation</t>
  </si>
  <si>
    <t>Pr_25_31_48_71</t>
  </si>
  <si>
    <t>Recycled paper loose insulation</t>
  </si>
  <si>
    <t>Pr_25_31_48_76</t>
  </si>
  <si>
    <t>Sea grass loose insulation</t>
  </si>
  <si>
    <t>Pr_25_31_48_94</t>
  </si>
  <si>
    <t>Vermiculite loose insulation</t>
  </si>
  <si>
    <t>45-55-45/430 Vermiculite insulation;</t>
  </si>
  <si>
    <t>Pr_25_57</t>
  </si>
  <si>
    <t>Non-rigid sheet, mat and strip skin products</t>
  </si>
  <si>
    <t>Pr_25_57_06</t>
  </si>
  <si>
    <t>Batt and quilt products</t>
  </si>
  <si>
    <t>Pr_25_57_06_02</t>
  </si>
  <si>
    <t>Aerogel blanket insulation</t>
  </si>
  <si>
    <t>45-45-70/320 Aerogel blanket insulation;</t>
  </si>
  <si>
    <t>Pr_25_57_06_15</t>
  </si>
  <si>
    <t>Cotton fibre batt insulation</t>
  </si>
  <si>
    <t>45-45-70/325 Cotton fibre batt insulation;</t>
  </si>
  <si>
    <t>Pr_25_57_06_28</t>
  </si>
  <si>
    <t>Felt backing insulation</t>
  </si>
  <si>
    <t>45-45-70/410 Felt backing insulation;</t>
  </si>
  <si>
    <t>Pr_25_57_06_30</t>
  </si>
  <si>
    <t>Flexible glass wool mat insulation</t>
  </si>
  <si>
    <t>45-45-70/330 Flexible glass wool mat insulation;</t>
  </si>
  <si>
    <t>Pr_25_57_06_31</t>
  </si>
  <si>
    <t>Flexible rock wool mat insulation</t>
  </si>
  <si>
    <t>45-45-70/335 Flexible rock wool mat insulation;</t>
  </si>
  <si>
    <t>Pr_25_57_06_32</t>
  </si>
  <si>
    <t>Formed recycled paper insulation</t>
  </si>
  <si>
    <t>Pr_25_57_06_34</t>
  </si>
  <si>
    <t>Glass fibre insulation</t>
  </si>
  <si>
    <t>45-55-45/380 Glass fibre insulation;</t>
  </si>
  <si>
    <t>Pr_25_57_06_37</t>
  </si>
  <si>
    <t>Hemp fibre insulation</t>
  </si>
  <si>
    <t>45-45-70/340 Hemp fibre insulation;</t>
  </si>
  <si>
    <t>Pr_25_57_06_47</t>
  </si>
  <si>
    <t>Lift car protective quilts</t>
  </si>
  <si>
    <t>90-80-60/370 Protective quilts;</t>
  </si>
  <si>
    <t>Pr_25_57_06_50</t>
  </si>
  <si>
    <t>Mineral fibre slab insulation</t>
  </si>
  <si>
    <t>45-45-70/380 Mineral fibre slab insulation;</t>
  </si>
  <si>
    <t>Pr_25_57_06_51</t>
  </si>
  <si>
    <t>Mineral wool fibre insulation</t>
  </si>
  <si>
    <t>45-55-45/330 Mineral wool fibre insulation;</t>
  </si>
  <si>
    <t>Pr_25_57_06_52</t>
  </si>
  <si>
    <t>Mineral wool flexible insulation</t>
  </si>
  <si>
    <t>Pr_25_57_06_53</t>
  </si>
  <si>
    <t>Mineral wool insulation</t>
  </si>
  <si>
    <t>45-45-70/355 Mineral wool insulation;</t>
  </si>
  <si>
    <t>Pr_25_57_06_54</t>
  </si>
  <si>
    <t>Mineral wool resilient layer sound insulation</t>
  </si>
  <si>
    <t>45-45-70/345 Mineral wool resilient layer sound insulation;</t>
  </si>
  <si>
    <t>Pr_25_57_06_55</t>
  </si>
  <si>
    <t>Mineral wool resilient strip sound insulation</t>
  </si>
  <si>
    <t>45-45-70/350 Mineral wool resilient strip sound insulation;</t>
  </si>
  <si>
    <t>Pr_25_57_06_56</t>
  </si>
  <si>
    <t>Mineral wool slab insulation</t>
  </si>
  <si>
    <t>45-45-70/385 Mineral wool slab insulation;</t>
  </si>
  <si>
    <t>Pr_25_57_06_57</t>
  </si>
  <si>
    <t>Multifoil blanket insulation</t>
  </si>
  <si>
    <t>45-45-70/360 Multifoil blanket insulation;</t>
  </si>
  <si>
    <t>Pr_25_57_06_70</t>
  </si>
  <si>
    <t>Reflective foil insulation</t>
  </si>
  <si>
    <t>Pr_25_57_06_71</t>
  </si>
  <si>
    <t>Resilient layer insulation</t>
  </si>
  <si>
    <t>45-45-70/437 Resilient layer insulation;</t>
  </si>
  <si>
    <t>Pr_25_57_06_76</t>
  </si>
  <si>
    <t>Sheep wool insulation</t>
  </si>
  <si>
    <t>45-45-70/365 Sheep wool insulation;</t>
  </si>
  <si>
    <t>Pr_25_57_06_94</t>
  </si>
  <si>
    <t>Vacuum insulated panels</t>
  </si>
  <si>
    <t>45-45-70/390 Vacuum insulated panels;</t>
  </si>
  <si>
    <t>Pr_25_57_06_97</t>
  </si>
  <si>
    <t>Wood fibre batt insulation</t>
  </si>
  <si>
    <t>45-45-70/370 Wood fibre batt insulation;</t>
  </si>
  <si>
    <t>Pr_25_57_08</t>
  </si>
  <si>
    <t>Bitumen-based membranes, sheets and fabrics</t>
  </si>
  <si>
    <t>Pr_25_57_08_08</t>
  </si>
  <si>
    <t>Bitumen sheets</t>
  </si>
  <si>
    <t>45-65-50/304 Bitumen sheets;</t>
  </si>
  <si>
    <t>Pr_25_57_08_58</t>
  </si>
  <si>
    <t>Pitch polymer membranes</t>
  </si>
  <si>
    <t>45-65-50/307 Pitch polymer membranes;</t>
  </si>
  <si>
    <t>Pr_25_57_08_71</t>
  </si>
  <si>
    <t>Reinforced bitumen membrane perforated underlays</t>
  </si>
  <si>
    <t>45-65-50/312 Reinforced bitumen membrane perforated underlay;</t>
  </si>
  <si>
    <t>Pr_25_57_08_75</t>
  </si>
  <si>
    <t>Reinforced bitumen roofing sheets</t>
  </si>
  <si>
    <t>45-65-50/301 Reinforced bitumen sheets for roofing;</t>
  </si>
  <si>
    <t>Pr_25_57_10</t>
  </si>
  <si>
    <t>Building papers and vapour permeable sheets</t>
  </si>
  <si>
    <t>Pr_25_57_10_04</t>
  </si>
  <si>
    <t>Aluminium foil/ kraft paper laminates</t>
  </si>
  <si>
    <t>Pr_25_57_10_08</t>
  </si>
  <si>
    <t>Bitumen bonded kraft papers</t>
  </si>
  <si>
    <t>Pr_25_57_10_09</t>
  </si>
  <si>
    <t>Building papers</t>
  </si>
  <si>
    <t>45-65-50/322 Building paper;</t>
  </si>
  <si>
    <t>Pr_25_57_10_12</t>
  </si>
  <si>
    <t>Cellulose based building papers</t>
  </si>
  <si>
    <t>Pr_25_57_10_37</t>
  </si>
  <si>
    <t>High density polyethylene (PE-HD) vapour permeable sheets</t>
  </si>
  <si>
    <t>Pr_25_57_10_45</t>
  </si>
  <si>
    <t>Kraft papers</t>
  </si>
  <si>
    <t>Pr_25_57_10_47</t>
  </si>
  <si>
    <t>Low density polyethylene (PE-LD) vapour permeable sheets</t>
  </si>
  <si>
    <t>Pr_25_57_10_62</t>
  </si>
  <si>
    <t>Polyethylene coated kraft papers</t>
  </si>
  <si>
    <t>Pr_25_57_10_64</t>
  </si>
  <si>
    <t>Polyolefin vapour permeable sheets</t>
  </si>
  <si>
    <t>Pr_25_57_10_66</t>
  </si>
  <si>
    <t>Polypropylene vapour permeable sheets</t>
  </si>
  <si>
    <t>Pr_25_57_10_68</t>
  </si>
  <si>
    <t>Polypropylene and polyethylene laminate vapour permeable sheets</t>
  </si>
  <si>
    <t>Pr_25_57_10_94</t>
  </si>
  <si>
    <t>Vapour permeable sheets</t>
  </si>
  <si>
    <t>45-65-50/323 Vapour permeable sheets;</t>
  </si>
  <si>
    <t>Pr_25_57_21</t>
  </si>
  <si>
    <t>Damp proof courses and cavity trays</t>
  </si>
  <si>
    <t>Pr_25_57_21_02</t>
  </si>
  <si>
    <t>Aluminium damp proof courses and cavity trays</t>
  </si>
  <si>
    <t>Pr_25_57_21_06</t>
  </si>
  <si>
    <t>Bitumen-based damp proof courses and cavity trays</t>
  </si>
  <si>
    <t>45-25-20/305 Bitumen based damp proof courses and/ or cavity trays;</t>
  </si>
  <si>
    <t>Pr_25_57_21_08</t>
  </si>
  <si>
    <t>Bitumen polymer damp proof courses and cavity trays</t>
  </si>
  <si>
    <t>45-25-20/310 Bitumen polymer damp proof courses and/ or cavity trays;</t>
  </si>
  <si>
    <t>Pr_25_57_21_11</t>
  </si>
  <si>
    <t>Carbon steel damp proof courses and cavity trays</t>
  </si>
  <si>
    <t>Pr_25_57_21_12</t>
  </si>
  <si>
    <t>Cavity closer and damp proof course supports</t>
  </si>
  <si>
    <t>Pr_25_57_21_13</t>
  </si>
  <si>
    <t>Clay brick damp proof courses</t>
  </si>
  <si>
    <t>Pr_25_57_21_14</t>
  </si>
  <si>
    <t>Cold-applied roofing membrane adhesive damp proof course joint sealers</t>
  </si>
  <si>
    <t>Pr_25_57_21_16</t>
  </si>
  <si>
    <t>Coping or capping damp proof courses</t>
  </si>
  <si>
    <t>Pr_25_57_21_18</t>
  </si>
  <si>
    <t>Copper damp proof courses and cavity trays</t>
  </si>
  <si>
    <t>45-25-20/320 Copper damp proof courses and/ or cavity trays;</t>
  </si>
  <si>
    <t>Pr_25_57_21_27</t>
  </si>
  <si>
    <t>Ethylene propylene (EP) damp proof courses and cavity trays</t>
  </si>
  <si>
    <t>45-25-20/337 Plastics damp proof courses and/ or cavity trays;</t>
  </si>
  <si>
    <t>Pr_25_57_21_33</t>
  </si>
  <si>
    <t>Gas resistant preformed cavity trays</t>
  </si>
  <si>
    <t>45-25-20/405 Gas resistant preformed cavity trays;</t>
  </si>
  <si>
    <t>Pr_25_57_21_34</t>
  </si>
  <si>
    <t>Gas resistant preformed cavity trays and cloaks</t>
  </si>
  <si>
    <t>Pr_25_57_21_35</t>
  </si>
  <si>
    <t>Gas-resistant damp proof courses</t>
  </si>
  <si>
    <t>45-25-20/330 Gas-resistant damp proof courses and/ or cavity trays;</t>
  </si>
  <si>
    <t>Pr_25_57_21_36</t>
  </si>
  <si>
    <t>Granite damp proof courses</t>
  </si>
  <si>
    <t>Pr_25_57_21_42</t>
  </si>
  <si>
    <t>Insertion cavity trays</t>
  </si>
  <si>
    <t>45-25-20/410 Insertion cavity trays;</t>
  </si>
  <si>
    <t>Pr_25_57_21_43</t>
  </si>
  <si>
    <t>Insulated damp proof courses</t>
  </si>
  <si>
    <t>45-25-20/355 Insulated damp proof courses;</t>
  </si>
  <si>
    <t>Pr_25_57_21_44</t>
  </si>
  <si>
    <t>Joist seals</t>
  </si>
  <si>
    <t>45-25-20/460 Joist seals;</t>
  </si>
  <si>
    <t>Pr_25_57_21_48</t>
  </si>
  <si>
    <t>Lead damp proof courses and cavity trays</t>
  </si>
  <si>
    <t>45-25-20/335 Lead damp proof courses and/ or cavity trays;</t>
  </si>
  <si>
    <t>Pr_25_57_21_50</t>
  </si>
  <si>
    <t>Mastic asphalt (MA) damp proof courses</t>
  </si>
  <si>
    <t>45-25-20/360 Mastic asphalt damp proof courses;</t>
  </si>
  <si>
    <t>Pr_25_57_21_61</t>
  </si>
  <si>
    <t>Pitch polymer damp proof courses and cavity trays</t>
  </si>
  <si>
    <t>45-25-20/340 Pitch polymer damp proof courses and/ or cavity trays;</t>
  </si>
  <si>
    <t>Pr_25_57_21_63</t>
  </si>
  <si>
    <t>Polyethylene (PE) damp proof courses and cavity trays</t>
  </si>
  <si>
    <t>Pr_25_57_21_64</t>
  </si>
  <si>
    <t>Polypropylene (PP) damp proof courses and cavity trays</t>
  </si>
  <si>
    <t>Pr_25_57_21_65</t>
  </si>
  <si>
    <t>Polymeric damp proof courses</t>
  </si>
  <si>
    <t>Pr_25_57_21_66</t>
  </si>
  <si>
    <t>Preformed cavity trays</t>
  </si>
  <si>
    <t>45-25-20/415 Preformed cavity trays;</t>
  </si>
  <si>
    <t>Pr_25_57_21_67</t>
  </si>
  <si>
    <t>Preformed cavity trays and cloaks</t>
  </si>
  <si>
    <t>Pr_25_57_21_68</t>
  </si>
  <si>
    <t>Preformed damp proof courses</t>
  </si>
  <si>
    <t>45-25-20/365 Preformed dpcs;</t>
  </si>
  <si>
    <t>Pr_25_57_21_72</t>
  </si>
  <si>
    <t>Rising damp remedial units</t>
  </si>
  <si>
    <t>45-25-38/460 Rising damp remedial units;</t>
  </si>
  <si>
    <t>Pr_25_57_21_80</t>
  </si>
  <si>
    <t>Slate damp proof courses</t>
  </si>
  <si>
    <t>Pr_25_57_21_99</t>
  </si>
  <si>
    <t>Zinc damp proof courses</t>
  </si>
  <si>
    <t>Pr_25_57_51</t>
  </si>
  <si>
    <t>Membranes, liners, flexible sheets and fabrics</t>
  </si>
  <si>
    <t>Pr_25_57_51_02</t>
  </si>
  <si>
    <t>Acrylonitrile butadiene styrene (ABS) studded membranes</t>
  </si>
  <si>
    <t>45-65-50/354 High density polyethylene studded sheets;</t>
  </si>
  <si>
    <t>Pr_25_57_51_10</t>
  </si>
  <si>
    <t>Butyl rubber (polyisobutylene isoprene (IIR)) geomembranes</t>
  </si>
  <si>
    <t>Pr_25_57_51_11</t>
  </si>
  <si>
    <t>Carborundum slip-resistant paper</t>
  </si>
  <si>
    <t>Pr_25_57_51_13</t>
  </si>
  <si>
    <t>Chlorinated polyethylene (PE-C) geomembranes</t>
  </si>
  <si>
    <t>Pr_25_57_51_14</t>
  </si>
  <si>
    <t>Chlorosulfonated polyethylene (PE-CS) geomembranes</t>
  </si>
  <si>
    <t>Pr_25_57_51_16</t>
  </si>
  <si>
    <t>Coated polyester fabrics</t>
  </si>
  <si>
    <t>Pr_25_57_51_27</t>
  </si>
  <si>
    <t>Ethylene propylene diene monomer (EPDM) geomembranes</t>
  </si>
  <si>
    <t>Pr_25_57_51_30</t>
  </si>
  <si>
    <t>Flexible pond liners</t>
  </si>
  <si>
    <t>90-15-90/481 Flexible pond liners;</t>
  </si>
  <si>
    <t>Pr_25_57_51_31</t>
  </si>
  <si>
    <t>Flexible polyolefin (FPO) polymeric membranes</t>
  </si>
  <si>
    <t>Pr_25_57_51_33</t>
  </si>
  <si>
    <t>Glass fibre fleeces</t>
  </si>
  <si>
    <t>45-65-50/338 Glass fibre fleece;</t>
  </si>
  <si>
    <t>Pr_25_57_51_35</t>
  </si>
  <si>
    <t>Glass-reinforced plastics (GRP) sheet liners</t>
  </si>
  <si>
    <t>45-60-60/350 GRP sheet liners;</t>
  </si>
  <si>
    <t>Pr_25_57_51_36</t>
  </si>
  <si>
    <t>High-density polyethylene (PE-HD) studded sheets</t>
  </si>
  <si>
    <t>Pr_25_57_51_38</t>
  </si>
  <si>
    <t>High impact polystyrene (HIPS) studded sheets</t>
  </si>
  <si>
    <t>Pr_25_57_51_42</t>
  </si>
  <si>
    <t>Integrated flexible photovoltaic (PV) module membranes</t>
  </si>
  <si>
    <t>Pr_25_57_51_51</t>
  </si>
  <si>
    <t>Membrane walkways</t>
  </si>
  <si>
    <t>45-65-50/390 Polymeric membrane walkways;</t>
  </si>
  <si>
    <t>Pr_25_57_51_52</t>
  </si>
  <si>
    <t>Metallized plastics window films</t>
  </si>
  <si>
    <t>Pr_25_57_51_54</t>
  </si>
  <si>
    <t>Modified acrylic fabric</t>
  </si>
  <si>
    <t>Pr_25_57_51_60</t>
  </si>
  <si>
    <t>Plastics window films</t>
  </si>
  <si>
    <t>45-65-50/332 Plastics window films;</t>
  </si>
  <si>
    <t>Pr_25_57_51_61</t>
  </si>
  <si>
    <t>Plastics preformed liners</t>
  </si>
  <si>
    <t>45-60-60/360 Plastics preformed liners;</t>
  </si>
  <si>
    <t>Pr_25_57_51_66</t>
  </si>
  <si>
    <t>Polymeric membranes</t>
  </si>
  <si>
    <t>45-65-50/363 Polymeric membranes;</t>
  </si>
  <si>
    <t>Pr_25_57_51_67</t>
  </si>
  <si>
    <t>Polymeric membrane collars</t>
  </si>
  <si>
    <t>Pr_25_57_51_68</t>
  </si>
  <si>
    <t>Polypropylene (PP) studded sheets</t>
  </si>
  <si>
    <t>Pr_25_57_51_70</t>
  </si>
  <si>
    <t>Polyvinyl chloride geomembranes</t>
  </si>
  <si>
    <t>Pr_25_57_51_74</t>
  </si>
  <si>
    <t>Rubber studded sheets</t>
  </si>
  <si>
    <t>Pr_25_57_51_79</t>
  </si>
  <si>
    <t>Slip-resistant sheets and strips</t>
  </si>
  <si>
    <t>45-20-62/345 Slip-resistant sheet and strips;</t>
  </si>
  <si>
    <t>Pr_25_57_51_88</t>
  </si>
  <si>
    <t>Thermoplastic polyolefin elastomer (TPE) polymeric membranes</t>
  </si>
  <si>
    <t>Pr_25_57_51_95</t>
  </si>
  <si>
    <t>Vinyl ethylene terpolymer (VET) polymeric membranes</t>
  </si>
  <si>
    <t>Pr_25_57_53</t>
  </si>
  <si>
    <t>Moisture retention sheets</t>
  </si>
  <si>
    <t>Pr_25_57_53_30</t>
  </si>
  <si>
    <t>Foamed aminoplastic resin moisture retention mats</t>
  </si>
  <si>
    <t>Pr_25_57_53_50</t>
  </si>
  <si>
    <t>Mineral wool water retention geotextiles</t>
  </si>
  <si>
    <t>Pr_25_57_53_62</t>
  </si>
  <si>
    <t>Polyacrylonitrile (PAN) water retention geotextiles</t>
  </si>
  <si>
    <t>Pr_25_57_53_63</t>
  </si>
  <si>
    <t>Polyamide water retention geotextiles</t>
  </si>
  <si>
    <t>Pr_25_57_53_65</t>
  </si>
  <si>
    <t>Polypropylene water retention geotextiles</t>
  </si>
  <si>
    <t>Pr_25_57_56</t>
  </si>
  <si>
    <t>Netting and non-reinforcement mesh</t>
  </si>
  <si>
    <t>Pr_25_57_56_07</t>
  </si>
  <si>
    <t>Bird deterrent nets</t>
  </si>
  <si>
    <t>45-35-22/335 Net bird deterrents;</t>
  </si>
  <si>
    <t>Pr_25_57_56_14</t>
  </si>
  <si>
    <t>Cleft chestnut palisade rolls</t>
  </si>
  <si>
    <t>45-65-56/460 Cleft chestnut palisade rolls;</t>
  </si>
  <si>
    <t>Pr_25_57_56_15</t>
  </si>
  <si>
    <t>Continuous chain link metal mesh</t>
  </si>
  <si>
    <t>45-65-56/370 Continuous chain link mesh;</t>
  </si>
  <si>
    <t>Pr_25_57_56_16</t>
  </si>
  <si>
    <t>Coarse woven plastics mesh</t>
  </si>
  <si>
    <t>Pr_25_57_56_27</t>
  </si>
  <si>
    <t>Expanded metal mesh</t>
  </si>
  <si>
    <t>45-65-56/320 Expanded metal mesh;</t>
  </si>
  <si>
    <t>Pr_25_57_56_28</t>
  </si>
  <si>
    <t>Extruded plastics mesh</t>
  </si>
  <si>
    <t>Pr_25_57_56_29</t>
  </si>
  <si>
    <t>Fine woven plastics mesh</t>
  </si>
  <si>
    <t>Pr_25_57_56_34</t>
  </si>
  <si>
    <t>Glass fibre mesh</t>
  </si>
  <si>
    <t>45-75-45/315 Glass fibre mesh;</t>
  </si>
  <si>
    <t>Pr_25_57_56_52</t>
  </si>
  <si>
    <t>Metallic nets</t>
  </si>
  <si>
    <t>45-65-56/400 Metallic net;</t>
  </si>
  <si>
    <t>Pr_25_57_56_56</t>
  </si>
  <si>
    <t>Natural nets</t>
  </si>
  <si>
    <t>45-65-56/410 Natural net;</t>
  </si>
  <si>
    <t>Pr_25_57_56_61</t>
  </si>
  <si>
    <t>Perforated metal mesh</t>
  </si>
  <si>
    <t>45-65-56/330 Perforated metal mesh;</t>
  </si>
  <si>
    <t>Pr_25_57_56_64</t>
  </si>
  <si>
    <t>Plastics nets</t>
  </si>
  <si>
    <t>45-65-56/420 Plastics net;</t>
  </si>
  <si>
    <t>Pr_25_57_56_85</t>
  </si>
  <si>
    <t>Spun-bonded plastics mesh</t>
  </si>
  <si>
    <t>45-65-56/340 Plastics mesh;</t>
  </si>
  <si>
    <t>Pr_25_57_56_95</t>
  </si>
  <si>
    <t>Welded metal mesh</t>
  </si>
  <si>
    <t>45-65-56/350 Welded metal mesh;</t>
  </si>
  <si>
    <t>Pr_25_57_56_96</t>
  </si>
  <si>
    <t>Wire netting</t>
  </si>
  <si>
    <t>45-75-45/325 Metal mesh for sprayed coatings;</t>
  </si>
  <si>
    <t>Pr_25_57_56_97</t>
  </si>
  <si>
    <t>Woven metal mesh</t>
  </si>
  <si>
    <t>45-65-56/360 Woven metal mesh;</t>
  </si>
  <si>
    <t>Pr_25_57_61</t>
  </si>
  <si>
    <t>Plant-fibre based membranes, liners, flexible sheet and fabrics</t>
  </si>
  <si>
    <t>Pr_25_57_61_15</t>
  </si>
  <si>
    <t>Coir geotextiles</t>
  </si>
  <si>
    <t>Pr_25_57_61_29</t>
  </si>
  <si>
    <t>Flax geotextiles</t>
  </si>
  <si>
    <t>Pr_25_57_61_37</t>
  </si>
  <si>
    <t>Hemp geotextiles</t>
  </si>
  <si>
    <t>Pr_25_57_61_44</t>
  </si>
  <si>
    <t>Jute geotextiles</t>
  </si>
  <si>
    <t>Pr_25_57_61_59</t>
  </si>
  <si>
    <t>Plant and natural fibre linings</t>
  </si>
  <si>
    <t>45-65-50/344 Plant and natural fibre linings;</t>
  </si>
  <si>
    <t>Pr_25_57_61_60</t>
  </si>
  <si>
    <t>Paper pulp linings</t>
  </si>
  <si>
    <t>Pr_25_57_61_79</t>
  </si>
  <si>
    <t>Sisal membranes</t>
  </si>
  <si>
    <t>Pr_25_57_61_80</t>
  </si>
  <si>
    <t>Sisal jute mix membranes</t>
  </si>
  <si>
    <t>Pr_25_57_61_95</t>
  </si>
  <si>
    <t>Wood fibre membranes</t>
  </si>
  <si>
    <t>Pr_25_57_61_97</t>
  </si>
  <si>
    <t>Wool membranes</t>
  </si>
  <si>
    <t>Pr_25_57_61_98</t>
  </si>
  <si>
    <t>Wool felt membranes</t>
  </si>
  <si>
    <t>Pr_25_57_65</t>
  </si>
  <si>
    <t>Plastics membranes</t>
  </si>
  <si>
    <t>Pr_25_57_65_37</t>
  </si>
  <si>
    <t>High density polyethylene (PE-HD) sheets</t>
  </si>
  <si>
    <t>Pr_25_57_65_47</t>
  </si>
  <si>
    <t>Low density polyethylene (PE-LD) sheets</t>
  </si>
  <si>
    <t>Pr_25_57_65_60</t>
  </si>
  <si>
    <t>Plastics sheets</t>
  </si>
  <si>
    <t>45-65-50/325 Plastics sheets;</t>
  </si>
  <si>
    <t>Pr_25_57_65_62</t>
  </si>
  <si>
    <t>Polyester sheets</t>
  </si>
  <si>
    <t>Pr_25_57_65_63</t>
  </si>
  <si>
    <t>Polyethylene sheets</t>
  </si>
  <si>
    <t>Pr_25_57_65_65</t>
  </si>
  <si>
    <t>Polypropylene sheets</t>
  </si>
  <si>
    <t>Pr_25_57_65_66</t>
  </si>
  <si>
    <t>Polypropylene and polyethylene laminate sheets</t>
  </si>
  <si>
    <t>Pr_25_57_65_67</t>
  </si>
  <si>
    <t>Polytetrafluorethylene (PTFE) sheets</t>
  </si>
  <si>
    <t>Pr_25_57_65_70</t>
  </si>
  <si>
    <t>Polyvinylidene fluoride (PVDF) sheets</t>
  </si>
  <si>
    <t>Pr_25_57_65_92</t>
  </si>
  <si>
    <t>Unplasticized polyvinyl chloride (PVC-U) sheets</t>
  </si>
  <si>
    <t>Pr_25_57_85</t>
  </si>
  <si>
    <t>Synthetic filter fabrics</t>
  </si>
  <si>
    <t>Pr_25_57_85_10</t>
  </si>
  <si>
    <t>Capillary fleece</t>
  </si>
  <si>
    <t>Pr_25_57_85_62</t>
  </si>
  <si>
    <t>Polyester fibre fleece</t>
  </si>
  <si>
    <t>Pr_25_57_85_64</t>
  </si>
  <si>
    <t>Polyester filter geotextiles</t>
  </si>
  <si>
    <t>Pr_25_57_85_66</t>
  </si>
  <si>
    <t>Polyethylene filter geotextiles</t>
  </si>
  <si>
    <t>Pr_25_57_85_68</t>
  </si>
  <si>
    <t>Polypropylene filter geotextiles</t>
  </si>
  <si>
    <t>Pr_25_57_85_70</t>
  </si>
  <si>
    <t>Polyvinylidene fluoride (PVDF) hydrophobic geotextiles</t>
  </si>
  <si>
    <t>Pr_25_57_90</t>
  </si>
  <si>
    <t>Tensile, stretch and suspended fabrics</t>
  </si>
  <si>
    <t>Pr_25_57_90_03</t>
  </si>
  <si>
    <t>Aramid tensile fabrics</t>
  </si>
  <si>
    <t>Pr_25_57_90_15</t>
  </si>
  <si>
    <t>Cotton canvas tensile fabrics</t>
  </si>
  <si>
    <t>Pr_25_57_90_29</t>
  </si>
  <si>
    <t>Fabrics for tensile applications</t>
  </si>
  <si>
    <t>45-65-50/330 Fabrics for tensile applications;</t>
  </si>
  <si>
    <t>Pr_25_57_90_34</t>
  </si>
  <si>
    <t>Glass fibre tensile fabrics</t>
  </si>
  <si>
    <t>Pr_25_57_90_63</t>
  </si>
  <si>
    <t>Polyester tensile fabrics</t>
  </si>
  <si>
    <t>Pr_25_57_90_67</t>
  </si>
  <si>
    <t>Polytetrafluoroethylene (PTFE) tensile fabrics</t>
  </si>
  <si>
    <t>Pr_25_57_90_69</t>
  </si>
  <si>
    <t>Polyurethane coated polyester stretch fabric membranes</t>
  </si>
  <si>
    <t>Pr_25_57_90_71</t>
  </si>
  <si>
    <t>Polyvinyl chloride (PVC) stretch fabric membranes</t>
  </si>
  <si>
    <t>Pr_25_57_90_75</t>
  </si>
  <si>
    <t>Sailcloth</t>
  </si>
  <si>
    <t>Pr_25_57_90_81</t>
  </si>
  <si>
    <t>Solar glass weave tensile fabrics</t>
  </si>
  <si>
    <t>Pr_25_57_90_84</t>
  </si>
  <si>
    <t>Stretch fabric membranes</t>
  </si>
  <si>
    <t>45-65-50/384 Stretch fabric membranes;</t>
  </si>
  <si>
    <t>Pr_25_57_90_85</t>
  </si>
  <si>
    <t>Suspended fabric panels</t>
  </si>
  <si>
    <t>45-65-50/386 Suspended fabric panels;</t>
  </si>
  <si>
    <t>Pr_25_71</t>
  </si>
  <si>
    <t>Rigid board, panel and sheet products</t>
  </si>
  <si>
    <t>Pr_25_71_14</t>
  </si>
  <si>
    <t>Cladding and lining panels (lightweight cladding and roofing panels)</t>
  </si>
  <si>
    <t>Pr_25_71_14_01</t>
  </si>
  <si>
    <t>Aggregate-faced glass reinforced plastics (GRP) panels</t>
  </si>
  <si>
    <t>45-25-45/305 Aggregate faced GRP panels;</t>
  </si>
  <si>
    <t>Pr_25_71_14_02</t>
  </si>
  <si>
    <t>Aluminium cassette panels</t>
  </si>
  <si>
    <t>45-25-45/310 Aluminium cassette panels;</t>
  </si>
  <si>
    <t>Pr_25_71_14_03</t>
  </si>
  <si>
    <t>Applied facing precast concrete panels</t>
  </si>
  <si>
    <t>Pr_25_71_14_04</t>
  </si>
  <si>
    <t>Aluminium insulating sandwich panels</t>
  </si>
  <si>
    <t>45-25-45/320 Aluminium insulating sandwich panels;</t>
  </si>
  <si>
    <t>Pr_25_71_14_05</t>
  </si>
  <si>
    <t>Aluminium composite material (ACM) panels</t>
  </si>
  <si>
    <t>45-25-45/315 Aluminium composite material (ACM’s) panels;</t>
  </si>
  <si>
    <t>Pr_25_71_14_06</t>
  </si>
  <si>
    <t>Aluminium composite panels</t>
  </si>
  <si>
    <t>Pr_25_71_14_07</t>
  </si>
  <si>
    <t>Aluminium external panels</t>
  </si>
  <si>
    <t>45-25-45/325 Aluminium external panels;</t>
  </si>
  <si>
    <t>Pr_25_71_14_08</t>
  </si>
  <si>
    <t>Aluminium infill panels</t>
  </si>
  <si>
    <t>45-25-45/330 Aluminium infill panels;</t>
  </si>
  <si>
    <t>Pr_25_71_14_09</t>
  </si>
  <si>
    <t>Aluminium internal panels</t>
  </si>
  <si>
    <t>45-25-45/335 Aluminium internal panels;</t>
  </si>
  <si>
    <t>Pr_25_71_14_10</t>
  </si>
  <si>
    <t>Aluminium-faced aluminium core panels</t>
  </si>
  <si>
    <t>45-25-45/318 Aluminium core composite panels;</t>
  </si>
  <si>
    <t>Pr_25_71_14_11</t>
  </si>
  <si>
    <t>Carbon steel composite panels</t>
  </si>
  <si>
    <t>Pr_25_71_14_12</t>
  </si>
  <si>
    <t>Carbon steel external panels</t>
  </si>
  <si>
    <t>45-25-45/345 Carbon steel external panels;</t>
  </si>
  <si>
    <t>Pr_25_71_14_13</t>
  </si>
  <si>
    <t>Carbon steel infill panels</t>
  </si>
  <si>
    <t>45-25-45/350 Carbon steel infill panels;</t>
  </si>
  <si>
    <t>Pr_25_71_14_14</t>
  </si>
  <si>
    <t>Carbon steel internal panels</t>
  </si>
  <si>
    <t>45-25-45/355 Carbon steel internal panels;</t>
  </si>
  <si>
    <t>Pr_25_71_14_15</t>
  </si>
  <si>
    <t>Ceramic panels</t>
  </si>
  <si>
    <t>45-25-45/360 Ceramic panels;</t>
  </si>
  <si>
    <t>Pr_25_71_14_16</t>
  </si>
  <si>
    <t>Column casings</t>
  </si>
  <si>
    <t>Pr_25_71_14_17</t>
  </si>
  <si>
    <t>Ceramic-faced aluminium core panels</t>
  </si>
  <si>
    <t>Pr_25_71_14_18</t>
  </si>
  <si>
    <t>Composite and recycled plastics sheets</t>
  </si>
  <si>
    <t>45-65-60/320 Plastics, composite and recycled plastics sheets;</t>
  </si>
  <si>
    <t>Pr_25_71_14_19</t>
  </si>
  <si>
    <t>Composite stone panels</t>
  </si>
  <si>
    <t>45-25-45/365 Composite stone panels;</t>
  </si>
  <si>
    <t>Pr_25_71_14_20</t>
  </si>
  <si>
    <t>Compressed rock fibre panels</t>
  </si>
  <si>
    <t>45-25-45/370 Compressed rock fibre panels;</t>
  </si>
  <si>
    <t>Pr_25_71_14_21</t>
  </si>
  <si>
    <t>Copper alloy-faced aluminium core panels</t>
  </si>
  <si>
    <t>Pr_25_71_14_22</t>
  </si>
  <si>
    <t>Carbon steel insulating sandwich panels</t>
  </si>
  <si>
    <t>45-25-45/340 Carbon steel insulating sandwich panels;</t>
  </si>
  <si>
    <t>Pr_25_71_14_30</t>
  </si>
  <si>
    <t>Fibre cement panels</t>
  </si>
  <si>
    <t>Pr_25_71_14_31</t>
  </si>
  <si>
    <t>Fireproof casings</t>
  </si>
  <si>
    <t>Pr_25_71_14_33</t>
  </si>
  <si>
    <t>Glass-faced aluminium core panels</t>
  </si>
  <si>
    <t>Pr_25_71_14_34</t>
  </si>
  <si>
    <t>Glass reinforced plastics (GRP) panels</t>
  </si>
  <si>
    <t>Pr_25_71_14_52</t>
  </si>
  <si>
    <t>Monolithic precast concrete cladding panels</t>
  </si>
  <si>
    <t>Pr_25_71_14_56</t>
  </si>
  <si>
    <t>Natural stone panels</t>
  </si>
  <si>
    <t>45-25-45/380 Natural stone panels;</t>
  </si>
  <si>
    <t>Pr_25_71_14_57</t>
  </si>
  <si>
    <t>Natural stone-faced aluminium core panels</t>
  </si>
  <si>
    <t>Pr_25_71_14_62</t>
  </si>
  <si>
    <t>Plastics sheet wall claddings</t>
  </si>
  <si>
    <t>45-65-60/310 Plastic sheet wall cladding;</t>
  </si>
  <si>
    <t>Pr_25_71_14_63</t>
  </si>
  <si>
    <t>Platinum-faced aluminium core panels</t>
  </si>
  <si>
    <t>Pr_25_71_14_65</t>
  </si>
  <si>
    <t>Pre-weathered zinc cassette panels</t>
  </si>
  <si>
    <t>45-25-45/385 Preweathered zinc cassette panels;</t>
  </si>
  <si>
    <t>Pr_25_71_14_71</t>
  </si>
  <si>
    <t>Reconstituted stone panels</t>
  </si>
  <si>
    <t>Pr_25_71_14_75</t>
  </si>
  <si>
    <t>Sandwich precast concrete cladding panels</t>
  </si>
  <si>
    <t>Pr_25_71_14_77</t>
  </si>
  <si>
    <t>Self-finished precast concrete cladding panels</t>
  </si>
  <si>
    <t>Pr_25_71_14_81</t>
  </si>
  <si>
    <t>Stainless steel-faced aluminium core panels</t>
  </si>
  <si>
    <t>Pr_25_71_14_82</t>
  </si>
  <si>
    <t>Stainless steel cassette panels</t>
  </si>
  <si>
    <t>45-25-45/390 Stainless steel cassette panels;</t>
  </si>
  <si>
    <t>Pr_25_71_14_83</t>
  </si>
  <si>
    <t>Stainless steel composite panels</t>
  </si>
  <si>
    <t>Pr_25_71_14_84</t>
  </si>
  <si>
    <t>Stainless steel external panels</t>
  </si>
  <si>
    <t>45-25-45/400 Stainless steel external panels;</t>
  </si>
  <si>
    <t>Pr_25_71_14_85</t>
  </si>
  <si>
    <t>Stainless steel infill panels</t>
  </si>
  <si>
    <t>45-25-45/405 Stainless steel infill panels;</t>
  </si>
  <si>
    <t>Pr_25_71_14_86</t>
  </si>
  <si>
    <t>Stainless steel internal panels</t>
  </si>
  <si>
    <t>45-25-45/410 Stainless steel internal panels;</t>
  </si>
  <si>
    <t>Pr_25_71_14_87</t>
  </si>
  <si>
    <t>Stainless steel insulating sandwich panels</t>
  </si>
  <si>
    <t>45-25-45/395 Stainless steel insulating sandwich panels;</t>
  </si>
  <si>
    <t>Pr_25_71_14_88</t>
  </si>
  <si>
    <t>Terracotta panels</t>
  </si>
  <si>
    <t>45-25-45/415 Terracotta panels;</t>
  </si>
  <si>
    <t>Pr_25_71_14_90</t>
  </si>
  <si>
    <t>Titanium-faced aluminium core panels</t>
  </si>
  <si>
    <t>Pr_25_71_14_98</t>
  </si>
  <si>
    <t>Wood fibre-reinforced thermosetting resin external panels</t>
  </si>
  <si>
    <t>45-25-45/375 Exterior quality wood fibre reinforced thermosetting resin panels;</t>
  </si>
  <si>
    <t>Pr_25_71_14_99</t>
  </si>
  <si>
    <t>Zinc-faced aluminium core panels</t>
  </si>
  <si>
    <t>Pr_25_71_29</t>
  </si>
  <si>
    <t>Falsework and formwork</t>
  </si>
  <si>
    <t>Pr_25_71_29_04</t>
  </si>
  <si>
    <t>Architectural finish permanent formwork linings</t>
  </si>
  <si>
    <t>45-50-30/440 Architectural finish permanent formwork lining;</t>
  </si>
  <si>
    <t>Pr_25_71_29_11</t>
  </si>
  <si>
    <t>Carbon steel permanent joint formers</t>
  </si>
  <si>
    <t>45-50-30/340 Prefabricated carbon steel permanent joint formers;</t>
  </si>
  <si>
    <t>Pr_25_71_29_14</t>
  </si>
  <si>
    <t>Collapsible (wet) board substructure formwork</t>
  </si>
  <si>
    <t>45-50-30/370 Collapsible board substructure formwork (collapsed by wetting);</t>
  </si>
  <si>
    <t>Pr_25_71_29_15</t>
  </si>
  <si>
    <t>Collapsible board substructure formwork</t>
  </si>
  <si>
    <t>45-50-30/380 Collapsible board substructure formwork;</t>
  </si>
  <si>
    <t>Pr_25_71_29_16</t>
  </si>
  <si>
    <t>Compressible board substructure formwork</t>
  </si>
  <si>
    <t>45-50-30/390 Compressible board substructure formwork;</t>
  </si>
  <si>
    <t>Pr_25_71_29_17</t>
  </si>
  <si>
    <t>Concrete permanent side forms</t>
  </si>
  <si>
    <t>45-50-30/330 Precast concrete permanent side forms;</t>
  </si>
  <si>
    <t>Pr_25_71_29_24</t>
  </si>
  <si>
    <t>Duct formers</t>
  </si>
  <si>
    <t>45-50-30/465 Duct formers for prestressing tendons;</t>
  </si>
  <si>
    <t>Pr_25_71_29_28</t>
  </si>
  <si>
    <t>Expanded carbon steel mesh formwork</t>
  </si>
  <si>
    <t>45-50-30/460 Expanded steel mesh formwork;</t>
  </si>
  <si>
    <t>Pr_25_71_29_37</t>
  </si>
  <si>
    <t>High density expanded polystyrene (HDPS) ventilated substructure formwork</t>
  </si>
  <si>
    <t>45-50-30/400 High density expanded polystyrene ventilated substructure formwork;</t>
  </si>
  <si>
    <t>Pr_25_71_29_56</t>
  </si>
  <si>
    <t>Non-critical permanent formwork</t>
  </si>
  <si>
    <t>45-50-30/470 Non-critical permanent formwork;</t>
  </si>
  <si>
    <t>Pr_25_71_29_60</t>
  </si>
  <si>
    <t>Permanent concrete composite wall panels</t>
  </si>
  <si>
    <t>45-50-30/490 Composite wall panels;</t>
  </si>
  <si>
    <t>Pr_25_71_29_62</t>
  </si>
  <si>
    <t>Permanent insulation formwork (PIF)</t>
  </si>
  <si>
    <t>45-50-30/420 Permanent insulation formwork (PIF);</t>
  </si>
  <si>
    <t>Pr_25_71_29_64</t>
  </si>
  <si>
    <t>Permanent timber formwork</t>
  </si>
  <si>
    <t>45-60-90/438 Permanent timber formwork;</t>
  </si>
  <si>
    <t>Pr_25_71_29_72</t>
  </si>
  <si>
    <t>Ribbed carbon steel mesh formwork</t>
  </si>
  <si>
    <t>45-50-30/480 Ribbed steel mesh formwork;</t>
  </si>
  <si>
    <t>Pr_25_71_29_76</t>
  </si>
  <si>
    <t>Scaffolding and accessories</t>
  </si>
  <si>
    <t>45-50-30/350 Scaffolding and accessories;</t>
  </si>
  <si>
    <t>Pr_25_71_29_86</t>
  </si>
  <si>
    <t>Suspended in situ concrete construction permanent insulation formwork (PIF)</t>
  </si>
  <si>
    <t>45-50-30/430 Permanent insulation formwork (PIF) for suspended in situ concrete construction;</t>
  </si>
  <si>
    <t>Pr_25_71_29_88</t>
  </si>
  <si>
    <t>Timber scaffold boards</t>
  </si>
  <si>
    <t>45-50-30/365 Timber scaffold boards;</t>
  </si>
  <si>
    <t>Pr_25_71_33</t>
  </si>
  <si>
    <t>Glass and glazing sheets and profiles</t>
  </si>
  <si>
    <t>Pr_25_71_33_02</t>
  </si>
  <si>
    <t>Annealed glass sheets</t>
  </si>
  <si>
    <t>45-65-40/310 Annealed glass;</t>
  </si>
  <si>
    <t>Pr_25_71_33_03</t>
  </si>
  <si>
    <t>Antique glass</t>
  </si>
  <si>
    <t>Pr_25_71_33_14</t>
  </si>
  <si>
    <t>Composite glass sheets</t>
  </si>
  <si>
    <t>45-65-40/345 Composite glass sheet;</t>
  </si>
  <si>
    <t>Pr_25_71_33_16</t>
  </si>
  <si>
    <t>Corrugated wired glass sheets</t>
  </si>
  <si>
    <t>Pr_25_71_33_20</t>
  </si>
  <si>
    <t>Cylinder blown glass sheets</t>
  </si>
  <si>
    <t>Pr_25_71_33_33</t>
  </si>
  <si>
    <t>Glass beams</t>
  </si>
  <si>
    <t>45-65-40/375 Glass beams;</t>
  </si>
  <si>
    <t>Pr_25_71_33_34</t>
  </si>
  <si>
    <t>Glass fins</t>
  </si>
  <si>
    <t>45-65-40/380 Glass fins;</t>
  </si>
  <si>
    <t>Pr_25_71_33_35</t>
  </si>
  <si>
    <t>Glass panels</t>
  </si>
  <si>
    <t>45-25-05/320 Glass panels;</t>
  </si>
  <si>
    <t>Pr_25_71_33_36</t>
  </si>
  <si>
    <t>Hand blown crown glass</t>
  </si>
  <si>
    <t>Pr_25_71_33_37</t>
  </si>
  <si>
    <t>Heat strengthened glass sheets</t>
  </si>
  <si>
    <t>45-65-40/315 Heat strengthened glass;</t>
  </si>
  <si>
    <t>Pr_25_71_33_42</t>
  </si>
  <si>
    <t>Insulated glass units (IGUs)</t>
  </si>
  <si>
    <t>45-65-40/370 Insulated glass units (IGUs);</t>
  </si>
  <si>
    <t>Pr_25_71_33_46</t>
  </si>
  <si>
    <t>Laminated glass sheets</t>
  </si>
  <si>
    <t>45-65-40/320 Laminated glass;</t>
  </si>
  <si>
    <t>Pr_25_71_33_47</t>
  </si>
  <si>
    <t>Lead and X-ray glass sheets</t>
  </si>
  <si>
    <t>45-65-40/325 Lead or X-ray glass;</t>
  </si>
  <si>
    <t>Pr_25_71_33_65</t>
  </si>
  <si>
    <t>Plastics glazing sheets</t>
  </si>
  <si>
    <t>45-65-40/330 Plastics glazing sheet;</t>
  </si>
  <si>
    <t>Pr_25_71_33_67</t>
  </si>
  <si>
    <t>Plastics laminated glazing sheets</t>
  </si>
  <si>
    <t>Pr_25_71_33_77</t>
  </si>
  <si>
    <t>Sealed insulated glass units</t>
  </si>
  <si>
    <t>Pr_25_71_33_84</t>
  </si>
  <si>
    <t>Stained glass sheets</t>
  </si>
  <si>
    <t>Pr_25_71_33_88</t>
  </si>
  <si>
    <t>Thermally toughened glass sheets</t>
  </si>
  <si>
    <t>45-65-40/335 Thermally toughened glass;</t>
  </si>
  <si>
    <t>Pr_25_71_33_92</t>
  </si>
  <si>
    <t>U-profiled glass channels</t>
  </si>
  <si>
    <t>45-65-40/385 U profiled glass channels;</t>
  </si>
  <si>
    <t>Pr_25_71_33_97</t>
  </si>
  <si>
    <t>Wired glass sheets</t>
  </si>
  <si>
    <t>45-65-40/340 Wired glass;</t>
  </si>
  <si>
    <t>Pr_25_71_42</t>
  </si>
  <si>
    <t>Infill panels</t>
  </si>
  <si>
    <t>Pr_25_71_42_12</t>
  </si>
  <si>
    <t>Cement-bonded wood-wool infill panels</t>
  </si>
  <si>
    <t>Pr_25_71_42_52</t>
  </si>
  <si>
    <t>Metal tray infill panels</t>
  </si>
  <si>
    <t>Pr_25_71_42_54</t>
  </si>
  <si>
    <t>Mineral fibre infill panels</t>
  </si>
  <si>
    <t>Pr_25_71_42_59</t>
  </si>
  <si>
    <t>Open-cell infill panels</t>
  </si>
  <si>
    <t>Pr_25_71_42_60</t>
  </si>
  <si>
    <t>Panel diffuser infill panels</t>
  </si>
  <si>
    <t>Pr_25_71_42_63</t>
  </si>
  <si>
    <t>Plastics-faced gypsum plasterboard infill panels</t>
  </si>
  <si>
    <t>Pr_25_71_42_70</t>
  </si>
  <si>
    <t>Raised access floor panels</t>
  </si>
  <si>
    <t>45-45-00/320 Raised access floor panels;</t>
  </si>
  <si>
    <t>Pr_25_71_42_71</t>
  </si>
  <si>
    <t>Raised access floor panels with finish</t>
  </si>
  <si>
    <t>45-45-00/330 Raised access floor panels with integral finishes;</t>
  </si>
  <si>
    <t>Pr_25_71_42_72</t>
  </si>
  <si>
    <t>Resin-bonded mineral wool infill panels</t>
  </si>
  <si>
    <t>Pr_25_71_42_73</t>
  </si>
  <si>
    <t>Rigid urethane foam infill panels</t>
  </si>
  <si>
    <t>Pr_25_71_42_94</t>
  </si>
  <si>
    <t>Veneered wood-composite infill panels</t>
  </si>
  <si>
    <t>Pr_25_71_43</t>
  </si>
  <si>
    <t>Interior linings</t>
  </si>
  <si>
    <t>Pr_25_71_43_33</t>
  </si>
  <si>
    <t>Glass-reinforced plastics (GRP) ceilings</t>
  </si>
  <si>
    <t>Pr_25_71_43_34</t>
  </si>
  <si>
    <t>Glass-reinforced plastics (GRP) linings</t>
  </si>
  <si>
    <t>Pr_25_71_43_62</t>
  </si>
  <si>
    <t>Plastics linings</t>
  </si>
  <si>
    <t>45-75-95/380 Plastics linings;</t>
  </si>
  <si>
    <t>Pr_25_71_44</t>
  </si>
  <si>
    <t>Joint fillers</t>
  </si>
  <si>
    <t>Pr_25_71_44_06</t>
  </si>
  <si>
    <t>Bitumen-impregnated softboard joint fillers</t>
  </si>
  <si>
    <t>45-45-95/400 Bitumen impregnated softboard joint filler;</t>
  </si>
  <si>
    <t>Pr_25_71_44_08</t>
  </si>
  <si>
    <t>Bitumen rubber expansion joint fillers</t>
  </si>
  <si>
    <t>45-80-35/350 Bitumen rubber;</t>
  </si>
  <si>
    <t>Pr_25_71_44_15</t>
  </si>
  <si>
    <t>Cork board joint fillers</t>
  </si>
  <si>
    <t>45-45-95/420 Cork board joint filler;</t>
  </si>
  <si>
    <t>Pr_25_71_44_28</t>
  </si>
  <si>
    <t>Extruded polyethylene (PE) foam joint fillers</t>
  </si>
  <si>
    <t>45-45-65/400 Extruded polyethylene foam joint filler;</t>
  </si>
  <si>
    <t>Pr_25_71_44_77</t>
  </si>
  <si>
    <t>Sealant backer rods</t>
  </si>
  <si>
    <t>Pr_25_71_50</t>
  </si>
  <si>
    <t>Metal panels</t>
  </si>
  <si>
    <t>Pr_25_71_50_02</t>
  </si>
  <si>
    <t>Aluminium expanded mesh panels</t>
  </si>
  <si>
    <t>45-25-05/330 Aluminium expanded mesh panels;</t>
  </si>
  <si>
    <t>Pr_25_71_50_03</t>
  </si>
  <si>
    <t>Aluminium vertical bar panels</t>
  </si>
  <si>
    <t>45-25-05/335 Aluminium vertical bar panel;</t>
  </si>
  <si>
    <t>Pr_25_71_50_04</t>
  </si>
  <si>
    <t>Aluminium sheet panels</t>
  </si>
  <si>
    <t>45-25-05/325 Aluminium sheet panels;</t>
  </si>
  <si>
    <t>Pr_25_71_50_06</t>
  </si>
  <si>
    <t>Base boards</t>
  </si>
  <si>
    <t>Pr_25_71_50_12</t>
  </si>
  <si>
    <t>Carbon steel expanded mesh panels</t>
  </si>
  <si>
    <t>45-25-05/345 Carbon steel expanded mesh panels;</t>
  </si>
  <si>
    <t>Pr_25_71_50_13</t>
  </si>
  <si>
    <t>Carbon steel framed vertical bar and rail panels</t>
  </si>
  <si>
    <t>45-25-05/365 Carbon steel vertical bar and rail panels;</t>
  </si>
  <si>
    <t>Pr_25_71_50_14</t>
  </si>
  <si>
    <t>Carbon steel framed vertical bar panels</t>
  </si>
  <si>
    <t>45-25-05/355 Carbon steel framed vertical bar panel;</t>
  </si>
  <si>
    <t>Pr_25_71_50_15</t>
  </si>
  <si>
    <t>Carbon steel framed vertical section panels</t>
  </si>
  <si>
    <t>45-25-05/370 Carbon steel framed vertical section panel;</t>
  </si>
  <si>
    <t>Pr_25_71_50_16</t>
  </si>
  <si>
    <t>Carbon steel palisade fence panels</t>
  </si>
  <si>
    <t>45-25-05/360 Carbon steel palisade fence panels;</t>
  </si>
  <si>
    <t>Pr_25_71_50_17</t>
  </si>
  <si>
    <t>Carbon steel panels</t>
  </si>
  <si>
    <t>45-25-05/340 Carbon steel sheet panels;</t>
  </si>
  <si>
    <t>Pr_25_71_50_18</t>
  </si>
  <si>
    <t>Carbon steel vertical section and rail panels</t>
  </si>
  <si>
    <t>45-25-05/375 Carbon steel vertical section and rail panel;</t>
  </si>
  <si>
    <t>Pr_25_71_50_19</t>
  </si>
  <si>
    <t>Carbon steel welded mesh panels</t>
  </si>
  <si>
    <t>45-25-05/350 Carbon steel welded mesh panels;</t>
  </si>
  <si>
    <t>Pr_25_71_50_20</t>
  </si>
  <si>
    <t>Cast iron vertical bar and rail panels</t>
  </si>
  <si>
    <t>45-25-05/380 Cast iron vertical bar and rail panel;</t>
  </si>
  <si>
    <t>Pr_25_71_50_21</t>
  </si>
  <si>
    <t>Composite fence panels</t>
  </si>
  <si>
    <t>45-25-05/302 Composite fence panels;</t>
  </si>
  <si>
    <t>Pr_25_71_50_22</t>
  </si>
  <si>
    <t>Composite panels</t>
  </si>
  <si>
    <t>Pr_25_71_50_23</t>
  </si>
  <si>
    <t>Composite wildlife panels</t>
  </si>
  <si>
    <t>Pr_25_71_50_24</t>
  </si>
  <si>
    <t>Decorative metal panels</t>
  </si>
  <si>
    <t>Pr_25_71_50_39</t>
  </si>
  <si>
    <t>Hurdles</t>
  </si>
  <si>
    <t>Pr_25_71_50_51</t>
  </si>
  <si>
    <t>Mesh panels</t>
  </si>
  <si>
    <t>Pr_25_71_50_60</t>
  </si>
  <si>
    <t>Palisade panels</t>
  </si>
  <si>
    <t>Pr_25_71_50_61</t>
  </si>
  <si>
    <t>Panels with vertical infill</t>
  </si>
  <si>
    <t>Pr_25_71_50_79</t>
  </si>
  <si>
    <t>Sheet panels</t>
  </si>
  <si>
    <t>Pr_25_71_50_80</t>
  </si>
  <si>
    <t>Stainless steel expanded mesh panels</t>
  </si>
  <si>
    <t>45-25-05/385 Stainless steel expanded mesh panels;</t>
  </si>
  <si>
    <t>Pr_25_71_50_81</t>
  </si>
  <si>
    <t>Stainless steel vertical bar panels</t>
  </si>
  <si>
    <t>45-25-05/395 Stainless steel vertical bar panel;</t>
  </si>
  <si>
    <t>Pr_25_71_50_82</t>
  </si>
  <si>
    <t>Stainless steel vertical bar and rail panels</t>
  </si>
  <si>
    <t>45-25-05/410 Stainless steel vertical bar and rail panel;</t>
  </si>
  <si>
    <t>Pr_25_71_50_83</t>
  </si>
  <si>
    <t>Stainless steel sheet panels</t>
  </si>
  <si>
    <t>45-25-05/390 Stainless steel sheet panels;</t>
  </si>
  <si>
    <t>Pr_25_71_50_84</t>
  </si>
  <si>
    <t>Stainless steel welded mesh panels</t>
  </si>
  <si>
    <t>45-25-05/397 Stainless steel welded mesh panels;</t>
  </si>
  <si>
    <t>Pr_25_71_50_85</t>
  </si>
  <si>
    <t>Stainless steel woven mesh panels</t>
  </si>
  <si>
    <t>Pr_25_71_50_87</t>
  </si>
  <si>
    <t>Steel noise barrier panels</t>
  </si>
  <si>
    <t>Pr_25_71_50_93</t>
  </si>
  <si>
    <t>Vitreous enamel steel composite panels</t>
  </si>
  <si>
    <t>Pr_25_71_50_94</t>
  </si>
  <si>
    <t>Vitreous enamel steel panels</t>
  </si>
  <si>
    <t>Pr_25_71_50_95</t>
  </si>
  <si>
    <t>Welded steel hurdles</t>
  </si>
  <si>
    <t>45-25-05/415 Welded steel hurdles;</t>
  </si>
  <si>
    <t>Pr_25_71_50_96</t>
  </si>
  <si>
    <t>Wrought iron decorative panels</t>
  </si>
  <si>
    <t>45-25-05/400 Wrought iron decorative panels;</t>
  </si>
  <si>
    <t>Pr_25_71_50_97</t>
  </si>
  <si>
    <t>Wrought iron vertical bar panels</t>
  </si>
  <si>
    <t>45-25-05/405 Wrought iron vertical bar panel;</t>
  </si>
  <si>
    <t>Pr_25_71_50_98</t>
  </si>
  <si>
    <t>Wrought iron vertical bar and rail panels</t>
  </si>
  <si>
    <t>45-25-05/420 Wrought iron vertical bar and rail panel;</t>
  </si>
  <si>
    <t>Pr_25_71_51</t>
  </si>
  <si>
    <t>Metal sheets and strips</t>
  </si>
  <si>
    <t>Pr_25_71_51_01</t>
  </si>
  <si>
    <t>Aluminium sheets, strips and plates</t>
  </si>
  <si>
    <t>45-60-50/376 Aluminium alloy sheet, strip and plate;</t>
  </si>
  <si>
    <t>Pr_25_71_51_02</t>
  </si>
  <si>
    <t>Aluminium long strips</t>
  </si>
  <si>
    <t>45-65-52/305 Aluminium long strip;</t>
  </si>
  <si>
    <t>Pr_25_71_51_03</t>
  </si>
  <si>
    <t>Aluminium profiled sheets</t>
  </si>
  <si>
    <t>45-65-52/310 Aluminium profiled sheet;</t>
  </si>
  <si>
    <t>Pr_25_71_51_04</t>
  </si>
  <si>
    <t>Aluminium profiled sheet decking</t>
  </si>
  <si>
    <t>45-65-52/315 Aluminium profiled sheet decking;</t>
  </si>
  <si>
    <t>Pr_25_71_51_05</t>
  </si>
  <si>
    <t>Aluminium sheets</t>
  </si>
  <si>
    <t>45-65-52/320 Aluminium sheet;</t>
  </si>
  <si>
    <t>Pr_25_71_51_06</t>
  </si>
  <si>
    <t>Aluminium traditional sheets</t>
  </si>
  <si>
    <t>45-65-52/325 Aluminium traditional sheet;</t>
  </si>
  <si>
    <t>Pr_25_71_51_10</t>
  </si>
  <si>
    <t>Carbon steel long strips</t>
  </si>
  <si>
    <t>Pr_25_71_51_11</t>
  </si>
  <si>
    <t>Carbon steel linings</t>
  </si>
  <si>
    <t>45-65-52/345 Low carbon steel linings;</t>
  </si>
  <si>
    <t>Pr_25_71_51_12</t>
  </si>
  <si>
    <t>Carbon steel pressed panels</t>
  </si>
  <si>
    <t>Pr_25_71_51_14</t>
  </si>
  <si>
    <t>Carbon steel sheet walkway reinforcement</t>
  </si>
  <si>
    <t>45-65-52/360 Low carbon steel sheet walkway reinforcement;</t>
  </si>
  <si>
    <t>Pr_25_71_51_15</t>
  </si>
  <si>
    <t>Carbon steel sheets</t>
  </si>
  <si>
    <t>45-65-52/355 Low carbon steel sheet;</t>
  </si>
  <si>
    <t>Pr_25_71_51_16</t>
  </si>
  <si>
    <t>Copper long strips</t>
  </si>
  <si>
    <t>45-65-52/330 Copper long strip;</t>
  </si>
  <si>
    <t>Pr_25_71_51_17</t>
  </si>
  <si>
    <t>Copper traditional sheets</t>
  </si>
  <si>
    <t>45-65-52/340 Copper traditional sheet;</t>
  </si>
  <si>
    <t>Pr_25_71_51_33</t>
  </si>
  <si>
    <t>Galvanized carbon steel profiled sheets</t>
  </si>
  <si>
    <t>45-65-52/350 Carbon steel profiled sheet;</t>
  </si>
  <si>
    <t>Pr_25_71_51_38</t>
  </si>
  <si>
    <t>Hollow-core metal sheets</t>
  </si>
  <si>
    <t>Pr_25_71_51_46</t>
  </si>
  <si>
    <t>Lead machine cast sheets</t>
  </si>
  <si>
    <t>45-65-52/365 Lead machine cast sheet;</t>
  </si>
  <si>
    <t>Pr_25_71_51_47</t>
  </si>
  <si>
    <t>Lead rolled sheets</t>
  </si>
  <si>
    <t>45-65-52/370 Lead rolled sheet;</t>
  </si>
  <si>
    <t>Pr_25_71_51_52</t>
  </si>
  <si>
    <t>Metal profiled sheets</t>
  </si>
  <si>
    <t>45-65-52/445 Custom made metal profiled sheet;</t>
  </si>
  <si>
    <t>Pr_25_71_51_84</t>
  </si>
  <si>
    <t>Stainless steel long strips and sheets</t>
  </si>
  <si>
    <t>45-65-52/405 Stainless steel long strip and sheet;</t>
  </si>
  <si>
    <t>Pr_25_71_51_85</t>
  </si>
  <si>
    <t>Stainless steel profiled sheets</t>
  </si>
  <si>
    <t>45-65-52/410 Stainless steel profiled sheets;</t>
  </si>
  <si>
    <t>Pr_25_71_51_86</t>
  </si>
  <si>
    <t>Stainless steel sheets</t>
  </si>
  <si>
    <t>45-65-52/415 Stainless steel sheet;</t>
  </si>
  <si>
    <t>Pr_25_71_51_87</t>
  </si>
  <si>
    <t>Stainless steel traditional sheets</t>
  </si>
  <si>
    <t>45-65-52/420 Stainless steel traditional sheet;</t>
  </si>
  <si>
    <t>Pr_25_71_51_88</t>
  </si>
  <si>
    <t>Steel plate, sheet and strip</t>
  </si>
  <si>
    <t>45-65-52/385 Steel plate, sheet and strip;</t>
  </si>
  <si>
    <t>Pr_25_71_51_89</t>
  </si>
  <si>
    <t>Steel profiled sheet</t>
  </si>
  <si>
    <t>45-65-52/400 Steel profiled sheet;</t>
  </si>
  <si>
    <t>Pr_25_71_51_97</t>
  </si>
  <si>
    <t>Zinc traditional sheets</t>
  </si>
  <si>
    <t>45-65-52/435 Zinc traditional sheet – standard temper alloy;</t>
  </si>
  <si>
    <t>Pr_25_71_51_98</t>
  </si>
  <si>
    <t>Zinc soft temper alloy strips</t>
  </si>
  <si>
    <t>45-65-52/425 Zinc strip – soft temper alloy;</t>
  </si>
  <si>
    <t>Pr_25_71_51_99</t>
  </si>
  <si>
    <t>Zinc standard temper alloy strips</t>
  </si>
  <si>
    <t>45-65-52/430 Zinc strip – standard temper alloy;</t>
  </si>
  <si>
    <t>Pr_25_71_52</t>
  </si>
  <si>
    <t>Mineral-based boards and sheets</t>
  </si>
  <si>
    <t>Pr_25_71_52_11</t>
  </si>
  <si>
    <t>Carbon-neutral gypsum plasterboards</t>
  </si>
  <si>
    <t>45-45-50/460 Specialist gypsum plasterboards;</t>
  </si>
  <si>
    <t>Pr_25_71_52_12</t>
  </si>
  <si>
    <t>Carbon steel-faced plasterboard panels</t>
  </si>
  <si>
    <t>45-45-50/480 Steel faced plasterboard panel;</t>
  </si>
  <si>
    <t>Pr_25_71_52_13</t>
  </si>
  <si>
    <t>Cellular glass insulation boards</t>
  </si>
  <si>
    <t>45-45-50/325 Cellular glass insulation board;</t>
  </si>
  <si>
    <t>Pr_25_71_52_15</t>
  </si>
  <si>
    <t>Compressed mineral wool fire protection boards</t>
  </si>
  <si>
    <t>45-45-50/330 Compressed mineral wool fire protection board;</t>
  </si>
  <si>
    <t>Pr_25_71_52_17</t>
  </si>
  <si>
    <t>Compressed vermiculite fire protection boards</t>
  </si>
  <si>
    <t>45-45-50/335 Compressed vermiculite fire protection board;</t>
  </si>
  <si>
    <t>Pr_25_71_52_21</t>
  </si>
  <si>
    <t>Enhanced-strength gypsum plasterboards</t>
  </si>
  <si>
    <t>45-45-50/435 Enhanced strength gypsum plasterboard - type R;</t>
  </si>
  <si>
    <t>Pr_25_71_52_22</t>
  </si>
  <si>
    <t>Expanded perlite boards</t>
  </si>
  <si>
    <t>45-45-50/340 Expanded perlite board;</t>
  </si>
  <si>
    <t>Pr_25_71_52_23</t>
  </si>
  <si>
    <t>Fibre-reinforced calcium silicate boards</t>
  </si>
  <si>
    <t>45-45-50/345 Fibre-reinforced calcium silicate board;</t>
  </si>
  <si>
    <t>Pr_25_71_52_24</t>
  </si>
  <si>
    <t>Fibre-reinforced calcium silicate fire protection boards</t>
  </si>
  <si>
    <t>45-45-50/350 Fibre reinforced calcium silicate fire protection board;</t>
  </si>
  <si>
    <t>Pr_25_71_52_25</t>
  </si>
  <si>
    <t>Fibre-reinforced cement boards</t>
  </si>
  <si>
    <t>45-45-50/355 Fibre reinforced cement board;</t>
  </si>
  <si>
    <t>Pr_25_71_52_26</t>
  </si>
  <si>
    <t>Fibre-reinforced cement profiled sheets</t>
  </si>
  <si>
    <t>45-45-50/321 Fibre reinforced cement profiled sheets;</t>
  </si>
  <si>
    <t>Pr_25_71_52_27</t>
  </si>
  <si>
    <t>Fibre-reinforced cement sheets</t>
  </si>
  <si>
    <t>45-45-50/320 Fibre reinforced cement sheet;</t>
  </si>
  <si>
    <t>Pr_25_71_52_28</t>
  </si>
  <si>
    <t>Fibre-reinforced cement weatherboards</t>
  </si>
  <si>
    <t>45-45-50/305 Fibre reinforced cement weatherboard;</t>
  </si>
  <si>
    <t>Pr_25_71_52_29</t>
  </si>
  <si>
    <t>Fibre-reinforced gypsum boards</t>
  </si>
  <si>
    <t>45-45-50/465 Fibre-reinforced gypsum board;</t>
  </si>
  <si>
    <t>Pr_25_71_52_30</t>
  </si>
  <si>
    <t>Fibre-reinforced gypsum floor boards</t>
  </si>
  <si>
    <t>45-45-50/470 Fibre-reinforced gypsum floor board;</t>
  </si>
  <si>
    <t>Pr_25_71_52_31</t>
  </si>
  <si>
    <t>Fibre-reinforced magnesium silicate boards</t>
  </si>
  <si>
    <t>45-45-50/360 Fibre reinforced magnesium silicate board;</t>
  </si>
  <si>
    <t>Pr_25_71_52_32</t>
  </si>
  <si>
    <t>Flexible plasterboards</t>
  </si>
  <si>
    <t>45-45-50/365 Filled fibre reinforced calcium silicate fire protection board;</t>
  </si>
  <si>
    <t>Pr_25_71_52_33</t>
  </si>
  <si>
    <t>Fire-resistant gypsum plasterboards</t>
  </si>
  <si>
    <t>45-45-50/415 Fire-resistant gypsum plasterboard - type F;</t>
  </si>
  <si>
    <t>Pr_25_71_52_34</t>
  </si>
  <si>
    <t>Gypsum baseboards</t>
  </si>
  <si>
    <t>45-45-50/430 Gypsum baseboard - type P;</t>
  </si>
  <si>
    <t>Pr_25_71_52_35</t>
  </si>
  <si>
    <t>Gypsum core boards</t>
  </si>
  <si>
    <t>45-45-50/440 Gypsum core board - type F;</t>
  </si>
  <si>
    <t>Pr_25_71_52_36</t>
  </si>
  <si>
    <t>Gypsum planks</t>
  </si>
  <si>
    <t>45-45-50/395 19 mm gypsum plank - type A;</t>
  </si>
  <si>
    <t>Pr_25_71_52_38</t>
  </si>
  <si>
    <t>Gypsum plasterboards</t>
  </si>
  <si>
    <t>45-45-50/400 10 kg/m2 gypsum plasterboard - type D;</t>
  </si>
  <si>
    <t>Pr_25_71_52_39</t>
  </si>
  <si>
    <t>Gypsum plasterboard with combined properties</t>
  </si>
  <si>
    <t>45-45-50/455 Gypsum plasterboard with combined properties;</t>
  </si>
  <si>
    <t>Pr_25_71_52_40</t>
  </si>
  <si>
    <t>Gypsum sheathing plasterboards</t>
  </si>
  <si>
    <t>45-45-50/410 Gypsum sheathing plasterboard - type E;</t>
  </si>
  <si>
    <t>Pr_25_71_52_41</t>
  </si>
  <si>
    <t>Impact-resistant gypsum plasterboards</t>
  </si>
  <si>
    <t>45-45-50/425 Impact-resistant gypsum plasterboard - type I;</t>
  </si>
  <si>
    <t>Pr_25_71_52_42</t>
  </si>
  <si>
    <t>High-density gypsum plasterboards</t>
  </si>
  <si>
    <t>Pr_25_71_52_47</t>
  </si>
  <si>
    <t>Linoleum composite laminate strips and boards</t>
  </si>
  <si>
    <t>45-20-70/427 Linoleum composite laminate strips and tiles;</t>
  </si>
  <si>
    <t>Pr_25_71_52_50</t>
  </si>
  <si>
    <t>Magnesium oxide boards</t>
  </si>
  <si>
    <t>45-45-50/375 Magnesium oxide board;</t>
  </si>
  <si>
    <t>Pr_25_71_52_52</t>
  </si>
  <si>
    <t>Moisture-resistant gypsum plasterboards</t>
  </si>
  <si>
    <t>45-45-50/420 Moisture-resistant gypsum plasterboard - type H;</t>
  </si>
  <si>
    <t>Pr_25_71_52_63</t>
  </si>
  <si>
    <t>Plasterboard panels</t>
  </si>
  <si>
    <t>45-45-50/475 Prefabricated plasterboard panel;</t>
  </si>
  <si>
    <t>Pr_25_71_52_80</t>
  </si>
  <si>
    <t>Sound insulation gypsum plasterboards</t>
  </si>
  <si>
    <t>45-45-50/405 Sound insulation gypsum plasterboard - type D;</t>
  </si>
  <si>
    <t>Pr_25_71_52_84</t>
  </si>
  <si>
    <t>Standard gypsum plasterboards</t>
  </si>
  <si>
    <t>45-45-50/390 Standard gypsum plasterboard - type A;</t>
  </si>
  <si>
    <t>Pr_25_71_52_88</t>
  </si>
  <si>
    <t>Thermal laminate gypsum plasterboards</t>
  </si>
  <si>
    <t>45-45-50/450 Thermal laminate gypsum plasterboard;</t>
  </si>
  <si>
    <t>Pr_25_71_52_94</t>
  </si>
  <si>
    <t>Vapour check gypsum plasterboards</t>
  </si>
  <si>
    <t>45-45-50/445 Vapour check gypsum plasterboard;</t>
  </si>
  <si>
    <t>Pr_25_71_52_95</t>
  </si>
  <si>
    <t>Vermiculite-silicate fire protection boards</t>
  </si>
  <si>
    <t>45-45-50/370 Vermiculite-silicate fire protection board;</t>
  </si>
  <si>
    <t>Pr_25_71_52_99</t>
  </si>
  <si>
    <t>X-ray resistant gypsum plasterboards</t>
  </si>
  <si>
    <t>Pr_25_71_53</t>
  </si>
  <si>
    <t>Mirrors</t>
  </si>
  <si>
    <t>Pr_25_71_53_06</t>
  </si>
  <si>
    <t>Bathroom mirrors</t>
  </si>
  <si>
    <t>Pr_25_71_53_30</t>
  </si>
  <si>
    <t>Framed glass mirrors</t>
  </si>
  <si>
    <t>Pr_25_71_53_31</t>
  </si>
  <si>
    <t>Framed metal mirrors</t>
  </si>
  <si>
    <t>Pr_25_71_53_32</t>
  </si>
  <si>
    <t>Framed plastics mirrors</t>
  </si>
  <si>
    <t>Pr_25_71_53_46</t>
  </si>
  <si>
    <t>Large mirrors</t>
  </si>
  <si>
    <t>45-35-55/310 Large mirrors;</t>
  </si>
  <si>
    <t>Pr_25_71_53_65</t>
  </si>
  <si>
    <t>Platform mirrors</t>
  </si>
  <si>
    <t>Pr_25_71_53_70</t>
  </si>
  <si>
    <t>Rail mirrors</t>
  </si>
  <si>
    <t>Pr_25_71_53_73</t>
  </si>
  <si>
    <t>Road mirrors</t>
  </si>
  <si>
    <t>Pr_25_71_53_82</t>
  </si>
  <si>
    <t>Small mirrors</t>
  </si>
  <si>
    <t>Pr_25_71_53_91</t>
  </si>
  <si>
    <t>Unframed glass mirrors</t>
  </si>
  <si>
    <t>Pr_25_71_53_92</t>
  </si>
  <si>
    <t>Unframed metal mirrors</t>
  </si>
  <si>
    <t>Pr_25_71_53_93</t>
  </si>
  <si>
    <t>Unframed plastics mirrors</t>
  </si>
  <si>
    <t>Pr_25_71_57</t>
  </si>
  <si>
    <t>Non-metal barrier panels</t>
  </si>
  <si>
    <t>Pr_25_71_57_11</t>
  </si>
  <si>
    <t>Cement-bonded particleboard framed panels</t>
  </si>
  <si>
    <t>45-25-05/450 Cement bonded particleboard panels;</t>
  </si>
  <si>
    <t>Pr_25_71_57_12</t>
  </si>
  <si>
    <t>Concrete base boards</t>
  </si>
  <si>
    <t>45-25-05/310 Precast concrete base boards;</t>
  </si>
  <si>
    <t>Pr_25_71_57_13</t>
  </si>
  <si>
    <t>Concrete parapet base panels</t>
  </si>
  <si>
    <t>Pr_25_71_57_14</t>
  </si>
  <si>
    <t>Concrete base panels</t>
  </si>
  <si>
    <t>Pr_25_71_57_15</t>
  </si>
  <si>
    <t>Concrete fence panel tops</t>
  </si>
  <si>
    <t>45-25-05/315 Precast concrete fence panel tops;</t>
  </si>
  <si>
    <t>Pr_25_71_57_16</t>
  </si>
  <si>
    <t>Concrete fence panels</t>
  </si>
  <si>
    <t>45-25-05/312 Precast concrete fence panels;</t>
  </si>
  <si>
    <t>Pr_25_71_57_17</t>
  </si>
  <si>
    <t>Concrete containment parapet units</t>
  </si>
  <si>
    <t>45-25-05/316 Precast concrete vehicle containment parapet units;</t>
  </si>
  <si>
    <t>Pr_25_71_57_18</t>
  </si>
  <si>
    <t>Concrete safety barrier panels</t>
  </si>
  <si>
    <t>45-25-05/317 Precast concrete vehicle safety barrier units;</t>
  </si>
  <si>
    <t>Pr_25_71_57_19</t>
  </si>
  <si>
    <t>Concrete noise barrier panels</t>
  </si>
  <si>
    <t>Pr_25_71_57_22</t>
  </si>
  <si>
    <t>Decorative concrete fence panels</t>
  </si>
  <si>
    <t>Pr_25_71_57_24</t>
  </si>
  <si>
    <t>Decorative timber panels</t>
  </si>
  <si>
    <t>Pr_25_71_57_34</t>
  </si>
  <si>
    <t>Glass barrier panels</t>
  </si>
  <si>
    <t>Pr_25_71_57_35</t>
  </si>
  <si>
    <t>Glazing plastics framed panels</t>
  </si>
  <si>
    <t>45-25-05/440 Glazing plastics framed panels;</t>
  </si>
  <si>
    <t>Pr_25_71_57_37</t>
  </si>
  <si>
    <t>Hardwood base boards</t>
  </si>
  <si>
    <t>45-25-05/455 Hardwood base boards;</t>
  </si>
  <si>
    <t>Pr_25_71_57_38</t>
  </si>
  <si>
    <t>Hardwood framed panels</t>
  </si>
  <si>
    <t>45-25-05/465 Hardwood panels;</t>
  </si>
  <si>
    <t>Pr_25_71_57_39</t>
  </si>
  <si>
    <t>Hardwood palisade panels</t>
  </si>
  <si>
    <t>45-25-05/460 Hardwood palisade panels;</t>
  </si>
  <si>
    <t>Pr_25_71_57_40</t>
  </si>
  <si>
    <t>Hazel wattle hurdles</t>
  </si>
  <si>
    <t>45-25-05/470 Hazel wattle hurdles;</t>
  </si>
  <si>
    <t>Pr_25_71_57_44</t>
  </si>
  <si>
    <t>Jet blast deflectors</t>
  </si>
  <si>
    <t>45-25-09/300 Jet blast deflector;</t>
  </si>
  <si>
    <t>Pr_25_71_57_60</t>
  </si>
  <si>
    <t>Partition panels</t>
  </si>
  <si>
    <t>45-35-80/420 Panel partitions;</t>
  </si>
  <si>
    <t>Pr_25_71_57_61</t>
  </si>
  <si>
    <t>Partition screens</t>
  </si>
  <si>
    <t>Pr_25_71_57_62</t>
  </si>
  <si>
    <t>Plastics framed panels</t>
  </si>
  <si>
    <t>45-25-05/445 Plastics framed panels;</t>
  </si>
  <si>
    <t>Pr_25_71_57_63</t>
  </si>
  <si>
    <t>Plastics panels</t>
  </si>
  <si>
    <t>45-25-05/435 Plastics panels;</t>
  </si>
  <si>
    <t>Pr_25_71_57_64</t>
  </si>
  <si>
    <t>Plastics panel fence tops</t>
  </si>
  <si>
    <t>45-25-05/430 Plastics panel fence tops;</t>
  </si>
  <si>
    <t>Pr_25_71_57_65</t>
  </si>
  <si>
    <t>Plywood framed panels</t>
  </si>
  <si>
    <t>45-25-05/475 Plywood panels;</t>
  </si>
  <si>
    <t>Pr_25_71_57_66</t>
  </si>
  <si>
    <t>Polymer based boards</t>
  </si>
  <si>
    <t>Pr_25_71_57_67</t>
  </si>
  <si>
    <t>Polymer based panels</t>
  </si>
  <si>
    <t>Pr_25_71_57_73</t>
  </si>
  <si>
    <t>Room divider panels</t>
  </si>
  <si>
    <t>Pr_25_71_57_80</t>
  </si>
  <si>
    <t>Sliding stacking panel partitions</t>
  </si>
  <si>
    <t>45-25-28/370 Sliding stacking panel partitions;</t>
  </si>
  <si>
    <t>Pr_25_71_57_81</t>
  </si>
  <si>
    <t>Softwood base boards</t>
  </si>
  <si>
    <t>45-25-05/485 Softwood base boards;</t>
  </si>
  <si>
    <t>Pr_25_71_57_82</t>
  </si>
  <si>
    <t>Softwood framed panels</t>
  </si>
  <si>
    <t>45-25-05/480 Softwood panels;</t>
  </si>
  <si>
    <t>Pr_25_71_57_83</t>
  </si>
  <si>
    <t>Softwood palisade fence panels</t>
  </si>
  <si>
    <t>45-25-05/490 Softwood palisade fence panels;</t>
  </si>
  <si>
    <t>Pr_25_71_57_87</t>
  </si>
  <si>
    <t>Timber base boards</t>
  </si>
  <si>
    <t>Pr_25_71_57_88</t>
  </si>
  <si>
    <t>Timber board panels</t>
  </si>
  <si>
    <t>Pr_25_71_57_90</t>
  </si>
  <si>
    <t>Timber sheet panels</t>
  </si>
  <si>
    <t>Pr_25_71_57_97</t>
  </si>
  <si>
    <t>Wattle hurdles</t>
  </si>
  <si>
    <t>Pr_25_71_57_98</t>
  </si>
  <si>
    <t>Willow wattle hurdles</t>
  </si>
  <si>
    <t>45-25-05/495 Willow wattle hurdles;</t>
  </si>
  <si>
    <t>Pr_25_71_63</t>
  </si>
  <si>
    <t>Plastics-based boards and sheets</t>
  </si>
  <si>
    <t>Pr_25_71_63_15</t>
  </si>
  <si>
    <t>Compact or solid grade high-pressure laminate (HPL) boards</t>
  </si>
  <si>
    <t>45-45-65/360 Compact or solid grade laminates (HPL);</t>
  </si>
  <si>
    <t>Pr_25_71_63_24</t>
  </si>
  <si>
    <t>Drainage layer corrugated boards</t>
  </si>
  <si>
    <t>45-45-65/370 Corrugated board drainage layers;</t>
  </si>
  <si>
    <t>Pr_25_71_63_26</t>
  </si>
  <si>
    <t>Expanded polystyrene (EPS) boards</t>
  </si>
  <si>
    <t>45-45-65/380 Expanded polystyrene (EPS) board;</t>
  </si>
  <si>
    <t>Pr_25_71_63_27</t>
  </si>
  <si>
    <t>Extruded polyethylene (PE) foam boards</t>
  </si>
  <si>
    <t>45-45-65/390 Extruded polyethylene foam board;</t>
  </si>
  <si>
    <t>Pr_25_71_63_29</t>
  </si>
  <si>
    <t>Extruded polystyrene (XPS) boards</t>
  </si>
  <si>
    <t>45-45-65/410 Extruded polystyrene (XPS) board;</t>
  </si>
  <si>
    <t>Pr_25_71_63_33</t>
  </si>
  <si>
    <t>Glass-reinforced plastics (GRP) profiled panels</t>
  </si>
  <si>
    <t>Pr_25_71_63_34</t>
  </si>
  <si>
    <t>Glass-reinforced plastics (GRP) profiled sheets</t>
  </si>
  <si>
    <t>45-65-60/340 GRP profiled sheets;</t>
  </si>
  <si>
    <t>Pr_25_71_63_38</t>
  </si>
  <si>
    <t>Hollow-core plastics sheets</t>
  </si>
  <si>
    <t>Pr_25_71_63_59</t>
  </si>
  <si>
    <t>Phenolic foam boards</t>
  </si>
  <si>
    <t>45-45-65/420 Phenolic foam board;</t>
  </si>
  <si>
    <t>Pr_25_71_63_60</t>
  </si>
  <si>
    <t>Plastics and composite material boards</t>
  </si>
  <si>
    <t>45-45-65/330 Plastics and composite material boards;</t>
  </si>
  <si>
    <t>Pr_25_71_63_61</t>
  </si>
  <si>
    <t>Plastics base boards</t>
  </si>
  <si>
    <t>45-25-05/425 Plastics base boards;</t>
  </si>
  <si>
    <t>Pr_25_71_63_62</t>
  </si>
  <si>
    <t>Plastics composite and recycled sheets</t>
  </si>
  <si>
    <t>Pr_25_71_63_63</t>
  </si>
  <si>
    <t>Plastics composite laminate strips and boards</t>
  </si>
  <si>
    <t>45-45-65/310 Plastics composite laminate strips and boards;</t>
  </si>
  <si>
    <t>Pr_25_71_63_64</t>
  </si>
  <si>
    <t>Plastics weatherboards</t>
  </si>
  <si>
    <t>45-45-65/320 Plastics weatherboards;</t>
  </si>
  <si>
    <t>Pr_25_71_63_65</t>
  </si>
  <si>
    <t>Polycarbonate profiled sheets</t>
  </si>
  <si>
    <t>45-65-60/350 Polycarbonate profiled sheets;</t>
  </si>
  <si>
    <t>Pr_25_71_63_66</t>
  </si>
  <si>
    <t>Polyisocyanurate (PIR) foam boards</t>
  </si>
  <si>
    <t>45-45-65/430 Polyisocyanurate (PIR) foam board;</t>
  </si>
  <si>
    <t>Pr_25_71_63_67</t>
  </si>
  <si>
    <t>Polyurethane (PUR) foam boards</t>
  </si>
  <si>
    <t>45-45-65/440 Polyurethane (PUR) foam board;</t>
  </si>
  <si>
    <t>Pr_25_71_63_72</t>
  </si>
  <si>
    <t>Recycled plastics deck boards</t>
  </si>
  <si>
    <t>45-45-65/350 Recycled plastics deck boards;</t>
  </si>
  <si>
    <t>Pr_25_71_63_81</t>
  </si>
  <si>
    <t>Solid surface resin-based sheets</t>
  </si>
  <si>
    <t>Pr_25_71_63_92</t>
  </si>
  <si>
    <t>Unplasticized polyvinyl chloride (PVC-U) deck boards</t>
  </si>
  <si>
    <t>45-45-65/340 PVC-U deck boards;</t>
  </si>
  <si>
    <t>Pr_25_71_63_93</t>
  </si>
  <si>
    <t>Unplasticized polyvinyl chloride (PVC-U) profiled sheets</t>
  </si>
  <si>
    <t>45-65-60/360 PVC-U profiled sheets;</t>
  </si>
  <si>
    <t>Pr_25_71_94</t>
  </si>
  <si>
    <t>Veneers and facings</t>
  </si>
  <si>
    <t>Pr_25_71_94_06</t>
  </si>
  <si>
    <t>Balancing veneers</t>
  </si>
  <si>
    <t>45-65-95/310 Balancing veneers;</t>
  </si>
  <si>
    <t>Pr_25_71_94_22</t>
  </si>
  <si>
    <t>Decorative continuous laminates (DCL or CPL)</t>
  </si>
  <si>
    <t>45-65-95/315 Decorative continuous laminates (DCL or CPL);</t>
  </si>
  <si>
    <t>Pr_25_71_94_29</t>
  </si>
  <si>
    <t>Fabric facings</t>
  </si>
  <si>
    <t>45-65-95/335 Decorative facings;</t>
  </si>
  <si>
    <t>Pr_25_71_94_37</t>
  </si>
  <si>
    <t>High-pressure decorative laminates (HPL or HPDL)</t>
  </si>
  <si>
    <t>45-65-95/320 High pressure decorative laminate (HPL or HPDL);</t>
  </si>
  <si>
    <t>Pr_25_71_94_46</t>
  </si>
  <si>
    <t>Leather facings</t>
  </si>
  <si>
    <t>45-65-95/325 Specialist facings;</t>
  </si>
  <si>
    <t>Pr_25_71_94_51</t>
  </si>
  <si>
    <t>Melamine veneer facings</t>
  </si>
  <si>
    <t>Pr_25_71_94_52</t>
  </si>
  <si>
    <t>Metal sheet facings</t>
  </si>
  <si>
    <t>Pr_25_71_94_94</t>
  </si>
  <si>
    <t>Veneer edgings and lippings</t>
  </si>
  <si>
    <t>45-65-95/330 Edgings and lippings;</t>
  </si>
  <si>
    <t>Pr_25_71_94_95</t>
  </si>
  <si>
    <t>Vinyl sheet facings</t>
  </si>
  <si>
    <t>Pr_25_71_94_98</t>
  </si>
  <si>
    <t>Wood veneers</t>
  </si>
  <si>
    <t>45-65-95/305 Wood veneers;</t>
  </si>
  <si>
    <t>Pr_25_71_97</t>
  </si>
  <si>
    <t>Wood-based boards</t>
  </si>
  <si>
    <t>Pr_25_71_97_05</t>
  </si>
  <si>
    <t>Bitumen-impregnated fibreboards</t>
  </si>
  <si>
    <t>Pr_25_71_97_07</t>
  </si>
  <si>
    <t>Bitumen-impregnated softboards</t>
  </si>
  <si>
    <t>45-45-95/395 Bitumen impregnated softboard;</t>
  </si>
  <si>
    <t>Pr_25_71_97_08</t>
  </si>
  <si>
    <t>Blockboard core plywoods</t>
  </si>
  <si>
    <t>45-45-95/405 Blockboard core plywood;</t>
  </si>
  <si>
    <t>Pr_25_71_97_12</t>
  </si>
  <si>
    <t>Cement-bonded particleboards</t>
  </si>
  <si>
    <t>45-45-95/410 Cement-bonded particleboard;</t>
  </si>
  <si>
    <t>Pr_25_71_97_16</t>
  </si>
  <si>
    <t>Corkboards</t>
  </si>
  <si>
    <t>45-45-95/415 Corkboard;</t>
  </si>
  <si>
    <t>Pr_25_71_97_17</t>
  </si>
  <si>
    <t>Cork composite laminate strips and boards</t>
  </si>
  <si>
    <t>45-45-95/310 Cork composite laminate strips and boards;</t>
  </si>
  <si>
    <t>Pr_25_71_97_21</t>
  </si>
  <si>
    <t>Decorative laminated papers</t>
  </si>
  <si>
    <t>Pr_25_71_97_22</t>
  </si>
  <si>
    <t>Decorative laminated plastics sheet veneered panels</t>
  </si>
  <si>
    <t>45-45-95/425 Decorative laminated plastics sheet veneered panels;</t>
  </si>
  <si>
    <t>Pr_25_71_97_30</t>
  </si>
  <si>
    <t>Fire-retardant plywoods</t>
  </si>
  <si>
    <t>Pr_25_71_97_33</t>
  </si>
  <si>
    <t>General and utility veneer plywoods</t>
  </si>
  <si>
    <t>45-45-95/430 General or utility veneer plywood;</t>
  </si>
  <si>
    <t>Pr_25_71_97_34</t>
  </si>
  <si>
    <t>Gypsum-bonded fire protection boards</t>
  </si>
  <si>
    <t>45-45-95/435 Gypsum bonded wood particle boards and fire protection boards;</t>
  </si>
  <si>
    <t>Pr_25_71_97_35</t>
  </si>
  <si>
    <t>Gypsum-bonded wood particle boards</t>
  </si>
  <si>
    <t>Pr_25_71_97_36</t>
  </si>
  <si>
    <t>Hardboards</t>
  </si>
  <si>
    <t>45-45-95/440 Hardboard;</t>
  </si>
  <si>
    <t>Pr_25_71_97_37</t>
  </si>
  <si>
    <t>Hardwood deck boards</t>
  </si>
  <si>
    <t>45-45-95/315 Hardwood deck boards;</t>
  </si>
  <si>
    <t>Pr_25_71_97_38</t>
  </si>
  <si>
    <t>Hardwood fence boards</t>
  </si>
  <si>
    <t>45-45-95/320 Hardwood fence boards;</t>
  </si>
  <si>
    <t>Pr_25_71_97_42</t>
  </si>
  <si>
    <t>Hardwood strips</t>
  </si>
  <si>
    <t>45-45-95/390 Wood strips and boards;</t>
  </si>
  <si>
    <t>Pr_25_71_97_43</t>
  </si>
  <si>
    <t>Hardwood weatherboards</t>
  </si>
  <si>
    <t>45-45-95/325 Hardwood weatherboards;</t>
  </si>
  <si>
    <t>Pr_25_71_97_44</t>
  </si>
  <si>
    <t>Hollow-core particleboards</t>
  </si>
  <si>
    <t>Pr_25_71_97_46</t>
  </si>
  <si>
    <t>Laminboard core plywoods</t>
  </si>
  <si>
    <t>45-45-95/445 Laminboard core plywood;</t>
  </si>
  <si>
    <t>Pr_25_71_97_50</t>
  </si>
  <si>
    <t>Marine plywoods</t>
  </si>
  <si>
    <t>45-45-95/450 Marine plywood;</t>
  </si>
  <si>
    <t>Pr_25_71_97_52</t>
  </si>
  <si>
    <t>Medium boards</t>
  </si>
  <si>
    <t>45-45-95/455 Medium board;</t>
  </si>
  <si>
    <t>Pr_25_71_97_53</t>
  </si>
  <si>
    <t>Medium density fibreboards</t>
  </si>
  <si>
    <t>45-45-95/460 Medium density fibreboard;</t>
  </si>
  <si>
    <t>Pr_25_71_97_54</t>
  </si>
  <si>
    <t>Modified wood boards</t>
  </si>
  <si>
    <t>45-45-95/330 Modified wood boards;</t>
  </si>
  <si>
    <t>Pr_25_71_97_55</t>
  </si>
  <si>
    <t>Modified wood weather boards</t>
  </si>
  <si>
    <t>45-45-95/332 Modified wood weather boards;</t>
  </si>
  <si>
    <t>Pr_25_71_97_58</t>
  </si>
  <si>
    <t>Oriented strand boards</t>
  </si>
  <si>
    <t>45-45-95/465 Oriented strand board;</t>
  </si>
  <si>
    <t>Pr_25_71_97_60</t>
  </si>
  <si>
    <t>Particleboards</t>
  </si>
  <si>
    <t>45-45-95/470 Particleboard;</t>
  </si>
  <si>
    <t>Pr_25_71_97_65</t>
  </si>
  <si>
    <t>Polymer-coated plywoods</t>
  </si>
  <si>
    <t>Pr_25_71_97_77</t>
  </si>
  <si>
    <t>Softboards</t>
  </si>
  <si>
    <t>45-45-95/475 Softboard;</t>
  </si>
  <si>
    <t>Pr_25_71_97_78</t>
  </si>
  <si>
    <t>Softwood deck boards</t>
  </si>
  <si>
    <t>45-45-95/335 Softwood deck boards;</t>
  </si>
  <si>
    <t>Pr_25_71_97_79</t>
  </si>
  <si>
    <t>Softwood fence boards</t>
  </si>
  <si>
    <t>45-45-95/340 Softwood fence boards;</t>
  </si>
  <si>
    <t>Pr_25_71_97_83</t>
  </si>
  <si>
    <t>Softwood strips</t>
  </si>
  <si>
    <t>Pr_25_71_97_84</t>
  </si>
  <si>
    <t>Softwood weatherboards</t>
  </si>
  <si>
    <t>45-45-95/350 Softwood weatherboards;</t>
  </si>
  <si>
    <t>Pr_25_71_97_85</t>
  </si>
  <si>
    <t>Specialist veneer plywoods</t>
  </si>
  <si>
    <t>45-45-95/480 Specialist veneer plywood;</t>
  </si>
  <si>
    <t>Pr_25_71_97_86</t>
  </si>
  <si>
    <t>Structural veneer plywoods</t>
  </si>
  <si>
    <t>45-45-95/485 Structural veneer plywood;</t>
  </si>
  <si>
    <t>Pr_25_71_97_87</t>
  </si>
  <si>
    <t>Timber floor boards</t>
  </si>
  <si>
    <t>45-45-95/355 Timber floor boards;</t>
  </si>
  <si>
    <t>Pr_25_71_97_88</t>
  </si>
  <si>
    <t>Timber lining boards</t>
  </si>
  <si>
    <t>45-45-95/360 Timber lining boards;</t>
  </si>
  <si>
    <t>Pr_25_71_97_89</t>
  </si>
  <si>
    <t>Timber sarking boards</t>
  </si>
  <si>
    <t>45-45-95/365 Timber sarking boards;</t>
  </si>
  <si>
    <t>Pr_25_71_97_91</t>
  </si>
  <si>
    <t>Visual grade general veneer plywoods</t>
  </si>
  <si>
    <t>45-45-95/487 Visual grade general veneer plywood;</t>
  </si>
  <si>
    <t>Pr_25_71_97_92</t>
  </si>
  <si>
    <t>Wood fibre boards</t>
  </si>
  <si>
    <t>Pr_25_71_97_93</t>
  </si>
  <si>
    <t>Wood laminate strips and boards</t>
  </si>
  <si>
    <t>45-45-95/370 Wood laminate strips and boards;</t>
  </si>
  <si>
    <t>Pr_25_71_97_94</t>
  </si>
  <si>
    <t>Wood-plastics composite deck boards</t>
  </si>
  <si>
    <t>45-45-95/385 Wood plastics composite deck boards;</t>
  </si>
  <si>
    <t>Pr_25_71_97_95</t>
  </si>
  <si>
    <t>Wood-plastics composite weatherboards</t>
  </si>
  <si>
    <t>45-45-95/375 Wood-plastics composite weatherboards;</t>
  </si>
  <si>
    <t>Pr_25_71_97_97</t>
  </si>
  <si>
    <t>Wood-wool boards</t>
  </si>
  <si>
    <t>45-45-95/495 Wood wool board;</t>
  </si>
  <si>
    <t>Pr_25_71_97_98</t>
  </si>
  <si>
    <t>Wood-resin composite weatherboards</t>
  </si>
  <si>
    <t>45-45-95/380 Wood-resin composite weatherboards;</t>
  </si>
  <si>
    <t>Pr_25_80</t>
  </si>
  <si>
    <t>Smoke and fire control products</t>
  </si>
  <si>
    <t>Pr_25_80_79</t>
  </si>
  <si>
    <t>Smoke and fire barriers</t>
  </si>
  <si>
    <t>Pr_25_80_79_01</t>
  </si>
  <si>
    <t>Active smoke barriers</t>
  </si>
  <si>
    <t>90-45-80/320 Standard active smoke barriers;</t>
  </si>
  <si>
    <t>Pr_25_80_79_14</t>
  </si>
  <si>
    <t>Concertina fire curtains</t>
  </si>
  <si>
    <t>Pr_25_80_79_15</t>
  </si>
  <si>
    <t>Concertina smoke curtains</t>
  </si>
  <si>
    <t>Pr_25_80_79_37</t>
  </si>
  <si>
    <t>High temperature active smoke barriers</t>
  </si>
  <si>
    <t>90-45-80/330 High temperature active smoke barriers;</t>
  </si>
  <si>
    <t>Pr_25_80_79_38</t>
  </si>
  <si>
    <t>Horizontal fire curtains</t>
  </si>
  <si>
    <t>Pr_25_80_79_39</t>
  </si>
  <si>
    <t>Horizontal smoke curtains</t>
  </si>
  <si>
    <t>Pr_25_80_79_86</t>
  </si>
  <si>
    <t>Static smoke barriers</t>
  </si>
  <si>
    <t>90-45-80/310 Static smoke barriers;</t>
  </si>
  <si>
    <t>Pr_25_80_79_94</t>
  </si>
  <si>
    <t>Vertical fire curtains</t>
  </si>
  <si>
    <t>Pr_25_80_79_95</t>
  </si>
  <si>
    <t>Vertical smoke curtains</t>
  </si>
  <si>
    <t>Pr_25_80_79_96</t>
  </si>
  <si>
    <t>Vertical smoke strip curtains</t>
  </si>
  <si>
    <t>Pr_25_80_80</t>
  </si>
  <si>
    <t>Smoke and fire cavity barriers</t>
  </si>
  <si>
    <t>Pr_25_80_80_14</t>
  </si>
  <si>
    <t>Coated woven glass fibre cloth flexible cavity barriers</t>
  </si>
  <si>
    <t>45-45-70/445 Coated woven glass fibre cloth flexible cavity barriers;</t>
  </si>
  <si>
    <t>Pr_25_80_80_30</t>
  </si>
  <si>
    <t>Fire insulating caps</t>
  </si>
  <si>
    <t>45-45-70/430 Fire insulating caps;</t>
  </si>
  <si>
    <t>Pr_25_80_80_42</t>
  </si>
  <si>
    <t>Intumescent coated foil mesh flexible cavity barriers</t>
  </si>
  <si>
    <t>45-45-70/460 Intumescent coated foil mesh flexible cavity barriers;</t>
  </si>
  <si>
    <t>Pr_25_80_80_43</t>
  </si>
  <si>
    <t>Intumescent sheet cavity barriers</t>
  </si>
  <si>
    <t>45-45-70/470 Intumescent sheet cavity barriers;</t>
  </si>
  <si>
    <t>Pr_25_80_80_44</t>
  </si>
  <si>
    <t>Intumescent sleeved mineral wool cavity fire barriers</t>
  </si>
  <si>
    <t>45-45-70/475 Intumescent sleeved mineral wool cavity fire barriers;</t>
  </si>
  <si>
    <t>Pr_25_80_80_51</t>
  </si>
  <si>
    <t>Mineral wool wire reinforced mattress cavity barriers</t>
  </si>
  <si>
    <t>45-45-70/440 Mineral wool wire reinforced mattress cavity barriers;</t>
  </si>
  <si>
    <t>Pr_25_80_80_79</t>
  </si>
  <si>
    <t>Sleeved mineral wool small cavity barriers</t>
  </si>
  <si>
    <t>45-45-70/465 Sleeved mineral wool small cavity barriers;</t>
  </si>
  <si>
    <t>Pr_25_80_80_82</t>
  </si>
  <si>
    <t>Sprayed mineral coated wire mesh flexible cavity barriers</t>
  </si>
  <si>
    <t>45-45-70/455 Sprayed mineral coated wire mesh flexible cavity barriers;</t>
  </si>
  <si>
    <t>Pr_25_80_80_96</t>
  </si>
  <si>
    <t>Wired mineral wool batt flexible cavity barriers</t>
  </si>
  <si>
    <t>45-45-70/450 Wired mineral wool batt flexible cavity barriers;</t>
  </si>
  <si>
    <t>Pr_25_80_81</t>
  </si>
  <si>
    <t>Smoke and fire stopping</t>
  </si>
  <si>
    <t>Pr_25_80_81_12</t>
  </si>
  <si>
    <t>Ceramic fibre fire stopping</t>
  </si>
  <si>
    <t>45-45-70/425 Ceramic fibre fire protection;</t>
  </si>
  <si>
    <t>Pr_25_80_81_29</t>
  </si>
  <si>
    <t>Flexible intumescent gap seals</t>
  </si>
  <si>
    <t>45-45-70/433 Flexible intumescent gap sealer;</t>
  </si>
  <si>
    <t>Pr_25_80_81_34</t>
  </si>
  <si>
    <t>Glass oxide fire stopping</t>
  </si>
  <si>
    <t>Pr_25_80_81_42</t>
  </si>
  <si>
    <t>Intumescent linear gap seals</t>
  </si>
  <si>
    <t>90-55-10-470 Intumescent linear gap seals;</t>
  </si>
  <si>
    <t>Pr_25_80_81_43</t>
  </si>
  <si>
    <t>Intumescent pillows</t>
  </si>
  <si>
    <t>45-45-70/435 Intumescent pillows;</t>
  </si>
  <si>
    <t>Pr_25_80_81_44</t>
  </si>
  <si>
    <t>Intumescent trunking pillows</t>
  </si>
  <si>
    <t>90-55-10/475 Intumescent trunking pillows;</t>
  </si>
  <si>
    <t>Pr_25_80_81_51</t>
  </si>
  <si>
    <t>Mineral wool fire stopping</t>
  </si>
  <si>
    <t>45-45-70/427 Mineral wool fire stopping;</t>
  </si>
  <si>
    <t>Pr_25_93</t>
  </si>
  <si>
    <t>Unit skin products</t>
  </si>
  <si>
    <t>Pr_25_93_45</t>
  </si>
  <si>
    <t>Kerb units</t>
  </si>
  <si>
    <t>Pr_25_93_45_05</t>
  </si>
  <si>
    <t>Asphalt kerbs</t>
  </si>
  <si>
    <t>Pr_25_93_45_18</t>
  </si>
  <si>
    <t>Concrete kerbs</t>
  </si>
  <si>
    <t>45-20-64/370 Precast concrete kerbs;</t>
  </si>
  <si>
    <t>Pr_25_93_45_21</t>
  </si>
  <si>
    <t>Concrete safety kerbs</t>
  </si>
  <si>
    <t>45-20-64/385 Precast concrete safety kerbs;</t>
  </si>
  <si>
    <t>Pr_25_93_45_24</t>
  </si>
  <si>
    <t>Concrete transition and dropper kerbs</t>
  </si>
  <si>
    <t>45-20-64/380 Precast concrete transition and dropper kerbs;</t>
  </si>
  <si>
    <t>Pr_25_93_45_26</t>
  </si>
  <si>
    <t>Conservation kerbs</t>
  </si>
  <si>
    <t>Pr_25_93_45_56</t>
  </si>
  <si>
    <t>Natural stone kerbs</t>
  </si>
  <si>
    <t>45-20-64/315 Natural stone kerb units;</t>
  </si>
  <si>
    <t>Pr_25_93_45_60</t>
  </si>
  <si>
    <t>Pin kerbs</t>
  </si>
  <si>
    <t>Pr_25_93_45_62</t>
  </si>
  <si>
    <t>Plastics kerbs</t>
  </si>
  <si>
    <t>45-20-64/430 Polymer kerbs;</t>
  </si>
  <si>
    <t>Pr_25_93_45_70</t>
  </si>
  <si>
    <t>Road kerbs</t>
  </si>
  <si>
    <t>Pr_25_93_45_90</t>
  </si>
  <si>
    <t>Transition kerbs</t>
  </si>
  <si>
    <t>Pr_25_93_47</t>
  </si>
  <si>
    <t>Level crossing surfacing products</t>
  </si>
  <si>
    <t>Pr_25_93_47_27</t>
  </si>
  <si>
    <t>Embedded rail modular concrete level crossing units</t>
  </si>
  <si>
    <t>45-20-50/310 Embedded rail modular precast concrete level crossing unit;</t>
  </si>
  <si>
    <t>Pr_25_93_47_52</t>
  </si>
  <si>
    <t>Modular panel level crossings</t>
  </si>
  <si>
    <t>45-20-50/305 Modular panel level crossing;</t>
  </si>
  <si>
    <t>Pr_25_93_50</t>
  </si>
  <si>
    <t>Masonry capping and coping units</t>
  </si>
  <si>
    <t>Pr_25_93_50_10</t>
  </si>
  <si>
    <t>Calcium silicate capping units</t>
  </si>
  <si>
    <t>Pr_25_93_50_11</t>
  </si>
  <si>
    <t>Calcium silicate coping units</t>
  </si>
  <si>
    <t>Pr_25_93_50_13</t>
  </si>
  <si>
    <t>Cast stone capping units</t>
  </si>
  <si>
    <t>45-25-75/344 Cast stone capping units;</t>
  </si>
  <si>
    <t>Pr_25_93_50_14</t>
  </si>
  <si>
    <t>Cast stone coping units</t>
  </si>
  <si>
    <t>45-25-75/314 Cast stone coping units;</t>
  </si>
  <si>
    <t>Pr_25_93_50_16</t>
  </si>
  <si>
    <t>Clay brick capping units</t>
  </si>
  <si>
    <t>45-25-75/352 Clay brick capping units;</t>
  </si>
  <si>
    <t>Pr_25_93_50_17</t>
  </si>
  <si>
    <t>Clay brick coping units</t>
  </si>
  <si>
    <t>45-25-75/322 Clay brick coping units;</t>
  </si>
  <si>
    <t>Pr_25_93_50_19</t>
  </si>
  <si>
    <t>Clayware capping units</t>
  </si>
  <si>
    <t>45-25-75/340 Clayware capping units;</t>
  </si>
  <si>
    <t>Pr_25_93_50_20</t>
  </si>
  <si>
    <t>Clayware coping units</t>
  </si>
  <si>
    <t>45-25-75/310 Clayware coping units;</t>
  </si>
  <si>
    <t>Pr_25_93_50_22</t>
  </si>
  <si>
    <t>Concrete capping units</t>
  </si>
  <si>
    <t>45-25-75/342 Precast concrete capping units;</t>
  </si>
  <si>
    <t>Pr_25_93_50_23</t>
  </si>
  <si>
    <t>Concrete coping units</t>
  </si>
  <si>
    <t>45-25-75/312 Precast concrete coping units;</t>
  </si>
  <si>
    <t>Pr_25_93_50_34</t>
  </si>
  <si>
    <t>Glass-reinforced concrete (GRC) coping units</t>
  </si>
  <si>
    <t>45-25-75/324 Glass fibre reinforced concrete (GRC) copings;</t>
  </si>
  <si>
    <t>Pr_25_93_50_55</t>
  </si>
  <si>
    <t>Natural stone capping units</t>
  </si>
  <si>
    <t>45-25-75/348 Natural stone capping units;</t>
  </si>
  <si>
    <t>Pr_25_93_50_56</t>
  </si>
  <si>
    <t>Natural stone coping units</t>
  </si>
  <si>
    <t>45-25-75/318 Natural stone coping units;</t>
  </si>
  <si>
    <t>Pr_25_93_50_76</t>
  </si>
  <si>
    <t>Slate capping units</t>
  </si>
  <si>
    <t>45-25-75/346 Slate capping units;</t>
  </si>
  <si>
    <t>Pr_25_93_50_77</t>
  </si>
  <si>
    <t>Slate coping units</t>
  </si>
  <si>
    <t>45-25-75/316 Slate coping units;</t>
  </si>
  <si>
    <t>Pr_25_93_51</t>
  </si>
  <si>
    <t>Masonry dressing units</t>
  </si>
  <si>
    <t>Pr_25_93_51_35</t>
  </si>
  <si>
    <t>Glass-reinforced concrete (GRC) built-in gable vents</t>
  </si>
  <si>
    <t>45-80-50/417 Glass fibre reinforced concrete (GRC) gable vents;</t>
  </si>
  <si>
    <t>Pr_25_93_51_36</t>
  </si>
  <si>
    <t>Glass-reinforced concrete (GRC) built-in keystones</t>
  </si>
  <si>
    <t>45-80-50/415 Glass fibre reinforced concrete (GRC) clip over keystones;</t>
  </si>
  <si>
    <t>Pr_25_93_51_37</t>
  </si>
  <si>
    <t>Glass-reinforced concrete (GRC) built-in plinths and string courses</t>
  </si>
  <si>
    <t>45-80-50/421 Glass fibre reinforced concrete (GRC) plinths and string courses;</t>
  </si>
  <si>
    <t>Pr_25_93_51_38</t>
  </si>
  <si>
    <t>Glass-reinforced concrete (GRC) built-in quoins</t>
  </si>
  <si>
    <t>45-80-50/423 Glass fibre reinforced concrete (GRC) quoins;</t>
  </si>
  <si>
    <t>Pr_25_93_51_39</t>
  </si>
  <si>
    <t>Glass-reinforced concrete (GRC) dressing gable vents</t>
  </si>
  <si>
    <t>Pr_25_93_51_40</t>
  </si>
  <si>
    <t>Glass-reinforced concrete (GRC) dressing keystones</t>
  </si>
  <si>
    <t>45-75-30/380 Glass fibre reinforced concrete (GRC) keystones;</t>
  </si>
  <si>
    <t>Pr_25_93_51_41</t>
  </si>
  <si>
    <t>Glass-reinforced concrete (GRC) dressing plinths and string courses</t>
  </si>
  <si>
    <t>45-75-30/390 Glass fibre reinforced concrete (GRC) plinths and string courses;</t>
  </si>
  <si>
    <t>Pr_25_93_51_42</t>
  </si>
  <si>
    <t>Glass-reinforced concrete (GRC) dressing quoins</t>
  </si>
  <si>
    <t>45-75-30/395 Glass fibre reinforced concrete (GRC) quoins;</t>
  </si>
  <si>
    <t>Pr_25_93_51_56</t>
  </si>
  <si>
    <t>Natural stone cornices</t>
  </si>
  <si>
    <t>Pr_25_93_51_57</t>
  </si>
  <si>
    <t>Natural stone dentils</t>
  </si>
  <si>
    <t>Pr_25_93_51_58</t>
  </si>
  <si>
    <t>Natural stone quoins</t>
  </si>
  <si>
    <t>Pr_25_93_52</t>
  </si>
  <si>
    <t>Masonry openings units</t>
  </si>
  <si>
    <t>Pr_25_93_52_11</t>
  </si>
  <si>
    <t>Calcium silicate sills</t>
  </si>
  <si>
    <t>Pr_25_93_52_12</t>
  </si>
  <si>
    <t>Cast stone sills</t>
  </si>
  <si>
    <t>45-25-75/374 Cast stone sills;</t>
  </si>
  <si>
    <t>Pr_25_93_52_13</t>
  </si>
  <si>
    <t>Clay brick sills</t>
  </si>
  <si>
    <t>45-25-75/382 Clay brick sills;</t>
  </si>
  <si>
    <t>Pr_25_93_52_14</t>
  </si>
  <si>
    <t>Clayware sills</t>
  </si>
  <si>
    <t>45-25-75/370 Clayware sills;</t>
  </si>
  <si>
    <t>Pr_25_93_52_15</t>
  </si>
  <si>
    <t>Concrete sills</t>
  </si>
  <si>
    <t>45-25-75/372 Precast concrete sills;</t>
  </si>
  <si>
    <t>Pr_25_93_52_28</t>
  </si>
  <si>
    <t>External extension sills</t>
  </si>
  <si>
    <t>45-25-75/410 External extension sills;</t>
  </si>
  <si>
    <t>Pr_25_93_52_33</t>
  </si>
  <si>
    <t>Glass-reinforced concrete (GRC) bay window sills</t>
  </si>
  <si>
    <t>45-25-75/384 Glass fibre reinforced concrete (GRC) bay window sills;</t>
  </si>
  <si>
    <t>Pr_25_93_52_34</t>
  </si>
  <si>
    <t>Glass-reinforced concrete (GRC) door canopies</t>
  </si>
  <si>
    <t>45-75-30/365 Glass fibre reinforced concrete (GRC) door canopies;</t>
  </si>
  <si>
    <t>Pr_25_93_52_35</t>
  </si>
  <si>
    <t>Glass-reinforced concrete (GRC) door surrounds</t>
  </si>
  <si>
    <t>45-75-30/370 Glass fibre reinforced concrete (GRC) door surrounds;</t>
  </si>
  <si>
    <t>Pr_25_93_52_36</t>
  </si>
  <si>
    <t>Glass-reinforced concrete (GRC) sills</t>
  </si>
  <si>
    <t>45-25-75/385 Glass fibre reinforced concrete (GRC) sills;</t>
  </si>
  <si>
    <t>Pr_25_93_52_37</t>
  </si>
  <si>
    <t>Glass-reinforced concrete (GRC) fireplace and hearth surrounds</t>
  </si>
  <si>
    <t>45-75-30/375 Glass fibre reinforced concrete (GRC) fireplace surrounds and hearths;</t>
  </si>
  <si>
    <t>Pr_25_93_52_56</t>
  </si>
  <si>
    <t>Natural stone sills</t>
  </si>
  <si>
    <t>45-25-75/378 Natural stone sills;</t>
  </si>
  <si>
    <t>Pr_25_93_52_76</t>
  </si>
  <si>
    <t>Slate sills</t>
  </si>
  <si>
    <t>45-25-75/376 Slate sills;</t>
  </si>
  <si>
    <t>Pr_25_93_54</t>
  </si>
  <si>
    <t>Metal capping and coping units</t>
  </si>
  <si>
    <t>Pr_25_93_54_02</t>
  </si>
  <si>
    <t>Aluminium capping units</t>
  </si>
  <si>
    <t>45-25-75/356 Aluminium capping units;</t>
  </si>
  <si>
    <t>Pr_25_93_54_03</t>
  </si>
  <si>
    <t>Aluminium coping units</t>
  </si>
  <si>
    <t>45-25-75/326 Aluminium coping units;</t>
  </si>
  <si>
    <t>Pr_25_93_54_11</t>
  </si>
  <si>
    <t>Carbon steel capping units</t>
  </si>
  <si>
    <t>Pr_25_93_54_12</t>
  </si>
  <si>
    <t>Carbon steel coping units</t>
  </si>
  <si>
    <t>Pr_25_93_54_15</t>
  </si>
  <si>
    <t>Copper capping units</t>
  </si>
  <si>
    <t>Pr_25_93_54_16</t>
  </si>
  <si>
    <t>Copper coping units</t>
  </si>
  <si>
    <t>Pr_25_93_54_46</t>
  </si>
  <si>
    <t>Lead capping units</t>
  </si>
  <si>
    <t>Pr_25_93_54_47</t>
  </si>
  <si>
    <t>Lead coping units</t>
  </si>
  <si>
    <t>Pr_25_93_54_98</t>
  </si>
  <si>
    <t>Zinc capping units</t>
  </si>
  <si>
    <t>Pr_25_93_54_99</t>
  </si>
  <si>
    <t>Zinc coping units</t>
  </si>
  <si>
    <t>Pr_25_93_55</t>
  </si>
  <si>
    <t>Metal sills</t>
  </si>
  <si>
    <t>Pr_25_93_55_84</t>
  </si>
  <si>
    <t>Steel sills</t>
  </si>
  <si>
    <t>45-25-75/400 Steel sills;</t>
  </si>
  <si>
    <t>Pr_25_93_60</t>
  </si>
  <si>
    <t>Paving units</t>
  </si>
  <si>
    <t>Pr_25_93_60_02</t>
  </si>
  <si>
    <t>Aluminium edges</t>
  </si>
  <si>
    <t>Pr_25_93_60_08</t>
  </si>
  <si>
    <t>Blister tactile pavers</t>
  </si>
  <si>
    <t>Pr_25_93_60_09</t>
  </si>
  <si>
    <t>Clay pavers</t>
  </si>
  <si>
    <t>45-20-64/340 Clay pavers;</t>
  </si>
  <si>
    <t>Pr_25_93_60_10</t>
  </si>
  <si>
    <t>Clay paving tiles</t>
  </si>
  <si>
    <t>45-20-64/345 Paving tiles;</t>
  </si>
  <si>
    <t>Pr_25_93_60_11</t>
  </si>
  <si>
    <t>Clay surface channels</t>
  </si>
  <si>
    <t>45-20-64/335 Clay surface channels;</t>
  </si>
  <si>
    <t>Pr_25_93_60_12</t>
  </si>
  <si>
    <t>Combined drainage and kerb units</t>
  </si>
  <si>
    <t>90-05-20/420 Combined drainage and kerb units;</t>
  </si>
  <si>
    <t>Pr_25_93_60_13</t>
  </si>
  <si>
    <t>Concrete cellular pavers</t>
  </si>
  <si>
    <t>45-20-64/390 Precast concrete cellular pavers;</t>
  </si>
  <si>
    <t>Pr_25_93_60_14</t>
  </si>
  <si>
    <t>Concrete surface channels</t>
  </si>
  <si>
    <t>45-20-64/360 Precast concrete surface channels;</t>
  </si>
  <si>
    <t>Pr_25_93_60_15</t>
  </si>
  <si>
    <t>Concrete edging units</t>
  </si>
  <si>
    <t>45-20-64/365 Precast concrete edgings;</t>
  </si>
  <si>
    <t>Pr_25_93_60_16</t>
  </si>
  <si>
    <t>Concrete flags</t>
  </si>
  <si>
    <t>45-20-64/395 Precast concrete flags;</t>
  </si>
  <si>
    <t>Pr_25_93_60_17</t>
  </si>
  <si>
    <t>Concrete paving blocks</t>
  </si>
  <si>
    <t>45-20-64/400 Precast concrete paving blocks;</t>
  </si>
  <si>
    <t>Pr_25_93_60_19</t>
  </si>
  <si>
    <t>Concrete pavers</t>
  </si>
  <si>
    <t>Pr_25_93_60_20</t>
  </si>
  <si>
    <t>Concrete quadrant and angle kerbs</t>
  </si>
  <si>
    <t>45-20-64/375 Precast concrete quadrant and angle kerbs;</t>
  </si>
  <si>
    <t>Pr_25_93_60_22</t>
  </si>
  <si>
    <t>Concrete setts</t>
  </si>
  <si>
    <t>45-20-64/410 Precast concrete setts;</t>
  </si>
  <si>
    <t>Pr_25_93_60_23</t>
  </si>
  <si>
    <t>Concrete tactile flags</t>
  </si>
  <si>
    <t>45-20-64/425 Precast concrete tactile flags;</t>
  </si>
  <si>
    <t>Pr_25_93_60_26</t>
  </si>
  <si>
    <t>Corduroy tactile pavers</t>
  </si>
  <si>
    <t>Pr_25_93_60_33</t>
  </si>
  <si>
    <t>Glass-reinforced concrete (GRC) paving tiles</t>
  </si>
  <si>
    <t>Pr_25_93_60_52</t>
  </si>
  <si>
    <t>Natural stone blocks</t>
  </si>
  <si>
    <t>Pr_25_93_60_53</t>
  </si>
  <si>
    <t>Natural stone flags</t>
  </si>
  <si>
    <t>Pr_25_93_60_54</t>
  </si>
  <si>
    <t>Natural stone cobbles</t>
  </si>
  <si>
    <t>45-20-64/310 Natural stone cobbles;</t>
  </si>
  <si>
    <t>Pr_25_93_60_55</t>
  </si>
  <si>
    <t>Natural stone surface channels</t>
  </si>
  <si>
    <t>45-20-64/311 Natural stone surface channels;</t>
  </si>
  <si>
    <t>Pr_25_93_60_57</t>
  </si>
  <si>
    <t>Natural stone setts</t>
  </si>
  <si>
    <t>45-20-64/320 Natural stone setts;</t>
  </si>
  <si>
    <t>Pr_25_93_60_58</t>
  </si>
  <si>
    <t>Natural stone paving slabs</t>
  </si>
  <si>
    <t>45-20-64/325 Natural stone slabs;</t>
  </si>
  <si>
    <t>Pr_25_93_60_59</t>
  </si>
  <si>
    <t>Natural stone tactile pavers</t>
  </si>
  <si>
    <t>45-20-64/330 Natural stone tactile pavers;</t>
  </si>
  <si>
    <t>Pr_25_93_60_61</t>
  </si>
  <si>
    <t>Plastics cellular pavers</t>
  </si>
  <si>
    <t>45-20-64/440 Polymer cellular pavers;</t>
  </si>
  <si>
    <t>Pr_25_93_60_63</t>
  </si>
  <si>
    <t>Plastics pavers</t>
  </si>
  <si>
    <t>45-20-64/435 Polymer pavers;</t>
  </si>
  <si>
    <t>Pr_25_93_60_65</t>
  </si>
  <si>
    <t>Plastics surface channels</t>
  </si>
  <si>
    <t>Pr_25_93_60_78</t>
  </si>
  <si>
    <t>Special composite paving units</t>
  </si>
  <si>
    <t>45-20-64/450 Special units;</t>
  </si>
  <si>
    <t>Pr_25_93_60_80</t>
  </si>
  <si>
    <t>Stainless steel edges</t>
  </si>
  <si>
    <t>Pr_25_93_70</t>
  </si>
  <si>
    <t>Rail track paving</t>
  </si>
  <si>
    <t>Pr_25_93_70_11</t>
  </si>
  <si>
    <t>Cattle-cum-trespass guards</t>
  </si>
  <si>
    <t>45-20-69/300 Cattle-cum-trespass guards;</t>
  </si>
  <si>
    <t>Pr_25_93_70_70</t>
  </si>
  <si>
    <t>Rail infill panels</t>
  </si>
  <si>
    <t>45-20-69/305 Rail infill panel;</t>
  </si>
  <si>
    <t>Pr_25_93_72</t>
  </si>
  <si>
    <t>Roofing and cladding units</t>
  </si>
  <si>
    <t>Pr_25_93_72_08</t>
  </si>
  <si>
    <t>Bitumen membrane shingles</t>
  </si>
  <si>
    <t>45-80-90/310 Bitumen membrane shingles;</t>
  </si>
  <si>
    <t>Pr_25_93_72_11</t>
  </si>
  <si>
    <t>Ceramic slates</t>
  </si>
  <si>
    <t>45-80-90/315 Ceramic slates;</t>
  </si>
  <si>
    <t>Pr_25_93_72_12</t>
  </si>
  <si>
    <t>Clay interlocking tiles</t>
  </si>
  <si>
    <t>45-80-90/324 Clay tiles interlocking;</t>
  </si>
  <si>
    <t>Pr_25_93_72_13</t>
  </si>
  <si>
    <t>Clay plain tiles</t>
  </si>
  <si>
    <t>45-80-90/328 Clay tiles plain;</t>
  </si>
  <si>
    <t>Pr_25_93_72_14</t>
  </si>
  <si>
    <t>Clay tile coursing fittings</t>
  </si>
  <si>
    <t>45-80-90/320 Clay tiles coursing fittings;</t>
  </si>
  <si>
    <t>Pr_25_93_72_15</t>
  </si>
  <si>
    <t>Clay tile ornamental fittings</t>
  </si>
  <si>
    <t>45-80-90/326 Clay tiles ornamental fittings;</t>
  </si>
  <si>
    <t>Pr_25_93_72_16</t>
  </si>
  <si>
    <t>Clay tile vertical tiling angle fittings</t>
  </si>
  <si>
    <t>45-80-90/338 Clay tiles vertical tiling angle fittings;</t>
  </si>
  <si>
    <t>Pr_25_93_72_17</t>
  </si>
  <si>
    <t>Concrete interlocking tiles</t>
  </si>
  <si>
    <t>45-80-90/344 Concrete tiles interlocking;</t>
  </si>
  <si>
    <t>Pr_25_93_72_18</t>
  </si>
  <si>
    <t>Concrete plain tiles</t>
  </si>
  <si>
    <t>45-80-90/348 Concrete tiles plain;</t>
  </si>
  <si>
    <t>Pr_25_93_72_19</t>
  </si>
  <si>
    <t>Concrete tile coursing fittings</t>
  </si>
  <si>
    <t>45-80-90/340 Concrete tiles coursing fittings;</t>
  </si>
  <si>
    <t>Pr_25_93_72_20</t>
  </si>
  <si>
    <t>Concrete tile ornamental fittings</t>
  </si>
  <si>
    <t>45-80-90/346 Concrete tiles ornamental fittings;</t>
  </si>
  <si>
    <t>Pr_25_93_72_21</t>
  </si>
  <si>
    <t>Concrete tile vertical tiling angle fittings</t>
  </si>
  <si>
    <t>45-80-90/358 Concrete tiles vertical tiling angle fittings;</t>
  </si>
  <si>
    <t>Pr_25_93_72_30</t>
  </si>
  <si>
    <t>Fibre cement slates</t>
  </si>
  <si>
    <t>45-80-90/360 Fibre cement slates;</t>
  </si>
  <si>
    <t>Pr_25_93_72_31</t>
  </si>
  <si>
    <t>Fibre-cement slate coursing fittings</t>
  </si>
  <si>
    <t>45-80-90/362 Fibre cement slates coursing fittings;</t>
  </si>
  <si>
    <t>Pr_25_93_72_36</t>
  </si>
  <si>
    <t>Hardwood shakes</t>
  </si>
  <si>
    <t>Pr_25_93_72_37</t>
  </si>
  <si>
    <t>Hardwood shingles</t>
  </si>
  <si>
    <t>Pr_25_93_72_52</t>
  </si>
  <si>
    <t>Metal tiles</t>
  </si>
  <si>
    <t>45-80-90/380 Metal tiles;</t>
  </si>
  <si>
    <t>Pr_25_93_72_56</t>
  </si>
  <si>
    <t>Natural slates</t>
  </si>
  <si>
    <t>45-80-90/394 Natural slates;</t>
  </si>
  <si>
    <t>Pr_25_93_72_57</t>
  </si>
  <si>
    <t>Natural stone slates</t>
  </si>
  <si>
    <t>45-80-90/400 Natural stone slates;</t>
  </si>
  <si>
    <t>Pr_25_93_72_72</t>
  </si>
  <si>
    <t>Reconstituted interlocking slates</t>
  </si>
  <si>
    <t>45-80-90/390 Reconstituted slates interlocking;</t>
  </si>
  <si>
    <t>Pr_25_93_72_73</t>
  </si>
  <si>
    <t>Reconstituted slate coursing fittings</t>
  </si>
  <si>
    <t>45-80-90/388 Reconstituted slates coursing fittings;</t>
  </si>
  <si>
    <t>Pr_25_93_72_79</t>
  </si>
  <si>
    <t>Slate coursing fittings</t>
  </si>
  <si>
    <t>45-80-90/396 Natural slates coursing fittings;</t>
  </si>
  <si>
    <t>Pr_25_93_72_96</t>
  </si>
  <si>
    <t>Wood shakes</t>
  </si>
  <si>
    <t>45-80-90/410 Wood shakes;</t>
  </si>
  <si>
    <t>Pr_25_93_72_97</t>
  </si>
  <si>
    <t>Wood shingles</t>
  </si>
  <si>
    <t>45-80-90/414 Wood shingles;</t>
  </si>
  <si>
    <t>Pr_25_93_72_98</t>
  </si>
  <si>
    <t>Wood shingle pattern fittings</t>
  </si>
  <si>
    <t>45-80-90/418 Wood shingles pattern fittings;</t>
  </si>
  <si>
    <t>Pr_25_96</t>
  </si>
  <si>
    <t>Grid and grating skin products</t>
  </si>
  <si>
    <t>Pr_25_96_35</t>
  </si>
  <si>
    <t>Grids and grilles</t>
  </si>
  <si>
    <t>Pr_25_96_35_03</t>
  </si>
  <si>
    <t>Aluminium cattle grids</t>
  </si>
  <si>
    <t>45-20-80/301 Aluminium cattle grids;</t>
  </si>
  <si>
    <t>Pr_25_96_35_11</t>
  </si>
  <si>
    <t>Carbon steel cattle grids</t>
  </si>
  <si>
    <t>45-20-80/303 Carbon steel cattle grids;</t>
  </si>
  <si>
    <t>Pr_25_96_35_31</t>
  </si>
  <si>
    <t>Footway gratings</t>
  </si>
  <si>
    <t>45-20-80/305 Footway gratings;</t>
  </si>
  <si>
    <t>Pr_25_96_35_37</t>
  </si>
  <si>
    <t>Headwall and outfall grilles</t>
  </si>
  <si>
    <t>90-05-20/444 Protective outfall and headwall grilles;</t>
  </si>
  <si>
    <t>Pr_25_96_35_53</t>
  </si>
  <si>
    <t>Metal armouring grilles</t>
  </si>
  <si>
    <t>45-85-70/420 Metal armouring grilles;</t>
  </si>
  <si>
    <t>Pr_25_96_35_71</t>
  </si>
  <si>
    <t>Recycled plastics cattle grids</t>
  </si>
  <si>
    <t>45-20-80/307 Cattle grids;</t>
  </si>
  <si>
    <t>Pr_25_96_35_76</t>
  </si>
  <si>
    <t>Sewage screens</t>
  </si>
  <si>
    <t>Pr_25_96_35_96</t>
  </si>
  <si>
    <t>Water grilles</t>
  </si>
  <si>
    <t>Pr_30</t>
  </si>
  <si>
    <t>Opening products</t>
  </si>
  <si>
    <t>Pr_30_31</t>
  </si>
  <si>
    <t>Formless openings products</t>
  </si>
  <si>
    <t>Pr_30_31_68</t>
  </si>
  <si>
    <t>Putties and glazing compounds</t>
  </si>
  <si>
    <t>Pr_30_31_68_42</t>
  </si>
  <si>
    <t>Intumescent putties</t>
  </si>
  <si>
    <t>45-55-75/405 Intumescent putties;</t>
  </si>
  <si>
    <t>Pr_30_31_68_47</t>
  </si>
  <si>
    <t>Linseed oil putties</t>
  </si>
  <si>
    <t>45-55-75/410 Linseed oil putties;</t>
  </si>
  <si>
    <t>Pr_30_31_68_51</t>
  </si>
  <si>
    <t>Metal casement putties</t>
  </si>
  <si>
    <t>45-55-75/415 Metal casement putties;</t>
  </si>
  <si>
    <t>Pr_30_31_68_56</t>
  </si>
  <si>
    <t>Non-setting glazing compounds</t>
  </si>
  <si>
    <t>45-55-75/420 Nonsetting glazing compounds;</t>
  </si>
  <si>
    <t>Pr_30_31_68_74</t>
  </si>
  <si>
    <t>Rubberizing glazing compounds</t>
  </si>
  <si>
    <t>45-55-75/425 Rubberizing glazing compounds;</t>
  </si>
  <si>
    <t>Pr_30_31_76</t>
  </si>
  <si>
    <t>Sealants</t>
  </si>
  <si>
    <t>Pr_30_31_76_02</t>
  </si>
  <si>
    <t>Acrylic construction joint sealants</t>
  </si>
  <si>
    <t>45-55-75/320 Acrylic construction joint sealants;</t>
  </si>
  <si>
    <t>Pr_30_31_76_09</t>
  </si>
  <si>
    <t>Butyl rubber construction joint sealants</t>
  </si>
  <si>
    <t>45-55-75/325 Butyl rubber construction joint sealants;</t>
  </si>
  <si>
    <t>Pr_30_31_76_14</t>
  </si>
  <si>
    <t>Cold-applied bituminous joint sealants</t>
  </si>
  <si>
    <t>45-55-75/385 Cold applied bituminous joint sealants;</t>
  </si>
  <si>
    <t>Pr_30_31_76_15</t>
  </si>
  <si>
    <t>Cold-applied concrete pavement bituminous joint sealants</t>
  </si>
  <si>
    <t>45-55-75/390 Cold applied bituminous joint sealants for concrete pavements;</t>
  </si>
  <si>
    <t>Pr_30_31_76_16</t>
  </si>
  <si>
    <t>Construction joint sealants</t>
  </si>
  <si>
    <t>45-55-75/315 Construction joint sealants;</t>
  </si>
  <si>
    <t>Pr_30_31_76_26</t>
  </si>
  <si>
    <t>Edge sealants</t>
  </si>
  <si>
    <t>45-35-62/410 Edge sealants;</t>
  </si>
  <si>
    <t>Pr_30_31_76_27</t>
  </si>
  <si>
    <t>Electrical insulating compounds</t>
  </si>
  <si>
    <t>Pr_30_31_76_33</t>
  </si>
  <si>
    <t>Glazing compounds and sealants</t>
  </si>
  <si>
    <t>45-55-75/350 Glazing compounds or sealants;</t>
  </si>
  <si>
    <t>Pr_30_31_76_34</t>
  </si>
  <si>
    <t>Glazing joint sealants</t>
  </si>
  <si>
    <t>Pr_30_31_76_38</t>
  </si>
  <si>
    <t>Hot-applied bituminous joint sealants</t>
  </si>
  <si>
    <t>45-55-75/395 Hot applied bituminous joint sealants;</t>
  </si>
  <si>
    <t>Pr_30_31_76_39</t>
  </si>
  <si>
    <t>Hydrophilic sealants</t>
  </si>
  <si>
    <t>45-55-75/342 Hydrophilic sealants;</t>
  </si>
  <si>
    <t>Pr_30_31_76_40</t>
  </si>
  <si>
    <t>Intumescent firestop sealants</t>
  </si>
  <si>
    <t>45-55-75/368 Intumescent firestop sealant;</t>
  </si>
  <si>
    <t>Pr_30_31_76_41</t>
  </si>
  <si>
    <t>Intumescent foam fillers</t>
  </si>
  <si>
    <t>45-55-75/375 Intumescent foam fillers;</t>
  </si>
  <si>
    <t>Pr_30_31_76_58</t>
  </si>
  <si>
    <t>Oil-based mastic joint sealants</t>
  </si>
  <si>
    <t>45-55-75/330 Oil based mastic joint sealants;</t>
  </si>
  <si>
    <t>Pr_30_31_76_62</t>
  </si>
  <si>
    <t>Polysulfide construction joint sealants</t>
  </si>
  <si>
    <t>45-55-75/335 Polysulfide construction joint sealants;</t>
  </si>
  <si>
    <t>Pr_30_31_76_63</t>
  </si>
  <si>
    <t>Polysulfide glazing compounds and sealants</t>
  </si>
  <si>
    <t>45-55-75/355 Polysulfide glazing compounds or sealants;</t>
  </si>
  <si>
    <t>Pr_30_31_76_65</t>
  </si>
  <si>
    <t>Polyurethane (PUR) construction joint sealants</t>
  </si>
  <si>
    <t>45-55-75/340 Polyurethane construction joint sealants;</t>
  </si>
  <si>
    <t>Pr_30_31_76_66</t>
  </si>
  <si>
    <t>Polyurethane (PUR) expanding foam fillers</t>
  </si>
  <si>
    <t>45-55-75/370 Foam fillers;</t>
  </si>
  <si>
    <t>Pr_30_31_76_77</t>
  </si>
  <si>
    <t>Silicone construction joint sealants</t>
  </si>
  <si>
    <t>45-55-75/345 Silicone construction joint sealants;</t>
  </si>
  <si>
    <t>Pr_30_31_76_78</t>
  </si>
  <si>
    <t>Silicone glazing compounds and sealants</t>
  </si>
  <si>
    <t>45-55-75/360 Silicone glazing compounds or sealants;</t>
  </si>
  <si>
    <t>Pr_30_31_76_84</t>
  </si>
  <si>
    <t>Structural sealant glazing bonding sealants</t>
  </si>
  <si>
    <t>45-55-75/362 Bonding sealants for structural sealant glazing;</t>
  </si>
  <si>
    <t>Pr_30_31_76_85</t>
  </si>
  <si>
    <t>Structural sealant glazing weather sealants</t>
  </si>
  <si>
    <t>45-55-75/365 Weatherseal sealants for structural sealant glazing;</t>
  </si>
  <si>
    <t>Pr_30_31_76_96</t>
  </si>
  <si>
    <t>Waterproof gap filling sealants</t>
  </si>
  <si>
    <t>45-55-75/367 Gap filling waterproofing sealants;</t>
  </si>
  <si>
    <t>Pr_30_36</t>
  </si>
  <si>
    <t>Hardware products</t>
  </si>
  <si>
    <t>Pr_30_36_08</t>
  </si>
  <si>
    <t>Bolting, latching and locking hardware</t>
  </si>
  <si>
    <t>Pr_30_36_08_06</t>
  </si>
  <si>
    <t>Barrel bolts</t>
  </si>
  <si>
    <t>Pr_30_36_08_11</t>
  </si>
  <si>
    <t>Cabinet locks</t>
  </si>
  <si>
    <t>Pr_30_36_08_12</t>
  </si>
  <si>
    <t>Cam locks</t>
  </si>
  <si>
    <t>Pr_30_36_08_13</t>
  </si>
  <si>
    <t>Cavity sliding door locks</t>
  </si>
  <si>
    <t>Pr_30_36_08_15</t>
  </si>
  <si>
    <t>Coin-operated locks</t>
  </si>
  <si>
    <t>Pr_30_36_08_16</t>
  </si>
  <si>
    <t>Combination padlocks</t>
  </si>
  <si>
    <t>Pr_30_36_08_18</t>
  </si>
  <si>
    <t>Cremorne bolts</t>
  </si>
  <si>
    <t>Pr_30_36_08_19</t>
  </si>
  <si>
    <t>Cylinder locks</t>
  </si>
  <si>
    <t>Pr_30_36_08_20</t>
  </si>
  <si>
    <t>Deadbolts</t>
  </si>
  <si>
    <t>Pr_30_36_08_21</t>
  </si>
  <si>
    <t>Digital door locks</t>
  </si>
  <si>
    <t>Pr_30_36_08_22</t>
  </si>
  <si>
    <t>Door bolts</t>
  </si>
  <si>
    <t>Pr_30_36_08_23</t>
  </si>
  <si>
    <t>Door catches</t>
  </si>
  <si>
    <t>45-25-18/320 Door catches;</t>
  </si>
  <si>
    <t>Pr_30_36_08_24</t>
  </si>
  <si>
    <t>Door latches</t>
  </si>
  <si>
    <t>45-25-18/310 Door and window locks and latches;</t>
  </si>
  <si>
    <t>Pr_30_36_08_25</t>
  </si>
  <si>
    <t>Door chains and locks</t>
  </si>
  <si>
    <t>Pr_30_36_08_26</t>
  </si>
  <si>
    <t>Door privacy indicator bolts</t>
  </si>
  <si>
    <t>45-25-18/340 Door privacy indicator bolts;</t>
  </si>
  <si>
    <t>Pr_30_36_08_27</t>
  </si>
  <si>
    <t>Electric locks</t>
  </si>
  <si>
    <t>Pr_30_36_08_28</t>
  </si>
  <si>
    <t>Emergency exit devices</t>
  </si>
  <si>
    <t>45-25-18/350 Emergency exit devices;</t>
  </si>
  <si>
    <t>Pr_30_36_08_29</t>
  </si>
  <si>
    <t>Espagnolette bolts</t>
  </si>
  <si>
    <t>45-25-18/400 Multipoint handle operated espagnolette bolts;</t>
  </si>
  <si>
    <t>Pr_30_36_08_30</t>
  </si>
  <si>
    <t>Fanlight catches</t>
  </si>
  <si>
    <t>45-25-18/360 Fanlight catches;</t>
  </si>
  <si>
    <t>Pr_30_36_08_31</t>
  </si>
  <si>
    <t>Field gate spring catch sets</t>
  </si>
  <si>
    <t>45-25-18/370 Field gate spring catch sets;</t>
  </si>
  <si>
    <t>Pr_30_36_08_32</t>
  </si>
  <si>
    <t>Flush bolts</t>
  </si>
  <si>
    <t>Pr_30_36_08_33</t>
  </si>
  <si>
    <t>Furniture locks</t>
  </si>
  <si>
    <t>Pr_30_36_08_34</t>
  </si>
  <si>
    <t>Gate latches and catches</t>
  </si>
  <si>
    <t>45-25-18/380 Gate latches and catches;</t>
  </si>
  <si>
    <t>Pr_30_36_08_35</t>
  </si>
  <si>
    <t>Gate throw over loops</t>
  </si>
  <si>
    <t>45-25-18/390 Gate throw over loops;</t>
  </si>
  <si>
    <t>Pr_30_36_08_42</t>
  </si>
  <si>
    <t>Indicator locks</t>
  </si>
  <si>
    <t>Pr_30_36_08_43</t>
  </si>
  <si>
    <t>Key card locks</t>
  </si>
  <si>
    <t>Pr_30_36_08_44</t>
  </si>
  <si>
    <t>Key deposit locks</t>
  </si>
  <si>
    <t>Pr_30_36_08_45</t>
  </si>
  <si>
    <t>Knob locks</t>
  </si>
  <si>
    <t>Pr_30_36_08_46</t>
  </si>
  <si>
    <t>Lever handle locks</t>
  </si>
  <si>
    <t>Pr_30_36_08_48</t>
  </si>
  <si>
    <t>Locker hasps</t>
  </si>
  <si>
    <t>Pr_30_36_08_51</t>
  </si>
  <si>
    <t>Microswitch locks</t>
  </si>
  <si>
    <t>Pr_30_36_08_52</t>
  </si>
  <si>
    <t>Mortice bolts</t>
  </si>
  <si>
    <t>Pr_30_36_08_53</t>
  </si>
  <si>
    <t>Mortice locks</t>
  </si>
  <si>
    <t>Pr_30_36_08_54</t>
  </si>
  <si>
    <t>Multipoint door locks</t>
  </si>
  <si>
    <t>45-25-18/330 Door multipoint and special function locks;</t>
  </si>
  <si>
    <t>Pr_30_36_08_56</t>
  </si>
  <si>
    <t>Night latches</t>
  </si>
  <si>
    <t>Pr_30_36_08_60</t>
  </si>
  <si>
    <t>Pad bolts</t>
  </si>
  <si>
    <t>Pr_30_36_08_61</t>
  </si>
  <si>
    <t>Padlock hasps and staples</t>
  </si>
  <si>
    <t>45-25-18/410 Padlock hasps and staples;</t>
  </si>
  <si>
    <t>Pr_30_36_08_62</t>
  </si>
  <si>
    <t>Padlocks and keys</t>
  </si>
  <si>
    <t>45-25-18/420 Padlocks;</t>
  </si>
  <si>
    <t>Pr_30_36_08_63</t>
  </si>
  <si>
    <t>Panic exit devices</t>
  </si>
  <si>
    <t>45-25-18/430 Panic exit devices;</t>
  </si>
  <si>
    <t>Pr_30_36_08_68</t>
  </si>
  <si>
    <t>Push-button locks</t>
  </si>
  <si>
    <t>Pr_30_36_08_71</t>
  </si>
  <si>
    <t>Rim locks</t>
  </si>
  <si>
    <t>Pr_30_36_08_73</t>
  </si>
  <si>
    <t>Roller catches</t>
  </si>
  <si>
    <t>Pr_30_36_08_75</t>
  </si>
  <si>
    <t>Safety deposit locks</t>
  </si>
  <si>
    <t>Pr_30_36_08_76</t>
  </si>
  <si>
    <t>Sash locks</t>
  </si>
  <si>
    <t>Pr_30_36_08_77</t>
  </si>
  <si>
    <t>Single point bolts</t>
  </si>
  <si>
    <t>45-25-18/440 Single point bolts;</t>
  </si>
  <si>
    <t>Pr_30_36_08_80</t>
  </si>
  <si>
    <t>Sliding security screen door locks</t>
  </si>
  <si>
    <t>Pr_30_36_08_84</t>
  </si>
  <si>
    <t>Special function door locks</t>
  </si>
  <si>
    <t>Pr_30_36_08_87</t>
  </si>
  <si>
    <t>Thief resistant door locks</t>
  </si>
  <si>
    <t>45-25-18/450 Thief resistant door locks;</t>
  </si>
  <si>
    <t>Pr_30_36_08_88</t>
  </si>
  <si>
    <t>Time delay locks</t>
  </si>
  <si>
    <t>Pr_30_36_08_91</t>
  </si>
  <si>
    <t>Tubular mortice latches</t>
  </si>
  <si>
    <t>Pr_30_36_08_94</t>
  </si>
  <si>
    <t>Vending machine locks</t>
  </si>
  <si>
    <t>Pr_30_36_08_95</t>
  </si>
  <si>
    <t>Window casement fasteners</t>
  </si>
  <si>
    <t>45-25-60/385 Window casement fasteners;</t>
  </si>
  <si>
    <t>Pr_30_36_08_96</t>
  </si>
  <si>
    <t>Window latches</t>
  </si>
  <si>
    <t>Pr_30_36_08_97</t>
  </si>
  <si>
    <t>Window locks</t>
  </si>
  <si>
    <t>45-25-18/460 Window locks;</t>
  </si>
  <si>
    <t>Pr_30_36_08_98</t>
  </si>
  <si>
    <t>Window sash fasteners</t>
  </si>
  <si>
    <t>45-25-18/470 Window sash fasteners;</t>
  </si>
  <si>
    <t>Pr_30_36_33</t>
  </si>
  <si>
    <t>General hardware</t>
  </si>
  <si>
    <t>Pr_30_36_33_20</t>
  </si>
  <si>
    <t>Door edge protectors</t>
  </si>
  <si>
    <t>45-25-38/375 Door edge protectors;</t>
  </si>
  <si>
    <t>Pr_30_36_33_22</t>
  </si>
  <si>
    <t>Door knockers</t>
  </si>
  <si>
    <t>45-25-38/315 Door knockers;</t>
  </si>
  <si>
    <t>Pr_30_36_33_24</t>
  </si>
  <si>
    <t>Door stops</t>
  </si>
  <si>
    <t>45-25-38/320 Door stops;</t>
  </si>
  <si>
    <t>Pr_30_36_33_27</t>
  </si>
  <si>
    <t>Escutcheons</t>
  </si>
  <si>
    <t>45-25-38/325 Escutcheons;</t>
  </si>
  <si>
    <t>Pr_30_36_33_29</t>
  </si>
  <si>
    <t>Finger plates</t>
  </si>
  <si>
    <t>Pr_30_36_33_31</t>
  </si>
  <si>
    <t>Fixed boot scrapers</t>
  </si>
  <si>
    <t>Pr_30_36_33_45</t>
  </si>
  <si>
    <t>Kick plates</t>
  </si>
  <si>
    <t>45-25-38/340 Kick plates;</t>
  </si>
  <si>
    <t>Pr_30_36_33_68</t>
  </si>
  <si>
    <t>Push plates</t>
  </si>
  <si>
    <t>45-25-60/370 Push plates;</t>
  </si>
  <si>
    <t>Pr_30_36_33_72</t>
  </si>
  <si>
    <t>Roses</t>
  </si>
  <si>
    <t>Pr_30_36_33_76</t>
  </si>
  <si>
    <t>Security viewers</t>
  </si>
  <si>
    <t>45-25-38/360 Security viewers;</t>
  </si>
  <si>
    <t>Pr_30_36_36</t>
  </si>
  <si>
    <t>Hinges and hanging hardware</t>
  </si>
  <si>
    <t>Pr_30_36_36_04</t>
  </si>
  <si>
    <t>Anti finger-trap stiles</t>
  </si>
  <si>
    <t>45-25-42/310 Anti finger-trap stiles;</t>
  </si>
  <si>
    <t>Pr_30_36_36_06</t>
  </si>
  <si>
    <t>Ball-bearing hinges</t>
  </si>
  <si>
    <t>Pr_30_36_36_07</t>
  </si>
  <si>
    <t>Barrel hinges</t>
  </si>
  <si>
    <t>Pr_30_36_36_08</t>
  </si>
  <si>
    <t>Boxed sash window hanging fittings</t>
  </si>
  <si>
    <t>45-25-42/320 Boxed sash window hanging fittings;</t>
  </si>
  <si>
    <t>Pr_30_36_36_09</t>
  </si>
  <si>
    <t>Butt door hinges</t>
  </si>
  <si>
    <t>45-25-42/340 Door hinges;</t>
  </si>
  <si>
    <t>Pr_30_36_36_10</t>
  </si>
  <si>
    <t>Butt window hinges</t>
  </si>
  <si>
    <t>Pr_30_36_36_11</t>
  </si>
  <si>
    <t>Cabinet and counter top hinges</t>
  </si>
  <si>
    <t>45-25-42/330 Cabinet and counter top hinges;</t>
  </si>
  <si>
    <t>Pr_30_36_36_15</t>
  </si>
  <si>
    <t>Concealed hinges</t>
  </si>
  <si>
    <t>Pr_30_36_36_16</t>
  </si>
  <si>
    <t>Continuous hinges</t>
  </si>
  <si>
    <t>Pr_30_36_36_17</t>
  </si>
  <si>
    <t>Cranked hinges</t>
  </si>
  <si>
    <t>Pr_30_36_36_22</t>
  </si>
  <si>
    <t>Door pivots</t>
  </si>
  <si>
    <t>45-25-42/350 Door pivots;</t>
  </si>
  <si>
    <t>Pr_30_36_36_23</t>
  </si>
  <si>
    <t>Door track and running gear</t>
  </si>
  <si>
    <t>45-25-42/360 Door track and running gear;</t>
  </si>
  <si>
    <t>Pr_30_36_36_24</t>
  </si>
  <si>
    <t>Drawer runners</t>
  </si>
  <si>
    <t>45-25-42/370 Drawer runners;</t>
  </si>
  <si>
    <t>Pr_30_36_36_28</t>
  </si>
  <si>
    <t>Field gate hinges</t>
  </si>
  <si>
    <t>45-25-42/380 Field gate hinges;</t>
  </si>
  <si>
    <t>Pr_30_36_36_29</t>
  </si>
  <si>
    <t>Floor springs</t>
  </si>
  <si>
    <t>45-25-42/390 Floor springs;</t>
  </si>
  <si>
    <t>Pr_30_36_36_30</t>
  </si>
  <si>
    <t>Flush hinges</t>
  </si>
  <si>
    <t>Pr_30_36_36_31</t>
  </si>
  <si>
    <t>Friction hinges</t>
  </si>
  <si>
    <t>Pr_30_36_36_32</t>
  </si>
  <si>
    <t>Friction pivot hinges</t>
  </si>
  <si>
    <t>45-25-42/440 Window friction pivot hinges;</t>
  </si>
  <si>
    <t>Pr_30_36_36_34</t>
  </si>
  <si>
    <t>Gate hinges</t>
  </si>
  <si>
    <t>45-25-42/400 Gate hinges;</t>
  </si>
  <si>
    <t>Pr_30_36_36_46</t>
  </si>
  <si>
    <t>Lift-off hinges</t>
  </si>
  <si>
    <t>Pr_30_36_36_66</t>
  </si>
  <si>
    <t>Projection door hinges</t>
  </si>
  <si>
    <t>Pr_30_36_36_67</t>
  </si>
  <si>
    <t>Projection window hinges</t>
  </si>
  <si>
    <t>45-25-42/460 Window projection hinges;</t>
  </si>
  <si>
    <t>Pr_30_36_36_71</t>
  </si>
  <si>
    <t>Rising butt door hinges</t>
  </si>
  <si>
    <t>Pr_30_36_36_75</t>
  </si>
  <si>
    <t>Sash window spiral balances</t>
  </si>
  <si>
    <t>45-25-42/410 Sash window spiral balances;</t>
  </si>
  <si>
    <t>Pr_30_36_36_79</t>
  </si>
  <si>
    <t>Single axis door hinges</t>
  </si>
  <si>
    <t>45-25-42/420 Single axis door hinges;</t>
  </si>
  <si>
    <t>Pr_30_36_36_80</t>
  </si>
  <si>
    <t>Single axis window hinges</t>
  </si>
  <si>
    <t>45-25-42/430 Single axis window hinges;</t>
  </si>
  <si>
    <t>Pr_30_36_36_84</t>
  </si>
  <si>
    <t>Spring hinges</t>
  </si>
  <si>
    <t>Pr_30_36_36_88</t>
  </si>
  <si>
    <t>Tee hinges</t>
  </si>
  <si>
    <t>Pr_30_36_36_96</t>
  </si>
  <si>
    <t>Window hinges</t>
  </si>
  <si>
    <t>45-25-42/450 Window hinges;</t>
  </si>
  <si>
    <t>Pr_30_36_59</t>
  </si>
  <si>
    <t>Opening hardware</t>
  </si>
  <si>
    <t>Pr_30_36_59_15</t>
  </si>
  <si>
    <t>Controlled door closers</t>
  </si>
  <si>
    <t>45-25-60/305 Controlled door closers;</t>
  </si>
  <si>
    <t>Pr_30_36_59_22</t>
  </si>
  <si>
    <t>Door coordinators</t>
  </si>
  <si>
    <t>45-25-60/310 Door coordinators;</t>
  </si>
  <si>
    <t>Pr_30_36_59_24</t>
  </si>
  <si>
    <t>Door limiting stays</t>
  </si>
  <si>
    <t>45-25-60/320 Door limiting stays;</t>
  </si>
  <si>
    <t>Pr_30_36_59_25</t>
  </si>
  <si>
    <t>Door lever handle sets</t>
  </si>
  <si>
    <t>45-25-60/315 Door lever handle sets;</t>
  </si>
  <si>
    <t>Pr_30_36_59_29</t>
  </si>
  <si>
    <t>Flush pull handles</t>
  </si>
  <si>
    <t>Pr_30_36_59_31</t>
  </si>
  <si>
    <t>Furniture stays</t>
  </si>
  <si>
    <t>Pr_30_36_59_32</t>
  </si>
  <si>
    <t>Garage door holders</t>
  </si>
  <si>
    <t>45-25-60/325 Garage door holders;</t>
  </si>
  <si>
    <t>Pr_30_36_59_33</t>
  </si>
  <si>
    <t>Gate closers</t>
  </si>
  <si>
    <t>45-25-60/330 Gate closers;</t>
  </si>
  <si>
    <t>Pr_30_36_59_34</t>
  </si>
  <si>
    <t>Gate handles</t>
  </si>
  <si>
    <t>45-25-60/335 Gate handles;</t>
  </si>
  <si>
    <t>Pr_30_36_59_35</t>
  </si>
  <si>
    <t>Gate springs</t>
  </si>
  <si>
    <t>45-25-60/340 Gate springs;</t>
  </si>
  <si>
    <t>Pr_30_36_59_36</t>
  </si>
  <si>
    <t>Gate wheels</t>
  </si>
  <si>
    <t>45-25-60/345 Gate wheels;</t>
  </si>
  <si>
    <t>Pr_30_36_59_38</t>
  </si>
  <si>
    <t>Holders and hooks</t>
  </si>
  <si>
    <t>45-25-60/350 Holders and hooks;</t>
  </si>
  <si>
    <t>Pr_30_36_59_45</t>
  </si>
  <si>
    <t>Knobs</t>
  </si>
  <si>
    <t>45-25-60/355 Knobsets;</t>
  </si>
  <si>
    <t>Pr_30_36_59_50</t>
  </si>
  <si>
    <t>Magnetic hold</t>
  </si>
  <si>
    <t>Pr_30_36_59_52</t>
  </si>
  <si>
    <t>Midrail push plates</t>
  </si>
  <si>
    <t>45-25-60/360 Midrail push plates;</t>
  </si>
  <si>
    <t>Pr_30_36_59_64</t>
  </si>
  <si>
    <t>Pull handles</t>
  </si>
  <si>
    <t>45-25-60/365 Pull handles;</t>
  </si>
  <si>
    <t>Pr_30_36_59_76</t>
  </si>
  <si>
    <t>Sash window pulls</t>
  </si>
  <si>
    <t>45-25-60/375 Sash window pulls;</t>
  </si>
  <si>
    <t>Pr_30_36_59_78</t>
  </si>
  <si>
    <t>Screen door closers</t>
  </si>
  <si>
    <t>Pr_30_36_59_92</t>
  </si>
  <si>
    <t>Uncontrolled door closers</t>
  </si>
  <si>
    <t>45-25-60/380 Uncontrolled door closers;</t>
  </si>
  <si>
    <t>Pr_30_36_59_94</t>
  </si>
  <si>
    <t>Window casement stays</t>
  </si>
  <si>
    <t>45-25-60/390 Window casement stays;</t>
  </si>
  <si>
    <t>Pr_30_36_59_95</t>
  </si>
  <si>
    <t>Window latch and lock operating handles</t>
  </si>
  <si>
    <t>45-25-60/395 Window latch and lock operating handles;</t>
  </si>
  <si>
    <t>Pr_30_36_59_96</t>
  </si>
  <si>
    <t>Window over centre casement stays</t>
  </si>
  <si>
    <t>45-25-60/400 Window over centre casement stays;</t>
  </si>
  <si>
    <t>Pr_30_36_59_97</t>
  </si>
  <si>
    <t>Window remote manual openers</t>
  </si>
  <si>
    <t>45-25-60/405 Window remote manual openers;</t>
  </si>
  <si>
    <t>Pr_30_36_59_98</t>
  </si>
  <si>
    <t>Window restrictor stays</t>
  </si>
  <si>
    <t>45-25-60/410 Window restrictor stays;</t>
  </si>
  <si>
    <t>Pr_30_59</t>
  </si>
  <si>
    <t>Openings and opening component products</t>
  </si>
  <si>
    <t>Pr_30_59_01</t>
  </si>
  <si>
    <t>Access ramps</t>
  </si>
  <si>
    <t>Pr_30_59_01_11</t>
  </si>
  <si>
    <t>Vehicle ramps</t>
  </si>
  <si>
    <t>Pr_30_59_01_23</t>
  </si>
  <si>
    <t>Dog ramps</t>
  </si>
  <si>
    <t>Pr_30_59_01_27</t>
  </si>
  <si>
    <t>Equipment loading ramps</t>
  </si>
  <si>
    <t>Pr_30_59_01_90</t>
  </si>
  <si>
    <t>Train boarding ramps</t>
  </si>
  <si>
    <t>Pr_30_59_01_96</t>
  </si>
  <si>
    <t>Wheelchair ramps</t>
  </si>
  <si>
    <t>Pr_30_59_07</t>
  </si>
  <si>
    <t>Blinds and shading devices</t>
  </si>
  <si>
    <t>Pr_30_59_07_02</t>
  </si>
  <si>
    <t>Aluminium shutters</t>
  </si>
  <si>
    <t>Pr_30_59_07_03</t>
  </si>
  <si>
    <t>Anti-glare screens</t>
  </si>
  <si>
    <t>45-25-10/400 Anti-glare screens;</t>
  </si>
  <si>
    <t>Pr_30_59_07_05</t>
  </si>
  <si>
    <t>Awnings</t>
  </si>
  <si>
    <t>45-25-10/310 Awnings;</t>
  </si>
  <si>
    <t>Pr_30_59_07_07</t>
  </si>
  <si>
    <t>Blackout blinds</t>
  </si>
  <si>
    <t>Pr_30_59_07_26</t>
  </si>
  <si>
    <t>External roller blinds</t>
  </si>
  <si>
    <t>45-25-10/362 Exterior roller blinds;</t>
  </si>
  <si>
    <t>Pr_30_59_07_27</t>
  </si>
  <si>
    <t>External venetian blinds</t>
  </si>
  <si>
    <t>45-25-10/372 Exterior venetian blinds;</t>
  </si>
  <si>
    <t>Pr_30_59_07_60</t>
  </si>
  <si>
    <t>Panel blinds</t>
  </si>
  <si>
    <t>45-25-10/400 Panel blinds;</t>
  </si>
  <si>
    <t>Pr_30_59_07_64</t>
  </si>
  <si>
    <t>Pinoleum blinds</t>
  </si>
  <si>
    <t>45-25-10/340 Pinoleum blinds;</t>
  </si>
  <si>
    <t>Pr_30_59_07_66</t>
  </si>
  <si>
    <t>Pleated blinds</t>
  </si>
  <si>
    <t>45-25-10/350 Pleated blinds;</t>
  </si>
  <si>
    <t>Pr_30_59_07_68</t>
  </si>
  <si>
    <t>Polyvinyl chloride (PVC) shutters</t>
  </si>
  <si>
    <t>Pr_30_59_07_72</t>
  </si>
  <si>
    <t>Roller blinds</t>
  </si>
  <si>
    <t>45-25-10/360 Roller blinds;</t>
  </si>
  <si>
    <t>Pr_30_59_07_73</t>
  </si>
  <si>
    <t>Roman blinds</t>
  </si>
  <si>
    <t>45-25-10/390 Roman blinds;</t>
  </si>
  <si>
    <t>Pr_30_59_07_86</t>
  </si>
  <si>
    <t>Sunscreens</t>
  </si>
  <si>
    <t>Pr_30_59_07_94</t>
  </si>
  <si>
    <t>Venetian blinds</t>
  </si>
  <si>
    <t>45-25-10/370 Venetian blinds;</t>
  </si>
  <si>
    <t>Pr_30_59_07_95</t>
  </si>
  <si>
    <t>Vertical blinds</t>
  </si>
  <si>
    <t>45-25-10/380 Vertical blinds;</t>
  </si>
  <si>
    <t>Pr_30_59_07_96</t>
  </si>
  <si>
    <t>Wood shutters</t>
  </si>
  <si>
    <t>45-25-10/320 Wood shutters;</t>
  </si>
  <si>
    <t>Pr_30_59_09</t>
  </si>
  <si>
    <t>Brise-soleils and components</t>
  </si>
  <si>
    <t>Pr_30_59_09_01</t>
  </si>
  <si>
    <t>Aluminium brise-soleil brace arms/struts</t>
  </si>
  <si>
    <t>45-25-50/439 Aluminium brise-soleil struts;</t>
  </si>
  <si>
    <t>Pr_30_59_09_02</t>
  </si>
  <si>
    <t>Aluminium brise-soleil carrier members</t>
  </si>
  <si>
    <t>45-25-50/415 Aluminium brise-soleil carrier members;</t>
  </si>
  <si>
    <t>Pr_30_59_09_03</t>
  </si>
  <si>
    <t>Aluminium brise-soleil louvre blades</t>
  </si>
  <si>
    <t>45-25-50/395 Aluminium brise-soleil louvre blades;</t>
  </si>
  <si>
    <t>Pr_30_59_09_04</t>
  </si>
  <si>
    <t>Aluminium brise-soleil support arms</t>
  </si>
  <si>
    <t>45-25-50/425 Aluminium brise-soleil support arms;</t>
  </si>
  <si>
    <t>Pr_30_59_09_05</t>
  </si>
  <si>
    <t>Aluminium brise-soleil units</t>
  </si>
  <si>
    <t>45-25-50/420 Brise-soleil fixed blade panels;</t>
  </si>
  <si>
    <t>Pr_30_59_09_11</t>
  </si>
  <si>
    <t>Carbon steel brise-soleil brace arms/struts</t>
  </si>
  <si>
    <t>45-25-50/440 Carbon steel brise-soleil struts;</t>
  </si>
  <si>
    <t>Pr_30_59_09_12</t>
  </si>
  <si>
    <t>Carbon steel brise-soleil carrier members</t>
  </si>
  <si>
    <t>45-25-50/416 Carbon steel brise-soleil carrier members;</t>
  </si>
  <si>
    <t>Pr_30_59_09_13</t>
  </si>
  <si>
    <t>Carbon steel brise-soleil louvre blades</t>
  </si>
  <si>
    <t>45-25-50/405 Carbon steel brise-soleil louvre blades;</t>
  </si>
  <si>
    <t>Pr_30_59_09_14</t>
  </si>
  <si>
    <t>Carbon steel brise-soleil support arms</t>
  </si>
  <si>
    <t>45-25-50/430 Carbon steel brise-soleil support arms;</t>
  </si>
  <si>
    <t>Pr_30_59_09_15</t>
  </si>
  <si>
    <t>Carbon steel brise-soleil units</t>
  </si>
  <si>
    <t>Pr_30_59_09_33</t>
  </si>
  <si>
    <t>Glass brise-soleil louvre blades</t>
  </si>
  <si>
    <t>45-25-50/400 Glass brise-soleil louvre blades;</t>
  </si>
  <si>
    <t>Pr_30_59_09_62</t>
  </si>
  <si>
    <t>Plastics brise-soleil louvre blades</t>
  </si>
  <si>
    <t>Pr_30_59_09_63</t>
  </si>
  <si>
    <t>Plastics brise-soleil units</t>
  </si>
  <si>
    <t>Pr_30_59_09_82</t>
  </si>
  <si>
    <t>Stainless steel brise-soleil brace arms/struts</t>
  </si>
  <si>
    <t>45-25-50/445 Stainless steel brise-soleil struts;</t>
  </si>
  <si>
    <t>Pr_30_59_09_83</t>
  </si>
  <si>
    <t>Stainless steel brise-soleil carrier members</t>
  </si>
  <si>
    <t>45-25-50/417 Stainless steel brise-soleil carrier members;</t>
  </si>
  <si>
    <t>Pr_30_59_09_84</t>
  </si>
  <si>
    <t>Stainless steel brise-soleil louvre blades</t>
  </si>
  <si>
    <t>45-25-50/408 Stainless steel brise-soleil louvre blades;</t>
  </si>
  <si>
    <t>Pr_30_59_09_85</t>
  </si>
  <si>
    <t>Stainless steel brise-soleil support arms</t>
  </si>
  <si>
    <t>45-25-50/435 Stainless steel brise-soleil support arms;</t>
  </si>
  <si>
    <t>Pr_30_59_09_86</t>
  </si>
  <si>
    <t>Stainless steel brise-soleil units</t>
  </si>
  <si>
    <t>Pr_30_59_09_90</t>
  </si>
  <si>
    <t>Wood brise-soleil carrier members</t>
  </si>
  <si>
    <t>45-25-50/418 Wood brise-soleil carrier members;</t>
  </si>
  <si>
    <t>Pr_30_59_09_91</t>
  </si>
  <si>
    <t>Wood brise-soleil louvre blades</t>
  </si>
  <si>
    <t>45-25-50/410 Wood brise-soleil louvre blades;</t>
  </si>
  <si>
    <t>Pr_30_59_09_92</t>
  </si>
  <si>
    <t>Wood brise-soleil support arms</t>
  </si>
  <si>
    <t>45-25-50/437 Wood brise-soleil support arms;</t>
  </si>
  <si>
    <t>Pr_30_59_09_93</t>
  </si>
  <si>
    <t>Wood brise-soleil units</t>
  </si>
  <si>
    <t>Pr_30_59_23</t>
  </si>
  <si>
    <t>Door frames and leaves</t>
  </si>
  <si>
    <t>Pr_30_59_23_02</t>
  </si>
  <si>
    <t>Aluminium door frames</t>
  </si>
  <si>
    <t>45-25-28/310 Aluminium door frames;</t>
  </si>
  <si>
    <t>Pr_30_59_23_11</t>
  </si>
  <si>
    <t>Carbon steel door frames</t>
  </si>
  <si>
    <t>45-25-28/314 Steel door frames;</t>
  </si>
  <si>
    <t>Pr_30_59_23_15</t>
  </si>
  <si>
    <t>Composite door frames</t>
  </si>
  <si>
    <t>45-25-28/312 Composite door frames;</t>
  </si>
  <si>
    <t>Pr_30_59_23_16</t>
  </si>
  <si>
    <t>Composite door leaves</t>
  </si>
  <si>
    <t>45-25-28/320 Composite door leaves;</t>
  </si>
  <si>
    <t>Pr_30_59_23_32</t>
  </si>
  <si>
    <t>Frameless glass door leaves</t>
  </si>
  <si>
    <t>45-25-28/322 Frameless glass door leaves;</t>
  </si>
  <si>
    <t>Pr_30_59_23_34</t>
  </si>
  <si>
    <t>Glass reinforced plastics (GRP) door leaves</t>
  </si>
  <si>
    <t>45-25-28/323 GRP door leaves;</t>
  </si>
  <si>
    <t>Pr_30_59_23_47</t>
  </si>
  <si>
    <t>Louvre door leaves</t>
  </si>
  <si>
    <t>Pr_30_59_23_50</t>
  </si>
  <si>
    <t>Matchboarded door leaves</t>
  </si>
  <si>
    <t>45-25-28/324 Matchboarded door leaves;</t>
  </si>
  <si>
    <t>Pr_30_59_23_53</t>
  </si>
  <si>
    <t>Metal door leaves</t>
  </si>
  <si>
    <t>45-25-28/326 Metal door leaves;</t>
  </si>
  <si>
    <t>Pr_30_59_23_84</t>
  </si>
  <si>
    <t>Stainless steel door frames</t>
  </si>
  <si>
    <t>Pr_30_59_23_91</t>
  </si>
  <si>
    <t>Unplasticized polyvinyl chloride (PVC-U) door frames</t>
  </si>
  <si>
    <t>Pr_30_59_23_92</t>
  </si>
  <si>
    <t>Unplasticized polyvinyl chloride (PVC-U) door leaves</t>
  </si>
  <si>
    <t>45-25-28/328 PVC-U door leaves;</t>
  </si>
  <si>
    <t>Pr_30_59_23_96</t>
  </si>
  <si>
    <t>Wood door frames</t>
  </si>
  <si>
    <t>45-25-28/316 Wood door frames;</t>
  </si>
  <si>
    <t>Pr_30_59_23_97</t>
  </si>
  <si>
    <t>Wood flush door leaves</t>
  </si>
  <si>
    <t>45-25-28/330 Wood flush door leaves;</t>
  </si>
  <si>
    <t>Pr_30_59_23_98</t>
  </si>
  <si>
    <t>Wood panelled door leaves</t>
  </si>
  <si>
    <t>45-25-28/332 Wood panelled door leaves;</t>
  </si>
  <si>
    <t>Pr_30_59_24</t>
  </si>
  <si>
    <t>Doorsets</t>
  </si>
  <si>
    <t>Pr_30_59_24_04</t>
  </si>
  <si>
    <t>Automatic revolving doorsets</t>
  </si>
  <si>
    <t>45-25-28/352 Automatic revolving doorsets;</t>
  </si>
  <si>
    <t>Pr_30_59_24_14</t>
  </si>
  <si>
    <t>Collapsible gate and grille sets</t>
  </si>
  <si>
    <t>45-25-28/356 Collapsible gate and grille sets;</t>
  </si>
  <si>
    <t>Pr_30_59_24_15</t>
  </si>
  <si>
    <t>Combination doorsets</t>
  </si>
  <si>
    <t>Pr_30_59_24_16</t>
  </si>
  <si>
    <t>Composite doorsets</t>
  </si>
  <si>
    <t>45-25-28/342 Composite doorsets;</t>
  </si>
  <si>
    <t>Pr_30_59_24_28</t>
  </si>
  <si>
    <t>Fire doorsets</t>
  </si>
  <si>
    <t>Pr_30_59_24_30</t>
  </si>
  <si>
    <t>Flexible doorsets</t>
  </si>
  <si>
    <t>45-25-28/358 Flexible doorsets;</t>
  </si>
  <si>
    <t>Pr_30_59_24_34</t>
  </si>
  <si>
    <t>Glass reinforced plastics (GRP) doorsets</t>
  </si>
  <si>
    <t>45-25-28/343 GRP doorsets;</t>
  </si>
  <si>
    <t>Pr_30_59_24_37</t>
  </si>
  <si>
    <t>High security doorsets</t>
  </si>
  <si>
    <t>45-25-28/372 High security doorsets;</t>
  </si>
  <si>
    <t>Pr_30_59_24_38</t>
  </si>
  <si>
    <t>High speed doorsets</t>
  </si>
  <si>
    <t>45-25-28/360 High speed doorsets;</t>
  </si>
  <si>
    <t>Pr_30_59_24_48</t>
  </si>
  <si>
    <t>Loading bay doorsets</t>
  </si>
  <si>
    <t>Pr_30_59_24_49</t>
  </si>
  <si>
    <t>Louvre doorsets</t>
  </si>
  <si>
    <t>Pr_30_59_24_50</t>
  </si>
  <si>
    <t>Manual revolving doorsets</t>
  </si>
  <si>
    <t>45-25-28/354 Manual revolving doorsets;</t>
  </si>
  <si>
    <t>Pr_30_59_24_52</t>
  </si>
  <si>
    <t>Metal doorsets</t>
  </si>
  <si>
    <t>45-25-28/344 Metal doorsets;</t>
  </si>
  <si>
    <t>Pr_30_59_24_64</t>
  </si>
  <si>
    <t>Polyvinyl chloride (PVC) strip curtain sets</t>
  </si>
  <si>
    <t>Pr_30_59_24_75</t>
  </si>
  <si>
    <t>Sectional overhead doorsets</t>
  </si>
  <si>
    <t>45-25-28/364 Sectional overhead doorsets;</t>
  </si>
  <si>
    <t>Pr_30_59_24_80</t>
  </si>
  <si>
    <t>Sliding door and partition sets</t>
  </si>
  <si>
    <t>45-25-28/366 Sliding door and partition sets;</t>
  </si>
  <si>
    <t>Pr_30_59_24_81</t>
  </si>
  <si>
    <t>Sliding folding doorsets</t>
  </si>
  <si>
    <t>45-25-28/368 Sliding folding shutter doorsets;</t>
  </si>
  <si>
    <t>Pr_30_59_24_83</t>
  </si>
  <si>
    <t>Sliding folding shutters</t>
  </si>
  <si>
    <t>Pr_30_59_24_92</t>
  </si>
  <si>
    <t>Unplasticized polyvinyl chloride (PVC-U) doorsets</t>
  </si>
  <si>
    <t>45-25-28/346 PVC-U doorsets;</t>
  </si>
  <si>
    <t>Pr_30_59_24_93</t>
  </si>
  <si>
    <t>Up-and-over doorsets</t>
  </si>
  <si>
    <t>45-25-28/374 Up-and-over doorsets;</t>
  </si>
  <si>
    <t>Pr_30_59_24_97</t>
  </si>
  <si>
    <t>Wood doorsets</t>
  </si>
  <si>
    <t>45-25-28/348 Wood doorsets;</t>
  </si>
  <si>
    <t>Pr_30_59_28</t>
  </si>
  <si>
    <t>Escape products</t>
  </si>
  <si>
    <t>Pr_30_59_28_26</t>
  </si>
  <si>
    <t>Escape chairs</t>
  </si>
  <si>
    <t>Pr_30_59_28_27</t>
  </si>
  <si>
    <t>Escape chutes</t>
  </si>
  <si>
    <t>Pr_30_59_28_28</t>
  </si>
  <si>
    <t>Escape slides</t>
  </si>
  <si>
    <t>Pr_30_59_28_78</t>
  </si>
  <si>
    <t>Slings</t>
  </si>
  <si>
    <t>Pr_30_59_29</t>
  </si>
  <si>
    <t>Fixed roof ventilators, terminals and accessories</t>
  </si>
  <si>
    <t>Pr_30_59_29_02</t>
  </si>
  <si>
    <t>Abutment ventilators</t>
  </si>
  <si>
    <t>45-20-75/330 Abutment ventilators;</t>
  </si>
  <si>
    <t>Pr_30_59_29_15</t>
  </si>
  <si>
    <t>Combined eaves fascia grilles and ventilator trays</t>
  </si>
  <si>
    <t>45-20-75/380 Combined eaves fascia grilles and ventilator trays;</t>
  </si>
  <si>
    <t>Pr_30_59_29_30</t>
  </si>
  <si>
    <t>Flat roof ventilators</t>
  </si>
  <si>
    <t>45-20-75/340 Flat roof ventilators;</t>
  </si>
  <si>
    <t>Pr_30_59_29_62</t>
  </si>
  <si>
    <t>Plastics eaves underlay support</t>
  </si>
  <si>
    <t>45-20-75/310 Plastics eaves underlay support;</t>
  </si>
  <si>
    <t>Pr_30_59_29_64</t>
  </si>
  <si>
    <t>Plastics rafter ventilator trays</t>
  </si>
  <si>
    <t>45-20-75/320 Plastics rafter trays;</t>
  </si>
  <si>
    <t>Pr_30_59_29_71</t>
  </si>
  <si>
    <t>Roof ridge ventilator tiles</t>
  </si>
  <si>
    <t>45-20-75/360 Ridge ventilation tiles;</t>
  </si>
  <si>
    <t>Pr_30_59_29_72</t>
  </si>
  <si>
    <t>Roof slope terminals</t>
  </si>
  <si>
    <t>45-20-75/370 Roof slope terminals;</t>
  </si>
  <si>
    <t>Pr_30_59_29_73</t>
  </si>
  <si>
    <t>Roof slope ventilator tiles</t>
  </si>
  <si>
    <t>45-20-75/375 Roof slope ventilator tiles;</t>
  </si>
  <si>
    <t>Pr_30_59_29_74</t>
  </si>
  <si>
    <t>Roof terminals</t>
  </si>
  <si>
    <t>45-20-75/350 Ridge terminals;</t>
  </si>
  <si>
    <t>Pr_30_59_29_75</t>
  </si>
  <si>
    <t>Roof ventilator unit</t>
  </si>
  <si>
    <t>45-25-99/450 Roof ventilator unit;</t>
  </si>
  <si>
    <t>Pr_30_59_29_77</t>
  </si>
  <si>
    <t>Rotary roof ventilators</t>
  </si>
  <si>
    <t>45-20-75/365 Rotary roof ventilators;</t>
  </si>
  <si>
    <t>Pr_30_59_29_82</t>
  </si>
  <si>
    <t>Strip ventilators</t>
  </si>
  <si>
    <t>45-20-75/410 Strip ventilators;</t>
  </si>
  <si>
    <t>Pr_30_59_33</t>
  </si>
  <si>
    <t>Gate surrounds and leaves</t>
  </si>
  <si>
    <t>Pr_30_59_33_02</t>
  </si>
  <si>
    <t>Aluminium sheet gate leaves</t>
  </si>
  <si>
    <t>45-25-35/351 Aluminium sheet gate leaves;</t>
  </si>
  <si>
    <t>Pr_30_59_33_03</t>
  </si>
  <si>
    <t>Aluminium vertical rail gate leaves</t>
  </si>
  <si>
    <t>45-25-35/353 Aluminium vertical rail gate leaves;</t>
  </si>
  <si>
    <t>Pr_30_59_33_11</t>
  </si>
  <si>
    <t>Carbon steel expanded mesh gate leaves</t>
  </si>
  <si>
    <t>45-25-35/361 Carbon steel expanded mesh gate leaves;</t>
  </si>
  <si>
    <t>Pr_30_59_33_12</t>
  </si>
  <si>
    <t>Carbon steel field gate leaves</t>
  </si>
  <si>
    <t>45-25-35/363 Carbon steel field gate leaves;</t>
  </si>
  <si>
    <t>Pr_30_59_33_13</t>
  </si>
  <si>
    <t>Carbon steel palisade gate leaves</t>
  </si>
  <si>
    <t>45-25-35/365 Carbon steel palisade gate leaves;</t>
  </si>
  <si>
    <t>Pr_30_59_33_14</t>
  </si>
  <si>
    <t>Carbon steel sheet gate leaves</t>
  </si>
  <si>
    <t>45-25-35/367 Carbon steel sheet gate leaves;</t>
  </si>
  <si>
    <t>Pr_30_59_33_15</t>
  </si>
  <si>
    <t>Carbon steel vertical section gate leaves</t>
  </si>
  <si>
    <t>45-25-35/369 Carbon steel vertical section gate leaves;</t>
  </si>
  <si>
    <t>Pr_30_59_33_16</t>
  </si>
  <si>
    <t>Carbon steel welded mesh gate leaves</t>
  </si>
  <si>
    <t>45-25-35/371 Carbon steel welded mesh gate leaves;</t>
  </si>
  <si>
    <t>Pr_30_59_33_33</t>
  </si>
  <si>
    <t>Gate arches</t>
  </si>
  <si>
    <t>45-25-35/421 Gate arch;</t>
  </si>
  <si>
    <t>Pr_30_59_33_34</t>
  </si>
  <si>
    <t>Glass infill gate leaves</t>
  </si>
  <si>
    <t>45-25-35/401 Glass infill gate leaves;</t>
  </si>
  <si>
    <t>Pr_30_59_33_35</t>
  </si>
  <si>
    <t>Glazing plastics gate leaves</t>
  </si>
  <si>
    <t>45-25-35/391 Glazing plastics gate leaves;</t>
  </si>
  <si>
    <t>Pr_30_59_33_36</t>
  </si>
  <si>
    <t>Hardwood field gate leaves</t>
  </si>
  <si>
    <t>45-25-35/415 Wood field gate leaves;</t>
  </si>
  <si>
    <t>Pr_30_59_33_37</t>
  </si>
  <si>
    <t>Hardwood gate leaves</t>
  </si>
  <si>
    <t>45-25-35/413 Prefabricated wood gate leaves;</t>
  </si>
  <si>
    <t>Pr_30_59_33_38</t>
  </si>
  <si>
    <t>Hardwood gate surrounds</t>
  </si>
  <si>
    <t>45-25-35/427 Wood gate surrounds;</t>
  </si>
  <si>
    <t>Pr_30_59_33_39</t>
  </si>
  <si>
    <t>Hardwood palisade gate leaves</t>
  </si>
  <si>
    <t>45-25-35/417 Wood palisade gate leaves;</t>
  </si>
  <si>
    <t>Pr_30_59_33_52</t>
  </si>
  <si>
    <t>Metal gate surrounds</t>
  </si>
  <si>
    <t>45-25-35/425 Metal gate surrounds;</t>
  </si>
  <si>
    <t>Pr_30_59_33_62</t>
  </si>
  <si>
    <t>Plastics gate leaves</t>
  </si>
  <si>
    <t>45-25-35/393 Prefabricated plastics gate leaves;</t>
  </si>
  <si>
    <t>Pr_30_59_33_63</t>
  </si>
  <si>
    <t>Plywood sheet gate leaves</t>
  </si>
  <si>
    <t>45-25-35/411 Plywood sheet gate leaves;</t>
  </si>
  <si>
    <t>Pr_30_59_33_78</t>
  </si>
  <si>
    <t>Stainless steel expanded mesh gate leaves</t>
  </si>
  <si>
    <t>45-25-35/373 Stainless steel expanded mesh gate leaves;</t>
  </si>
  <si>
    <t>Pr_30_59_33_82</t>
  </si>
  <si>
    <t>Stainless steel sheet gate leaves</t>
  </si>
  <si>
    <t>45-25-35/375 Stainless steel sheet gate leaves;</t>
  </si>
  <si>
    <t>Pr_30_59_33_84</t>
  </si>
  <si>
    <t>Stainless steel vertical rail gate leaves</t>
  </si>
  <si>
    <t>45-25-35/377 Stainless steel vertical rail gate leaves;</t>
  </si>
  <si>
    <t>Pr_30_59_33_98</t>
  </si>
  <si>
    <t>Wrought iron decorative gate leaves</t>
  </si>
  <si>
    <t>45-25-35/381 Wrought iron decorative gate leaves;</t>
  </si>
  <si>
    <t>Pr_30_59_33_99</t>
  </si>
  <si>
    <t>Wrought iron vertical rail gate leaves</t>
  </si>
  <si>
    <t>45-25-35/383 Wrought iron vertical rail gate leaves;</t>
  </si>
  <si>
    <t>Pr_30_59_34</t>
  </si>
  <si>
    <t>Gates and turnstiles</t>
  </si>
  <si>
    <t>Pr_30_59_34_01</t>
  </si>
  <si>
    <t>Aluminium full height turnstiles</t>
  </si>
  <si>
    <t>45-25-35/341 Aluminium full height turnstiles;</t>
  </si>
  <si>
    <t>Pr_30_59_34_02</t>
  </si>
  <si>
    <t>Aluminium gates</t>
  </si>
  <si>
    <t>45-25-35/301 Aluminium gates;</t>
  </si>
  <si>
    <t>Pr_30_59_34_03</t>
  </si>
  <si>
    <t>Aluminium safety gates</t>
  </si>
  <si>
    <t>45-30-75/455 Aluminium safety gates;</t>
  </si>
  <si>
    <t>Pr_30_59_34_10</t>
  </si>
  <si>
    <t>Canal lock gates</t>
  </si>
  <si>
    <t>Pr_30_59_34_11</t>
  </si>
  <si>
    <t>Carbon steel bridle gates</t>
  </si>
  <si>
    <t>45-25-35/321 Carbon steel bridle gates;</t>
  </si>
  <si>
    <t>Pr_30_59_34_12</t>
  </si>
  <si>
    <t>Carbon steel dog gates</t>
  </si>
  <si>
    <t>45-25-35/323 Carbon steel dog gates;</t>
  </si>
  <si>
    <t>Pr_30_59_34_13</t>
  </si>
  <si>
    <t>Carbon steel full height turnstiles</t>
  </si>
  <si>
    <t>45-25-35/343 Carbon steel full height turnstiles;</t>
  </si>
  <si>
    <t>Pr_30_59_34_14</t>
  </si>
  <si>
    <t>Carbon steel gates</t>
  </si>
  <si>
    <t>45-25-35/303 Carbon steel gates;</t>
  </si>
  <si>
    <t>Pr_30_59_34_15</t>
  </si>
  <si>
    <t>Carbon steel half height turnstiles</t>
  </si>
  <si>
    <t>45-25-35/345 Carbon steel half height turnstiles;</t>
  </si>
  <si>
    <t>Pr_30_59_34_16</t>
  </si>
  <si>
    <t>Carbon steel kissing gates</t>
  </si>
  <si>
    <t>45-25-35/325 Carbon steel kissing gates;</t>
  </si>
  <si>
    <t>Pr_30_59_34_17</t>
  </si>
  <si>
    <t>Carbon steel motorbike inhibitors</t>
  </si>
  <si>
    <t>45-25-35/327 Carbon steel motorbike inhibitors;</t>
  </si>
  <si>
    <t>Pr_30_59_34_18</t>
  </si>
  <si>
    <t>Carbon steel safety gates</t>
  </si>
  <si>
    <t>45-30-75/460 Carbon steel safety gates;</t>
  </si>
  <si>
    <t>Pr_30_59_34_20</t>
  </si>
  <si>
    <t>Composite gates</t>
  </si>
  <si>
    <t>45-25-35/305 Composite gates;</t>
  </si>
  <si>
    <t>Pr_30_59_34_30</t>
  </si>
  <si>
    <t>Flood gates</t>
  </si>
  <si>
    <t>Pr_30_59_34_35</t>
  </si>
  <si>
    <t>Glazed gates</t>
  </si>
  <si>
    <t>45-25-35/309 Glazed gates;</t>
  </si>
  <si>
    <t>Pr_30_59_34_36</t>
  </si>
  <si>
    <t>Hardwood bridle gates</t>
  </si>
  <si>
    <t>45-25-35/331 Wood bridle gates;</t>
  </si>
  <si>
    <t>Pr_30_59_34_37</t>
  </si>
  <si>
    <t>Hardwood dog gates</t>
  </si>
  <si>
    <t>45-25-35/333 Wood dog gates;</t>
  </si>
  <si>
    <t>Pr_30_59_34_38</t>
  </si>
  <si>
    <t>Hardwood gates</t>
  </si>
  <si>
    <t>45-25-35/315 Wood gates;</t>
  </si>
  <si>
    <t>Pr_30_59_34_39</t>
  </si>
  <si>
    <t>Hardwood kissing gates</t>
  </si>
  <si>
    <t>45-25-35/335 Wood kissing gates;</t>
  </si>
  <si>
    <t>Pr_30_59_34_40</t>
  </si>
  <si>
    <t>Hardwood ladder stiles</t>
  </si>
  <si>
    <t>45-25-35/337 Wood ladder stiles;</t>
  </si>
  <si>
    <t>Pr_30_59_34_41</t>
  </si>
  <si>
    <t>Hardwood post and rail stiles</t>
  </si>
  <si>
    <t>45-25-35/339 Wood post and rail stiles;</t>
  </si>
  <si>
    <t>Pr_30_59_34_65</t>
  </si>
  <si>
    <t>Plastics gates</t>
  </si>
  <si>
    <t>45-25-35/311 Plastics gates;</t>
  </si>
  <si>
    <t>Pr_30_59_34_78</t>
  </si>
  <si>
    <t>Stainless steel full height turnstiles</t>
  </si>
  <si>
    <t>45-25-35/347 Stainless steel full height turnstiles;</t>
  </si>
  <si>
    <t>Pr_30_59_34_80</t>
  </si>
  <si>
    <t>Stainless steel gates</t>
  </si>
  <si>
    <t>45-25-35/313 Stainless steel gates;</t>
  </si>
  <si>
    <t>Pr_30_59_34_88</t>
  </si>
  <si>
    <t>Stainless steel half height turnstiles</t>
  </si>
  <si>
    <t>45-25-35/349 Stainless steel half height turnstiles;</t>
  </si>
  <si>
    <t>Pr_30_59_34_90</t>
  </si>
  <si>
    <t>Stainless steel safety gates</t>
  </si>
  <si>
    <t>45-30-75/465 Stainless steel safety gates;</t>
  </si>
  <si>
    <t>Pr_30_59_34_98</t>
  </si>
  <si>
    <t>Wrought iron gates</t>
  </si>
  <si>
    <t>45-25-35/317 Wrought iron gates;</t>
  </si>
  <si>
    <t>Pr_30_59_36</t>
  </si>
  <si>
    <t>Hatches and access panels</t>
  </si>
  <si>
    <t>Pr_30_59_36_01</t>
  </si>
  <si>
    <t>Access panels</t>
  </si>
  <si>
    <t>45-45-00/310 Access panels;</t>
  </si>
  <si>
    <t>Pr_30_59_36_02</t>
  </si>
  <si>
    <t>Aluminium access hatches</t>
  </si>
  <si>
    <t>45-25-28/426 Aluminium access hatches;</t>
  </si>
  <si>
    <t>Pr_30_59_36_11</t>
  </si>
  <si>
    <t>Carbon steel access hatches</t>
  </si>
  <si>
    <t>45-25-28/428 Carbon steel access hatches;</t>
  </si>
  <si>
    <t>Pr_30_59_36_30</t>
  </si>
  <si>
    <t>Floor hatches</t>
  </si>
  <si>
    <t>45-25-28/420 Floor hatches;</t>
  </si>
  <si>
    <t>Pr_30_59_36_50</t>
  </si>
  <si>
    <t>Manual trapdoors</t>
  </si>
  <si>
    <t>Pr_30_59_36_74</t>
  </si>
  <si>
    <t>Roof hatches</t>
  </si>
  <si>
    <t>45-25-28/422 Roof hatches;</t>
  </si>
  <si>
    <t>Pr_30_59_36_76</t>
  </si>
  <si>
    <t>Self-closing safety hatches</t>
  </si>
  <si>
    <t>45-30-75/470 Self closing safety hatches;</t>
  </si>
  <si>
    <t>Pr_30_59_36_78</t>
  </si>
  <si>
    <t>Self-closing trapdoors</t>
  </si>
  <si>
    <t>45-25-28/432 Self closing trapdoor;</t>
  </si>
  <si>
    <t>Pr_30_59_36_80</t>
  </si>
  <si>
    <t>Stainless steel access hatches</t>
  </si>
  <si>
    <t>45-25-28/430 Stainless steel access hatches;</t>
  </si>
  <si>
    <t>Pr_30_59_36_96</t>
  </si>
  <si>
    <t>Wall hatches</t>
  </si>
  <si>
    <t>45-25-28/424 Wall hatches;</t>
  </si>
  <si>
    <t>Pr_30_59_46</t>
  </si>
  <si>
    <t>Lift barriers</t>
  </si>
  <si>
    <t>Pr_30_59_46_46</t>
  </si>
  <si>
    <t>Lift landing doorsets</t>
  </si>
  <si>
    <t>90-80-60/320 Landing doors, frames and sills;</t>
  </si>
  <si>
    <t>Pr_30_59_46_47</t>
  </si>
  <si>
    <t>Lift landing frames</t>
  </si>
  <si>
    <t>Pr_30_59_46_48</t>
  </si>
  <si>
    <t>Lift landing sills</t>
  </si>
  <si>
    <t>Pr_30_59_46_49</t>
  </si>
  <si>
    <t>Lift platform barriers</t>
  </si>
  <si>
    <t>Pr_30_59_46_63</t>
  </si>
  <si>
    <t>Platform lift landing doorsets and gates</t>
  </si>
  <si>
    <t>Pr_30_59_48</t>
  </si>
  <si>
    <t>Louvres and components</t>
  </si>
  <si>
    <t>Pr_30_59_48_02</t>
  </si>
  <si>
    <t>Aluminium louvre blades</t>
  </si>
  <si>
    <t>45-25-50/360 Aluminium louvre blades;</t>
  </si>
  <si>
    <t>Pr_30_59_48_03</t>
  </si>
  <si>
    <t>Aluminium louvre frames</t>
  </si>
  <si>
    <t>45-25-50/340 Aluminium louvre frames;</t>
  </si>
  <si>
    <t>Pr_30_59_48_04</t>
  </si>
  <si>
    <t>Aluminium louvre panel units</t>
  </si>
  <si>
    <t>45-25-50/305 Aluminium louvre panel units;</t>
  </si>
  <si>
    <t>Pr_30_59_48_11</t>
  </si>
  <si>
    <t>Carbon steel louvre blades</t>
  </si>
  <si>
    <t>45-25-50/370 Carbon steel louvre blades;</t>
  </si>
  <si>
    <t>Pr_30_59_48_12</t>
  </si>
  <si>
    <t>Carbon steel louvre frames</t>
  </si>
  <si>
    <t>45-25-50/345 Carbon steel louvre frames;</t>
  </si>
  <si>
    <t>Pr_30_59_48_13</t>
  </si>
  <si>
    <t>Carbon steel louvre panel units</t>
  </si>
  <si>
    <t>45-25-50/310 Carbon steel louvre panel units;</t>
  </si>
  <si>
    <t>Pr_30_59_48_34</t>
  </si>
  <si>
    <t>Glass louvre blades</t>
  </si>
  <si>
    <t>45-25-50/365 Glass louvre blades;</t>
  </si>
  <si>
    <t>Pr_30_59_48_52</t>
  </si>
  <si>
    <t>Mirror louvre units</t>
  </si>
  <si>
    <t>Pr_30_59_48_65</t>
  </si>
  <si>
    <t>Plastic louvre blades</t>
  </si>
  <si>
    <t>45-25-50/375 Plastic louvre blades;</t>
  </si>
  <si>
    <t>Pr_30_59_48_77</t>
  </si>
  <si>
    <t>Screening and ventilation access doors</t>
  </si>
  <si>
    <t>45-25-50/335 Screening and ventilation louvre access doors;</t>
  </si>
  <si>
    <t>Pr_30_59_48_78</t>
  </si>
  <si>
    <t>Screening and ventilation louvre support frames</t>
  </si>
  <si>
    <t>45-25-50/330 Screening and ventilation louvre support frames;</t>
  </si>
  <si>
    <t>Pr_30_59_48_83</t>
  </si>
  <si>
    <t>Stainless steel louvre blades</t>
  </si>
  <si>
    <t>45-25-50/380 Stainless steel louvre blades;</t>
  </si>
  <si>
    <t>Pr_30_59_48_84</t>
  </si>
  <si>
    <t>Stainless steel louvre frames</t>
  </si>
  <si>
    <t>45-25-50/350 Stainless steel louvre frames;</t>
  </si>
  <si>
    <t>Pr_30_59_48_85</t>
  </si>
  <si>
    <t>Stainless steel louvre panel units</t>
  </si>
  <si>
    <t>45-25-50/312 Stainless steel louvre panel units;</t>
  </si>
  <si>
    <t>Pr_30_59_48_96</t>
  </si>
  <si>
    <t>Wood louvre blades</t>
  </si>
  <si>
    <t>45-25-50/385 Wood louvre blades;</t>
  </si>
  <si>
    <t>Pr_30_59_48_97</t>
  </si>
  <si>
    <t>Wood louvre frames</t>
  </si>
  <si>
    <t>45-25-50/355 Wood louvre frames;</t>
  </si>
  <si>
    <t>Pr_30_59_48_98</t>
  </si>
  <si>
    <t>Wood louvre panel units</t>
  </si>
  <si>
    <t>45-25-50/315 Wood louvre panel units;</t>
  </si>
  <si>
    <t>Pr_30_59_57</t>
  </si>
  <si>
    <t>Opening security and protection products</t>
  </si>
  <si>
    <t>Pr_30_59_57_04</t>
  </si>
  <si>
    <t>Anti-burglar window bars</t>
  </si>
  <si>
    <t>45-25-97/345 Anti-burglar bars;</t>
  </si>
  <si>
    <t>Pr_30_59_57_07</t>
  </si>
  <si>
    <t>Bird guards</t>
  </si>
  <si>
    <t>45-35-22/430 Bird guards;</t>
  </si>
  <si>
    <t>Pr_30_59_57_08</t>
  </si>
  <si>
    <t>Bird guard mesh</t>
  </si>
  <si>
    <t>45-25-50/455 Bird guard mesh;</t>
  </si>
  <si>
    <t>Pr_30_59_57_28</t>
  </si>
  <si>
    <t>Escalator shutters</t>
  </si>
  <si>
    <t>Pr_30_59_57_29</t>
  </si>
  <si>
    <t>Firebreak shutters</t>
  </si>
  <si>
    <t>Pr_30_59_57_40</t>
  </si>
  <si>
    <t>Insect guard mesh</t>
  </si>
  <si>
    <t>45-25-50/450 Insect guard mesh;</t>
  </si>
  <si>
    <t>Pr_30_59_57_41</t>
  </si>
  <si>
    <t>Insect guards</t>
  </si>
  <si>
    <t>45-35-22/435 Insect guards;</t>
  </si>
  <si>
    <t>Pr_30_59_57_58</t>
  </si>
  <si>
    <t>Overhead ventilators</t>
  </si>
  <si>
    <t>45-25-97/360 Overhead ventilators;</t>
  </si>
  <si>
    <t>Pr_30_59_57_76</t>
  </si>
  <si>
    <t>Security shutters</t>
  </si>
  <si>
    <t>Pr_30_59_57_77</t>
  </si>
  <si>
    <t>Security window screens</t>
  </si>
  <si>
    <t>45-25-97/350 Security screens;</t>
  </si>
  <si>
    <t>Pr_30_59_58</t>
  </si>
  <si>
    <t>Operable roof ventilators</t>
  </si>
  <si>
    <t>Pr_30_59_58_50</t>
  </si>
  <si>
    <t>Manual control glazed roof ventilators</t>
  </si>
  <si>
    <t>45-25-99/460 Glazed roof vents with remote manual operation;</t>
  </si>
  <si>
    <t>Pr_30_59_58_88</t>
  </si>
  <si>
    <t>Thermostatic control glazed roof ventilators</t>
  </si>
  <si>
    <t>45-25-99/455 Automatic glazed roof vents with thermostatic control;</t>
  </si>
  <si>
    <t>Pr_30_59_59</t>
  </si>
  <si>
    <t>Operable vehicular barriers</t>
  </si>
  <si>
    <t>Pr_30_59_59_11</t>
  </si>
  <si>
    <t>Cantilevered sliding beam vehicular barriers</t>
  </si>
  <si>
    <t>45-25-58/310 Heavy-duty cantilevered sliding beams;</t>
  </si>
  <si>
    <t>Pr_30_59_59_38</t>
  </si>
  <si>
    <t>Height restrictors</t>
  </si>
  <si>
    <t>45-25-35/423 Height restrictors;</t>
  </si>
  <si>
    <t>Pr_30_59_59_39</t>
  </si>
  <si>
    <t>Horizontal swing vehicular barriers</t>
  </si>
  <si>
    <t>45-25-58/350 Horizontal swing barriers;</t>
  </si>
  <si>
    <t>Pr_30_59_59_72</t>
  </si>
  <si>
    <t>Rising arm vehicular barriers</t>
  </si>
  <si>
    <t>45-25-58/330 Rising arm barriers;</t>
  </si>
  <si>
    <t>Pr_30_59_59_79</t>
  </si>
  <si>
    <t>Sliding vehicular barriers</t>
  </si>
  <si>
    <t>45-25-58/320 Heavy-duty sliding barriers;</t>
  </si>
  <si>
    <t>Pr_30_59_60</t>
  </si>
  <si>
    <t>Passenger boarding bridges</t>
  </si>
  <si>
    <t>Pr_30_59_60_03</t>
  </si>
  <si>
    <t>Apron drive passenger boarding bridges</t>
  </si>
  <si>
    <t>45-30-05/300 Apron drive passenger boarding bridge;</t>
  </si>
  <si>
    <t>Pr_30_59_60_15</t>
  </si>
  <si>
    <t>Commuter passenger boarding bridges</t>
  </si>
  <si>
    <t>45-30-05/330 Commuter passenger boarding bridge;</t>
  </si>
  <si>
    <t>Pr_30_59_60_56</t>
  </si>
  <si>
    <t>Noseloader passenger boarding bridges</t>
  </si>
  <si>
    <t>45-30-05/310 Noseloader passenger boarding bridge;</t>
  </si>
  <si>
    <t>Pr_30_59_60_80</t>
  </si>
  <si>
    <t>Ship boarding gangways</t>
  </si>
  <si>
    <t>Pr_30_59_60_87</t>
  </si>
  <si>
    <t>T bridge passenger boarding bridges</t>
  </si>
  <si>
    <t>45-30-05/320 T-bridge passenger boarding bridge;</t>
  </si>
  <si>
    <t>Pr_30_59_61</t>
  </si>
  <si>
    <t>Pavement and floorlight and venting products</t>
  </si>
  <si>
    <t>Pr_30_59_61_32</t>
  </si>
  <si>
    <t>Glazed floorlight panels</t>
  </si>
  <si>
    <t>45-20-60/305 Precast concrete glazed floor panels;</t>
  </si>
  <si>
    <t>Pr_30_59_61_33</t>
  </si>
  <si>
    <t>Glazed lift-out floorlight access panel</t>
  </si>
  <si>
    <t>45-20-60/315 Precast concrete glazed lift out floor access panel;</t>
  </si>
  <si>
    <t>Pr_30_59_61_34</t>
  </si>
  <si>
    <t>Glazed lift-out access pavement light panels</t>
  </si>
  <si>
    <t>45-20-60/310 Precast concrete glazed lift-out access pavement light panels;</t>
  </si>
  <si>
    <t>Pr_30_59_61_35</t>
  </si>
  <si>
    <t>Glazed pavement light panels</t>
  </si>
  <si>
    <t>45-20-60/325 Precast concrete glazed pavement panels;</t>
  </si>
  <si>
    <t>Pr_30_59_61_36</t>
  </si>
  <si>
    <t>Glazed smoke venting panels</t>
  </si>
  <si>
    <t>45-20-60/335 Precast concrete glazed smoke venting panels;</t>
  </si>
  <si>
    <t>Pr_30_59_61_57</t>
  </si>
  <si>
    <t>Non-glazed smoke venting panels</t>
  </si>
  <si>
    <t>45-20-60/340 Precast concrete non-glazed smoke venting panels;</t>
  </si>
  <si>
    <t>Pr_30_59_71</t>
  </si>
  <si>
    <t>Refuse and linen chute inlets and openings</t>
  </si>
  <si>
    <t>Pr_30_59_71_12</t>
  </si>
  <si>
    <t>Chute automatic fire doors</t>
  </si>
  <si>
    <t>45-30-15/365 Automatic fire door;</t>
  </si>
  <si>
    <t>Pr_30_59_71_13</t>
  </si>
  <si>
    <t>Chute door interlocks</t>
  </si>
  <si>
    <t>45-30-15/360 Door interlocks;</t>
  </si>
  <si>
    <t>Pr_30_59_71_21</t>
  </si>
  <si>
    <t>Refuse chute discharge outlets</t>
  </si>
  <si>
    <t>45-30-15/370 Discharge outlets for disposal chute;</t>
  </si>
  <si>
    <t>Pr_30_59_71_22</t>
  </si>
  <si>
    <t>Refuse chute doorsets</t>
  </si>
  <si>
    <t>Pr_30_59_71_23</t>
  </si>
  <si>
    <t>Refuse chute hoppers</t>
  </si>
  <si>
    <t>45-30-15/335 Disposal chute hoppers;</t>
  </si>
  <si>
    <t>Pr_30_59_71_46</t>
  </si>
  <si>
    <t>Linen chute discharge outlets</t>
  </si>
  <si>
    <t>45-30-15/375 Discharge outlet for linen chute;</t>
  </si>
  <si>
    <t>Pr_30_59_71_47</t>
  </si>
  <si>
    <t>Linen chute doorsets</t>
  </si>
  <si>
    <t>Pr_30_59_71_48</t>
  </si>
  <si>
    <t>Linen chute hoppers</t>
  </si>
  <si>
    <t>45-30-15/345 Linen chute hoppers;</t>
  </si>
  <si>
    <t>Pr_30_59_72</t>
  </si>
  <si>
    <t>Rooflights</t>
  </si>
  <si>
    <t>Pr_30_59_72_17</t>
  </si>
  <si>
    <t>Continuous rooflights</t>
  </si>
  <si>
    <t>Pr_30_59_72_21</t>
  </si>
  <si>
    <t>Daylight pipes</t>
  </si>
  <si>
    <t>45-25-99/420 Daylight pipes;</t>
  </si>
  <si>
    <t>Pr_30_59_72_24</t>
  </si>
  <si>
    <t>Dormers</t>
  </si>
  <si>
    <t>Pr_30_59_72_25</t>
  </si>
  <si>
    <t>Double glazed light pipe diffusers</t>
  </si>
  <si>
    <t>45-25-99/435 Double glazed diffusers;</t>
  </si>
  <si>
    <t>Pr_30_59_72_30</t>
  </si>
  <si>
    <t>Factory-assembled insulating rooflights (FAIRs)</t>
  </si>
  <si>
    <t>45-65-60/330 Factory assembled insulating rooflights (FAIRS);</t>
  </si>
  <si>
    <t>Pr_30_59_72_31</t>
  </si>
  <si>
    <t>Framed rooflights</t>
  </si>
  <si>
    <t>45-25-99/410 Framed rooflights;</t>
  </si>
  <si>
    <t>Pr_30_59_72_33</t>
  </si>
  <si>
    <t>Glazed lift-out rooflight access panels</t>
  </si>
  <si>
    <t>45-20-60/320 Precast concrete glazed lift out roof access panel;</t>
  </si>
  <si>
    <t>Pr_30_59_72_34</t>
  </si>
  <si>
    <t>Glazed rooflight panels</t>
  </si>
  <si>
    <t>45-20-60/330 Precast concrete glazed roof panels;</t>
  </si>
  <si>
    <t>Pr_30_59_72_42</t>
  </si>
  <si>
    <t>Individual rooflights</t>
  </si>
  <si>
    <t>Pr_30_59_72_46</t>
  </si>
  <si>
    <t>Lantern lights</t>
  </si>
  <si>
    <t>Pr_30_59_72_48</t>
  </si>
  <si>
    <t>Light reflectors (motorized)</t>
  </si>
  <si>
    <t>Pr_30_59_72_57</t>
  </si>
  <si>
    <t>North lights</t>
  </si>
  <si>
    <t>Pr_30_59_72_77</t>
  </si>
  <si>
    <t>Skylights</t>
  </si>
  <si>
    <t>Pr_30_59_72_94</t>
  </si>
  <si>
    <t>Ventilating light pipe diffusers</t>
  </si>
  <si>
    <t>45-25-99/440 Ventilating diffusers;</t>
  </si>
  <si>
    <t>Pr_30_59_84</t>
  </si>
  <si>
    <t>Shutters and grilles</t>
  </si>
  <si>
    <t>Pr_30_59_84_30</t>
  </si>
  <si>
    <t>Fire-resisting roller shutters</t>
  </si>
  <si>
    <t>45-25-28/404 Fire resisting roller shutters;</t>
  </si>
  <si>
    <t>Pr_30_59_84_72</t>
  </si>
  <si>
    <t>Roller grilles</t>
  </si>
  <si>
    <t>45-25-28/412 Roller grille sets;</t>
  </si>
  <si>
    <t>Pr_30_59_84_73</t>
  </si>
  <si>
    <t>Roller shutters</t>
  </si>
  <si>
    <t>45-25-28/414 Roller shutter sets;</t>
  </si>
  <si>
    <t>Pr_30_59_94</t>
  </si>
  <si>
    <t>Ventilation grilles</t>
  </si>
  <si>
    <t>Pr_30_59_94_04</t>
  </si>
  <si>
    <t>Air ventilation grilles</t>
  </si>
  <si>
    <t>Pr_30_59_94_06</t>
  </si>
  <si>
    <t>Air transfer grilles</t>
  </si>
  <si>
    <t>45-25-38/305 Air transfer grilles;</t>
  </si>
  <si>
    <t>Pr_30_59_94_26</t>
  </si>
  <si>
    <t>Eaves fascia grilles</t>
  </si>
  <si>
    <t>45-20-75/390 Eaves fascia grilles;</t>
  </si>
  <si>
    <t>Pr_30_59_94_31</t>
  </si>
  <si>
    <t>Fire-resisting air transfer grilles</t>
  </si>
  <si>
    <t>45-25-38/330 Fire-resisting air transfer grilles;</t>
  </si>
  <si>
    <t>Pr_30_59_94_32</t>
  </si>
  <si>
    <t>Fire-resisting air transfer grilles with smoke shutters</t>
  </si>
  <si>
    <t>45-25-38/335 Fire-resisting air transfer grilles with smoke shutters;</t>
  </si>
  <si>
    <t>Pr_30_59_94_78</t>
  </si>
  <si>
    <t>Soffit grilles</t>
  </si>
  <si>
    <t>45-20-75/400 Soffit grilles;</t>
  </si>
  <si>
    <t>Pr_30_59_94_90</t>
  </si>
  <si>
    <t>Trickle vents</t>
  </si>
  <si>
    <t>45-25-38/370 Trickle vents;</t>
  </si>
  <si>
    <t>Pr_30_59_96</t>
  </si>
  <si>
    <t>Wall venting products</t>
  </si>
  <si>
    <t>Pr_30_59_96_11</t>
  </si>
  <si>
    <t>Cavity ventilators</t>
  </si>
  <si>
    <t>Pr_30_59_96_33</t>
  </si>
  <si>
    <t>Gas venting grilles</t>
  </si>
  <si>
    <t>Pr_30_59_96_35</t>
  </si>
  <si>
    <t>Ground-level vent outlets</t>
  </si>
  <si>
    <t>Pr_30_59_96_92</t>
  </si>
  <si>
    <t>Ventilation ducts</t>
  </si>
  <si>
    <t>45-80-50/394 Ventilation ducts;</t>
  </si>
  <si>
    <t>Pr_30_59_96_93</t>
  </si>
  <si>
    <t>Ventilation gratings</t>
  </si>
  <si>
    <t>45-80-50/396 Ventilation gratings;</t>
  </si>
  <si>
    <t>Pr_30_59_96_96</t>
  </si>
  <si>
    <t>Wall vent outlets</t>
  </si>
  <si>
    <t>Pr_30_59_97</t>
  </si>
  <si>
    <t>Window panels</t>
  </si>
  <si>
    <t>Pr_30_59_97_16</t>
  </si>
  <si>
    <t>Glazed security window panels</t>
  </si>
  <si>
    <t>45-20-60/360 Precast concrete glazed security window panels;</t>
  </si>
  <si>
    <t>Pr_30_59_97_80</t>
  </si>
  <si>
    <t>Speak through units</t>
  </si>
  <si>
    <t>45-25-38/465 Speak through units;</t>
  </si>
  <si>
    <t>Pr_30_59_97_90</t>
  </si>
  <si>
    <t>Transaction units</t>
  </si>
  <si>
    <t>45-25-38/470 Transaction units;</t>
  </si>
  <si>
    <t>Pr_30_59_97_94</t>
  </si>
  <si>
    <t>Vision panels</t>
  </si>
  <si>
    <t>45-25-28/445 Vision panels;</t>
  </si>
  <si>
    <t>Pr_30_59_98</t>
  </si>
  <si>
    <t>Window units</t>
  </si>
  <si>
    <t>Pr_30_59_98_02</t>
  </si>
  <si>
    <t>Aluminium window units</t>
  </si>
  <si>
    <t>45-25-99/310 Aluminium window units;</t>
  </si>
  <si>
    <t>Pr_30_59_98_03</t>
  </si>
  <si>
    <t>Aluminium frame roof window units</t>
  </si>
  <si>
    <t>45-25-99/360 Aluminium frame roof window units;</t>
  </si>
  <si>
    <t>Pr_30_59_98_15</t>
  </si>
  <si>
    <t>Composite window units</t>
  </si>
  <si>
    <t>45-25-99/320 Composite window units;</t>
  </si>
  <si>
    <t>Pr_30_59_98_34</t>
  </si>
  <si>
    <t>Glass louvre window units</t>
  </si>
  <si>
    <t>Pr_30_59_98_72</t>
  </si>
  <si>
    <t>Rigid polyurethane frame roof window units</t>
  </si>
  <si>
    <t>45-25-99/370 Rigid polyurethane frame roof window units;</t>
  </si>
  <si>
    <t>Pr_30_59_98_83</t>
  </si>
  <si>
    <t>Steel window units</t>
  </si>
  <si>
    <t>45-25-99/340 Steel window units;</t>
  </si>
  <si>
    <t>Pr_30_59_98_84</t>
  </si>
  <si>
    <t>Steel frame roof window units</t>
  </si>
  <si>
    <t>45-25-99/380 Steel frame roof window units;</t>
  </si>
  <si>
    <t>Pr_30_59_98_92</t>
  </si>
  <si>
    <t>Unplasticized polyvinyl chloride (PVC-U) window units</t>
  </si>
  <si>
    <t>45-25-99/330 PVC-U window units;</t>
  </si>
  <si>
    <t>Pr_30_59_98_93</t>
  </si>
  <si>
    <t>Unplasticized polyvinyl chloride (PVC-U) roof window units</t>
  </si>
  <si>
    <t>45-25-99/365 PVC-U frame roof window units;</t>
  </si>
  <si>
    <t>Pr_30_59_98_96</t>
  </si>
  <si>
    <t>Wood window units</t>
  </si>
  <si>
    <t>45-25-99/350 Wood window units;</t>
  </si>
  <si>
    <t>Pr_30_59_98_97</t>
  </si>
  <si>
    <t>Wood frame roof window units</t>
  </si>
  <si>
    <t>45-25-99/390 Wood frame roof window units;</t>
  </si>
  <si>
    <t>Pr_30_59_99</t>
  </si>
  <si>
    <t>Window walls</t>
  </si>
  <si>
    <t>Pr_30_59_99_02</t>
  </si>
  <si>
    <t>Aluminium window walls</t>
  </si>
  <si>
    <t>45-25-99/462 Aluminium window walls;</t>
  </si>
  <si>
    <t>Pr_30_59_99_15</t>
  </si>
  <si>
    <t>Composite window walls</t>
  </si>
  <si>
    <t>45-25-99/464 Composite window walls;</t>
  </si>
  <si>
    <t>Pr_30_59_99_83</t>
  </si>
  <si>
    <t>Steel window walls</t>
  </si>
  <si>
    <t>45-25-99/468 Steel window walls;</t>
  </si>
  <si>
    <t>Pr_30_59_99_92</t>
  </si>
  <si>
    <t>Unplasticized polyvinylchloride (PVC-U) window walls</t>
  </si>
  <si>
    <t>45-25-99/466 PVC-U window walls;</t>
  </si>
  <si>
    <t>Pr_30_59_99_96</t>
  </si>
  <si>
    <t>Wood window walls</t>
  </si>
  <si>
    <t>45-25-99/470 Wood window walls;</t>
  </si>
  <si>
    <t>Pr_35</t>
  </si>
  <si>
    <t>Covering and finishing products</t>
  </si>
  <si>
    <t>Pr_35_31</t>
  </si>
  <si>
    <t>Formless covering and finish products</t>
  </si>
  <si>
    <t>Pr_35_31_05</t>
  </si>
  <si>
    <t>Asphalt, bitumen and resin mixtures</t>
  </si>
  <si>
    <t>Pr_35_31_05_03</t>
  </si>
  <si>
    <t>Asphalt concrete (AC) base courses</t>
  </si>
  <si>
    <t>45-20-00/330 Asphalt concrete (AC) base course;</t>
  </si>
  <si>
    <t>Pr_35_31_05_04</t>
  </si>
  <si>
    <t>Asphalt concrete (AC) binder courses</t>
  </si>
  <si>
    <t>45-20-00/335 Asphalt concrete (AC) binder course;</t>
  </si>
  <si>
    <t>Pr_35_31_05_05</t>
  </si>
  <si>
    <t>Asphalt concrete (AC) surface courses</t>
  </si>
  <si>
    <t>45-20-00/340 Asphalt concrete (AC) surface course;</t>
  </si>
  <si>
    <t>Pr_35_31_05_07</t>
  </si>
  <si>
    <t>Bitumen coated chippings</t>
  </si>
  <si>
    <t>45-20-00/420 Bitumen coated chippings;</t>
  </si>
  <si>
    <t>Pr_35_31_05_08</t>
  </si>
  <si>
    <t>Bitumen emulsion and glass fibre sandwich matrices</t>
  </si>
  <si>
    <t>45-20-00/400 Bitumen emulsion and glass fibre sandwich matrix;</t>
  </si>
  <si>
    <t>Pr_35_31_05_10</t>
  </si>
  <si>
    <t>Bonded grit surfacings</t>
  </si>
  <si>
    <t>45-20-00/405 Bonded grit surfacing;</t>
  </si>
  <si>
    <t>Pr_35_31_05_19</t>
  </si>
  <si>
    <t>Cut-back and fluxed bitumen binders</t>
  </si>
  <si>
    <t>45-55-12/310 Cut-back and fluxed bitumen binders;</t>
  </si>
  <si>
    <t>Pr_35_31_05_36</t>
  </si>
  <si>
    <t>Hard paving-grade bitumen</t>
  </si>
  <si>
    <t>45-55-12/340 Paving grade bitumens;</t>
  </si>
  <si>
    <t>Pr_35_31_05_37</t>
  </si>
  <si>
    <t>Hot-applied oxidized bitumen coatings</t>
  </si>
  <si>
    <t>45-55-12/380 Hot-applied oxidized bitumen coatings;</t>
  </si>
  <si>
    <t>Pr_35_31_05_38</t>
  </si>
  <si>
    <t>Hot-rolled asphalt (HRA) base courses</t>
  </si>
  <si>
    <t>45-20-00/350 Hot rolled asphalt (HRA) base course;</t>
  </si>
  <si>
    <t>Pr_35_31_05_39</t>
  </si>
  <si>
    <t>Hot-rolled asphalt (HRA) binder courses</t>
  </si>
  <si>
    <t>45-20-00/355 Hot rolled asphalt (HRA) binder course;</t>
  </si>
  <si>
    <t>Pr_35_31_05_40</t>
  </si>
  <si>
    <t>Hot-rolled asphalt (HRA) surface courses and slurries</t>
  </si>
  <si>
    <t>45-20-00/360 Hot rolled asphalt (HRA) surface course and slurry;</t>
  </si>
  <si>
    <t>Pr_35_31_05_42</t>
  </si>
  <si>
    <t>Impervious textured sports surfacings</t>
  </si>
  <si>
    <t>45-20-70/493 Impervious textured sports surfacing;</t>
  </si>
  <si>
    <t>Pr_35_31_05_50</t>
  </si>
  <si>
    <t>Mastic asphalt (MA) surface courses</t>
  </si>
  <si>
    <t>45-20-00/325 Mastic asphalt (MA) surface course;</t>
  </si>
  <si>
    <t>Pr_35_31_05_60</t>
  </si>
  <si>
    <t>Paving-grade bitumens</t>
  </si>
  <si>
    <t>Pr_35_31_05_64</t>
  </si>
  <si>
    <t>Polyurethane-bound ethylene propylene diene monomer (EPDM) rubber crumb surfacings</t>
  </si>
  <si>
    <t>45-20-00/410 Polyurethane bound EPDM rubber crumb surfaces;</t>
  </si>
  <si>
    <t>Pr_35_31_05_65</t>
  </si>
  <si>
    <t>Porous asphalt concrete (PAC) surface courses</t>
  </si>
  <si>
    <t>45-20-00/345 Porous asphalt concrete (PA) surface course;</t>
  </si>
  <si>
    <t>Pr_35_31_05_70</t>
  </si>
  <si>
    <t>Resin-bonded aggregate surfacings</t>
  </si>
  <si>
    <t>45-20-00/425 Resin bonded aggregate surfacing;</t>
  </si>
  <si>
    <t>Pr_35_31_05_71</t>
  </si>
  <si>
    <t>Resin-bound mixed aggregate surfacings</t>
  </si>
  <si>
    <t>45-20-00/415 Resin bound mixed aggregate surfacing;</t>
  </si>
  <si>
    <t>Pr_35_31_05_72</t>
  </si>
  <si>
    <t>Roofing, tanking and flooring mastic asphalt (MA)</t>
  </si>
  <si>
    <t>45-20-00/320 Mastic asphalt (MA);</t>
  </si>
  <si>
    <t>Pr_35_31_05_75</t>
  </si>
  <si>
    <t>Sand asphalt</t>
  </si>
  <si>
    <t>Pr_35_31_05_83</t>
  </si>
  <si>
    <t>Stone mastic asphalt (SMA) binder courses</t>
  </si>
  <si>
    <t>45-20-00/375 Stone mastic asphalt (SMA) binder course;</t>
  </si>
  <si>
    <t>Pr_35_31_05_84</t>
  </si>
  <si>
    <t>Stone mastic asphalt (SMA) regulating courses</t>
  </si>
  <si>
    <t>45-20-00/370 Stone mastic asphalt (SMA) regulating course;</t>
  </si>
  <si>
    <t>Pr_35_31_05_85</t>
  </si>
  <si>
    <t>Stone mastic asphalt (SMA) surface courses</t>
  </si>
  <si>
    <t>45-20-00/380 Stone mastic asphalt (SMA) surface course;</t>
  </si>
  <si>
    <t>Pr_35_31_06</t>
  </si>
  <si>
    <t>Bedding and underlay compounds</t>
  </si>
  <si>
    <t>Pr_35_31_06_12</t>
  </si>
  <si>
    <t>Cementitious levelling screed mixes</t>
  </si>
  <si>
    <t>45-55-10/345 Cementitious levelling screed mix;</t>
  </si>
  <si>
    <t>Pr_35_31_06_15</t>
  </si>
  <si>
    <t>Concrete (granolithic) wearing screed mixes</t>
  </si>
  <si>
    <t>45-55-10/350 Concrete (granolithic) wearing screed mix;</t>
  </si>
  <si>
    <t>Pr_35_31_06_28</t>
  </si>
  <si>
    <t>Fibre-reinforced levelling screed mixes</t>
  </si>
  <si>
    <t>45-55-10/355 Fibre reinforced levelling screed mix;</t>
  </si>
  <si>
    <t>Pr_35_31_06_29</t>
  </si>
  <si>
    <t>Fine concrete levelling screed mixes</t>
  </si>
  <si>
    <t>45-55-10/360 Fine concrete levelling screed mix;</t>
  </si>
  <si>
    <t>Pr_35_31_06_31</t>
  </si>
  <si>
    <t>Floor seals</t>
  </si>
  <si>
    <t>45-55-10/405 Floor seal;</t>
  </si>
  <si>
    <t>Pr_35_31_06_32</t>
  </si>
  <si>
    <t>Flow applied flooring</t>
  </si>
  <si>
    <t>45-55-10/410 Flow applied flooring;</t>
  </si>
  <si>
    <t>Pr_35_31_06_36</t>
  </si>
  <si>
    <t>Heavy-duty flow-applied flooring</t>
  </si>
  <si>
    <t>45-55-10/415 Heavy duty flow applied flooring;</t>
  </si>
  <si>
    <t>Pr_35_31_06_37</t>
  </si>
  <si>
    <t>Heavy-duty screed flooring</t>
  </si>
  <si>
    <t>45-55-10/420 Heavy duty screed flooring;</t>
  </si>
  <si>
    <t>Pr_35_31_06_38</t>
  </si>
  <si>
    <t>High-build floor coatings</t>
  </si>
  <si>
    <t>45-55-10/425 High build floor coating;</t>
  </si>
  <si>
    <t>Pr_35_31_06_47</t>
  </si>
  <si>
    <t>Lightweight aggregate levelling screed mixes</t>
  </si>
  <si>
    <t>45-55-10/365 Lightweight aggregate levelling screed mix;</t>
  </si>
  <si>
    <t>Pr_35_31_06_55</t>
  </si>
  <si>
    <t>Multilayer flooring</t>
  </si>
  <si>
    <t>45-55-10/430 Multilayer flooring;</t>
  </si>
  <si>
    <t>Pr_35_31_06_64</t>
  </si>
  <si>
    <t>Polymer-modified levelling screed mixes</t>
  </si>
  <si>
    <t>Pr_35_31_06_65</t>
  </si>
  <si>
    <t>Polymer-modified wearing screed mixes</t>
  </si>
  <si>
    <t>45-55-10/375 Polymer modified wearing screed mix;</t>
  </si>
  <si>
    <t>Pr_35_31_06_69</t>
  </si>
  <si>
    <t>Quick-drying levelling screed mixes</t>
  </si>
  <si>
    <t>45-55-10/380 Quick drying levelling screed mix;</t>
  </si>
  <si>
    <t>Pr_35_31_06_71</t>
  </si>
  <si>
    <t>Ready-mixed levelling and wearing screeds</t>
  </si>
  <si>
    <t>45-55-10/310 Proprietary levelling or wearing screed to BS EN 13813;</t>
  </si>
  <si>
    <t>Pr_35_31_06_72</t>
  </si>
  <si>
    <t>Ready-mixed self-smoothing calcium sulfate screeds</t>
  </si>
  <si>
    <t>45-55-10/325 Self-smoothing calcium sulfate screeds (ready mixed);</t>
  </si>
  <si>
    <t>Pr_35_31_06_73</t>
  </si>
  <si>
    <t>Ready-mixed trowelled calcium sulfate screeds</t>
  </si>
  <si>
    <t>45-55-10/330 Trowelled calcium sulfate screeds (ready-mixed);</t>
  </si>
  <si>
    <t>Pr_35_31_06_77</t>
  </si>
  <si>
    <t>Screed flooring</t>
  </si>
  <si>
    <t>45-55-10/435 Screed flooring;</t>
  </si>
  <si>
    <t>Pr_35_31_06_78</t>
  </si>
  <si>
    <t>Self-smoothing levelling screed mixes</t>
  </si>
  <si>
    <t>45-55-10/385 Self smoothing levelling screed mix;</t>
  </si>
  <si>
    <t>Pr_35_31_06_79</t>
  </si>
  <si>
    <t>Self-smoothing wearing screed mixes</t>
  </si>
  <si>
    <t>45-55-10/390 Self smoothing wearing screed mix;</t>
  </si>
  <si>
    <t>Pr_35_31_06_80</t>
  </si>
  <si>
    <t>Smoothing and levelling underlay compounds</t>
  </si>
  <si>
    <t>45-55-10/320 Smoothing or levelling underlayment compound;</t>
  </si>
  <si>
    <t>Pr_35_31_22</t>
  </si>
  <si>
    <t>Decorative coatings</t>
  </si>
  <si>
    <t>Pr_35_31_22_02</t>
  </si>
  <si>
    <t>Aluminium paints</t>
  </si>
  <si>
    <t>45-35-84/324 Aluminium paints;</t>
  </si>
  <si>
    <t>Pr_35_31_22_12</t>
  </si>
  <si>
    <t>Casein paints</t>
  </si>
  <si>
    <t>45-35-84/342 Casein paints;</t>
  </si>
  <si>
    <t>Pr_35_31_22_13</t>
  </si>
  <si>
    <t>Cement paints</t>
  </si>
  <si>
    <t>45-35-84/334 Cement paints;</t>
  </si>
  <si>
    <t>Pr_35_31_22_15</t>
  </si>
  <si>
    <t>Concrete finishing coats</t>
  </si>
  <si>
    <t>45-35-84/452 Concrete finishing coats;</t>
  </si>
  <si>
    <t>Pr_35_31_22_16</t>
  </si>
  <si>
    <t>Concrete flash coats</t>
  </si>
  <si>
    <t>45-35-84/454 Flash coats;</t>
  </si>
  <si>
    <t>Pr_35_31_22_17</t>
  </si>
  <si>
    <t>Concrete floor dyes</t>
  </si>
  <si>
    <t>Pr_35_31_22_18</t>
  </si>
  <si>
    <t>Concrete floor paints</t>
  </si>
  <si>
    <t>45-35-84/346 Floor paints;</t>
  </si>
  <si>
    <t>Pr_35_31_22_19</t>
  </si>
  <si>
    <t>Concrete stains</t>
  </si>
  <si>
    <t>45-35-88/470 Concrete stains surface applied;</t>
  </si>
  <si>
    <t>Pr_35_31_22_23</t>
  </si>
  <si>
    <t>Distemper</t>
  </si>
  <si>
    <t>45-35-84/338 Distemper;</t>
  </si>
  <si>
    <t>Pr_35_31_22_37</t>
  </si>
  <si>
    <t>High pigment waterborne paint</t>
  </si>
  <si>
    <t>45-35-84/322 General purpose and contract paints;</t>
  </si>
  <si>
    <t>Pr_35_31_22_47</t>
  </si>
  <si>
    <t>Limewashes</t>
  </si>
  <si>
    <t>45-35-84/336 Limewash;</t>
  </si>
  <si>
    <t>Pr_35_31_22_52</t>
  </si>
  <si>
    <t>Micaceous iron oxide paints</t>
  </si>
  <si>
    <t>45-35-84/326 Micaceous iron oxide paints;</t>
  </si>
  <si>
    <t>Pr_35_31_22_54</t>
  </si>
  <si>
    <t>Multi-colour coatings</t>
  </si>
  <si>
    <t>45-35-84/354 Multi-colour coatings;</t>
  </si>
  <si>
    <t>Pr_35_31_22_55</t>
  </si>
  <si>
    <t>Multi-colour finish spatter coatings</t>
  </si>
  <si>
    <t>45-35-84/350 Multi-colour finish spatter coats;</t>
  </si>
  <si>
    <t>Pr_35_31_22_58</t>
  </si>
  <si>
    <t>Oil-bound distempers</t>
  </si>
  <si>
    <t>Pr_35_31_22_62</t>
  </si>
  <si>
    <t>Plant oil paints</t>
  </si>
  <si>
    <t>45-35-84/340 Plant oil paints;</t>
  </si>
  <si>
    <t>Pr_35_31_22_64</t>
  </si>
  <si>
    <t>Plastic texture paints</t>
  </si>
  <si>
    <t>45-35-84/344 Plastic texture paints;</t>
  </si>
  <si>
    <t>Pr_35_31_22_72</t>
  </si>
  <si>
    <t>Resin-based breathable masonry paints</t>
  </si>
  <si>
    <t>45-35-84/360 Resin-based breathable masonry paints;</t>
  </si>
  <si>
    <t>Pr_35_31_22_74</t>
  </si>
  <si>
    <t>Semi-transparent timber dyes</t>
  </si>
  <si>
    <t>Pr_35_31_22_75</t>
  </si>
  <si>
    <t>Semi-transparent timber oils</t>
  </si>
  <si>
    <t>Pr_35_31_22_76</t>
  </si>
  <si>
    <t>Semi-transparent timber stains</t>
  </si>
  <si>
    <t>45-35-84/418 Semi-transparent wood stains or dyes;</t>
  </si>
  <si>
    <t>Pr_35_31_22_77</t>
  </si>
  <si>
    <t>Silicate-based masonry coatings</t>
  </si>
  <si>
    <t>45-35-84/362 Silicate-based masonry coatings;</t>
  </si>
  <si>
    <t>Pr_35_31_22_79</t>
  </si>
  <si>
    <t>Solvent-based finishing coats</t>
  </si>
  <si>
    <t>45-35-84/328 Solvent-based finishing coats;</t>
  </si>
  <si>
    <t>Pr_35_31_22_80</t>
  </si>
  <si>
    <t>Solvent-borne gloss finishes</t>
  </si>
  <si>
    <t>45-35-84/310 Solvent-borne gloss finishes;</t>
  </si>
  <si>
    <t>Pr_35_31_22_81</t>
  </si>
  <si>
    <t>Solvent-borne masonry paints</t>
  </si>
  <si>
    <t>45-35-84/356 Solvent-borne masonry paints;</t>
  </si>
  <si>
    <t>Pr_35_31_22_82</t>
  </si>
  <si>
    <t>Solvent-borne matt and flat finishes</t>
  </si>
  <si>
    <t>45-35-84/314 Solvent-borne matt or flat finishes;</t>
  </si>
  <si>
    <t>Pr_35_31_22_83</t>
  </si>
  <si>
    <t>Solvent-borne mid-sheen finishes</t>
  </si>
  <si>
    <t>45-35-84/312 Solvent-borne mid-sheen finishes;</t>
  </si>
  <si>
    <t>Pr_35_31_22_87</t>
  </si>
  <si>
    <t>Tallow lime washes</t>
  </si>
  <si>
    <t>Pr_35_31_22_95</t>
  </si>
  <si>
    <t>Waterborne gloss finishes</t>
  </si>
  <si>
    <t>45-35-84/316 Water-borne gloss finishes;</t>
  </si>
  <si>
    <t>Pr_35_31_22_96</t>
  </si>
  <si>
    <t>Waterborne masonry paints</t>
  </si>
  <si>
    <t>45-35-84/358 Water-borne masonry paints;</t>
  </si>
  <si>
    <t>Pr_35_31_22_97</t>
  </si>
  <si>
    <t>Waterborne matt and flat finishes</t>
  </si>
  <si>
    <t>45-35-84/320 Water-borne matt or flat finishes;</t>
  </si>
  <si>
    <t>Pr_35_31_22_98</t>
  </si>
  <si>
    <t>Waterborne mid-sheen finishes</t>
  </si>
  <si>
    <t>45-35-84/318 Water-borne mid-sheen finishes;</t>
  </si>
  <si>
    <t>Pr_35_31_64</t>
  </si>
  <si>
    <t>Plasters and renders</t>
  </si>
  <si>
    <t>Pr_35_31_64_01</t>
  </si>
  <si>
    <t>Acrylic plasters</t>
  </si>
  <si>
    <t>45-55-60/360 Acrylic plaster;</t>
  </si>
  <si>
    <t>Pr_35_31_64_02</t>
  </si>
  <si>
    <t>Acrylic renders</t>
  </si>
  <si>
    <t>45-55-60/320 Acrylic render;</t>
  </si>
  <si>
    <t>Pr_35_31_64_07</t>
  </si>
  <si>
    <t>Biocidal renders</t>
  </si>
  <si>
    <t>45-55-60/325 Biocidal render;</t>
  </si>
  <si>
    <t>Pr_35_31_64_08</t>
  </si>
  <si>
    <t>Bonding plasters</t>
  </si>
  <si>
    <t>45-55-60/362 Bonding plaster;</t>
  </si>
  <si>
    <t>Pr_35_31_64_09</t>
  </si>
  <si>
    <t>Browning plasters</t>
  </si>
  <si>
    <t>45-55-60/364 Browning plaster;</t>
  </si>
  <si>
    <t>Pr_35_31_64_12</t>
  </si>
  <si>
    <t>Cementitious renders</t>
  </si>
  <si>
    <t>45-55-60/330 Cementitious render;</t>
  </si>
  <si>
    <t>Pr_35_31_64_14</t>
  </si>
  <si>
    <t>Clay plasters</t>
  </si>
  <si>
    <t>45-55-60/366 Clay plaster;</t>
  </si>
  <si>
    <t>Pr_35_31_64_29</t>
  </si>
  <si>
    <t>Factory mixed plasters</t>
  </si>
  <si>
    <t>45-55-60/368 Factory mixed plaster;</t>
  </si>
  <si>
    <t>Pr_35_31_64_31</t>
  </si>
  <si>
    <t>Fibrous plasters</t>
  </si>
  <si>
    <t>45-55-60/400 Fibrous plaster;</t>
  </si>
  <si>
    <t>Pr_35_31_64_32</t>
  </si>
  <si>
    <t>Finish plasters</t>
  </si>
  <si>
    <t>45-55-60/370 Finish plaster;</t>
  </si>
  <si>
    <t>Pr_35_31_64_35</t>
  </si>
  <si>
    <t>Gypsum plasters</t>
  </si>
  <si>
    <t>45-55-60/372 Gypsum plaster;</t>
  </si>
  <si>
    <t>Pr_35_31_64_42</t>
  </si>
  <si>
    <t>Insulating plasters</t>
  </si>
  <si>
    <t>45-55-60/374 Insulating plaster;</t>
  </si>
  <si>
    <t>Pr_35_31_64_47</t>
  </si>
  <si>
    <t>Lime plasters</t>
  </si>
  <si>
    <t>45-55-60/376 Lime plaster;</t>
  </si>
  <si>
    <t>Pr_35_31_64_48</t>
  </si>
  <si>
    <t>Lime renders</t>
  </si>
  <si>
    <t>45-55-60/335 Lime render;</t>
  </si>
  <si>
    <t>Pr_35_31_64_64</t>
  </si>
  <si>
    <t>Polymer plasters</t>
  </si>
  <si>
    <t>45-55-60/378 Polymer plaster;</t>
  </si>
  <si>
    <t>Pr_35_31_64_65</t>
  </si>
  <si>
    <t>Polymer-modified renders</t>
  </si>
  <si>
    <t>45-55-60/340 Polymer modified render;</t>
  </si>
  <si>
    <t>Pr_35_31_64_67</t>
  </si>
  <si>
    <t>Projection plasters</t>
  </si>
  <si>
    <t>45-55-60/380 Projection plaster;</t>
  </si>
  <si>
    <t>Pr_35_31_64_70</t>
  </si>
  <si>
    <t>Render-grade resins</t>
  </si>
  <si>
    <t>45-55-70/355 Render-grade resin;</t>
  </si>
  <si>
    <t>Pr_35_31_64_71</t>
  </si>
  <si>
    <t>Renovating plasters</t>
  </si>
  <si>
    <t>45-55-60/382 Renovating plaster;</t>
  </si>
  <si>
    <t>Pr_35_31_64_76</t>
  </si>
  <si>
    <t>Scagliola</t>
  </si>
  <si>
    <t>Pr_35_31_64_77</t>
  </si>
  <si>
    <t>Silicone renders</t>
  </si>
  <si>
    <t>45-55-60/345 Silicone render;</t>
  </si>
  <si>
    <t>Pr_35_31_64_80</t>
  </si>
  <si>
    <t>Solid cast plasters</t>
  </si>
  <si>
    <t>45-55-60/402 Solid cast plaster;</t>
  </si>
  <si>
    <t>Pr_35_31_64_84</t>
  </si>
  <si>
    <t>Squash court plasters</t>
  </si>
  <si>
    <t>45-55-60/384 Squash court plaster;</t>
  </si>
  <si>
    <t>Pr_35_31_64_85</t>
  </si>
  <si>
    <t>Stucco</t>
  </si>
  <si>
    <t>Pr_35_31_64_86</t>
  </si>
  <si>
    <t>Synthetic plasters</t>
  </si>
  <si>
    <t>45-55-60/386 Synthetic plaster;</t>
  </si>
  <si>
    <t>Pr_35_31_64_98</t>
  </si>
  <si>
    <t>X-ray undercoat plasters</t>
  </si>
  <si>
    <t>45-55-60/388 X-ray undercoat plaster;</t>
  </si>
  <si>
    <t>Pr_35_31_64_99</t>
  </si>
  <si>
    <t>Zinc oxychloride plasters</t>
  </si>
  <si>
    <t>45-55-60/390 Zinc oxychloride plaster;</t>
  </si>
  <si>
    <t>Pr_35_31_65</t>
  </si>
  <si>
    <t>Preparation materials, fillers and stoppers</t>
  </si>
  <si>
    <t>Pr_35_31_65_01</t>
  </si>
  <si>
    <t>Abrasives</t>
  </si>
  <si>
    <t>45-35-62/315 Abrasives;</t>
  </si>
  <si>
    <t>Pr_35_31_65_02</t>
  </si>
  <si>
    <t>Abrasive blocks</t>
  </si>
  <si>
    <t>45-55-00/310 Abrasive blocks;</t>
  </si>
  <si>
    <t>Pr_35_31_65_12</t>
  </si>
  <si>
    <t>Cement and grout fillers</t>
  </si>
  <si>
    <t>Pr_35_31_65_13</t>
  </si>
  <si>
    <t>Chemical fillers</t>
  </si>
  <si>
    <t>Pr_35_31_65_20</t>
  </si>
  <si>
    <t>Decorator’s caulks</t>
  </si>
  <si>
    <t>45-35-62/400 Decorator’s caulks;</t>
  </si>
  <si>
    <t>Pr_35_31_65_21</t>
  </si>
  <si>
    <t>Decorator’s flexible fillers</t>
  </si>
  <si>
    <t>45-35-62/405 Decorator’s flexible fillers;</t>
  </si>
  <si>
    <t>Pr_35_31_65_22</t>
  </si>
  <si>
    <t>Degreaser solutions</t>
  </si>
  <si>
    <t>45-35-62/330 Degreaser solution;</t>
  </si>
  <si>
    <t>Pr_35_31_65_23</t>
  </si>
  <si>
    <t>Detergent solutions</t>
  </si>
  <si>
    <t>45-35-62/335 Detergent solutions;</t>
  </si>
  <si>
    <t>Pr_35_31_65_24</t>
  </si>
  <si>
    <t>Dry air pressured abrasives</t>
  </si>
  <si>
    <t>45-55-00/320 Dry air pressured abrasives;</t>
  </si>
  <si>
    <t>Pr_35_31_65_25</t>
  </si>
  <si>
    <t>Dry air pressured micro-abrasives</t>
  </si>
  <si>
    <t>45-55-00/330 Dry air pressured micro-abrasives;</t>
  </si>
  <si>
    <t>Pr_35_31_65_26</t>
  </si>
  <si>
    <t>Dusting powders</t>
  </si>
  <si>
    <t>45-35-88/395 Dusting powders;</t>
  </si>
  <si>
    <t>Pr_35_31_65_27</t>
  </si>
  <si>
    <t>Efflorescence control compounds</t>
  </si>
  <si>
    <t>45-35-62/340 Efflorescence control compound;</t>
  </si>
  <si>
    <t>Pr_35_31_65_28</t>
  </si>
  <si>
    <t>End grain sealers</t>
  </si>
  <si>
    <t>45-35-62/415 End grain sealers;</t>
  </si>
  <si>
    <t>Pr_35_31_65_29</t>
  </si>
  <si>
    <t>Fine surface fillers</t>
  </si>
  <si>
    <t>45-35-62/425 Fine surface fillers;</t>
  </si>
  <si>
    <t>Pr_35_31_65_30</t>
  </si>
  <si>
    <t>Finishing compounds</t>
  </si>
  <si>
    <t>45-35-62/440 Finishing compounds;</t>
  </si>
  <si>
    <t>Pr_35_31_65_31</t>
  </si>
  <si>
    <t>Fire-resistant fillers</t>
  </si>
  <si>
    <t>Pr_35_31_65_34</t>
  </si>
  <si>
    <t>Gypsum-based bedding compounds</t>
  </si>
  <si>
    <t>45-35-62/435 Gypsum-based bedding compounds;</t>
  </si>
  <si>
    <t>Pr_35_31_65_50</t>
  </si>
  <si>
    <t>Masonry stabilizers</t>
  </si>
  <si>
    <t>45-35-62/355 Masonry stabilizers;</t>
  </si>
  <si>
    <t>Pr_35_31_65_74</t>
  </si>
  <si>
    <t>Rust removers</t>
  </si>
  <si>
    <t>45-35-62/370 Rust removers;</t>
  </si>
  <si>
    <t>Pr_35_31_65_79</t>
  </si>
  <si>
    <t>Stoppers</t>
  </si>
  <si>
    <t>45-35-62/445 Stoppers;</t>
  </si>
  <si>
    <t>Pr_35_31_65_80</t>
  </si>
  <si>
    <t>Stopper fillers</t>
  </si>
  <si>
    <t>45-35-62/450 Stopper fillers;</t>
  </si>
  <si>
    <t>Pr_35_31_65_82</t>
  </si>
  <si>
    <t>Surface fillers</t>
  </si>
  <si>
    <t>45-35-62/455 Surface fillers;</t>
  </si>
  <si>
    <t>Pr_35_31_65_95</t>
  </si>
  <si>
    <t>Wax-based fillers</t>
  </si>
  <si>
    <t>45-35-62/460 Wax fillers;</t>
  </si>
  <si>
    <t>Pr_35_31_65_96</t>
  </si>
  <si>
    <t>Wet air pressured abrasives</t>
  </si>
  <si>
    <t>45-55-00/340 Wet air pressured abrasives;</t>
  </si>
  <si>
    <t>Pr_35_31_65_97</t>
  </si>
  <si>
    <t>Wetting agents</t>
  </si>
  <si>
    <t>Pr_35_31_65_98</t>
  </si>
  <si>
    <t>Wood knotting solutions</t>
  </si>
  <si>
    <t>45-35-62/350 Knotting;</t>
  </si>
  <si>
    <t>Pr_35_31_66</t>
  </si>
  <si>
    <t>Preparatory coatings</t>
  </si>
  <si>
    <t>Pr_35_31_66_02</t>
  </si>
  <si>
    <t>Adhesion promoters</t>
  </si>
  <si>
    <t>45-35-88/370 Adhesion promoters;</t>
  </si>
  <si>
    <t>Pr_35_31_66_03</t>
  </si>
  <si>
    <t>Alkali-resisting primers</t>
  </si>
  <si>
    <t>45-35-64/305 Alkali-resisting primers;</t>
  </si>
  <si>
    <t>Pr_35_31_66_07</t>
  </si>
  <si>
    <t>Basecoat stains</t>
  </si>
  <si>
    <t>45-35-64/390 Basecoat stains;</t>
  </si>
  <si>
    <t>Pr_35_31_66_08</t>
  </si>
  <si>
    <t>Bitumen primers</t>
  </si>
  <si>
    <t>45-55-12/390 Bitumen primers;</t>
  </si>
  <si>
    <t>Pr_35_31_66_09</t>
  </si>
  <si>
    <t>Bonding coats</t>
  </si>
  <si>
    <t>45-35-64/425 Bonding coats;</t>
  </si>
  <si>
    <t>Pr_35_31_66_15</t>
  </si>
  <si>
    <t>Combined barrier and bonding coats</t>
  </si>
  <si>
    <t>45-35-64/430 Combined barrier and bonding coats;</t>
  </si>
  <si>
    <t>Pr_35_31_66_16</t>
  </si>
  <si>
    <t>Concrete curing coatings</t>
  </si>
  <si>
    <t>45-35-88/380 Curing coatings for concrete;</t>
  </si>
  <si>
    <t>Pr_35_31_66_21</t>
  </si>
  <si>
    <t>Debonding compounds</t>
  </si>
  <si>
    <t>45-35-88/305 Debonding compounds;</t>
  </si>
  <si>
    <t>Pr_35_31_66_22</t>
  </si>
  <si>
    <t>Dressing compounds</t>
  </si>
  <si>
    <t>Pr_35_31_66_26</t>
  </si>
  <si>
    <t>Etching primers</t>
  </si>
  <si>
    <t>45-35-88/400 Etching primers;</t>
  </si>
  <si>
    <t>Pr_35_31_66_30</t>
  </si>
  <si>
    <t>Floor covering primers</t>
  </si>
  <si>
    <t>45-35-64/318 Primers for floor coverings;</t>
  </si>
  <si>
    <t>Pr_35_31_66_34</t>
  </si>
  <si>
    <t>Gilding basecoats</t>
  </si>
  <si>
    <t>45-35-84/444 Gilding base coat;</t>
  </si>
  <si>
    <t>Pr_35_31_66_50</t>
  </si>
  <si>
    <t>Mastic asphalt (MA) primers</t>
  </si>
  <si>
    <t>45-35-64/335 Primers for mastic asphalt;</t>
  </si>
  <si>
    <t>Pr_35_31_66_51</t>
  </si>
  <si>
    <t>Metallic lead primers</t>
  </si>
  <si>
    <t>45-35-64/310 Metallic lead primers;</t>
  </si>
  <si>
    <t>Pr_35_31_66_52</t>
  </si>
  <si>
    <t>Modified bitumen primers</t>
  </si>
  <si>
    <t>Pr_35_31_66_53</t>
  </si>
  <si>
    <t>Mordant solutions</t>
  </si>
  <si>
    <t>45-35-88/405 Mordant solutions;</t>
  </si>
  <si>
    <t>Pr_35_31_66_55</t>
  </si>
  <si>
    <t>Multi-colour finish basecoats</t>
  </si>
  <si>
    <t>45-35-84/348 Multi-colour finish basecoats;</t>
  </si>
  <si>
    <t>Pr_35_31_66_57</t>
  </si>
  <si>
    <t>Non-bituminous primers</t>
  </si>
  <si>
    <t>45-35-64/315 Non bituminous primers;</t>
  </si>
  <si>
    <t>Pr_35_31_66_60</t>
  </si>
  <si>
    <t>Paving primers</t>
  </si>
  <si>
    <t>45-35-64/320 Primers for paving;</t>
  </si>
  <si>
    <t>Pr_35_31_66_62</t>
  </si>
  <si>
    <t>Plaster primers</t>
  </si>
  <si>
    <t>45-35-64/340 Primers for plaster;</t>
  </si>
  <si>
    <t>Pr_35_31_66_63</t>
  </si>
  <si>
    <t>Plasterboard primers</t>
  </si>
  <si>
    <t>45-35-64/325 Primers for plasterboard;</t>
  </si>
  <si>
    <t>Pr_35_31_66_67</t>
  </si>
  <si>
    <t>Primer-sealers</t>
  </si>
  <si>
    <t>45-35-64/355 Primer-sealers;</t>
  </si>
  <si>
    <t>Pr_35_31_66_68</t>
  </si>
  <si>
    <t>Primer-undercoats</t>
  </si>
  <si>
    <t>45-35-64/360 Primer-undercoats;</t>
  </si>
  <si>
    <t>Pr_35_31_66_70</t>
  </si>
  <si>
    <t>Reinforcement treatments</t>
  </si>
  <si>
    <t>45-35-88/310 Reinforcement treatments;</t>
  </si>
  <si>
    <t>Pr_35_31_66_71</t>
  </si>
  <si>
    <t>Resin coating primers</t>
  </si>
  <si>
    <t>45-35-64/345 Primers for resin coatings;</t>
  </si>
  <si>
    <t>Pr_35_31_66_75</t>
  </si>
  <si>
    <t>Sanded primers</t>
  </si>
  <si>
    <t>45-35-64/363 Sanded primer;</t>
  </si>
  <si>
    <t>Pr_35_31_66_76</t>
  </si>
  <si>
    <t>Silicate-based primers</t>
  </si>
  <si>
    <t>Pr_35_31_66_77</t>
  </si>
  <si>
    <t>Sealant primers</t>
  </si>
  <si>
    <t>45-35-64/350 Primers for sealant;</t>
  </si>
  <si>
    <t>Pr_35_31_66_78</t>
  </si>
  <si>
    <t>Slip plane bituminous emulsion paint primers</t>
  </si>
  <si>
    <t>45-35-64/330 Primers for bituminous emulsion paint for slip planes;</t>
  </si>
  <si>
    <t>Pr_35_31_66_80</t>
  </si>
  <si>
    <t>Solvent-borne basecoats</t>
  </si>
  <si>
    <t>45-35-64/395 Solvent-borne basecoats;</t>
  </si>
  <si>
    <t>Pr_35_31_66_81</t>
  </si>
  <si>
    <t>Solvent-borne metal primers</t>
  </si>
  <si>
    <t>45-35-64/365 Solvent-borne primers for metal;</t>
  </si>
  <si>
    <t>Pr_35_31_66_82</t>
  </si>
  <si>
    <t>Solvent-borne undercoats</t>
  </si>
  <si>
    <t>45-35-64/400 Solvent-borne undercoats;</t>
  </si>
  <si>
    <t>Pr_35_31_66_83</t>
  </si>
  <si>
    <t>Solvent-borne wood primers</t>
  </si>
  <si>
    <t>45-35-64/370 Solvent-borne primers for wood;</t>
  </si>
  <si>
    <t>Pr_35_31_66_88</t>
  </si>
  <si>
    <t>Thinners</t>
  </si>
  <si>
    <t>45-35-84/408 Thinners;</t>
  </si>
  <si>
    <t>Pr_35_31_66_92</t>
  </si>
  <si>
    <t>Universal primers</t>
  </si>
  <si>
    <t>45-35-64/375 Universal primers;</t>
  </si>
  <si>
    <t>Pr_35_31_66_94</t>
  </si>
  <si>
    <t>Water-based acrylic primers</t>
  </si>
  <si>
    <t>45-35-64/377 Water based acrylic primers;</t>
  </si>
  <si>
    <t>Pr_35_31_66_95</t>
  </si>
  <si>
    <t>Waterborne basecoats</t>
  </si>
  <si>
    <t>45-35-64/405 Water-borne basecoats;</t>
  </si>
  <si>
    <t>Pr_35_31_66_96</t>
  </si>
  <si>
    <t>Waterborne metal primers</t>
  </si>
  <si>
    <t>45-35-64/380 Water-borne primers for metal;</t>
  </si>
  <si>
    <t>Pr_35_31_66_97</t>
  </si>
  <si>
    <t>Waterborne thinned undercoats</t>
  </si>
  <si>
    <t>45-35-64/410 Water-borne thinned undercoats;</t>
  </si>
  <si>
    <t>Pr_35_31_66_98</t>
  </si>
  <si>
    <t>Waterborne wood primers</t>
  </si>
  <si>
    <t>45-35-64/385 Water-borne primers for wood;</t>
  </si>
  <si>
    <t>Pr_35_31_66_99</t>
  </si>
  <si>
    <t>Waterborne undercoats</t>
  </si>
  <si>
    <t>45-35-64/415 Water-borne undercoats;</t>
  </si>
  <si>
    <t>Pr_35_31_67</t>
  </si>
  <si>
    <t>Preservative, additives and fire-retardant treatments</t>
  </si>
  <si>
    <t>Pr_35_31_67_01</t>
  </si>
  <si>
    <t>Acrylic retarder additives</t>
  </si>
  <si>
    <t>Pr_35_31_67_07</t>
  </si>
  <si>
    <t>Borate pellet and rod preservatives</t>
  </si>
  <si>
    <t>45-35-92/325 Borate pellet and rod preservative;</t>
  </si>
  <si>
    <t>Pr_35_31_67_08</t>
  </si>
  <si>
    <t>Boron compound preservatives</t>
  </si>
  <si>
    <t>45-35-92/320 Boron compound preservative;</t>
  </si>
  <si>
    <t>Pr_35_31_67_14</t>
  </si>
  <si>
    <t>Clear flame-retardant finishes</t>
  </si>
  <si>
    <t>Pr_35_31_67_15</t>
  </si>
  <si>
    <t>Copper-organic preservatives</t>
  </si>
  <si>
    <t>45-35-92/340 Copper-organic preservative;</t>
  </si>
  <si>
    <t>Pr_35_31_67_24</t>
  </si>
  <si>
    <t>Dry interior fire-retardant solutions</t>
  </si>
  <si>
    <t>Pr_35_31_67_34</t>
  </si>
  <si>
    <t>Glycol-borne preservatives</t>
  </si>
  <si>
    <t>Pr_35_31_67_37</t>
  </si>
  <si>
    <t>House longhorn beetle timber treatments</t>
  </si>
  <si>
    <t>45-35-92/480 House Longhorn Beetle timber treatment;</t>
  </si>
  <si>
    <t>Pr_35_31_67_39</t>
  </si>
  <si>
    <t>Humidity-resistant fire-retardant solutions</t>
  </si>
  <si>
    <t>45-35-92/380 Humidity resistant fire retardant solution;</t>
  </si>
  <si>
    <t>Pr_35_31_67_41</t>
  </si>
  <si>
    <t>Insecticidal paint additives</t>
  </si>
  <si>
    <t>Pr_35_31_67_42</t>
  </si>
  <si>
    <t>Interior fire-retardant solutions</t>
  </si>
  <si>
    <t>Pr_35_31_67_46</t>
  </si>
  <si>
    <t>Latex retarder additives</t>
  </si>
  <si>
    <t>Pr_35_31_67_47</t>
  </si>
  <si>
    <t>Leach-resistant fire-retardant solutions</t>
  </si>
  <si>
    <t>Pr_35_31_67_52</t>
  </si>
  <si>
    <t>Micro-emulsion-borne preservatives</t>
  </si>
  <si>
    <t>45-35-92/350 Microemulsion borne preservative;</t>
  </si>
  <si>
    <t>Pr_35_31_67_59</t>
  </si>
  <si>
    <t>Organic solvent-borne preservatives</t>
  </si>
  <si>
    <t>45-35-92/365 Organic solvent-borne preservative;</t>
  </si>
  <si>
    <t>Pr_35_31_67_88</t>
  </si>
  <si>
    <t>Thatch fire-preservative treatments</t>
  </si>
  <si>
    <t>45-35-92/310 Thatch preservative treatments;</t>
  </si>
  <si>
    <t>Pr_35_31_67_89</t>
  </si>
  <si>
    <t>Thatch fire-retardant treatments</t>
  </si>
  <si>
    <t>45-35-92/305 Thatch fire retardant treatments;</t>
  </si>
  <si>
    <t>Pr_35_31_67_96</t>
  </si>
  <si>
    <t>Waterborne preservatives</t>
  </si>
  <si>
    <t>45-35-92/495 Water borne preservative;</t>
  </si>
  <si>
    <t>Pr_35_31_67_97</t>
  </si>
  <si>
    <t>Water based micro-emulsion preservatives</t>
  </si>
  <si>
    <t>Pr_35_31_67_98</t>
  </si>
  <si>
    <t>Water-based organic preservatives</t>
  </si>
  <si>
    <t>45-35-92/355 Water-based organic preservatives;</t>
  </si>
  <si>
    <t>Pr_35_31_68</t>
  </si>
  <si>
    <t>Protective coatings</t>
  </si>
  <si>
    <t>Pr_35_31_68_01</t>
  </si>
  <si>
    <t>Acrylic-based waterproof coatings</t>
  </si>
  <si>
    <t>45-35-50/315 Acrylic based waterproof coatings;</t>
  </si>
  <si>
    <t>Pr_35_31_68_02</t>
  </si>
  <si>
    <t>Anionic bitumen emulsions</t>
  </si>
  <si>
    <t>45-55-12/320 Anionic bitumen emulsions;</t>
  </si>
  <si>
    <t>Pr_35_31_68_03</t>
  </si>
  <si>
    <t>Anodizing</t>
  </si>
  <si>
    <t>45-35-30/380 Anodizing;</t>
  </si>
  <si>
    <t>Pr_35_31_68_04</t>
  </si>
  <si>
    <t>Anti-carbonation coatings</t>
  </si>
  <si>
    <t>45-35-84/384 Anti-carbonation paints;</t>
  </si>
  <si>
    <t>Pr_35_31_68_05</t>
  </si>
  <si>
    <t>Anti-graffiti coatings</t>
  </si>
  <si>
    <t>45-35-84/392 Anti-graffiti coatings;</t>
  </si>
  <si>
    <t>Pr_35_31_68_06</t>
  </si>
  <si>
    <t>Barrier coatings</t>
  </si>
  <si>
    <t>45-35-64/420 Barrier coats;</t>
  </si>
  <si>
    <t>Pr_35_31_68_07</t>
  </si>
  <si>
    <t>Bitumen-based black coatings</t>
  </si>
  <si>
    <t>45-35-84/370 Bitumen-based black paints;</t>
  </si>
  <si>
    <t>Pr_35_31_68_09</t>
  </si>
  <si>
    <t>Bitumen emulsion waterproof coatings</t>
  </si>
  <si>
    <t>45-35-50/320 Bitumen emulsion waterproof coatings;</t>
  </si>
  <si>
    <t>Pr_35_31_68_10</t>
  </si>
  <si>
    <t>Black bitumen coatings</t>
  </si>
  <si>
    <t>45-35-84/368 Black bitumen;</t>
  </si>
  <si>
    <t>Pr_35_31_68_11</t>
  </si>
  <si>
    <t>Cationic bitumen emulsions</t>
  </si>
  <si>
    <t>45-55-12/330 Cationic bitumen emulsions;</t>
  </si>
  <si>
    <t>Pr_35_31_68_12</t>
  </si>
  <si>
    <t>Cellulose coatings</t>
  </si>
  <si>
    <t>45-35-84/424 Cellulose coating;</t>
  </si>
  <si>
    <t>Pr_35_31_68_13</t>
  </si>
  <si>
    <t>Chrome plating</t>
  </si>
  <si>
    <t>Pr_35_31_68_14</t>
  </si>
  <si>
    <t>Clear floor varnishes</t>
  </si>
  <si>
    <t>45-35-84/414 Clear floor varnishes;</t>
  </si>
  <si>
    <t>Pr_35_31_68_15</t>
  </si>
  <si>
    <t>Clear varnishes</t>
  </si>
  <si>
    <t>45-35-84/410 Clear varnishes;</t>
  </si>
  <si>
    <t>Pr_35_31_68_16</t>
  </si>
  <si>
    <t>Cold-applied bitumen solutions</t>
  </si>
  <si>
    <t>45-55-12/365 Cold applied bitumen solutions;</t>
  </si>
  <si>
    <t>Pr_35_31_68_17</t>
  </si>
  <si>
    <t>Cold-applied polymer-modified bitumen waterproof coatings</t>
  </si>
  <si>
    <t>45-35-50/335 Cold applied polymer modified bitumen waterproof coatings;</t>
  </si>
  <si>
    <t>Pr_35_31_68_18</t>
  </si>
  <si>
    <t>Concrete polishes</t>
  </si>
  <si>
    <t>45-35-84/440 Concrete polishes;</t>
  </si>
  <si>
    <t>Pr_35_31_68_19</t>
  </si>
  <si>
    <t>Copper plating</t>
  </si>
  <si>
    <t>Pr_35_31_68_21</t>
  </si>
  <si>
    <t>Cork tile polyurethane (PUR) varnishes</t>
  </si>
  <si>
    <t>45-35-84/412 Polyurethane varnish for cork tiles;</t>
  </si>
  <si>
    <t>Pr_35_31_68_27</t>
  </si>
  <si>
    <t>Epoxy resin coatings</t>
  </si>
  <si>
    <t>45-35-50/345 Epoxy resin coatings;</t>
  </si>
  <si>
    <t>Pr_35_31_68_28</t>
  </si>
  <si>
    <t>Epoxy underwater coatings</t>
  </si>
  <si>
    <t>45-35-84/378 Epoxy underwater coatings;</t>
  </si>
  <si>
    <t>Pr_35_31_68_29</t>
  </si>
  <si>
    <t>Flame-retardant coatings</t>
  </si>
  <si>
    <t>45-35-84/406 Flame-retardant clear finishes;</t>
  </si>
  <si>
    <t>Pr_35_31_68_31</t>
  </si>
  <si>
    <t>Floor dyes</t>
  </si>
  <si>
    <t>45-35-84/420 Floor dyes;</t>
  </si>
  <si>
    <t>Pr_35_31_68_32</t>
  </si>
  <si>
    <t>Floor polishes</t>
  </si>
  <si>
    <t>45-35-84/438 Floor polishes;</t>
  </si>
  <si>
    <t>Pr_35_31_68_33</t>
  </si>
  <si>
    <t>Fungicidal coatings</t>
  </si>
  <si>
    <t>45-35-84/382 Fungicidal paints;</t>
  </si>
  <si>
    <t>Pr_35_31_68_34</t>
  </si>
  <si>
    <t>Galvanized coatings</t>
  </si>
  <si>
    <t>45-35-30/330 Galvanized coating to bolt assemblies;</t>
  </si>
  <si>
    <t>Pr_35_31_68_35</t>
  </si>
  <si>
    <t>Gold plating</t>
  </si>
  <si>
    <t>Pr_35_31_68_36</t>
  </si>
  <si>
    <t>Hard wax oils</t>
  </si>
  <si>
    <t>45-35-84/422 Hard wax oil;</t>
  </si>
  <si>
    <t>Pr_35_31_68_37</t>
  </si>
  <si>
    <t>Heat-resisting coatings</t>
  </si>
  <si>
    <t>45-35-84/388 Heat-resisting paints;</t>
  </si>
  <si>
    <t>Pr_35_31_68_38</t>
  </si>
  <si>
    <t>Hot-applied polymer-modified bitumen waterproof coatings</t>
  </si>
  <si>
    <t>45-35-50/325 Hot applied polymer modified bitumen waterproof coatings;</t>
  </si>
  <si>
    <t>Pr_35_31_68_39</t>
  </si>
  <si>
    <t>Hot dip galvanizings</t>
  </si>
  <si>
    <t>45-35-30/360 Hot dip galvanizing;</t>
  </si>
  <si>
    <t>Pr_35_31_68_40</t>
  </si>
  <si>
    <t>Hygienic coatings</t>
  </si>
  <si>
    <t>45-35-84/390 Hygienic coatings;</t>
  </si>
  <si>
    <t>Pr_35_31_68_43</t>
  </si>
  <si>
    <t>Intumescent protective coatings</t>
  </si>
  <si>
    <t>45-35-84/364 Intumescent protective coatings;</t>
  </si>
  <si>
    <t>Pr_35_31_68_46</t>
  </si>
  <si>
    <t>Lacquers</t>
  </si>
  <si>
    <t>45-35-84/436 Lacquer;</t>
  </si>
  <si>
    <t>Pr_35_31_68_47</t>
  </si>
  <si>
    <t>Liquid tanking resins</t>
  </si>
  <si>
    <t>45-55-70/305 Liquid tanking resin;</t>
  </si>
  <si>
    <t>Pr_35_31_68_51</t>
  </si>
  <si>
    <t>Mastic asphalt (MA) polishes</t>
  </si>
  <si>
    <t>45-35-84/442 Polishes for mastic asphalt;</t>
  </si>
  <si>
    <t>Pr_35_31_68_52</t>
  </si>
  <si>
    <t>Membrane walkway coatings</t>
  </si>
  <si>
    <t>45-35-50/360 Membrane walkway coating;</t>
  </si>
  <si>
    <t>Pr_35_31_68_55</t>
  </si>
  <si>
    <t>Multi-colour finish glaze coats</t>
  </si>
  <si>
    <t>45-35-84/352 Multi-colour finish glaze coats;</t>
  </si>
  <si>
    <t>Pr_35_31_68_60</t>
  </si>
  <si>
    <t>Patination oils</t>
  </si>
  <si>
    <t>45-35-84/426 Patination oil;</t>
  </si>
  <si>
    <t>Pr_35_31_68_62</t>
  </si>
  <si>
    <t>Polymer resin waterproof coatings</t>
  </si>
  <si>
    <t>45-35-50/365 Polymer resin waterproof coating;</t>
  </si>
  <si>
    <t>Pr_35_31_68_63</t>
  </si>
  <si>
    <t>Polyester resin waterproof coatings</t>
  </si>
  <si>
    <t>45-35-50/330 Polyester resin waterproof coatings;</t>
  </si>
  <si>
    <t>Pr_35_31_68_64</t>
  </si>
  <si>
    <t>Polyurethane (PUR) waterproof coatings</t>
  </si>
  <si>
    <t>45-35-50/340 Polyurethane waterproof coatings;</t>
  </si>
  <si>
    <t>Pr_35_31_68_65</t>
  </si>
  <si>
    <t>Polyvinylidene fluoride (PVDF) coatings</t>
  </si>
  <si>
    <t>45-35-30/370 Polyvinylidene fluoride (pvdf) coating;</t>
  </si>
  <si>
    <t>Pr_35_31_68_66</t>
  </si>
  <si>
    <t>Powder coatings</t>
  </si>
  <si>
    <t>45-35-30/310 Powder coating;</t>
  </si>
  <si>
    <t>Pr_35_31_68_69</t>
  </si>
  <si>
    <t>Red oxide paints</t>
  </si>
  <si>
    <t>Pr_35_31_68_70</t>
  </si>
  <si>
    <t>Resin floor coatings</t>
  </si>
  <si>
    <t>45-55-10/400 Floor coating;</t>
  </si>
  <si>
    <t>Pr_35_31_68_72</t>
  </si>
  <si>
    <t>Sacrificial anti-corrosion coatings</t>
  </si>
  <si>
    <t>Pr_35_31_68_74</t>
  </si>
  <si>
    <t>Sherardized coatings</t>
  </si>
  <si>
    <t>45-35-30/340 Sherardized coating to bolt assemblies;</t>
  </si>
  <si>
    <t>Pr_35_31_68_75</t>
  </si>
  <si>
    <t>Silver plating</t>
  </si>
  <si>
    <t>Pr_35_31_68_80</t>
  </si>
  <si>
    <t>Solvent-free waterproof coatings</t>
  </si>
  <si>
    <t>Pr_35_31_68_81</t>
  </si>
  <si>
    <t>Solar reflective coatings</t>
  </si>
  <si>
    <t>45-35-84/366 Solar reflective paints;</t>
  </si>
  <si>
    <t>Pr_35_31_68_82</t>
  </si>
  <si>
    <t>Solar reflective anti-corrosion coatings</t>
  </si>
  <si>
    <t>Pr_35_31_68_83</t>
  </si>
  <si>
    <t>Spray-applied fireproof coatings</t>
  </si>
  <si>
    <t>Pr_35_31_68_84</t>
  </si>
  <si>
    <t>Spray-applied thermal insulation</t>
  </si>
  <si>
    <t>Pr_35_31_68_85</t>
  </si>
  <si>
    <t>Steel fence powder coatings</t>
  </si>
  <si>
    <t>Pr_35_31_68_86</t>
  </si>
  <si>
    <t>Surface preservation products</t>
  </si>
  <si>
    <t>45-55-12/300 Surface preservation product;</t>
  </si>
  <si>
    <t>Pr_35_31_68_87</t>
  </si>
  <si>
    <t>Tar-based black coatings</t>
  </si>
  <si>
    <t>45-35-84/372 Tar-based black paints;</t>
  </si>
  <si>
    <t>Pr_35_31_68_88</t>
  </si>
  <si>
    <t>Thermoplastic block copolymer waterproof coatings</t>
  </si>
  <si>
    <t>45-35-50/350 Thermoplastic block copolymer waterproof coatings;</t>
  </si>
  <si>
    <t>Pr_35_31_68_96</t>
  </si>
  <si>
    <t>Water-dispersible polymer waterproof coatings</t>
  </si>
  <si>
    <t>45-35-50/355 Water dispersible polymer waterproof coatings;</t>
  </si>
  <si>
    <t>Pr_35_31_68_97</t>
  </si>
  <si>
    <t>Water repellents</t>
  </si>
  <si>
    <t>45-35-88/420 Water repellents;</t>
  </si>
  <si>
    <t>Pr_35_31_68_98</t>
  </si>
  <si>
    <t>Yacht varnishes</t>
  </si>
  <si>
    <t>45-35-84/416 Yacht varnish;</t>
  </si>
  <si>
    <t>Pr_35_31_68_99</t>
  </si>
  <si>
    <t>Zinc plating</t>
  </si>
  <si>
    <t>45-35-30/350 Zinc plated finish to bolt assemblies;</t>
  </si>
  <si>
    <t>Pr_35_31_77</t>
  </si>
  <si>
    <t>Surface sealers</t>
  </si>
  <si>
    <t>Pr_35_31_77_05</t>
  </si>
  <si>
    <t>Anti-graffiti sealers</t>
  </si>
  <si>
    <t>45-35-88/315 Anti-graffiti sealers;</t>
  </si>
  <si>
    <t>Pr_35_31_77_08</t>
  </si>
  <si>
    <t>Bitumen-based impregnating sealers</t>
  </si>
  <si>
    <t>45-35-88/320 Bitumen-based impregnating sealers;</t>
  </si>
  <si>
    <t>Pr_35_31_77_12</t>
  </si>
  <si>
    <t>Cement-based screed surface sealers</t>
  </si>
  <si>
    <t>45-35-88/360 Surface sealer for cement-based screeds;</t>
  </si>
  <si>
    <t>Pr_35_31_77_15</t>
  </si>
  <si>
    <t>Concrete sealers</t>
  </si>
  <si>
    <t>45-35-88/325 Concrete sealers;</t>
  </si>
  <si>
    <t>Pr_35_31_77_16</t>
  </si>
  <si>
    <t>Cork flooring sealers</t>
  </si>
  <si>
    <t>45-35-84/430 Sealers for cork flooring;</t>
  </si>
  <si>
    <t>Pr_35_31_77_24</t>
  </si>
  <si>
    <t>Dry shake finish sealers</t>
  </si>
  <si>
    <t>45-35-88/355 Sealers for dry shake finishes;</t>
  </si>
  <si>
    <t>Pr_35_31_77_25</t>
  </si>
  <si>
    <t>Dustproofing sealers</t>
  </si>
  <si>
    <t>45-35-88/330 Dustproofing sealers;</t>
  </si>
  <si>
    <t>Pr_35_31_77_30</t>
  </si>
  <si>
    <t>Floor surface sealers</t>
  </si>
  <si>
    <t>45-35-84/432 Surface sealers for floors;</t>
  </si>
  <si>
    <t>Pr_35_31_77_42</t>
  </si>
  <si>
    <t>Intumescent coating sealers</t>
  </si>
  <si>
    <t>45-35-84/374 Top sealer coats for intumescent coatings;</t>
  </si>
  <si>
    <t>Pr_35_31_77_46</t>
  </si>
  <si>
    <t>Liquid applied membranes</t>
  </si>
  <si>
    <t>Pr_35_31_77_50</t>
  </si>
  <si>
    <t>Mastic asphalt (MA) oil-resistant sealers</t>
  </si>
  <si>
    <t>45-35-88/335 Oil-resistant sealers for mastic asphalt;</t>
  </si>
  <si>
    <t>Pr_35_31_77_60</t>
  </si>
  <si>
    <t>Paving sealers and stabilizers</t>
  </si>
  <si>
    <t>45-35-88/340 Paving sealers and stabilizers;</t>
  </si>
  <si>
    <t>Pr_35_31_77_72</t>
  </si>
  <si>
    <t>Resin floor sealers</t>
  </si>
  <si>
    <t>45-35-84/434 Resin floor sealers;</t>
  </si>
  <si>
    <t>Pr_35_31_77_76</t>
  </si>
  <si>
    <t>Sealers</t>
  </si>
  <si>
    <t>45-35-88/345 Sealers;</t>
  </si>
  <si>
    <t>Pr_35_31_77_83</t>
  </si>
  <si>
    <t>Sprayed monolithic coating finishing coats</t>
  </si>
  <si>
    <t>45-35-84/332 Finishing coats for sprayed monolithic coatings;</t>
  </si>
  <si>
    <t>Pr_35_31_77_84</t>
  </si>
  <si>
    <t>Sprayed monolithic coating sealers</t>
  </si>
  <si>
    <t>45-35-84/330 Sealers for sprayed monolithic coatings;</t>
  </si>
  <si>
    <t>Pr_35_31_77_92</t>
  </si>
  <si>
    <t>Ultraviolet (UV)-resistant sealers</t>
  </si>
  <si>
    <t>45-35-88/365 UV-resistant sealers;</t>
  </si>
  <si>
    <t>Pr_35_31_77_96</t>
  </si>
  <si>
    <t>Wood floor sealers</t>
  </si>
  <si>
    <t>45-35-84/428 Wood floor sealers;</t>
  </si>
  <si>
    <t>Pr_35_31_85</t>
  </si>
  <si>
    <t>Specialist coatings</t>
  </si>
  <si>
    <t>Pr_35_31_85_02</t>
  </si>
  <si>
    <t>Acoustic chute coatings</t>
  </si>
  <si>
    <t>45-30-15/385 Acoustic coating;</t>
  </si>
  <si>
    <t>Pr_35_31_85_03</t>
  </si>
  <si>
    <t>Anti-climb paints</t>
  </si>
  <si>
    <t>45-35-84/394 Anti-climb paints;</t>
  </si>
  <si>
    <t>Pr_35_31_85_04</t>
  </si>
  <si>
    <t>Anti-slip floor coatings</t>
  </si>
  <si>
    <t>45-35-84/399 Anti-slip floor coating;</t>
  </si>
  <si>
    <t>Pr_35_31_85_05</t>
  </si>
  <si>
    <t>Anti-static carpet treatments</t>
  </si>
  <si>
    <t>Pr_35_31_85_13</t>
  </si>
  <si>
    <t>Chlorinated rubber road markings</t>
  </si>
  <si>
    <t>45-35-84/403 Chlorinated rubber road markings;</t>
  </si>
  <si>
    <t>Pr_35_31_85_21</t>
  </si>
  <si>
    <t>Damp proof coatings</t>
  </si>
  <si>
    <t>Pr_35_31_85_24</t>
  </si>
  <si>
    <t>Dry rot paints</t>
  </si>
  <si>
    <t>45-35-84/396 Dry rot paints;</t>
  </si>
  <si>
    <t>Pr_35_31_85_26</t>
  </si>
  <si>
    <t>Elastomeric paints</t>
  </si>
  <si>
    <t>Pr_35_31_85_27</t>
  </si>
  <si>
    <t>Epoxy paint road markings</t>
  </si>
  <si>
    <t>45-35-84/401 Epoxy paint road markings;</t>
  </si>
  <si>
    <t>Pr_35_31_85_29</t>
  </si>
  <si>
    <t>Fluorescent paints</t>
  </si>
  <si>
    <t>Pr_35_31_85_35</t>
  </si>
  <si>
    <t>Gilding leaf</t>
  </si>
  <si>
    <t>45-35-84/446 Gilding leaf;</t>
  </si>
  <si>
    <t>Pr_35_31_85_36</t>
  </si>
  <si>
    <t>Gilding size</t>
  </si>
  <si>
    <t>45-50-00/410 Gilding sizes;</t>
  </si>
  <si>
    <t>Pr_35_31_85_46</t>
  </si>
  <si>
    <t>Light duty road markings</t>
  </si>
  <si>
    <t>45-35-84/400 Light duty road markings;</t>
  </si>
  <si>
    <t>Pr_35_31_85_47</t>
  </si>
  <si>
    <t>Line marking paints</t>
  </si>
  <si>
    <t>45-35-84/404 Line marking paints;</t>
  </si>
  <si>
    <t>Pr_35_31_85_48</t>
  </si>
  <si>
    <t>Luminous paints</t>
  </si>
  <si>
    <t>45-35-84/380 Luminous paints;</t>
  </si>
  <si>
    <t>Pr_35_31_85_51</t>
  </si>
  <si>
    <t>Metallic wear resistant, low friction coatings</t>
  </si>
  <si>
    <t>Pr_35_31_85_60</t>
  </si>
  <si>
    <t>Phosphorescent paints</t>
  </si>
  <si>
    <t>45-35-84/381 Phosphorescent paints;</t>
  </si>
  <si>
    <t>Pr_35_31_85_61</t>
  </si>
  <si>
    <t>Polyurethane resin based paint</t>
  </si>
  <si>
    <t>Pr_35_31_85_62</t>
  </si>
  <si>
    <t>Polyurethane (PUR) rubber spray surfaces</t>
  </si>
  <si>
    <t>45-20-20/370 Polyurethane rubber spray;</t>
  </si>
  <si>
    <t>Pr_35_31_85_65</t>
  </si>
  <si>
    <t>Preformed road markings</t>
  </si>
  <si>
    <t>45-35-84/405 Preformed road markings;</t>
  </si>
  <si>
    <t>Pr_35_31_85_70</t>
  </si>
  <si>
    <t>Radiator enamels</t>
  </si>
  <si>
    <t>45-35-84/386 Radiator enamels;</t>
  </si>
  <si>
    <t>Pr_35_31_85_72</t>
  </si>
  <si>
    <t>Reflective coatings</t>
  </si>
  <si>
    <t>Pr_35_31_85_78</t>
  </si>
  <si>
    <t>Slip plane bituminous emulsion paints</t>
  </si>
  <si>
    <t>45-35-84/398 Bituminous emulsion paints for slip planes;</t>
  </si>
  <si>
    <t>Pr_35_31_85_80</t>
  </si>
  <si>
    <t>Slip-resistant surface treatments</t>
  </si>
  <si>
    <t>45-35-88/410 Slip resistant surface treatments;</t>
  </si>
  <si>
    <t>Pr_35_31_85_81</t>
  </si>
  <si>
    <t>Sound damping coatings</t>
  </si>
  <si>
    <t>Pr_35_31_85_82</t>
  </si>
  <si>
    <t>Surface hardeners</t>
  </si>
  <si>
    <t>45-35-88/415 Surface hardeners;</t>
  </si>
  <si>
    <t>Pr_35_31_85_88</t>
  </si>
  <si>
    <t>Thermoplastic line markings</t>
  </si>
  <si>
    <t>45-35-84/403 Thermoplastic line markings;</t>
  </si>
  <si>
    <t>Pr_35_31_85_90</t>
  </si>
  <si>
    <t>Thermoplastic road markings</t>
  </si>
  <si>
    <t>45-35-84/402 Thermoplastic road markings;</t>
  </si>
  <si>
    <t>Pr_35_31_85_94</t>
  </si>
  <si>
    <t>Vitreous enamels</t>
  </si>
  <si>
    <t>Pr_35_31_85_96</t>
  </si>
  <si>
    <t>Waterborne resin coatings</t>
  </si>
  <si>
    <t>45-35-84/376 Water-borne resin coatings;</t>
  </si>
  <si>
    <t>Pr_35_31_85_97</t>
  </si>
  <si>
    <t>Wear and abrasion resistant coating</t>
  </si>
  <si>
    <t>Pr_35_31_85_98</t>
  </si>
  <si>
    <t>Wearing surface dry shake materials</t>
  </si>
  <si>
    <t>45-35-88/390 Dry shake material for wearing surfaces;</t>
  </si>
  <si>
    <t>Pr_35_57</t>
  </si>
  <si>
    <t>Non-rigid sheet, mat and strip covering and finish products</t>
  </si>
  <si>
    <t>Pr_35_57_11</t>
  </si>
  <si>
    <t>Carpets, carpet tiles, coverings, underlays and mats</t>
  </si>
  <si>
    <t>Pr_35_57_11_05</t>
  </si>
  <si>
    <t>Axminster carpets</t>
  </si>
  <si>
    <t>45-20-15/405 Axminster carpets;</t>
  </si>
  <si>
    <t>Pr_35_57_11_07</t>
  </si>
  <si>
    <t>Bonded carpets</t>
  </si>
  <si>
    <t>Pr_35_57_11_08</t>
  </si>
  <si>
    <t>Bonded carpet tiles</t>
  </si>
  <si>
    <t>Pr_35_57_11_11</t>
  </si>
  <si>
    <t>Cellular plastics underlays</t>
  </si>
  <si>
    <t>45-20-15/310 Cellular plastics underlays;</t>
  </si>
  <si>
    <t>Pr_35_57_11_13</t>
  </si>
  <si>
    <t>Cellular rubber underlays</t>
  </si>
  <si>
    <t>45-20-15/315 Cellular rubber underlays;</t>
  </si>
  <si>
    <t>Pr_35_57_11_15</t>
  </si>
  <si>
    <t>Combined fibrous or non-fibrous underlays</t>
  </si>
  <si>
    <t>45-20-15/320 Combined fibrous or non-fibrous underlays;</t>
  </si>
  <si>
    <t>Pr_35_57_11_24</t>
  </si>
  <si>
    <t>Dry felt paper interlays</t>
  </si>
  <si>
    <t>45-20-15/305 Dry felt paper interlays;</t>
  </si>
  <si>
    <t>Pr_35_57_11_26</t>
  </si>
  <si>
    <t>Entrance mats</t>
  </si>
  <si>
    <t>45-35-35/420 Entrance matting;</t>
  </si>
  <si>
    <t>Pr_35_57_11_27</t>
  </si>
  <si>
    <t>Ethylene propylene diene monomer (EPDM) rubber mats</t>
  </si>
  <si>
    <t>45-20-70/312 Ethylene propylene diene monomer (EPDM) rubber mat;</t>
  </si>
  <si>
    <t>Pr_35_57_11_28</t>
  </si>
  <si>
    <t>Exercise mats</t>
  </si>
  <si>
    <t>Pr_35_57_11_29</t>
  </si>
  <si>
    <t>Flat needled carpet tiles</t>
  </si>
  <si>
    <t>45-20-15/370 Flat surface needled carpet tiles;</t>
  </si>
  <si>
    <t>Pr_35_57_11_30</t>
  </si>
  <si>
    <t>Flat needled carpets</t>
  </si>
  <si>
    <t>45-20-15/410 Flat surface needled carpets;</t>
  </si>
  <si>
    <t>Pr_35_57_11_31</t>
  </si>
  <si>
    <t>Flocked carpets</t>
  </si>
  <si>
    <t>45-20-15/415 Flocked carpets;</t>
  </si>
  <si>
    <t>Pr_35_57_11_36</t>
  </si>
  <si>
    <t>Hessian-faced cork underlays</t>
  </si>
  <si>
    <t>45-20-15/325 Hessian-faced cork underlayment;</t>
  </si>
  <si>
    <t>Pr_35_57_11_40</t>
  </si>
  <si>
    <t>Impregnated fibrous underlays</t>
  </si>
  <si>
    <t>45-20-15/330 Impregnated fibrous underlays;</t>
  </si>
  <si>
    <t>Pr_35_57_11_45</t>
  </si>
  <si>
    <t>Knitted carpets</t>
  </si>
  <si>
    <t>45-20-15/420 Knitted carpets;</t>
  </si>
  <si>
    <t>Pr_35_57_11_46</t>
  </si>
  <si>
    <t>Loose-laid cushion matting</t>
  </si>
  <si>
    <t>Pr_35_57_11_47</t>
  </si>
  <si>
    <t>Loose-laid fatigue matting</t>
  </si>
  <si>
    <t>Pr_35_57_11_49</t>
  </si>
  <si>
    <t>Loose-laid matting</t>
  </si>
  <si>
    <t>45-35-35/430 Loose laid matting;</t>
  </si>
  <si>
    <t>Pr_35_57_11_56</t>
  </si>
  <si>
    <t>Needled felt underlays</t>
  </si>
  <si>
    <t>45-20-15/335 Needled felt underlays;</t>
  </si>
  <si>
    <t>Pr_35_57_11_57</t>
  </si>
  <si>
    <t>Needled pile carpet tiles</t>
  </si>
  <si>
    <t>45-20-15/375 Needled pile carpet tiles;</t>
  </si>
  <si>
    <t>Pr_35_57_11_58</t>
  </si>
  <si>
    <t>Needled pile carpets</t>
  </si>
  <si>
    <t>45-20-15/425 Needled pile carpets;</t>
  </si>
  <si>
    <t>Pr_35_57_11_62</t>
  </si>
  <si>
    <t>Pile carpet tiles</t>
  </si>
  <si>
    <t>45-20-15/380 Pile carpet tiles;</t>
  </si>
  <si>
    <t>Pr_35_57_11_64</t>
  </si>
  <si>
    <t>Pile carpets</t>
  </si>
  <si>
    <t>45-20-15/430 Pile carpets;</t>
  </si>
  <si>
    <t>Pr_35_57_11_66</t>
  </si>
  <si>
    <t>Polybutyl teraphthalate (PBT) bristle mats</t>
  </si>
  <si>
    <t>45-20-20/340 Polybutyl teraphthallate (PBT) bristle mat;</t>
  </si>
  <si>
    <t>Pr_35_57_11_68</t>
  </si>
  <si>
    <t>Polyvinyl chloride (PVC) bristle mats</t>
  </si>
  <si>
    <t>45-20-20/350 Polyvinyl chloride (PVC) bristle mat;</t>
  </si>
  <si>
    <t>Pr_35_57_11_72</t>
  </si>
  <si>
    <t>Reed mats</t>
  </si>
  <si>
    <t>45-75-45/350 Reed mats;</t>
  </si>
  <si>
    <t>Pr_35_57_11_74</t>
  </si>
  <si>
    <t>Rubber crumb underlays</t>
  </si>
  <si>
    <t>45-20-15/340 Rubber crumb underlays;</t>
  </si>
  <si>
    <t>Pr_35_57_11_85</t>
  </si>
  <si>
    <t>Synthetic grass surfaces</t>
  </si>
  <si>
    <t>45-20-20/360 Synthetic grass surfaces;</t>
  </si>
  <si>
    <t>Pr_35_57_11_91</t>
  </si>
  <si>
    <t>Tufted carpets</t>
  </si>
  <si>
    <t>45-20-15/435 Tufted carpets;</t>
  </si>
  <si>
    <t>Pr_35_57_11_97</t>
  </si>
  <si>
    <t>Wilton carpets</t>
  </si>
  <si>
    <t>45-20-15/440 Wilton carpets;</t>
  </si>
  <si>
    <t>Pr_35_57_15</t>
  </si>
  <si>
    <t>Composite surfacing and underlay products</t>
  </si>
  <si>
    <t>Pr_35_57_15_40</t>
  </si>
  <si>
    <t>In situ polymer shock absorption layers</t>
  </si>
  <si>
    <t>45-20-20/320 In situ polymer shock absorption layer;</t>
  </si>
  <si>
    <t>Pr_35_57_15_42</t>
  </si>
  <si>
    <t>Interlocking shock absorption panels</t>
  </si>
  <si>
    <t>45-20-20/310 Interlocking shock absorption panels;</t>
  </si>
  <si>
    <t>Pr_35_57_15_75</t>
  </si>
  <si>
    <t>Sand enveloped shock absorption layers</t>
  </si>
  <si>
    <t>45-20-20/330 Sand envelope shock absorption layer;</t>
  </si>
  <si>
    <t>Pr_35_57_15_80</t>
  </si>
  <si>
    <t>Sheet format shock absorption layers</t>
  </si>
  <si>
    <t>45-20-20/315 Sheet format shock absorption layer;</t>
  </si>
  <si>
    <t>Pr_35_57_22</t>
  </si>
  <si>
    <t>Decorative papers and roll coverings</t>
  </si>
  <si>
    <t>Pr_35_57_22_08</t>
  </si>
  <si>
    <t>Border papers</t>
  </si>
  <si>
    <t>45-25-25/410 Borders;</t>
  </si>
  <si>
    <t>Pr_35_57_22_15</t>
  </si>
  <si>
    <t>Cork roll coverings</t>
  </si>
  <si>
    <t>45-25-25/335 Cork roll coverings;</t>
  </si>
  <si>
    <t>Pr_35_57_22_38</t>
  </si>
  <si>
    <t>Heavy-duty roll coverings</t>
  </si>
  <si>
    <t>45-25-25/340 Heavy duty roll coverings;</t>
  </si>
  <si>
    <t>Pr_35_57_22_42</t>
  </si>
  <si>
    <t>Ingrain roll coverings</t>
  </si>
  <si>
    <t>45-25-25/345 Ingrain roll coverings;</t>
  </si>
  <si>
    <t>Pr_35_57_22_46</t>
  </si>
  <si>
    <t>Linen-backed lining papers</t>
  </si>
  <si>
    <t>45-25-25/315 Linen backed lining papers;</t>
  </si>
  <si>
    <t>Pr_35_57_22_48</t>
  </si>
  <si>
    <t>Lining papers</t>
  </si>
  <si>
    <t>45-25-25/320 Lining papers;</t>
  </si>
  <si>
    <t>Pr_35_57_22_51</t>
  </si>
  <si>
    <t>Metal foil roll coverings</t>
  </si>
  <si>
    <t>45-25-25/350 Metal foil roll coverings;</t>
  </si>
  <si>
    <t>Pr_35_57_22_52</t>
  </si>
  <si>
    <t>Metallic effect roll coverings</t>
  </si>
  <si>
    <t>45-25-25/355 Metallic effect roll coverings;</t>
  </si>
  <si>
    <t>Pr_35_57_22_53</t>
  </si>
  <si>
    <t>Metallized roll coverings</t>
  </si>
  <si>
    <t>45-25-25/360 Metallized roll coverings;</t>
  </si>
  <si>
    <t>Pr_35_57_22_54</t>
  </si>
  <si>
    <t>Mural roll coverings</t>
  </si>
  <si>
    <t>45-25-25/365 Mural roll coverings;</t>
  </si>
  <si>
    <t>Pr_35_57_22_58</t>
  </si>
  <si>
    <t>Non-woven lining papers</t>
  </si>
  <si>
    <t>45-25-25/310 Non-woven linings;</t>
  </si>
  <si>
    <t>Pr_35_57_22_60</t>
  </si>
  <si>
    <t>Paper roll coverings</t>
  </si>
  <si>
    <t>45-25-25/390 Paper roll coverings;</t>
  </si>
  <si>
    <t>Pr_35_57_22_72</t>
  </si>
  <si>
    <t>Relief roll coverings</t>
  </si>
  <si>
    <t>45-25-25/370 Relief roll coverings;</t>
  </si>
  <si>
    <t>Pr_35_57_22_88</t>
  </si>
  <si>
    <t>Textile roll coverings</t>
  </si>
  <si>
    <t>45-25-25/375 Textile roll coverings;</t>
  </si>
  <si>
    <t>Pr_35_57_22_90</t>
  </si>
  <si>
    <t>Textured effect roll coverings</t>
  </si>
  <si>
    <t>45-25-25/380 Textured effect roll coverings;</t>
  </si>
  <si>
    <t>Pr_35_57_22_95</t>
  </si>
  <si>
    <t>Vinyl roll coverings</t>
  </si>
  <si>
    <t>45-25-25/385 Vinyl roll coverings;</t>
  </si>
  <si>
    <t>Pr_35_57_71</t>
  </si>
  <si>
    <t>Resilient floor coverings</t>
  </si>
  <si>
    <t>Pr_35_57_71_02</t>
  </si>
  <si>
    <t>Agglomerated composition cork tiles</t>
  </si>
  <si>
    <t>45-20-70/410 Cork tiles – agglomerated composition;</t>
  </si>
  <si>
    <t>Pr_35_57_71_04</t>
  </si>
  <si>
    <t>Agglomerated composition cork tiles with polyvinyl chloride (PVC) wearing layer</t>
  </si>
  <si>
    <t>45-20-70/415 Cork tiles – agglomerated composition with PVC wearing layer;</t>
  </si>
  <si>
    <t>Pr_35_57_71_12</t>
  </si>
  <si>
    <t>Composite sheets</t>
  </si>
  <si>
    <t>Pr_35_57_71_13</t>
  </si>
  <si>
    <t>Composite rubber tiles</t>
  </si>
  <si>
    <t>45-20-70/455 Rubber tiles – composite;</t>
  </si>
  <si>
    <t>Pr_35_57_71_14</t>
  </si>
  <si>
    <t>Composite tiles</t>
  </si>
  <si>
    <t>Pr_35_57_71_15</t>
  </si>
  <si>
    <t>Cork linoleum (cork carpet) sheets</t>
  </si>
  <si>
    <t>45-20-70/310 Cork linoleum (cork carpet) sheet;</t>
  </si>
  <si>
    <t>Pr_35_57_71_17</t>
  </si>
  <si>
    <t>Cork-backed linoleum sheets</t>
  </si>
  <si>
    <t>45-20-70/325 Linoleum sheet on cork backing;</t>
  </si>
  <si>
    <t>Pr_35_57_71_19</t>
  </si>
  <si>
    <t>Cork-backed polyvinyl chloride (PVC) sheets</t>
  </si>
  <si>
    <t>45-20-70/340 PVC sheet on cork-based backing;</t>
  </si>
  <si>
    <t>Pr_35_57_71_20</t>
  </si>
  <si>
    <t>Cork-backed polyvinyl chloride (PVC) tiles</t>
  </si>
  <si>
    <t>45-20-70/435 PVC tiles on cork-based backing;</t>
  </si>
  <si>
    <t>Pr_35_57_71_22</t>
  </si>
  <si>
    <t>Cork sheets</t>
  </si>
  <si>
    <t>Pr_35_57_71_23</t>
  </si>
  <si>
    <t>Cork tiles</t>
  </si>
  <si>
    <t>Pr_35_57_71_25</t>
  </si>
  <si>
    <t>Ethylene propylene diene monomer (EPDM) rubber tiles</t>
  </si>
  <si>
    <t>45-20-70/417 Ethylene propylene diene monomer (EPDM) rubber tiles;</t>
  </si>
  <si>
    <t>Pr_35_57_71_26</t>
  </si>
  <si>
    <t>Expanded (cushioned) polyvinyl chloride (PVC) sheets</t>
  </si>
  <si>
    <t>45-20-70/315 Expanded (cushioned) PVC sheet;</t>
  </si>
  <si>
    <t>Pr_35_57_71_27</t>
  </si>
  <si>
    <t>Expanded (cushioned) polyvinyl chloride (PVC) tiles</t>
  </si>
  <si>
    <t>45-20-70/420 Expanded (cushioned) PVC tiles;</t>
  </si>
  <si>
    <t>Pr_35_57_71_28</t>
  </si>
  <si>
    <t>Filled fibrous-backed polyvinyl chloride (PVC) sheets</t>
  </si>
  <si>
    <t>45-20-70/345 PVC sheet on filled fibrous backing;</t>
  </si>
  <si>
    <t>Pr_35_57_71_30</t>
  </si>
  <si>
    <t>Floor surface coating resins</t>
  </si>
  <si>
    <t>45-55-70/335 Floor coating resin;</t>
  </si>
  <si>
    <t>Pr_35_57_71_31</t>
  </si>
  <si>
    <t>Foam-backed linoleum sheets</t>
  </si>
  <si>
    <t>45-20-70/330 Linoleum sheet on foam backing;</t>
  </si>
  <si>
    <t>Pr_35_57_71_32</t>
  </si>
  <si>
    <t>Foam backed polyvinyl chloride (PVC) sheets</t>
  </si>
  <si>
    <t>45-20-70/355 PVC sheet on PVC foam backing;</t>
  </si>
  <si>
    <t>Pr_35_57_71_33</t>
  </si>
  <si>
    <t>Foam backed polyvinyl chloride (PVC) tiles</t>
  </si>
  <si>
    <t>45-20-70/445 PVC tiles on PVC foam backing;</t>
  </si>
  <si>
    <t>Pr_35_57_71_34</t>
  </si>
  <si>
    <t>Foam-backed smooth rubber sheets</t>
  </si>
  <si>
    <t>45-20-70/385 Rubber sheet – smooth with foam backing;</t>
  </si>
  <si>
    <t>Pr_35_57_71_35</t>
  </si>
  <si>
    <t>Granular rubber sheets</t>
  </si>
  <si>
    <t>45-20-70/370 Rubber sheet – granular;</t>
  </si>
  <si>
    <t>Pr_35_57_71_36</t>
  </si>
  <si>
    <t>Granular rubber tiles</t>
  </si>
  <si>
    <t>45-20-70/460 Rubber tiles – granular;</t>
  </si>
  <si>
    <t>Pr_35_57_71_37</t>
  </si>
  <si>
    <t>Hammered rubber tiles</t>
  </si>
  <si>
    <t>45-20-70/465 Rubber tiles – hammered;</t>
  </si>
  <si>
    <t>Pr_35_57_71_43</t>
  </si>
  <si>
    <t>Jute or polyester felt-backed polyvinyl chloride (PVC) sheets</t>
  </si>
  <si>
    <t>45-20-70/350 PVC sheet on jute or polyester felt backing;</t>
  </si>
  <si>
    <t>Pr_35_57_71_44</t>
  </si>
  <si>
    <t>Jute or polyester felt-backed polyvinyl chloride (PVC) tiles</t>
  </si>
  <si>
    <t>45-20-70/440 PVC tiles on jute or polyester felt backing;</t>
  </si>
  <si>
    <t>Pr_35_57_71_46</t>
  </si>
  <si>
    <t>Linoleum sheets</t>
  </si>
  <si>
    <t>45-20-70/320 Linoleum sheet;</t>
  </si>
  <si>
    <t>Pr_35_57_71_49</t>
  </si>
  <si>
    <t>Linoleum tiles</t>
  </si>
  <si>
    <t>45-20-70/425 Linoleum tiles;</t>
  </si>
  <si>
    <t>Pr_35_57_71_60</t>
  </si>
  <si>
    <t>Particle-based enhanced wet area polyvinyl chloride (PVC) sheets</t>
  </si>
  <si>
    <t>45-20-70/365 PVC sheet with particle based enhanced slip resistance – for special wet areas;</t>
  </si>
  <si>
    <t>Pr_35_57_71_61</t>
  </si>
  <si>
    <t>Particle-based enhanced slip-resistant polyvinyl chloride (PVC) sheets</t>
  </si>
  <si>
    <t>45-20-70/360 PVC sheet with particle based enhanced slip resistance;</t>
  </si>
  <si>
    <t>Pr_35_57_71_62</t>
  </si>
  <si>
    <t>Particle-based enhanced slip-resistant polyvinyl chloride (PVC) tiles</t>
  </si>
  <si>
    <t>45-20-70/450 PVC tiles with particle based enhanced slip resistance;</t>
  </si>
  <si>
    <t>Pr_35_57_71_67</t>
  </si>
  <si>
    <t>Polyvinyl chloride (PVC) sheets</t>
  </si>
  <si>
    <t>45-20-70/335 PVC sheet;</t>
  </si>
  <si>
    <t>Pr_35_57_71_68</t>
  </si>
  <si>
    <t>Polyvinyl chloride (PVC) tiles</t>
  </si>
  <si>
    <t>45-20-70/430 PVC tiles;</t>
  </si>
  <si>
    <t>Pr_35_57_71_72</t>
  </si>
  <si>
    <t>Relief rubber sheets</t>
  </si>
  <si>
    <t>45-20-70/375 Rubber sheet – relief;</t>
  </si>
  <si>
    <t>Pr_35_57_71_73</t>
  </si>
  <si>
    <t>Relief rubber tiles</t>
  </si>
  <si>
    <t>45-20-70/470 Rubber tiles – relief;</t>
  </si>
  <si>
    <t>Pr_35_57_71_74</t>
  </si>
  <si>
    <t>Rubber mats and sheets</t>
  </si>
  <si>
    <t>45-20-70/367 Rubber mat and sheet;</t>
  </si>
  <si>
    <t>Pr_35_57_71_75</t>
  </si>
  <si>
    <t>Rubber tiles</t>
  </si>
  <si>
    <t>45-20-70/452 Rubber tiles;</t>
  </si>
  <si>
    <t>Pr_35_57_71_76</t>
  </si>
  <si>
    <t>Semi-flexible polyvinyl chloride (PVC) tiles</t>
  </si>
  <si>
    <t>45-20-70/480 Semi-flexible PVC tiles;</t>
  </si>
  <si>
    <t>Pr_35_57_71_80</t>
  </si>
  <si>
    <t>Smooth rubber sheets</t>
  </si>
  <si>
    <t>45-20-70/380 Rubber sheet – smooth;</t>
  </si>
  <si>
    <t>Pr_35_57_71_84</t>
  </si>
  <si>
    <t>Smooth rubber tiles</t>
  </si>
  <si>
    <t>45-20-70/475 Rubber tiles – smooth;</t>
  </si>
  <si>
    <t>Pr_35_57_71_86</t>
  </si>
  <si>
    <t>Solid rubber sheets</t>
  </si>
  <si>
    <t>45-20-70/390 Rubber sheet – solid;</t>
  </si>
  <si>
    <t>Pr_35_57_71_87</t>
  </si>
  <si>
    <t>Stabilizing underlays</t>
  </si>
  <si>
    <t>45-20-70/302 Stabilizing underlays;</t>
  </si>
  <si>
    <t>Pr_35_57_88</t>
  </si>
  <si>
    <t>Textiles</t>
  </si>
  <si>
    <t>Pr_35_57_88_16</t>
  </si>
  <si>
    <t>Cotton textiles</t>
  </si>
  <si>
    <t>Pr_35_57_88_46</t>
  </si>
  <si>
    <t>Linen textiles</t>
  </si>
  <si>
    <t>Pr_35_57_88_97</t>
  </si>
  <si>
    <t>Woollen textiles</t>
  </si>
  <si>
    <t>Pr_35_57_88_98</t>
  </si>
  <si>
    <t>Wool-nylon textiles</t>
  </si>
  <si>
    <t>Pr_35_90</t>
  </si>
  <si>
    <t>Trim products</t>
  </si>
  <si>
    <t>Pr_35_90_07</t>
  </si>
  <si>
    <t>Beads, stops and fillets</t>
  </si>
  <si>
    <t>Pr_35_90_07_04</t>
  </si>
  <si>
    <t>Angle fillets</t>
  </si>
  <si>
    <t>45-75-05/310 Angle fillets;</t>
  </si>
  <si>
    <t>Pr_35_90_07_08</t>
  </si>
  <si>
    <t>Bitumen impregnated fibreboard fillets</t>
  </si>
  <si>
    <t>45-75-05/320 Bitumen impregnated fibreboard fillets;</t>
  </si>
  <si>
    <t>Pr_35_90_07_15</t>
  </si>
  <si>
    <t>Copper cames</t>
  </si>
  <si>
    <t>Pr_35_90_07_24</t>
  </si>
  <si>
    <t>Dry lining beads</t>
  </si>
  <si>
    <t>45-75-05/330 Dry lining beads;</t>
  </si>
  <si>
    <t>Pr_35_90_07_33</t>
  </si>
  <si>
    <t>Glazing beads</t>
  </si>
  <si>
    <t>45-65-40/390 Glazing beads;</t>
  </si>
  <si>
    <t>Pr_35_90_07_47</t>
  </si>
  <si>
    <t>Lead cames</t>
  </si>
  <si>
    <t>Pr_35_90_07_63</t>
  </si>
  <si>
    <t>Plaster beads</t>
  </si>
  <si>
    <t>45-75-05/340 Plaster beads;</t>
  </si>
  <si>
    <t>Pr_35_90_07_72</t>
  </si>
  <si>
    <t>Render beads</t>
  </si>
  <si>
    <t>45-75-05/350 Render beads;</t>
  </si>
  <si>
    <t>Pr_35_90_07_73</t>
  </si>
  <si>
    <t>Render stops</t>
  </si>
  <si>
    <t>Pr_35_90_07_88</t>
  </si>
  <si>
    <t>Thin-coat plaster beads</t>
  </si>
  <si>
    <t>45-75-05/360 Thin coat plaster beads;</t>
  </si>
  <si>
    <t>Pr_35_90_07_89</t>
  </si>
  <si>
    <t>Timber fillets</t>
  </si>
  <si>
    <t>45-60-90/385 Timber fillets;</t>
  </si>
  <si>
    <t>Pr_35_90_09</t>
  </si>
  <si>
    <t>Bridge expansion joints</t>
  </si>
  <si>
    <t>Pr_35_90_09_11</t>
  </si>
  <si>
    <t>Cantilever expansion comb or tooth joints</t>
  </si>
  <si>
    <t>45-75-07/325 Cantilever expansion comb or tooth joints;</t>
  </si>
  <si>
    <t>Pr_35_90_09_27</t>
  </si>
  <si>
    <t>Elastomeric expansion joint in metal runners</t>
  </si>
  <si>
    <t>45-75-07/335 Elastomeric expansion joint in metal runners;</t>
  </si>
  <si>
    <t>Pr_35_90_09_28</t>
  </si>
  <si>
    <t>Elastomeric pads</t>
  </si>
  <si>
    <t>45-75-28/305 Elastomeric Pad;</t>
  </si>
  <si>
    <t>Pr_35_90_09_71</t>
  </si>
  <si>
    <t>Reinforced elastomeric expansion joints</t>
  </si>
  <si>
    <t>45-75-07/330 Reinforced elastomeric expansion joint;</t>
  </si>
  <si>
    <t>Pr_35_90_09_85</t>
  </si>
  <si>
    <t>Supported expansion joints</t>
  </si>
  <si>
    <t>45-75-07/340 Supported expansion joint;</t>
  </si>
  <si>
    <t>Pr_35_90_15</t>
  </si>
  <si>
    <t>Concrete construction joint accessories</t>
  </si>
  <si>
    <t>Pr_35_90_15_04</t>
  </si>
  <si>
    <t>Armoured joints</t>
  </si>
  <si>
    <t>45-75-42/450 Armoured joints;</t>
  </si>
  <si>
    <t>Pr_35_90_15_08</t>
  </si>
  <si>
    <t>Bottom-of-slab plastics crack inducers</t>
  </si>
  <si>
    <t>45-75-42/320 Bottom-of-slab plastics crack inducer;</t>
  </si>
  <si>
    <t>Pr_35_90_15_11</t>
  </si>
  <si>
    <t>Carbon steel arris armourings</t>
  </si>
  <si>
    <t>45-75-42/310 Carbon steel arris armouring;</t>
  </si>
  <si>
    <t>Pr_35_90_15_12</t>
  </si>
  <si>
    <t>Carbon steel shear load connectors</t>
  </si>
  <si>
    <t>45-75-42/390 Carbon steel shear load connector;</t>
  </si>
  <si>
    <t>Pr_35_90_15_13</t>
  </si>
  <si>
    <t>Carbon steel strip crack inducers</t>
  </si>
  <si>
    <t>45-75-42/325 Carbon steel strip crack inducer;</t>
  </si>
  <si>
    <t>Pr_35_90_15_14</t>
  </si>
  <si>
    <t>Centrally-placed rubber flexible waterstops</t>
  </si>
  <si>
    <t>45-75-42/355 Centrally placed, rubber, flexible waterstop;</t>
  </si>
  <si>
    <t>Pr_35_90_15_15</t>
  </si>
  <si>
    <t>Centrally-placed polyvinyl chloride (PVC) elastomer flexible waterstops</t>
  </si>
  <si>
    <t>45-75-42/360 Centrally-placed, PVC elastomer, flexible waterstop;</t>
  </si>
  <si>
    <t>Pr_35_90_15_16</t>
  </si>
  <si>
    <t>Centrally-placed unplasticized polyvinyl chloride (PVC-U) flexible waterstops</t>
  </si>
  <si>
    <t>45-75-42/350 Centrally placed, PVC-U, flexible waterstop;</t>
  </si>
  <si>
    <t>Pr_35_90_15_19</t>
  </si>
  <si>
    <t>Coated metal waterstops</t>
  </si>
  <si>
    <t>45-75-42/382 Coated metal waterstop;</t>
  </si>
  <si>
    <t>Pr_35_90_15_37</t>
  </si>
  <si>
    <t>Headed stud shear connectors</t>
  </si>
  <si>
    <t>45-75-42/385 Headed stud shear connectors;</t>
  </si>
  <si>
    <t>Pr_35_90_15_42</t>
  </si>
  <si>
    <t>Injectable hose waterstops</t>
  </si>
  <si>
    <t>45-75-42/365 Injectable hose waterstop;</t>
  </si>
  <si>
    <t>Pr_35_90_15_48</t>
  </si>
  <si>
    <t>Loop connectors</t>
  </si>
  <si>
    <t>45-75-42/460 Loop connectors;</t>
  </si>
  <si>
    <t>Pr_35_90_15_63</t>
  </si>
  <si>
    <t>Plastics strip crack inducers</t>
  </si>
  <si>
    <t>45-75-42/330 Plastics strip crack inducer;</t>
  </si>
  <si>
    <t>Pr_35_90_15_72</t>
  </si>
  <si>
    <t>Rubber flexible waterstops</t>
  </si>
  <si>
    <t>45-75-42/377 Surface mounted rubber flexible waterstops;</t>
  </si>
  <si>
    <t>Pr_35_90_15_74</t>
  </si>
  <si>
    <t>Rubber hydrophilic waterstops</t>
  </si>
  <si>
    <t>45-75-42/370 Rubber hydrophilic waterstop;</t>
  </si>
  <si>
    <t>Pr_35_90_15_77</t>
  </si>
  <si>
    <t>Shrinkage tube crack inducers</t>
  </si>
  <si>
    <t>45-75-42/335 Shrinkage tube crack inducer;</t>
  </si>
  <si>
    <t>Pr_35_90_15_82</t>
  </si>
  <si>
    <t>Stainless steel arris armourings</t>
  </si>
  <si>
    <t>45-75-42/315 Stainless steel arris armouring;</t>
  </si>
  <si>
    <t>Pr_35_90_15_83</t>
  </si>
  <si>
    <t>Stainless steel shear load connectors</t>
  </si>
  <si>
    <t>45-75-42/395 Stainless steel shear load connector;</t>
  </si>
  <si>
    <t>Pr_35_90_15_84</t>
  </si>
  <si>
    <t>Stainless steel strip crack inducers</t>
  </si>
  <si>
    <t>45-75-42/340 Stainless steel strip crack inducer;</t>
  </si>
  <si>
    <t>Pr_35_90_15_85</t>
  </si>
  <si>
    <t>Surface mounted polyvinyl chloride (PVC) flexible waterstops</t>
  </si>
  <si>
    <t>45-75-42/375 Surface mounted, PVC, flexible waterstop;</t>
  </si>
  <si>
    <t>Pr_35_90_15_86</t>
  </si>
  <si>
    <t>Synthetic elastomer hydrophilic waterstops</t>
  </si>
  <si>
    <t>45-75-42/380 Synthetic elastomer hydrophilic waterstop;</t>
  </si>
  <si>
    <t>Pr_35_90_15_88</t>
  </si>
  <si>
    <t>Thermal break shear load connectors</t>
  </si>
  <si>
    <t>45-75-42/397 Thermal break shear load connectors;</t>
  </si>
  <si>
    <t>Pr_35_90_15_89</t>
  </si>
  <si>
    <t>Thermal break connection plates</t>
  </si>
  <si>
    <t>45-75-42/399 Thermal break connection plates;</t>
  </si>
  <si>
    <t>Pr_35_90_22</t>
  </si>
  <si>
    <t>Dividing and edge strips</t>
  </si>
  <si>
    <t>Pr_35_90_22_36</t>
  </si>
  <si>
    <t>Hardwood edgings</t>
  </si>
  <si>
    <t>45-60-90/428 Hardwood edging;</t>
  </si>
  <si>
    <t>Pr_35_90_22_51</t>
  </si>
  <si>
    <t>Metal angle edgings</t>
  </si>
  <si>
    <t>45-75-25/350 Metal angle edgings;</t>
  </si>
  <si>
    <t>Pr_35_90_22_52</t>
  </si>
  <si>
    <t>Metal edgings</t>
  </si>
  <si>
    <t>45-75-25/420 Metal edgings;</t>
  </si>
  <si>
    <t>Pr_35_90_22_63</t>
  </si>
  <si>
    <t>Plastics edgings</t>
  </si>
  <si>
    <t>45-75-25/410 Plastics edgings;</t>
  </si>
  <si>
    <t>Pr_35_90_22_66</t>
  </si>
  <si>
    <t>Preformed tiling strip joints</t>
  </si>
  <si>
    <t>45-75-25/370 Preformed strip joints to tiling;</t>
  </si>
  <si>
    <t>Pr_35_90_22_72</t>
  </si>
  <si>
    <t>Recycled plastics edgings</t>
  </si>
  <si>
    <t>45-60-60/390 Recycled plastics edging;</t>
  </si>
  <si>
    <t>Pr_35_90_22_80</t>
  </si>
  <si>
    <t>Softwood edgings</t>
  </si>
  <si>
    <t>45-60-90/446 Softwood edging;</t>
  </si>
  <si>
    <t>Pr_35_90_22_88</t>
  </si>
  <si>
    <t>Timber grass edgings</t>
  </si>
  <si>
    <t>45-75-25/400 Timber edging;</t>
  </si>
  <si>
    <t>Pr_35_90_27</t>
  </si>
  <si>
    <t>Expansion joints</t>
  </si>
  <si>
    <t>Pr_35_90_27_11</t>
  </si>
  <si>
    <t>Chloroprene and aluminium expansion joints</t>
  </si>
  <si>
    <t>Pr_35_90_27_12</t>
  </si>
  <si>
    <t>Chloroprene and copper expansion joints</t>
  </si>
  <si>
    <t>Pr_35_90_27_13</t>
  </si>
  <si>
    <t>Chloroprene and lead expansion joints</t>
  </si>
  <si>
    <t>Pr_35_90_27_14</t>
  </si>
  <si>
    <t>Chloroprene and stainless steel expansion joints</t>
  </si>
  <si>
    <t>Pr_35_90_27_15</t>
  </si>
  <si>
    <t>Chloroprene and zinc expansion joints</t>
  </si>
  <si>
    <t>Pr_35_90_28</t>
  </si>
  <si>
    <t>External trims and sills</t>
  </si>
  <si>
    <t>Pr_35_90_28_02</t>
  </si>
  <si>
    <t>Aluminium fascias</t>
  </si>
  <si>
    <t>Pr_35_90_28_04</t>
  </si>
  <si>
    <t>Anti-climb security devices</t>
  </si>
  <si>
    <t>45-35-22/410 Anti-climb security devices;</t>
  </si>
  <si>
    <t>Pr_35_90_28_11</t>
  </si>
  <si>
    <t>Carbon steel fascias</t>
  </si>
  <si>
    <t>Pr_35_90_28_15</t>
  </si>
  <si>
    <t>Cover caps</t>
  </si>
  <si>
    <t>45-75-35/310 Cover caps;</t>
  </si>
  <si>
    <t>Pr_35_90_28_23</t>
  </si>
  <si>
    <t>Double skin glass-reinforced plastics (GRP) components</t>
  </si>
  <si>
    <t>Pr_35_90_28_32</t>
  </si>
  <si>
    <t>Glass-reinforced plastics (GRP) façade components</t>
  </si>
  <si>
    <t>45-75-30/312 Glass fibre reinforced plastics (GRP) facade components;</t>
  </si>
  <si>
    <t>Pr_35_90_28_33</t>
  </si>
  <si>
    <t>Glass-reinforced plastics (GRP) roof components</t>
  </si>
  <si>
    <t>45-75-30/317 Glass fibre reinforced plastics (GRP) roof components;</t>
  </si>
  <si>
    <t>Pr_35_90_28_36</t>
  </si>
  <si>
    <t>Hardwood copings</t>
  </si>
  <si>
    <t>45-60-90/426 Hardwood copings;</t>
  </si>
  <si>
    <t>Pr_35_90_28_50</t>
  </si>
  <si>
    <t>Membrane standing seam profiles</t>
  </si>
  <si>
    <t>45-65-50/392 Standing seam profiles for membranes;</t>
  </si>
  <si>
    <t>Pr_35_90_28_51</t>
  </si>
  <si>
    <t>Metal drip trims</t>
  </si>
  <si>
    <t>45-75-30/320 Metal drip trims;</t>
  </si>
  <si>
    <t>Pr_35_90_28_52</t>
  </si>
  <si>
    <t>Metal finishing trims</t>
  </si>
  <si>
    <t>45-75-30/325 Metal finishing trims;</t>
  </si>
  <si>
    <t>Pr_35_90_28_62</t>
  </si>
  <si>
    <t>Plastics and composite material trim boards</t>
  </si>
  <si>
    <t>45-75-30/330 Plastics and composite material trim boards;</t>
  </si>
  <si>
    <t>Pr_35_90_28_64</t>
  </si>
  <si>
    <t>Polyvinyl chloride (PVC) standing seam profiles</t>
  </si>
  <si>
    <t>Pr_35_90_28_72</t>
  </si>
  <si>
    <t>Roof membrane perimeter trims</t>
  </si>
  <si>
    <t>45-75-30/345 Roof membrane perimeter trims;</t>
  </si>
  <si>
    <t>Pr_35_90_28_76</t>
  </si>
  <si>
    <t>Single skin ribbed glass</t>
  </si>
  <si>
    <t>Pr_35_90_28_79</t>
  </si>
  <si>
    <t>Softwood copings</t>
  </si>
  <si>
    <t>Pr_35_90_28_82</t>
  </si>
  <si>
    <t>Stainless steel cappings and copings</t>
  </si>
  <si>
    <t>Pr_35_90_28_83</t>
  </si>
  <si>
    <t>Stainless steel fascias</t>
  </si>
  <si>
    <t>Pr_35_90_28_84</t>
  </si>
  <si>
    <t>Stainless steel undersills</t>
  </si>
  <si>
    <t>45-75-30/350 Stainless steel undersills;</t>
  </si>
  <si>
    <t>Pr_35_90_28_92</t>
  </si>
  <si>
    <t>Unplasticized polyvinyl chloride (PVC-U) finishing trims</t>
  </si>
  <si>
    <t>45-75-30/340 PVC-U finishing trims;</t>
  </si>
  <si>
    <t>Pr_35_90_28_93</t>
  </si>
  <si>
    <t>Unplasticized polyvinyl chloride (PVC-U) sills</t>
  </si>
  <si>
    <t>Pr_35_90_28_96</t>
  </si>
  <si>
    <t>Wood finishing trims</t>
  </si>
  <si>
    <t>45-75-30/355 Wood finishing trims;</t>
  </si>
  <si>
    <t>Pr_35_90_28_97</t>
  </si>
  <si>
    <t>Wood trim boards</t>
  </si>
  <si>
    <t>45-75-30/360 Wood trim boards;</t>
  </si>
  <si>
    <t>Pr_35_90_30</t>
  </si>
  <si>
    <t>Flashings</t>
  </si>
  <si>
    <t>Pr_35_90_30_01</t>
  </si>
  <si>
    <t>Aluminium flashings</t>
  </si>
  <si>
    <t>45-75-35/330 Metal flashings;</t>
  </si>
  <si>
    <t>Pr_35_90_30_08</t>
  </si>
  <si>
    <t>Bitumen-based flashings</t>
  </si>
  <si>
    <t>45-75-35/340 Bitumen-based flashings;</t>
  </si>
  <si>
    <t>Pr_35_90_30_11</t>
  </si>
  <si>
    <t>Carbon steel flashings</t>
  </si>
  <si>
    <t>Pr_35_90_30_15</t>
  </si>
  <si>
    <t>Copper flashings</t>
  </si>
  <si>
    <t>Pr_35_90_30_18</t>
  </si>
  <si>
    <t>Copper slates</t>
  </si>
  <si>
    <t>45-65-52/335 Copper slates;</t>
  </si>
  <si>
    <t>Pr_35_90_30_34</t>
  </si>
  <si>
    <t>Glass-reinforced plastics (GRP) flashings</t>
  </si>
  <si>
    <t>45-75-35/350 GRP flashings and aprons;</t>
  </si>
  <si>
    <t>Pr_35_90_30_46</t>
  </si>
  <si>
    <t>Lead flashings</t>
  </si>
  <si>
    <t>Pr_35_90_30_47</t>
  </si>
  <si>
    <t>Lead slates</t>
  </si>
  <si>
    <t>45-65-52/375 Lead slates;</t>
  </si>
  <si>
    <t>Pr_35_90_30_64</t>
  </si>
  <si>
    <t>Polyethylene (PE)-based flashings</t>
  </si>
  <si>
    <t>45-75-35/360 Polyethylene-based flashings and aprons;</t>
  </si>
  <si>
    <t>Pr_35_90_30_72</t>
  </si>
  <si>
    <t>Recycled plastics flashings</t>
  </si>
  <si>
    <t>45-75-35/370 Recycled plastics flashings and aprons;</t>
  </si>
  <si>
    <t>Pr_35_90_30_83</t>
  </si>
  <si>
    <t>Stainless steel flashings</t>
  </si>
  <si>
    <t>Pr_35_90_30_99</t>
  </si>
  <si>
    <t>Zinc flashings</t>
  </si>
  <si>
    <t>Pr_35_90_31</t>
  </si>
  <si>
    <t>Floor and stair trims</t>
  </si>
  <si>
    <t>Pr_35_90_31_11</t>
  </si>
  <si>
    <t>Carpet grippers</t>
  </si>
  <si>
    <t>45-20-15/450 Carpet grippers;</t>
  </si>
  <si>
    <t>Pr_35_90_31_12</t>
  </si>
  <si>
    <t>Carpet gripper strips</t>
  </si>
  <si>
    <t>45-20-35/315 Carpet gripper strips;</t>
  </si>
  <si>
    <t>Pr_35_90_31_26</t>
  </si>
  <si>
    <t>Flexible polyvinyl chloride (PVC) stair nosings</t>
  </si>
  <si>
    <t>45-20-35/385 Flexible PVC stair nosings;</t>
  </si>
  <si>
    <t>Pr_35_90_31_27</t>
  </si>
  <si>
    <t>Flexible stair coverings</t>
  </si>
  <si>
    <t>45-20-35/400 Stair covering components;</t>
  </si>
  <si>
    <t>Pr_35_90_31_28</t>
  </si>
  <si>
    <t>Floor construction joint trims</t>
  </si>
  <si>
    <t>45-20-35/320 Construction joint trims;</t>
  </si>
  <si>
    <t>Pr_35_90_31_29</t>
  </si>
  <si>
    <t>Floor cover strips</t>
  </si>
  <si>
    <t>45-20-35/325 Cover strips;</t>
  </si>
  <si>
    <t>Pr_35_90_31_30</t>
  </si>
  <si>
    <t>Floor dividing strips</t>
  </si>
  <si>
    <t>45-20-35/330 Dividing strips;</t>
  </si>
  <si>
    <t>Pr_35_90_31_31</t>
  </si>
  <si>
    <t>Floor edge trims</t>
  </si>
  <si>
    <t>45-20-35/340 Floor edge trims;</t>
  </si>
  <si>
    <t>Pr_35_90_31_32</t>
  </si>
  <si>
    <t>Floor edging strips</t>
  </si>
  <si>
    <t>45-20-35/335 Edging strips;</t>
  </si>
  <si>
    <t>Pr_35_90_31_33</t>
  </si>
  <si>
    <t>Floor threshold strips</t>
  </si>
  <si>
    <t>45-20-35/355 Threshold strips;</t>
  </si>
  <si>
    <t>Pr_35_90_31_36</t>
  </si>
  <si>
    <t>Hardwood floor threshold strips</t>
  </si>
  <si>
    <t>45-20-35/360 Wood threshold strips;</t>
  </si>
  <si>
    <t>Pr_35_90_31_37</t>
  </si>
  <si>
    <t>Hardwood stair trims</t>
  </si>
  <si>
    <t>45-20-35/415 Wood stair trims;</t>
  </si>
  <si>
    <t>Pr_35_90_31_50</t>
  </si>
  <si>
    <t>Mat well frames</t>
  </si>
  <si>
    <t>45-20-35/345 Mat well frames;</t>
  </si>
  <si>
    <t>Pr_35_90_31_58</t>
  </si>
  <si>
    <t>One part floor transition strips</t>
  </si>
  <si>
    <t>45-20-35/370 One part transition strips;</t>
  </si>
  <si>
    <t>Pr_35_90_31_66</t>
  </si>
  <si>
    <t>Preformed strip joints to screeds</t>
  </si>
  <si>
    <t>45-75-25/340 Preformed strip joints to screeds;</t>
  </si>
  <si>
    <t>Pr_35_90_31_70</t>
  </si>
  <si>
    <t>Radiator pipe floor covers</t>
  </si>
  <si>
    <t>45-20-35/425 Radiator pipe covers;</t>
  </si>
  <si>
    <t>Pr_35_90_31_71</t>
  </si>
  <si>
    <t>Raised access floor level-change trims</t>
  </si>
  <si>
    <t>45-20-35/305 Level change trims for raised access floors;</t>
  </si>
  <si>
    <t>Pr_35_90_31_72</t>
  </si>
  <si>
    <t>Raised access floor vertical edging panels</t>
  </si>
  <si>
    <t>45-20-35/310 Vertical edging panels for raised access floors;</t>
  </si>
  <si>
    <t>Pr_35_90_31_73</t>
  </si>
  <si>
    <t>Render-grade resin coves</t>
  </si>
  <si>
    <t>45-20-35/350 Render-grade resin coves;</t>
  </si>
  <si>
    <t>Pr_35_90_31_74</t>
  </si>
  <si>
    <t>Rigid stair nosings</t>
  </si>
  <si>
    <t>45-20-35/390 Rigid stair nosings;</t>
  </si>
  <si>
    <t>Pr_35_90_31_75</t>
  </si>
  <si>
    <t>Rubber composite stair nosing inserts</t>
  </si>
  <si>
    <t>45-20-35/395 Rubber composite stair nosing inserts;</t>
  </si>
  <si>
    <t>Pr_35_90_31_83</t>
  </si>
  <si>
    <t>Stair rods</t>
  </si>
  <si>
    <t>Pr_35_90_31_84</t>
  </si>
  <si>
    <t>Stair trims</t>
  </si>
  <si>
    <t>45-20-35/410 Stair trims;</t>
  </si>
  <si>
    <t>Pr_35_90_31_90</t>
  </si>
  <si>
    <t>Two-part floor transition strips</t>
  </si>
  <si>
    <t>45-20-35/375 Two part transition strips;</t>
  </si>
  <si>
    <t>Pr_35_90_31_95</t>
  </si>
  <si>
    <t>Wearing screed sawn-joint sealing strips</t>
  </si>
  <si>
    <t>45-75-25/330 Sealing strips for sawn joints in wearing screeds;</t>
  </si>
  <si>
    <t>Pr_35_90_31_96</t>
  </si>
  <si>
    <t>Wood-based floor threshold strips</t>
  </si>
  <si>
    <t>45-20-35/365 Wood based threshold strips;</t>
  </si>
  <si>
    <t>Pr_35_90_31_97</t>
  </si>
  <si>
    <t>Wood-based floor transition strips</t>
  </si>
  <si>
    <t>45-20-35/380 Wood based transition strips;</t>
  </si>
  <si>
    <t>Pr_35_90_33</t>
  </si>
  <si>
    <t>Gaskets, weatherstrips and baffles</t>
  </si>
  <si>
    <t>Pr_35_90_33_12</t>
  </si>
  <si>
    <t>Cellular rubber gaskets</t>
  </si>
  <si>
    <t>45-75-40/320 Cellular rubber gaskets;</t>
  </si>
  <si>
    <t>Pr_35_90_33_20</t>
  </si>
  <si>
    <t>Curtain wall glazing and panel gaskets</t>
  </si>
  <si>
    <t>45-75-40/350 Glazing and panel gaskets for curtain walling;</t>
  </si>
  <si>
    <t>Pr_35_90_33_22</t>
  </si>
  <si>
    <t>Door and window weatherstrips and seals</t>
  </si>
  <si>
    <t>45-75-40/430 Door and window weatherstrips and seals;</t>
  </si>
  <si>
    <t>Pr_35_90_33_23</t>
  </si>
  <si>
    <t>Door threshold weatherstrips and seals</t>
  </si>
  <si>
    <t>45-75-40/435 Door threshold weatherstrips and seals;</t>
  </si>
  <si>
    <t>Pr_35_90_33_24</t>
  </si>
  <si>
    <t>Ethylene propylene diene monomer (EPDM) combined hydrophilic gaskets</t>
  </si>
  <si>
    <t>45-75-40/414 EPDM combined hydrophilic gasket;</t>
  </si>
  <si>
    <t>Pr_35_90_33_25</t>
  </si>
  <si>
    <t>Ethylene propylene diene monomer (EPDM) gaskets</t>
  </si>
  <si>
    <t>45-75-40/416 EPDM gaskets;</t>
  </si>
  <si>
    <t>Pr_35_90_33_26</t>
  </si>
  <si>
    <t>Ethylene propylene diene monomer (EPDM) rubber section glazing trims</t>
  </si>
  <si>
    <t>45-75-40/330 EPDM rubber section glazing trims;</t>
  </si>
  <si>
    <t>Pr_35_90_33_28</t>
  </si>
  <si>
    <t>Extruded polyvinyl chloride (PVC) glazing gaskets</t>
  </si>
  <si>
    <t>45-75-40/340 Extruded PVC glazing gaskets;</t>
  </si>
  <si>
    <t>Pr_35_90_33_34</t>
  </si>
  <si>
    <t>Glass-reinforced plastics (GRP) cladding neoprene gaskets</t>
  </si>
  <si>
    <t>45-75-40/360 Neoprene gaskets for GRP cladding;</t>
  </si>
  <si>
    <t>Pr_35_90_33_39</t>
  </si>
  <si>
    <t>Hydrophilic gaskets</t>
  </si>
  <si>
    <t>45-75-40/412 Hydrophilic gaskets for underground works;</t>
  </si>
  <si>
    <t>Pr_35_90_33_56</t>
  </si>
  <si>
    <t>Neoprene baffles</t>
  </si>
  <si>
    <t>45-75-40/310 Neoprene baffles;</t>
  </si>
  <si>
    <t>Pr_35_90_33_57</t>
  </si>
  <si>
    <t>Non-cellular rubber gaskets</t>
  </si>
  <si>
    <t>45-75-40/370 Non-cellular rubber gaskets;</t>
  </si>
  <si>
    <t>Pr_35_90_33_64</t>
  </si>
  <si>
    <t>Polypropylene baffles</t>
  </si>
  <si>
    <t>45-75-40/311 Polypropylene baffles;</t>
  </si>
  <si>
    <t>Pr_35_90_33_66</t>
  </si>
  <si>
    <t>Pre-formed butyl strip glazing trims</t>
  </si>
  <si>
    <t>45-75-40/380 Pre-formed butyl strip glazing trims;</t>
  </si>
  <si>
    <t>Pr_35_90_33_77</t>
  </si>
  <si>
    <t>Single-sided glazing gaskets</t>
  </si>
  <si>
    <t>45-75-40/390 Single-sided glazing gaskets;</t>
  </si>
  <si>
    <t>Pr_35_90_33_84</t>
  </si>
  <si>
    <t>Stainless steel baffles</t>
  </si>
  <si>
    <t>45-75-40/312 Stainless steel baffles;</t>
  </si>
  <si>
    <t>Pr_35_90_33_86</t>
  </si>
  <si>
    <t>Synthetic rubber glazing gaskets</t>
  </si>
  <si>
    <t>45-75-40/400 Synthetic rubber glazing gaskets;</t>
  </si>
  <si>
    <t>Pr_35_90_33_97</t>
  </si>
  <si>
    <t>Weatherstripping</t>
  </si>
  <si>
    <t>45-75-40/440 Weatherstripping;</t>
  </si>
  <si>
    <t>Pr_35_90_33_99</t>
  </si>
  <si>
    <t>Zipper gaskets</t>
  </si>
  <si>
    <t>45-75-40/410 Zipper gaskets;</t>
  </si>
  <si>
    <t>Pr_35_90_43</t>
  </si>
  <si>
    <t>Interior wall and ceiling trims</t>
  </si>
  <si>
    <t>Pr_35_90_43_02</t>
  </si>
  <si>
    <t>Aluminium skirtings</t>
  </si>
  <si>
    <t>45-75-95/320 Metal skirtings;</t>
  </si>
  <si>
    <t>Pr_35_90_43_03</t>
  </si>
  <si>
    <t>Angle trims</t>
  </si>
  <si>
    <t>Pr_35_90_43_04</t>
  </si>
  <si>
    <t>Arrises</t>
  </si>
  <si>
    <t>Pr_35_90_43_12</t>
  </si>
  <si>
    <t>Ceiling perimeter trims</t>
  </si>
  <si>
    <t>45-75-95/405 Ceiling perimeter trims;</t>
  </si>
  <si>
    <t>Pr_35_90_43_13</t>
  </si>
  <si>
    <t>Column guards</t>
  </si>
  <si>
    <t>45-75-95/475 Column guards;</t>
  </si>
  <si>
    <t>Pr_35_90_43_14</t>
  </si>
  <si>
    <t>Cork cove skirtings</t>
  </si>
  <si>
    <t>45-75-95/305 Cork cove skirtings;</t>
  </si>
  <si>
    <t>Pr_35_90_43_15</t>
  </si>
  <si>
    <t>Corner guards</t>
  </si>
  <si>
    <t>45-75-95/480 Corner guards;</t>
  </si>
  <si>
    <t>Pr_35_90_43_16</t>
  </si>
  <si>
    <t>Cover strips</t>
  </si>
  <si>
    <t>45-75-95/410 Cover strips;</t>
  </si>
  <si>
    <t>Pr_35_90_43_17</t>
  </si>
  <si>
    <t>Coves</t>
  </si>
  <si>
    <t>Pr_35_90_43_21</t>
  </si>
  <si>
    <t>Edge battens</t>
  </si>
  <si>
    <t>45-75-95/425 Edge battens;</t>
  </si>
  <si>
    <t>Pr_35_90_43_22</t>
  </si>
  <si>
    <t>Edge trims</t>
  </si>
  <si>
    <t>45-75-95/430 Edge trims;</t>
  </si>
  <si>
    <t>Pr_35_90_43_29</t>
  </si>
  <si>
    <t>Fibrous plaster mouldings</t>
  </si>
  <si>
    <t>45-75-95/455 Fibrous plaster mouldings;</t>
  </si>
  <si>
    <t>Pr_35_90_43_30</t>
  </si>
  <si>
    <t>Fire-insulating caps</t>
  </si>
  <si>
    <t>Pr_35_90_43_42</t>
  </si>
  <si>
    <t>Intumescent protective castings</t>
  </si>
  <si>
    <t>45-45-70/400 Intumescent protective castings;</t>
  </si>
  <si>
    <t>Pr_35_90_43_47</t>
  </si>
  <si>
    <t>Lighting cornices</t>
  </si>
  <si>
    <t>45-75-95/450 Lighting cornices;</t>
  </si>
  <si>
    <t>Pr_35_90_43_48</t>
  </si>
  <si>
    <t>Medium density fibreboard (MDF) architraves</t>
  </si>
  <si>
    <t>45-75-95/310 Medium density fibreboard (MDF) architraves;</t>
  </si>
  <si>
    <t>Pr_35_90_43_49</t>
  </si>
  <si>
    <t>Medium density fibreboard (MDF) backboards</t>
  </si>
  <si>
    <t>Pr_35_90_43_50</t>
  </si>
  <si>
    <t>Medium density fibreboard (MDF) cover strips</t>
  </si>
  <si>
    <t>Pr_35_90_43_51</t>
  </si>
  <si>
    <t>Medium density fibreboard (MDF) dado rails</t>
  </si>
  <si>
    <t>45-75-95/350 Medium density fibreboard (MDF) dado rail;</t>
  </si>
  <si>
    <t>Pr_35_90_43_52</t>
  </si>
  <si>
    <t>Medium density fibreboard (MDF) edge trims</t>
  </si>
  <si>
    <t>Pr_35_90_43_53</t>
  </si>
  <si>
    <t>Medium density fibreboard (MDF) lining boards</t>
  </si>
  <si>
    <t>45-75-95/375 Medium density fibreboard (MDF) lining board;</t>
  </si>
  <si>
    <t>Pr_35_90_43_54</t>
  </si>
  <si>
    <t>Medium density fibreboard (MDF) mouldings and trims</t>
  </si>
  <si>
    <t>45-75-95/365 Wood mouldings and trims;</t>
  </si>
  <si>
    <t>Pr_35_90_43_55</t>
  </si>
  <si>
    <t>Medium density fibreboard (MDF) mounting battens</t>
  </si>
  <si>
    <t>Pr_35_90_43_56</t>
  </si>
  <si>
    <t>Medium density fibreboard (MDF) picture rails</t>
  </si>
  <si>
    <t>45-75-95/355 Medium density fibreboard (MDF) picture rail;</t>
  </si>
  <si>
    <t>Pr_35_90_43_57</t>
  </si>
  <si>
    <t>Medium density fibreboard (MDF) protection rails</t>
  </si>
  <si>
    <t>Pr_35_90_43_58</t>
  </si>
  <si>
    <t>Medium density fibreboard (MDF) skirtings</t>
  </si>
  <si>
    <t>45-75-95/315 Medium density fibreboard (MDF) skirtings;</t>
  </si>
  <si>
    <t>Pr_35_90_43_59</t>
  </si>
  <si>
    <t>Metal skirtings</t>
  </si>
  <si>
    <t>Pr_35_90_43_60</t>
  </si>
  <si>
    <t>Panel partition closer pieces</t>
  </si>
  <si>
    <t>45-75-95/445 Panel partition closer pieces;</t>
  </si>
  <si>
    <t>Pr_35_90_43_61</t>
  </si>
  <si>
    <t>Pilasters</t>
  </si>
  <si>
    <t>Pr_35_90_43_62</t>
  </si>
  <si>
    <t>Plaster cornices</t>
  </si>
  <si>
    <t>Pr_35_90_43_63</t>
  </si>
  <si>
    <t>Plastics skirtings</t>
  </si>
  <si>
    <t>45-75-95/325 Plastics skirtings;</t>
  </si>
  <si>
    <t>Pr_35_90_43_64</t>
  </si>
  <si>
    <t>Polyvinyl chloride (PVC) cove skirtings</t>
  </si>
  <si>
    <t>45-75-95/330 PVC cove skirtings;</t>
  </si>
  <si>
    <t>Pr_35_90_43_66</t>
  </si>
  <si>
    <t>Preformed casings</t>
  </si>
  <si>
    <t>45-75-95/390 Preformed casings;</t>
  </si>
  <si>
    <t>Pr_35_90_43_70</t>
  </si>
  <si>
    <t>Radiator guards</t>
  </si>
  <si>
    <t>45-75-95/485 Radiator guards;</t>
  </si>
  <si>
    <t>Pr_35_90_43_74</t>
  </si>
  <si>
    <t>Rubber cove skirtings</t>
  </si>
  <si>
    <t>45-75-95/335 Rubber cove skirtings;</t>
  </si>
  <si>
    <t>Pr_35_90_43_84</t>
  </si>
  <si>
    <t>Solid cast plaster mouldings</t>
  </si>
  <si>
    <t>45-75-95/460 Solid cast plaster mouldings;</t>
  </si>
  <si>
    <t>Pr_35_90_43_86</t>
  </si>
  <si>
    <t>Wall protection panels</t>
  </si>
  <si>
    <t>45-75-95/465 Wall protection panels;</t>
  </si>
  <si>
    <t>Pr_35_90_43_87</t>
  </si>
  <si>
    <t>Wood architraves</t>
  </si>
  <si>
    <t>45-75-95/340 Wood architraves;</t>
  </si>
  <si>
    <t>Pr_35_90_43_88</t>
  </si>
  <si>
    <t>Wood backboards</t>
  </si>
  <si>
    <t>45-75-95/400 Wood backboards;</t>
  </si>
  <si>
    <t>Pr_35_90_43_89</t>
  </si>
  <si>
    <t>Wood cover strips</t>
  </si>
  <si>
    <t>45-75-95/420 Wood cover strips;</t>
  </si>
  <si>
    <t>Pr_35_90_43_90</t>
  </si>
  <si>
    <t>Wood dado rails</t>
  </si>
  <si>
    <t>45-75-95/360 Wood dado rails;</t>
  </si>
  <si>
    <t>Pr_35_90_43_91</t>
  </si>
  <si>
    <t>Wood edge trims</t>
  </si>
  <si>
    <t>45-75-95/435 Wood edge trims;</t>
  </si>
  <si>
    <t>Pr_35_90_43_92</t>
  </si>
  <si>
    <t>Wood fillets</t>
  </si>
  <si>
    <t>45-75-95/415 Wood fillets;</t>
  </si>
  <si>
    <t>Pr_35_90_43_93</t>
  </si>
  <si>
    <t>Wood lining boards</t>
  </si>
  <si>
    <t>45-75-95/385 Wood lining board;</t>
  </si>
  <si>
    <t>Pr_35_90_43_94</t>
  </si>
  <si>
    <t>Wood mouldings and trims</t>
  </si>
  <si>
    <t>Pr_35_90_43_95</t>
  </si>
  <si>
    <t>Wood mounting battens</t>
  </si>
  <si>
    <t>45-75-95/395 Wood mounting battens;</t>
  </si>
  <si>
    <t>Pr_35_90_43_96</t>
  </si>
  <si>
    <t>Wood picture rails</t>
  </si>
  <si>
    <t>45-75-95/370 Wood picture rails;</t>
  </si>
  <si>
    <t>Pr_35_90_43_97</t>
  </si>
  <si>
    <t>Wood protection rails</t>
  </si>
  <si>
    <t>45-75-95/470 Wood protection rails;</t>
  </si>
  <si>
    <t>Pr_35_90_43_98</t>
  </si>
  <si>
    <t>Wood skirtings</t>
  </si>
  <si>
    <t>45-75-95/345 Wood skirtings;</t>
  </si>
  <si>
    <t>Pr_35_90_50</t>
  </si>
  <si>
    <t>Masonry walling ancillary products</t>
  </si>
  <si>
    <t>Pr_35_90_50_03</t>
  </si>
  <si>
    <t>Airbricks</t>
  </si>
  <si>
    <t>45-80-50/370 Airbricks;</t>
  </si>
  <si>
    <t>Pr_35_90_50_61</t>
  </si>
  <si>
    <t>Perpend joint plastics cavity ventilators</t>
  </si>
  <si>
    <t>45-80-50/386 Perpend joint plastics cavity ventilators;</t>
  </si>
  <si>
    <t>Pr_35_90_50_62</t>
  </si>
  <si>
    <t>Perpend joint plastics weep holes</t>
  </si>
  <si>
    <t>45-80-50/384 Perpend joint plastics weep holes;</t>
  </si>
  <si>
    <t>Pr_35_90_50_63</t>
  </si>
  <si>
    <t>Perpend joint metal weep holes</t>
  </si>
  <si>
    <t>Pr_35_90_50_64</t>
  </si>
  <si>
    <t>Plastics cavity closers</t>
  </si>
  <si>
    <t>45-25-20/455 Plastics cavity closers;</t>
  </si>
  <si>
    <t>Pr_35_90_50_88</t>
  </si>
  <si>
    <t>Tile creasings</t>
  </si>
  <si>
    <t>45-80-90/460 Clay tiles creasing;</t>
  </si>
  <si>
    <t>Pr_35_90_53</t>
  </si>
  <si>
    <t>Movement joints</t>
  </si>
  <si>
    <t>Pr_35_90_53_11</t>
  </si>
  <si>
    <t>Cast-in screed movement joints</t>
  </si>
  <si>
    <t>45-75-50/310 Cast-in movement joints for screeds;</t>
  </si>
  <si>
    <t>Pr_35_90_53_30</t>
  </si>
  <si>
    <t>Fibre cement movement joints</t>
  </si>
  <si>
    <t>45-75-50/330 Fibre cement movement joints;</t>
  </si>
  <si>
    <t>Pr_35_90_53_42</t>
  </si>
  <si>
    <t>Insulated render system construction and movement joints</t>
  </si>
  <si>
    <t>45-75-50/320 Construction and movement joints for insulated render systems;</t>
  </si>
  <si>
    <t>Pr_35_90_53_50</t>
  </si>
  <si>
    <t>Mastic asphalt (MA) movement joints</t>
  </si>
  <si>
    <t>45-75-50/370 Movement joints in mastic asphalt;</t>
  </si>
  <si>
    <t>Pr_35_90_53_52</t>
  </si>
  <si>
    <t>Metal movement joint edging angles</t>
  </si>
  <si>
    <t>45-75-50/340 Metal edging angles for movement joints;</t>
  </si>
  <si>
    <t>Pr_35_90_53_53</t>
  </si>
  <si>
    <t>Metal section movement joints</t>
  </si>
  <si>
    <t>45-75-50/350 Metal section movement joints;</t>
  </si>
  <si>
    <t>Pr_35_90_53_54</t>
  </si>
  <si>
    <t>Minor flat roofing movement joints</t>
  </si>
  <si>
    <t>45-75-50/360 Minor movement joints in flat roofing;</t>
  </si>
  <si>
    <t>Pr_35_90_53_72</t>
  </si>
  <si>
    <t>Resin flooring strip movement joints</t>
  </si>
  <si>
    <t>45-75-50/420 Strip movement joints for resin flooring;</t>
  </si>
  <si>
    <t>Pr_35_90_53_85</t>
  </si>
  <si>
    <t>Sprayed monolithic coating movement joints</t>
  </si>
  <si>
    <t>45-75-50/390 Movement joints to sprayed monolithic coatings;</t>
  </si>
  <si>
    <t>Pr_35_90_53_86</t>
  </si>
  <si>
    <t>Strip movement joints</t>
  </si>
  <si>
    <t>45-75-50/410 Strip movement joints;</t>
  </si>
  <si>
    <t>Pr_35_90_53_88</t>
  </si>
  <si>
    <t>Timber flooring movement joints</t>
  </si>
  <si>
    <t>45-75-50/380 Movement joints in wood flooring;</t>
  </si>
  <si>
    <t>Pr_35_90_53_93</t>
  </si>
  <si>
    <t>Unplasticized polyvinyl chloride (PVC-U) external render and plaster movement joints</t>
  </si>
  <si>
    <t>45-75-50/400 PVC-U movement joints for external render or plaster;</t>
  </si>
  <si>
    <t>Pr_35_90_60</t>
  </si>
  <si>
    <t>Paving studs and inserts</t>
  </si>
  <si>
    <t>Pr_35_90_60_22</t>
  </si>
  <si>
    <t>Demarcation inserts</t>
  </si>
  <si>
    <t>45-20-62/325 Demarcation inserts;</t>
  </si>
  <si>
    <t>Pr_35_90_60_41</t>
  </si>
  <si>
    <t>Illuminated road studs</t>
  </si>
  <si>
    <t>Pr_35_90_60_57</t>
  </si>
  <si>
    <t>Non-reflecting road studs</t>
  </si>
  <si>
    <t>Pr_35_90_60_62</t>
  </si>
  <si>
    <t>Pedestrian delineation road studs</t>
  </si>
  <si>
    <t>45-20-62/365 Pedestrian delineation road studs;</t>
  </si>
  <si>
    <t>Pr_35_90_60_71</t>
  </si>
  <si>
    <t>Retroreflecting road studs</t>
  </si>
  <si>
    <t>45-20-80/347 Retroreflecting road studs;</t>
  </si>
  <si>
    <t>Pr_35_90_60_77</t>
  </si>
  <si>
    <t>Skateboard deterrent studs</t>
  </si>
  <si>
    <t>45-20-62/360 Skateboard deterrent studs;</t>
  </si>
  <si>
    <t>Pr_35_90_60_78</t>
  </si>
  <si>
    <t>Slip-resistant cast inserts</t>
  </si>
  <si>
    <t>45-20-62/335 Slip-resistant cast inserts;</t>
  </si>
  <si>
    <t>Pr_35_90_60_79</t>
  </si>
  <si>
    <t>Slip-resistant rebate inserts</t>
  </si>
  <si>
    <t>45-20-62/340 Slip-resistant rebate inserts;</t>
  </si>
  <si>
    <t>Pr_35_90_60_87</t>
  </si>
  <si>
    <t>Tactile paving studs</t>
  </si>
  <si>
    <t>45-20-62/350 Tactile paving studs;</t>
  </si>
  <si>
    <t>Pr_35_90_87</t>
  </si>
  <si>
    <t>Tapes, strips and profile fillers</t>
  </si>
  <si>
    <t>Pr_35_90_87_01</t>
  </si>
  <si>
    <t>Acrylic adhesive fixing tapes</t>
  </si>
  <si>
    <t>45-75-90/305 Acrylic adhesive fixing tape;</t>
  </si>
  <si>
    <t>Pr_35_90_87_02</t>
  </si>
  <si>
    <t>Acrylic adhesive sealant tapes</t>
  </si>
  <si>
    <t>45-75-90/307 Acrylic adhesive sealant tape;</t>
  </si>
  <si>
    <t>Pr_35_90_87_03</t>
  </si>
  <si>
    <t>Aluminium conductor tapes</t>
  </si>
  <si>
    <t>Pr_35_90_87_04</t>
  </si>
  <si>
    <t>Aluminium foil tapes</t>
  </si>
  <si>
    <t>45-75-90/310 Aluminium foil tape;</t>
  </si>
  <si>
    <t>Pr_35_90_87_07</t>
  </si>
  <si>
    <t>Butyl rubber adhesive tapes</t>
  </si>
  <si>
    <t>45-75-90/330 Butyl rubber adhesive tape;</t>
  </si>
  <si>
    <t>Pr_35_90_87_08</t>
  </si>
  <si>
    <t>Butyl rubber preformed strips</t>
  </si>
  <si>
    <t>45-75-90/315 Butyl rubber preformed strips;</t>
  </si>
  <si>
    <t>Pr_35_90_87_09</t>
  </si>
  <si>
    <t>Butyl rubber sealant tapes</t>
  </si>
  <si>
    <t>45-75-90/320 Butyl rubber sealant tape;</t>
  </si>
  <si>
    <t>Pr_35_90_87_10</t>
  </si>
  <si>
    <t>Butyl rubber fleece tapes</t>
  </si>
  <si>
    <t>45-75-90/325 Butyl rubber tape fleece;</t>
  </si>
  <si>
    <t>Pr_35_90_87_15</t>
  </si>
  <si>
    <t>Copper conductor tapes</t>
  </si>
  <si>
    <t>Pr_35_90_87_23</t>
  </si>
  <si>
    <t>Double-sided tape damp proof course joint sealers</t>
  </si>
  <si>
    <t>Pr_35_90_87_25</t>
  </si>
  <si>
    <t>Ethylene propylene diene monomer (EPDM)-coated expanded polyethylene (PE) foam profile fillers</t>
  </si>
  <si>
    <t>45-75-90/335 EPDM coated expanded polyethylene foam profile fillers;</t>
  </si>
  <si>
    <t>Pr_35_90_87_26</t>
  </si>
  <si>
    <t>Expanded polyethylene (PE) foam profile fillers</t>
  </si>
  <si>
    <t>45-75-90/340 Expanded polyethylene foam profile fillers;</t>
  </si>
  <si>
    <t>Pr_35_90_87_27</t>
  </si>
  <si>
    <t>Expanded polyethylene (PE) foam strips</t>
  </si>
  <si>
    <t>45-75-90/345 Expanded polyethylene foam strip;</t>
  </si>
  <si>
    <t>Pr_35_90_87_28</t>
  </si>
  <si>
    <t>Expanded polystyrene (EPS) foam strips</t>
  </si>
  <si>
    <t>45-75-90/350 Expanded polystyrene foam strip;</t>
  </si>
  <si>
    <t>Pr_35_90_87_30</t>
  </si>
  <si>
    <t>Fire-resistant glazing tapes</t>
  </si>
  <si>
    <t>45-75-90/355 Fire-resistant glazing tape;</t>
  </si>
  <si>
    <t>Pr_35_90_87_31</t>
  </si>
  <si>
    <t>Flash tapes</t>
  </si>
  <si>
    <t>Pr_35_90_87_34</t>
  </si>
  <si>
    <t>Glass fibre mesh repair tapes</t>
  </si>
  <si>
    <t>45-75-90/360 Glass fibre mesh repair tape;</t>
  </si>
  <si>
    <t>Pr_35_90_87_37</t>
  </si>
  <si>
    <t>Heat-bonded carpet tapes</t>
  </si>
  <si>
    <t>45-75-90/365 Heat-bonded carpet tape;</t>
  </si>
  <si>
    <t>Pr_35_90_87_41</t>
  </si>
  <si>
    <t>Intumescent tapes</t>
  </si>
  <si>
    <t>45-75-90/370 Intumescent tape;</t>
  </si>
  <si>
    <t>Pr_35_90_87_42</t>
  </si>
  <si>
    <t>Isolating tapes</t>
  </si>
  <si>
    <t>45-75-90/375 Isolating tape;</t>
  </si>
  <si>
    <t>Pr_35_90_87_52</t>
  </si>
  <si>
    <t>Metal strip reinforced paper tapes</t>
  </si>
  <si>
    <t>45-75-90/380 Metal strip reinforced paper tape;</t>
  </si>
  <si>
    <t>Pr_35_90_87_53</t>
  </si>
  <si>
    <t>Mineral fibre joint fillers</t>
  </si>
  <si>
    <t>45-75-90/385 Mineral fibre joint fillers;</t>
  </si>
  <si>
    <t>Pr_35_90_87_54</t>
  </si>
  <si>
    <t>Mineral fibre profile fillers</t>
  </si>
  <si>
    <t>45-75-90/390 Mineral fibre profile fillers;</t>
  </si>
  <si>
    <t>Pr_35_90_87_56</t>
  </si>
  <si>
    <t>Non-impregnated foam glazing tapes</t>
  </si>
  <si>
    <t>45-75-90/395 Non impregnated foam glazing tape;</t>
  </si>
  <si>
    <t>Pr_35_90_87_60</t>
  </si>
  <si>
    <t>Paper jointing tapes</t>
  </si>
  <si>
    <t>45-75-90/400 Paper jointing tape;</t>
  </si>
  <si>
    <t>Pr_35_90_87_64</t>
  </si>
  <si>
    <t>Polyethylene (PE) debonding tapes</t>
  </si>
  <si>
    <t>45-75-90/405 Polyethylene debonding tape;</t>
  </si>
  <si>
    <t>Pr_35_90_87_66</t>
  </si>
  <si>
    <t>Polytetrafluoroethylene (PTFE) tapes</t>
  </si>
  <si>
    <t>45-75-90/412 PTFE thread sealing tape;</t>
  </si>
  <si>
    <t>Pr_35_90_87_67</t>
  </si>
  <si>
    <t>Pre-formed butyl shim glazing tapes</t>
  </si>
  <si>
    <t>45-75-90/410 Pre-formed butyl shim glazing tape;</t>
  </si>
  <si>
    <t>Pr_35_90_87_71</t>
  </si>
  <si>
    <t>Resin impregnated pre-compressed foam sealing strips</t>
  </si>
  <si>
    <t>45-75-90/413 Resin impregnated pre-compressed foam sealing strips;</t>
  </si>
  <si>
    <t>Pr_35_90_87_72</t>
  </si>
  <si>
    <t>Retroreflective self-adhesive tapes</t>
  </si>
  <si>
    <t>45-75-90/415 Retroreflective self adhesive tape;</t>
  </si>
  <si>
    <t>Pr_35_90_87_77</t>
  </si>
  <si>
    <t>Self-adhesive bitumen tapes</t>
  </si>
  <si>
    <t>45-75-90/420 Self adhesive bitumen tape;</t>
  </si>
  <si>
    <t>Pr_35_90_87_78</t>
  </si>
  <si>
    <t>Self-adhesive sports marking tapes</t>
  </si>
  <si>
    <t>45-20-62/330 Self-adhesive sports marking tapes;</t>
  </si>
  <si>
    <t>Pr_35_90_87_84</t>
  </si>
  <si>
    <t>Structural glazing tapes</t>
  </si>
  <si>
    <t>45-75-90/425 Structural glazing tape;</t>
  </si>
  <si>
    <t>Pr_35_90_87_85</t>
  </si>
  <si>
    <t>Synthetic closed cell foam rubber profile fillers</t>
  </si>
  <si>
    <t>45-75-90/430 Synthetic closed cell foam rubber profile fillers;</t>
  </si>
  <si>
    <t>Pr_35_90_87_86</t>
  </si>
  <si>
    <t>Synthetic rubber strips</t>
  </si>
  <si>
    <t>45-75-90/435 Synthetic rubber strip;</t>
  </si>
  <si>
    <t>Pr_35_90_87_97</t>
  </si>
  <si>
    <t>Water polo field marking lines</t>
  </si>
  <si>
    <t>45-35-90/475 Water polo field marking lines;</t>
  </si>
  <si>
    <t>Pr_35_90_87_98</t>
  </si>
  <si>
    <t>Woven glass fibre fabric strips</t>
  </si>
  <si>
    <t>45-75-90/440 Woven glass fibre fabric strips;</t>
  </si>
  <si>
    <t>Pr_35_90_93</t>
  </si>
  <si>
    <t>Unit roofing fittings</t>
  </si>
  <si>
    <t>Pr_35_90_93_07</t>
  </si>
  <si>
    <t>Bitumen membrane shingle cappings</t>
  </si>
  <si>
    <t>45-80-90/312 Bitumen membrane shingles capping;</t>
  </si>
  <si>
    <t>Pr_35_90_93_12</t>
  </si>
  <si>
    <t>Clay tile hip fittings</t>
  </si>
  <si>
    <t>45-80-90/322 Clay tiles hip fittings;</t>
  </si>
  <si>
    <t>Pr_35_90_93_13</t>
  </si>
  <si>
    <t>Clay tile ridge fittings</t>
  </si>
  <si>
    <t>45-80-90/330 Clay tiles ridge fittings;</t>
  </si>
  <si>
    <t>Pr_35_90_93_14</t>
  </si>
  <si>
    <t>Clay tile roof slope ventilation fittings</t>
  </si>
  <si>
    <t>45-80-90/332 Clay tiles roof slope ventilation fittings;</t>
  </si>
  <si>
    <t>Pr_35_90_93_15</t>
  </si>
  <si>
    <t>Clay tile valley fittings</t>
  </si>
  <si>
    <t>45-80-90/334 Clay tiles valley fittings;</t>
  </si>
  <si>
    <t>Pr_35_90_93_16</t>
  </si>
  <si>
    <t>Clay tile verge fittings</t>
  </si>
  <si>
    <t>45-80-90/336 Clay tiles verge fittings;</t>
  </si>
  <si>
    <t>Pr_35_90_93_19</t>
  </si>
  <si>
    <t>Concrete tile hip fittings</t>
  </si>
  <si>
    <t>45-80-90/342 Concrete tiles hip fittings;</t>
  </si>
  <si>
    <t>Pr_35_90_93_21</t>
  </si>
  <si>
    <t>Concrete tile ridge fittings</t>
  </si>
  <si>
    <t>45-80-90/350 Concrete tiles ridge fittings;</t>
  </si>
  <si>
    <t>Pr_35_90_93_22</t>
  </si>
  <si>
    <t>Concrete tile roof slope ventilation fittings</t>
  </si>
  <si>
    <t>45-80-90/352 Concrete tiles roof slope ventilation fittings;</t>
  </si>
  <si>
    <t>Pr_35_90_93_23</t>
  </si>
  <si>
    <t>Concrete tile valley fittings</t>
  </si>
  <si>
    <t>45-80-90/354 Concrete tiles valley fittings;</t>
  </si>
  <si>
    <t>Pr_35_90_93_24</t>
  </si>
  <si>
    <t>Concrete tile verge fittings</t>
  </si>
  <si>
    <t>45-80-90/356 Concrete tiles verge fittings;</t>
  </si>
  <si>
    <t>Pr_35_90_93_26</t>
  </si>
  <si>
    <t>Dentil slips</t>
  </si>
  <si>
    <t>45-80-90/445 Dentil slips;</t>
  </si>
  <si>
    <t>Pr_35_90_93_27</t>
  </si>
  <si>
    <t>Dry fixing abutments</t>
  </si>
  <si>
    <t>45-80-90/372 Dry fixing abutments;</t>
  </si>
  <si>
    <t>Pr_35_90_93_28</t>
  </si>
  <si>
    <t>Dry fixing hips</t>
  </si>
  <si>
    <t>45-80-90/374 Dry fixing hips;</t>
  </si>
  <si>
    <t>Pr_35_90_93_29</t>
  </si>
  <si>
    <t>Dry fixing ridges</t>
  </si>
  <si>
    <t>45-80-90/376 Dry fixing ridges;</t>
  </si>
  <si>
    <t>Pr_35_90_93_30</t>
  </si>
  <si>
    <t>Dry fixing verges</t>
  </si>
  <si>
    <t>45-80-90/378 Dry fixing verges;</t>
  </si>
  <si>
    <t>Pr_35_90_93_32</t>
  </si>
  <si>
    <t>Fibre-cement slate hip fittings</t>
  </si>
  <si>
    <t>45-80-90/364 Fibre cement slates hip fittings;</t>
  </si>
  <si>
    <t>Pr_35_90_93_33</t>
  </si>
  <si>
    <t>Fibre-cement slate ridge fittings</t>
  </si>
  <si>
    <t>45-80-90/366 Fibre cement slates ridge fittings;</t>
  </si>
  <si>
    <t>Pr_35_90_93_34</t>
  </si>
  <si>
    <t>Fibre-cement slate roof slope ventilation fittings</t>
  </si>
  <si>
    <t>45-80-90/368 Fibre cement slates roof slope ventilation fittings;</t>
  </si>
  <si>
    <t>Pr_35_90_93_35</t>
  </si>
  <si>
    <t>Fibre-cement slate verge fittings</t>
  </si>
  <si>
    <t>45-80-90/370 Fibre cement slates verge fittings;</t>
  </si>
  <si>
    <t>Pr_35_90_93_51</t>
  </si>
  <si>
    <t>Metal tile hip fittings</t>
  </si>
  <si>
    <t>45-80-90/382 Metal tiles hip fittings;</t>
  </si>
  <si>
    <t>Pr_35_90_93_52</t>
  </si>
  <si>
    <t>Metal tile ridge fittings</t>
  </si>
  <si>
    <t>45-80-90/384 Metal tiles ridge fittings;</t>
  </si>
  <si>
    <t>Pr_35_90_93_53</t>
  </si>
  <si>
    <t>Metal tile verge fittings</t>
  </si>
  <si>
    <t>45-80-90/386 Metal tiles verge fittings;</t>
  </si>
  <si>
    <t>Pr_35_90_93_72</t>
  </si>
  <si>
    <t>Reconstituted slate roof slope ventilation fittings</t>
  </si>
  <si>
    <t>45-80-90/392 Reconstituted slates roof slope ventilation fittings;</t>
  </si>
  <si>
    <t>Pr_35_90_93_96</t>
  </si>
  <si>
    <t>Wood shake fittings</t>
  </si>
  <si>
    <t>45-80-90/412 Wood shakes fittings;</t>
  </si>
  <si>
    <t>Pr_35_90_93_97</t>
  </si>
  <si>
    <t>Wood shingle fittings</t>
  </si>
  <si>
    <t>45-80-90/416 Wood shingles fittings;</t>
  </si>
  <si>
    <t>Pr_35_93</t>
  </si>
  <si>
    <t>Unit covering and finish products</t>
  </si>
  <si>
    <t>Pr_35_93_13</t>
  </si>
  <si>
    <t>Ceiling infill units</t>
  </si>
  <si>
    <t>Pr_35_93_13_13</t>
  </si>
  <si>
    <t>Cement bonded wood wool infill units</t>
  </si>
  <si>
    <t>45-80-40/310 Cement bonded wood wool infill units;</t>
  </si>
  <si>
    <t>Pr_35_93_13_30</t>
  </si>
  <si>
    <t>Fibre reinforced gypsum infill units</t>
  </si>
  <si>
    <t>45-80-40/360 Fibre reinforced gypsum infill units;</t>
  </si>
  <si>
    <t>Pr_35_93_13_51</t>
  </si>
  <si>
    <t>Metal infill units</t>
  </si>
  <si>
    <t>45-80-40/320 Metal infill units;</t>
  </si>
  <si>
    <t>Pr_35_93_13_53</t>
  </si>
  <si>
    <t>Mineral fibre infill units</t>
  </si>
  <si>
    <t>45-80-40/330 Mineral fibre infill units;</t>
  </si>
  <si>
    <t>Pr_35_93_13_58</t>
  </si>
  <si>
    <t>Open cell infill units</t>
  </si>
  <si>
    <t>45-80-40/340 Open cell infill units;</t>
  </si>
  <si>
    <t>Pr_35_93_13_61</t>
  </si>
  <si>
    <t>Panel diffuser infill units</t>
  </si>
  <si>
    <t>45-80-40/350 Panel diffusers infill units;</t>
  </si>
  <si>
    <t>Pr_35_93_13_65</t>
  </si>
  <si>
    <t>Profiled metal acoustic panels</t>
  </si>
  <si>
    <t>45-80-40/405 Profiled metal acoustic panel;</t>
  </si>
  <si>
    <t>Pr_35_93_13_71</t>
  </si>
  <si>
    <t>Resin bonded mineral wool infill units</t>
  </si>
  <si>
    <t>45-80-40/370 Resin bonded mineral wool infill units;</t>
  </si>
  <si>
    <t>Pr_35_93_13_73</t>
  </si>
  <si>
    <t>Rigid urethane foam infill units</t>
  </si>
  <si>
    <t>45-80-40/380 Rigid urethane foam infill units;</t>
  </si>
  <si>
    <t>Pr_35_93_13_80</t>
  </si>
  <si>
    <t>Sound attenuator infill units</t>
  </si>
  <si>
    <t>45-80-40/400 Sound attenuators;</t>
  </si>
  <si>
    <t>Pr_35_93_13_94</t>
  </si>
  <si>
    <t>Veneered wood composite infill units</t>
  </si>
  <si>
    <t>45-80-40/390 Veneered wood composite infill units;</t>
  </si>
  <si>
    <t>Pr_35_93_96</t>
  </si>
  <si>
    <t>Wall and floor tile units</t>
  </si>
  <si>
    <t>Pr_35_93_96_10</t>
  </si>
  <si>
    <t>Cast stone slabs</t>
  </si>
  <si>
    <t>45-80-95/305 Cast stone tiles or slabs;</t>
  </si>
  <si>
    <t>Pr_35_93_96_11</t>
  </si>
  <si>
    <t>Cast stone tiles</t>
  </si>
  <si>
    <t>Pr_35_93_96_12</t>
  </si>
  <si>
    <t>Ceramic tile angle beads</t>
  </si>
  <si>
    <t>45-80-95/350 Ceramic tile angle beads;</t>
  </si>
  <si>
    <t>Pr_35_93_96_13</t>
  </si>
  <si>
    <t>Ceramic tile borders</t>
  </si>
  <si>
    <t>45-80-95/355 Ceramic tile borders;</t>
  </si>
  <si>
    <t>Pr_35_93_96_14</t>
  </si>
  <si>
    <t>Ceramic tile cove skirtings</t>
  </si>
  <si>
    <t>45-80-95/360 Ceramic tile cove skirtings;</t>
  </si>
  <si>
    <t>Pr_35_93_96_15</t>
  </si>
  <si>
    <t>Ceramic tile floor channels</t>
  </si>
  <si>
    <t>45-80-95/365 Ceramic tile floor channels;</t>
  </si>
  <si>
    <t>Pr_35_93_96_16</t>
  </si>
  <si>
    <t>Ceramic tile round edges</t>
  </si>
  <si>
    <t>45-80-95/370 Ceramic tile round edges;</t>
  </si>
  <si>
    <t>Pr_35_93_96_17</t>
  </si>
  <si>
    <t>Ceramic tile sit-on skirtings</t>
  </si>
  <si>
    <t>45-80-95/375 Ceramic tile sit-on skirtings;</t>
  </si>
  <si>
    <t>Pr_35_93_96_18</t>
  </si>
  <si>
    <t>Ceramic tile step treads</t>
  </si>
  <si>
    <t>45-80-95/380 Ceramic tile step treads;</t>
  </si>
  <si>
    <t>Pr_35_93_96_19</t>
  </si>
  <si>
    <t>Ceramic tiles</t>
  </si>
  <si>
    <t>45-80-95/310 Ceramic tiles;</t>
  </si>
  <si>
    <t>Pr_35_93_96_21</t>
  </si>
  <si>
    <t>Concrete tiles</t>
  </si>
  <si>
    <t>45-80-95/315 Concrete tiles;</t>
  </si>
  <si>
    <t>Pr_35_93_96_34</t>
  </si>
  <si>
    <t>Graphic-printed porcelain tiles</t>
  </si>
  <si>
    <t>Pr_35_93_96_53</t>
  </si>
  <si>
    <t>Mosaic tiles</t>
  </si>
  <si>
    <t>45-80-95/320 Mosaic tiles;</t>
  </si>
  <si>
    <t>Pr_35_93_96_56</t>
  </si>
  <si>
    <t>Natural stone wall and floor slabs</t>
  </si>
  <si>
    <t>45-80-95/327 Natural stone slabs;</t>
  </si>
  <si>
    <t>Pr_35_93_96_57</t>
  </si>
  <si>
    <t>Natural stone tiles</t>
  </si>
  <si>
    <t>45-80-95/325 Natural stone tiles or slabs;</t>
  </si>
  <si>
    <t>Pr_35_93_96_63</t>
  </si>
  <si>
    <t>Porcelain tiles</t>
  </si>
  <si>
    <t>Pr_35_93_96_66</t>
  </si>
  <si>
    <t>Quarry tile borders</t>
  </si>
  <si>
    <t>Pr_35_93_96_67</t>
  </si>
  <si>
    <t>Quarry tile cove skirtings</t>
  </si>
  <si>
    <t>45-80-95/385 Quarry tile cove skirtings;</t>
  </si>
  <si>
    <t>Pr_35_93_96_68</t>
  </si>
  <si>
    <t>Quarry tile floor channels</t>
  </si>
  <si>
    <t>45-80-95/390 Quarry tile floor channels;</t>
  </si>
  <si>
    <t>Pr_35_93_96_70</t>
  </si>
  <si>
    <t>Quarry tile sit-on skirtings</t>
  </si>
  <si>
    <t>45-80-95/395 Quarry tile sit on skirtings;</t>
  </si>
  <si>
    <t>Pr_35_93_96_71</t>
  </si>
  <si>
    <t>Quarry tile step treads</t>
  </si>
  <si>
    <t>45-80-95/400 Quarry tile step treads;</t>
  </si>
  <si>
    <t>Pr_35_93_96_72</t>
  </si>
  <si>
    <t>Quarry tiles</t>
  </si>
  <si>
    <t>45-80-95/330 Quarry tiles;</t>
  </si>
  <si>
    <t>Pr_35_93_96_85</t>
  </si>
  <si>
    <t>Stone slabs</t>
  </si>
  <si>
    <t>Pr_35_93_96_86</t>
  </si>
  <si>
    <t>Stone tiles</t>
  </si>
  <si>
    <t>Pr_35_93_96_87</t>
  </si>
  <si>
    <t>Tile matting</t>
  </si>
  <si>
    <t>45-80-95/302 Tile matting;</t>
  </si>
  <si>
    <t>Pr_35_93_96_88</t>
  </si>
  <si>
    <t>Terrazzo precast units</t>
  </si>
  <si>
    <t>45-80-95/335 Terrazzo precast units;</t>
  </si>
  <si>
    <t>Pr_35_93_96_89</t>
  </si>
  <si>
    <t>Terrazzo tile skirtings</t>
  </si>
  <si>
    <t>45-80-95/405 Terrazzo skirtings;</t>
  </si>
  <si>
    <t>Pr_35_93_96_90</t>
  </si>
  <si>
    <t>Terrazzo tiles</t>
  </si>
  <si>
    <t>45-80-95/340 Terrazzo tiles;</t>
  </si>
  <si>
    <t>Pr_35_93_96_92</t>
  </si>
  <si>
    <t>Tile spacers</t>
  </si>
  <si>
    <t>45-80-95/410 Spacers (left in place);</t>
  </si>
  <si>
    <t>Pr_35_93_97</t>
  </si>
  <si>
    <t>Wood block units</t>
  </si>
  <si>
    <t>Pr_35_93_97_15</t>
  </si>
  <si>
    <t>Composition blocks</t>
  </si>
  <si>
    <t>45-80-98/315 Composition blocks;</t>
  </si>
  <si>
    <t>Pr_35_93_97_52</t>
  </si>
  <si>
    <t>Mosaic panels</t>
  </si>
  <si>
    <t>45-80-98/310 Mosaic panels;</t>
  </si>
  <si>
    <t>Pr_35_93_97_96</t>
  </si>
  <si>
    <t>Wood blocks</t>
  </si>
  <si>
    <t>45-80-98/305 Wood blocks;</t>
  </si>
  <si>
    <t>Pr_40</t>
  </si>
  <si>
    <t>Signage, sanitary fittings and fittings, furnishing and equipment (FF&amp;E) products</t>
  </si>
  <si>
    <t>Pr_40_10</t>
  </si>
  <si>
    <t>Signage products</t>
  </si>
  <si>
    <t>Pr_40_10_27</t>
  </si>
  <si>
    <t>Electrical services signs</t>
  </si>
  <si>
    <t>Pr_40_10_27_24</t>
  </si>
  <si>
    <t>Electrical diagrams</t>
  </si>
  <si>
    <t>90-90-55/395 Electrical diagrams generally;</t>
  </si>
  <si>
    <t>Pr_40_10_27_27</t>
  </si>
  <si>
    <t>Electrical shock treatment signs</t>
  </si>
  <si>
    <t>90-90-55/320 Electrical shock treatment signs;</t>
  </si>
  <si>
    <t>Pr_40_10_27_28</t>
  </si>
  <si>
    <t>Externally illuminated emergency exit signs</t>
  </si>
  <si>
    <t>90-90-55/360 Externally illuminated emergency exit signs;</t>
  </si>
  <si>
    <t>Pr_40_10_27_43</t>
  </si>
  <si>
    <t>Induction loop system signs</t>
  </si>
  <si>
    <t>90-90-55/330 Signage for induction loop systems;</t>
  </si>
  <si>
    <t>Pr_40_10_27_62</t>
  </si>
  <si>
    <t>Photoluminescent emergency signs</t>
  </si>
  <si>
    <t>90-90-55/370 Photoluminescent emergency signs;</t>
  </si>
  <si>
    <t>Pr_40_10_27_63</t>
  </si>
  <si>
    <t>Photoluminescent low mounted way-guidance lighting</t>
  </si>
  <si>
    <t>90-90-55/380 Photoluminescent low mounted way-guidance lighting;</t>
  </si>
  <si>
    <t>Pr_40_10_27_86</t>
  </si>
  <si>
    <t>Surveillance system signs</t>
  </si>
  <si>
    <t>90-90-55/340 CCTV signage;</t>
  </si>
  <si>
    <t>Pr_40_10_27_88</t>
  </si>
  <si>
    <t>Telecommunications equipment and outlets labels</t>
  </si>
  <si>
    <t>90-90-55/350 Labels for telecommunications equipment and outlets;</t>
  </si>
  <si>
    <t>Pr_40_10_27_91</t>
  </si>
  <si>
    <t>Underground cable marker tapes</t>
  </si>
  <si>
    <t>Pr_40_10_57</t>
  </si>
  <si>
    <t>Notices, identification and labels</t>
  </si>
  <si>
    <t>Pr_40_10_57_10</t>
  </si>
  <si>
    <t>Burnt clay warning marker tiles</t>
  </si>
  <si>
    <t>Pr_40_10_57_12</t>
  </si>
  <si>
    <t>Cable marker tags</t>
  </si>
  <si>
    <t>Pr_40_10_57_15</t>
  </si>
  <si>
    <t>Concrete warning marker tiles</t>
  </si>
  <si>
    <t>Pr_40_10_57_21</t>
  </si>
  <si>
    <t>Door number labels</t>
  </si>
  <si>
    <t>Pr_40_10_57_24</t>
  </si>
  <si>
    <t>Electrical identification labels</t>
  </si>
  <si>
    <t>90-90-55/310 Electrical identification and notices;</t>
  </si>
  <si>
    <t>Pr_40_10_57_26</t>
  </si>
  <si>
    <t>Engraved mechanical plant and equipment identification labels</t>
  </si>
  <si>
    <t>90-90-55/480 Mechanical plant and equipment identification labels generally;</t>
  </si>
  <si>
    <t>Pr_40_10_57_27</t>
  </si>
  <si>
    <t>Engraved valve charts and schematics</t>
  </si>
  <si>
    <t>90-90-55/490 Valve charts and schematics generally;</t>
  </si>
  <si>
    <t>Pr_40_10_57_28</t>
  </si>
  <si>
    <t>Engraved valve identification labels</t>
  </si>
  <si>
    <t>90-90-55/495 Valve identification labels generally;</t>
  </si>
  <si>
    <t>Pr_40_10_57_29</t>
  </si>
  <si>
    <t>Equipment labels and warning notices</t>
  </si>
  <si>
    <t>90-90-55/390 Equipment labels and warning notices;</t>
  </si>
  <si>
    <t>Pr_40_10_57_32</t>
  </si>
  <si>
    <t>Fire hydrant indicator plates</t>
  </si>
  <si>
    <t>90-90-55/410 Indicator plates for fire hydrants;</t>
  </si>
  <si>
    <t>Pr_40_10_57_36</t>
  </si>
  <si>
    <t>Heat shrink sleeves</t>
  </si>
  <si>
    <t>Pr_40_10_57_39</t>
  </si>
  <si>
    <t>Images and logos</t>
  </si>
  <si>
    <t>45-25-25/395 Images and logos;</t>
  </si>
  <si>
    <t>Pr_40_10_57_40</t>
  </si>
  <si>
    <t>Inclined stair lift notices</t>
  </si>
  <si>
    <t>Pr_40_10_57_50</t>
  </si>
  <si>
    <t>Marker posts</t>
  </si>
  <si>
    <t>Pr_40_10_57_52</t>
  </si>
  <si>
    <t>Metal ductwork labels</t>
  </si>
  <si>
    <t>90-90-55/420 Identifying ductwork;</t>
  </si>
  <si>
    <t>Pr_40_10_57_56</t>
  </si>
  <si>
    <t>Nail identification washers</t>
  </si>
  <si>
    <t>Pr_40_10_57_60</t>
  </si>
  <si>
    <t>Paper valve charts and schematics</t>
  </si>
  <si>
    <t>Pr_40_10_57_63</t>
  </si>
  <si>
    <t>Plants delivery labels</t>
  </si>
  <si>
    <t>45-35-45/320 Delivery labels for plants;</t>
  </si>
  <si>
    <t>Pr_40_10_57_64</t>
  </si>
  <si>
    <t>Plants permanent labels</t>
  </si>
  <si>
    <t>45-35-45/330 Permanent labels for plants;</t>
  </si>
  <si>
    <t>Pr_40_10_57_65</t>
  </si>
  <si>
    <t>Plastics ductwork labels</t>
  </si>
  <si>
    <t>Pr_40_10_57_66</t>
  </si>
  <si>
    <t>Plastics warning marker boards</t>
  </si>
  <si>
    <t>90-90-55/450 Warning marker boards;</t>
  </si>
  <si>
    <t>Pr_40_10_57_67</t>
  </si>
  <si>
    <t>Platform lift notices</t>
  </si>
  <si>
    <t>Pr_40_10_57_71</t>
  </si>
  <si>
    <t>Room name labels</t>
  </si>
  <si>
    <t>Pr_40_10_57_72</t>
  </si>
  <si>
    <t>Room number labels</t>
  </si>
  <si>
    <t>Pr_40_10_57_76</t>
  </si>
  <si>
    <t>Screen-printed mechanical plant and equipment identification labels</t>
  </si>
  <si>
    <t>Pr_40_10_57_77</t>
  </si>
  <si>
    <t>Screen-printed valve identification labels</t>
  </si>
  <si>
    <t>Pr_40_10_57_78</t>
  </si>
  <si>
    <t>Self-adhesive colour pipe bands</t>
  </si>
  <si>
    <t>90-90-55/430 Identifying pipework;</t>
  </si>
  <si>
    <t>Pr_40_10_57_79</t>
  </si>
  <si>
    <t>Self-adhesive plastics ductwork labels and transfers</t>
  </si>
  <si>
    <t>Pr_40_10_57_96</t>
  </si>
  <si>
    <t>Warning marker tapes</t>
  </si>
  <si>
    <t>90-90-55/440 Warning marker tapes;</t>
  </si>
  <si>
    <t>Pr_40_10_57_97</t>
  </si>
  <si>
    <t>Warning marker tiles</t>
  </si>
  <si>
    <t>45-80-95/345 Warning marker tiles;</t>
  </si>
  <si>
    <t>Pr_40_10_57_98</t>
  </si>
  <si>
    <t>Water firefighting system identification and labels</t>
  </si>
  <si>
    <t>90-90-55/400 Identification and labels for water fire fighting systems;</t>
  </si>
  <si>
    <t>Pr_40_10_57_99</t>
  </si>
  <si>
    <t>Window number labels</t>
  </si>
  <si>
    <t>Pr_40_10_77</t>
  </si>
  <si>
    <t>Signs and markers</t>
  </si>
  <si>
    <t>Pr_40_10_77_02</t>
  </si>
  <si>
    <t>‘A’ boards</t>
  </si>
  <si>
    <t>45-35-82/305 'A' boards;</t>
  </si>
  <si>
    <t>Pr_40_10_77_04</t>
  </si>
  <si>
    <t>Alpha numeric characters</t>
  </si>
  <si>
    <t>45-35-82/310 Alpha numeric characters;</t>
  </si>
  <si>
    <t>Pr_40_10_77_05</t>
  </si>
  <si>
    <t>Applied glazing details</t>
  </si>
  <si>
    <t>Pr_40_10_77_06</t>
  </si>
  <si>
    <t>Banner signs</t>
  </si>
  <si>
    <t>45-35-82/320 Banner signs;</t>
  </si>
  <si>
    <t>Pr_40_10_77_07</t>
  </si>
  <si>
    <t>Beach safety flags</t>
  </si>
  <si>
    <t>Pr_40_10_77_08</t>
  </si>
  <si>
    <t>Braille signs</t>
  </si>
  <si>
    <t>Pr_40_10_77_11</t>
  </si>
  <si>
    <t>Cabinet signs</t>
  </si>
  <si>
    <t>45-35-82/325 Cabinet signs;</t>
  </si>
  <si>
    <t>Pr_40_10_77_20</t>
  </si>
  <si>
    <t>Datum plates and markers</t>
  </si>
  <si>
    <t>Pr_40_10_77_22</t>
  </si>
  <si>
    <t>Designation signs</t>
  </si>
  <si>
    <t>Pr_40_10_77_24</t>
  </si>
  <si>
    <t>Directory signs</t>
  </si>
  <si>
    <t>Pr_40_10_77_27</t>
  </si>
  <si>
    <t>Evacuation signs</t>
  </si>
  <si>
    <t>Pr_40_10_77_29</t>
  </si>
  <si>
    <t>Fencing safety reflectors</t>
  </si>
  <si>
    <t>45-25-38/450 Safety reflectors;</t>
  </si>
  <si>
    <t>Pr_40_10_77_30</t>
  </si>
  <si>
    <t>Finger signs</t>
  </si>
  <si>
    <t>45-35-82/355 Finger signs;</t>
  </si>
  <si>
    <t>Pr_40_10_77_31</t>
  </si>
  <si>
    <t>Fire equipment signs</t>
  </si>
  <si>
    <t>45-35-82/345 Fire equipment signs;</t>
  </si>
  <si>
    <t>Pr_40_10_77_32</t>
  </si>
  <si>
    <t>Fire escape route signs</t>
  </si>
  <si>
    <t>45-35-82/350 Escape route signs;</t>
  </si>
  <si>
    <t>Pr_40_10_77_36</t>
  </si>
  <si>
    <t>Hazard delineators</t>
  </si>
  <si>
    <t>45-35-82/445 Hazard delineator;</t>
  </si>
  <si>
    <t>Pr_40_10_77_37</t>
  </si>
  <si>
    <t>Highway marker posts</t>
  </si>
  <si>
    <t>45-35-82/435 Highway marker post;</t>
  </si>
  <si>
    <t>Pr_40_10_77_38</t>
  </si>
  <si>
    <t>Hoarding signs</t>
  </si>
  <si>
    <t>Pr_40_10_77_41</t>
  </si>
  <si>
    <t>Illuminated signs</t>
  </si>
  <si>
    <t>Pr_40_10_77_42</t>
  </si>
  <si>
    <t>Individual letter signs</t>
  </si>
  <si>
    <t>Pr_40_10_77_46</t>
  </si>
  <si>
    <t>Ladder signs</t>
  </si>
  <si>
    <t>45-35-82/360 Ladder signs;</t>
  </si>
  <si>
    <t>Pr_40_10_77_50</t>
  </si>
  <si>
    <t>Mandatory action signs</t>
  </si>
  <si>
    <t>45-35-82/370 Mandatory action signs;</t>
  </si>
  <si>
    <t>Pr_40_10_77_52</t>
  </si>
  <si>
    <t>Monolith signs</t>
  </si>
  <si>
    <t>45-35-82/375 Monoliths;</t>
  </si>
  <si>
    <t>Pr_40_10_77_53</t>
  </si>
  <si>
    <t>Moving signs</t>
  </si>
  <si>
    <t>Pr_40_10_77_56</t>
  </si>
  <si>
    <t>Nameplates</t>
  </si>
  <si>
    <t>Pr_40_10_77_61</t>
  </si>
  <si>
    <t>Phosphorescent way guidance tapes</t>
  </si>
  <si>
    <t>45-75-90/407 Phosphorescent way guidance tape;</t>
  </si>
  <si>
    <t>Pr_40_10_77_63</t>
  </si>
  <si>
    <t>Plaques</t>
  </si>
  <si>
    <t>45-35-82/380 Plaques;</t>
  </si>
  <si>
    <t>Pr_40_10_77_64</t>
  </si>
  <si>
    <t>Platform lift signs</t>
  </si>
  <si>
    <t>Pr_40_10_77_66</t>
  </si>
  <si>
    <t>Prohibition signs</t>
  </si>
  <si>
    <t>45-35-82/395 Prohibition signs;</t>
  </si>
  <si>
    <t>Pr_40_10_77_69</t>
  </si>
  <si>
    <t>Public access stair lift signs</t>
  </si>
  <si>
    <t>Pr_40_10_77_70</t>
  </si>
  <si>
    <t>Railway signs</t>
  </si>
  <si>
    <t>45-35-82/432 Rail traffic signs;</t>
  </si>
  <si>
    <t>Pr_40_10_77_72</t>
  </si>
  <si>
    <t>Road traffic signs</t>
  </si>
  <si>
    <t>45-35-82/400 Road traffic signs;</t>
  </si>
  <si>
    <t>Pr_40_10_77_74</t>
  </si>
  <si>
    <t>Safety equipment signs</t>
  </si>
  <si>
    <t>Pr_40_10_77_75</t>
  </si>
  <si>
    <t>Safe condition signs</t>
  </si>
  <si>
    <t>45-35-82/405 Safe condition signs;</t>
  </si>
  <si>
    <t>Pr_40_10_77_76</t>
  </si>
  <si>
    <t>Safety signs</t>
  </si>
  <si>
    <t>Pr_40_10_77_77</t>
  </si>
  <si>
    <t>Signboards</t>
  </si>
  <si>
    <t>45-35-82/407 Signboards;</t>
  </si>
  <si>
    <t>Pr_40_10_77_79</t>
  </si>
  <si>
    <t>Sliding cover signs</t>
  </si>
  <si>
    <t>45-35-82/410 Sliding cover signs;</t>
  </si>
  <si>
    <t>Pr_40_10_77_82</t>
  </si>
  <si>
    <t>Stair lift signs</t>
  </si>
  <si>
    <t>Pr_40_10_77_84</t>
  </si>
  <si>
    <t>Street sign plates</t>
  </si>
  <si>
    <t>Pr_40_10_77_85</t>
  </si>
  <si>
    <t>Street signs</t>
  </si>
  <si>
    <t>Pr_40_10_77_86</t>
  </si>
  <si>
    <t>Survey markers</t>
  </si>
  <si>
    <t>Pr_40_10_77_88</t>
  </si>
  <si>
    <t>Toposcopes</t>
  </si>
  <si>
    <t>Pr_40_10_77_89</t>
  </si>
  <si>
    <t>Traffic cones</t>
  </si>
  <si>
    <t>Pr_40_10_77_90</t>
  </si>
  <si>
    <t>Traffic cylinders</t>
  </si>
  <si>
    <t>45-35-82/440 Traffic cylinder;</t>
  </si>
  <si>
    <t>Pr_40_10_77_92</t>
  </si>
  <si>
    <t>Variable message signs</t>
  </si>
  <si>
    <t>Pr_40_10_77_94</t>
  </si>
  <si>
    <t>Verge markers</t>
  </si>
  <si>
    <t>Pr_40_10_77_96</t>
  </si>
  <si>
    <t>Warning markers</t>
  </si>
  <si>
    <t>45-35-82/420 Warning marker signs;</t>
  </si>
  <si>
    <t>Pr_40_10_77_97</t>
  </si>
  <si>
    <t>Warning signs</t>
  </si>
  <si>
    <t>45-35-82/415 Warning signs;</t>
  </si>
  <si>
    <t>Pr_40_10_77_98</t>
  </si>
  <si>
    <t>Waymarker discs</t>
  </si>
  <si>
    <t>45-35-82/430 Waymarker discs;</t>
  </si>
  <si>
    <t>Pr_40_10_77_99</t>
  </si>
  <si>
    <t>Waymarker posts</t>
  </si>
  <si>
    <t>45-35-82/425 Waymarker posts;</t>
  </si>
  <si>
    <t>Pr_40_10_90</t>
  </si>
  <si>
    <t>Water and navigation aid signs</t>
  </si>
  <si>
    <t>Pr_40_10_90_07</t>
  </si>
  <si>
    <t>Beacons</t>
  </si>
  <si>
    <t>Pr_40_10_90_10</t>
  </si>
  <si>
    <t>Buoys</t>
  </si>
  <si>
    <t>Pr_40_10_90_31</t>
  </si>
  <si>
    <t>Fog signals</t>
  </si>
  <si>
    <t>Pr_40_10_90_50</t>
  </si>
  <si>
    <t>Marine traffic signals</t>
  </si>
  <si>
    <t>Pr_40_10_90_56</t>
  </si>
  <si>
    <t>Navigation signs</t>
  </si>
  <si>
    <t>Pr_40_10_96</t>
  </si>
  <si>
    <t>Wind direction indicator products</t>
  </si>
  <si>
    <t>Pr_40_10_96_96</t>
  </si>
  <si>
    <t>Weathervanes</t>
  </si>
  <si>
    <t>Pr_40_10_96_98</t>
  </si>
  <si>
    <t>Windsocks</t>
  </si>
  <si>
    <t>45-35-91/300 Windsock;</t>
  </si>
  <si>
    <t>Pr_40_20</t>
  </si>
  <si>
    <t>Sanitary fittings and accessories</t>
  </si>
  <si>
    <t>Pr_40_20_06</t>
  </si>
  <si>
    <t>Bathing fittings</t>
  </si>
  <si>
    <t>Pr_40_20_06_02</t>
  </si>
  <si>
    <t>Accessible baths</t>
  </si>
  <si>
    <t>45-35-70/310 Accessible baths;</t>
  </si>
  <si>
    <t>Pr_40_20_06_08</t>
  </si>
  <si>
    <t>Baths</t>
  </si>
  <si>
    <t>45-35-70/311 Baths;</t>
  </si>
  <si>
    <t>Pr_40_20_06_11</t>
  </si>
  <si>
    <t>Bidets</t>
  </si>
  <si>
    <t>45-35-70/320 Bidets;</t>
  </si>
  <si>
    <t>Pr_40_20_06_36</t>
  </si>
  <si>
    <t>Health care general baths</t>
  </si>
  <si>
    <t>Pr_40_20_06_38</t>
  </si>
  <si>
    <t>Hospital pattern bidets</t>
  </si>
  <si>
    <t>Pr_40_20_06_79</t>
  </si>
  <si>
    <t>Shower enclosures</t>
  </si>
  <si>
    <t>45-35-70/332 Shower enclosures;</t>
  </si>
  <si>
    <t>Pr_40_20_06_83</t>
  </si>
  <si>
    <t>Shower seats</t>
  </si>
  <si>
    <t>45-35-72/352 Seating;</t>
  </si>
  <si>
    <t>Pr_40_20_06_84</t>
  </si>
  <si>
    <t>Shower trays</t>
  </si>
  <si>
    <t>45-35-70/336 Shower trays;</t>
  </si>
  <si>
    <t>Pr_40_20_06_99</t>
  </si>
  <si>
    <t>Whirlpool baths</t>
  </si>
  <si>
    <t>45-35-70/313 Whirlpool baths;</t>
  </si>
  <si>
    <t>Pr_40_20_27</t>
  </si>
  <si>
    <t>Emergency shower products</t>
  </si>
  <si>
    <t>Pr_40_20_27_15</t>
  </si>
  <si>
    <t>Combined emergency shower and eye wash stations</t>
  </si>
  <si>
    <t>Pr_40_20_27_28</t>
  </si>
  <si>
    <t>Eye wash fountains</t>
  </si>
  <si>
    <t>45-35-70/406 Wash fountain packages;</t>
  </si>
  <si>
    <t>Pr_40_20_27_75</t>
  </si>
  <si>
    <t>Safety showers</t>
  </si>
  <si>
    <t>Pr_40_20_60</t>
  </si>
  <si>
    <t>Packaged sanitary fittings</t>
  </si>
  <si>
    <t>Pr_40_20_60_02</t>
  </si>
  <si>
    <t>Accessible WC equipment packages</t>
  </si>
  <si>
    <t>45-35-70/407 Accessible WC Doc M equipment packages;</t>
  </si>
  <si>
    <t>Pr_40_20_60_75</t>
  </si>
  <si>
    <t>Sauna room packages</t>
  </si>
  <si>
    <t>45-35-70/402 Sauna room packages;</t>
  </si>
  <si>
    <t>Pr_40_20_60_78</t>
  </si>
  <si>
    <t>Shower enclosure packages</t>
  </si>
  <si>
    <t>45-35-70/403 Shower enclosure packages;</t>
  </si>
  <si>
    <t>Pr_40_20_60_85</t>
  </si>
  <si>
    <t>Steam cabinet packages</t>
  </si>
  <si>
    <t>45-35-70/404 Steam cabinet packages;</t>
  </si>
  <si>
    <t>Pr_40_20_60_86</t>
  </si>
  <si>
    <t>Steam room packages</t>
  </si>
  <si>
    <t>45-35-70/405 Steam room packages;</t>
  </si>
  <si>
    <t>Pr_40_20_60_96</t>
  </si>
  <si>
    <t>Wet room floor formers</t>
  </si>
  <si>
    <t>45-35-70/338 Wet room floor former;</t>
  </si>
  <si>
    <t>Pr_40_20_76</t>
  </si>
  <si>
    <t>Sanitary accessories</t>
  </si>
  <si>
    <t>Pr_40_20_76_01</t>
  </si>
  <si>
    <t>Adult changing units</t>
  </si>
  <si>
    <t>Pr_40_20_76_02</t>
  </si>
  <si>
    <t>Air fresheners</t>
  </si>
  <si>
    <t>45-35-72/312 Air fresheners;</t>
  </si>
  <si>
    <t>Pr_40_20_76_06</t>
  </si>
  <si>
    <t>Baby changing units</t>
  </si>
  <si>
    <t>45-35-72/316 Baby changing units;</t>
  </si>
  <si>
    <t>Pr_40_20_76_07</t>
  </si>
  <si>
    <t>Bath panels</t>
  </si>
  <si>
    <t>45-35-70/316 Bath panels;</t>
  </si>
  <si>
    <t>Pr_40_20_76_82</t>
  </si>
  <si>
    <t>Soap dishes</t>
  </si>
  <si>
    <t>45-35-72/356 Soap dishes;</t>
  </si>
  <si>
    <t>Pr_40_20_76_83</t>
  </si>
  <si>
    <t>Splashbacks</t>
  </si>
  <si>
    <t>Pr_40_20_76_84</t>
  </si>
  <si>
    <t>Support rails</t>
  </si>
  <si>
    <t>45-35-72/360 Support rails;</t>
  </si>
  <si>
    <t>Pr_40_20_76_86</t>
  </si>
  <si>
    <t>Toilet brush holders</t>
  </si>
  <si>
    <t>45-35-72/364 Toilet brush holders;</t>
  </si>
  <si>
    <t>Pr_40_20_76_88</t>
  </si>
  <si>
    <t>Toilet roll holders</t>
  </si>
  <si>
    <t>45-35-72/368 Toilet roll holders;</t>
  </si>
  <si>
    <t>Pr_40_20_76_89</t>
  </si>
  <si>
    <t>Toothbrush holders</t>
  </si>
  <si>
    <t>45-35-72/370 Toothbrush holders;</t>
  </si>
  <si>
    <t>Pr_40_20_76_90</t>
  </si>
  <si>
    <t>Towel rails</t>
  </si>
  <si>
    <t>45-35-72/372 Towel rails;</t>
  </si>
  <si>
    <t>Pr_40_20_76_91</t>
  </si>
  <si>
    <t>Towel rings</t>
  </si>
  <si>
    <t>45-35-72/374 Towel rings;</t>
  </si>
  <si>
    <t>Pr_40_20_76_92</t>
  </si>
  <si>
    <t>Tumbler holders</t>
  </si>
  <si>
    <t>45-35-72/376 Tumbler holders;</t>
  </si>
  <si>
    <t>Pr_40_20_76_94</t>
  </si>
  <si>
    <t>Vanity units</t>
  </si>
  <si>
    <t>45-35-72/378 Vanity units;</t>
  </si>
  <si>
    <t>Pr_40_20_76_98</t>
  </si>
  <si>
    <t>WC pan backrests</t>
  </si>
  <si>
    <t>45-35-72/382 WC backrests;</t>
  </si>
  <si>
    <t>Pr_40_20_87</t>
  </si>
  <si>
    <t>Taps and water supply outlet fittings</t>
  </si>
  <si>
    <t>Pr_40_20_87_07</t>
  </si>
  <si>
    <t>Bath manual water supply sets</t>
  </si>
  <si>
    <t>45-35-70/315 Water supply fittings for baths;</t>
  </si>
  <si>
    <t>Pr_40_20_87_08</t>
  </si>
  <si>
    <t>Bath spouts</t>
  </si>
  <si>
    <t>Pr_40_20_87_09</t>
  </si>
  <si>
    <t>Bath taps</t>
  </si>
  <si>
    <t>Pr_40_20_87_10</t>
  </si>
  <si>
    <t>Bath thermostatic water supply sets</t>
  </si>
  <si>
    <t>Pr_40_20_87_11</t>
  </si>
  <si>
    <t>Bidet taps</t>
  </si>
  <si>
    <t>45-35-70/323 Water supply fittings for bidets;</t>
  </si>
  <si>
    <t>Pr_40_20_87_24</t>
  </si>
  <si>
    <t>Drinking fountains</t>
  </si>
  <si>
    <t>45-35-70/400 Drinking fountain packages;</t>
  </si>
  <si>
    <t>Pr_40_20_87_31</t>
  </si>
  <si>
    <t>Foot-operated valves</t>
  </si>
  <si>
    <t>Pr_40_20_87_33</t>
  </si>
  <si>
    <t>Garden taps</t>
  </si>
  <si>
    <t>Pr_40_20_87_35</t>
  </si>
  <si>
    <t>Grip valves</t>
  </si>
  <si>
    <t>Pr_40_20_87_43</t>
  </si>
  <si>
    <t>Key-operated valves</t>
  </si>
  <si>
    <t>Pr_40_20_87_49</t>
  </si>
  <si>
    <t>Knee-operated valves</t>
  </si>
  <si>
    <t>Pr_40_20_87_75</t>
  </si>
  <si>
    <t>Shower fittings package</t>
  </si>
  <si>
    <t>45-35-70/330 Shower fittings package;</t>
  </si>
  <si>
    <t>Pr_40_20_87_76</t>
  </si>
  <si>
    <t>Shower heads</t>
  </si>
  <si>
    <t>45-35-70/333 Shower heads;</t>
  </si>
  <si>
    <t>Pr_40_20_87_77</t>
  </si>
  <si>
    <t>Shower head holders</t>
  </si>
  <si>
    <t>Pr_40_20_87_78</t>
  </si>
  <si>
    <t>Shower manual water supply sets</t>
  </si>
  <si>
    <t>45-35-70/335 Shower mixers;</t>
  </si>
  <si>
    <t>Pr_40_20_87_79</t>
  </si>
  <si>
    <t>Shower self-closing (emergency) valves</t>
  </si>
  <si>
    <t>Pr_40_20_87_80</t>
  </si>
  <si>
    <t>Shower thermostatic valves</t>
  </si>
  <si>
    <t>Pr_40_20_87_81</t>
  </si>
  <si>
    <t>Shower thermostatic water supply sets</t>
  </si>
  <si>
    <t>Pr_40_20_87_82</t>
  </si>
  <si>
    <t>Sink manual water supply sets</t>
  </si>
  <si>
    <t>45-35-70/345 Water supply fittings for sinks;</t>
  </si>
  <si>
    <t>Pr_40_20_87_83</t>
  </si>
  <si>
    <t>Sink spouts</t>
  </si>
  <si>
    <t>Pr_40_20_87_84</t>
  </si>
  <si>
    <t>Sink taps</t>
  </si>
  <si>
    <t>Pr_40_20_87_85</t>
  </si>
  <si>
    <t>Sink thermostatic water supply sets</t>
  </si>
  <si>
    <t>Pr_40_20_87_89</t>
  </si>
  <si>
    <t>Toilet showers</t>
  </si>
  <si>
    <t>Pr_40_20_87_96</t>
  </si>
  <si>
    <t>Washbasin manual water supply sets</t>
  </si>
  <si>
    <t>45-35-70/371 Water supply fittings for wash basins and troughs;</t>
  </si>
  <si>
    <t>Pr_40_20_87_97</t>
  </si>
  <si>
    <t>Washbasin spouts</t>
  </si>
  <si>
    <t>Pr_40_20_87_98</t>
  </si>
  <si>
    <t>Washbasin taps</t>
  </si>
  <si>
    <t>Pr_40_20_87_99</t>
  </si>
  <si>
    <t>Washbasin thermostatic water supply sets</t>
  </si>
  <si>
    <t>Pr_40_20_93</t>
  </si>
  <si>
    <t>Urinal and WC fittings</t>
  </si>
  <si>
    <t>Pr_40_20_93_30</t>
  </si>
  <si>
    <t>Floor standing urinals</t>
  </si>
  <si>
    <t>Pr_40_20_93_36</t>
  </si>
  <si>
    <t>Health care macerators</t>
  </si>
  <si>
    <t>45-35-70/420 Health care macerators for clinical, hygiene and sanitary products;</t>
  </si>
  <si>
    <t>Pr_40_20_93_37</t>
  </si>
  <si>
    <t>Hospital pattern disposal units</t>
  </si>
  <si>
    <t>45-35-70/381 Hospital pattern disposal units;</t>
  </si>
  <si>
    <t>Pr_40_20_93_38</t>
  </si>
  <si>
    <t>Hospital pattern urinals</t>
  </si>
  <si>
    <t>Pr_40_20_93_39</t>
  </si>
  <si>
    <t>Hospital pattern WC pans and cisterns</t>
  </si>
  <si>
    <t>Pr_40_20_93_62</t>
  </si>
  <si>
    <t>Pre-plumbed installation frames</t>
  </si>
  <si>
    <t>45-35-70/421 Preplumbed installation frames;</t>
  </si>
  <si>
    <t>Pr_40_20_93_74</t>
  </si>
  <si>
    <t>Urinal dividers</t>
  </si>
  <si>
    <t>45-35-70/358 Urinal divider;</t>
  </si>
  <si>
    <t>Pr_40_20_93_77</t>
  </si>
  <si>
    <t>Slab urinals</t>
  </si>
  <si>
    <t>45-35-70/352 Slab urinals;</t>
  </si>
  <si>
    <t>Pr_40_20_93_78</t>
  </si>
  <si>
    <t>Urinal cisterns</t>
  </si>
  <si>
    <t>45-35-70/354 Urinal cisterns;</t>
  </si>
  <si>
    <t>Pr_40_20_93_79</t>
  </si>
  <si>
    <t>Urinal flushing valves</t>
  </si>
  <si>
    <t>45-35-70/355 Urinal flushing valves;</t>
  </si>
  <si>
    <t>Pr_40_20_93_80</t>
  </si>
  <si>
    <t>Urinal flush pipes</t>
  </si>
  <si>
    <t>45-35-70/356 Urinal flush pipes;</t>
  </si>
  <si>
    <t>Pr_40_20_93_82</t>
  </si>
  <si>
    <t>Wall-hung urinals</t>
  </si>
  <si>
    <t>45-35-70/350 Wall hung urinals;</t>
  </si>
  <si>
    <t>Pr_40_20_93_84</t>
  </si>
  <si>
    <t>Waterless urinals</t>
  </si>
  <si>
    <t>45-35-70/353 Waterless urinals;</t>
  </si>
  <si>
    <t>Pr_40_20_93_85</t>
  </si>
  <si>
    <t>Waterless toilets</t>
  </si>
  <si>
    <t>45-35-70/408 Waterless WC packages (composting toilets);</t>
  </si>
  <si>
    <t>Pr_40_20_93_86</t>
  </si>
  <si>
    <t>WC and washbasin combined units</t>
  </si>
  <si>
    <t>45-35-70/410 WC and washbasin combined units;</t>
  </si>
  <si>
    <t>Pr_40_20_93_87</t>
  </si>
  <si>
    <t>WC cistern fittings</t>
  </si>
  <si>
    <t>45-35-70/387 WC cistern fittings;</t>
  </si>
  <si>
    <t>Pr_40_20_93_89</t>
  </si>
  <si>
    <t>WC cisterns</t>
  </si>
  <si>
    <t>45-35-70/383 WC cisterns;</t>
  </si>
  <si>
    <t>Pr_40_20_93_90</t>
  </si>
  <si>
    <t>WC cistern flush pipes</t>
  </si>
  <si>
    <t>45-35-70/388 WC cistern flush pipes;</t>
  </si>
  <si>
    <t>Pr_40_20_93_91</t>
  </si>
  <si>
    <t>WC flushing valves</t>
  </si>
  <si>
    <t>45-35-70/389 WC flushing valves;</t>
  </si>
  <si>
    <t>Pr_40_20_93_92</t>
  </si>
  <si>
    <t>WC large capacity replacement cisterns</t>
  </si>
  <si>
    <t>Pr_40_20_93_93</t>
  </si>
  <si>
    <t>WC pan connectors</t>
  </si>
  <si>
    <t>45-35-70/390 WC pan connectors;</t>
  </si>
  <si>
    <t>Pr_40_20_93_94</t>
  </si>
  <si>
    <t>WC pans</t>
  </si>
  <si>
    <t>45-35-70/384 WC pans;</t>
  </si>
  <si>
    <t>Pr_40_20_93_95</t>
  </si>
  <si>
    <t>WC seats and covers</t>
  </si>
  <si>
    <t>45-35-70/391 WC seats and covers;</t>
  </si>
  <si>
    <t>Pr_40_20_93_96</t>
  </si>
  <si>
    <t>WC squatting pans</t>
  </si>
  <si>
    <t>45-35-70/385 WC squatting pans;</t>
  </si>
  <si>
    <t>Pr_40_20_93_97</t>
  </si>
  <si>
    <t>WC suites</t>
  </si>
  <si>
    <t>45-35-70/380 WC suites;</t>
  </si>
  <si>
    <t>Pr_40_20_93_99</t>
  </si>
  <si>
    <t>WC, wash and dry combined units</t>
  </si>
  <si>
    <t>45-35-70/409 WC, wash and dry combined units;</t>
  </si>
  <si>
    <t>Pr_40_20_96</t>
  </si>
  <si>
    <t>Wash basins, sinks and troughs</t>
  </si>
  <si>
    <t>Pr_40_20_96_15</t>
  </si>
  <si>
    <t>Ceramic sinks</t>
  </si>
  <si>
    <t>45-35-70/340 Ceramic sinks;</t>
  </si>
  <si>
    <t>Pr_40_20_96_17</t>
  </si>
  <si>
    <t>Commercial kitchen rinsing sinks</t>
  </si>
  <si>
    <t>45-35-15/430 Commercial rinsing sinks;</t>
  </si>
  <si>
    <t>Pr_40_20_96_18</t>
  </si>
  <si>
    <t>Counter top wash basins</t>
  </si>
  <si>
    <t>45-35-70/360 Counter top wash basins;</t>
  </si>
  <si>
    <t>Pr_40_20_96_34</t>
  </si>
  <si>
    <t>Health care clinical sinks with drainers</t>
  </si>
  <si>
    <t>Pr_40_20_96_35</t>
  </si>
  <si>
    <t>Health care clinical wash basins</t>
  </si>
  <si>
    <t>Pr_40_20_96_36</t>
  </si>
  <si>
    <t>Health care domestic service sinks</t>
  </si>
  <si>
    <t>Pr_40_20_96_37</t>
  </si>
  <si>
    <t>Health care general wash basins</t>
  </si>
  <si>
    <t>Pr_40_20_96_38</t>
  </si>
  <si>
    <t>Health care hand rinse basins</t>
  </si>
  <si>
    <t>Pr_40_20_96_39</t>
  </si>
  <si>
    <t>Hospital pattern plaster sinks</t>
  </si>
  <si>
    <t>45-35-70/343 Hospital pattern plaster sinks;</t>
  </si>
  <si>
    <t>Pr_40_20_96_40</t>
  </si>
  <si>
    <t>Hospital pattern scrub-up troughs</t>
  </si>
  <si>
    <t>Pr_40_20_96_42</t>
  </si>
  <si>
    <t>Integral wash basins and vanity tops</t>
  </si>
  <si>
    <t>45-35-70/367 Vanity tops with integral wash basins;</t>
  </si>
  <si>
    <t>Pr_40_20_96_44</t>
  </si>
  <si>
    <t>Janitorial sinks</t>
  </si>
  <si>
    <t>45-35-70/401 Janitorial units;</t>
  </si>
  <si>
    <t>Pr_40_20_96_45</t>
  </si>
  <si>
    <t>Kitchen sinks</t>
  </si>
  <si>
    <t>45-35-15/432 Commercial stainless steel sinks;</t>
  </si>
  <si>
    <t>Pr_40_20_96_46</t>
  </si>
  <si>
    <t>Laundry troughs</t>
  </si>
  <si>
    <t>Pr_40_20_96_47</t>
  </si>
  <si>
    <t>Laundry troughs and cabinets</t>
  </si>
  <si>
    <t>Pr_40_20_96_63</t>
  </si>
  <si>
    <t>Pedestal wash basins</t>
  </si>
  <si>
    <t>45-35-70/365 Pedestal wash basins;</t>
  </si>
  <si>
    <t>Pr_40_20_96_70</t>
  </si>
  <si>
    <t>Recessed wash basins</t>
  </si>
  <si>
    <t>Pr_40_20_96_81</t>
  </si>
  <si>
    <t>Sinks</t>
  </si>
  <si>
    <t>45-35-70/344 Sinks;</t>
  </si>
  <si>
    <t>Pr_40_20_96_92</t>
  </si>
  <si>
    <t>Undermounted wash basins</t>
  </si>
  <si>
    <t>Pr_40_20_96_95</t>
  </si>
  <si>
    <t>Wall-hung hand rinse basins</t>
  </si>
  <si>
    <t>45-35-70/368 Wall hung hand rinse basins;</t>
  </si>
  <si>
    <t>Pr_40_20_96_96</t>
  </si>
  <si>
    <t>Wall-hung wash basins</t>
  </si>
  <si>
    <t>45-35-70/369 Wall hung wash basins;</t>
  </si>
  <si>
    <t>Pr_40_20_96_99</t>
  </si>
  <si>
    <t>Wash troughs</t>
  </si>
  <si>
    <t>45-35-70/370 Wash troughs;</t>
  </si>
  <si>
    <t>Pr_40_30</t>
  </si>
  <si>
    <t>Pr_40_30_04</t>
  </si>
  <si>
    <t>Animal housing</t>
  </si>
  <si>
    <t>Pr_40_30_04_02</t>
  </si>
  <si>
    <t>Animal feeding stations</t>
  </si>
  <si>
    <t>45-35-86/363 Animal feeding stations;</t>
  </si>
  <si>
    <t>Pr_40_30_04_06</t>
  </si>
  <si>
    <t>Bat boxes</t>
  </si>
  <si>
    <t>45-35-86/353 Bat boxes;</t>
  </si>
  <si>
    <t>Pr_40_30_04_07</t>
  </si>
  <si>
    <t>Bird baths</t>
  </si>
  <si>
    <t>Pr_40_30_04_08</t>
  </si>
  <si>
    <t>Bird boxes</t>
  </si>
  <si>
    <t>45-35-86/355 Bird boxes;</t>
  </si>
  <si>
    <t>Pr_40_30_04_09</t>
  </si>
  <si>
    <t>Bird roosts</t>
  </si>
  <si>
    <t>45-35-86/365 Bird roosts;</t>
  </si>
  <si>
    <t>Pr_40_30_04_15</t>
  </si>
  <si>
    <t>Columbaria</t>
  </si>
  <si>
    <t>45-35-86/369 Columbaria and dovecotes;</t>
  </si>
  <si>
    <t>Pr_40_30_04_24</t>
  </si>
  <si>
    <t>Dog kennels</t>
  </si>
  <si>
    <t>45-35-86/351 Dog kennels;</t>
  </si>
  <si>
    <t>Pr_40_30_04_25</t>
  </si>
  <si>
    <t>Dovecotes</t>
  </si>
  <si>
    <t>Pr_40_30_04_41</t>
  </si>
  <si>
    <t>Insect houses</t>
  </si>
  <si>
    <t>45-35-86/359 Insect houses;</t>
  </si>
  <si>
    <t>Pr_40_30_04_50</t>
  </si>
  <si>
    <t>Mammal houses</t>
  </si>
  <si>
    <t>45-35-86/357 Mammal houses;</t>
  </si>
  <si>
    <t>Pr_40_30_04_56</t>
  </si>
  <si>
    <t>Nesting baskets</t>
  </si>
  <si>
    <t>45-35-86/361 Nesting baskets;</t>
  </si>
  <si>
    <t>Pr_40_30_04_57</t>
  </si>
  <si>
    <t>Nest poles and platforms</t>
  </si>
  <si>
    <t>45-35-86/367 Nest poles and platforms;</t>
  </si>
  <si>
    <t>Pr_40_30_04_70</t>
  </si>
  <si>
    <t>Raptor poles</t>
  </si>
  <si>
    <t>Pr_40_30_20</t>
  </si>
  <si>
    <t>Curtains and screens</t>
  </si>
  <si>
    <t>Pr_40_30_20_02</t>
  </si>
  <si>
    <t>Acoustic curtains</t>
  </si>
  <si>
    <t>Pr_40_30_20_03</t>
  </si>
  <si>
    <t>Acoustic screens</t>
  </si>
  <si>
    <t>Pr_40_30_20_13</t>
  </si>
  <si>
    <t>Choir screens</t>
  </si>
  <si>
    <t>Pr_40_30_20_38</t>
  </si>
  <si>
    <t>Hospital bed screens</t>
  </si>
  <si>
    <t>Pr_40_30_20_58</t>
  </si>
  <si>
    <t>Organ screens</t>
  </si>
  <si>
    <t>Pr_40_30_20_59</t>
  </si>
  <si>
    <t>Ornamental screens</t>
  </si>
  <si>
    <t>Pr_40_30_20_63</t>
  </si>
  <si>
    <t>Privacy curtain supports</t>
  </si>
  <si>
    <t>Pr_40_30_20_64</t>
  </si>
  <si>
    <t>Privacy curtains</t>
  </si>
  <si>
    <t>45-35-72/346 Privacy curtains;</t>
  </si>
  <si>
    <t>Pr_40_30_20_65</t>
  </si>
  <si>
    <t>Privacy screens</t>
  </si>
  <si>
    <t>Pr_40_30_20_67</t>
  </si>
  <si>
    <t>Polyvinyl chloride (PVC) strip curtains</t>
  </si>
  <si>
    <t>45-25-28/410 PVC strip curtain sets;</t>
  </si>
  <si>
    <t>Pr_40_30_20_70</t>
  </si>
  <si>
    <t>Recessed curtain pelmets</t>
  </si>
  <si>
    <t>Pr_40_30_20_71</t>
  </si>
  <si>
    <t>Relaxation screens</t>
  </si>
  <si>
    <t>Pr_40_30_20_77</t>
  </si>
  <si>
    <t>Shower curtain rails</t>
  </si>
  <si>
    <t>45-35-70/334 Shower curtain rails;</t>
  </si>
  <si>
    <t>Pr_40_30_20_78</t>
  </si>
  <si>
    <t>Shower curtains</t>
  </si>
  <si>
    <t>45-35-70/331 Shower curtains;</t>
  </si>
  <si>
    <t>Pr_40_30_20_83</t>
  </si>
  <si>
    <t>Stage curtain supports</t>
  </si>
  <si>
    <t>Pr_40_30_20_84</t>
  </si>
  <si>
    <t>Stage curtains</t>
  </si>
  <si>
    <t>Pr_40_30_20_86</t>
  </si>
  <si>
    <t>Surface mounted curtain pelmets</t>
  </si>
  <si>
    <t>Pr_40_30_20_96</t>
  </si>
  <si>
    <t>Window curtain supports</t>
  </si>
  <si>
    <t>45-35-35/440 Curtain supports;</t>
  </si>
  <si>
    <t>Pr_40_30_20_97</t>
  </si>
  <si>
    <t>Window curtains</t>
  </si>
  <si>
    <t>45-35-35/310 Curtains;</t>
  </si>
  <si>
    <t>Pr_40_30_21</t>
  </si>
  <si>
    <t>Cycle stands and lockers</t>
  </si>
  <si>
    <t>Pr_40_30_21_02</t>
  </si>
  <si>
    <t>Aluminium cycle lockers</t>
  </si>
  <si>
    <t>45-35-86/311 Aluminium cycle lockers;</t>
  </si>
  <si>
    <t>Pr_40_30_21_11</t>
  </si>
  <si>
    <t>Carbon steel cycle lockers</t>
  </si>
  <si>
    <t>45-35-86/315 Carbon steel cycle lockers;</t>
  </si>
  <si>
    <t>Pr_40_30_21_12</t>
  </si>
  <si>
    <t>Carbon steel cycle stands</t>
  </si>
  <si>
    <t>45-35-86/301 Carbon steel cycle stands;</t>
  </si>
  <si>
    <t>Pr_40_30_21_13</t>
  </si>
  <si>
    <t>Ceiling-mounted cycle supports</t>
  </si>
  <si>
    <t>Pr_40_30_21_35</t>
  </si>
  <si>
    <t>Ground-mounted cycle stands</t>
  </si>
  <si>
    <t>Pr_40_30_21_36</t>
  </si>
  <si>
    <t>Hardwood cycle stands</t>
  </si>
  <si>
    <t>45-35-86/305 Hardwood cycle stands;</t>
  </si>
  <si>
    <t>Pr_40_30_21_65</t>
  </si>
  <si>
    <t>Plastics cycle lockers</t>
  </si>
  <si>
    <t>45-35-86/313 Plastics cycle lockers;</t>
  </si>
  <si>
    <t>Pr_40_30_21_83</t>
  </si>
  <si>
    <t>Stainless steel cycle lockers</t>
  </si>
  <si>
    <t>45-35-86/317 Stainless steel cycle lockers;</t>
  </si>
  <si>
    <t>Pr_40_30_21_84</t>
  </si>
  <si>
    <t>Stainless steel cycle stands</t>
  </si>
  <si>
    <t>45-35-86/303 Stainless steel cycle stands;</t>
  </si>
  <si>
    <t>Pr_40_30_21_96</t>
  </si>
  <si>
    <t>Wall-mounted cycle stands</t>
  </si>
  <si>
    <t>45-35-95/315 Worktops;</t>
  </si>
  <si>
    <t>Pr_40_30_22</t>
  </si>
  <si>
    <t>Deterrents and traps</t>
  </si>
  <si>
    <t>Pr_40_30_22_02</t>
  </si>
  <si>
    <t>Animal deterrents</t>
  </si>
  <si>
    <t>Pr_40_30_22_05</t>
  </si>
  <si>
    <t>Bait stations</t>
  </si>
  <si>
    <t>45-35-22/420 Bait stations;</t>
  </si>
  <si>
    <t>Pr_40_30_22_06</t>
  </si>
  <si>
    <t>Bird deterrent spikes</t>
  </si>
  <si>
    <t>45-35-22/305 Bird deterrent spikes;</t>
  </si>
  <si>
    <t>Pr_40_30_22_11</t>
  </si>
  <si>
    <t>Cage traps</t>
  </si>
  <si>
    <t>45-35-22/380 Cage or box traps;</t>
  </si>
  <si>
    <t>Pr_40_30_22_14</t>
  </si>
  <si>
    <t>Coiled wire bird deterrents</t>
  </si>
  <si>
    <t>45-35-22/310 Coiled wire bird deterrents;</t>
  </si>
  <si>
    <t>Pr_40_30_22_22</t>
  </si>
  <si>
    <t>Decoy predators</t>
  </si>
  <si>
    <t>Pr_40_30_22_26</t>
  </si>
  <si>
    <t>Electric pulse tactile/track bird deterrents</t>
  </si>
  <si>
    <t>45-35-22/315 Electric pulse track bird deterrents;</t>
  </si>
  <si>
    <t>Pr_40_30_22_30</t>
  </si>
  <si>
    <t>Flight diverters</t>
  </si>
  <si>
    <t>Pr_40_30_22_31</t>
  </si>
  <si>
    <t>Frond bird deterrents</t>
  </si>
  <si>
    <t>45-35-22/320 Frond bird deterrents;</t>
  </si>
  <si>
    <t>Pr_40_30_22_34</t>
  </si>
  <si>
    <t>Guard barriers</t>
  </si>
  <si>
    <t>Pr_40_30_22_38</t>
  </si>
  <si>
    <t>Humane traps</t>
  </si>
  <si>
    <t>Pr_40_30_22_40</t>
  </si>
  <si>
    <t>Inclined surface bird deterrents</t>
  </si>
  <si>
    <t>45-35-22/325 Inclined surface bird deterrents;</t>
  </si>
  <si>
    <t>Pr_40_30_22_46</t>
  </si>
  <si>
    <t>Laser bird repellers</t>
  </si>
  <si>
    <t>Pr_40_30_22_48</t>
  </si>
  <si>
    <t>Low tension wire bird (gull) deterrents</t>
  </si>
  <si>
    <t>45-35-22/330 Low tension wire (gull) deterrents;</t>
  </si>
  <si>
    <t>Pr_40_30_22_56</t>
  </si>
  <si>
    <t>Non-toxic rat and mouse baits</t>
  </si>
  <si>
    <t>Pr_40_30_22_60</t>
  </si>
  <si>
    <t>Pheromone traps</t>
  </si>
  <si>
    <t>45-35-22/385 Pheromone traps;</t>
  </si>
  <si>
    <t>Pr_40_30_22_64</t>
  </si>
  <si>
    <t>Powered traps</t>
  </si>
  <si>
    <t>Pr_40_30_22_66</t>
  </si>
  <si>
    <t>Powered ultraviolet light traps</t>
  </si>
  <si>
    <t>45-35-22/390 Powered ultraviolet light trap;</t>
  </si>
  <si>
    <t>Pr_40_30_22_76</t>
  </si>
  <si>
    <t>Scare eyes</t>
  </si>
  <si>
    <t>Pr_40_30_22_80</t>
  </si>
  <si>
    <t>Sonic deterrents</t>
  </si>
  <si>
    <t>45-35-22/345 Sonic threat deterrents;</t>
  </si>
  <si>
    <t>Pr_40_30_22_82</t>
  </si>
  <si>
    <t>Spring traps</t>
  </si>
  <si>
    <t>Pr_40_30_22_84</t>
  </si>
  <si>
    <t>Sprung tension wire bird deterrents</t>
  </si>
  <si>
    <t>45-35-22/350 Sprung tension wire bird deterrents;</t>
  </si>
  <si>
    <t>Pr_40_30_22_87</t>
  </si>
  <si>
    <t>Tactile gels and liquids deterrents</t>
  </si>
  <si>
    <t>45-35-22/355 Tactile gel or liquid deterrents;</t>
  </si>
  <si>
    <t>Pr_40_30_22_89</t>
  </si>
  <si>
    <t>Taste and scent bird deterrents</t>
  </si>
  <si>
    <t>45-35-22/360 Taste or scent deterrents;</t>
  </si>
  <si>
    <t>Pr_40_30_22_92</t>
  </si>
  <si>
    <t>Ultrasonic rodent repellers</t>
  </si>
  <si>
    <t>Pr_40_30_22_95</t>
  </si>
  <si>
    <t>Vision disturbance bird deterrents</t>
  </si>
  <si>
    <t>45-35-22/365 Vision disturbance bird deterrents;</t>
  </si>
  <si>
    <t>Pr_40_30_22_96</t>
  </si>
  <si>
    <t>Visual threat bird deterrents</t>
  </si>
  <si>
    <t>45-35-22/370 Visual threat bird deterrents;</t>
  </si>
  <si>
    <t>Pr_40_30_25</t>
  </si>
  <si>
    <t>Display and presentation fittings</t>
  </si>
  <si>
    <t>Pr_40_30_25_03</t>
  </si>
  <si>
    <t>Audible signs</t>
  </si>
  <si>
    <t>45-35-82/315 Audible signs;</t>
  </si>
  <si>
    <t>Pr_40_30_25_04</t>
  </si>
  <si>
    <t>Audio visual furniture</t>
  </si>
  <si>
    <t>45-35-25/305 Audio visual furniture;</t>
  </si>
  <si>
    <t>Pr_40_30_25_13</t>
  </si>
  <si>
    <t>Chalkboards</t>
  </si>
  <si>
    <t>45-35-25/310 Chalkboards;</t>
  </si>
  <si>
    <t>Pr_40_30_25_17</t>
  </si>
  <si>
    <t>Computer generated signs</t>
  </si>
  <si>
    <t>45-35-82/330 Computer generated signs;</t>
  </si>
  <si>
    <t>Pr_40_30_25_21</t>
  </si>
  <si>
    <t>Demountable podiums and staging</t>
  </si>
  <si>
    <t>45-35-25/315 Demountable podia and staging;</t>
  </si>
  <si>
    <t>Pr_40_30_25_22</t>
  </si>
  <si>
    <t>Desktop lecterns</t>
  </si>
  <si>
    <t>Pr_40_30_25_23</t>
  </si>
  <si>
    <t>Display screens</t>
  </si>
  <si>
    <t>Pr_40_30_25_25</t>
  </si>
  <si>
    <t>Dot matrix displays</t>
  </si>
  <si>
    <t>45-35-82/340 Dot matrix displays;</t>
  </si>
  <si>
    <t>Pr_40_30_25_30</t>
  </si>
  <si>
    <t>Freestanding screens</t>
  </si>
  <si>
    <t>45-35-25/320 Freestanding screens;</t>
  </si>
  <si>
    <t>Pr_40_30_25_42</t>
  </si>
  <si>
    <t>Interactive whiteboards</t>
  </si>
  <si>
    <t>Pr_40_30_25_46</t>
  </si>
  <si>
    <t>Lecterns</t>
  </si>
  <si>
    <t>45-35-25/325 Presentation lecterns;</t>
  </si>
  <si>
    <t>Pr_40_30_25_47</t>
  </si>
  <si>
    <t>Light emitting diode (LED) panels</t>
  </si>
  <si>
    <t>Pr_40_30_25_48</t>
  </si>
  <si>
    <t>Liquid crystal display (LCD) panels</t>
  </si>
  <si>
    <t>45-35-82/365 Liquid crystal display panels (LCD);</t>
  </si>
  <si>
    <t>Pr_40_30_25_50</t>
  </si>
  <si>
    <t>Magnetic boards</t>
  </si>
  <si>
    <t>45-35-55/330 Magnetic boards;</t>
  </si>
  <si>
    <t>Pr_40_30_25_55</t>
  </si>
  <si>
    <t>Multimedia screens</t>
  </si>
  <si>
    <t>Pr_40_30_25_58</t>
  </si>
  <si>
    <t>Notice boards</t>
  </si>
  <si>
    <t>45-35-55/340 Notice boards;</t>
  </si>
  <si>
    <t>Pr_40_30_25_64</t>
  </si>
  <si>
    <t>Pinboards</t>
  </si>
  <si>
    <t>45-35-55/350 Pin boards;</t>
  </si>
  <si>
    <t>Pr_40_30_25_65</t>
  </si>
  <si>
    <t>Plasma display screens</t>
  </si>
  <si>
    <t>45-35-82/385 Plasma display panels;</t>
  </si>
  <si>
    <t>Pr_40_30_25_67</t>
  </si>
  <si>
    <t>Projection screens</t>
  </si>
  <si>
    <t>Pr_40_30_25_71</t>
  </si>
  <si>
    <t>Retail display fittings</t>
  </si>
  <si>
    <t>Pr_40_30_25_88</t>
  </si>
  <si>
    <t>Teaching walls</t>
  </si>
  <si>
    <t>45-35-25/330 Teaching walls;</t>
  </si>
  <si>
    <t>Pr_40_30_25_96</t>
  </si>
  <si>
    <t>Whiteboards</t>
  </si>
  <si>
    <t>45-35-25/335 Whiteboards;</t>
  </si>
  <si>
    <t>Pr_40_30_26</t>
  </si>
  <si>
    <t>Drying lines</t>
  </si>
  <si>
    <t>Pr_40_30_26_12</t>
  </si>
  <si>
    <t>Ceiling mounted clothes-drying lines</t>
  </si>
  <si>
    <t>45-35-72/324 Clothes drying lines;</t>
  </si>
  <si>
    <t>Pr_40_30_26_30</t>
  </si>
  <si>
    <t>Folding wall mounted clothes-drying lines</t>
  </si>
  <si>
    <t>Pr_40_30_26_32</t>
  </si>
  <si>
    <t>Free standing clothes-drying lines</t>
  </si>
  <si>
    <t>Pr_40_30_26_55</t>
  </si>
  <si>
    <t>Multiple line retractable clothes-drying lines</t>
  </si>
  <si>
    <t>45-35-86/343 Rotary clothes driers;</t>
  </si>
  <si>
    <t>Pr_40_30_26_63</t>
  </si>
  <si>
    <t>Photographic film-drying lines</t>
  </si>
  <si>
    <t>Pr_40_30_26_65</t>
  </si>
  <si>
    <t>Portable clothes-drying lines</t>
  </si>
  <si>
    <t>Pr_40_30_26_72</t>
  </si>
  <si>
    <t>Rotary clothes-drying lines</t>
  </si>
  <si>
    <t>Pr_40_30_26_79</t>
  </si>
  <si>
    <t>Single line retractable clothes-drying lines</t>
  </si>
  <si>
    <t>Pr_40_30_29</t>
  </si>
  <si>
    <t>Fitted chairs, seats and benches</t>
  </si>
  <si>
    <t>Pr_40_30_29_05</t>
  </si>
  <si>
    <t>Auditorium seating</t>
  </si>
  <si>
    <t>Pr_40_30_29_12</t>
  </si>
  <si>
    <t>Choir seating</t>
  </si>
  <si>
    <t>Pr_40_30_29_13</t>
  </si>
  <si>
    <t>Choir stalls</t>
  </si>
  <si>
    <t>Pr_40_30_29_22</t>
  </si>
  <si>
    <t>Demountable seats</t>
  </si>
  <si>
    <t>45-35-20/350 Retractable and demountable seating;</t>
  </si>
  <si>
    <t>Pr_40_30_29_29</t>
  </si>
  <si>
    <t>Fixed seats</t>
  </si>
  <si>
    <t>45-35-20/345 Fixed seating;</t>
  </si>
  <si>
    <t>Pr_40_30_29_31</t>
  </si>
  <si>
    <t>Fixed observation poolside chairs</t>
  </si>
  <si>
    <t>45-35-90/325 Observation chairs (fixed);</t>
  </si>
  <si>
    <t>Pr_40_30_29_46</t>
  </si>
  <si>
    <t>Leaning rails</t>
  </si>
  <si>
    <t>Pr_40_30_29_61</t>
  </si>
  <si>
    <t>Pedicure chairs</t>
  </si>
  <si>
    <t>Pr_40_30_29_72</t>
  </si>
  <si>
    <t>Retractable seats</t>
  </si>
  <si>
    <t>Pr_40_30_29_79</t>
  </si>
  <si>
    <t>Sitting rails</t>
  </si>
  <si>
    <t>Pr_40_30_29_83</t>
  </si>
  <si>
    <t>Spa foot ritual benches</t>
  </si>
  <si>
    <t>Pr_40_30_29_84</t>
  </si>
  <si>
    <t>Street and site benches</t>
  </si>
  <si>
    <t>Pr_40_30_29_85</t>
  </si>
  <si>
    <t>Street and site seats</t>
  </si>
  <si>
    <t>Pr_40_30_29_88</t>
  </si>
  <si>
    <t>Thrones</t>
  </si>
  <si>
    <t>Pr_40_30_29_96</t>
  </si>
  <si>
    <t>Wall-fixed lift-up seats</t>
  </si>
  <si>
    <t>Pr_40_30_29_97</t>
  </si>
  <si>
    <t>Wall-mounted gallery benches</t>
  </si>
  <si>
    <t>Pr_40_30_30</t>
  </si>
  <si>
    <t>Fitted desks, tables and worktops</t>
  </si>
  <si>
    <t>Pr_40_30_30_18</t>
  </si>
  <si>
    <t>Counter tops</t>
  </si>
  <si>
    <t>45-35-95/310 Counter tops;</t>
  </si>
  <si>
    <t>Pr_40_30_30_22</t>
  </si>
  <si>
    <t>Dishwasher inlet tables</t>
  </si>
  <si>
    <t>45-35-15/434 Dishwasher inlet tables;</t>
  </si>
  <si>
    <t>Pr_40_30_30_23</t>
  </si>
  <si>
    <t>Dishwasher outlet tables</t>
  </si>
  <si>
    <t>45-35-15/436 Dishwasher outlet tables;</t>
  </si>
  <si>
    <t>Pr_40_30_30_32</t>
  </si>
  <si>
    <t>Food preparation worktops</t>
  </si>
  <si>
    <t>45-35-15/460 Stainless steel bench units;</t>
  </si>
  <si>
    <t>Pr_40_30_30_42</t>
  </si>
  <si>
    <t>Industrial work benches</t>
  </si>
  <si>
    <t>Pr_40_30_30_45</t>
  </si>
  <si>
    <t>Kitchen splashbacks</t>
  </si>
  <si>
    <t>45-35-15/464 Splashbacks;</t>
  </si>
  <si>
    <t>Pr_40_30_30_47</t>
  </si>
  <si>
    <t>Laboratory work benches</t>
  </si>
  <si>
    <t>Pr_40_30_30_48</t>
  </si>
  <si>
    <t>Laboratory worktops</t>
  </si>
  <si>
    <t>Pr_40_30_30_62</t>
  </si>
  <si>
    <t>Picnic tables</t>
  </si>
  <si>
    <t>45-35-86/325 Picnic tables;</t>
  </si>
  <si>
    <t>Pr_40_30_30_71</t>
  </si>
  <si>
    <t>Reception desks</t>
  </si>
  <si>
    <t>Pr_40_30_30_78</t>
  </si>
  <si>
    <t>School art, design and technology work benches</t>
  </si>
  <si>
    <t>Pr_40_30_30_79</t>
  </si>
  <si>
    <t>Servery counters</t>
  </si>
  <si>
    <t>Pr_40_30_30_80</t>
  </si>
  <si>
    <t>Sink tables</t>
  </si>
  <si>
    <t>Pr_40_30_30_86</t>
  </si>
  <si>
    <t>Street and site tables</t>
  </si>
  <si>
    <t>45-35-86/327 Tables;</t>
  </si>
  <si>
    <t>Pr_40_30_30_96</t>
  </si>
  <si>
    <t>Worktops</t>
  </si>
  <si>
    <t>Pr_40_30_31</t>
  </si>
  <si>
    <t>Flagpoles</t>
  </si>
  <si>
    <t>Pr_40_30_31_29</t>
  </si>
  <si>
    <t>Fan-assisted ground-mounted flagpoles</t>
  </si>
  <si>
    <t>Pr_40_30_31_33</t>
  </si>
  <si>
    <t>Ground-mounted banner poles</t>
  </si>
  <si>
    <t>45-35-86/341 Flagstaffs;</t>
  </si>
  <si>
    <t>Pr_40_30_31_34</t>
  </si>
  <si>
    <t>Ground-mounted flagpoles</t>
  </si>
  <si>
    <t>Pr_40_30_31_35</t>
  </si>
  <si>
    <t>Ground-mounted sleeved flagpoles</t>
  </si>
  <si>
    <t>Pr_40_30_31_53</t>
  </si>
  <si>
    <t>Mobile telescopic flagpoles</t>
  </si>
  <si>
    <t>Pr_40_30_31_70</t>
  </si>
  <si>
    <t>Rigged and guyed flagpoles</t>
  </si>
  <si>
    <t>Pr_40_30_31_71</t>
  </si>
  <si>
    <t>Rigged un-guyed flagpoles</t>
  </si>
  <si>
    <t>Pr_40_30_31_96</t>
  </si>
  <si>
    <t>Wall-mounted flagpoles</t>
  </si>
  <si>
    <t>Pr_40_30_50</t>
  </si>
  <si>
    <t>Mail fittings</t>
  </si>
  <si>
    <t>Pr_40_30_50_46</t>
  </si>
  <si>
    <t>Letter boxes</t>
  </si>
  <si>
    <t>45-25-38/345 Letter boxes;</t>
  </si>
  <si>
    <t>Pr_40_30_50_47</t>
  </si>
  <si>
    <t>Letter cages</t>
  </si>
  <si>
    <t>Pr_40_30_50_48</t>
  </si>
  <si>
    <t>Letter plate internal flaps and seals</t>
  </si>
  <si>
    <t>45-25-38/350 Letter plate internal flaps or seals;</t>
  </si>
  <si>
    <t>Pr_40_30_50_49</t>
  </si>
  <si>
    <t>Letter plates</t>
  </si>
  <si>
    <t>45-25-38/355 Letter plates;</t>
  </si>
  <si>
    <t>Pr_40_30_50_62</t>
  </si>
  <si>
    <t>Pigeonholes</t>
  </si>
  <si>
    <t>Pr_40_30_50_65</t>
  </si>
  <si>
    <t>Post boxes</t>
  </si>
  <si>
    <t>Pr_40_30_55</t>
  </si>
  <si>
    <t>Musical instruments</t>
  </si>
  <si>
    <t>Pr_40_30_55_06</t>
  </si>
  <si>
    <t>Bell frames</t>
  </si>
  <si>
    <t>Pr_40_30_55_07</t>
  </si>
  <si>
    <t>Bell headstocks</t>
  </si>
  <si>
    <t>Pr_40_30_55_08</t>
  </si>
  <si>
    <t>Bell wheels</t>
  </si>
  <si>
    <t>Pr_40_30_55_10</t>
  </si>
  <si>
    <t>Bracket bells</t>
  </si>
  <si>
    <t>Pr_40_30_55_77</t>
  </si>
  <si>
    <t>Ship’s bells</t>
  </si>
  <si>
    <t>45-25-38/365 Ships bell;</t>
  </si>
  <si>
    <t>Pr_40_30_55_89</t>
  </si>
  <si>
    <t>Tower bells</t>
  </si>
  <si>
    <t>Pr_40_30_55_90</t>
  </si>
  <si>
    <t>Tubular bells</t>
  </si>
  <si>
    <t>Pr_40_30_55_91</t>
  </si>
  <si>
    <t>Turret bells</t>
  </si>
  <si>
    <t>Pr_40_30_61</t>
  </si>
  <si>
    <t>Play equipment</t>
  </si>
  <si>
    <t>Pr_40_30_61_15</t>
  </si>
  <si>
    <t>Climbing frames</t>
  </si>
  <si>
    <t>45-35-60/341 Climbing frames;</t>
  </si>
  <si>
    <t>Pr_40_30_61_18</t>
  </si>
  <si>
    <t>Combined play structures</t>
  </si>
  <si>
    <t>45-35-60/331 Combined play structures;</t>
  </si>
  <si>
    <t>Pr_40_30_61_40</t>
  </si>
  <si>
    <t>Imaginative play structures</t>
  </si>
  <si>
    <t>45-35-60/335 Imaginative play structures;</t>
  </si>
  <si>
    <t>Pr_40_30_61_42</t>
  </si>
  <si>
    <t>Infants' swings</t>
  </si>
  <si>
    <t>45-35-60/327 Swings;</t>
  </si>
  <si>
    <t>Pr_40_30_61_52</t>
  </si>
  <si>
    <t>Modular play climbers</t>
  </si>
  <si>
    <t>45-35-60/339 Modular climbers;</t>
  </si>
  <si>
    <t>Pr_40_30_61_61</t>
  </si>
  <si>
    <t>Play panels</t>
  </si>
  <si>
    <t>45-35-60/337 Play panels;</t>
  </si>
  <si>
    <t>Pr_40_30_61_62</t>
  </si>
  <si>
    <t>Play pools</t>
  </si>
  <si>
    <t>45-35-60/355 Pools;</t>
  </si>
  <si>
    <t>Pr_40_30_61_63</t>
  </si>
  <si>
    <t>Play roundabouts</t>
  </si>
  <si>
    <t>45-35-60/323 Roundabouts;</t>
  </si>
  <si>
    <t>Pr_40_30_61_64</t>
  </si>
  <si>
    <t>Play runways</t>
  </si>
  <si>
    <t>45-35-60/319 Runways;</t>
  </si>
  <si>
    <t>Pr_40_30_61_65</t>
  </si>
  <si>
    <t>Play sandpits</t>
  </si>
  <si>
    <t>45-35-60/357 Sandpits;</t>
  </si>
  <si>
    <t>Pr_40_30_61_66</t>
  </si>
  <si>
    <t>Play slides</t>
  </si>
  <si>
    <t>45-35-60/321 Slides;</t>
  </si>
  <si>
    <t>Pr_40_30_61_67</t>
  </si>
  <si>
    <t>Play swings</t>
  </si>
  <si>
    <t>Pr_40_30_61_77</t>
  </si>
  <si>
    <t>See-saws</t>
  </si>
  <si>
    <t>45-35-60/311 See-saws;</t>
  </si>
  <si>
    <t>Pr_40_30_61_78</t>
  </si>
  <si>
    <t>Sensory play structures</t>
  </si>
  <si>
    <t>45-35-60/333 Sensory play structures;</t>
  </si>
  <si>
    <t>Pr_40_30_61_79</t>
  </si>
  <si>
    <t>Sit-on rockers</t>
  </si>
  <si>
    <t>45-35-60/313 Sit-on rockers;</t>
  </si>
  <si>
    <t>Pr_40_30_61_82</t>
  </si>
  <si>
    <t>Spinning poles</t>
  </si>
  <si>
    <t>45-35-60/325 Spinning poles;</t>
  </si>
  <si>
    <t>Pr_40_30_61_88</t>
  </si>
  <si>
    <t>Traditional rockers</t>
  </si>
  <si>
    <t>45-35-60/315 Traditional rockers;</t>
  </si>
  <si>
    <t>Pr_40_30_61_95</t>
  </si>
  <si>
    <t>Water play equipment</t>
  </si>
  <si>
    <t>90-15-90/451 Water play equipment;</t>
  </si>
  <si>
    <t>Pr_40_30_61_96</t>
  </si>
  <si>
    <t>Water play fountains</t>
  </si>
  <si>
    <t>45-35-60/351 Water play fountains;</t>
  </si>
  <si>
    <t>Pr_40_30_61_97</t>
  </si>
  <si>
    <t>Water play structures</t>
  </si>
  <si>
    <t>45-35-60/353 Water play structures;</t>
  </si>
  <si>
    <t>Pr_40_30_61_98</t>
  </si>
  <si>
    <t>Wobble boards</t>
  </si>
  <si>
    <t>45-35-60/317 Wobble boards;</t>
  </si>
  <si>
    <t>Pr_40_30_65</t>
  </si>
  <si>
    <t>Point of sale fittings</t>
  </si>
  <si>
    <t>Pr_40_30_65_11</t>
  </si>
  <si>
    <t>Cash registers</t>
  </si>
  <si>
    <t>Pr_40_30_65_12</t>
  </si>
  <si>
    <t>Cash transfer units</t>
  </si>
  <si>
    <t>Pr_40_30_65_13</t>
  </si>
  <si>
    <t>Cashier drawers</t>
  </si>
  <si>
    <t>Pr_40_30_65_60</t>
  </si>
  <si>
    <t>Paystations and troughs</t>
  </si>
  <si>
    <t>Pr_40_30_65_65</t>
  </si>
  <si>
    <t>Point of sale units</t>
  </si>
  <si>
    <t>Pr_40_30_65_88</t>
  </si>
  <si>
    <t>Tills</t>
  </si>
  <si>
    <t>Pr_40_30_66</t>
  </si>
  <si>
    <t>Poster display units</t>
  </si>
  <si>
    <t>Pr_40_30_66_22</t>
  </si>
  <si>
    <t>Digital poster display units</t>
  </si>
  <si>
    <t>45-35-82/335 Digital poster displays;</t>
  </si>
  <si>
    <t>Pr_40_30_66_73</t>
  </si>
  <si>
    <t>Rolling poster display units</t>
  </si>
  <si>
    <t>Pr_40_30_66_74</t>
  </si>
  <si>
    <t>Rotating poster display units</t>
  </si>
  <si>
    <t>Pr_40_30_66_84</t>
  </si>
  <si>
    <t>Static poster display units</t>
  </si>
  <si>
    <t>Pr_40_30_71</t>
  </si>
  <si>
    <t>Religious fittings</t>
  </si>
  <si>
    <t>Pr_40_30_71_01</t>
  </si>
  <si>
    <t>Abats-voix</t>
  </si>
  <si>
    <t>Pr_40_30_71_03</t>
  </si>
  <si>
    <t>Ambons</t>
  </si>
  <si>
    <t>Pr_40_30_71_06</t>
  </si>
  <si>
    <t>Baldachins</t>
  </si>
  <si>
    <t>Pr_40_30_71_07</t>
  </si>
  <si>
    <t>Bimahs</t>
  </si>
  <si>
    <t>Pr_40_30_71_31</t>
  </si>
  <si>
    <t>Fonts</t>
  </si>
  <si>
    <t>Pr_40_30_71_36</t>
  </si>
  <si>
    <t>Hassocks</t>
  </si>
  <si>
    <t>Pr_40_30_71_51</t>
  </si>
  <si>
    <t>Minbars</t>
  </si>
  <si>
    <t>Pr_40_30_71_56</t>
  </si>
  <si>
    <t>Nave lecterns</t>
  </si>
  <si>
    <t>Pr_40_30_71_68</t>
  </si>
  <si>
    <t>Pulpits</t>
  </si>
  <si>
    <t>Pr_40_30_75</t>
  </si>
  <si>
    <t>Safes and security cabinets</t>
  </si>
  <si>
    <t>Pr_40_30_75_11</t>
  </si>
  <si>
    <t>Cash safes</t>
  </si>
  <si>
    <t>Pr_40_30_75_16</t>
  </si>
  <si>
    <t>Computer safes</t>
  </si>
  <si>
    <t>Pr_40_30_75_20</t>
  </si>
  <si>
    <t>Cupboard safes</t>
  </si>
  <si>
    <t>Pr_40_30_75_21</t>
  </si>
  <si>
    <t>Data protection safes</t>
  </si>
  <si>
    <t>Pr_40_30_75_22</t>
  </si>
  <si>
    <t>Deposit safes</t>
  </si>
  <si>
    <t>Pr_40_30_75_29</t>
  </si>
  <si>
    <t>Fire protection safes</t>
  </si>
  <si>
    <t>Pr_40_30_75_30</t>
  </si>
  <si>
    <t>Firearm security cabinets</t>
  </si>
  <si>
    <t>Pr_40_30_75_31</t>
  </si>
  <si>
    <t>Floorboard safes</t>
  </si>
  <si>
    <t>Pr_40_30_75_36</t>
  </si>
  <si>
    <t>High security safes</t>
  </si>
  <si>
    <t>Pr_40_30_75_38</t>
  </si>
  <si>
    <t>Home and office safes</t>
  </si>
  <si>
    <t>Pr_40_30_75_39</t>
  </si>
  <si>
    <t>Hotel safes</t>
  </si>
  <si>
    <t>Pr_40_30_75_45</t>
  </si>
  <si>
    <t>Key safes</t>
  </si>
  <si>
    <t>Pr_40_30_75_49</t>
  </si>
  <si>
    <t>Lead security cabinets</t>
  </si>
  <si>
    <t>Pr_40_30_75_51</t>
  </si>
  <si>
    <t>Medical safes</t>
  </si>
  <si>
    <t>Pr_40_30_75_55</t>
  </si>
  <si>
    <t>Multi-purpose security cabinets</t>
  </si>
  <si>
    <t>Pr_40_30_75_60</t>
  </si>
  <si>
    <t>Parcel safes</t>
  </si>
  <si>
    <t>Pr_40_30_75_63</t>
  </si>
  <si>
    <t>Plate safes</t>
  </si>
  <si>
    <t>Pr_40_30_75_76</t>
  </si>
  <si>
    <t>Secure rooms</t>
  </si>
  <si>
    <t>Pr_40_30_75_84</t>
  </si>
  <si>
    <t>Steel security cabinets</t>
  </si>
  <si>
    <t>Pr_40_30_75_90</t>
  </si>
  <si>
    <t>Tool vaults</t>
  </si>
  <si>
    <t>Pr_40_30_75_93</t>
  </si>
  <si>
    <t>Underfloor safes</t>
  </si>
  <si>
    <t>Pr_40_30_75_94</t>
  </si>
  <si>
    <t>Vault doors</t>
  </si>
  <si>
    <t>Pr_40_30_75_96</t>
  </si>
  <si>
    <t>Wall safes</t>
  </si>
  <si>
    <t>Pr_40_30_78</t>
  </si>
  <si>
    <t>Shelves and storage units</t>
  </si>
  <si>
    <t>Pr_40_30_78_01</t>
  </si>
  <si>
    <t>Airing cabinets</t>
  </si>
  <si>
    <t>Pr_40_30_78_02</t>
  </si>
  <si>
    <t>Archive shelves</t>
  </si>
  <si>
    <t>Pr_40_30_78_03</t>
  </si>
  <si>
    <t>Bathroom cabinets</t>
  </si>
  <si>
    <t>45-35-72/318 Bathroom cabinets;</t>
  </si>
  <si>
    <t>Pr_40_30_78_05</t>
  </si>
  <si>
    <t>Bathroom furniture</t>
  </si>
  <si>
    <t>45-35-72/320 Bathroom integrated ductwork;</t>
  </si>
  <si>
    <t>Pr_40_30_78_06</t>
  </si>
  <si>
    <t>Bathroom shelves</t>
  </si>
  <si>
    <t>45-35-72/354 Shelves;</t>
  </si>
  <si>
    <t>Pr_40_30_78_07</t>
  </si>
  <si>
    <t>Bedside units</t>
  </si>
  <si>
    <t>Pr_40_30_78_08</t>
  </si>
  <si>
    <t>Bottle racks</t>
  </si>
  <si>
    <t>Pr_40_30_78_09</t>
  </si>
  <si>
    <t>Bowl and bucket holders</t>
  </si>
  <si>
    <t>Pr_40_30_78_11</t>
  </si>
  <si>
    <t>Chests</t>
  </si>
  <si>
    <t>Pr_40_30_78_12</t>
  </si>
  <si>
    <t>Classroom storage units</t>
  </si>
  <si>
    <t>45-35-80/330 Classroom storage;</t>
  </si>
  <si>
    <t>Pr_40_30_78_13</t>
  </si>
  <si>
    <t>Cloakroom units</t>
  </si>
  <si>
    <t>45-35-80/335 Cloak units;</t>
  </si>
  <si>
    <t>Pr_40_30_78_14</t>
  </si>
  <si>
    <t>Clothes drying cabinets</t>
  </si>
  <si>
    <t>Pr_40_30_78_15</t>
  </si>
  <si>
    <t>Clothes hooks</t>
  </si>
  <si>
    <t>45-35-72/322 Clothes hooks;</t>
  </si>
  <si>
    <t>Pr_40_30_78_16</t>
  </si>
  <si>
    <t>Coat hooks</t>
  </si>
  <si>
    <t>45-25-38/310 Coat hooks;</t>
  </si>
  <si>
    <t>Pr_40_30_78_17</t>
  </si>
  <si>
    <t>Coat racks</t>
  </si>
  <si>
    <t>45-35-35/400 Coat racks;</t>
  </si>
  <si>
    <t>Pr_40_30_78_18</t>
  </si>
  <si>
    <t>College bedroom shelves</t>
  </si>
  <si>
    <t>Pr_40_30_78_19</t>
  </si>
  <si>
    <t>Commercial kitchen shelving and racking units</t>
  </si>
  <si>
    <t>45-35-15/462 Stainless steel shelving and racking units;</t>
  </si>
  <si>
    <t>Pr_40_30_78_20</t>
  </si>
  <si>
    <t>Copyholders</t>
  </si>
  <si>
    <t>Pr_40_30_78_21</t>
  </si>
  <si>
    <t>Couch roll holders</t>
  </si>
  <si>
    <t>Pr_40_30_78_22</t>
  </si>
  <si>
    <t>Credenzas</t>
  </si>
  <si>
    <t>Pr_40_30_78_23</t>
  </si>
  <si>
    <t>Desk tidies</t>
  </si>
  <si>
    <t>Pr_40_30_78_24</t>
  </si>
  <si>
    <t>Display cases</t>
  </si>
  <si>
    <t>Pr_40_30_78_25</t>
  </si>
  <si>
    <t>Drawer units</t>
  </si>
  <si>
    <t>Pr_40_30_78_26</t>
  </si>
  <si>
    <t>Dressers</t>
  </si>
  <si>
    <t>Pr_40_30_78_27</t>
  </si>
  <si>
    <t>Equipment storage racks</t>
  </si>
  <si>
    <t>Pr_40_30_78_28</t>
  </si>
  <si>
    <t>External storage units</t>
  </si>
  <si>
    <t>Pr_40_30_78_29</t>
  </si>
  <si>
    <t>Filing cabinets</t>
  </si>
  <si>
    <t>Pr_40_30_78_30</t>
  </si>
  <si>
    <t>Folding tables storage cabinets</t>
  </si>
  <si>
    <t>Pr_40_30_78_33</t>
  </si>
  <si>
    <t>Glazed bookcases</t>
  </si>
  <si>
    <t>Pr_40_30_78_40</t>
  </si>
  <si>
    <t>Index storage units</t>
  </si>
  <si>
    <t>Pr_40_30_78_41</t>
  </si>
  <si>
    <t>In-the-round display cases</t>
  </si>
  <si>
    <t>Pr_40_30_78_42</t>
  </si>
  <si>
    <t>Kitchen drawer units</t>
  </si>
  <si>
    <t>Pr_40_30_78_43</t>
  </si>
  <si>
    <t>Kitchen bench cupboards</t>
  </si>
  <si>
    <t>Pr_40_30_78_44</t>
  </si>
  <si>
    <t>Kitchen overhead cupboards</t>
  </si>
  <si>
    <t>Pr_40_30_78_45</t>
  </si>
  <si>
    <t>Kitchen storage units</t>
  </si>
  <si>
    <t>45-35-80/340 Kitchen storage units;</t>
  </si>
  <si>
    <t>Pr_40_30_78_46</t>
  </si>
  <si>
    <t>Laboratory storage units</t>
  </si>
  <si>
    <t>45-35-80/350 Laboratory storage;</t>
  </si>
  <si>
    <t>Pr_40_30_78_47</t>
  </si>
  <si>
    <t>Library shelf units</t>
  </si>
  <si>
    <t>Pr_40_30_78_48</t>
  </si>
  <si>
    <t>Lockers</t>
  </si>
  <si>
    <t>45-35-80/380 Lockers;</t>
  </si>
  <si>
    <t>Pr_40_30_78_51</t>
  </si>
  <si>
    <t>Media wall partition units</t>
  </si>
  <si>
    <t>45-35-80/410 Media wall partition units;</t>
  </si>
  <si>
    <t>Pr_40_30_78_53</t>
  </si>
  <si>
    <t>Movable aisle storage units</t>
  </si>
  <si>
    <t>Pr_40_30_78_55</t>
  </si>
  <si>
    <t>Museum showcases</t>
  </si>
  <si>
    <t>Pr_40_30_78_57</t>
  </si>
  <si>
    <t>Office storage units</t>
  </si>
  <si>
    <t>45-35-80/360 Office storage;</t>
  </si>
  <si>
    <t>Pr_40_30_78_58</t>
  </si>
  <si>
    <t>Open bookcases</t>
  </si>
  <si>
    <t>Pr_40_30_78_63</t>
  </si>
  <si>
    <t>Plan chests</t>
  </si>
  <si>
    <t>Pr_40_30_78_65</t>
  </si>
  <si>
    <t>Post room racks</t>
  </si>
  <si>
    <t>Pr_40_30_78_70</t>
  </si>
  <si>
    <t>Refrigerated mortuary storage units</t>
  </si>
  <si>
    <t>Pr_40_30_78_71</t>
  </si>
  <si>
    <t>Retail shelf units</t>
  </si>
  <si>
    <t>Pr_40_30_78_72</t>
  </si>
  <si>
    <t>Retail storage units</t>
  </si>
  <si>
    <t>Pr_40_30_78_73</t>
  </si>
  <si>
    <t>Rotary storage units</t>
  </si>
  <si>
    <t>Pr_40_30_78_76</t>
  </si>
  <si>
    <t>Security cages</t>
  </si>
  <si>
    <t>45-35-80/370 Security cages;</t>
  </si>
  <si>
    <t>Pr_40_30_78_77</t>
  </si>
  <si>
    <t>Shelf units</t>
  </si>
  <si>
    <t>45-35-80/310 Shelf units;</t>
  </si>
  <si>
    <t>Pr_40_30_78_78</t>
  </si>
  <si>
    <t>Shelves</t>
  </si>
  <si>
    <t>45-35-80/320 Shelves;</t>
  </si>
  <si>
    <t>Pr_40_30_78_79</t>
  </si>
  <si>
    <t>Shelf and racking units</t>
  </si>
  <si>
    <t>Pr_40_30_78_80</t>
  </si>
  <si>
    <t>Shoe trees</t>
  </si>
  <si>
    <t>Pr_40_30_78_81</t>
  </si>
  <si>
    <t>Sideboards</t>
  </si>
  <si>
    <t>Pr_40_30_78_84</t>
  </si>
  <si>
    <t>Storage carousels</t>
  </si>
  <si>
    <t>Pr_40_30_78_85</t>
  </si>
  <si>
    <t>Storage chests</t>
  </si>
  <si>
    <t>Pr_40_30_78_86</t>
  </si>
  <si>
    <t>Storage wall partition units</t>
  </si>
  <si>
    <t>45-35-80/430 Storage wall partition units;</t>
  </si>
  <si>
    <t>Pr_40_30_78_87</t>
  </si>
  <si>
    <t>Suspension storage units</t>
  </si>
  <si>
    <t>Pr_40_30_78_88</t>
  </si>
  <si>
    <t>Table storage credenzas</t>
  </si>
  <si>
    <t>Pr_40_30_78_90</t>
  </si>
  <si>
    <t>Tool chests</t>
  </si>
  <si>
    <t>Pr_40_30_78_93</t>
  </si>
  <si>
    <t>Under-bed storage units</t>
  </si>
  <si>
    <t>Pr_40_30_78_95</t>
  </si>
  <si>
    <t>Wardrobe rails</t>
  </si>
  <si>
    <t>Pr_40_30_78_96</t>
  </si>
  <si>
    <t>Wardrobes</t>
  </si>
  <si>
    <t>Pr_40_30_78_97</t>
  </si>
  <si>
    <t>Weights storage racks</t>
  </si>
  <si>
    <t>Pr_40_30_80</t>
  </si>
  <si>
    <t>Skateboard installations</t>
  </si>
  <si>
    <t>Pr_40_30_80_75</t>
  </si>
  <si>
    <t>Skate bowls</t>
  </si>
  <si>
    <t>45-35-60/391 Skate bowls;</t>
  </si>
  <si>
    <t>Pr_40_30_80_77</t>
  </si>
  <si>
    <t>Skate edges</t>
  </si>
  <si>
    <t>45-35-60/395 Skate edges;</t>
  </si>
  <si>
    <t>Pr_40_30_80_78</t>
  </si>
  <si>
    <t>Skate pipes</t>
  </si>
  <si>
    <t>45-35-60/385 Skate pipes;</t>
  </si>
  <si>
    <t>Pr_40_30_80_80</t>
  </si>
  <si>
    <t>Skate platforms</t>
  </si>
  <si>
    <t>45-35-60/383 Platforms;</t>
  </si>
  <si>
    <t>Pr_40_30_80_81</t>
  </si>
  <si>
    <t>Skate rails</t>
  </si>
  <si>
    <t>45-35-60/393 Skate rails;</t>
  </si>
  <si>
    <t>Pr_40_30_80_82</t>
  </si>
  <si>
    <t>Skate ramps</t>
  </si>
  <si>
    <t>45-35-60/387 Skate ramps;</t>
  </si>
  <si>
    <t>Pr_40_30_80_83</t>
  </si>
  <si>
    <t>Skate stairs</t>
  </si>
  <si>
    <t>45-35-60/389 Skate stairs;</t>
  </si>
  <si>
    <t>Pr_40_30_83</t>
  </si>
  <si>
    <t>Sports fittings</t>
  </si>
  <si>
    <t>Pr_40_30_83_08</t>
  </si>
  <si>
    <t>Basketball hoops</t>
  </si>
  <si>
    <t>45-35-60/411 Basketball hoops;</t>
  </si>
  <si>
    <t>Pr_40_30_83_10</t>
  </si>
  <si>
    <t>Bouldering holds</t>
  </si>
  <si>
    <t>Pr_40_30_83_11</t>
  </si>
  <si>
    <t>Bouldering walls</t>
  </si>
  <si>
    <t>Pr_40_30_83_14</t>
  </si>
  <si>
    <t>Climbing walls</t>
  </si>
  <si>
    <t>45-35-60/363 Climbing walls;</t>
  </si>
  <si>
    <t>Pr_40_30_83_37</t>
  </si>
  <si>
    <t>Hanging and stretching equipment</t>
  </si>
  <si>
    <t>45-35-60/375 Hanging and stretching equipment;</t>
  </si>
  <si>
    <t>Pr_40_30_84</t>
  </si>
  <si>
    <t>Sports goals</t>
  </si>
  <si>
    <t>Pr_40_30_84_04</t>
  </si>
  <si>
    <t>American football goal posts</t>
  </si>
  <si>
    <t>Pr_40_30_84_05</t>
  </si>
  <si>
    <t>Australian football goal posts</t>
  </si>
  <si>
    <t>Pr_40_30_84_28</t>
  </si>
  <si>
    <t>Five-a-side football goals</t>
  </si>
  <si>
    <t>Pr_40_30_84_29</t>
  </si>
  <si>
    <t>Fixed water polo goals</t>
  </si>
  <si>
    <t>45-35-90/480 Water polo goals (fixed);</t>
  </si>
  <si>
    <t>Pr_40_30_84_30</t>
  </si>
  <si>
    <t>Floating water polo goals</t>
  </si>
  <si>
    <t>45-35-90/485 Water polo goals (floating);</t>
  </si>
  <si>
    <t>Pr_40_30_84_31</t>
  </si>
  <si>
    <t>Football goals</t>
  </si>
  <si>
    <t>45-35-60/417 Football goals;</t>
  </si>
  <si>
    <t>Pr_40_30_84_33</t>
  </si>
  <si>
    <t>Gaelic football goal posts</t>
  </si>
  <si>
    <t>Pr_40_30_84_36</t>
  </si>
  <si>
    <t>Handball goals</t>
  </si>
  <si>
    <t>45-35-60/415 Handball goals;</t>
  </si>
  <si>
    <t>Pr_40_30_84_39</t>
  </si>
  <si>
    <t>Hockey goals</t>
  </si>
  <si>
    <t>45-35-60/413 Hockey goals;</t>
  </si>
  <si>
    <t>Pr_40_30_84_40</t>
  </si>
  <si>
    <t>Ice hockey goals</t>
  </si>
  <si>
    <t>Pr_40_30_84_46</t>
  </si>
  <si>
    <t>Lacrosse goals</t>
  </si>
  <si>
    <t>Pr_40_30_84_56</t>
  </si>
  <si>
    <t>Netball goals</t>
  </si>
  <si>
    <t>45-35-60/419 Netball goals;</t>
  </si>
  <si>
    <t>Pr_40_30_84_65</t>
  </si>
  <si>
    <t>Polo goal posts</t>
  </si>
  <si>
    <t>Pr_40_30_84_69</t>
  </si>
  <si>
    <t>Quidditch goals</t>
  </si>
  <si>
    <t>Pr_40_30_84_74</t>
  </si>
  <si>
    <t>Rugby goal posts</t>
  </si>
  <si>
    <t>45-35-60/421 Rugby posts;</t>
  </si>
  <si>
    <t>Pr_40_30_85</t>
  </si>
  <si>
    <t>Sports netting</t>
  </si>
  <si>
    <t>Pr_40_30_85_04</t>
  </si>
  <si>
    <t>Archery nets</t>
  </si>
  <si>
    <t>Pr_40_30_85_06</t>
  </si>
  <si>
    <t>Badminton nets</t>
  </si>
  <si>
    <t>45-35-60/423 Badminton nets;</t>
  </si>
  <si>
    <t>Pr_40_30_85_17</t>
  </si>
  <si>
    <t>Cricket nets</t>
  </si>
  <si>
    <t>45-35-60/433 Cricket cages;</t>
  </si>
  <si>
    <t>Pr_40_30_85_24</t>
  </si>
  <si>
    <t>Driving range nets</t>
  </si>
  <si>
    <t>Pr_40_30_85_34</t>
  </si>
  <si>
    <t>Golf course nets</t>
  </si>
  <si>
    <t>Pr_40_30_85_80</t>
  </si>
  <si>
    <t>Space nets</t>
  </si>
  <si>
    <t>45-35-60/361 Space nets;</t>
  </si>
  <si>
    <t>Pr_40_30_85_85</t>
  </si>
  <si>
    <t>Stadium nets</t>
  </si>
  <si>
    <t>Pr_40_30_85_87</t>
  </si>
  <si>
    <t>Tennis nets</t>
  </si>
  <si>
    <t>45-35-60/425 Tennis nets;</t>
  </si>
  <si>
    <t>Pr_40_30_85_95</t>
  </si>
  <si>
    <t>Volleyball nets</t>
  </si>
  <si>
    <t>45-35-60/429 Volleyball nets;</t>
  </si>
  <si>
    <t>Pr_40_30_86</t>
  </si>
  <si>
    <t>Swimming pool fittings</t>
  </si>
  <si>
    <t>Pr_40_30_86_22</t>
  </si>
  <si>
    <t>Diving platforms</t>
  </si>
  <si>
    <t>45-35-90/345 Diving platforms;</t>
  </si>
  <si>
    <t>Pr_40_30_86_24</t>
  </si>
  <si>
    <t>Diving springboards</t>
  </si>
  <si>
    <t>45-35-90/350 Diving springboards;</t>
  </si>
  <si>
    <t>Pr_40_30_86_28</t>
  </si>
  <si>
    <t>False start posts</t>
  </si>
  <si>
    <t>45-35-90/390 False start posts;</t>
  </si>
  <si>
    <t>Pr_40_30_86_30</t>
  </si>
  <si>
    <t>Fixed domestic diving boards</t>
  </si>
  <si>
    <t>45-35-90/430 Starting platforms (portable);</t>
  </si>
  <si>
    <t>Pr_40_30_86_32</t>
  </si>
  <si>
    <t>Fixed starting platforms</t>
  </si>
  <si>
    <t>45-35-90/425 Starting platforms (fixed);</t>
  </si>
  <si>
    <t>Pr_40_30_86_47</t>
  </si>
  <si>
    <t>Lane rope storage floor cover plates</t>
  </si>
  <si>
    <t>45-35-90/415 Lane rope storage floor cover plates;</t>
  </si>
  <si>
    <t>Pr_40_30_86_59</t>
  </si>
  <si>
    <t>Pool rails</t>
  </si>
  <si>
    <t>45-35-90/385 Rails;</t>
  </si>
  <si>
    <t>Pr_40_30_86_78</t>
  </si>
  <si>
    <t>Small water flumes</t>
  </si>
  <si>
    <t>45-35-90/355 Small water flumes;</t>
  </si>
  <si>
    <t>Pr_40_30_86_80</t>
  </si>
  <si>
    <t>Small water slides</t>
  </si>
  <si>
    <t>45-35-90/360 Small water slides;</t>
  </si>
  <si>
    <t>Pr_40_30_86_88</t>
  </si>
  <si>
    <t>Touch panels</t>
  </si>
  <si>
    <t>45-35-90/435 Touch panels;</t>
  </si>
  <si>
    <t>Pr_40_30_86_90</t>
  </si>
  <si>
    <t>Turning boards</t>
  </si>
  <si>
    <t>45-35-90/440 Turning boards;</t>
  </si>
  <si>
    <t>Pr_40_30_86_95</t>
  </si>
  <si>
    <t>Water polo catwalks</t>
  </si>
  <si>
    <t>45-35-90/465 Water polo catwalk;</t>
  </si>
  <si>
    <t>Pr_40_30_86_96</t>
  </si>
  <si>
    <t>Water polo field markers</t>
  </si>
  <si>
    <t>45-35-90/470 Water polo field markers;</t>
  </si>
  <si>
    <t>Pr_40_50</t>
  </si>
  <si>
    <t>Pr_40_50_05</t>
  </si>
  <si>
    <t>Artworks</t>
  </si>
  <si>
    <t>Pr_40_50_05_02</t>
  </si>
  <si>
    <t>Acrylic paintings</t>
  </si>
  <si>
    <t>Pr_40_50_05_11</t>
  </si>
  <si>
    <t>Carvings</t>
  </si>
  <si>
    <t>Pr_40_50_05_13</t>
  </si>
  <si>
    <t>Chalk drawings</t>
  </si>
  <si>
    <t>Pr_40_50_05_14</t>
  </si>
  <si>
    <t>Charcoal drawings</t>
  </si>
  <si>
    <t>Pr_40_50_05_24</t>
  </si>
  <si>
    <t>Drypoint prints</t>
  </si>
  <si>
    <t>Pr_40_50_05_27</t>
  </si>
  <si>
    <t>Embroideries</t>
  </si>
  <si>
    <t>Pr_40_50_05_28</t>
  </si>
  <si>
    <t>Etchings</t>
  </si>
  <si>
    <t>Pr_40_50_05_29</t>
  </si>
  <si>
    <t>Floor-mounted mobiles</t>
  </si>
  <si>
    <t>Pr_40_50_05_30</t>
  </si>
  <si>
    <t>Floor-mounted sculptures</t>
  </si>
  <si>
    <t>45-35-86/347 Proprietary sculpture and landscape art;</t>
  </si>
  <si>
    <t>Pr_40_50_05_33</t>
  </si>
  <si>
    <t>Garden ornaments</t>
  </si>
  <si>
    <t>Pr_40_50_05_41</t>
  </si>
  <si>
    <t>Indoor ornaments</t>
  </si>
  <si>
    <t>Pr_40_50_05_42</t>
  </si>
  <si>
    <t>Installation pieces</t>
  </si>
  <si>
    <t>Pr_40_50_05_43</t>
  </si>
  <si>
    <t>Interactive artworks</t>
  </si>
  <si>
    <t>45-35-86/349 Commissioned artworks;</t>
  </si>
  <si>
    <t>Pr_40_50_05_46</t>
  </si>
  <si>
    <t>Linoprints</t>
  </si>
  <si>
    <t>Pr_40_50_05_51</t>
  </si>
  <si>
    <t>Mixed media artworks</t>
  </si>
  <si>
    <t>Pr_40_50_05_55</t>
  </si>
  <si>
    <t>Murals</t>
  </si>
  <si>
    <t>Pr_40_50_05_58</t>
  </si>
  <si>
    <t>Oil paintings</t>
  </si>
  <si>
    <t>Pr_40_50_05_60</t>
  </si>
  <si>
    <t>Pastel drawings</t>
  </si>
  <si>
    <t>Pr_40_50_05_62</t>
  </si>
  <si>
    <t>Pencil drawings</t>
  </si>
  <si>
    <t>Pr_40_50_05_66</t>
  </si>
  <si>
    <t>Projected artworks</t>
  </si>
  <si>
    <t>Pr_40_50_05_76</t>
  </si>
  <si>
    <t>Screenprints</t>
  </si>
  <si>
    <t>Pr_40_50_05_77</t>
  </si>
  <si>
    <t>Sculptural reliefs</t>
  </si>
  <si>
    <t>Pr_40_50_05_82</t>
  </si>
  <si>
    <t>Sons et lumiéres</t>
  </si>
  <si>
    <t>Pr_40_50_05_84</t>
  </si>
  <si>
    <t>Stand-mounted sculptures</t>
  </si>
  <si>
    <t>Pr_40_50_05_85</t>
  </si>
  <si>
    <t>Statuary</t>
  </si>
  <si>
    <t>Pr_40_50_05_86</t>
  </si>
  <si>
    <t>Suspended mobiles</t>
  </si>
  <si>
    <t>Pr_40_50_05_87</t>
  </si>
  <si>
    <t>Tapestries</t>
  </si>
  <si>
    <t>Pr_40_50_05_95</t>
  </si>
  <si>
    <t>Wall hangings</t>
  </si>
  <si>
    <t>Pr_40_50_05_96</t>
  </si>
  <si>
    <t>Wall-mounted sculptures</t>
  </si>
  <si>
    <t>Pr_40_50_05_97</t>
  </si>
  <si>
    <t>Watercolour paintings</t>
  </si>
  <si>
    <t>Pr_40_50_06</t>
  </si>
  <si>
    <t>Beds</t>
  </si>
  <si>
    <t>Pr_40_50_06_10</t>
  </si>
  <si>
    <t>Bunk beds</t>
  </si>
  <si>
    <t>Pr_40_50_06_11</t>
  </si>
  <si>
    <t>Camp beds</t>
  </si>
  <si>
    <t>Pr_40_50_06_14</t>
  </si>
  <si>
    <t>Chair beds</t>
  </si>
  <si>
    <t>Pr_40_50_06_16</t>
  </si>
  <si>
    <t>Cots</t>
  </si>
  <si>
    <t>Pr_40_50_06_18</t>
  </si>
  <si>
    <t>Cradles</t>
  </si>
  <si>
    <t>Pr_40_50_06_22</t>
  </si>
  <si>
    <t>Divans</t>
  </si>
  <si>
    <t>Pr_40_50_06_24</t>
  </si>
  <si>
    <t>Double beds</t>
  </si>
  <si>
    <t>Pr_40_50_06_30</t>
  </si>
  <si>
    <t>Foldaway beds</t>
  </si>
  <si>
    <t>Pr_40_50_06_31</t>
  </si>
  <si>
    <t>Four-poster beds</t>
  </si>
  <si>
    <t>Pr_40_50_06_32</t>
  </si>
  <si>
    <t>Futons</t>
  </si>
  <si>
    <t>Pr_40_50_06_36</t>
  </si>
  <si>
    <t>Hammocks</t>
  </si>
  <si>
    <t>Pr_40_50_06_37</t>
  </si>
  <si>
    <t>Headboards</t>
  </si>
  <si>
    <t>Pr_40_50_06_38</t>
  </si>
  <si>
    <t>Hospital bedheads</t>
  </si>
  <si>
    <t>Pr_40_50_06_39</t>
  </si>
  <si>
    <t>Hospital beds</t>
  </si>
  <si>
    <t>Pr_40_50_06_50</t>
  </si>
  <si>
    <t>Mattresses</t>
  </si>
  <si>
    <t>Pr_40_50_06_77</t>
  </si>
  <si>
    <t>Single beds</t>
  </si>
  <si>
    <t>Pr_40_50_06_96</t>
  </si>
  <si>
    <t>Waterbeds</t>
  </si>
  <si>
    <t>Pr_40_50_07</t>
  </si>
  <si>
    <t>Bins and buckets</t>
  </si>
  <si>
    <t>Pr_40_50_07_02</t>
  </si>
  <si>
    <t>Aggregate bins</t>
  </si>
  <si>
    <t>Pr_40_50_07_04</t>
  </si>
  <si>
    <t>Ashtrays</t>
  </si>
  <si>
    <t>45-35-86/337 Ashtrays;</t>
  </si>
  <si>
    <t>Pr_40_50_07_07</t>
  </si>
  <si>
    <t>Bin stores</t>
  </si>
  <si>
    <t>45-35-86/331 Bin stores;</t>
  </si>
  <si>
    <t>Pr_40_50_07_10</t>
  </si>
  <si>
    <t>Bulk storage fire sand bins</t>
  </si>
  <si>
    <t>45-35-10/310 Plastics bulk storage fire sand bins;</t>
  </si>
  <si>
    <t>Pr_40_50_07_12</t>
  </si>
  <si>
    <t>Cemetery flower baskets</t>
  </si>
  <si>
    <t>45-35-86/339 Cemetery baskets;</t>
  </si>
  <si>
    <t>Pr_40_50_07_19</t>
  </si>
  <si>
    <t>Compost bins</t>
  </si>
  <si>
    <t>45-35-86/333 Compost bins;</t>
  </si>
  <si>
    <t>Pr_40_50_07_22</t>
  </si>
  <si>
    <t>Disposal containers</t>
  </si>
  <si>
    <t>45-30-15/390 Disposal containers;</t>
  </si>
  <si>
    <t>Pr_40_50_07_25</t>
  </si>
  <si>
    <t>Dustbins</t>
  </si>
  <si>
    <t>45-35-10/330 Dustbins;</t>
  </si>
  <si>
    <t>Pr_40_50_07_33</t>
  </si>
  <si>
    <t>Galvanized steel fire buckets</t>
  </si>
  <si>
    <t>45-35-10/320 Galvanized steel fire buckets;</t>
  </si>
  <si>
    <t>Pr_40_50_07_35</t>
  </si>
  <si>
    <t>Grit bins</t>
  </si>
  <si>
    <t>Pr_40_50_07_46</t>
  </si>
  <si>
    <t>Linen containers</t>
  </si>
  <si>
    <t>45-30-15/395 Linen containers;</t>
  </si>
  <si>
    <t>Pr_40_50_07_47</t>
  </si>
  <si>
    <t>Litter bins</t>
  </si>
  <si>
    <t>45-35-86/335 Litter bins;</t>
  </si>
  <si>
    <t>Pr_40_50_07_56</t>
  </si>
  <si>
    <t>Nappy disposal bins</t>
  </si>
  <si>
    <t>45-35-72/338 Nappy disposal bins;</t>
  </si>
  <si>
    <t>Pr_40_50_07_57</t>
  </si>
  <si>
    <t>Needle disposal boxes</t>
  </si>
  <si>
    <t>45-35-72/340 Needle disposal boxes;</t>
  </si>
  <si>
    <t>Pr_40_50_07_58</t>
  </si>
  <si>
    <t>Non-segregated waste bins</t>
  </si>
  <si>
    <t>Pr_40_50_07_64</t>
  </si>
  <si>
    <t>Plastics fire buckets</t>
  </si>
  <si>
    <t>45-35-10/315 Plastics fire buckets;</t>
  </si>
  <si>
    <t>Pr_40_50_07_70</t>
  </si>
  <si>
    <t>Recycling bins</t>
  </si>
  <si>
    <t>Pr_40_50_07_71</t>
  </si>
  <si>
    <t>Refuse bag holders</t>
  </si>
  <si>
    <t>Pr_40_50_07_72</t>
  </si>
  <si>
    <t>Refuse bins</t>
  </si>
  <si>
    <t>45-35-10/335 Waste bins;</t>
  </si>
  <si>
    <t>Pr_40_50_07_75</t>
  </si>
  <si>
    <t>Salt bins</t>
  </si>
  <si>
    <t>Pr_40_50_07_76</t>
  </si>
  <si>
    <t>Sanitary towel disposal bins</t>
  </si>
  <si>
    <t>45-35-72/350 Sanitary towel disposal bins;</t>
  </si>
  <si>
    <t>Pr_40_50_07_77</t>
  </si>
  <si>
    <t>Segregated waste bins</t>
  </si>
  <si>
    <t>Pr_40_50_07_96</t>
  </si>
  <si>
    <t>Waste bins</t>
  </si>
  <si>
    <t>45-35-72/380 Waste bins;</t>
  </si>
  <si>
    <t>Pr_40_50_12</t>
  </si>
  <si>
    <t>Chairs, seats and benches</t>
  </si>
  <si>
    <t>Pr_40_50_12_03</t>
  </si>
  <si>
    <t>Armrests</t>
  </si>
  <si>
    <t>Pr_40_50_12_04</t>
  </si>
  <si>
    <t>Assembly stacking chairs</t>
  </si>
  <si>
    <t>Pr_40_50_12_05</t>
  </si>
  <si>
    <t>Auditorium chairs</t>
  </si>
  <si>
    <t>Pr_40_50_12_06</t>
  </si>
  <si>
    <t>Barbell benches</t>
  </si>
  <si>
    <t>Pr_40_50_12_07</t>
  </si>
  <si>
    <t>Benches</t>
  </si>
  <si>
    <t>45-35-86/321 Benches;</t>
  </si>
  <si>
    <t>Pr_40_50_12_12</t>
  </si>
  <si>
    <t>Ceremonial chairs</t>
  </si>
  <si>
    <t>Pr_40_50_12_14</t>
  </si>
  <si>
    <t>Chaises longue</t>
  </si>
  <si>
    <t>Pr_40_50_12_15</t>
  </si>
  <si>
    <t>Changing benches</t>
  </si>
  <si>
    <t>45-35-72/310 Adult changing benches;</t>
  </si>
  <si>
    <t>Pr_40_50_12_16</t>
  </si>
  <si>
    <t>Classroom seats</t>
  </si>
  <si>
    <t>45-35-20/310 Classroom seating;</t>
  </si>
  <si>
    <t>Pr_40_50_12_20</t>
  </si>
  <si>
    <t>Deck chairs</t>
  </si>
  <si>
    <t>Pr_40_50_12_21</t>
  </si>
  <si>
    <t>Dining benches</t>
  </si>
  <si>
    <t>Pr_40_50_12_22</t>
  </si>
  <si>
    <t>Dining chairs</t>
  </si>
  <si>
    <t>45-35-20/365 Domestic chairs;</t>
  </si>
  <si>
    <t>Pr_40_50_12_26</t>
  </si>
  <si>
    <t>Easy chairs</t>
  </si>
  <si>
    <t>Pr_40_50_12_27</t>
  </si>
  <si>
    <t>Electrically operated chairs</t>
  </si>
  <si>
    <t>Pr_40_50_12_30</t>
  </si>
  <si>
    <t>Flip-up seats</t>
  </si>
  <si>
    <t>Pr_40_50_12_31</t>
  </si>
  <si>
    <t>Folding chairs</t>
  </si>
  <si>
    <t>Pr_40_50_12_32</t>
  </si>
  <si>
    <t>Footrests</t>
  </si>
  <si>
    <t>Pr_40_50_12_33</t>
  </si>
  <si>
    <t>Garden benches</t>
  </si>
  <si>
    <t>45-35-86/323 Seats;</t>
  </si>
  <si>
    <t>Pr_40_50_12_37</t>
  </si>
  <si>
    <t>High chairs</t>
  </si>
  <si>
    <t>Pr_40_50_12_46</t>
  </si>
  <si>
    <t>Library chairs</t>
  </si>
  <si>
    <t>Pr_40_50_12_47</t>
  </si>
  <si>
    <t>Linked seats</t>
  </si>
  <si>
    <t>45-35-20/360 Benches and linked seats;</t>
  </si>
  <si>
    <t>Pr_40_50_12_48</t>
  </si>
  <si>
    <t>Lounge chairs</t>
  </si>
  <si>
    <t>Pr_40_50_12_51</t>
  </si>
  <si>
    <t>Meeting room chairs</t>
  </si>
  <si>
    <t>Pr_40_50_12_57</t>
  </si>
  <si>
    <t>Office chairs</t>
  </si>
  <si>
    <t>45-35-20/330 Office chairs;</t>
  </si>
  <si>
    <t>Pr_40_50_12_59</t>
  </si>
  <si>
    <t>Ottomans</t>
  </si>
  <si>
    <t>Pr_40_50_12_62</t>
  </si>
  <si>
    <t>Pews</t>
  </si>
  <si>
    <t>Pr_40_50_12_63</t>
  </si>
  <si>
    <t>Play chairs</t>
  </si>
  <si>
    <t>Pr_40_50_12_64</t>
  </si>
  <si>
    <t>Portable observation poolside chairs</t>
  </si>
  <si>
    <t>45-35-90/330 Observation chairs (portable);</t>
  </si>
  <si>
    <t>Pr_40_50_12_71</t>
  </si>
  <si>
    <t>Reception chairs</t>
  </si>
  <si>
    <t>Pr_40_50_12_72</t>
  </si>
  <si>
    <t>Reclining chairs</t>
  </si>
  <si>
    <t>Pr_40_50_12_74</t>
  </si>
  <si>
    <t>Rocking chairs</t>
  </si>
  <si>
    <t>Pr_40_50_12_76</t>
  </si>
  <si>
    <t>Settees</t>
  </si>
  <si>
    <t>Pr_40_50_12_80</t>
  </si>
  <si>
    <t>Sofa beds</t>
  </si>
  <si>
    <t>Pr_40_50_12_81</t>
  </si>
  <si>
    <t>Sofas</t>
  </si>
  <si>
    <t>Pr_40_50_12_82</t>
  </si>
  <si>
    <t>Stacking benches</t>
  </si>
  <si>
    <t>Pr_40_50_12_83</t>
  </si>
  <si>
    <t>Stacking chairs</t>
  </si>
  <si>
    <t>45-35-20/355 Stacking chairs;</t>
  </si>
  <si>
    <t>Pr_40_50_12_84</t>
  </si>
  <si>
    <t>Stacking pews</t>
  </si>
  <si>
    <t>Pr_40_50_12_85</t>
  </si>
  <si>
    <t>Stools</t>
  </si>
  <si>
    <t>Pr_40_50_12_86</t>
  </si>
  <si>
    <t>Study chairs</t>
  </si>
  <si>
    <t>Pr_40_50_12_87</t>
  </si>
  <si>
    <t>Swing chairs</t>
  </si>
  <si>
    <t>Pr_40_50_12_88</t>
  </si>
  <si>
    <t>Tennis umpire's stands</t>
  </si>
  <si>
    <t>45-35-60/431 Umpire's stands;</t>
  </si>
  <si>
    <t>Pr_40_50_12_93</t>
  </si>
  <si>
    <t>Upholstered benches</t>
  </si>
  <si>
    <t>Pr_40_50_12_94</t>
  </si>
  <si>
    <t>Utility weight benches</t>
  </si>
  <si>
    <t>Pr_40_50_13</t>
  </si>
  <si>
    <t>Clocks</t>
  </si>
  <si>
    <t>Pr_40_50_13_06</t>
  </si>
  <si>
    <t>Battery analogue clocks</t>
  </si>
  <si>
    <t>Pr_40_50_13_22</t>
  </si>
  <si>
    <t>Digital clocks</t>
  </si>
  <si>
    <t>Pr_40_50_13_26</t>
  </si>
  <si>
    <t>Electric clocks</t>
  </si>
  <si>
    <t>Pr_40_50_13_29</t>
  </si>
  <si>
    <t>Flip clocks</t>
  </si>
  <si>
    <t>Pr_40_50_13_51</t>
  </si>
  <si>
    <t>Mechanical clocks</t>
  </si>
  <si>
    <t>45-35-86/345 Clocks;</t>
  </si>
  <si>
    <t>Pr_40_50_13_61</t>
  </si>
  <si>
    <t>Pendulum clocks</t>
  </si>
  <si>
    <t>Pr_40_50_13_66</t>
  </si>
  <si>
    <t>Projection clocks</t>
  </si>
  <si>
    <t>Pr_40_50_13_70</t>
  </si>
  <si>
    <t>Quartz clocks</t>
  </si>
  <si>
    <t>Pr_40_50_13_71</t>
  </si>
  <si>
    <t>Radio clocks</t>
  </si>
  <si>
    <t>Pr_40_50_13_86</t>
  </si>
  <si>
    <t>Sundials</t>
  </si>
  <si>
    <t>Pr_40_50_13_89</t>
  </si>
  <si>
    <t>Torsion pendulum clocks</t>
  </si>
  <si>
    <t>Pr_40_50_13_96</t>
  </si>
  <si>
    <t>Water clocks</t>
  </si>
  <si>
    <t>Pr_40_50_21</t>
  </si>
  <si>
    <t>Desks, tables and worktops</t>
  </si>
  <si>
    <t>Pr_40_50_21_05</t>
  </si>
  <si>
    <t>Audio-visual tables</t>
  </si>
  <si>
    <t>Pr_40_50_21_08</t>
  </si>
  <si>
    <t>Boardroom tables</t>
  </si>
  <si>
    <t>Pr_40_50_21_10</t>
  </si>
  <si>
    <t>Bureaux</t>
  </si>
  <si>
    <t>Pr_40_50_21_11</t>
  </si>
  <si>
    <t>Cable-managed podium tables</t>
  </si>
  <si>
    <t>Pr_40_50_21_13</t>
  </si>
  <si>
    <t>Classroom desks and tables</t>
  </si>
  <si>
    <t>45-35-20/315 Classroom desks and tables;</t>
  </si>
  <si>
    <t>Pr_40_50_21_14</t>
  </si>
  <si>
    <t>Coffee tables</t>
  </si>
  <si>
    <t>Pr_40_50_21_15</t>
  </si>
  <si>
    <t>Conference tables</t>
  </si>
  <si>
    <t>Pr_40_50_21_16</t>
  </si>
  <si>
    <t>Console tables</t>
  </si>
  <si>
    <t>Pr_40_50_21_17</t>
  </si>
  <si>
    <t>Computer desks</t>
  </si>
  <si>
    <t>Pr_40_50_21_21</t>
  </si>
  <si>
    <t>Desks</t>
  </si>
  <si>
    <t>Pr_40_50_21_22</t>
  </si>
  <si>
    <t>Dining tables</t>
  </si>
  <si>
    <t>Pr_40_50_21_23</t>
  </si>
  <si>
    <t>Display case tables</t>
  </si>
  <si>
    <t>Pr_40_50_21_24</t>
  </si>
  <si>
    <t>Drafting machines</t>
  </si>
  <si>
    <t>Pr_40_50_21_25</t>
  </si>
  <si>
    <t>Drawing boards</t>
  </si>
  <si>
    <t>Pr_40_50_21_26</t>
  </si>
  <si>
    <t>Dressing tables</t>
  </si>
  <si>
    <t>Pr_40_50_21_29</t>
  </si>
  <si>
    <t>Flip-top tables</t>
  </si>
  <si>
    <t>Pr_40_50_21_30</t>
  </si>
  <si>
    <t>Folding dining room tables</t>
  </si>
  <si>
    <t>Pr_40_50_21_31</t>
  </si>
  <si>
    <t>Folding tables</t>
  </si>
  <si>
    <t>Pr_40_50_21_32</t>
  </si>
  <si>
    <t>Food preparation tables</t>
  </si>
  <si>
    <t>Pr_40_50_21_33</t>
  </si>
  <si>
    <t>Gallery benches</t>
  </si>
  <si>
    <t>Pr_40_50_21_44</t>
  </si>
  <si>
    <t>Kitchenettes</t>
  </si>
  <si>
    <t>Pr_40_50_21_45</t>
  </si>
  <si>
    <t>Kitchen worktops</t>
  </si>
  <si>
    <t>Pr_40_50_21_46</t>
  </si>
  <si>
    <t>Laboratory work benches and tables</t>
  </si>
  <si>
    <t>45-35-20/325 Laboratory work benches and tables;</t>
  </si>
  <si>
    <t>Pr_40_50_21_47</t>
  </si>
  <si>
    <t>Laundry finishing tables</t>
  </si>
  <si>
    <t>Pr_40_50_21_48</t>
  </si>
  <si>
    <t>Laundry spotting tables</t>
  </si>
  <si>
    <t>Pr_40_50_21_49</t>
  </si>
  <si>
    <t>Light tables</t>
  </si>
  <si>
    <t>Pr_40_50_21_50</t>
  </si>
  <si>
    <t>Manicure finishing tables</t>
  </si>
  <si>
    <t>Pr_40_50_21_51</t>
  </si>
  <si>
    <t>Meeting room tables</t>
  </si>
  <si>
    <t>Pr_40_50_21_58</t>
  </si>
  <si>
    <t>Occasional tables</t>
  </si>
  <si>
    <t>Pr_40_50_21_59</t>
  </si>
  <si>
    <t>Office desks</t>
  </si>
  <si>
    <t>45-35-20/335 Office desks;</t>
  </si>
  <si>
    <t>Pr_40_50_21_60</t>
  </si>
  <si>
    <t>Office tables</t>
  </si>
  <si>
    <t>45-35-20/340 Office tables;</t>
  </si>
  <si>
    <t>Pr_40_50_21_63</t>
  </si>
  <si>
    <t>Play tables</t>
  </si>
  <si>
    <t>Pr_40_50_21_70</t>
  </si>
  <si>
    <t>Reading desks</t>
  </si>
  <si>
    <t>Pr_40_50_21_73</t>
  </si>
  <si>
    <t>Reference and search desks</t>
  </si>
  <si>
    <t>Pr_40_50_21_76</t>
  </si>
  <si>
    <t>School art, design and technology tables</t>
  </si>
  <si>
    <t>45-35-20/320 School art, design and technology tables and workbenches;</t>
  </si>
  <si>
    <t>Pr_40_50_21_84</t>
  </si>
  <si>
    <t>Stand-up tables</t>
  </si>
  <si>
    <t>Pr_40_50_21_85</t>
  </si>
  <si>
    <t>Study desks</t>
  </si>
  <si>
    <t>Pr_40_50_21_90</t>
  </si>
  <si>
    <t>Touchdown desks</t>
  </si>
  <si>
    <t>Pr_40_50_21_96</t>
  </si>
  <si>
    <t>Workstations</t>
  </si>
  <si>
    <t>Pr_40_50_21_98</t>
  </si>
  <si>
    <t>Writing desks</t>
  </si>
  <si>
    <t>Pr_40_50_21_99</t>
  </si>
  <si>
    <t>Writing tablets (detachable)</t>
  </si>
  <si>
    <t>Pr_40_50_28</t>
  </si>
  <si>
    <t>Extinguishers and fire blankets</t>
  </si>
  <si>
    <t>Pr_40_50_28_11</t>
  </si>
  <si>
    <t>Carbon dioxide fire extinguishers</t>
  </si>
  <si>
    <t>45-35-28/320 Carbon dioxide fire extinguishers;</t>
  </si>
  <si>
    <t>Pr_40_50_28_12</t>
  </si>
  <si>
    <t>Carbon steel fire buckets</t>
  </si>
  <si>
    <t>45-35-28/380 Fire buckets;</t>
  </si>
  <si>
    <t>Pr_40_50_28_24</t>
  </si>
  <si>
    <t>Dry powder fire extinguishers</t>
  </si>
  <si>
    <t>45-35-28/330 Dry powder fire extinguishers;</t>
  </si>
  <si>
    <t>Pr_40_50_28_28</t>
  </si>
  <si>
    <t>Extinguisher floor stands</t>
  </si>
  <si>
    <t>45-35-28/470 Floor stands;</t>
  </si>
  <si>
    <t>Pr_40_50_28_29</t>
  </si>
  <si>
    <t>Fire protective blankets</t>
  </si>
  <si>
    <t>45-35-28/390 Type 1 fire blankets;</t>
  </si>
  <si>
    <t>Pr_40_50_28_30</t>
  </si>
  <si>
    <t>Foam fire extinguishers</t>
  </si>
  <si>
    <t>45-35-28/340 Foam fire extinguishers;</t>
  </si>
  <si>
    <t>Pr_40_50_28_31</t>
  </si>
  <si>
    <t>Fire suppression liquid</t>
  </si>
  <si>
    <t>Pr_40_50_28_47</t>
  </si>
  <si>
    <t>Heat protective blankets</t>
  </si>
  <si>
    <t>45-35-28/400 Type 2 fire blankets;</t>
  </si>
  <si>
    <t>Pr_40_50_28_64</t>
  </si>
  <si>
    <t>Portable fire extinguishers</t>
  </si>
  <si>
    <t>Pr_40_50_28_96</t>
  </si>
  <si>
    <t>Water fire extinguishers</t>
  </si>
  <si>
    <t>45-35-28/350 Water fire extinguishers;</t>
  </si>
  <si>
    <t>Pr_40_50_28_97</t>
  </si>
  <si>
    <t>Wet chemical fire extinguishers</t>
  </si>
  <si>
    <t>45-35-28/360 Wet chemical fire extinguishers;</t>
  </si>
  <si>
    <t>Pr_40_50_31</t>
  </si>
  <si>
    <t>Furniture booths</t>
  </si>
  <si>
    <t>Pr_40_50_31_51</t>
  </si>
  <si>
    <t>Meeting booths</t>
  </si>
  <si>
    <t>Pr_40_50_31_71</t>
  </si>
  <si>
    <t>Restaurant booths</t>
  </si>
  <si>
    <t>Pr_40_50_33</t>
  </si>
  <si>
    <t>Garden furnishings</t>
  </si>
  <si>
    <t>Pr_40_50_33_33</t>
  </si>
  <si>
    <t>Garden awnings</t>
  </si>
  <si>
    <t>Pr_40_50_33_34</t>
  </si>
  <si>
    <t>Garden umbrellas</t>
  </si>
  <si>
    <t>Pr_40_50_51</t>
  </si>
  <si>
    <t>Medical chairs and couches</t>
  </si>
  <si>
    <t>Pr_40_50_51_05</t>
  </si>
  <si>
    <t>Bariatric patient chairs</t>
  </si>
  <si>
    <t>Pr_40_50_51_06</t>
  </si>
  <si>
    <t>Bariatric plinth couches</t>
  </si>
  <si>
    <t>Pr_40_50_51_07</t>
  </si>
  <si>
    <t>Blood sampling chairs</t>
  </si>
  <si>
    <t>Pr_40_50_51_08</t>
  </si>
  <si>
    <t>Bo-plinth couches</t>
  </si>
  <si>
    <t>Pr_40_50_51_15</t>
  </si>
  <si>
    <t>Commodes</t>
  </si>
  <si>
    <t>Pr_40_50_51_21</t>
  </si>
  <si>
    <t>Day care couches</t>
  </si>
  <si>
    <t>Pr_40_50_51_22</t>
  </si>
  <si>
    <t>Dental chairs</t>
  </si>
  <si>
    <t>Pr_40_50_51_23</t>
  </si>
  <si>
    <t>Dialysis chairs</t>
  </si>
  <si>
    <t>Pr_40_50_51_25</t>
  </si>
  <si>
    <t>Echocardiography couches</t>
  </si>
  <si>
    <t>Pr_40_50_51_26</t>
  </si>
  <si>
    <t>Ear, nose and throat (ENT) and ophthalmic chairs</t>
  </si>
  <si>
    <t>Pr_40_50_51_27</t>
  </si>
  <si>
    <t>Examination and treatment chairs</t>
  </si>
  <si>
    <t>Pr_40_50_51_28</t>
  </si>
  <si>
    <t>Examination and treatment couches</t>
  </si>
  <si>
    <t>Pr_40_50_51_31</t>
  </si>
  <si>
    <t>Foot stools</t>
  </si>
  <si>
    <t>Pr_40_50_51_34</t>
  </si>
  <si>
    <t>Gynaecology chairs</t>
  </si>
  <si>
    <t>Pr_40_50_51_35</t>
  </si>
  <si>
    <t>Gynaecology couches</t>
  </si>
  <si>
    <t>Pr_40_50_51_51</t>
  </si>
  <si>
    <t>Minor operations couches</t>
  </si>
  <si>
    <t>Pr_40_50_51_58</t>
  </si>
  <si>
    <t>Oncology chairs</t>
  </si>
  <si>
    <t>Pr_40_50_51_59</t>
  </si>
  <si>
    <t>Outpatients couches</t>
  </si>
  <si>
    <t>Pr_40_50_51_61</t>
  </si>
  <si>
    <t>Phlebotomy chairs</t>
  </si>
  <si>
    <t>Pr_40_50_51_62</t>
  </si>
  <si>
    <t>Phlebotomy couches</t>
  </si>
  <si>
    <t>Pr_40_50_51_63</t>
  </si>
  <si>
    <t>Plaster chairs</t>
  </si>
  <si>
    <t>Pr_40_50_51_65</t>
  </si>
  <si>
    <t>Podiatry chairs</t>
  </si>
  <si>
    <t>Pr_40_50_51_71</t>
  </si>
  <si>
    <t>Reclining treatment armchairs</t>
  </si>
  <si>
    <t>Pr_40_50_51_75</t>
  </si>
  <si>
    <t>Sanitary seats</t>
  </si>
  <si>
    <t>Pr_40_50_51_84</t>
  </si>
  <si>
    <t>Step stools</t>
  </si>
  <si>
    <t>Pr_40_50_51_92</t>
  </si>
  <si>
    <t>Ultrasound couches</t>
  </si>
  <si>
    <t>Pr_40_50_52</t>
  </si>
  <si>
    <t>Medical desks, tables and worktops</t>
  </si>
  <si>
    <t>Pr_40_50_52_22</t>
  </si>
  <si>
    <t>Dissection tables</t>
  </si>
  <si>
    <t>Pr_40_50_52_50</t>
  </si>
  <si>
    <t>Mayo tables</t>
  </si>
  <si>
    <t>Pr_40_50_52_57</t>
  </si>
  <si>
    <t>Operating theatre tables</t>
  </si>
  <si>
    <t>Pr_40_50_52_58</t>
  </si>
  <si>
    <t>Overbed tables</t>
  </si>
  <si>
    <t>Pr_40_50_52_59</t>
  </si>
  <si>
    <t>Overchair tables</t>
  </si>
  <si>
    <t>Pr_40_50_52_65</t>
  </si>
  <si>
    <t>Post-mortem tables</t>
  </si>
  <si>
    <t>Pr_40_50_52_88</t>
  </si>
  <si>
    <t>Tilt tables</t>
  </si>
  <si>
    <t>Pr_40_50_53</t>
  </si>
  <si>
    <t>Medical trolleys</t>
  </si>
  <si>
    <t>Pr_40_50_53_04</t>
  </si>
  <si>
    <t>Armchair patient trolleys</t>
  </si>
  <si>
    <t>Pr_40_50_53_06</t>
  </si>
  <si>
    <t>Bariatric patient trolleys</t>
  </si>
  <si>
    <t>Pr_40_50_53_24</t>
  </si>
  <si>
    <t>Dressing trolleys</t>
  </si>
  <si>
    <t>Pr_40_50_53_27</t>
  </si>
  <si>
    <t>Emergency trolleys</t>
  </si>
  <si>
    <t>Pr_40_50_53_33</t>
  </si>
  <si>
    <t>General purpose medical trolleys</t>
  </si>
  <si>
    <t>Pr_40_50_53_41</t>
  </si>
  <si>
    <t>Instruments trolleys</t>
  </si>
  <si>
    <t>Pr_40_50_53_48</t>
  </si>
  <si>
    <t>Lockable hospital trolleys</t>
  </si>
  <si>
    <t>Pr_40_50_53_51</t>
  </si>
  <si>
    <t>Medical service carts</t>
  </si>
  <si>
    <t>Pr_40_50_53_60</t>
  </si>
  <si>
    <t>Patient notes trolleys</t>
  </si>
  <si>
    <t>Pr_40_50_53_61</t>
  </si>
  <si>
    <t>Patient trolleys</t>
  </si>
  <si>
    <t>Pr_40_50_53_62</t>
  </si>
  <si>
    <t>Phlebotomy trolleys</t>
  </si>
  <si>
    <t>Pr_40_50_53_66</t>
  </si>
  <si>
    <t>Procedure trolleys</t>
  </si>
  <si>
    <t>Pr_40_50_53_81</t>
  </si>
  <si>
    <t>Soiled linen trolleys</t>
  </si>
  <si>
    <t>Pr_40_50_81</t>
  </si>
  <si>
    <t>Soft furnishings</t>
  </si>
  <si>
    <t>Pr_40_50_81_06</t>
  </si>
  <si>
    <t>Beanbags</t>
  </si>
  <si>
    <t>Pr_40_50_81_07</t>
  </si>
  <si>
    <t>Blankets</t>
  </si>
  <si>
    <t>Pr_40_50_81_20</t>
  </si>
  <si>
    <t>Cushions</t>
  </si>
  <si>
    <t>Pr_40_50_81_25</t>
  </si>
  <si>
    <t>Duvets</t>
  </si>
  <si>
    <t>Pr_40_50_81_29</t>
  </si>
  <si>
    <t>Flannels</t>
  </si>
  <si>
    <t>Pr_40_50_81_56</t>
  </si>
  <si>
    <t>Napkins</t>
  </si>
  <si>
    <t>Pr_40_50_81_62</t>
  </si>
  <si>
    <t>Pillows</t>
  </si>
  <si>
    <t>Pr_40_50_81_63</t>
  </si>
  <si>
    <t>Placemats</t>
  </si>
  <si>
    <t>Pr_40_50_81_73</t>
  </si>
  <si>
    <t>Rugs</t>
  </si>
  <si>
    <t>Pr_40_50_81_74</t>
  </si>
  <si>
    <t>Runners</t>
  </si>
  <si>
    <t>Pr_40_50_81_77</t>
  </si>
  <si>
    <t>Sheets</t>
  </si>
  <si>
    <t>Pr_40_50_81_86</t>
  </si>
  <si>
    <t>Swags</t>
  </si>
  <si>
    <t>Pr_40_50_81_87</t>
  </si>
  <si>
    <t>Tablecloths</t>
  </si>
  <si>
    <t>Pr_40_50_81_90</t>
  </si>
  <si>
    <t>Towels</t>
  </si>
  <si>
    <t>Pr_40_50_81_91</t>
  </si>
  <si>
    <t>Trimmings</t>
  </si>
  <si>
    <t>Pr_40_50_81_94</t>
  </si>
  <si>
    <t>Valances</t>
  </si>
  <si>
    <t>Pr_40_50_83</t>
  </si>
  <si>
    <t>Sports furnishings</t>
  </si>
  <si>
    <t>Pr_40_50_83_06</t>
  </si>
  <si>
    <t>Balancing equipment</t>
  </si>
  <si>
    <t>45-35-60/371 Balancing equipment;</t>
  </si>
  <si>
    <t>Pr_40_50_83_19</t>
  </si>
  <si>
    <t>Cricket wicket stump boxes</t>
  </si>
  <si>
    <t>45-35-60/435 Stump boxes to cricket wickets;</t>
  </si>
  <si>
    <t>Pr_40_50_83_20</t>
  </si>
  <si>
    <t>Cycle ramps</t>
  </si>
  <si>
    <t>45-35-60/381 Cycle ramps;</t>
  </si>
  <si>
    <t>Pr_40_50_83_28</t>
  </si>
  <si>
    <t>Equestrian riding equipment</t>
  </si>
  <si>
    <t>45-35-60/401 Riding equipment;</t>
  </si>
  <si>
    <t>Pr_40_50_83_29</t>
  </si>
  <si>
    <t>Fencing pistes</t>
  </si>
  <si>
    <t>Pr_40_50_83_44</t>
  </si>
  <si>
    <t>Jumping equipment</t>
  </si>
  <si>
    <t>45-35-60/373 Jumping equipment;</t>
  </si>
  <si>
    <t>Pr_40_50_84</t>
  </si>
  <si>
    <t>Stands</t>
  </si>
  <si>
    <t>Pr_40_50_84_09</t>
  </si>
  <si>
    <t>Bowl stands</t>
  </si>
  <si>
    <t>Pr_40_50_84_23</t>
  </si>
  <si>
    <t>Display banner stands</t>
  </si>
  <si>
    <t>Pr_40_50_84_28</t>
  </si>
  <si>
    <t>Exhibit stands</t>
  </si>
  <si>
    <t>Pr_40_50_84_36</t>
  </si>
  <si>
    <t>Hat stands</t>
  </si>
  <si>
    <t>Pr_40_50_84_42</t>
  </si>
  <si>
    <t>Infusion stands</t>
  </si>
  <si>
    <t>Pr_40_50_84_51</t>
  </si>
  <si>
    <t>Medical equipment stands</t>
  </si>
  <si>
    <t>Pr_40_50_84_66</t>
  </si>
  <si>
    <t>Print stands</t>
  </si>
  <si>
    <t>Pr_40_50_84_92</t>
  </si>
  <si>
    <t>Umbrella stands</t>
  </si>
  <si>
    <t>Pr_40_50_86</t>
  </si>
  <si>
    <t>Swimming pool furnishings</t>
  </si>
  <si>
    <t>Pr_40_50_86_46</t>
  </si>
  <si>
    <t>Lane rope storage bags</t>
  </si>
  <si>
    <t>45-35-90/410 Lane rope storage bags;</t>
  </si>
  <si>
    <t>Pr_40_50_86_62</t>
  </si>
  <si>
    <t>Portable domestic diving boards</t>
  </si>
  <si>
    <t>45-35-90/340 Diving boards (portable - private use);</t>
  </si>
  <si>
    <t>Pr_40_50_86_64</t>
  </si>
  <si>
    <t>Portable starting platforms</t>
  </si>
  <si>
    <t>Pr_40_50_86_66</t>
  </si>
  <si>
    <t>Private use pool covers</t>
  </si>
  <si>
    <t>45-35-90/375 Pool covers (private use);</t>
  </si>
  <si>
    <t>Pr_40_50_86_68</t>
  </si>
  <si>
    <t>Public use pool covers</t>
  </si>
  <si>
    <t>45-35-90/380 Pool covers (public use);</t>
  </si>
  <si>
    <t>Pr_40_50_90</t>
  </si>
  <si>
    <t>Trolleys</t>
  </si>
  <si>
    <t>Pr_40_50_90_08</t>
  </si>
  <si>
    <t>Book trolleys</t>
  </si>
  <si>
    <t>Pr_40_50_90_15</t>
  </si>
  <si>
    <t>Computer trolleys</t>
  </si>
  <si>
    <t>Pr_40_50_90_30</t>
  </si>
  <si>
    <t>Fire trolleys</t>
  </si>
  <si>
    <t>45-35-28/450 Fire trolleys;</t>
  </si>
  <si>
    <t>Pr_40_50_90_31</t>
  </si>
  <si>
    <t>Food preparation trolleys</t>
  </si>
  <si>
    <t>Pr_40_50_90_32</t>
  </si>
  <si>
    <t>Food service trolleys</t>
  </si>
  <si>
    <t>45-35-15/466 Trolleys;</t>
  </si>
  <si>
    <t>Pr_40_50_90_33</t>
  </si>
  <si>
    <t>Furniture trolleys</t>
  </si>
  <si>
    <t>Pr_40_50_90_46</t>
  </si>
  <si>
    <t>Laundry trolleys</t>
  </si>
  <si>
    <t>45-35-47/445 Laundry trolleys;</t>
  </si>
  <si>
    <t>Pr_40_50_90_47</t>
  </si>
  <si>
    <t>Laundry bag trolleys</t>
  </si>
  <si>
    <t>45-35-47/450 Laundry bag trolleys;</t>
  </si>
  <si>
    <t>Pr_40_50_90_49</t>
  </si>
  <si>
    <t>Luggage trolleys</t>
  </si>
  <si>
    <t>Pr_40_50_90_52</t>
  </si>
  <si>
    <t>Mailroom trolleys</t>
  </si>
  <si>
    <t>45-35-35/380 Mailroom trolleys;</t>
  </si>
  <si>
    <t>Pr_40_50_90_64</t>
  </si>
  <si>
    <t>Pool lane rope storage trolleys</t>
  </si>
  <si>
    <t>45-35-90/420 Lane rope storage trolleys;</t>
  </si>
  <si>
    <t>Pr_40_50_90_72</t>
  </si>
  <si>
    <t>Relay break detector storage trolleys</t>
  </si>
  <si>
    <t>90-70-90/440 Relay break detector storage trolley;</t>
  </si>
  <si>
    <t>Pr_40_50_90_76</t>
  </si>
  <si>
    <t>Shopping trolleys</t>
  </si>
  <si>
    <t>Pr_40_50_90_82</t>
  </si>
  <si>
    <t>Spa treatment trolleys</t>
  </si>
  <si>
    <t>Pr_40_50_90_87</t>
  </si>
  <si>
    <t>Table storage trolleys</t>
  </si>
  <si>
    <t>Pr_40_50_90_88</t>
  </si>
  <si>
    <t>Touchpad storage trolleys</t>
  </si>
  <si>
    <t>90-70-90/430 Touchpad storage trolley;</t>
  </si>
  <si>
    <t>Pr_40_50_96</t>
  </si>
  <si>
    <t>Wheels</t>
  </si>
  <si>
    <t>Pr_40_50_96_11</t>
  </si>
  <si>
    <t>Castors</t>
  </si>
  <si>
    <t>Pr_40_70</t>
  </si>
  <si>
    <t>Pr_40_70_05</t>
  </si>
  <si>
    <t>Audio visual equipment</t>
  </si>
  <si>
    <t>Pr_40_70_05_70</t>
  </si>
  <si>
    <t>Radios</t>
  </si>
  <si>
    <t>Pr_40_70_05_88</t>
  </si>
  <si>
    <t>Televisions</t>
  </si>
  <si>
    <t>Pr_40_70_13</t>
  </si>
  <si>
    <t>Cleaning equipment</t>
  </si>
  <si>
    <t>Pr_40_70_13_50</t>
  </si>
  <si>
    <t>Machine parts cleaning washer units</t>
  </si>
  <si>
    <t>Pr_40_70_13_58</t>
  </si>
  <si>
    <t>Oil spillage cleaning units</t>
  </si>
  <si>
    <t>Pr_40_70_13_60</t>
  </si>
  <si>
    <t>Orbital tank cleaners</t>
  </si>
  <si>
    <t>Pr_40_70_13_72</t>
  </si>
  <si>
    <t>Robotic cleaning units</t>
  </si>
  <si>
    <t>45-35-74/470 Robotic cleaning units;</t>
  </si>
  <si>
    <t>Pr_40_70_15</t>
  </si>
  <si>
    <t>Cold water supply sources</t>
  </si>
  <si>
    <t>Pr_40_70_15_96</t>
  </si>
  <si>
    <t>Water coolers</t>
  </si>
  <si>
    <t>90-15-35/480 Water coolers;</t>
  </si>
  <si>
    <t>Pr_40_70_21</t>
  </si>
  <si>
    <t>Dishwashers</t>
  </si>
  <si>
    <t>Pr_40_70_21_16</t>
  </si>
  <si>
    <t>Conveyor dishwashers</t>
  </si>
  <si>
    <t>45-35-15/420 Conveyor dishwashers;</t>
  </si>
  <si>
    <t>Pr_40_70_21_22</t>
  </si>
  <si>
    <t>Dish and utensil washers</t>
  </si>
  <si>
    <t>Pr_40_70_21_24</t>
  </si>
  <si>
    <t>Domestic dishwashers</t>
  </si>
  <si>
    <t>45-35-15/478 Dishwashers;</t>
  </si>
  <si>
    <t>Pr_40_70_21_30</t>
  </si>
  <si>
    <t>Flight dishwashers</t>
  </si>
  <si>
    <t>Pr_40_70_21_60</t>
  </si>
  <si>
    <t>Pass-through dishwashers</t>
  </si>
  <si>
    <t>45-35-15/422 Commercial passthrough dishwashers;</t>
  </si>
  <si>
    <t>Pr_40_70_21_92</t>
  </si>
  <si>
    <t>Under-counter dishwashers</t>
  </si>
  <si>
    <t>45-35-15/424 Commercial undercounter dishwashers;</t>
  </si>
  <si>
    <t>Pr_40_70_22</t>
  </si>
  <si>
    <t>Dispensers and acceptance units</t>
  </si>
  <si>
    <t>Pr_40_70_22_05</t>
  </si>
  <si>
    <t>Automated teller machines</t>
  </si>
  <si>
    <t>Pr_40_70_22_06</t>
  </si>
  <si>
    <t>Barrier parking control units</t>
  </si>
  <si>
    <t>45-35-24/301 Barrier parking control units;</t>
  </si>
  <si>
    <t>Pr_40_70_22_11</t>
  </si>
  <si>
    <t>Cash dispensers</t>
  </si>
  <si>
    <t>Pr_40_70_22_15</t>
  </si>
  <si>
    <t>Cold drink dispensers</t>
  </si>
  <si>
    <t>Pr_40_70_22_16</t>
  </si>
  <si>
    <t>Collection boxes</t>
  </si>
  <si>
    <t>Pr_40_70_22_17</t>
  </si>
  <si>
    <t>Condom dispensers</t>
  </si>
  <si>
    <t>Pr_40_70_22_22</t>
  </si>
  <si>
    <t>Disposable apron dispensers</t>
  </si>
  <si>
    <t>45-35-72/326 Disposable apron dispensers;</t>
  </si>
  <si>
    <t>Pr_40_70_22_23</t>
  </si>
  <si>
    <t>Disposable glove dispensers</t>
  </si>
  <si>
    <t>45-35-72/328 Disposable glove dispensers;</t>
  </si>
  <si>
    <t>Pr_40_70_22_24</t>
  </si>
  <si>
    <t>Donation boxes</t>
  </si>
  <si>
    <t>45-35-24/309 Donation boxes;</t>
  </si>
  <si>
    <t>Pr_40_70_22_25</t>
  </si>
  <si>
    <t>Drive-by cash payment units</t>
  </si>
  <si>
    <t>Pr_40_70_22_29</t>
  </si>
  <si>
    <t>Facial tissue dispensers</t>
  </si>
  <si>
    <t>45-35-72/330 Facial tissue dispensers;</t>
  </si>
  <si>
    <t>Pr_40_70_22_31</t>
  </si>
  <si>
    <t>Food waste disposal units</t>
  </si>
  <si>
    <t>45-35-15/438 Food waste disposal units;</t>
  </si>
  <si>
    <t>Pr_40_70_22_36</t>
  </si>
  <si>
    <t>Hand cleaning gel dispensers</t>
  </si>
  <si>
    <t>45-35-72/332 Hand cleaning gel dispensers;</t>
  </si>
  <si>
    <t>Pr_40_70_22_37</t>
  </si>
  <si>
    <t>Hot drink dispensers</t>
  </si>
  <si>
    <t>Pr_40_70_22_38</t>
  </si>
  <si>
    <t>Hot food dispensers</t>
  </si>
  <si>
    <t>Pr_40_70_22_47</t>
  </si>
  <si>
    <t>Leaflet dispensers</t>
  </si>
  <si>
    <t>45-35-24/307 Leaflet dispensers;</t>
  </si>
  <si>
    <t>Pr_40_70_22_52</t>
  </si>
  <si>
    <t>Multi-function dispensers</t>
  </si>
  <si>
    <t>45-35-72/384 Multi-function dispensers;</t>
  </si>
  <si>
    <t>Pr_40_70_22_56</t>
  </si>
  <si>
    <t>Newspaper dispensers</t>
  </si>
  <si>
    <t>Pr_40_70_22_60</t>
  </si>
  <si>
    <t>Packaged goods dispensers</t>
  </si>
  <si>
    <t>Pr_40_70_22_61</t>
  </si>
  <si>
    <t>Paper roll dispensers</t>
  </si>
  <si>
    <t>45-35-72/342 Paper roll dispensers;</t>
  </si>
  <si>
    <t>Pr_40_70_22_62</t>
  </si>
  <si>
    <t>Paper towel dispensers</t>
  </si>
  <si>
    <t>45-35-72/344 Paper towel dispensers;</t>
  </si>
  <si>
    <t>Pr_40_70_22_63</t>
  </si>
  <si>
    <t>Parking meters</t>
  </si>
  <si>
    <t>45-35-24/305 Parking meters;</t>
  </si>
  <si>
    <t>Pr_40_70_22_64</t>
  </si>
  <si>
    <t>Pay and display units</t>
  </si>
  <si>
    <t>45-35-24/303 Pay and display equipment;</t>
  </si>
  <si>
    <t>Pr_40_70_22_66</t>
  </si>
  <si>
    <t>Plate dispensers</t>
  </si>
  <si>
    <t>45-35-15/408 Commercial plate dispensers;</t>
  </si>
  <si>
    <t>Pr_40_70_22_71</t>
  </si>
  <si>
    <t>Refreshment dispensers</t>
  </si>
  <si>
    <t>45-35-35/390 Refreshment dispensers;</t>
  </si>
  <si>
    <t>Pr_40_70_22_75</t>
  </si>
  <si>
    <t>Sanitary towel dispensers</t>
  </si>
  <si>
    <t>45-35-72/348 Sanitary towel dispensers;</t>
  </si>
  <si>
    <t>Pr_40_70_22_77</t>
  </si>
  <si>
    <t>Shaving product dispensers</t>
  </si>
  <si>
    <t>Pr_40_70_22_80</t>
  </si>
  <si>
    <t>Snack dispensers</t>
  </si>
  <si>
    <t>Pr_40_70_22_81</t>
  </si>
  <si>
    <t>Soap dispensers</t>
  </si>
  <si>
    <t>45-35-72/358 Soap dispensers;</t>
  </si>
  <si>
    <t>Pr_40_70_22_85</t>
  </si>
  <si>
    <t>Surface wipes dispensers</t>
  </si>
  <si>
    <t>45-35-72/362 Surface wipes dispensers;</t>
  </si>
  <si>
    <t>Pr_40_70_22_86</t>
  </si>
  <si>
    <t>Sweets dispensers</t>
  </si>
  <si>
    <t>Pr_40_70_22_88</t>
  </si>
  <si>
    <t>Ticket dispensers</t>
  </si>
  <si>
    <t>Pr_40_70_22_90</t>
  </si>
  <si>
    <t>Toilet paper dispensers</t>
  </si>
  <si>
    <t>45-35-72/366 Toilet paper bulk dispensers;</t>
  </si>
  <si>
    <t>Pr_40_70_22_92</t>
  </si>
  <si>
    <t>Tool dispensers</t>
  </si>
  <si>
    <t>Pr_40_70_23</t>
  </si>
  <si>
    <t>Display and service catering products</t>
  </si>
  <si>
    <t>Pr_40_70_23_06</t>
  </si>
  <si>
    <t>Bains-marie</t>
  </si>
  <si>
    <t>45-35-15/400 Commercial electric bains-marie;</t>
  </si>
  <si>
    <t>Pr_40_70_23_24</t>
  </si>
  <si>
    <t>Drinks chillers</t>
  </si>
  <si>
    <t>Pr_40_70_23_27</t>
  </si>
  <si>
    <t>Espresso machines</t>
  </si>
  <si>
    <t>Pr_40_70_23_31</t>
  </si>
  <si>
    <t>Food display units</t>
  </si>
  <si>
    <t>Pr_40_70_23_33</t>
  </si>
  <si>
    <t>Food sneeze guards</t>
  </si>
  <si>
    <t>45-35-15/463 Sneeze guards;</t>
  </si>
  <si>
    <t>Pr_40_70_23_40</t>
  </si>
  <si>
    <t>Icemakers</t>
  </si>
  <si>
    <t>Pr_40_70_23_42</t>
  </si>
  <si>
    <t>Instant boiling and cold water taps</t>
  </si>
  <si>
    <t>90-15-35/485 Boiling water and chilled water taps;</t>
  </si>
  <si>
    <t>Pr_40_70_23_53</t>
  </si>
  <si>
    <t>Mobile bains-marie</t>
  </si>
  <si>
    <t>45-35-15/402 Mobile bains-marie;</t>
  </si>
  <si>
    <t>Pr_40_70_23_54</t>
  </si>
  <si>
    <t>Mobile plain top hot cupboards</t>
  </si>
  <si>
    <t>45-35-15/404 Mobile plain top hot cupboards;</t>
  </si>
  <si>
    <t>Pr_40_70_23_71</t>
  </si>
  <si>
    <t>Refrigerated display cabinets</t>
  </si>
  <si>
    <t>Pr_40_70_23_72</t>
  </si>
  <si>
    <t>Refrigerated display counters</t>
  </si>
  <si>
    <t>Pr_40_70_23_84</t>
  </si>
  <si>
    <t>Static plain top hot cupboards</t>
  </si>
  <si>
    <t>Pr_40_70_23_86</t>
  </si>
  <si>
    <t>Sushi trains</t>
  </si>
  <si>
    <t>Pr_40_70_24</t>
  </si>
  <si>
    <t>Domestic cooking equipment</t>
  </si>
  <si>
    <t>Pr_40_70_24_07</t>
  </si>
  <si>
    <t>Built-in electric hobs</t>
  </si>
  <si>
    <t>45-35-15/470 Built-in electric hobs;</t>
  </si>
  <si>
    <t>Pr_40_70_24_08</t>
  </si>
  <si>
    <t>Built-in electric ovens</t>
  </si>
  <si>
    <t>45-35-15/474 Built-in electric ovens;</t>
  </si>
  <si>
    <t>Pr_40_70_24_09</t>
  </si>
  <si>
    <t>Built-in gas hobs</t>
  </si>
  <si>
    <t>45-35-15/472 Built-in gas hobs;</t>
  </si>
  <si>
    <t>Pr_40_70_24_10</t>
  </si>
  <si>
    <t>Built-in gas ovens</t>
  </si>
  <si>
    <t>45-35-15/476 Built-in gas ovens;</t>
  </si>
  <si>
    <t>Pr_40_70_24_11</t>
  </si>
  <si>
    <t>Built-in microwave ovens</t>
  </si>
  <si>
    <t>Pr_40_70_24_15</t>
  </si>
  <si>
    <t>Combination microwave ovens</t>
  </si>
  <si>
    <t>45-35-15/498 Microwave ovens;</t>
  </si>
  <si>
    <t>Pr_40_70_24_26</t>
  </si>
  <si>
    <t>Electric barbecues</t>
  </si>
  <si>
    <t>Pr_40_70_24_27</t>
  </si>
  <si>
    <t>Electric ranges</t>
  </si>
  <si>
    <t>45-35-15/480 Electric cooking ranges;</t>
  </si>
  <si>
    <t>Pr_40_70_24_33</t>
  </si>
  <si>
    <t>Gas barbecues</t>
  </si>
  <si>
    <t>Pr_40_70_24_34</t>
  </si>
  <si>
    <t>Gas ranges</t>
  </si>
  <si>
    <t>45-35-15/482 Gas cooking ranges;</t>
  </si>
  <si>
    <t>Pr_40_70_24_35</t>
  </si>
  <si>
    <t>Gas free-standing cookers</t>
  </si>
  <si>
    <t>45-35-15/484 Gas free-standing cookers;</t>
  </si>
  <si>
    <t>Pr_40_70_24_45</t>
  </si>
  <si>
    <t>Kettles</t>
  </si>
  <si>
    <t>Pr_40_70_24_81</t>
  </si>
  <si>
    <t>Solid fuel barbecues</t>
  </si>
  <si>
    <t>Pr_40_70_25</t>
  </si>
  <si>
    <t>Domestic laundry equipment</t>
  </si>
  <si>
    <t>Pr_40_70_25_45</t>
  </si>
  <si>
    <t>Laundry tumble dryers</t>
  </si>
  <si>
    <t>45-35-47/310 Domestic tumble dryers;</t>
  </si>
  <si>
    <t>Pr_40_70_25_46</t>
  </si>
  <si>
    <t>Laundry washer-dryers</t>
  </si>
  <si>
    <t>45-35-47/305 Domestic combined washer-dryers;</t>
  </si>
  <si>
    <t>Pr_40_70_25_47</t>
  </si>
  <si>
    <t>Laundry washing machines</t>
  </si>
  <si>
    <t>45-35-47/315 Domestic washing machines;</t>
  </si>
  <si>
    <t>Pr_40_70_27</t>
  </si>
  <si>
    <t>Environmental protection equipment</t>
  </si>
  <si>
    <t>Pr_40_70_27_56</t>
  </si>
  <si>
    <t>Oil containment booms</t>
  </si>
  <si>
    <t>Pr_40_70_29</t>
  </si>
  <si>
    <t>Fire simulation equipment</t>
  </si>
  <si>
    <t>Pr_40_70_29_01</t>
  </si>
  <si>
    <t>Aircraft fire training simulators</t>
  </si>
  <si>
    <t>45-35-32/305 Aircraft fire training simulator;</t>
  </si>
  <si>
    <t>Pr_40_70_31</t>
  </si>
  <si>
    <t>Food refrigerators and freezers</t>
  </si>
  <si>
    <t>Pr_40_70_31_06</t>
  </si>
  <si>
    <t>Blast chiller cabinets</t>
  </si>
  <si>
    <t>45-35-15/440 Commercial blast chiller cabinets;</t>
  </si>
  <si>
    <t>Pr_40_70_31_08</t>
  </si>
  <si>
    <t>Blast freezer cabinets</t>
  </si>
  <si>
    <t>45-35-15/442 Commercial blast freezer cabinets;</t>
  </si>
  <si>
    <t>Pr_40_70_31_29</t>
  </si>
  <si>
    <t>Freezer cabinets</t>
  </si>
  <si>
    <t>45-35-15/448 Commercial freezer cabinets;</t>
  </si>
  <si>
    <t>Pr_40_70_31_30</t>
  </si>
  <si>
    <t>Freezer counters</t>
  </si>
  <si>
    <t>45-35-15/450 Commercial freezer counters;</t>
  </si>
  <si>
    <t>Pr_40_70_31_31</t>
  </si>
  <si>
    <t>Freezers</t>
  </si>
  <si>
    <t>45-35-15/492 Freezers;</t>
  </si>
  <si>
    <t>Pr_40_70_31_32</t>
  </si>
  <si>
    <t>Fridge-freezers</t>
  </si>
  <si>
    <t>45-35-15/494 Fridge-freezers;</t>
  </si>
  <si>
    <t>Pr_40_70_31_70</t>
  </si>
  <si>
    <t>Refrigerated cabinets</t>
  </si>
  <si>
    <t>45-35-15/444 Commercial refrigerated cabinets;</t>
  </si>
  <si>
    <t>Pr_40_70_31_71</t>
  </si>
  <si>
    <t>Refrigerated counters</t>
  </si>
  <si>
    <t>45-35-15/446 Commercial refrigerated counters;</t>
  </si>
  <si>
    <t>Pr_40_70_31_72</t>
  </si>
  <si>
    <t>Refrigerators</t>
  </si>
  <si>
    <t>45-35-15/496 Refrigerators;</t>
  </si>
  <si>
    <t>Pr_40_70_35</t>
  </si>
  <si>
    <t>General workshop equipment</t>
  </si>
  <si>
    <t>Pr_40_70_35_15</t>
  </si>
  <si>
    <t>Clipping machines</t>
  </si>
  <si>
    <t>Pr_40_70_35_35</t>
  </si>
  <si>
    <t>Guillotines</t>
  </si>
  <si>
    <t>Pr_40_70_35_50</t>
  </si>
  <si>
    <t>Magnetic tool holders</t>
  </si>
  <si>
    <t>Pr_40_70_35_60</t>
  </si>
  <si>
    <t>Packaging machines</t>
  </si>
  <si>
    <t>Pr_40_70_35_67</t>
  </si>
  <si>
    <t>Punch machines</t>
  </si>
  <si>
    <t>Pr_40_70_35_77</t>
  </si>
  <si>
    <t>Shaping machines</t>
  </si>
  <si>
    <t>Pr_40_70_35_80</t>
  </si>
  <si>
    <t>Slotting machines</t>
  </si>
  <si>
    <t>Pr_40_70_35_84</t>
  </si>
  <si>
    <t>Strapping machines</t>
  </si>
  <si>
    <t>Pr_40_70_35_88</t>
  </si>
  <si>
    <t>Threading machines</t>
  </si>
  <si>
    <t>Pr_40_70_46</t>
  </si>
  <si>
    <t>Laundry fittings and equipment</t>
  </si>
  <si>
    <t>Pr_40_70_46_24</t>
  </si>
  <si>
    <t>Dryer ironers</t>
  </si>
  <si>
    <t>45-35-47/340 Dryer ironers;</t>
  </si>
  <si>
    <t>Pr_40_70_46_25</t>
  </si>
  <si>
    <t>Dry work presses</t>
  </si>
  <si>
    <t>45-35-47/405 Dry work presses;</t>
  </si>
  <si>
    <t>Pr_40_70_46_30</t>
  </si>
  <si>
    <t>Flatwork ironers</t>
  </si>
  <si>
    <t>45-35-47/370 Ironers;</t>
  </si>
  <si>
    <t>Pr_40_70_46_31</t>
  </si>
  <si>
    <t>Form finishers</t>
  </si>
  <si>
    <t>45-35-47/390 Form finishers;</t>
  </si>
  <si>
    <t>Pr_40_70_46_39</t>
  </si>
  <si>
    <t>Hydro extractors</t>
  </si>
  <si>
    <t>45-35-47/345 Hydro extractors;</t>
  </si>
  <si>
    <t>Pr_40_70_46_42</t>
  </si>
  <si>
    <t>Ironing tables</t>
  </si>
  <si>
    <t>45-35-47/400 Ironing tables;</t>
  </si>
  <si>
    <t>Pr_40_70_46_45</t>
  </si>
  <si>
    <t>Laundry cabinets</t>
  </si>
  <si>
    <t>45-35-47/415 Cabinets;</t>
  </si>
  <si>
    <t>Pr_40_70_46_46</t>
  </si>
  <si>
    <t>Laundry feeders</t>
  </si>
  <si>
    <t>45-35-47/350 Feeders;</t>
  </si>
  <si>
    <t>Pr_40_70_46_47</t>
  </si>
  <si>
    <t>Laundry folders</t>
  </si>
  <si>
    <t>45-35-47/355 Folders;</t>
  </si>
  <si>
    <t>Pr_40_70_46_48</t>
  </si>
  <si>
    <t>Laundry recovery tanks</t>
  </si>
  <si>
    <t>45-35-47/365 Recovery tanks;</t>
  </si>
  <si>
    <t>Pr_40_70_46_72</t>
  </si>
  <si>
    <t>Roller ironers</t>
  </si>
  <si>
    <t>Pr_40_70_46_77</t>
  </si>
  <si>
    <t>Shirt finishers</t>
  </si>
  <si>
    <t>45-35-47/385 Shirt finishers;</t>
  </si>
  <si>
    <t>Pr_40_70_46_82</t>
  </si>
  <si>
    <t>Spotting cabinets</t>
  </si>
  <si>
    <t>45-35-47/425 Spotting cabinets;</t>
  </si>
  <si>
    <t>Pr_40_70_46_83</t>
  </si>
  <si>
    <t>Spotting tables</t>
  </si>
  <si>
    <t>45-35-47/420 Spotting tables;</t>
  </si>
  <si>
    <t>Pr_40_70_46_90</t>
  </si>
  <si>
    <t>Trouser presses</t>
  </si>
  <si>
    <t>45-35-47/395 Trouser presses;</t>
  </si>
  <si>
    <t>Pr_40_70_46_96</t>
  </si>
  <si>
    <t>Washer extractors</t>
  </si>
  <si>
    <t>Pr_40_70_46_98</t>
  </si>
  <si>
    <t>Water extraction presses</t>
  </si>
  <si>
    <t>45-35-47/380 Water extraction presses;</t>
  </si>
  <si>
    <t>Pr_40_70_46_99</t>
  </si>
  <si>
    <t>Wet work presses</t>
  </si>
  <si>
    <t>45-35-47/410 Wet work presses;</t>
  </si>
  <si>
    <t>Pr_40_70_47</t>
  </si>
  <si>
    <t>Laundry washers and dryers</t>
  </si>
  <si>
    <t>Pr_40_70_47_06</t>
  </si>
  <si>
    <t>Barrier washers</t>
  </si>
  <si>
    <t>45-35-47/320 Barrier washers;</t>
  </si>
  <si>
    <t>Pr_40_70_47_07</t>
  </si>
  <si>
    <t>Batch laundry dryers</t>
  </si>
  <si>
    <t>45-35-47/325 Batch dryers;</t>
  </si>
  <si>
    <t>Pr_40_70_47_08</t>
  </si>
  <si>
    <t>Batch laundry washers</t>
  </si>
  <si>
    <t>45-35-47/330 Batch washers;</t>
  </si>
  <si>
    <t>Pr_40_70_47_32</t>
  </si>
  <si>
    <t>Front-loading washers</t>
  </si>
  <si>
    <t>45-35-47/360 Front load washers;</t>
  </si>
  <si>
    <t>Pr_40_70_47_46</t>
  </si>
  <si>
    <t>Laundry dryers</t>
  </si>
  <si>
    <t>Pr_40_70_47_75</t>
  </si>
  <si>
    <t>Sanitary barrier washers</t>
  </si>
  <si>
    <t>Pr_40_70_47_91</t>
  </si>
  <si>
    <t>Tumble dryers</t>
  </si>
  <si>
    <t>45-35-47/335 Tumble dryers;</t>
  </si>
  <si>
    <t>Pr_40_70_47_97</t>
  </si>
  <si>
    <t>Washer dryers</t>
  </si>
  <si>
    <t>45-35-47/375 Washer dryers;</t>
  </si>
  <si>
    <t>Pr_40_70_50</t>
  </si>
  <si>
    <t>Mail equipment</t>
  </si>
  <si>
    <t>Pr_40_70_50_32</t>
  </si>
  <si>
    <t>Franking machines</t>
  </si>
  <si>
    <t>Pr_40_70_50_65</t>
  </si>
  <si>
    <t>Post handling equipment</t>
  </si>
  <si>
    <t>Pr_40_70_51</t>
  </si>
  <si>
    <t>Medical and laboratory equipment</t>
  </si>
  <si>
    <t>Pr_40_70_51_04</t>
  </si>
  <si>
    <t>Autoclaves</t>
  </si>
  <si>
    <t>Pr_40_70_51_10</t>
  </si>
  <si>
    <t>Calorimeters</t>
  </si>
  <si>
    <t>Pr_40_70_51_16</t>
  </si>
  <si>
    <t>Contamination control equipment</t>
  </si>
  <si>
    <t>Pr_40_70_51_22</t>
  </si>
  <si>
    <t>Defibrillator units</t>
  </si>
  <si>
    <t>Pr_40_70_51_30</t>
  </si>
  <si>
    <t>Fermenters</t>
  </si>
  <si>
    <t>Pr_40_70_51_32</t>
  </si>
  <si>
    <t>First aid kits</t>
  </si>
  <si>
    <t>Pr_40_70_51_42</t>
  </si>
  <si>
    <t>Incubators</t>
  </si>
  <si>
    <t>Pr_40_70_51_44</t>
  </si>
  <si>
    <t>Jacketed vessels</t>
  </si>
  <si>
    <t>Pr_40_70_51_51</t>
  </si>
  <si>
    <t>Microscopes</t>
  </si>
  <si>
    <t>Pr_40_70_51_59</t>
  </si>
  <si>
    <t>Operating theatre equipment</t>
  </si>
  <si>
    <t>Pr_40_70_51_60</t>
  </si>
  <si>
    <t>Oscilloscopes</t>
  </si>
  <si>
    <t>Pr_40_70_51_70</t>
  </si>
  <si>
    <t>Retrievers</t>
  </si>
  <si>
    <t>Pr_40_70_51_84</t>
  </si>
  <si>
    <t>Sterilisation equipment</t>
  </si>
  <si>
    <t>Pr_40_70_51_94</t>
  </si>
  <si>
    <t>Vacuum furnaces</t>
  </si>
  <si>
    <t>Pr_40_70_55</t>
  </si>
  <si>
    <t>Mooring and docking equipment</t>
  </si>
  <si>
    <t>Pr_40_70_55_05</t>
  </si>
  <si>
    <t>Arch fenders</t>
  </si>
  <si>
    <t>Pr_40_70_55_15</t>
  </si>
  <si>
    <t>Capstan</t>
  </si>
  <si>
    <t>Pr_40_70_55_20</t>
  </si>
  <si>
    <t>Cone fenders</t>
  </si>
  <si>
    <t>Pr_40_70_55_22</t>
  </si>
  <si>
    <t>Cell fenders</t>
  </si>
  <si>
    <t>Pr_40_70_55_50</t>
  </si>
  <si>
    <t>Magnetic mooring devices</t>
  </si>
  <si>
    <t>Pr_40_70_55_53</t>
  </si>
  <si>
    <t>Mooring line tensioners</t>
  </si>
  <si>
    <t>Pr_40_70_55_61</t>
  </si>
  <si>
    <t>Pneumatic fenders</t>
  </si>
  <si>
    <t>Pr_40_70_55_69</t>
  </si>
  <si>
    <t>Quick release mooring hooks</t>
  </si>
  <si>
    <t>Pr_40_70_55_95</t>
  </si>
  <si>
    <t>Vacuum mooring devices</t>
  </si>
  <si>
    <t>Pr_40_70_58</t>
  </si>
  <si>
    <t>Office equipment</t>
  </si>
  <si>
    <t>Pr_40_70_58_23</t>
  </si>
  <si>
    <t>Document shredders</t>
  </si>
  <si>
    <t>Pr_40_70_58_46</t>
  </si>
  <si>
    <t>Label makers</t>
  </si>
  <si>
    <t>Pr_40_70_58_60</t>
  </si>
  <si>
    <t>Paper laminators</t>
  </si>
  <si>
    <t>Pr_40_70_62</t>
  </si>
  <si>
    <t>Personal dryers</t>
  </si>
  <si>
    <t>Pr_40_70_62_09</t>
  </si>
  <si>
    <t>Body dryers</t>
  </si>
  <si>
    <t>Pr_40_70_62_29</t>
  </si>
  <si>
    <t>Face dryers</t>
  </si>
  <si>
    <t>Pr_40_70_62_36</t>
  </si>
  <si>
    <t>Hairdryers</t>
  </si>
  <si>
    <t>45-35-72/335 Hair dryers;</t>
  </si>
  <si>
    <t>Pr_40_70_62_37</t>
  </si>
  <si>
    <t>Hand dryers</t>
  </si>
  <si>
    <t>45-35-72/334 Hand driers;</t>
  </si>
  <si>
    <t>Pr_40_70_63</t>
  </si>
  <si>
    <t>Photographic equipment</t>
  </si>
  <si>
    <t>Pr_40_70_63_04</t>
  </si>
  <si>
    <t>Automated film developing equipment</t>
  </si>
  <si>
    <t>Pr_40_70_63_05</t>
  </si>
  <si>
    <t>Automated printing equipment</t>
  </si>
  <si>
    <t>Pr_40_70_63_28</t>
  </si>
  <si>
    <t>Enlargers</t>
  </si>
  <si>
    <t>Pr_40_70_63_35</t>
  </si>
  <si>
    <t>Graphics cameras</t>
  </si>
  <si>
    <t>Pr_40_70_65</t>
  </si>
  <si>
    <t>Preparation catering equipment</t>
  </si>
  <si>
    <t>Pr_40_70_65_16</t>
  </si>
  <si>
    <t>Conveyor toasters</t>
  </si>
  <si>
    <t>45-35-15/360 Commercial conveyor toasters;</t>
  </si>
  <si>
    <t>Pr_40_70_65_17</t>
  </si>
  <si>
    <t>Drink making equipment</t>
  </si>
  <si>
    <t>Pr_40_70_65_18</t>
  </si>
  <si>
    <t>Electric boiling pans</t>
  </si>
  <si>
    <t>45-35-15/310 Commercial electric boiling pans;</t>
  </si>
  <si>
    <t>Pr_40_70_65_19</t>
  </si>
  <si>
    <t>Electric boiling tables</t>
  </si>
  <si>
    <t>45-35-15/312 Commercial electric boiling tables;</t>
  </si>
  <si>
    <t>Pr_40_70_65_20</t>
  </si>
  <si>
    <t>Electric bratt pans</t>
  </si>
  <si>
    <t>45-35-15/314 Commercial electric bratt pans;</t>
  </si>
  <si>
    <t>Pr_40_70_65_21</t>
  </si>
  <si>
    <t>Electric cooking ranges</t>
  </si>
  <si>
    <t>45-35-15/316 Commercial electric cooking ranges;</t>
  </si>
  <si>
    <t>Pr_40_70_65_22</t>
  </si>
  <si>
    <t>Electric deep fat fryers</t>
  </si>
  <si>
    <t>45-35-15/318 Commercial electric deep fat fryers;</t>
  </si>
  <si>
    <t>Pr_40_70_65_23</t>
  </si>
  <si>
    <t>Electric fryers</t>
  </si>
  <si>
    <t>Pr_40_70_65_24</t>
  </si>
  <si>
    <t>Electric griddles</t>
  </si>
  <si>
    <t>45-35-15/320 Commercial electric griddles;</t>
  </si>
  <si>
    <t>Pr_40_70_65_25</t>
  </si>
  <si>
    <t>Electric grills</t>
  </si>
  <si>
    <t>Pr_40_70_65_26</t>
  </si>
  <si>
    <t>Electric hot water dispensers</t>
  </si>
  <si>
    <t>45-35-15/365 Commercial electric hot water dispensers;</t>
  </si>
  <si>
    <t>Pr_40_70_65_27</t>
  </si>
  <si>
    <t>Electric ovens</t>
  </si>
  <si>
    <t>Pr_40_70_65_28</t>
  </si>
  <si>
    <t>Electric steaming ovens</t>
  </si>
  <si>
    <t>45-35-15/326 Commercial electric steaming ovens;</t>
  </si>
  <si>
    <t>Pr_40_70_65_29</t>
  </si>
  <si>
    <t>Food blenders</t>
  </si>
  <si>
    <t>Pr_40_70_65_30</t>
  </si>
  <si>
    <t>Food mincers</t>
  </si>
  <si>
    <t>Pr_40_70_65_31</t>
  </si>
  <si>
    <t>Food mixers</t>
  </si>
  <si>
    <t>45-35-15/380 Commercial food mixers;</t>
  </si>
  <si>
    <t>Pr_40_70_65_32</t>
  </si>
  <si>
    <t>Food smokers</t>
  </si>
  <si>
    <t>Pr_40_70_65_33</t>
  </si>
  <si>
    <t>Gas boiling pans</t>
  </si>
  <si>
    <t>45-35-15/340 Commercial gas boiling pans;</t>
  </si>
  <si>
    <t>Pr_40_70_65_34</t>
  </si>
  <si>
    <t>Gas boiling tables</t>
  </si>
  <si>
    <t>45-35-15/342 Commercial gas boiling tables;</t>
  </si>
  <si>
    <t>Pr_40_70_65_35</t>
  </si>
  <si>
    <t>Gas bratt pans</t>
  </si>
  <si>
    <t>45-35-15/344 Commercial gas bratt pans;</t>
  </si>
  <si>
    <t>Pr_40_70_65_36</t>
  </si>
  <si>
    <t>Gas cooking ranges</t>
  </si>
  <si>
    <t>45-35-15/346 Commercial gas cooking ranges;</t>
  </si>
  <si>
    <t>Pr_40_70_65_37</t>
  </si>
  <si>
    <t>Gas deep fat fryers</t>
  </si>
  <si>
    <t>45-35-15/348 Commercial gas deep fat fryers;</t>
  </si>
  <si>
    <t>Pr_40_70_65_38</t>
  </si>
  <si>
    <t>Gas fryers</t>
  </si>
  <si>
    <t>Pr_40_70_65_39</t>
  </si>
  <si>
    <t>Gas griddles</t>
  </si>
  <si>
    <t>Pr_40_70_65_40</t>
  </si>
  <si>
    <t>Gas grills</t>
  </si>
  <si>
    <t>45-35-15/350 Commercial gas grills;</t>
  </si>
  <si>
    <t>Pr_40_70_65_41</t>
  </si>
  <si>
    <t>Gas ovens</t>
  </si>
  <si>
    <t>Pr_40_70_65_42</t>
  </si>
  <si>
    <t>Gas steaming ovens</t>
  </si>
  <si>
    <t>45-35-15/354 Commercial gas steaming ovens;</t>
  </si>
  <si>
    <t>Pr_40_70_65_43</t>
  </si>
  <si>
    <t>General purpose electric ovens</t>
  </si>
  <si>
    <t>45-35-15/324 Commercial general purpose electric ovens;</t>
  </si>
  <si>
    <t>Pr_40_70_65_44</t>
  </si>
  <si>
    <t>General purpose gas ovens</t>
  </si>
  <si>
    <t>45-35-15/352 Commercial general purpose gas ovens;</t>
  </si>
  <si>
    <t>Pr_40_70_65_45</t>
  </si>
  <si>
    <t>Gravity feed slicers</t>
  </si>
  <si>
    <t>45-35-15/382 Commercial gravity feed slicers;</t>
  </si>
  <si>
    <t>Pr_40_70_65_46</t>
  </si>
  <si>
    <t>Hot cupboards</t>
  </si>
  <si>
    <t>45-35-15/406 Static plain top hot cupboards;</t>
  </si>
  <si>
    <t>Pr_40_70_65_51</t>
  </si>
  <si>
    <t>Microwave ovens</t>
  </si>
  <si>
    <t>45-35-15/322 Commercial microwave ovens;</t>
  </si>
  <si>
    <t>Pr_40_70_65_65</t>
  </si>
  <si>
    <t>Potato peelers</t>
  </si>
  <si>
    <t>45-35-15/384 Commercial potato peelers;</t>
  </si>
  <si>
    <t>Pr_40_70_65_79</t>
  </si>
  <si>
    <t>Slot toasters</t>
  </si>
  <si>
    <t>45-35-15/362 Commercial slot toasters;</t>
  </si>
  <si>
    <t>Pr_40_70_65_94</t>
  </si>
  <si>
    <t>Vegetable preparation machines</t>
  </si>
  <si>
    <t>45-35-15/386 Commercial vegetable preparation machines;</t>
  </si>
  <si>
    <t>Pr_40_70_67</t>
  </si>
  <si>
    <t>Projectors</t>
  </si>
  <si>
    <t>Pr_40_70_67_14</t>
  </si>
  <si>
    <t>Cinematic projectors</t>
  </si>
  <si>
    <t>Pr_40_70_67_22</t>
  </si>
  <si>
    <t>Digital projectors</t>
  </si>
  <si>
    <t>Pr_40_70_67_29</t>
  </si>
  <si>
    <t>Film projectors</t>
  </si>
  <si>
    <t>Pr_40_70_67_63</t>
  </si>
  <si>
    <t>Planetarium projectors</t>
  </si>
  <si>
    <t>Pr_40_70_67_79</t>
  </si>
  <si>
    <t>Slide projectors</t>
  </si>
  <si>
    <t>Pr_40_70_71</t>
  </si>
  <si>
    <t>Recreation equipment</t>
  </si>
  <si>
    <t>Pr_40_70_71_04</t>
  </si>
  <si>
    <t>Arcade machines</t>
  </si>
  <si>
    <t>Pr_40_70_71_87</t>
  </si>
  <si>
    <t>Tanning units</t>
  </si>
  <si>
    <t>Pr_40_70_73</t>
  </si>
  <si>
    <t>Rolling stock depot equipment</t>
  </si>
  <si>
    <t>Pr_40_70_73_06</t>
  </si>
  <si>
    <t>Bogie drops</t>
  </si>
  <si>
    <t>90-85-70/320 Bogie drop;</t>
  </si>
  <si>
    <t>Pr_40_70_73_07</t>
  </si>
  <si>
    <t>Bogie presses</t>
  </si>
  <si>
    <t>90-85-70/310 Bogie press;</t>
  </si>
  <si>
    <t>Pr_40_70_73_08</t>
  </si>
  <si>
    <t>Bogie racks</t>
  </si>
  <si>
    <t>90-85-70/365 Bogie rack;</t>
  </si>
  <si>
    <t>Pr_40_70_73_09</t>
  </si>
  <si>
    <t>Bogie turntables</t>
  </si>
  <si>
    <t>90-85-70/345 Bogie turntable;</t>
  </si>
  <si>
    <t>Pr_40_70_73_10</t>
  </si>
  <si>
    <t>Bogie workstands</t>
  </si>
  <si>
    <t>90-85-70/350 Bogie workstand;</t>
  </si>
  <si>
    <t>Pr_40_70_73_23</t>
  </si>
  <si>
    <t>Drophead buckeye couplers</t>
  </si>
  <si>
    <t>Pr_40_70_73_24</t>
  </si>
  <si>
    <t>Drophead buckeye drawgears</t>
  </si>
  <si>
    <t>Pr_40_70_73_30</t>
  </si>
  <si>
    <t>Fixed CETs</t>
  </si>
  <si>
    <t>90-85-70/370 Fixed CET;</t>
  </si>
  <si>
    <t>Pr_40_70_73_47</t>
  </si>
  <si>
    <t>Lifting tables</t>
  </si>
  <si>
    <t>90-85-70/360 Lifting table;</t>
  </si>
  <si>
    <t>Pr_40_70_73_70</t>
  </si>
  <si>
    <t>Rail vehicle lifting jacks</t>
  </si>
  <si>
    <t>90-85-70/325 Rail vehicle lifting jack;</t>
  </si>
  <si>
    <t>Pr_40_70_73_73</t>
  </si>
  <si>
    <t>Retractable buffers</t>
  </si>
  <si>
    <t>Pr_40_70_73_75</t>
  </si>
  <si>
    <t>Sand plant</t>
  </si>
  <si>
    <t>90-85-70/335 Sand plant;</t>
  </si>
  <si>
    <t>Pr_40_70_73_95</t>
  </si>
  <si>
    <t>Wheel drops</t>
  </si>
  <si>
    <t>90-85-70/355 Wheel drop;</t>
  </si>
  <si>
    <t>Pr_40_70_73_96</t>
  </si>
  <si>
    <t>Wheel lathes</t>
  </si>
  <si>
    <t>90-85-70/305 Wheel lathe;</t>
  </si>
  <si>
    <t>Pr_40_70_73_97</t>
  </si>
  <si>
    <t>Wheelset presses</t>
  </si>
  <si>
    <t>90-85-70/315 Wheelset press;</t>
  </si>
  <si>
    <t>Pr_40_70_73_98</t>
  </si>
  <si>
    <t>Wheel stops</t>
  </si>
  <si>
    <t>90-85-70/375 Wheel stop;</t>
  </si>
  <si>
    <t>Pr_40_70_75</t>
  </si>
  <si>
    <t>Safety equipment</t>
  </si>
  <si>
    <t>Pr_40_70_75_01</t>
  </si>
  <si>
    <t>Access cradles</t>
  </si>
  <si>
    <t>45-35-74/350 Cradles;</t>
  </si>
  <si>
    <t>Pr_40_70_75_27</t>
  </si>
  <si>
    <t>Electrically powered winches</t>
  </si>
  <si>
    <t>45-35-74/320 Electrically powered winch;</t>
  </si>
  <si>
    <t>Pr_40_70_75_28</t>
  </si>
  <si>
    <t>Evacuation chairs</t>
  </si>
  <si>
    <t>Pr_40_70_75_29</t>
  </si>
  <si>
    <t>Fall arrester devices</t>
  </si>
  <si>
    <t>45-35-74/390 Fall arrest devices;</t>
  </si>
  <si>
    <t>Pr_40_70_75_33</t>
  </si>
  <si>
    <t>Gantries</t>
  </si>
  <si>
    <t>45-35-74/360 Gantries;</t>
  </si>
  <si>
    <t>Pr_40_70_75_35</t>
  </si>
  <si>
    <t>Guided type fall arresters</t>
  </si>
  <si>
    <t>Pr_40_70_75_36</t>
  </si>
  <si>
    <t>Hand climbing devices</t>
  </si>
  <si>
    <t>Pr_40_70_75_37</t>
  </si>
  <si>
    <t>Harnesses and lanyards</t>
  </si>
  <si>
    <t>45-35-74/460 Harness and lanyard;</t>
  </si>
  <si>
    <t>Pr_40_70_75_39</t>
  </si>
  <si>
    <t>Hoist equipment storage units</t>
  </si>
  <si>
    <t>45-35-74/450 Hoisting equipment storage units;</t>
  </si>
  <si>
    <t>Pr_40_70_75_50</t>
  </si>
  <si>
    <t>Manual push</t>
  </si>
  <si>
    <t>Pr_40_70_75_51</t>
  </si>
  <si>
    <t>Manual winches</t>
  </si>
  <si>
    <t>45-35-74/340 Manual winch;</t>
  </si>
  <si>
    <t>Pr_40_70_75_55</t>
  </si>
  <si>
    <t>Mullion guides</t>
  </si>
  <si>
    <t>45-35-74/400 Mullion guides;</t>
  </si>
  <si>
    <t>Pr_40_70_75_66</t>
  </si>
  <si>
    <t>Protection netting</t>
  </si>
  <si>
    <t>45-35-74/420 Protection netting;</t>
  </si>
  <si>
    <t>Pr_40_70_75_72</t>
  </si>
  <si>
    <t>Rope and pulley devices</t>
  </si>
  <si>
    <t>Pr_40_70_75_75</t>
  </si>
  <si>
    <t>Safety access anchor devices</t>
  </si>
  <si>
    <t>45-35-74/405 Anchor devices for removable personal fall protection equipment;</t>
  </si>
  <si>
    <t>Pr_40_70_75_76</t>
  </si>
  <si>
    <t>Safety access equipment winding handles</t>
  </si>
  <si>
    <t>Pr_40_70_75_77</t>
  </si>
  <si>
    <t>Safety harnesses</t>
  </si>
  <si>
    <t>Pr_40_70_75_79</t>
  </si>
  <si>
    <t>Safety netting</t>
  </si>
  <si>
    <t>45-35-74/430 Safety netting;</t>
  </si>
  <si>
    <t>Pr_40_70_75_81</t>
  </si>
  <si>
    <t>Spillage control kits</t>
  </si>
  <si>
    <t>Pr_40_70_75_82</t>
  </si>
  <si>
    <t>Stair climbing trolleys</t>
  </si>
  <si>
    <t>Pr_40_70_75_83</t>
  </si>
  <si>
    <t>Suspended access tracks</t>
  </si>
  <si>
    <t>45-35-74/480 Track;</t>
  </si>
  <si>
    <t>Pr_40_70_75_84</t>
  </si>
  <si>
    <t>Suspended chairs</t>
  </si>
  <si>
    <t>45-35-74/370 Suspended chairs;</t>
  </si>
  <si>
    <t>Pr_40_70_75_85</t>
  </si>
  <si>
    <t>Suspension rigs</t>
  </si>
  <si>
    <t>45-35-74/310 Suspension rigs;</t>
  </si>
  <si>
    <t>Pr_40_70_75_86</t>
  </si>
  <si>
    <t>Suspension rope restraints</t>
  </si>
  <si>
    <t>45-35-74/410 Suspension rope restraints;</t>
  </si>
  <si>
    <t>Pr_40_70_75_96</t>
  </si>
  <si>
    <t>Working platforms</t>
  </si>
  <si>
    <t>45-35-74/380 Working platforms;</t>
  </si>
  <si>
    <t>Pr_40_70_75_97</t>
  </si>
  <si>
    <t>Working platform storage units</t>
  </si>
  <si>
    <t>45-35-74/490 Working platform storage units;</t>
  </si>
  <si>
    <t>Pr_40_70_84</t>
  </si>
  <si>
    <t>Sports equipment</t>
  </si>
  <si>
    <t>Pr_40_70_84_01</t>
  </si>
  <si>
    <t>Abdominal machines</t>
  </si>
  <si>
    <t>Pr_40_70_84_04</t>
  </si>
  <si>
    <t>Arm machines</t>
  </si>
  <si>
    <t>Pr_40_70_84_06</t>
  </si>
  <si>
    <t>Back machines</t>
  </si>
  <si>
    <t>Pr_40_70_84_11</t>
  </si>
  <si>
    <t>Cable machines</t>
  </si>
  <si>
    <t>Pr_40_70_84_13</t>
  </si>
  <si>
    <t>Chest and shoulder machines</t>
  </si>
  <si>
    <t>Pr_40_70_84_16</t>
  </si>
  <si>
    <t>Cross trainers</t>
  </si>
  <si>
    <t>Pr_40_70_84_26</t>
  </si>
  <si>
    <t>Elliptical trainers</t>
  </si>
  <si>
    <t>Pr_40_70_84_27</t>
  </si>
  <si>
    <t>Exercise bikes</t>
  </si>
  <si>
    <t>Pr_40_70_84_46</t>
  </si>
  <si>
    <t>Leg machines</t>
  </si>
  <si>
    <t>Pr_40_70_84_47</t>
  </si>
  <si>
    <t>Leverage units</t>
  </si>
  <si>
    <t>Pr_40_70_84_55</t>
  </si>
  <si>
    <t>Multi-gyms</t>
  </si>
  <si>
    <t>Pr_40_70_84_65</t>
  </si>
  <si>
    <t>Pool, snooker and billiards tables</t>
  </si>
  <si>
    <t>Pr_40_70_84_66</t>
  </si>
  <si>
    <t>Power cages and racks</t>
  </si>
  <si>
    <t>Pr_40_70_84_67</t>
  </si>
  <si>
    <t>Power plates</t>
  </si>
  <si>
    <t>Pr_40_70_84_68</t>
  </si>
  <si>
    <t>Punch bags</t>
  </si>
  <si>
    <t>Pr_40_70_84_72</t>
  </si>
  <si>
    <t>Rowing machines</t>
  </si>
  <si>
    <t>Pr_40_70_84_80</t>
  </si>
  <si>
    <t>Smith machines</t>
  </si>
  <si>
    <t>Pr_40_70_84_84</t>
  </si>
  <si>
    <t>Steppers</t>
  </si>
  <si>
    <t>Pr_40_70_84_86</t>
  </si>
  <si>
    <t>Suspension trainers</t>
  </si>
  <si>
    <t>Pr_40_70_84_90</t>
  </si>
  <si>
    <t>Trampolines</t>
  </si>
  <si>
    <t>Pr_40_70_84_91</t>
  </si>
  <si>
    <t>Treadmills</t>
  </si>
  <si>
    <t>Pr_40_70_84_92</t>
  </si>
  <si>
    <t>Upper body trainers</t>
  </si>
  <si>
    <t>Pr_40_70_84_94</t>
  </si>
  <si>
    <t>Vertical knee raise and dip machines</t>
  </si>
  <si>
    <t>Pr_40_70_85</t>
  </si>
  <si>
    <t>Stage equipment</t>
  </si>
  <si>
    <t>Pr_40_70_85_31</t>
  </si>
  <si>
    <t>Fly/ pulley bars</t>
  </si>
  <si>
    <t>Pr_40_70_86</t>
  </si>
  <si>
    <t>Swimming pool equipment</t>
  </si>
  <si>
    <t>Pr_40_70_86_02</t>
  </si>
  <si>
    <t>Air cushion equipment</t>
  </si>
  <si>
    <t>45-35-90/445 Air cushion equipment;</t>
  </si>
  <si>
    <t>Pr_40_70_86_08</t>
  </si>
  <si>
    <t>Buoyancy-aided movable floors</t>
  </si>
  <si>
    <t>45-35-90/315 Movable floors (buoyancy aided);</t>
  </si>
  <si>
    <t>Pr_40_70_86_10</t>
  </si>
  <si>
    <t>Buoyancy-aided movable bulkheads</t>
  </si>
  <si>
    <t>45-35-90/305 Movable bulkheads (buoyancy aided);</t>
  </si>
  <si>
    <t>Pr_40_70_86_52</t>
  </si>
  <si>
    <t>Mechanical drive movable floors</t>
  </si>
  <si>
    <t>45-35-90/320 Movable floors (mechanical drive system);</t>
  </si>
  <si>
    <t>Pr_40_70_86_60</t>
  </si>
  <si>
    <t>Pool structure-supported movable bulkheads</t>
  </si>
  <si>
    <t>45-35-90/310 Movable bulkheads (supported by pool structure);</t>
  </si>
  <si>
    <t>Pr_40_70_86_84</t>
  </si>
  <si>
    <t>Surface agitation equipment</t>
  </si>
  <si>
    <t>45-35-90/450 Surface agitation equipment;</t>
  </si>
  <si>
    <t>Pr_40_70_86_94</t>
  </si>
  <si>
    <t>Water polo ball release devices</t>
  </si>
  <si>
    <t>45-35-90/460 Water polo ball release device;</t>
  </si>
  <si>
    <t>Pr_40_70_86_98</t>
  </si>
  <si>
    <t>Wave machine equipment</t>
  </si>
  <si>
    <t>Pr_40_70_96</t>
  </si>
  <si>
    <t>Water control equipment</t>
  </si>
  <si>
    <t>Pr_40_70_96_30</t>
  </si>
  <si>
    <t>Flow control device chambers</t>
  </si>
  <si>
    <t>Pr_40_70_96_31</t>
  </si>
  <si>
    <t>Flow control devices</t>
  </si>
  <si>
    <t>Pr_40_70_99</t>
  </si>
  <si>
    <t>Weighing equipment</t>
  </si>
  <si>
    <t>Pr_40_70_99_22</t>
  </si>
  <si>
    <t>Digital scales</t>
  </si>
  <si>
    <t>Pr_40_70_99_42</t>
  </si>
  <si>
    <t>Industrial scales</t>
  </si>
  <si>
    <t>Pr_40_70_99_45</t>
  </si>
  <si>
    <t>Kitchen scales</t>
  </si>
  <si>
    <t>Pr_40_70_99_62</t>
  </si>
  <si>
    <t>Personnel weighing scales</t>
  </si>
  <si>
    <t>Pr_45</t>
  </si>
  <si>
    <t>Flora and fauna products</t>
  </si>
  <si>
    <t>Pr_45_28</t>
  </si>
  <si>
    <t>Fauna products</t>
  </si>
  <si>
    <t>Pr_45_28_30</t>
  </si>
  <si>
    <t>Fish, eel and lamprey pass products</t>
  </si>
  <si>
    <t>Pr_45_28_30_10</t>
  </si>
  <si>
    <t>Bristle boards and mats</t>
  </si>
  <si>
    <t>Pr_45_28_30_27</t>
  </si>
  <si>
    <t>Eel tiles</t>
  </si>
  <si>
    <t>45-40-30/310 Eel and elver passes;</t>
  </si>
  <si>
    <t>Pr_45_28_30_46</t>
  </si>
  <si>
    <t>Larinier tiles</t>
  </si>
  <si>
    <t>45-40-30/320 Larinier fish pass;</t>
  </si>
  <si>
    <t>Pr_45_28_30_78</t>
  </si>
  <si>
    <t>Siphon fish passes</t>
  </si>
  <si>
    <t>45-40-30/330 Siphon fish pass;</t>
  </si>
  <si>
    <t>Pr_45_30</t>
  </si>
  <si>
    <t>Flora products</t>
  </si>
  <si>
    <t>Pr_45_30_04</t>
  </si>
  <si>
    <t>Artificial plants</t>
  </si>
  <si>
    <t>Pr_45_30_04_02</t>
  </si>
  <si>
    <t>Artificial grass</t>
  </si>
  <si>
    <t>Pr_45_30_04_03</t>
  </si>
  <si>
    <t>Artificial low growing trees</t>
  </si>
  <si>
    <t>45-35-05/320 Artificial low 'growing' plants;</t>
  </si>
  <si>
    <t>Pr_45_30_04_04</t>
  </si>
  <si>
    <t>Artificial topiary and pleaching</t>
  </si>
  <si>
    <t>45-35-05/330 Artificial topiary and pleaching;</t>
  </si>
  <si>
    <t>Pr_45_30_04_05</t>
  </si>
  <si>
    <t>Artificial trees</t>
  </si>
  <si>
    <t>45-35-05/325 Artificial trees;</t>
  </si>
  <si>
    <t>Pr_45_30_04_64</t>
  </si>
  <si>
    <t>Polyester silk plants</t>
  </si>
  <si>
    <t>45-35-35/320 Polyester silk plants;</t>
  </si>
  <si>
    <t>Pr_45_30_04_66</t>
  </si>
  <si>
    <t>Preserved plants</t>
  </si>
  <si>
    <t>45-35-35/330 Preserved plants;</t>
  </si>
  <si>
    <t>Pr_45_30_10</t>
  </si>
  <si>
    <t>Bulbs, corms, tubers and dormant roots</t>
  </si>
  <si>
    <t>Pr_45_30_10_04</t>
  </si>
  <si>
    <t>Annual tubers</t>
  </si>
  <si>
    <t>Pr_45_30_10_10</t>
  </si>
  <si>
    <t>Bulbs</t>
  </si>
  <si>
    <t>45-40-10/311 Bulbs, corms and tubers;</t>
  </si>
  <si>
    <t>Pr_45_30_10_15</t>
  </si>
  <si>
    <t>Corms</t>
  </si>
  <si>
    <t>Pr_45_30_10_62</t>
  </si>
  <si>
    <t>Perennial roots</t>
  </si>
  <si>
    <t>Pr_45_30_10_63</t>
  </si>
  <si>
    <t>Perennial tubers</t>
  </si>
  <si>
    <t>Pr_45_30_36</t>
  </si>
  <si>
    <t>Herbaceous and aquatic plants</t>
  </si>
  <si>
    <t>Pr_45_30_36_02</t>
  </si>
  <si>
    <t>Annual plugs</t>
  </si>
  <si>
    <t>45-40-35/331 Annuals supplied as plugs;</t>
  </si>
  <si>
    <t>Pr_45_30_36_03</t>
  </si>
  <si>
    <t>Aquatic plant bare roots and clumps</t>
  </si>
  <si>
    <t>45-40-35/321 Aquatic plants supplied as bare root or clumps;</t>
  </si>
  <si>
    <t>Pr_45_30_36_04</t>
  </si>
  <si>
    <t>Aquatic plant bunches</t>
  </si>
  <si>
    <t>45-40-35/323 Aquatic plants supplied in bunches;</t>
  </si>
  <si>
    <t>Pr_45_30_36_05</t>
  </si>
  <si>
    <t>Aquatic plant pots and baskets</t>
  </si>
  <si>
    <t>45-40-35/325 Aquatic plants supplied in pots or baskets;</t>
  </si>
  <si>
    <t>Pr_45_30_36_06</t>
  </si>
  <si>
    <t>Aquatic plant plugs</t>
  </si>
  <si>
    <t>45-40-35/327 Aquatic plants supplied as plugs;</t>
  </si>
  <si>
    <t>Pr_45_30_36_11</t>
  </si>
  <si>
    <t>Cell-grown annuals</t>
  </si>
  <si>
    <t>Pr_45_30_36_13</t>
  </si>
  <si>
    <t>Cell-grown perennials</t>
  </si>
  <si>
    <t>Pr_45_30_36_14</t>
  </si>
  <si>
    <t>Container-grown aquatic plants</t>
  </si>
  <si>
    <t>Pr_45_30_36_15</t>
  </si>
  <si>
    <t>Container-grown annuals</t>
  </si>
  <si>
    <t>45-40-35/333 Container grown annuals;</t>
  </si>
  <si>
    <t>Pr_45_30_36_16</t>
  </si>
  <si>
    <t>Container-grown perennials</t>
  </si>
  <si>
    <t>45-40-35/311 Container grown perennials;</t>
  </si>
  <si>
    <t>Pr_45_30_36_64</t>
  </si>
  <si>
    <t>Perennial clumps</t>
  </si>
  <si>
    <t>45-40-35/315 Perennials supplied in clumps;</t>
  </si>
  <si>
    <t>Pr_45_30_36_65</t>
  </si>
  <si>
    <t>Perennial plugs</t>
  </si>
  <si>
    <t>45-40-35/313 Perennials supplied as plugs;</t>
  </si>
  <si>
    <t>Pr_45_30_76</t>
  </si>
  <si>
    <t>Seeds</t>
  </si>
  <si>
    <t>Pr_45_30_76_29</t>
  </si>
  <si>
    <t>Flower seeds</t>
  </si>
  <si>
    <t>Pr_45_30_76_32</t>
  </si>
  <si>
    <t>Fruit seeds</t>
  </si>
  <si>
    <t>Pr_45_30_76_34</t>
  </si>
  <si>
    <t>Grass seeds</t>
  </si>
  <si>
    <t>45-40-75/301 Grass seed mix;</t>
  </si>
  <si>
    <t>Pr_45_30_76_39</t>
  </si>
  <si>
    <t>Hydroseeding mixes</t>
  </si>
  <si>
    <t>Pr_45_30_76_48</t>
  </si>
  <si>
    <t>Locally collected seeds</t>
  </si>
  <si>
    <t>45-40-75/309 Locally collected seed;</t>
  </si>
  <si>
    <t>Pr_45_30_76_77</t>
  </si>
  <si>
    <t>Site-grown temporary crop seeds</t>
  </si>
  <si>
    <t>45-40-75/307 Seeds for temporary crops grown on site;</t>
  </si>
  <si>
    <t>Pr_45_30_76_90</t>
  </si>
  <si>
    <t>Tree and shrub seeds</t>
  </si>
  <si>
    <t>45-40-75/305 Tree and shrub seed mix;</t>
  </si>
  <si>
    <t>Pr_45_30_76_94</t>
  </si>
  <si>
    <t>Vegetable seeds</t>
  </si>
  <si>
    <t>Pr_45_30_76_97</t>
  </si>
  <si>
    <t>Wildflower seeds</t>
  </si>
  <si>
    <t>45-40-75/303 Wildflower seed mix;</t>
  </si>
  <si>
    <t>Pr_45_30_80</t>
  </si>
  <si>
    <t>Shrubs and woody climbers</t>
  </si>
  <si>
    <t>Pr_45_30_80_04</t>
  </si>
  <si>
    <t>Bare-root climbers</t>
  </si>
  <si>
    <t>45-40-90/410 Bare root climbers;</t>
  </si>
  <si>
    <t>Pr_45_30_80_06</t>
  </si>
  <si>
    <t>Bare-root cutting-raised roses</t>
  </si>
  <si>
    <t>45-40-90/365 Bare root cutting raised roses;</t>
  </si>
  <si>
    <t>Pr_45_30_80_08</t>
  </si>
  <si>
    <t>Bare-root shrubs</t>
  </si>
  <si>
    <t>45-40-90/370 Bare root shrubs;</t>
  </si>
  <si>
    <t>Pr_45_30_80_10</t>
  </si>
  <si>
    <t>Bare-root budded roses</t>
  </si>
  <si>
    <t>45-40-90/360 Bare-root budded roses;</t>
  </si>
  <si>
    <t>Pr_45_30_80_11</t>
  </si>
  <si>
    <t>Cell-grown climbers</t>
  </si>
  <si>
    <t>Pr_45_30_80_12</t>
  </si>
  <si>
    <t>Cell-grown shrubs</t>
  </si>
  <si>
    <t>45-40-90/375 Cell grown shrubs;</t>
  </si>
  <si>
    <t>Pr_45_30_80_14</t>
  </si>
  <si>
    <t>Container-grown bamboos</t>
  </si>
  <si>
    <t>45-40-90/390 Container grown bamboos;</t>
  </si>
  <si>
    <t>Pr_45_30_80_15</t>
  </si>
  <si>
    <t>Container-grown budded roses</t>
  </si>
  <si>
    <t>45-40-90/380 Container grown budded roses;</t>
  </si>
  <si>
    <t>Pr_45_30_80_16</t>
  </si>
  <si>
    <t>Container-grown climbers</t>
  </si>
  <si>
    <t>45-40-90/415 Container grown climbers;</t>
  </si>
  <si>
    <t>Pr_45_30_80_18</t>
  </si>
  <si>
    <t>Container-grown cutting-raised roses</t>
  </si>
  <si>
    <t>45-40-90/385 Container grown cutting raised roses;</t>
  </si>
  <si>
    <t>Pr_45_30_80_20</t>
  </si>
  <si>
    <t>Container-grown shrubs</t>
  </si>
  <si>
    <t>45-40-90/395 Container grown shrubs;</t>
  </si>
  <si>
    <t>Pr_45_30_80_71</t>
  </si>
  <si>
    <t>Rootballed bamboos</t>
  </si>
  <si>
    <t>45-40-90/400 Rootballed bamboos;</t>
  </si>
  <si>
    <t>Pr_45_30_80_73</t>
  </si>
  <si>
    <t>Rootballed shrubs</t>
  </si>
  <si>
    <t>45-40-90/405 Rootballed shrubs;</t>
  </si>
  <si>
    <t>Pr_45_30_90</t>
  </si>
  <si>
    <t>Trees</t>
  </si>
  <si>
    <t>Pr_45_30_90_05</t>
  </si>
  <si>
    <t>Bare-root conifers</t>
  </si>
  <si>
    <t>45-40-90/310 Bare root conifers;</t>
  </si>
  <si>
    <t>Pr_45_30_90_07</t>
  </si>
  <si>
    <t>Bare-root fruit trees</t>
  </si>
  <si>
    <t>45-40-90/315 Bare root fruit trees;</t>
  </si>
  <si>
    <t>Pr_45_30_90_09</t>
  </si>
  <si>
    <t>Bare-root trees</t>
  </si>
  <si>
    <t>45-40-90/320 Bare root trees;</t>
  </si>
  <si>
    <t>Pr_45_30_90_11</t>
  </si>
  <si>
    <t>Cell-grown conifers</t>
  </si>
  <si>
    <t>45-40-90/325 Cell grown conifers;</t>
  </si>
  <si>
    <t>Pr_45_30_90_13</t>
  </si>
  <si>
    <t>Cell-grown trees</t>
  </si>
  <si>
    <t>45-40-90/330 Cell grown trees;</t>
  </si>
  <si>
    <t>Pr_45_30_90_17</t>
  </si>
  <si>
    <t>Container-grown conifers</t>
  </si>
  <si>
    <t>45-40-90/335 Container grown conifers;</t>
  </si>
  <si>
    <t>Pr_45_30_90_19</t>
  </si>
  <si>
    <t>Container-grown fruit trees</t>
  </si>
  <si>
    <t>45-40-90/340 Container grown fruit trees;</t>
  </si>
  <si>
    <t>Pr_45_30_90_21</t>
  </si>
  <si>
    <t>Container-grown trees</t>
  </si>
  <si>
    <t>45-40-90/345 Container grown trees;</t>
  </si>
  <si>
    <t>Pr_45_30_90_72</t>
  </si>
  <si>
    <t>Rootballed conifers</t>
  </si>
  <si>
    <t>45-40-90/350 Rootballed conifers;</t>
  </si>
  <si>
    <t>Pr_45_30_90_74</t>
  </si>
  <si>
    <t>Rootballed trees</t>
  </si>
  <si>
    <t>45-40-90/355 Rootballed trees;</t>
  </si>
  <si>
    <t>Pr_45_31</t>
  </si>
  <si>
    <t>Formless flora and fauna products</t>
  </si>
  <si>
    <t>Pr_45_31_03</t>
  </si>
  <si>
    <t>Animal biocides</t>
  </si>
  <si>
    <t>Pr_45_31_03_08</t>
  </si>
  <si>
    <t>Biological controls</t>
  </si>
  <si>
    <t>45-40-05/337 Biological controls;</t>
  </si>
  <si>
    <t>Pr_45_31_03_42</t>
  </si>
  <si>
    <t>Insecticides</t>
  </si>
  <si>
    <t>45-40-05/331 Insecticides;</t>
  </si>
  <si>
    <t>Pr_45_31_03_64</t>
  </si>
  <si>
    <t>Poisons</t>
  </si>
  <si>
    <t>Pr_45_31_03_72</t>
  </si>
  <si>
    <t>Rodenticides</t>
  </si>
  <si>
    <t>45-40-05/333 Poisons for rodents;</t>
  </si>
  <si>
    <t>Pr_45_31_03_88</t>
  </si>
  <si>
    <t>Termite-resistant granules</t>
  </si>
  <si>
    <t>Pr_45_31_03_90</t>
  </si>
  <si>
    <t>Termiticides</t>
  </si>
  <si>
    <t>Pr_45_31_03_96</t>
  </si>
  <si>
    <t>Worm controls</t>
  </si>
  <si>
    <t>45-40-05/335 Worm control;</t>
  </si>
  <si>
    <t>Pr_45_31_37</t>
  </si>
  <si>
    <t>Herbicides</t>
  </si>
  <si>
    <t>Pr_45_31_37_15</t>
  </si>
  <si>
    <t>Combined selective lawn herbicide and feed mixes</t>
  </si>
  <si>
    <t>45-40-05/341 Combined selective herbicide and feed mix for lawns;</t>
  </si>
  <si>
    <t>Pr_45_31_37_56</t>
  </si>
  <si>
    <t>Non-selective contact herbicides</t>
  </si>
  <si>
    <t>45-40-05/351 Non-selective contact herbicides;</t>
  </si>
  <si>
    <t>Pr_45_31_37_57</t>
  </si>
  <si>
    <t>Non-selective residual herbicides</t>
  </si>
  <si>
    <t>45-40-05/361 Non-selective residual herbicides;</t>
  </si>
  <si>
    <t>Pr_45_31_37_58</t>
  </si>
  <si>
    <t>Non-selective systemic herbicides</t>
  </si>
  <si>
    <t>45-40-05/371 Non-selective systemic herbicides;</t>
  </si>
  <si>
    <t>Pr_45_31_37_76</t>
  </si>
  <si>
    <t>Selective herbicides</t>
  </si>
  <si>
    <t>45-40-05/343 Selective herbicides;</t>
  </si>
  <si>
    <t>Pr_45_31_52</t>
  </si>
  <si>
    <t>Microbial biocides</t>
  </si>
  <si>
    <t>Pr_45_31_52_03</t>
  </si>
  <si>
    <t>Algaecides</t>
  </si>
  <si>
    <t>45-40-05/301 Algaecides;</t>
  </si>
  <si>
    <t>Pr_45_31_52_07</t>
  </si>
  <si>
    <t>Biocides</t>
  </si>
  <si>
    <t>45-40-05/313 Biocides;</t>
  </si>
  <si>
    <t>Pr_45_31_52_31</t>
  </si>
  <si>
    <t>Fungicidal solutions</t>
  </si>
  <si>
    <t>45-40-05/319 Fungicidal solutions;</t>
  </si>
  <si>
    <t>Pr_45_31_52_32</t>
  </si>
  <si>
    <t>Fungicides</t>
  </si>
  <si>
    <t>Pr_45_31_52_55</t>
  </si>
  <si>
    <t>Non-oxidizing water treatment biocides</t>
  </si>
  <si>
    <t>90-15-95/325 Non-oxidizing biocides;</t>
  </si>
  <si>
    <t>Pr_45_31_52_59</t>
  </si>
  <si>
    <t>Oxidizing water treatment biocides</t>
  </si>
  <si>
    <t>90-15-95/330 Oxidizing biocides;</t>
  </si>
  <si>
    <t>Pr_45_31_52_62</t>
  </si>
  <si>
    <t>Plant fungicides</t>
  </si>
  <si>
    <t>45-40-05/321 Fungicides for plants;</t>
  </si>
  <si>
    <t>Pr_45_31_52_73</t>
  </si>
  <si>
    <t>Root sealers</t>
  </si>
  <si>
    <t>45-40-65/380 Sealer for cuts to tree roots;</t>
  </si>
  <si>
    <t>Pr_45_31_52_86</t>
  </si>
  <si>
    <t>Surface biocides</t>
  </si>
  <si>
    <t>45-40-05/315 Surface biocides;</t>
  </si>
  <si>
    <t>Pr_45_31_52_97</t>
  </si>
  <si>
    <t>Vermicides</t>
  </si>
  <si>
    <t>Pr_45_31_63</t>
  </si>
  <si>
    <t>Plant-based fibres</t>
  </si>
  <si>
    <t>Pr_45_31_63_14</t>
  </si>
  <si>
    <t>Coir fibres</t>
  </si>
  <si>
    <t>45-55-55/339 Coir fibres;</t>
  </si>
  <si>
    <t>Pr_45_31_63_15</t>
  </si>
  <si>
    <t>Combed wheat reed</t>
  </si>
  <si>
    <t>45-55-55/311 Combed wheat reed;</t>
  </si>
  <si>
    <t>Pr_45_31_63_16</t>
  </si>
  <si>
    <t>Compostable plant material</t>
  </si>
  <si>
    <t>45-55-55/343 Compostable plant material;</t>
  </si>
  <si>
    <t>Pr_45_31_63_30</t>
  </si>
  <si>
    <t>Flax fibres</t>
  </si>
  <si>
    <t>45-55-55/331 Flax fibres;</t>
  </si>
  <si>
    <t>Pr_45_31_63_37</t>
  </si>
  <si>
    <t>Hemp fibres</t>
  </si>
  <si>
    <t>45-55-55/333 Hemp fibres;</t>
  </si>
  <si>
    <t>Pr_45_31_63_44</t>
  </si>
  <si>
    <t>Jute fibres</t>
  </si>
  <si>
    <t>45-55-55/337 Jute fibres;</t>
  </si>
  <si>
    <t>Pr_45_31_63_47</t>
  </si>
  <si>
    <t>Long straw</t>
  </si>
  <si>
    <t>45-55-55/313 Long straw;</t>
  </si>
  <si>
    <t>Pr_45_31_63_48</t>
  </si>
  <si>
    <t>Loose straw</t>
  </si>
  <si>
    <t>45-55-55/325 Loose straw;</t>
  </si>
  <si>
    <t>Pr_45_31_63_56</t>
  </si>
  <si>
    <t>Natural bark</t>
  </si>
  <si>
    <t>45-55-55/341 Natural bark;</t>
  </si>
  <si>
    <t>Pr_45_31_63_60</t>
  </si>
  <si>
    <t>Paper bales</t>
  </si>
  <si>
    <t>Pr_45_31_63_64</t>
  </si>
  <si>
    <t>Playground bark</t>
  </si>
  <si>
    <t>45-55-55/351 Playground bark;</t>
  </si>
  <si>
    <t>Pr_45_31_63_76</t>
  </si>
  <si>
    <t>Sedge</t>
  </si>
  <si>
    <t>45-55-55/315 Sedge;</t>
  </si>
  <si>
    <t>Pr_45_31_63_78</t>
  </si>
  <si>
    <t>Sisal fibres</t>
  </si>
  <si>
    <t>45-55-55/335 Sisal fibres;</t>
  </si>
  <si>
    <t>Pr_45_31_63_80</t>
  </si>
  <si>
    <t>Sphagnum moss</t>
  </si>
  <si>
    <t>45-55-55/305 Sphagnum moss;</t>
  </si>
  <si>
    <t>Pr_45_31_63_84</t>
  </si>
  <si>
    <t>Straw bales</t>
  </si>
  <si>
    <t>45-55-55/321 Straw bales;</t>
  </si>
  <si>
    <t>Pr_45_31_63_96</t>
  </si>
  <si>
    <t>Water reed</t>
  </si>
  <si>
    <t>45-55-55/317 Water reed;</t>
  </si>
  <si>
    <t>Pr_45_31_63_97</t>
  </si>
  <si>
    <t>Wood chips</t>
  </si>
  <si>
    <t>45-55-55/353 Wood chips;</t>
  </si>
  <si>
    <t>Pr_45_31_63_98</t>
  </si>
  <si>
    <t>Wood fibres</t>
  </si>
  <si>
    <t>45-55-55/355 Wood fibres;</t>
  </si>
  <si>
    <t>Pr_45_31_89</t>
  </si>
  <si>
    <t>Topsoils, feeds and growing mediums</t>
  </si>
  <si>
    <t>Pr_45_31_89_08</t>
  </si>
  <si>
    <t>Blood and bonemeal</t>
  </si>
  <si>
    <t>45-40-85/385 Blood and bonemeal;</t>
  </si>
  <si>
    <t>Pr_45_31_89_15</t>
  </si>
  <si>
    <t>Compost dressings</t>
  </si>
  <si>
    <t>45-40-85/410 Compost dressing;</t>
  </si>
  <si>
    <t>Pr_45_31_89_16</t>
  </si>
  <si>
    <t>Composted materials</t>
  </si>
  <si>
    <t>45-40-85/350 Composted materials;</t>
  </si>
  <si>
    <t>Pr_45_31_89_35</t>
  </si>
  <si>
    <t>Green roof substrates</t>
  </si>
  <si>
    <t>45-40-85/345 Green roof substrate;</t>
  </si>
  <si>
    <t>Pr_45_31_89_41</t>
  </si>
  <si>
    <t>Imported growing mediums</t>
  </si>
  <si>
    <t>45-40-85/340 Special imported topsoil and growing media;</t>
  </si>
  <si>
    <t>Pr_45_31_89_42</t>
  </si>
  <si>
    <t>Imported topsoils</t>
  </si>
  <si>
    <t>45-40-85/320 Imported topsoil from a specified source;</t>
  </si>
  <si>
    <t>Pr_45_31_89_43</t>
  </si>
  <si>
    <t>Inorganic fertilizers</t>
  </si>
  <si>
    <t>45-40-85/395 Inorganic fertilizer;</t>
  </si>
  <si>
    <t>Pr_45_31_89_50</t>
  </si>
  <si>
    <t>Manufactured growing mediums</t>
  </si>
  <si>
    <t>45-40-85/330 Manufactured growing medium;</t>
  </si>
  <si>
    <t>Pr_45_31_89_51</t>
  </si>
  <si>
    <t>Manufactured topsoils</t>
  </si>
  <si>
    <t>45-40-85/335 Manufactured topsoil;</t>
  </si>
  <si>
    <t>Pr_45_31_89_52</t>
  </si>
  <si>
    <t>Manures</t>
  </si>
  <si>
    <t>45-40-85/387 Manure;</t>
  </si>
  <si>
    <t>Pr_45_31_89_55</t>
  </si>
  <si>
    <t>Mycorrhizal inoculants</t>
  </si>
  <si>
    <t>45-40-85/405 Mycorrhizal inoculants;</t>
  </si>
  <si>
    <t>Pr_45_31_89_57</t>
  </si>
  <si>
    <t>Non-compost turf dressings</t>
  </si>
  <si>
    <t>45-40-85/411 Non-compost dressing for turf;</t>
  </si>
  <si>
    <t>Pr_45_31_89_58</t>
  </si>
  <si>
    <t>Organic fertilizers</t>
  </si>
  <si>
    <t>45-40-85/400 Organic fertilizer;</t>
  </si>
  <si>
    <t>Pr_45_31_89_75</t>
  </si>
  <si>
    <t>Sanitized and stabilized composts</t>
  </si>
  <si>
    <t>45-40-85/355 Sanitized and stabilized compost;</t>
  </si>
  <si>
    <t>Pr_45_31_89_80</t>
  </si>
  <si>
    <t>45-40-85/365 Aggregates for soil amelioration;</t>
  </si>
  <si>
    <t>Pr_45_31_89_81</t>
  </si>
  <si>
    <t>Soil amelioration industrial by-products</t>
  </si>
  <si>
    <t>45-40-85/370 Industrial by-products for soil ameliorants;</t>
  </si>
  <si>
    <t>Pr_45_31_89_82</t>
  </si>
  <si>
    <t>Soil amelioration minerals</t>
  </si>
  <si>
    <t>45-40-85/375 Minerals for soil amelioration;</t>
  </si>
  <si>
    <t>Pr_45_31_89_83</t>
  </si>
  <si>
    <t>Soil conditioning agents</t>
  </si>
  <si>
    <t>Pr_45_31_89_84</t>
  </si>
  <si>
    <t>Soil moisture retention additives</t>
  </si>
  <si>
    <t>45-40-85/380 Soil moisture retention additives;</t>
  </si>
  <si>
    <t>Pr_45_57</t>
  </si>
  <si>
    <t>Non-rigid sheet, mat and strip flora and fauna products</t>
  </si>
  <si>
    <t>Pr_45_57_91</t>
  </si>
  <si>
    <t>Turf and pre-planted substrates</t>
  </si>
  <si>
    <t>Pr_45_57_91_20</t>
  </si>
  <si>
    <t>Cultivated turf</t>
  </si>
  <si>
    <t>45-40-95/331 Cultivated turf;</t>
  </si>
  <si>
    <t>Pr_45_57_91_56</t>
  </si>
  <si>
    <t>Natural turf</t>
  </si>
  <si>
    <t>45-40-95/333 Natural turf;</t>
  </si>
  <si>
    <t>Pr_45_57_91_63</t>
  </si>
  <si>
    <t>Pre-planted coir rolls</t>
  </si>
  <si>
    <t>45-40-95/303 Pre-planted coir rolls;</t>
  </si>
  <si>
    <t>Pr_45_57_91_64</t>
  </si>
  <si>
    <t>Pre-planted pallets</t>
  </si>
  <si>
    <t>45-40-95/313 Pre-planted pallets;</t>
  </si>
  <si>
    <t>Pr_45_57_91_65</t>
  </si>
  <si>
    <t>Pre-planted vegetation mats</t>
  </si>
  <si>
    <t>45-40-95/301 Pre-planted vegetation blankets;</t>
  </si>
  <si>
    <t>Pr_45_57_91_67</t>
  </si>
  <si>
    <t>Pre-seeded mats</t>
  </si>
  <si>
    <t>45-40-95/311 Pre-seeded mats;</t>
  </si>
  <si>
    <t>Pr_45_57_91_76</t>
  </si>
  <si>
    <t>Seeded area turf edging</t>
  </si>
  <si>
    <t>Pr_45_63</t>
  </si>
  <si>
    <t>Plant support products</t>
  </si>
  <si>
    <t>Pr_45_63_63</t>
  </si>
  <si>
    <t>Plant containers</t>
  </si>
  <si>
    <t>Pr_45_63_63_02</t>
  </si>
  <si>
    <t>Aluminium divided modular units</t>
  </si>
  <si>
    <t>45-40-60/320 Aluminium divided modular units;</t>
  </si>
  <si>
    <t>Pr_45_63_63_03</t>
  </si>
  <si>
    <t>Aluminium edge retaining profiles</t>
  </si>
  <si>
    <t>45-40-60/460 Aluminium edge retaining profiles;</t>
  </si>
  <si>
    <t>Pr_45_63_63_04</t>
  </si>
  <si>
    <t>Aluminium plant containers</t>
  </si>
  <si>
    <t>45-40-60/350 Aluminium plant containers;</t>
  </si>
  <si>
    <t>Pr_45_63_63_05</t>
  </si>
  <si>
    <t>Aquatic plant containers</t>
  </si>
  <si>
    <t>Pr_45_63_63_07</t>
  </si>
  <si>
    <t>Biodegradable plant containers</t>
  </si>
  <si>
    <t>Pr_45_63_63_11</t>
  </si>
  <si>
    <t>Cast and wrought iron plant containers</t>
  </si>
  <si>
    <t>Pr_45_63_63_15</t>
  </si>
  <si>
    <t>Concrete and reconstituted aggregate plant containers</t>
  </si>
  <si>
    <t>45-40-60/370 Concrete and reconstituted aggregate plant containers;</t>
  </si>
  <si>
    <t>Pr_45_63_63_17</t>
  </si>
  <si>
    <t>Cropping bags</t>
  </si>
  <si>
    <t>Pr_45_63_63_22</t>
  </si>
  <si>
    <t>Divided modular planting units</t>
  </si>
  <si>
    <t>Pr_45_63_63_29</t>
  </si>
  <si>
    <t>Flower pouches</t>
  </si>
  <si>
    <t>Pr_45_63_63_34</t>
  </si>
  <si>
    <t>Glass-reinforced plastic (GRP) and advanced composite (AC) plant containers</t>
  </si>
  <si>
    <t>45-40-60/380 GRP and AC plant containers;</t>
  </si>
  <si>
    <t>Pr_45_63_63_36</t>
  </si>
  <si>
    <t>Hanging plant containers</t>
  </si>
  <si>
    <t>45-40-60/390 Hanging plant containers;</t>
  </si>
  <si>
    <t>Pr_45_63_63_37</t>
  </si>
  <si>
    <t>Herb planters</t>
  </si>
  <si>
    <t>Pr_45_63_63_38</t>
  </si>
  <si>
    <t>Herb wheels</t>
  </si>
  <si>
    <t>Pr_45_63_63_56</t>
  </si>
  <si>
    <t>Natural planting cassettes</t>
  </si>
  <si>
    <t>45-40-60/310 Natural planting cassettes;</t>
  </si>
  <si>
    <t>Pr_45_63_63_62</t>
  </si>
  <si>
    <t>Plastics divided modular units</t>
  </si>
  <si>
    <t>45-40-60/330 Plastics divided modular units;</t>
  </si>
  <si>
    <t>Pr_45_63_63_64</t>
  </si>
  <si>
    <t>Polymer plant containers</t>
  </si>
  <si>
    <t>Pr_45_63_63_65</t>
  </si>
  <si>
    <t>Potato planters</t>
  </si>
  <si>
    <t>Pr_45_63_63_72</t>
  </si>
  <si>
    <t>Round plant containers</t>
  </si>
  <si>
    <t>Pr_45_63_63_80</t>
  </si>
  <si>
    <t>Square plant containers</t>
  </si>
  <si>
    <t>Pr_45_63_63_81</t>
  </si>
  <si>
    <t>Stainless steel divided modular units</t>
  </si>
  <si>
    <t>45-40-60/340 Stainless steel divided modular units;</t>
  </si>
  <si>
    <t>Pr_45_63_63_82</t>
  </si>
  <si>
    <t>Stainless steel edge retaining profiles</t>
  </si>
  <si>
    <t>45-40-60/470 Stainless steel edge retaining profiles;</t>
  </si>
  <si>
    <t>Pr_45_63_63_83</t>
  </si>
  <si>
    <t>Stainless steel plant containers</t>
  </si>
  <si>
    <t>45-40-60/400 Stainless steel plant containers;</t>
  </si>
  <si>
    <t>Pr_45_63_63_84</t>
  </si>
  <si>
    <t>Steel plant containers</t>
  </si>
  <si>
    <t>45-40-60/360 Carbon steel plant containers;</t>
  </si>
  <si>
    <t>Pr_45_63_63_85</t>
  </si>
  <si>
    <t>Stone plant containers</t>
  </si>
  <si>
    <t>45-40-60/410 Stone plant containers;</t>
  </si>
  <si>
    <t>Pr_45_63_63_86</t>
  </si>
  <si>
    <t>Strawberry planters</t>
  </si>
  <si>
    <t>Pr_45_63_63_87</t>
  </si>
  <si>
    <t>Terracotta plant containers</t>
  </si>
  <si>
    <t>45-40-60/420 Terracotta plant containers;</t>
  </si>
  <si>
    <t>Pr_45_63_63_88</t>
  </si>
  <si>
    <t>Terrariums</t>
  </si>
  <si>
    <t>Pr_45_63_63_89</t>
  </si>
  <si>
    <t>Treated timber plant containers</t>
  </si>
  <si>
    <t>45-40-60/430 Timber plant containers – treated;</t>
  </si>
  <si>
    <t>Pr_45_63_63_90</t>
  </si>
  <si>
    <t>Trough plant containers</t>
  </si>
  <si>
    <t>Pr_45_63_63_92</t>
  </si>
  <si>
    <t>Untreated timber plant containers</t>
  </si>
  <si>
    <t>45-40-60/440 Timber plant containers – untreated;</t>
  </si>
  <si>
    <t>Pr_45_63_63_94</t>
  </si>
  <si>
    <t>Vases</t>
  </si>
  <si>
    <t>Pr_45_63_63_96</t>
  </si>
  <si>
    <t>Wall planters</t>
  </si>
  <si>
    <t>Pr_45_63_63_97</t>
  </si>
  <si>
    <t>Window boxes</t>
  </si>
  <si>
    <t>Pr_45_63_64</t>
  </si>
  <si>
    <t>Plant support and protection</t>
  </si>
  <si>
    <t>Pr_45_63_64_11</t>
  </si>
  <si>
    <t>Canes</t>
  </si>
  <si>
    <t>45-40-65/450 Canes;</t>
  </si>
  <si>
    <t>Pr_45_63_64_14</t>
  </si>
  <si>
    <t>Climbing plant supports</t>
  </si>
  <si>
    <t>45-40-65/460 Climbing plant supports;</t>
  </si>
  <si>
    <t>Pr_45_63_64_15</t>
  </si>
  <si>
    <t>Concrete tree surrounds</t>
  </si>
  <si>
    <t>45-40-65/375 Precast tree surrounds;</t>
  </si>
  <si>
    <t>Pr_45_63_64_30</t>
  </si>
  <si>
    <t>Floral foam fixing mediums</t>
  </si>
  <si>
    <t>45-40-65/310 Floral foam fixing medium;</t>
  </si>
  <si>
    <t>Pr_45_63_64_33</t>
  </si>
  <si>
    <t>Geocellular modular plastics structured soil units</t>
  </si>
  <si>
    <t>45-40-65/355 Geocellular modular plastics structural soil units;</t>
  </si>
  <si>
    <t>Pr_45_63_64_35</t>
  </si>
  <si>
    <t>Guy wire kits</t>
  </si>
  <si>
    <t>45-40-65/385 Above ground guying;</t>
  </si>
  <si>
    <t>Pr_45_63_64_63</t>
  </si>
  <si>
    <t>Plastics mesh reinforcement</t>
  </si>
  <si>
    <t>45-40-65/330 Plastics mesh reinforcement;</t>
  </si>
  <si>
    <t>Pr_45_63_64_66</t>
  </si>
  <si>
    <t>Polystyrene (PS) fixing mediums</t>
  </si>
  <si>
    <t>45-40-65/320 Polystyrene fixing medium;</t>
  </si>
  <si>
    <t>Pr_45_63_64_67</t>
  </si>
  <si>
    <t>Protective fencing</t>
  </si>
  <si>
    <t>45-40-65/390 Protective fencing;</t>
  </si>
  <si>
    <t>Pr_45_63_64_72</t>
  </si>
  <si>
    <t>Rootball securing frames</t>
  </si>
  <si>
    <t>45-40-65/360 Rootball securing assembly;</t>
  </si>
  <si>
    <t>Pr_45_63_64_78</t>
  </si>
  <si>
    <t>Shrub protectors</t>
  </si>
  <si>
    <t>45-40-65/400 Shrub protectors;</t>
  </si>
  <si>
    <t>Pr_45_63_64_80</t>
  </si>
  <si>
    <t>Softwood pegs</t>
  </si>
  <si>
    <t>45-40-65/420 Softwood pegs;</t>
  </si>
  <si>
    <t>Pr_45_63_64_83</t>
  </si>
  <si>
    <t>Stake ties</t>
  </si>
  <si>
    <t>45-40-65/440 Stake ties;</t>
  </si>
  <si>
    <t>Pr_45_63_64_84</t>
  </si>
  <si>
    <t>Stakes</t>
  </si>
  <si>
    <t>45-40-65/430 Stakes;</t>
  </si>
  <si>
    <t>Pr_45_63_64_86</t>
  </si>
  <si>
    <t>Tensioned wire trellises</t>
  </si>
  <si>
    <t>45-40-65/470 Tensioned wire trellis;</t>
  </si>
  <si>
    <t>Pr_45_63_64_87</t>
  </si>
  <si>
    <t>Tree grilles</t>
  </si>
  <si>
    <t>45-40-65/370 Tree grilles;</t>
  </si>
  <si>
    <t>Pr_45_63_64_88</t>
  </si>
  <si>
    <t>Tree guards</t>
  </si>
  <si>
    <t>45-40-65/350 Tree guards;</t>
  </si>
  <si>
    <t>Pr_45_63_64_89</t>
  </si>
  <si>
    <t>Tree protectors</t>
  </si>
  <si>
    <t>45-40-65/410 Tree protectors;</t>
  </si>
  <si>
    <t>Pr_45_63_64_90</t>
  </si>
  <si>
    <t>Trellises</t>
  </si>
  <si>
    <t>45-40-65/465 Trellis;</t>
  </si>
  <si>
    <t>Pr_45_63_64_96</t>
  </si>
  <si>
    <t>Weed control mats</t>
  </si>
  <si>
    <t>45-40-65/475 Weed control mats;</t>
  </si>
  <si>
    <t>Pr_50</t>
  </si>
  <si>
    <t>Fabric accessory products</t>
  </si>
  <si>
    <t>Pr_60</t>
  </si>
  <si>
    <t>Services source products</t>
  </si>
  <si>
    <t>Pr_60_45</t>
  </si>
  <si>
    <t>Water filtration and treatment products</t>
  </si>
  <si>
    <t>Pr_60_45_01</t>
  </si>
  <si>
    <t>Aerator products</t>
  </si>
  <si>
    <t>Pr_60_45_01_11</t>
  </si>
  <si>
    <t>Cascade trays</t>
  </si>
  <si>
    <t>90-07-01/345 Cascade trays;</t>
  </si>
  <si>
    <t>Pr_60_45_01_30</t>
  </si>
  <si>
    <t>Fine bubble diffuser manifolds</t>
  </si>
  <si>
    <t>90-07-01/315 Fine bubble diffuser manifold;</t>
  </si>
  <si>
    <t>Pr_60_45_01_37</t>
  </si>
  <si>
    <t>High speed vertical shaft surface aerators</t>
  </si>
  <si>
    <t>90-07-01/320 High speed vertical shaft surface aerator;</t>
  </si>
  <si>
    <t>Pr_60_45_01_38</t>
  </si>
  <si>
    <t>Horizontal shaft surface aerators</t>
  </si>
  <si>
    <t>90-07-01/340 Horizontal shaft surface aerator;</t>
  </si>
  <si>
    <t>Pr_60_45_01_44</t>
  </si>
  <si>
    <t>Jet aeration manifolds</t>
  </si>
  <si>
    <t>90-07-01/325 Jet aeration manifold;</t>
  </si>
  <si>
    <t>Pr_60_45_01_48</t>
  </si>
  <si>
    <t>Low speed vertical shaft surface aerators</t>
  </si>
  <si>
    <t>90-07-01/330 Low speed vertical shaft surface aerator;</t>
  </si>
  <si>
    <t>Pr_60_45_01_96</t>
  </si>
  <si>
    <t>Wind powered aerators</t>
  </si>
  <si>
    <t>90-07-01/335 Wind powered aerator;</t>
  </si>
  <si>
    <t>Pr_60_45_03</t>
  </si>
  <si>
    <t>Air blower products</t>
  </si>
  <si>
    <t>Pr_60_45_03_12</t>
  </si>
  <si>
    <t>Centrifugal blowers</t>
  </si>
  <si>
    <t>90-07-03/315 Centrifugal blower;</t>
  </si>
  <si>
    <t>Pr_60_45_03_55</t>
  </si>
  <si>
    <t>Multicore blowers</t>
  </si>
  <si>
    <t>Pr_60_45_03_72</t>
  </si>
  <si>
    <t>Rotary lobe air blowers</t>
  </si>
  <si>
    <t>90-07-03/305 Rotary Lobe Air Blower;</t>
  </si>
  <si>
    <t>Pr_60_45_03_73</t>
  </si>
  <si>
    <t>Rotary screw blowers</t>
  </si>
  <si>
    <t>90-07-03/310 Rotary screw blower;</t>
  </si>
  <si>
    <t>Pr_60_45_03_78</t>
  </si>
  <si>
    <t>Side channel blowers</t>
  </si>
  <si>
    <t>90-07-03/320 Side channel blower;</t>
  </si>
  <si>
    <t>Pr_60_45_03_90</t>
  </si>
  <si>
    <t>Turbo blowers</t>
  </si>
  <si>
    <t>Pr_60_45_07</t>
  </si>
  <si>
    <t>Biological filtration wastewater treatment products</t>
  </si>
  <si>
    <t>Pr_60_45_07_21</t>
  </si>
  <si>
    <t>De Hoxar separators</t>
  </si>
  <si>
    <t>90-07-07/325 De hoxar separator;</t>
  </si>
  <si>
    <t>Pr_60_45_07_22</t>
  </si>
  <si>
    <t>Dissolved air flotation plants</t>
  </si>
  <si>
    <t>90-07-07/320 Dissolved air flotation plant;</t>
  </si>
  <si>
    <t>Pr_60_45_07_23</t>
  </si>
  <si>
    <t>Disc biological filters</t>
  </si>
  <si>
    <t>90-07-07/310 Disc filter;</t>
  </si>
  <si>
    <t>Pr_60_45_07_25</t>
  </si>
  <si>
    <t>Drum filters</t>
  </si>
  <si>
    <t>90-07-07/315 Drum filter;</t>
  </si>
  <si>
    <t>Pr_60_45_07_46</t>
  </si>
  <si>
    <t>Lamella plate packs</t>
  </si>
  <si>
    <t>90-07-07/335 Lamella plate pack;</t>
  </si>
  <si>
    <t>Pr_60_45_07_51</t>
  </si>
  <si>
    <t>Membrane bio-reactors</t>
  </si>
  <si>
    <t>90-07-07/340 Membrane bio-reactor;</t>
  </si>
  <si>
    <t>Pr_60_45_07_60</t>
  </si>
  <si>
    <t>Packaged lamella units</t>
  </si>
  <si>
    <t>90-07-07/330 Packaged lamella unit;</t>
  </si>
  <si>
    <t>Pr_60_45_07_72</t>
  </si>
  <si>
    <t>Rotating biological contactors</t>
  </si>
  <si>
    <t>90-07-07/305 Rotating biological contactor;</t>
  </si>
  <si>
    <t>Pr_60_45_12</t>
  </si>
  <si>
    <t>Centrifuge products</t>
  </si>
  <si>
    <t>Pr_60_45_22</t>
  </si>
  <si>
    <t>Decanters</t>
  </si>
  <si>
    <t>Pr_60_45_22_30</t>
  </si>
  <si>
    <t>Floating decanters</t>
  </si>
  <si>
    <t>90-07-13/305 Floating decanter;</t>
  </si>
  <si>
    <t>Pr_60_45_22_52</t>
  </si>
  <si>
    <t>Motor driven moving arm decanters</t>
  </si>
  <si>
    <t>90-07-13/300 Motor driven moving arm decanter;</t>
  </si>
  <si>
    <t>Pr_60_45_24</t>
  </si>
  <si>
    <t>Distributor products</t>
  </si>
  <si>
    <t>Pr_60_45_24_52</t>
  </si>
  <si>
    <t>Motorized trickling filter distributor arms</t>
  </si>
  <si>
    <t>90-07-15/310 Motorised trickling filter distributor arm;</t>
  </si>
  <si>
    <t>Pr_60_45_24_60</t>
  </si>
  <si>
    <t>Paddlewheel trickling filter distributor arms</t>
  </si>
  <si>
    <t>90-07-15/320 Paddlewheel trickling filter distributor arm;</t>
  </si>
  <si>
    <t>Pr_60_45_24_72</t>
  </si>
  <si>
    <t>Rotary reaction trickling filter distributor arms and syphons</t>
  </si>
  <si>
    <t>90-07-15/305 Rotary reaction trickling filter distributor arms and syphon;</t>
  </si>
  <si>
    <t>Pr_60_45_24_90</t>
  </si>
  <si>
    <t>Turbine trickling filter distributor arms</t>
  </si>
  <si>
    <t>90-07-15/330 Turbine trickling filter distributor arm;</t>
  </si>
  <si>
    <t>Pr_60_45_29</t>
  </si>
  <si>
    <t>Filtration mediums</t>
  </si>
  <si>
    <t>Pr_60_45_29_14</t>
  </si>
  <si>
    <t>Clay trickling filter floor tiles</t>
  </si>
  <si>
    <t>90-07-65/320 Clay trickling filter floor tiles;</t>
  </si>
  <si>
    <t>Pr_60_45_29_16</t>
  </si>
  <si>
    <t>Concrete trickling filter floor tiles</t>
  </si>
  <si>
    <t>90-07-65/315 Concrete trickling filter floor tiles;</t>
  </si>
  <si>
    <t>Pr_60_45_29_65</t>
  </si>
  <si>
    <t>Plastics structured cross-flow mediums</t>
  </si>
  <si>
    <t>90-07-65/305 Plastics structured cross flow media;</t>
  </si>
  <si>
    <t>Pr_60_45_29_70</t>
  </si>
  <si>
    <t>Random packed plastics mediums</t>
  </si>
  <si>
    <t>90-07-65/310 Random packed plastics media;</t>
  </si>
  <si>
    <t>Pr_60_45_30</t>
  </si>
  <si>
    <t>Flow control products</t>
  </si>
  <si>
    <t>Pr_60_45_30_15</t>
  </si>
  <si>
    <t>Composite plastics penstocks</t>
  </si>
  <si>
    <t>90-07-30/320 Composite plastics penstock;</t>
  </si>
  <si>
    <t>Pr_60_45_30_23</t>
  </si>
  <si>
    <t>Diffuser drums</t>
  </si>
  <si>
    <t>90-07-30/380 Diffuser drum;</t>
  </si>
  <si>
    <t>Pr_60_45_30_31</t>
  </si>
  <si>
    <t>Float activated flow control units</t>
  </si>
  <si>
    <t>90-07-30/390 Float activated flow control unit;</t>
  </si>
  <si>
    <t>Pr_60_45_30_52</t>
  </si>
  <si>
    <t>Metal penstocks</t>
  </si>
  <si>
    <t>90-07-30/310 Metal penstock;</t>
  </si>
  <si>
    <t>Pr_60_45_30_83</t>
  </si>
  <si>
    <t>Stop gates</t>
  </si>
  <si>
    <t>90-07-30/350 Stop gate;</t>
  </si>
  <si>
    <t>Pr_60_45_30_84</t>
  </si>
  <si>
    <t>Stop logs</t>
  </si>
  <si>
    <t>90-07-30/340 Stop log;</t>
  </si>
  <si>
    <t>Pr_60_45_30_93</t>
  </si>
  <si>
    <t>Vortex water flow controls</t>
  </si>
  <si>
    <t>Pr_60_45_30_95</t>
  </si>
  <si>
    <t>Water baffles</t>
  </si>
  <si>
    <t>90-07-30/360 Water baffle;</t>
  </si>
  <si>
    <t>Pr_60_45_30_96</t>
  </si>
  <si>
    <t>Weir gates</t>
  </si>
  <si>
    <t>90-07-30/330 Weir gate;</t>
  </si>
  <si>
    <t>Pr_60_45_30_97</t>
  </si>
  <si>
    <t>Weir plates</t>
  </si>
  <si>
    <t>90-07-30/370 Weir plate;</t>
  </si>
  <si>
    <t>Pr_60_45_33</t>
  </si>
  <si>
    <t>Grit trap products</t>
  </si>
  <si>
    <t>Pr_60_45_33_17</t>
  </si>
  <si>
    <t>Cross-flow separators</t>
  </si>
  <si>
    <t>90-07-33-305 Cross-flow separator;</t>
  </si>
  <si>
    <t>Pr_60_45_33_57</t>
  </si>
  <si>
    <t>Non-powered vortex separators</t>
  </si>
  <si>
    <t>90-07-33-315 Non-powered vortex flow separator;</t>
  </si>
  <si>
    <t>Pr_60_45_33_65</t>
  </si>
  <si>
    <t>Powered vortex flow separators</t>
  </si>
  <si>
    <t>90-07-33-310 Powered vortex flow separator;</t>
  </si>
  <si>
    <t>Pr_60_45_34</t>
  </si>
  <si>
    <t>Grit classifier products</t>
  </si>
  <si>
    <t>Pr_60_45_34_15</t>
  </si>
  <si>
    <t>Classifier vortex washer and de-waterers</t>
  </si>
  <si>
    <t>90-07-34/315 Classifier washer/dewaterer (vortex type);</t>
  </si>
  <si>
    <t>Pr_60_45_34_71</t>
  </si>
  <si>
    <t>Reciprocating rake classifiers</t>
  </si>
  <si>
    <t>90-07-34/305 Reciprocating rake classifier;</t>
  </si>
  <si>
    <t>Pr_60_45_34_76</t>
  </si>
  <si>
    <t>Screw classifiers</t>
  </si>
  <si>
    <t>90-07-34/310 Screw classifier;</t>
  </si>
  <si>
    <t>Pr_60_45_46</t>
  </si>
  <si>
    <t>Launder trough products</t>
  </si>
  <si>
    <t>Pr_60_45_46_46</t>
  </si>
  <si>
    <t>Launder troughs</t>
  </si>
  <si>
    <t>90-07-46/315 Launder trough;</t>
  </si>
  <si>
    <t>Pr_60_45_58</t>
  </si>
  <si>
    <t>Odour control tank cover products</t>
  </si>
  <si>
    <t>Pr_60_45_58_33</t>
  </si>
  <si>
    <t>Gas containment covers</t>
  </si>
  <si>
    <t>90-07-58-310 Gas containment cover;</t>
  </si>
  <si>
    <t>Pr_60_45_58_58</t>
  </si>
  <si>
    <t>Odour control covers</t>
  </si>
  <si>
    <t>90-07-58-305 Odour control cover;</t>
  </si>
  <si>
    <t>Pr_60_45_74</t>
  </si>
  <si>
    <t>Scum removal products</t>
  </si>
  <si>
    <t>Pr_60_45_74_30</t>
  </si>
  <si>
    <t>Fixed scum pipes</t>
  </si>
  <si>
    <t>90-07-74/325 Fixed scum pipe;</t>
  </si>
  <si>
    <t>Pr_60_45_74_72</t>
  </si>
  <si>
    <t>Rotating scum pipes</t>
  </si>
  <si>
    <t>90-07-74/320 Rotating scum pipe;</t>
  </si>
  <si>
    <t>Pr_60_45_74_75</t>
  </si>
  <si>
    <t>Scum beaches</t>
  </si>
  <si>
    <t>90-07-74/330 Scum beach;</t>
  </si>
  <si>
    <t>Pr_60_45_74_76</t>
  </si>
  <si>
    <t>Scum removal boards</t>
  </si>
  <si>
    <t>90-07-74/305 Scum removal board;</t>
  </si>
  <si>
    <t>Pr_60_45_74_77</t>
  </si>
  <si>
    <t>Scum removal valves</t>
  </si>
  <si>
    <t>90-07-74/310 Scum removal valve;</t>
  </si>
  <si>
    <t>Pr_60_45_74_85</t>
  </si>
  <si>
    <t>Surface scum scrapers</t>
  </si>
  <si>
    <t>90-07-74/315 Surface scum scraper;</t>
  </si>
  <si>
    <t>Pr_60_45_76</t>
  </si>
  <si>
    <t>Sludge de-watering products</t>
  </si>
  <si>
    <t>Pr_60_45_76_07</t>
  </si>
  <si>
    <t>Belt presses</t>
  </si>
  <si>
    <t>90-07-76/315 Belt press;</t>
  </si>
  <si>
    <t>Pr_60_45_76_22</t>
  </si>
  <si>
    <t>Decanter centrifuges</t>
  </si>
  <si>
    <t>90-07-76/305 Decanter centrifuge;</t>
  </si>
  <si>
    <t>Pr_60_45_76_65</t>
  </si>
  <si>
    <t>Plate presses</t>
  </si>
  <si>
    <t>90-07-76/310 Plate press;</t>
  </si>
  <si>
    <t>Pr_60_45_78</t>
  </si>
  <si>
    <t>Sludge removal products</t>
  </si>
  <si>
    <t>Pr_60_45_78_08</t>
  </si>
  <si>
    <t>Bottom sludge scrapers</t>
  </si>
  <si>
    <t>90-07-77/315 Bottom sludge scraper;</t>
  </si>
  <si>
    <t>Pr_60_45_78_12</t>
  </si>
  <si>
    <t>Chain and flight scrapers</t>
  </si>
  <si>
    <t>90-07-77/320 Chain and flight scraper;</t>
  </si>
  <si>
    <t>Pr_60_45_78_72</t>
  </si>
  <si>
    <t>Rotating full bridge scrapers</t>
  </si>
  <si>
    <t>90-07-77/310 Rotating full bridge scraper;</t>
  </si>
  <si>
    <t>Pr_60_45_78_73</t>
  </si>
  <si>
    <t>Rotating half bridge scrapers</t>
  </si>
  <si>
    <t>90-07-77/305 Rotating half bridge scraper;</t>
  </si>
  <si>
    <t>Pr_60_45_78_78</t>
  </si>
  <si>
    <t>Siphons</t>
  </si>
  <si>
    <t>90-07-77/325 Siphon;</t>
  </si>
  <si>
    <t>Pr_60_45_79</t>
  </si>
  <si>
    <t>Sludge screening products</t>
  </si>
  <si>
    <t>Pr_60_45_79_34</t>
  </si>
  <si>
    <t>Gravity sludge screens</t>
  </si>
  <si>
    <t>90-07-78/305 Gravity sludge screen;</t>
  </si>
  <si>
    <t>Pr_60_45_79_65</t>
  </si>
  <si>
    <t>Pressurized sludge screens</t>
  </si>
  <si>
    <t>90-07-78/300 Pressurised sludge screen;</t>
  </si>
  <si>
    <t>Pr_60_45_80</t>
  </si>
  <si>
    <t>Sludge thickening products</t>
  </si>
  <si>
    <t>Pr_60_45_80_24</t>
  </si>
  <si>
    <t>Drum thickeners</t>
  </si>
  <si>
    <t>90-07-79/310 Drum thickener;</t>
  </si>
  <si>
    <t>Pr_60_45_80_34</t>
  </si>
  <si>
    <t>Gravity belt thickeners</t>
  </si>
  <si>
    <t>90-07-79/305 Gravity belt thickener;</t>
  </si>
  <si>
    <t>Pr_60_45_80_63</t>
  </si>
  <si>
    <t>Picket fence thickeners</t>
  </si>
  <si>
    <t>90-07-79/315 Picket fence thickener;</t>
  </si>
  <si>
    <t>Pr_60_45_85</t>
  </si>
  <si>
    <t>Suspended growth and tertiary wastewater treatment products</t>
  </si>
  <si>
    <t>Pr_60_45_90</t>
  </si>
  <si>
    <t>Wastewater and water mixer products</t>
  </si>
  <si>
    <t>Pr_60_45_90_15</t>
  </si>
  <si>
    <t>Channel mixers</t>
  </si>
  <si>
    <t>90-07-98/305 Channel mixer;</t>
  </si>
  <si>
    <t>Pr_60_45_90_51</t>
  </si>
  <si>
    <t>Mechanical mixers</t>
  </si>
  <si>
    <t>90-07-98/310 Mechanical mixer;</t>
  </si>
  <si>
    <t>Pr_60_45_90_85</t>
  </si>
  <si>
    <t>Static pipe mixers</t>
  </si>
  <si>
    <t>90-07-98/300 Static pipe mixer;</t>
  </si>
  <si>
    <t>Pr_60_45_90_86</t>
  </si>
  <si>
    <t>Submersible propeller mixers</t>
  </si>
  <si>
    <t>Pr_60_45_93</t>
  </si>
  <si>
    <t>Wastewater screenings treatment products</t>
  </si>
  <si>
    <t>Pr_60_45_93_42</t>
  </si>
  <si>
    <t>Impeller and compactor tank wash</t>
  </si>
  <si>
    <t>90-07-90/315 Tank wash (Impeller and compactor) system;</t>
  </si>
  <si>
    <t>Pr_60_45_93_50</t>
  </si>
  <si>
    <t>Macerator and de-waterer tank wash</t>
  </si>
  <si>
    <t>90-07-90/320 Tank wash (Macerator and de-waterer) system;</t>
  </si>
  <si>
    <t>Pr_60_45_93_75</t>
  </si>
  <si>
    <t>Screw compactors</t>
  </si>
  <si>
    <t>90-07-90/305 Screw compactors;</t>
  </si>
  <si>
    <t>Pr_60_45_93_96</t>
  </si>
  <si>
    <t>Washer compactors</t>
  </si>
  <si>
    <t>90-07-90/310 Washer compactor;</t>
  </si>
  <si>
    <t>Pr_60_45_94</t>
  </si>
  <si>
    <t>Wastewater screening and water abstraction products</t>
  </si>
  <si>
    <t>Pr_60_45_94_06</t>
  </si>
  <si>
    <t>Band screens</t>
  </si>
  <si>
    <t>90-07-92/310 Band screen;</t>
  </si>
  <si>
    <t>Pr_60_45_94_08</t>
  </si>
  <si>
    <t>Brushed and macerator combined screens</t>
  </si>
  <si>
    <t>90-07-92/380 Combined (brushed / macerator) screen;</t>
  </si>
  <si>
    <t>Pr_60_45_94_09</t>
  </si>
  <si>
    <t>Brushed screens</t>
  </si>
  <si>
    <t>90-07-92/395 Brushed screen;</t>
  </si>
  <si>
    <t>Pr_60_45_94_15</t>
  </si>
  <si>
    <t>Coanda screens</t>
  </si>
  <si>
    <t>90-07-92/345 Coanda screen;</t>
  </si>
  <si>
    <t>Pr_60_45_94_23</t>
  </si>
  <si>
    <t>Disc screens</t>
  </si>
  <si>
    <t>90-07-92/335 Disc screen;</t>
  </si>
  <si>
    <t>Pr_60_45_94_25</t>
  </si>
  <si>
    <t>Drum screens</t>
  </si>
  <si>
    <t>90-07-92/370 Drum screen;</t>
  </si>
  <si>
    <t>Pr_60_45_94_29</t>
  </si>
  <si>
    <t>Finescreens</t>
  </si>
  <si>
    <t>90-07-92/365 Finescreen;</t>
  </si>
  <si>
    <t>Pr_60_45_94_30</t>
  </si>
  <si>
    <t>Flushing screens</t>
  </si>
  <si>
    <t>90-07-92/390 Flushing screen;</t>
  </si>
  <si>
    <t>Pr_60_45_94_34</t>
  </si>
  <si>
    <t>Grab screens</t>
  </si>
  <si>
    <t>90-07-92/320 Grab screen;</t>
  </si>
  <si>
    <t>Pr_60_45_94_70</t>
  </si>
  <si>
    <t>Raked bar screens</t>
  </si>
  <si>
    <t>90-07-92/325 Raked bar screen;</t>
  </si>
  <si>
    <t>Pr_60_45_94_72</t>
  </si>
  <si>
    <t>Rotary drum screens</t>
  </si>
  <si>
    <t>90-07-92/315 Rotary drum screen;</t>
  </si>
  <si>
    <t>Pr_60_45_94_73</t>
  </si>
  <si>
    <t>Rotating bar interceptors</t>
  </si>
  <si>
    <t>90-07-92/355 Rotating bar interceptors;</t>
  </si>
  <si>
    <t>Pr_60_45_94_78</t>
  </si>
  <si>
    <t>Slot screens</t>
  </si>
  <si>
    <t>90-07-92/330 Slot screen;</t>
  </si>
  <si>
    <t>Pr_60_45_94_80</t>
  </si>
  <si>
    <t>Spiral and compaction combined screens</t>
  </si>
  <si>
    <t>90-07-92/375 Combined (spiral / compaction) screen;</t>
  </si>
  <si>
    <t>Pr_60_45_94_81</t>
  </si>
  <si>
    <t>Spiral screens</t>
  </si>
  <si>
    <t>90-07-92/350 Spiral screen;</t>
  </si>
  <si>
    <t>Pr_60_45_94_83</t>
  </si>
  <si>
    <t>Static perforated plate screens</t>
  </si>
  <si>
    <t>90-07-92/385 Static perforated plate screen;</t>
  </si>
  <si>
    <t>Pr_60_45_94_84</t>
  </si>
  <si>
    <t>Static wedge wire screens</t>
  </si>
  <si>
    <t>90-07-92/340 Static wedge wire screen;</t>
  </si>
  <si>
    <t>Pr_60_45_94_85</t>
  </si>
  <si>
    <t>Step screens</t>
  </si>
  <si>
    <t>90-07-92/360 Step screens;</t>
  </si>
  <si>
    <t>Pr_60_45_95</t>
  </si>
  <si>
    <t>Wastewater settlement products</t>
  </si>
  <si>
    <t>Pr_60_45_95_15</t>
  </si>
  <si>
    <t>Conical glass reinforced plastics (GRP) settlement tanks</t>
  </si>
  <si>
    <t>90-07-97/300 Conical GRP settlement tanks;</t>
  </si>
  <si>
    <t>Pr_60_45_96</t>
  </si>
  <si>
    <t>Wastewater tank flushing products</t>
  </si>
  <si>
    <t>Pr_60_45_96_14</t>
  </si>
  <si>
    <t>Circular tank flushing vessels</t>
  </si>
  <si>
    <t>90-07-94/310 Circular tank flushing vessel;</t>
  </si>
  <si>
    <t>Pr_60_45_96_30</t>
  </si>
  <si>
    <t>Flushing gates</t>
  </si>
  <si>
    <t>90-07-94/305 Flushing gate;</t>
  </si>
  <si>
    <t>Pr_60_45_96_89</t>
  </si>
  <si>
    <t>Tipping troughs</t>
  </si>
  <si>
    <t>90-07-94/300 Tipping trough;</t>
  </si>
  <si>
    <t>Pr_60_45_96_94</t>
  </si>
  <si>
    <t>Vacuum operated storage reservoirs</t>
  </si>
  <si>
    <t>90-07-94/315 Vacuum operated storage reservoir;</t>
  </si>
  <si>
    <t>Pr_60_50</t>
  </si>
  <si>
    <t>Tank, cylinder and vessel products</t>
  </si>
  <si>
    <t>Pr_60_50_10</t>
  </si>
  <si>
    <t>Bulk storage tanks</t>
  </si>
  <si>
    <t>Pr_60_50_10_34</t>
  </si>
  <si>
    <t>Glass fused steel tanks</t>
  </si>
  <si>
    <t>90-07-10/300 Glass fused steel tanks;</t>
  </si>
  <si>
    <t>Pr_60_50_10_64</t>
  </si>
  <si>
    <t>Plastics tanks</t>
  </si>
  <si>
    <t>90-07-10/310 Plastics tanks;</t>
  </si>
  <si>
    <t>Pr_60_50_10_66</t>
  </si>
  <si>
    <t>Precast concrete modular tanks</t>
  </si>
  <si>
    <t>90-07-10/320 Precast concrete modular tank;</t>
  </si>
  <si>
    <t>Pr_60_50_20</t>
  </si>
  <si>
    <t>Cylinders and buffer vessels</t>
  </si>
  <si>
    <t>Pr_60_50_20_02</t>
  </si>
  <si>
    <t>Accumulators</t>
  </si>
  <si>
    <t>90-40-80/330 Accumulators;</t>
  </si>
  <si>
    <t>Pr_60_50_20_10</t>
  </si>
  <si>
    <t>Buffer vessels</t>
  </si>
  <si>
    <t>90-10-95/430 Buffer tanks;</t>
  </si>
  <si>
    <t>Pr_60_50_20_21</t>
  </si>
  <si>
    <t>Direct hot water storage cylinders</t>
  </si>
  <si>
    <t>90-15-35/310 Direct hot water storage cylinders;</t>
  </si>
  <si>
    <t>Pr_60_50_20_22</t>
  </si>
  <si>
    <t>Direct insulated hot water combination units</t>
  </si>
  <si>
    <t>90-15-35/320 Direct insulated combination units;</t>
  </si>
  <si>
    <t>Pr_60_50_20_23</t>
  </si>
  <si>
    <t>Double feed indirect hot water storage cylinders</t>
  </si>
  <si>
    <t>90-15-35/350 Indirect hot water storage cylinders, double feed;</t>
  </si>
  <si>
    <t>Pr_60_50_20_24</t>
  </si>
  <si>
    <t>Double feed indirect insulated hot water combination units</t>
  </si>
  <si>
    <t>90-15-35/370 Double feed indirect insulated combination units;</t>
  </si>
  <si>
    <t>Pr_60_50_20_25</t>
  </si>
  <si>
    <t>Dual coil hot water storage cylinders</t>
  </si>
  <si>
    <t>90-15-35/330 Dual coil hot water storage cylinders;</t>
  </si>
  <si>
    <t>Pr_60_50_20_28</t>
  </si>
  <si>
    <t>Expansion vessels</t>
  </si>
  <si>
    <t>90-10-60/455 Expansion vessels;</t>
  </si>
  <si>
    <t>Pr_60_50_20_42</t>
  </si>
  <si>
    <t>Indirectly heated unvented hot water storage cylinders</t>
  </si>
  <si>
    <t>90-15-35/340 Indirectly heated unvented hot water storage;</t>
  </si>
  <si>
    <t>Pr_60_50_20_77</t>
  </si>
  <si>
    <t>Single feed indirect insulated combination units</t>
  </si>
  <si>
    <t>90-15-35/380 Single feed indirect insulated combination units;</t>
  </si>
  <si>
    <t>Pr_60_50_20_78</t>
  </si>
  <si>
    <t>Single feed indirect hot water storage cylinders</t>
  </si>
  <si>
    <t>90-15-35/360 Indirect hot water storage cylinders, single feed;</t>
  </si>
  <si>
    <t>Pr_60_50_33</t>
  </si>
  <si>
    <t>Gas storage cylinders</t>
  </si>
  <si>
    <t>Pr_60_50_33_14</t>
  </si>
  <si>
    <t>Compressed air cylinders</t>
  </si>
  <si>
    <t>90-30-10/340 Compressed gas cylinders;</t>
  </si>
  <si>
    <t>Pr_60_50_33_15</t>
  </si>
  <si>
    <t>Compressed gas cylinders</t>
  </si>
  <si>
    <t>90-30-45/310 Compressed gas cylinders;</t>
  </si>
  <si>
    <t>Pr_60_50_33_37</t>
  </si>
  <si>
    <t>High pressure fire extinguishing gas storage cylinders</t>
  </si>
  <si>
    <t>90-35-35/360 High pressure storage cylinders;</t>
  </si>
  <si>
    <t>Pr_60_50_33_46</t>
  </si>
  <si>
    <t>Liquefied gas cylinders</t>
  </si>
  <si>
    <t>90-30-45/315 Liquid cylinders;</t>
  </si>
  <si>
    <t>Pr_60_50_33_47</t>
  </si>
  <si>
    <t>Liquid oxygen cylinders</t>
  </si>
  <si>
    <t>90-30-55/314 Liquid oxygen cylinders;</t>
  </si>
  <si>
    <t>Pr_60_50_33_48</t>
  </si>
  <si>
    <t>Low pressure fire extinguishing gas storage cylinders</t>
  </si>
  <si>
    <t>90-35-35/365 Low pressure storage cylinders;</t>
  </si>
  <si>
    <t>Pr_60_50_33_51</t>
  </si>
  <si>
    <t>Medical compressed gas cylinders</t>
  </si>
  <si>
    <t>90-30-55/312 Compressed gas cylinders;</t>
  </si>
  <si>
    <t>Pr_60_50_41</t>
  </si>
  <si>
    <t>Irrigation and water feature reservoirs</t>
  </si>
  <si>
    <t>Pr_60_50_41_41</t>
  </si>
  <si>
    <t>Integral water features</t>
  </si>
  <si>
    <t>90-15-90/491 Integral water features;</t>
  </si>
  <si>
    <t>Pr_60_50_41_53</t>
  </si>
  <si>
    <t>Modular irrigation reservoirs</t>
  </si>
  <si>
    <t>90-15-40/431 Modular irrigation reservoirs;</t>
  </si>
  <si>
    <t>Pr_60_50_41_65</t>
  </si>
  <si>
    <t>Pre-formed reservoirs</t>
  </si>
  <si>
    <t>90-15-90/489 Pre-formed reservoirs;</t>
  </si>
  <si>
    <t>Pr_60_50_41_66</t>
  </si>
  <si>
    <t>Pre-formed rigid pond liners</t>
  </si>
  <si>
    <t>90-15-90/485 Pre-formed rigid pond liners;</t>
  </si>
  <si>
    <t>Pr_60_50_41_77</t>
  </si>
  <si>
    <t>Sealed irrigation reservoirs</t>
  </si>
  <si>
    <t>90-15-40/432 Sealed irrigation reservoirs;</t>
  </si>
  <si>
    <t>Pr_60_50_41_96</t>
  </si>
  <si>
    <t>Water feature containers</t>
  </si>
  <si>
    <t>90-15-90/471 Containers for water features;</t>
  </si>
  <si>
    <t>Pr_60_50_46</t>
  </si>
  <si>
    <t>Liquid fuel tank accessories</t>
  </si>
  <si>
    <t>Pr_60_50_46_45</t>
  </si>
  <si>
    <t>Liquid fuel tank contents gauges</t>
  </si>
  <si>
    <t>90-25-50/310 Contents gauges;</t>
  </si>
  <si>
    <t>Pr_60_50_46_46</t>
  </si>
  <si>
    <t>Liquid fuel tank drip trays</t>
  </si>
  <si>
    <t>90-25-50/315 Drip trays;</t>
  </si>
  <si>
    <t>Pr_60_50_46_47</t>
  </si>
  <si>
    <t>Liquid fuel tank fill points</t>
  </si>
  <si>
    <t>90-25-50/320 Fill points;</t>
  </si>
  <si>
    <t>Pr_60_50_46_48</t>
  </si>
  <si>
    <t>Liquid fuel tank outflow heaters</t>
  </si>
  <si>
    <t>90-25-50/385 Outflow heaters;</t>
  </si>
  <si>
    <t>Pr_60_50_46_49</t>
  </si>
  <si>
    <t>Liquid fuel tank heaters</t>
  </si>
  <si>
    <t>90-25-50/420 Tank heaters;</t>
  </si>
  <si>
    <t>Pr_60_50_46_59</t>
  </si>
  <si>
    <t>Overflow prevention devices</t>
  </si>
  <si>
    <t>90-25-50/380 Overfill alarms and overfill prevention devices;</t>
  </si>
  <si>
    <t>Pr_60_50_46_87</t>
  </si>
  <si>
    <t>Tank access chambers</t>
  </si>
  <si>
    <t>90-25-50/430 Tank access chambers;</t>
  </si>
  <si>
    <t>Pr_60_50_47</t>
  </si>
  <si>
    <t>Liquid fuel tanks</t>
  </si>
  <si>
    <t>Pr_60_50_47_11</t>
  </si>
  <si>
    <t>Liquid fuel service tanks</t>
  </si>
  <si>
    <t>Pr_60_50_47_12</t>
  </si>
  <si>
    <t>Carbon steel liquid fuel tanks</t>
  </si>
  <si>
    <t>90-25-50/340 Carbon steel liquid fuel service tanks;</t>
  </si>
  <si>
    <t>Pr_60_50_47_13</t>
  </si>
  <si>
    <t>Carbon steel oil tanks</t>
  </si>
  <si>
    <t>90-25-50/360 Carbon steel oil service tanks;</t>
  </si>
  <si>
    <t>Pr_60_50_47_34</t>
  </si>
  <si>
    <t>Glass reinforced plastics liquid fuel tanks</t>
  </si>
  <si>
    <t>90-25-50/345 Glass reinforced plastics liquid fuel service tanks;</t>
  </si>
  <si>
    <t>Pr_60_50_47_63</t>
  </si>
  <si>
    <t>Plastics oil tanks</t>
  </si>
  <si>
    <t>90-25-50/365 Plastics oil service tanks;</t>
  </si>
  <si>
    <t>Pr_60_50_47_84</t>
  </si>
  <si>
    <t>Stainless steel liquid fuel tanks</t>
  </si>
  <si>
    <t>Pr_60_50_67</t>
  </si>
  <si>
    <t>Pressure storage vessels</t>
  </si>
  <si>
    <t>Pr_60_50_67_31</t>
  </si>
  <si>
    <t>Foam fire fighting tanks</t>
  </si>
  <si>
    <t>90-35-30/310 Foam fire fighting tanks;</t>
  </si>
  <si>
    <t>Pr_60_50_67_48</t>
  </si>
  <si>
    <t>Liquefied petroleum gas (LPG) storage vessels</t>
  </si>
  <si>
    <t>90-30-50/310 Storage vessels;</t>
  </si>
  <si>
    <t>Pr_60_50_67_52</t>
  </si>
  <si>
    <t>Metal liquid or gas pressure vessels</t>
  </si>
  <si>
    <t>45-30-65/305 Metal pressure vessel;</t>
  </si>
  <si>
    <t>Pr_60_50_67_70</t>
  </si>
  <si>
    <t>Refrigerant recovery storage vessels</t>
  </si>
  <si>
    <t>Pr_60_50_67_93</t>
  </si>
  <si>
    <t>Vacuum flasks</t>
  </si>
  <si>
    <t>Pr_60_50_67_94</t>
  </si>
  <si>
    <t>Vacuum insulated evaporator (VIE) storage vessels</t>
  </si>
  <si>
    <t>90-30-45/320 Vacuum insulated evaporator (VIE) storage vessels;</t>
  </si>
  <si>
    <t>Pr_60_50_85</t>
  </si>
  <si>
    <t>Storage of solid materials</t>
  </si>
  <si>
    <t>Pr_60_50_85_01</t>
  </si>
  <si>
    <t>Above ground storage containers for solid fuel</t>
  </si>
  <si>
    <t>90-40-80/340 Above ground storage containers for solid fuel;</t>
  </si>
  <si>
    <t>Pr_60_50_85_07</t>
  </si>
  <si>
    <t>Below ground storage containers for solid fuel</t>
  </si>
  <si>
    <t>90-40-80/350 Below ground storage containers for solid fuel;</t>
  </si>
  <si>
    <t>Pr_60_50_85_78</t>
  </si>
  <si>
    <t>Silos</t>
  </si>
  <si>
    <t>45-30-80/310 Silo;</t>
  </si>
  <si>
    <t>Pr_60_50_96</t>
  </si>
  <si>
    <t>Water tanks and cisterns</t>
  </si>
  <si>
    <t>Pr_60_50_96_15</t>
  </si>
  <si>
    <t>Concrete tanks</t>
  </si>
  <si>
    <t>Pr_60_50_96_20</t>
  </si>
  <si>
    <t>Cylindrical tanks</t>
  </si>
  <si>
    <t>90-10-95/420 Cylindrical tanks;</t>
  </si>
  <si>
    <t>Pr_60_50_96_32</t>
  </si>
  <si>
    <t>Galvanized steel cisterns</t>
  </si>
  <si>
    <t>90-10-95/350 Prefabricated galvanized steel cisterns;</t>
  </si>
  <si>
    <t>Pr_60_50_96_33</t>
  </si>
  <si>
    <t>Galvanized steel tanks</t>
  </si>
  <si>
    <t>90-10-95/360 Prefabricated galvanized steel tanks;</t>
  </si>
  <si>
    <t>Pr_60_50_96_34</t>
  </si>
  <si>
    <t>Glass reinforced plastics cisterns</t>
  </si>
  <si>
    <t>90-10-95/310 Glass fibre reinforced tanks and cisterns;</t>
  </si>
  <si>
    <t>Pr_60_50_96_35</t>
  </si>
  <si>
    <t>Glass reinforced pressure tanks</t>
  </si>
  <si>
    <t>90-10-95/370 Pressure tanks;</t>
  </si>
  <si>
    <t>Pr_60_50_96_36</t>
  </si>
  <si>
    <t>Glass reinforced plastics tanks</t>
  </si>
  <si>
    <t>Pr_60_50_96_52</t>
  </si>
  <si>
    <t>Moulded plastics tanks</t>
  </si>
  <si>
    <t>Pr_60_50_96_53</t>
  </si>
  <si>
    <t>Moulded plastics cisterns</t>
  </si>
  <si>
    <t>90-10-95/340 Moulded plastics cisterns;</t>
  </si>
  <si>
    <t>Pr_60_50_96_62</t>
  </si>
  <si>
    <t>Piped attenuation structures</t>
  </si>
  <si>
    <t>90-10-95/420 Piped attenuation structure;</t>
  </si>
  <si>
    <t>Pr_60_50_96_63</t>
  </si>
  <si>
    <t>Plastics bladder water storage tanks</t>
  </si>
  <si>
    <t>Pr_60_50_96_64</t>
  </si>
  <si>
    <t>Polyethylene (PE) tanks</t>
  </si>
  <si>
    <t>90-10-95/410 Waste water below ground storage tanks (greywater);</t>
  </si>
  <si>
    <t>Pr_60_50_96_65</t>
  </si>
  <si>
    <t>Polypropylene (PP) tanks</t>
  </si>
  <si>
    <t>90-10-95/400 Surface water below ground storage tanks;</t>
  </si>
  <si>
    <t>Pr_60_50_96_70</t>
  </si>
  <si>
    <t>Rainwater storage butts</t>
  </si>
  <si>
    <t>90-10-95/380 Rainwater storage butts;</t>
  </si>
  <si>
    <t>Pr_60_50_96_76</t>
  </si>
  <si>
    <t>Sectional carbon steel tanks</t>
  </si>
  <si>
    <t>90-10-95/390 Sectional steel tank;</t>
  </si>
  <si>
    <t>Pr_60_50_96_84</t>
  </si>
  <si>
    <t>Stainless steel tanks</t>
  </si>
  <si>
    <t>Pr_60_55</t>
  </si>
  <si>
    <t>Liquid and gas source products</t>
  </si>
  <si>
    <t>Pr_60_55_31</t>
  </si>
  <si>
    <t>Inlet connections and fill connections</t>
  </si>
  <si>
    <t>Pr_60_55_31_29</t>
  </si>
  <si>
    <t>Foam inlet adaptors</t>
  </si>
  <si>
    <t>90-35-30/320 Foam inlet adaptors;</t>
  </si>
  <si>
    <t>Pr_60_55_31_30</t>
  </si>
  <si>
    <t>Foam inlet boxes</t>
  </si>
  <si>
    <t>90-35-30/330 Foam inlet boxes;</t>
  </si>
  <si>
    <t>Pr_60_55_31_42</t>
  </si>
  <si>
    <t>Riser inlet breechings and boxes</t>
  </si>
  <si>
    <t>Pr_60_55_31_47</t>
  </si>
  <si>
    <t>Liquefied petroleum gas (LPG) fill connections</t>
  </si>
  <si>
    <t>90-30-50/320 Filling connection;</t>
  </si>
  <si>
    <t>Pr_60_55_31_96</t>
  </si>
  <si>
    <t>Water inlet adaptors</t>
  </si>
  <si>
    <t>Pr_60_55_31_97</t>
  </si>
  <si>
    <t>Water inlet boxes</t>
  </si>
  <si>
    <t>Pr_60_55_33</t>
  </si>
  <si>
    <t>Gas and vacuum generators</t>
  </si>
  <si>
    <t>Pr_60_55_33_04</t>
  </si>
  <si>
    <t>Anaerobic digesters</t>
  </si>
  <si>
    <t>90-30-35/310 Anaerobic digesters;</t>
  </si>
  <si>
    <t>Pr_60_55_33_13</t>
  </si>
  <si>
    <t>Chlorine generators</t>
  </si>
  <si>
    <t>Pr_60_55_33_39</t>
  </si>
  <si>
    <t>Hydrogen generators</t>
  </si>
  <si>
    <t>90-30-45/325 Hydrogen generators;</t>
  </si>
  <si>
    <t>Pr_60_55_33_56</t>
  </si>
  <si>
    <t>Nitrogen generators</t>
  </si>
  <si>
    <t>90-30-45/330 Nitrogen generators;</t>
  </si>
  <si>
    <t>Pr_60_55_33_73</t>
  </si>
  <si>
    <t>Pressure swing adsorption (PSA) plant</t>
  </si>
  <si>
    <t>90-30-55/326 Pressure swing adsorption (PSA) plant;</t>
  </si>
  <si>
    <t>Pr_60_55_33_94</t>
  </si>
  <si>
    <t>Vacuum plant</t>
  </si>
  <si>
    <t>90-30-55/322 Medical vacuum plant;</t>
  </si>
  <si>
    <t>Pr_60_55_96</t>
  </si>
  <si>
    <t>Water treatment chemicals</t>
  </si>
  <si>
    <t>Pr_60_55_96_06</t>
  </si>
  <si>
    <t>Bacteria and biofouling inhibitors</t>
  </si>
  <si>
    <t>90-15-95/335 pH control chemicals;</t>
  </si>
  <si>
    <t>Pr_60_55_96_07</t>
  </si>
  <si>
    <t>Biocide chemicals</t>
  </si>
  <si>
    <t>Pr_60_55_96_08</t>
  </si>
  <si>
    <t>Biodispersant chemicals</t>
  </si>
  <si>
    <t>90-15-95/310 Biodispersant chemicals;</t>
  </si>
  <si>
    <t>Pr_60_55_96_12</t>
  </si>
  <si>
    <t>Chlorination chemicals</t>
  </si>
  <si>
    <t>90-12-65/305 Chlorination chemicals;</t>
  </si>
  <si>
    <t>Pr_60_55_96_15</t>
  </si>
  <si>
    <t>Corrosion inhibitor chemicals</t>
  </si>
  <si>
    <t>90-15-95/315 Corrosion inhibitor chemicals;</t>
  </si>
  <si>
    <t>Pr_60_55_96_16</t>
  </si>
  <si>
    <t>Corrosion inhibitor chemicals for closed circuits</t>
  </si>
  <si>
    <t>90-15-95/317 Corrosion inhibitors for closed circuit systems;</t>
  </si>
  <si>
    <t>Pr_60_55_96_21</t>
  </si>
  <si>
    <t>De-chlorination chemicals</t>
  </si>
  <si>
    <t>90-12-65/310 De-chlorination chemicals;</t>
  </si>
  <si>
    <t>Pr_60_55_96_22</t>
  </si>
  <si>
    <t>Dispersant chemicals</t>
  </si>
  <si>
    <t>90-15-95/320 Dispersant chemicals;</t>
  </si>
  <si>
    <t>Pr_60_55_96_58</t>
  </si>
  <si>
    <t>Odour control chemicals</t>
  </si>
  <si>
    <t>90-12-65/330 Odour control chemicals;</t>
  </si>
  <si>
    <t>Pr_60_55_96_64</t>
  </si>
  <si>
    <t>pH correction chemicals</t>
  </si>
  <si>
    <t>90-12-65/325 pH correction chemicals;</t>
  </si>
  <si>
    <t>Pr_60_55_96_77</t>
  </si>
  <si>
    <t>Scale inhibitor chemicals</t>
  </si>
  <si>
    <t>90-15-95/340 Scale inhibitor chemicals;</t>
  </si>
  <si>
    <t>Pr_60_55_96_78</t>
  </si>
  <si>
    <t>Septicity control chemicals</t>
  </si>
  <si>
    <t>90-12-65/335 Septicity control chemicals;</t>
  </si>
  <si>
    <t>Pr_60_55_96_79</t>
  </si>
  <si>
    <t>Settlement coagulants</t>
  </si>
  <si>
    <t>90-12-65/300 Settlement coagulants;</t>
  </si>
  <si>
    <t>Pr_60_55_96_96</t>
  </si>
  <si>
    <t>Water plumbosolvency reduction chemicals</t>
  </si>
  <si>
    <t>90-12-65/315 Water plumbosolvency reduction chemicals;</t>
  </si>
  <si>
    <t>Pr_60_55_97</t>
  </si>
  <si>
    <t>Water treatment products</t>
  </si>
  <si>
    <t>Pr_60_55_97_02</t>
  </si>
  <si>
    <t>Alkalinity dosing units</t>
  </si>
  <si>
    <t>90-15-75/320 Alkalinity dosing units;</t>
  </si>
  <si>
    <t>Pr_60_55_97_06</t>
  </si>
  <si>
    <t>Bioaugmentation devices</t>
  </si>
  <si>
    <t>90-15-90/361 Bioaugmentation products;</t>
  </si>
  <si>
    <t>Pr_60_55_97_07</t>
  </si>
  <si>
    <t>Biocide dosing pots</t>
  </si>
  <si>
    <t>90-15-95/350 Dosing pots;</t>
  </si>
  <si>
    <t>Pr_60_55_97_11</t>
  </si>
  <si>
    <t>Chemical disinfection devices</t>
  </si>
  <si>
    <t>Pr_60_55_97_12</t>
  </si>
  <si>
    <t>Chemical dosing pots</t>
  </si>
  <si>
    <t>Pr_60_55_97_13</t>
  </si>
  <si>
    <t>Chemical injectors</t>
  </si>
  <si>
    <t>90-15-40/341 Injectors;</t>
  </si>
  <si>
    <t>Pr_60_55_97_14</t>
  </si>
  <si>
    <t>Clarifiers</t>
  </si>
  <si>
    <t>90-15-90/339 Water clarifiers;</t>
  </si>
  <si>
    <t>Pr_60_55_97_15</t>
  </si>
  <si>
    <t>Coagulant dosing units</t>
  </si>
  <si>
    <t>90-15-75/330 Coagulant dosing units;</t>
  </si>
  <si>
    <t>Pr_60_55_97_20</t>
  </si>
  <si>
    <t>Deionization units</t>
  </si>
  <si>
    <t>Pr_60_55_97_21</t>
  </si>
  <si>
    <t>Desalination units</t>
  </si>
  <si>
    <t>Pr_60_55_97_22</t>
  </si>
  <si>
    <t>Disinfectant dosing units</t>
  </si>
  <si>
    <t>90-15-75/340 Disinfectant dosing units;</t>
  </si>
  <si>
    <t>Pr_60_55_97_23</t>
  </si>
  <si>
    <t>Distillation units</t>
  </si>
  <si>
    <t>Pr_60_55_97_24</t>
  </si>
  <si>
    <t>Drinking water nitrate removal devices</t>
  </si>
  <si>
    <t>90-15-95/410 Nitrate removal devices for drinking water;</t>
  </si>
  <si>
    <t>Pr_60_55_97_27</t>
  </si>
  <si>
    <t>Electrodialysis units</t>
  </si>
  <si>
    <t>90-15-95/360 Electrodialysis units;</t>
  </si>
  <si>
    <t>Pr_60_55_97_41</t>
  </si>
  <si>
    <t>Inline filter units</t>
  </si>
  <si>
    <t>90-15-95/375 Inline filter units;</t>
  </si>
  <si>
    <t>Pr_60_55_97_43</t>
  </si>
  <si>
    <t>Ion exchange demineralization units</t>
  </si>
  <si>
    <t>90-15-95/380 Ion exchange demineralization units;</t>
  </si>
  <si>
    <t>Pr_60_55_97_44</t>
  </si>
  <si>
    <t>Ion exchange softening units</t>
  </si>
  <si>
    <t>90-15-95/390 Ion exchange softening units;</t>
  </si>
  <si>
    <t>Pr_60_55_97_50</t>
  </si>
  <si>
    <t>Magnetic water conditioners</t>
  </si>
  <si>
    <t>90-15-95/400 Magnetic water conditioners;</t>
  </si>
  <si>
    <t>Pr_60_55_97_63</t>
  </si>
  <si>
    <t>pH control dosing units</t>
  </si>
  <si>
    <t>90-15-75/350 pH control dosing units;</t>
  </si>
  <si>
    <t>Pr_60_55_97_72</t>
  </si>
  <si>
    <t>Reverse osmosis units</t>
  </si>
  <si>
    <t>90-15-95/420 Reverse osmosis units;</t>
  </si>
  <si>
    <t>Pr_60_55_97_85</t>
  </si>
  <si>
    <t>Sterilizers</t>
  </si>
  <si>
    <t>90-15-90/349 Water sterilizers;</t>
  </si>
  <si>
    <t>Pr_60_55_97_86</t>
  </si>
  <si>
    <t>Surface skimmers</t>
  </si>
  <si>
    <t>90-15-90/345 Water skimmers;</t>
  </si>
  <si>
    <t>Pr_60_55_97_93</t>
  </si>
  <si>
    <t>Ultraviolet (UV) disinfection devices</t>
  </si>
  <si>
    <t>90-15-95/430 Ultra-violet light disinfection units;</t>
  </si>
  <si>
    <t>Pr_60_55_97_95</t>
  </si>
  <si>
    <t>Water aerators</t>
  </si>
  <si>
    <t>90-15-90/335 Water aerators;</t>
  </si>
  <si>
    <t>Pr_60_55_97_96</t>
  </si>
  <si>
    <t>Water conditioners</t>
  </si>
  <si>
    <t>90-15-90/341 Water conditioners;</t>
  </si>
  <si>
    <t>Pr_60_55_97_97</t>
  </si>
  <si>
    <t>Water treatment dosing pots</t>
  </si>
  <si>
    <t>Pr_60_60</t>
  </si>
  <si>
    <t>Heating and cooling source products</t>
  </si>
  <si>
    <t>Pr_60_60_08</t>
  </si>
  <si>
    <t>Boilers</t>
  </si>
  <si>
    <t>Pr_60_60_08_08</t>
  </si>
  <si>
    <t>Biomass boilers</t>
  </si>
  <si>
    <t>Pr_60_60_08_24</t>
  </si>
  <si>
    <t>Dual fuel cast iron boilers</t>
  </si>
  <si>
    <t>90-40-05/310 Dual fuel fired cast iron boilers;</t>
  </si>
  <si>
    <t>Pr_60_60_08_25</t>
  </si>
  <si>
    <t>Dual fuel steel shell boilers</t>
  </si>
  <si>
    <t>90-40-05/320 Dual fuel fired steel shell boilers;</t>
  </si>
  <si>
    <t>Pr_60_60_08_27</t>
  </si>
  <si>
    <t>Electric boilers</t>
  </si>
  <si>
    <t>Pr_60_60_08_33</t>
  </si>
  <si>
    <t>Gas fired boilers</t>
  </si>
  <si>
    <t>90-40-05/330 Gas fired boilers;</t>
  </si>
  <si>
    <t>Pr_60_60_08_34</t>
  </si>
  <si>
    <t>Gas fired condensing boilers</t>
  </si>
  <si>
    <t>90-40-05/340 Gas fired condensing boilers;</t>
  </si>
  <si>
    <t>Pr_60_60_08_35</t>
  </si>
  <si>
    <t>Gas fired cast iron boilers</t>
  </si>
  <si>
    <t>90-40-05/350 Gas fired cast iron boilers;</t>
  </si>
  <si>
    <t>Pr_60_60_08_36</t>
  </si>
  <si>
    <t>Gas fired steel shell boilers</t>
  </si>
  <si>
    <t>90-40-05/360 Gas fired steel shell boilers;</t>
  </si>
  <si>
    <t>Pr_60_60_08_37</t>
  </si>
  <si>
    <t>Gas fired water tube boilers</t>
  </si>
  <si>
    <t>90-40-05/370 Gas fired steam boilers;</t>
  </si>
  <si>
    <t>Pr_60_60_08_56</t>
  </si>
  <si>
    <t>Oil fired condensing boilers</t>
  </si>
  <si>
    <t>90-40-05/377 Oil-fired condensing boilers;</t>
  </si>
  <si>
    <t>Pr_60_60_08_57</t>
  </si>
  <si>
    <t>Oil fired non-condensing boilers</t>
  </si>
  <si>
    <t>90-40-05/375 Oil-fired non-condensing boilers;</t>
  </si>
  <si>
    <t>Pr_60_60_08_58</t>
  </si>
  <si>
    <t>Oil fired cast iron boilers</t>
  </si>
  <si>
    <t>90-40-05/380 Oil fired cast iron boilers;</t>
  </si>
  <si>
    <t>Pr_60_60_08_59</t>
  </si>
  <si>
    <t>Oil fired steel shell boilers</t>
  </si>
  <si>
    <t>90-40-05/390 Oil fired steel shell boilers;</t>
  </si>
  <si>
    <t>Pr_60_60_08_60</t>
  </si>
  <si>
    <t>Oil fired water tube boilers</t>
  </si>
  <si>
    <t>90-40-05/400 Oil fired steam boilers;</t>
  </si>
  <si>
    <t>Pr_60_60_08_80</t>
  </si>
  <si>
    <t>Solid fuel cast iron boilers</t>
  </si>
  <si>
    <t>90-40-05/410 Solid fuel fired cast iron boilers;</t>
  </si>
  <si>
    <t>Pr_60_60_08_81</t>
  </si>
  <si>
    <t>Solid fuel steel shell boilers</t>
  </si>
  <si>
    <t>90-40-05/420 Solid fuel fired steel shell boilers;</t>
  </si>
  <si>
    <t>Pr_60_60_08_83</t>
  </si>
  <si>
    <t>Submerged panel heat exchangers</t>
  </si>
  <si>
    <t>90-40-40/390 Submerged panel heat exchanger;</t>
  </si>
  <si>
    <t>Pr_60_60_08_84</t>
  </si>
  <si>
    <t>Submerged pipe heat exchangers</t>
  </si>
  <si>
    <t>90-40-40/380 Submerged pipe heat exchanger;</t>
  </si>
  <si>
    <t>Pr_60_60_10</t>
  </si>
  <si>
    <t>Burners</t>
  </si>
  <si>
    <t>Pr_60_60_10_03</t>
  </si>
  <si>
    <t>Atmospheric gas burners</t>
  </si>
  <si>
    <t>Pr_60_60_10_05</t>
  </si>
  <si>
    <t>Atomizing oil burners</t>
  </si>
  <si>
    <t>Pr_60_60_10_29</t>
  </si>
  <si>
    <t>Forced draught dual fuel burners</t>
  </si>
  <si>
    <t>90-40-05/460 Forced draught dual fuel burners;</t>
  </si>
  <si>
    <t>Pr_60_60_10_30</t>
  </si>
  <si>
    <t>Forced draught gas burners</t>
  </si>
  <si>
    <t>90-40-05/470 Forced draught gas burners;</t>
  </si>
  <si>
    <t>Pr_60_60_10_31</t>
  </si>
  <si>
    <t>Forced draught oil burners</t>
  </si>
  <si>
    <t>90-40-05/480 Forced draught oil burners;</t>
  </si>
  <si>
    <t>Pr_60_60_10_65</t>
  </si>
  <si>
    <t>Pre-mix gas burners</t>
  </si>
  <si>
    <t>Pr_60_60_13</t>
  </si>
  <si>
    <t>Chillers and cooling towers</t>
  </si>
  <si>
    <t>Pr_60_60_13_01</t>
  </si>
  <si>
    <t>Adsorption chillers</t>
  </si>
  <si>
    <t>Pr_60_60_13_02</t>
  </si>
  <si>
    <t>Adiabatic chillers</t>
  </si>
  <si>
    <t>Pr_60_60_13_04</t>
  </si>
  <si>
    <t>Air cooled liquid chillers</t>
  </si>
  <si>
    <t>90-40-10/330 Air cooled liquid chillers;</t>
  </si>
  <si>
    <t>Pr_60_60_13_14</t>
  </si>
  <si>
    <t>Closed circuit cooling towers</t>
  </si>
  <si>
    <t>90-40-10/380 Closed circuit cooling towers;</t>
  </si>
  <si>
    <t>Pr_60_60_13_22</t>
  </si>
  <si>
    <t>Direct fired absorption liquid chillers</t>
  </si>
  <si>
    <t>90-40-10/340 Direct fired absorption liquid chillers;</t>
  </si>
  <si>
    <t>Pr_60_60_13_27</t>
  </si>
  <si>
    <t>Electric driven refrigerant compressors</t>
  </si>
  <si>
    <t>90-40-95/310 Electric driven compressors;</t>
  </si>
  <si>
    <t>Pr_60_60_13_33</t>
  </si>
  <si>
    <t>Gas engine driven refrigerant compressors</t>
  </si>
  <si>
    <t>90-40-95/320 Gas engine driven compressors;</t>
  </si>
  <si>
    <t>Pr_60_60_13_38</t>
  </si>
  <si>
    <t>Hot water fired absorption liquid chillers</t>
  </si>
  <si>
    <t>90-40-10/410 Hot water fired absorption liquid chillers;</t>
  </si>
  <si>
    <t>Pr_60_60_13_59</t>
  </si>
  <si>
    <t>Open circuit cooling towers</t>
  </si>
  <si>
    <t>90-40-10/390 Open circuit cooling towers;</t>
  </si>
  <si>
    <t>Pr_60_60_13_84</t>
  </si>
  <si>
    <t>Steam fired absorption liquid chillers</t>
  </si>
  <si>
    <t>90-40-10/350 Steam fired absorption liquid chillers;</t>
  </si>
  <si>
    <t>Pr_60_60_13_96</t>
  </si>
  <si>
    <t>Water cooled liquid chillers</t>
  </si>
  <si>
    <t>90-40-10/360 Water cooled liquid chillers;</t>
  </si>
  <si>
    <t>Pr_60_60_36</t>
  </si>
  <si>
    <t>Heat recovery distribution equipment</t>
  </si>
  <si>
    <t>Pr_60_60_36_26</t>
  </si>
  <si>
    <t>Economizers</t>
  </si>
  <si>
    <t>Pr_60_60_36_36</t>
  </si>
  <si>
    <t>Heat pipes</t>
  </si>
  <si>
    <t>90-45-45/310 Heat pipes;</t>
  </si>
  <si>
    <t>Pr_60_60_36_60</t>
  </si>
  <si>
    <t>Passive heat exchangers</t>
  </si>
  <si>
    <t>90-45-45/360 Passive heat exchangers;</t>
  </si>
  <si>
    <t>Pr_60_60_36_62</t>
  </si>
  <si>
    <t>Plate recuperators</t>
  </si>
  <si>
    <t>90-45-45/320 Plate recuperators;</t>
  </si>
  <si>
    <t>Pr_60_60_36_72</t>
  </si>
  <si>
    <t>Regenerators</t>
  </si>
  <si>
    <t>90-45-45/330 Regenerators;</t>
  </si>
  <si>
    <t>Pr_60_60_36_74</t>
  </si>
  <si>
    <t>Run-around coils</t>
  </si>
  <si>
    <t>90-45-45/340 Run-around coils;</t>
  </si>
  <si>
    <t>Pr_60_60_36_88</t>
  </si>
  <si>
    <t>Thermal wheels</t>
  </si>
  <si>
    <t>90-45-45/350 Thermal wheels;</t>
  </si>
  <si>
    <t>Pr_60_60_38</t>
  </si>
  <si>
    <t>Calorifiers and plate heat exchangers</t>
  </si>
  <si>
    <t>Pr_60_60_38_36</t>
  </si>
  <si>
    <t>Heat interface units</t>
  </si>
  <si>
    <t>90-40-45/370 Heat interface units;</t>
  </si>
  <si>
    <t>Pr_60_60_38_38</t>
  </si>
  <si>
    <t>Hot water non-storage calorifiers</t>
  </si>
  <si>
    <t>90-40-45/310 Hot water non-storage calorifiers;</t>
  </si>
  <si>
    <t>Pr_60_60_38_42</t>
  </si>
  <si>
    <t>Instantaneous plate heat exchangers</t>
  </si>
  <si>
    <t>90-15-35/420 Instantaneous water heaters, packaged plate heat exchangers;</t>
  </si>
  <si>
    <t>Pr_60_60_38_62</t>
  </si>
  <si>
    <t>Plate heat exchangers</t>
  </si>
  <si>
    <t>90-40-45/330 Plate heat exchangers;</t>
  </si>
  <si>
    <t>Pr_60_60_38_84</t>
  </si>
  <si>
    <t>Steam to water non-storage calorifiers</t>
  </si>
  <si>
    <t>90-40-45/350 Steam non-storage calorifiers;</t>
  </si>
  <si>
    <t>Pr_60_60_38_85</t>
  </si>
  <si>
    <t>Storage calorifiers</t>
  </si>
  <si>
    <t>Pr_60_60_81</t>
  </si>
  <si>
    <t>Solar heat collectors</t>
  </si>
  <si>
    <t>Pr_60_60_81_26</t>
  </si>
  <si>
    <t>Evacuated tube solar collectors</t>
  </si>
  <si>
    <t>90-40-75/310 Evacuated tube collectors;</t>
  </si>
  <si>
    <t>Pr_60_60_81_30</t>
  </si>
  <si>
    <t>Flat plate solar collectors</t>
  </si>
  <si>
    <t>90-40-75/320 Flat plate collectors;</t>
  </si>
  <si>
    <t>Pr_60_60_81_80</t>
  </si>
  <si>
    <t>Solar heat stores</t>
  </si>
  <si>
    <t>Pr_60_60_81_81</t>
  </si>
  <si>
    <t>Solar trackers</t>
  </si>
  <si>
    <t>90-40-75/350 Solar tracking;</t>
  </si>
  <si>
    <t>Pr_60_60_83</t>
  </si>
  <si>
    <t>Solid fuel and waste handling equipment</t>
  </si>
  <si>
    <t>Pr_60_60_83_05</t>
  </si>
  <si>
    <t>Ash handling equipment</t>
  </si>
  <si>
    <t>90-40-80/320 Ash handling equipment;</t>
  </si>
  <si>
    <t>Pr_60_60_83_81</t>
  </si>
  <si>
    <t>Solid fuel handling equipment</t>
  </si>
  <si>
    <t>90-40-80/310 Fuel handling equipment;</t>
  </si>
  <si>
    <t>Pr_60_60_84</t>
  </si>
  <si>
    <t>Steam generators</t>
  </si>
  <si>
    <t>Pr_60_60_84_14</t>
  </si>
  <si>
    <t>Clean steam generators</t>
  </si>
  <si>
    <t>90-20-75/425 Packaged clean steam generators;</t>
  </si>
  <si>
    <t>Pr_60_60_96</t>
  </si>
  <si>
    <t>Water heaters</t>
  </si>
  <si>
    <t>Pr_60_60_96_26</t>
  </si>
  <si>
    <t>Electric instantaneous shower units</t>
  </si>
  <si>
    <t>90-15-35/390 Instantaneous shower units, electric;</t>
  </si>
  <si>
    <t>Pr_60_60_96_27</t>
  </si>
  <si>
    <t>Electric instantaneous water heaters</t>
  </si>
  <si>
    <t>90-15-35/400 Instantaneous water heaters, electric;</t>
  </si>
  <si>
    <t>Pr_60_60_96_28</t>
  </si>
  <si>
    <t>Electric storage water heaters</t>
  </si>
  <si>
    <t>90-15-35/440 Storage water heaters, electric;</t>
  </si>
  <si>
    <t>Pr_60_60_96_33</t>
  </si>
  <si>
    <t>Gas-fired instantaneous water heaters</t>
  </si>
  <si>
    <t>90-15-35/410 Instantaneous water heaters, gas fired;</t>
  </si>
  <si>
    <t>Pr_60_60_96_34</t>
  </si>
  <si>
    <t>Gas-fired storage water heaters</t>
  </si>
  <si>
    <t>90-15-35/450 Storage water heaters, gas fired;</t>
  </si>
  <si>
    <t>Pr_60_60_96_42</t>
  </si>
  <si>
    <t>Immersion heaters</t>
  </si>
  <si>
    <t>90-15-35/460 Immersion heaters;</t>
  </si>
  <si>
    <t>Pr_60_65</t>
  </si>
  <si>
    <t>Air and fume source products</t>
  </si>
  <si>
    <t>Pr_60_65_03</t>
  </si>
  <si>
    <t>Air handling units</t>
  </si>
  <si>
    <t>Pr_60_65_03_28</t>
  </si>
  <si>
    <t>Extract and return air handling units</t>
  </si>
  <si>
    <t>Pr_60_65_03_86</t>
  </si>
  <si>
    <t>Supply air handling units</t>
  </si>
  <si>
    <t>90-45-15/310 Air handling unit;</t>
  </si>
  <si>
    <t>Pr_60_65_03_87</t>
  </si>
  <si>
    <t>Supply and return air handling units</t>
  </si>
  <si>
    <t>90-45-15/325 Supply and exhaust air handling units;</t>
  </si>
  <si>
    <t>Pr_60_65_31</t>
  </si>
  <si>
    <t>Fume cupboards and safety cabinets</t>
  </si>
  <si>
    <t>Pr_60_65_31_33</t>
  </si>
  <si>
    <t>General-purpose fume cupboards</t>
  </si>
  <si>
    <t>90-45-35/310 General purpose fume cupboards;</t>
  </si>
  <si>
    <t>Pr_60_65_31_46</t>
  </si>
  <si>
    <t>Laminar flow cabinets</t>
  </si>
  <si>
    <t>90-45-35/320 Laminar flow cabinets;</t>
  </si>
  <si>
    <t>Pr_60_65_31_52</t>
  </si>
  <si>
    <t>Microbiological safety cabinets</t>
  </si>
  <si>
    <t>90-45-35/330 Microbiological safety cabinets;</t>
  </si>
  <si>
    <t>Pr_60_65_31_71</t>
  </si>
  <si>
    <t>Recirculatory filtration fume cupboards</t>
  </si>
  <si>
    <t>90-45-35/340 Recirculatory filtration fume cupboards;</t>
  </si>
  <si>
    <t>Pr_60_65_31_76</t>
  </si>
  <si>
    <t>School fume cupboards</t>
  </si>
  <si>
    <t>90-45-35/350 School fume cupboards;</t>
  </si>
  <si>
    <t>Pr_60_65_31_94</t>
  </si>
  <si>
    <t>Variable air volume fume cupboards</t>
  </si>
  <si>
    <t>90-45-35/360 Variable air volume fume cupboards;</t>
  </si>
  <si>
    <t>Pr_60_65_37</t>
  </si>
  <si>
    <t>Heating and cooling coils</t>
  </si>
  <si>
    <t>Pr_60_65_37_12</t>
  </si>
  <si>
    <t>Chilled water cooling coils</t>
  </si>
  <si>
    <t>90-45-50/310 Chilled water cooling coils;</t>
  </si>
  <si>
    <t>Pr_60_65_37_27</t>
  </si>
  <si>
    <t>Electric heater batteries</t>
  </si>
  <si>
    <t>90-45-50/320 Electric heater batteries;</t>
  </si>
  <si>
    <t>Pr_60_65_37_33</t>
  </si>
  <si>
    <t>Gas fired heater batteries</t>
  </si>
  <si>
    <t>90-45-50/330 Gas fired heater batteries;</t>
  </si>
  <si>
    <t>Pr_60_65_37_41</t>
  </si>
  <si>
    <t>Intercoolers</t>
  </si>
  <si>
    <t>Pr_60_65_37_47</t>
  </si>
  <si>
    <t>Low temperature hot water heating coils</t>
  </si>
  <si>
    <t>90-45-50/340 Low temperature hot water heating coils;</t>
  </si>
  <si>
    <t>Pr_60_65_37_72</t>
  </si>
  <si>
    <t>Refrigerant cooling coils</t>
  </si>
  <si>
    <t>90-45-50/350 Refrigerant cooling coils;</t>
  </si>
  <si>
    <t>Pr_60_65_94</t>
  </si>
  <si>
    <t>Ventilation hoods and extract points</t>
  </si>
  <si>
    <t>Pr_60_65_94_29</t>
  </si>
  <si>
    <t>Fume capturing hoods</t>
  </si>
  <si>
    <t>90-45-40/320 Capturing hoods;</t>
  </si>
  <si>
    <t>Pr_60_65_94_30</t>
  </si>
  <si>
    <t>Fume enclosing hoods</t>
  </si>
  <si>
    <t>90-45-40/330 Enclosing hoods;</t>
  </si>
  <si>
    <t>Pr_60_65_94_31</t>
  </si>
  <si>
    <t>Fume receiving hoods</t>
  </si>
  <si>
    <t>90-45-40/340 Receiving hoods;</t>
  </si>
  <si>
    <t>Pr_60_65_94_32</t>
  </si>
  <si>
    <t>Fume extract points</t>
  </si>
  <si>
    <t>90-45-40/310 Fume extract points;</t>
  </si>
  <si>
    <t>Pr_60_65_94_45</t>
  </si>
  <si>
    <t>Kitchen canopies</t>
  </si>
  <si>
    <t>90-45-25/340 Kitchen canopies;</t>
  </si>
  <si>
    <t>Pr_60_65_94_46</t>
  </si>
  <si>
    <t>Kitchen extractor hoods</t>
  </si>
  <si>
    <t>45-35-15/490 Extractor hoods;</t>
  </si>
  <si>
    <t>Pr_60_65_94_94</t>
  </si>
  <si>
    <t>Vehicle exhaust nozzles</t>
  </si>
  <si>
    <t>90-45-95/310 Nozzles;</t>
  </si>
  <si>
    <t>Pr_60_70</t>
  </si>
  <si>
    <t>Power supply products</t>
  </si>
  <si>
    <t>Pr_60_70_06</t>
  </si>
  <si>
    <t>Batteries and chargers</t>
  </si>
  <si>
    <t>Pr_60_70_06_05</t>
  </si>
  <si>
    <t>Automatic battery chargers</t>
  </si>
  <si>
    <t>90-60-05/320 Automatic battery chargers;</t>
  </si>
  <si>
    <t>Pr_60_70_06_06</t>
  </si>
  <si>
    <t>Backup battery supply</t>
  </si>
  <si>
    <t>90-70-05-400 Battery backup supply;</t>
  </si>
  <si>
    <t>Pr_60_70_06_12</t>
  </si>
  <si>
    <t>Central battery supply units</t>
  </si>
  <si>
    <t>90-60-40-430 d.c. central battery supply units;</t>
  </si>
  <si>
    <t>Pr_60_70_06_23</t>
  </si>
  <si>
    <t>Direct current battery charge controllers</t>
  </si>
  <si>
    <t>90-60-05-310 d.c. battery charge controllers;</t>
  </si>
  <si>
    <t>Pr_60_70_06_27</t>
  </si>
  <si>
    <t>Electric vehicle chargers</t>
  </si>
  <si>
    <t>90-60-35/300 Electric vehicle charger;</t>
  </si>
  <si>
    <t>Pr_60_70_06_67</t>
  </si>
  <si>
    <t>PV generator junction boxes</t>
  </si>
  <si>
    <t>90-50-45/396 PV generator junction boxes;</t>
  </si>
  <si>
    <t>Pr_60_70_06_71</t>
  </si>
  <si>
    <t>Rechargeable dry cell battery chargers</t>
  </si>
  <si>
    <t>90-60-05/330 Rechargeable dry cell battery chargers;</t>
  </si>
  <si>
    <t>Pr_60_70_06_76</t>
  </si>
  <si>
    <t>Sealed lead acid batteries</t>
  </si>
  <si>
    <t>90-60-05/360 Storage batteries;</t>
  </si>
  <si>
    <t>Pr_60_70_06_77</t>
  </si>
  <si>
    <t>Sealed nickel cadmium batteries</t>
  </si>
  <si>
    <t>Pr_60_70_06_94</t>
  </si>
  <si>
    <t>Valve regulated (sealed) lead acid</t>
  </si>
  <si>
    <t>Pr_60_70_06_95</t>
  </si>
  <si>
    <t>Vented lead acid batteries</t>
  </si>
  <si>
    <t>Pr_60_70_06_96</t>
  </si>
  <si>
    <t>Vented nickel cadmium batteries</t>
  </si>
  <si>
    <t>Pr_60_70_22</t>
  </si>
  <si>
    <t>Distribution boxes and switchboards</t>
  </si>
  <si>
    <t>Pr_60_70_22_11</t>
  </si>
  <si>
    <t>Cable distribution cabinets</t>
  </si>
  <si>
    <t>90-50-45/390 Cable distribution cabinets;</t>
  </si>
  <si>
    <t>Pr_60_70_22_15</t>
  </si>
  <si>
    <t>Consumer units</t>
  </si>
  <si>
    <t>Pr_60_70_22_19</t>
  </si>
  <si>
    <t>Cubicle switchboards</t>
  </si>
  <si>
    <t>90-50-45/420 Cubicle switchboards;</t>
  </si>
  <si>
    <t>Pr_60_70_22_22</t>
  </si>
  <si>
    <t>Distribution boards</t>
  </si>
  <si>
    <t>90-50-45/410 Distribution boards and consumer units;</t>
  </si>
  <si>
    <t>Pr_60_70_22_28</t>
  </si>
  <si>
    <t>Extension boxes</t>
  </si>
  <si>
    <t>Pr_60_70_22_46</t>
  </si>
  <si>
    <t>Lighting distribution boxes</t>
  </si>
  <si>
    <t>90-50-45/380 Lighting distribution boxes;</t>
  </si>
  <si>
    <t>Pr_60_70_22_50</t>
  </si>
  <si>
    <t>Master distribution boxes</t>
  </si>
  <si>
    <t>90-50-45/360 Master distribution boxes;</t>
  </si>
  <si>
    <t>Pr_60_70_22_79</t>
  </si>
  <si>
    <t>Slave distribution boxes</t>
  </si>
  <si>
    <t>90-50-45/370 Slave distribution boxes;</t>
  </si>
  <si>
    <t>Pr_60_70_22_80</t>
  </si>
  <si>
    <t>Spreader boxes</t>
  </si>
  <si>
    <t>Pr_60_70_22_85</t>
  </si>
  <si>
    <t>Sub-main distribution boards</t>
  </si>
  <si>
    <t>Pr_60_70_28</t>
  </si>
  <si>
    <t>Extra high voltage switchgear</t>
  </si>
  <si>
    <t>Pr_60_70_36</t>
  </si>
  <si>
    <t>High voltage switchgear and transformers</t>
  </si>
  <si>
    <t>Pr_60_70_36_06</t>
  </si>
  <si>
    <t>High voltage busbar metering panels</t>
  </si>
  <si>
    <t>90-50-40/360 Busbar metering panels;</t>
  </si>
  <si>
    <t>Pr_60_70_36_07</t>
  </si>
  <si>
    <t>High voltage bus-section panels</t>
  </si>
  <si>
    <t>90-50-40/350 Bus-section panel with vacuum circuit breaker and series disconnectors;</t>
  </si>
  <si>
    <t>Pr_60_70_36_12</t>
  </si>
  <si>
    <t>High voltage circuit breakers</t>
  </si>
  <si>
    <t>Pr_60_70_36_18</t>
  </si>
  <si>
    <t>High voltage current transformers</t>
  </si>
  <si>
    <t>90-50-40/460 Current transformers;</t>
  </si>
  <si>
    <t>Pr_60_70_36_22</t>
  </si>
  <si>
    <t>High voltage disconnectors</t>
  </si>
  <si>
    <t>Pr_60_70_36_24</t>
  </si>
  <si>
    <t>High voltage dry type transformers</t>
  </si>
  <si>
    <t>90-50-40/455 Dry-type transformers;</t>
  </si>
  <si>
    <t>Pr_60_70_36_26</t>
  </si>
  <si>
    <t>High voltage earthing switches</t>
  </si>
  <si>
    <t>Pr_60_70_36_30</t>
  </si>
  <si>
    <t>High voltage liquid immersed transformers</t>
  </si>
  <si>
    <t>90-50-40/450 Liquid immersed transformers;</t>
  </si>
  <si>
    <t>Pr_60_70_36_37</t>
  </si>
  <si>
    <t>High voltage fuses</t>
  </si>
  <si>
    <t>Pr_60_70_36_53</t>
  </si>
  <si>
    <t>High voltage modular switchboards</t>
  </si>
  <si>
    <t>90-50-40/310 High voltage modular switchboards;</t>
  </si>
  <si>
    <t>Pr_60_70_36_70</t>
  </si>
  <si>
    <t>High voltage rectiformers</t>
  </si>
  <si>
    <t>Pr_60_70_36_72</t>
  </si>
  <si>
    <t>High voltage ring main units</t>
  </si>
  <si>
    <t>90-50-40/320 Ring main units;</t>
  </si>
  <si>
    <t>Pr_60_70_36_75</t>
  </si>
  <si>
    <t>High voltage safety matting</t>
  </si>
  <si>
    <t>90-50-75/310 High voltage safety matting;</t>
  </si>
  <si>
    <t>Pr_60_70_36_80</t>
  </si>
  <si>
    <t>High voltage switch-disconnectors</t>
  </si>
  <si>
    <t>Pr_60_70_36_81</t>
  </si>
  <si>
    <t>High voltage switch-fuse combinations</t>
  </si>
  <si>
    <t>Pr_60_70_36_82</t>
  </si>
  <si>
    <t>High voltage switches</t>
  </si>
  <si>
    <t>Pr_60_70_36_83</t>
  </si>
  <si>
    <t>High voltage switchgear protection and control modules</t>
  </si>
  <si>
    <t>90-50-40/400 Protection and control module;</t>
  </si>
  <si>
    <t>Pr_60_70_36_94</t>
  </si>
  <si>
    <t>High voltage vacuum circuit breaker panels</t>
  </si>
  <si>
    <t>90-50-40/340 Vacuum circuit breaker panel with series disconnector;</t>
  </si>
  <si>
    <t>Pr_60_70_48</t>
  </si>
  <si>
    <t>Low voltage switchgear</t>
  </si>
  <si>
    <t>Pr_60_70_48_05</t>
  </si>
  <si>
    <t>Automatic transfer switching equipment (TSE)</t>
  </si>
  <si>
    <t>90-50-45/460 Automatic transfer switching equipment (TSE);</t>
  </si>
  <si>
    <t>Pr_60_70_48_06</t>
  </si>
  <si>
    <t>Busbar chambers</t>
  </si>
  <si>
    <t>90-50-45/440 Busbars;</t>
  </si>
  <si>
    <t>Pr_60_70_48_07</t>
  </si>
  <si>
    <t>Busbar trunking feed units</t>
  </si>
  <si>
    <t>90-50-45/340 Feed units;</t>
  </si>
  <si>
    <t>Pr_60_70_48_08</t>
  </si>
  <si>
    <t>Busbar trunking fire barrier units</t>
  </si>
  <si>
    <t>90-50-45/350 Fire barrier units;</t>
  </si>
  <si>
    <t>Pr_60_70_48_09</t>
  </si>
  <si>
    <t>Busbar trunking tap-off units</t>
  </si>
  <si>
    <t>90-50-45/330 Tap-off units;</t>
  </si>
  <si>
    <t>Pr_60_70_48_11</t>
  </si>
  <si>
    <t>Changeover switches</t>
  </si>
  <si>
    <t>90-50-45/480 Manual changeover switches;</t>
  </si>
  <si>
    <t>Pr_60_70_48_27</t>
  </si>
  <si>
    <t>Electrical cut-outs</t>
  </si>
  <si>
    <t>90-50-45/392 Electrical cut outs;</t>
  </si>
  <si>
    <t>Pr_60_70_48_30</t>
  </si>
  <si>
    <t>Fireman’s emergency switches</t>
  </si>
  <si>
    <t>Pr_60_70_48_44</t>
  </si>
  <si>
    <t>Low voltage fuse-switch disconnectors</t>
  </si>
  <si>
    <t>90-50-45/448 Fuse-switch disconnectors;</t>
  </si>
  <si>
    <t>Pr_60_70_48_45</t>
  </si>
  <si>
    <t>Low voltage safety matting</t>
  </si>
  <si>
    <t>Pr_60_70_48_46</t>
  </si>
  <si>
    <t>Low voltage switch-disconnector fuses</t>
  </si>
  <si>
    <t>90-50-45/452 Switch-disconnector fuses;</t>
  </si>
  <si>
    <t>Pr_60_70_48_47</t>
  </si>
  <si>
    <t>Low voltage switch disconnectors</t>
  </si>
  <si>
    <t>90-50-45/450 Switch-disconnectors;</t>
  </si>
  <si>
    <t>Pr_60_70_48_48</t>
  </si>
  <si>
    <t>Low voltage switches</t>
  </si>
  <si>
    <t>Pr_60_70_48_49</t>
  </si>
  <si>
    <t>Low voltage switchgear tripping units</t>
  </si>
  <si>
    <t>90-50-45/430 Switchgear tripping units;</t>
  </si>
  <si>
    <t>Pr_60_70_48_62</t>
  </si>
  <si>
    <t>Photovoltaic array junction boxes</t>
  </si>
  <si>
    <t>90-60-25/490 PV array junction boxes;</t>
  </si>
  <si>
    <t>Pr_60_70_48_63</t>
  </si>
  <si>
    <t>Photovoltaic generator junction boxes</t>
  </si>
  <si>
    <t>Pr_60_70_48_66</t>
  </si>
  <si>
    <t>Power busbar trunking</t>
  </si>
  <si>
    <t>90-50-45/320 Power busbar trunking;</t>
  </si>
  <si>
    <t>Pr_60_70_64</t>
  </si>
  <si>
    <t>Power conditioning supply equipment</t>
  </si>
  <si>
    <t>Pr_60_70_64_86</t>
  </si>
  <si>
    <t>Static inverter power supply units</t>
  </si>
  <si>
    <t>90-60-40/440 Static inverter power supply units;</t>
  </si>
  <si>
    <t>Pr_60_70_64_93</t>
  </si>
  <si>
    <t>Uninterruptible power supply (UPS) units</t>
  </si>
  <si>
    <t>90-60-40/410 Uninterruptible power supply (UPS) unit;</t>
  </si>
  <si>
    <t>Pr_60_70_64_94</t>
  </si>
  <si>
    <t>Uninterruptible power supply (UPS) remote alarm panels</t>
  </si>
  <si>
    <t>90-60-40-420 Uninterruptible power supply (UPS) remote alarm and indicator panels;</t>
  </si>
  <si>
    <t>Pr_60_70_65</t>
  </si>
  <si>
    <t>Power generators, engines and packaged combined heat and power (CHP) units</t>
  </si>
  <si>
    <t>Pr_60_70_65_03</t>
  </si>
  <si>
    <t>Alternators</t>
  </si>
  <si>
    <t>Pr_60_70_65_05</t>
  </si>
  <si>
    <t>Automatic voltage regulators</t>
  </si>
  <si>
    <t>Pr_60_70_65_32</t>
  </si>
  <si>
    <t>Gas turbines (CCGT)</t>
  </si>
  <si>
    <t>90-50-90/310 Gas turbine (CCGT);</t>
  </si>
  <si>
    <t>Pr_60_70_65_33</t>
  </si>
  <si>
    <t>Generator control panels</t>
  </si>
  <si>
    <t>Pr_60_70_65_34</t>
  </si>
  <si>
    <t>Generator sets</t>
  </si>
  <si>
    <t>90-50-35/310 Generator set;</t>
  </si>
  <si>
    <t>Pr_60_70_65_35</t>
  </si>
  <si>
    <t>Governors</t>
  </si>
  <si>
    <t>Pr_60_70_65_37</t>
  </si>
  <si>
    <t>Horizontal axis wind turbines (HAWT)</t>
  </si>
  <si>
    <t>90-50-80/320 Wind turbine;</t>
  </si>
  <si>
    <t>Pr_60_70_65_38</t>
  </si>
  <si>
    <t>Hydraulic power units</t>
  </si>
  <si>
    <t>Pr_60_70_65_39</t>
  </si>
  <si>
    <t>Hydro turbines</t>
  </si>
  <si>
    <t>90-50-90/320 Hydro turbine;</t>
  </si>
  <si>
    <t>Pr_60_70_65_41</t>
  </si>
  <si>
    <t>Internal combustion engines</t>
  </si>
  <si>
    <t>Pr_60_70_65_47</t>
  </si>
  <si>
    <t>Load banks</t>
  </si>
  <si>
    <t>90-50-35/380 Load banks;</t>
  </si>
  <si>
    <t>Pr_60_70_65_58</t>
  </si>
  <si>
    <t>Offshore wind turbines</t>
  </si>
  <si>
    <t>90-50-90/340 Offshore wind turbine;</t>
  </si>
  <si>
    <t>Pr_60_70_65_59</t>
  </si>
  <si>
    <t>Onshore wind turbines</t>
  </si>
  <si>
    <t>90-50-90/330 Onshore wind turbine;</t>
  </si>
  <si>
    <t>Pr_60_70_65_60</t>
  </si>
  <si>
    <t>Packaged combined heat and power (CHP) units</t>
  </si>
  <si>
    <t>90-50-35/490 Packaged CHP units;</t>
  </si>
  <si>
    <t>Pr_60_70_65_63</t>
  </si>
  <si>
    <t>Photovoltaic modules</t>
  </si>
  <si>
    <t>90-50-80/310 Photovoltaic modules;</t>
  </si>
  <si>
    <t>Pr_60_70_65_94</t>
  </si>
  <si>
    <t>Vertical axis wind turbines (VAWT)</t>
  </si>
  <si>
    <t>90-50-80/325 Vertical axis wind turbine;</t>
  </si>
  <si>
    <t>Pr_60_70_65_97</t>
  </si>
  <si>
    <t>Wind turbine controllers</t>
  </si>
  <si>
    <t>90-60-40/340 Turbine control unit;</t>
  </si>
  <si>
    <t>Pr_60_75</t>
  </si>
  <si>
    <t>Communications source products</t>
  </si>
  <si>
    <t>Pr_60_75_01</t>
  </si>
  <si>
    <t>Antennas and satellite dishes</t>
  </si>
  <si>
    <t>Pr_60_75_01_22</t>
  </si>
  <si>
    <t>Digital audio broadcasting (DAB) antennas</t>
  </si>
  <si>
    <t>90-70-75/330 DAB antennae;</t>
  </si>
  <si>
    <t>Pr_60_75_01_31</t>
  </si>
  <si>
    <t>Frequency modulation (FM) antennas</t>
  </si>
  <si>
    <t>90-70-75/320 FM antennae;</t>
  </si>
  <si>
    <t>Pr_60_75_01_75</t>
  </si>
  <si>
    <t>Satellite dishes</t>
  </si>
  <si>
    <t>90-70-75/340 Satellite dishes;</t>
  </si>
  <si>
    <t>Pr_60_75_01_92</t>
  </si>
  <si>
    <t>Ultra-high frequency (UHF) antennas</t>
  </si>
  <si>
    <t>90-70-75/310 UHF antennae;</t>
  </si>
  <si>
    <t>Pr_60_75_03</t>
  </si>
  <si>
    <t>Audio and video players and recorders</t>
  </si>
  <si>
    <t>Pr_60_75_03_07</t>
  </si>
  <si>
    <t>Blu-ray players</t>
  </si>
  <si>
    <t>Pr_60_75_03_11</t>
  </si>
  <si>
    <t>Cassette players</t>
  </si>
  <si>
    <t>90-70-10/380 Cassette players;</t>
  </si>
  <si>
    <t>Pr_60_75_03_15</t>
  </si>
  <si>
    <t>Compact disc players</t>
  </si>
  <si>
    <t>90-70-10/385 Compact disc players;</t>
  </si>
  <si>
    <t>Pr_60_75_03_22</t>
  </si>
  <si>
    <t>Digital video recorders</t>
  </si>
  <si>
    <t>90-75-10/370 Digital video recorders;</t>
  </si>
  <si>
    <t>Pr_60_75_03_56</t>
  </si>
  <si>
    <t>Network video recorders</t>
  </si>
  <si>
    <t>90-75-10/380 Network video recorders;</t>
  </si>
  <si>
    <t>Pr_60_75_03_70</t>
  </si>
  <si>
    <t>Radio tuners</t>
  </si>
  <si>
    <t>Pr_60_75_03_87</t>
  </si>
  <si>
    <t>Time lapse video recorders</t>
  </si>
  <si>
    <t>90-70-10/375 Tuners;</t>
  </si>
  <si>
    <t>Pr_60_75_06</t>
  </si>
  <si>
    <t>Audio input devices</t>
  </si>
  <si>
    <t>Pr_60_75_06_53</t>
  </si>
  <si>
    <t>Microphones</t>
  </si>
  <si>
    <t>90-70-10/340 Microphones;</t>
  </si>
  <si>
    <t>Pr_60_75_06_60</t>
  </si>
  <si>
    <t>Paging consoles</t>
  </si>
  <si>
    <t>90-70-10/370 Paging consoles;</t>
  </si>
  <si>
    <t>Pr_60_75_08</t>
  </si>
  <si>
    <t>Audio and visual source products</t>
  </si>
  <si>
    <t>Pr_60_75_08_01</t>
  </si>
  <si>
    <t>Artificial reverberation, time delay and frequency shift equipment</t>
  </si>
  <si>
    <t>90-70-10-395 Artificial reverberation, time delay and frequency shift equipment;</t>
  </si>
  <si>
    <t>Pr_60_75_08_02</t>
  </si>
  <si>
    <t>Audio amplifiers</t>
  </si>
  <si>
    <t>90-70-10-350 Sound amplifiers;</t>
  </si>
  <si>
    <t>Pr_60_75_08_03</t>
  </si>
  <si>
    <t>Audio equalizers</t>
  </si>
  <si>
    <t>90-70-10-365 Equalizers;</t>
  </si>
  <si>
    <t>Pr_60_75_08_04</t>
  </si>
  <si>
    <t>Automatic announcement equipment</t>
  </si>
  <si>
    <t>90-70-10-405 Automatic announcement equipment;</t>
  </si>
  <si>
    <t>Pr_60_75_08_05</t>
  </si>
  <si>
    <t>Auxiliary passive elements</t>
  </si>
  <si>
    <t>Pr_60_75_08_23</t>
  </si>
  <si>
    <t>Diplexers</t>
  </si>
  <si>
    <t>90-70-10/470 Diplexers;</t>
  </si>
  <si>
    <t>Pr_60_75_08_28</t>
  </si>
  <si>
    <t>External source input points</t>
  </si>
  <si>
    <t>90-70-10-415 External source input points;</t>
  </si>
  <si>
    <t>Pr_60_75_08_46</t>
  </si>
  <si>
    <t>Launch amplifiers</t>
  </si>
  <si>
    <t>90-70-10/455 Launch amplifiers;</t>
  </si>
  <si>
    <t>Pr_60_75_08_48</t>
  </si>
  <si>
    <t>Local volume controls</t>
  </si>
  <si>
    <t>90-70-10-425 Local volume controls;</t>
  </si>
  <si>
    <t>Pr_60_75_08_50</t>
  </si>
  <si>
    <t>Masthead amplifiers</t>
  </si>
  <si>
    <t>90-70-10/460 Masthead amplifiers;</t>
  </si>
  <si>
    <t>Pr_60_75_08_52</t>
  </si>
  <si>
    <t>Mixer amplifiers</t>
  </si>
  <si>
    <t>90-70-10/360 Mixer amplifiers;</t>
  </si>
  <si>
    <t>Pr_60_75_08_54</t>
  </si>
  <si>
    <t>Mixers</t>
  </si>
  <si>
    <t>90-70-10/355 Mixers;</t>
  </si>
  <si>
    <t>Pr_60_75_08_55</t>
  </si>
  <si>
    <t>Multiswitches</t>
  </si>
  <si>
    <t>90-70-10/465 Multiswitches;</t>
  </si>
  <si>
    <t>Pr_60_75_08_63</t>
  </si>
  <si>
    <t>Pre-amplifiers</t>
  </si>
  <si>
    <t>90-70-10/345 Pre-amplifiers;</t>
  </si>
  <si>
    <t>Pr_60_75_08_71</t>
  </si>
  <si>
    <t>Remote microphone input points</t>
  </si>
  <si>
    <t>90-70-10-420 Remote microphone input points;</t>
  </si>
  <si>
    <t>Pr_60_75_08_78</t>
  </si>
  <si>
    <t>Splitters</t>
  </si>
  <si>
    <t>90-70-10/475 Splitters;</t>
  </si>
  <si>
    <t>Pr_60_75_78</t>
  </si>
  <si>
    <t>Signal transmitters</t>
  </si>
  <si>
    <t>Pr_60_75_78_85</t>
  </si>
  <si>
    <t>Supervised premises transceivers</t>
  </si>
  <si>
    <t>90-75-40/400 Supervised premises transceivers;</t>
  </si>
  <si>
    <t>Pr_60_75_78_91</t>
  </si>
  <si>
    <t>Television equalizers</t>
  </si>
  <si>
    <t>90-70-10-450 Equalizers;</t>
  </si>
  <si>
    <t>Pr_60_75_86</t>
  </si>
  <si>
    <t>Surveillance cameras, monitors and ancillaries</t>
  </si>
  <si>
    <t>Pr_60_75_86_01</t>
  </si>
  <si>
    <t>Automatic number plate recognition cameras</t>
  </si>
  <si>
    <t>Pr_60_75_86_02</t>
  </si>
  <si>
    <t>Analogue box cameras</t>
  </si>
  <si>
    <t>90-75-10/310 Analogue box cameras;</t>
  </si>
  <si>
    <t>Pr_60_75_86_03</t>
  </si>
  <si>
    <t>Analogue bullet cameras</t>
  </si>
  <si>
    <t>90-75-10/316 Analogue bullet cameras;</t>
  </si>
  <si>
    <t>Pr_60_75_86_04</t>
  </si>
  <si>
    <t>Analogue covert cameras</t>
  </si>
  <si>
    <t>90-75-10/318 Analogue covert cameras;</t>
  </si>
  <si>
    <t>Pr_60_75_86_05</t>
  </si>
  <si>
    <t>Analogue fixed dome cameras</t>
  </si>
  <si>
    <t>90-75-10/312 Analogue fixed dome cameras;</t>
  </si>
  <si>
    <t>Pr_60_75_86_06</t>
  </si>
  <si>
    <t>Analogue pan, tilt, zoom (PTZ) cameras</t>
  </si>
  <si>
    <t>90-75-10/314 Analogue PTZ dome cameras;</t>
  </si>
  <si>
    <t>Pr_60_75_86_07</t>
  </si>
  <si>
    <t>Box cameras</t>
  </si>
  <si>
    <t>90-75-10/311 IP box cameras;</t>
  </si>
  <si>
    <t>Pr_60_75_86_08</t>
  </si>
  <si>
    <t>Box camera lenses</t>
  </si>
  <si>
    <t>90-75-10/320 Box camera lens;</t>
  </si>
  <si>
    <t>Pr_60_75_86_09</t>
  </si>
  <si>
    <t>Bullet cameras</t>
  </si>
  <si>
    <t>90-75-10/317 IP bullet cameras;</t>
  </si>
  <si>
    <t>Pr_60_75_86_10</t>
  </si>
  <si>
    <t>Camera junction boxes</t>
  </si>
  <si>
    <t>Pr_60_75_86_11</t>
  </si>
  <si>
    <t>Covert cameras</t>
  </si>
  <si>
    <t>90-75-10/319 IP covert cameras;</t>
  </si>
  <si>
    <t>Pr_60_75_86_21</t>
  </si>
  <si>
    <t>Day night cameras</t>
  </si>
  <si>
    <t>90-75-10/440 Infrared illuminators;</t>
  </si>
  <si>
    <t>Pr_60_75_86_24</t>
  </si>
  <si>
    <t>Dome cameras</t>
  </si>
  <si>
    <t>Pr_60_75_86_30</t>
  </si>
  <si>
    <t>Fixed cameras</t>
  </si>
  <si>
    <t>Pr_60_75_86_31</t>
  </si>
  <si>
    <t>Fixed dome cameras</t>
  </si>
  <si>
    <t>90-75-10/313 IP fixed dome cameras;</t>
  </si>
  <si>
    <t>Pr_60_75_86_40</t>
  </si>
  <si>
    <t>Image processing units</t>
  </si>
  <si>
    <t>Pr_60_75_86_41</t>
  </si>
  <si>
    <t>Infra-red cameras</t>
  </si>
  <si>
    <t>Pr_60_75_86_42</t>
  </si>
  <si>
    <t>Infrared illuminators</t>
  </si>
  <si>
    <t>Pr_60_75_86_45</t>
  </si>
  <si>
    <t>Integrated digital camera and infrared illuminators</t>
  </si>
  <si>
    <t>Pr_60_75_86_47</t>
  </si>
  <si>
    <t>Lenses</t>
  </si>
  <si>
    <t>Pr_60_75_86_60</t>
  </si>
  <si>
    <t>Pan and tilt units</t>
  </si>
  <si>
    <t>90-75-10-330 Pan and tilt units;</t>
  </si>
  <si>
    <t>Pr_60_75_86_65</t>
  </si>
  <si>
    <t>Pan, tilt, zoom cameras</t>
  </si>
  <si>
    <t>90-75-10/315 IP high speed PTZ dome cameras;</t>
  </si>
  <si>
    <t>Pr_60_75_86_79</t>
  </si>
  <si>
    <t>Surveillance monitors</t>
  </si>
  <si>
    <t>90-75-10/395 Monitors;</t>
  </si>
  <si>
    <t>Pr_60_75_86_80</t>
  </si>
  <si>
    <t>Survey cameras</t>
  </si>
  <si>
    <t>45-90-90/320 Cameras for TV survey of boreholes;</t>
  </si>
  <si>
    <t>Pr_60_75_86_90</t>
  </si>
  <si>
    <t>Traffic enforcement cameras</t>
  </si>
  <si>
    <t>Pr_60_75_86_92</t>
  </si>
  <si>
    <t>Video distribution amplifiers</t>
  </si>
  <si>
    <t>Pr_60_75_86_94</t>
  </si>
  <si>
    <t>Video receiver hubs</t>
  </si>
  <si>
    <t>Pr_60_75_86_99</t>
  </si>
  <si>
    <t>Zoom lenses</t>
  </si>
  <si>
    <t>Pr_65</t>
  </si>
  <si>
    <t>Services distribution products</t>
  </si>
  <si>
    <t>Pr_65_12</t>
  </si>
  <si>
    <t>Pr_65_12_70</t>
  </si>
  <si>
    <t>Refuse and linen chutes</t>
  </si>
  <si>
    <t>Pr_65_12_70_22</t>
  </si>
  <si>
    <t>Disposal chutes</t>
  </si>
  <si>
    <t>45-30-15/310 Disposal chutes;</t>
  </si>
  <si>
    <t>Pr_65_12_70_47</t>
  </si>
  <si>
    <t>Linen chutes</t>
  </si>
  <si>
    <t>45-30-15/320 Linen chutes;</t>
  </si>
  <si>
    <t>Pr_65_12_71</t>
  </si>
  <si>
    <t>Refuse and linen chute accessories</t>
  </si>
  <si>
    <t>Pr_65_12_71_12</t>
  </si>
  <si>
    <t>Chute cleaning mechanisms</t>
  </si>
  <si>
    <t>45-30-15/355 Chute cleaning mechanism;</t>
  </si>
  <si>
    <t>Pr_65_12_71_72</t>
  </si>
  <si>
    <t>Refuse and recycling separators</t>
  </si>
  <si>
    <t>45-30-15/380 Refuse and recycling separation;</t>
  </si>
  <si>
    <t>Pr_65_50</t>
  </si>
  <si>
    <t>Gutter and fitting products</t>
  </si>
  <si>
    <t>Pr_65_50_35</t>
  </si>
  <si>
    <t>Gutters and accessories</t>
  </si>
  <si>
    <t>Pr_65_50_35_02</t>
  </si>
  <si>
    <t>Aluminium combined fascias, soffits and gutters</t>
  </si>
  <si>
    <t>90-05-35/310 Aluminium combined fascias soffits and gutters;</t>
  </si>
  <si>
    <t>Pr_65_50_35_04</t>
  </si>
  <si>
    <t>Aluminium composite valley gutters</t>
  </si>
  <si>
    <t>90-05-35/315 Aluminium composite roof gutters;</t>
  </si>
  <si>
    <t>Pr_65_50_35_06</t>
  </si>
  <si>
    <t>Aluminium eaves gutters</t>
  </si>
  <si>
    <t>90-05-35/320 Aluminium eaves gutters;</t>
  </si>
  <si>
    <t>Pr_65_50_35_08</t>
  </si>
  <si>
    <t>Aluminium valley gutters</t>
  </si>
  <si>
    <t>90-05-35/325 Aluminium roof gutters;</t>
  </si>
  <si>
    <t>Pr_65_50_35_09</t>
  </si>
  <si>
    <t>Box gutter sumps</t>
  </si>
  <si>
    <t>Pr_65_50_35_11</t>
  </si>
  <si>
    <t>Cast iron eaves gutters</t>
  </si>
  <si>
    <t>90-05-35/330 Cast iron eaves gutters;</t>
  </si>
  <si>
    <t>Pr_65_50_35_15</t>
  </si>
  <si>
    <t>Copper eaves gutters</t>
  </si>
  <si>
    <t>90-05-35/335 Copper eaves gutters;</t>
  </si>
  <si>
    <t>Pr_65_50_35_26</t>
  </si>
  <si>
    <t>Eaves gutter leaf guards</t>
  </si>
  <si>
    <t>90-05-35/452 Eaves gutter leaf guards;</t>
  </si>
  <si>
    <t>Pr_65_50_35_27</t>
  </si>
  <si>
    <t>Galvanized steel valley gutters</t>
  </si>
  <si>
    <t>90-05-35/365 Galvanized steel roof gutters;</t>
  </si>
  <si>
    <t>Pr_65_50_35_28</t>
  </si>
  <si>
    <t>Galvanized steel chambered gutters</t>
  </si>
  <si>
    <t>Pr_65_50_35_29</t>
  </si>
  <si>
    <t>Galvanized steel combined fascias, soffits and gutters</t>
  </si>
  <si>
    <t>Pr_65_50_35_30</t>
  </si>
  <si>
    <t>Galvanized steel composite gutters</t>
  </si>
  <si>
    <t>90-05-35/355 Galvanized steel composite gutters;</t>
  </si>
  <si>
    <t>Pr_65_50_35_31</t>
  </si>
  <si>
    <t>Galvanized steel eaves gutters</t>
  </si>
  <si>
    <t>Pr_65_50_35_33</t>
  </si>
  <si>
    <t>Glass reinforced plastics (GRP) valley gutters</t>
  </si>
  <si>
    <t>90-05-35/380 Glass reinforced plastics (GRP) roof gutters;</t>
  </si>
  <si>
    <t>Pr_65_50_35_34</t>
  </si>
  <si>
    <t>Glass reinforced plastics (GRP) composite valley gutters</t>
  </si>
  <si>
    <t>90-05-35/370 Glass reinforced plastics (GRP) composite roof gutters;</t>
  </si>
  <si>
    <t>Pr_65_50_35_35</t>
  </si>
  <si>
    <t>Glass reinforced plastics (GRP) eaves gutters</t>
  </si>
  <si>
    <t>90-05-35/375 Glass reinforced plastics (GRP) eaves gutters;</t>
  </si>
  <si>
    <t>Pr_65_50_35_36</t>
  </si>
  <si>
    <t>Glass reinforced plastics (GRP) roof gutters</t>
  </si>
  <si>
    <t>Pr_65_50_35_37</t>
  </si>
  <si>
    <t>Gravity rainwater outlets</t>
  </si>
  <si>
    <t>90-10-20/302 Gravity rainwater outlets;</t>
  </si>
  <si>
    <t>Pr_65_50_35_38</t>
  </si>
  <si>
    <t>Gutter linings</t>
  </si>
  <si>
    <t>90-05-35/465 Site applied gutter linings;</t>
  </si>
  <si>
    <t>Pr_65_50_35_40</t>
  </si>
  <si>
    <t>Hot dip precoated carbon steel combined fascias, soffits and gutters</t>
  </si>
  <si>
    <t>Pr_65_50_35_42</t>
  </si>
  <si>
    <t>Hot dip precoated carbon steel eaves gutters</t>
  </si>
  <si>
    <t>90-05-35/385 Hot dip precoated steel eaves gutters;</t>
  </si>
  <si>
    <t>Pr_65_50_35_43</t>
  </si>
  <si>
    <t>Hot dip precoated carbon steel valley gutters</t>
  </si>
  <si>
    <t>Pr_65_50_35_47</t>
  </si>
  <si>
    <t>Lead rainwater chutes</t>
  </si>
  <si>
    <t>90-05-35/390 Lead rainwater chutes;</t>
  </si>
  <si>
    <t>Pr_65_50_35_68</t>
  </si>
  <si>
    <t>Rainwater hoppers</t>
  </si>
  <si>
    <t>Pr_65_50_35_70</t>
  </si>
  <si>
    <t>Rainwater pipe diverter units</t>
  </si>
  <si>
    <t>90-10-95/385 Rainwater pipe diverter units;</t>
  </si>
  <si>
    <t>Pr_65_50_35_72</t>
  </si>
  <si>
    <t>Rainwater weirs</t>
  </si>
  <si>
    <t>Pr_65_50_35_81</t>
  </si>
  <si>
    <t>Siphonic rainwater outlets</t>
  </si>
  <si>
    <t>90-10-20/304 Siphonic rainwater outlets;</t>
  </si>
  <si>
    <t>Pr_65_50_35_82</t>
  </si>
  <si>
    <t>Stainless steel eaves gutters</t>
  </si>
  <si>
    <t>90-05-35/405 Stainless steel eaves gutters;</t>
  </si>
  <si>
    <t>Pr_65_50_35_83</t>
  </si>
  <si>
    <t>Stainless steel rainwater chutes</t>
  </si>
  <si>
    <t>90-05-35/407 Stainless steel rainwater chutes;</t>
  </si>
  <si>
    <t>Pr_65_50_35_84</t>
  </si>
  <si>
    <t>Stainless steel valley gutters</t>
  </si>
  <si>
    <t>Pr_65_50_35_92</t>
  </si>
  <si>
    <t>Unplasticized polyvinyl chloride (PVC-U) eaves gutters</t>
  </si>
  <si>
    <t>90-05-35/415 PVC-U eaves gutters;</t>
  </si>
  <si>
    <t>Pr_65_50_35_98</t>
  </si>
  <si>
    <t>Zinc eaves gutters</t>
  </si>
  <si>
    <t>90-05-35/420 Zinc eaves gutters;</t>
  </si>
  <si>
    <t>Pr_65_50_35_99</t>
  </si>
  <si>
    <t>Zinc rainwater chutes</t>
  </si>
  <si>
    <t>90-05-35/425 Zinc rainwater chutes;</t>
  </si>
  <si>
    <t>Pr_65_52</t>
  </si>
  <si>
    <t>Pipe, tube and fitting products</t>
  </si>
  <si>
    <t>Pr_65_52_01</t>
  </si>
  <si>
    <t>Access and inspection chambers and gullies</t>
  </si>
  <si>
    <t>Pr_65_52_01_01</t>
  </si>
  <si>
    <t>Access and inspection chambers</t>
  </si>
  <si>
    <t>Pr_65_52_01_02</t>
  </si>
  <si>
    <t>Access covers and frames</t>
  </si>
  <si>
    <t>90-05-20/320 Access covers and frames;</t>
  </si>
  <si>
    <t>Pr_65_52_01_03</t>
  </si>
  <si>
    <t>Access gratings</t>
  </si>
  <si>
    <t>Pr_65_52_01_04</t>
  </si>
  <si>
    <t>Aluminium inspection chambers</t>
  </si>
  <si>
    <t>Pr_65_52_01_08</t>
  </si>
  <si>
    <t>Carbon steel edge strips and frames</t>
  </si>
  <si>
    <t>45-35-00/350 Carbon steel edge strips and frames;</t>
  </si>
  <si>
    <t>Pr_65_52_01_09</t>
  </si>
  <si>
    <t>Carbon steel inspection chambers</t>
  </si>
  <si>
    <t>Pr_65_52_01_14</t>
  </si>
  <si>
    <t>Concrete access cover seatings</t>
  </si>
  <si>
    <t>90-05-20/322 Precast concrete access cover seatings;</t>
  </si>
  <si>
    <t>Pr_65_52_01_16</t>
  </si>
  <si>
    <t>Concrete inspection chamber sections</t>
  </si>
  <si>
    <t>90-05-20/360 Precast concrete inspection chambers – chamber sections;</t>
  </si>
  <si>
    <t>Pr_65_52_01_17</t>
  </si>
  <si>
    <t>Concrete inspection chamber cover slabs</t>
  </si>
  <si>
    <t>90-05-20/362 Precast concrete inspection chambers – cover slabs;</t>
  </si>
  <si>
    <t>Pr_65_52_01_18</t>
  </si>
  <si>
    <t>Concrete inspection chamber shaft sections</t>
  </si>
  <si>
    <t>90-05-20/364 Precast concrete inspection chambers – shaft sections;</t>
  </si>
  <si>
    <t>Pr_65_52_01_19</t>
  </si>
  <si>
    <t>Concrete inspection chamber transition sections</t>
  </si>
  <si>
    <t>90-05-20/366 Precast concrete inspection chambers – transition sections;</t>
  </si>
  <si>
    <t>Pr_65_52_01_20</t>
  </si>
  <si>
    <t>Concrete manhole base units</t>
  </si>
  <si>
    <t>90-05-20/368 Precast concrete manholes – base units;</t>
  </si>
  <si>
    <t>Pr_65_52_01_21</t>
  </si>
  <si>
    <t>Concrete manhole chamber sections</t>
  </si>
  <si>
    <t>90-05-20/370 Precast concrete manholes – chamber sections;</t>
  </si>
  <si>
    <t>Pr_65_52_01_22</t>
  </si>
  <si>
    <t>Concrete manhole shaft sections</t>
  </si>
  <si>
    <t>90-05-20/374 Precast concrete manholes – shaft sections;</t>
  </si>
  <si>
    <t>Pr_65_52_01_23</t>
  </si>
  <si>
    <t>Concrete manhole transition sections</t>
  </si>
  <si>
    <t>90-05-20/376 Precast concrete manholes – transition sections;</t>
  </si>
  <si>
    <t>Pr_65_52_01_24</t>
  </si>
  <si>
    <t>Concrete manholes and soakaway cover slabs</t>
  </si>
  <si>
    <t>90-05-20/372 Precast concrete manholes and soakaways – cover slabs;</t>
  </si>
  <si>
    <t>Pr_65_52_01_25</t>
  </si>
  <si>
    <t>Concrete soakaway shaft sections</t>
  </si>
  <si>
    <t>90-05-20/442 Precast concrete soakaways – shaft sections;</t>
  </si>
  <si>
    <t>Pr_65_52_01_50</t>
  </si>
  <si>
    <t>Manhole covers and frames</t>
  </si>
  <si>
    <t>Pr_65_52_01_58</t>
  </si>
  <si>
    <t>Orifice plate drainage flow controllers</t>
  </si>
  <si>
    <t>90-05-20/390 Orifice plate flow control units;</t>
  </si>
  <si>
    <t>Pr_65_52_01_60</t>
  </si>
  <si>
    <t>Plastics access and inspection chambers</t>
  </si>
  <si>
    <t>Pr_65_52_01_61</t>
  </si>
  <si>
    <t>Plastics below-ground access or equipment chambers</t>
  </si>
  <si>
    <t>90-05-20/446 Plastics below ground access or equipment chambers;</t>
  </si>
  <si>
    <t>Pr_65_52_01_62</t>
  </si>
  <si>
    <t>Plastics channels for access chambers</t>
  </si>
  <si>
    <t>90-05-20/336 Plastics channels for access chambers;</t>
  </si>
  <si>
    <t>Pr_65_52_01_63</t>
  </si>
  <si>
    <t>Plastics distribution and sampling chambers</t>
  </si>
  <si>
    <t>90-05-20/338 Plastics distribution and sampling chambers;</t>
  </si>
  <si>
    <t>Pr_65_52_01_64</t>
  </si>
  <si>
    <t>Plastics inspection chambers</t>
  </si>
  <si>
    <t>90-05-20/342 Plastics inspection chambers;</t>
  </si>
  <si>
    <t>Pr_65_52_01_65</t>
  </si>
  <si>
    <t>Plastics mini inspection chambers</t>
  </si>
  <si>
    <t>90-05-20/344 Plastics mini inspection chambers;</t>
  </si>
  <si>
    <t>Pr_65_52_01_66</t>
  </si>
  <si>
    <t>Plastics restricted access inspection shafts</t>
  </si>
  <si>
    <t>90-05-20/346 Plastics restricted access inspection shafts;</t>
  </si>
  <si>
    <t>Pr_65_52_01_67</t>
  </si>
  <si>
    <t>Plastics sealed access pipes</t>
  </si>
  <si>
    <t>90-05-20/340 Plastics sealed access pipes;</t>
  </si>
  <si>
    <t>Pr_65_52_01_68</t>
  </si>
  <si>
    <t>Preformed access ducts</t>
  </si>
  <si>
    <t>90-05-20/452 Preformed access ducts;</t>
  </si>
  <si>
    <t>Pr_65_52_01_72</t>
  </si>
  <si>
    <t>Recycled polyethylene (PE) inspection chambers</t>
  </si>
  <si>
    <t>Pr_65_52_01_83</t>
  </si>
  <si>
    <t>Stainless steel edge strips and frames</t>
  </si>
  <si>
    <t>45-35-00/360 Stainless steel edge strips and frames;</t>
  </si>
  <si>
    <t>Pr_65_52_01_84</t>
  </si>
  <si>
    <t>Stainless steel inspection chambers</t>
  </si>
  <si>
    <t>Pr_65_52_01_86</t>
  </si>
  <si>
    <t>Surface boxes</t>
  </si>
  <si>
    <t>45-35-00/340 Surface boxes;</t>
  </si>
  <si>
    <t>Pr_65_52_01_95</t>
  </si>
  <si>
    <t>Vortex flow drainage controllers</t>
  </si>
  <si>
    <t>90-05-20/392 Vortex flow control units;</t>
  </si>
  <si>
    <t>Pr_65_52_07</t>
  </si>
  <si>
    <t>Below-ground and pressure drainage pipes and fittings</t>
  </si>
  <si>
    <t>Pr_65_52_07_13</t>
  </si>
  <si>
    <t>Clay below-ground drainage pipes and fittings</t>
  </si>
  <si>
    <t>Pr_65_52_07_15</t>
  </si>
  <si>
    <t>Concrete perforated below-ground drainage pipes and fittings for flexible jointing</t>
  </si>
  <si>
    <t>90-10-20/408 Precast concrete perforated below ground drainage pipelines for flexible jointing;</t>
  </si>
  <si>
    <t>Pr_65_52_07_16</t>
  </si>
  <si>
    <t>Concrete plain wall below-ground drainage pipes and fittings for flexible jointing</t>
  </si>
  <si>
    <t>90-10-20/428 Precast concrete plain wall below ground drainage pipelines for flexible jointing;</t>
  </si>
  <si>
    <t>Pr_65_52_07_25</t>
  </si>
  <si>
    <t>Ductile iron pressure pipes and fittings</t>
  </si>
  <si>
    <t>90-10-20/438 Ductile iron pressure pipelines to BS EN 598;</t>
  </si>
  <si>
    <t>Pr_65_52_07_27</t>
  </si>
  <si>
    <t>Filtration drainage pipes and fittings</t>
  </si>
  <si>
    <t>Pr_65_52_07_28</t>
  </si>
  <si>
    <t>Flexible couplings between below-ground drainage pipes</t>
  </si>
  <si>
    <t>90-10-20/458 Flexible couplings between below ground drainage pipelines;</t>
  </si>
  <si>
    <t>Pr_65_52_07_34</t>
  </si>
  <si>
    <t>Grey cast iron below-ground drainage pipes and fittings</t>
  </si>
  <si>
    <t>90-10-20/420 Grey cast iron below ground drainage pipelines to BS EN 877;</t>
  </si>
  <si>
    <t>Pr_65_52_07_36</t>
  </si>
  <si>
    <t>High-density polyethylene (HDPE) pressure pipes and fittings</t>
  </si>
  <si>
    <t>90-10-20/440 Polyethylene pressure pipelines;</t>
  </si>
  <si>
    <t>Pr_65_52_07_38</t>
  </si>
  <si>
    <t>High-density polyethylene (HDPE) structured wall below-ground drainage pipes and fittings for flexible jointing</t>
  </si>
  <si>
    <t>90-10-20/422 Polyethylene (HDPE) structured wall below ground drainage pipelines for flexible jointing;</t>
  </si>
  <si>
    <t>Pr_65_52_07_39</t>
  </si>
  <si>
    <t>High-density polyethylene (HDPE) structured wall below-ground drainage pipes and fittings for welded jointing</t>
  </si>
  <si>
    <t>90-10-20/480 Polyethylene (HDPE) structured wall below ground drainage pipelines for welded jointing;</t>
  </si>
  <si>
    <t>Pr_65_52_07_40</t>
  </si>
  <si>
    <t>High-density polyethylene (HDPE) structured wall perforated below-ground drainage pipes and fittings for flexible jointing</t>
  </si>
  <si>
    <t>90-10-20/404 Polyethylene (HDPE) structured wall perforated below ground drainage pipelines for flexible jointing;</t>
  </si>
  <si>
    <t>Pr_65_52_07_58</t>
  </si>
  <si>
    <t>Oriented unplasticized polyvinyl chloride (PVC-O) pressure pipes and fittings</t>
  </si>
  <si>
    <t>90-10-20/444 PVC-O pressure pipelines;</t>
  </si>
  <si>
    <t>Pr_65_52_07_63</t>
  </si>
  <si>
    <t>Plastics flexible (coil) perforated wall below-ground drainage pipes and fittings</t>
  </si>
  <si>
    <t>90-10-20/402 Plastics flexible perforated wall below ground drainage pipelines (coil);</t>
  </si>
  <si>
    <t>Pr_65_52_07_64</t>
  </si>
  <si>
    <t>Polypropylene (PP) solid wall below-ground drainage pipes and fittings for flexible jointing</t>
  </si>
  <si>
    <t>90-10-20/426 Polypropylene solid wall below ground drainage pipelines for flexible jointing;</t>
  </si>
  <si>
    <t>Pr_65_52_07_65</t>
  </si>
  <si>
    <t>Polypropylene (PP) structured wall below-ground drainage pipes and fittings for flexible jointing</t>
  </si>
  <si>
    <t>90-10-20/424 Polypropylene (PP) structured wall below ground drainage pipelines for flexible jointing;</t>
  </si>
  <si>
    <t>Pr_65_52_07_66</t>
  </si>
  <si>
    <t>Polypropylene (PP) structured wall perforated below-ground drainage pipes and fittings for flexible jointing</t>
  </si>
  <si>
    <t>90-10-20/406 Polypropylene (PP) structured wall perforated below ground drainage pipelines for flexible jointing;</t>
  </si>
  <si>
    <t>Pr_65_52_07_67</t>
  </si>
  <si>
    <t>Polypropylene (PP) structured wall below-ground drainage pipes and fittings for welded jointing</t>
  </si>
  <si>
    <t>90-10-20/482 Polypropylene (PP) structured wall below ground drainage pipelines for welded jointing;</t>
  </si>
  <si>
    <t>Pr_65_52_07_75</t>
  </si>
  <si>
    <t>Saddle connectors to below-ground drainage pipes</t>
  </si>
  <si>
    <t>90-10-20/456 Saddle connectors to below ground drainage pipelines;</t>
  </si>
  <si>
    <t>Pr_65_52_07_84</t>
  </si>
  <si>
    <t>Steel reinforced polyethylene composite structured wall below ground drainage pipelines for flexible jointing</t>
  </si>
  <si>
    <t>90-10-20/478 Steel reinforced polyethylene composite structured wall below ground drainage pipelines for flexible jointing;</t>
  </si>
  <si>
    <t>Pr_65_52_07_87</t>
  </si>
  <si>
    <t>Unplasticized polyvinyl chloride (PVC-U) pressure pipes and fittings</t>
  </si>
  <si>
    <t>90-10-20/446 PVC-U pressure pipelines;</t>
  </si>
  <si>
    <t>Pr_65_52_07_88</t>
  </si>
  <si>
    <t>Unplasticized polyvinyl chloride (PVC-U) solid wall below-ground drainage pipe and fittings for flexible jointing</t>
  </si>
  <si>
    <t>90-10-20/430 PVC-U solid wall below ground drainage pipelines for flexible jointing;</t>
  </si>
  <si>
    <t>Pr_65_52_07_89</t>
  </si>
  <si>
    <t>Unplasticized polyvinyl chloride (PVC-U) solid wall perforated below-ground drainage pipes and fittings for flexible jointing</t>
  </si>
  <si>
    <t>90-10-20/410 PVC-U solid wall perforated below ground drainage pipelines for flexible jointing;</t>
  </si>
  <si>
    <t>Pr_65_52_07_90</t>
  </si>
  <si>
    <t>Unplasticized polyvinyl chloride (PVC-U) structured wall below-ground drainage pipes and fittings for flexible jointing</t>
  </si>
  <si>
    <t>90-10-20/432 PVC-U structured wall below ground drainage pipelines for flexible jointing;</t>
  </si>
  <si>
    <t>Pr_65_52_07_91</t>
  </si>
  <si>
    <t>Unplasticized polyvinyl chloride (PVC-U) structured wall perforated below-ground drainage pipe and fittings for flexible jointing</t>
  </si>
  <si>
    <t>90-10-20/412 PVC-U structured wall perforated below ground drainage pipelines for flexible jointing;</t>
  </si>
  <si>
    <t>Pr_65_52_07_92</t>
  </si>
  <si>
    <t>Unplasticized polyvinyl chloride alloy (PVC-A) pressure pipes and fittings</t>
  </si>
  <si>
    <t>90-10-20/442 PVC-A pressure pipelines;</t>
  </si>
  <si>
    <t>Pr_65_52_07_94</t>
  </si>
  <si>
    <t>Vitrified clay perforated below-ground drainage pipes and fittings for flexible jointing</t>
  </si>
  <si>
    <t>90-10-20/414 Vitrified clay perforated below ground drainage pipelines for flexible jointing;</t>
  </si>
  <si>
    <t>Pr_65_52_07_96</t>
  </si>
  <si>
    <t>Vitrified clay plain wall below-ground drainage open butt joint pipes (land drainage tiles) and fittings</t>
  </si>
  <si>
    <t>90-10-20/416 Vitrified clay plain wall below ground drainage open butt joint pipelines (land drainage tiles);</t>
  </si>
  <si>
    <t>Pr_65_52_07_97</t>
  </si>
  <si>
    <t>Vitrified clay plain wall below-ground drainage pipes and fittings for flexible jointing</t>
  </si>
  <si>
    <t>90-10-20/434 Vitrified clay plain wall below ground drainage pipelines for flexible jointing;</t>
  </si>
  <si>
    <t>Pr_65_52_07_98</t>
  </si>
  <si>
    <t>Vitrified clay plain wall below-ground drainage pipes and fittings for rigid jointing</t>
  </si>
  <si>
    <t>90-10-20/436 Vitrified clay plain wall below ground drainage pipelines for rigid jointing;</t>
  </si>
  <si>
    <t>Pr_65_52_20</t>
  </si>
  <si>
    <t>Culverts</t>
  </si>
  <si>
    <t>Pr_65_52_20_15</t>
  </si>
  <si>
    <t>Concrete arch culverts</t>
  </si>
  <si>
    <t>Pr_65_52_20_16</t>
  </si>
  <si>
    <t>Concrete box culverts</t>
  </si>
  <si>
    <t>90-05-20/440 Precast concrete box culverts;</t>
  </si>
  <si>
    <t>Pr_65_52_20_17</t>
  </si>
  <si>
    <t>Concrete bridge culverts</t>
  </si>
  <si>
    <t>Pr_65_52_20_18</t>
  </si>
  <si>
    <t>Concrete pipe arch culverts</t>
  </si>
  <si>
    <t>Pr_65_52_20_19</t>
  </si>
  <si>
    <t>Concrete pipe culverts</t>
  </si>
  <si>
    <t>Pr_65_52_20_20</t>
  </si>
  <si>
    <t>Corrugated steel pipe culverts</t>
  </si>
  <si>
    <t>Pr_65_52_20_84</t>
  </si>
  <si>
    <t>Structural plate corrugated steel pipe culverts</t>
  </si>
  <si>
    <t>Pr_65_52_24</t>
  </si>
  <si>
    <t>Drainage gullies and channels</t>
  </si>
  <si>
    <t>Pr_65_52_24_02</t>
  </si>
  <si>
    <t>Adaptors for above-ground pipe connections to clay drainage pipelines</t>
  </si>
  <si>
    <t>90-10-20/452 Adaptors for above ground pipe connections to clay drainage pipelines;</t>
  </si>
  <si>
    <t>Pr_65_52_24_03</t>
  </si>
  <si>
    <t>Adaptors for above-ground pipe connections to plastics drainage pipelines</t>
  </si>
  <si>
    <t>90-10-20/454 Adaptors for above ground pipe connections to plastics drainage pipelines;</t>
  </si>
  <si>
    <t>Pr_65_52_24_11</t>
  </si>
  <si>
    <t>Carriageway kerb and drainage channels</t>
  </si>
  <si>
    <t>Pr_65_52_24_12</t>
  </si>
  <si>
    <t>Cast iron composite gullies</t>
  </si>
  <si>
    <t>90-05-20/410 Cast iron composite gullies;</t>
  </si>
  <si>
    <t>Pr_65_52_24_13</t>
  </si>
  <si>
    <t>Cast iron one piece gullies</t>
  </si>
  <si>
    <t>90-05-20/400 Cast iron one piece gullies;</t>
  </si>
  <si>
    <t>Pr_65_52_24_14</t>
  </si>
  <si>
    <t>Cast iron rodding eyes</t>
  </si>
  <si>
    <t>90-05-20/332 Cast iron rodding eyes;</t>
  </si>
  <si>
    <t>Pr_65_52_24_15</t>
  </si>
  <si>
    <t>Cast iron sealed access pipes</t>
  </si>
  <si>
    <t>90-05-20/330 Cast iron sealed access pipes;</t>
  </si>
  <si>
    <t>Pr_65_52_24_18</t>
  </si>
  <si>
    <t>Concrete one piece gullies</t>
  </si>
  <si>
    <t>90-05-20/402 Concrete one piece gullies;</t>
  </si>
  <si>
    <t>Pr_65_52_24_24</t>
  </si>
  <si>
    <t>Drainage channels with gratings</t>
  </si>
  <si>
    <t>90-05-20/422 Drainage channels with gratings;</t>
  </si>
  <si>
    <t>Pr_65_52_24_26</t>
  </si>
  <si>
    <t>Filtration drainage channels</t>
  </si>
  <si>
    <t>90-05-20/424 Filtration drainage channels;</t>
  </si>
  <si>
    <t>Pr_65_52_24_28</t>
  </si>
  <si>
    <t>Floor channels</t>
  </si>
  <si>
    <t>90-05-20/302 Floor channels;</t>
  </si>
  <si>
    <t>Pr_65_52_24_29</t>
  </si>
  <si>
    <t>Floor channel covers and gratings</t>
  </si>
  <si>
    <t>90-05-20/304 Covers and gratings for floor channels;</t>
  </si>
  <si>
    <t>Pr_65_52_24_30</t>
  </si>
  <si>
    <t>Floor gully covers and gratings</t>
  </si>
  <si>
    <t>90-05-20/308 Covers and gratings for floor gullies;</t>
  </si>
  <si>
    <t>Pr_65_52_24_31</t>
  </si>
  <si>
    <t>Floor gullies</t>
  </si>
  <si>
    <t>90-05-20/306 Floor gullies;</t>
  </si>
  <si>
    <t>Pr_65_52_24_47</t>
  </si>
  <si>
    <t>Linear slot drainage channels</t>
  </si>
  <si>
    <t>90-05-20/426 Linear slot drainage channels;</t>
  </si>
  <si>
    <t>Pr_65_52_24_59</t>
  </si>
  <si>
    <t>Plastics composite gullies</t>
  </si>
  <si>
    <t>90-05-20/412 Plastics composite gullies;</t>
  </si>
  <si>
    <t>Pr_65_52_24_60</t>
  </si>
  <si>
    <t>Plastics one piece gullies</t>
  </si>
  <si>
    <t>90-05-20/404 Plastics one piece gullies;</t>
  </si>
  <si>
    <t>Pr_65_52_24_61</t>
  </si>
  <si>
    <t>Plastics rodding eyes</t>
  </si>
  <si>
    <t>90-05-20/348 Plastics rodding eyes;</t>
  </si>
  <si>
    <t>Pr_65_52_24_64</t>
  </si>
  <si>
    <t>Polypropylene (PP) composite gullies</t>
  </si>
  <si>
    <t>90-05-20/414 Polypropylene composite gullies;</t>
  </si>
  <si>
    <t>Pr_65_52_24_65</t>
  </si>
  <si>
    <t>Polypropylene (PP) one piece gullies</t>
  </si>
  <si>
    <t>90-05-20/406 Polypropylene one piece gullies;</t>
  </si>
  <si>
    <t>Pr_65_52_24_73</t>
  </si>
  <si>
    <t>Rat barrier pipes</t>
  </si>
  <si>
    <t>90-10-60/440 Rat barrier pipes;</t>
  </si>
  <si>
    <t>Pr_65_52_24_85</t>
  </si>
  <si>
    <t>Stainless steel rodding eyes</t>
  </si>
  <si>
    <t>90-05-20/334 Stainless steel rodding eyes;</t>
  </si>
  <si>
    <t>Pr_65_52_24_91</t>
  </si>
  <si>
    <t>Vitrified clay access chamber channels</t>
  </si>
  <si>
    <t>90-05-20/380 Vitrified clay channels for access chambers;</t>
  </si>
  <si>
    <t>Pr_65_52_24_92</t>
  </si>
  <si>
    <t>Vitrified clay composite gullies</t>
  </si>
  <si>
    <t>90-05-20/416 Vitrified clay composite gullies;</t>
  </si>
  <si>
    <t>Pr_65_52_24_94</t>
  </si>
  <si>
    <t>Vitrified clay one piece gullies</t>
  </si>
  <si>
    <t>90-05-20/408 Vitrified clay one piece gullies;</t>
  </si>
  <si>
    <t>Pr_65_52_24_95</t>
  </si>
  <si>
    <t>Vitrified clay rodding eyes</t>
  </si>
  <si>
    <t>90-05-20/384 Vitrified clay rodding eyes;</t>
  </si>
  <si>
    <t>Pr_65_52_24_96</t>
  </si>
  <si>
    <t>Vitrified clay sealed access pipes</t>
  </si>
  <si>
    <t>90-05-20/382 Vitrified clay sealed access pipes;</t>
  </si>
  <si>
    <t>Pr_65_52_25</t>
  </si>
  <si>
    <t>Drainage traps and accessories</t>
  </si>
  <si>
    <t>Pr_65_52_25_06</t>
  </si>
  <si>
    <t>Below-ground grease traps and converters</t>
  </si>
  <si>
    <t>90-05-20/312 Grease traps and converters (below ground);</t>
  </si>
  <si>
    <t>Pr_65_52_25_15</t>
  </si>
  <si>
    <t>Concrete silt traps</t>
  </si>
  <si>
    <t>90-05-20/434 Concrete silt traps;</t>
  </si>
  <si>
    <t>Pr_65_52_25_23</t>
  </si>
  <si>
    <t>Depressurization sumps</t>
  </si>
  <si>
    <t>90-05-20-448 Depressurization sumps;</t>
  </si>
  <si>
    <t>Pr_65_52_25_27</t>
  </si>
  <si>
    <t>Enzyme dosing units</t>
  </si>
  <si>
    <t>90-05-20/450 Enzyme dosing control units;</t>
  </si>
  <si>
    <t>Pr_65_52_25_32</t>
  </si>
  <si>
    <t>Free-standing grease traps and converters</t>
  </si>
  <si>
    <t>90-05-20/310 Freestanding grease traps and converters;</t>
  </si>
  <si>
    <t>Pr_65_52_25_60</t>
  </si>
  <si>
    <t>Petrol interceptors</t>
  </si>
  <si>
    <t>Pr_65_52_25_62</t>
  </si>
  <si>
    <t>Plastics silt traps</t>
  </si>
  <si>
    <t>90-05-20/436 Plastics silt traps;</t>
  </si>
  <si>
    <t>Pr_65_52_25_72</t>
  </si>
  <si>
    <t>Reverse action interceptors</t>
  </si>
  <si>
    <t>Pr_65_52_25_75</t>
  </si>
  <si>
    <t>Sanitary appliance traps</t>
  </si>
  <si>
    <t>90-10-60/410 Sanitary appliance traps;</t>
  </si>
  <si>
    <t>Pr_65_52_25_78</t>
  </si>
  <si>
    <t>Silt buckets</t>
  </si>
  <si>
    <t>90-05-20/430 Silt buckets;</t>
  </si>
  <si>
    <t>Pr_65_52_25_93</t>
  </si>
  <si>
    <t>Vitrified clay interceptor traps</t>
  </si>
  <si>
    <t>90-05-20/386 Vitrified clay interceptor traps;</t>
  </si>
  <si>
    <t>Pr_65_52_25_96</t>
  </si>
  <si>
    <t>Vitrified clay silt traps</t>
  </si>
  <si>
    <t>90-05-20/432 Vitrified clay silt traps;</t>
  </si>
  <si>
    <t>Pr_65_52_25_98</t>
  </si>
  <si>
    <t>Waste traps</t>
  </si>
  <si>
    <t>Pr_65_52_34</t>
  </si>
  <si>
    <t>Gauges and sight glasses</t>
  </si>
  <si>
    <t>Pr_65_52_34_08</t>
  </si>
  <si>
    <t>Bourdon tube pressure gauges</t>
  </si>
  <si>
    <t>90-20-75/395 Bourdon tube pressure gauges;</t>
  </si>
  <si>
    <t>Pr_65_52_34_15</t>
  </si>
  <si>
    <t>Combined steam sight glass and check valves</t>
  </si>
  <si>
    <t>90-20-75/390 Combined sight glass and check valves;</t>
  </si>
  <si>
    <t>Pr_65_52_34_16</t>
  </si>
  <si>
    <t>Contents gauges</t>
  </si>
  <si>
    <t>90-10-95/450 Tank contents gauges;</t>
  </si>
  <si>
    <t>Pr_65_52_34_18</t>
  </si>
  <si>
    <t>Contents sight glasses</t>
  </si>
  <si>
    <t>90-25-50/410 Sight glasses;</t>
  </si>
  <si>
    <t>Pr_65_52_34_22</t>
  </si>
  <si>
    <t>Differential pressure gauges</t>
  </si>
  <si>
    <t>90-45-10/440 Pressure gauges;</t>
  </si>
  <si>
    <t>Pr_65_52_34_24</t>
  </si>
  <si>
    <t>Double window steam sight glasses</t>
  </si>
  <si>
    <t>90-20-75/375 Double window sight glasses;</t>
  </si>
  <si>
    <t>Pr_65_52_34_48</t>
  </si>
  <si>
    <t>Manifold gauges</t>
  </si>
  <si>
    <t>Pr_65_52_34_50</t>
  </si>
  <si>
    <t>Manometers</t>
  </si>
  <si>
    <t>Pr_65_52_34_55</t>
  </si>
  <si>
    <t>Multi window steam sight glasses</t>
  </si>
  <si>
    <t>90-20-75/380 Multi window sight glasses;</t>
  </si>
  <si>
    <t>Pr_65_52_34_65</t>
  </si>
  <si>
    <t>Pressure and altitude gauges</t>
  </si>
  <si>
    <t>90-10-60/375 Pressure and altitude gauges;</t>
  </si>
  <si>
    <t>Pr_65_52_34_66</t>
  </si>
  <si>
    <t>Pressure gauges</t>
  </si>
  <si>
    <t>90-10-60/370 Pressure gauges;</t>
  </si>
  <si>
    <t>Pr_65_52_34_77</t>
  </si>
  <si>
    <t>Single window steam sight glasses</t>
  </si>
  <si>
    <t>90-20-75/385 Single window sight glasses;</t>
  </si>
  <si>
    <t>Pr_65_52_34_88</t>
  </si>
  <si>
    <t>Temperature gauges</t>
  </si>
  <si>
    <t>90-10-60/380 Temperature gauges;</t>
  </si>
  <si>
    <t>Pr_65_52_38</t>
  </si>
  <si>
    <t>Hoses, hose reels and ancillaries</t>
  </si>
  <si>
    <t>Pr_65_52_38_14</t>
  </si>
  <si>
    <t>Compressed air coil hoses</t>
  </si>
  <si>
    <t>90-30-10/370 Hoses, coil;</t>
  </si>
  <si>
    <t>Pr_65_52_38_15</t>
  </si>
  <si>
    <t>Compressed air hose couplings</t>
  </si>
  <si>
    <t>90-30-10/345 Couplings;</t>
  </si>
  <si>
    <t>Pr_65_52_38_16</t>
  </si>
  <si>
    <t>Compressed air hose reel balancers</t>
  </si>
  <si>
    <t>90-30-10/360 Hose reel balancers;</t>
  </si>
  <si>
    <t>Pr_65_52_38_18</t>
  </si>
  <si>
    <t>Compressed air hose reels</t>
  </si>
  <si>
    <t>90-30-10/365 Hose reels;</t>
  </si>
  <si>
    <t>Pr_65_52_38_20</t>
  </si>
  <si>
    <t>Crushproof vehicle exhaust hoses</t>
  </si>
  <si>
    <t>90-45-95/320 Crushproof hoses;</t>
  </si>
  <si>
    <t>Pr_65_52_38_30</t>
  </si>
  <si>
    <t>Fire hose reels</t>
  </si>
  <si>
    <t>90-35-95/340 Hose reels;</t>
  </si>
  <si>
    <t>Pr_65_52_38_31</t>
  </si>
  <si>
    <t>Flat irrigation hoses</t>
  </si>
  <si>
    <t>90-15-40/421 Flat hoses;</t>
  </si>
  <si>
    <t>Pr_65_52_38_32</t>
  </si>
  <si>
    <t>Foam hose couplings</t>
  </si>
  <si>
    <t>90-35-30/370 Instantaneous male couplings;</t>
  </si>
  <si>
    <t>Pr_65_52_38_33</t>
  </si>
  <si>
    <t>Gas hose reels</t>
  </si>
  <si>
    <t>90-35-35/375 Hose reels;</t>
  </si>
  <si>
    <t>Pr_65_52_38_42</t>
  </si>
  <si>
    <t>Irrigation hoses</t>
  </si>
  <si>
    <t>90-15-40/423 Irrigation hoses;</t>
  </si>
  <si>
    <t>Pr_65_52_38_48</t>
  </si>
  <si>
    <t>Liquid petroleum gas (LPG) rubber hoses and hose assemblies</t>
  </si>
  <si>
    <t>90-30-50/365 Gas rubber hoses and hose assemblies;</t>
  </si>
  <si>
    <t>Pr_65_52_38_69</t>
  </si>
  <si>
    <t>Quick release couplings</t>
  </si>
  <si>
    <t>Pr_65_52_38_71</t>
  </si>
  <si>
    <t>Reinforced wall hoses</t>
  </si>
  <si>
    <t>Pr_65_52_38_84</t>
  </si>
  <si>
    <t>Spiral compressed air hoses</t>
  </si>
  <si>
    <t>90-30-10/375 Hoses, spiral;</t>
  </si>
  <si>
    <t>Pr_65_52_38_85</t>
  </si>
  <si>
    <t>Spiral plastics hoses</t>
  </si>
  <si>
    <t>Pr_65_52_38_86</t>
  </si>
  <si>
    <t>Spring balancer vehicle exhaust hose supports</t>
  </si>
  <si>
    <t>90-45-95/350 Spring balancer hose support;</t>
  </si>
  <si>
    <t>Pr_65_52_38_94</t>
  </si>
  <si>
    <t>Vehicle exhaust hose reels</t>
  </si>
  <si>
    <t>90-45-95/340 Hose reels;</t>
  </si>
  <si>
    <t>Pr_65_52_38_95</t>
  </si>
  <si>
    <t>Water hose reels</t>
  </si>
  <si>
    <t>Pr_65_52_38_96</t>
  </si>
  <si>
    <t>Water hoses</t>
  </si>
  <si>
    <t>Pr_65_52_38_97</t>
  </si>
  <si>
    <t>Water fire extinguishing hose couplings</t>
  </si>
  <si>
    <t>90-35-95/370 Couplings;</t>
  </si>
  <si>
    <t>Pr_65_52_38_98</t>
  </si>
  <si>
    <t>WC washdown hoses</t>
  </si>
  <si>
    <t>45-35-70/392 WC washdown hoses;</t>
  </si>
  <si>
    <t>Pr_65_52_61</t>
  </si>
  <si>
    <t>Pipe accessories</t>
  </si>
  <si>
    <t>Pr_65_52_61_04</t>
  </si>
  <si>
    <t>Anti-climb pipe covers</t>
  </si>
  <si>
    <t>90-10-60/435 Anti climb pipe covers;</t>
  </si>
  <si>
    <t>Pr_65_52_61_15</t>
  </si>
  <si>
    <t>Concealed intumescent pipe collars</t>
  </si>
  <si>
    <t>45-45-70/436 Pipe collars;</t>
  </si>
  <si>
    <t>Pr_65_52_61_22</t>
  </si>
  <si>
    <t>Dirt pockets</t>
  </si>
  <si>
    <t>Pr_65_52_61_23</t>
  </si>
  <si>
    <t>Discharge and ventilating stack terminations</t>
  </si>
  <si>
    <t>90-10-60/437 Discharge and ventilating stack terminations;</t>
  </si>
  <si>
    <t>Pr_65_52_61_42</t>
  </si>
  <si>
    <t>Insulated wrap pipe collars</t>
  </si>
  <si>
    <t>Pr_65_52_61_50</t>
  </si>
  <si>
    <t>Masking plates</t>
  </si>
  <si>
    <t>90-10-60/395 Masking plates;</t>
  </si>
  <si>
    <t>Pr_65_52_61_61</t>
  </si>
  <si>
    <t>Pipe ducts</t>
  </si>
  <si>
    <t>90-10-65/440 Pipeducts;</t>
  </si>
  <si>
    <t>Pr_65_52_61_62</t>
  </si>
  <si>
    <t>Pipeline supports</t>
  </si>
  <si>
    <t>90-10-65/450 Pipeline supports;</t>
  </si>
  <si>
    <t>Pr_65_52_61_63</t>
  </si>
  <si>
    <t>Pipe sleeves</t>
  </si>
  <si>
    <t>90-10-60/405 Pipe sleeves;</t>
  </si>
  <si>
    <t>Pr_65_52_61_64</t>
  </si>
  <si>
    <t>Pipe sleeve seals</t>
  </si>
  <si>
    <t>90-10-60/397 Pipe seals;</t>
  </si>
  <si>
    <t>Pr_65_52_61_65</t>
  </si>
  <si>
    <t>Plastics ducts for electric cables</t>
  </si>
  <si>
    <t>90-10-65/445 Plastic ducts for buried electric cables;</t>
  </si>
  <si>
    <t>Pr_65_52_61_68</t>
  </si>
  <si>
    <t>Puddle flanges</t>
  </si>
  <si>
    <t>90-10-60/445 Puddle flanges;</t>
  </si>
  <si>
    <t>Pr_65_52_61_72</t>
  </si>
  <si>
    <t>Radiator pipe seals</t>
  </si>
  <si>
    <t>90-10-60/393 Radiator pipe seals;</t>
  </si>
  <si>
    <t>Pr_65_52_61_86</t>
  </si>
  <si>
    <t>Surface-mounted intumescent pipe collars</t>
  </si>
  <si>
    <t>Pr_65_52_61_91</t>
  </si>
  <si>
    <t>Tundishes</t>
  </si>
  <si>
    <t>90-10-60/420 Tundishes;</t>
  </si>
  <si>
    <t>Pr_65_52_61_96</t>
  </si>
  <si>
    <t>Wall collars</t>
  </si>
  <si>
    <t>90-10-60/450 Pipe flange collars;</t>
  </si>
  <si>
    <t>Pr_65_52_62</t>
  </si>
  <si>
    <t>Pipe jointing materials</t>
  </si>
  <si>
    <t>Pr_65_52_62_03</t>
  </si>
  <si>
    <t>Anaerobic sealants</t>
  </si>
  <si>
    <t>Pr_65_52_62_09</t>
  </si>
  <si>
    <t>Brazing compounds</t>
  </si>
  <si>
    <t>90-10-65/320 Copper pipeline jointing materials;</t>
  </si>
  <si>
    <t>Pr_65_52_62_11</t>
  </si>
  <si>
    <t>Caulking ropes</t>
  </si>
  <si>
    <t>90-10-20/360 Jointing materials for BS 416-1 cast iron socketed above ground drainage pipelines;</t>
  </si>
  <si>
    <t>Pr_65_52_62_27</t>
  </si>
  <si>
    <t>Elastomeric ring seals</t>
  </si>
  <si>
    <t>90-10-65/380 Jointing materials for plastics tubes;</t>
  </si>
  <si>
    <t>Pr_65_52_62_28</t>
  </si>
  <si>
    <t>Flange adaptors</t>
  </si>
  <si>
    <t>Pr_65_52_62_29</t>
  </si>
  <si>
    <t>Flange jointing rings for copper flanges</t>
  </si>
  <si>
    <t>Pr_65_52_62_30</t>
  </si>
  <si>
    <t>Flange jointing rings for stainless steel flanges</t>
  </si>
  <si>
    <t>90-10-65/405 Stainless steel pipeline jointing materials;</t>
  </si>
  <si>
    <t>Pr_65_52_62_31</t>
  </si>
  <si>
    <t>Flange jointing rings for steel flanges</t>
  </si>
  <si>
    <t>90-10-65/425 Steel pipeline jointing materials;</t>
  </si>
  <si>
    <t>Pr_65_52_62_32</t>
  </si>
  <si>
    <t>Flux</t>
  </si>
  <si>
    <t>Pr_65_52_62_36</t>
  </si>
  <si>
    <t>Hemps and pastes</t>
  </si>
  <si>
    <t>Pr_65_52_62_50</t>
  </si>
  <si>
    <t>Mechanical couplings</t>
  </si>
  <si>
    <t>Pr_65_52_62_62</t>
  </si>
  <si>
    <t>Pipeline connectors</t>
  </si>
  <si>
    <t>Pr_65_52_62_65</t>
  </si>
  <si>
    <t>Polytetrafluoroethylene (PTFE) joint tapes</t>
  </si>
  <si>
    <t>90-10-20/362 PTFE tape for threaded joints;</t>
  </si>
  <si>
    <t>Pr_65_52_62_71</t>
  </si>
  <si>
    <t>Resin modified cements</t>
  </si>
  <si>
    <t>Pr_65_52_62_81</t>
  </si>
  <si>
    <t>Solders</t>
  </si>
  <si>
    <t>Pr_65_52_62_82</t>
  </si>
  <si>
    <t>Solvent welding cements</t>
  </si>
  <si>
    <t>90-10-20/364 Solvent welding cement;</t>
  </si>
  <si>
    <t>Pr_65_52_63</t>
  </si>
  <si>
    <t>Pipes and fittings</t>
  </si>
  <si>
    <t>Pr_65_52_63_02</t>
  </si>
  <si>
    <t>Acrylonitrile butadiene styrene (ABS) pipes and fittings</t>
  </si>
  <si>
    <t>90-10-20/326 ABS above ground wastewater branch discharge pipelines;</t>
  </si>
  <si>
    <t>Pr_65_52_63_03</t>
  </si>
  <si>
    <t>Acrylonitrile butadiene styrene (ABS) fittings</t>
  </si>
  <si>
    <t>90-75-30/313 ABS pipe fittings;</t>
  </si>
  <si>
    <t>Pr_65_52_63_04</t>
  </si>
  <si>
    <t>Aluminium rainwater pipe and fittings</t>
  </si>
  <si>
    <t>90-10-20/306 Aluminium external rainwater pipelines;</t>
  </si>
  <si>
    <t>Pr_65_52_63_08</t>
  </si>
  <si>
    <t>Borosilicate glass pipe and fittings</t>
  </si>
  <si>
    <t>90-10-20/328 Borosilicate glass above ground wastewater branch discharge pipelines;</t>
  </si>
  <si>
    <t>Pr_65_52_63_10</t>
  </si>
  <si>
    <t>Carbon steel pipe and fittings</t>
  </si>
  <si>
    <t>Pr_65_52_63_11</t>
  </si>
  <si>
    <t>Cast iron rainwater pipe and fittings</t>
  </si>
  <si>
    <t>90-10-20/308 Cast iron socketed rainwater pipelines to BS 460;</t>
  </si>
  <si>
    <t>Pr_65_52_63_12</t>
  </si>
  <si>
    <t>Cast iron drainage pipe and fittings</t>
  </si>
  <si>
    <t>90-10-20/342 Cast iron above ground drainage pipelines to BS 416-1;</t>
  </si>
  <si>
    <t>Pr_65_52_63_13</t>
  </si>
  <si>
    <t>Chlorinated polyvinyl chloride (PVC-C) pipe and fittings</t>
  </si>
  <si>
    <t>90-10-20/330 Chlorinated polyvinylchloride (PVC-C) above ground wastewater branch discharge pipelines;</t>
  </si>
  <si>
    <t>Pr_65_52_63_14</t>
  </si>
  <si>
    <t>Chlorinated polyvinyl chloride (PVC-C) pipelines</t>
  </si>
  <si>
    <t>90-10-65/345 Chlorinated polyvinylchloride (PVC-C) pipelines;</t>
  </si>
  <si>
    <t>Pr_65_52_63_15</t>
  </si>
  <si>
    <t>Concrete perforated pipes and fittings</t>
  </si>
  <si>
    <t>Pr_65_52_63_16</t>
  </si>
  <si>
    <t>Concrete pipes and fittings</t>
  </si>
  <si>
    <t>Pr_65_52_63_17</t>
  </si>
  <si>
    <t>Copper pipelines</t>
  </si>
  <si>
    <t>90-10-65/310 Copper pipelines;</t>
  </si>
  <si>
    <t>Pr_65_52_63_18</t>
  </si>
  <si>
    <t>Copper pipeline fittings</t>
  </si>
  <si>
    <t>90-10-65/315 Copper pipeline fittings;</t>
  </si>
  <si>
    <t>Pr_65_52_63_19</t>
  </si>
  <si>
    <t>Copper rainwater pipes and fittings</t>
  </si>
  <si>
    <t>90-10-20/310 Copper external rainwater pipelines;</t>
  </si>
  <si>
    <t>Pr_65_52_63_20</t>
  </si>
  <si>
    <t>Copper refrigerant pipelines</t>
  </si>
  <si>
    <t>90-10-65/390 Refrigerant pipelines and fittings;</t>
  </si>
  <si>
    <t>Pr_65_52_63_21</t>
  </si>
  <si>
    <t>Copper waste water pipe and fittings</t>
  </si>
  <si>
    <t>Pr_65_52_63_22</t>
  </si>
  <si>
    <t>Corrugated stainless steel pipes and fittings</t>
  </si>
  <si>
    <t>90-10-65/410 Corrugated stainless steel for gaseous fuels;</t>
  </si>
  <si>
    <t>Pr_65_52_63_23</t>
  </si>
  <si>
    <t>Cross-linked polyethylene (PE-X) pipes and fittings</t>
  </si>
  <si>
    <t>90-10-65/350 Cross linked polyethylene (PE-X) pipelines;</t>
  </si>
  <si>
    <t>Pr_65_52_63_25</t>
  </si>
  <si>
    <t>Ductile iron pipes and fittings</t>
  </si>
  <si>
    <t>90-10-65/325 Ductile iron pipelines;</t>
  </si>
  <si>
    <t>Pr_65_52_63_29</t>
  </si>
  <si>
    <t>Flexible composite pipelines for liquid fuels</t>
  </si>
  <si>
    <t>90-10-65/305 Continuous flexible composite pipelines for liquid fuels;</t>
  </si>
  <si>
    <t>Pr_65_52_63_30</t>
  </si>
  <si>
    <t>Hot dip precoated carbon steel rainwater pipe and fittings</t>
  </si>
  <si>
    <t>Pr_65_52_63_31</t>
  </si>
  <si>
    <t>Galvanized steel rainwater pipe and fittings</t>
  </si>
  <si>
    <t>90-10-20/314 Hot dip precoated steel rainwater pipelines;</t>
  </si>
  <si>
    <t>Pr_65_52_63_32</t>
  </si>
  <si>
    <t>Glass pipelines</t>
  </si>
  <si>
    <t>90-10-65/330 Glass pipelines;</t>
  </si>
  <si>
    <t>Pr_65_52_63_33</t>
  </si>
  <si>
    <t>Glass reinforced plastics (GRP) pressure pipes and fittings</t>
  </si>
  <si>
    <t>90-10-65/332 GRP pressure pipes;</t>
  </si>
  <si>
    <t>Pr_65_52_63_34</t>
  </si>
  <si>
    <t>Glass reinforced plastics (GRP) rainwater pipes and fittings</t>
  </si>
  <si>
    <t>90-10-20/312 GRP rainwater pipelines;</t>
  </si>
  <si>
    <t>Pr_65_52_63_35</t>
  </si>
  <si>
    <t>Glass reinforced plastics (GRP) pipe and fittings for liquid fuels</t>
  </si>
  <si>
    <t>90-10-65/333 Glass reinforced plastics (GRP) pipelines for liquid fuels;</t>
  </si>
  <si>
    <t>Pr_65_52_63_46</t>
  </si>
  <si>
    <t>Lead pipes and fittings</t>
  </si>
  <si>
    <t>Pr_65_52_63_50</t>
  </si>
  <si>
    <t>Medical gas copper tube</t>
  </si>
  <si>
    <t>90-30-55/332 Medical gases copper tubes;</t>
  </si>
  <si>
    <t>Pr_65_52_63_52</t>
  </si>
  <si>
    <t>Modified unplasticized polyvinyl chloride (MUPVC) pipes and fittings</t>
  </si>
  <si>
    <t>90-10-20/334 Modified unplasticized polyvinyl chloride (MUPVC) above ground wastewater branch discharge pipelines;</t>
  </si>
  <si>
    <t>Pr_65_52_63_54</t>
  </si>
  <si>
    <t>Multilayer pipelines for gaseous fuels</t>
  </si>
  <si>
    <t>90-10-65/340 Multilayer pipelines for gaseous fuels;</t>
  </si>
  <si>
    <t>Pr_65_52_63_55</t>
  </si>
  <si>
    <t>Multilayer pipelines for water</t>
  </si>
  <si>
    <t>90-10-65/335 Multilayer pipelines for water;</t>
  </si>
  <si>
    <t>Pr_65_52_63_60</t>
  </si>
  <si>
    <t>Polybutylene (PB) pipes and fittings</t>
  </si>
  <si>
    <t>90-10-65/355 Polybutylene (PB) pipelines;</t>
  </si>
  <si>
    <t>Pr_65_52_63_61</t>
  </si>
  <si>
    <t>Polyethylene (PE) drainage pipe and fittings</t>
  </si>
  <si>
    <t>90-10-20/348 High density polyethylene (HDPE) above ground drainage pipelines;</t>
  </si>
  <si>
    <t>Pr_65_52_63_62</t>
  </si>
  <si>
    <t>Polyethylene (PE) gaseous fuel pipes and fittings</t>
  </si>
  <si>
    <t>90-10-65/360 Polyethylene (PE) pipelines for gaseous fuels;</t>
  </si>
  <si>
    <t>Pr_65_52_63_63</t>
  </si>
  <si>
    <t>Polyethylene (PE) water pipes and fittings</t>
  </si>
  <si>
    <t>90-10-65/365 Polyethylene (PE) pipelines for water supply;</t>
  </si>
  <si>
    <t>Pr_65_52_63_64</t>
  </si>
  <si>
    <t>Polyethylene (PE) pipes for liquid fuels</t>
  </si>
  <si>
    <t>90-10-65/367 Polyethylene (PE) pipelines for liquid fuels;</t>
  </si>
  <si>
    <t>Pr_65_52_63_65</t>
  </si>
  <si>
    <t>Polypropylene (PP) pipelines</t>
  </si>
  <si>
    <t>90-10-65/370 Polypropylene (PP) pipelines;</t>
  </si>
  <si>
    <t>Pr_65_52_63_66</t>
  </si>
  <si>
    <t>Polypropylene (PP) solid wall pipes and fittings</t>
  </si>
  <si>
    <t>90-10-20/336 Polypropylene above ground wastewater branch discharge pipelines;</t>
  </si>
  <si>
    <t>Pr_65_52_63_67</t>
  </si>
  <si>
    <t>Polypropylene (PP) structured wall pipes and fittings</t>
  </si>
  <si>
    <t>Pr_65_52_63_68</t>
  </si>
  <si>
    <t>Pre-insulated pipelines</t>
  </si>
  <si>
    <t>90-10-65/385 Pre-insulated pipelines;</t>
  </si>
  <si>
    <t>Pr_65_52_63_70</t>
  </si>
  <si>
    <t>Propylene copolymer pressure pipes and fittings</t>
  </si>
  <si>
    <t>90-10-65/362 Propylene co-polymer pressure pipes;</t>
  </si>
  <si>
    <t>Pr_65_52_63_78</t>
  </si>
  <si>
    <t>Stainless steel pipelines</t>
  </si>
  <si>
    <t>90-10-65/395 Stainless steel pipelines;</t>
  </si>
  <si>
    <t>Pr_65_52_63_79</t>
  </si>
  <si>
    <t>Stainless steel pipeline fittings</t>
  </si>
  <si>
    <t>90-10-65/400 Stainless steel pipeline fittings;</t>
  </si>
  <si>
    <t>Pr_65_52_63_80</t>
  </si>
  <si>
    <t>Stainless steel rainwater pipes and fittings</t>
  </si>
  <si>
    <t>90-10-20/316 Stainless steel external rainwater pipelines;</t>
  </si>
  <si>
    <t>Pr_65_52_63_81</t>
  </si>
  <si>
    <t>Stainless steel waste water pipes and fittings</t>
  </si>
  <si>
    <t>90-10-20/350 Stainless steel above ground drainage pipelines;</t>
  </si>
  <si>
    <t>Pr_65_52_63_82</t>
  </si>
  <si>
    <t>Steel pipelines</t>
  </si>
  <si>
    <t>90-10-65/415 Steel pipelines;</t>
  </si>
  <si>
    <t>Pr_65_52_63_83</t>
  </si>
  <si>
    <t>Steel pipeline fittings</t>
  </si>
  <si>
    <t>90-10-65/420 Steel pipeline fittings;</t>
  </si>
  <si>
    <t>Pr_65_52_63_84</t>
  </si>
  <si>
    <t>Steel pipe and fittings for liquid fuels</t>
  </si>
  <si>
    <t>90-10-65/430 Steel pipelines for liquid fuels;</t>
  </si>
  <si>
    <t>Pr_65_52_63_87</t>
  </si>
  <si>
    <t>Unplasticized polyvinyl chloride (PVC-U) drainage pipe and fittings</t>
  </si>
  <si>
    <t>90-10-20/354 Unplasticized polyvinyl chloride (PVC-U) above ground drainage pipelines;</t>
  </si>
  <si>
    <t>Pr_65_52_63_88</t>
  </si>
  <si>
    <t>Unplasticized polyvinyl chloride (PVC-U) rainwater pipes and fittings</t>
  </si>
  <si>
    <t>90-10-20/318 Unplasticized polyvinyl chloride (PVC-U) external rainwater pipelines;</t>
  </si>
  <si>
    <t>Pr_65_52_63_89</t>
  </si>
  <si>
    <t>Unplasticized polyvinyl chloride (PVC-U) pipelines</t>
  </si>
  <si>
    <t>90-10-65/375 Unplasticized polyvinylchloride (PVC-U) pipelines;</t>
  </si>
  <si>
    <t>Pr_65_52_63_90</t>
  </si>
  <si>
    <t>Unplasticized polyvinyl chloride (PVC-U) solid wall pipes and fittings</t>
  </si>
  <si>
    <t>Pr_65_52_63_91</t>
  </si>
  <si>
    <t>Unplasticized polyvinyl chloride (PVC-U) structured wall perforated pipes and fittings</t>
  </si>
  <si>
    <t>Pr_65_52_63_92</t>
  </si>
  <si>
    <t>Unplasticized polyvinyl chloride (PVC-U) structured wall pipes and fittings</t>
  </si>
  <si>
    <t>Pr_65_52_63_93</t>
  </si>
  <si>
    <t>Unplasticized polyvinyl chloride alloy (PVC-A) pipes and fittings</t>
  </si>
  <si>
    <t>Pr_65_52_63_94</t>
  </si>
  <si>
    <t>Vitrified clay perforated pipes and fittings</t>
  </si>
  <si>
    <t>Pr_65_52_63_95</t>
  </si>
  <si>
    <t>Vitrified clay plain wall open butt joint pipes and fittings</t>
  </si>
  <si>
    <t>Pr_65_52_63_96</t>
  </si>
  <si>
    <t>Vitrified clay plain wall pipes and fittings</t>
  </si>
  <si>
    <t>Pr_65_52_63_99</t>
  </si>
  <si>
    <t>Zinc rainwater pipes and fittings</t>
  </si>
  <si>
    <t>90-10-20/320 Zinc external rainwater pipelines;</t>
  </si>
  <si>
    <t>Pr_65_53</t>
  </si>
  <si>
    <t>Pump products</t>
  </si>
  <si>
    <t>Pr_65_53_24</t>
  </si>
  <si>
    <t>Drainage pumps</t>
  </si>
  <si>
    <t>Pr_65_53_24_80</t>
  </si>
  <si>
    <t>Small bore discharge macerator and pumps</t>
  </si>
  <si>
    <t>90-10-70/420 Small bore discharge macerator and pump units;</t>
  </si>
  <si>
    <t>Pr_65_53_24_81</t>
  </si>
  <si>
    <t>Small bore discharge pumps</t>
  </si>
  <si>
    <t>90-10-70/410 Small bore discharge pump units;</t>
  </si>
  <si>
    <t>Pr_65_53_24_86</t>
  </si>
  <si>
    <t>Submersible pumps</t>
  </si>
  <si>
    <t>90-10-70/430 Submersible pumps;</t>
  </si>
  <si>
    <t>Pr_65_53_65</t>
  </si>
  <si>
    <t>Pump accessories</t>
  </si>
  <si>
    <t>Pr_65_53_65_04</t>
  </si>
  <si>
    <t>Auto-coupling sets</t>
  </si>
  <si>
    <t>Pr_65_53_86</t>
  </si>
  <si>
    <t>Supply and exhaust pumps</t>
  </si>
  <si>
    <t>Pr_65_53_86_05</t>
  </si>
  <si>
    <t>Automatic condensate pumps</t>
  </si>
  <si>
    <t>90-20-75/400 Automatic condensate pumps;</t>
  </si>
  <si>
    <t>Pr_65_53_86_07</t>
  </si>
  <si>
    <t>Belt driven end suction pumps</t>
  </si>
  <si>
    <t>90-10-70/330 Belt driven end suction pumps;</t>
  </si>
  <si>
    <t>Pr_65_53_86_11</t>
  </si>
  <si>
    <t>Canned rotor pumps</t>
  </si>
  <si>
    <t>90-10-70/340 Canned rotor pumps;</t>
  </si>
  <si>
    <t>Pr_65_53_86_12</t>
  </si>
  <si>
    <t>Centrifugal pumps</t>
  </si>
  <si>
    <t>Pr_65_53_86_13</t>
  </si>
  <si>
    <t>Close-coupled end suction pumps</t>
  </si>
  <si>
    <t>90-10-70/350 Close coupled end suction pumps;</t>
  </si>
  <si>
    <t>Pr_65_53_86_15</t>
  </si>
  <si>
    <t>Close-coupled in line pumps</t>
  </si>
  <si>
    <t>90-10-70/360 Close coupled in line pumps;</t>
  </si>
  <si>
    <t>Pr_65_53_86_17</t>
  </si>
  <si>
    <t>Condensate recovery units</t>
  </si>
  <si>
    <t>90-20-75/420 Electric powered condensate recovery units;</t>
  </si>
  <si>
    <t>Pr_65_53_86_24</t>
  </si>
  <si>
    <t>Dosing pump units</t>
  </si>
  <si>
    <t>90-15-95/355 Dosing pump units;</t>
  </si>
  <si>
    <t>Pr_65_53_86_32</t>
  </si>
  <si>
    <t>Fuel oil transfer pumps</t>
  </si>
  <si>
    <t>90-10-70/370 Fuel oil transfer pumps;</t>
  </si>
  <si>
    <t>Pr_65_53_86_33</t>
  </si>
  <si>
    <t>Gas boosters</t>
  </si>
  <si>
    <t>90-30-35/340 Gas boosters;</t>
  </si>
  <si>
    <t>Pr_65_53_86_50</t>
  </si>
  <si>
    <t>Medical gas exhauster units</t>
  </si>
  <si>
    <t>90-30-55/318 Exhauster units;</t>
  </si>
  <si>
    <t>Pr_65_53_86_51</t>
  </si>
  <si>
    <t>Metering pumps</t>
  </si>
  <si>
    <t>90-10-70/380 Metering pumps;</t>
  </si>
  <si>
    <t>Pr_65_53_86_55</t>
  </si>
  <si>
    <t>Multi-stage pumps</t>
  </si>
  <si>
    <t>90-10-70/385 Multistage centrifugal pumps;</t>
  </si>
  <si>
    <t>Pr_65_53_86_66</t>
  </si>
  <si>
    <t>Pressure booster pumps</t>
  </si>
  <si>
    <t>90-10-70/390 Pressure booster sets;</t>
  </si>
  <si>
    <t>Pr_65_53_86_68</t>
  </si>
  <si>
    <t>Pressurization units</t>
  </si>
  <si>
    <t>90-10-70/400 Pressurization units;</t>
  </si>
  <si>
    <t>Pr_65_53_86_86</t>
  </si>
  <si>
    <t>Suction pumps</t>
  </si>
  <si>
    <t>90-10-70/440 Suction or booster pumps;</t>
  </si>
  <si>
    <t>Pr_65_53_86_94</t>
  </si>
  <si>
    <t>Vapour pumps</t>
  </si>
  <si>
    <t>90-10-70/460 Vapour pumps;</t>
  </si>
  <si>
    <t>Pr_65_53_96</t>
  </si>
  <si>
    <t>Water supply and wastewater pumps</t>
  </si>
  <si>
    <t>Pr_65_53_96_02</t>
  </si>
  <si>
    <t>Air lift pumps</t>
  </si>
  <si>
    <t>90-12-70/350 Air lift pumps;</t>
  </si>
  <si>
    <t>Pr_65_53_96_03</t>
  </si>
  <si>
    <t>Archimedes screw pumps</t>
  </si>
  <si>
    <t>Pr_65_53_96_04</t>
  </si>
  <si>
    <t>Axial flow pumps</t>
  </si>
  <si>
    <t>Pr_65_53_96_05</t>
  </si>
  <si>
    <t>Axially split casing pumps</t>
  </si>
  <si>
    <t>90-12-70/360 Axially split casing pump unit;</t>
  </si>
  <si>
    <t>Pr_65_53_96_06</t>
  </si>
  <si>
    <t>Back pull-out end suction pumps</t>
  </si>
  <si>
    <t>90-12-70/440 End suction (back pull-out type) pump unit;</t>
  </si>
  <si>
    <t>Pr_65_53_96_21</t>
  </si>
  <si>
    <t>Double diaphragm pumps</t>
  </si>
  <si>
    <t>Pr_65_53_96_23</t>
  </si>
  <si>
    <t>Double disc pumps</t>
  </si>
  <si>
    <t>90-12-70/330 Double disc pumps;</t>
  </si>
  <si>
    <t>Pr_65_53_96_27</t>
  </si>
  <si>
    <t>Electromagnetic pumps</t>
  </si>
  <si>
    <t>Pr_65_53_96_41</t>
  </si>
  <si>
    <t>Inline multistage pumps</t>
  </si>
  <si>
    <t>Pr_65_53_96_44</t>
  </si>
  <si>
    <t>Jet pumps</t>
  </si>
  <si>
    <t>Pr_65_53_96_50</t>
  </si>
  <si>
    <t>Macerators</t>
  </si>
  <si>
    <t>90-12-70/480 Macerator;</t>
  </si>
  <si>
    <t>Pr_65_53_96_51</t>
  </si>
  <si>
    <t>Magnetic drive pumps</t>
  </si>
  <si>
    <t>Pr_65_53_96_55</t>
  </si>
  <si>
    <t>Multistage centrifugal pumps</t>
  </si>
  <si>
    <t>Pr_65_53_96_63</t>
  </si>
  <si>
    <t>Peristaltic pumps</t>
  </si>
  <si>
    <t>90-12-70/310 Peristaltic pumps;</t>
  </si>
  <si>
    <t>Pr_65_53_96_64</t>
  </si>
  <si>
    <t>Positive displacement pumps</t>
  </si>
  <si>
    <t>90-12-70/410 Positive displacement pumpsets;</t>
  </si>
  <si>
    <t>Pr_65_53_96_65</t>
  </si>
  <si>
    <t>Positive inlet pressure booster sets</t>
  </si>
  <si>
    <t>90-12-70/430 Packaged booster sets (positive inlet pressure applications);</t>
  </si>
  <si>
    <t>Pr_65_53_96_66</t>
  </si>
  <si>
    <t>Progressing cavity pumps</t>
  </si>
  <si>
    <t>90-12-70/390 Progressing cavity pump unit;</t>
  </si>
  <si>
    <t>Pr_65_53_96_70</t>
  </si>
  <si>
    <t>Ram pumps</t>
  </si>
  <si>
    <t>90-12-70/320 Ram Pumps;</t>
  </si>
  <si>
    <t>Pr_65_53_96_72</t>
  </si>
  <si>
    <t>Rotary gear pumps</t>
  </si>
  <si>
    <t>Pr_65_53_96_73</t>
  </si>
  <si>
    <t>Rotary lobe pumps</t>
  </si>
  <si>
    <t>90-12-70/340 Rotary lobe pumps;</t>
  </si>
  <si>
    <t>Pr_65_53_96_74</t>
  </si>
  <si>
    <t>Rotary vane pumps</t>
  </si>
  <si>
    <t>Pr_65_53_96_75</t>
  </si>
  <si>
    <t>Screw pumps</t>
  </si>
  <si>
    <t>90-12-70/470 Screw pump;</t>
  </si>
  <si>
    <t>Pr_65_53_96_78</t>
  </si>
  <si>
    <t>Single diaphragm pumps</t>
  </si>
  <si>
    <t>90-12-70/420 Single diaphragm pump units;</t>
  </si>
  <si>
    <t>Pr_65_53_96_79</t>
  </si>
  <si>
    <t>Single stage centrifugal pumps</t>
  </si>
  <si>
    <t>Pr_65_53_96_80</t>
  </si>
  <si>
    <t>Solids handling pumps</t>
  </si>
  <si>
    <t>90-12-70/460 Solids handling pump unit;</t>
  </si>
  <si>
    <t>Pr_65_53_96_84</t>
  </si>
  <si>
    <t>Submersible borehole pumps</t>
  </si>
  <si>
    <t>90-12-70/400 Submersible borehole pump unit;</t>
  </si>
  <si>
    <t>Pr_65_53_96_85</t>
  </si>
  <si>
    <t>Submersible axial pumps</t>
  </si>
  <si>
    <t>90-12-70/370 Submersible pump unit;</t>
  </si>
  <si>
    <t>Pr_65_53_96_86</t>
  </si>
  <si>
    <t>Submersible centrifugal pumps</t>
  </si>
  <si>
    <t>Pr_65_53_96_87</t>
  </si>
  <si>
    <t>Submersible mixed flow pumps</t>
  </si>
  <si>
    <t>Pr_65_53_96_94</t>
  </si>
  <si>
    <t>Vertically suspended bowl type pumps</t>
  </si>
  <si>
    <t>90-12-70/450 Vertically suspended bowl type pump unit;</t>
  </si>
  <si>
    <t>Pr_65_53_96_95</t>
  </si>
  <si>
    <t>Volute casing dry well centrifugal sewage and sludge pumps</t>
  </si>
  <si>
    <t>90-12-70/380 Dry well (volute casing type) centrifugal sewage/sludge pump unit;</t>
  </si>
  <si>
    <t>Pr_65_54</t>
  </si>
  <si>
    <t>Valve products</t>
  </si>
  <si>
    <t>Pr_65_54_24</t>
  </si>
  <si>
    <t>Drainage valves</t>
  </si>
  <si>
    <t>Pr_65_54_24_02</t>
  </si>
  <si>
    <t>Air admittance valves</t>
  </si>
  <si>
    <t>90-10-90/400 Air admittance valves;</t>
  </si>
  <si>
    <t>Pr_65_54_24_04</t>
  </si>
  <si>
    <t>Anti-flood valves</t>
  </si>
  <si>
    <t>90-10-90/405 Anti-flood valves;</t>
  </si>
  <si>
    <t>Pr_65_54_30</t>
  </si>
  <si>
    <t>Fire fighting valves and devices</t>
  </si>
  <si>
    <t>Pr_65_54_30_02</t>
  </si>
  <si>
    <t>Alarm test valve assemblies</t>
  </si>
  <si>
    <t>90-35-95/430 Pumped alarm testing devices;</t>
  </si>
  <si>
    <t>Pr_65_54_30_09</t>
  </si>
  <si>
    <t>Carbon dioxide connectors</t>
  </si>
  <si>
    <t>90-35-35/355 Flexible connectors;</t>
  </si>
  <si>
    <t>Pr_65_54_30_10</t>
  </si>
  <si>
    <t>Caps and chains</t>
  </si>
  <si>
    <t>90-35-95/360 Caps and chains;</t>
  </si>
  <si>
    <t>Pr_65_54_30_11</t>
  </si>
  <si>
    <t>Carbon dioxide odorizing devices</t>
  </si>
  <si>
    <t>90-35-35/390 Odorizing devices;</t>
  </si>
  <si>
    <t>Pr_65_54_30_12</t>
  </si>
  <si>
    <t>Check and non-return valves</t>
  </si>
  <si>
    <t>90-35-35/310 Check valves and non-return valves;</t>
  </si>
  <si>
    <t>Pr_65_54_30_15</t>
  </si>
  <si>
    <t>Container gas fire extinguishing valves</t>
  </si>
  <si>
    <t>90-35-35/315 Container valve assemblies with actuators;</t>
  </si>
  <si>
    <t>Pr_65_54_30_22</t>
  </si>
  <si>
    <t>Deluge valves</t>
  </si>
  <si>
    <t>90-35-95/325 Deluge valves;</t>
  </si>
  <si>
    <t>Pr_65_54_30_23</t>
  </si>
  <si>
    <t>Drain and test valves</t>
  </si>
  <si>
    <t>90-35-95/440 Drain and test valves;</t>
  </si>
  <si>
    <t>Pr_65_54_30_24</t>
  </si>
  <si>
    <t>Dry riser landing valves</t>
  </si>
  <si>
    <t>90-35-95/350 Landing valves and boxes for dry risers;</t>
  </si>
  <si>
    <t>Pr_65_54_30_25</t>
  </si>
  <si>
    <t>Dry dropper outlet valves</t>
  </si>
  <si>
    <t>Pr_65_54_30_30</t>
  </si>
  <si>
    <t>Fire fighting alarm devices</t>
  </si>
  <si>
    <t>90-65-50-330 Alarm devices;</t>
  </si>
  <si>
    <t>Pr_65_54_30_32</t>
  </si>
  <si>
    <t>Fusible links</t>
  </si>
  <si>
    <t>90-35-30/360 Fusible links;</t>
  </si>
  <si>
    <t>Pr_65_54_30_37</t>
  </si>
  <si>
    <t>High and low pressure selector gas fire extinguishing valves</t>
  </si>
  <si>
    <t>90-35-35/370 High and low pressure selector valves with actuators;</t>
  </si>
  <si>
    <t>Pr_65_54_30_42</t>
  </si>
  <si>
    <t>Inlet breechings</t>
  </si>
  <si>
    <t>Pr_65_54_30_50</t>
  </si>
  <si>
    <t>Multiple control valves</t>
  </si>
  <si>
    <t>90-35-95/410 Multiple control valves;</t>
  </si>
  <si>
    <t>Pr_65_54_30_63</t>
  </si>
  <si>
    <t>Pneumatic alarm devices</t>
  </si>
  <si>
    <t>90-35-35/405 Pneumatic alarm devices;</t>
  </si>
  <si>
    <t>Pr_65_54_30_65</t>
  </si>
  <si>
    <t>Pressure gauges and pressure switches</t>
  </si>
  <si>
    <t>90-35-35/410 Pressure gauges and pressure switches;</t>
  </si>
  <si>
    <t>Pr_65_54_30_85</t>
  </si>
  <si>
    <t>Sprinkler system alarm valves</t>
  </si>
  <si>
    <t>90-35-95/310 Alarm valves for sprinkler systems;</t>
  </si>
  <si>
    <t>Pr_65_54_30_95</t>
  </si>
  <si>
    <t>Water fire extinguisher leather straps</t>
  </si>
  <si>
    <t>90-35-95/365 Leather straps;</t>
  </si>
  <si>
    <t>Pr_65_54_30_96</t>
  </si>
  <si>
    <t>Water mist control valves</t>
  </si>
  <si>
    <t>90-35-95/320 Control valves for water mist;</t>
  </si>
  <si>
    <t>Pr_65_54_30_97</t>
  </si>
  <si>
    <t>Wet riser landing valves</t>
  </si>
  <si>
    <t>90-35-95/355 Landing valves for wet risers;</t>
  </si>
  <si>
    <t>Pr_65_54_33</t>
  </si>
  <si>
    <t>Gas and liquid fuel valves</t>
  </si>
  <si>
    <t>Pr_65_54_33_03</t>
  </si>
  <si>
    <t>Anti-siphon liquid fuel supply valves</t>
  </si>
  <si>
    <t>90-25-45/310 Anti-syphon valves;</t>
  </si>
  <si>
    <t>Pr_65_54_33_05</t>
  </si>
  <si>
    <t>Automatic changeover liquid petroleum gas (LPG) valves</t>
  </si>
  <si>
    <t>90-30-50/360 Automatic changeover valves;</t>
  </si>
  <si>
    <t>Pr_65_54_33_10</t>
  </si>
  <si>
    <t>Chlorine gas injectors</t>
  </si>
  <si>
    <t>Pr_65_54_33_11</t>
  </si>
  <si>
    <t>Cast iron plug valves</t>
  </si>
  <si>
    <t>90-10-90/382 Plug valves, cast iron;</t>
  </si>
  <si>
    <t>Pr_65_54_33_12</t>
  </si>
  <si>
    <t>Chlorine gas manifolds</t>
  </si>
  <si>
    <t>Pr_65_54_33_13</t>
  </si>
  <si>
    <t>Chlorine gas manifold pigtails</t>
  </si>
  <si>
    <t>Pr_65_54_33_14</t>
  </si>
  <si>
    <t>Compressed air manifolds</t>
  </si>
  <si>
    <t>Pr_65_54_33_15</t>
  </si>
  <si>
    <t>Compressed air pressure reducing stations</t>
  </si>
  <si>
    <t>90-30-10/390 Pressure reducing stations;</t>
  </si>
  <si>
    <t>Pr_65_54_33_17</t>
  </si>
  <si>
    <t>Compressed air safety valves</t>
  </si>
  <si>
    <t>Pr_65_54_33_31</t>
  </si>
  <si>
    <t>Fusible link drop weight valves</t>
  </si>
  <si>
    <t>Pr_65_54_33_33</t>
  </si>
  <si>
    <t>Gas ball valves</t>
  </si>
  <si>
    <t>90-10-90/380 Ball valves, manually operated;</t>
  </si>
  <si>
    <t>Pr_65_54_33_34</t>
  </si>
  <si>
    <t>Gas burner safety devices</t>
  </si>
  <si>
    <t>90-30-35/370 Safety and control devices;</t>
  </si>
  <si>
    <t>Pr_65_54_33_35</t>
  </si>
  <si>
    <t>Gas butterfly valves</t>
  </si>
  <si>
    <t>90-10-90/332 Butterfly valves;</t>
  </si>
  <si>
    <t>Pr_65_54_33_36</t>
  </si>
  <si>
    <t>Gas pressure reducing stations</t>
  </si>
  <si>
    <t>90-30-45/335 Pressure reducing stations;</t>
  </si>
  <si>
    <t>Pr_65_54_33_37</t>
  </si>
  <si>
    <t>Gas pressure switches</t>
  </si>
  <si>
    <t>90-30-35/360 Gas pressure switches;</t>
  </si>
  <si>
    <t>Pr_65_54_33_38</t>
  </si>
  <si>
    <t>Gas solenoid valves</t>
  </si>
  <si>
    <t>90-30-35/320 Gas solenoid valves;</t>
  </si>
  <si>
    <t>Pr_65_54_33_40</t>
  </si>
  <si>
    <t>Gas vacuum regulators</t>
  </si>
  <si>
    <t>Pr_65_54_33_43</t>
  </si>
  <si>
    <t>Industrial vacuum flow regulating valves</t>
  </si>
  <si>
    <t>Pr_65_54_33_44</t>
  </si>
  <si>
    <t>Laboratory gas safety valves</t>
  </si>
  <si>
    <t>Pr_65_54_33_45</t>
  </si>
  <si>
    <t>Laboratory gas taps</t>
  </si>
  <si>
    <t>90-30-45/340 Laboratory taps;</t>
  </si>
  <si>
    <t>Pr_65_54_33_46</t>
  </si>
  <si>
    <t>Laboratory gas supply manifolds</t>
  </si>
  <si>
    <t>Pr_65_54_33_47</t>
  </si>
  <si>
    <t>Liquefied petroleum gas (LPG) pressure regulators</t>
  </si>
  <si>
    <t>90-30-50/370 Pressure regulators;</t>
  </si>
  <si>
    <t>Pr_65_54_33_48</t>
  </si>
  <si>
    <t>Liquefied petroleum gas (LPG) pressure relief valves</t>
  </si>
  <si>
    <t>90-30-50/330 Pressure relief valves;</t>
  </si>
  <si>
    <t>Pr_65_54_33_49</t>
  </si>
  <si>
    <t>Liquefied petroleum gas (LPG) shut off valves and emergency valves</t>
  </si>
  <si>
    <t>90-30-50/340 Shut off valves and emergency valves;</t>
  </si>
  <si>
    <t>Pr_65_54_33_50</t>
  </si>
  <si>
    <t>Mechanical gas safety valves</t>
  </si>
  <si>
    <t>90-30-35/330 Mechanical gas safety valves;</t>
  </si>
  <si>
    <t>Pr_65_54_33_51</t>
  </si>
  <si>
    <t>Medical gas line valves</t>
  </si>
  <si>
    <t>90-30-55/334 Medical gases line valves;</t>
  </si>
  <si>
    <t>Pr_65_54_33_52</t>
  </si>
  <si>
    <t>Medical gas pressure reducing stations</t>
  </si>
  <si>
    <t>90-30-55/336 Pressure reducing stations;</t>
  </si>
  <si>
    <t>Pr_65_54_33_53</t>
  </si>
  <si>
    <t>Medical gas service modules</t>
  </si>
  <si>
    <t>90-30-55/338 Area service modules;</t>
  </si>
  <si>
    <t>Pr_65_54_33_54</t>
  </si>
  <si>
    <t>Medical gas supply manifolds</t>
  </si>
  <si>
    <t>90-30-55/330 Emergency supply manifolds;</t>
  </si>
  <si>
    <t>Pr_65_54_33_55</t>
  </si>
  <si>
    <t>Medical gas valve service units</t>
  </si>
  <si>
    <t>90-30-55/340 Area valve service units;</t>
  </si>
  <si>
    <t>Pr_65_54_33_57</t>
  </si>
  <si>
    <t>Medical vacuum flow regulating valves</t>
  </si>
  <si>
    <t>90-30-55/324 Vacuum flow regulating valves;</t>
  </si>
  <si>
    <t>Pr_65_54_33_65</t>
  </si>
  <si>
    <t>Pressure vacuum valves</t>
  </si>
  <si>
    <t>90-25-45/380 Pressure/ vacuum valves;</t>
  </si>
  <si>
    <t>Pr_65_54_33_70</t>
  </si>
  <si>
    <t>Refrigerant safety devices</t>
  </si>
  <si>
    <t>Pr_65_54_33_71</t>
  </si>
  <si>
    <t>Remote acting fire safety liquid fuel supply valves</t>
  </si>
  <si>
    <t>90-25-45/340 Remote acting fire safety valves;</t>
  </si>
  <si>
    <t>Pr_65_54_33_74</t>
  </si>
  <si>
    <t>Rupture discs</t>
  </si>
  <si>
    <t>Pr_65_54_33_76</t>
  </si>
  <si>
    <t>Self-sealing liquid petroleum gas (LPG) couplers</t>
  </si>
  <si>
    <t>90-30-50/325 Self-sealing couplers;</t>
  </si>
  <si>
    <t>Pr_65_54_33_78</t>
  </si>
  <si>
    <t>Shear valves</t>
  </si>
  <si>
    <t>90-25-45/370 Shear valves;</t>
  </si>
  <si>
    <t>Pr_65_54_33_84</t>
  </si>
  <si>
    <t>Steel plug valves</t>
  </si>
  <si>
    <t>90-10-90/384 Plug valves, steel;</t>
  </si>
  <si>
    <t>Pr_65_54_33_87</t>
  </si>
  <si>
    <t>Taper plug valves</t>
  </si>
  <si>
    <t>90-10-90/386 Plug valves, taper;</t>
  </si>
  <si>
    <t>Pr_65_54_33_93</t>
  </si>
  <si>
    <t>Vacuum switches</t>
  </si>
  <si>
    <t>Pr_65_54_33_94</t>
  </si>
  <si>
    <t>Vapour connection adaptors</t>
  </si>
  <si>
    <t>90-25-45/390 Vapour connection points;</t>
  </si>
  <si>
    <t>Pr_65_54_40</t>
  </si>
  <si>
    <t>Irrigation valves</t>
  </si>
  <si>
    <t>Pr_65_54_40_02</t>
  </si>
  <si>
    <t>Air valves</t>
  </si>
  <si>
    <t>90-15-40/321 Air valves;</t>
  </si>
  <si>
    <t>Pr_65_54_40_13</t>
  </si>
  <si>
    <t>Check valves</t>
  </si>
  <si>
    <t>90-15-40/323 Check valves;</t>
  </si>
  <si>
    <t>Pr_65_54_40_16</t>
  </si>
  <si>
    <t>Control valves</t>
  </si>
  <si>
    <t>90-15-40/329 Control valves;</t>
  </si>
  <si>
    <t>Pr_65_54_40_44</t>
  </si>
  <si>
    <t>Isolating valves</t>
  </si>
  <si>
    <t>90-15-40/325 Isolating valves;</t>
  </si>
  <si>
    <t>Pr_65_54_40_62</t>
  </si>
  <si>
    <t>Plastics isolating valves</t>
  </si>
  <si>
    <t>90-15-40/327 Plastics isolating valves;</t>
  </si>
  <si>
    <t>Pr_65_54_40_94</t>
  </si>
  <si>
    <t>Volumetric control valves</t>
  </si>
  <si>
    <t>90-15-40/331 Volumetric control valves;</t>
  </si>
  <si>
    <t>Pr_65_54_85</t>
  </si>
  <si>
    <t>Steam valves</t>
  </si>
  <si>
    <t>Pr_65_54_85_06</t>
  </si>
  <si>
    <t>Balanced pressure air vents</t>
  </si>
  <si>
    <t>90-20-80/310 Air vents;</t>
  </si>
  <si>
    <t>Pr_65_54_85_07</t>
  </si>
  <si>
    <t>Bellows sealed stop valves</t>
  </si>
  <si>
    <t>90-20-80/330 Bellows sealed stop valves;</t>
  </si>
  <si>
    <t>Pr_65_54_85_08</t>
  </si>
  <si>
    <t>Blowdown valves</t>
  </si>
  <si>
    <t>90-20-80/345 Blowdown valves;</t>
  </si>
  <si>
    <t>Pr_65_54_85_22</t>
  </si>
  <si>
    <t>Direct-acting pressure-reducing valves</t>
  </si>
  <si>
    <t>90-20-80/355 Direct acting pressure reducing valves;</t>
  </si>
  <si>
    <t>Pr_65_54_85_26</t>
  </si>
  <si>
    <t>Electrically-actuated control steam valves</t>
  </si>
  <si>
    <t>90-20-80/400 Electrically actuated control valves;</t>
  </si>
  <si>
    <t>Pr_65_54_85_60</t>
  </si>
  <si>
    <t>Pilot-operated pressure-reducing valves</t>
  </si>
  <si>
    <t>90-20-80/360 Pilot operated pressure reducing valves;</t>
  </si>
  <si>
    <t>Pr_65_54_85_62</t>
  </si>
  <si>
    <t>Piston stop valves</t>
  </si>
  <si>
    <t>90-20-80/340 Piston stop valves;</t>
  </si>
  <si>
    <t>Pr_65_54_85_65</t>
  </si>
  <si>
    <t>Pneumatically-actuated control steam valves</t>
  </si>
  <si>
    <t>90-20-80/405 Pneumatically actuated control valves;</t>
  </si>
  <si>
    <t>Pr_65_54_85_77</t>
  </si>
  <si>
    <t>Self-acting control steam valves</t>
  </si>
  <si>
    <t>90-20-80/415 Self-acting control valves;</t>
  </si>
  <si>
    <t>Pr_65_54_85_78</t>
  </si>
  <si>
    <t>Self-acting steam temperature valves</t>
  </si>
  <si>
    <t>90-20-80/410 Self-acting temperature control systems;</t>
  </si>
  <si>
    <t>Pr_65_54_85_79</t>
  </si>
  <si>
    <t>Self-operating control valves</t>
  </si>
  <si>
    <t>90-20-80/420 Self-operating control valves;</t>
  </si>
  <si>
    <t>Pr_65_54_85_88</t>
  </si>
  <si>
    <t>Temperature and pressure control steam valves</t>
  </si>
  <si>
    <t>90-20-80/425 Temperature and pressure control valves;</t>
  </si>
  <si>
    <t>Pr_65_54_93</t>
  </si>
  <si>
    <t>Valve accessories</t>
  </si>
  <si>
    <t>Pr_65_54_93_05</t>
  </si>
  <si>
    <t>Automatic air vents</t>
  </si>
  <si>
    <t>90-10-60/310 Automatic air vents;</t>
  </si>
  <si>
    <t>Pr_65_54_93_06</t>
  </si>
  <si>
    <t>Ball valve floats</t>
  </si>
  <si>
    <t>90-10-90/328 Floats for ball valves;</t>
  </si>
  <si>
    <t>Pr_65_54_93_50</t>
  </si>
  <si>
    <t>Manual air vents</t>
  </si>
  <si>
    <t>Pr_65_54_93_87</t>
  </si>
  <si>
    <t>Test points</t>
  </si>
  <si>
    <t>90-10-90/360 Test points;</t>
  </si>
  <si>
    <t>Pr_65_54_93_88</t>
  </si>
  <si>
    <t>T-keys</t>
  </si>
  <si>
    <t>90-10-90/388 T-key;</t>
  </si>
  <si>
    <t>Pr_65_54_93_94</t>
  </si>
  <si>
    <t>Valve keys</t>
  </si>
  <si>
    <t>90-10-90/390 Valve key;</t>
  </si>
  <si>
    <t>Pr_65_54_94</t>
  </si>
  <si>
    <t>Water supply valves</t>
  </si>
  <si>
    <t>Pr_65_54_94_03</t>
  </si>
  <si>
    <t>Anti-pollution check valves</t>
  </si>
  <si>
    <t>90-12-90/385 Anti-pollution check valve;</t>
  </si>
  <si>
    <t>Pr_65_54_94_11</t>
  </si>
  <si>
    <t>Cast iron wedge gate valves</t>
  </si>
  <si>
    <t>90-12-90/320 Cast iron wedge gate valve;</t>
  </si>
  <si>
    <t>Pr_65_54_94_22</t>
  </si>
  <si>
    <t>Direct acting float actuated automatic control valves</t>
  </si>
  <si>
    <t>90-12-90/355 Direct acting, float actuated control valve (automatic);</t>
  </si>
  <si>
    <t>Pr_65_54_94_23</t>
  </si>
  <si>
    <t>Direct spring operated pressure relief valves</t>
  </si>
  <si>
    <t>90-12-90/395 Direct, spring operated pressure relief valve;</t>
  </si>
  <si>
    <t>Pr_65_54_94_24</t>
  </si>
  <si>
    <t>Double orifice air valves</t>
  </si>
  <si>
    <t>90-12-90/420 Double orifice air valve;</t>
  </si>
  <si>
    <t>Pr_65_54_94_26</t>
  </si>
  <si>
    <t>Eccentric plug valves</t>
  </si>
  <si>
    <t>90-12-90/330 Eccentric plug valve;</t>
  </si>
  <si>
    <t>Pr_65_54_94_29</t>
  </si>
  <si>
    <t>Flap valves</t>
  </si>
  <si>
    <t>Pr_65_54_94_30</t>
  </si>
  <si>
    <t>Flexible rubber check valves</t>
  </si>
  <si>
    <t>90-12-90/315 Flexible rubber check valve;</t>
  </si>
  <si>
    <t>Pr_65_54_94_31</t>
  </si>
  <si>
    <t>Free discharge valves</t>
  </si>
  <si>
    <t>90-12-90/345 Free discharge valve;</t>
  </si>
  <si>
    <t>Pr_65_54_94_39</t>
  </si>
  <si>
    <t>Hydrostatic bellmouth valves</t>
  </si>
  <si>
    <t>90-12-90/310 Hydrostatic bellmouth valve;</t>
  </si>
  <si>
    <t>Pr_65_54_94_45</t>
  </si>
  <si>
    <t>Knife gate valves</t>
  </si>
  <si>
    <t>90-12-90/325 Knife gate valve;</t>
  </si>
  <si>
    <t>Pr_65_54_94_47</t>
  </si>
  <si>
    <t>Line pressure driven automatic control valves</t>
  </si>
  <si>
    <t>90-12-90/350 Line pressure driven control valve (automatic);</t>
  </si>
  <si>
    <t>Pr_65_54_94_50</t>
  </si>
  <si>
    <t>Metallic butterfly valves</t>
  </si>
  <si>
    <t>Pr_65_54_94_55</t>
  </si>
  <si>
    <t>Needle valves</t>
  </si>
  <si>
    <t>Pr_65_54_94_56</t>
  </si>
  <si>
    <t>Non-slam nozzle check valves</t>
  </si>
  <si>
    <t>90-12-90/380 Non-slam nozzle check valve;</t>
  </si>
  <si>
    <t>Pr_65_54_94_57</t>
  </si>
  <si>
    <t>Non-slam twin plate check valves</t>
  </si>
  <si>
    <t>90-12-90/375 Non-slam twin plate check valve;</t>
  </si>
  <si>
    <t>Pr_65_54_94_60</t>
  </si>
  <si>
    <t>Pallet type pressure relief valves</t>
  </si>
  <si>
    <t>90-12-90/405 Pallet type pressure relief valve;</t>
  </si>
  <si>
    <t>Pr_65_54_94_62</t>
  </si>
  <si>
    <t>Pilot operated valves</t>
  </si>
  <si>
    <t>Pr_65_54_94_63</t>
  </si>
  <si>
    <t>Pinch type pressure relief valves</t>
  </si>
  <si>
    <t>90-12-90/400 Pinch type pressure relief valve;</t>
  </si>
  <si>
    <t>Pr_65_54_94_65</t>
  </si>
  <si>
    <t>Plunger valves</t>
  </si>
  <si>
    <t>90-12-90/340 Plunger valve;</t>
  </si>
  <si>
    <t>Pr_65_54_94_70</t>
  </si>
  <si>
    <t>Recoil resilient hinge disc check valves</t>
  </si>
  <si>
    <t>90-12-90/370 Recoil resilient hinge disc check valve;</t>
  </si>
  <si>
    <t>Pr_65_54_94_71</t>
  </si>
  <si>
    <t>Recoil swing disc check valves</t>
  </si>
  <si>
    <t>90-12-90/365 Recoil swing disc check valve;</t>
  </si>
  <si>
    <t>Pr_65_54_94_72</t>
  </si>
  <si>
    <t>Reduced pressure zone valves</t>
  </si>
  <si>
    <t>90-12-90/390 Reduced pressure zone valve;</t>
  </si>
  <si>
    <t>Pr_65_54_94_73</t>
  </si>
  <si>
    <t>Resilient hinge disc check valves</t>
  </si>
  <si>
    <t>90-12-90/360 Resilient hinge disc check valve;</t>
  </si>
  <si>
    <t>Pr_65_54_94_77</t>
  </si>
  <si>
    <t>Single large orifice air valves</t>
  </si>
  <si>
    <t>90-12-90/415 Single large orifice air valve;</t>
  </si>
  <si>
    <t>Pr_65_54_94_78</t>
  </si>
  <si>
    <t>Single small orifice air valves</t>
  </si>
  <si>
    <t>90-12-90/410 Single small orifice air valve;</t>
  </si>
  <si>
    <t>Pr_65_54_94_87</t>
  </si>
  <si>
    <t>Solenoid operated valves</t>
  </si>
  <si>
    <t>Pr_65_54_94_90</t>
  </si>
  <si>
    <t>Triple orifice air valves</t>
  </si>
  <si>
    <t>90-12-90/425 Triple orifice air valve;</t>
  </si>
  <si>
    <t>Pr_65_54_94_94</t>
  </si>
  <si>
    <t>Vacuum breaker air valves</t>
  </si>
  <si>
    <t>90-12-90/430 Vacuum breaker air valve;</t>
  </si>
  <si>
    <t>Pr_65_54_94_95</t>
  </si>
  <si>
    <t>V-port ball valves</t>
  </si>
  <si>
    <t>90-12-90/335 V-port ball valve;</t>
  </si>
  <si>
    <t>Pr_65_54_95</t>
  </si>
  <si>
    <t>Water services valves</t>
  </si>
  <si>
    <t>Pr_65_54_95_05</t>
  </si>
  <si>
    <t>Backflow prevention check valves</t>
  </si>
  <si>
    <t>90-10-90/440 Backflow prevention check valves;</t>
  </si>
  <si>
    <t>Pr_65_54_95_06</t>
  </si>
  <si>
    <t>Ball valves</t>
  </si>
  <si>
    <t>90-10-90/330 Ball valves;</t>
  </si>
  <si>
    <t>Pr_65_54_95_08</t>
  </si>
  <si>
    <t>Butterfly valves</t>
  </si>
  <si>
    <t>Pr_65_54_95_11</t>
  </si>
  <si>
    <t>Cast iron check valves</t>
  </si>
  <si>
    <t>90-10-90/348 Cast iron check valves;</t>
  </si>
  <si>
    <t>Pr_65_54_95_12</t>
  </si>
  <si>
    <t>Cast iron gate valves</t>
  </si>
  <si>
    <t>90-10-90/336 Cast iron gate valves;</t>
  </si>
  <si>
    <t>Pr_65_54_95_13</t>
  </si>
  <si>
    <t>Cast iron globe valves</t>
  </si>
  <si>
    <t>90-10-90/340 Cast iron globe valves;</t>
  </si>
  <si>
    <t>Pr_65_54_95_14</t>
  </si>
  <si>
    <t>Copper alloy check valves</t>
  </si>
  <si>
    <t>90-10-90/352 Lift type check valves;</t>
  </si>
  <si>
    <t>Pr_65_54_95_15</t>
  </si>
  <si>
    <t>Copper alloy gate valves</t>
  </si>
  <si>
    <t>90-10-90/342 Copper alloy gate valves;</t>
  </si>
  <si>
    <t>Pr_65_54_95_16</t>
  </si>
  <si>
    <t>Copper alloy globe valves</t>
  </si>
  <si>
    <t>90-10-90/344 Copper alloy globe valves;</t>
  </si>
  <si>
    <t>Pr_65_54_95_18</t>
  </si>
  <si>
    <t>Copper alloy service stop valves</t>
  </si>
  <si>
    <t>90-10-90/310 Copper alloy service stop valves;</t>
  </si>
  <si>
    <t>Pr_65_54_95_19</t>
  </si>
  <si>
    <t>Copper alloy stop valves</t>
  </si>
  <si>
    <t>90-10-90/314 Stop valves for potable water;</t>
  </si>
  <si>
    <t>Pr_65_54_95_20</t>
  </si>
  <si>
    <t>Copper alloy underground stop valves</t>
  </si>
  <si>
    <t>90-10-90/316 Copper alloy underground stop valves;</t>
  </si>
  <si>
    <t>Pr_65_54_95_21</t>
  </si>
  <si>
    <t>Commissioning manifolds</t>
  </si>
  <si>
    <t>90-10-90/430 Commissioning manifolds;</t>
  </si>
  <si>
    <t>Pr_65_54_95_23</t>
  </si>
  <si>
    <t>Draw off taps</t>
  </si>
  <si>
    <t>Pr_65_54_95_24</t>
  </si>
  <si>
    <t>Diaphragm valves</t>
  </si>
  <si>
    <t>90-10-90/346 Diaphragm valves;</t>
  </si>
  <si>
    <t>Pr_65_54_95_25</t>
  </si>
  <si>
    <t>Differential pressure control valves</t>
  </si>
  <si>
    <t>90-10-90/425 Differential pressure control valves (DPCV);</t>
  </si>
  <si>
    <t>Pr_65_54_95_26</t>
  </si>
  <si>
    <t>Double regulating valves</t>
  </si>
  <si>
    <t>90-10-90/356 Double regulating valves;</t>
  </si>
  <si>
    <t>Pr_65_54_95_27</t>
  </si>
  <si>
    <t>Draining taps</t>
  </si>
  <si>
    <t>90-10-90/374 Draining taps;</t>
  </si>
  <si>
    <t>Pr_65_54_95_28</t>
  </si>
  <si>
    <t>Excess pressure valves</t>
  </si>
  <si>
    <t>90-20-80/365 Excess pressure valves;</t>
  </si>
  <si>
    <t>Pr_65_54_95_29</t>
  </si>
  <si>
    <t>Float-operated valves</t>
  </si>
  <si>
    <t>90-10-90/320 Copper alloy body, diaphragm type float operated valves;</t>
  </si>
  <si>
    <t>Pr_65_54_95_30</t>
  </si>
  <si>
    <t>Flow measuring valves</t>
  </si>
  <si>
    <t>90-10-90/358 Flow measuring devices;</t>
  </si>
  <si>
    <t>Pr_65_54_95_31</t>
  </si>
  <si>
    <t>Flow-reducing servicing valves</t>
  </si>
  <si>
    <t>Pr_65_54_95_33</t>
  </si>
  <si>
    <t>Foot valves</t>
  </si>
  <si>
    <t>Pr_65_54_95_38</t>
  </si>
  <si>
    <t>Hose union backflow prevention devices</t>
  </si>
  <si>
    <t>90-10-90/444 Hose union backflow preventers;</t>
  </si>
  <si>
    <t>Pr_65_54_95_42</t>
  </si>
  <si>
    <t>In-line anti-vacuum backflow prevention devices</t>
  </si>
  <si>
    <t>90-10-90/442 In-line anti-vacuum back flow prevention devices;</t>
  </si>
  <si>
    <t>Pr_65_54_95_47</t>
  </si>
  <si>
    <t>Low pressure thermostatic mixing valves</t>
  </si>
  <si>
    <t>90-10-90/366 Low pressure thermostatic mixing valves;</t>
  </si>
  <si>
    <t>Pr_65_54_95_48</t>
  </si>
  <si>
    <t>Low temperature thermostatic mixing valves</t>
  </si>
  <si>
    <t>90-10-90/372 Thermostatic mixing valves for use in care establishments;</t>
  </si>
  <si>
    <t>Pr_65_54_95_50</t>
  </si>
  <si>
    <t>Metering valves</t>
  </si>
  <si>
    <t>Pr_65_54_95_53</t>
  </si>
  <si>
    <t>Motorized valves</t>
  </si>
  <si>
    <t>90-65-50/350 Motorized valves;</t>
  </si>
  <si>
    <t>Pr_65_54_95_63</t>
  </si>
  <si>
    <t>Pressure independent control valves</t>
  </si>
  <si>
    <t>90-10-90/420 Pressure independent control valves (PICV);</t>
  </si>
  <si>
    <t>Pr_65_54_95_64</t>
  </si>
  <si>
    <t>Pressure regulating valves</t>
  </si>
  <si>
    <t>Pr_65_54_95_65</t>
  </si>
  <si>
    <t>Pressure relief valves</t>
  </si>
  <si>
    <t>90-10-90/415 Pressure relief valves;</t>
  </si>
  <si>
    <t>Pr_65_54_95_66</t>
  </si>
  <si>
    <t>Pressure reducing valves</t>
  </si>
  <si>
    <t>90-10-90/410 Pressure regulating valves;</t>
  </si>
  <si>
    <t>Pr_65_54_95_67</t>
  </si>
  <si>
    <t>Pressure surplussing valves</t>
  </si>
  <si>
    <t>90-20-80/375 Pressure surplussing valves;</t>
  </si>
  <si>
    <t>Pr_65_54_95_70</t>
  </si>
  <si>
    <t>Radiator valves</t>
  </si>
  <si>
    <t>90-10-90/362 Radiator valves;</t>
  </si>
  <si>
    <t>Pr_65_54_95_75</t>
  </si>
  <si>
    <t>Safety valves</t>
  </si>
  <si>
    <t>90-10-90/376 Safety valves;</t>
  </si>
  <si>
    <t>Pr_65_54_95_80</t>
  </si>
  <si>
    <t>Steel alloy check valves</t>
  </si>
  <si>
    <t>90-10-90/354 Steel alloy check valves;</t>
  </si>
  <si>
    <t>Pr_65_54_95_81</t>
  </si>
  <si>
    <t>Steel ball valves</t>
  </si>
  <si>
    <t>90-10-90/334 Cast iron or steel ball valves;</t>
  </si>
  <si>
    <t>Pr_65_54_95_82</t>
  </si>
  <si>
    <t>Steel globe valves</t>
  </si>
  <si>
    <t>90-10-90/338 Carbon steel globe valves;</t>
  </si>
  <si>
    <t>Pr_65_54_95_83</t>
  </si>
  <si>
    <t>Steel globe stop and check valves</t>
  </si>
  <si>
    <t>90-10-90/350 Carbon steel globe stop and check valves;</t>
  </si>
  <si>
    <t>Pr_65_54_95_86</t>
  </si>
  <si>
    <t>Thermostatic balancing valves</t>
  </si>
  <si>
    <t>Pr_65_54_95_87</t>
  </si>
  <si>
    <t>Tempering valves</t>
  </si>
  <si>
    <t>90-10-90/368 Tempering valves;</t>
  </si>
  <si>
    <t>Pr_65_54_95_88</t>
  </si>
  <si>
    <t>Thermostatic mixing valves</t>
  </si>
  <si>
    <t>90-10-90/370 Thermostatic mixing valves;</t>
  </si>
  <si>
    <t>Pr_65_54_95_89</t>
  </si>
  <si>
    <t>Thermostatic radiator valves</t>
  </si>
  <si>
    <t>90-10-90/364 Thermostatic radiator valves;</t>
  </si>
  <si>
    <t>Pr_65_54_95_90</t>
  </si>
  <si>
    <t>Three-way vent cocks</t>
  </si>
  <si>
    <t>90-10-90/378 Three-way vent cocks;</t>
  </si>
  <si>
    <t>Pr_65_54_95_92</t>
  </si>
  <si>
    <t>Underfloor heating and cooling manifolds</t>
  </si>
  <si>
    <t>90-10-60/390 Manifold for underfloor heating and cooling;</t>
  </si>
  <si>
    <t>Pr_65_54_95_94</t>
  </si>
  <si>
    <t>Verifiable backflow prevention devices</t>
  </si>
  <si>
    <t>90-10-90/318 Verifiable backflow preventer with reduced pressure zone (RPZ) valve;</t>
  </si>
  <si>
    <t>Pr_65_54_95_96</t>
  </si>
  <si>
    <t>Waterworks gate valves</t>
  </si>
  <si>
    <t>90-10-90/312 Gate valves for waterworks;</t>
  </si>
  <si>
    <t>Pr_65_55</t>
  </si>
  <si>
    <t>Liquid and gas distribution products</t>
  </si>
  <si>
    <t>Pr_65_55_62</t>
  </si>
  <si>
    <t>Phase change distribution products</t>
  </si>
  <si>
    <t>Pr_65_55_62_12</t>
  </si>
  <si>
    <t>Chlorine catchpots</t>
  </si>
  <si>
    <t>Pr_65_55_62_47</t>
  </si>
  <si>
    <t>Liquefied petroleum gas (LPG) vaporizers</t>
  </si>
  <si>
    <t>90-30-50/380 Vaporizers;</t>
  </si>
  <si>
    <t>Pr_65_55_76</t>
  </si>
  <si>
    <t>Separators</t>
  </si>
  <si>
    <t>Pr_65_55_76_04</t>
  </si>
  <si>
    <t>Austenitic stainless steel steam separators</t>
  </si>
  <si>
    <t>90-20-75/310 Austenitic stainless steel separators;</t>
  </si>
  <si>
    <t>Pr_65_55_76_11</t>
  </si>
  <si>
    <t>Carbon steel steam separators</t>
  </si>
  <si>
    <t>90-20-75/315 Carbon steel separators;</t>
  </si>
  <si>
    <t>Pr_65_55_76_12</t>
  </si>
  <si>
    <t>Cast iron steam separators</t>
  </si>
  <si>
    <t>90-20-75/320 Cast iron separators;</t>
  </si>
  <si>
    <t>Pr_65_55_76_13</t>
  </si>
  <si>
    <t>Centrifugal air separators</t>
  </si>
  <si>
    <t>90-10-60/350 Centrifugal air separators;</t>
  </si>
  <si>
    <t>Pr_65_55_76_15</t>
  </si>
  <si>
    <t>Combined air and dirt separators</t>
  </si>
  <si>
    <t>90-10-60/355 Combined air and dirt separators;</t>
  </si>
  <si>
    <t>Pr_65_55_76_22</t>
  </si>
  <si>
    <t>Dirt separators</t>
  </si>
  <si>
    <t>90-10-60/360 Dirt separators;</t>
  </si>
  <si>
    <t>Pr_65_55_76_58</t>
  </si>
  <si>
    <t>Oil and petrol separators</t>
  </si>
  <si>
    <t>90-05-20/314 Oil and petrol separator units;</t>
  </si>
  <si>
    <t>Pr_65_55_76_59</t>
  </si>
  <si>
    <t>Oil and water separators</t>
  </si>
  <si>
    <t>90-30-10/385 Oil/ water separators;</t>
  </si>
  <si>
    <t>Pr_65_55_76_77</t>
  </si>
  <si>
    <t>SG iron steam separators</t>
  </si>
  <si>
    <t>90-20-75/325 SG iron separators;</t>
  </si>
  <si>
    <t>Pr_65_55_76_84</t>
  </si>
  <si>
    <t>Stainless steel steam separators</t>
  </si>
  <si>
    <t>90-20-75/330 Stainless steel separators;</t>
  </si>
  <si>
    <t>Pr_65_55_76_96</t>
  </si>
  <si>
    <t>Water separators</t>
  </si>
  <si>
    <t>90-25-45/360 Water separators;</t>
  </si>
  <si>
    <t>Pr_65_55_84</t>
  </si>
  <si>
    <t>Steam and condensate distribution products</t>
  </si>
  <si>
    <t>Pr_65_55_84_50</t>
  </si>
  <si>
    <t>Steam manifolds</t>
  </si>
  <si>
    <t>Pr_65_55_84_75</t>
  </si>
  <si>
    <t>Sample coolers</t>
  </si>
  <si>
    <t>90-20-75/450 Sample coolers;</t>
  </si>
  <si>
    <t>Pr_65_55_84_94</t>
  </si>
  <si>
    <t>Vacuum breakers</t>
  </si>
  <si>
    <t>90-20-75/455 Vacuum breakers;</t>
  </si>
  <si>
    <t>Pr_65_55_85</t>
  </si>
  <si>
    <t>Steam and condensate recovery vessels</t>
  </si>
  <si>
    <t>Pr_65_55_85_08</t>
  </si>
  <si>
    <t>Blowdown vessels</t>
  </si>
  <si>
    <t>90-20-75/430 Blowdown vessels;</t>
  </si>
  <si>
    <t>Pr_65_55_85_30</t>
  </si>
  <si>
    <t>Flash steam recovery vessels</t>
  </si>
  <si>
    <t>90-20-75/440 Flash steam recovery vessels;</t>
  </si>
  <si>
    <t>Pr_65_55_85_85</t>
  </si>
  <si>
    <t>Steam feedtanks</t>
  </si>
  <si>
    <t>90-20-75/435 Feedtanks;</t>
  </si>
  <si>
    <t>Pr_65_55_86</t>
  </si>
  <si>
    <t>Steam traps and strainers</t>
  </si>
  <si>
    <t>Pr_65_55_86_05</t>
  </si>
  <si>
    <t>Angle steam strainers</t>
  </si>
  <si>
    <t>90-20-80/315 Angle strainers;</t>
  </si>
  <si>
    <t>Pr_65_55_86_06</t>
  </si>
  <si>
    <t>Balanced pressure steam traps</t>
  </si>
  <si>
    <t>90-20-75/335 Balanced pressure steam traps;</t>
  </si>
  <si>
    <t>Pr_65_55_86_07</t>
  </si>
  <si>
    <t>Ball float steam traps</t>
  </si>
  <si>
    <t>90-20-75/340 Ball float steam traps;</t>
  </si>
  <si>
    <t>Pr_65_55_86_08</t>
  </si>
  <si>
    <t>Bimetallic steam traps</t>
  </si>
  <si>
    <t>90-20-75/345 Bimetallic steam traps;</t>
  </si>
  <si>
    <t>Pr_65_55_86_42</t>
  </si>
  <si>
    <t>Inverted bucket steam traps</t>
  </si>
  <si>
    <t>90-20-75/350 Inverted bucket steam traps;</t>
  </si>
  <si>
    <t>Pr_65_55_86_88</t>
  </si>
  <si>
    <t>Thermodynamic steam traps</t>
  </si>
  <si>
    <t>90-20-75/355 Thermodynamic steam traps;</t>
  </si>
  <si>
    <t>Pr_65_55_86_89</t>
  </si>
  <si>
    <t>Thermostatic steam traps</t>
  </si>
  <si>
    <t>90-20-75/360 Thermostatic steam traps;</t>
  </si>
  <si>
    <t>Pr_65_55_86_99</t>
  </si>
  <si>
    <t>Y-type steam strainers</t>
  </si>
  <si>
    <t>90-20-80/320 Y-type strainers;</t>
  </si>
  <si>
    <t>Pr_65_55_96</t>
  </si>
  <si>
    <t>Washing products</t>
  </si>
  <si>
    <t>Pr_65_55_96_24</t>
  </si>
  <si>
    <t>Drive-through wheel wash</t>
  </si>
  <si>
    <t>90-15-85/320 Drive through wheel wash;</t>
  </si>
  <si>
    <t>Pr_65_55_96_72</t>
  </si>
  <si>
    <t>Roller wheel wash</t>
  </si>
  <si>
    <t>90-15-85/310 Roller wheel wash;</t>
  </si>
  <si>
    <t>Pr_65_55_96_96</t>
  </si>
  <si>
    <t>Wash plant</t>
  </si>
  <si>
    <t>90-15-85/330 Wash plant;</t>
  </si>
  <si>
    <t>Pr_65_57</t>
  </si>
  <si>
    <t>Filter products</t>
  </si>
  <si>
    <t>Pr_65_57_02</t>
  </si>
  <si>
    <t>Air filters</t>
  </si>
  <si>
    <t>Pr_65_57_02_02</t>
  </si>
  <si>
    <t>Activated carbon air filters</t>
  </si>
  <si>
    <t>90-45-10/310 Activated carbon filters;</t>
  </si>
  <si>
    <t>Pr_65_57_02_03</t>
  </si>
  <si>
    <t>Air gas and vapour cleaners</t>
  </si>
  <si>
    <t>Pr_65_57_02_04</t>
  </si>
  <si>
    <t>Air particle cleaners</t>
  </si>
  <si>
    <t>Pr_65_57_02_06</t>
  </si>
  <si>
    <t>Baffle grease air filters</t>
  </si>
  <si>
    <t>90-45-10/370 Primary grease filters;</t>
  </si>
  <si>
    <t>Pr_65_57_02_07</t>
  </si>
  <si>
    <t>Bag air filters</t>
  </si>
  <si>
    <t>90-45-10/380 Bag filters;</t>
  </si>
  <si>
    <t>Pr_65_57_02_11</t>
  </si>
  <si>
    <t>Cartridge grease air filters</t>
  </si>
  <si>
    <t>Pr_65_57_02_15</t>
  </si>
  <si>
    <t>Cold water mist grease air filters</t>
  </si>
  <si>
    <t>Pr_65_57_02_20</t>
  </si>
  <si>
    <t>Cyclone filters</t>
  </si>
  <si>
    <t>90-45-10/315 Cyclone filters;</t>
  </si>
  <si>
    <t>Pr_65_57_02_25</t>
  </si>
  <si>
    <t>Duct-mounted modular electrostatic air filters</t>
  </si>
  <si>
    <t>Pr_65_57_02_26</t>
  </si>
  <si>
    <t>Efficient particulate arrestor (EPA) air filters</t>
  </si>
  <si>
    <t>90-45-10/320 Efficient particulate arrestor (EPA) filters;</t>
  </si>
  <si>
    <t>Pr_65_57_02_28</t>
  </si>
  <si>
    <t>Electrostatic precipitators</t>
  </si>
  <si>
    <t>90-45-10/330 Electrostatic precipitators;</t>
  </si>
  <si>
    <t>Pr_65_57_02_29</t>
  </si>
  <si>
    <t>Fabric filters</t>
  </si>
  <si>
    <t>90-45-10/335 Fabric filters;</t>
  </si>
  <si>
    <t>Pr_65_57_02_37</t>
  </si>
  <si>
    <t>High efficiency particle arrestor (HEPA) air filters</t>
  </si>
  <si>
    <t>90-45-10/340 High efficiency particle arrestor (HEPA) filters;</t>
  </si>
  <si>
    <t>Pr_65_57_02_52</t>
  </si>
  <si>
    <t>Mesh air filters</t>
  </si>
  <si>
    <t>90-45-10/350 Mesh filters;</t>
  </si>
  <si>
    <t>Pr_65_57_02_66</t>
  </si>
  <si>
    <t>Panel air filters</t>
  </si>
  <si>
    <t>90-45-10/360 Panel filters;</t>
  </si>
  <si>
    <t>Pr_65_57_02_70</t>
  </si>
  <si>
    <t>Safe change filter changing units</t>
  </si>
  <si>
    <t>90-45-10/450 Safe change filter changing units;</t>
  </si>
  <si>
    <t>Pr_65_57_02_92</t>
  </si>
  <si>
    <t>Ultra low particle arrestor (ULPA) air filters</t>
  </si>
  <si>
    <t>90-45-10/400 Ultra low particle arrestor (ULPA) filters;</t>
  </si>
  <si>
    <t>Pr_65_57_02_93</t>
  </si>
  <si>
    <t>Ultraviolet light grease filters</t>
  </si>
  <si>
    <t>90-45-10/390 Secondary grease filters;</t>
  </si>
  <si>
    <t>Pr_65_57_02_96</t>
  </si>
  <si>
    <t>Water wash grease air filters</t>
  </si>
  <si>
    <t>Pr_65_57_02_97</t>
  </si>
  <si>
    <t>Wet scrubber filters</t>
  </si>
  <si>
    <t>90-45-10/480 Wet scrubber filters;</t>
  </si>
  <si>
    <t>Pr_65_57_33</t>
  </si>
  <si>
    <t>Gas and air filters</t>
  </si>
  <si>
    <t>Pr_65_57_33_02</t>
  </si>
  <si>
    <t>Activated carbon compressed air filters</t>
  </si>
  <si>
    <t>90-30-10/380 In line filters;</t>
  </si>
  <si>
    <t>Pr_65_57_33_15</t>
  </si>
  <si>
    <t>Coalescing compressed air filters</t>
  </si>
  <si>
    <t>Pr_65_57_33_25</t>
  </si>
  <si>
    <t>Dust compressed air filters</t>
  </si>
  <si>
    <t>Pr_65_57_33_33</t>
  </si>
  <si>
    <t>Gas filters</t>
  </si>
  <si>
    <t>90-30-35/350 Gas filters;</t>
  </si>
  <si>
    <t>Pr_65_57_58</t>
  </si>
  <si>
    <t>Oil filters and strainers</t>
  </si>
  <si>
    <t>Pr_65_57_58_58</t>
  </si>
  <si>
    <t>Oil filters</t>
  </si>
  <si>
    <t>90-25-45/330 Filters;</t>
  </si>
  <si>
    <t>Pr_65_57_58_59</t>
  </si>
  <si>
    <t>Oil strainers</t>
  </si>
  <si>
    <t>90-25-45/350 Strainers;</t>
  </si>
  <si>
    <t>Pr_65_57_85</t>
  </si>
  <si>
    <t>Swimming pool water filters and strainers</t>
  </si>
  <si>
    <t>Pr_65_57_85_06</t>
  </si>
  <si>
    <t>Basket filters</t>
  </si>
  <si>
    <t>90-15-75/360 Basket filters;</t>
  </si>
  <si>
    <t>Pr_65_57_85_07</t>
  </si>
  <si>
    <t>Basket strainers</t>
  </si>
  <si>
    <t>90-15-75/470 Strainers for pool water;</t>
  </si>
  <si>
    <t>Pr_65_57_85_12</t>
  </si>
  <si>
    <t>Cartridge pool water filters</t>
  </si>
  <si>
    <t>90-15-75/370 Cartridge filters;</t>
  </si>
  <si>
    <t>Pr_65_57_85_22</t>
  </si>
  <si>
    <t>Diatomaceous earth water filters</t>
  </si>
  <si>
    <t>90-15-75/380 Diatomaceous earth filters;</t>
  </si>
  <si>
    <t>Pr_65_57_85_33</t>
  </si>
  <si>
    <t>Glass media water filters</t>
  </si>
  <si>
    <t>90-15-75/465 Glass media filters;</t>
  </si>
  <si>
    <t>Pr_65_57_85_65</t>
  </si>
  <si>
    <t>Pressure water filters</t>
  </si>
  <si>
    <t>90-15-75/390 Pressure filters;</t>
  </si>
  <si>
    <t>Pr_65_57_85_70</t>
  </si>
  <si>
    <t>Regenerative water filters</t>
  </si>
  <si>
    <t>90-15-75/475 Regenerative filters;</t>
  </si>
  <si>
    <t>Pr_65_57_85_75</t>
  </si>
  <si>
    <t>Sand water filters</t>
  </si>
  <si>
    <t>90-15-75/460 Sand filters;</t>
  </si>
  <si>
    <t>Pr_65_57_95</t>
  </si>
  <si>
    <t>Water feature filters and strainers</t>
  </si>
  <si>
    <t>Pr_65_57_95_07</t>
  </si>
  <si>
    <t>Biological filters</t>
  </si>
  <si>
    <t>90-15-90/301 Biological filters;</t>
  </si>
  <si>
    <t>Pr_65_57_95_11</t>
  </si>
  <si>
    <t>Cartridge water filters</t>
  </si>
  <si>
    <t>90-15-90/305 Cartridge water filters;</t>
  </si>
  <si>
    <t>Pr_65_57_95_13</t>
  </si>
  <si>
    <t>Centrifugal particle separators</t>
  </si>
  <si>
    <t>90-15-90/307 Centrifugal separators;</t>
  </si>
  <si>
    <t>Pr_65_57_95_22</t>
  </si>
  <si>
    <t>Disc filters</t>
  </si>
  <si>
    <t>90-15-90/321 Disc filters;</t>
  </si>
  <si>
    <t>Pr_65_57_95_42</t>
  </si>
  <si>
    <t>Inline water filters</t>
  </si>
  <si>
    <t>90-15-90/325 Inline water filters;</t>
  </si>
  <si>
    <t>Pr_65_57_95_51</t>
  </si>
  <si>
    <t>Media water filters</t>
  </si>
  <si>
    <t>90-15-90/327 Media water filters;</t>
  </si>
  <si>
    <t>Pr_65_57_95_76</t>
  </si>
  <si>
    <t>Screen filters</t>
  </si>
  <si>
    <t>90-15-90/331 Screen filters;</t>
  </si>
  <si>
    <t>Pr_65_57_95_96</t>
  </si>
  <si>
    <t>Water strainers</t>
  </si>
  <si>
    <t>90-15-90/351 Water strainers;</t>
  </si>
  <si>
    <t>Pr_65_57_96</t>
  </si>
  <si>
    <t>Water filters and strainers</t>
  </si>
  <si>
    <t>Pr_65_57_96_02</t>
  </si>
  <si>
    <t>Activated carbon water filters</t>
  </si>
  <si>
    <t>Pr_65_57_96_03</t>
  </si>
  <si>
    <t>Active biological water filters</t>
  </si>
  <si>
    <t>90-15-95/440 Grey water filtration;</t>
  </si>
  <si>
    <t>Pr_65_57_96_04</t>
  </si>
  <si>
    <t>Angle water strainers</t>
  </si>
  <si>
    <t>90-10-60/400 Pipeline strainers;</t>
  </si>
  <si>
    <t>Pr_65_57_96_08</t>
  </si>
  <si>
    <t>Basket water strainers</t>
  </si>
  <si>
    <t>Pr_65_57_96_09</t>
  </si>
  <si>
    <t>Bottle brush water filters</t>
  </si>
  <si>
    <t>90-15-95/450 Rainwater harvesting filtration;</t>
  </si>
  <si>
    <t>Pr_65_57_96_11</t>
  </si>
  <si>
    <t>Canister water filters</t>
  </si>
  <si>
    <t>Pr_65_57_96_13</t>
  </si>
  <si>
    <t>Chlorine dioxide biological water filters</t>
  </si>
  <si>
    <t>Pr_65_57_96_16</t>
  </si>
  <si>
    <t>Conical water filters</t>
  </si>
  <si>
    <t>Pr_65_57_96_29</t>
  </si>
  <si>
    <t>Fast bed rapid sand water filters</t>
  </si>
  <si>
    <t>Pr_65_57_96_30</t>
  </si>
  <si>
    <t>Floating tank water filters</t>
  </si>
  <si>
    <t>Pr_65_57_96_34</t>
  </si>
  <si>
    <t>Granular activated carbon water filters</t>
  </si>
  <si>
    <t>Pr_65_57_96_35</t>
  </si>
  <si>
    <t>Gravel water filters</t>
  </si>
  <si>
    <t>Pr_65_57_96_52</t>
  </si>
  <si>
    <t>Membrane water filters</t>
  </si>
  <si>
    <t>Pr_65_57_96_53</t>
  </si>
  <si>
    <t>Mesh water filters</t>
  </si>
  <si>
    <t>Pr_65_57_96_62</t>
  </si>
  <si>
    <t>Pilot water filters</t>
  </si>
  <si>
    <t>Pr_65_57_96_70</t>
  </si>
  <si>
    <t>Rapid gravity water filters</t>
  </si>
  <si>
    <t>Pr_65_57_96_72</t>
  </si>
  <si>
    <t>Reed bed water filters</t>
  </si>
  <si>
    <t>Pr_65_57_96_77</t>
  </si>
  <si>
    <t>Side stream water filters</t>
  </si>
  <si>
    <t>90-15-95/370 Filtration units;</t>
  </si>
  <si>
    <t>Pr_65_57_96_79</t>
  </si>
  <si>
    <t>Slow bed sand water filters</t>
  </si>
  <si>
    <t>Pr_65_57_96_86</t>
  </si>
  <si>
    <t>Subsurface vortex water filters</t>
  </si>
  <si>
    <t>Pr_65_57_96_99</t>
  </si>
  <si>
    <t>Y-type water strainers</t>
  </si>
  <si>
    <t>Pr_65_65</t>
  </si>
  <si>
    <t>Ductwork products</t>
  </si>
  <si>
    <t>Pr_65_65_23</t>
  </si>
  <si>
    <t>Ductwork accessories</t>
  </si>
  <si>
    <t>Pr_65_65_23_20</t>
  </si>
  <si>
    <t>Duct access panels</t>
  </si>
  <si>
    <t>90-45-25/400 Access doors;</t>
  </si>
  <si>
    <t>Pr_65_65_23_25</t>
  </si>
  <si>
    <t>Ductwork access doorsets</t>
  </si>
  <si>
    <t>Pr_65_65_24</t>
  </si>
  <si>
    <t>Duct dampers</t>
  </si>
  <si>
    <t>Pr_65_65_24_16</t>
  </si>
  <si>
    <t>Constant volume boxes</t>
  </si>
  <si>
    <t>Pr_65_65_24_29</t>
  </si>
  <si>
    <t>Fire and smoke dampers</t>
  </si>
  <si>
    <t>90-45-25/420 Fire and smoke dampers;</t>
  </si>
  <si>
    <t>Pr_65_65_24_30</t>
  </si>
  <si>
    <t>Fire dampers</t>
  </si>
  <si>
    <t>Pr_65_65_24_42</t>
  </si>
  <si>
    <t>Intumescent fire and smoke dampers</t>
  </si>
  <si>
    <t>90-45-25/445 Intumescent fire and smoke dampers;</t>
  </si>
  <si>
    <t>Pr_65_65_24_56</t>
  </si>
  <si>
    <t>Non-return dampers</t>
  </si>
  <si>
    <t>90-45-25/460 Non-return dampers;</t>
  </si>
  <si>
    <t>Pr_65_65_24_66</t>
  </si>
  <si>
    <t>Pressure control flaps</t>
  </si>
  <si>
    <t>90-45-25/465 Pressure control flaps;</t>
  </si>
  <si>
    <t>Pr_65_65_24_68</t>
  </si>
  <si>
    <t>Pressure relief dampers</t>
  </si>
  <si>
    <t>90-45-25/470 Pressure relief dampers;</t>
  </si>
  <si>
    <t>Pr_65_65_24_78</t>
  </si>
  <si>
    <t>Shut off dampers</t>
  </si>
  <si>
    <t>90-45-25/480 Shut off dampers;</t>
  </si>
  <si>
    <t>Pr_65_65_24_80</t>
  </si>
  <si>
    <t>Smoke dampers</t>
  </si>
  <si>
    <t>90-45-25/482 Smoke dampers;</t>
  </si>
  <si>
    <t>Pr_65_65_24_93</t>
  </si>
  <si>
    <t>Variable air volume boxes</t>
  </si>
  <si>
    <t>90-45-25/490 VAV terminal units;</t>
  </si>
  <si>
    <t>Pr_65_65_24_95</t>
  </si>
  <si>
    <t>Volume control dampers</t>
  </si>
  <si>
    <t>Pr_65_65_25</t>
  </si>
  <si>
    <t>Ductwork and fittings</t>
  </si>
  <si>
    <t>Pr_65_65_25_13</t>
  </si>
  <si>
    <t>Circular plastics ductwork and fittings</t>
  </si>
  <si>
    <t>90-45-25/310 Circular plastics ductwork and fittings;</t>
  </si>
  <si>
    <t>Pr_65_65_25_14</t>
  </si>
  <si>
    <t>Circular sheet metal ductwork and fittings</t>
  </si>
  <si>
    <t>90-45-25/315 Circular sheet metal ductwork and fittings;</t>
  </si>
  <si>
    <t>Pr_65_65_25_23</t>
  </si>
  <si>
    <t>Domestic rigid ductwork and fittings</t>
  </si>
  <si>
    <t>90-45-25/380 Domestic rigid ductwork and fittings;</t>
  </si>
  <si>
    <t>Pr_65_65_25_28</t>
  </si>
  <si>
    <t>Fabric ductwork and fittings</t>
  </si>
  <si>
    <t>90-45-25/375 Fabric ductwork and fittings;</t>
  </si>
  <si>
    <t>Pr_65_65_25_30</t>
  </si>
  <si>
    <t>Fire resisting ductwork and fittings</t>
  </si>
  <si>
    <t>90-45-25/322 Fire resisting ductwork and fittings;</t>
  </si>
  <si>
    <t>Pr_65_65_25_31</t>
  </si>
  <si>
    <t>Flat oval sheet metal ductwork and fittings</t>
  </si>
  <si>
    <t>90-45-25/325 Flat oval sheet metal ductwork and fittings;</t>
  </si>
  <si>
    <t>Pr_65_65_25_32</t>
  </si>
  <si>
    <t>Flexible ductwork</t>
  </si>
  <si>
    <t>90-45-25/430 Flexible ductwork;</t>
  </si>
  <si>
    <t>Pr_65_65_25_34</t>
  </si>
  <si>
    <t>Glass fibre ductwork and fittings</t>
  </si>
  <si>
    <t>90-45-25/330 Glass fibre ductwork and fittings;</t>
  </si>
  <si>
    <t>Pr_65_65_25_64</t>
  </si>
  <si>
    <t>Pre-insulated ductwork and fittings</t>
  </si>
  <si>
    <t>90-45-25/350 Pre-insulated ductwork and fittings;</t>
  </si>
  <si>
    <t>Pr_65_65_25_71</t>
  </si>
  <si>
    <t>Rectangular plastics ductwork and fittings</t>
  </si>
  <si>
    <t>90-45-25/360 Rectangular plastics ductwork and fittings;</t>
  </si>
  <si>
    <t>Pr_65_65_25_72</t>
  </si>
  <si>
    <t>Rectangular sheet metal ductwork and fittings</t>
  </si>
  <si>
    <t>90-45-25/365 Rectangular sheet metal ductwork and fittings;</t>
  </si>
  <si>
    <t>Pr_65_65_25_77</t>
  </si>
  <si>
    <t>Smoke extract ductwork</t>
  </si>
  <si>
    <t>90-45-25/370 Smoke extract ductwork;</t>
  </si>
  <si>
    <t>Pr_65_67</t>
  </si>
  <si>
    <t>Air and fume distribution products</t>
  </si>
  <si>
    <t>Pr_65_67_16</t>
  </si>
  <si>
    <t>Compressed air products</t>
  </si>
  <si>
    <t>Pr_65_67_16_02</t>
  </si>
  <si>
    <t>Air compressors</t>
  </si>
  <si>
    <t>90-30-10/335 Compressors;</t>
  </si>
  <si>
    <t>Pr_65_67_16_03</t>
  </si>
  <si>
    <t>Air-cooled aftercoolers</t>
  </si>
  <si>
    <t>90-30-10/310 Air cooled aftercoolers;</t>
  </si>
  <si>
    <t>Pr_65_67_16_04</t>
  </si>
  <si>
    <t>Air preparation units</t>
  </si>
  <si>
    <t>90-30-10/320 Air preparation units;</t>
  </si>
  <si>
    <t>Pr_65_67_16_05</t>
  </si>
  <si>
    <t>Air receivers</t>
  </si>
  <si>
    <t>90-30-10/325 Air receivers;</t>
  </si>
  <si>
    <t>Pr_65_67_16_08</t>
  </si>
  <si>
    <t>Blow protectors</t>
  </si>
  <si>
    <t>90-30-10/330 Blow protectors;</t>
  </si>
  <si>
    <t>Pr_65_67_16_22</t>
  </si>
  <si>
    <t>Desiccant air dryers</t>
  </si>
  <si>
    <t>90-30-10/350 Desiccant dryers;</t>
  </si>
  <si>
    <t>Pr_65_67_16_50</t>
  </si>
  <si>
    <t>Medical gas compressors</t>
  </si>
  <si>
    <t>90-30-55/316 Compressors;</t>
  </si>
  <si>
    <t>Pr_65_67_16_71</t>
  </si>
  <si>
    <t>Refrigerant air dryers</t>
  </si>
  <si>
    <t>90-30-10/355 Refrigerant dryers;</t>
  </si>
  <si>
    <t>Pr_65_67_16_96</t>
  </si>
  <si>
    <t>Water-cooled aftercoolers</t>
  </si>
  <si>
    <t>90-30-10/315 Water cooled aftercoolers;</t>
  </si>
  <si>
    <t>Pr_65_67_22</t>
  </si>
  <si>
    <t>De-aerators</t>
  </si>
  <si>
    <t>Pr_65_67_22_47</t>
  </si>
  <si>
    <t>Liquid fuel de-aerators</t>
  </si>
  <si>
    <t>90-25-45/320 De-aeration devices;</t>
  </si>
  <si>
    <t>Pr_65_67_22_66</t>
  </si>
  <si>
    <t>Pressure differential de-aerators</t>
  </si>
  <si>
    <t>90-10-60/340 Pressure differential de-aerators;</t>
  </si>
  <si>
    <t>Pr_65_67_22_88</t>
  </si>
  <si>
    <t>Temperature differential de-aerators</t>
  </si>
  <si>
    <t>90-10-60/345 Temperature differential de-aerators;</t>
  </si>
  <si>
    <t>Pr_65_67_28</t>
  </si>
  <si>
    <t>Expansion compensators</t>
  </si>
  <si>
    <t>Pr_65_67_28_03</t>
  </si>
  <si>
    <t>Angular expansion compensators</t>
  </si>
  <si>
    <t>90-10-60/320 Angular expansion compensators;</t>
  </si>
  <si>
    <t>Pr_65_67_28_05</t>
  </si>
  <si>
    <t>Axial expansion compensators</t>
  </si>
  <si>
    <t>90-10-60/325 Axial expansion compensators;</t>
  </si>
  <si>
    <t>Pr_65_67_28_46</t>
  </si>
  <si>
    <t>Lateral expansion compensators</t>
  </si>
  <si>
    <t>90-10-60/330 Lateral expansion compensators;</t>
  </si>
  <si>
    <t>Pr_65_67_29</t>
  </si>
  <si>
    <t>Fans</t>
  </si>
  <si>
    <t>Pr_65_67_29_05</t>
  </si>
  <si>
    <t>Axial flow fans</t>
  </si>
  <si>
    <t>90-45-30/310 Axial flow fans;</t>
  </si>
  <si>
    <t>Pr_65_67_29_09</t>
  </si>
  <si>
    <t>Bifurcated fans</t>
  </si>
  <si>
    <t>Pr_65_67_29_12</t>
  </si>
  <si>
    <t>Centrifugal fans</t>
  </si>
  <si>
    <t>90-45-30/320 Centrifugal fans;</t>
  </si>
  <si>
    <t>Pr_65_67_29_23</t>
  </si>
  <si>
    <t>Domestic fan units</t>
  </si>
  <si>
    <t>90-45-30/400 Domestic fan units;</t>
  </si>
  <si>
    <t>Pr_65_67_29_24</t>
  </si>
  <si>
    <t>Domestic multipoint fan units</t>
  </si>
  <si>
    <t>90-45-30/410 Domestic multipoint fan units;</t>
  </si>
  <si>
    <t>Pr_65_67_29_44</t>
  </si>
  <si>
    <t>Jet fans</t>
  </si>
  <si>
    <t>90-45-30/330 Jet fans;</t>
  </si>
  <si>
    <t>Pr_65_67_29_52</t>
  </si>
  <si>
    <t>Mixed flow fans</t>
  </si>
  <si>
    <t>90-45-30/340 Mixed flow fans;</t>
  </si>
  <si>
    <t>Pr_65_67_29_62</t>
  </si>
  <si>
    <t>Plug fans</t>
  </si>
  <si>
    <t>90-45-30/390 Plug fans;</t>
  </si>
  <si>
    <t>Pr_65_67_29_64</t>
  </si>
  <si>
    <t>Powered smoke and heat exhaust ventilators</t>
  </si>
  <si>
    <t>90-45-30/370 Powered smoke and heat control ventilators;</t>
  </si>
  <si>
    <t>Pr_65_67_29_67</t>
  </si>
  <si>
    <t>Propeller fans</t>
  </si>
  <si>
    <t>90-45-30/350 Propeller fans;</t>
  </si>
  <si>
    <t>Pr_65_67_29_72</t>
  </si>
  <si>
    <t>Roof mounted fans</t>
  </si>
  <si>
    <t>90-45-30/360 Roof mounted fans;</t>
  </si>
  <si>
    <t>Pr_65_67_29_80</t>
  </si>
  <si>
    <t>Smoke extract fans</t>
  </si>
  <si>
    <t>Pr_65_67_29_88</t>
  </si>
  <si>
    <t>Twin axial fans</t>
  </si>
  <si>
    <t>Pr_65_67_29_89</t>
  </si>
  <si>
    <t>Twin centrifugal fans</t>
  </si>
  <si>
    <t>90-45-30/380 Toilet extract fans;</t>
  </si>
  <si>
    <t>Pr_65_67_29_96</t>
  </si>
  <si>
    <t>Whole dwelling fan units</t>
  </si>
  <si>
    <t>90-45-30/420 Whole dwelling fan units;</t>
  </si>
  <si>
    <t>Pr_65_67_39</t>
  </si>
  <si>
    <t>Humidifiers and dehumidifiers</t>
  </si>
  <si>
    <t>Pr_65_67_39_22</t>
  </si>
  <si>
    <t>Desiccant dehumidifiers</t>
  </si>
  <si>
    <t>90-45-55/340 Desiccant dehumidifiers;</t>
  </si>
  <si>
    <t>Pr_65_67_39_28</t>
  </si>
  <si>
    <t>Evaporative humidifiers</t>
  </si>
  <si>
    <t>90-45-55/310 Evaporative humidifiers;</t>
  </si>
  <si>
    <t>Pr_65_67_39_84</t>
  </si>
  <si>
    <t>Steam humidifiers</t>
  </si>
  <si>
    <t>90-45-55/320 Steam humidifiers;</t>
  </si>
  <si>
    <t>Pr_65_67_39_96</t>
  </si>
  <si>
    <t>Water atomizing humidifiers</t>
  </si>
  <si>
    <t>90-45-55/330 Water atomizing humidifiers;</t>
  </si>
  <si>
    <t>Pr_65_67_46</t>
  </si>
  <si>
    <t>Laboratory gas products</t>
  </si>
  <si>
    <t>Pr_65_67_46_56</t>
  </si>
  <si>
    <t>Nitrogen receivers</t>
  </si>
  <si>
    <t>Pr_65_67_78</t>
  </si>
  <si>
    <t>Sound attenuators</t>
  </si>
  <si>
    <t>Pr_65_67_78_02</t>
  </si>
  <si>
    <t>Acoustic duct linings</t>
  </si>
  <si>
    <t>90-45-75/350 Acoustic linings;</t>
  </si>
  <si>
    <t>Pr_65_67_78_05</t>
  </si>
  <si>
    <t>Air transfer and cross talk attenuators</t>
  </si>
  <si>
    <t>90-45-75/310 Air transfer and cross talk attenuators;</t>
  </si>
  <si>
    <t>Pr_65_67_78_07</t>
  </si>
  <si>
    <t>Attenuated openings</t>
  </si>
  <si>
    <t>Pr_65_67_78_12</t>
  </si>
  <si>
    <t>Circular attenuators</t>
  </si>
  <si>
    <t>90-45-75/320 Circular silencers;</t>
  </si>
  <si>
    <t>Pr_65_67_78_72</t>
  </si>
  <si>
    <t>Rectangular attenuators</t>
  </si>
  <si>
    <t>90-45-75/330 Rectangular silencers;</t>
  </si>
  <si>
    <t>Pr_65_67_94</t>
  </si>
  <si>
    <t>Vehicle exhaust distribution products</t>
  </si>
  <si>
    <t>Pr_65_67_94_25</t>
  </si>
  <si>
    <t>Ducted rail tracks</t>
  </si>
  <si>
    <t>90-45-95/360 Rail tracks;</t>
  </si>
  <si>
    <t>Pr_65_67_94_76</t>
  </si>
  <si>
    <t>Self-sealing floor plates</t>
  </si>
  <si>
    <t>90-45-95/370 Self-sealing floor plates;</t>
  </si>
  <si>
    <t>Pr_65_70</t>
  </si>
  <si>
    <t>Cables, conductors and fittings products</t>
  </si>
  <si>
    <t>Pr_65_70_11</t>
  </si>
  <si>
    <t>Cable management and accessories</t>
  </si>
  <si>
    <t>Pr_65_70_11_02</t>
  </si>
  <si>
    <t>Cable assemblies</t>
  </si>
  <si>
    <t>Pr_65_70_11_09</t>
  </si>
  <si>
    <t>Buried conduit</t>
  </si>
  <si>
    <t>90-55-10-350 Buried conduit;</t>
  </si>
  <si>
    <t>Pr_65_70_11_10</t>
  </si>
  <si>
    <t>Cable brackets</t>
  </si>
  <si>
    <t>Pr_65_70_11_11</t>
  </si>
  <si>
    <t>Cable bands</t>
  </si>
  <si>
    <t>90-55-10/320 Cable bands;</t>
  </si>
  <si>
    <t>Pr_65_70_11_12</t>
  </si>
  <si>
    <t>Cable baskets</t>
  </si>
  <si>
    <t>90-55-10/325 Cable baskets;</t>
  </si>
  <si>
    <t>Pr_65_70_11_13</t>
  </si>
  <si>
    <t>Cable cleats</t>
  </si>
  <si>
    <t>90-55-10/310 Cable cleats;</t>
  </si>
  <si>
    <t>Pr_65_70_11_14</t>
  </si>
  <si>
    <t>Cable ladders</t>
  </si>
  <si>
    <t>90-55-10/330 Cable ladders;</t>
  </si>
  <si>
    <t>Pr_65_70_11_15</t>
  </si>
  <si>
    <t>Cable ties</t>
  </si>
  <si>
    <t>90-55-10/315 Cable ties;</t>
  </si>
  <si>
    <t>Pr_65_70_11_16</t>
  </si>
  <si>
    <t>Cable troughs</t>
  </si>
  <si>
    <t>90-55-10/475 Cable trough;</t>
  </si>
  <si>
    <t>Pr_65_70_11_17</t>
  </si>
  <si>
    <t>Cable trays</t>
  </si>
  <si>
    <t>90-55-10/335 Cable trays;</t>
  </si>
  <si>
    <t>Pr_65_70_11_18</t>
  </si>
  <si>
    <t>Cable trunking</t>
  </si>
  <si>
    <t>90-55-10/410 Cable trunking and cable ducting systems;</t>
  </si>
  <si>
    <t>Pr_65_70_11_19</t>
  </si>
  <si>
    <t>Channel cable supports</t>
  </si>
  <si>
    <t>90-55-10/305 Channel cable supports;</t>
  </si>
  <si>
    <t>Pr_65_70_11_20</t>
  </si>
  <si>
    <t>Conduit fittings</t>
  </si>
  <si>
    <t>90-55-10/460 Conduit fittings;</t>
  </si>
  <si>
    <t>Pr_65_70_11_25</t>
  </si>
  <si>
    <t>Duct banks</t>
  </si>
  <si>
    <t>90-55-10-480 Duct bank;</t>
  </si>
  <si>
    <t>Pr_65_70_11_29</t>
  </si>
  <si>
    <t>Flexible electrical cable carriers</t>
  </si>
  <si>
    <t>Pr_65_70_11_30</t>
  </si>
  <si>
    <t>Flexible conduit</t>
  </si>
  <si>
    <t>90-55-10/360 Flexible conduit;</t>
  </si>
  <si>
    <t>Pr_65_70_11_31</t>
  </si>
  <si>
    <t>Floor cable trunking and ducting</t>
  </si>
  <si>
    <t>90-55-10-420 Floor cable trunking and cable ducting systems;</t>
  </si>
  <si>
    <t>Pr_65_70_11_34</t>
  </si>
  <si>
    <t>Cable glands</t>
  </si>
  <si>
    <t>Pr_65_70_11_41</t>
  </si>
  <si>
    <t>Insulating cable trays</t>
  </si>
  <si>
    <t>Pr_65_70_11_47</t>
  </si>
  <si>
    <t>Lighting busbar trunking</t>
  </si>
  <si>
    <t>90-50-45/310 Lighting busbar trunking;</t>
  </si>
  <si>
    <t>Pr_65_70_11_61</t>
  </si>
  <si>
    <t>Perimeter trunking</t>
  </si>
  <si>
    <t>90-55-10/390 Proprietary trunking;</t>
  </si>
  <si>
    <t>Pr_65_70_11_62</t>
  </si>
  <si>
    <t>Plastic ducts for buried electric cables</t>
  </si>
  <si>
    <t>Pr_65_70_11_63</t>
  </si>
  <si>
    <t>Pliable conduit</t>
  </si>
  <si>
    <t>90-55-10/370 Pliable conduit;</t>
  </si>
  <si>
    <t>Pr_65_70_11_64</t>
  </si>
  <si>
    <t>Points heating harnesses</t>
  </si>
  <si>
    <t>Pr_65_70_11_65</t>
  </si>
  <si>
    <t>Polyvinyl chloride (PVC) trunking</t>
  </si>
  <si>
    <t>90-55-10/385 PVC trunking;</t>
  </si>
  <si>
    <t>Pr_65_70_11_70</t>
  </si>
  <si>
    <t>Raised access floor service outlets</t>
  </si>
  <si>
    <t>Pr_65_70_11_71</t>
  </si>
  <si>
    <t>Rigid conduit</t>
  </si>
  <si>
    <t>90-55-10/380 Rigid conduit;</t>
  </si>
  <si>
    <t>Pr_65_70_11_75</t>
  </si>
  <si>
    <t>Service outlet boxes</t>
  </si>
  <si>
    <t>90-55-10/430 Service outlet boxes;</t>
  </si>
  <si>
    <t>Pr_65_70_11_76</t>
  </si>
  <si>
    <t>Service outlet poles</t>
  </si>
  <si>
    <t>90-55-10/440 Service outlet poles;</t>
  </si>
  <si>
    <t>Pr_65_70_11_79</t>
  </si>
  <si>
    <t>Slotted cable trunking</t>
  </si>
  <si>
    <t>90-55-10/400 Slotted cable trunking;</t>
  </si>
  <si>
    <t>Pr_65_70_11_80</t>
  </si>
  <si>
    <t>Slotted insulating cable trays</t>
  </si>
  <si>
    <t>Pr_65_70_12</t>
  </si>
  <si>
    <t>Cable protection products</t>
  </si>
  <si>
    <t>Pr_65_70_12_04</t>
  </si>
  <si>
    <t>Anti-vandal cable guards</t>
  </si>
  <si>
    <t>90-55-15/305 Anti-vandal capping;</t>
  </si>
  <si>
    <t>Pr_65_70_12_11</t>
  </si>
  <si>
    <t>Cable capping</t>
  </si>
  <si>
    <t>90-55-15/307 Cable capping;</t>
  </si>
  <si>
    <t>Pr_65_70_12_92</t>
  </si>
  <si>
    <t>Underground concrete cable protection covers</t>
  </si>
  <si>
    <t>90-90-55/455 Underground concrete cable protection covers;</t>
  </si>
  <si>
    <t>Pr_65_70_12_94</t>
  </si>
  <si>
    <t>Underground plastics cable protection covers</t>
  </si>
  <si>
    <t>Pr_65_70_13</t>
  </si>
  <si>
    <t>Cathodic protection products</t>
  </si>
  <si>
    <t>Pr_65_70_13_08</t>
  </si>
  <si>
    <t>Bulk anodes</t>
  </si>
  <si>
    <t>90-75-07/340 Bulk anode;</t>
  </si>
  <si>
    <t>Pr_65_70_13_50</t>
  </si>
  <si>
    <t>Mesh anodes</t>
  </si>
  <si>
    <t>90-75-07/310 Mesh anode;</t>
  </si>
  <si>
    <t>Pr_65_70_13_72</t>
  </si>
  <si>
    <t>Rod anodes</t>
  </si>
  <si>
    <t>90-75-07/330 Rod anode;</t>
  </si>
  <si>
    <t>Pr_65_70_13_85</t>
  </si>
  <si>
    <t>Sheet anodes</t>
  </si>
  <si>
    <t>90-75-07/320 Sheet anode;</t>
  </si>
  <si>
    <t>Pr_65_70_15</t>
  </si>
  <si>
    <t>Communications cables and accessories</t>
  </si>
  <si>
    <t>Pr_65_70_15_03</t>
  </si>
  <si>
    <t>Armoured coaxial communications cables</t>
  </si>
  <si>
    <t>Pr_65_70_15_04</t>
  </si>
  <si>
    <t>Armoured communications cables</t>
  </si>
  <si>
    <t>90-55-15/400 Armoured communications cables;</t>
  </si>
  <si>
    <t>Pr_65_70_15_06</t>
  </si>
  <si>
    <t>Balanced twisted-pair cables</t>
  </si>
  <si>
    <t>90-55-15/405 Balanced twisted-pair cables;</t>
  </si>
  <si>
    <t>Pr_65_70_15_13</t>
  </si>
  <si>
    <t>Coaxial cables</t>
  </si>
  <si>
    <t>90-55-15/410 Coaxial cables;</t>
  </si>
  <si>
    <t>Pr_65_70_15_15</t>
  </si>
  <si>
    <t>Copper cable connectors</t>
  </si>
  <si>
    <t>Pr_65_70_15_16</t>
  </si>
  <si>
    <t>Copper cable terminations</t>
  </si>
  <si>
    <t>Pr_65_70_15_17</t>
  </si>
  <si>
    <t>Copper voice cables</t>
  </si>
  <si>
    <t>90-55-15/415 Copper voice cables;</t>
  </si>
  <si>
    <t>Pr_65_70_15_18</t>
  </si>
  <si>
    <t>Copper voice (LSF) cables</t>
  </si>
  <si>
    <t>Pr_65_70_15_32</t>
  </si>
  <si>
    <t>Functional earth cables</t>
  </si>
  <si>
    <t>Pr_65_70_15_50</t>
  </si>
  <si>
    <t>Microphone cables</t>
  </si>
  <si>
    <t>90-55-15/430 Microphone cables;</t>
  </si>
  <si>
    <t>Pr_65_70_15_53</t>
  </si>
  <si>
    <t>Multicore alarm cables</t>
  </si>
  <si>
    <t>90-55-15/432 Multicore alarm cables;</t>
  </si>
  <si>
    <t>Pr_65_70_15_58</t>
  </si>
  <si>
    <t>Optical fibre cables</t>
  </si>
  <si>
    <t>90-55-15/434 Optical fibre cables;</t>
  </si>
  <si>
    <t>Pr_65_70_15_59</t>
  </si>
  <si>
    <t>Optical fibre cable connectors</t>
  </si>
  <si>
    <t>Pr_65_70_15_60</t>
  </si>
  <si>
    <t>Optical fibre patch cords</t>
  </si>
  <si>
    <t>90-55-15/420 Fibre optic patch cords;</t>
  </si>
  <si>
    <t>Pr_65_70_15_62</t>
  </si>
  <si>
    <t>Optical fibre splice boxes</t>
  </si>
  <si>
    <t>Pr_65_70_15_63</t>
  </si>
  <si>
    <t>Optical fibre cable terminations</t>
  </si>
  <si>
    <t>Pr_65_70_15_70</t>
  </si>
  <si>
    <t>Radio frequency (RF) transmission cables</t>
  </si>
  <si>
    <t>Pr_65_70_15_80</t>
  </si>
  <si>
    <t>Speaker cables</t>
  </si>
  <si>
    <t>90-55-15/436 Speaker cables;</t>
  </si>
  <si>
    <t>Pr_65_70_15_96</t>
  </si>
  <si>
    <t>Work area and patch cord cables</t>
  </si>
  <si>
    <t>90-55-15/440 Work area and patch cord cables;</t>
  </si>
  <si>
    <t>Pr_65_70_16</t>
  </si>
  <si>
    <t>Conductor rail ancillaries</t>
  </si>
  <si>
    <t>Pr_65_70_16_03</t>
  </si>
  <si>
    <t>Anchor struts</t>
  </si>
  <si>
    <t>Pr_65_70_16_08</t>
  </si>
  <si>
    <t>Composite insulators</t>
  </si>
  <si>
    <t>45-70-74/315 Composite insulator;</t>
  </si>
  <si>
    <t>Pr_65_70_16_10</t>
  </si>
  <si>
    <t>Conductor rail anchors</t>
  </si>
  <si>
    <t>Pr_65_70_16_12</t>
  </si>
  <si>
    <t>Conductor rail cover boards</t>
  </si>
  <si>
    <t>45-70-74/325 Third rail cover board;</t>
  </si>
  <si>
    <t>Pr_65_70_16_15</t>
  </si>
  <si>
    <t>Conductor rail guard boards</t>
  </si>
  <si>
    <t>Pr_65_70_16_16</t>
  </si>
  <si>
    <t>Conductor rail insulators</t>
  </si>
  <si>
    <t>Pr_65_70_16_17</t>
  </si>
  <si>
    <t>Conductor rail side ramps</t>
  </si>
  <si>
    <t>Pr_65_70_16_20</t>
  </si>
  <si>
    <t>Conductor rail supports</t>
  </si>
  <si>
    <t>45-70-74/320 Insulated third rail support;</t>
  </si>
  <si>
    <t>Pr_65_70_16_28</t>
  </si>
  <si>
    <t>Eutectic strips</t>
  </si>
  <si>
    <t>Pr_65_70_16_34</t>
  </si>
  <si>
    <t>Glass reinforced nylon insulators</t>
  </si>
  <si>
    <t>45-70-74/310 Glass reinforced nylon insulator;</t>
  </si>
  <si>
    <t>Pr_65_70_16_57</t>
  </si>
  <si>
    <t>Nylon insulators</t>
  </si>
  <si>
    <t>45-70-74/305 Nylon insulator;</t>
  </si>
  <si>
    <t>Pr_65_70_36</t>
  </si>
  <si>
    <t>High voltage cables</t>
  </si>
  <si>
    <t>Pr_65_70_36_34</t>
  </si>
  <si>
    <t>High voltage cold shrink cable joints</t>
  </si>
  <si>
    <t>90-55-20-350 High voltage cold shrink cable joints;</t>
  </si>
  <si>
    <t>Pr_65_70_36_35</t>
  </si>
  <si>
    <t>High voltage extruded insulation cable terminations</t>
  </si>
  <si>
    <t>90-55-20-340 High voltage cable terminations for extruded insulation cables;</t>
  </si>
  <si>
    <t>Pr_65_70_36_36</t>
  </si>
  <si>
    <t>High voltage paper insulated cable terminations</t>
  </si>
  <si>
    <t>90-55-20-345 High voltage cable terminations for paper insulated cables;</t>
  </si>
  <si>
    <t>Pr_65_70_36_37</t>
  </si>
  <si>
    <t>High voltage power cables with extruded insulation</t>
  </si>
  <si>
    <t>90-55-20/315 High voltage power cables with extruded insulation;</t>
  </si>
  <si>
    <t>Pr_65_70_36_38</t>
  </si>
  <si>
    <t>High voltage power cables with low smoke thermosetting insulation</t>
  </si>
  <si>
    <t>90-55-20/320 High voltage power cables with low smoke thermosetting insulation;</t>
  </si>
  <si>
    <t>Pr_65_70_36_39</t>
  </si>
  <si>
    <t>High voltage power cables with impregnated paper insulation lead alloy sheath</t>
  </si>
  <si>
    <t>90-55-20/330 Paper insulated high voltage power cables;</t>
  </si>
  <si>
    <t>Pr_65_70_36_40</t>
  </si>
  <si>
    <t>High voltage power cables with thermosetting insulation</t>
  </si>
  <si>
    <t>90-55-20/325 High voltage power cables with thermosetting insulation;</t>
  </si>
  <si>
    <t>Pr_65_70_42</t>
  </si>
  <si>
    <t>Insulators</t>
  </si>
  <si>
    <t>Pr_65_70_42_26</t>
  </si>
  <si>
    <t>Deadend insulators</t>
  </si>
  <si>
    <t>Pr_65_70_42_36</t>
  </si>
  <si>
    <t>High voltage pin insulators</t>
  </si>
  <si>
    <t>Pr_65_70_42_46</t>
  </si>
  <si>
    <t>Line post insulators</t>
  </si>
  <si>
    <t>Pr_65_70_42_47</t>
  </si>
  <si>
    <t>Longrod insulators</t>
  </si>
  <si>
    <t>Pr_65_70_42_48</t>
  </si>
  <si>
    <t>Low voltage pin insulators</t>
  </si>
  <si>
    <t>Pr_65_70_42_77</t>
  </si>
  <si>
    <t>Shackle insulators</t>
  </si>
  <si>
    <t>Pr_65_70_42_82</t>
  </si>
  <si>
    <t>Spool insulators</t>
  </si>
  <si>
    <t>Pr_65_70_42_83</t>
  </si>
  <si>
    <t>Station post insulators</t>
  </si>
  <si>
    <t>Pr_65_70_42_84</t>
  </si>
  <si>
    <t>Stay insulators</t>
  </si>
  <si>
    <t>Pr_65_70_42_85</t>
  </si>
  <si>
    <t>Strain insulators</t>
  </si>
  <si>
    <t>Pr_65_70_42_86</t>
  </si>
  <si>
    <t>Suspension insulators</t>
  </si>
  <si>
    <t>Pr_65_70_46</t>
  </si>
  <si>
    <t>Lightning protection and earthing components</t>
  </si>
  <si>
    <t>Pr_65_70_46_01</t>
  </si>
  <si>
    <t>Air terminals</t>
  </si>
  <si>
    <t>90-75-50/370 Air terminals;</t>
  </si>
  <si>
    <t>Pr_65_70_46_03</t>
  </si>
  <si>
    <t>Aluminium earth tapes</t>
  </si>
  <si>
    <t>90-75-50/380 Aluminium tape;</t>
  </si>
  <si>
    <t>Pr_65_70_46_04</t>
  </si>
  <si>
    <t>Aluminium rod lightning conductors</t>
  </si>
  <si>
    <t>90-75-50/400 Aluminium solid circular conductors;</t>
  </si>
  <si>
    <t>Pr_65_70_46_14</t>
  </si>
  <si>
    <t>Copper earth tapes</t>
  </si>
  <si>
    <t>90-75-50/390 Copper tape;</t>
  </si>
  <si>
    <t>Pr_65_70_46_15</t>
  </si>
  <si>
    <t>Copper solid circular lightning conductors</t>
  </si>
  <si>
    <t>90-75-50/420 Copper solid circular conductors;</t>
  </si>
  <si>
    <t>Pr_65_70_46_24</t>
  </si>
  <si>
    <t>Earth bars</t>
  </si>
  <si>
    <t>90-75-50/310 Earth bars;</t>
  </si>
  <si>
    <t>Pr_65_70_46_25</t>
  </si>
  <si>
    <t>Earth plates</t>
  </si>
  <si>
    <t>90-75-50/320 Earth plates;</t>
  </si>
  <si>
    <t>Pr_65_70_46_26</t>
  </si>
  <si>
    <t>Earth rod inspection pits</t>
  </si>
  <si>
    <t>90-75-50/340 Earth rod inspection pits;</t>
  </si>
  <si>
    <t>Pr_65_70_46_27</t>
  </si>
  <si>
    <t>Earth rods</t>
  </si>
  <si>
    <t>90-75-50/330 Earth rods;</t>
  </si>
  <si>
    <t>Pr_65_70_46_29</t>
  </si>
  <si>
    <t>Earthing clamps</t>
  </si>
  <si>
    <t>90-75-50/350 Earthing and bonding clamps;</t>
  </si>
  <si>
    <t>Pr_65_70_46_30</t>
  </si>
  <si>
    <t>Earthing conductors</t>
  </si>
  <si>
    <t>Pr_65_70_46_32</t>
  </si>
  <si>
    <t>Flexible braids</t>
  </si>
  <si>
    <t>90-75-50/395 Flexible braid;</t>
  </si>
  <si>
    <t>Pr_65_70_46_46</t>
  </si>
  <si>
    <t>Lightning protection conductor clamps</t>
  </si>
  <si>
    <t>90-75-50-430 Lightning protection conductor clamps;</t>
  </si>
  <si>
    <t>Pr_65_70_46_47</t>
  </si>
  <si>
    <t>Lightning protection conductor metallic direct contact clips</t>
  </si>
  <si>
    <t>90-75-50-440 Lightning protection conductor metallic direct contact clips;</t>
  </si>
  <si>
    <t>Pr_65_70_46_48</t>
  </si>
  <si>
    <t>Lightning protection conductor non-metallic direct contact clips</t>
  </si>
  <si>
    <t>90-75-50-450 Lightning protection conductor non-metallic direct contact clips;</t>
  </si>
  <si>
    <t>Pr_65_70_46_80</t>
  </si>
  <si>
    <t>Soil conditioning conductive agents</t>
  </si>
  <si>
    <t>90-75-50/460 Soil conditioning agents;</t>
  </si>
  <si>
    <t>Pr_65_70_48</t>
  </si>
  <si>
    <t>Low voltage cables</t>
  </si>
  <si>
    <t>Pr_65_70_48_13</t>
  </si>
  <si>
    <t>Crosslinked EVA insulated single core non-sheathed cables</t>
  </si>
  <si>
    <t>90-55-15/342 Single core non-sheathed cables with crosslinked EVA insulation;</t>
  </si>
  <si>
    <t>Pr_65_70_48_14</t>
  </si>
  <si>
    <t>Crosslinked silicone rubber insulated single core cables</t>
  </si>
  <si>
    <t>Pr_65_70_48_29</t>
  </si>
  <si>
    <t>Fire resistant screened (LSHF) cables</t>
  </si>
  <si>
    <t>90-55-15/330 Fire resistant screened (LSHF) cables;</t>
  </si>
  <si>
    <t>Pr_65_70_48_31</t>
  </si>
  <si>
    <t>Flexible cables with crosslinked elastomeric insulation</t>
  </si>
  <si>
    <t>Pr_65_70_48_32</t>
  </si>
  <si>
    <t>Flexible cables with thermoplastic PVC insulation</t>
  </si>
  <si>
    <t>Pr_65_70_48_37</t>
  </si>
  <si>
    <t>Heat resistant single-core non-sheathed cross-linked elastomeric insulated cables</t>
  </si>
  <si>
    <t>Pr_65_70_48_38</t>
  </si>
  <si>
    <t>Heavy-duty cross-linked elastomeric insulated and sheathed flexible cables</t>
  </si>
  <si>
    <t>90-55-15/380 Heavy duty cross-linked elastomeric insulated and sheathed flexible cables;</t>
  </si>
  <si>
    <t>Pr_65_70_48_39</t>
  </si>
  <si>
    <t>Heavy-duty heat resistant cross-linked elastomeric insulated and sheathed flexible cables</t>
  </si>
  <si>
    <t>90-55-15/382 Heavy duty heat resistant cross-linked elastomeric insulated and sheathed flexible cables;</t>
  </si>
  <si>
    <t>Pr_65_70_48_40</t>
  </si>
  <si>
    <t>Heavy-duty heat resistant LSHF insulated and sheathed flexible cables</t>
  </si>
  <si>
    <t>90-55-15/398 Heavy duty heat resistant LSHF insulated and sheathed flexible cables;</t>
  </si>
  <si>
    <t>Pr_65_70_48_41</t>
  </si>
  <si>
    <t>Heavy-duty mineral insulated cables</t>
  </si>
  <si>
    <t>90-55-15/339 Heavy duty mineral insulated cables;</t>
  </si>
  <si>
    <t>Pr_65_70_48_46</t>
  </si>
  <si>
    <t>Light duty heat resistant PVC insulated and sheathed flexible cables</t>
  </si>
  <si>
    <t>90-55-15/384 Light duty heat resistant PVC insulated and sheathed flexible cables;</t>
  </si>
  <si>
    <t>Pr_65_70_48_48</t>
  </si>
  <si>
    <t>Light duty mineral insulated cables</t>
  </si>
  <si>
    <t>Pr_65_70_48_49</t>
  </si>
  <si>
    <t>Light duty PVC insulated and sheathed flexible cables</t>
  </si>
  <si>
    <t>90-55-15/386 Light duty PVC insulated and sheathed flexible cables;</t>
  </si>
  <si>
    <t>Pr_65_70_48_50</t>
  </si>
  <si>
    <t>Low voltage cold shrink cable joints</t>
  </si>
  <si>
    <t>Pr_65_70_48_51</t>
  </si>
  <si>
    <t>Mineral insulation cables</t>
  </si>
  <si>
    <t>90-55-15/338 Light duty mineral insulated cables;</t>
  </si>
  <si>
    <t>Pr_65_70_48_55</t>
  </si>
  <si>
    <t>Multicore screened thermosetting insulated (LSHF) sheathed cables</t>
  </si>
  <si>
    <t>90-55-15/340 Multicore screened thermosetting insulated (LSHF) sheathed cables;</t>
  </si>
  <si>
    <t>Pr_65_70_48_56</t>
  </si>
  <si>
    <t>Ordinary duty cross-linked elastomeric insulated and sheathed flexible cables</t>
  </si>
  <si>
    <t>90-55-15/392 Ordinary duty cross-linked elastomeric insulated and sheathed flexible cables;</t>
  </si>
  <si>
    <t>Pr_65_70_48_57</t>
  </si>
  <si>
    <t>Ordinary duty heat resistant cross-linked elastomeric insulated and sheathed flexible cables</t>
  </si>
  <si>
    <t>90-55-15/394 Ordinary duty heat resistant cross-linked elastomeric insulated and sheathed flexible cables;</t>
  </si>
  <si>
    <t>Pr_65_70_48_58</t>
  </si>
  <si>
    <t>Ordinary duty heat resistant PVC insulated and sheathed flexible cables</t>
  </si>
  <si>
    <t>90-55-15/388 Ordinary duty heat resistant PVC insulated and sheathed flexible cables;</t>
  </si>
  <si>
    <t>Pr_65_70_48_59</t>
  </si>
  <si>
    <t>Ordinary duty low temperature PVC insulated and sheathed flexible cables</t>
  </si>
  <si>
    <t>90-55-15/396 Ordinary duty low temperature PVC insulated and sheathed flexible cables;</t>
  </si>
  <si>
    <t>Pr_65_70_48_60</t>
  </si>
  <si>
    <t>Ordinary duty PVC insulated and sheathed flexible cables</t>
  </si>
  <si>
    <t>90-55-15/390 Ordinary duty PVC insulated and sheathed flexible cables;</t>
  </si>
  <si>
    <t>Pr_65_70_48_61</t>
  </si>
  <si>
    <t>PVC insulated and sheathed cables</t>
  </si>
  <si>
    <t>90-55-15/341 PVC insulated and sheathed cables;</t>
  </si>
  <si>
    <t>Pr_65_70_48_62</t>
  </si>
  <si>
    <t>PVC insulated flexible single core cables for switchgear and controlgear wiring</t>
  </si>
  <si>
    <t>90-55-15/345 Single core PVC insulated cables for switchgear and controlgear;</t>
  </si>
  <si>
    <t>Pr_65_70_48_63</t>
  </si>
  <si>
    <t>PVC insulated single core non-sheathed cables</t>
  </si>
  <si>
    <t>90-55-15/343 Single core non-sheathed cables with thermoplastic PVC insulation;</t>
  </si>
  <si>
    <t>Pr_65_70_48_73</t>
  </si>
  <si>
    <t>Single core heavy-duty cross-linked insulated and sheathed flexible (LSHF) cables</t>
  </si>
  <si>
    <t>90-55-15/381 Single core heavy duty cross-linked insulated and sheathed flexible (LSHF) cables;</t>
  </si>
  <si>
    <t>Pr_65_70_48_74</t>
  </si>
  <si>
    <t>Single core heat resistant non-sheathed thermoplastic PVC insulated cables</t>
  </si>
  <si>
    <t>90-55-15/344 Single core heat resistant non-sheathed cables with thermoplastic PVC insulation;</t>
  </si>
  <si>
    <t>Pr_65_70_48_75</t>
  </si>
  <si>
    <t>Single core non-sheathed (LHSF) insulated cables</t>
  </si>
  <si>
    <t>90-55-15/346 Single core non-sheathed cables with LSHF insulation;</t>
  </si>
  <si>
    <t>Pr_65_70_48_77</t>
  </si>
  <si>
    <t>Single core PVC insulated cables</t>
  </si>
  <si>
    <t>Pr_65_70_48_79</t>
  </si>
  <si>
    <t>Split concentric PVC insulated and sheathed cables</t>
  </si>
  <si>
    <t>90-55-15/320 Split concentric, insulated and sheathed cables;</t>
  </si>
  <si>
    <t>Pr_65_70_48_88</t>
  </si>
  <si>
    <t>Thermosetting insulated armoured fire resistant (LSHF) cables</t>
  </si>
  <si>
    <t>90-55-15/332 Thermosetting insulated armoured fire resistant (LSHF) cables;</t>
  </si>
  <si>
    <t>Pr_65_70_48_89</t>
  </si>
  <si>
    <t>Thermosetting insulated and PVC sheathed armoured cables</t>
  </si>
  <si>
    <t>90-55-15/322 Thermosetting insulated and PVC sheathed armoured cables;</t>
  </si>
  <si>
    <t>Pr_65_70_48_90</t>
  </si>
  <si>
    <t>Thermosetting insulated and thermoplastic sheathed (LSHF) armoured cables</t>
  </si>
  <si>
    <t>90-55-15/324 Thermosetting insulated and thermoplastic sheathed (LSHF) armoured cables;</t>
  </si>
  <si>
    <t>Pr_65_70_48_91</t>
  </si>
  <si>
    <t>Thermosetting insulated and thermoplastic sheathed (LSHF) cables</t>
  </si>
  <si>
    <t>90-55-15/350 Thermosetting insulated and thermoplastic sheathed (LSHF) cables;</t>
  </si>
  <si>
    <t>Pr_65_70_48_92</t>
  </si>
  <si>
    <t>Thermosetting insulated non armoured PVC sheathed cables</t>
  </si>
  <si>
    <t>90-55-15/352 Thermosetting insulated and PVC sheathed cables (XLPE/ PVC singles);</t>
  </si>
  <si>
    <t>Pr_65_70_48_93</t>
  </si>
  <si>
    <t>Thermosetting insulated (XLPE), thermoplastic low smoke zero halogen (LSZH) sheathed cables</t>
  </si>
  <si>
    <t>Pr_65_70_48_94</t>
  </si>
  <si>
    <t>Thermosetting insulated, non-armoured, fire-resistant, single core non-sheathed cables</t>
  </si>
  <si>
    <t>Pr_65_70_48_95</t>
  </si>
  <si>
    <t>Thermosetting insulated single core fire resistant non-armoured non-sheathed cables</t>
  </si>
  <si>
    <t>90-55-15/334 Single core fire resistant non-armoured non-sheathed cables with thermosetting insulation;</t>
  </si>
  <si>
    <t>Pr_65_70_50</t>
  </si>
  <si>
    <t>Low voltage prefabricated cables</t>
  </si>
  <si>
    <t>Pr_65_70_50_15</t>
  </si>
  <si>
    <t>Connection cables</t>
  </si>
  <si>
    <t>90-55-15/455 Connection cables;</t>
  </si>
  <si>
    <t>Pr_65_70_50_22</t>
  </si>
  <si>
    <t>Distribution connectors</t>
  </si>
  <si>
    <t>Pr_65_70_50_28</t>
  </si>
  <si>
    <t>Extender cables</t>
  </si>
  <si>
    <t>90-55-15/460 Extender cables;</t>
  </si>
  <si>
    <t>Pr_65_70_50_37</t>
  </si>
  <si>
    <t>Home run cables</t>
  </si>
  <si>
    <t>90-55-15/465 Home run cables;</t>
  </si>
  <si>
    <t>Pr_65_70_50_47</t>
  </si>
  <si>
    <t>Lighting extender leads</t>
  </si>
  <si>
    <t>90-55-15/470 Lighting extender leads;</t>
  </si>
  <si>
    <t>Pr_65_70_50_49</t>
  </si>
  <si>
    <t>Luminaire connection cables</t>
  </si>
  <si>
    <t>90-55-15/475 Luminaire connection cables;</t>
  </si>
  <si>
    <t>Pr_65_70_50_64</t>
  </si>
  <si>
    <t>Prefabricated low smoke zero halogen (LSZH) insulated and sheathed multi-core cables</t>
  </si>
  <si>
    <t>Pr_65_70_50_66</t>
  </si>
  <si>
    <t>Prefabricated low smoke zero halogen (LSZH) insulated single cables in flexible conduit</t>
  </si>
  <si>
    <t>Pr_65_70_50_72</t>
  </si>
  <si>
    <t>RJ45 cables</t>
  </si>
  <si>
    <t>Pr_65_70_50_84</t>
  </si>
  <si>
    <t>Starter leads</t>
  </si>
  <si>
    <t>90-55-15/490 Starter leads;</t>
  </si>
  <si>
    <t>Pr_65_70_50_86</t>
  </si>
  <si>
    <t>Switch connection leads</t>
  </si>
  <si>
    <t>90-55-15/495 Switch connection leads;</t>
  </si>
  <si>
    <t>Pr_65_70_50_88</t>
  </si>
  <si>
    <t>T connectors</t>
  </si>
  <si>
    <t>90-55-15/450 T connectors;</t>
  </si>
  <si>
    <t>Pr_65_70_70</t>
  </si>
  <si>
    <t>Railway rolling stock cables</t>
  </si>
  <si>
    <t>Pr_65_70_70_53</t>
  </si>
  <si>
    <t>Multicore, cross-linked elastomeric-insulated, reduced dimensions, special fire performance cables</t>
  </si>
  <si>
    <t>Pr_65_70_70_55</t>
  </si>
  <si>
    <t>Multicore, cross-linked elastomeric-insulated, special fire performance cables</t>
  </si>
  <si>
    <t>Pr_65_70_70_57</t>
  </si>
  <si>
    <t>Multicore and multi-pair, thin wall-insulated, special fire performance cables</t>
  </si>
  <si>
    <t>Pr_65_70_70_83</t>
  </si>
  <si>
    <t>Screened, multicore, cross-linked elastomeric-insulated, reduced dimensions, special fire performance cables</t>
  </si>
  <si>
    <t>Pr_65_70_70_85</t>
  </si>
  <si>
    <t>Single core, cross-linked elastomeric-insulated, reduced dimensions, special fire performance cables</t>
  </si>
  <si>
    <t>Pr_65_70_70_87</t>
  </si>
  <si>
    <t>Single core, cross-linked elastomeric-insulated, 600/1000 V, special fire performance cables</t>
  </si>
  <si>
    <t>Pr_65_70_70_88</t>
  </si>
  <si>
    <t>Single core, cross-linked elastomeric-insulated, 1.8/3 kV, special fire performance cables</t>
  </si>
  <si>
    <t>Pr_65_70_70_89</t>
  </si>
  <si>
    <t>Single core, silicone rubber-insulated, high-temperature, special fire performance cables</t>
  </si>
  <si>
    <t>Pr_65_70_70_91</t>
  </si>
  <si>
    <t>Single core, thin wall-insulated, special fire performance cables</t>
  </si>
  <si>
    <t>Pr_65_70_80</t>
  </si>
  <si>
    <t>Signalling cables</t>
  </si>
  <si>
    <t>Pr_65_70_80_01</t>
  </si>
  <si>
    <t>2 core unscreened 1000 V (LSF) cables</t>
  </si>
  <si>
    <t>Pr_65_70_80_03</t>
  </si>
  <si>
    <t>Abrasion resistant single core triple insulated (LSF) signalling equipment room cables</t>
  </si>
  <si>
    <t>Pr_65_70_80_14</t>
  </si>
  <si>
    <t>Concentric screened cables with screens separate</t>
  </si>
  <si>
    <t>Pr_65_70_80_16</t>
  </si>
  <si>
    <t>Concentric screened (LSF) cables with screens separate</t>
  </si>
  <si>
    <t>Pr_65_70_80_46</t>
  </si>
  <si>
    <t>Multicore concentric screened (LSF) track crossing cables with screens in contact</t>
  </si>
  <si>
    <t>Pr_65_70_80_47</t>
  </si>
  <si>
    <t>Multicore concentric screened track crossing cables with screens in contact</t>
  </si>
  <si>
    <t>Pr_65_70_80_49</t>
  </si>
  <si>
    <t>Multicore concentric screened track crossing cables with screens separate</t>
  </si>
  <si>
    <t>Pr_65_70_80_51</t>
  </si>
  <si>
    <t>Multicore screened (LSF) cable run cables</t>
  </si>
  <si>
    <t>Pr_65_70_80_52</t>
  </si>
  <si>
    <t>Multicore screened (LSF) track crossing cables</t>
  </si>
  <si>
    <t>Pr_65_70_80_53</t>
  </si>
  <si>
    <t>Multicore screened pair (LSF) axle counter cables</t>
  </si>
  <si>
    <t>Pr_65_70_80_55</t>
  </si>
  <si>
    <t>Multi-pair screened (LSF) cables with each pair screened</t>
  </si>
  <si>
    <t>Pr_65_70_80_74</t>
  </si>
  <si>
    <t>Single core double insulated inductive loop track cables</t>
  </si>
  <si>
    <t>Pr_65_70_80_75</t>
  </si>
  <si>
    <t>Single core double insulated (LSF) 600 V cables</t>
  </si>
  <si>
    <t>Pr_65_70_80_76</t>
  </si>
  <si>
    <t>Single core double insulated (LSF) 600 V track crossing cables</t>
  </si>
  <si>
    <t>Pr_65_70_80_78</t>
  </si>
  <si>
    <t>Single core double insulated (LSF) signalling equipment room cables</t>
  </si>
  <si>
    <t>Pr_65_70_80_79</t>
  </si>
  <si>
    <t>Single core double insulated (LSF) track crossing cables</t>
  </si>
  <si>
    <t>Pr_65_70_80_81</t>
  </si>
  <si>
    <t>Single core (LSF) cables</t>
  </si>
  <si>
    <t>Pr_65_70_80_83</t>
  </si>
  <si>
    <t>Single core screened pair axle counter cables</t>
  </si>
  <si>
    <t>Pr_65_70_80_87</t>
  </si>
  <si>
    <t>Triaxial concentric cables</t>
  </si>
  <si>
    <t>Pr_65_70_80_88</t>
  </si>
  <si>
    <t>Triaxial concentric (LSF) cables</t>
  </si>
  <si>
    <t>Pr_65_70_80_90</t>
  </si>
  <si>
    <t>Twisted pair screened (LSF) cable run cables</t>
  </si>
  <si>
    <t>Pr_65_70_80_91</t>
  </si>
  <si>
    <t>Twisted pair screened (LSF) signalling equipment room cables</t>
  </si>
  <si>
    <t>Pr_65_70_80_92</t>
  </si>
  <si>
    <t>Twisted pair screened (LSF) track crossing cables</t>
  </si>
  <si>
    <t>Pr_65_72</t>
  </si>
  <si>
    <t>Electrical power products and wiring accessories</t>
  </si>
  <si>
    <t>Pr_65_72_27</t>
  </si>
  <si>
    <t>Electrical protective devices</t>
  </si>
  <si>
    <t>Pr_65_72_27_02</t>
  </si>
  <si>
    <t>Air circuit breakers</t>
  </si>
  <si>
    <t>90-60-30/310 Air circuit breakers;</t>
  </si>
  <si>
    <t>Pr_65_72_27_11</t>
  </si>
  <si>
    <t>Cartridge fuses</t>
  </si>
  <si>
    <t>90-60-30-370 Cartridge fuses;</t>
  </si>
  <si>
    <t>Pr_65_72_27_23</t>
  </si>
  <si>
    <t>Direct current (d.c.) surge protection devices</t>
  </si>
  <si>
    <t>90-60-30/440 Surge protective devices for d.c. side of photovoltaic installations;</t>
  </si>
  <si>
    <t>Pr_65_72_27_26</t>
  </si>
  <si>
    <t>Earth continuity monitors</t>
  </si>
  <si>
    <t>90-65-55/330 Earth proving/ monitoring systems;</t>
  </si>
  <si>
    <t>Pr_65_72_27_32</t>
  </si>
  <si>
    <t>Fuse links</t>
  </si>
  <si>
    <t>90-60-30-380 Fuse links;</t>
  </si>
  <si>
    <t>Pr_65_72_27_34</t>
  </si>
  <si>
    <t>Fuse lock-off devices</t>
  </si>
  <si>
    <t>Pr_65_72_27_42</t>
  </si>
  <si>
    <t>Isolation transformers</t>
  </si>
  <si>
    <t>Pr_65_72_27_44</t>
  </si>
  <si>
    <t>J-type feeder pillar fuses</t>
  </si>
  <si>
    <t>90-60-30-390 'J'-Type feeder pillar fuses;</t>
  </si>
  <si>
    <t>Pr_65_72_27_47</t>
  </si>
  <si>
    <t>Low-voltage fuse links</t>
  </si>
  <si>
    <t>90-60-30-360 Low voltage fuses;</t>
  </si>
  <si>
    <t>Pr_65_72_27_48</t>
  </si>
  <si>
    <t>Low voltage power supply surge protection devices</t>
  </si>
  <si>
    <t>Pr_65_72_27_50</t>
  </si>
  <si>
    <t>Mains power supply transient overvoltage suppression devices</t>
  </si>
  <si>
    <t>90-60-30-410 Transient overvoltage surge suppression devices for mains power supplies;</t>
  </si>
  <si>
    <t>Pr_65_72_27_52</t>
  </si>
  <si>
    <t>Miniature circuit breakers</t>
  </si>
  <si>
    <t>90-60-30/330 Miniature circuit breakers;</t>
  </si>
  <si>
    <t>Pr_65_72_27_53</t>
  </si>
  <si>
    <t>Moulded case circuit breakers</t>
  </si>
  <si>
    <t>90-60-30/320 Moulded case circuit breakers;</t>
  </si>
  <si>
    <t>Pr_65_72_27_72</t>
  </si>
  <si>
    <t>Residual current circuit breakers</t>
  </si>
  <si>
    <t>90-60-30/340 Residual current circuit breakers;</t>
  </si>
  <si>
    <t>Pr_65_72_27_73</t>
  </si>
  <si>
    <t>Residual current circuit breakers with integral overcurrent protection</t>
  </si>
  <si>
    <t>90-60-30/350 Residual current circuit breakers with integral overcurrent protection;</t>
  </si>
  <si>
    <t>Pr_65_72_27_74</t>
  </si>
  <si>
    <t>Residual current monitors</t>
  </si>
  <si>
    <t>90-65-55/385 Residual current monitoring devices;</t>
  </si>
  <si>
    <t>Pr_65_72_27_88</t>
  </si>
  <si>
    <t>Transient overvoltage surge suppression devices</t>
  </si>
  <si>
    <t>90-60-30/420 Transient overvoltage surge suppression for plug in mains power supplies;</t>
  </si>
  <si>
    <t>Pr_65_72_43</t>
  </si>
  <si>
    <t>Power conditioning equipment</t>
  </si>
  <si>
    <t>Pr_65_72_43_01</t>
  </si>
  <si>
    <t>Active electrical filters</t>
  </si>
  <si>
    <t>90-60-40/380 Active filters;</t>
  </si>
  <si>
    <t>Pr_65_72_43_05</t>
  </si>
  <si>
    <t>Automatic power factor correction equipment</t>
  </si>
  <si>
    <t>90-60-40/360 Automatic power factor correction equipment;</t>
  </si>
  <si>
    <t>Pr_65_72_43_07</t>
  </si>
  <si>
    <t>Blocking diodes</t>
  </si>
  <si>
    <t>90-60-40/310 Blocking diodes;</t>
  </si>
  <si>
    <t>Pr_65_72_43_39</t>
  </si>
  <si>
    <t>Hybrid electrical filters</t>
  </si>
  <si>
    <t>90-60-40/400 Hybrid filters;</t>
  </si>
  <si>
    <t>Pr_65_72_43_42</t>
  </si>
  <si>
    <t>Inverters</t>
  </si>
  <si>
    <t>90-60-40/320 Inverters;</t>
  </si>
  <si>
    <t>Pr_65_72_43_60</t>
  </si>
  <si>
    <t>Passive electrical filters</t>
  </si>
  <si>
    <t>90-60-40/390 Passive filters;</t>
  </si>
  <si>
    <t>Pr_65_72_43_64</t>
  </si>
  <si>
    <t>Power conditioning units</t>
  </si>
  <si>
    <t>90-60-40/330 Power conditioning units;</t>
  </si>
  <si>
    <t>Pr_65_72_43_71</t>
  </si>
  <si>
    <t>Rectifiers</t>
  </si>
  <si>
    <t>Pr_65_72_43_95</t>
  </si>
  <si>
    <t>Voltage optimizers</t>
  </si>
  <si>
    <t>Pr_65_72_43_96</t>
  </si>
  <si>
    <t>Voltage transformers</t>
  </si>
  <si>
    <t>90-50-40/465 Inductive voltage transformers;</t>
  </si>
  <si>
    <t>Pr_65_72_59</t>
  </si>
  <si>
    <t>Overhead power supply line products</t>
  </si>
  <si>
    <t>Pr_65_72_59_06</t>
  </si>
  <si>
    <t>Balance weight anchor tensioning devices</t>
  </si>
  <si>
    <t>90-55-70/305 Balance weight anchor tensioning device;</t>
  </si>
  <si>
    <t>Pr_65_72_59_80</t>
  </si>
  <si>
    <t>Spring tensioning devices</t>
  </si>
  <si>
    <t>90-55-70/300 Spring tensioning device;</t>
  </si>
  <si>
    <t>Pr_65_72_59_90</t>
  </si>
  <si>
    <t>Turnbuckle tensioning devices</t>
  </si>
  <si>
    <t>90-55-70/310 Turnbuckle tensioning device;</t>
  </si>
  <si>
    <t>Pr_65_72_60</t>
  </si>
  <si>
    <t>Overhead power supply line support products</t>
  </si>
  <si>
    <t>Pr_65_72_60_23</t>
  </si>
  <si>
    <t>Double insulator catenary cantilever assemblies</t>
  </si>
  <si>
    <t>90-55-75/305 Double insulator catenary cantilever assembly;</t>
  </si>
  <si>
    <t>Pr_65_72_60_24</t>
  </si>
  <si>
    <t>Double insulator trolley wire cantilever assemblies</t>
  </si>
  <si>
    <t>90-55-75/335 Double insulator trolley wire cantilever assembly;</t>
  </si>
  <si>
    <t>Pr_65_72_60_55</t>
  </si>
  <si>
    <t>Overhead line cable supports</t>
  </si>
  <si>
    <t>90-55-75/345 Overhead line cable support;</t>
  </si>
  <si>
    <t>Pr_65_72_60_56</t>
  </si>
  <si>
    <t>Overhead line catenary wires</t>
  </si>
  <si>
    <t>90-55-75/315 Overhead line catenary wire;</t>
  </si>
  <si>
    <t>Pr_65_72_60_57</t>
  </si>
  <si>
    <t>Overhead line contact wires</t>
  </si>
  <si>
    <t>90-55-75/320 Overhead line contact wire;</t>
  </si>
  <si>
    <t>Pr_65_72_60_58</t>
  </si>
  <si>
    <t>Overhead line droppers</t>
  </si>
  <si>
    <t>90-55-75/325 Overhead line dropper;</t>
  </si>
  <si>
    <t>Pr_65_72_60_59</t>
  </si>
  <si>
    <t>Overhead line fixings</t>
  </si>
  <si>
    <t>90-55-75/350 Overhead line fixing;</t>
  </si>
  <si>
    <t>Pr_65_72_60_60</t>
  </si>
  <si>
    <t>Overhead line mounting structures</t>
  </si>
  <si>
    <t>90-55-75/300 Overhead line mounting structure;</t>
  </si>
  <si>
    <t>Pr_65_72_60_61</t>
  </si>
  <si>
    <t>Overhead line span wires</t>
  </si>
  <si>
    <t>90-55-75/330 Overhead line span wire;</t>
  </si>
  <si>
    <t>Pr_65_72_60_63</t>
  </si>
  <si>
    <t>Overhead wiring splices</t>
  </si>
  <si>
    <t>Pr_65_72_60_77</t>
  </si>
  <si>
    <t>Single insulator catenary cantilever assemblies</t>
  </si>
  <si>
    <t>90-55-75/310 Single insulator catenary cantilever assembly;</t>
  </si>
  <si>
    <t>Pr_65_72_60_78</t>
  </si>
  <si>
    <t>Single insulator trolley wire cantilever assemblies</t>
  </si>
  <si>
    <t>90-55-75/340 Single insulator trolley wire cantilever assembly;</t>
  </si>
  <si>
    <t>Pr_65_72_97</t>
  </si>
  <si>
    <t>Wiring accessories</t>
  </si>
  <si>
    <t>Pr_65_72_97_03</t>
  </si>
  <si>
    <t>Architrave switches</t>
  </si>
  <si>
    <t>90-60-25/325 Light switches;</t>
  </si>
  <si>
    <t>Pr_65_72_97_06</t>
  </si>
  <si>
    <t>Bayonet lamp holders</t>
  </si>
  <si>
    <t>90-60-50/365 Bayonet lampholders;</t>
  </si>
  <si>
    <t>Pr_65_72_97_11</t>
  </si>
  <si>
    <t>Cable couplers</t>
  </si>
  <si>
    <t>90-60-25/375 Cable couplers;</t>
  </si>
  <si>
    <t>Pr_65_72_97_12</t>
  </si>
  <si>
    <t>Cable outlet plates</t>
  </si>
  <si>
    <t>90-60-25/340 Cable outlets;</t>
  </si>
  <si>
    <t>Pr_65_72_97_16</t>
  </si>
  <si>
    <t>Ceiling light switches</t>
  </si>
  <si>
    <t>90-60-25/420 Ceiling light switches;</t>
  </si>
  <si>
    <t>Pr_65_72_97_17</t>
  </si>
  <si>
    <t>Ceiling power switches</t>
  </si>
  <si>
    <t>90-60-25/410 Ceiling power switches;</t>
  </si>
  <si>
    <t>Pr_65_72_97_18</t>
  </si>
  <si>
    <t>Ceiling roses</t>
  </si>
  <si>
    <t>90-60-25/425 Ceiling roses;</t>
  </si>
  <si>
    <t>Pr_65_72_97_20</t>
  </si>
  <si>
    <t>Cooker control units</t>
  </si>
  <si>
    <t>90-60-25/400 Cooker control units;</t>
  </si>
  <si>
    <t>Pr_65_72_97_21</t>
  </si>
  <si>
    <t>Cooker connection units</t>
  </si>
  <si>
    <t>90-60-25/405 Cooker connection units;</t>
  </si>
  <si>
    <t>Pr_65_72_97_22</t>
  </si>
  <si>
    <t>Dimmer switches and controls</t>
  </si>
  <si>
    <t>90-60-25/330 Dimmer switches and controls;</t>
  </si>
  <si>
    <t>Pr_65_72_97_23</t>
  </si>
  <si>
    <t>Double pole switches</t>
  </si>
  <si>
    <t>90-60-25/395 Double pole switches;</t>
  </si>
  <si>
    <t>Pr_65_72_97_26</t>
  </si>
  <si>
    <t>Edison screw lamp holders</t>
  </si>
  <si>
    <t>90-60-50/370 Edison screw lampholders;</t>
  </si>
  <si>
    <t>Pr_65_72_97_27</t>
  </si>
  <si>
    <t>Electrical connection boxes</t>
  </si>
  <si>
    <t>90-60-25/485 Connection boxes;</t>
  </si>
  <si>
    <t>Pr_65_72_97_28</t>
  </si>
  <si>
    <t>End brackets</t>
  </si>
  <si>
    <t>Pr_65_72_97_29</t>
  </si>
  <si>
    <t>Electric vehicle charging points</t>
  </si>
  <si>
    <t>90-60-25/352 Electric vehicle charging points;</t>
  </si>
  <si>
    <t>Pr_65_72_97_30</t>
  </si>
  <si>
    <t>Fan isolators</t>
  </si>
  <si>
    <t>90-60-25/380 Fan isolators;</t>
  </si>
  <si>
    <t>Pr_65_72_97_31</t>
  </si>
  <si>
    <t>Fused connection units</t>
  </si>
  <si>
    <t>90-60-25/335 Fused connection units;</t>
  </si>
  <si>
    <t>Pr_65_72_97_34</t>
  </si>
  <si>
    <t>Grid switches</t>
  </si>
  <si>
    <t>Pr_65_72_97_40</t>
  </si>
  <si>
    <t>Industrial plugs</t>
  </si>
  <si>
    <t>90-60-25/370 Industrial plugs;</t>
  </si>
  <si>
    <t>Pr_65_72_97_41</t>
  </si>
  <si>
    <t>Industrial socket outlets</t>
  </si>
  <si>
    <t>90-60-25/355 Industrial socket outlets;</t>
  </si>
  <si>
    <t>Pr_65_72_97_47</t>
  </si>
  <si>
    <t>Luminaire supporting couplers</t>
  </si>
  <si>
    <t>90-60-25/430 Luminaire supporting couplers;</t>
  </si>
  <si>
    <t>Pr_65_72_97_52</t>
  </si>
  <si>
    <t>Multi-gang power outlets</t>
  </si>
  <si>
    <t>90-60-25/365 Multi-gang power outlets;</t>
  </si>
  <si>
    <t>Pr_65_72_97_63</t>
  </si>
  <si>
    <t>Plate switches</t>
  </si>
  <si>
    <t>Pr_65_72_97_66</t>
  </si>
  <si>
    <t>Prefabricated wiring switches</t>
  </si>
  <si>
    <t>90-60-25/415 Switch modules for prefabricated wiring;</t>
  </si>
  <si>
    <t>Pr_65_72_97_72</t>
  </si>
  <si>
    <t>Round pin socket outlets</t>
  </si>
  <si>
    <t>90-60-25/360 Round pin socket outlets;</t>
  </si>
  <si>
    <t>Pr_65_72_97_75</t>
  </si>
  <si>
    <t>Safety pendant lamp holders</t>
  </si>
  <si>
    <t>90-60-25/435 Safety pendant lampholders;</t>
  </si>
  <si>
    <t>Pr_65_72_97_76</t>
  </si>
  <si>
    <t>Safety pendant sets</t>
  </si>
  <si>
    <t>90-60-25/440 Safety pendant sets;</t>
  </si>
  <si>
    <t>Pr_65_72_97_78</t>
  </si>
  <si>
    <t>Shaver supply units</t>
  </si>
  <si>
    <t>90-60-25/390 Shaver supply units;</t>
  </si>
  <si>
    <t>Pr_65_72_97_79</t>
  </si>
  <si>
    <t>Single voltage shaver outlets</t>
  </si>
  <si>
    <t>90-60-25/385 Single voltage shaver outlets;</t>
  </si>
  <si>
    <t>Pr_65_72_97_81</t>
  </si>
  <si>
    <t>Socket outlet residual current devices (SRCD)</t>
  </si>
  <si>
    <t>90-60-25/347 Socket outlet residual current devices (SRCDs);</t>
  </si>
  <si>
    <t>Pr_65_72_97_82</t>
  </si>
  <si>
    <t>Specialist socket outlets</t>
  </si>
  <si>
    <t>90-60-25/350 Specialist socket outlets;</t>
  </si>
  <si>
    <t>Pr_65_72_97_83</t>
  </si>
  <si>
    <t>Surface and concealed wiring enclosures</t>
  </si>
  <si>
    <t>90-60-25-320 Surface and concealed wiring enclosures;</t>
  </si>
  <si>
    <t>Pr_65_72_97_84</t>
  </si>
  <si>
    <t>Standard socket outlets</t>
  </si>
  <si>
    <t>90-60-25/345 Standard socket outlets;</t>
  </si>
  <si>
    <t>Pr_65_72_97_85</t>
  </si>
  <si>
    <t>Stud terminal covers</t>
  </si>
  <si>
    <t>Pr_65_72_97_86</t>
  </si>
  <si>
    <t>Stud terminals</t>
  </si>
  <si>
    <t>Pr_65_80</t>
  </si>
  <si>
    <t>Transport distribution products</t>
  </si>
  <si>
    <t>Pr_65_80_06</t>
  </si>
  <si>
    <t>Baggage handling conveyors</t>
  </si>
  <si>
    <t>Pr_65_80_15</t>
  </si>
  <si>
    <t>Cranes and lifting products</t>
  </si>
  <si>
    <t>Pr_65_80_15_09</t>
  </si>
  <si>
    <t>Cable slot channels</t>
  </si>
  <si>
    <t>Pr_65_80_15_11</t>
  </si>
  <si>
    <t>Cable slot covers</t>
  </si>
  <si>
    <t>Pr_65_80_15_13</t>
  </si>
  <si>
    <t>Cable turnover pits</t>
  </si>
  <si>
    <t>Pr_65_80_15_16</t>
  </si>
  <si>
    <t>Crane arrestors</t>
  </si>
  <si>
    <t>Pr_65_80_15_18</t>
  </si>
  <si>
    <t>Crane stow pin sockets</t>
  </si>
  <si>
    <t>Pr_65_80_15_22</t>
  </si>
  <si>
    <t>Detachable hooks</t>
  </si>
  <si>
    <t>Pr_65_80_15_47</t>
  </si>
  <si>
    <t>Lifting rings</t>
  </si>
  <si>
    <t>Pr_65_80_15_48</t>
  </si>
  <si>
    <t>Lifting trunnions</t>
  </si>
  <si>
    <t>Pr_65_80_15_59</t>
  </si>
  <si>
    <t>Overhead travelling cranes</t>
  </si>
  <si>
    <t>90-80-45/300 Overhead travelling crane;</t>
  </si>
  <si>
    <t>Pr_65_80_15_71</t>
  </si>
  <si>
    <t>Roof trolleys</t>
  </si>
  <si>
    <t>Pr_65_80_15_73</t>
  </si>
  <si>
    <t>Runway tracks</t>
  </si>
  <si>
    <t>Pr_65_80_15_74</t>
  </si>
  <si>
    <t>Runway trolleys</t>
  </si>
  <si>
    <t>Pr_65_80_15_88</t>
  </si>
  <si>
    <t>Tie down slots</t>
  </si>
  <si>
    <t>Pr_65_80_23</t>
  </si>
  <si>
    <t>Dock levellers</t>
  </si>
  <si>
    <t>Pr_65_80_23_06</t>
  </si>
  <si>
    <t>Bascule dock bridges</t>
  </si>
  <si>
    <t>45-25-28/440 Dock levellers;</t>
  </si>
  <si>
    <t>Pr_65_80_23_38</t>
  </si>
  <si>
    <t>Hydraulic hinged-lip dock levellers</t>
  </si>
  <si>
    <t>Pr_65_80_23_39</t>
  </si>
  <si>
    <t>Hydraulic telescopic-lip dock levellers</t>
  </si>
  <si>
    <t>Pr_65_80_23_51</t>
  </si>
  <si>
    <t>Mechanical dock levellers</t>
  </si>
  <si>
    <t>Pr_65_80_28</t>
  </si>
  <si>
    <t>Escalator and moving walk products</t>
  </si>
  <si>
    <t>Pr_65_80_28_04</t>
  </si>
  <si>
    <t>Escalator and moving walk auxiliary brakes</t>
  </si>
  <si>
    <t>Pr_65_80_28_06</t>
  </si>
  <si>
    <t>Escalator and moving walk balustrades</t>
  </si>
  <si>
    <t>Pr_65_80_28_07</t>
  </si>
  <si>
    <t>Escalator and moving walk balustrade newels</t>
  </si>
  <si>
    <t>Pr_65_80_28_09</t>
  </si>
  <si>
    <t>Escalator and moving walk belts</t>
  </si>
  <si>
    <t>Pr_65_80_28_12</t>
  </si>
  <si>
    <t>Escalator and moving walk cladding</t>
  </si>
  <si>
    <t>Pr_65_80_28_14</t>
  </si>
  <si>
    <t>Escalator combs</t>
  </si>
  <si>
    <t>Pr_65_80_28_16</t>
  </si>
  <si>
    <t>Escalator comb plates</t>
  </si>
  <si>
    <t>Pr_65_80_28_21</t>
  </si>
  <si>
    <t>Escalators</t>
  </si>
  <si>
    <t>90-80-25/310 Escalators;</t>
  </si>
  <si>
    <t>Pr_65_80_28_22</t>
  </si>
  <si>
    <t>Escalator and moving walk decking</t>
  </si>
  <si>
    <t>Pr_65_80_28_24</t>
  </si>
  <si>
    <t>Escalator and moving walk drive units</t>
  </si>
  <si>
    <t>Pr_65_80_28_36</t>
  </si>
  <si>
    <t>Escalator and moving walk handrails</t>
  </si>
  <si>
    <t>Pr_65_80_28_38</t>
  </si>
  <si>
    <t>Escalator hand winding devices</t>
  </si>
  <si>
    <t>Pr_65_80_28_41</t>
  </si>
  <si>
    <t>Escalator and moving walk inspection covers</t>
  </si>
  <si>
    <t>Pr_65_80_28_46</t>
  </si>
  <si>
    <t>Escalator and moving walk landing floor plates</t>
  </si>
  <si>
    <t>Pr_65_80_28_52</t>
  </si>
  <si>
    <t>Moving walks</t>
  </si>
  <si>
    <t>90-80-25/320 Moving walks;</t>
  </si>
  <si>
    <t>Pr_65_80_28_58</t>
  </si>
  <si>
    <t>Escalator and moving walk operational brakes</t>
  </si>
  <si>
    <t>Pr_65_80_28_60</t>
  </si>
  <si>
    <t>Escalator pallets</t>
  </si>
  <si>
    <t>Pr_65_80_28_78</t>
  </si>
  <si>
    <t>Escalator and moving walk skirtings</t>
  </si>
  <si>
    <t>Pr_65_80_28_80</t>
  </si>
  <si>
    <t>Escalator and moving walk skirt deflectors</t>
  </si>
  <si>
    <t>Pr_65_80_28_84</t>
  </si>
  <si>
    <t>Escalator step treads</t>
  </si>
  <si>
    <t>Pr_65_80_28_89</t>
  </si>
  <si>
    <t>Moving walk treadway belts</t>
  </si>
  <si>
    <t>Pr_65_80_28_90</t>
  </si>
  <si>
    <t>Moving walk treadway pallets</t>
  </si>
  <si>
    <t>Pr_65_80_42</t>
  </si>
  <si>
    <t>Inclined transport cars, platforms and chairs</t>
  </si>
  <si>
    <t>Pr_65_80_42_11</t>
  </si>
  <si>
    <t>Cable cars</t>
  </si>
  <si>
    <t>Pr_65_80_42_37</t>
  </si>
  <si>
    <t>Homelifts</t>
  </si>
  <si>
    <t>90-80-65/320 Homelifts;</t>
  </si>
  <si>
    <t>Pr_65_80_42_39</t>
  </si>
  <si>
    <t>Inclined chairlifts</t>
  </si>
  <si>
    <t>90-80-65/310 Chairlifts;</t>
  </si>
  <si>
    <t>Pr_65_80_42_42</t>
  </si>
  <si>
    <t>Inclined standing platforms</t>
  </si>
  <si>
    <t>90-80-65/330 Standing platforms;</t>
  </si>
  <si>
    <t>Pr_65_80_42_43</t>
  </si>
  <si>
    <t>Inclined wheelchair platforms</t>
  </si>
  <si>
    <t>90-80-65/360 Wheelchair lifting platforms;</t>
  </si>
  <si>
    <t>Pr_65_80_42_77</t>
  </si>
  <si>
    <t>Ski lift chairs</t>
  </si>
  <si>
    <t>Pr_65_80_42_84</t>
  </si>
  <si>
    <t>Stairlift trolleys</t>
  </si>
  <si>
    <t>Pr_65_80_46</t>
  </si>
  <si>
    <t>Laundry conveyors</t>
  </si>
  <si>
    <t>Pr_65_80_46_15</t>
  </si>
  <si>
    <t>Laundry and garment conveyors</t>
  </si>
  <si>
    <t>45-35-47/430 Conveyor;</t>
  </si>
  <si>
    <t>Pr_65_80_46_42</t>
  </si>
  <si>
    <t>Inclined loading laundry conveyors</t>
  </si>
  <si>
    <t>45-35-47/435 Inclined loading conveyors;</t>
  </si>
  <si>
    <t>Pr_65_80_46_77</t>
  </si>
  <si>
    <t>Shuttle lifting laundry conveyors</t>
  </si>
  <si>
    <t>45-35-47/440 Shuttle lifting conveyors;</t>
  </si>
  <si>
    <t>Pr_65_80_47</t>
  </si>
  <si>
    <t>Lifting platforms and hoists</t>
  </si>
  <si>
    <t>Pr_65_80_47_04</t>
  </si>
  <si>
    <t>Assisted transfer hoists</t>
  </si>
  <si>
    <t>45-35-72/314 Assisted transfer hoists;</t>
  </si>
  <si>
    <t>Pr_65_80_47_12</t>
  </si>
  <si>
    <t>Ceiling track hoists</t>
  </si>
  <si>
    <t>Pr_65_80_47_31</t>
  </si>
  <si>
    <t>Fixed hoists</t>
  </si>
  <si>
    <t>45-35-74/330 Hoist;</t>
  </si>
  <si>
    <t>Pr_65_80_47_47</t>
  </si>
  <si>
    <t>Moveable hoists</t>
  </si>
  <si>
    <t>Pr_65_80_47_64</t>
  </si>
  <si>
    <t>Poolside hoists</t>
  </si>
  <si>
    <t>45-35-90/371 Poolside hoist;</t>
  </si>
  <si>
    <t>Pr_65_80_47_76</t>
  </si>
  <si>
    <t>Service hoists</t>
  </si>
  <si>
    <t>Pr_65_80_47_84</t>
  </si>
  <si>
    <t>Step lifts</t>
  </si>
  <si>
    <t>90-80-65/340 Step lifts;</t>
  </si>
  <si>
    <t>Pr_65_80_47_94</t>
  </si>
  <si>
    <t>Vehicle hoists</t>
  </si>
  <si>
    <t>Pr_65_80_47_95</t>
  </si>
  <si>
    <t>Vertical lifting platforms</t>
  </si>
  <si>
    <t>90-80-65/350 Vertical lifting platforms;</t>
  </si>
  <si>
    <t>Pr_65_80_47_96</t>
  </si>
  <si>
    <t>Vertical storage lifts</t>
  </si>
  <si>
    <t>Pr_65_80_65</t>
  </si>
  <si>
    <t>Pneumatic document conveying products</t>
  </si>
  <si>
    <t>Pr_65_80_65_63</t>
  </si>
  <si>
    <t>Pneumatic document conveying blowers</t>
  </si>
  <si>
    <t>90-80-70/310 Blowers;</t>
  </si>
  <si>
    <t>Pr_65_80_65_64</t>
  </si>
  <si>
    <t>Pneumatic document conveying carriers</t>
  </si>
  <si>
    <t>90-80-70/320 Carriers;</t>
  </si>
  <si>
    <t>Pr_65_80_65_65</t>
  </si>
  <si>
    <t>Pneumatic document conveying diverters</t>
  </si>
  <si>
    <t>90-80-70/330 Diverters;</t>
  </si>
  <si>
    <t>Pr_65_80_65_66</t>
  </si>
  <si>
    <t>Pneumatic document conveying pipes and fittings</t>
  </si>
  <si>
    <t>90-80-70/340 Pipelines and fittings;</t>
  </si>
  <si>
    <t>Pr_65_80_65_67</t>
  </si>
  <si>
    <t>Pneumatic document conveying stations</t>
  </si>
  <si>
    <t>90-80-70/350 Stations;</t>
  </si>
  <si>
    <t>Pr_65_80_89</t>
  </si>
  <si>
    <t>Transport cables</t>
  </si>
  <si>
    <t>Pr_65_80_89_11</t>
  </si>
  <si>
    <t>Cable car cables</t>
  </si>
  <si>
    <t>Pr_65_80_89_46</t>
  </si>
  <si>
    <t>Lift cables</t>
  </si>
  <si>
    <t>Pr_65_80_89_85</t>
  </si>
  <si>
    <t>Ski lift cables</t>
  </si>
  <si>
    <t>Pr_65_80_96</t>
  </si>
  <si>
    <t>Wastewater conveyor products</t>
  </si>
  <si>
    <t>Pr_65_80_96_07</t>
  </si>
  <si>
    <t>Belt conveyors</t>
  </si>
  <si>
    <t>90-80-15/305 Belt conveyors;</t>
  </si>
  <si>
    <t>Pr_65_80_96_24</t>
  </si>
  <si>
    <t>Drag or chain link conveyors</t>
  </si>
  <si>
    <t>90-80-15/320 Drag or chain link conveyors;</t>
  </si>
  <si>
    <t>Pr_65_80_96_76</t>
  </si>
  <si>
    <t>Screw conveyors</t>
  </si>
  <si>
    <t>90-80-15/325 Screw conveyors;</t>
  </si>
  <si>
    <t>Pr_65_80_96_79</t>
  </si>
  <si>
    <t>Shafted screw conveyors</t>
  </si>
  <si>
    <t>90-80-15/310 Shafted screw conveyors;</t>
  </si>
  <si>
    <t>Pr_65_80_96_80</t>
  </si>
  <si>
    <t>Shaftless spiral conveyors</t>
  </si>
  <si>
    <t>90-80-15/315 Shaftless spiral conveyors;</t>
  </si>
  <si>
    <t>Pr_70</t>
  </si>
  <si>
    <t>Services outlet products</t>
  </si>
  <si>
    <t>Pr_70_50</t>
  </si>
  <si>
    <t>Solid waste disposal products</t>
  </si>
  <si>
    <t>Pr_70_50_71</t>
  </si>
  <si>
    <t>Refuse disposal equipment</t>
  </si>
  <si>
    <t>Pr_70_50_71_18</t>
  </si>
  <si>
    <t>Crushers</t>
  </si>
  <si>
    <t>Pr_70_50_71_42</t>
  </si>
  <si>
    <t>Incinerators</t>
  </si>
  <si>
    <t>Pr_70_50_71_60</t>
  </si>
  <si>
    <t>Packagers</t>
  </si>
  <si>
    <t>Pr_70_50_80</t>
  </si>
  <si>
    <t>Solid waste balers</t>
  </si>
  <si>
    <t>Pr_70_50_80_37</t>
  </si>
  <si>
    <t>Horizontal balers</t>
  </si>
  <si>
    <t>90-00-95/345 Horizontal baler;</t>
  </si>
  <si>
    <t>Pr_70_50_80_94</t>
  </si>
  <si>
    <t>Vertical balers</t>
  </si>
  <si>
    <t>90-00-95/340 Vertical baler;</t>
  </si>
  <si>
    <t>Pr_70_50_85</t>
  </si>
  <si>
    <t>Solid waste compactor products</t>
  </si>
  <si>
    <t>Pr_70_50_85_24</t>
  </si>
  <si>
    <t>Dry waste compactors</t>
  </si>
  <si>
    <t>90-00-95/310 Dry waste compactor;</t>
  </si>
  <si>
    <t>Pr_70_50_85_37</t>
  </si>
  <si>
    <t>High density compaction extruders</t>
  </si>
  <si>
    <t>90-00-95/330 High density compaction extruder;</t>
  </si>
  <si>
    <t>Pr_70_50_85_65</t>
  </si>
  <si>
    <t>Portable waste compactors</t>
  </si>
  <si>
    <t>90-00-95/325 Portable waste compactor;</t>
  </si>
  <si>
    <t>Pr_70_50_85_66</t>
  </si>
  <si>
    <t>Portable waste compactor and bin lifts</t>
  </si>
  <si>
    <t>90-00-95/315 Portable waste compactor and bin lift;</t>
  </si>
  <si>
    <t>Pr_70_50_85_78</t>
  </si>
  <si>
    <t>Skip portable waste compactors</t>
  </si>
  <si>
    <t>90-00-95/320 Skip portable waste compactor;</t>
  </si>
  <si>
    <t>Pr_70_50_85_96</t>
  </si>
  <si>
    <t>Wet waste compactors</t>
  </si>
  <si>
    <t>90-00-95/305 Wet waste compactor;</t>
  </si>
  <si>
    <t>Pr_70_55</t>
  </si>
  <si>
    <t>Liquid and gas outlet products</t>
  </si>
  <si>
    <t>Pr_70_55_33</t>
  </si>
  <si>
    <t>Gas and foam nozzles and sprinklers</t>
  </si>
  <si>
    <t>Pr_70_55_33_11</t>
  </si>
  <si>
    <t>Carbon dioxide fire extinguishing nozzles</t>
  </si>
  <si>
    <t>90-35-35/380 Nozzles for carbon dioxide systems;</t>
  </si>
  <si>
    <t>Pr_70_55_33_30</t>
  </si>
  <si>
    <t>Foam sprinklers</t>
  </si>
  <si>
    <t>90-35-30/350 Foam sprinklers;</t>
  </si>
  <si>
    <t>Pr_70_55_33_36</t>
  </si>
  <si>
    <t>Halocarbons and inert gas fire extinguishing nozzles</t>
  </si>
  <si>
    <t>90-35-35/385 Nozzles for halocarbons and inert gas fire-extinguishing systems;</t>
  </si>
  <si>
    <t>Pr_70_55_42</t>
  </si>
  <si>
    <t>Irrigation water outlets</t>
  </si>
  <si>
    <t>Pr_70_55_42_09</t>
  </si>
  <si>
    <t>Bubblers</t>
  </si>
  <si>
    <t>90-15-40/441 Bubblers;</t>
  </si>
  <si>
    <t>Pr_70_55_42_11</t>
  </si>
  <si>
    <t>Capillary matting</t>
  </si>
  <si>
    <t>90-15-40/401 Capillary matting;</t>
  </si>
  <si>
    <t>Pr_70_55_42_22</t>
  </si>
  <si>
    <t>Drippers</t>
  </si>
  <si>
    <t>90-15-40/443 Drippers;</t>
  </si>
  <si>
    <t>Pr_70_55_42_46</t>
  </si>
  <si>
    <t>Lateral pipelines</t>
  </si>
  <si>
    <t>90-15-40/425 Lateral pipelines;</t>
  </si>
  <si>
    <t>Pr_70_55_42_47</t>
  </si>
  <si>
    <t>Layered irrigation matting</t>
  </si>
  <si>
    <t>90-15-40/403 Layered irrigation matting;</t>
  </si>
  <si>
    <t>Pr_70_55_42_52</t>
  </si>
  <si>
    <t>Micro-distribution pipelines</t>
  </si>
  <si>
    <t>90-15-40/429 Micro distribution pipelines;</t>
  </si>
  <si>
    <t>Pr_70_55_42_53</t>
  </si>
  <si>
    <t>Micro-perforated polyethylene sheet</t>
  </si>
  <si>
    <t>90-15-40/405 Micro-perforated polyethylene sheets;</t>
  </si>
  <si>
    <t>Pr_70_55_42_54</t>
  </si>
  <si>
    <t>Misters</t>
  </si>
  <si>
    <t>90-15-40/445 Misters;</t>
  </si>
  <si>
    <t>Pr_70_55_42_58</t>
  </si>
  <si>
    <t>Oscillating sprinklers</t>
  </si>
  <si>
    <t>Pr_70_55_42_64</t>
  </si>
  <si>
    <t>Porous pipelines</t>
  </si>
  <si>
    <t>90-15-40/427 Porous pipelines;</t>
  </si>
  <si>
    <t>Pr_70_55_42_70</t>
  </si>
  <si>
    <t>Rain guns</t>
  </si>
  <si>
    <t>90-15-40/447 Rain guns;</t>
  </si>
  <si>
    <t>Pr_70_55_42_73</t>
  </si>
  <si>
    <t>Rotary impact sprinklers</t>
  </si>
  <si>
    <t>90-15-40/449 Rotary impact sprinklers;</t>
  </si>
  <si>
    <t>Pr_70_55_42_80</t>
  </si>
  <si>
    <t>Spray jets</t>
  </si>
  <si>
    <t>90-15-40/451 Spray jets;</t>
  </si>
  <si>
    <t>Pr_70_55_42_90</t>
  </si>
  <si>
    <t>Tree irrigation rings</t>
  </si>
  <si>
    <t>90-15-40/433 Tree irrigation rings;</t>
  </si>
  <si>
    <t>Pr_70_55_51</t>
  </si>
  <si>
    <t>Medical gases outlets</t>
  </si>
  <si>
    <t>Pr_70_55_51_30</t>
  </si>
  <si>
    <t>Flexible pendants</t>
  </si>
  <si>
    <t>90-30-55/352 Flexible pendants;</t>
  </si>
  <si>
    <t>Pr_70_55_51_37</t>
  </si>
  <si>
    <t>Headwall bedhead units</t>
  </si>
  <si>
    <t>90-30-55/348 Headwall bedhead units;</t>
  </si>
  <si>
    <t>Pr_70_55_51_52</t>
  </si>
  <si>
    <t>Terminal units</t>
  </si>
  <si>
    <t>90-30-55/346 Terminal units;</t>
  </si>
  <si>
    <t>Pr_70_55_51_53</t>
  </si>
  <si>
    <t>Medical trunking bedhead units</t>
  </si>
  <si>
    <t>90-30-55/350 Medical trunking bedhead units;</t>
  </si>
  <si>
    <t>Pr_70_55_51_55</t>
  </si>
  <si>
    <t>Multi-movement pendants</t>
  </si>
  <si>
    <t>90-30-55/354 Multi-movement pendants;</t>
  </si>
  <si>
    <t>Pr_70_55_51_73</t>
  </si>
  <si>
    <t>Retractable pendants</t>
  </si>
  <si>
    <t>90-30-55/356 Retractable pendants;</t>
  </si>
  <si>
    <t>Pr_70_55_51_74</t>
  </si>
  <si>
    <t>Rigid pendants</t>
  </si>
  <si>
    <t>90-30-55/358 Rigid pendants;</t>
  </si>
  <si>
    <t>Pr_70_55_58</t>
  </si>
  <si>
    <t>Oil and grease lubricant supply products</t>
  </si>
  <si>
    <t>Pr_70_55_58_34</t>
  </si>
  <si>
    <t>Greases</t>
  </si>
  <si>
    <t>Pr_70_55_58_48</t>
  </si>
  <si>
    <t>Lubricator height adjustors</t>
  </si>
  <si>
    <t>Pr_70_55_58_58</t>
  </si>
  <si>
    <t>Oils</t>
  </si>
  <si>
    <t>Pr_70_55_58_68</t>
  </si>
  <si>
    <t>Rail friction modifier</t>
  </si>
  <si>
    <t>Pr_70_55_58_70</t>
  </si>
  <si>
    <t>Rail lubricators</t>
  </si>
  <si>
    <t>90-25-55/380 Rail lubricator;</t>
  </si>
  <si>
    <t>Pr_70_55_58_72</t>
  </si>
  <si>
    <t>Rail traction gels</t>
  </si>
  <si>
    <t>Pr_70_55_58_80</t>
  </si>
  <si>
    <t>Solid lubricants</t>
  </si>
  <si>
    <t>Pr_70_55_62</t>
  </si>
  <si>
    <t>Phase change outlet products</t>
  </si>
  <si>
    <t>Pr_70_55_62_31</t>
  </si>
  <si>
    <t>Foam proportioners</t>
  </si>
  <si>
    <t>90-35-30/340 Foam proportioners;</t>
  </si>
  <si>
    <t>Pr_70_55_76</t>
  </si>
  <si>
    <t>Sewage treatment plant</t>
  </si>
  <si>
    <t>Pr_70_55_76_34</t>
  </si>
  <si>
    <t>Geocellular modular plastics storage units</t>
  </si>
  <si>
    <t>90-10-95/480 Geocellular modular plastics storage units;</t>
  </si>
  <si>
    <t>Pr_70_55_76_62</t>
  </si>
  <si>
    <t>Private packaged pumping stations</t>
  </si>
  <si>
    <t>90-10-70/450 Package pumping stations;</t>
  </si>
  <si>
    <t>Pr_70_55_76_64</t>
  </si>
  <si>
    <t>Private packaged septic tank units</t>
  </si>
  <si>
    <t>90-05-75/330 Private packaged septic tank units;</t>
  </si>
  <si>
    <t>Pr_70_55_76_66</t>
  </si>
  <si>
    <t>Private packaged sewage treatment units</t>
  </si>
  <si>
    <t>90-05-75/340 Private packaged sewage treatment units;</t>
  </si>
  <si>
    <t>Pr_70_55_76_72</t>
  </si>
  <si>
    <t>Reed bed units</t>
  </si>
  <si>
    <t>90-05-75/350 Reed beds;</t>
  </si>
  <si>
    <t>Pr_70_55_76_76</t>
  </si>
  <si>
    <t>Sewage below-ground storage tanks (cesspools)</t>
  </si>
  <si>
    <t>90-05-75/360 Sewage below ground storage tanks (cesspools);</t>
  </si>
  <si>
    <t>Pr_70_55_96</t>
  </si>
  <si>
    <t>Waste water outlets and plugs</t>
  </si>
  <si>
    <t>Pr_70_55_96_06</t>
  </si>
  <si>
    <t>Bath wastes</t>
  </si>
  <si>
    <t>45-35-70/314 Wastes for baths;</t>
  </si>
  <si>
    <t>Pr_70_55_96_09</t>
  </si>
  <si>
    <t>Bidet wastes</t>
  </si>
  <si>
    <t>45-35-70/322 Wastes for bidets;</t>
  </si>
  <si>
    <t>Pr_70_55_96_76</t>
  </si>
  <si>
    <t>Scrub up trough and wash trough wastes</t>
  </si>
  <si>
    <t>45-35-70/373 Wastes for scrub-up troughs and wash troughs;</t>
  </si>
  <si>
    <t>Pr_70_55_96_83</t>
  </si>
  <si>
    <t>Shower tray wastes</t>
  </si>
  <si>
    <t>45-35-70/337 Wastes for shower trays;</t>
  </si>
  <si>
    <t>Pr_70_55_96_84</t>
  </si>
  <si>
    <t>Sink wastes</t>
  </si>
  <si>
    <t>45-35-70/346 Wastes for sinks;</t>
  </si>
  <si>
    <t>Pr_70_55_96_93</t>
  </si>
  <si>
    <t>Urinal wastes</t>
  </si>
  <si>
    <t>45-35-70/357 Wastes for urinals;</t>
  </si>
  <si>
    <t>Pr_70_55_96_97</t>
  </si>
  <si>
    <t>Wash basins wastes</t>
  </si>
  <si>
    <t>45-35-70/372 Wastes for wash basins;</t>
  </si>
  <si>
    <t>Pr_70_55_96_98</t>
  </si>
  <si>
    <t>Waste water plugs and chains</t>
  </si>
  <si>
    <t>Pr_70_55_97</t>
  </si>
  <si>
    <t>Water fire extinguishing outlets</t>
  </si>
  <si>
    <t>Pr_70_55_97_01</t>
  </si>
  <si>
    <t>Above-ground fire hydrants</t>
  </si>
  <si>
    <t>Pr_70_55_97_23</t>
  </si>
  <si>
    <t>Domestic sprinkler heads</t>
  </si>
  <si>
    <t>90-35-95/392 Sprinkler heads for residential and domestic sprinkler systems;</t>
  </si>
  <si>
    <t>Pr_70_55_97_37</t>
  </si>
  <si>
    <t>High velocity nozzles</t>
  </si>
  <si>
    <t>90-35-95/385 High velocity nozzles;</t>
  </si>
  <si>
    <t>Pr_70_55_97_51</t>
  </si>
  <si>
    <t>Medium velocity nozzles</t>
  </si>
  <si>
    <t>90-35-95/380 Medium velocity nozzles;</t>
  </si>
  <si>
    <t>Pr_70_55_97_57</t>
  </si>
  <si>
    <t>Nozzles</t>
  </si>
  <si>
    <t>90-35-95/375 Nozzles;</t>
  </si>
  <si>
    <t>Pr_70_55_97_84</t>
  </si>
  <si>
    <t>Sprinkler heads</t>
  </si>
  <si>
    <t>90-35-95/390 Sprinkler heads;</t>
  </si>
  <si>
    <t>Pr_70_55_97_93</t>
  </si>
  <si>
    <t>Underground fire hydrants</t>
  </si>
  <si>
    <t>90-35-95/400 Underground fire hydrants;</t>
  </si>
  <si>
    <t>Pr_70_55_98</t>
  </si>
  <si>
    <t>Water inlets and outlets</t>
  </si>
  <si>
    <t>Pr_70_55_98_28</t>
  </si>
  <si>
    <t>External drinking fountains</t>
  </si>
  <si>
    <t>Pr_70_55_98_30</t>
  </si>
  <si>
    <t>Fountains</t>
  </si>
  <si>
    <t>90-15-90/455 Fountains;</t>
  </si>
  <si>
    <t>Pr_70_55_98_35</t>
  </si>
  <si>
    <t>Green roof drainage outlets</t>
  </si>
  <si>
    <t>Pr_70_55_98_37</t>
  </si>
  <si>
    <t>High-pressure water hose connectors</t>
  </si>
  <si>
    <t>Pr_70_55_98_46</t>
  </si>
  <si>
    <t>Laminar jets</t>
  </si>
  <si>
    <t>90-15-90/453 Laminar jets;</t>
  </si>
  <si>
    <t>Pr_70_55_98_59</t>
  </si>
  <si>
    <t>Overflows</t>
  </si>
  <si>
    <t>Pr_70_55_98_60</t>
  </si>
  <si>
    <t>Passive tank outlets</t>
  </si>
  <si>
    <t>Pr_70_55_98_65</t>
  </si>
  <si>
    <t>Pool water inlets</t>
  </si>
  <si>
    <t>90-15-75/410 Pool water inlets and outlets;</t>
  </si>
  <si>
    <t>Pr_70_55_98_66</t>
  </si>
  <si>
    <t>Pool water outlets</t>
  </si>
  <si>
    <t>90-15-75/420 Pool water outlets;</t>
  </si>
  <si>
    <t>Pr_70_55_98_84</t>
  </si>
  <si>
    <t>Sprinklers</t>
  </si>
  <si>
    <t>Pr_70_55_98_87</t>
  </si>
  <si>
    <t>Tape lines and drippers</t>
  </si>
  <si>
    <t>Pr_70_55_98_92</t>
  </si>
  <si>
    <t>Ultrasonic mist makers</t>
  </si>
  <si>
    <t>90-15-90/457 Ultrasonic misters;</t>
  </si>
  <si>
    <t>Pr_70_55_98_94</t>
  </si>
  <si>
    <t>Washout hydrants</t>
  </si>
  <si>
    <t>Pr_70_55_98_95</t>
  </si>
  <si>
    <t>Waterfalls and cascades</t>
  </si>
  <si>
    <t>90-15-90/487 Waterfalls and cascades;</t>
  </si>
  <si>
    <t>Pr_70_55_98_96</t>
  </si>
  <si>
    <t>Water feature nozzles</t>
  </si>
  <si>
    <t>90-15-90/459 Water feature nozzles;</t>
  </si>
  <si>
    <t>Pr_70_60</t>
  </si>
  <si>
    <t>Space heating and cooling products</t>
  </si>
  <si>
    <t>Pr_70_60_14</t>
  </si>
  <si>
    <t>Climatic beams and ceilings</t>
  </si>
  <si>
    <t>Pr_70_60_14_02</t>
  </si>
  <si>
    <t>Active climatic beams</t>
  </si>
  <si>
    <t>90-40-15/310 Active climatic beams;</t>
  </si>
  <si>
    <t>Pr_70_60_14_14</t>
  </si>
  <si>
    <t>Climatic ceiling panels</t>
  </si>
  <si>
    <t>90-40-15/340 Climatic ceiling panels;</t>
  </si>
  <si>
    <t>Pr_70_60_14_55</t>
  </si>
  <si>
    <t>Multi-service climatic beams</t>
  </si>
  <si>
    <t>90-40-15/330 Multi-service climatic beams;</t>
  </si>
  <si>
    <t>Pr_70_60_14_60</t>
  </si>
  <si>
    <t>Passive climatic beams</t>
  </si>
  <si>
    <t>90-40-15/320 Passive climatic beams;</t>
  </si>
  <si>
    <t>Pr_70_60_36</t>
  </si>
  <si>
    <t>Heat emitters</t>
  </si>
  <si>
    <t>Pr_70_60_36_02</t>
  </si>
  <si>
    <t>Air curtains</t>
  </si>
  <si>
    <t>90-40-35/310 Air curtains;</t>
  </si>
  <si>
    <t>Pr_70_60_36_06</t>
  </si>
  <si>
    <t>Cabinet direct heaters</t>
  </si>
  <si>
    <t>Pr_70_60_36_08</t>
  </si>
  <si>
    <t>Cabinet indirect heaters</t>
  </si>
  <si>
    <t>90-40-35/325 Cabinet indirect heaters;</t>
  </si>
  <si>
    <t>Pr_70_60_36_15</t>
  </si>
  <si>
    <t>Constant wattage trace heating cables</t>
  </si>
  <si>
    <t>90-10-85/325 Constant wattage trace heating cables;</t>
  </si>
  <si>
    <t>Pr_70_60_36_22</t>
  </si>
  <si>
    <t>Decorative fuel effect gas fires</t>
  </si>
  <si>
    <t>90-40-35/350 Gas fires, decorative fuel effect;</t>
  </si>
  <si>
    <t>Pr_70_60_36_26</t>
  </si>
  <si>
    <t>Electric heated towel rails</t>
  </si>
  <si>
    <t>90-40-35/385 Heated towel rails, electric;</t>
  </si>
  <si>
    <t>Pr_70_60_36_27</t>
  </si>
  <si>
    <t>Electric cable underfloor heating elements</t>
  </si>
  <si>
    <t>90-40-35/492 Flexible cable electric underfloor heating elements;</t>
  </si>
  <si>
    <t>Pr_70_60_36_28</t>
  </si>
  <si>
    <t>Electric sheet underfloor heating elements</t>
  </si>
  <si>
    <t>90-40-35/495 Electric underfloor heating;</t>
  </si>
  <si>
    <t>Pr_70_60_36_29</t>
  </si>
  <si>
    <t>Equipment heaters</t>
  </si>
  <si>
    <t>Pr_70_60_36_30</t>
  </si>
  <si>
    <t>Fan convectors</t>
  </si>
  <si>
    <t>90-40-35/335 Fan convectors;</t>
  </si>
  <si>
    <t>Pr_70_60_36_33</t>
  </si>
  <si>
    <t>Gas fired unit heaters</t>
  </si>
  <si>
    <t>90-40-35/365 Gas fired unit heaters;</t>
  </si>
  <si>
    <t>Pr_70_60_36_35</t>
  </si>
  <si>
    <t>Gas fires</t>
  </si>
  <si>
    <t>90-40-35/345 Gas fires;</t>
  </si>
  <si>
    <t>Pr_70_60_36_42</t>
  </si>
  <si>
    <t>Inset live fuel effect gas fires</t>
  </si>
  <si>
    <t>90-40-35/355 Gas fires, inset live fuel effect;</t>
  </si>
  <si>
    <t>Pr_70_60_36_48</t>
  </si>
  <si>
    <t>Low temperature hot water (LTHW) heated towel rails</t>
  </si>
  <si>
    <t>90-40-35/380 Heated towel rails, LTHW;</t>
  </si>
  <si>
    <t>Pr_70_60_36_49</t>
  </si>
  <si>
    <t>Low temperature hot water (LTHW) underfloor heating</t>
  </si>
  <si>
    <t>Pr_70_60_36_52</t>
  </si>
  <si>
    <t>Mirror heaters</t>
  </si>
  <si>
    <t>Pr_70_60_36_56</t>
  </si>
  <si>
    <t>Natural convectors</t>
  </si>
  <si>
    <t>90-40-35/395 Natural convectors;</t>
  </si>
  <si>
    <t>Pr_70_60_36_60</t>
  </si>
  <si>
    <t>Points heater cables</t>
  </si>
  <si>
    <t>Pr_70_60_36_62</t>
  </si>
  <si>
    <t>Points heating kits</t>
  </si>
  <si>
    <t>Pr_70_60_36_64</t>
  </si>
  <si>
    <t>Power-limiting trace heating cables</t>
  </si>
  <si>
    <t>90-10-85/320 Power-limiting trace heating cables;</t>
  </si>
  <si>
    <t>Pr_70_60_36_70</t>
  </si>
  <si>
    <t>Radiant luminous heaters</t>
  </si>
  <si>
    <t>90-40-35/415 Radiant luminous heaters;</t>
  </si>
  <si>
    <t>Pr_70_60_36_71</t>
  </si>
  <si>
    <t>Radiant panels</t>
  </si>
  <si>
    <t>90-40-35/425 Radiant panels;</t>
  </si>
  <si>
    <t>Pr_70_60_36_72</t>
  </si>
  <si>
    <t>Radiant tube heaters</t>
  </si>
  <si>
    <t>90-40-35/435 Radiant tube heaters;</t>
  </si>
  <si>
    <t>Pr_70_60_36_73</t>
  </si>
  <si>
    <t>Radiators</t>
  </si>
  <si>
    <t>90-40-35/405 Radiators;</t>
  </si>
  <si>
    <t>Pr_70_60_36_74</t>
  </si>
  <si>
    <t>Room heaters</t>
  </si>
  <si>
    <t>90-40-35/450 Room heaters;</t>
  </si>
  <si>
    <t>Pr_70_60_36_76</t>
  </si>
  <si>
    <t>Self-regulating trace heating cables</t>
  </si>
  <si>
    <t>90-10-85/310 Self-regulating trace heating cables;</t>
  </si>
  <si>
    <t>Pr_70_60_36_77</t>
  </si>
  <si>
    <t>Series resistance trace heating cables and tapes</t>
  </si>
  <si>
    <t>90-10-85/330 Series resistance trace heating cables and tapes;</t>
  </si>
  <si>
    <t>Pr_70_60_36_80</t>
  </si>
  <si>
    <t>Solid fuel room heaters</t>
  </si>
  <si>
    <t>45-35-35/395 Solid fuel room heaters;</t>
  </si>
  <si>
    <t>Pr_70_60_36_88</t>
  </si>
  <si>
    <t>Thermal storage heaters</t>
  </si>
  <si>
    <t>90-40-35/460 Thermal storage heaters;</t>
  </si>
  <si>
    <t>Pr_70_60_36_90</t>
  </si>
  <si>
    <t>Trench convectors</t>
  </si>
  <si>
    <t>90-40-35/475 Trench heating;</t>
  </si>
  <si>
    <t>Pr_70_60_36_93</t>
  </si>
  <si>
    <t>Unit heaters</t>
  </si>
  <si>
    <t>90-40-35/485 Unit heaters;</t>
  </si>
  <si>
    <t>Pr_70_60_36_97</t>
  </si>
  <si>
    <t>Wood-burning stoves</t>
  </si>
  <si>
    <t>45-35-35/397 Wood burning stoves;</t>
  </si>
  <si>
    <t>Pr_70_60_37</t>
  </si>
  <si>
    <t>Heat pumps</t>
  </si>
  <si>
    <t>Pr_70_60_37_02</t>
  </si>
  <si>
    <t>Air to air heat pumps</t>
  </si>
  <si>
    <t>90-40-40/310 Air to air heat pumps;</t>
  </si>
  <si>
    <t>Pr_70_60_37_04</t>
  </si>
  <si>
    <t>Air to water heat pumps</t>
  </si>
  <si>
    <t>90-40-40/320 Air to water heat pumps;</t>
  </si>
  <si>
    <t>Pr_70_60_37_33</t>
  </si>
  <si>
    <t>Gas engine driven heat pumps</t>
  </si>
  <si>
    <t>90-40-40/330 Gas engine driven heat pumps;</t>
  </si>
  <si>
    <t>Pr_70_60_37_34</t>
  </si>
  <si>
    <t>Gas fired absorption heat pumps</t>
  </si>
  <si>
    <t>90-40-40/340 Gas fired absorption heat pumps;</t>
  </si>
  <si>
    <t>Pr_70_60_37_36</t>
  </si>
  <si>
    <t>Ground source heat pumps</t>
  </si>
  <si>
    <t>90-40-40/370 Ground heat exchangers;</t>
  </si>
  <si>
    <t>Pr_70_60_37_96</t>
  </si>
  <si>
    <t>Water to air heat pumps</t>
  </si>
  <si>
    <t>90-40-40/350 Water to air heat pumps;</t>
  </si>
  <si>
    <t>Pr_70_60_37_98</t>
  </si>
  <si>
    <t>Water to water heat pumps</t>
  </si>
  <si>
    <t>90-40-40/360 Water to water heat pumps;</t>
  </si>
  <si>
    <t>Pr_70_60_60</t>
  </si>
  <si>
    <t>Pavement heating products</t>
  </si>
  <si>
    <t>Pr_70_60_60_37</t>
  </si>
  <si>
    <t>Pavement heating cables</t>
  </si>
  <si>
    <t>90-40-70/300 Heating cable;</t>
  </si>
  <si>
    <t>Pr_70_60_60_38</t>
  </si>
  <si>
    <t>Pavement heating mats</t>
  </si>
  <si>
    <t>90-40-70/305 Heating mat;</t>
  </si>
  <si>
    <t>Pr_70_60_82</t>
  </si>
  <si>
    <t>Space heating fittings and equipment</t>
  </si>
  <si>
    <t>Pr_70_60_82_29</t>
  </si>
  <si>
    <t>Fenders</t>
  </si>
  <si>
    <t>Pr_70_60_82_30</t>
  </si>
  <si>
    <t>Fireplace hearths</t>
  </si>
  <si>
    <t>45-35-35/340 Fireplace hearths;</t>
  </si>
  <si>
    <t>Pr_70_60_82_31</t>
  </si>
  <si>
    <t>Fireplace hoods</t>
  </si>
  <si>
    <t>Pr_70_60_82_32</t>
  </si>
  <si>
    <t>Fireplace surrounds</t>
  </si>
  <si>
    <t>45-35-35/350 Fireplace surrounds;</t>
  </si>
  <si>
    <t>Pr_70_60_82_41</t>
  </si>
  <si>
    <t>Inset open fireplace firebacks</t>
  </si>
  <si>
    <t>45-80-50/378 Fireplace firebacks for inset open fires;</t>
  </si>
  <si>
    <t>Pr_70_60_82_42</t>
  </si>
  <si>
    <t>Inset open fireplace surrounds and hearths</t>
  </si>
  <si>
    <t>45-80-50/380 Fireplace surrounds and hearths for inset open fires;</t>
  </si>
  <si>
    <t>Pr_70_60_82_43</t>
  </si>
  <si>
    <t>Inset open fires</t>
  </si>
  <si>
    <t>45-35-35/370 Inset open fires;</t>
  </si>
  <si>
    <t>Pr_70_65</t>
  </si>
  <si>
    <t>Air and fume outlet products</t>
  </si>
  <si>
    <t>Pr_70_65_03</t>
  </si>
  <si>
    <t>Air conditioning units</t>
  </si>
  <si>
    <t>Pr_70_65_03_01</t>
  </si>
  <si>
    <t>Adiabatic coolers</t>
  </si>
  <si>
    <t>Pr_70_65_03_02</t>
  </si>
  <si>
    <t>Air cooled condensing units</t>
  </si>
  <si>
    <t>90-40-10/320 Air cooled condensing units;</t>
  </si>
  <si>
    <t>Pr_70_65_03_25</t>
  </si>
  <si>
    <t>Dry air coolers</t>
  </si>
  <si>
    <t>90-40-10/400 Dry air coolers;</t>
  </si>
  <si>
    <t>Pr_70_65_03_27</t>
  </si>
  <si>
    <t>Evaporative cooling units</t>
  </si>
  <si>
    <t>90-45-05/310 Evaporative cooling units;</t>
  </si>
  <si>
    <t>Pr_70_65_03_29</t>
  </si>
  <si>
    <t>Fan coil units</t>
  </si>
  <si>
    <t>90-45-05/320 Fan coil units;</t>
  </si>
  <si>
    <t>Pr_70_65_03_42</t>
  </si>
  <si>
    <t>Indoor refrigeration units</t>
  </si>
  <si>
    <t>90-40-10/420 Indoor refrigeration units;</t>
  </si>
  <si>
    <t>Pr_70_65_03_43</t>
  </si>
  <si>
    <t>Induction units</t>
  </si>
  <si>
    <t>90-45-05/330 Induction units;</t>
  </si>
  <si>
    <t>Pr_70_65_03_47</t>
  </si>
  <si>
    <t>Local air conditioning units</t>
  </si>
  <si>
    <t>90-45-05/340 Local air conditioning units;</t>
  </si>
  <si>
    <t>Pr_70_65_03_72</t>
  </si>
  <si>
    <t>Room air conditioning units</t>
  </si>
  <si>
    <t>90-45-05/350 Room air conditioning units;</t>
  </si>
  <si>
    <t>Pr_70_65_03_84</t>
  </si>
  <si>
    <t>Split coil remote air cooled condensing units</t>
  </si>
  <si>
    <t>90-45-05/370 Split coil remote air cooled condensing units;</t>
  </si>
  <si>
    <t>Pr_70_65_03_86</t>
  </si>
  <si>
    <t>Split coil room air conditioning units</t>
  </si>
  <si>
    <t>90-45-05/360 Split coil room air conditioning units;</t>
  </si>
  <si>
    <t>Pr_70_65_03_94</t>
  </si>
  <si>
    <t>Variable refrigerant flow units</t>
  </si>
  <si>
    <t>90-40-95/330 Indoor units;</t>
  </si>
  <si>
    <t>Pr_70_65_04</t>
  </si>
  <si>
    <t>Air terminals and diffusers</t>
  </si>
  <si>
    <t>Pr_70_65_04_02</t>
  </si>
  <si>
    <t>Air diffusers</t>
  </si>
  <si>
    <t>90-45-20/320 Diffusers;</t>
  </si>
  <si>
    <t>Pr_70_65_04_03</t>
  </si>
  <si>
    <t>Air grilles</t>
  </si>
  <si>
    <t>90-45-20/380 Grilles;</t>
  </si>
  <si>
    <t>Pr_70_65_04_04</t>
  </si>
  <si>
    <t>Air plenum boxes</t>
  </si>
  <si>
    <t>90-45-20/400 Ceiling or wall mounted plenum boxes;</t>
  </si>
  <si>
    <t>Pr_70_65_04_22</t>
  </si>
  <si>
    <t>Displacement ventilation diffusers</t>
  </si>
  <si>
    <t>90-45-20/330 Displacement ventilation diffusers;</t>
  </si>
  <si>
    <t>Pr_70_65_04_24</t>
  </si>
  <si>
    <t>Domestic air diffusers and grilles</t>
  </si>
  <si>
    <t>90-45-20/325 Domestic air diffusers and grilles;</t>
  </si>
  <si>
    <t>Pr_70_65_04_25</t>
  </si>
  <si>
    <t>Dual duct variable air volume (VAV) terminal units</t>
  </si>
  <si>
    <t>Pr_70_65_04_28</t>
  </si>
  <si>
    <t>External wall grilles</t>
  </si>
  <si>
    <t>90-45-20/385 External wall grilles;</t>
  </si>
  <si>
    <t>Pr_70_65_04_30</t>
  </si>
  <si>
    <t>Floor linear air diffusers</t>
  </si>
  <si>
    <t>90-45-20/340 Floor linear diffusers;</t>
  </si>
  <si>
    <t>Pr_70_65_04_32</t>
  </si>
  <si>
    <t>Floor-mounted air plenum boxes</t>
  </si>
  <si>
    <t>90-45-20/410 Floor mounted plenum boxes;</t>
  </si>
  <si>
    <t>Pr_70_65_04_44</t>
  </si>
  <si>
    <t>Jet diffusers</t>
  </si>
  <si>
    <t>Pr_70_65_04_46</t>
  </si>
  <si>
    <t>Laminar flow panels</t>
  </si>
  <si>
    <t>90-45-20/390 Laminar flow panels;</t>
  </si>
  <si>
    <t>Pr_70_65_04_48</t>
  </si>
  <si>
    <t>Linear air diffusers</t>
  </si>
  <si>
    <t>90-45-20/350 Linear diffusers;</t>
  </si>
  <si>
    <t>Pr_70_65_04_53</t>
  </si>
  <si>
    <t>Modular cassette ventilated ceilings</t>
  </si>
  <si>
    <t>90-45-20/470 Ventilated ceilings for kitchens;</t>
  </si>
  <si>
    <t>Pr_70_65_04_56</t>
  </si>
  <si>
    <t>Natural smoke and heat exhaust ventilators</t>
  </si>
  <si>
    <t>90-45-80/340 Natural smoke and heat exhaust ventilators;</t>
  </si>
  <si>
    <t>Pr_70_65_04_73</t>
  </si>
  <si>
    <t>Roof ridge air terminals</t>
  </si>
  <si>
    <t>90-45-20/420 Roof ridge terminals;</t>
  </si>
  <si>
    <t>Pr_70_65_04_75</t>
  </si>
  <si>
    <t>Roof slope air terminals</t>
  </si>
  <si>
    <t>90-45-20/430 Roof slope terminals;</t>
  </si>
  <si>
    <t>Pr_70_65_04_76</t>
  </si>
  <si>
    <t>Roof stack air terminals</t>
  </si>
  <si>
    <t>90-45-20/440 Roof stack terminals;</t>
  </si>
  <si>
    <t>Pr_70_65_04_77</t>
  </si>
  <si>
    <t>Roof ventilator cowls</t>
  </si>
  <si>
    <t>Pr_70_65_04_84</t>
  </si>
  <si>
    <t>Specialist air terminals</t>
  </si>
  <si>
    <t>90-45-20/450 Specialist air terminal devices;</t>
  </si>
  <si>
    <t>Pr_70_65_04_86</t>
  </si>
  <si>
    <t>Swirl air diffusers</t>
  </si>
  <si>
    <t>90-45-20/360 Swirl diffusers;</t>
  </si>
  <si>
    <t>Pr_70_65_04_88</t>
  </si>
  <si>
    <t>Terminal fan units</t>
  </si>
  <si>
    <t>90-45-05/380 Terminal fan units;</t>
  </si>
  <si>
    <t>Pr_70_65_04_91</t>
  </si>
  <si>
    <t>Variable air volume (VAV) fan assisted and heated terminal units</t>
  </si>
  <si>
    <t>Pr_70_65_04_92</t>
  </si>
  <si>
    <t>Variable air volume (VAV) heated terminal units</t>
  </si>
  <si>
    <t>Pr_70_65_04_93</t>
  </si>
  <si>
    <t>Variable air volume (VAV) fan assisted terminal units</t>
  </si>
  <si>
    <t>Pr_70_65_04_94</t>
  </si>
  <si>
    <t>Variable air volume (VAV) terminal units</t>
  </si>
  <si>
    <t>Pr_70_65_04_95</t>
  </si>
  <si>
    <t>Ventilated ceilings</t>
  </si>
  <si>
    <t>90-45-20/460 Ventilated ceilings;</t>
  </si>
  <si>
    <t>Pr_70_65_30</t>
  </si>
  <si>
    <t>Flues and chimneys</t>
  </si>
  <si>
    <t>Pr_70_65_30_14</t>
  </si>
  <si>
    <t>Clay chimney pots</t>
  </si>
  <si>
    <t>45-80-50/374 Clay chimney pots;</t>
  </si>
  <si>
    <t>Pr_70_65_30_15</t>
  </si>
  <si>
    <t>Clay flue liner terminals</t>
  </si>
  <si>
    <t>45-80-50/376 Clay flue liner terminals;</t>
  </si>
  <si>
    <t>Pr_70_65_30_16</t>
  </si>
  <si>
    <t>Concrete chimney pots</t>
  </si>
  <si>
    <t>Pr_70_65_30_30</t>
  </si>
  <si>
    <t>Flue liners</t>
  </si>
  <si>
    <t>90-40-30/320 Liners;</t>
  </si>
  <si>
    <t>Pr_70_65_30_32</t>
  </si>
  <si>
    <t>Fume extract discharge stacks</t>
  </si>
  <si>
    <t>90-45-40/430 Discharge stack;</t>
  </si>
  <si>
    <t>Pr_70_65_30_51</t>
  </si>
  <si>
    <t>Metal flues and chimneys</t>
  </si>
  <si>
    <t>90-40-30/310 Metal flues and chimneys;</t>
  </si>
  <si>
    <t>Pr_70_65_30_84</t>
  </si>
  <si>
    <t>Stainless steel chimney pots</t>
  </si>
  <si>
    <t>Pr_70_70</t>
  </si>
  <si>
    <t>Power and lighting outlet products</t>
  </si>
  <si>
    <t>Pr_70_70_46</t>
  </si>
  <si>
    <t>Lamps</t>
  </si>
  <si>
    <t>Pr_70_70_46_15</t>
  </si>
  <si>
    <t>Compact fluorescent lamps</t>
  </si>
  <si>
    <t>90-60-50-330 Two and four pin compact fluorescent lamps;</t>
  </si>
  <si>
    <t>Pr_70_70_46_24</t>
  </si>
  <si>
    <t>Double capped tubular LED lamps</t>
  </si>
  <si>
    <t>90-60-50/337 Double capped tubular LED lamps;</t>
  </si>
  <si>
    <t>Pr_70_70_46_30</t>
  </si>
  <si>
    <t>Fluorescent lamps</t>
  </si>
  <si>
    <t>90-60-50/325 Tubular fluorescent lamps;</t>
  </si>
  <si>
    <t>Pr_70_70_46_36</t>
  </si>
  <si>
    <t>High pressure mercury vapour lamps</t>
  </si>
  <si>
    <t>Pr_70_70_46_37</t>
  </si>
  <si>
    <t>High pressure sodium vapour lamps</t>
  </si>
  <si>
    <t>90-60-50/345 High pressure sodium lamps;</t>
  </si>
  <si>
    <t>Pr_70_70_46_41</t>
  </si>
  <si>
    <t>Induction lamps</t>
  </si>
  <si>
    <t>90-60-50-360 Induction lamps;</t>
  </si>
  <si>
    <t>Pr_70_70_46_42</t>
  </si>
  <si>
    <t>Infrared lamps</t>
  </si>
  <si>
    <t>Pr_70_70_46_44</t>
  </si>
  <si>
    <t>Light-emitting diode (LED) lamps</t>
  </si>
  <si>
    <t>Pr_70_70_46_45</t>
  </si>
  <si>
    <t>Low pressure sodium vapour lamps</t>
  </si>
  <si>
    <t>Pr_70_70_46_52</t>
  </si>
  <si>
    <t>Metal halide lamps</t>
  </si>
  <si>
    <t>90-60-50/340 Metal halide lamps;</t>
  </si>
  <si>
    <t>Pr_70_70_46_77</t>
  </si>
  <si>
    <t>Self ballasted compact fluorescent lamps</t>
  </si>
  <si>
    <t>Pr_70_70_46_78</t>
  </si>
  <si>
    <t>Self ballasted LED lamps</t>
  </si>
  <si>
    <t>90-60-50/336 Self-ballasted LED lamps;</t>
  </si>
  <si>
    <t>Pr_70_70_46_80</t>
  </si>
  <si>
    <t>Special lamps</t>
  </si>
  <si>
    <t>Pr_70_70_46_89</t>
  </si>
  <si>
    <t>Tungsten filament lamps</t>
  </si>
  <si>
    <t>Pr_70_70_46_90</t>
  </si>
  <si>
    <t>Tungsten halogen lamps</t>
  </si>
  <si>
    <t>Pr_70_70_47</t>
  </si>
  <si>
    <t>Lighting controls and lighting distribution products</t>
  </si>
  <si>
    <t>Pr_70_70_47_02</t>
  </si>
  <si>
    <t>Automatic emergency lighting test panels</t>
  </si>
  <si>
    <t>90-65-05/400 Automatic emergency lighting test panels;</t>
  </si>
  <si>
    <t>Pr_70_70_47_12</t>
  </si>
  <si>
    <t>Centralized lighting controllers</t>
  </si>
  <si>
    <t>90-65-05/405 Central controllers;</t>
  </si>
  <si>
    <t>Pr_70_70_47_16</t>
  </si>
  <si>
    <t>Combined daylight and occupancy detectors</t>
  </si>
  <si>
    <t>90-65-05/410 Combined daylight and occupancy detectors;</t>
  </si>
  <si>
    <t>Pr_70_70_47_21</t>
  </si>
  <si>
    <t>Daylight sensors</t>
  </si>
  <si>
    <t>90-65-05/415 Daylight sensors;</t>
  </si>
  <si>
    <t>Pr_70_70_47_27</t>
  </si>
  <si>
    <t>Extra low voltage lighting transformers</t>
  </si>
  <si>
    <t>90-60-50-470 Separated extra-low voltage lighting transformers;</t>
  </si>
  <si>
    <t>Pr_70_70_47_28</t>
  </si>
  <si>
    <t>Extra low voltage occupancy detectors</t>
  </si>
  <si>
    <t>90-65-05/420 Extra-low voltage occupancy detectors;</t>
  </si>
  <si>
    <t>Pr_70_70_47_47</t>
  </si>
  <si>
    <t>Luminaire changeover relays</t>
  </si>
  <si>
    <t>90-60-50/445 Luminaire changeover relays;</t>
  </si>
  <si>
    <t>Pr_70_70_47_48</t>
  </si>
  <si>
    <t>Luminaire hold-off relays</t>
  </si>
  <si>
    <t>90-60-50/460 Hold-off relays;</t>
  </si>
  <si>
    <t>Pr_70_70_47_49</t>
  </si>
  <si>
    <t>Luminaire inverter modules</t>
  </si>
  <si>
    <t>90-60-50/450 Luminaire inverter modules;</t>
  </si>
  <si>
    <t>Pr_70_70_47_50</t>
  </si>
  <si>
    <t>Luminaire sub-circuit relays</t>
  </si>
  <si>
    <t>90-60-50/465 Sub-circuit relays;</t>
  </si>
  <si>
    <t>Pr_70_70_47_51</t>
  </si>
  <si>
    <t>Mains voltage occupancy detectors</t>
  </si>
  <si>
    <t>90-65-05/425 Mains voltage occupancy detectors;</t>
  </si>
  <si>
    <t>Pr_70_70_47_62</t>
  </si>
  <si>
    <t>Photoelectric control units</t>
  </si>
  <si>
    <t>90-65-05/430 Photoelectric control units;</t>
  </si>
  <si>
    <t>Pr_70_70_47_71</t>
  </si>
  <si>
    <t>Remote infrared lighting commissioning controllers</t>
  </si>
  <si>
    <t>Pr_70_70_47_72</t>
  </si>
  <si>
    <t>Remote infrared lighting user controllers</t>
  </si>
  <si>
    <t>90-65-05/435 Remote infrared controllers;</t>
  </si>
  <si>
    <t>Pr_70_70_48</t>
  </si>
  <si>
    <t>Luminaires, lighting track and lighting accessories</t>
  </si>
  <si>
    <t>Pr_70_70_48_02</t>
  </si>
  <si>
    <t>Area floodlights</t>
  </si>
  <si>
    <t>90-60-50/382 Floodlights;</t>
  </si>
  <si>
    <t>Pr_70_70_48_13</t>
  </si>
  <si>
    <t>Chandeliers</t>
  </si>
  <si>
    <t>Pr_70_70_48_16</t>
  </si>
  <si>
    <t>Combined emergency luminaires</t>
  </si>
  <si>
    <t>90-60-50/380 Emergency luminaires;</t>
  </si>
  <si>
    <t>Pr_70_70_48_23</t>
  </si>
  <si>
    <t>Dedicated slave emergency luminaires</t>
  </si>
  <si>
    <t>Pr_70_70_48_24</t>
  </si>
  <si>
    <t>Downlights</t>
  </si>
  <si>
    <t>Pr_70_70_48_26</t>
  </si>
  <si>
    <t>Electrical low mounted way-guidance lighting module housings</t>
  </si>
  <si>
    <t>90-60-50/480 Electrical low mounted way-guidance lighting module housings;</t>
  </si>
  <si>
    <t>Pr_70_70_48_27</t>
  </si>
  <si>
    <t>Electrical low mounted way-guidance lighting modules</t>
  </si>
  <si>
    <t>90-60-50/475 Electrical low mounted way-guidance lighting modules;</t>
  </si>
  <si>
    <t>Pr_70_70_48_28</t>
  </si>
  <si>
    <t>Electrical low mounted way-guidance lighting supply units</t>
  </si>
  <si>
    <t>90-60-50/485 Electrical low mounted way-guidance lighting supply units;</t>
  </si>
  <si>
    <t>Pr_70_70_48_29</t>
  </si>
  <si>
    <t>Electronic ballasts</t>
  </si>
  <si>
    <t>Pr_70_70_48_30</t>
  </si>
  <si>
    <t>Electronic starters</t>
  </si>
  <si>
    <t>Pr_70_70_48_32</t>
  </si>
  <si>
    <t>Free standing luminaires</t>
  </si>
  <si>
    <t>Pr_70_70_48_35</t>
  </si>
  <si>
    <t>Ground mounted luminaires</t>
  </si>
  <si>
    <t>90-60-50/384 Ground recessed luminaires;</t>
  </si>
  <si>
    <t>Pr_70_70_48_36</t>
  </si>
  <si>
    <t>Hazardous area luminaires</t>
  </si>
  <si>
    <t>Pr_70_70_48_45</t>
  </si>
  <si>
    <t>LED light panels</t>
  </si>
  <si>
    <t>Pr_70_70_48_46</t>
  </si>
  <si>
    <t>Light-emitting diode (LED) luminaires</t>
  </si>
  <si>
    <t>Pr_70_70_48_47</t>
  </si>
  <si>
    <t>Lighting tracks</t>
  </si>
  <si>
    <t>90-60-50-430 Lighting tracks;</t>
  </si>
  <si>
    <t>Pr_70_70_48_48</t>
  </si>
  <si>
    <t>Luminaire smoke hoods</t>
  </si>
  <si>
    <t>90-60-50/455 Luminaire smoke hoods;</t>
  </si>
  <si>
    <t>Pr_70_70_48_59</t>
  </si>
  <si>
    <t>Optical fibre emergency luminaires</t>
  </si>
  <si>
    <t>90-60-50/425 Optical fibre emergency luminaires;</t>
  </si>
  <si>
    <t>Pr_70_70_48_62</t>
  </si>
  <si>
    <t>Pendant luminaires</t>
  </si>
  <si>
    <t>Pr_70_70_48_65</t>
  </si>
  <si>
    <t>Post top lanterns</t>
  </si>
  <si>
    <t>Pr_70_70_48_71</t>
  </si>
  <si>
    <t>Recessed luminaires</t>
  </si>
  <si>
    <t>90-60-50/386 Recessed luminaires;</t>
  </si>
  <si>
    <t>Pr_70_70_48_73</t>
  </si>
  <si>
    <t>Road lighting luminaires</t>
  </si>
  <si>
    <t>90-60-50/388 Road and amenity lighting luminaires;</t>
  </si>
  <si>
    <t>Pr_70_70_48_77</t>
  </si>
  <si>
    <t>Self-contained emergency luminaires</t>
  </si>
  <si>
    <t>Pr_70_70_48_80</t>
  </si>
  <si>
    <t>Sockets for demountable lighting</t>
  </si>
  <si>
    <t>Pr_70_70_48_82</t>
  </si>
  <si>
    <t>Spot lights</t>
  </si>
  <si>
    <t>Pr_70_70_48_85</t>
  </si>
  <si>
    <t>Surface luminaires</t>
  </si>
  <si>
    <t>90-60-50/390 Surface luminaires;</t>
  </si>
  <si>
    <t>Pr_70_70_48_86</t>
  </si>
  <si>
    <t>Suspended luminaires</t>
  </si>
  <si>
    <t>90-60-50/392 Suspended luminaires;</t>
  </si>
  <si>
    <t>Pr_70_70_48_92</t>
  </si>
  <si>
    <t>Underwater luminaires</t>
  </si>
  <si>
    <t>90-60-50/394 Underwater luminaires;</t>
  </si>
  <si>
    <t>Pr_70_70_48_93</t>
  </si>
  <si>
    <t>Uplights</t>
  </si>
  <si>
    <t>Pr_70_70_70</t>
  </si>
  <si>
    <t>Rail power products</t>
  </si>
  <si>
    <t>Pr_70_70_70_15</t>
  </si>
  <si>
    <t>Conductor rail power connectors</t>
  </si>
  <si>
    <t>Pr_70_75</t>
  </si>
  <si>
    <t>Communications products</t>
  </si>
  <si>
    <t>Pr_70_75_01</t>
  </si>
  <si>
    <t>Aeronautical lighting products</t>
  </si>
  <si>
    <t>Pr_70_75_01_01</t>
  </si>
  <si>
    <t>Aeronautical ground lighting</t>
  </si>
  <si>
    <t>90-70-02/315 Aeronautical ground light;</t>
  </si>
  <si>
    <t>Pr_70_75_01_02</t>
  </si>
  <si>
    <t>Airfield guidance signs</t>
  </si>
  <si>
    <t>Pr_70_75_01_03</t>
  </si>
  <si>
    <t>Azimuth guidance for nose-in stand (AGNIS) lights</t>
  </si>
  <si>
    <t>Pr_70_75_01_13</t>
  </si>
  <si>
    <t>Constant current regulators</t>
  </si>
  <si>
    <t>Pr_70_75_01_47</t>
  </si>
  <si>
    <t>Lighting beacons</t>
  </si>
  <si>
    <t>90-70-02/305 Lighting beacon;</t>
  </si>
  <si>
    <t>Pr_70_75_01_65</t>
  </si>
  <si>
    <t>Precision approach path indicators (PAPI)</t>
  </si>
  <si>
    <t>90-70-02/300 Precision approach path indicator;</t>
  </si>
  <si>
    <t>Pr_70_75_01_70</t>
  </si>
  <si>
    <t>Runway and taxiway elevated lights</t>
  </si>
  <si>
    <t>Pr_70_75_01_71</t>
  </si>
  <si>
    <t>Runway and taxiway inset lights</t>
  </si>
  <si>
    <t>Pr_70_75_04</t>
  </si>
  <si>
    <t>Audio, data and visual outlet plates and controllers</t>
  </si>
  <si>
    <t>Pr_70_75_04_03</t>
  </si>
  <si>
    <t>Audio interface adaptors</t>
  </si>
  <si>
    <t>Pr_70_75_04_06</t>
  </si>
  <si>
    <t>Balanced twisted-pair cable outlet plates</t>
  </si>
  <si>
    <t>90-60-25/455 Balanced twisted-pair cable outlets;</t>
  </si>
  <si>
    <t>Pr_70_75_04_25</t>
  </si>
  <si>
    <t>DVI outlet plates</t>
  </si>
  <si>
    <t>Pr_70_75_04_29</t>
  </si>
  <si>
    <t>Fibre optic cable outlet plates</t>
  </si>
  <si>
    <t>90-60-25/460 Fibre optic cable outlets;</t>
  </si>
  <si>
    <t>Pr_70_75_04_37</t>
  </si>
  <si>
    <t>HDMI outlet plates</t>
  </si>
  <si>
    <t>Pr_70_75_04_42</t>
  </si>
  <si>
    <t>Input and output control port expanders</t>
  </si>
  <si>
    <t>Pr_70_75_04_52</t>
  </si>
  <si>
    <t>Modular jacks</t>
  </si>
  <si>
    <t>90-60-25/470 Modular jacks;</t>
  </si>
  <si>
    <t>Pr_70_75_04_70</t>
  </si>
  <si>
    <t>RCA outlet plates</t>
  </si>
  <si>
    <t>Pr_70_75_04_71</t>
  </si>
  <si>
    <t>RJ-45 to BT plug adaptors</t>
  </si>
  <si>
    <t>90-60-25/465 RJ-45 to BT plug adaptors;</t>
  </si>
  <si>
    <t>Pr_70_75_04_85</t>
  </si>
  <si>
    <t>SVGA outlet plates</t>
  </si>
  <si>
    <t>Pr_70_75_04_88</t>
  </si>
  <si>
    <t>Telecommunications outlet plates</t>
  </si>
  <si>
    <t>90-60-25/450 Telecommunication outlets;</t>
  </si>
  <si>
    <t>Pr_70_75_04_90</t>
  </si>
  <si>
    <t>Television outlet plates</t>
  </si>
  <si>
    <t>90-60-25/445 Television outlets;</t>
  </si>
  <si>
    <t>Pr_70_75_04_94</t>
  </si>
  <si>
    <t>Volume controllers</t>
  </si>
  <si>
    <t>Pr_70_75_04_99</t>
  </si>
  <si>
    <t>XLR outlet plates</t>
  </si>
  <si>
    <t>Pr_70_75_36</t>
  </si>
  <si>
    <t>Hearing and assisted listening products</t>
  </si>
  <si>
    <t>Pr_70_75_36_08</t>
  </si>
  <si>
    <t>Bodypack receivers</t>
  </si>
  <si>
    <t>90-70-35-380 Bodypack receivers;</t>
  </si>
  <si>
    <t>Pr_70_75_36_36</t>
  </si>
  <si>
    <t>Headphones</t>
  </si>
  <si>
    <t>90-70-10/335 Headsets and headphones;</t>
  </si>
  <si>
    <t>Pr_70_75_36_37</t>
  </si>
  <si>
    <t>Headsets</t>
  </si>
  <si>
    <t>Pr_70_75_36_40</t>
  </si>
  <si>
    <t>Induction loop amplifiers</t>
  </si>
  <si>
    <t>90-70-35/320 Induction loop amplifiers;</t>
  </si>
  <si>
    <t>Pr_70_75_36_41</t>
  </si>
  <si>
    <t>Induction loop pads</t>
  </si>
  <si>
    <t>90-70-35/310 Induction loop pads;</t>
  </si>
  <si>
    <t>Pr_70_75_36_42</t>
  </si>
  <si>
    <t>Induction loop signal generators</t>
  </si>
  <si>
    <t>90-70-35/350 Induction loop signal generator;</t>
  </si>
  <si>
    <t>Pr_70_75_36_43</t>
  </si>
  <si>
    <t>Induction loop transformers</t>
  </si>
  <si>
    <t>90-70-35/360 Induction loop transformers;</t>
  </si>
  <si>
    <t>Pr_70_75_36_44</t>
  </si>
  <si>
    <t>Induction neck loops</t>
  </si>
  <si>
    <t>90-70-35/330 Induction neck loops;</t>
  </si>
  <si>
    <t>Pr_70_75_36_45</t>
  </si>
  <si>
    <t>Induction-loop monitor receivers</t>
  </si>
  <si>
    <t>90-70-35/340 Induction-loop monitor receivers;</t>
  </si>
  <si>
    <t>Pr_70_75_36_46</t>
  </si>
  <si>
    <t>Induction loop reassurance indicators</t>
  </si>
  <si>
    <t>90-70-35-365 Induction loop reassurance indicators;</t>
  </si>
  <si>
    <t>Pr_70_75_36_47</t>
  </si>
  <si>
    <t>Infrared hearing and assisted listening modulators</t>
  </si>
  <si>
    <t>90-70-35-400 Modulators;</t>
  </si>
  <si>
    <t>Pr_70_75_36_48</t>
  </si>
  <si>
    <t>Infrared hearing and assisted listening radiators</t>
  </si>
  <si>
    <t>90-70-35-410 Infrared radiators;</t>
  </si>
  <si>
    <t>Pr_70_75_36_50</t>
  </si>
  <si>
    <t>Loudspeakers</t>
  </si>
  <si>
    <t>90-70-10/435 Loudspeakers;</t>
  </si>
  <si>
    <t>Pr_70_75_36_51</t>
  </si>
  <si>
    <t>Loudspeaker end of line units</t>
  </si>
  <si>
    <t>Pr_70_75_36_64</t>
  </si>
  <si>
    <t>Portable communicators</t>
  </si>
  <si>
    <t>90-70-05/420 Portable communicators;</t>
  </si>
  <si>
    <t>Pr_70_75_36_84</t>
  </si>
  <si>
    <t>Stethosets</t>
  </si>
  <si>
    <t>90-70-35/390 Stethosets;</t>
  </si>
  <si>
    <t>Pr_70_75_50</t>
  </si>
  <si>
    <t>Marine signals and indicators</t>
  </si>
  <si>
    <t>Pr_70_75_50_56</t>
  </si>
  <si>
    <t>Navigation signal buoys</t>
  </si>
  <si>
    <t>Pr_70_75_52</t>
  </si>
  <si>
    <t>Mesh network products</t>
  </si>
  <si>
    <t>Pr_70_75_52_01</t>
  </si>
  <si>
    <t>3G gateway modems</t>
  </si>
  <si>
    <t>Pr_70_75_52_42</t>
  </si>
  <si>
    <t>Intelligent access points (IAPs)</t>
  </si>
  <si>
    <t>90-70-50/305 Intelligent access point;</t>
  </si>
  <si>
    <t>Pr_70_75_52_50</t>
  </si>
  <si>
    <t>Mesh wireless routers</t>
  </si>
  <si>
    <t>90-70-50/300 Mesh wireless router;</t>
  </si>
  <si>
    <t>Pr_70_75_52_56</t>
  </si>
  <si>
    <t>Network switches</t>
  </si>
  <si>
    <t>Pr_70_75_52_64</t>
  </si>
  <si>
    <t>Power over ethernet (POE) network switches</t>
  </si>
  <si>
    <t>Pr_70_75_52_88</t>
  </si>
  <si>
    <t>Tilt sensor nodes</t>
  </si>
  <si>
    <t>Pr_70_75_52_92</t>
  </si>
  <si>
    <t>USB gateway modems</t>
  </si>
  <si>
    <t>Pr_70_75_52_96</t>
  </si>
  <si>
    <t>Wireless sensor nodes</t>
  </si>
  <si>
    <t>Pr_70_75_69</t>
  </si>
  <si>
    <t>Radio communications products</t>
  </si>
  <si>
    <t>Pr_70_75_69_70</t>
  </si>
  <si>
    <t>Radio base stations</t>
  </si>
  <si>
    <t>90-70-65/300 Radio base station;</t>
  </si>
  <si>
    <t>Pr_70_75_70</t>
  </si>
  <si>
    <t>Rail signals, indicators and controls</t>
  </si>
  <si>
    <t>Pr_70_75_70_03</t>
  </si>
  <si>
    <t>Automatic warning signals</t>
  </si>
  <si>
    <t>90-70-70/365 Automatic warning system;</t>
  </si>
  <si>
    <t>Pr_70_75_70_05</t>
  </si>
  <si>
    <t>Axle counters</t>
  </si>
  <si>
    <t>90-70-70/350 Axle counter;</t>
  </si>
  <si>
    <t>Pr_70_75_70_06</t>
  </si>
  <si>
    <t>Banner repeater signals</t>
  </si>
  <si>
    <t>90-70-70/330 Banner repeater signal;</t>
  </si>
  <si>
    <t>Pr_70_75_70_07</t>
  </si>
  <si>
    <t>Balises</t>
  </si>
  <si>
    <t>Pr_70_75_70_14</t>
  </si>
  <si>
    <t>Colour light signals</t>
  </si>
  <si>
    <t>90-70-70/300 Colour light signal;</t>
  </si>
  <si>
    <t>Pr_70_75_70_41</t>
  </si>
  <si>
    <t>In-cab signalling displays</t>
  </si>
  <si>
    <t>Pr_70_75_70_44</t>
  </si>
  <si>
    <t>Junction indicators</t>
  </si>
  <si>
    <t>90-70-70/305 Junction indicator;</t>
  </si>
  <si>
    <t>Pr_70_75_70_47</t>
  </si>
  <si>
    <t>Limit of shunt signals</t>
  </si>
  <si>
    <t>90-70-70/320 Limit of shunt signal;</t>
  </si>
  <si>
    <t>Pr_70_75_70_60</t>
  </si>
  <si>
    <t>Platform repeaters</t>
  </si>
  <si>
    <t>Pr_70_75_70_61</t>
  </si>
  <si>
    <t>Points detection equipment</t>
  </si>
  <si>
    <t>Pr_70_75_70_62</t>
  </si>
  <si>
    <t>Points converter devices</t>
  </si>
  <si>
    <t>Pr_70_75_70_63</t>
  </si>
  <si>
    <t>Points operating equipment</t>
  </si>
  <si>
    <t>90-70-70/360 Point machine;</t>
  </si>
  <si>
    <t>Pr_70_75_70_64</t>
  </si>
  <si>
    <t>Position light signals</t>
  </si>
  <si>
    <t>90-70-70/315 Position light signal;</t>
  </si>
  <si>
    <t>Pr_70_75_70_65</t>
  </si>
  <si>
    <t>Possession limit boards</t>
  </si>
  <si>
    <t>90-70-70/325 Possession limit board;</t>
  </si>
  <si>
    <t>Pr_70_75_70_70</t>
  </si>
  <si>
    <t>Rail gap indicator signals</t>
  </si>
  <si>
    <t>Pr_70_75_70_72</t>
  </si>
  <si>
    <t>Route indicators</t>
  </si>
  <si>
    <t>90-70-70/310 Route indicator;</t>
  </si>
  <si>
    <t>Pr_70_75_70_76</t>
  </si>
  <si>
    <t>Semaphore disc signals</t>
  </si>
  <si>
    <t>90-70-70/340 Semaphore disc signal;</t>
  </si>
  <si>
    <t>Pr_70_75_70_77</t>
  </si>
  <si>
    <t>Semaphore signals</t>
  </si>
  <si>
    <t>90-70-70/335 Semaphore signal;</t>
  </si>
  <si>
    <t>Pr_70_75_70_78</t>
  </si>
  <si>
    <t>Semaphore subsidiary signals</t>
  </si>
  <si>
    <t>90-70-70/345 Semaphore subsidiary signal;</t>
  </si>
  <si>
    <t>Pr_70_75_70_80</t>
  </si>
  <si>
    <t>Signalling relays</t>
  </si>
  <si>
    <t>Pr_70_75_70_89</t>
  </si>
  <si>
    <t>Track circuits</t>
  </si>
  <si>
    <t>90-70-70/355 Track circuit;</t>
  </si>
  <si>
    <t>Pr_70_75_70_90</t>
  </si>
  <si>
    <t>Train protection warning signals</t>
  </si>
  <si>
    <t>90-70-70/370 Train protection warning system;</t>
  </si>
  <si>
    <t>Pr_70_75_70_91</t>
  </si>
  <si>
    <t>Treadles</t>
  </si>
  <si>
    <t>Pr_70_75_72</t>
  </si>
  <si>
    <t>Road traffic and pedestrian control signals</t>
  </si>
  <si>
    <t>Pr_70_75_72_01</t>
  </si>
  <si>
    <t>Above ground vehicle detection products</t>
  </si>
  <si>
    <t>90-65-90/300 Above ground vehicle detection product;</t>
  </si>
  <si>
    <t>Pr_70_75_72_07</t>
  </si>
  <si>
    <t>Belisha beacons</t>
  </si>
  <si>
    <t>Pr_70_75_72_22</t>
  </si>
  <si>
    <t>Detector loops</t>
  </si>
  <si>
    <t>90-65-90/305 Detector loop;</t>
  </si>
  <si>
    <t>Pr_70_75_72_30</t>
  </si>
  <si>
    <t>Fixed vertical road traffic signs</t>
  </si>
  <si>
    <t>Pr_70_75_72_48</t>
  </si>
  <si>
    <t>Level crossing signals</t>
  </si>
  <si>
    <t>Pr_70_75_72_49</t>
  </si>
  <si>
    <t>Mass detectors</t>
  </si>
  <si>
    <t>90-65-90/310 Mass detector;</t>
  </si>
  <si>
    <t>Pr_70_75_72_50</t>
  </si>
  <si>
    <t>Motorway lane signals</t>
  </si>
  <si>
    <t>90-70-92/450 Motorway lane signal;</t>
  </si>
  <si>
    <t>Pr_70_75_72_51</t>
  </si>
  <si>
    <t>Motorway signal mark 1</t>
  </si>
  <si>
    <t>90-70-92/420 Motorway signal mark 1;</t>
  </si>
  <si>
    <t>Pr_70_75_72_53</t>
  </si>
  <si>
    <t>Motorway signal mark 3</t>
  </si>
  <si>
    <t>90-70-92/430 Motorway signal mark 3;</t>
  </si>
  <si>
    <t>Pr_70_75_72_54</t>
  </si>
  <si>
    <t>Motorway signal mark 4</t>
  </si>
  <si>
    <t>90-70-92/440 Motorway signal mark 4;</t>
  </si>
  <si>
    <t>Pr_70_75_72_60</t>
  </si>
  <si>
    <t>Pedestrian signal controllers</t>
  </si>
  <si>
    <t>Pr_70_75_72_61</t>
  </si>
  <si>
    <t>Pedestrian crossing signals</t>
  </si>
  <si>
    <t>90-70-92/315 Pedestrian crossing signal;</t>
  </si>
  <si>
    <t>Pr_70_75_72_80</t>
  </si>
  <si>
    <t>Solar powered illuminated bollards</t>
  </si>
  <si>
    <t>Pr_70_75_72_87</t>
  </si>
  <si>
    <t>Traffic signal controller units</t>
  </si>
  <si>
    <t>90-70-92/410 Traffic signal control unit;</t>
  </si>
  <si>
    <t>Pr_70_75_72_89</t>
  </si>
  <si>
    <t>Transilluminated traffic bollards</t>
  </si>
  <si>
    <t>Pr_70_75_72_92</t>
  </si>
  <si>
    <t>Urban traffic management signs</t>
  </si>
  <si>
    <t>Pr_70_75_72_94</t>
  </si>
  <si>
    <t>Variable message traffic signs</t>
  </si>
  <si>
    <t>Pr_70_75_72_95</t>
  </si>
  <si>
    <t>Vehicle activated signs</t>
  </si>
  <si>
    <t>Pr_70_75_72_96</t>
  </si>
  <si>
    <t>Vehicular traffic signals</t>
  </si>
  <si>
    <t>90-70-92/310 Vehicular traffic signal;</t>
  </si>
  <si>
    <t>Pr_70_75_72_98</t>
  </si>
  <si>
    <t>Wig wag signals</t>
  </si>
  <si>
    <t>90-70-92/300 Wig wag signal;</t>
  </si>
  <si>
    <t>Pr_70_75_72_99</t>
  </si>
  <si>
    <t>Wig wag signal control units</t>
  </si>
  <si>
    <t>90-70-92/400 Wig wag control unit;</t>
  </si>
  <si>
    <t>Pr_70_75_80</t>
  </si>
  <si>
    <t>Sports timing and scoring equipment</t>
  </si>
  <si>
    <t>Pr_70_75_80_27</t>
  </si>
  <si>
    <t>Electronic scoreboards</t>
  </si>
  <si>
    <t>90-70-95/340 Electronic scoreboards;</t>
  </si>
  <si>
    <t>Pr_70_75_80_46</t>
  </si>
  <si>
    <t>Lane boxes</t>
  </si>
  <si>
    <t>90-70-90/315 Connection boxes;</t>
  </si>
  <si>
    <t>Pr_70_75_80_48</t>
  </si>
  <si>
    <t>Lane manual push buttons</t>
  </si>
  <si>
    <t>90-70-90/370 Manual push buttons;</t>
  </si>
  <si>
    <t>Pr_70_75_80_50</t>
  </si>
  <si>
    <t>Manual scoreboards</t>
  </si>
  <si>
    <t>Pr_70_75_80_72</t>
  </si>
  <si>
    <t>Relay race break sensors</t>
  </si>
  <si>
    <t>90-70-90-385 Relay break detectors;</t>
  </si>
  <si>
    <t>Pr_70_75_80_82</t>
  </si>
  <si>
    <t>Swimmers starting blocks</t>
  </si>
  <si>
    <t>90-70-90-360 Starting platforms;</t>
  </si>
  <si>
    <t>Pr_70_75_80_83</t>
  </si>
  <si>
    <t>Swimmers touch pads</t>
  </si>
  <si>
    <t>90-70-90/380 Touch pads;</t>
  </si>
  <si>
    <t>Pr_70_75_80_84</t>
  </si>
  <si>
    <t>Swimming race start sound generators</t>
  </si>
  <si>
    <t>90-70-90/310 Start control units;</t>
  </si>
  <si>
    <t>Pr_70_75_80_85</t>
  </si>
  <si>
    <t>Swimming timing controllers</t>
  </si>
  <si>
    <t>90-70-90-390 Timing system controllers;</t>
  </si>
  <si>
    <t>Pr_70_75_88</t>
  </si>
  <si>
    <t>Telecoms equipment</t>
  </si>
  <si>
    <t>Pr_70_75_88_01</t>
  </si>
  <si>
    <t>Acoustic hoods</t>
  </si>
  <si>
    <t>90-70-85-360 Acoustic hoods;</t>
  </si>
  <si>
    <t>Pr_70_75_88_03</t>
  </si>
  <si>
    <t>Analogue telephone handsets</t>
  </si>
  <si>
    <t>90-70-85/340 Terminal devices;</t>
  </si>
  <si>
    <t>Pr_70_75_88_21</t>
  </si>
  <si>
    <t>Data and telecom transient overvoltage surge suppression devices</t>
  </si>
  <si>
    <t>90-60-30-430 Transient overvoltage surge suppression for data and telecom supplies;</t>
  </si>
  <si>
    <t>Pr_70_75_88_22</t>
  </si>
  <si>
    <t>Digital enhanced cordless telecommunications (DECT) telephone handsets</t>
  </si>
  <si>
    <t>Pr_70_75_88_24</t>
  </si>
  <si>
    <t>Digital terminals</t>
  </si>
  <si>
    <t>Pr_70_75_88_27</t>
  </si>
  <si>
    <t>Emergency roadside telephones</t>
  </si>
  <si>
    <t>90-70-85/400 Emergency roadside telephones;</t>
  </si>
  <si>
    <t>Pr_70_75_88_60</t>
  </si>
  <si>
    <t>Payphones</t>
  </si>
  <si>
    <t>90-70-85/350 Payphones;</t>
  </si>
  <si>
    <t>Pr_70_75_88_83</t>
  </si>
  <si>
    <t>Telecommunications system controllers</t>
  </si>
  <si>
    <t>90-70-85/320 Main switching device;</t>
  </si>
  <si>
    <t>Pr_70_75_88_86</t>
  </si>
  <si>
    <t>Telephone distribution frames</t>
  </si>
  <si>
    <t>90-70-85/330 Distribution panels;</t>
  </si>
  <si>
    <t>Pr_70_75_88_87</t>
  </si>
  <si>
    <t>Telephone extension ringers</t>
  </si>
  <si>
    <t>90-70-85/390 Extension ringers;</t>
  </si>
  <si>
    <t>Pr_70_75_88_89</t>
  </si>
  <si>
    <t>Telephone operator consoles</t>
  </si>
  <si>
    <t>90-70-85/370 Operator consoles;</t>
  </si>
  <si>
    <t>Pr_70_75_94</t>
  </si>
  <si>
    <t>Visual and audible indicators</t>
  </si>
  <si>
    <t>Pr_70_75_94_27</t>
  </si>
  <si>
    <t>Electric door bells</t>
  </si>
  <si>
    <t>Pr_70_75_94_28</t>
  </si>
  <si>
    <t>Electronic sounders</t>
  </si>
  <si>
    <t>90-70-95/310 Electronic sounders;</t>
  </si>
  <si>
    <t>Pr_70_75_94_29</t>
  </si>
  <si>
    <t>Flashing filament warning beacons</t>
  </si>
  <si>
    <t>Pr_70_75_94_40</t>
  </si>
  <si>
    <t>Indicator lights</t>
  </si>
  <si>
    <t>90-70-95/320 Visual alarm signal devices;</t>
  </si>
  <si>
    <t>Pr_70_75_94_42</t>
  </si>
  <si>
    <t>Industrial bells</t>
  </si>
  <si>
    <t>Pr_70_75_94_46</t>
  </si>
  <si>
    <t>LED warning beacons</t>
  </si>
  <si>
    <t>Pr_70_75_94_58</t>
  </si>
  <si>
    <t>Overdoor indicator units</t>
  </si>
  <si>
    <t>90-70-05/350 Overdoor indicators;</t>
  </si>
  <si>
    <t>Pr_70_75_94_60</t>
  </si>
  <si>
    <t>Panel mounting indicator lights</t>
  </si>
  <si>
    <t>90-60-25/480 Indicator lamps;</t>
  </si>
  <si>
    <t>Pr_70_75_94_73</t>
  </si>
  <si>
    <t>Rotating warning beacons</t>
  </si>
  <si>
    <t>Pr_70_75_94_78</t>
  </si>
  <si>
    <t>Starting strobe lights</t>
  </si>
  <si>
    <t>90-70-95/350 Swimming pool starting strobe lights;</t>
  </si>
  <si>
    <t>Pr_70_75_94_80</t>
  </si>
  <si>
    <t>Static filament warning beacons</t>
  </si>
  <si>
    <t>Pr_70_75_94_99</t>
  </si>
  <si>
    <t>Xenon warning beacons</t>
  </si>
  <si>
    <t>Pr_75</t>
  </si>
  <si>
    <t>Services control products</t>
  </si>
  <si>
    <t>Pr_75_30</t>
  </si>
  <si>
    <t>Opening control products</t>
  </si>
  <si>
    <t>Pr_75_30_23</t>
  </si>
  <si>
    <t>Door and gate operating hardware</t>
  </si>
  <si>
    <t>Pr_75_30_23_00</t>
  </si>
  <si>
    <t>Articulated arm swing gate operators</t>
  </si>
  <si>
    <t>45-25-35/433 Hinged and swing gate automation mechanisms;</t>
  </si>
  <si>
    <t>Pr_75_30_23_01</t>
  </si>
  <si>
    <t>Automatic door access control mats</t>
  </si>
  <si>
    <t>Pr_75_30_23_02</t>
  </si>
  <si>
    <t>Automatic door presence safety sensors</t>
  </si>
  <si>
    <t>Pr_75_30_23_03</t>
  </si>
  <si>
    <t>Automatic gate presence safety sensors</t>
  </si>
  <si>
    <t>Pr_75_30_23_04</t>
  </si>
  <si>
    <t>Automatic sliding door operator control panels</t>
  </si>
  <si>
    <t>Pr_75_30_23_05</t>
  </si>
  <si>
    <t>Automatic sliding door operators</t>
  </si>
  <si>
    <t>Pr_75_30_23_06</t>
  </si>
  <si>
    <t>Automatic sliding gate operator control panels</t>
  </si>
  <si>
    <t>Pr_75_30_23_07</t>
  </si>
  <si>
    <t>Automatic swing door operator control panels</t>
  </si>
  <si>
    <t>Pr_75_30_23_08</t>
  </si>
  <si>
    <t>Automatic swing gate operator control panels</t>
  </si>
  <si>
    <t>Pr_75_30_23_09</t>
  </si>
  <si>
    <t>Automatic swing-door operators</t>
  </si>
  <si>
    <t>Pr_75_30_23_21</t>
  </si>
  <si>
    <t>Dock leveller controllers</t>
  </si>
  <si>
    <t>Pr_75_30_23_22</t>
  </si>
  <si>
    <t>Door access control pushpads</t>
  </si>
  <si>
    <t>Pr_75_30_23_26</t>
  </si>
  <si>
    <t>Electromagnetic door holders</t>
  </si>
  <si>
    <t>Pr_75_30_23_27</t>
  </si>
  <si>
    <t>Electromagnetic door hold-open and swing-free devices</t>
  </si>
  <si>
    <t>Pr_75_30_23_31</t>
  </si>
  <si>
    <t>Folding gate automation mechanisms</t>
  </si>
  <si>
    <t>45-25-35/431 Folding gate automation mechanisms;</t>
  </si>
  <si>
    <t>Pr_75_30_23_33</t>
  </si>
  <si>
    <t>Garage door operators</t>
  </si>
  <si>
    <t>Pr_75_30_23_36</t>
  </si>
  <si>
    <t>Handheld door and gate remote controllers</t>
  </si>
  <si>
    <t>Pr_75_30_23_40</t>
  </si>
  <si>
    <t>Hinged and swing gate automation mechanisms</t>
  </si>
  <si>
    <t>Pr_75_30_23_42</t>
  </si>
  <si>
    <t>Hydraulic automation mechanisms</t>
  </si>
  <si>
    <t>45-25-35/435 Hydraulic automation mechanisms;</t>
  </si>
  <si>
    <t>Pr_75_30_23_70</t>
  </si>
  <si>
    <t>Rack and pinion sliding gate operators</t>
  </si>
  <si>
    <t>Pr_75_30_23_72</t>
  </si>
  <si>
    <t>Rising arm automation mechanisms</t>
  </si>
  <si>
    <t>45-25-35/437 Rising arm automation mechanisms;</t>
  </si>
  <si>
    <t>Pr_75_30_23_76</t>
  </si>
  <si>
    <t>Sliding gate automation mechanisms</t>
  </si>
  <si>
    <t>45-25-35/439 Sliding gate automation mechanisms;</t>
  </si>
  <si>
    <t>Pr_75_30_23_92</t>
  </si>
  <si>
    <t>Underground swing gate operators</t>
  </si>
  <si>
    <t>Pr_75_30_23_94</t>
  </si>
  <si>
    <t>Vehicle induction loop detectors</t>
  </si>
  <si>
    <t>Pr_75_30_23_96</t>
  </si>
  <si>
    <t>Worm drive swing gate operators</t>
  </si>
  <si>
    <t>Pr_75_30_27</t>
  </si>
  <si>
    <t>Electric door locking hardware</t>
  </si>
  <si>
    <t>Pr_75_30_27_26</t>
  </si>
  <si>
    <t>Electric strikes and faceplates</t>
  </si>
  <si>
    <t>90-75-05/400 Electric strikes and faceplates;</t>
  </si>
  <si>
    <t>Pr_75_30_27_27</t>
  </si>
  <si>
    <t>Electromechanical door locks</t>
  </si>
  <si>
    <t>Pr_75_30_27_50</t>
  </si>
  <si>
    <t>Magnetic locks</t>
  </si>
  <si>
    <t>90-75-05/410 Magnetic locks and strike plates;</t>
  </si>
  <si>
    <t>Pr_75_30_27_51</t>
  </si>
  <si>
    <t>Magnetic shear locks and strike plates</t>
  </si>
  <si>
    <t>90-75-05/420 Shear locks and strike plates;</t>
  </si>
  <si>
    <t>Pr_75_30_27_77</t>
  </si>
  <si>
    <t>Shear locks and strike plates</t>
  </si>
  <si>
    <t>Pr_75_30_27_80</t>
  </si>
  <si>
    <t>Solenoid bolts</t>
  </si>
  <si>
    <t>90-75-05/427 Solenoid bolts;</t>
  </si>
  <si>
    <t>Pr_75_30_27_81</t>
  </si>
  <si>
    <t>Solenoid latches and locks</t>
  </si>
  <si>
    <t>90-75-05/425 Solenoid latches and locks;</t>
  </si>
  <si>
    <t>Pr_75_50</t>
  </si>
  <si>
    <t>Mechanical and electrical services control products</t>
  </si>
  <si>
    <t>Pr_75_50_18</t>
  </si>
  <si>
    <t>Controllers and control panels</t>
  </si>
  <si>
    <t>Pr_75_50_18_02</t>
  </si>
  <si>
    <t>Alarms</t>
  </si>
  <si>
    <t>Pr_75_50_18_04</t>
  </si>
  <si>
    <t>Automatic sprinkler system indicator panels</t>
  </si>
  <si>
    <t>90-70-95/330 Automatic sprinkler system indicator panels;</t>
  </si>
  <si>
    <t>Pr_75_50_18_06</t>
  </si>
  <si>
    <t>Automatic sprinkler electric pump control panels</t>
  </si>
  <si>
    <t>90-35-95/420 Automatic sprinkler system electric pump control panels;</t>
  </si>
  <si>
    <t>Pr_75_50_18_10</t>
  </si>
  <si>
    <t>Bus section control panels</t>
  </si>
  <si>
    <t>Pr_75_50_18_11</t>
  </si>
  <si>
    <t>Cableways section panels</t>
  </si>
  <si>
    <t>Pr_75_50_18_13</t>
  </si>
  <si>
    <t>Chain actuators</t>
  </si>
  <si>
    <t>90-65-50-312 Chain actuators;</t>
  </si>
  <si>
    <t>Pr_75_50_18_16</t>
  </si>
  <si>
    <t>Control circuit supplies panels</t>
  </si>
  <si>
    <t>Pr_75_50_18_17</t>
  </si>
  <si>
    <t>Control panels</t>
  </si>
  <si>
    <t>Pr_75_50_18_21</t>
  </si>
  <si>
    <t>Damper actuators</t>
  </si>
  <si>
    <t>90-65-50/316 Damper actuators;</t>
  </si>
  <si>
    <t>Pr_75_50_18_26</t>
  </si>
  <si>
    <t>Electric trace heating control and monitoring panels</t>
  </si>
  <si>
    <t>90-10-85/350 Control and monitoring;</t>
  </si>
  <si>
    <t>Pr_75_50_18_28</t>
  </si>
  <si>
    <t>Feeder section control panels</t>
  </si>
  <si>
    <t>Pr_75_50_18_29</t>
  </si>
  <si>
    <t>Field controllers</t>
  </si>
  <si>
    <t>90-65-50/460 Field controllers;</t>
  </si>
  <si>
    <t>Pr_75_50_18_30</t>
  </si>
  <si>
    <t>Flow sample gas detection control panels</t>
  </si>
  <si>
    <t>90-75-45-320 Flow sample gas detector control panels;</t>
  </si>
  <si>
    <t>Pr_75_50_18_31</t>
  </si>
  <si>
    <t>Fire system indicator panels</t>
  </si>
  <si>
    <t>Pr_75_50_18_32</t>
  </si>
  <si>
    <t>FIre electric pump control panels</t>
  </si>
  <si>
    <t>Pr_75_50_18_33</t>
  </si>
  <si>
    <t>Gas detection control panels</t>
  </si>
  <si>
    <t>90-75-45/310 Fixed gas detector control panels;</t>
  </si>
  <si>
    <t>Pr_75_50_18_34</t>
  </si>
  <si>
    <t>Gas dose regulators</t>
  </si>
  <si>
    <t>Pr_75_50_18_37</t>
  </si>
  <si>
    <t>Help point control panels</t>
  </si>
  <si>
    <t>Pr_75_50_18_40</t>
  </si>
  <si>
    <t>Incoming supply control panels</t>
  </si>
  <si>
    <t>Pr_75_50_18_41</t>
  </si>
  <si>
    <t>Instrumentation, automation and control panels</t>
  </si>
  <si>
    <t>Pr_75_50_18_42</t>
  </si>
  <si>
    <t>Irrigation control panels</t>
  </si>
  <si>
    <t>90-15-40/313 Irrigation controls;</t>
  </si>
  <si>
    <t>Pr_75_50_18_45</t>
  </si>
  <si>
    <t>Lift control panels</t>
  </si>
  <si>
    <t>Pr_75_50_18_46</t>
  </si>
  <si>
    <t>Linear actuators</t>
  </si>
  <si>
    <t>90-65-50-314 Linear actuators;</t>
  </si>
  <si>
    <t>Pr_75_50_18_47</t>
  </si>
  <si>
    <t>Liquid leak detection control panels</t>
  </si>
  <si>
    <t>90-75-45/400 Water leak detection programmable control units;</t>
  </si>
  <si>
    <t>Pr_75_50_18_51</t>
  </si>
  <si>
    <t>Mechanical services control panels</t>
  </si>
  <si>
    <t>90-65-50/340 Control panels;</t>
  </si>
  <si>
    <t>Pr_75_50_18_53</t>
  </si>
  <si>
    <t>Motor starters control panels</t>
  </si>
  <si>
    <t>Pr_75_50_18_65</t>
  </si>
  <si>
    <t>Pneumatic document conveyor control panels</t>
  </si>
  <si>
    <t>90-80-70/360 System control;</t>
  </si>
  <si>
    <t>Pr_75_50_18_66</t>
  </si>
  <si>
    <t>Points heating control panels</t>
  </si>
  <si>
    <t>Pr_75_50_18_67</t>
  </si>
  <si>
    <t>Power factor correction control panels</t>
  </si>
  <si>
    <t>Pr_75_50_18_69</t>
  </si>
  <si>
    <t>Power quality filter section panels</t>
  </si>
  <si>
    <t>Pr_75_50_18_80</t>
  </si>
  <si>
    <t>Smoke and heat exhaust control panels</t>
  </si>
  <si>
    <t>90-45-80/370 Smoke and heat exhaust control panels;</t>
  </si>
  <si>
    <t>Pr_75_50_18_82</t>
  </si>
  <si>
    <t>Solar collector control units</t>
  </si>
  <si>
    <t>90-40-75/330 Control units;</t>
  </si>
  <si>
    <t>Pr_75_50_18_90</t>
  </si>
  <si>
    <t>Telemetry control panels</t>
  </si>
  <si>
    <t>Pr_75_50_18_92</t>
  </si>
  <si>
    <t>Uninterruptible power supply control panels</t>
  </si>
  <si>
    <t>Pr_75_50_18_93</t>
  </si>
  <si>
    <t>Utility supply control panels</t>
  </si>
  <si>
    <t>Pr_75_50_18_94</t>
  </si>
  <si>
    <t>Valve actuators</t>
  </si>
  <si>
    <t>90-65-50/310 Valve actuators;</t>
  </si>
  <si>
    <t>Pr_75_50_18_96</t>
  </si>
  <si>
    <t>Water display controls</t>
  </si>
  <si>
    <t>90-15-90/401 Water display controls;</t>
  </si>
  <si>
    <t>Pr_75_50_18_98</t>
  </si>
  <si>
    <t>Water quality controllers</t>
  </si>
  <si>
    <t>Pr_75_50_18_99</t>
  </si>
  <si>
    <t>Wind operated water display control devices</t>
  </si>
  <si>
    <t>90-15-40/311 Anemometers;</t>
  </si>
  <si>
    <t>Pr_75_50_33</t>
  </si>
  <si>
    <t>Gas fire extinguishing controls</t>
  </si>
  <si>
    <t>Pr_75_50_33_25</t>
  </si>
  <si>
    <t>Electrical actuation devices</t>
  </si>
  <si>
    <t>90-35-35/325 Electrical actuation;</t>
  </si>
  <si>
    <t>Pr_75_50_33_26</t>
  </si>
  <si>
    <t>Emergency abort devices</t>
  </si>
  <si>
    <t>90-35-35/340 Electrical automatic control and delay devices;</t>
  </si>
  <si>
    <t>Pr_75_50_33_27</t>
  </si>
  <si>
    <t>Emergency hold devices</t>
  </si>
  <si>
    <t>90-35-35/345 Non-electrical automatic control and delay devices;</t>
  </si>
  <si>
    <t>Pr_75_50_33_28</t>
  </si>
  <si>
    <t>Extinguishing control panels</t>
  </si>
  <si>
    <t>90-35-35/320 Control panels;</t>
  </si>
  <si>
    <t>Pr_75_50_33_50</t>
  </si>
  <si>
    <t>Manual triggering devices</t>
  </si>
  <si>
    <t>90-35-35/335 Manual triggering and stop devices;</t>
  </si>
  <si>
    <t>Pr_75_50_33_56</t>
  </si>
  <si>
    <t>Non-electrical gas fire extinguishing disable devices</t>
  </si>
  <si>
    <t>90-35-35/350 Non-electrical disable devices;</t>
  </si>
  <si>
    <t>Pr_75_50_33_64</t>
  </si>
  <si>
    <t>Pneumatic heat actuators</t>
  </si>
  <si>
    <t>90-35-35/330 Mechanical actuation;</t>
  </si>
  <si>
    <t>Pr_75_50_33_88</t>
  </si>
  <si>
    <t>Thermal links</t>
  </si>
  <si>
    <t>Pr_75_50_46</t>
  </si>
  <si>
    <t>Liquid level controllers and switches</t>
  </si>
  <si>
    <t>Pr_75_50_46_27</t>
  </si>
  <si>
    <t>Electronic liquid level controllers</t>
  </si>
  <si>
    <t>Pr_75_50_46_29</t>
  </si>
  <si>
    <t>Float liquid level controllers</t>
  </si>
  <si>
    <t>Pr_75_50_46_30</t>
  </si>
  <si>
    <t>Float switches</t>
  </si>
  <si>
    <t>90-65-50/470 Float switches;</t>
  </si>
  <si>
    <t>Pr_75_50_46_31</t>
  </si>
  <si>
    <t>Flush control devices</t>
  </si>
  <si>
    <t>90-15-35/470 Flush control devices;</t>
  </si>
  <si>
    <t>Pr_75_50_46_42</t>
  </si>
  <si>
    <t>Infrared flush controllers</t>
  </si>
  <si>
    <t>Pr_75_50_46_46</t>
  </si>
  <si>
    <t>Level controls and alarms</t>
  </si>
  <si>
    <t>90-20-75/445 Level controls and alarms;</t>
  </si>
  <si>
    <t>Pr_75_50_46_68</t>
  </si>
  <si>
    <t>Push button flush controllers</t>
  </si>
  <si>
    <t>Pr_75_50_47</t>
  </si>
  <si>
    <t>Liquid level sensors</t>
  </si>
  <si>
    <t>Pr_75_50_47_08</t>
  </si>
  <si>
    <t>Buoyancy level sensors and switches</t>
  </si>
  <si>
    <t>90-65-48/345 Buoyancy level sensors and switches;</t>
  </si>
  <si>
    <t>Pr_75_50_47_11</t>
  </si>
  <si>
    <t>Capacitance and inductance sensors</t>
  </si>
  <si>
    <t>90-65-48/305 Capacitance and inductance sensor;</t>
  </si>
  <si>
    <t>Pr_75_50_47_34</t>
  </si>
  <si>
    <t>Gravimetric and load cell sensors</t>
  </si>
  <si>
    <t>90-65-48/335 Gravimetric and load cell sensor;</t>
  </si>
  <si>
    <t>Pr_75_50_47_35</t>
  </si>
  <si>
    <t>Guided wave radar sensors</t>
  </si>
  <si>
    <t>90-65-48/330 Guided wave radar sensor;</t>
  </si>
  <si>
    <t>Pr_75_50_47_39</t>
  </si>
  <si>
    <t>Hydrostatic sensors</t>
  </si>
  <si>
    <t>90-65-48/340 Hydrostatic sensor;</t>
  </si>
  <si>
    <t>Pr_75_50_47_50</t>
  </si>
  <si>
    <t>Magnetic level gauge switches</t>
  </si>
  <si>
    <t>90-65-48/350 Magnetic level gauge switches;</t>
  </si>
  <si>
    <t>Pr_75_50_47_51</t>
  </si>
  <si>
    <t>Magnetorestrictive level transmitters</t>
  </si>
  <si>
    <t>90-65-48/355 Magnetorestrictive level transmitters;</t>
  </si>
  <si>
    <t>Pr_75_50_47_53</t>
  </si>
  <si>
    <t>Maximum water level recorders</t>
  </si>
  <si>
    <t>Pr_75_50_47_70</t>
  </si>
  <si>
    <t>Radar sensors</t>
  </si>
  <si>
    <t>90-65-48/325 Radar sensor;</t>
  </si>
  <si>
    <t>Pr_75_50_47_73</t>
  </si>
  <si>
    <t>Rotary paddle sensors</t>
  </si>
  <si>
    <t>90-65-48/310 Rotary paddle sensor;</t>
  </si>
  <si>
    <t>Pr_75_50_47_88</t>
  </si>
  <si>
    <t>Thermal dispersion level switches</t>
  </si>
  <si>
    <t>90-65-48/360 Thermal dispersion level switches;</t>
  </si>
  <si>
    <t>Pr_75_50_47_92</t>
  </si>
  <si>
    <t>Ultrasonic sensors</t>
  </si>
  <si>
    <t>90-65-48/315 Ultrasonic sensor;</t>
  </si>
  <si>
    <t>Pr_75_50_47_94</t>
  </si>
  <si>
    <t>Vibrating sensors</t>
  </si>
  <si>
    <t>90-65-48/320 Vibrating sensor;</t>
  </si>
  <si>
    <t>Pr_75_50_47_96</t>
  </si>
  <si>
    <t>Water level gauge boards</t>
  </si>
  <si>
    <t>Pr_75_50_47_97</t>
  </si>
  <si>
    <t>Water level sensors</t>
  </si>
  <si>
    <t>Pr_75_50_48</t>
  </si>
  <si>
    <t>Liquid sensing devices</t>
  </si>
  <si>
    <t>Pr_75_50_48_15</t>
  </si>
  <si>
    <t>Chemical sensing cables</t>
  </si>
  <si>
    <t>90-75-45/360 Cable sensors;</t>
  </si>
  <si>
    <t>Pr_75_50_48_31</t>
  </si>
  <si>
    <t>Fuel sensing cables</t>
  </si>
  <si>
    <t>Pr_75_50_48_34</t>
  </si>
  <si>
    <t>Ground water monitors</t>
  </si>
  <si>
    <t>45-90-90/330 Ground water monitoring equipment;</t>
  </si>
  <si>
    <t>Pr_75_50_48_47</t>
  </si>
  <si>
    <t>Leak sensing tapes</t>
  </si>
  <si>
    <t>90-75-45/390 Tape sensors;</t>
  </si>
  <si>
    <t>Pr_75_50_48_60</t>
  </si>
  <si>
    <t>Pad leak sensors</t>
  </si>
  <si>
    <t>90-75-45/370 Pad sensors;</t>
  </si>
  <si>
    <t>Pr_75_50_48_67</t>
  </si>
  <si>
    <t>Probe leak sensors</t>
  </si>
  <si>
    <t>90-75-45/380 Probe sensors;</t>
  </si>
  <si>
    <t>Pr_75_50_48_71</t>
  </si>
  <si>
    <t>Remote sampling equipment</t>
  </si>
  <si>
    <t>90-75-45-350 Remote sampling equipment;</t>
  </si>
  <si>
    <t>Pr_75_50_48_90</t>
  </si>
  <si>
    <t>Transportable monitors</t>
  </si>
  <si>
    <t>90-75-45-340 Transportable monitors;</t>
  </si>
  <si>
    <t>Pr_75_50_48_96</t>
  </si>
  <si>
    <t>Water sensing cables</t>
  </si>
  <si>
    <t>Pr_75_50_50</t>
  </si>
  <si>
    <t>Measuring and monitoring relays</t>
  </si>
  <si>
    <t>Pr_75_50_50_63</t>
  </si>
  <si>
    <t>Phase monitoring relays</t>
  </si>
  <si>
    <t>Pr_75_50_51</t>
  </si>
  <si>
    <t>Medical gases controls</t>
  </si>
  <si>
    <t>Pr_75_50_51_52</t>
  </si>
  <si>
    <t>Medical gas area alarm panels</t>
  </si>
  <si>
    <t>90-30-55/342 Medical gases area alarms;</t>
  </si>
  <si>
    <t>Pr_75_50_51_54</t>
  </si>
  <si>
    <t>Medical gases central alarms</t>
  </si>
  <si>
    <t>90-30-55/344 Medical gases central alarms;</t>
  </si>
  <si>
    <t>Pr_75_50_51_71</t>
  </si>
  <si>
    <t>Remote start medical gas switch panels</t>
  </si>
  <si>
    <t>90-30-55/320 Remote start switch panels;</t>
  </si>
  <si>
    <t>Pr_75_50_51_94</t>
  </si>
  <si>
    <t>Vacuum insulated evaporator (VIE) control panels</t>
  </si>
  <si>
    <t>90-30-55/328 Vacuum insulated evaporator (VIE) storage vessels;</t>
  </si>
  <si>
    <t>Pr_75_50_52</t>
  </si>
  <si>
    <t>Meteorological instrumentation</t>
  </si>
  <si>
    <t>Pr_75_50_52_03</t>
  </si>
  <si>
    <t>Anemometers</t>
  </si>
  <si>
    <t>90-65-52/300 Anemometer;</t>
  </si>
  <si>
    <t>Pr_75_50_52_06</t>
  </si>
  <si>
    <t>Barometers</t>
  </si>
  <si>
    <t>90-65-52/310 Barometer;</t>
  </si>
  <si>
    <t>Pr_75_50_52_12</t>
  </si>
  <si>
    <t>Ceilometers</t>
  </si>
  <si>
    <t>90-65-52/315 Ceilometer;</t>
  </si>
  <si>
    <t>Pr_75_50_52_39</t>
  </si>
  <si>
    <t>Humidity and temperature probes</t>
  </si>
  <si>
    <t>90-65-52/305 Humidity and temperature probe;</t>
  </si>
  <si>
    <t>Pr_75_50_52_65</t>
  </si>
  <si>
    <t>Present weather sensors</t>
  </si>
  <si>
    <t>90-65-52/325 Present weather sensor;</t>
  </si>
  <si>
    <t>Pr_75_50_52_85</t>
  </si>
  <si>
    <t>Storage rain gauges</t>
  </si>
  <si>
    <t>Pr_75_50_52_90</t>
  </si>
  <si>
    <t>Tipping bucket rain gauges</t>
  </si>
  <si>
    <t>90-65-52/330 Tipping bucket rain gauge;</t>
  </si>
  <si>
    <t>Pr_75_50_52_94</t>
  </si>
  <si>
    <t>Visibility sensors</t>
  </si>
  <si>
    <t>90-65-52/320 Visibility sensor;</t>
  </si>
  <si>
    <t>Pr_75_50_52_97</t>
  </si>
  <si>
    <t>Weather stations</t>
  </si>
  <si>
    <t>90-65-52/335 Weather station product;</t>
  </si>
  <si>
    <t>Pr_75_50_52_98</t>
  </si>
  <si>
    <t>Weighing rain gauges</t>
  </si>
  <si>
    <t>Pr_75_50_76</t>
  </si>
  <si>
    <t>Sensors and detectors</t>
  </si>
  <si>
    <t>Pr_75_50_76_02</t>
  </si>
  <si>
    <t>Air quality sensors</t>
  </si>
  <si>
    <t>90-65-50/370 Air quality sensors;</t>
  </si>
  <si>
    <t>Pr_75_50_76_03</t>
  </si>
  <si>
    <t>Air temperature sensors</t>
  </si>
  <si>
    <t>90-65-50/380 Air temperature sensors;</t>
  </si>
  <si>
    <t>Pr_75_50_76_04</t>
  </si>
  <si>
    <t>Ambient noise level sensors</t>
  </si>
  <si>
    <t>90-70-10/390 Ambient noise level sensors;</t>
  </si>
  <si>
    <t>Pr_75_50_76_12</t>
  </si>
  <si>
    <t>Carbon monoxide detectors</t>
  </si>
  <si>
    <t>90-65-50/490 Carbon monoxide detectors;</t>
  </si>
  <si>
    <t>Pr_75_50_76_16</t>
  </si>
  <si>
    <t>Combined electronic current and voltage transducers</t>
  </si>
  <si>
    <t>90-65-55/335 Electronic combined current and voltage sensors;</t>
  </si>
  <si>
    <t>Pr_75_50_76_17</t>
  </si>
  <si>
    <t>Combustion gas detectors</t>
  </si>
  <si>
    <t>90-75-30/338 Point carbon monoxide detectors;</t>
  </si>
  <si>
    <t>Pr_75_50_76_18</t>
  </si>
  <si>
    <t>Current sensors</t>
  </si>
  <si>
    <t>Pr_75_50_76_23</t>
  </si>
  <si>
    <t>Disinfectant sensors</t>
  </si>
  <si>
    <t>90-15-75/440 Disinfectant sensors;</t>
  </si>
  <si>
    <t>Pr_75_50_76_24</t>
  </si>
  <si>
    <t>Dissolved oxygen sensors</t>
  </si>
  <si>
    <t>90-65-50/474 Dissolved oxygen sensor;</t>
  </si>
  <si>
    <t>Pr_75_50_76_25</t>
  </si>
  <si>
    <t>Dry rot sensor sticks</t>
  </si>
  <si>
    <t>Pr_75_50_76_27</t>
  </si>
  <si>
    <t>Electronic trace heating thermostats</t>
  </si>
  <si>
    <t>90-10-85/360 Trace heating electronic thermostats;</t>
  </si>
  <si>
    <t>Pr_75_50_76_30</t>
  </si>
  <si>
    <t>Flow in duct sensors</t>
  </si>
  <si>
    <t>90-65-50/390 Flow in duct sensors;</t>
  </si>
  <si>
    <t>Pr_75_50_76_31</t>
  </si>
  <si>
    <t>Flow in pipe sensors</t>
  </si>
  <si>
    <t>90-65-50/400 Flow in pipe sensors;</t>
  </si>
  <si>
    <t>Pr_75_50_76_33</t>
  </si>
  <si>
    <t>Gas detectors</t>
  </si>
  <si>
    <t>90-75-45/450 Gas detection and alarm detectors;</t>
  </si>
  <si>
    <t>Pr_75_50_76_47</t>
  </si>
  <si>
    <t>Liquid temperature sensors</t>
  </si>
  <si>
    <t>90-65-50/430 Water temperature sensors;</t>
  </si>
  <si>
    <t>Pr_75_50_76_51</t>
  </si>
  <si>
    <t>Mechanical trace heating thermostats</t>
  </si>
  <si>
    <t>90-10-85/355 Trace heating mechanical thermostats;</t>
  </si>
  <si>
    <t>Pr_75_50_76_58</t>
  </si>
  <si>
    <t>Occupancy sensors</t>
  </si>
  <si>
    <t>90-65-50-415 Occupancy sensors;</t>
  </si>
  <si>
    <t>Pr_75_50_76_59</t>
  </si>
  <si>
    <t>Passive infrared (PIR) sensors</t>
  </si>
  <si>
    <t>Pr_75_50_76_60</t>
  </si>
  <si>
    <t>pH value sensors</t>
  </si>
  <si>
    <t>90-15-75/450 ph value sensors;</t>
  </si>
  <si>
    <t>Pr_75_50_76_61</t>
  </si>
  <si>
    <t>pH sensors</t>
  </si>
  <si>
    <t>90-65-50/480 pH sensor;</t>
  </si>
  <si>
    <t>Pr_75_50_76_63</t>
  </si>
  <si>
    <t>Photoelectric sensors</t>
  </si>
  <si>
    <t>Pr_75_50_76_68</t>
  </si>
  <si>
    <t>Pressure sensors</t>
  </si>
  <si>
    <t>90-65-50/420 Pressure sensors;</t>
  </si>
  <si>
    <t>Pr_75_50_76_69</t>
  </si>
  <si>
    <t>Proximity sensors and control units</t>
  </si>
  <si>
    <t>45-35-70/422 Proximity sensor control units;</t>
  </si>
  <si>
    <t>Pr_75_50_76_71</t>
  </si>
  <si>
    <t>Relative humidity sensors</t>
  </si>
  <si>
    <t>90-65-50/410 Humidity sensors;</t>
  </si>
  <si>
    <t>Pr_75_50_76_72</t>
  </si>
  <si>
    <t>Residual chlorine sensors</t>
  </si>
  <si>
    <t>Pr_75_50_76_73</t>
  </si>
  <si>
    <t>Room temperature sensors</t>
  </si>
  <si>
    <t>Pr_75_50_76_80</t>
  </si>
  <si>
    <t>Sludge density sensors</t>
  </si>
  <si>
    <t>90-65-50/472 Sludge density sensor;</t>
  </si>
  <si>
    <t>Pr_75_50_76_83</t>
  </si>
  <si>
    <t>Steam and condensate sensor chambers</t>
  </si>
  <si>
    <t>90-20-75/370 Sensor chambers;</t>
  </si>
  <si>
    <t>Pr_75_50_76_84</t>
  </si>
  <si>
    <t>Steam and condensate sensors</t>
  </si>
  <si>
    <t>90-20-75/365 Sensors;</t>
  </si>
  <si>
    <t>Pr_75_50_76_86</t>
  </si>
  <si>
    <t>Suspended solids sensors</t>
  </si>
  <si>
    <t>90-65-50/476 Suspended solids sensor;</t>
  </si>
  <si>
    <t>Pr_75_50_76_90</t>
  </si>
  <si>
    <t>Turbidity sensors</t>
  </si>
  <si>
    <t>90-65-50/478 Turbidity sensor;</t>
  </si>
  <si>
    <t>Pr_75_50_76_95</t>
  </si>
  <si>
    <t>Voltage sensors</t>
  </si>
  <si>
    <t>Pr_75_50_76_97</t>
  </si>
  <si>
    <t>Water pressure sensors</t>
  </si>
  <si>
    <t>Pr_75_51</t>
  </si>
  <si>
    <t>Motors, motor controls, control circuit devices and timeswitches</t>
  </si>
  <si>
    <t>Pr_75_51_17</t>
  </si>
  <si>
    <t>Control circuit devices and timeswitches</t>
  </si>
  <si>
    <t>Pr_75_51_17_27</t>
  </si>
  <si>
    <t>Emergency stop buttons</t>
  </si>
  <si>
    <t>90-65-25/370 Emergency stop buttons;</t>
  </si>
  <si>
    <t>Pr_75_51_17_50</t>
  </si>
  <si>
    <t>Manual control switches</t>
  </si>
  <si>
    <t>90-65-50/450 Manual control switches;</t>
  </si>
  <si>
    <t>Pr_75_51_17_66</t>
  </si>
  <si>
    <t>Push button switches</t>
  </si>
  <si>
    <t>90-65-25/360 Electromechanical control circuit devices;</t>
  </si>
  <si>
    <t>Pr_75_51_17_75</t>
  </si>
  <si>
    <t>Safety limit switches</t>
  </si>
  <si>
    <t>Pr_75_51_17_78</t>
  </si>
  <si>
    <t>Selector switches</t>
  </si>
  <si>
    <t>Pr_75_51_17_87</t>
  </si>
  <si>
    <t>Tariff and load control radio tele-switches</t>
  </si>
  <si>
    <t>90-65-55/380 Radio teleswitches for tariff and load control;</t>
  </si>
  <si>
    <t>Pr_75_51_17_88</t>
  </si>
  <si>
    <t>Tariff and load control time switches</t>
  </si>
  <si>
    <t>90-65-25/390 Time switches for tariff and load control;</t>
  </si>
  <si>
    <t>Pr_75_51_17_89</t>
  </si>
  <si>
    <t>Time switches</t>
  </si>
  <si>
    <t>90-65-25/380 Time switches;</t>
  </si>
  <si>
    <t>Pr_75_51_26</t>
  </si>
  <si>
    <t>Electric motors</t>
  </si>
  <si>
    <t>Pr_75_51_26_00</t>
  </si>
  <si>
    <t>Alternating current (a.c.) capacitor start capacitor run motors</t>
  </si>
  <si>
    <t>Pr_75_51_26_01</t>
  </si>
  <si>
    <t>Alternating current (a.c.) capacitor motors</t>
  </si>
  <si>
    <t>Pr_75_51_26_02</t>
  </si>
  <si>
    <t>Alternating current (a.c.) split phase motors</t>
  </si>
  <si>
    <t>Pr_75_51_26_03</t>
  </si>
  <si>
    <t>Alternating current (a.c.) squirrel cage induction motors</t>
  </si>
  <si>
    <t>Pr_75_51_26_04</t>
  </si>
  <si>
    <t>Alternating current (a.c.) wound rotor induction motors</t>
  </si>
  <si>
    <t>Pr_75_51_26_21</t>
  </si>
  <si>
    <t>Direct current (d.c.) compound wound motors</t>
  </si>
  <si>
    <t>Pr_75_51_26_22</t>
  </si>
  <si>
    <t>Direct current (d.c.) permanent magnet motors</t>
  </si>
  <si>
    <t>Pr_75_51_26_23</t>
  </si>
  <si>
    <t>Direct current (d.c.) separately excited motors</t>
  </si>
  <si>
    <t>Pr_75_51_26_24</t>
  </si>
  <si>
    <t>Direct current (d.c.) series wound motors</t>
  </si>
  <si>
    <t>Pr_75_51_26_25</t>
  </si>
  <si>
    <t>Direct current (d.c.) shunt wound motors</t>
  </si>
  <si>
    <t>Pr_75_51_26_92</t>
  </si>
  <si>
    <t>Universal motors</t>
  </si>
  <si>
    <t>Pr_75_51_35</t>
  </si>
  <si>
    <t>Gearboxes</t>
  </si>
  <si>
    <t>Pr_75_51_35_10</t>
  </si>
  <si>
    <t>Bevel gearboxes</t>
  </si>
  <si>
    <t>Pr_75_51_35_35</t>
  </si>
  <si>
    <t>Helical gearboxes</t>
  </si>
  <si>
    <t>Pr_75_51_35_65</t>
  </si>
  <si>
    <t>Planetary gearboxes</t>
  </si>
  <si>
    <t>Pr_75_51_35_80</t>
  </si>
  <si>
    <t>Spur gearboxes</t>
  </si>
  <si>
    <t>Pr_75_51_35_94</t>
  </si>
  <si>
    <t>Variable speed hydraulic gearboxes</t>
  </si>
  <si>
    <t>Pr_75_51_35_97</t>
  </si>
  <si>
    <t>Worm gearboxes</t>
  </si>
  <si>
    <t>Pr_75_51_52</t>
  </si>
  <si>
    <t>Motor starters, variable frequency drives and contactors</t>
  </si>
  <si>
    <t>Pr_75_51_52_01</t>
  </si>
  <si>
    <t>Alternating current (a.c.) drives</t>
  </si>
  <si>
    <t>90-65-25/350 a.c. drives;</t>
  </si>
  <si>
    <t>Pr_75_51_52_02</t>
  </si>
  <si>
    <t>Alternating current (a.c.) semiconductor motor controllers and starters</t>
  </si>
  <si>
    <t>90-65-25/310 a.c. semiconductor motor controllers and starters;</t>
  </si>
  <si>
    <t>Pr_75_51_52_15</t>
  </si>
  <si>
    <t>Control and protective switching devices</t>
  </si>
  <si>
    <t>90-50-45/470 Control and protective switching devices;</t>
  </si>
  <si>
    <t>Pr_75_51_52_22</t>
  </si>
  <si>
    <t>Direct-on-line starters</t>
  </si>
  <si>
    <t>90-65-25/320 Direct-on-line starters;</t>
  </si>
  <si>
    <t>Pr_75_51_52_26</t>
  </si>
  <si>
    <t>Electro-mechanical contactors</t>
  </si>
  <si>
    <t>90-65-25/340 Electromechanical contactors;</t>
  </si>
  <si>
    <t>Pr_75_51_52_27</t>
  </si>
  <si>
    <t>Electromechanical control circuit devices</t>
  </si>
  <si>
    <t>Pr_75_51_52_58</t>
  </si>
  <si>
    <t>Overload relays</t>
  </si>
  <si>
    <t>Pr_75_51_52_82</t>
  </si>
  <si>
    <t>Star delta starters</t>
  </si>
  <si>
    <t>90-65-25/330 Star delta starters;</t>
  </si>
  <si>
    <t>Pr_75_51_65</t>
  </si>
  <si>
    <t>Pneumatic motors</t>
  </si>
  <si>
    <t>Pr_75_51_65_05</t>
  </si>
  <si>
    <t>Axial piston motors</t>
  </si>
  <si>
    <t>Pr_75_51_65_70</t>
  </si>
  <si>
    <t>Radial piston motors</t>
  </si>
  <si>
    <t>Pr_75_51_65_73</t>
  </si>
  <si>
    <t>Rotary vane motors</t>
  </si>
  <si>
    <t>Pr_75_51_65_90</t>
  </si>
  <si>
    <t>Turbine air motors</t>
  </si>
  <si>
    <t>Pr_75_70</t>
  </si>
  <si>
    <t>Power and lighting control products</t>
  </si>
  <si>
    <t>Pr_75_75</t>
  </si>
  <si>
    <t>Communications control products</t>
  </si>
  <si>
    <t>Pr_75_75_04</t>
  </si>
  <si>
    <t>Assistance and nurse call devices and control equipment</t>
  </si>
  <si>
    <t>Pr_75_75_04_00</t>
  </si>
  <si>
    <t>Assistance call acoustic hoods</t>
  </si>
  <si>
    <t>Pr_75_75_04_01</t>
  </si>
  <si>
    <t>Assistance call indicator units</t>
  </si>
  <si>
    <t>90-70-05/360 Remote indicators;</t>
  </si>
  <si>
    <t>Pr_75_75_04_02</t>
  </si>
  <si>
    <t>Assistance call power supply units</t>
  </si>
  <si>
    <t>90-70-05/390 Power supply units;</t>
  </si>
  <si>
    <t>Pr_75_75_04_03</t>
  </si>
  <si>
    <t>Assistance call press button units</t>
  </si>
  <si>
    <t>90-70-05/330 Press button units;</t>
  </si>
  <si>
    <t>Pr_75_75_04_04</t>
  </si>
  <si>
    <t>Assistance call pull cord units</t>
  </si>
  <si>
    <t>90-70-05-320 Pull cord units;</t>
  </si>
  <si>
    <t>Pr_75_75_04_05</t>
  </si>
  <si>
    <t>Assistance call reset units</t>
  </si>
  <si>
    <t>90-70-05-380 Reset units;</t>
  </si>
  <si>
    <t>Pr_75_75_04_57</t>
  </si>
  <si>
    <t>Nurse call buttons</t>
  </si>
  <si>
    <t>90-70-55/335 Patient call buttons;</t>
  </si>
  <si>
    <t>Pr_75_75_04_58</t>
  </si>
  <si>
    <t>Nurse call combined emergency/ patient call/ reset units</t>
  </si>
  <si>
    <t>90-70-55/345 Combined nurse emergency/ patient call buttons;</t>
  </si>
  <si>
    <t>Pr_75_75_04_60</t>
  </si>
  <si>
    <t>Nurse call overdoor indicators</t>
  </si>
  <si>
    <t>90-70-55/350 Visual indicators;</t>
  </si>
  <si>
    <t>Pr_75_75_04_61</t>
  </si>
  <si>
    <t>Nurse call patient handsets</t>
  </si>
  <si>
    <t>90-70-55/320 Patient handsets;</t>
  </si>
  <si>
    <t>Pr_75_75_04_62</t>
  </si>
  <si>
    <t>Nurse call patient pull cords</t>
  </si>
  <si>
    <t>90-70-55/330 Patient pull cords;</t>
  </si>
  <si>
    <t>Pr_75_75_04_63</t>
  </si>
  <si>
    <t>Nurse call power supply units</t>
  </si>
  <si>
    <t>90-70-55/370 Power supply units;</t>
  </si>
  <si>
    <t>Pr_75_75_04_64</t>
  </si>
  <si>
    <t>Nurse call reset units</t>
  </si>
  <si>
    <t>90-70-55/337 Patient call reset buttons;</t>
  </si>
  <si>
    <t>Pr_75_75_04_65</t>
  </si>
  <si>
    <t>Nurse call station indicator panels</t>
  </si>
  <si>
    <t>90-70-55/380 Call indicator panels;</t>
  </si>
  <si>
    <t>Pr_75_75_04_66</t>
  </si>
  <si>
    <t>Nurse emergency pull-switches</t>
  </si>
  <si>
    <t>90-70-55/340 Nurse emergency pull-switches;</t>
  </si>
  <si>
    <t>Pr_75_75_04_70</t>
  </si>
  <si>
    <t>Passenger assistance help points</t>
  </si>
  <si>
    <t>Pr_75_75_04_71</t>
  </si>
  <si>
    <t>Passenger assistance intercom handsets</t>
  </si>
  <si>
    <t>Pr_75_75_15</t>
  </si>
  <si>
    <t>Computers and peripherals</t>
  </si>
  <si>
    <t>Pr_75_75_15_11</t>
  </si>
  <si>
    <t>Card printers</t>
  </si>
  <si>
    <t>90-65-10/340 Card printers;</t>
  </si>
  <si>
    <t>Pr_75_75_15_14</t>
  </si>
  <si>
    <t>Combined photocopier- printer- scanners</t>
  </si>
  <si>
    <t>Pr_75_75_15_15</t>
  </si>
  <si>
    <t>Computer keyboards</t>
  </si>
  <si>
    <t>90-65-10/320 Keyboard;</t>
  </si>
  <si>
    <t>Pr_75_75_15_16</t>
  </si>
  <si>
    <t>Computer monitors</t>
  </si>
  <si>
    <t>90-65-10/330 Monitors;</t>
  </si>
  <si>
    <t>Pr_75_75_15_17</t>
  </si>
  <si>
    <t>Computer mouse</t>
  </si>
  <si>
    <t>Pr_75_75_15_21</t>
  </si>
  <si>
    <t>Desktop computers</t>
  </si>
  <si>
    <t>90-65-10/310 Personal computers;</t>
  </si>
  <si>
    <t>Pr_75_75_15_22</t>
  </si>
  <si>
    <t>Digital cameras</t>
  </si>
  <si>
    <t>90-65-10/360 Digital cameras;</t>
  </si>
  <si>
    <t>Pr_75_75_15_24</t>
  </si>
  <si>
    <t>Display screen monitors</t>
  </si>
  <si>
    <t>Pr_75_75_15_36</t>
  </si>
  <si>
    <t>Hard disk drives</t>
  </si>
  <si>
    <t>Pr_75_75_15_45</t>
  </si>
  <si>
    <t>Keyboard extenders</t>
  </si>
  <si>
    <t>Pr_75_75_15_46</t>
  </si>
  <si>
    <t>Laptop computers</t>
  </si>
  <si>
    <t>Pr_75_75_15_63</t>
  </si>
  <si>
    <t>Photocopiers</t>
  </si>
  <si>
    <t>Pr_75_75_15_66</t>
  </si>
  <si>
    <t>Printers</t>
  </si>
  <si>
    <t>90-65-10/350 Printers;</t>
  </si>
  <si>
    <t>Pr_75_75_15_76</t>
  </si>
  <si>
    <t>Scanners</t>
  </si>
  <si>
    <t>Pr_75_75_15_80</t>
  </si>
  <si>
    <t>Servers</t>
  </si>
  <si>
    <t>Pr_75_75_15_84</t>
  </si>
  <si>
    <t>Slot card cages</t>
  </si>
  <si>
    <t>Pr_75_75_15_87</t>
  </si>
  <si>
    <t>Tablet computers</t>
  </si>
  <si>
    <t>Pr_75_75_15_90</t>
  </si>
  <si>
    <t>Touchscreen monitors</t>
  </si>
  <si>
    <t>Pr_75_75_27</t>
  </si>
  <si>
    <t>Electronic access control products</t>
  </si>
  <si>
    <t>Pr_75_75_27_01</t>
  </si>
  <si>
    <t>Access control digital keypads - standalone</t>
  </si>
  <si>
    <t>90-75-05/365 Keypads;</t>
  </si>
  <si>
    <t>Pr_75_75_27_03</t>
  </si>
  <si>
    <t>Access control units</t>
  </si>
  <si>
    <t>90-75-05/430 Access control units;</t>
  </si>
  <si>
    <t>Pr_75_75_27_05</t>
  </si>
  <si>
    <t>Active proximity devices</t>
  </si>
  <si>
    <t>90-75-05/335 Active proximity credentials;</t>
  </si>
  <si>
    <t>Pr_75_75_27_07</t>
  </si>
  <si>
    <t>Biometric fingerprint readers</t>
  </si>
  <si>
    <t>90-75-05/340 Biometric fingerprint readers;</t>
  </si>
  <si>
    <t>Pr_75_75_27_08</t>
  </si>
  <si>
    <t>Biometric hand geometry readers</t>
  </si>
  <si>
    <t>90-75-05/342 Biometric hand geometry readers;</t>
  </si>
  <si>
    <t>Pr_75_75_27_23</t>
  </si>
  <si>
    <t>Door status monitoring devices</t>
  </si>
  <si>
    <t>90-75-05/465 Door status monitoring devices;</t>
  </si>
  <si>
    <t>Pr_75_75_27_27</t>
  </si>
  <si>
    <t>Emergency door release break glass units</t>
  </si>
  <si>
    <t>90-75-05/480 Emergency break glass units;</t>
  </si>
  <si>
    <t>Pr_75_75_27_28</t>
  </si>
  <si>
    <t>Emergency door release mechanisms</t>
  </si>
  <si>
    <t>90-75-30-405 Automatic door release mechanisms;</t>
  </si>
  <si>
    <t>Pr_75_75_27_42</t>
  </si>
  <si>
    <t>Intercom entrance panels</t>
  </si>
  <si>
    <t>90-75-05/450 Intercom entrance panels;</t>
  </si>
  <si>
    <t>Pr_75_75_27_43</t>
  </si>
  <si>
    <t>Intercom remote handsets</t>
  </si>
  <si>
    <t>90-75-05/460 Intercom remote handsets;</t>
  </si>
  <si>
    <t>Pr_75_75_27_44</t>
  </si>
  <si>
    <t>Intercom servers</t>
  </si>
  <si>
    <t>Pr_75_75_27_50</t>
  </si>
  <si>
    <t>Magnetic swipe card readers</t>
  </si>
  <si>
    <t>90-75-05/350 Magnetic swipe card readers;</t>
  </si>
  <si>
    <t>Pr_75_75_27_51</t>
  </si>
  <si>
    <t>Magnetic swipe cards</t>
  </si>
  <si>
    <t>90-75-05/320 Magnetic swipe cards;</t>
  </si>
  <si>
    <t>Pr_75_75_27_55</t>
  </si>
  <si>
    <t>Multiple technology cards</t>
  </si>
  <si>
    <t>90-75-05/310 Multiple technology cards;</t>
  </si>
  <si>
    <t>Pr_75_75_27_57</t>
  </si>
  <si>
    <t>Multi-technology readers</t>
  </si>
  <si>
    <t>90-75-05/345 Multi-technology readers;</t>
  </si>
  <si>
    <t>Pr_75_75_27_60</t>
  </si>
  <si>
    <t>Passive proximity devices</t>
  </si>
  <si>
    <t>Pr_75_75_27_67</t>
  </si>
  <si>
    <t>Proximity card readers</t>
  </si>
  <si>
    <t>90-75-05/360 Proximity readers;</t>
  </si>
  <si>
    <t>Pr_75_75_27_68</t>
  </si>
  <si>
    <t>Proximity cards</t>
  </si>
  <si>
    <t>90-75-05/330 Proximity cards;</t>
  </si>
  <si>
    <t>Pr_75_75_27_71</t>
  </si>
  <si>
    <t>Request-to-exit buttons</t>
  </si>
  <si>
    <t>90-75-05/470 Request to exit buttons;</t>
  </si>
  <si>
    <t>Pr_75_75_27_72</t>
  </si>
  <si>
    <t>Request to exit detectors</t>
  </si>
  <si>
    <t>90-75-05/475 Request to exit detectors;</t>
  </si>
  <si>
    <t>Pr_75_75_27_80</t>
  </si>
  <si>
    <t>Smart card readers and writers</t>
  </si>
  <si>
    <t>90-75-05/370 Smart card readers and writers;</t>
  </si>
  <si>
    <t>Pr_75_75_27_82</t>
  </si>
  <si>
    <t>Smart devices</t>
  </si>
  <si>
    <t>Pr_75_75_30</t>
  </si>
  <si>
    <t>Fire alarm detection devices and control equipment</t>
  </si>
  <si>
    <t>Pr_75_75_30_01</t>
  </si>
  <si>
    <t>Aspirating sampling pipes</t>
  </si>
  <si>
    <t>90-75-30/312 ABS pipe;</t>
  </si>
  <si>
    <t>Pr_75_75_30_02</t>
  </si>
  <si>
    <t>Aspirating sampling points</t>
  </si>
  <si>
    <t>Pr_75_75_30_03</t>
  </si>
  <si>
    <t>Aspirating smoke detectors</t>
  </si>
  <si>
    <t>90-75-30/315 Aspirating smoke detectors;</t>
  </si>
  <si>
    <t>Pr_75_75_30_04</t>
  </si>
  <si>
    <t>Aspirating smoke detector units</t>
  </si>
  <si>
    <t>Pr_75_75_30_13</t>
  </si>
  <si>
    <t>Carbon monoxide and heat multi-sensor detectors</t>
  </si>
  <si>
    <t>90-75-30/322 Combined carbon monoxide and heat multi-sensor detectors;</t>
  </si>
  <si>
    <t>Pr_75_75_30_15</t>
  </si>
  <si>
    <t>Combined smoke and heat detectors</t>
  </si>
  <si>
    <t>Pr_75_75_30_20</t>
  </si>
  <si>
    <t>Domestic smoke and carbon monoxide detectors</t>
  </si>
  <si>
    <t>90-75-30/356 Combined smoke and carbon monoxide detectors;</t>
  </si>
  <si>
    <t>Pr_75_75_30_22</t>
  </si>
  <si>
    <t>Duct smoke detectors</t>
  </si>
  <si>
    <t>90-75-30/327 Duct smoke detectors;</t>
  </si>
  <si>
    <t>Pr_75_75_30_29</t>
  </si>
  <si>
    <t>Fire alarm panels</t>
  </si>
  <si>
    <t>90-75-30/380 Fire detection and alarm control and indicating equipment (CIE);</t>
  </si>
  <si>
    <t>Pr_75_75_30_30</t>
  </si>
  <si>
    <t>Fire alarm sounders</t>
  </si>
  <si>
    <t>90-75-30/360 Sounders;</t>
  </si>
  <si>
    <t>Pr_75_75_30_31</t>
  </si>
  <si>
    <t>Fire detection and alarm power supply equipment</t>
  </si>
  <si>
    <t>90-75-30-385 Fire detection and fire alarm power supply equipment;</t>
  </si>
  <si>
    <t>Pr_75_75_30_37</t>
  </si>
  <si>
    <t>Heat alarms</t>
  </si>
  <si>
    <t>90-75-30/352 Heat alarms;</t>
  </si>
  <si>
    <t>Pr_75_75_30_41</t>
  </si>
  <si>
    <t>Interface panels</t>
  </si>
  <si>
    <t>Pr_75_75_30_50</t>
  </si>
  <si>
    <t>Manual call points</t>
  </si>
  <si>
    <t>90-75-30/330 Manual call points;</t>
  </si>
  <si>
    <t>Pr_75_75_30_52</t>
  </si>
  <si>
    <t>Mimic alarm panels</t>
  </si>
  <si>
    <t>90-75-30/390 Mimic panels;</t>
  </si>
  <si>
    <t>Pr_75_75_30_55</t>
  </si>
  <si>
    <t>Multisensor detectors</t>
  </si>
  <si>
    <t>Pr_75_75_30_59</t>
  </si>
  <si>
    <t>Optical beam smoke detectors</t>
  </si>
  <si>
    <t>90-75-30/335 Optical beam smoke detectors;</t>
  </si>
  <si>
    <t>Pr_75_75_30_63</t>
  </si>
  <si>
    <t>Point flame detectors</t>
  </si>
  <si>
    <t>90-75-30/340 Point flame detectors;</t>
  </si>
  <si>
    <t>Pr_75_75_30_64</t>
  </si>
  <si>
    <t>Point heat detectors</t>
  </si>
  <si>
    <t>90-75-30/345 Point heat detectors;</t>
  </si>
  <si>
    <t>Pr_75_75_30_65</t>
  </si>
  <si>
    <t>Point smoke detectors</t>
  </si>
  <si>
    <t>90-75-30/350 Point smoke detectors;</t>
  </si>
  <si>
    <t>Pr_75_75_30_70</t>
  </si>
  <si>
    <t>Radio-linked interface modules</t>
  </si>
  <si>
    <t>90-75-30/420 Radio-linked interface modules;</t>
  </si>
  <si>
    <t>Pr_75_75_30_71</t>
  </si>
  <si>
    <t>Remote indicators</t>
  </si>
  <si>
    <t>90-75-30-410 Remote indicators;</t>
  </si>
  <si>
    <t>Pr_75_75_30_77</t>
  </si>
  <si>
    <t>Short-circuit isolators</t>
  </si>
  <si>
    <t>90-75-30/440 Short-circuit isolators;</t>
  </si>
  <si>
    <t>Pr_75_75_30_80</t>
  </si>
  <si>
    <t>Smoke alarms</t>
  </si>
  <si>
    <t>90-75-30/354 Smoke alarms;</t>
  </si>
  <si>
    <t>Pr_75_75_30_81</t>
  </si>
  <si>
    <t>Smoke and carbon monoxide multi-sensor detectors</t>
  </si>
  <si>
    <t>90-75-30/324 Combined smoke and carbon monoxide multi-sensor detectors;</t>
  </si>
  <si>
    <t>Pr_75_75_30_82</t>
  </si>
  <si>
    <t>Smoke and heat multi-sensor detectors</t>
  </si>
  <si>
    <t>90-75-30/331 Combined smoke and heat multi-sensor detectors;</t>
  </si>
  <si>
    <t>Pr_75_75_30_94</t>
  </si>
  <si>
    <t>Vibrating pillow pads</t>
  </si>
  <si>
    <t>90-75-30/365 Vibrating pillow pads;</t>
  </si>
  <si>
    <t>Pr_75_75_30_95</t>
  </si>
  <si>
    <t>Vibrating radio pager transmitters</t>
  </si>
  <si>
    <t>90-75-30/375 Transmitters for vibrating radio pagers;</t>
  </si>
  <si>
    <t>Pr_75_75_30_96</t>
  </si>
  <si>
    <t>Vibrating radio pagers</t>
  </si>
  <si>
    <t>90-75-30/370 Vibrating radio pagers;</t>
  </si>
  <si>
    <t>Pr_75_75_30_97</t>
  </si>
  <si>
    <t>Visual alarm signal devices</t>
  </si>
  <si>
    <t>90-75-30/415 Visual alarm signal devices;</t>
  </si>
  <si>
    <t>Pr_75_75_30_98</t>
  </si>
  <si>
    <t>Voice alarm control panels</t>
  </si>
  <si>
    <t>Pr_75_75_32</t>
  </si>
  <si>
    <t>Foreign object debris (FOD) detection equipment</t>
  </si>
  <si>
    <t>Pr_75_75_32_27</t>
  </si>
  <si>
    <t>Electro-optical FOD detection equipment</t>
  </si>
  <si>
    <t>90-65-30-300 Electro-optical FOD detection equipment;</t>
  </si>
  <si>
    <t>Pr_75_75_32_39</t>
  </si>
  <si>
    <t>Hybrid FOD detection equipment</t>
  </si>
  <si>
    <t>90-65-30-310 Hybrid FOD detection equipment;</t>
  </si>
  <si>
    <t>Pr_75_75_32_70</t>
  </si>
  <si>
    <t>Radar FOD detection equipment</t>
  </si>
  <si>
    <t>90-65-30-305 Radar FOD detection equipment;</t>
  </si>
  <si>
    <t>Pr_75_75_42</t>
  </si>
  <si>
    <t>Intruder detection and alarm devices and control equipment</t>
  </si>
  <si>
    <t>Pr_75_75_42_02</t>
  </si>
  <si>
    <t>Acoustic detectors</t>
  </si>
  <si>
    <t>90-75-40/315 Acoustic detectors;</t>
  </si>
  <si>
    <t>Pr_75_75_42_08</t>
  </si>
  <si>
    <t>Beam interruption detectors</t>
  </si>
  <si>
    <t>90-75-40/320 Beam interruption detectors;</t>
  </si>
  <si>
    <t>Pr_75_75_42_11</t>
  </si>
  <si>
    <t>Capacitive proximity detectors</t>
  </si>
  <si>
    <t>90-75-40/325 Capacitive proximity detectors;</t>
  </si>
  <si>
    <t>Pr_75_75_42_16</t>
  </si>
  <si>
    <t>Combined passive infrared and microwave detectors</t>
  </si>
  <si>
    <t>90-75-40/330 Combined passive infrared and microwave detectors;</t>
  </si>
  <si>
    <t>Pr_75_75_42_17</t>
  </si>
  <si>
    <t>Combined passive infrared and ultrasonic detectors</t>
  </si>
  <si>
    <t>90-75-40/335 Combined passive infrared and ultrasonic detectors;</t>
  </si>
  <si>
    <t>Pr_75_75_42_22</t>
  </si>
  <si>
    <t>Deliberately operated intruder alarm devices</t>
  </si>
  <si>
    <t>90-75-40/365 Deliberately operated devices;</t>
  </si>
  <si>
    <t>Pr_75_75_42_24</t>
  </si>
  <si>
    <t>Door beam intruder detectors</t>
  </si>
  <si>
    <t>90-65-50/480 Door beam detectors;</t>
  </si>
  <si>
    <t>Pr_75_75_42_28</t>
  </si>
  <si>
    <t>External intruder alarm sounders</t>
  </si>
  <si>
    <t>90-75-40/375 External intruder alarm sounders;</t>
  </si>
  <si>
    <t>Pr_75_75_42_40</t>
  </si>
  <si>
    <t>Internal electronic intruder alarm sounders</t>
  </si>
  <si>
    <t>90-75-40/380 Internal intruder alarm electronic sounders;</t>
  </si>
  <si>
    <t>Pr_75_75_42_41</t>
  </si>
  <si>
    <t>Intruder alarm panels</t>
  </si>
  <si>
    <t>90-75-40/305 Intruder alarm panels;</t>
  </si>
  <si>
    <t>Pr_75_75_42_42</t>
  </si>
  <si>
    <t>Intruder alarm remote keypads</t>
  </si>
  <si>
    <t>90-75-40/310 Remote keypads;</t>
  </si>
  <si>
    <t>Pr_75_75_42_52</t>
  </si>
  <si>
    <t>Microwave detectors</t>
  </si>
  <si>
    <t>90-75-40/340 Microwave detectors;</t>
  </si>
  <si>
    <t>Pr_75_75_42_60</t>
  </si>
  <si>
    <t>Passive infrared detectors</t>
  </si>
  <si>
    <t>90-75-40/345 Passive infrared detectors;</t>
  </si>
  <si>
    <t>Pr_75_75_42_67</t>
  </si>
  <si>
    <t>Protective switches</t>
  </si>
  <si>
    <t>90-75-40/370 Protective switches;</t>
  </si>
  <si>
    <t>Pr_75_75_42_77</t>
  </si>
  <si>
    <t>Security fog devices</t>
  </si>
  <si>
    <t>Pr_75_75_42_92</t>
  </si>
  <si>
    <t>Ultrasonic movement detectors</t>
  </si>
  <si>
    <t>90-75-40/350 Ultrasonic detectors;</t>
  </si>
  <si>
    <t>Pr_75_75_42_94</t>
  </si>
  <si>
    <t>Vibrating intruder alarm pagers</t>
  </si>
  <si>
    <t>90-75-40/395 Vibrating pagers;</t>
  </si>
  <si>
    <t>Pr_75_75_42_95</t>
  </si>
  <si>
    <t>Vibration detectors</t>
  </si>
  <si>
    <t>90-75-40/355 Vibration detectors;</t>
  </si>
  <si>
    <t>Pr_75_75_42_96</t>
  </si>
  <si>
    <t>Volumetric capacitive detectors</t>
  </si>
  <si>
    <t>90-75-40/360 Volumetric capacitive detectors;</t>
  </si>
  <si>
    <t>Pr_75_75_47</t>
  </si>
  <si>
    <t>Lift control products</t>
  </si>
  <si>
    <t>Pr_75_75_47_41</t>
  </si>
  <si>
    <t>Illuminated landing indicators</t>
  </si>
  <si>
    <t>90-80-60/350 Illuminated landing indicators;</t>
  </si>
  <si>
    <t>Pr_75_75_47_43</t>
  </si>
  <si>
    <t>Infrared landing controls</t>
  </si>
  <si>
    <t>90-80-65/400 Infrared landing controls;</t>
  </si>
  <si>
    <t>Pr_75_75_47_46</t>
  </si>
  <si>
    <t>Landing call stations</t>
  </si>
  <si>
    <t>90-80-60/340 Landing call stations;</t>
  </si>
  <si>
    <t>Pr_75_75_50</t>
  </si>
  <si>
    <t>Monitoring system control products</t>
  </si>
  <si>
    <t>Pr_75_75_50_02</t>
  </si>
  <si>
    <t>Alarm interface units</t>
  </si>
  <si>
    <t>Pr_75_75_50_11</t>
  </si>
  <si>
    <t>Camera control units</t>
  </si>
  <si>
    <t>Pr_75_75_50_14</t>
  </si>
  <si>
    <t>Camera power supply units</t>
  </si>
  <si>
    <t>Pr_75_75_50_22</t>
  </si>
  <si>
    <t>Demagnetizers</t>
  </si>
  <si>
    <t>Pr_75_75_50_55</t>
  </si>
  <si>
    <t>Multiplexors</t>
  </si>
  <si>
    <t>Pr_75_75_50_60</t>
  </si>
  <si>
    <t>Patch panels</t>
  </si>
  <si>
    <t>Pr_75_75_50_70</t>
  </si>
  <si>
    <t>Radio frequency (RF) modulators</t>
  </si>
  <si>
    <t>Pr_75_75_50_94</t>
  </si>
  <si>
    <t>Video input cards</t>
  </si>
  <si>
    <t>Pr_75_75_50_95</t>
  </si>
  <si>
    <t>Video matrix switch controllers</t>
  </si>
  <si>
    <t>90-75-10/340 Control matrix;</t>
  </si>
  <si>
    <t>Pr_75_75_50_96</t>
  </si>
  <si>
    <t>Video output cards</t>
  </si>
  <si>
    <t>Pr_75_75_60</t>
  </si>
  <si>
    <t>Passport control products</t>
  </si>
  <si>
    <t>Pr_75_75_60_07</t>
  </si>
  <si>
    <t>Biometric facial recognition products</t>
  </si>
  <si>
    <t>90-75-60/490 Biometric facial recognition product;</t>
  </si>
  <si>
    <t>Pr_75_75_60_08</t>
  </si>
  <si>
    <t>Biometric iris recognition products</t>
  </si>
  <si>
    <t>90-75-60/495 Biometric iris recognition product;</t>
  </si>
  <si>
    <t>Pr_75_75_60_60</t>
  </si>
  <si>
    <t>Passport readers</t>
  </si>
  <si>
    <t>90-75-60/355 Passport reader;</t>
  </si>
  <si>
    <t>Pr_75_75_75</t>
  </si>
  <si>
    <t>Security screening products</t>
  </si>
  <si>
    <t>Pr_75_75_75_01</t>
  </si>
  <si>
    <t>Advanced cabin baggage x-ray scanners</t>
  </si>
  <si>
    <t>90-75-77/330 Advanced cabin baggage x-ray;</t>
  </si>
  <si>
    <t>Pr_75_75_75_06</t>
  </si>
  <si>
    <t>Back scatter x-ray security scanners</t>
  </si>
  <si>
    <t>90-75-77/310 Backscatter x-ray security scanner;</t>
  </si>
  <si>
    <t>Pr_75_75_75_28</t>
  </si>
  <si>
    <t>Explosive trace detection equipment</t>
  </si>
  <si>
    <t>90-75-77/350 Explosive trace detection equipment;</t>
  </si>
  <si>
    <t>Pr_75_75_75_47</t>
  </si>
  <si>
    <t>Liquid explosive detection equipment</t>
  </si>
  <si>
    <t>90-75-77/340 Liquid explosive detection equipment;</t>
  </si>
  <si>
    <t>Pr_75_75_75_52</t>
  </si>
  <si>
    <t>Millimetre wave security scanners</t>
  </si>
  <si>
    <t>90-75-77/305 Millimetre wave security scanner;</t>
  </si>
  <si>
    <t>Pr_75_75_75_96</t>
  </si>
  <si>
    <t>Walk-through metal detectors</t>
  </si>
  <si>
    <t>90-75-77/320 Walk-through metal detector;</t>
  </si>
  <si>
    <t>Pr_75_75_90</t>
  </si>
  <si>
    <t>Transmission control products</t>
  </si>
  <si>
    <t>Pr_75_75_90_16</t>
  </si>
  <si>
    <t>Converter receivers</t>
  </si>
  <si>
    <t>Pr_75_75_90_17</t>
  </si>
  <si>
    <t>Converter senders</t>
  </si>
  <si>
    <t>Pr_75_75_90_27</t>
  </si>
  <si>
    <t>Encoders and decoders</t>
  </si>
  <si>
    <t>Pr_75_75_90_30</t>
  </si>
  <si>
    <t>Fibre receivers</t>
  </si>
  <si>
    <t>Pr_75_75_90_31</t>
  </si>
  <si>
    <t>Fibre transmitters</t>
  </si>
  <si>
    <t>Pr_75_75_90_41</t>
  </si>
  <si>
    <t>Infrared receivers</t>
  </si>
  <si>
    <t>Pr_75_75_90_42</t>
  </si>
  <si>
    <t>Infrared transmitters</t>
  </si>
  <si>
    <t>Pr_75_75_90_50</t>
  </si>
  <si>
    <t>Microwave transmission beacons</t>
  </si>
  <si>
    <t>Pr_75_75_90_52</t>
  </si>
  <si>
    <t>Microwave transmitters</t>
  </si>
  <si>
    <t>Pr_75_75_90_65</t>
  </si>
  <si>
    <t>Protocol converters</t>
  </si>
  <si>
    <t>Pr_75_75_90_70</t>
  </si>
  <si>
    <t>Radio interface units</t>
  </si>
  <si>
    <t>Pr_75_75_90_71</t>
  </si>
  <si>
    <t>Radio receivers</t>
  </si>
  <si>
    <t>Pr_75_75_90_78</t>
  </si>
  <si>
    <t>Sender modules</t>
  </si>
  <si>
    <t>Pr_75_75_90_88</t>
  </si>
  <si>
    <t>Telemetry receivers</t>
  </si>
  <si>
    <t>90-75-10/360 Telemetry receivers;</t>
  </si>
  <si>
    <t>Pr_75_75_90_89</t>
  </si>
  <si>
    <t>Telemetry senders</t>
  </si>
  <si>
    <t>Pr_75_75_90_90</t>
  </si>
  <si>
    <t>Telemetry transmitters</t>
  </si>
  <si>
    <t>90-75-10/350 Telemetry transmitters;</t>
  </si>
  <si>
    <t>Pr_75_75_90_91</t>
  </si>
  <si>
    <t>Transmission modules</t>
  </si>
  <si>
    <t>Pr_75_75_90_94</t>
  </si>
  <si>
    <t>Video receivers</t>
  </si>
  <si>
    <t>Pr_75_75_90_95</t>
  </si>
  <si>
    <t>Video transmitters</t>
  </si>
  <si>
    <t>Pr_75_75_94</t>
  </si>
  <si>
    <t>Voice alarm and emergency voice communication equipment</t>
  </si>
  <si>
    <t>Pr_75_75_94_03</t>
  </si>
  <si>
    <t>Ambient noise sensing controllers</t>
  </si>
  <si>
    <t>90-70-10/315 Ambient noise sensing controllers;</t>
  </si>
  <si>
    <t>Pr_75_75_94_11</t>
  </si>
  <si>
    <t>Cabinet voice alarm loudspeakers</t>
  </si>
  <si>
    <t>90-70-10/325 Voice alarm loudspeakers;</t>
  </si>
  <si>
    <t>Pr_75_75_94_15</t>
  </si>
  <si>
    <t>Ceiling mounted voice alarm loudspeakers</t>
  </si>
  <si>
    <t>90-70-10/326 Ceiling mounted voice alarm loudspeakers;</t>
  </si>
  <si>
    <t>Pr_75_75_94_19</t>
  </si>
  <si>
    <t>Column voice alarm loudspeakers</t>
  </si>
  <si>
    <t>90-70-10/328 Column voice alarm loudspeakers;</t>
  </si>
  <si>
    <t>Pr_75_75_94_22</t>
  </si>
  <si>
    <t>Disabled refuge master stations</t>
  </si>
  <si>
    <t>90-70-05/370 Disabled refuge master station;</t>
  </si>
  <si>
    <t>Pr_75_75_94_23</t>
  </si>
  <si>
    <t>Disabled refuge outstations</t>
  </si>
  <si>
    <t>90-70-05/340 Disabled refuge outstations;</t>
  </si>
  <si>
    <t>Pr_75_75_94_27</t>
  </si>
  <si>
    <t>Emergency voice communication radio based equipment</t>
  </si>
  <si>
    <t>90-70-05/310 Radio based equipment for emergency voice communication;</t>
  </si>
  <si>
    <t>Pr_75_75_94_37</t>
  </si>
  <si>
    <t>Horn voice alarm loudspeakers</t>
  </si>
  <si>
    <t>90-70-10/329 Horn voice alarm loudspeakers;</t>
  </si>
  <si>
    <t>Pr_75_75_94_41</t>
  </si>
  <si>
    <t>Input cards</t>
  </si>
  <si>
    <t>Pr_75_75_94_58</t>
  </si>
  <si>
    <t>Output cards</t>
  </si>
  <si>
    <t>Pr_75_75_94_60</t>
  </si>
  <si>
    <t>Paging microphones</t>
  </si>
  <si>
    <t>90-70-10/322 Voice alarm paging microphones;</t>
  </si>
  <si>
    <t>Pr_75_75_94_70</t>
  </si>
  <si>
    <t>Radio microphones</t>
  </si>
  <si>
    <t>Pr_75_75_94_72</t>
  </si>
  <si>
    <t>Radio public address interface boards</t>
  </si>
  <si>
    <t>Pr_75_75_94_74</t>
  </si>
  <si>
    <t>Refuge point master stations</t>
  </si>
  <si>
    <t>Pr_75_75_94_76</t>
  </si>
  <si>
    <t>Refuge point outstations</t>
  </si>
  <si>
    <t>Pr_75_75_94_93</t>
  </si>
  <si>
    <t>Voice alarm control console</t>
  </si>
  <si>
    <t>Pr_75_75_94_94</t>
  </si>
  <si>
    <t>Voice alarm controller microphones</t>
  </si>
  <si>
    <t>Pr_75_75_94_95</t>
  </si>
  <si>
    <t>Voice alarm controllers</t>
  </si>
  <si>
    <t>90-70-10/305 Voice alarm controllers;</t>
  </si>
  <si>
    <t>Pr_75_75_94_96</t>
  </si>
  <si>
    <t>Voice alarm emergency microphones</t>
  </si>
  <si>
    <t>90-70-10/320 Emergency microphones;</t>
  </si>
  <si>
    <t>Pr_75_75_94_97</t>
  </si>
  <si>
    <t>Voice alarm power amplifiers</t>
  </si>
  <si>
    <t>90-70-10/310 Voice alarm system power amplifiers;</t>
  </si>
  <si>
    <t>Pr_75_75_94_98</t>
  </si>
  <si>
    <t>Voice alarm power supply units</t>
  </si>
  <si>
    <t>90-70-10/312 Voice alarm power supply units;</t>
  </si>
  <si>
    <t>Pr_80</t>
  </si>
  <si>
    <t>Services general products</t>
  </si>
  <si>
    <t>Pr_80_51</t>
  </si>
  <si>
    <t>Measuring and metering products</t>
  </si>
  <si>
    <t>Pr_80_51_30</t>
  </si>
  <si>
    <t>Measuring flumes</t>
  </si>
  <si>
    <t>Pr_80_51_30_20</t>
  </si>
  <si>
    <t>Cutthroat flumes</t>
  </si>
  <si>
    <t>90-65-28/340 Cutthroat flume;</t>
  </si>
  <si>
    <t>Pr_80_51_30_38</t>
  </si>
  <si>
    <t>HS/H/HL flumes</t>
  </si>
  <si>
    <t>90-65-28/320 HS/H/HL flume;</t>
  </si>
  <si>
    <t>Pr_80_51_30_52</t>
  </si>
  <si>
    <t>Montana flumes</t>
  </si>
  <si>
    <t>90-65-28/350 Montana flume;</t>
  </si>
  <si>
    <t>Pr_80_51_30_60</t>
  </si>
  <si>
    <t>Palmer-Bowlus flumes</t>
  </si>
  <si>
    <t>90-65-28/310 Palmer-bowlus flume;</t>
  </si>
  <si>
    <t>Pr_80_51_30_61</t>
  </si>
  <si>
    <t>Parshall flumes</t>
  </si>
  <si>
    <t>90-65-28/300 Parshall flume;</t>
  </si>
  <si>
    <t>Pr_80_51_30_70</t>
  </si>
  <si>
    <t>RBC flumes</t>
  </si>
  <si>
    <t>90-65-28/360 RBC flume;</t>
  </si>
  <si>
    <t>Pr_80_51_30_90</t>
  </si>
  <si>
    <t>Trapezoidal flumes</t>
  </si>
  <si>
    <t>90-65-28/330 Trapezoidal flume;</t>
  </si>
  <si>
    <t>Pr_80_51_30_94</t>
  </si>
  <si>
    <t>Venturi flumes</t>
  </si>
  <si>
    <t>90-65-28/370 Venturi flume;</t>
  </si>
  <si>
    <t>Pr_80_51_46</t>
  </si>
  <si>
    <t>Liquid flow meters</t>
  </si>
  <si>
    <t>Pr_80_51_46_15</t>
  </si>
  <si>
    <t>Coriolis flowmeters</t>
  </si>
  <si>
    <t>90-65-47/305 Coriolis flowmeter;</t>
  </si>
  <si>
    <t>Pr_80_51_46_27</t>
  </si>
  <si>
    <t>Electromagnetic flow meters</t>
  </si>
  <si>
    <t>90-65-47/310 Electromagnetic flowmeter;</t>
  </si>
  <si>
    <t>Pr_80_51_46_55</t>
  </si>
  <si>
    <t>Multiphase flowmeters</t>
  </si>
  <si>
    <t>90-65-47/315 Multiphase flowmeter;</t>
  </si>
  <si>
    <t>Pr_80_51_46_66</t>
  </si>
  <si>
    <t>Primary flow differential pressure flowmeters</t>
  </si>
  <si>
    <t>90-65-47/320 Primary flow differential pressure flowmeter;</t>
  </si>
  <si>
    <t>Pr_80_51_46_73</t>
  </si>
  <si>
    <t>Rotary piston flowmeters</t>
  </si>
  <si>
    <t>90-65-47/350 Rotary piston flowmeter;</t>
  </si>
  <si>
    <t>Pr_80_51_46_85</t>
  </si>
  <si>
    <t>Swirl flowmeters</t>
  </si>
  <si>
    <t>90-65-47/340 Swirl flowmeter;</t>
  </si>
  <si>
    <t>Pr_80_51_46_88</t>
  </si>
  <si>
    <t>Thermal mass flowmeters</t>
  </si>
  <si>
    <t>90-65-47/325 Thermal mass flowmeter;</t>
  </si>
  <si>
    <t>Pr_80_51_46_92</t>
  </si>
  <si>
    <t>Ultrasonic flowmeters</t>
  </si>
  <si>
    <t>90-65-47/345 Ultrasonic flowmeter;</t>
  </si>
  <si>
    <t>Pr_80_51_51</t>
  </si>
  <si>
    <t>Metering and test products</t>
  </si>
  <si>
    <t>Pr_80_51_51_04</t>
  </si>
  <si>
    <t>Analogue metering equipment</t>
  </si>
  <si>
    <t>90-65-55/310 Analogue metering equipment;</t>
  </si>
  <si>
    <t>Pr_80_51_51_05</t>
  </si>
  <si>
    <t>Ammeters</t>
  </si>
  <si>
    <t>Pr_80_51_51_06</t>
  </si>
  <si>
    <t>Audio frequency induction loop field strength meters</t>
  </si>
  <si>
    <t>90-65-55/360 Loop field strength meters;</t>
  </si>
  <si>
    <t>Pr_80_51_51_11</t>
  </si>
  <si>
    <t>Call information logging equipment</t>
  </si>
  <si>
    <t>90-70-85-380 Call information logging equipment;</t>
  </si>
  <si>
    <t>Pr_80_51_51_15</t>
  </si>
  <si>
    <t>Corrosion monitors</t>
  </si>
  <si>
    <t>90-65-55/475 Corrosion monitors;</t>
  </si>
  <si>
    <t>Pr_80_51_51_19</t>
  </si>
  <si>
    <t>Current transformers</t>
  </si>
  <si>
    <t>90-65-55/315 Current transformers;</t>
  </si>
  <si>
    <t>Pr_80_51_51_21</t>
  </si>
  <si>
    <t>Differential pressure flow meters</t>
  </si>
  <si>
    <t>90-15-75/310 Flow meters;</t>
  </si>
  <si>
    <t>Pr_80_51_51_22</t>
  </si>
  <si>
    <t>Digital metering equipment</t>
  </si>
  <si>
    <t>90-65-55/320 Digital metering equipment;</t>
  </si>
  <si>
    <t>Pr_80_51_51_23</t>
  </si>
  <si>
    <t>Digital multifunction metering equipment</t>
  </si>
  <si>
    <t>90-65-55/325 Digital multifunction metering equipment;</t>
  </si>
  <si>
    <t>Pr_80_51_51_28</t>
  </si>
  <si>
    <t>Energy meters</t>
  </si>
  <si>
    <t>Pr_80_51_51_30</t>
  </si>
  <si>
    <t>Frequency meters</t>
  </si>
  <si>
    <t>Pr_80_51_51_32</t>
  </si>
  <si>
    <t>Fuel meters</t>
  </si>
  <si>
    <t>90-65-55-410 Fuel meters;</t>
  </si>
  <si>
    <t>Pr_80_51_51_33</t>
  </si>
  <si>
    <t>Gas meters</t>
  </si>
  <si>
    <t>90-65-55-400 Secondary gas meters;</t>
  </si>
  <si>
    <t>Pr_80_51_51_37</t>
  </si>
  <si>
    <t>Heat meters</t>
  </si>
  <si>
    <t>90-65-55/430 Heat meters;</t>
  </si>
  <si>
    <t>Pr_80_51_51_50</t>
  </si>
  <si>
    <t>Mass flow meters</t>
  </si>
  <si>
    <t>90-65-55/420 Oil meters;</t>
  </si>
  <si>
    <t>Pr_80_51_51_57</t>
  </si>
  <si>
    <t>Ohm meters</t>
  </si>
  <si>
    <t>Pr_80_51_51_58</t>
  </si>
  <si>
    <t>Oil meters</t>
  </si>
  <si>
    <t>Pr_80_51_51_60</t>
  </si>
  <si>
    <t>Phase meters</t>
  </si>
  <si>
    <t>Pr_80_51_51_62</t>
  </si>
  <si>
    <t>Piezometers</t>
  </si>
  <si>
    <t>45-90-90/310 Survey instruments;</t>
  </si>
  <si>
    <t>Pr_80_51_51_63</t>
  </si>
  <si>
    <t>Power factor meters</t>
  </si>
  <si>
    <t>Pr_80_51_51_64</t>
  </si>
  <si>
    <t>Portable gas monitors</t>
  </si>
  <si>
    <t>90-75-45/330 Portable gas detectors;</t>
  </si>
  <si>
    <t>Pr_80_51_51_65</t>
  </si>
  <si>
    <t>Portable leak monitors</t>
  </si>
  <si>
    <t>Pr_80_51_51_66</t>
  </si>
  <si>
    <t>Portable moisture monitors</t>
  </si>
  <si>
    <t>Pr_80_51_51_67</t>
  </si>
  <si>
    <t>Pressure meters</t>
  </si>
  <si>
    <t>Pr_80_51_51_80</t>
  </si>
  <si>
    <t>Soil moisture monitors</t>
  </si>
  <si>
    <t>Pr_80_51_51_92</t>
  </si>
  <si>
    <t>Ultrasonic flow meters</t>
  </si>
  <si>
    <t>90-65-55/440 Orifice plate flow meters;</t>
  </si>
  <si>
    <t>Pr_80_51_51_93</t>
  </si>
  <si>
    <t>Vapour meters</t>
  </si>
  <si>
    <t>90-30-50/390 Vapour meters;</t>
  </si>
  <si>
    <t>Pr_80_51_51_94</t>
  </si>
  <si>
    <t>Variable area flow meters</t>
  </si>
  <si>
    <t>90-65-47/330 Variable area flowmeter;</t>
  </si>
  <si>
    <t>Pr_80_51_51_95</t>
  </si>
  <si>
    <t>Voltmeters</t>
  </si>
  <si>
    <t>Pr_80_51_51_96</t>
  </si>
  <si>
    <t>Vortex flow meters</t>
  </si>
  <si>
    <t>90-65-47/335 Vortex flowmeter;</t>
  </si>
  <si>
    <t>Pr_80_51_51_97</t>
  </si>
  <si>
    <t>Water meters</t>
  </si>
  <si>
    <t>90-65-55/470 Water meters;</t>
  </si>
  <si>
    <t>Pr_80_51_51_98</t>
  </si>
  <si>
    <t>Wattmeters</t>
  </si>
  <si>
    <t>Pr_80_51_70</t>
  </si>
  <si>
    <t>Rail and road measuring products</t>
  </si>
  <si>
    <t>Pr_80_51_70_22</t>
  </si>
  <si>
    <t>Digital straight edge gauges</t>
  </si>
  <si>
    <t>Pr_80_51_70_44</t>
  </si>
  <si>
    <t>Junction work gauges</t>
  </si>
  <si>
    <t>Pr_80_51_70_64</t>
  </si>
  <si>
    <t>Platform gauges</t>
  </si>
  <si>
    <t>Pr_80_51_70_85</t>
  </si>
  <si>
    <t>Straight edge gauges</t>
  </si>
  <si>
    <t>Pr_80_51_70_88</t>
  </si>
  <si>
    <t>Track geometry trolleys</t>
  </si>
  <si>
    <t>Pr_80_51_70_89</t>
  </si>
  <si>
    <t>Track gauges</t>
  </si>
  <si>
    <t>Pr_80_51_70_90</t>
  </si>
  <si>
    <t>Tunnel gauges</t>
  </si>
  <si>
    <t>Pr_80_51_85</t>
  </si>
  <si>
    <t>Structural instrumentation and monitoring products</t>
  </si>
  <si>
    <t>Pr_80_51_85_01</t>
  </si>
  <si>
    <t>Accelerometers</t>
  </si>
  <si>
    <t>Pr_80_51_85_18</t>
  </si>
  <si>
    <t>Crack gauges</t>
  </si>
  <si>
    <t>90-65-84/345 Crack gauge;</t>
  </si>
  <si>
    <t>Pr_80_51_85_21</t>
  </si>
  <si>
    <t>Data loggers</t>
  </si>
  <si>
    <t>90-65-84/365 Data logger;</t>
  </si>
  <si>
    <t>Pr_80_51_85_27</t>
  </si>
  <si>
    <t>Electrolevel sensor and microelectromechanical units</t>
  </si>
  <si>
    <t>90-65-84/330 Electrolevel sensor and microelectromechanical systems;</t>
  </si>
  <si>
    <t>Pr_80_51_85_28</t>
  </si>
  <si>
    <t>Extensometers</t>
  </si>
  <si>
    <t>90-65-84/355 Extensometer;</t>
  </si>
  <si>
    <t>Pr_80_51_85_41</t>
  </si>
  <si>
    <t>Inclinometers</t>
  </si>
  <si>
    <t>90-65-84/350 Inclinometer;</t>
  </si>
  <si>
    <t>Pr_80_51_85_45</t>
  </si>
  <si>
    <t>Linear movement detectors</t>
  </si>
  <si>
    <t>Pr_80_51_85_46</t>
  </si>
  <si>
    <t>Liquid level gauges</t>
  </si>
  <si>
    <t>90-65-84/325 Liquid level gauge;</t>
  </si>
  <si>
    <t>Pr_80_51_85_47</t>
  </si>
  <si>
    <t>Load cells</t>
  </si>
  <si>
    <t>90-65-84/320 Load cell;</t>
  </si>
  <si>
    <t>Pr_80_51_85_48</t>
  </si>
  <si>
    <t>Logger box and readout box</t>
  </si>
  <si>
    <t>90-65-84/360 Logger box and readout box;</t>
  </si>
  <si>
    <t>Pr_80_51_85_66</t>
  </si>
  <si>
    <t>Precise levels</t>
  </si>
  <si>
    <t>90-65-84/305 Precise level;</t>
  </si>
  <si>
    <t>Pr_80_51_85_84</t>
  </si>
  <si>
    <t>Strain gauges</t>
  </si>
  <si>
    <t>90-65-84/315 Strain gauge;</t>
  </si>
  <si>
    <t>Pr_80_51_85_87</t>
  </si>
  <si>
    <t>Tape extensometers</t>
  </si>
  <si>
    <t>90-65-84/310 Tape extensometer;</t>
  </si>
  <si>
    <t>Pr_80_51_85_88</t>
  </si>
  <si>
    <t>Tilt meters</t>
  </si>
  <si>
    <t>90-65-84/335 Tilt meter;</t>
  </si>
  <si>
    <t>Pr_80_51_85_90</t>
  </si>
  <si>
    <t>Total stations</t>
  </si>
  <si>
    <t>90-65-84/300 Total station;</t>
  </si>
  <si>
    <t>Pr_80_51_96</t>
  </si>
  <si>
    <t>Weighbridge products</t>
  </si>
  <si>
    <t>Pr_80_51_96_00</t>
  </si>
  <si>
    <t>Above ground weighbridges</t>
  </si>
  <si>
    <t>90-65-95/305 Above ground weighbridge;</t>
  </si>
  <si>
    <t>Pr_80_51_96_32</t>
  </si>
  <si>
    <t>Fully inground weighbridges</t>
  </si>
  <si>
    <t>90-65-95/315 Fully inground weighbridge;</t>
  </si>
  <si>
    <t>Pr_80_51_96_55</t>
  </si>
  <si>
    <t>Multiple deck weighbridges</t>
  </si>
  <si>
    <t>90-65-95/325 Multiple deck weighbridge;</t>
  </si>
  <si>
    <t>Pr_80_51_96_71</t>
  </si>
  <si>
    <t>Relocatable weighbridges</t>
  </si>
  <si>
    <t>90-65-95/320 Relocatable weighbridge;</t>
  </si>
  <si>
    <t>Pr_80_51_96_77</t>
  </si>
  <si>
    <t>Semi-pit weighbridges</t>
  </si>
  <si>
    <t>90-65-95/310 Semi-pit weighbridge;</t>
  </si>
  <si>
    <t>Pr_80_51_96_96</t>
  </si>
  <si>
    <t>Wheel weigh pads</t>
  </si>
  <si>
    <t>90-65-95/330 Wheel weigh pads;</t>
  </si>
  <si>
    <t>Pr_80_77</t>
  </si>
  <si>
    <t>Services support and containment products</t>
  </si>
  <si>
    <t>Pr_80_77_23</t>
  </si>
  <si>
    <t>Dock shelters</t>
  </si>
  <si>
    <t>Pr_80_77_23_30</t>
  </si>
  <si>
    <t>Flap dock shelters</t>
  </si>
  <si>
    <t>45-25-28/442 Dock shelters;</t>
  </si>
  <si>
    <t>Pr_80_77_23_31</t>
  </si>
  <si>
    <t>Foam pad (cushion) dock seals</t>
  </si>
  <si>
    <t>Pr_80_77_23_42</t>
  </si>
  <si>
    <t>Inflatable dock shelters</t>
  </si>
  <si>
    <t>Pr_80_77_23_70</t>
  </si>
  <si>
    <t>Retractable dock shelters</t>
  </si>
  <si>
    <t>Pr_80_77_23_71</t>
  </si>
  <si>
    <t>Rigid dock shelters</t>
  </si>
  <si>
    <t>Pr_80_77_23_72</t>
  </si>
  <si>
    <t>Rigid dock shelters with inflatable seals</t>
  </si>
  <si>
    <t>Pr_80_77_27</t>
  </si>
  <si>
    <t>Equipment boards, racks and supports</t>
  </si>
  <si>
    <t>Pr_80_77_27_04</t>
  </si>
  <si>
    <t>Audio-visual equipment racks</t>
  </si>
  <si>
    <t>90-70-25/340 Audio visual equipment racks;</t>
  </si>
  <si>
    <t>Pr_80_77_27_07</t>
  </si>
  <si>
    <t>Ballasted mounting frames for solar modules</t>
  </si>
  <si>
    <t>90-90-60-320 Ballasted mounting frame for solar modules;</t>
  </si>
  <si>
    <t>Pr_80_77_27_08</t>
  </si>
  <si>
    <t>Battery shelving racks</t>
  </si>
  <si>
    <t>90-90-60/310 Battery shelving racks;</t>
  </si>
  <si>
    <t>Pr_80_77_27_15</t>
  </si>
  <si>
    <t>Channel supports</t>
  </si>
  <si>
    <t>90-90-60-390 Services supports;</t>
  </si>
  <si>
    <t>Pr_80_77_27_31</t>
  </si>
  <si>
    <t>Free standing mounting frames for solar modules</t>
  </si>
  <si>
    <t>90-90-60-330 Free standing mounting frame for solar modules;</t>
  </si>
  <si>
    <t>Pr_80_77_27_33</t>
  </si>
  <si>
    <t>Gauge mounting boards</t>
  </si>
  <si>
    <t>90-10-60/385 Gauge mounting boards;</t>
  </si>
  <si>
    <t>Pr_80_77_27_42</t>
  </si>
  <si>
    <t>IT and telecommunications equipment racks</t>
  </si>
  <si>
    <t>Pr_80_77_27_51</t>
  </si>
  <si>
    <t>Metal cladding solar module clamps</t>
  </si>
  <si>
    <t>90-90-60-340 Metal cladding solar module clamps;</t>
  </si>
  <si>
    <t>Pr_80_77_27_53</t>
  </si>
  <si>
    <t>Mounting plates</t>
  </si>
  <si>
    <t>Pr_80_77_27_54</t>
  </si>
  <si>
    <t>Multi-service transit seals</t>
  </si>
  <si>
    <t>Pr_80_77_27_72</t>
  </si>
  <si>
    <t>Roof anchors for solar modules</t>
  </si>
  <si>
    <t>90-90-60-360 Roof anchors for solar modules;</t>
  </si>
  <si>
    <t>Pr_80_77_27_73</t>
  </si>
  <si>
    <t>Roof equipment supports</t>
  </si>
  <si>
    <t>90-90-60/380 Roof equipment support systems;</t>
  </si>
  <si>
    <t>Pr_80_77_27_80</t>
  </si>
  <si>
    <t>Solar module support rails</t>
  </si>
  <si>
    <t>90-90-60/350 Solar module support rails;</t>
  </si>
  <si>
    <t>Pr_80_77_27_91</t>
  </si>
  <si>
    <t>Turbine support structures</t>
  </si>
  <si>
    <t>90-90-60/370 Turbine support structures;</t>
  </si>
  <si>
    <t>Pr_80_77_28</t>
  </si>
  <si>
    <t>Equipment enclosures, cabinets, boxes and housings</t>
  </si>
  <si>
    <t>Pr_80_77_28_06</t>
  </si>
  <si>
    <t>Balanced twisted-pair cabling patch panels</t>
  </si>
  <si>
    <t>90-70-25/320 Balanced twisted-pair cabling patch panels;</t>
  </si>
  <si>
    <t>Pr_80_77_28_07</t>
  </si>
  <si>
    <t>Boundary boxes</t>
  </si>
  <si>
    <t>Pr_80_77_28_08</t>
  </si>
  <si>
    <t>Cable junction boxes</t>
  </si>
  <si>
    <t>Pr_80_77_28_09</t>
  </si>
  <si>
    <t>Cable termination boxes</t>
  </si>
  <si>
    <t>Pr_80_77_28_10</t>
  </si>
  <si>
    <t>Camera brackets</t>
  </si>
  <si>
    <t>90-75-10/400 Camera brackets;</t>
  </si>
  <si>
    <t>Pr_80_77_28_11</t>
  </si>
  <si>
    <t>Camera housings</t>
  </si>
  <si>
    <t>Pr_80_77_28_13</t>
  </si>
  <si>
    <t>Central battery enclosures</t>
  </si>
  <si>
    <t>90-60-05-350 Separate central battery enclosures;</t>
  </si>
  <si>
    <t>Pr_80_77_28_16</t>
  </si>
  <si>
    <t>Control circuit device enclosures</t>
  </si>
  <si>
    <t>Pr_80_77_28_21</t>
  </si>
  <si>
    <t>Data equipment cabinets</t>
  </si>
  <si>
    <t>90-70-25-310 Data equipment cabinets;</t>
  </si>
  <si>
    <t>Pr_80_77_28_22</t>
  </si>
  <si>
    <t>Display monitor housings</t>
  </si>
  <si>
    <t>Pr_80_77_28_24</t>
  </si>
  <si>
    <t>Dry riser landing boxes</t>
  </si>
  <si>
    <t>Pr_80_77_28_26</t>
  </si>
  <si>
    <t>Fibre joint enclosures</t>
  </si>
  <si>
    <t>Pr_80_77_28_27</t>
  </si>
  <si>
    <t>Fibre optic patch panels</t>
  </si>
  <si>
    <t>90-70-25/325 Fibre optic patch panels;</t>
  </si>
  <si>
    <t>Pr_80_77_28_28</t>
  </si>
  <si>
    <t>Fire equipment cabinets</t>
  </si>
  <si>
    <t>45-35-28/420 Fire equipment cabinets, surface mounted;</t>
  </si>
  <si>
    <t>Pr_80_77_28_29</t>
  </si>
  <si>
    <t>Fire extinguisher cabinets</t>
  </si>
  <si>
    <t>45-35-28/410 Fire equipment cabinets, built in;</t>
  </si>
  <si>
    <t>Pr_80_77_28_30</t>
  </si>
  <si>
    <t>Fire hose cabinets</t>
  </si>
  <si>
    <t>Pr_80_77_28_33</t>
  </si>
  <si>
    <t>Generator enclosures</t>
  </si>
  <si>
    <t>90-50-35/370 Generator enclosures;</t>
  </si>
  <si>
    <t>Pr_80_77_28_46</t>
  </si>
  <si>
    <t>Large fire hydrant surface boxes</t>
  </si>
  <si>
    <t>90-35-95/395 Surface boxes;</t>
  </si>
  <si>
    <t>Pr_80_77_28_47</t>
  </si>
  <si>
    <t>Loudspeaker protective cages</t>
  </si>
  <si>
    <t>90-70-10/440 Loudspeaker protective cages;</t>
  </si>
  <si>
    <t>Pr_80_77_28_48</t>
  </si>
  <si>
    <t>Loudspeaker rear protective enclosures</t>
  </si>
  <si>
    <t>90-70-10/445 Loudspeaker rear protective enclosures;</t>
  </si>
  <si>
    <t>Pr_80_77_28_49</t>
  </si>
  <si>
    <t>Low voltage switchgear enclosures</t>
  </si>
  <si>
    <t>90-50-45/394 Enclosures;</t>
  </si>
  <si>
    <t>Pr_80_77_28_52</t>
  </si>
  <si>
    <t>Meter cabinets</t>
  </si>
  <si>
    <t>90-65-55/405 Meter cabinets;</t>
  </si>
  <si>
    <t>Pr_80_77_28_60</t>
  </si>
  <si>
    <t>Padlock and key cabinets</t>
  </si>
  <si>
    <t>45-35-80/390 Padlock and key cabinets;</t>
  </si>
  <si>
    <t>Pr_80_77_28_65</t>
  </si>
  <si>
    <t>Power factor correction equipment enclosures</t>
  </si>
  <si>
    <t>Pr_80_77_28_70</t>
  </si>
  <si>
    <t>Rack cabinets</t>
  </si>
  <si>
    <t>Pr_80_77_28_77</t>
  </si>
  <si>
    <t>Switchgear enclosures</t>
  </si>
  <si>
    <t>Pr_80_77_28_78</t>
  </si>
  <si>
    <t>Switchgear extension frames</t>
  </si>
  <si>
    <t>Pr_80_77_28_84</t>
  </si>
  <si>
    <t>Surveillance camera brackets</t>
  </si>
  <si>
    <t>Pr_80_77_28_85</t>
  </si>
  <si>
    <t>Surveillance camera housings</t>
  </si>
  <si>
    <t>90-75-10/420 External camera housings;</t>
  </si>
  <si>
    <t>Pr_80_77_28_86</t>
  </si>
  <si>
    <t>Telephone enclosures</t>
  </si>
  <si>
    <t>45-35-35/410 Telephone enclosures;</t>
  </si>
  <si>
    <t>Pr_80_77_28_88</t>
  </si>
  <si>
    <t>Terminal air filter housings</t>
  </si>
  <si>
    <t>90-45-10/460 Terminal filter housings;</t>
  </si>
  <si>
    <t>Pr_80_77_28_94</t>
  </si>
  <si>
    <t>Valve boxes</t>
  </si>
  <si>
    <t>Pr_80_77_28_95</t>
  </si>
  <si>
    <t>Video recorder cabinets</t>
  </si>
  <si>
    <t>90-70-25/330 Video recorder cabinets;</t>
  </si>
  <si>
    <t>Pr_80_77_28_96</t>
  </si>
  <si>
    <t>Water fire extinguishing inlet boxes</t>
  </si>
  <si>
    <t>90-35-95/345 Inlet breechings and boxes;</t>
  </si>
  <si>
    <t>Pr_80_77_28_97</t>
  </si>
  <si>
    <t>Water fire extinguishing surface boxes</t>
  </si>
  <si>
    <t>Pr_80_77_28_98</t>
  </si>
  <si>
    <t>Weatherproof equipment enclosures</t>
  </si>
  <si>
    <t>90-15-40/491 Weatherproof equipment enclosures;</t>
  </si>
  <si>
    <t>Pr_80_77_46</t>
  </si>
  <si>
    <t>Lift enclosures, access and supports</t>
  </si>
  <si>
    <t>Pr_80_77_46_32</t>
  </si>
  <si>
    <t>Free standing self-supporting lift shafts</t>
  </si>
  <si>
    <t>90-80-60/330 Free standing self supporting shaft;</t>
  </si>
  <si>
    <t>Pr_80_77_46_46</t>
  </si>
  <si>
    <t>Lift cars</t>
  </si>
  <si>
    <t>90-80-60/310 Lift cars;</t>
  </si>
  <si>
    <t>Pr_80_77_48</t>
  </si>
  <si>
    <t>Lighting columns, brackets and bollards</t>
  </si>
  <si>
    <t>Pr_80_77_48_01</t>
  </si>
  <si>
    <t>Aluminium column luminaire brackets</t>
  </si>
  <si>
    <t>90-60-45-350 Aluminium column luminaire brackets;</t>
  </si>
  <si>
    <t>Pr_80_77_48_02</t>
  </si>
  <si>
    <t>Aluminium lighting bollards</t>
  </si>
  <si>
    <t>90-60-45/330 Aluminium lighting pedestals;</t>
  </si>
  <si>
    <t>Pr_80_77_48_03</t>
  </si>
  <si>
    <t>Aluminium lighting columns</t>
  </si>
  <si>
    <t>90-60-45/310 Aluminium lighting columns;</t>
  </si>
  <si>
    <t>Pr_80_77_48_04</t>
  </si>
  <si>
    <t>Aluminium luminaire brackets</t>
  </si>
  <si>
    <t>90-60-45/370 Aluminium luminaire brackets;</t>
  </si>
  <si>
    <t>Pr_80_77_48_15</t>
  </si>
  <si>
    <t>Concrete lighting bollards</t>
  </si>
  <si>
    <t>Pr_80_77_48_16</t>
  </si>
  <si>
    <t>Concrete lighting columns</t>
  </si>
  <si>
    <t>90-60-45/324 Concrete lighting column;</t>
  </si>
  <si>
    <t>Pr_80_77_48_23</t>
  </si>
  <si>
    <t>Double lighting columns</t>
  </si>
  <si>
    <t>Pr_80_77_48_55</t>
  </si>
  <si>
    <t>Multiple light columns</t>
  </si>
  <si>
    <t>Pr_80_77_48_63</t>
  </si>
  <si>
    <t>Plastics lighting bollards</t>
  </si>
  <si>
    <t>Pr_80_77_48_64</t>
  </si>
  <si>
    <t>Plastics lighting columns</t>
  </si>
  <si>
    <t>90-60-45/322 Plastics lighting column;</t>
  </si>
  <si>
    <t>Pr_80_77_48_78</t>
  </si>
  <si>
    <t>Steel column luminaire brackets</t>
  </si>
  <si>
    <t>90-60-45/360 Steel column luminaire brackets;</t>
  </si>
  <si>
    <t>Pr_80_77_48_79</t>
  </si>
  <si>
    <t>Steel lighting bollards</t>
  </si>
  <si>
    <t>90-60-45/340 Steel lighting pedestals;</t>
  </si>
  <si>
    <t>Pr_80_77_48_80</t>
  </si>
  <si>
    <t>Steel lighting columns</t>
  </si>
  <si>
    <t>90-60-45/320 Steel lighting columns;</t>
  </si>
  <si>
    <t>Pr_80_77_48_81</t>
  </si>
  <si>
    <t>Steel luminaire brackets</t>
  </si>
  <si>
    <t>90-60-45/380 Steel luminaire brackets;</t>
  </si>
  <si>
    <t>Pr_80_77_76</t>
  </si>
  <si>
    <t>Services insulation and protection products</t>
  </si>
  <si>
    <t>Pr_80_77_76_03</t>
  </si>
  <si>
    <t>Aluminium sheet insulation casing</t>
  </si>
  <si>
    <t>Pr_80_77_76_11</t>
  </si>
  <si>
    <t>Calcium silicate preformed section and slab insulation</t>
  </si>
  <si>
    <t>90-90-40/310 Calcium silicate insulation preformed sections and slabs;</t>
  </si>
  <si>
    <t>Pr_80_77_76_12</t>
  </si>
  <si>
    <t>Canvas insulation protection</t>
  </si>
  <si>
    <t>90-90-40/390 Protection;</t>
  </si>
  <si>
    <t>Pr_80_77_76_13</t>
  </si>
  <si>
    <t>Carbon steel sheet insulation casing</t>
  </si>
  <si>
    <t>Pr_80_77_76_25</t>
  </si>
  <si>
    <t>Ethylene propylene diene monomer (EPDM) rubber insulation</t>
  </si>
  <si>
    <t>Pr_80_77_76_29</t>
  </si>
  <si>
    <t>Flexible elastomeric foam insulation</t>
  </si>
  <si>
    <t>Pr_80_77_76_34</t>
  </si>
  <si>
    <t>Glass wool cloth insulation protection</t>
  </si>
  <si>
    <t>Pr_80_77_76_47</t>
  </si>
  <si>
    <t>Loadbearing pipeline support insulation</t>
  </si>
  <si>
    <t>90-90-40/485 Insulation at loadbearing pipeline supports;</t>
  </si>
  <si>
    <t>Pr_80_77_76_52</t>
  </si>
  <si>
    <t>Mineral wool duct metal mesh faced mattress insulation</t>
  </si>
  <si>
    <t>90-90-40/320 Metal mesh faced mineral wool mattresses;</t>
  </si>
  <si>
    <t>Pr_80_77_76_53</t>
  </si>
  <si>
    <t>Mineral wool duct slab insulation</t>
  </si>
  <si>
    <t>90-90-40/340 Mineral wool slabs insulation;</t>
  </si>
  <si>
    <t>Pr_80_77_76_54</t>
  </si>
  <si>
    <t>Mineral wool pipe section insulation</t>
  </si>
  <si>
    <t>90-90-40/330 Mineral wool pipe section insulation;</t>
  </si>
  <si>
    <t>Pr_80_77_76_58</t>
  </si>
  <si>
    <t>Nitrile rubber insulation</t>
  </si>
  <si>
    <t>90-90-40/350 Nitrile rubber insulation;</t>
  </si>
  <si>
    <t>Pr_80_77_76_62</t>
  </si>
  <si>
    <t>Phenolic foam insulation</t>
  </si>
  <si>
    <t>90-90-40/360 Phenolic foam insulation;</t>
  </si>
  <si>
    <t>Pr_80_77_76_64</t>
  </si>
  <si>
    <t>Polyisobutylene insulation protection</t>
  </si>
  <si>
    <t>Pr_80_77_76_65</t>
  </si>
  <si>
    <t>Polyisocyanurate (PIR) insulation</t>
  </si>
  <si>
    <t>90-90-40/370 Polyisocyanurate (PIR) insulation;</t>
  </si>
  <si>
    <t>Pr_80_77_76_76</t>
  </si>
  <si>
    <t>Self-adhesive insulation casing</t>
  </si>
  <si>
    <t>Pr_80_77_76_85</t>
  </si>
  <si>
    <t>Stainless steel sheet insulation casing</t>
  </si>
  <si>
    <t>Pr_80_77_76_92</t>
  </si>
  <si>
    <t>Unplasticized polyvinylchloride (PVC-U) sheet insulation casing</t>
  </si>
  <si>
    <t>Pr_80_77_76_94</t>
  </si>
  <si>
    <t>Valve and flange insulation</t>
  </si>
  <si>
    <t>90-90-40/480 Insulation for valves and flanges;</t>
  </si>
  <si>
    <t>Pr_80_77_76_95</t>
  </si>
  <si>
    <t>Valve and flange insulation casing</t>
  </si>
  <si>
    <t>Pr_80_77_94</t>
  </si>
  <si>
    <t>Vibration isolation products</t>
  </si>
  <si>
    <t>Pr_80_77_94_15</t>
  </si>
  <si>
    <t>Compression isolators</t>
  </si>
  <si>
    <t>90-90-95/320 Compression isolators;</t>
  </si>
  <si>
    <t>Pr_80_77_94_30</t>
  </si>
  <si>
    <t>Flexible vibration isolation hoses</t>
  </si>
  <si>
    <t>90-90-95/380 Flexible hoses;</t>
  </si>
  <si>
    <t>Pr_80_77_94_40</t>
  </si>
  <si>
    <t>Inertia bases</t>
  </si>
  <si>
    <t>90-90-95/360 Inertia bases;</t>
  </si>
  <si>
    <t>Pr_80_77_94_42</t>
  </si>
  <si>
    <t>Isolation hangers</t>
  </si>
  <si>
    <t>90-90-95/370 Isolation hangers;</t>
  </si>
  <si>
    <t>Pr_80_77_94_50</t>
  </si>
  <si>
    <t>Mat mountings</t>
  </si>
  <si>
    <t>90-90-95/340 Mat mountings;</t>
  </si>
  <si>
    <t>Pr_80_77_94_60</t>
  </si>
  <si>
    <t>Pad mountings</t>
  </si>
  <si>
    <t>90-90-95/350 Pad mountings;</t>
  </si>
  <si>
    <t>Pr_80_77_94_65</t>
  </si>
  <si>
    <t>Pneumatic isolation mounts</t>
  </si>
  <si>
    <t>90-90-95/400 Pneumatic isolation mounts;</t>
  </si>
  <si>
    <t>Pr_80_77_94_74</t>
  </si>
  <si>
    <t>Rubber bellows</t>
  </si>
  <si>
    <t>90-90-95/390 Rubber bellows;</t>
  </si>
  <si>
    <t>Pr_80_77_94_84</t>
  </si>
  <si>
    <t>Spring isolators</t>
  </si>
  <si>
    <t>90-90-95/330 Spring isolators;</t>
  </si>
  <si>
    <t>Pr_85</t>
  </si>
  <si>
    <t>Process engineering products</t>
  </si>
  <si>
    <t>Pr_85_51</t>
  </si>
  <si>
    <t>Milling products</t>
  </si>
  <si>
    <t>Pr_85_51_34</t>
  </si>
  <si>
    <t>Grain milling products</t>
  </si>
  <si>
    <t>Pr_85_51_34_51</t>
  </si>
  <si>
    <t>Millstones</t>
  </si>
  <si>
    <t>Pr_85_51_51</t>
  </si>
  <si>
    <t>Mineral milling products</t>
  </si>
  <si>
    <t>Pr_85_51_87</t>
  </si>
  <si>
    <t>Textile milling products</t>
  </si>
  <si>
    <t>Pr_85_51_88</t>
  </si>
  <si>
    <t>Timber milling products</t>
  </si>
  <si>
    <t>Pr_85_73</t>
  </si>
  <si>
    <t>Robotic products</t>
  </si>
  <si>
    <t>Pr_90</t>
  </si>
  <si>
    <t>Soft facility management products</t>
  </si>
  <si>
    <t>Pr Products - 01 February 2018 - v1.9</t>
  </si>
  <si>
    <t>Objeto</t>
  </si>
  <si>
    <t>Norma Europeia/ Portuguesa</t>
  </si>
  <si>
    <t>Produtos Preparatórios</t>
  </si>
  <si>
    <t>Produtos Preparatórios sem forma</t>
  </si>
  <si>
    <t>Produtos para Tratamento de Limpeza e Reparações</t>
  </si>
  <si>
    <t>Applied cleaning and repair treatments</t>
  </si>
  <si>
    <t>-</t>
  </si>
  <si>
    <t>Sistemas de Proteção Superficial do Betão</t>
  </si>
  <si>
    <t>EN 1504-2:2004</t>
  </si>
  <si>
    <t>Estabelizadores quimicos para o solo</t>
  </si>
  <si>
    <t>Produtos para Escavação e Enchimento/Aterro do solo</t>
  </si>
  <si>
    <t>Pr_15_31_26_37</t>
  </si>
  <si>
    <t>Highways Agency unbound mixtures Category B</t>
  </si>
  <si>
    <t>Pr_15_31_26_38</t>
  </si>
  <si>
    <t>Highways Agency unbound mixtures Type 1</t>
  </si>
  <si>
    <t>45-55-28/360 Highways Agency unbound mixture Type 1;</t>
  </si>
  <si>
    <t>Highways Agency unbound mixtures Type 2</t>
  </si>
  <si>
    <t>Pr_15_31_26_40</t>
  </si>
  <si>
    <t>Highways Agency unbound mixtures Type 3</t>
  </si>
  <si>
    <t>45-55-28/380 Highways Agency unbound mixture Type 3;</t>
  </si>
  <si>
    <t>Pr_15_31_26_41</t>
  </si>
  <si>
    <t>Highways Agency unbound mixtures Type 4</t>
  </si>
  <si>
    <t>45-55-28/390 Highways Agency unbound mixture Type 4;</t>
  </si>
  <si>
    <t>Produtos Preparatórios não Rigidos: Membranas, Chapas, Fibras</t>
  </si>
  <si>
    <t>Produtos para Limpeza e Reparação</t>
  </si>
  <si>
    <t>Geocélulas</t>
  </si>
  <si>
    <t>Heavy duty polystyrene geocell boards</t>
  </si>
  <si>
    <t>Heavy duty polystyrene geocell sheets</t>
  </si>
  <si>
    <t>Geocompostos</t>
  </si>
  <si>
    <t>Geomembranas</t>
  </si>
  <si>
    <t>Geosintéticos</t>
  </si>
  <si>
    <t>Geotexteis</t>
  </si>
  <si>
    <t>Produtos Preparatórios Rígidos: Membranas, Chapas, Placas, Paineis</t>
  </si>
  <si>
    <t>Valas em chapa e valas em placa</t>
  </si>
  <si>
    <t>Produtos Unitárias Preparatórios</t>
  </si>
  <si>
    <t>Blocos com enchimento</t>
  </si>
  <si>
    <t>Produtos Manufaturados em Poliestireno Expandido (EPS)</t>
  </si>
  <si>
    <t>EN 14933:2007</t>
  </si>
  <si>
    <t>Produtos Estruturais e Gerais</t>
  </si>
  <si>
    <t>Produtos para Ligações</t>
  </si>
  <si>
    <t>Ancoragens e Componentes</t>
  </si>
  <si>
    <t>Barras para Ancoragem em Aço Inoxidável</t>
  </si>
  <si>
    <t>EN 10088-5:2009</t>
  </si>
  <si>
    <t>Ligações para elementos ângulares</t>
  </si>
  <si>
    <t>Elementos para ligações Roscados e Acessórios</t>
  </si>
  <si>
    <t>Ligações Roscadas de Alta Resistência aptos a pré-esforço</t>
  </si>
  <si>
    <t>EN 14399-1:2015</t>
  </si>
  <si>
    <t>Acessórios: Cabos para a Suspensão de Pontes</t>
  </si>
  <si>
    <t>Chapas para Ligações, Amarrações e Juntas</t>
  </si>
  <si>
    <t>Amarrações para Alvenaria</t>
  </si>
  <si>
    <t>EN 845-1:2013+A1:2016</t>
  </si>
  <si>
    <t>Varões e Perfis</t>
  </si>
  <si>
    <t>Virolas e Buchas</t>
  </si>
  <si>
    <t>Dispositivos para Ligações de Saliências</t>
  </si>
  <si>
    <t>Dispositivos para Ligações em Chapa: Dobrados e Planos</t>
  </si>
  <si>
    <t>Dispositivos para Ligações: Pregos em Aço para Estruturas de madeira</t>
  </si>
  <si>
    <t>EN 14545:2008</t>
  </si>
  <si>
    <t>Dispositivos para ligações: Pregos Perfurados para Estruturas de madeira</t>
  </si>
  <si>
    <t>Chapas para Ligações da Alvenaria</t>
  </si>
  <si>
    <t>Dispositivos para Ligações: Pregos em Aço Inóxidável para Estruturas de Madeira</t>
  </si>
  <si>
    <t>Dispositivos para Ligações: Ligadores em Aço Inóxidavel para Placas de Aço Perfurado em Estruturas de Madeira</t>
  </si>
  <si>
    <t>Dispositivos para Ligações para Placas de Vidro, Suportes e Âncoras</t>
  </si>
  <si>
    <t>Pregos</t>
  </si>
  <si>
    <t>Porcas</t>
  </si>
  <si>
    <t>Embalagens, Arruelas e Espaçadores</t>
  </si>
  <si>
    <t>Buchas</t>
  </si>
  <si>
    <t>Ligações para Carris em Ferrovias</t>
  </si>
  <si>
    <t>Pr_20_29_70_30</t>
  </si>
  <si>
    <t>Gatos</t>
  </si>
  <si>
    <t>Parafusos</t>
  </si>
  <si>
    <t>Fixações Mecânicas: Parafusos para Sistemas de Placas de Gesso</t>
  </si>
  <si>
    <t>EN 14566:2008+A1:2009</t>
  </si>
  <si>
    <t>Self-drilling sheet metal screws</t>
  </si>
  <si>
    <t>Pregos para Ancoragens</t>
  </si>
  <si>
    <t>Dispositivos de Ligações para Fardos</t>
  </si>
  <si>
    <t>Dispositivos de Ligações para Telhas em Palha</t>
  </si>
  <si>
    <t>Dispositivos de Ligações para Revestimentos Cerâmicos e Carpetes</t>
  </si>
  <si>
    <t>Conectores bifurcados para Coberturas em Aço Laminados a Quente de Construção não Ligados</t>
  </si>
  <si>
    <t>EN 10025-1:2004</t>
  </si>
  <si>
    <t>Placas de Canto para Coberturas em Aço Laminados a Euente de Construção não Ligados</t>
  </si>
  <si>
    <t>Juntas Soldadas</t>
  </si>
  <si>
    <t>Enchimento para Juntas Soldadas</t>
  </si>
  <si>
    <t>Produtos Estruturais e Gerais sem forma</t>
  </si>
  <si>
    <t>Aditivos</t>
  </si>
  <si>
    <t>Fibras em Aço para Betão</t>
  </si>
  <si>
    <t>EN 14889-1:2006</t>
  </si>
  <si>
    <t>Fibras em Vidro para Betão</t>
  </si>
  <si>
    <t>Fibras Poliméricas para Betão</t>
  </si>
  <si>
    <t>EN 14889-2:2006</t>
  </si>
  <si>
    <t>Fibras em Aço Inoxidavel para Betão</t>
  </si>
  <si>
    <t>Fibras Sintéticas para Betão</t>
  </si>
  <si>
    <t>Compostos Ligantes e Colas</t>
  </si>
  <si>
    <t>Colas Anaeróbicas para Montagens Metálicas Coaxiais</t>
  </si>
  <si>
    <t>EN 15275:2015</t>
  </si>
  <si>
    <t>Colas Acrilicas para Ladrilhos</t>
  </si>
  <si>
    <t>EN 12004:2007+A1:2012</t>
  </si>
  <si>
    <t>Betumes e Ligantes Betuminosos de Pavimentação</t>
  </si>
  <si>
    <t>EN 12591:2009</t>
  </si>
  <si>
    <t>Colas de Cimento para Ladrilhos</t>
  </si>
  <si>
    <t>Damp-proof course joint sealer adhesives</t>
  </si>
  <si>
    <t>Colas de resina epoxi para Ladrilhos</t>
  </si>
  <si>
    <t>Colas à base de gesso para placas de gesso</t>
  </si>
  <si>
    <t>EN 12860:2001</t>
  </si>
  <si>
    <t>Heavy duty pastes</t>
  </si>
  <si>
    <t>45-50-00/370 Solvent-free synthetic rubber resin adhesives;</t>
  </si>
  <si>
    <t>Misturas</t>
  </si>
  <si>
    <t>Agregados</t>
  </si>
  <si>
    <t>Agregados normais e pesados para betão</t>
  </si>
  <si>
    <t>EN 12620:2002+A1:2008</t>
  </si>
  <si>
    <t>Enrocamentos</t>
  </si>
  <si>
    <t>EN 13383-1:2002</t>
  </si>
  <si>
    <t>Agregados para materiais não ligados ou tratados com ligantes hidráulicos utilizados em trabalhos de engenharia civil e na construção rodoviária</t>
  </si>
  <si>
    <t>NP EN 13242:2002+A1:2010</t>
  </si>
  <si>
    <t>Agregados grosseiros para materiais não ligados ou tratados com ligantes hidráulicos utilizados em trabalhos de engenharia civil e na construção rodoviária</t>
  </si>
  <si>
    <t>Agregados finos para materiais não ligados ou tratados com ligantes hidráulicos utilizados em trabalhos de engenharia civil e na construção rodoviária</t>
  </si>
  <si>
    <t>Agregados Grosseiros para Betão</t>
  </si>
  <si>
    <t>Agregados Finos para Betão</t>
  </si>
  <si>
    <t>Agregados Leves e Densos para Betão, Argamassas e Caldas de Injeção</t>
  </si>
  <si>
    <t>NP EN 13055-1:2005 e NP EN 13055-1:2005/AC:2010</t>
  </si>
  <si>
    <t>Agregados Grosseiros e Pesados para Betão</t>
  </si>
  <si>
    <t>Agregados Leves em Argila Expandida para Betão, Argamassas e Caldas de injeção</t>
  </si>
  <si>
    <t>Agregados Leves e Finos para Betão, Argamassas e Caldas de Injeção</t>
  </si>
  <si>
    <t>Agregados Finos e Densos para Betão</t>
  </si>
  <si>
    <t>Agregados Finos conexos para Betão</t>
  </si>
  <si>
    <t>Acabamento de Agregados Finos para Betão</t>
  </si>
  <si>
    <t>Agregados Solto para Misturas Betuminosas e Tratamentos Superficiais em Estradas, Aeroportos e outras áreas de circulação</t>
  </si>
  <si>
    <t>NP EN 13043:2004 e NP EN 13043:2004/AC:2010</t>
  </si>
  <si>
    <t>Agregados para Argamassa</t>
  </si>
  <si>
    <t>NP EN 13139:2005 e NP EN 13139:2005/AC:2010</t>
  </si>
  <si>
    <t>Agregados Grosseiros para Argamassa</t>
  </si>
  <si>
    <t>Agregados Finos para Argamassa</t>
  </si>
  <si>
    <t>Agregados em Pedra Natural - Enrocamentos</t>
  </si>
  <si>
    <t>NP EN 13383-1:2010</t>
  </si>
  <si>
    <t>Agregados em Perlite Leve para Betão, Argamassas e Caldas de Injeção</t>
  </si>
  <si>
    <t>Agregados Permeáveis para Betão</t>
  </si>
  <si>
    <t>Agregados Reciclados Leves para Betão, Argamassas e Caldas de Injeção</t>
  </si>
  <si>
    <t>Agregados para Limpeza de Misturas Betuminosas e Tratamentos Superficiais para Estradas, Aeroportos e outras áreas de circulação</t>
  </si>
  <si>
    <t>Agregados em Vermiculita para Betão</t>
  </si>
  <si>
    <t>Cimentos e Cais</t>
  </si>
  <si>
    <t>Cimentos em Aluminato de Cálcio</t>
  </si>
  <si>
    <t>EN 14647:2005</t>
  </si>
  <si>
    <t>Cal Hidráulica de Construção</t>
  </si>
  <si>
    <t>EN 459-1:2010</t>
  </si>
  <si>
    <t>Cimentos para Alvenaria</t>
  </si>
  <si>
    <t>EN 413-1:2011</t>
  </si>
  <si>
    <t>Cal não Hidráulica de Construção em Pasta</t>
  </si>
  <si>
    <t>Cal não Hidráulica de Construção</t>
  </si>
  <si>
    <t>Cimento Portland</t>
  </si>
  <si>
    <t>EN 197-1:2011</t>
  </si>
  <si>
    <t>Betões</t>
  </si>
  <si>
    <t>Granulados e Pós</t>
  </si>
  <si>
    <t>Cinzas volantes para betão</t>
  </si>
  <si>
    <t>EN 450-1:2012</t>
  </si>
  <si>
    <t>Escória granulada de alto forno moída para betão, argamassa e caldas de injeção</t>
  </si>
  <si>
    <t>EN 15167-1:2006</t>
  </si>
  <si>
    <t>Pigmentos minerais para a coloração de materiais de construção à base de cimento e/ou cal</t>
  </si>
  <si>
    <t>EN 12878:2005</t>
  </si>
  <si>
    <t>Gesso e produtos à base de gesso para a construção</t>
  </si>
  <si>
    <t>EN 13279-1:2008</t>
  </si>
  <si>
    <t>Sílica de fumo para betão</t>
  </si>
  <si>
    <t>EN 13263-1:2005+A1:2009</t>
  </si>
  <si>
    <t>Argamassas e rebocos</t>
  </si>
  <si>
    <t>Argamassas adesivas para alvenaria de assentamento</t>
  </si>
  <si>
    <t>EN 998-2:2016</t>
  </si>
  <si>
    <t>Argamassas de cimento para alvenaria de assentamento</t>
  </si>
  <si>
    <t>Cement gauged prescribed mix mortars</t>
  </si>
  <si>
    <t>Argamassa de reparação para estruturas de betão</t>
  </si>
  <si>
    <t>EN 1504-3:2005</t>
  </si>
  <si>
    <t>Injection mortar damp-proof courses</t>
  </si>
  <si>
    <t>Argamassas leves para alvenaria de assentamento</t>
  </si>
  <si>
    <t>Ancoragens para Armaduras de Aço</t>
  </si>
  <si>
    <t>EN 1504-6:2006</t>
  </si>
  <si>
    <t>Argamassas de reparação para argamassas</t>
  </si>
  <si>
    <t>Argamassas de camada fina para alvenaria</t>
  </si>
  <si>
    <t>Resinas Naturais</t>
  </si>
  <si>
    <t>Resinas Sintéticas</t>
  </si>
  <si>
    <t>Edificios e Estruturas Pré-Fabricadas</t>
  </si>
  <si>
    <t>Estruturas em Vidro</t>
  </si>
  <si>
    <t>Estruturas em Painéis e em Moldura</t>
  </si>
  <si>
    <t>Estruturas para Abrigo</t>
  </si>
  <si>
    <t>Produtos em Secções</t>
  </si>
  <si>
    <t>Guardas para Escadas</t>
  </si>
  <si>
    <t>Guardas para Escadas em blocos de Pedra Reconstituida para Unidades de Alvenaria</t>
  </si>
  <si>
    <t>EN 771-5:2011+A1:2015</t>
  </si>
  <si>
    <t>Postes de impacto</t>
  </si>
  <si>
    <t>Pr_20_76_08_20</t>
  </si>
  <si>
    <t>Secções em metal</t>
  </si>
  <si>
    <t>Lingotes e barras de aço laminados a quente de construção não ligados</t>
  </si>
  <si>
    <t>Vigas, colunas, calhas e tubos em T de aço laminados a quente de construção não ligados</t>
  </si>
  <si>
    <t>Perfis ocos de aço acabados a quente de construção não ligados e grão fino</t>
  </si>
  <si>
    <t>EN 10210-1:2006</t>
  </si>
  <si>
    <t>Lingotes e barras de armação metálica resistentes acústicamente para sistemas em placas de gesso</t>
  </si>
  <si>
    <t>EN 14195:2005</t>
  </si>
  <si>
    <t>Resilient (acoustic) bars</t>
  </si>
  <si>
    <t>Lingotes e barras de aço inóxidável para aplicações na construção</t>
  </si>
  <si>
    <t>Chapas em placa e banda/bobine de aço inoxidável para aplicações na construção</t>
  </si>
  <si>
    <t>EN 10088-4:2009</t>
  </si>
  <si>
    <t>Tubos metálicos e secções ocas</t>
  </si>
  <si>
    <t>Perfis ocos acabados a quente de aços de construção não ligados e grão fino</t>
  </si>
  <si>
    <t>Perfis ocos soldados e enformados a frio de aço de construção não ligados e de grão fino</t>
  </si>
  <si>
    <t>EN 10219-1:2006</t>
  </si>
  <si>
    <t>Secções em plástico</t>
  </si>
  <si>
    <t>Postes e elementos para postes</t>
  </si>
  <si>
    <t>Extensão de braços prefabricados de betão para vedações</t>
  </si>
  <si>
    <t>EN 12839:2012</t>
  </si>
  <si>
    <t>45-25-62/419</t>
  </si>
  <si>
    <t>Pilares, colunas e postes prefabricados de betão para vedações</t>
  </si>
  <si>
    <t>45-25-62/411</t>
  </si>
  <si>
    <t>Suportes Ferróviárias e Acessórios</t>
  </si>
  <si>
    <t>Obras para Ligação da Ferróvia</t>
  </si>
  <si>
    <t>Produtos para a Estrutura do Eixo</t>
  </si>
  <si>
    <t>Secções em Madeira</t>
  </si>
  <si>
    <t>Produtos Estruturais para Túneis</t>
  </si>
  <si>
    <t>Produtos para Suporte e Contenção</t>
  </si>
  <si>
    <t>Angulos</t>
  </si>
  <si>
    <t>Secções em ângulo de Aço Laminados a Quente para Construção não Ligados</t>
  </si>
  <si>
    <t>45-60-50/380</t>
  </si>
  <si>
    <t>Estribos para Suporte de ângulos simples para Alvenaria</t>
  </si>
  <si>
    <t>45-25-95/415</t>
  </si>
  <si>
    <t>Ângulos em Aço Inóxidável</t>
  </si>
  <si>
    <t>45-70-05/385</t>
  </si>
  <si>
    <t>Ângulos para Revestimento em Aço Inóxidável</t>
  </si>
  <si>
    <t>45-70-05/375</t>
  </si>
  <si>
    <t>Bandas e aros</t>
  </si>
  <si>
    <t>Barreiras de vedação</t>
  </si>
  <si>
    <t>Suporte de vedação, corrimão ou grade de aço laminado a quente não ligados</t>
  </si>
  <si>
    <t>Suporte de vedação, corrimão ou grade prefabricados de betão</t>
  </si>
  <si>
    <t>Suporte de vedação, corrimão ou grade em aço inóxidável</t>
  </si>
  <si>
    <t>Vigas e juntas</t>
  </si>
  <si>
    <t>Vigas pré-fabricadas de betão lineares</t>
  </si>
  <si>
    <t>EN 13225:2013</t>
  </si>
  <si>
    <t>Vigas de madeira lamelada colada</t>
  </si>
  <si>
    <t>EN 14080:2013</t>
  </si>
  <si>
    <t>Vigas em T préfabricadas de betão lineares pré esforçadas</t>
  </si>
  <si>
    <t>Suportes</t>
  </si>
  <si>
    <t>Estribos de suporte em bronze de alumínio para alvenaria</t>
  </si>
  <si>
    <t>Estribos de suporte em aço para alvenaria</t>
  </si>
  <si>
    <t>Estribos de suporte em cobre para alvenaria</t>
  </si>
  <si>
    <t>Galvanized downpipe brackets</t>
  </si>
  <si>
    <t>Galvanized rainwater gutter brackets</t>
  </si>
  <si>
    <t>Estribos de suporte individuais para alvenaria</t>
  </si>
  <si>
    <t>Estribos de suporte em bronze para alvenaria</t>
  </si>
  <si>
    <t>Estribos de suporte e arames de aço inoxidável</t>
  </si>
  <si>
    <t>Estribos de suporte e arames alvéolares em aço inoxidável para aplicações na construção</t>
  </si>
  <si>
    <t>Suporte de arame para corrimão de aço inoxidável</t>
  </si>
  <si>
    <t>Suportes de alvenaria em aço inoxidável</t>
  </si>
  <si>
    <t>Dispositivos de apoio estrutural</t>
  </si>
  <si>
    <t>Dispositivos cilindricos de apoio estrutural elastoméricos (PTFE)</t>
  </si>
  <si>
    <t>EN 1337-3:2005</t>
  </si>
  <si>
    <t>Dispositivos de apoio estrutral elastoméricos</t>
  </si>
  <si>
    <t>Dispositivos de apoio estrutural guiados</t>
  </si>
  <si>
    <t>EN 1337-8:2007</t>
  </si>
  <si>
    <t>Dispositivos de apoio estrutural com recetáculo</t>
  </si>
  <si>
    <t>EN 1337-5:2005</t>
  </si>
  <si>
    <t>Dispositivos de apoio estrutural para delimitações</t>
  </si>
  <si>
    <t>Dispositivos de apoio estutural oscilantes</t>
  </si>
  <si>
    <t>EN 1337-6:2004.</t>
  </si>
  <si>
    <t>Rolamentos de apoio estrutural</t>
  </si>
  <si>
    <t>EN 1337-4:2004</t>
  </si>
  <si>
    <t>Dsipositivos esféricos e cilindricos PTFE de apoio estrutural</t>
  </si>
  <si>
    <t>EN 1337-7:2004</t>
  </si>
  <si>
    <t>Cabos para suspensão de pontes</t>
  </si>
  <si>
    <t>Barreiras e ductos</t>
  </si>
  <si>
    <t>Produtos em betão para fundações e bases de fundação</t>
  </si>
  <si>
    <t>Suportes prefabricados de betão para vedação</t>
  </si>
  <si>
    <t>Amortecedor de suporte prefabricados de betão para fundações</t>
  </si>
  <si>
    <t>EN 14991:2007</t>
  </si>
  <si>
    <t>Receptáculo prefabricado de betão para fundações</t>
  </si>
  <si>
    <t>Produtos para Pavimentos e Deck em Betão</t>
  </si>
  <si>
    <t>Lajes alveoladas prefabricadas de betão</t>
  </si>
  <si>
    <t>EN 1168:2005+A3:2011</t>
  </si>
  <si>
    <t>Prelajes prefabricadas de betão</t>
  </si>
  <si>
    <t>EN 13747:2005+A2:2010</t>
  </si>
  <si>
    <t>Elementos para colunas</t>
  </si>
  <si>
    <t>Colunas estruturais lineares prefabricadas de betão</t>
  </si>
  <si>
    <t>Colunas de aço inoxidável</t>
  </si>
  <si>
    <t>EN 845-1:2013+A1:2016
 Especificação dos componentes acessórios para alvenaria — Parte 1: Amarrações, chapas de fixação, estribos de suporte e consolas</t>
  </si>
  <si>
    <t>Produtos para controle de erosão e quebra-mar</t>
  </si>
  <si>
    <t>Molduras, Grades e Armações</t>
  </si>
  <si>
    <t>Armação de perfis ocos de aço acabados a quente de construção não ligados e grão fino</t>
  </si>
  <si>
    <t>Armação de vidro com vedante estrutural de perfis ocos acabados a quente de aço de construção não ligados e de grão fino</t>
  </si>
  <si>
    <t>Armação de revestimento seco de perfis oco acabados a quente de aço de construção não ligados e de grão fino</t>
  </si>
  <si>
    <t>Armação em aço inoxidável</t>
  </si>
  <si>
    <t>Fixadores de armação em aço inoxidável</t>
  </si>
  <si>
    <t>Redes</t>
  </si>
  <si>
    <t>Damp-proof lathings</t>
  </si>
  <si>
    <t>Suportes, Pedestais, Ganchos e Longarinas</t>
  </si>
  <si>
    <t>Lintéis</t>
  </si>
  <si>
    <t>Lintéis em Agregados de Betão para alvenaria</t>
  </si>
  <si>
    <t>EN 845-2:2013+A1:2016</t>
  </si>
  <si>
    <t>Lintéis em Aço para Alvenaria</t>
  </si>
  <si>
    <t>Lintéis em Blocos de Argila para Alvenaria</t>
  </si>
  <si>
    <t>Lintéis em Betão para Alvenaria</t>
  </si>
  <si>
    <t>Lintéis em Pedra Natural para Alvenaria</t>
  </si>
  <si>
    <t>EN 771-6:2011+A1:2015</t>
  </si>
  <si>
    <t>Lintéis em Betão Pré-esforçado para Alvenaria</t>
  </si>
  <si>
    <t>Mastros e Postes</t>
  </si>
  <si>
    <t>Estacas e Produtos Auxiliares</t>
  </si>
  <si>
    <t>Estacas de Betão Pré-fabricadas para Fundações</t>
  </si>
  <si>
    <t>EN 12794:2005+A1:2007</t>
  </si>
  <si>
    <t>45-15-60/310</t>
  </si>
  <si>
    <t>Produtos para Plataformas</t>
  </si>
  <si>
    <t>Suportes e Ligações Ferroviários</t>
  </si>
  <si>
    <t>Anéis para Ferróvias</t>
  </si>
  <si>
    <t>Travessas e Longarina-travessa</t>
  </si>
  <si>
    <t>Palmilha do Carril e Acessórios</t>
  </si>
  <si>
    <t>Amortecedores</t>
  </si>
  <si>
    <t>Correiras, Estribos, Amarrações</t>
  </si>
  <si>
    <t>Estribos para Suportes Laterias em Aço para Alvenaria</t>
  </si>
  <si>
    <t>45-50-75/420</t>
  </si>
  <si>
    <t>Estribos para Suportes Verticais em Aço para Alvenaria</t>
  </si>
  <si>
    <t>45-50-75/430</t>
  </si>
  <si>
    <t>Amarrações para Paredes Alveolares para Alvenaria</t>
  </si>
  <si>
    <t>45-25-95/315</t>
  </si>
  <si>
    <t>Amarrações para Frestas em Alvenaria</t>
  </si>
  <si>
    <t>45-25-95/320</t>
  </si>
  <si>
    <t>Amarrações para uso Geral em Alvenaria</t>
  </si>
  <si>
    <t>45-25-95/325</t>
  </si>
  <si>
    <t>Amarrações para cisalhamento de Paredes em Alvenaria</t>
  </si>
  <si>
    <t>45-25-95/335</t>
  </si>
  <si>
    <t>Estribos para Suportes laterais em Aço Inoxidável para Alvenaria</t>
  </si>
  <si>
    <t>45-50-75/440</t>
  </si>
  <si>
    <t>Estribos de Suporte Verticais em Aço Inoxidável para Alvenaria</t>
  </si>
  <si>
    <t>45-50-75/450</t>
  </si>
  <si>
    <t>Amarrações em Chapa, em Placa e Banda/Bobine em Aço Inóxidável Resistente para aplicações na Construção</t>
  </si>
  <si>
    <t>45-25-95/340</t>
  </si>
  <si>
    <t>Amarrações em Chapa, em Placa e Banda/Bobine em Resina de Aço Inóxidável Resistente para aplicações na Construção</t>
  </si>
  <si>
    <t>45-25-95/350</t>
  </si>
  <si>
    <t>Amarrações em Chapa, em Placa e Banda/Bobine para Dilatação de Aço Inóxidável Resistente para aplicações na Construção</t>
  </si>
  <si>
    <t>45-25-95/345</t>
  </si>
  <si>
    <t>Amarrações em Chapa, em Placa e Banda/Bobine para Canais Fundidos em Aço Inóxidável Resistente para aplicações na Construção</t>
  </si>
  <si>
    <t>45-50-50/315</t>
  </si>
  <si>
    <t>Barras, Perfis, Perfis Trefilados para Revestimento em Aço Inóxidável Resistente para aplicações na Construção</t>
  </si>
  <si>
    <t>45-70-05/380</t>
  </si>
  <si>
    <t>Barras, Perfis, Perfis Trefilados para Amarrações em Aço Inóxidável Resistente para aplicações na Construção</t>
  </si>
  <si>
    <t>45-25-95/355</t>
  </si>
  <si>
    <t>Fitas Tensoras</t>
  </si>
  <si>
    <t>45-25-95/380</t>
  </si>
  <si>
    <t>a</t>
  </si>
  <si>
    <t>45-25-95/420</t>
  </si>
  <si>
    <t>Rolamentos Estruturais</t>
  </si>
  <si>
    <t>EN 1337-3:2005
 Dispositivos de apoio estruturais — Parte 3: Dispositivos de apoio elastoméricos.</t>
  </si>
  <si>
    <t>45-15-75/320</t>
  </si>
  <si>
    <t>EN 1337-7:2004
 Dispositivos de apoio estrutural — Parte 7: Aparelhos de apoio esféricos e cilíndricos comportando o PTFE</t>
  </si>
  <si>
    <t>45-15-75/330</t>
  </si>
  <si>
    <t>EN 10088-5:2009
 Aços inoxidáveis — Parte 5: Condições técnicas de fornecimento para barras, perfis, perfis trefilados, arame e produtos brilhantes de aço resistente à corrosão para aplicações na construção</t>
  </si>
  <si>
    <t>45-15-75/360</t>
  </si>
  <si>
    <t>45-70-05/355</t>
  </si>
  <si>
    <t>Produtos Unitárias Estruturais e Gerais</t>
  </si>
  <si>
    <t>EN 13167:2012+A1:2015
 Produtos de isolamento térmico para aplicação em edifícios — Produtos manufaturados de vidro celular (CG) — Especificação Especificação</t>
  </si>
  <si>
    <t>45-80-50/372</t>
  </si>
  <si>
    <t>Sealant pointed glass block wall panels</t>
  </si>
  <si>
    <t>EN 771-3:2011+A1:2015
 Especificações para unidades de alvenaria — Parte 3: Blocos de betão de agregados (densos e leves)</t>
  </si>
  <si>
    <t>45-80-50/360</t>
  </si>
  <si>
    <t>EN 771-4:2011+A1:2015
 Especificações para unidades de alvenaria — Parte 4: Blocos de betão celular autoclavado</t>
  </si>
  <si>
    <t>45-80-50/362</t>
  </si>
  <si>
    <t>EN 15037-4:2010+A1:2013
 Produtos prefabricados de betão — Pavimentos com vigotas e blocos de cofragem — Parte 4: Blocos de poliestireno expandido</t>
  </si>
  <si>
    <t>45-50-30/320</t>
  </si>
  <si>
    <t>Unidades de Alvenaria</t>
  </si>
  <si>
    <t>Blocos de betão de agregados (densos e leves)</t>
  </si>
  <si>
    <t>EN 771-3:2011+A1:2015</t>
  </si>
  <si>
    <t>45-80-50/300</t>
  </si>
  <si>
    <t>45-80-50/302</t>
  </si>
  <si>
    <t>Blocos de betão celular autoclavado gaseificado (AAC)</t>
  </si>
  <si>
    <t>EN 771-4:2011+A1:2015</t>
  </si>
  <si>
    <t>45-80-50/304</t>
  </si>
  <si>
    <t>EN 771-1:2011+A1:2015
 Especificações para unidades de alvenaria — Parte 1: Tijolos cerâmicos para alvenaria</t>
  </si>
  <si>
    <t>45-80-50/314</t>
  </si>
  <si>
    <t>45-80-50/316</t>
  </si>
  <si>
    <t>Dimension stones</t>
  </si>
  <si>
    <t>EN 12859:2011
 Placas de gesso — Definições, requisitos e métodos de ensaio</t>
  </si>
  <si>
    <t>45-80-50/318</t>
  </si>
  <si>
    <t>EN 771-5:2011+A1:2015
 Especificações para unidades de alvenaria — Parte 5: Blocos de pedra reconstituída</t>
  </si>
  <si>
    <t>45-80-50/322</t>
  </si>
  <si>
    <t>EN 771-6:2011+A1:2015
 Especificações para unidades de alvenaria — Parte 6: Unidades de alvenaria em pedra natural</t>
  </si>
  <si>
    <t>45-80-50/324</t>
  </si>
  <si>
    <t>45-80-50/326</t>
  </si>
  <si>
    <t>45-80-50/327</t>
  </si>
  <si>
    <t>45-80-50/306</t>
  </si>
  <si>
    <t>EN 15258:2008
 Produtos prefabricados de betão — Elementos de muros de suporte</t>
  </si>
  <si>
    <t>45-25-66/310</t>
  </si>
  <si>
    <t>EN 13693:2004+A1:2009
 Produtos prefabricados de betão — Elementos especiais para coberturas</t>
  </si>
  <si>
    <t>45-20-68/310</t>
  </si>
  <si>
    <t>45-20-68/320</t>
  </si>
  <si>
    <t>EN 14992:2007+A1:2012
 Produtos prefabricados em betão — Elementos de parede — Propriedades e desempenho dos produtos</t>
  </si>
  <si>
    <t>45-25-68/310</t>
  </si>
  <si>
    <t>Cabelagens Estruturais e Produtos Gerais</t>
  </si>
  <si>
    <t>EN 845-3:2013+A1:2016
 Especificação dos componentes acessórios para alvenaria — Parte 3: Reforço de junta horizontal em malha de aço</t>
  </si>
  <si>
    <t>45-85-70/310</t>
  </si>
  <si>
    <t>45-85-70/330</t>
  </si>
  <si>
    <t>45-85-70/378</t>
  </si>
  <si>
    <t>Produtos Exteriores</t>
  </si>
  <si>
    <t>Produtos para Acessos Fixos</t>
  </si>
  <si>
    <t>Corrimões</t>
  </si>
  <si>
    <t>Blocos de pedra reconstituída para Corrimões</t>
  </si>
  <si>
    <t>45-70-70/485</t>
  </si>
  <si>
    <t>Caixas de Segurança</t>
  </si>
  <si>
    <t>Unidades para Escadas e Degraus</t>
  </si>
  <si>
    <t>EN 13101:2002
 Degraus para câmaras de visita — Requisitos, marcação, ensaios e avaliação da conformidade</t>
  </si>
  <si>
    <t>90-05-20/326</t>
  </si>
  <si>
    <t>EN 1051-2:2007
 Vidro na construção — Tijolos de vidro e blocos de vidro para pavimento — Parte 2: Avaliação da conformidade</t>
  </si>
  <si>
    <t>45-30-60/370</t>
  </si>
  <si>
    <t>Unidades pré-fabricadas em Betão para Escadas Helicoidais</t>
  </si>
  <si>
    <t>EN 14843:2007</t>
  </si>
  <si>
    <t>45-30-60/310</t>
  </si>
  <si>
    <t>Unidades pré-fabricadas em Betão para Escadas de Caracol</t>
  </si>
  <si>
    <t>45-30-60/320</t>
  </si>
  <si>
    <t>Unidades pré-fabricadas em Betão para Patamar e Cobertor de Escadas</t>
  </si>
  <si>
    <t>45-30-60/350</t>
  </si>
  <si>
    <t>Unidades pré-fabricadas em Betão para Cobertor de Escadas</t>
  </si>
  <si>
    <t>45-30-60/340</t>
  </si>
  <si>
    <t>Unidades pré-fabricadas em Betão para Patamar de Escadas</t>
  </si>
  <si>
    <t>45-30-60/360</t>
  </si>
  <si>
    <t>Unidades pré-fabricadas em Betão para Degraus de Escadas</t>
  </si>
  <si>
    <t>45-30-60/330</t>
  </si>
  <si>
    <t>Unidades em Blocos de Pedra reconstituida para Alvenaria</t>
  </si>
  <si>
    <t>45-30-75/380</t>
  </si>
  <si>
    <t>Produtos Exteriores sem forma</t>
  </si>
  <si>
    <t>Espumas Expansivas</t>
  </si>
  <si>
    <t>Isolamento Solto</t>
  </si>
  <si>
    <t>Produtos não Rígidos: Placas, Paineis, Chapas</t>
  </si>
  <si>
    <t>EN 13162:2012+A1:2015
 Produtos de isolamento térmico para aplicação em edifícios — Produtos manufaturados de lã mineral (MW) — Especificação Especificação</t>
  </si>
  <si>
    <t>45-45-70/335</t>
  </si>
  <si>
    <t>45-55-45/380</t>
  </si>
  <si>
    <t>EN 14064-1:2010
 Produtos de isolamento térmico para equipamento de edifícios — Isolamento térmico produzido em obra à base de lã mineral (MW) — Parte 1: Especificação dos produtos a granel antes da aplicação em obra</t>
  </si>
  <si>
    <t>45-45-70/385</t>
  </si>
  <si>
    <t>EN 13171:2012+A1:2015
 Produtos de isolamento térmico para aplicação em edifícios — Produtos manufaturados de fibra de madeira (WF) — Especificação Especificação</t>
  </si>
  <si>
    <t>45-45-70/370</t>
  </si>
  <si>
    <t>EN 13859-1:2010
 Membranas de impermeabilização flexíveis — Definição e características de barreiras flexíveis colocadas sob revestimentos de coberturas — Parte 1: Barreiras para coberturas com elementos descontínuos</t>
  </si>
  <si>
    <t>45-65-50/323</t>
  </si>
  <si>
    <t>Membranas e Bandas Betuminosas contra a Ascensão Capilar</t>
  </si>
  <si>
    <t>Damp-proof courses and cavity trays</t>
  </si>
  <si>
    <t>EN 14967:2006
 Membranas de impermeabilização flexíveis — Bandas betuminosas contra a ascensão capilar — Definições e características</t>
  </si>
  <si>
    <t>Bitumen-based damp-proof courses and cavity trays</t>
  </si>
  <si>
    <t>45-25-20/305</t>
  </si>
  <si>
    <t>Bitumen polymer damp-proof courses and cavity trays</t>
  </si>
  <si>
    <t>45-25-20/310</t>
  </si>
  <si>
    <t>Cavity closer and damp-proof course supports</t>
  </si>
  <si>
    <t>Clay brick damp-proof courses</t>
  </si>
  <si>
    <t>Cold-applied roofing membrane adhesive damp-proof course joint sealers</t>
  </si>
  <si>
    <t>Coping or capping damp-proof courses</t>
  </si>
  <si>
    <t>Copper damp-proof courses and cavity trays</t>
  </si>
  <si>
    <t>EN 14909:2012
 Membranas de impermeabilização flexíveis — Bandas de plástico e de borracha contra a ascenção capilar em paredes — Definições e características</t>
  </si>
  <si>
    <t>Ethylene propylene (EP) damp-proof courses and cavity trays</t>
  </si>
  <si>
    <t>45-25-20/337</t>
  </si>
  <si>
    <t>Gas-resistant damp-proof courses</t>
  </si>
  <si>
    <t>Granite damp-proof courses</t>
  </si>
  <si>
    <t>45-25-20/355</t>
  </si>
  <si>
    <t>Lead damp-proof courses and cavity trays</t>
  </si>
  <si>
    <t>Mastic asphalt (MA) damp-proof courses</t>
  </si>
  <si>
    <t>Pitch polymer damp-proof courses and cavity trays</t>
  </si>
  <si>
    <t>Polyethylene (PE) damp-proof courses and cavity trays</t>
  </si>
  <si>
    <t>Polypropylene (PP) damp-proof courses and cavity trays</t>
  </si>
  <si>
    <t>Preformed damp-proof courses</t>
  </si>
  <si>
    <t>Slate damp-proof courses</t>
  </si>
  <si>
    <t>Membranas, Forros, Folhas Flexiveis</t>
  </si>
  <si>
    <t>Membranas de impermeabilização flexiveis em acrilonitrila butadieno estireno (ABS) contra a ascensão capilar de água do terreno</t>
  </si>
  <si>
    <t>EN 13967:2012</t>
  </si>
  <si>
    <t>45-65-50/354</t>
  </si>
  <si>
    <t>Carborundum slip resistant paper</t>
  </si>
  <si>
    <t>Membranas de impermeabilização flexíveis poliméricas para impermeabilização de coberturas</t>
  </si>
  <si>
    <t>EN 13956:2012</t>
  </si>
  <si>
    <t>45-65-50/363</t>
  </si>
  <si>
    <t>Membranas de Impermeabilização Flexíveis em Polipropileno (PP) com pregos contra a Ascensão Capilar de Água do Terreno</t>
  </si>
  <si>
    <t>Membranas de Impermeabilização Flexíveis em Borracha contra a Ascensão Capilar de Água do Terreno</t>
  </si>
  <si>
    <t>Folhas para Retenção de Humidade</t>
  </si>
  <si>
    <t>Malhas em Rede e sem Reforço</t>
  </si>
  <si>
    <t>45-65-56/310 Glass fibre mesh;</t>
  </si>
  <si>
    <t>Membranas, Chapas Fléxiveis e Forros à base de Fibras Vegetais</t>
  </si>
  <si>
    <t>Membranas Plásticas</t>
  </si>
  <si>
    <t>Geotêxteis em chapa de plástico na construção de estradas e outras zonas de tráfego (excluindo vias férreas e pavimentos betuminosos)</t>
  </si>
  <si>
    <t>EN 13249:2016</t>
  </si>
  <si>
    <t>45-65-50/325</t>
  </si>
  <si>
    <t>Estruturas de filtro em material sintético</t>
  </si>
  <si>
    <t>Estruturas suspensas, elásticas e tensoras</t>
  </si>
  <si>
    <t>Produtos Rígidos: Placas, Paineis, Chapas</t>
  </si>
  <si>
    <t>Paineis de revestimento leve interior e exterior, e coberturas</t>
  </si>
  <si>
    <t>45-25-45/320 Aluminium composite panels;</t>
  </si>
  <si>
    <t>Paineis externos em chapa metálica de aluminio autoportantes para revestimentos exterior de paredes</t>
  </si>
  <si>
    <t>EN 14782:2006</t>
  </si>
  <si>
    <t>45-25-45/325</t>
  </si>
  <si>
    <t>Paineis internos em chapa metálica de aluminio autoportantes para revestimentos interior de paredes</t>
  </si>
  <si>
    <t>45-25-45/335</t>
  </si>
  <si>
    <t>45-25-45/340 Carbon steel composite panels;</t>
  </si>
  <si>
    <t>Paineis externos em chapa metálica de aço autoportantes para revestimento exterior de paredes</t>
  </si>
  <si>
    <t>45-25-45/345</t>
  </si>
  <si>
    <t>Paineis internos em Chapa Metálica de Aço autoportantes para revestimentos interior de paredes</t>
  </si>
  <si>
    <t>45-25-45/355</t>
  </si>
  <si>
    <t>45-25-45/395 Stainless steel composite panels;</t>
  </si>
  <si>
    <t>Acessorios para Telhas Cerâmicas: Paineis em Terracota</t>
  </si>
  <si>
    <t>EN 1304:2005</t>
  </si>
  <si>
    <t>45-25-45/415</t>
  </si>
  <si>
    <t>Cofragem</t>
  </si>
  <si>
    <t>Bainhas de aço para armaduras de pré-esforço</t>
  </si>
  <si>
    <t>EN 523:2003</t>
  </si>
  <si>
    <t>45-50-30/465</t>
  </si>
  <si>
    <t>Cofragem de isolamento térmico em poliestireno expandido (EPS)</t>
  </si>
  <si>
    <t>EN 13163:2012+A1:2015</t>
  </si>
  <si>
    <t>45-50-30/420</t>
  </si>
  <si>
    <t>Chapas e perfis de vidro e vidros</t>
  </si>
  <si>
    <t>Folhas de vidro borossilicatado temperadas</t>
  </si>
  <si>
    <t>EN 1748-1-2:2004</t>
  </si>
  <si>
    <t>45-65-40/310</t>
  </si>
  <si>
    <t>Vigas de vidro borossilicatado</t>
  </si>
  <si>
    <t>45-65-40/375</t>
  </si>
  <si>
    <t>Plano vertical fixo de vidro borossilicatado</t>
  </si>
  <si>
    <t>45-65-40/380</t>
  </si>
  <si>
    <t>Folhas de vidro borossilicatado reforçadas a quente</t>
  </si>
  <si>
    <t>45-65-40/315</t>
  </si>
  <si>
    <t>Unidades de vidro borossilicatado isolado (IGUs)</t>
  </si>
  <si>
    <t>45-65-40/370</t>
  </si>
  <si>
    <t>Folhas de vidro borossilicatado laminado</t>
  </si>
  <si>
    <t>45-65-40/320</t>
  </si>
  <si>
    <t>Folhas de vidro em chumbo e raio X</t>
  </si>
  <si>
    <t>45-65-40/325</t>
  </si>
  <si>
    <t>Folhas de vidro borossilicatado temperado termicamente</t>
  </si>
  <si>
    <t>45-65-40/335</t>
  </si>
  <si>
    <t>Vidro borossilicatado com perfil U</t>
  </si>
  <si>
    <t>45-65-40/385</t>
  </si>
  <si>
    <t>Folhas de vidro borossilicatado com fio</t>
  </si>
  <si>
    <t>45-65-40/340</t>
  </si>
  <si>
    <t>Paineis de preenchimento</t>
  </si>
  <si>
    <t>Revestimentos interiores</t>
  </si>
  <si>
    <t>Enchimento de juntas</t>
  </si>
  <si>
    <t>Pr_25_71_51_82</t>
  </si>
  <si>
    <t>Stainless steel sheets, strips and plates for construction</t>
  </si>
  <si>
    <t>Pr_25_71_51_83</t>
  </si>
  <si>
    <t>Stainless steel sheets, strips and plates for general purpose</t>
  </si>
  <si>
    <t>45-65-54/321 Fibre reinforced cement profiled sheets;</t>
  </si>
  <si>
    <t>45-65-54/320 Fibre reinforced cement sheet;</t>
  </si>
  <si>
    <t>Filled fibre-reinforced calcium silicate fire protection boards</t>
  </si>
  <si>
    <t>Pr_25_71_52_37</t>
  </si>
  <si>
    <t>Gypsum plasterboards, type A</t>
  </si>
  <si>
    <t>Gypsum plasterboards, type D</t>
  </si>
  <si>
    <t>45-45-50/310 Linoleum composite laminate strips and board;</t>
  </si>
  <si>
    <t>45-35-72/336 Mirrors;</t>
  </si>
  <si>
    <t>45-35-55/320 Small mirrors;</t>
  </si>
  <si>
    <t>Produtos para Controle de Fumos e Fogo</t>
  </si>
  <si>
    <t>45-45-70/415 Glass oxide fire protection;</t>
  </si>
  <si>
    <t>Produtos Unitários para Exteriores</t>
  </si>
  <si>
    <t>Unidades em alvenaria para coberturas: remates</t>
  </si>
  <si>
    <t>Tijolo cerâmico em argila para remates para alvenaria</t>
  </si>
  <si>
    <t>EN 771-1:2011+A1:2015</t>
  </si>
  <si>
    <t>45-25-75/352</t>
  </si>
  <si>
    <t>Tijolo cerâmico em argila para a cumeeira para alvenaria</t>
  </si>
  <si>
    <t>45-25-75/322</t>
  </si>
  <si>
    <t>Unidades de alvenaria para aberturas e/ou desobstrução</t>
  </si>
  <si>
    <t>Soleiras de tijolo cerâmico para alvenaria</t>
  </si>
  <si>
    <t>45-25-75/382</t>
  </si>
  <si>
    <t>Pr_25_93_60_05</t>
  </si>
  <si>
    <t>Pr_25_93_60_18</t>
  </si>
  <si>
    <t>Pr_25_93_60_21</t>
  </si>
  <si>
    <t>Pr_25_93_60_24</t>
  </si>
  <si>
    <t>Pr_25_93_60_56</t>
  </si>
  <si>
    <t>Pr_25_93_60_62</t>
  </si>
  <si>
    <t>Produtos Exteriores: Grades, Redes, etc.</t>
  </si>
  <si>
    <t>Produtos para Entradas</t>
  </si>
  <si>
    <t>Produtos para Entradas sem forma</t>
  </si>
  <si>
    <t>Mátiques e compostos para envidraçados</t>
  </si>
  <si>
    <t>Selantes</t>
  </si>
  <si>
    <t>Produtos para Equipamentos</t>
  </si>
  <si>
    <t>Equipamentos para trancar, bloquear e travar</t>
  </si>
  <si>
    <t>Equipamento Geral</t>
  </si>
  <si>
    <t>Friction pivot window hinges</t>
  </si>
  <si>
    <t>Window friction pivot hinges</t>
  </si>
  <si>
    <t>Componentes para aberturas de Entradas</t>
  </si>
  <si>
    <t>Sliding folding shutter doorsets</t>
  </si>
  <si>
    <t>Strip curtains, grilles and shutters</t>
  </si>
  <si>
    <t>Pr_30_59_84_64</t>
  </si>
  <si>
    <t>Produtos para Revestimento e Acabamento</t>
  </si>
  <si>
    <t>Produtos para Revestimento e Acabamento sem forma</t>
  </si>
  <si>
    <t>Heavy duty flow-applied flooring</t>
  </si>
  <si>
    <t>Heavy duty screed flooring</t>
  </si>
  <si>
    <t>High pigment water-borne paint</t>
  </si>
  <si>
    <t>Water-borne gloss finishes</t>
  </si>
  <si>
    <t>Water-borne masonry paints</t>
  </si>
  <si>
    <t>Water-borne matt and flat finishes</t>
  </si>
  <si>
    <t>Water-borne mid-sheen finishes</t>
  </si>
  <si>
    <t>Wood knotting</t>
  </si>
  <si>
    <t>Water-borne basecoats</t>
  </si>
  <si>
    <t>Water-borne metal primers</t>
  </si>
  <si>
    <t>Water-borne thinned undercoats</t>
  </si>
  <si>
    <t>Water-borne wood primers</t>
  </si>
  <si>
    <t>Water-borne undercoats</t>
  </si>
  <si>
    <t>Preservative and fire-retardant treatments</t>
  </si>
  <si>
    <t>Water-borne preservatives</t>
  </si>
  <si>
    <t>Damp-proof coatings</t>
  </si>
  <si>
    <t>45-35-84/448 Gilding size;</t>
  </si>
  <si>
    <t>Water-borne resin coatings</t>
  </si>
  <si>
    <t>Revestimentos e Acabamentos não rigidos</t>
  </si>
  <si>
    <t>Carpets, carpet tiles, underlays and mats</t>
  </si>
  <si>
    <t>Heavy duty roll coverings</t>
  </si>
  <si>
    <t>Particle-based enhanced slip resistant polyvinyl chloride (PVC) sheets</t>
  </si>
  <si>
    <t>Particle-based enhanced slip resistant polyvinyl chloride (PVC) tiles</t>
  </si>
  <si>
    <t>Produtos para Retificação e Aperfeiçoamentos</t>
  </si>
  <si>
    <t>45-65-40/420 Glazing beads;</t>
  </si>
  <si>
    <t>Flashings and aprons</t>
  </si>
  <si>
    <t>Aluminium flashings and aprons</t>
  </si>
  <si>
    <t>Bitumen-based flashings and aprons</t>
  </si>
  <si>
    <t>Carbon steel flashings and aprons</t>
  </si>
  <si>
    <t>Copper flashings and aprons</t>
  </si>
  <si>
    <t>Glass-reinforced plastics (GRP) flashings and aprons</t>
  </si>
  <si>
    <t>Lead flashings and aprons</t>
  </si>
  <si>
    <t>Polyethylene (PE)-based flashings and aprons</t>
  </si>
  <si>
    <t>Recycled plastics flashings and aprons</t>
  </si>
  <si>
    <t>Stainless steel flashings and aprons</t>
  </si>
  <si>
    <t>Zinc flashings and aprons</t>
  </si>
  <si>
    <t>Slip resistant cast inserts</t>
  </si>
  <si>
    <t>Slip resistant rebate inserts</t>
  </si>
  <si>
    <t>Double-sided tape damp-proof course joint sealers</t>
  </si>
  <si>
    <t>Produtos Unitários para Revestimentos e Acabamentos</t>
  </si>
  <si>
    <t>Produtos para Sinalização, Equipamentos Sanitários e Acessórios, Mobiliário e equipamentos</t>
  </si>
  <si>
    <t>Produtos para Sinalização</t>
  </si>
  <si>
    <t>45-65-40/410 Applied details;</t>
  </si>
  <si>
    <t>Pr_40_10_90_23</t>
  </si>
  <si>
    <t>Pr_40_10_90_80</t>
  </si>
  <si>
    <t>Acessórios Sanitários e outros Acessórios</t>
  </si>
  <si>
    <t>Pr_40_20_87_28</t>
  </si>
  <si>
    <t>Pr_40_20_93_81</t>
  </si>
  <si>
    <t>Waterless WC packages (composting toilets)</t>
  </si>
  <si>
    <t>Acessórios</t>
  </si>
  <si>
    <t>PVC strip curtain sets</t>
  </si>
  <si>
    <t>Pr_40_30_26_09</t>
  </si>
  <si>
    <t>Bathroom clothes-drying lines</t>
  </si>
  <si>
    <t>Pr_40_30_26_58</t>
  </si>
  <si>
    <t>Outdoor clothes rotary driers</t>
  </si>
  <si>
    <t>Pr_40_30_26_59</t>
  </si>
  <si>
    <t>Outdoor clothes-drying lines</t>
  </si>
  <si>
    <t>Pr_40_30_26_93</t>
  </si>
  <si>
    <t>Utility room clothes-drying lines</t>
  </si>
  <si>
    <t>Bouldering structures</t>
  </si>
  <si>
    <t>Mobiliário</t>
  </si>
  <si>
    <t>Electric chairs</t>
  </si>
  <si>
    <t>Equipamentos</t>
  </si>
  <si>
    <t>Laundry tumble driers</t>
  </si>
  <si>
    <t>Laundry washer-driers</t>
  </si>
  <si>
    <t>Drier ironers</t>
  </si>
  <si>
    <t>Laundry washers and driers</t>
  </si>
  <si>
    <t>Batch laundry driers</t>
  </si>
  <si>
    <t>Laundry driers</t>
  </si>
  <si>
    <t>Tumble driers</t>
  </si>
  <si>
    <t>Washer driers</t>
  </si>
  <si>
    <t>Personal driers</t>
  </si>
  <si>
    <t>Body driers</t>
  </si>
  <si>
    <t>Face driers</t>
  </si>
  <si>
    <t>Hair driers</t>
  </si>
  <si>
    <t>Hand driers</t>
  </si>
  <si>
    <t>Produtos para Flora e Fauna</t>
  </si>
  <si>
    <t>Produtos para Fauna</t>
  </si>
  <si>
    <t>Fish pass products</t>
  </si>
  <si>
    <t>Eel and elver passes</t>
  </si>
  <si>
    <t>Larinier fish passes</t>
  </si>
  <si>
    <t>Produtos para Flora</t>
  </si>
  <si>
    <t>Trees, shrubs and woody climbers</t>
  </si>
  <si>
    <t>Pr_45_30_90_04</t>
  </si>
  <si>
    <t>Pr_45_30_90_06</t>
  </si>
  <si>
    <t>Pr_45_30_90_08</t>
  </si>
  <si>
    <t>Pr_45_30_90_10</t>
  </si>
  <si>
    <t>Pr_45_30_90_12</t>
  </si>
  <si>
    <t>Pr_45_30_90_14</t>
  </si>
  <si>
    <t>Pr_45_30_90_15</t>
  </si>
  <si>
    <t>Pr_45_30_90_16</t>
  </si>
  <si>
    <t>Pr_45_30_90_18</t>
  </si>
  <si>
    <t>Pr_45_30_90_20</t>
  </si>
  <si>
    <t>Pr_45_30_90_71</t>
  </si>
  <si>
    <t>Pr_45_30_90_73</t>
  </si>
  <si>
    <t>Produtos para Flora e Fauna sem forma</t>
  </si>
  <si>
    <t>Non-compost dressings for turf</t>
  </si>
  <si>
    <t>Produtos para Flora e Fauna não rigidos: Placas, Paineis e Chapas</t>
  </si>
  <si>
    <t>Pre-planted vegetation blankets</t>
  </si>
  <si>
    <t>45-40-95/335 Turf edging to seeded areas;</t>
  </si>
  <si>
    <t>Produtos para Suporte a plantas</t>
  </si>
  <si>
    <t>Produtos Suplementares à Construção</t>
  </si>
  <si>
    <t>Produtos para Fontes e Fornecimento de Serviços</t>
  </si>
  <si>
    <t>Produtos para Filtração de água e para Tratamento de água</t>
  </si>
  <si>
    <t>Produtos para Tanques, Cilindros e Reservatorios</t>
  </si>
  <si>
    <t>Produtos para Fontes de Gás e Fluídos</t>
  </si>
  <si>
    <t>Produtos para Fontes de Aquecimento e Arrefecimento</t>
  </si>
  <si>
    <t>Produtos para Fontes de AVAC e Exaustão Fumos</t>
  </si>
  <si>
    <t>Produtos para Fornecimento de Energia</t>
  </si>
  <si>
    <t>90-50-35/340 Alternators;</t>
  </si>
  <si>
    <t>90-50-35/350 Automatic voltage regulators;</t>
  </si>
  <si>
    <t>90-50-35/360 Control panel;</t>
  </si>
  <si>
    <t>90-50-35/330 Governor;</t>
  </si>
  <si>
    <t>90-50-35/320 Internal combustion engines;</t>
  </si>
  <si>
    <t>Produtos para Fonte de Comunicações</t>
  </si>
  <si>
    <t>Produtos para Distribuição de Serviços</t>
  </si>
  <si>
    <t>Coletor de Entulhe</t>
  </si>
  <si>
    <t>Algeiros, Calhas e Tubos de queda e Produtos para montagem</t>
  </si>
  <si>
    <t>Aluminium composite boundary wall or valley gutters</t>
  </si>
  <si>
    <t>Aluminium boundary wall or valley gutters</t>
  </si>
  <si>
    <t>Galvanized steel boundary wall or valley gutters</t>
  </si>
  <si>
    <t>Glass reinforced plastics (GRP) boundary wall or valley gutters</t>
  </si>
  <si>
    <t>Glass reinforced plastics (GRP) composite boundary wall or valley gutters</t>
  </si>
  <si>
    <t>Canos, Tubos e Produtos acessórios</t>
  </si>
  <si>
    <t>Pr_65_52_61_28</t>
  </si>
  <si>
    <t>Electrical resistance surface trace heating</t>
  </si>
  <si>
    <t>90-10-85/310 Electrical resistance surface trace heating;</t>
  </si>
  <si>
    <t>Pr_65_52_61_29</t>
  </si>
  <si>
    <t>Electrical resistance surface trace heating for hazardous environments</t>
  </si>
  <si>
    <t>90-10-85/320 Electrical resistance surface heating for hazardous environments;</t>
  </si>
  <si>
    <t>Produtos para Bombagens</t>
  </si>
  <si>
    <t>Water supply pumps</t>
  </si>
  <si>
    <t>Axially split casing pump units</t>
  </si>
  <si>
    <t>Back pull-out end suction pump units</t>
  </si>
  <si>
    <t>Progressing cavity pump units</t>
  </si>
  <si>
    <t>Single diaphragm pump units</t>
  </si>
  <si>
    <t>Solids handling pump units</t>
  </si>
  <si>
    <t>Submersible borehole pump units</t>
  </si>
  <si>
    <t>Submersible pump units</t>
  </si>
  <si>
    <t>Vertically suspended bowl type pump unit</t>
  </si>
  <si>
    <t>Volute casing dry well centrifugal sewage and sludge pump units</t>
  </si>
  <si>
    <t>Válvulas</t>
  </si>
  <si>
    <t>Backflow prevention devices</t>
  </si>
  <si>
    <t>90-10-90/318 Backflow prevention devices;</t>
  </si>
  <si>
    <t>Steel globe and check valves</t>
  </si>
  <si>
    <t>Produtos para distribuição de Gás e Fluídos</t>
  </si>
  <si>
    <t>Produtos para Filtragem</t>
  </si>
  <si>
    <t>Glass water filters</t>
  </si>
  <si>
    <t>Produtos para Canalizações</t>
  </si>
  <si>
    <t>Produtos para sistema de AVAC e Exaustão de Fumo</t>
  </si>
  <si>
    <t>Desiccant air driers</t>
  </si>
  <si>
    <t>Refrigerant air driers</t>
  </si>
  <si>
    <t>Cabos, Condutores e Componentes</t>
  </si>
  <si>
    <t>Cable management</t>
  </si>
  <si>
    <t>Pr_65_70_12_93</t>
  </si>
  <si>
    <t>Underground plastics cable ducts</t>
  </si>
  <si>
    <t>Communications cables</t>
  </si>
  <si>
    <t>Pr_65_70_15_02</t>
  </si>
  <si>
    <t>Armoured cable terminations</t>
  </si>
  <si>
    <t>Pr_65_70_36_33</t>
  </si>
  <si>
    <t>High voltage cable glands</t>
  </si>
  <si>
    <t>Heavy duty cross-linked elastomeric insulated and sheathed flexible cables</t>
  </si>
  <si>
    <t>Heavy duty heat resistant cross-linked elastomeric insulated and sheathed flexible cables</t>
  </si>
  <si>
    <t>Heavy duty heat resistant LSHF insulated and sheathed flexible cables</t>
  </si>
  <si>
    <t>Heavy duty mineral insulated cables</t>
  </si>
  <si>
    <t>90-55-15/334 Single core non-sheathed cables with LSHF insulation;</t>
  </si>
  <si>
    <t>Produtos para Fornecimento de Energia e Cabelagem e Acessórios para Rede Elétrica, Comunicações e outras</t>
  </si>
  <si>
    <t>Produtos para Distribuição de Transportes</t>
  </si>
  <si>
    <t>Cranes and lifting systems</t>
  </si>
  <si>
    <t>Produtos para Saída de Serviços</t>
  </si>
  <si>
    <t>Produtos para desperdicios de residiuos sólidos</t>
  </si>
  <si>
    <t>Produtos para Saída de Gás e Fluídos</t>
  </si>
  <si>
    <t>Water outlets</t>
  </si>
  <si>
    <t>Pool water inlets and outlets</t>
  </si>
  <si>
    <t>Produtos para zonas de Aquecimento e Arrefecimento</t>
  </si>
  <si>
    <t>Produtos para saída de AVAC e Exaustao de Fumo</t>
  </si>
  <si>
    <t>Produtos para saída de Iluminação e Energia</t>
  </si>
  <si>
    <t>90-60-50/405 General purpose luminaires;</t>
  </si>
  <si>
    <t>90-60-50/410 Combined emergency luminaires;</t>
  </si>
  <si>
    <t>90-60-50/415 Dedicated slave emergency luminaires;</t>
  </si>
  <si>
    <t>90-60-50/420 Self contained emergency luminaires;</t>
  </si>
  <si>
    <t>Produtos para Comunicações</t>
  </si>
  <si>
    <t>Produtos para Controlo de Serviços</t>
  </si>
  <si>
    <t>Controlo de Produtos para Entradas</t>
  </si>
  <si>
    <t>Produtos para Controlo de Serviços Mecânicos e Eletricos</t>
  </si>
  <si>
    <t>Motores, Controles d Motos, Dispositivos de Control de Circuitos e Interruptores e Temporizadores</t>
  </si>
  <si>
    <t>90-65-55/390 Timeswitches for tariff and load control;</t>
  </si>
  <si>
    <t>Produtos para Controlo de Energia e Iluminação</t>
  </si>
  <si>
    <t>Produtos para Controlo de Comunicações</t>
  </si>
  <si>
    <t>Demagnitizers</t>
  </si>
  <si>
    <t>Produtos para Serviços Gerais</t>
  </si>
  <si>
    <t>Produtos para Medições e Aferição</t>
  </si>
  <si>
    <t>90-65-55/340 Energy meter;</t>
  </si>
  <si>
    <t>Produtos para Serviços de Apoio, Manutenção e Conteção</t>
  </si>
  <si>
    <t>Pr_80_77_27_78</t>
  </si>
  <si>
    <t>Services supports</t>
  </si>
  <si>
    <t>Produtos para Gestão de Instalações Simples</t>
  </si>
  <si>
    <t>Produtos para Moagem</t>
  </si>
  <si>
    <t>Produtos Robóticos</t>
  </si>
  <si>
    <t>Produtos para Engenharia de Processos</t>
  </si>
  <si>
    <t>PM Project Management - 31 July 2019 - v1.5</t>
  </si>
  <si>
    <t>PT</t>
  </si>
  <si>
    <t>PM_10</t>
  </si>
  <si>
    <t>Project information</t>
  </si>
  <si>
    <t>PM_10_10</t>
  </si>
  <si>
    <t>Project</t>
  </si>
  <si>
    <t>PM_10_10_60</t>
  </si>
  <si>
    <t>Project description</t>
  </si>
  <si>
    <t>00-70-70/230B Additional copies of drawings and schedules;</t>
  </si>
  <si>
    <t>PM_10_20</t>
  </si>
  <si>
    <t>Client requirements</t>
  </si>
  <si>
    <t>PM_10_20_07</t>
  </si>
  <si>
    <t>Brief</t>
  </si>
  <si>
    <t>PM_10_20_09</t>
  </si>
  <si>
    <t>Buildability statement</t>
  </si>
  <si>
    <t>PM_10_20_14</t>
  </si>
  <si>
    <t>Community and tenant liaison plan</t>
  </si>
  <si>
    <t>PM_10_20_16</t>
  </si>
  <si>
    <t>Construction industry registration scheme requirement</t>
  </si>
  <si>
    <t>PM_10_20_17</t>
  </si>
  <si>
    <t>Core requirements statement</t>
  </si>
  <si>
    <t>PM_10_20_18</t>
  </si>
  <si>
    <t>Cost benefit analysis</t>
  </si>
  <si>
    <t>PM_10_20_24</t>
  </si>
  <si>
    <t>Employer's information requirement</t>
  </si>
  <si>
    <t>00-70-70/750D Design and production information;</t>
  </si>
  <si>
    <t>PM_10_20_26</t>
  </si>
  <si>
    <t>Environmental policy</t>
  </si>
  <si>
    <t>00-40-70/190A Environmental policy;</t>
  </si>
  <si>
    <t>PM_10_20_30</t>
  </si>
  <si>
    <t>Feasibility study</t>
  </si>
  <si>
    <t>PM_10_20_75</t>
  </si>
  <si>
    <t>Stakeholder engagement plan</t>
  </si>
  <si>
    <t>PM_10_20_82</t>
  </si>
  <si>
    <t>Statement of requirement</t>
  </si>
  <si>
    <t>PM_10_20_84</t>
  </si>
  <si>
    <t>Statement of security requirement</t>
  </si>
  <si>
    <t>PM_10_20_86</t>
  </si>
  <si>
    <t>Sustainable development engagement plan</t>
  </si>
  <si>
    <t>PM_10_20_90</t>
  </si>
  <si>
    <t>Technical statement of requirement (TSOR)</t>
  </si>
  <si>
    <t>PM_10_20_92</t>
  </si>
  <si>
    <t>User requirement document</t>
  </si>
  <si>
    <t>PM_10_80</t>
  </si>
  <si>
    <t>Space management requirements</t>
  </si>
  <si>
    <t>PM_10_80_10</t>
  </si>
  <si>
    <t>Accommodation and layout plan</t>
  </si>
  <si>
    <t>PM_10_80_75</t>
  </si>
  <si>
    <t>Space design</t>
  </si>
  <si>
    <t>PM_10_80_80</t>
  </si>
  <si>
    <t>Space plan</t>
  </si>
  <si>
    <t>PM_10_80_85</t>
  </si>
  <si>
    <t>Space standard</t>
  </si>
  <si>
    <t>PM_30</t>
  </si>
  <si>
    <t>Site, ground and environmental information</t>
  </si>
  <si>
    <t>PM_30_10</t>
  </si>
  <si>
    <t>Site survey information</t>
  </si>
  <si>
    <t>00-05-10/105 Site information;</t>
  </si>
  <si>
    <t>PM_30_10_15</t>
  </si>
  <si>
    <t>Condition survey information</t>
  </si>
  <si>
    <t>PM_30_10_22</t>
  </si>
  <si>
    <t>Dimensional information</t>
  </si>
  <si>
    <t>PM_30_10_28</t>
  </si>
  <si>
    <t>Existing structure information</t>
  </si>
  <si>
    <t>PM_30_10_38</t>
  </si>
  <si>
    <t>Hydraulic information</t>
  </si>
  <si>
    <t>PM_30_10_39</t>
  </si>
  <si>
    <t>Hydrology information</t>
  </si>
  <si>
    <t>PM_30_10_47</t>
  </si>
  <si>
    <t>Land registration information</t>
  </si>
  <si>
    <t>PM_30_10_58</t>
  </si>
  <si>
    <t>Mapping information</t>
  </si>
  <si>
    <t>PM_30_10_76</t>
  </si>
  <si>
    <t>Scan survey information</t>
  </si>
  <si>
    <t>PM_30_10_80</t>
  </si>
  <si>
    <t>Site boundary information</t>
  </si>
  <si>
    <t>PM_30_10_93</t>
  </si>
  <si>
    <t>Utilities and services survey information</t>
  </si>
  <si>
    <t>00-05-10/115 Utilities and services survey;</t>
  </si>
  <si>
    <t>PM_30_20</t>
  </si>
  <si>
    <t>Ground investigation reports</t>
  </si>
  <si>
    <t>00-05-10/120 Ground information;</t>
  </si>
  <si>
    <t>PM_30_20_02</t>
  </si>
  <si>
    <t>Archaeological survey report</t>
  </si>
  <si>
    <t>PM_30_20_10</t>
  </si>
  <si>
    <t>Geological survey report</t>
  </si>
  <si>
    <t>PM_30_20_17</t>
  </si>
  <si>
    <t>Contaminated land survey report</t>
  </si>
  <si>
    <t>PM_30_20_24</t>
  </si>
  <si>
    <t>Underground services survey report</t>
  </si>
  <si>
    <t>PM_30_20_33</t>
  </si>
  <si>
    <t>Geotechnical survey report</t>
  </si>
  <si>
    <t>PM_30_20_35</t>
  </si>
  <si>
    <t>Ground investigation report</t>
  </si>
  <si>
    <t>00-05-10/125 Ground investigation report;</t>
  </si>
  <si>
    <t>PM_30_20_46</t>
  </si>
  <si>
    <t>Land quality assessment report</t>
  </si>
  <si>
    <t>PM_30_20_89</t>
  </si>
  <si>
    <t>Topographic survey report</t>
  </si>
  <si>
    <t>PM_30_30</t>
  </si>
  <si>
    <t>Environmental information</t>
  </si>
  <si>
    <t>00-05-10/130 Environmental information;</t>
  </si>
  <si>
    <t>PM_30_30_10</t>
  </si>
  <si>
    <t>Carbon calculation report</t>
  </si>
  <si>
    <t>PM_30_30_15</t>
  </si>
  <si>
    <t>Coastal model</t>
  </si>
  <si>
    <t>PM_30_30_23</t>
  </si>
  <si>
    <t>Drainage model</t>
  </si>
  <si>
    <t>PM_30_30_25</t>
  </si>
  <si>
    <t>Ecology survey report</t>
  </si>
  <si>
    <t>00-05-10/135 Ecology survey report;</t>
  </si>
  <si>
    <t>PM_30_30_26</t>
  </si>
  <si>
    <t>Environmental action report</t>
  </si>
  <si>
    <t>PM_30_30_27</t>
  </si>
  <si>
    <t>Environmental impact report</t>
  </si>
  <si>
    <t>00-60-70/190 Environmental assessment information;</t>
  </si>
  <si>
    <t>PM_30_30_28</t>
  </si>
  <si>
    <t>Environmental survey report</t>
  </si>
  <si>
    <t>PM_30_30_29</t>
  </si>
  <si>
    <t>Flood risk assessment report</t>
  </si>
  <si>
    <t>PM_30_30_30</t>
  </si>
  <si>
    <t>Flood forecasting model</t>
  </si>
  <si>
    <t>PM_30_30_32</t>
  </si>
  <si>
    <t>Fluvial flow model</t>
  </si>
  <si>
    <t>PM_30_30_39</t>
  </si>
  <si>
    <t>Hydrological model</t>
  </si>
  <si>
    <t>PM_30_30_41</t>
  </si>
  <si>
    <t>Integrated catchment model</t>
  </si>
  <si>
    <t>PM_30_30_45</t>
  </si>
  <si>
    <t>Landscape model</t>
  </si>
  <si>
    <t>PM_30_30_65</t>
  </si>
  <si>
    <t>Pluvial flow model</t>
  </si>
  <si>
    <t>PM_30_30_72</t>
  </si>
  <si>
    <t>Road safety audit report</t>
  </si>
  <si>
    <t>PM_30_30_75</t>
  </si>
  <si>
    <t>Seismic survey report</t>
  </si>
  <si>
    <t>PM_30_30_78</t>
  </si>
  <si>
    <t>Site waste management plan</t>
  </si>
  <si>
    <t>00-05-10/140 Site waste management plan;</t>
  </si>
  <si>
    <t>PM_30_30_85</t>
  </si>
  <si>
    <t>Sustainability information</t>
  </si>
  <si>
    <t>00-60-70/180 Sustainability assessment information;</t>
  </si>
  <si>
    <t>PM_30_30_87</t>
  </si>
  <si>
    <t>Tidal information</t>
  </si>
  <si>
    <t>PM_30_30_88</t>
  </si>
  <si>
    <t>Tidal and coastal boundary information</t>
  </si>
  <si>
    <t>PM_30_30_96</t>
  </si>
  <si>
    <t>Water management information</t>
  </si>
  <si>
    <t>PM_30_30_98</t>
  </si>
  <si>
    <t>Weather and climate information</t>
  </si>
  <si>
    <t>PM_30_40</t>
  </si>
  <si>
    <t>Hazardous substances information</t>
  </si>
  <si>
    <t>00-05-10/145 Hazardous substances information;</t>
  </si>
  <si>
    <t>PM_30_40_06</t>
  </si>
  <si>
    <t>Asbestos survey report</t>
  </si>
  <si>
    <t>00-05-10/150 Asbestos survey report;</t>
  </si>
  <si>
    <t>PM_30_40_10</t>
  </si>
  <si>
    <t>Biological agents survey report</t>
  </si>
  <si>
    <t>PM_30_40_33</t>
  </si>
  <si>
    <t>Gases survey report</t>
  </si>
  <si>
    <t>PM_30_40_36</t>
  </si>
  <si>
    <t>Hazardous chemicals survey report</t>
  </si>
  <si>
    <t>PM_30_40_39</t>
  </si>
  <si>
    <t>Heavy metals survey report</t>
  </si>
  <si>
    <t>PM_30_40_46</t>
  </si>
  <si>
    <t>Lead survey report</t>
  </si>
  <si>
    <t>00-05-10/155 Lead survey report;</t>
  </si>
  <si>
    <t>PM_30_40_70</t>
  </si>
  <si>
    <t>Radioactive waste survey report</t>
  </si>
  <si>
    <t>PM_30_40_92</t>
  </si>
  <si>
    <t>Unexploded ordnance survey report</t>
  </si>
  <si>
    <t>PM_30_40_94</t>
  </si>
  <si>
    <t>Volatile organic compounds survey report</t>
  </si>
  <si>
    <t>PM_35</t>
  </si>
  <si>
    <t>Project performance requirements</t>
  </si>
  <si>
    <t>PM_35_10</t>
  </si>
  <si>
    <t>Quality and operational properties performance requirement</t>
  </si>
  <si>
    <t>PM_35_10_13</t>
  </si>
  <si>
    <t>Comfort performance requirements</t>
  </si>
  <si>
    <t>PM_35_10_22</t>
  </si>
  <si>
    <t>Design quality performance requirements</t>
  </si>
  <si>
    <t>05-20-60/130 Design quality;</t>
  </si>
  <si>
    <t>PM_35_10_25</t>
  </si>
  <si>
    <t>Durability performance requirements</t>
  </si>
  <si>
    <t>05-20-60/200 Durability;</t>
  </si>
  <si>
    <t>PM_35_10_32</t>
  </si>
  <si>
    <t>Functional properties performance requirements</t>
  </si>
  <si>
    <t>05-20-60/105 Functional and operational properties;</t>
  </si>
  <si>
    <t>PM_35_10_47</t>
  </si>
  <si>
    <t>Life cycle performance requirements</t>
  </si>
  <si>
    <t>05-20-60/115 Life cycle of building;</t>
  </si>
  <si>
    <t>PM_35_10_60</t>
  </si>
  <si>
    <t>Performance compliance requirements</t>
  </si>
  <si>
    <t>05-20-60/145 Compliance with performance requirements;</t>
  </si>
  <si>
    <t>PM_35_10_65</t>
  </si>
  <si>
    <t>Project context performance requirements</t>
  </si>
  <si>
    <t>05-20-60/100 Project context;</t>
  </si>
  <si>
    <t>PM_35_20</t>
  </si>
  <si>
    <t>Structural performance requirements</t>
  </si>
  <si>
    <t>PM_35_20_03</t>
  </si>
  <si>
    <t>Accidental loading performance requirements</t>
  </si>
  <si>
    <t>05-20-60/213 Accidental loading;</t>
  </si>
  <si>
    <t>PM_35_20_42</t>
  </si>
  <si>
    <t>Imposed loads performance requirements</t>
  </si>
  <si>
    <t>05-20-60/203 Permanent and imposed loads;</t>
  </si>
  <si>
    <t>PM_35_20_62</t>
  </si>
  <si>
    <t>Permanent loads performance requirements</t>
  </si>
  <si>
    <t>05-20-60/211 Loading for mechanical and electrical services;</t>
  </si>
  <si>
    <t>PM_35_20_76</t>
  </si>
  <si>
    <t>Snow and ice load performance requirements</t>
  </si>
  <si>
    <t>05-20-60/207 Snow loading;</t>
  </si>
  <si>
    <t>PM_35_20_80</t>
  </si>
  <si>
    <t>Structural design performance requirements</t>
  </si>
  <si>
    <t>05-20-60/201 Structural design standards;</t>
  </si>
  <si>
    <t>PM_35_20_90</t>
  </si>
  <si>
    <t>Thermal actions performance requirements</t>
  </si>
  <si>
    <t>05-20-60/209 Thermal actions;</t>
  </si>
  <si>
    <t>PM_35_20_96</t>
  </si>
  <si>
    <t>Wind loading performance requirements</t>
  </si>
  <si>
    <t>05-20-60/205 Wind actions;</t>
  </si>
  <si>
    <t>PM_35_30</t>
  </si>
  <si>
    <t>Fire performance requirements</t>
  </si>
  <si>
    <t>PM_35_30_04</t>
  </si>
  <si>
    <t>Automatic fire suppression performance requirements</t>
  </si>
  <si>
    <t>PM_35_30_20</t>
  </si>
  <si>
    <t>Escape lighting performance requirements</t>
  </si>
  <si>
    <t>PM_35_30_24</t>
  </si>
  <si>
    <t>Fire and rescue service requirements</t>
  </si>
  <si>
    <t>PM_35_30_26</t>
  </si>
  <si>
    <t>Fire protection zone requirements</t>
  </si>
  <si>
    <t>PM_35_30_28</t>
  </si>
  <si>
    <t>Fire resistance performance requirements</t>
  </si>
  <si>
    <t>05-20-60/264 Fire resistance – European classification;</t>
  </si>
  <si>
    <t>PM_35_30_30</t>
  </si>
  <si>
    <t>Fire safety performance requirements</t>
  </si>
  <si>
    <t>05-20-60/259 Fire safety - special building types;</t>
  </si>
  <si>
    <t>PM_35_30_70</t>
  </si>
  <si>
    <t>Reaction to fire performance requirements</t>
  </si>
  <si>
    <t>05-20-60/267 Reaction to fire – European classification;</t>
  </si>
  <si>
    <t>PM_35_30_80</t>
  </si>
  <si>
    <t>Spread of fire performance requirements</t>
  </si>
  <si>
    <t>05-20-60/265 Fire propagation and surface spread of flame – UK national classification;</t>
  </si>
  <si>
    <t>PM_35_30_85</t>
  </si>
  <si>
    <t>Structural fire performance requirements</t>
  </si>
  <si>
    <t>05-20-60/269 Structural fire performance criteria;</t>
  </si>
  <si>
    <t>PM_35_40</t>
  </si>
  <si>
    <t>Environment and sustainability performance requirements</t>
  </si>
  <si>
    <t>PM_35_40_03</t>
  </si>
  <si>
    <t>Airtightness performance requirements</t>
  </si>
  <si>
    <t>05-20-60/239 Air permeability (Airtightness);</t>
  </si>
  <si>
    <t>PM_35_40_15</t>
  </si>
  <si>
    <t>Condensation control performance requirements</t>
  </si>
  <si>
    <t>05-20-60/275 Control of condensation;</t>
  </si>
  <si>
    <t>PM_35_40_30</t>
  </si>
  <si>
    <t>Environmental scheme performance requirements</t>
  </si>
  <si>
    <t>05-20-60/279 BREEAM;</t>
  </si>
  <si>
    <t>PM_35_40_34</t>
  </si>
  <si>
    <t>Habitat creation and protection requirements</t>
  </si>
  <si>
    <t>05-20-05/215 Habitat creation outcomes;</t>
  </si>
  <si>
    <t>PM_35_40_72</t>
  </si>
  <si>
    <t>Resistance to ground contaminants performance requirements</t>
  </si>
  <si>
    <t>05-20-60/273 Resistance to ground contaminants;</t>
  </si>
  <si>
    <t>PM_35_40_84</t>
  </si>
  <si>
    <t>Sustainability performance requirements</t>
  </si>
  <si>
    <t>05-20-60/135 Sustainability;</t>
  </si>
  <si>
    <t>PM_35_40_96</t>
  </si>
  <si>
    <t>Watertightness performance requirements</t>
  </si>
  <si>
    <t>05-20-60/271 Site preparation and resistance to moisture;</t>
  </si>
  <si>
    <t>PM_35_50</t>
  </si>
  <si>
    <t>Safety performance requirements</t>
  </si>
  <si>
    <t>PM_35_50_01</t>
  </si>
  <si>
    <t>Accessibility performance requirements</t>
  </si>
  <si>
    <t>05-20-60/120 Accessibility;</t>
  </si>
  <si>
    <t>PM_35_50_74</t>
  </si>
  <si>
    <t>Security performance requirements</t>
  </si>
  <si>
    <t>05-20-60/125 Security and safety;</t>
  </si>
  <si>
    <t>PM_35_60</t>
  </si>
  <si>
    <t>Acoustic performance requirements</t>
  </si>
  <si>
    <t>PM_35_60_01</t>
  </si>
  <si>
    <t>Acoustic attenuation performance requirements</t>
  </si>
  <si>
    <t>05-20-60/255 Weighted sound reduction index;</t>
  </si>
  <si>
    <t>PM_35_60_03</t>
  </si>
  <si>
    <t>Acoustic diffusion performance requirements</t>
  </si>
  <si>
    <t>05-20-60/257 Weighted normalized flanking level difference;</t>
  </si>
  <si>
    <t>PM_35_60_05</t>
  </si>
  <si>
    <t>Acoustic separation performance requirements</t>
  </si>
  <si>
    <t>05-20-60/247 Acoustic performance of healthcare buildings;</t>
  </si>
  <si>
    <t>PM_35_60_95</t>
  </si>
  <si>
    <t>Vibration control performance requirements</t>
  </si>
  <si>
    <t>PM_35_70</t>
  </si>
  <si>
    <t>Energy performance requirements</t>
  </si>
  <si>
    <t>PM_35_70_05</t>
  </si>
  <si>
    <t>Air conditioning performance requirements</t>
  </si>
  <si>
    <t>05-20-60/227 Design of air conditioning systems;</t>
  </si>
  <si>
    <t>PM_35_70_15</t>
  </si>
  <si>
    <t>Chilled water performance requirements</t>
  </si>
  <si>
    <t>PM_35_70_17</t>
  </si>
  <si>
    <t>Combustion appliance performance requirements</t>
  </si>
  <si>
    <t>PM_35_70_20</t>
  </si>
  <si>
    <t>Daylight and shading performance requirements</t>
  </si>
  <si>
    <t>PM_35_70_36</t>
  </si>
  <si>
    <t>Heating performance requirements</t>
  </si>
  <si>
    <t>05-20-60/233 Design of heating systems;</t>
  </si>
  <si>
    <t>PM_35_70_38</t>
  </si>
  <si>
    <t>Hot and cold water supply performance requirements</t>
  </si>
  <si>
    <t>05-20-60/277 Design of hot and cold water systems;</t>
  </si>
  <si>
    <t>PM_35_70_46</t>
  </si>
  <si>
    <t>Lighting performance requirements</t>
  </si>
  <si>
    <t>PM_35_70_92</t>
  </si>
  <si>
    <t>Thermal transmittance performance requirements</t>
  </si>
  <si>
    <t>05-20-60/241 Thermal transmittance (U-value);</t>
  </si>
  <si>
    <t>PM_35_70_94</t>
  </si>
  <si>
    <t>Ventilation performance requirements</t>
  </si>
  <si>
    <t>05-20-60/221 Design of ventilation systems for non-domestic buildings;</t>
  </si>
  <si>
    <t>PM_40</t>
  </si>
  <si>
    <t>Design and approvals information</t>
  </si>
  <si>
    <t>PM_40_30</t>
  </si>
  <si>
    <t>Design information</t>
  </si>
  <si>
    <t>00-70-70/420A Design documents;</t>
  </si>
  <si>
    <t>PM_40_30_17</t>
  </si>
  <si>
    <t>Concept analysis</t>
  </si>
  <si>
    <t>PM_40_30_20</t>
  </si>
  <si>
    <t>Design calculations</t>
  </si>
  <si>
    <t>PM_40_30_23</t>
  </si>
  <si>
    <t>Design philosophy statement</t>
  </si>
  <si>
    <t>00-70-70/360 Design and management objectives statement;</t>
  </si>
  <si>
    <t>PM_40_30_24</t>
  </si>
  <si>
    <t>Design responsibility matrix</t>
  </si>
  <si>
    <t>PM_40_30_25</t>
  </si>
  <si>
    <t>Developmental control plan</t>
  </si>
  <si>
    <t>PM_40_30_26</t>
  </si>
  <si>
    <t>Energy strategy</t>
  </si>
  <si>
    <t>PM_40_30_27</t>
  </si>
  <si>
    <t>Energy target</t>
  </si>
  <si>
    <t>00-60-70/170 Energy rating calculation;</t>
  </si>
  <si>
    <t>PM_40_30_34</t>
  </si>
  <si>
    <t>Graphical information</t>
  </si>
  <si>
    <t>PM_40_30_50</t>
  </si>
  <si>
    <t>Management control plan</t>
  </si>
  <si>
    <t>PM_40_30_52</t>
  </si>
  <si>
    <t>Mechanical, electrical, instrumentation, controls and automation (MEICA) design</t>
  </si>
  <si>
    <t>PM_40_30_60</t>
  </si>
  <si>
    <t>Parametric information</t>
  </si>
  <si>
    <t>PM_40_30_63</t>
  </si>
  <si>
    <t>Photorealistic visualization model</t>
  </si>
  <si>
    <t>PM_40_30_89</t>
  </si>
  <si>
    <t>Technical information</t>
  </si>
  <si>
    <t>PM_40_40</t>
  </si>
  <si>
    <t>Design drawings</t>
  </si>
  <si>
    <t>00-70-70/140 Dimensions;</t>
  </si>
  <si>
    <t>PM_40_40_01</t>
  </si>
  <si>
    <t>2D plan drawings</t>
  </si>
  <si>
    <t>PM_40_40_02</t>
  </si>
  <si>
    <t>3D plan drawings</t>
  </si>
  <si>
    <t>PM_40_40_10</t>
  </si>
  <si>
    <t>Builders' work drawings</t>
  </si>
  <si>
    <t>PM_40_40_15</t>
  </si>
  <si>
    <t>Co-ordination drawings</t>
  </si>
  <si>
    <t>PM_40_40_18</t>
  </si>
  <si>
    <t>Cross-section drawings</t>
  </si>
  <si>
    <t>PM_40_40_22</t>
  </si>
  <si>
    <t>Diagrammatical drawings</t>
  </si>
  <si>
    <t>PM_40_40_27</t>
  </si>
  <si>
    <t>Elevation drawings</t>
  </si>
  <si>
    <t>PM_40_40_34</t>
  </si>
  <si>
    <t>General Arrangement drawings</t>
  </si>
  <si>
    <t>PM_40_40_42</t>
  </si>
  <si>
    <t>Isometric drawings</t>
  </si>
  <si>
    <t>PM_40_40_50</t>
  </si>
  <si>
    <t>Manufacturer's drawings</t>
  </si>
  <si>
    <t>PM_40_40_54</t>
  </si>
  <si>
    <t>Multi-view drawings</t>
  </si>
  <si>
    <t>PM_40_40_75</t>
  </si>
  <si>
    <t>Schematic drawings</t>
  </si>
  <si>
    <t>PM_40_40_79</t>
  </si>
  <si>
    <t>Sketch drawings</t>
  </si>
  <si>
    <t>PM_40_40_88</t>
  </si>
  <si>
    <t>Technical design drawings</t>
  </si>
  <si>
    <t>PM_40_50</t>
  </si>
  <si>
    <t>Approvals information</t>
  </si>
  <si>
    <t>PM_40_50_03</t>
  </si>
  <si>
    <t>Approvals and assurance plan</t>
  </si>
  <si>
    <t>PM_40_50_14</t>
  </si>
  <si>
    <t>Consent</t>
  </si>
  <si>
    <t>PM_40_50_16</t>
  </si>
  <si>
    <t>Contribution agreement</t>
  </si>
  <si>
    <t>PM_40_50_32</t>
  </si>
  <si>
    <t>Funding profile</t>
  </si>
  <si>
    <t>PM_40_50_37</t>
  </si>
  <si>
    <t>Heritage registration</t>
  </si>
  <si>
    <t>PM_40_50_41</t>
  </si>
  <si>
    <t>Internal approval</t>
  </si>
  <si>
    <t>PM_40_50_47</t>
  </si>
  <si>
    <t>Land owner agreement</t>
  </si>
  <si>
    <t>PM_40_50_49</t>
  </si>
  <si>
    <t>Letter of authority</t>
  </si>
  <si>
    <t>PM_40_50_60</t>
  </si>
  <si>
    <t>Partnership agreement</t>
  </si>
  <si>
    <t>PM_40_50_65</t>
  </si>
  <si>
    <t>Planning permission</t>
  </si>
  <si>
    <t>PM_40_50_67</t>
  </si>
  <si>
    <t>Project board agreement</t>
  </si>
  <si>
    <t>PM_40_50_69</t>
  </si>
  <si>
    <t>Project team agreement</t>
  </si>
  <si>
    <t>00-30-70/135 Project Team Agreement;</t>
  </si>
  <si>
    <t>PM_40_60</t>
  </si>
  <si>
    <t>Project information management information</t>
  </si>
  <si>
    <t>PM_40_60_01</t>
  </si>
  <si>
    <t>4D programme federated model</t>
  </si>
  <si>
    <t>PM_40_60_02</t>
  </si>
  <si>
    <t>5D cost federated model</t>
  </si>
  <si>
    <t>PM_40_60_03</t>
  </si>
  <si>
    <t>6D handover sequence federated model</t>
  </si>
  <si>
    <t>PM_40_60_05</t>
  </si>
  <si>
    <t>Activities terminology</t>
  </si>
  <si>
    <t>00-05-15/310 Activity terminology;</t>
  </si>
  <si>
    <t>PM_40_60_07</t>
  </si>
  <si>
    <t>Benefits realization plan</t>
  </si>
  <si>
    <t>PM_40_60_08</t>
  </si>
  <si>
    <t>BIM execution plan</t>
  </si>
  <si>
    <t>00-40-70/175 BIM Execution Plan (BEP);</t>
  </si>
  <si>
    <t>PM_40_60_09</t>
  </si>
  <si>
    <t>BIM maturity assessment report</t>
  </si>
  <si>
    <t>PM_40_60_12</t>
  </si>
  <si>
    <t>Clash detection resolution report</t>
  </si>
  <si>
    <t>PM_40_60_16</t>
  </si>
  <si>
    <t>COBie data sheet</t>
  </si>
  <si>
    <t>PM_40_60_18</t>
  </si>
  <si>
    <t>Communications plan</t>
  </si>
  <si>
    <t>PM_40_60_19</t>
  </si>
  <si>
    <t>Construction risk review</t>
  </si>
  <si>
    <t>PM_40_60_20</t>
  </si>
  <si>
    <t>Contingency plan</t>
  </si>
  <si>
    <t>PM_40_60_21</t>
  </si>
  <si>
    <t>Curriculum vitae (CV)</t>
  </si>
  <si>
    <t>PM_40_60_22</t>
  </si>
  <si>
    <t>Data security policy</t>
  </si>
  <si>
    <t>00-70-70/100 Freedom of information;</t>
  </si>
  <si>
    <t>PM_40_60_23</t>
  </si>
  <si>
    <t>Description terminology</t>
  </si>
  <si>
    <t>00-05-15/210 Description terminology;</t>
  </si>
  <si>
    <t>PM_40_60_27</t>
  </si>
  <si>
    <t>Electronic data interchange (EDI)</t>
  </si>
  <si>
    <t>00-70-70/200A Electronic Data Interchange (EDI);</t>
  </si>
  <si>
    <t>PM_40_60_31</t>
  </si>
  <si>
    <t>Federated coordination models</t>
  </si>
  <si>
    <t>PM_40_60_41</t>
  </si>
  <si>
    <t>Information delivery plan</t>
  </si>
  <si>
    <t>PM_40_60_50</t>
  </si>
  <si>
    <t>Master information delivery plan</t>
  </si>
  <si>
    <t>00-70-70/370 Information Release Schedule;</t>
  </si>
  <si>
    <t>PM_40_60_62</t>
  </si>
  <si>
    <t>Post occupancy evaluation</t>
  </si>
  <si>
    <t>PM_40_60_64</t>
  </si>
  <si>
    <t>Pre-appointment BIM execution plan</t>
  </si>
  <si>
    <t>PM_40_60_70</t>
  </si>
  <si>
    <t>Risk schedule</t>
  </si>
  <si>
    <t>PM_40_60_72</t>
  </si>
  <si>
    <t>Risk and opportunities management plan</t>
  </si>
  <si>
    <t>PM_40_60_85</t>
  </si>
  <si>
    <t>Stakeholder management plan</t>
  </si>
  <si>
    <t>PM_40_60_87</t>
  </si>
  <si>
    <t>Task information delivery plan</t>
  </si>
  <si>
    <t>PM_40_60_89</t>
  </si>
  <si>
    <t>Through-life management plan (TLMP)</t>
  </si>
  <si>
    <t>PM_50</t>
  </si>
  <si>
    <t>Financial and commercial information</t>
  </si>
  <si>
    <t>PM_50_30</t>
  </si>
  <si>
    <t>Economic viability information</t>
  </si>
  <si>
    <t>PM_50_30_10</t>
  </si>
  <si>
    <t>Business case</t>
  </si>
  <si>
    <t>PM_50_30_12</t>
  </si>
  <si>
    <t>Commercial compliance report</t>
  </si>
  <si>
    <t>PM_50_30_14</t>
  </si>
  <si>
    <t>Commercial plan</t>
  </si>
  <si>
    <t>PM_50_30_16</t>
  </si>
  <si>
    <t>Commercial strategy</t>
  </si>
  <si>
    <t>PM_50_30_18</t>
  </si>
  <si>
    <t>Cost model and indicative costing</t>
  </si>
  <si>
    <t>PM_50_30_26</t>
  </si>
  <si>
    <t>Earned value management report</t>
  </si>
  <si>
    <t>PM_50_30_28</t>
  </si>
  <si>
    <t>Financial damage assessment</t>
  </si>
  <si>
    <t>PM_50_30_29</t>
  </si>
  <si>
    <t>Financial strategy</t>
  </si>
  <si>
    <t>PM_50_30_30</t>
  </si>
  <si>
    <t>Funding information</t>
  </si>
  <si>
    <t>PM_50_30_40</t>
  </si>
  <si>
    <t>Initial planning estimate</t>
  </si>
  <si>
    <t>PM_50_30_42</t>
  </si>
  <si>
    <t>Investment appraisal</t>
  </si>
  <si>
    <t>PM_50_30_60</t>
  </si>
  <si>
    <t>Partnership funding report</t>
  </si>
  <si>
    <t>PM_50_30_64</t>
  </si>
  <si>
    <t>Preliminary business case</t>
  </si>
  <si>
    <t>PM_50_30_66</t>
  </si>
  <si>
    <t>Pre-tender estimate</t>
  </si>
  <si>
    <t>PM_50_30_68</t>
  </si>
  <si>
    <t>Private-sector participation (PSP) evaluation report</t>
  </si>
  <si>
    <t>PM_50_30_70</t>
  </si>
  <si>
    <t>Private-sector participation (PSP) financial close</t>
  </si>
  <si>
    <t>PM_50_30_85</t>
  </si>
  <si>
    <t>Supply chain agreement</t>
  </si>
  <si>
    <t>00-40-70/200 Supply chain agreements;</t>
  </si>
  <si>
    <t>PM_50_30_96</t>
  </si>
  <si>
    <t>Whole life costing</t>
  </si>
  <si>
    <t>PM_50_50</t>
  </si>
  <si>
    <t>Procurement and tendering information</t>
  </si>
  <si>
    <t>PM_50_50_01</t>
  </si>
  <si>
    <t>Procurement strategy</t>
  </si>
  <si>
    <t>PM_50_50_03</t>
  </si>
  <si>
    <t>Prior information notice</t>
  </si>
  <si>
    <t>PM_50_50_05</t>
  </si>
  <si>
    <t>Advance procurement information</t>
  </si>
  <si>
    <t>00-10-70/210 Advance procurement;</t>
  </si>
  <si>
    <t>PM_50_50_10</t>
  </si>
  <si>
    <t>Tender enquiry</t>
  </si>
  <si>
    <t>00-30-70/120 Preliminary Enquiry;</t>
  </si>
  <si>
    <t>PM_50_50_15</t>
  </si>
  <si>
    <t>Tender invitation</t>
  </si>
  <si>
    <t>00-30-70/130 Tenders to be invited;</t>
  </si>
  <si>
    <t>PM_50_50_20</t>
  </si>
  <si>
    <t>Early contractor involvement information</t>
  </si>
  <si>
    <t>PM_50_50_25</t>
  </si>
  <si>
    <t>Framework agreement information</t>
  </si>
  <si>
    <t>00-30-70/140 Framework Agreements;</t>
  </si>
  <si>
    <t>PM_50_50_30</t>
  </si>
  <si>
    <t>Tender acceptance criteria</t>
  </si>
  <si>
    <t>00-30-70/165 Tender acceptance;</t>
  </si>
  <si>
    <t>PM_50_50_35</t>
  </si>
  <si>
    <t>Tender document</t>
  </si>
  <si>
    <t>00-30-70/170 The Tender documents;</t>
  </si>
  <si>
    <t>PM_50_50_40</t>
  </si>
  <si>
    <t>Private-sector participation (PSP) tender</t>
  </si>
  <si>
    <t>PM_50_50_45</t>
  </si>
  <si>
    <t>Tender clarification report</t>
  </si>
  <si>
    <t>00-30-70/180 Tender queries;</t>
  </si>
  <si>
    <t>PM_50_50_50</t>
  </si>
  <si>
    <t>Tender instruction</t>
  </si>
  <si>
    <t>00-30-70/190 Tender instructions;</t>
  </si>
  <si>
    <t>PM_50_50_55</t>
  </si>
  <si>
    <t>Tender site visit strategy</t>
  </si>
  <si>
    <t>00-30-70/220 Site visit;</t>
  </si>
  <si>
    <t>PM_50_50_60</t>
  </si>
  <si>
    <t>Tender return</t>
  </si>
  <si>
    <t>00-30-70/230 Return of Tender;</t>
  </si>
  <si>
    <t>PM_50_50_65</t>
  </si>
  <si>
    <t>Tender assessment report</t>
  </si>
  <si>
    <t>00-30-70/310 Assessment;</t>
  </si>
  <si>
    <t>PM_50_50_70</t>
  </si>
  <si>
    <t>Tender evaluation report</t>
  </si>
  <si>
    <t>PM_50_50_75</t>
  </si>
  <si>
    <t>Tender error resolution strategy</t>
  </si>
  <si>
    <t>00-30-70/320B Error resolution;</t>
  </si>
  <si>
    <t>PM_50_50_80</t>
  </si>
  <si>
    <t>Tender acceptance report</t>
  </si>
  <si>
    <t>PM_50_50_85</t>
  </si>
  <si>
    <t>Post-tender negotiation</t>
  </si>
  <si>
    <t>00-30-70/340 Post-Tender negotiations;</t>
  </si>
  <si>
    <t>PM_50_50_90</t>
  </si>
  <si>
    <t>Tender notification</t>
  </si>
  <si>
    <t>00-30-70/410 Notification to Tenderers;</t>
  </si>
  <si>
    <t>PM_55</t>
  </si>
  <si>
    <t>Contract information</t>
  </si>
  <si>
    <t>PM_55_55</t>
  </si>
  <si>
    <t>Contract</t>
  </si>
  <si>
    <t>00-20-70/A1000 Articles;</t>
  </si>
  <si>
    <t>PM_55_55_70</t>
  </si>
  <si>
    <t>Services contract</t>
  </si>
  <si>
    <t>PM_55_55_80</t>
  </si>
  <si>
    <t>Supplies contract</t>
  </si>
  <si>
    <t>PM_55_55_90</t>
  </si>
  <si>
    <t>Works contract</t>
  </si>
  <si>
    <t>PM_60</t>
  </si>
  <si>
    <t>Construction management information</t>
  </si>
  <si>
    <t>PM_60_10</t>
  </si>
  <si>
    <t>Site information</t>
  </si>
  <si>
    <t>PM_60_10_50</t>
  </si>
  <si>
    <t>Site access information</t>
  </si>
  <si>
    <t>00-40-70/110B Access to the site;</t>
  </si>
  <si>
    <t>PM_60_10_52</t>
  </si>
  <si>
    <t>Site altitude</t>
  </si>
  <si>
    <t>PM_60_10_55</t>
  </si>
  <si>
    <t>Site branding information</t>
  </si>
  <si>
    <t>00-40-70/790B Name boards and advertisements;</t>
  </si>
  <si>
    <t>PM_60_10_58</t>
  </si>
  <si>
    <t>Site establishment information</t>
  </si>
  <si>
    <t>PM_60_10_60</t>
  </si>
  <si>
    <t>Site grid reference</t>
  </si>
  <si>
    <t>PM_60_10_65</t>
  </si>
  <si>
    <t>Site safety plan</t>
  </si>
  <si>
    <t>00-40-70/310 Health and Safety statement;</t>
  </si>
  <si>
    <t>PM_60_10_70</t>
  </si>
  <si>
    <t>Site services information</t>
  </si>
  <si>
    <t>PM_60_10_75</t>
  </si>
  <si>
    <t>Site set-up information</t>
  </si>
  <si>
    <t>00-40-70/800 Temporary shoring;</t>
  </si>
  <si>
    <t>PM_60_10_77</t>
  </si>
  <si>
    <t>Site security information</t>
  </si>
  <si>
    <t>00-40-70/600 Security – contract minimum requirement;</t>
  </si>
  <si>
    <t>PM_60_10_80</t>
  </si>
  <si>
    <t>Surrounding land and building uses report</t>
  </si>
  <si>
    <t>PM_60_10_83</t>
  </si>
  <si>
    <t>Temporary services information</t>
  </si>
  <si>
    <t>00-40-70/540A Lighting and power;</t>
  </si>
  <si>
    <t>PM_60_10_85</t>
  </si>
  <si>
    <t>Temporary works information</t>
  </si>
  <si>
    <t>00-40-70/480 Parking;</t>
  </si>
  <si>
    <t>PM_60_10_90</t>
  </si>
  <si>
    <t>Temporary works impact report</t>
  </si>
  <si>
    <t>PM_60_10_95</t>
  </si>
  <si>
    <t>Working area information</t>
  </si>
  <si>
    <t>00-40-70/130B Working area;</t>
  </si>
  <si>
    <t>PM_60_20</t>
  </si>
  <si>
    <t>Project requirements</t>
  </si>
  <si>
    <t>PM_60_20_15</t>
  </si>
  <si>
    <t>Completion work information</t>
  </si>
  <si>
    <t>PM_60_20_20</t>
  </si>
  <si>
    <t>Concurrent work information</t>
  </si>
  <si>
    <t>PM_60_20_55</t>
  </si>
  <si>
    <t>Nominated subcontractor or supplier work information</t>
  </si>
  <si>
    <t>PM_60_20_60</t>
  </si>
  <si>
    <t>Pre-construction information</t>
  </si>
  <si>
    <t>00-05-10/170 Preconstruction information;</t>
  </si>
  <si>
    <t>PM_60_20_62</t>
  </si>
  <si>
    <t>Pre-ordered items information</t>
  </si>
  <si>
    <t>00-70-70/710 Advance procurement;</t>
  </si>
  <si>
    <t>PM_60_20_64</t>
  </si>
  <si>
    <t>Prime cost item</t>
  </si>
  <si>
    <t>00-60-70/600D Daywork charges;</t>
  </si>
  <si>
    <t>PM_60_20_65</t>
  </si>
  <si>
    <t>Preparatory work information</t>
  </si>
  <si>
    <t>PM_60_20_67</t>
  </si>
  <si>
    <t>Provisional item</t>
  </si>
  <si>
    <t>00-10-70/310 Provisional sum for undefined work;</t>
  </si>
  <si>
    <t>PM_60_20_79</t>
  </si>
  <si>
    <t>Setting out methodology</t>
  </si>
  <si>
    <t>00-60-70/410 Setting out records;</t>
  </si>
  <si>
    <t>PM_60_20_90</t>
  </si>
  <si>
    <t>Works by local authority information</t>
  </si>
  <si>
    <t>PM_60_20_95</t>
  </si>
  <si>
    <t>Work by statutory undertakers information</t>
  </si>
  <si>
    <t>PM_60_30</t>
  </si>
  <si>
    <t>Contract programme and progress</t>
  </si>
  <si>
    <t>00-50-70/695 METHOD AND SEQUENCE;</t>
  </si>
  <si>
    <t>PM_60_30_05</t>
  </si>
  <si>
    <t>Actions log</t>
  </si>
  <si>
    <t>PM_60_30_13</t>
  </si>
  <si>
    <t>Commissioning programme</t>
  </si>
  <si>
    <t>00-70-70/910 Performance testing programme;</t>
  </si>
  <si>
    <t>PM_60_30_15</t>
  </si>
  <si>
    <t>Communications log</t>
  </si>
  <si>
    <t>PM_60_30_17</t>
  </si>
  <si>
    <t>Consultation strategy</t>
  </si>
  <si>
    <t>PM_60_30_19</t>
  </si>
  <si>
    <t>Contract administration information</t>
  </si>
  <si>
    <t>00-70-70/780D Drawn and other information;</t>
  </si>
  <si>
    <t>PM_60_30_20</t>
  </si>
  <si>
    <t>Contract programme</t>
  </si>
  <si>
    <t>00-70-70/350C Programme;</t>
  </si>
  <si>
    <t>PM_60_30_22</t>
  </si>
  <si>
    <t>Delivery risk review</t>
  </si>
  <si>
    <t>PM_60_30_26</t>
  </si>
  <si>
    <t>Early warning notice</t>
  </si>
  <si>
    <t>PM_60_30_28</t>
  </si>
  <si>
    <t>Exception report</t>
  </si>
  <si>
    <t>PM_60_30_37</t>
  </si>
  <si>
    <t>Highlights report</t>
  </si>
  <si>
    <t>PM_60_30_40</t>
  </si>
  <si>
    <t>Issues log</t>
  </si>
  <si>
    <t>PM_60_30_45</t>
  </si>
  <si>
    <t>Limitations on method report</t>
  </si>
  <si>
    <t>00-50-70/780 Use or disposal of materials;</t>
  </si>
  <si>
    <t>PM_60_30_47</t>
  </si>
  <si>
    <t>Limitations on sequence report</t>
  </si>
  <si>
    <t>PM_60_30_49</t>
  </si>
  <si>
    <t>Limitations on timing report</t>
  </si>
  <si>
    <t>00-50-70/790 Working hours;</t>
  </si>
  <si>
    <t>PM_60_30_51</t>
  </si>
  <si>
    <t>Limitations on use of site report</t>
  </si>
  <si>
    <t>PM_60_30_57</t>
  </si>
  <si>
    <t>Notice of commencement</t>
  </si>
  <si>
    <t>00-40-70/280A Commencement of work;</t>
  </si>
  <si>
    <t>PM_60_30_66</t>
  </si>
  <si>
    <t>Progress report</t>
  </si>
  <si>
    <t>00-50-70/170A Progress report;</t>
  </si>
  <si>
    <t>PM_60_30_71</t>
  </si>
  <si>
    <t>Request for information (RFI)</t>
  </si>
  <si>
    <t>PM_60_30_73</t>
  </si>
  <si>
    <t>Responsible, accountable, consulted and informed (RACI) log</t>
  </si>
  <si>
    <t>PM_60_30_80</t>
  </si>
  <si>
    <t>Stage end report</t>
  </si>
  <si>
    <t>PM_60_40</t>
  </si>
  <si>
    <t>Meetings and records</t>
  </si>
  <si>
    <t>PM_60_40_40</t>
  </si>
  <si>
    <t>Labour and equipment record</t>
  </si>
  <si>
    <t>00-70-70/650 Sub subcontractors;</t>
  </si>
  <si>
    <t>PM_60_40_50</t>
  </si>
  <si>
    <t>Meeting agenda</t>
  </si>
  <si>
    <t>PM_60_40_55</t>
  </si>
  <si>
    <t>Meeting minutes</t>
  </si>
  <si>
    <t>PM_60_40_58</t>
  </si>
  <si>
    <t>Progress photographs</t>
  </si>
  <si>
    <t>00-50-70/190 Photographs;</t>
  </si>
  <si>
    <t>PM_60_40_60</t>
  </si>
  <si>
    <t>Progress record</t>
  </si>
  <si>
    <t>00-50-70/180 Contractor’s progress meetings;</t>
  </si>
  <si>
    <t>PM_60_50</t>
  </si>
  <si>
    <t>Contract cost management</t>
  </si>
  <si>
    <t>PM_60_50_10</t>
  </si>
  <si>
    <t>Budget</t>
  </si>
  <si>
    <t>00-70-70/270 Fluctuations;</t>
  </si>
  <si>
    <t>PM_60_50_12</t>
  </si>
  <si>
    <t>Cash flow forecast</t>
  </si>
  <si>
    <t>00-40-70/160 Cash flow forecast;</t>
  </si>
  <si>
    <t>PM_60_50_16</t>
  </si>
  <si>
    <t>Compensation event</t>
  </si>
  <si>
    <t>00-70-70/730 Notification of compensation event;</t>
  </si>
  <si>
    <t>PM_60_50_17</t>
  </si>
  <si>
    <t>Completion certificate</t>
  </si>
  <si>
    <t>00-60-70/630B Verification certificates;</t>
  </si>
  <si>
    <t>PM_60_50_19</t>
  </si>
  <si>
    <t>Contract change to forecast</t>
  </si>
  <si>
    <t>PM_60_50_23</t>
  </si>
  <si>
    <t>Cost estimate</t>
  </si>
  <si>
    <t>00-70-70/740C Proposed instructions;</t>
  </si>
  <si>
    <t>PM_60_50_25</t>
  </si>
  <si>
    <t>Cost forecast</t>
  </si>
  <si>
    <t>PM_60_50_27</t>
  </si>
  <si>
    <t>Cost information report</t>
  </si>
  <si>
    <t>00-70-70/150 Rules of measurement;</t>
  </si>
  <si>
    <t>PM_60_50_35</t>
  </si>
  <si>
    <t>Fee note</t>
  </si>
  <si>
    <t>PM_60_50_37</t>
  </si>
  <si>
    <t>Financial report</t>
  </si>
  <si>
    <t>PM_60_50_50</t>
  </si>
  <si>
    <t>Milestone payment schedule</t>
  </si>
  <si>
    <t>PM_60_50_58</t>
  </si>
  <si>
    <t>Order</t>
  </si>
  <si>
    <t>PM_60_50_60</t>
  </si>
  <si>
    <t>Payment application</t>
  </si>
  <si>
    <t>PM_60_50_62</t>
  </si>
  <si>
    <t>Payment certificate</t>
  </si>
  <si>
    <t>PM_60_50_63</t>
  </si>
  <si>
    <t>Pricing document</t>
  </si>
  <si>
    <t>00-70-70/280E Schedule of Rates;</t>
  </si>
  <si>
    <t>PM_60_50_69</t>
  </si>
  <si>
    <t>Quotation</t>
  </si>
  <si>
    <t>PM_60_50_88</t>
  </si>
  <si>
    <t>Technical query</t>
  </si>
  <si>
    <t>PM_60_50_90</t>
  </si>
  <si>
    <t>Timesheet</t>
  </si>
  <si>
    <t>PM_60_60</t>
  </si>
  <si>
    <t>Contract support information</t>
  </si>
  <si>
    <t>PM_60_60_15</t>
  </si>
  <si>
    <t>Contacts list</t>
  </si>
  <si>
    <t>00-40-70/170 Emergency contacts;</t>
  </si>
  <si>
    <t>PM_60_60_26</t>
  </si>
  <si>
    <t>Environmental protection information</t>
  </si>
  <si>
    <t>00-70-70/510 Environmental targets - report;</t>
  </si>
  <si>
    <t>PM_60_60_40</t>
  </si>
  <si>
    <t>Insurance policies and records</t>
  </si>
  <si>
    <t>00-70-70/800D Insurance;</t>
  </si>
  <si>
    <t>PM_60_60_60</t>
  </si>
  <si>
    <t>Site control and protection information</t>
  </si>
  <si>
    <t>00-50-70/290A Occupied premises;</t>
  </si>
  <si>
    <t>PM_60_60_65</t>
  </si>
  <si>
    <t>Site personnel records</t>
  </si>
  <si>
    <t>PM_60_60_70</t>
  </si>
  <si>
    <t>Site records</t>
  </si>
  <si>
    <t>00-70-70/830B Climatic conditions - records;</t>
  </si>
  <si>
    <t>PM_60_60_75</t>
  </si>
  <si>
    <t>Site safety information</t>
  </si>
  <si>
    <t>00-50-70/540 Powder actuated fixing systems;</t>
  </si>
  <si>
    <t>PM_60_60_88</t>
  </si>
  <si>
    <t>Temporary services records</t>
  </si>
  <si>
    <t>00-40-70/730A Mechanical plant – contract minimum requirement;</t>
  </si>
  <si>
    <t>PM_60_60_90</t>
  </si>
  <si>
    <t>Temporary works records</t>
  </si>
  <si>
    <t>PM_60_70</t>
  </si>
  <si>
    <t>Construction risk management</t>
  </si>
  <si>
    <t>PM_60_70_17</t>
  </si>
  <si>
    <t>Construction phase health and safety plan</t>
  </si>
  <si>
    <t>00-40-70/370B Safety and health plan construction phase;</t>
  </si>
  <si>
    <t>PM_60_70_20</t>
  </si>
  <si>
    <t>Demolition hazard report</t>
  </si>
  <si>
    <t>00-40-70/350C Demolition hazards;</t>
  </si>
  <si>
    <t>PM_60_70_25</t>
  </si>
  <si>
    <t>Execution hazard report</t>
  </si>
  <si>
    <t>00-40-70/330D Health and safety hazards;</t>
  </si>
  <si>
    <t>PM_60_70_40</t>
  </si>
  <si>
    <t>Health and safety statement</t>
  </si>
  <si>
    <t>00-70-70/460 Health and safety statement;</t>
  </si>
  <si>
    <t>PM_60_70_60</t>
  </si>
  <si>
    <t>Product hazard report</t>
  </si>
  <si>
    <t>00-40-70/360C Product hazards;</t>
  </si>
  <si>
    <t>PM_60_70_70</t>
  </si>
  <si>
    <t>Site risk assessment</t>
  </si>
  <si>
    <t>PM_60_70_72</t>
  </si>
  <si>
    <t>Site risk report</t>
  </si>
  <si>
    <t>PM_60_70_75</t>
  </si>
  <si>
    <t>Site security policy</t>
  </si>
  <si>
    <t>00-80-70/180A Security at completion;</t>
  </si>
  <si>
    <t>PM_60_70_80</t>
  </si>
  <si>
    <t>Social responsibility registration scheme</t>
  </si>
  <si>
    <t>00-40-70/210 Considerate Constructors Scheme;</t>
  </si>
  <si>
    <t>PM_60_70_93</t>
  </si>
  <si>
    <t>Vehicle safety report</t>
  </si>
  <si>
    <t>00-40-70/225 Freight Vehicle safety requirements;</t>
  </si>
  <si>
    <t>PM_60_70_95</t>
  </si>
  <si>
    <t>Welfare responsibility registration scheme</t>
  </si>
  <si>
    <t>00-40-70/220 Constructing Better Health Scheme;</t>
  </si>
  <si>
    <t>PM_60_90</t>
  </si>
  <si>
    <t>Contract quality standards information</t>
  </si>
  <si>
    <t>PM_60_90_40</t>
  </si>
  <si>
    <t>Site inspection report</t>
  </si>
  <si>
    <t>00-50-70/200B Employer's representatives' inspections;</t>
  </si>
  <si>
    <t>PM_60_90_70</t>
  </si>
  <si>
    <t>Quality control and management report</t>
  </si>
  <si>
    <t>00-60-70/110A Substitute products;</t>
  </si>
  <si>
    <t>PM_70</t>
  </si>
  <si>
    <t>Testing, commissioning and completion information</t>
  </si>
  <si>
    <t>PM_70_75</t>
  </si>
  <si>
    <t>Testing information</t>
  </si>
  <si>
    <t>PM_70_75_02</t>
  </si>
  <si>
    <t>Air distribution test report</t>
  </si>
  <si>
    <t>PM_70_75_15</t>
  </si>
  <si>
    <t>Control system test report</t>
  </si>
  <si>
    <t>PM_70_75_27</t>
  </si>
  <si>
    <t>Electrical installation test report</t>
  </si>
  <si>
    <t>PM_70_75_28</t>
  </si>
  <si>
    <t>Emergency lighting installation test report</t>
  </si>
  <si>
    <t>PM_70_75_30</t>
  </si>
  <si>
    <t>Fire protection installation test report</t>
  </si>
  <si>
    <t>PM_70_75_32</t>
  </si>
  <si>
    <t>Gas installation certificate</t>
  </si>
  <si>
    <t>PM_70_75_36</t>
  </si>
  <si>
    <t>Heating installation test report</t>
  </si>
  <si>
    <t>PM_70_75_37</t>
  </si>
  <si>
    <t>High voltage electrical installation test report</t>
  </si>
  <si>
    <t>PM_70_75_47</t>
  </si>
  <si>
    <t>Lifts test report</t>
  </si>
  <si>
    <t>PM_70_75_49</t>
  </si>
  <si>
    <t>Lightning protection installation test report</t>
  </si>
  <si>
    <t>PM_70_75_65</t>
  </si>
  <si>
    <t>Pressure system installation test report</t>
  </si>
  <si>
    <t>PM_70_75_68</t>
  </si>
  <si>
    <t>Public health installation test report</t>
  </si>
  <si>
    <t>PM_70_75_85</t>
  </si>
  <si>
    <t>Surveillance equipment installation test report</t>
  </si>
  <si>
    <t>PM_70_75_96</t>
  </si>
  <si>
    <t>Water distribution installation test report</t>
  </si>
  <si>
    <t>PM_70_80</t>
  </si>
  <si>
    <t>Commissioning information</t>
  </si>
  <si>
    <t>00-80-70/340 Information for commissioning of services;</t>
  </si>
  <si>
    <t>PM_70_80_02</t>
  </si>
  <si>
    <t>Air distribution systems commissioning report</t>
  </si>
  <si>
    <t>PM_70_80_15</t>
  </si>
  <si>
    <t>Control system commissioning report</t>
  </si>
  <si>
    <t>PM_70_80_28</t>
  </si>
  <si>
    <t>Emergency lighting installation commissioning report</t>
  </si>
  <si>
    <t>PM_70_80_30</t>
  </si>
  <si>
    <t>Fire system commissioning report</t>
  </si>
  <si>
    <t>PM_70_80_47</t>
  </si>
  <si>
    <t>Lifts commissioning report</t>
  </si>
  <si>
    <t>PM_70_80_48</t>
  </si>
  <si>
    <t>Lighting commissioning report</t>
  </si>
  <si>
    <t>PM_70_80_77</t>
  </si>
  <si>
    <t>Security system commissioning report</t>
  </si>
  <si>
    <t>PM_70_80_85</t>
  </si>
  <si>
    <t>Surveillance system installation commissioning report</t>
  </si>
  <si>
    <t>PM_70_80_96</t>
  </si>
  <si>
    <t>Water distribution commissioning report</t>
  </si>
  <si>
    <t>PM_70_85</t>
  </si>
  <si>
    <t>Completion information</t>
  </si>
  <si>
    <t>PM_70_85_13</t>
  </si>
  <si>
    <t>Building manual</t>
  </si>
  <si>
    <t>00-80-70/240A The Building Manual;</t>
  </si>
  <si>
    <t>PM_70_85_20</t>
  </si>
  <si>
    <t>Defects rectification report</t>
  </si>
  <si>
    <t>00-60-70/540A Proposals for rectification of non-compliant products and executions;</t>
  </si>
  <si>
    <t>PM_70_85_25</t>
  </si>
  <si>
    <t>End user operating information</t>
  </si>
  <si>
    <t>PM_70_85_30</t>
  </si>
  <si>
    <t>Final inspection report</t>
  </si>
  <si>
    <t>00-70-70/890C Tests and inspection schedule;</t>
  </si>
  <si>
    <t>PM_70_85_33</t>
  </si>
  <si>
    <t>Handover board record of acceptance for occupation</t>
  </si>
  <si>
    <t>PM_70_85_35</t>
  </si>
  <si>
    <t>Handover strategy</t>
  </si>
  <si>
    <t>00-80-70/150E Completion in sections or parts;</t>
  </si>
  <si>
    <t>PM_70_85_40</t>
  </si>
  <si>
    <t>Health and safety file</t>
  </si>
  <si>
    <t>00-80-70/250B The Health and Safety File;</t>
  </si>
  <si>
    <t>PM_70_85_45</t>
  </si>
  <si>
    <t>List of spares and consumables</t>
  </si>
  <si>
    <t>00-80-70/410B Tools and consumables;</t>
  </si>
  <si>
    <t>PM_70_85_50</t>
  </si>
  <si>
    <t>Maintenance schedules</t>
  </si>
  <si>
    <t>00-60-70/570A Maintenance record sheets;</t>
  </si>
  <si>
    <t>PM_70_85_52</t>
  </si>
  <si>
    <t>Manufacturer information</t>
  </si>
  <si>
    <t>00-60-70/290B Manufacturer's recommendations and instructions;</t>
  </si>
  <si>
    <t>PM_70_85_55</t>
  </si>
  <si>
    <t>Operating instruction</t>
  </si>
  <si>
    <t>PM_70_85_60</t>
  </si>
  <si>
    <t>Plant log book</t>
  </si>
  <si>
    <t>PM_70_85_62</t>
  </si>
  <si>
    <t>Pre-handover plan</t>
  </si>
  <si>
    <t>PM_70_85_64</t>
  </si>
  <si>
    <t>Project completion report</t>
  </si>
  <si>
    <t>00-80-70/200B Highway and sewer adoption;</t>
  </si>
  <si>
    <t>PM_70_85_70</t>
  </si>
  <si>
    <t>Remedial work completion report</t>
  </si>
  <si>
    <t>PM_70_85_83</t>
  </si>
  <si>
    <t>Supplier directory</t>
  </si>
  <si>
    <t>PM_70_85_90</t>
  </si>
  <si>
    <t>Training documentation</t>
  </si>
  <si>
    <t>00-70-70/530 Training policy;</t>
  </si>
  <si>
    <t>PM_70_85_96</t>
  </si>
  <si>
    <t>Works completion certificate</t>
  </si>
  <si>
    <t>00-80-70/100 Notice of completion;</t>
  </si>
  <si>
    <t>PM_70_90</t>
  </si>
  <si>
    <t>Record information</t>
  </si>
  <si>
    <t>00-60-70/220B Technical information;</t>
  </si>
  <si>
    <t>PM_70_90_04</t>
  </si>
  <si>
    <t>Architectural record drawings</t>
  </si>
  <si>
    <t>PM_70_90_15</t>
  </si>
  <si>
    <t>Control system record drawings</t>
  </si>
  <si>
    <t>PM_70_90_27</t>
  </si>
  <si>
    <t>Electrical systems record drawings</t>
  </si>
  <si>
    <t>PM_70_90_30</t>
  </si>
  <si>
    <t>Fire system record drawings</t>
  </si>
  <si>
    <t>PM_70_90_46</t>
  </si>
  <si>
    <t>Landscape record drawings</t>
  </si>
  <si>
    <t>PM_70_90_52</t>
  </si>
  <si>
    <t>Mechanical systems record drawings</t>
  </si>
  <si>
    <t>PM_70_90_68</t>
  </si>
  <si>
    <t>Public health system record drawings</t>
  </si>
  <si>
    <t>PM_70_90_77</t>
  </si>
  <si>
    <t>Security system record drawings</t>
  </si>
  <si>
    <t>PM_70_90_79</t>
  </si>
  <si>
    <t>Setting out records</t>
  </si>
  <si>
    <t>PM_70_90_83</t>
  </si>
  <si>
    <t>Structural record drawings</t>
  </si>
  <si>
    <t>PM_70_95</t>
  </si>
  <si>
    <t>Project assurance information</t>
  </si>
  <si>
    <t>PM_70_95_12</t>
  </si>
  <si>
    <t>Compliance and certification documents</t>
  </si>
  <si>
    <t>00-60-70/440A Water regulations and byelaws notification;</t>
  </si>
  <si>
    <t>PM_70_95_20</t>
  </si>
  <si>
    <t>Design compliance review report</t>
  </si>
  <si>
    <t>PM_70_95_31</t>
  </si>
  <si>
    <t>Fire safety acceptance certificate</t>
  </si>
  <si>
    <t>PM_70_95_33</t>
  </si>
  <si>
    <t>Gateway review information</t>
  </si>
  <si>
    <t>PM_70_95_34</t>
  </si>
  <si>
    <t>Governance strategy information</t>
  </si>
  <si>
    <t>PM_70_95_58</t>
  </si>
  <si>
    <t>Option analysis support paper</t>
  </si>
  <si>
    <t>PM_70_95_64</t>
  </si>
  <si>
    <t>Post-project evaluation information</t>
  </si>
  <si>
    <t>PM_70_95_66</t>
  </si>
  <si>
    <t>Project Assurance Group (PAG) sign off</t>
  </si>
  <si>
    <t>PM_70_95_70</t>
  </si>
  <si>
    <t>Risk potential assessment</t>
  </si>
  <si>
    <t>PM_80</t>
  </si>
  <si>
    <t>Asset management information</t>
  </si>
  <si>
    <t>PM_80_10</t>
  </si>
  <si>
    <t>Asset strategy, planning and management information</t>
  </si>
  <si>
    <t>PM_80_10_05</t>
  </si>
  <si>
    <t>Asset guarantee and warranty information</t>
  </si>
  <si>
    <t>PM_80_10_10</t>
  </si>
  <si>
    <t>Asset register</t>
  </si>
  <si>
    <t>PM_80_10_25</t>
  </si>
  <si>
    <t>Energy performance certificate</t>
  </si>
  <si>
    <t>00-60-70/520B Building energy rating;</t>
  </si>
  <si>
    <t>PM_80_10_27</t>
  </si>
  <si>
    <t>Equipment schedule</t>
  </si>
  <si>
    <t>PM_80_10_30</t>
  </si>
  <si>
    <t>Finishes information</t>
  </si>
  <si>
    <t>PM_80_10_42</t>
  </si>
  <si>
    <t>Insurer's requirements</t>
  </si>
  <si>
    <t>PM_80_10_50</t>
  </si>
  <si>
    <t>Maintenance requirement</t>
  </si>
  <si>
    <t>00-70-70/920C Maintenance instructions and guarantees;</t>
  </si>
  <si>
    <t>PM_80_10_60</t>
  </si>
  <si>
    <t>Performance analysis</t>
  </si>
  <si>
    <t>PM_80_10_63</t>
  </si>
  <si>
    <t>Plant and equipment service life report</t>
  </si>
  <si>
    <t>PM_80_10_65</t>
  </si>
  <si>
    <t>Post-operational evaluation</t>
  </si>
  <si>
    <t>PM_80_30</t>
  </si>
  <si>
    <t>Asset life cycle cost information</t>
  </si>
  <si>
    <t>PM_80_30_05</t>
  </si>
  <si>
    <t>Acquisition costs</t>
  </si>
  <si>
    <t>PM_80_30_30</t>
  </si>
  <si>
    <t>Finance charges information</t>
  </si>
  <si>
    <t>PM_80_30_50</t>
  </si>
  <si>
    <t>Maintenance and repair cost information</t>
  </si>
  <si>
    <t>PM_80_30_60</t>
  </si>
  <si>
    <t>Office services cost information</t>
  </si>
  <si>
    <t>PM_80_30_63</t>
  </si>
  <si>
    <t>Operational cost information</t>
  </si>
  <si>
    <t>PM_80_30_70</t>
  </si>
  <si>
    <t>Replacement cost information</t>
  </si>
  <si>
    <t>PM_80_30_80</t>
  </si>
  <si>
    <t>Staff cost information</t>
  </si>
  <si>
    <t>PM_80_30_90</t>
  </si>
  <si>
    <t>Utilities cost information</t>
  </si>
  <si>
    <t>PM_80_50</t>
  </si>
  <si>
    <t>Emergency strategy information</t>
  </si>
  <si>
    <t>PM_80_50_20</t>
  </si>
  <si>
    <t>Disaster recovery strategy</t>
  </si>
  <si>
    <t>PM_80_50_25</t>
  </si>
  <si>
    <t>Disaster response strategy</t>
  </si>
  <si>
    <t>PM_80_50_30</t>
  </si>
  <si>
    <t>Fire strategy</t>
  </si>
  <si>
    <t>PM_80_50_80</t>
  </si>
  <si>
    <t>Security strategy</t>
  </si>
  <si>
    <t>PM_80_60</t>
  </si>
  <si>
    <t>Asset risk management information</t>
  </si>
  <si>
    <t>PM_80_60_15</t>
  </si>
  <si>
    <t>Compliance risk management information</t>
  </si>
  <si>
    <t>PM_80_60_30</t>
  </si>
  <si>
    <t>Financial risk management information</t>
  </si>
  <si>
    <t>PM_80_60_50</t>
  </si>
  <si>
    <t>Health and safety risk management information</t>
  </si>
  <si>
    <t>PM_80_60_60</t>
  </si>
  <si>
    <t>Operational risk management information</t>
  </si>
  <si>
    <t>PM_80_60_65</t>
  </si>
  <si>
    <t>Performance risk management information</t>
  </si>
  <si>
    <t>PM_80_60_70</t>
  </si>
  <si>
    <t>Residual risk information</t>
  </si>
  <si>
    <t>TE Tools and Equipment - 31 July 2019 - v1.6</t>
  </si>
  <si>
    <t>TE_10</t>
  </si>
  <si>
    <t>Formwork</t>
  </si>
  <si>
    <t>TE_10_10</t>
  </si>
  <si>
    <t>Wall and floor formwork systems</t>
  </si>
  <si>
    <t>TE_10_10_20</t>
  </si>
  <si>
    <t>Face contact material</t>
  </si>
  <si>
    <t>TE_10_10_20_07</t>
  </si>
  <si>
    <t>Beam boxes</t>
  </si>
  <si>
    <t>TE_10_10_20_24</t>
  </si>
  <si>
    <t>Draw forms</t>
  </si>
  <si>
    <t>TE_10_10_20_30</t>
  </si>
  <si>
    <t>Formwork lining</t>
  </si>
  <si>
    <t>TE_10_10_20_31</t>
  </si>
  <si>
    <t>Formwork panels</t>
  </si>
  <si>
    <t>TE_10_10_20_46</t>
  </si>
  <si>
    <t>Lap plates</t>
  </si>
  <si>
    <t>TE_10_10_20_85</t>
  </si>
  <si>
    <t>Stop end forms</t>
  </si>
  <si>
    <t>TE_10_10_20_97</t>
  </si>
  <si>
    <t>Wrecking strips</t>
  </si>
  <si>
    <t>TE_10_10_50</t>
  </si>
  <si>
    <t>Structural members</t>
  </si>
  <si>
    <t>TE_10_10_50_85</t>
  </si>
  <si>
    <t>Strongbacks</t>
  </si>
  <si>
    <t>TE_10_10_50_96</t>
  </si>
  <si>
    <t>Walers</t>
  </si>
  <si>
    <t>TE_10_10_70</t>
  </si>
  <si>
    <t>Box-outs</t>
  </si>
  <si>
    <t>TE_10_10_70_16</t>
  </si>
  <si>
    <t>Core forms</t>
  </si>
  <si>
    <t>TE_10_10_70_23</t>
  </si>
  <si>
    <t>Door formers</t>
  </si>
  <si>
    <t>TE_10_10_70_94</t>
  </si>
  <si>
    <t>Void forms</t>
  </si>
  <si>
    <t>TE_10_10_70_96</t>
  </si>
  <si>
    <t>Window formers</t>
  </si>
  <si>
    <t>TE_10_40</t>
  </si>
  <si>
    <t>Form laying equipment, sheets and accessories</t>
  </si>
  <si>
    <t>TE_10_40_20</t>
  </si>
  <si>
    <t>Clamps</t>
  </si>
  <si>
    <t>TE_10_40_20_07</t>
  </si>
  <si>
    <t>Beam shutter clamps</t>
  </si>
  <si>
    <t>TE_10_40_20_16</t>
  </si>
  <si>
    <t>Column shutter clamps</t>
  </si>
  <si>
    <t>TE_10_40_20_60</t>
  </si>
  <si>
    <t>Panel clamps</t>
  </si>
  <si>
    <t>TE_10_40_20_96</t>
  </si>
  <si>
    <t>Wall shutter clamps</t>
  </si>
  <si>
    <t>TE_10_40_30</t>
  </si>
  <si>
    <t>Formwork ties</t>
  </si>
  <si>
    <t>TE_10_40_30_16</t>
  </si>
  <si>
    <t>Coil ties</t>
  </si>
  <si>
    <t>TE_10_40_30_36</t>
  </si>
  <si>
    <t>Hanger ties</t>
  </si>
  <si>
    <t>TE_10_40_30_64</t>
  </si>
  <si>
    <t>Pigtail ties</t>
  </si>
  <si>
    <t>TE_10_40_30_80</t>
  </si>
  <si>
    <t>Snap ties</t>
  </si>
  <si>
    <t>TE_10_40_30_87</t>
  </si>
  <si>
    <t>Taper ties</t>
  </si>
  <si>
    <t>TE_10_40_30_89</t>
  </si>
  <si>
    <t>Tie sleeves</t>
  </si>
  <si>
    <t>TE_10_40_30_90</t>
  </si>
  <si>
    <t>Through ties</t>
  </si>
  <si>
    <t>TE_10_40_30_96</t>
  </si>
  <si>
    <t>Water bar ties</t>
  </si>
  <si>
    <t>TE_10_40_55</t>
  </si>
  <si>
    <t>TE_10_40_55_72</t>
  </si>
  <si>
    <t>Road forms</t>
  </si>
  <si>
    <t>TE_10_40_55_77</t>
  </si>
  <si>
    <t>Sheeting</t>
  </si>
  <si>
    <t>TE_10_40_55_79</t>
  </si>
  <si>
    <t>Shutters</t>
  </si>
  <si>
    <t>TE_10_40_55_96</t>
  </si>
  <si>
    <t>Wrot</t>
  </si>
  <si>
    <t>TE_10_40_75</t>
  </si>
  <si>
    <t>Formwork supports</t>
  </si>
  <si>
    <t>TE_10_40_75_87</t>
  </si>
  <si>
    <t>Telescopic floor centres</t>
  </si>
  <si>
    <t>TE_10_40_75_89</t>
  </si>
  <si>
    <t>Telescopic props</t>
  </si>
  <si>
    <t>TE_10_40_85</t>
  </si>
  <si>
    <t>Formwork accessories</t>
  </si>
  <si>
    <t>TE_10_40_85_01</t>
  </si>
  <si>
    <t>Access doors</t>
  </si>
  <si>
    <t>TE_10_40_85_03</t>
  </si>
  <si>
    <t>Access traps</t>
  </si>
  <si>
    <t>TE_10_40_85_45</t>
  </si>
  <si>
    <t>Keys</t>
  </si>
  <si>
    <t>TE_10_40_85_96</t>
  </si>
  <si>
    <t>Formwork wedges</t>
  </si>
  <si>
    <t>TE_20</t>
  </si>
  <si>
    <t>Scaffolding, access, shoring and screening</t>
  </si>
  <si>
    <t>TE_20_10</t>
  </si>
  <si>
    <t>Complete scaffolding</t>
  </si>
  <si>
    <t>TE_20_10_10</t>
  </si>
  <si>
    <t>Access towers and platforms</t>
  </si>
  <si>
    <t>TE_20_10_10_46</t>
  </si>
  <si>
    <t>Ladder towers</t>
  </si>
  <si>
    <t>TE_20_10_10_52</t>
  </si>
  <si>
    <t>Mobile working towers</t>
  </si>
  <si>
    <t>TE_20_10_10_54</t>
  </si>
  <si>
    <t>Mobile elevating work platform</t>
  </si>
  <si>
    <t>TE_20_10_10_85</t>
  </si>
  <si>
    <t>Stair towers</t>
  </si>
  <si>
    <t>TE_20_10_10_86</t>
  </si>
  <si>
    <t>Suspended work platforms</t>
  </si>
  <si>
    <t>TE_20_10_50</t>
  </si>
  <si>
    <t>Prefabricated scaffold</t>
  </si>
  <si>
    <t>TE_20_10_50_31</t>
  </si>
  <si>
    <t>Frame scaffold</t>
  </si>
  <si>
    <t>TE_20_10_50_86</t>
  </si>
  <si>
    <t>System scaffold</t>
  </si>
  <si>
    <t>TE_20_10_60</t>
  </si>
  <si>
    <t>Scaffolding</t>
  </si>
  <si>
    <t>TE_20_10_60_08</t>
  </si>
  <si>
    <t>Bracket scaffold</t>
  </si>
  <si>
    <t>TE_20_10_60_11</t>
  </si>
  <si>
    <t>Cantilevered scaffold</t>
  </si>
  <si>
    <t>TE_20_10_60_29</t>
  </si>
  <si>
    <t>Facade scaffold</t>
  </si>
  <si>
    <t>TE_20_10_60_31</t>
  </si>
  <si>
    <t>Free standing scaffold</t>
  </si>
  <si>
    <t>TE_20_10_60_68</t>
  </si>
  <si>
    <t>Putlog scaffold</t>
  </si>
  <si>
    <t>TE_20_10_60_85</t>
  </si>
  <si>
    <t>Suspended scaffold</t>
  </si>
  <si>
    <t>TE_20_10_60_88</t>
  </si>
  <si>
    <t>Timber scaffold</t>
  </si>
  <si>
    <t>TE_20_10_60_90</t>
  </si>
  <si>
    <t>Trestle scaffold</t>
  </si>
  <si>
    <t>TE_20_10_60_91</t>
  </si>
  <si>
    <t>Tube and coupler scaffold</t>
  </si>
  <si>
    <t>TE_20_30</t>
  </si>
  <si>
    <t>Scaffolding parts</t>
  </si>
  <si>
    <t>TE_20_30_10</t>
  </si>
  <si>
    <t>Access ways</t>
  </si>
  <si>
    <t>TE_20_30_20</t>
  </si>
  <si>
    <t>Cages</t>
  </si>
  <si>
    <t>TE_20_30_30</t>
  </si>
  <si>
    <t>Guardrails</t>
  </si>
  <si>
    <t>TE_20_30_30_35</t>
  </si>
  <si>
    <t>Guardboards</t>
  </si>
  <si>
    <t>TE_20_30_30_41</t>
  </si>
  <si>
    <t>Intermediate guardrails</t>
  </si>
  <si>
    <t>TE_20_30_30_89</t>
  </si>
  <si>
    <t>Toe boards</t>
  </si>
  <si>
    <t>TE_20_30_40</t>
  </si>
  <si>
    <t>Frames and framing members</t>
  </si>
  <si>
    <t>TE_20_30_40_46</t>
  </si>
  <si>
    <t>Lateral braces</t>
  </si>
  <si>
    <t>TE_20_30_40_48</t>
  </si>
  <si>
    <t>Longitudinal braces</t>
  </si>
  <si>
    <t>TE_20_30_40_59</t>
  </si>
  <si>
    <t>Outriggers</t>
  </si>
  <si>
    <t>TE_20_30_40_64</t>
  </si>
  <si>
    <t>Plan braces</t>
  </si>
  <si>
    <t>TE_20_30_40_68</t>
  </si>
  <si>
    <t>Putlogs</t>
  </si>
  <si>
    <t>TE_20_30_40_85</t>
  </si>
  <si>
    <t>Standards</t>
  </si>
  <si>
    <t>TE_20_30_40_90</t>
  </si>
  <si>
    <t>Transoms</t>
  </si>
  <si>
    <t>TE_20_30_50</t>
  </si>
  <si>
    <t>Scaffold fittings</t>
  </si>
  <si>
    <t>TE_20_30_50_03</t>
  </si>
  <si>
    <t>Anchorages</t>
  </si>
  <si>
    <t>TE_20_30_50_06</t>
  </si>
  <si>
    <t>Base plates</t>
  </si>
  <si>
    <t>TE_20_30_50_28</t>
  </si>
  <si>
    <t>Expanding spigots</t>
  </si>
  <si>
    <t>TE_20_30_50_48</t>
  </si>
  <si>
    <t>Loose spigots</t>
  </si>
  <si>
    <t>TE_20_30_50_60</t>
  </si>
  <si>
    <t>Parallel couplers</t>
  </si>
  <si>
    <t>TE_20_30_50_68</t>
  </si>
  <si>
    <t>Putlog clips</t>
  </si>
  <si>
    <t>TE_20_30_50_72</t>
  </si>
  <si>
    <t>Right angle couplers</t>
  </si>
  <si>
    <t>TE_20_30_50_80</t>
  </si>
  <si>
    <t>Sleeve couplers</t>
  </si>
  <si>
    <t>TE_20_30_50_86</t>
  </si>
  <si>
    <t>Swivel couplers</t>
  </si>
  <si>
    <t>TE_20_30_50_88</t>
  </si>
  <si>
    <t>Tie members</t>
  </si>
  <si>
    <t>TE_20_30_60</t>
  </si>
  <si>
    <t>Stabilizers</t>
  </si>
  <si>
    <t>TE_20_30_60_06</t>
  </si>
  <si>
    <t>Ballast</t>
  </si>
  <si>
    <t>TE_20_30_70</t>
  </si>
  <si>
    <t>Protection screens</t>
  </si>
  <si>
    <t>TE_20_30_70_78</t>
  </si>
  <si>
    <t>TE_20_30_80</t>
  </si>
  <si>
    <t>Work platforms</t>
  </si>
  <si>
    <t>TE_20_30_80_01</t>
  </si>
  <si>
    <t>Adjustable platforms</t>
  </si>
  <si>
    <t>TE_20_40</t>
  </si>
  <si>
    <t>Access equipment</t>
  </si>
  <si>
    <t>TE_20_40_10</t>
  </si>
  <si>
    <t>Ladders and steps</t>
  </si>
  <si>
    <t>TE_20_40_10_03</t>
  </si>
  <si>
    <t>A-frame ladders</t>
  </si>
  <si>
    <t>TE_20_40_10_28</t>
  </si>
  <si>
    <t>Extension ladders</t>
  </si>
  <si>
    <t>TE_20_40_10_38</t>
  </si>
  <si>
    <t>Hop-up steps</t>
  </si>
  <si>
    <t>TE_20_40_10_64</t>
  </si>
  <si>
    <t>Platform step ladders</t>
  </si>
  <si>
    <t>TE_20_40_10_66</t>
  </si>
  <si>
    <t>Podium ladders</t>
  </si>
  <si>
    <t>TE_20_40_10_85</t>
  </si>
  <si>
    <t>Swing-back step ladders</t>
  </si>
  <si>
    <t>TE_20_40_10_88</t>
  </si>
  <si>
    <t>Telescopic ladders</t>
  </si>
  <si>
    <t>TE_20_50</t>
  </si>
  <si>
    <t>Shoring, planking and strutting</t>
  </si>
  <si>
    <t>TE_20_50_65</t>
  </si>
  <si>
    <t>Shoring and planking</t>
  </si>
  <si>
    <t>TE_20_50_65_06</t>
  </si>
  <si>
    <t>Baulk timbers</t>
  </si>
  <si>
    <t>TE_20_50_65_15</t>
  </si>
  <si>
    <t>Cleats</t>
  </si>
  <si>
    <t>TE_20_50_65_23</t>
  </si>
  <si>
    <t>Dogs</t>
  </si>
  <si>
    <t>TE_20_50_65_30</t>
  </si>
  <si>
    <t>Folding wedges</t>
  </si>
  <si>
    <t>TE_20_50_65_37</t>
  </si>
  <si>
    <t>Horizontal shores</t>
  </si>
  <si>
    <t>TE_20_50_65_56</t>
  </si>
  <si>
    <t>Needles</t>
  </si>
  <si>
    <t>TE_20_50_65_65</t>
  </si>
  <si>
    <t>Planking timbers</t>
  </si>
  <si>
    <t>TE_20_50_65_81</t>
  </si>
  <si>
    <t>Shoring wedges</t>
  </si>
  <si>
    <t>TE_20_50_65_83</t>
  </si>
  <si>
    <t>Sole plates</t>
  </si>
  <si>
    <t>TE_20_50_65_85</t>
  </si>
  <si>
    <t>Straining pieces</t>
  </si>
  <si>
    <t>TE_20_50_65_96</t>
  </si>
  <si>
    <t>Wall plates</t>
  </si>
  <si>
    <t>TE_20_50_75</t>
  </si>
  <si>
    <t>Struts</t>
  </si>
  <si>
    <t>TE_20_50_75_02</t>
  </si>
  <si>
    <t>Adjustable struts</t>
  </si>
  <si>
    <t>TE_20_50_75_75</t>
  </si>
  <si>
    <t>Strutting timbers</t>
  </si>
  <si>
    <t>TE_20_80</t>
  </si>
  <si>
    <t>Temporary screening structures</t>
  </si>
  <si>
    <t>TE_20_80_80</t>
  </si>
  <si>
    <t>Temporary hoardings</t>
  </si>
  <si>
    <t>TE_20_80_80_28</t>
  </si>
  <si>
    <t>External temporary hoardings</t>
  </si>
  <si>
    <t>TE_20_80_80_41</t>
  </si>
  <si>
    <t>Internal temporary hoardings</t>
  </si>
  <si>
    <t>TE_20_90</t>
  </si>
  <si>
    <t>Tube straightening equipment</t>
  </si>
  <si>
    <t>TE_30</t>
  </si>
  <si>
    <t>Lifting appliances and conveyors</t>
  </si>
  <si>
    <t>TE_30_10</t>
  </si>
  <si>
    <t>TE_30_10_10</t>
  </si>
  <si>
    <t>Crane structures</t>
  </si>
  <si>
    <t>TE_30_10_10_01</t>
  </si>
  <si>
    <t>Aerial cranes</t>
  </si>
  <si>
    <t>TE_30_10_10_03</t>
  </si>
  <si>
    <t>All terrain (AT) cranes</t>
  </si>
  <si>
    <t>TE_30_10_10_18</t>
  </si>
  <si>
    <t>Crawler cranes</t>
  </si>
  <si>
    <t>TE_30_10_10_30</t>
  </si>
  <si>
    <t>Floating cranes</t>
  </si>
  <si>
    <t>TE_30_10_10_44</t>
  </si>
  <si>
    <t>Jib cranes</t>
  </si>
  <si>
    <t>TE_30_10_10_47</t>
  </si>
  <si>
    <t>Level luffing cranes</t>
  </si>
  <si>
    <t>TE_30_10_10_52</t>
  </si>
  <si>
    <t>Mounted cranes</t>
  </si>
  <si>
    <t>TE_30_10_10_70</t>
  </si>
  <si>
    <t>Railroad cranes</t>
  </si>
  <si>
    <t>TE_30_10_10_74</t>
  </si>
  <si>
    <t>Rough terrain (RT) cranes</t>
  </si>
  <si>
    <t>TE_30_10_10_76</t>
  </si>
  <si>
    <t>Self-erecting cranes</t>
  </si>
  <si>
    <t>TE_30_10_10_78</t>
  </si>
  <si>
    <t>Sidelift cranes</t>
  </si>
  <si>
    <t>TE_30_10_10_88</t>
  </si>
  <si>
    <t>Telescopic cranes</t>
  </si>
  <si>
    <t>TE_30_10_10_89</t>
  </si>
  <si>
    <t>Tower cranes</t>
  </si>
  <si>
    <t>TE_30_10_10_91</t>
  </si>
  <si>
    <t>Turret cranes</t>
  </si>
  <si>
    <t>TE_30_10_50</t>
  </si>
  <si>
    <t>Crane equipment</t>
  </si>
  <si>
    <t>TE_30_10_50_15</t>
  </si>
  <si>
    <t>Concrete skips</t>
  </si>
  <si>
    <t>TE_30_10_50_22</t>
  </si>
  <si>
    <t>Demolition balls</t>
  </si>
  <si>
    <t>TE_30_10_50_28</t>
  </si>
  <si>
    <t>Excavating crane grabs</t>
  </si>
  <si>
    <t>TE_30_10_50_71</t>
  </si>
  <si>
    <t>Rehandling crane grabs</t>
  </si>
  <si>
    <t>TE_30_10_50_74</t>
  </si>
  <si>
    <t>Rubbish crane buckets</t>
  </si>
  <si>
    <t>TE_30_10_50_88</t>
  </si>
  <si>
    <t>Tipping buckets</t>
  </si>
  <si>
    <t>TE_30_10_50_89</t>
  </si>
  <si>
    <t>Tower crane track</t>
  </si>
  <si>
    <t>TE_30_30</t>
  </si>
  <si>
    <t>Lifts, hoists and winches</t>
  </si>
  <si>
    <t>TE_30_30_10</t>
  </si>
  <si>
    <t>Construction lifts</t>
  </si>
  <si>
    <t>TE_30_30_10_10</t>
  </si>
  <si>
    <t>Lift bottom and landing gates</t>
  </si>
  <si>
    <t>TE_30_30_10_40</t>
  </si>
  <si>
    <t>Lift cages</t>
  </si>
  <si>
    <t>TE_30_30_10_50</t>
  </si>
  <si>
    <t>Lifting mechanisms</t>
  </si>
  <si>
    <t>TE_30_30_10_60</t>
  </si>
  <si>
    <t>Lift platforms</t>
  </si>
  <si>
    <t>TE_30_30_10_80</t>
  </si>
  <si>
    <t>Lift safety limiters</t>
  </si>
  <si>
    <t>TE_30_30_40</t>
  </si>
  <si>
    <t>Hoists</t>
  </si>
  <si>
    <t>TE_30_30_40_10</t>
  </si>
  <si>
    <t>Lorry loaders</t>
  </si>
  <si>
    <t>TE_30_30_40_40</t>
  </si>
  <si>
    <t>Mobile hoists</t>
  </si>
  <si>
    <t>TE_30_30_40_60</t>
  </si>
  <si>
    <t>Rack and pinion dual use hoists</t>
  </si>
  <si>
    <t>TE_30_30_40_70</t>
  </si>
  <si>
    <t>Rack and pinion single use hoists</t>
  </si>
  <si>
    <t>TE_30_30_40_80</t>
  </si>
  <si>
    <t>Scaffold hoists</t>
  </si>
  <si>
    <t>TE_30_30_60</t>
  </si>
  <si>
    <t>Lifting platforms</t>
  </si>
  <si>
    <t>TE_30_30_60_40</t>
  </si>
  <si>
    <t>Portable platforms</t>
  </si>
  <si>
    <t>TE_30_30_60_50</t>
  </si>
  <si>
    <t>Self-propelled platforms</t>
  </si>
  <si>
    <t>TE_30_30_60_60</t>
  </si>
  <si>
    <t>Scissor lifts</t>
  </si>
  <si>
    <t>TE_30_30_60_70</t>
  </si>
  <si>
    <t>Telescopic platforms</t>
  </si>
  <si>
    <t>TE_30_30_60_80</t>
  </si>
  <si>
    <t>Trailer mounted platforms</t>
  </si>
  <si>
    <t>TE_30_30_60_90</t>
  </si>
  <si>
    <t>Vehicle mounted platforms</t>
  </si>
  <si>
    <t>TE_30_30_80</t>
  </si>
  <si>
    <t>Lifting trucks</t>
  </si>
  <si>
    <t>TE_30_30_80_30</t>
  </si>
  <si>
    <t>Lift trucks</t>
  </si>
  <si>
    <t>TE_30_30_80_50</t>
  </si>
  <si>
    <t>Manual lift trucks</t>
  </si>
  <si>
    <t>TE_30_30_80_70</t>
  </si>
  <si>
    <t>Portal lift trucks</t>
  </si>
  <si>
    <t>TE_30_30_90</t>
  </si>
  <si>
    <t>Winches</t>
  </si>
  <si>
    <t>TE_30_30_90_10</t>
  </si>
  <si>
    <t>Double drum friction winches</t>
  </si>
  <si>
    <t>TE_30_30_90_70</t>
  </si>
  <si>
    <t>Single drum winches</t>
  </si>
  <si>
    <t>TE_30_50</t>
  </si>
  <si>
    <t>Conveying equipment</t>
  </si>
  <si>
    <t>TE_30_50_10</t>
  </si>
  <si>
    <t>TE_30_50_10_03</t>
  </si>
  <si>
    <t>Apron conveyors</t>
  </si>
  <si>
    <t>TE_30_50_10_05</t>
  </si>
  <si>
    <t>Auger conveyors</t>
  </si>
  <si>
    <t>TE_30_50_10_10</t>
  </si>
  <si>
    <t>Bucket conveyors</t>
  </si>
  <si>
    <t>TE_30_50_10_15</t>
  </si>
  <si>
    <t>Conveyor belts</t>
  </si>
  <si>
    <t>TE_30_50_10_29</t>
  </si>
  <si>
    <t>Factory conveyors</t>
  </si>
  <si>
    <t>TE_30_50_10_47</t>
  </si>
  <si>
    <t>Link conveyors</t>
  </si>
  <si>
    <t>TE_30_50_10_85</t>
  </si>
  <si>
    <t>Steep incline conveyors</t>
  </si>
  <si>
    <t>TE_30_50_10_94</t>
  </si>
  <si>
    <t>Vibrators for material conveying</t>
  </si>
  <si>
    <t>TE_30_50_10_96</t>
  </si>
  <si>
    <t>Weighing conveyors</t>
  </si>
  <si>
    <t>TE_30_50_20</t>
  </si>
  <si>
    <t>Bucket railways</t>
  </si>
  <si>
    <t>TE_30_70</t>
  </si>
  <si>
    <t>Lifting and jacking gear</t>
  </si>
  <si>
    <t>TE_30_70_10</t>
  </si>
  <si>
    <t>Pipe winches</t>
  </si>
  <si>
    <t>TE_30_70_10_33</t>
  </si>
  <si>
    <t>Gantry pipe winches</t>
  </si>
  <si>
    <t>TE_30_70_10_78</t>
  </si>
  <si>
    <t>Shear legs pipe winches</t>
  </si>
  <si>
    <t>TE_30_70_40</t>
  </si>
  <si>
    <t>Jacks</t>
  </si>
  <si>
    <t>TE_30_70_40_11</t>
  </si>
  <si>
    <t>Cable drum jacks</t>
  </si>
  <si>
    <t>TE_30_70_40_39</t>
  </si>
  <si>
    <t>Hydraulic jacks</t>
  </si>
  <si>
    <t>TE_30_70_40_60</t>
  </si>
  <si>
    <t>Pallet jacks</t>
  </si>
  <si>
    <t>TE_30_70_40_70</t>
  </si>
  <si>
    <t>Ratchet jacks</t>
  </si>
  <si>
    <t>TE_30_70_50</t>
  </si>
  <si>
    <t>TE_30_70_50_12</t>
  </si>
  <si>
    <t>Chain blocks</t>
  </si>
  <si>
    <t>TE_30_70_50_14</t>
  </si>
  <si>
    <t>Lifting chains</t>
  </si>
  <si>
    <t>TE_30_70_50_45</t>
  </si>
  <si>
    <t>Lifting levers</t>
  </si>
  <si>
    <t>TE_30_70_50_60</t>
  </si>
  <si>
    <t>Pull lifts</t>
  </si>
  <si>
    <t>TE_30_70_50_70</t>
  </si>
  <si>
    <t>Lifting ropes</t>
  </si>
  <si>
    <t>TE_30_70_50_80</t>
  </si>
  <si>
    <t>Slings and brothers</t>
  </si>
  <si>
    <t>TE_30_70_50_95</t>
  </si>
  <si>
    <t>Lifting wires</t>
  </si>
  <si>
    <t>TE_40</t>
  </si>
  <si>
    <t>Construction vehicles</t>
  </si>
  <si>
    <t>TE_40_10</t>
  </si>
  <si>
    <t>Lorries and trucks</t>
  </si>
  <si>
    <t>TE_40_10_10</t>
  </si>
  <si>
    <t>Dumper trucks</t>
  </si>
  <si>
    <t>TE_40_10_10_04</t>
  </si>
  <si>
    <t>Articulated dumpers</t>
  </si>
  <si>
    <t>TE_40_10_10_71</t>
  </si>
  <si>
    <t>Rigid dumpers</t>
  </si>
  <si>
    <t>TE_40_10_50</t>
  </si>
  <si>
    <t>Lorries</t>
  </si>
  <si>
    <t>TE_40_10_50_04</t>
  </si>
  <si>
    <t>Articulated lorries</t>
  </si>
  <si>
    <t>TE_40_10_50_30</t>
  </si>
  <si>
    <t>Fixed body lorries</t>
  </si>
  <si>
    <t>TE_40_10_50_36</t>
  </si>
  <si>
    <t>Haulers</t>
  </si>
  <si>
    <t>TE_40_10_50_63</t>
  </si>
  <si>
    <t>Pick-up trucks</t>
  </si>
  <si>
    <t>TE_40_10_70</t>
  </si>
  <si>
    <t>Tipper lorries</t>
  </si>
  <si>
    <t>TE_40_10_70_31</t>
  </si>
  <si>
    <t>Front tippers</t>
  </si>
  <si>
    <t>TE_40_10_70_34</t>
  </si>
  <si>
    <t>Gravity tippers</t>
  </si>
  <si>
    <t>TE_40_10_70_39</t>
  </si>
  <si>
    <t>Hydraulic tippers</t>
  </si>
  <si>
    <t>TE_40_10_70_55</t>
  </si>
  <si>
    <t>Multi-bucket tippers</t>
  </si>
  <si>
    <t>TE_40_10_70_71</t>
  </si>
  <si>
    <t>Rear tippers</t>
  </si>
  <si>
    <t>TE_40_10_70_73</t>
  </si>
  <si>
    <t>Rolling tippers</t>
  </si>
  <si>
    <t>TE_40_10_70_78</t>
  </si>
  <si>
    <t>Side tippers</t>
  </si>
  <si>
    <t>TE_40_10_70_88</t>
  </si>
  <si>
    <t>Three way tippers</t>
  </si>
  <si>
    <t>TE_40_30</t>
  </si>
  <si>
    <t>Tractors and equipment</t>
  </si>
  <si>
    <t>TE_40_30_10</t>
  </si>
  <si>
    <t>Tractors</t>
  </si>
  <si>
    <t>TE_40_30_10_03</t>
  </si>
  <si>
    <t>Agricultural-type tractors</t>
  </si>
  <si>
    <t>TE_40_30_10_87</t>
  </si>
  <si>
    <t>Tractors with angle dozer</t>
  </si>
  <si>
    <t>TE_40_30_10_88</t>
  </si>
  <si>
    <t>Tractors with bull dozer</t>
  </si>
  <si>
    <t>TE_40_30_10_89</t>
  </si>
  <si>
    <t>Tractors with dozer and ripper attachment</t>
  </si>
  <si>
    <t>TE_40_30_30</t>
  </si>
  <si>
    <t>Tractor equipment</t>
  </si>
  <si>
    <t>TE_40_30_30_30</t>
  </si>
  <si>
    <t>Four-in-one attachments</t>
  </si>
  <si>
    <t>TE_40_30_70</t>
  </si>
  <si>
    <t>Vehicle superstructures and trailers</t>
  </si>
  <si>
    <t>TE_40_30_70_37</t>
  </si>
  <si>
    <t>Heavy duty trailers</t>
  </si>
  <si>
    <t>TE_40_30_70_47</t>
  </si>
  <si>
    <t>Low loaders</t>
  </si>
  <si>
    <t>TE_40_30_70_78</t>
  </si>
  <si>
    <t>Semi-trailers</t>
  </si>
  <si>
    <t>TE_40_30_70_79</t>
  </si>
  <si>
    <t>Silo vehicles</t>
  </si>
  <si>
    <t>TE_40_30_70_88</t>
  </si>
  <si>
    <t>Tipping trailers</t>
  </si>
  <si>
    <t>TE_40_30_80</t>
  </si>
  <si>
    <t>Vehicle equipment</t>
  </si>
  <si>
    <t>TE_40_30_80_79</t>
  </si>
  <si>
    <t>Shuttle trains</t>
  </si>
  <si>
    <t>TE_40_30_80_88</t>
  </si>
  <si>
    <t>Tipper chassis</t>
  </si>
  <si>
    <t>TE_40_30_80_90</t>
  </si>
  <si>
    <t>Truck chassis for vehicle superstructures</t>
  </si>
  <si>
    <t>TE_40_30_80_91</t>
  </si>
  <si>
    <t>Turntable skips</t>
  </si>
  <si>
    <t>TE_40_50</t>
  </si>
  <si>
    <t>Service vehicles</t>
  </si>
  <si>
    <t>TE_40_50_50</t>
  </si>
  <si>
    <t>Water supply vehicles and equipment</t>
  </si>
  <si>
    <t>TE_40_50_50_77</t>
  </si>
  <si>
    <t>Self-propelled water tankers</t>
  </si>
  <si>
    <t>TE_40_50_50_96</t>
  </si>
  <si>
    <t>Water storage tank trailers</t>
  </si>
  <si>
    <t>TE_40_50_60</t>
  </si>
  <si>
    <t>Fuel supply vehicles and equipment</t>
  </si>
  <si>
    <t>TE_40_50_60_32</t>
  </si>
  <si>
    <t>Fuel storage tank trailers</t>
  </si>
  <si>
    <t>TE_40_50_60_77</t>
  </si>
  <si>
    <t>Self-propelled fuel tankers</t>
  </si>
  <si>
    <t>TE_40_70</t>
  </si>
  <si>
    <t>Excavators, loaders and dredgers</t>
  </si>
  <si>
    <t>TE_40_70_10</t>
  </si>
  <si>
    <t>Dozers and graders</t>
  </si>
  <si>
    <t>TE_40_70_10_03</t>
  </si>
  <si>
    <t>Angling dozers</t>
  </si>
  <si>
    <t>TE_40_70_10_18</t>
  </si>
  <si>
    <t>Crawler dozers</t>
  </si>
  <si>
    <t>TE_40_70_10_52</t>
  </si>
  <si>
    <t>Motor graders</t>
  </si>
  <si>
    <t>TE_40_70_10_73</t>
  </si>
  <si>
    <t>Road graders</t>
  </si>
  <si>
    <t>TE_40_70_10_85</t>
  </si>
  <si>
    <t>Straight dozers</t>
  </si>
  <si>
    <t>TE_40_70_10_90</t>
  </si>
  <si>
    <t>Tracked dozers</t>
  </si>
  <si>
    <t>TE_40_70_10_96</t>
  </si>
  <si>
    <t>Wheeled dozers</t>
  </si>
  <si>
    <t>TE_40_70_20</t>
  </si>
  <si>
    <t>Dredging boats and equipment</t>
  </si>
  <si>
    <t>TE_40_70_20_04</t>
  </si>
  <si>
    <t>Armoured pumps</t>
  </si>
  <si>
    <t>TE_40_70_20_09</t>
  </si>
  <si>
    <t>Bucket chain dredgers</t>
  </si>
  <si>
    <t>TE_40_70_20_10</t>
  </si>
  <si>
    <t>Backhoe dredgers</t>
  </si>
  <si>
    <t>TE_40_70_20_19</t>
  </si>
  <si>
    <t>Cutter dredgers</t>
  </si>
  <si>
    <t>TE_40_70_20_34</t>
  </si>
  <si>
    <t>Grab-type dredgers</t>
  </si>
  <si>
    <t>TE_40_70_20_84</t>
  </si>
  <si>
    <t>Suction dredgers</t>
  </si>
  <si>
    <t>TE_40_70_30</t>
  </si>
  <si>
    <t>Excavators</t>
  </si>
  <si>
    <t>TE_40_70_30_07</t>
  </si>
  <si>
    <t>Boom-type trenching machines</t>
  </si>
  <si>
    <t>TE_40_70_30_09</t>
  </si>
  <si>
    <t>Bucket trenchers</t>
  </si>
  <si>
    <t>TE_40_70_30_10</t>
  </si>
  <si>
    <t>Bucket wheel excavators</t>
  </si>
  <si>
    <t>TE_40_70_30_11</t>
  </si>
  <si>
    <t>Cable mobile excavators</t>
  </si>
  <si>
    <t>TE_40_70_30_12</t>
  </si>
  <si>
    <t>Cable track excavators</t>
  </si>
  <si>
    <t>TE_40_70_30_32</t>
  </si>
  <si>
    <t>Full circle slew excavators</t>
  </si>
  <si>
    <t>TE_40_70_30_36</t>
  </si>
  <si>
    <t>Highway trenchers</t>
  </si>
  <si>
    <t>TE_40_70_30_38</t>
  </si>
  <si>
    <t>Hydraulic mobile excavators</t>
  </si>
  <si>
    <t>TE_40_70_30_39</t>
  </si>
  <si>
    <t>Hydraulic track-laying excavators</t>
  </si>
  <si>
    <t>TE_40_70_30_52</t>
  </si>
  <si>
    <t>Mini excavators</t>
  </si>
  <si>
    <t>TE_40_70_30_64</t>
  </si>
  <si>
    <t>Pipe layers</t>
  </si>
  <si>
    <t>TE_40_70_30_72</t>
  </si>
  <si>
    <t>Rope operated excavators</t>
  </si>
  <si>
    <t>TE_40_70_30_88</t>
  </si>
  <si>
    <t>Telescopic excavators</t>
  </si>
  <si>
    <t>TE_40_70_40</t>
  </si>
  <si>
    <t>Loaders</t>
  </si>
  <si>
    <t>TE_40_70_40_07</t>
  </si>
  <si>
    <t>Backhoe loaders</t>
  </si>
  <si>
    <t>TE_40_70_40_18</t>
  </si>
  <si>
    <t>Crawler loaders</t>
  </si>
  <si>
    <t>TE_40_70_40_22</t>
  </si>
  <si>
    <t>Digging arm loaders</t>
  </si>
  <si>
    <t>TE_40_70_40_79</t>
  </si>
  <si>
    <t>Skid steer loaders</t>
  </si>
  <si>
    <t>TE_40_70_40_90</t>
  </si>
  <si>
    <t>Track laying loaders</t>
  </si>
  <si>
    <t>TE_40_70_40_97</t>
  </si>
  <si>
    <t>Wheel loaders</t>
  </si>
  <si>
    <t>TE_40_70_50</t>
  </si>
  <si>
    <t>Scrapers</t>
  </si>
  <si>
    <t>TE_40_70_50_24</t>
  </si>
  <si>
    <t>Drag scrapers</t>
  </si>
  <si>
    <t>TE_40_70_50_27</t>
  </si>
  <si>
    <t>Elevating scrapers</t>
  </si>
  <si>
    <t>TE_40_70_50_30</t>
  </si>
  <si>
    <t>Four wheeled scrapers</t>
  </si>
  <si>
    <t>TE_40_70_50_52</t>
  </si>
  <si>
    <t>Motorized scrapers</t>
  </si>
  <si>
    <t>TE_40_70_50_53</t>
  </si>
  <si>
    <t>Motorized elevating scrapers</t>
  </si>
  <si>
    <t>TE_40_70_50_90</t>
  </si>
  <si>
    <t>Track laying scrapers</t>
  </si>
  <si>
    <t>TE_40_70_90</t>
  </si>
  <si>
    <t>Attachments for excavators, loaders, dozers and scrapers</t>
  </si>
  <si>
    <t>TE_40_70_90_06</t>
  </si>
  <si>
    <t>Backactors</t>
  </si>
  <si>
    <t>TE_40_70_90_24</t>
  </si>
  <si>
    <t>Draglines</t>
  </si>
  <si>
    <t>TE_40_70_90_28</t>
  </si>
  <si>
    <t>Excavator mats</t>
  </si>
  <si>
    <t>TE_40_70_90_29</t>
  </si>
  <si>
    <t>Face shovels</t>
  </si>
  <si>
    <t>TE_40_70_90_37</t>
  </si>
  <si>
    <t>Hinge-type rippers</t>
  </si>
  <si>
    <t>TE_40_70_90_60</t>
  </si>
  <si>
    <t>Parallelogram-type rippers</t>
  </si>
  <si>
    <t>TE_40_70_90_63</t>
  </si>
  <si>
    <t>Percussion breakers</t>
  </si>
  <si>
    <t>TE_40_70_90_90</t>
  </si>
  <si>
    <t>Trenchers</t>
  </si>
  <si>
    <t>TE_40_70_90_94</t>
  </si>
  <si>
    <t>Variable geometry rippers</t>
  </si>
  <si>
    <t>TE_50</t>
  </si>
  <si>
    <t>Tunnelling, drilling and compaction equipment</t>
  </si>
  <si>
    <t>TE_50_10</t>
  </si>
  <si>
    <t>Tunnelling and shaft machines</t>
  </si>
  <si>
    <t>TE_50_10_10</t>
  </si>
  <si>
    <t>Blasting equipment</t>
  </si>
  <si>
    <t>TE_50_10_10_23</t>
  </si>
  <si>
    <t>Detonators</t>
  </si>
  <si>
    <t>TE_50_10_10_28</t>
  </si>
  <si>
    <t>Explosives</t>
  </si>
  <si>
    <t>TE_50_10_20</t>
  </si>
  <si>
    <t>Cutting machines</t>
  </si>
  <si>
    <t>TE_50_10_20_60</t>
  </si>
  <si>
    <t>Partial cutting machines</t>
  </si>
  <si>
    <t>TE_50_10_20_88</t>
  </si>
  <si>
    <t>Thrust boring equipment</t>
  </si>
  <si>
    <t>TE_50_10_30</t>
  </si>
  <si>
    <t>Drilling vehicles</t>
  </si>
  <si>
    <t>TE_50_10_40</t>
  </si>
  <si>
    <t>Explosives vehicles</t>
  </si>
  <si>
    <t>TE_50_10_70</t>
  </si>
  <si>
    <t>Rough press equipment</t>
  </si>
  <si>
    <t>TE_50_10_80</t>
  </si>
  <si>
    <t>Shields</t>
  </si>
  <si>
    <t>TE_50_10_80_20</t>
  </si>
  <si>
    <t>Cutter shields</t>
  </si>
  <si>
    <t>TE_50_10_80_91</t>
  </si>
  <si>
    <t>Tunnel shields</t>
  </si>
  <si>
    <t>TE_50_20</t>
  </si>
  <si>
    <t>Drilling, piling and canal trimming equipment</t>
  </si>
  <si>
    <t>TE_50_20_10</t>
  </si>
  <si>
    <t>Drilling machines and plant</t>
  </si>
  <si>
    <t>TE_50_20_10_15</t>
  </si>
  <si>
    <t>Core cutting machines</t>
  </si>
  <si>
    <t>TE_50_20_10_36</t>
  </si>
  <si>
    <t>Hammer-action drills</t>
  </si>
  <si>
    <t>TE_50_20_10_63</t>
  </si>
  <si>
    <t>Pile drilling machines</t>
  </si>
  <si>
    <t>TE_50_20_10_65</t>
  </si>
  <si>
    <t>Post and mast hole drilling machines</t>
  </si>
  <si>
    <t>TE_50_20_10_66</t>
  </si>
  <si>
    <t>Pressure drilling machines</t>
  </si>
  <si>
    <t>TE_50_20_10_80</t>
  </si>
  <si>
    <t>Soil exploration drilling machines</t>
  </si>
  <si>
    <t>TE_50_20_10_86</t>
  </si>
  <si>
    <t>Suction drilling systems</t>
  </si>
  <si>
    <t>TE_50_20_10_97</t>
  </si>
  <si>
    <t>Well drilling systems</t>
  </si>
  <si>
    <t>TE_50_20_20</t>
  </si>
  <si>
    <t>Pile drivers and pulling tools</t>
  </si>
  <si>
    <t>TE_50_20_20_21</t>
  </si>
  <si>
    <t>Diesel hammers</t>
  </si>
  <si>
    <t>TE_50_20_20_22</t>
  </si>
  <si>
    <t>Double-acting piling hammers</t>
  </si>
  <si>
    <t>TE_50_20_20_23</t>
  </si>
  <si>
    <t>Drop hammers</t>
  </si>
  <si>
    <t>TE_50_20_20_28</t>
  </si>
  <si>
    <t>Extractors</t>
  </si>
  <si>
    <t>TE_50_20_20_42</t>
  </si>
  <si>
    <t>Impulse hammers</t>
  </si>
  <si>
    <t>TE_50_20_20_43</t>
  </si>
  <si>
    <t>Internal drop hammers</t>
  </si>
  <si>
    <t>TE_50_20_20_94</t>
  </si>
  <si>
    <t>Vibrating extractors</t>
  </si>
  <si>
    <t>TE_50_20_20_95</t>
  </si>
  <si>
    <t>Vibrating hammers</t>
  </si>
  <si>
    <t>TE_50_20_30</t>
  </si>
  <si>
    <t>Auger piling plant</t>
  </si>
  <si>
    <t>TE_50_20_30_15</t>
  </si>
  <si>
    <t>Continuous flight augers</t>
  </si>
  <si>
    <t>TE_50_20_30_23</t>
  </si>
  <si>
    <t>Displacement augers</t>
  </si>
  <si>
    <t>TE_50_20_40</t>
  </si>
  <si>
    <t>Piling accessories</t>
  </si>
  <si>
    <t>TE_50_20_40_23</t>
  </si>
  <si>
    <t>Dollies</t>
  </si>
  <si>
    <t>TE_50_20_40_36</t>
  </si>
  <si>
    <t>Hanging leaders</t>
  </si>
  <si>
    <t>TE_50_20_40_64</t>
  </si>
  <si>
    <t>Pile helmets</t>
  </si>
  <si>
    <t>TE_50_20_60</t>
  </si>
  <si>
    <t>Canal sheeting equipment</t>
  </si>
  <si>
    <t>TE_50_20_60_02</t>
  </si>
  <si>
    <t>Adjustable steel trench struts</t>
  </si>
  <si>
    <t>TE_50_20_60_11</t>
  </si>
  <si>
    <t>Canal sheeting</t>
  </si>
  <si>
    <t>TE_50_20_60_12</t>
  </si>
  <si>
    <t>Canal shoring</t>
  </si>
  <si>
    <t>TE_50_20_60_80</t>
  </si>
  <si>
    <t>Sliding-blade sheeting</t>
  </si>
  <si>
    <t>TE_50_20_60_85</t>
  </si>
  <si>
    <t>Steel trench sheets</t>
  </si>
  <si>
    <t>TE_50_20_60_90</t>
  </si>
  <si>
    <t>Trench ring lifters</t>
  </si>
  <si>
    <t>TE_50_20_60_91</t>
  </si>
  <si>
    <t>Trench struts and sheets</t>
  </si>
  <si>
    <t>TE_50_30</t>
  </si>
  <si>
    <t>Compaction equipment</t>
  </si>
  <si>
    <t>TE_50_30_10</t>
  </si>
  <si>
    <t>Rollers</t>
  </si>
  <si>
    <t>TE_50_30_10_15</t>
  </si>
  <si>
    <t>Combination vibration rollers</t>
  </si>
  <si>
    <t>TE_50_30_10_23</t>
  </si>
  <si>
    <t>Double vibrating rollers</t>
  </si>
  <si>
    <t>TE_50_30_10_60</t>
  </si>
  <si>
    <t>Pavement rollers</t>
  </si>
  <si>
    <t>TE_50_30_10_65</t>
  </si>
  <si>
    <t>Pneumatic tyre rollers</t>
  </si>
  <si>
    <t>TE_50_30_10_72</t>
  </si>
  <si>
    <t>Roller trains</t>
  </si>
  <si>
    <t>TE_50_30_10_77</t>
  </si>
  <si>
    <t>Sheepsfoot rollers</t>
  </si>
  <si>
    <t>TE_50_30_10_79</t>
  </si>
  <si>
    <t>Single rollers</t>
  </si>
  <si>
    <t>TE_50_30_10_85</t>
  </si>
  <si>
    <t>Static three-wheeled and tandem rollers</t>
  </si>
  <si>
    <t>TE_50_30_10_87</t>
  </si>
  <si>
    <t>Tandem vibrating rollers</t>
  </si>
  <si>
    <t>TE_50_30_10_89</t>
  </si>
  <si>
    <t>Trailer vibration rollers</t>
  </si>
  <si>
    <t>TE_50_30_10_91</t>
  </si>
  <si>
    <t>Twin rollers with seat and steering wheel</t>
  </si>
  <si>
    <t>TE_50_30_40</t>
  </si>
  <si>
    <t>Rammers</t>
  </si>
  <si>
    <t>TE_50_30_40_44</t>
  </si>
  <si>
    <t>Jumping rammers</t>
  </si>
  <si>
    <t>TE_50_30_40_94</t>
  </si>
  <si>
    <t>Vibration rammers</t>
  </si>
  <si>
    <t>TE_50_30_60</t>
  </si>
  <si>
    <t>Soil compactors</t>
  </si>
  <si>
    <t>TE_50_30_60_77</t>
  </si>
  <si>
    <t>Sheepsfoot compactors</t>
  </si>
  <si>
    <t>TE_50_40</t>
  </si>
  <si>
    <t>Road construction equipment</t>
  </si>
  <si>
    <t>TE_50_40_10</t>
  </si>
  <si>
    <t>Soil stabilization machines</t>
  </si>
  <si>
    <t>TE_50_40_20</t>
  </si>
  <si>
    <t>Concrete road finishers and spreaders</t>
  </si>
  <si>
    <t>TE_50_40_30</t>
  </si>
  <si>
    <t>Asphalt, mastic and tar preparation equipment</t>
  </si>
  <si>
    <t>TE_50_40_30_04</t>
  </si>
  <si>
    <t>Asphalt road finishers</t>
  </si>
  <si>
    <t>TE_50_40_30_37</t>
  </si>
  <si>
    <t>Heatable bitumen storage tanks</t>
  </si>
  <si>
    <t>TE_50_40_30_50</t>
  </si>
  <si>
    <t>Mastic finishers</t>
  </si>
  <si>
    <t>TE_50_40_30_87</t>
  </si>
  <si>
    <t>Tar and mastic heaters</t>
  </si>
  <si>
    <t>TE_50_40_30_88</t>
  </si>
  <si>
    <t>Tar sprayers</t>
  </si>
  <si>
    <t>TE_50_40_40</t>
  </si>
  <si>
    <t>Spreaders</t>
  </si>
  <si>
    <t>TE_50_40_40_04</t>
  </si>
  <si>
    <t>Asphalt spreaders</t>
  </si>
  <si>
    <t>TE_50_40_40_15</t>
  </si>
  <si>
    <t>Coated asphalt spreaders</t>
  </si>
  <si>
    <t>TE_50_40_40_80</t>
  </si>
  <si>
    <t>Spreaders for soil stabilization</t>
  </si>
  <si>
    <t>TE_50_40_40_85</t>
  </si>
  <si>
    <t>Stone spreaders</t>
  </si>
  <si>
    <t>TE_50_40_50</t>
  </si>
  <si>
    <t>Joint cutters</t>
  </si>
  <si>
    <t>TE_50_40_50_44</t>
  </si>
  <si>
    <t>Joint formers</t>
  </si>
  <si>
    <t>TE_50_40_50_45</t>
  </si>
  <si>
    <t>Joint matchers</t>
  </si>
  <si>
    <t>TE_50_40_60</t>
  </si>
  <si>
    <t>Road milling cutters</t>
  </si>
  <si>
    <t>TE_50_40_70</t>
  </si>
  <si>
    <t>Road drying equipment</t>
  </si>
  <si>
    <t>TE_50_40_70_33</t>
  </si>
  <si>
    <t>Gas infra-red road drying equipment</t>
  </si>
  <si>
    <t>TE_50_40_80</t>
  </si>
  <si>
    <t>Paving stone laying machines</t>
  </si>
  <si>
    <t>TE_50_50</t>
  </si>
  <si>
    <t>Canal bank grading, compacting, concreting and asphalting machinery, canal bed cleaning machines</t>
  </si>
  <si>
    <t>TE_50_60</t>
  </si>
  <si>
    <t>Track-laying machines</t>
  </si>
  <si>
    <t>TE_50_70</t>
  </si>
  <si>
    <t>Machines for road repair and maintenance</t>
  </si>
  <si>
    <t>TE_50_70_10</t>
  </si>
  <si>
    <t>Asphalt pavement equipment</t>
  </si>
  <si>
    <t>TE_50_70_10_04</t>
  </si>
  <si>
    <t>Asphalt pavement recycling machines</t>
  </si>
  <si>
    <t>TE_50_70_10_05</t>
  </si>
  <si>
    <t>Asphalt pavement reshapers</t>
  </si>
  <si>
    <t>TE_50_70_10_15</t>
  </si>
  <si>
    <t>Cold planers</t>
  </si>
  <si>
    <t>TE_50_70_10_72</t>
  </si>
  <si>
    <t>Road surface rippers</t>
  </si>
  <si>
    <t>TE_50_70_20</t>
  </si>
  <si>
    <t>Joint cleaning and filling machines</t>
  </si>
  <si>
    <t>TE_50_70_30</t>
  </si>
  <si>
    <t>Repair kits</t>
  </si>
  <si>
    <t>TE_50_70_30_03</t>
  </si>
  <si>
    <t>Asphalt repair kits</t>
  </si>
  <si>
    <t>TE_50_70_30_65</t>
  </si>
  <si>
    <t>Pothole repair kits</t>
  </si>
  <si>
    <t>TE_50_70_40</t>
  </si>
  <si>
    <t>Stone and sand spreaders</t>
  </si>
  <si>
    <t>TE_50_70_50</t>
  </si>
  <si>
    <t>Road marking machines</t>
  </si>
  <si>
    <t>TE_50_70_60</t>
  </si>
  <si>
    <t>Sweeping machines</t>
  </si>
  <si>
    <t>TE_50_70_60_72</t>
  </si>
  <si>
    <t>Road sweepers with gully emptiers</t>
  </si>
  <si>
    <t>TE_50_70_60_77</t>
  </si>
  <si>
    <t>Self-propelled road cleaners</t>
  </si>
  <si>
    <t>TE_50_70_60_79</t>
  </si>
  <si>
    <t>Self-propelled road sweepers</t>
  </si>
  <si>
    <t>TE_50_70_70</t>
  </si>
  <si>
    <t>Slope mowing machines</t>
  </si>
  <si>
    <t>TE_50_70_80</t>
  </si>
  <si>
    <t>Scarifiers</t>
  </si>
  <si>
    <t>TE_60</t>
  </si>
  <si>
    <t>Concrete and stone production</t>
  </si>
  <si>
    <t>TE_60_10</t>
  </si>
  <si>
    <t>Complete plant</t>
  </si>
  <si>
    <t>TE_60_10_10</t>
  </si>
  <si>
    <t>Complete plant for the cement, lime, gypsum, trass and chalk industry</t>
  </si>
  <si>
    <t>TE_60_10_50</t>
  </si>
  <si>
    <t>Complete plant for the sand, clay, gravel and broken stone industry</t>
  </si>
  <si>
    <t>TE_60_20</t>
  </si>
  <si>
    <t>Breakers, crushers and mills</t>
  </si>
  <si>
    <t>TE_60_20_15</t>
  </si>
  <si>
    <t>Breakers and crushers</t>
  </si>
  <si>
    <t>TE_60_20_15_08</t>
  </si>
  <si>
    <t>Brick crushers</t>
  </si>
  <si>
    <t>TE_60_20_15_35</t>
  </si>
  <si>
    <t>Gyratory crushers</t>
  </si>
  <si>
    <t>TE_60_20_15_36</t>
  </si>
  <si>
    <t>Hammer crushers</t>
  </si>
  <si>
    <t>TE_60_20_15_42</t>
  </si>
  <si>
    <t>Impact-type crushers</t>
  </si>
  <si>
    <t>TE_60_20_15_72</t>
  </si>
  <si>
    <t>Roller crushers</t>
  </si>
  <si>
    <t>TE_60_20_15_84</t>
  </si>
  <si>
    <t>Stone breakers</t>
  </si>
  <si>
    <t>TE_60_20_80</t>
  </si>
  <si>
    <t>Grinding mills</t>
  </si>
  <si>
    <t>TE_60_20_80_36</t>
  </si>
  <si>
    <t>Hammer mills</t>
  </si>
  <si>
    <t>TE_60_20_80_42</t>
  </si>
  <si>
    <t>Impact mills</t>
  </si>
  <si>
    <t>TE_60_20_80_72</t>
  </si>
  <si>
    <t>Roller mills</t>
  </si>
  <si>
    <t>TE_60_20_80_91</t>
  </si>
  <si>
    <t>Tube mills</t>
  </si>
  <si>
    <t>TE_60_20_80_94</t>
  </si>
  <si>
    <t>Vibrating grinding mills</t>
  </si>
  <si>
    <t>TE_60_30</t>
  </si>
  <si>
    <t>Screening and sorting plant</t>
  </si>
  <si>
    <t>TE_60_30_80</t>
  </si>
  <si>
    <t>Vibrating screens</t>
  </si>
  <si>
    <t>TE_60_30_80_14</t>
  </si>
  <si>
    <t>Circular vibratory screens</t>
  </si>
  <si>
    <t>TE_60_30_80_26</t>
  </si>
  <si>
    <t>Eccentric vibratory screens</t>
  </si>
  <si>
    <t>TE_60_30_80_46</t>
  </si>
  <si>
    <t>Linear vibratory screens</t>
  </si>
  <si>
    <t>TE_60_40</t>
  </si>
  <si>
    <t>Cleaning and storage plant</t>
  </si>
  <si>
    <t>TE_60_40_05</t>
  </si>
  <si>
    <t>Aggregate washing machines</t>
  </si>
  <si>
    <t>TE_60_40_10</t>
  </si>
  <si>
    <t>Drying installations for stone and aggregates</t>
  </si>
  <si>
    <t>TE_60_40_20</t>
  </si>
  <si>
    <t>Dust extraction plant</t>
  </si>
  <si>
    <t>TE_60_40_30</t>
  </si>
  <si>
    <t>Recycling plant for construction debris</t>
  </si>
  <si>
    <t>TE_60_40_40</t>
  </si>
  <si>
    <t>TE_60_40_40_78</t>
  </si>
  <si>
    <t>Silos for aggregates</t>
  </si>
  <si>
    <t>TE_60_40_40_79</t>
  </si>
  <si>
    <t>Silos for cement</t>
  </si>
  <si>
    <t>TE_60_40_50</t>
  </si>
  <si>
    <t>Stackers and reclaimers</t>
  </si>
  <si>
    <t>TE_60_60</t>
  </si>
  <si>
    <t>Concrete plant and equipment</t>
  </si>
  <si>
    <t>TE_60_60_10</t>
  </si>
  <si>
    <t>Concrete and mortar mixers</t>
  </si>
  <si>
    <t>TE_60_60_10_13</t>
  </si>
  <si>
    <t>Closed drum mixers</t>
  </si>
  <si>
    <t>TE_60_60_10_15</t>
  </si>
  <si>
    <t>Concrete processing systems</t>
  </si>
  <si>
    <t>TE_60_60_10_16</t>
  </si>
  <si>
    <t>Concrete processing systems with horizontal aggregate feed</t>
  </si>
  <si>
    <t>TE_60_60_10_17</t>
  </si>
  <si>
    <t>Concrete processing systems with vertical aggregate feed</t>
  </si>
  <si>
    <t>TE_60_60_10_36</t>
  </si>
  <si>
    <t>Hand scrapers</t>
  </si>
  <si>
    <t>TE_60_60_10_51</t>
  </si>
  <si>
    <t>Metering and weighing equipment</t>
  </si>
  <si>
    <t>TE_60_60_10_58</t>
  </si>
  <si>
    <t>Open drum mixers with hopper</t>
  </si>
  <si>
    <t>TE_60_60_10_59</t>
  </si>
  <si>
    <t>Open drum mixers without hopper</t>
  </si>
  <si>
    <t>TE_60_60_10_71</t>
  </si>
  <si>
    <t>Reversing drum mixers with hopper, weigher and feed shovel</t>
  </si>
  <si>
    <t>TE_60_60_10_73</t>
  </si>
  <si>
    <t>Rotary mixers</t>
  </si>
  <si>
    <t>TE_60_60_10_88</t>
  </si>
  <si>
    <t>Tilting drum mixers</t>
  </si>
  <si>
    <t>TE_60_60_20</t>
  </si>
  <si>
    <t>Concrete and mortar transportation equipment</t>
  </si>
  <si>
    <t>TE_60_60_20_15</t>
  </si>
  <si>
    <t>Concrete agitators</t>
  </si>
  <si>
    <t>TE_60_60_20_16</t>
  </si>
  <si>
    <t>Concrete and mortar buckets</t>
  </si>
  <si>
    <t>TE_60_60_20_17</t>
  </si>
  <si>
    <t>Concrete pumps and equipment</t>
  </si>
  <si>
    <t>TE_60_60_20_18</t>
  </si>
  <si>
    <t>Concrete truck mixers</t>
  </si>
  <si>
    <t>TE_60_60_20_47</t>
  </si>
  <si>
    <t>Lorry-mounted concrete pumps with boom</t>
  </si>
  <si>
    <t>TE_60_60_20_53</t>
  </si>
  <si>
    <t>Mobile mixers</t>
  </si>
  <si>
    <t>TE_60_60_20_54</t>
  </si>
  <si>
    <t>Mortar pumps</t>
  </si>
  <si>
    <t>TE_60_60_20_76</t>
  </si>
  <si>
    <t>Screed pumps</t>
  </si>
  <si>
    <t>TE_60_60_30</t>
  </si>
  <si>
    <t>Attachments for concrete and mortar plant</t>
  </si>
  <si>
    <t>TE_60_60_30_02</t>
  </si>
  <si>
    <t>Aggregate feed aprons</t>
  </si>
  <si>
    <t>TE_60_60_30_65</t>
  </si>
  <si>
    <t>Power driven loading shovels</t>
  </si>
  <si>
    <t>TE_60_60_40</t>
  </si>
  <si>
    <t>Concrete piping</t>
  </si>
  <si>
    <t>TE_60_60_40_30</t>
  </si>
  <si>
    <t>Flexible distributor hose</t>
  </si>
  <si>
    <t>TE_60_60_40_53</t>
  </si>
  <si>
    <t>Mortar/screed pump hoses</t>
  </si>
  <si>
    <t>TE_60_60_40_64</t>
  </si>
  <si>
    <t>Pipe cleaning equipment</t>
  </si>
  <si>
    <t>TE_60_60_40_78</t>
  </si>
  <si>
    <t>Shut off pipe sections</t>
  </si>
  <si>
    <t>TE_60_60_50</t>
  </si>
  <si>
    <t>Batching plant</t>
  </si>
  <si>
    <t>TE_60_60_50_01</t>
  </si>
  <si>
    <t>Aerated silos</t>
  </si>
  <si>
    <t>TE_60_60_50_05</t>
  </si>
  <si>
    <t>Autofeed equipment</t>
  </si>
  <si>
    <t>TE_60_60_50_06</t>
  </si>
  <si>
    <t>Batch loaders</t>
  </si>
  <si>
    <t>TE_60_60_50_27</t>
  </si>
  <si>
    <t>Electronic weigh gear</t>
  </si>
  <si>
    <t>TE_60_60_50_39</t>
  </si>
  <si>
    <t>Hydraulic cement weigh gear</t>
  </si>
  <si>
    <t>TE_60_60_50_48</t>
  </si>
  <si>
    <t>Loading hoppers with weigh gear and loading shovel</t>
  </si>
  <si>
    <t>TE_60_60_50_76</t>
  </si>
  <si>
    <t>Screw discharge gear</t>
  </si>
  <si>
    <t>TE_60_60_60</t>
  </si>
  <si>
    <t>Concrete and mortar application equipment</t>
  </si>
  <si>
    <t>TE_60_60_60_16</t>
  </si>
  <si>
    <t>Concrete guns</t>
  </si>
  <si>
    <t>TE_60_60_60_17</t>
  </si>
  <si>
    <t>Concrete injectors</t>
  </si>
  <si>
    <t>TE_60_60_60_19</t>
  </si>
  <si>
    <t>Concrete spreaders</t>
  </si>
  <si>
    <t>TE_60_60_60_35</t>
  </si>
  <si>
    <t>Gunite equipment</t>
  </si>
  <si>
    <t>TE_60_60_60_71</t>
  </si>
  <si>
    <t>Rendering machines</t>
  </si>
  <si>
    <t>TE_60_60_70</t>
  </si>
  <si>
    <t>Concrete compaction and finishing equipment</t>
  </si>
  <si>
    <t>TE_60_60_70_15</t>
  </si>
  <si>
    <t>Concrete curing duvets</t>
  </si>
  <si>
    <t>TE_60_60_70_28</t>
  </si>
  <si>
    <t>External vibrators</t>
  </si>
  <si>
    <t>TE_60_60_70_41</t>
  </si>
  <si>
    <t>Immersion vibrators</t>
  </si>
  <si>
    <t>TE_60_60_70_64</t>
  </si>
  <si>
    <t>Power floats</t>
  </si>
  <si>
    <t>TE_60_60_70_65</t>
  </si>
  <si>
    <t>Power trowels</t>
  </si>
  <si>
    <t>TE_60_60_70_76</t>
  </si>
  <si>
    <t>Screed boards</t>
  </si>
  <si>
    <t>TE_60_60_70_85</t>
  </si>
  <si>
    <t>Surface vibrators</t>
  </si>
  <si>
    <t>TE_60_60_70_87</t>
  </si>
  <si>
    <t>Tamper vibrators</t>
  </si>
  <si>
    <t>TE_60_60_80</t>
  </si>
  <si>
    <t>Grouting equipment</t>
  </si>
  <si>
    <t>TE_60_60_80_02</t>
  </si>
  <si>
    <t>Agitating tanks for use with grout pumps</t>
  </si>
  <si>
    <t>TE_60_60_80_33</t>
  </si>
  <si>
    <t>Grout mixers</t>
  </si>
  <si>
    <t>TE_60_60_80_34</t>
  </si>
  <si>
    <t>Grouting machines with pump and hopper</t>
  </si>
  <si>
    <t>TE_60_60_80_35</t>
  </si>
  <si>
    <t>Grout pumps</t>
  </si>
  <si>
    <t>TE_60_60_80_73</t>
  </si>
  <si>
    <t>Roller type grout mixers</t>
  </si>
  <si>
    <t>TE_60_80</t>
  </si>
  <si>
    <t>Stone quarrying and tooling equipment</t>
  </si>
  <si>
    <t>TE_60_80_10</t>
  </si>
  <si>
    <t>Stone drilling machines</t>
  </si>
  <si>
    <t>TE_60_80_20</t>
  </si>
  <si>
    <t>Stone cleaving machines and equipment</t>
  </si>
  <si>
    <t>TE_60_80_30</t>
  </si>
  <si>
    <t>Stone sawing equipment</t>
  </si>
  <si>
    <t>TE_60_80_30_20</t>
  </si>
  <si>
    <t>Cutting-out saws</t>
  </si>
  <si>
    <t>TE_60_80_30_71</t>
  </si>
  <si>
    <t>Reciprocating sawing machines</t>
  </si>
  <si>
    <t>TE_60_80_40</t>
  </si>
  <si>
    <t>Abrasive cutting off machines</t>
  </si>
  <si>
    <t>TE_60_80_50</t>
  </si>
  <si>
    <t>Slab cutting machines and equipment</t>
  </si>
  <si>
    <t>TE_60_80_60</t>
  </si>
  <si>
    <t>Milling machines</t>
  </si>
  <si>
    <t>TE_60_80_70</t>
  </si>
  <si>
    <t>Sanding and polishing machines and lines</t>
  </si>
  <si>
    <t>TE_60_80_80</t>
  </si>
  <si>
    <t>Grouting machines for cast stone slabs</t>
  </si>
  <si>
    <t>TE_70</t>
  </si>
  <si>
    <t>Equipment and tools</t>
  </si>
  <si>
    <t>TE_70_10</t>
  </si>
  <si>
    <t>Site accommodation and temporary services</t>
  </si>
  <si>
    <t>TE_70_10_10</t>
  </si>
  <si>
    <t>Site accommodation and fittings</t>
  </si>
  <si>
    <t>TE_70_10_10_16</t>
  </si>
  <si>
    <t>Containers</t>
  </si>
  <si>
    <t>TE_70_10_10_51</t>
  </si>
  <si>
    <t>Mess room fittings</t>
  </si>
  <si>
    <t>TE_70_10_10_53</t>
  </si>
  <si>
    <t>Motor caravans</t>
  </si>
  <si>
    <t>TE_70_10_10_65</t>
  </si>
  <si>
    <t>Portable toilet units</t>
  </si>
  <si>
    <t>TE_70_10_10_78</t>
  </si>
  <si>
    <t>Site huts</t>
  </si>
  <si>
    <t>TE_70_10_10_80</t>
  </si>
  <si>
    <t>Site office fittings</t>
  </si>
  <si>
    <t>TE_70_10_10_84</t>
  </si>
  <si>
    <t>Static caravans</t>
  </si>
  <si>
    <t>TE_70_10_10_85</t>
  </si>
  <si>
    <t>Site store fittings</t>
  </si>
  <si>
    <t>TE_70_10_10_90</t>
  </si>
  <si>
    <t>Toilet vehicles and cabins</t>
  </si>
  <si>
    <t>TE_70_10_20</t>
  </si>
  <si>
    <t>Installations and equipment for winter construction</t>
  </si>
  <si>
    <t>TE_70_10_20_16</t>
  </si>
  <si>
    <t>Construction drying equipment</t>
  </si>
  <si>
    <t>TE_70_10_20_80</t>
  </si>
  <si>
    <t>Space heaters</t>
  </si>
  <si>
    <t>TE_70_10_20_96</t>
  </si>
  <si>
    <t>Watchman's heaters</t>
  </si>
  <si>
    <t>TE_70_10_20_97</t>
  </si>
  <si>
    <t>TE_70_10_30</t>
  </si>
  <si>
    <t>Site lighting equipment</t>
  </si>
  <si>
    <t>TE_70_10_30_64</t>
  </si>
  <si>
    <t>Portable floodlights</t>
  </si>
  <si>
    <t>TE_70_10_30_85</t>
  </si>
  <si>
    <t>Storm lamps</t>
  </si>
  <si>
    <t>TE_70_10_30_96</t>
  </si>
  <si>
    <t>Warning lamps</t>
  </si>
  <si>
    <t>TE_70_10_30_97</t>
  </si>
  <si>
    <t>Watchman's lamps</t>
  </si>
  <si>
    <t>TE_70_10_40</t>
  </si>
  <si>
    <t>Site electrical equipment</t>
  </si>
  <si>
    <t>TE_70_10_40_12</t>
  </si>
  <si>
    <t>Cable laying machines and equipment</t>
  </si>
  <si>
    <t>TE_70_10_40_14</t>
  </si>
  <si>
    <t>Cable stringing rollers</t>
  </si>
  <si>
    <t>TE_70_10_40_79</t>
  </si>
  <si>
    <t>Site electrical distributors</t>
  </si>
  <si>
    <t>TE_70_10_50</t>
  </si>
  <si>
    <t>Power generating units</t>
  </si>
  <si>
    <t>TE_70_10_50_50</t>
  </si>
  <si>
    <t>Mobile power generating units</t>
  </si>
  <si>
    <t>TE_70_10_50_85</t>
  </si>
  <si>
    <t>Stationary power generating units</t>
  </si>
  <si>
    <t>TE_70_10_60</t>
  </si>
  <si>
    <t>Frequency and voltage transformers</t>
  </si>
  <si>
    <t>TE_70_10_70</t>
  </si>
  <si>
    <t>Drainage equipment</t>
  </si>
  <si>
    <t>TE_70_10_70_24</t>
  </si>
  <si>
    <t>Drainage rods</t>
  </si>
  <si>
    <t>TE_70_10_70_28</t>
  </si>
  <si>
    <t>Expanding drain stoppers</t>
  </si>
  <si>
    <t>TE_70_10_80</t>
  </si>
  <si>
    <t>Rubbish collection and disposal equipment</t>
  </si>
  <si>
    <t>TE_70_10_80_74</t>
  </si>
  <si>
    <t>Rubbish chutes</t>
  </si>
  <si>
    <t>TE_70_10_80_79</t>
  </si>
  <si>
    <t>Skips</t>
  </si>
  <si>
    <t>TE_70_10_90</t>
  </si>
  <si>
    <t>Site ventilation and air conditioning equipment</t>
  </si>
  <si>
    <t>TE_70_10_90_22</t>
  </si>
  <si>
    <t>Portable dehumidifiers</t>
  </si>
  <si>
    <t>TE_70_10_90_32</t>
  </si>
  <si>
    <t>Portable fans</t>
  </si>
  <si>
    <t>TE_70_20</t>
  </si>
  <si>
    <t>Site equipment</t>
  </si>
  <si>
    <t>TE_70_20_10</t>
  </si>
  <si>
    <t>Welding equipment</t>
  </si>
  <si>
    <t>TE_70_20_10_22</t>
  </si>
  <si>
    <t>Diesel welding sets</t>
  </si>
  <si>
    <t>TE_70_20_10_37</t>
  </si>
  <si>
    <t>Head screens</t>
  </si>
  <si>
    <t>TE_70_20_10_59</t>
  </si>
  <si>
    <t>Oxy-acetylene cutting and welding sets</t>
  </si>
  <si>
    <t>TE_70_20_10_70</t>
  </si>
  <si>
    <t>Rail welding cooling pump units</t>
  </si>
  <si>
    <t>TE_70_20_10_88</t>
  </si>
  <si>
    <t>Thermic boring equipment</t>
  </si>
  <si>
    <t>TE_70_20_10_92</t>
  </si>
  <si>
    <t>Underwater welding equipment</t>
  </si>
  <si>
    <t>TE_70_20_10_96</t>
  </si>
  <si>
    <t>Welding electrodes</t>
  </si>
  <si>
    <t>TE_70_20_10_97</t>
  </si>
  <si>
    <t>Weld shears</t>
  </si>
  <si>
    <t>TE_70_20_10_98</t>
  </si>
  <si>
    <t>Welding helmets</t>
  </si>
  <si>
    <t>TE_70_20_20</t>
  </si>
  <si>
    <t>Protective equipment</t>
  </si>
  <si>
    <t>TE_70_20_20_01</t>
  </si>
  <si>
    <t>Acoustic attenuators</t>
  </si>
  <si>
    <t>TE_70_20_20_03</t>
  </si>
  <si>
    <t>Acoustic enclosures</t>
  </si>
  <si>
    <t>TE_70_20_20_05</t>
  </si>
  <si>
    <t>Acoustic quilts</t>
  </si>
  <si>
    <t>TE_70_20_20_07</t>
  </si>
  <si>
    <t>Acoustic shrouds</t>
  </si>
  <si>
    <t>TE_70_20_20_10</t>
  </si>
  <si>
    <t>Breathing apparatus</t>
  </si>
  <si>
    <t>TE_70_20_20_34</t>
  </si>
  <si>
    <t>Goggles</t>
  </si>
  <si>
    <t>TE_70_20_20_37</t>
  </si>
  <si>
    <t>Hotsticks</t>
  </si>
  <si>
    <t>TE_70_20_20_62</t>
  </si>
  <si>
    <t>Portable safety barriers</t>
  </si>
  <si>
    <t>TE_70_20_20_65</t>
  </si>
  <si>
    <t>Protective nets</t>
  </si>
  <si>
    <t>TE_70_20_25</t>
  </si>
  <si>
    <t>Maintenance equipment</t>
  </si>
  <si>
    <t>TE_70_20_25_34</t>
  </si>
  <si>
    <t>Grease guns</t>
  </si>
  <si>
    <t>TE_70_20_25_37</t>
  </si>
  <si>
    <t>Hedge trimmers</t>
  </si>
  <si>
    <t>TE_70_20_25_46</t>
  </si>
  <si>
    <t>Lawn-mowers</t>
  </si>
  <si>
    <t>TE_70_20_25_55</t>
  </si>
  <si>
    <t>Mulching machines</t>
  </si>
  <si>
    <t>TE_70_20_25_65</t>
  </si>
  <si>
    <t>Pruning shears</t>
  </si>
  <si>
    <t>TE_70_20_25_85</t>
  </si>
  <si>
    <t>Strimmers</t>
  </si>
  <si>
    <t>TE_70_20_25_90</t>
  </si>
  <si>
    <t>Tool sharpeners</t>
  </si>
  <si>
    <t>TE_70_20_25_94</t>
  </si>
  <si>
    <t>Vacuum cleaners</t>
  </si>
  <si>
    <t>TE_70_20_25_96</t>
  </si>
  <si>
    <t>Wood chippers</t>
  </si>
  <si>
    <t>TE_70_20_30</t>
  </si>
  <si>
    <t>Road works equipment</t>
  </si>
  <si>
    <t>TE_70_20_30_06</t>
  </si>
  <si>
    <t>Barrier trestles</t>
  </si>
  <si>
    <t>TE_70_20_30_18</t>
  </si>
  <si>
    <t>Crossing plates</t>
  </si>
  <si>
    <t>TE_70_20_30_21</t>
  </si>
  <si>
    <t>Danger lamps</t>
  </si>
  <si>
    <t>TE_70_20_30_30</t>
  </si>
  <si>
    <t>Flashing bollards</t>
  </si>
  <si>
    <t>TE_70_20_30_31</t>
  </si>
  <si>
    <t>Flashing traffic warning lamps</t>
  </si>
  <si>
    <t>TE_70_20_30_41</t>
  </si>
  <si>
    <t>Illuminated traffic information signs</t>
  </si>
  <si>
    <t>TE_70_20_30_80</t>
  </si>
  <si>
    <t>Speed deterrents</t>
  </si>
  <si>
    <t>TE_70_20_30_87</t>
  </si>
  <si>
    <t>Traffic control lamps</t>
  </si>
  <si>
    <t>TE_70_20_30_88</t>
  </si>
  <si>
    <t>Traffic control signs</t>
  </si>
  <si>
    <t>TE_70_20_30_89</t>
  </si>
  <si>
    <t>Traffic information signs</t>
  </si>
  <si>
    <t>TE_70_20_30_90</t>
  </si>
  <si>
    <t>Traffic lights</t>
  </si>
  <si>
    <t>TE_70_20_30_91</t>
  </si>
  <si>
    <t>Traffic warning signs</t>
  </si>
  <si>
    <t>TE_70_20_35</t>
  </si>
  <si>
    <t>Rail track equipment</t>
  </si>
  <si>
    <t>TE_70_20_35_70</t>
  </si>
  <si>
    <t>Rail tensor kits</t>
  </si>
  <si>
    <t>TE_70_20_35_79</t>
  </si>
  <si>
    <t>Spike drivers</t>
  </si>
  <si>
    <t>TE_70_20_35_80</t>
  </si>
  <si>
    <t>Spike pullers</t>
  </si>
  <si>
    <t>TE_70_20_35_90</t>
  </si>
  <si>
    <t>Temporary track support</t>
  </si>
  <si>
    <t>TE_70_20_40</t>
  </si>
  <si>
    <t>Damp proof course equipment</t>
  </si>
  <si>
    <t>TE_70_20_40_11</t>
  </si>
  <si>
    <t>Caulking gun</t>
  </si>
  <si>
    <t>TE_70_20_40_27</t>
  </si>
  <si>
    <t>Electro-osmosis equipment</t>
  </si>
  <si>
    <t>TE_70_20_40_34</t>
  </si>
  <si>
    <t>Gravity feed equipment</t>
  </si>
  <si>
    <t>TE_70_20_40_37</t>
  </si>
  <si>
    <t>High pressure injection equipment</t>
  </si>
  <si>
    <t>TE_70_20_40_48</t>
  </si>
  <si>
    <t>Low pressure injection equipment</t>
  </si>
  <si>
    <t>TE_70_20_50</t>
  </si>
  <si>
    <t>Cleaning and surface preparation equipment</t>
  </si>
  <si>
    <t>TE_70_20_50_08</t>
  </si>
  <si>
    <t>Blasting machines and equipment</t>
  </si>
  <si>
    <t>TE_70_20_50_37</t>
  </si>
  <si>
    <t>High pressure and steam jet cleaners</t>
  </si>
  <si>
    <t>TE_70_20_50_48</t>
  </si>
  <si>
    <t>Low pressure cleaning machines</t>
  </si>
  <si>
    <t>TE_70_20_50_56</t>
  </si>
  <si>
    <t>Needle scalers</t>
  </si>
  <si>
    <t>TE_70_20_50_92</t>
  </si>
  <si>
    <t>Underwater cleaning equipment</t>
  </si>
  <si>
    <t>TE_70_20_60</t>
  </si>
  <si>
    <t>Compressors</t>
  </si>
  <si>
    <t>TE_70_20_60_47</t>
  </si>
  <si>
    <t>Lorry-mounted compressors</t>
  </si>
  <si>
    <t>TE_70_20_60_90</t>
  </si>
  <si>
    <t>Tractor-mounted compressors</t>
  </si>
  <si>
    <t>TE_70_20_70</t>
  </si>
  <si>
    <t>Compressed-air machines and equipment</t>
  </si>
  <si>
    <t>TE_70_20_70_02</t>
  </si>
  <si>
    <t>Air hoses</t>
  </si>
  <si>
    <t>TE_70_20_70_15</t>
  </si>
  <si>
    <t>Compressed air receivers</t>
  </si>
  <si>
    <t>TE_70_20_70_55</t>
  </si>
  <si>
    <t>Mufflers</t>
  </si>
  <si>
    <t>TE_70_20_70_89</t>
  </si>
  <si>
    <t>Tool silencers</t>
  </si>
  <si>
    <t>TE_70_20_80</t>
  </si>
  <si>
    <t>Steel reinforcement cutting and bending plant and equipment</t>
  </si>
  <si>
    <t>TE_70_20_80_06</t>
  </si>
  <si>
    <t>Bar bending machines</t>
  </si>
  <si>
    <t>TE_70_20_80_07</t>
  </si>
  <si>
    <t>Bar cropper machines</t>
  </si>
  <si>
    <t>TE_70_20_80_08</t>
  </si>
  <si>
    <t>Bar shearing machines</t>
  </si>
  <si>
    <t>TE_70_20_85</t>
  </si>
  <si>
    <t>Pipe installation and maintenance equipment</t>
  </si>
  <si>
    <t>TE_70_20_85_40</t>
  </si>
  <si>
    <t>Hydraulic pipe pushers</t>
  </si>
  <si>
    <t>TE_70_20_85_62</t>
  </si>
  <si>
    <t>Pipe benders</t>
  </si>
  <si>
    <t>TE_70_20_85_63</t>
  </si>
  <si>
    <t>Pipe cutters</t>
  </si>
  <si>
    <t>TE_70_20_85_66</t>
  </si>
  <si>
    <t>Pipe threading equipment</t>
  </si>
  <si>
    <t>TE_70_20_90</t>
  </si>
  <si>
    <t>Ancillary equipment</t>
  </si>
  <si>
    <t>TE_70_20_90_10</t>
  </si>
  <si>
    <t>Buckets</t>
  </si>
  <si>
    <t>TE_70_20_90_22</t>
  </si>
  <si>
    <t>Dehumidifiers</t>
  </si>
  <si>
    <t>TE_70_20_90_48</t>
  </si>
  <si>
    <t>Loading rails</t>
  </si>
  <si>
    <t>TE_70_20_90_87</t>
  </si>
  <si>
    <t>Tarpaulins</t>
  </si>
  <si>
    <t>TE_70_40</t>
  </si>
  <si>
    <t>Surveying and measuring equipment</t>
  </si>
  <si>
    <t>TE_70_40_10</t>
  </si>
  <si>
    <t>TE_70_40_10_05</t>
  </si>
  <si>
    <t>Auto levels</t>
  </si>
  <si>
    <t>TE_70_40_10_25</t>
  </si>
  <si>
    <t>Dumpy levels</t>
  </si>
  <si>
    <t>TE_70_40_10_27</t>
  </si>
  <si>
    <t>Engineers' precise auto levels</t>
  </si>
  <si>
    <t>TE_70_40_10_47</t>
  </si>
  <si>
    <t>Levelling staffs</t>
  </si>
  <si>
    <t>TE_70_40_10_65</t>
  </si>
  <si>
    <t>Prism sets</t>
  </si>
  <si>
    <t>TE_70_40_10_80</t>
  </si>
  <si>
    <t>Spirit levels</t>
  </si>
  <si>
    <t>TE_70_40_10_88</t>
  </si>
  <si>
    <t>Tilting levels</t>
  </si>
  <si>
    <t>TE_70_40_10_89</t>
  </si>
  <si>
    <t>Theodolites</t>
  </si>
  <si>
    <t>TE_70_40_10_96</t>
  </si>
  <si>
    <t>Water levels</t>
  </si>
  <si>
    <t>TE_70_40_50</t>
  </si>
  <si>
    <t>Measuring equipment</t>
  </si>
  <si>
    <t>TE_70_40_50_06</t>
  </si>
  <si>
    <t>Binoculars</t>
  </si>
  <si>
    <t>TE_70_40_50_08</t>
  </si>
  <si>
    <t>Boning rods</t>
  </si>
  <si>
    <t>TE_70_40_50_22</t>
  </si>
  <si>
    <t>Distance meters</t>
  </si>
  <si>
    <t>TE_70_40_50_31</t>
  </si>
  <si>
    <t>Folding rules</t>
  </si>
  <si>
    <t>TE_70_40_50_37</t>
  </si>
  <si>
    <t>Height sticks</t>
  </si>
  <si>
    <t>TE_70_40_50_46</t>
  </si>
  <si>
    <t>Laser aligners</t>
  </si>
  <si>
    <t>TE_70_40_50_51</t>
  </si>
  <si>
    <t>Measuring rods</t>
  </si>
  <si>
    <t>TE_70_40_50_52</t>
  </si>
  <si>
    <t>Measuring tapes</t>
  </si>
  <si>
    <t>TE_70_40_50_53</t>
  </si>
  <si>
    <t>Measuring wheels</t>
  </si>
  <si>
    <t>TE_70_40_50_54</t>
  </si>
  <si>
    <t>Micrometers</t>
  </si>
  <si>
    <t>TE_70_40_50_64</t>
  </si>
  <si>
    <t>Plumb lines</t>
  </si>
  <si>
    <t>TE_70_40_50_66</t>
  </si>
  <si>
    <t>Profile boards</t>
  </si>
  <si>
    <t>TE_70_40_50_79</t>
  </si>
  <si>
    <t>Sight rails</t>
  </si>
  <si>
    <t>TE_70_40_50_82</t>
  </si>
  <si>
    <t>Sound level meters</t>
  </si>
  <si>
    <t>TE_70_40_50_87</t>
  </si>
  <si>
    <t>Tachometers</t>
  </si>
  <si>
    <t>TE_70_40_50_94</t>
  </si>
  <si>
    <t>Verniers</t>
  </si>
  <si>
    <t>TE_70_40_70</t>
  </si>
  <si>
    <t>Surveying equipment</t>
  </si>
  <si>
    <t>TE_70_40_70_13</t>
  </si>
  <si>
    <t>Centring rods</t>
  </si>
  <si>
    <t>TE_70_40_70_22</t>
  </si>
  <si>
    <t>Direction indicating devices</t>
  </si>
  <si>
    <t>TE_70_40_70_27</t>
  </si>
  <si>
    <t>Electromagnetic distance measuring (EDM) instruments</t>
  </si>
  <si>
    <t>TE_70_40_70_51</t>
  </si>
  <si>
    <t>Measuring telescopes</t>
  </si>
  <si>
    <t>TE_70_40_70_58</t>
  </si>
  <si>
    <t>Optical plummets</t>
  </si>
  <si>
    <t>TE_70_40_70_70</t>
  </si>
  <si>
    <t>Ranging poles</t>
  </si>
  <si>
    <t>TE_70_40_70_83</t>
  </si>
  <si>
    <t>Staffs</t>
  </si>
  <si>
    <t>TE_70_40_70_85</t>
  </si>
  <si>
    <t>Surface indicating devices</t>
  </si>
  <si>
    <t>TE_70_40_70_89</t>
  </si>
  <si>
    <t>Tribrachs</t>
  </si>
  <si>
    <t>TE_70_40_70_90</t>
  </si>
  <si>
    <t>Tripods</t>
  </si>
  <si>
    <t>TE_70_50</t>
  </si>
  <si>
    <t>Hand tools</t>
  </si>
  <si>
    <t>TE_70_50_10</t>
  </si>
  <si>
    <t>Hand saws</t>
  </si>
  <si>
    <t>TE_70_50_10_06</t>
  </si>
  <si>
    <t>Back saws</t>
  </si>
  <si>
    <t>TE_70_50_10_08</t>
  </si>
  <si>
    <t>Bow saws</t>
  </si>
  <si>
    <t>TE_70_50_10_14</t>
  </si>
  <si>
    <t>Compass saws</t>
  </si>
  <si>
    <t>TE_70_50_10_16</t>
  </si>
  <si>
    <t>Coping saws</t>
  </si>
  <si>
    <t>TE_70_50_10_24</t>
  </si>
  <si>
    <t>Drywall saws</t>
  </si>
  <si>
    <t>TE_70_50_10_29</t>
  </si>
  <si>
    <t>Flooring saws</t>
  </si>
  <si>
    <t>TE_70_50_10_31</t>
  </si>
  <si>
    <t>Fretsaws</t>
  </si>
  <si>
    <t>TE_70_50_10_36</t>
  </si>
  <si>
    <t>Hacksaws</t>
  </si>
  <si>
    <t>TE_70_50_10_60</t>
  </si>
  <si>
    <t>Panel saws</t>
  </si>
  <si>
    <t>TE_70_50_15</t>
  </si>
  <si>
    <t>Power saws</t>
  </si>
  <si>
    <t>TE_70_50_15_03</t>
  </si>
  <si>
    <t>Alligator saws</t>
  </si>
  <si>
    <t>TE_70_50_15_06</t>
  </si>
  <si>
    <t>Band saws</t>
  </si>
  <si>
    <t>TE_70_50_15_09</t>
  </si>
  <si>
    <t>Brick saws</t>
  </si>
  <si>
    <t>TE_70_50_15_12</t>
  </si>
  <si>
    <t>Chain saws</t>
  </si>
  <si>
    <t>TE_70_50_15_13</t>
  </si>
  <si>
    <t>Circular saws</t>
  </si>
  <si>
    <t>TE_70_50_15_44</t>
  </si>
  <si>
    <t>Jig saws</t>
  </si>
  <si>
    <t>TE_70_50_15_52</t>
  </si>
  <si>
    <t>Mitre saws</t>
  </si>
  <si>
    <t>TE_70_50_20</t>
  </si>
  <si>
    <t>Pipe work equipment</t>
  </si>
  <si>
    <t>TE_70_50_20_31</t>
  </si>
  <si>
    <t>Flaring tools</t>
  </si>
  <si>
    <t>TE_70_50_20_44</t>
  </si>
  <si>
    <t>Joint assembly tools</t>
  </si>
  <si>
    <t>TE_70_50_20_64</t>
  </si>
  <si>
    <t>Pipe defrosting equipment</t>
  </si>
  <si>
    <t>TE_70_50_20_67</t>
  </si>
  <si>
    <t>Pipe wrenches</t>
  </si>
  <si>
    <t>TE_70_50_20_70</t>
  </si>
  <si>
    <t>Plumber's furnaces</t>
  </si>
  <si>
    <t>TE_70_50_30</t>
  </si>
  <si>
    <t>Hammers</t>
  </si>
  <si>
    <t>TE_70_50_30_07</t>
  </si>
  <si>
    <t>Bricklayer's hammers</t>
  </si>
  <si>
    <t>TE_70_50_30_09</t>
  </si>
  <si>
    <t>Bush hammers</t>
  </si>
  <si>
    <t>TE_70_50_30_11</t>
  </si>
  <si>
    <t>Carpenter's hammers</t>
  </si>
  <si>
    <t>TE_70_50_30_13</t>
  </si>
  <si>
    <t>Chipping hammers</t>
  </si>
  <si>
    <t>TE_70_50_30_15</t>
  </si>
  <si>
    <t>Club hammers</t>
  </si>
  <si>
    <t>TE_70_50_30_22</t>
  </si>
  <si>
    <t>Demolition hammers</t>
  </si>
  <si>
    <t>TE_70_50_30_71</t>
  </si>
  <si>
    <t>Riveting hammers</t>
  </si>
  <si>
    <t>TE_70_50_30_73</t>
  </si>
  <si>
    <t>Rotary hammers</t>
  </si>
  <si>
    <t>TE_70_50_30_80</t>
  </si>
  <si>
    <t>Sledge hammers</t>
  </si>
  <si>
    <t>TE_70_50_40</t>
  </si>
  <si>
    <t>Hand-held drills and equipment</t>
  </si>
  <si>
    <t>TE_70_50_40_05</t>
  </si>
  <si>
    <t>Augers</t>
  </si>
  <si>
    <t>TE_70_50_40_21</t>
  </si>
  <si>
    <t>Diamond drilling and chasing equipment</t>
  </si>
  <si>
    <t>TE_70_50_40_22</t>
  </si>
  <si>
    <t>Drill bits</t>
  </si>
  <si>
    <t>TE_70_50_40_23</t>
  </si>
  <si>
    <t>Drill rods</t>
  </si>
  <si>
    <t>TE_70_50_40_24</t>
  </si>
  <si>
    <t>Drill stands</t>
  </si>
  <si>
    <t>TE_70_50_40_64</t>
  </si>
  <si>
    <t>Pipe drilling tackle</t>
  </si>
  <si>
    <t>TE_70_50_40_70</t>
  </si>
  <si>
    <t>Reversible drills</t>
  </si>
  <si>
    <t>TE_70_50_40_72</t>
  </si>
  <si>
    <t>Rock drills</t>
  </si>
  <si>
    <t>TE_70_50_40_73</t>
  </si>
  <si>
    <t>Rotary drills</t>
  </si>
  <si>
    <t>TE_70_50_40_96</t>
  </si>
  <si>
    <t>Wheelbraces</t>
  </si>
  <si>
    <t>TE_70_50_45</t>
  </si>
  <si>
    <t>Hand-held equipment</t>
  </si>
  <si>
    <t>TE_70_50_45_02</t>
  </si>
  <si>
    <t>Adhesive guns</t>
  </si>
  <si>
    <t>TE_70_50_45_08</t>
  </si>
  <si>
    <t>Bolt tensioning tools</t>
  </si>
  <si>
    <t>TE_70_50_45_11</t>
  </si>
  <si>
    <t>Cable cutters</t>
  </si>
  <si>
    <t>TE_70_50_45_12</t>
  </si>
  <si>
    <t>Cable locators</t>
  </si>
  <si>
    <t>TE_70_50_45_17</t>
  </si>
  <si>
    <t>Crimping tools</t>
  </si>
  <si>
    <t>TE_70_50_45_25</t>
  </si>
  <si>
    <t>Dynamometers</t>
  </si>
  <si>
    <t>TE_70_50_45_27</t>
  </si>
  <si>
    <t>Engraver</t>
  </si>
  <si>
    <t>TE_70_50_45_37</t>
  </si>
  <si>
    <t>Heat guns</t>
  </si>
  <si>
    <t>TE_70_50_45_39</t>
  </si>
  <si>
    <t>Hydraulic wrenches</t>
  </si>
  <si>
    <t>TE_70_50_45_42</t>
  </si>
  <si>
    <t>Impact wrenches</t>
  </si>
  <si>
    <t>TE_70_50_45_50</t>
  </si>
  <si>
    <t>Metal detectors</t>
  </si>
  <si>
    <t>TE_70_50_45_56</t>
  </si>
  <si>
    <t>Nail guns</t>
  </si>
  <si>
    <t>TE_70_50_45_57</t>
  </si>
  <si>
    <t>Nibblers</t>
  </si>
  <si>
    <t>TE_70_50_45_63</t>
  </si>
  <si>
    <t>Pipeline locators</t>
  </si>
  <si>
    <t>TE_70_50_45_72</t>
  </si>
  <si>
    <t>Rivet guns</t>
  </si>
  <si>
    <t>TE_70_50_45_88</t>
  </si>
  <si>
    <t>Torque wrenches</t>
  </si>
  <si>
    <t>TE_70_50_45_96</t>
  </si>
  <si>
    <t>Wire pullers</t>
  </si>
  <si>
    <t>TE_70_50_45_97</t>
  </si>
  <si>
    <t>Wire tensioners</t>
  </si>
  <si>
    <t>TE_70_50_50</t>
  </si>
  <si>
    <t>Painting and insulation application equipment</t>
  </si>
  <si>
    <t>TE_70_50_50_41</t>
  </si>
  <si>
    <t>Insulation injection equipment</t>
  </si>
  <si>
    <t>TE_70_50_50_60</t>
  </si>
  <si>
    <t>Paint brushes</t>
  </si>
  <si>
    <t>TE_70_50_50_62</t>
  </si>
  <si>
    <t>Paint kettles</t>
  </si>
  <si>
    <t>TE_70_50_50_64</t>
  </si>
  <si>
    <t>Paint metering systems</t>
  </si>
  <si>
    <t>TE_70_50_50_66</t>
  </si>
  <si>
    <t>Paint rollers</t>
  </si>
  <si>
    <t>TE_70_50_50_80</t>
  </si>
  <si>
    <t>Spraying equipment for paints and insulation</t>
  </si>
  <si>
    <t>TE_70_50_60</t>
  </si>
  <si>
    <t>Barrows</t>
  </si>
  <si>
    <t>TE_70_50_60_36</t>
  </si>
  <si>
    <t>Hand barrows</t>
  </si>
  <si>
    <t>TE_70_50_60_65</t>
  </si>
  <si>
    <t>Powered barrows</t>
  </si>
  <si>
    <t>TE_70_50_65</t>
  </si>
  <si>
    <t>Excavation tools</t>
  </si>
  <si>
    <t>TE_70_50_65_15</t>
  </si>
  <si>
    <t>Clay spits</t>
  </si>
  <si>
    <t>TE_70_50_65_60</t>
  </si>
  <si>
    <t>Picks</t>
  </si>
  <si>
    <t>TE_70_50_65_80</t>
  </si>
  <si>
    <t>Spades</t>
  </si>
  <si>
    <t>TE_70_50_70</t>
  </si>
  <si>
    <t>Levering bars</t>
  </si>
  <si>
    <t>TE_70_50_70_20</t>
  </si>
  <si>
    <t>Crowbars</t>
  </si>
  <si>
    <t>TE_70_50_70_60</t>
  </si>
  <si>
    <t>Pinch bars</t>
  </si>
  <si>
    <t>TE_70_50_80</t>
  </si>
  <si>
    <t>Screwdrivers, spanners and bolt cutters</t>
  </si>
  <si>
    <t>TE_70_50_80_01</t>
  </si>
  <si>
    <t>Adjustable spanners</t>
  </si>
  <si>
    <t>TE_70_50_80_03</t>
  </si>
  <si>
    <t>Allen keys</t>
  </si>
  <si>
    <t>TE_70_50_80_08</t>
  </si>
  <si>
    <t>Bolt cutters</t>
  </si>
  <si>
    <t>TE_70_50_80_17</t>
  </si>
  <si>
    <t>Cross head screwdrivers</t>
  </si>
  <si>
    <t>TE_70_50_80_30</t>
  </si>
  <si>
    <t>Flathead screwdrivers</t>
  </si>
  <si>
    <t>TE_70_50_80_70</t>
  </si>
  <si>
    <t>Ratchet screwdrivers</t>
  </si>
  <si>
    <t>TE_70_50_80_80</t>
  </si>
  <si>
    <t>Spanners</t>
  </si>
  <si>
    <t>TE_70_50_85</t>
  </si>
  <si>
    <t>Trowels</t>
  </si>
  <si>
    <t>TE_70_50_85_03</t>
  </si>
  <si>
    <t>Angle trowels</t>
  </si>
  <si>
    <t>TE_70_50_85_33</t>
  </si>
  <si>
    <t>Gauging trowels</t>
  </si>
  <si>
    <t>TE_70_50_85_46</t>
  </si>
  <si>
    <t>Laying-on trowels</t>
  </si>
  <si>
    <t>TE_70_50_90</t>
  </si>
  <si>
    <t>Floats</t>
  </si>
  <si>
    <t>TE_70_50_90_18</t>
  </si>
  <si>
    <t>Cross-grained floats</t>
  </si>
  <si>
    <t>TE_70_50_90_22</t>
  </si>
  <si>
    <t>Devil floats</t>
  </si>
  <si>
    <t>TE_70_60</t>
  </si>
  <si>
    <t>Electrical tools</t>
  </si>
  <si>
    <t>TE_70_60_10</t>
  </si>
  <si>
    <t>Sanders</t>
  </si>
  <si>
    <t>TE_70_60_10_07</t>
  </si>
  <si>
    <t>Belt sanders</t>
  </si>
  <si>
    <t>TE_70_60_10_58</t>
  </si>
  <si>
    <t>Orbital sanders</t>
  </si>
  <si>
    <t>TE_70_60_20</t>
  </si>
  <si>
    <t>Grinders</t>
  </si>
  <si>
    <t>TE_70_60_20_03</t>
  </si>
  <si>
    <t>Angle grinders</t>
  </si>
  <si>
    <t>TE_70_60_20_07</t>
  </si>
  <si>
    <t>Bench grinders</t>
  </si>
  <si>
    <t>TE_70_60_20_84</t>
  </si>
  <si>
    <t>Straight grinders</t>
  </si>
  <si>
    <t>TE_70_60_30</t>
  </si>
  <si>
    <t>Polishers</t>
  </si>
  <si>
    <t>TE_70_60_30_30</t>
  </si>
  <si>
    <t>Floor polishers</t>
  </si>
  <si>
    <t>TE_70_60_40</t>
  </si>
  <si>
    <t>Planers</t>
  </si>
  <si>
    <t>TE_70_60_50</t>
  </si>
  <si>
    <t>Routers</t>
  </si>
  <si>
    <t>TE_70_60_60</t>
  </si>
  <si>
    <t>Scabblers</t>
  </si>
  <si>
    <t>TE_70_60_70</t>
  </si>
  <si>
    <t>Breakers</t>
  </si>
  <si>
    <t>TE_70_80</t>
  </si>
  <si>
    <t>Testing equipment</t>
  </si>
  <si>
    <t>TE_70_80_10</t>
  </si>
  <si>
    <t>Concrete testing equipment</t>
  </si>
  <si>
    <t>TE_70_80_20</t>
  </si>
  <si>
    <t>Drain testing equipment</t>
  </si>
  <si>
    <t>TE_70_80_20_80</t>
  </si>
  <si>
    <t>Sewer test and inspection equipment</t>
  </si>
  <si>
    <t>TE_70_80_25</t>
  </si>
  <si>
    <t>Electrical testing equipment</t>
  </si>
  <si>
    <t>TE_70_80_25_11</t>
  </si>
  <si>
    <t>Cable fault reflectometers</t>
  </si>
  <si>
    <t>TE_70_80_25_12</t>
  </si>
  <si>
    <t>Cable fault locators</t>
  </si>
  <si>
    <t>TE_70_80_25_15</t>
  </si>
  <si>
    <t>Clamp meters</t>
  </si>
  <si>
    <t>TE_70_80_25_30</t>
  </si>
  <si>
    <t>Frequency selective meters</t>
  </si>
  <si>
    <t>TE_70_80_25_32</t>
  </si>
  <si>
    <t>Fuse finder kits</t>
  </si>
  <si>
    <t>TE_70_80_25_42</t>
  </si>
  <si>
    <t>Illuminance meters</t>
  </si>
  <si>
    <t>TE_70_80_25_44</t>
  </si>
  <si>
    <t>Impedance meters</t>
  </si>
  <si>
    <t>TE_70_80_25_76</t>
  </si>
  <si>
    <t>Scopemeters</t>
  </si>
  <si>
    <t>TE_70_80_25_92</t>
  </si>
  <si>
    <t>Ultrasonic flaw detectors</t>
  </si>
  <si>
    <t>TE_70_80_40</t>
  </si>
  <si>
    <t>Pipe testing equipment</t>
  </si>
  <si>
    <t>TE_70_80_60</t>
  </si>
  <si>
    <t>Sampling equipment</t>
  </si>
  <si>
    <t>TE_70_80_80</t>
  </si>
  <si>
    <t>Weighing machines for construction materials</t>
  </si>
  <si>
    <t>TE_70_80_90</t>
  </si>
  <si>
    <t>Weighing machines for vehicles</t>
  </si>
  <si>
    <t>Zz CAD - 24 April 2019 - v1.0</t>
  </si>
  <si>
    <t>Zz_10</t>
  </si>
  <si>
    <t>Title sheet</t>
  </si>
  <si>
    <t>Zz_10_20</t>
  </si>
  <si>
    <t>Drawing frame</t>
  </si>
  <si>
    <t>Zz_10_20_45</t>
  </si>
  <si>
    <t>Logo</t>
  </si>
  <si>
    <t>Zz_10_20_95</t>
  </si>
  <si>
    <t>Viewports</t>
  </si>
  <si>
    <t>Zz_10_40</t>
  </si>
  <si>
    <t>Hold clouds and notation</t>
  </si>
  <si>
    <t>Zz_10_70</t>
  </si>
  <si>
    <t>Revisions</t>
  </si>
  <si>
    <t>Zz_10_70_05</t>
  </si>
  <si>
    <t>Annotation</t>
  </si>
  <si>
    <t>Zz_10_70_10</t>
  </si>
  <si>
    <t>Blocks and cells</t>
  </si>
  <si>
    <t>Zz_10_70_20</t>
  </si>
  <si>
    <t>Clouds and notations</t>
  </si>
  <si>
    <t>Zz_10_80</t>
  </si>
  <si>
    <t>Status stamps</t>
  </si>
  <si>
    <t>Zz_20</t>
  </si>
  <si>
    <t>Textual content</t>
  </si>
  <si>
    <t>Zz_20_10</t>
  </si>
  <si>
    <t>Zz_20_10_40</t>
  </si>
  <si>
    <t>Keynotes</t>
  </si>
  <si>
    <t>Zz_20_10_45</t>
  </si>
  <si>
    <t>Labels</t>
  </si>
  <si>
    <t>Zz_20_10_50</t>
  </si>
  <si>
    <t>Leaders</t>
  </si>
  <si>
    <t>Zz_20_10_55</t>
  </si>
  <si>
    <t>Notes</t>
  </si>
  <si>
    <t>Zz_20_10_70</t>
  </si>
  <si>
    <t>Reference</t>
  </si>
  <si>
    <t>Zz_20_10_85</t>
  </si>
  <si>
    <t>Tags</t>
  </si>
  <si>
    <t>Zz_20_10_90</t>
  </si>
  <si>
    <t>Text</t>
  </si>
  <si>
    <t>Zz_20_20</t>
  </si>
  <si>
    <t>Dimensions</t>
  </si>
  <si>
    <t>Zz_20_30</t>
  </si>
  <si>
    <t>General masking</t>
  </si>
  <si>
    <t>Zz_20_30_50</t>
  </si>
  <si>
    <t>Masks</t>
  </si>
  <si>
    <t>Zz_20_30_95</t>
  </si>
  <si>
    <t>Wipeouts</t>
  </si>
  <si>
    <t>Zz_20_40</t>
  </si>
  <si>
    <t>Hatching</t>
  </si>
  <si>
    <t>Zz_20_40_05</t>
  </si>
  <si>
    <t>Area fill</t>
  </si>
  <si>
    <t>Zz_20_40_35</t>
  </si>
  <si>
    <t>Hatch boundaries</t>
  </si>
  <si>
    <t>Zz_20_40_60</t>
  </si>
  <si>
    <t>Pattern</t>
  </si>
  <si>
    <t>Zz_20_40_80</t>
  </si>
  <si>
    <t>Solid fill</t>
  </si>
  <si>
    <t>Zz_20_70</t>
  </si>
  <si>
    <t>Redlining</t>
  </si>
  <si>
    <t>Zz_20_70_20</t>
  </si>
  <si>
    <t>Comments</t>
  </si>
  <si>
    <t>Zz_20_80</t>
  </si>
  <si>
    <t>Symbols</t>
  </si>
  <si>
    <t>Zz_20_80_10</t>
  </si>
  <si>
    <t>Barscales</t>
  </si>
  <si>
    <t>Zz_20_80_15</t>
  </si>
  <si>
    <t>Cross references</t>
  </si>
  <si>
    <t>Zz_20_80_40</t>
  </si>
  <si>
    <t>Key plan</t>
  </si>
  <si>
    <t>Zz_20_80_50</t>
  </si>
  <si>
    <t>Legends</t>
  </si>
  <si>
    <t>Zz_20_80_55</t>
  </si>
  <si>
    <t>North point</t>
  </si>
  <si>
    <t>Zz_20_90</t>
  </si>
  <si>
    <t>Title annotation</t>
  </si>
  <si>
    <t>Zz_30</t>
  </si>
  <si>
    <t>Insertions</t>
  </si>
  <si>
    <t>Zz_30_20</t>
  </si>
  <si>
    <t>Zz_30_30</t>
  </si>
  <si>
    <t>External references</t>
  </si>
  <si>
    <t>Zz_30_40</t>
  </si>
  <si>
    <t>Images</t>
  </si>
  <si>
    <t>Zz_30_60</t>
  </si>
  <si>
    <t>Objects</t>
  </si>
  <si>
    <t>Zz_30_90</t>
  </si>
  <si>
    <t>Tables and schedules</t>
  </si>
  <si>
    <t>Zz_35</t>
  </si>
  <si>
    <t>Zz_35_10</t>
  </si>
  <si>
    <t>Alignments and super elevations</t>
  </si>
  <si>
    <t>Zz_35_10_40</t>
  </si>
  <si>
    <t>Horizontal alignment</t>
  </si>
  <si>
    <t>Zz_35_10_80</t>
  </si>
  <si>
    <t>Super elevation</t>
  </si>
  <si>
    <t>Zz_35_10_90</t>
  </si>
  <si>
    <t>Vertical alignment</t>
  </si>
  <si>
    <t>Zz_35_20</t>
  </si>
  <si>
    <t>Centrelines</t>
  </si>
  <si>
    <t>Zz_35_30</t>
  </si>
  <si>
    <t>Geospatial control points</t>
  </si>
  <si>
    <t>Zz_35_40</t>
  </si>
  <si>
    <t>Gridlines</t>
  </si>
  <si>
    <t>Zz_35_40_20</t>
  </si>
  <si>
    <t>Ceiling grid</t>
  </si>
  <si>
    <t>Zz_35_40_80</t>
  </si>
  <si>
    <t>Structural grid</t>
  </si>
  <si>
    <t>Zz_35_60</t>
  </si>
  <si>
    <t>Points</t>
  </si>
  <si>
    <t>Zz_35_80</t>
  </si>
  <si>
    <t>Survey control points</t>
  </si>
  <si>
    <t>Zz_35_80_55</t>
  </si>
  <si>
    <t>OS bench mark</t>
  </si>
  <si>
    <t>Zz_35_80_60</t>
  </si>
  <si>
    <t>OS trigonometrical station</t>
  </si>
  <si>
    <t>Zz_35_80_80</t>
  </si>
  <si>
    <t>Site bench mark</t>
  </si>
  <si>
    <t>Zz_35_80_85</t>
  </si>
  <si>
    <t>Site survey control station</t>
  </si>
  <si>
    <t>Zz_35_80_90</t>
  </si>
  <si>
    <t>Temporary bench mark</t>
  </si>
  <si>
    <t>Zz_40</t>
  </si>
  <si>
    <t>Topography</t>
  </si>
  <si>
    <t>Zz_40_15</t>
  </si>
  <si>
    <t>Contours</t>
  </si>
  <si>
    <t>Zz_40_15_50</t>
  </si>
  <si>
    <t>Major contours</t>
  </si>
  <si>
    <t>Zz_40_15_55</t>
  </si>
  <si>
    <t>Minor contours</t>
  </si>
  <si>
    <t>Zz_40_20</t>
  </si>
  <si>
    <t>Cuttings and embankment indicators</t>
  </si>
  <si>
    <t>Zz_40_50</t>
  </si>
  <si>
    <t>Level indicators</t>
  </si>
  <si>
    <t>Zz_50</t>
  </si>
  <si>
    <t>Zones and boundaries</t>
  </si>
  <si>
    <t>Zz_50_10</t>
  </si>
  <si>
    <t>Boundaries</t>
  </si>
  <si>
    <t>Zz_50_10_10</t>
  </si>
  <si>
    <t>Blue line boundary (BS 8541-2)</t>
  </si>
  <si>
    <t>Zz_50_10_70</t>
  </si>
  <si>
    <t>Red line boundary (BS 8541-2)</t>
  </si>
  <si>
    <t>Zz_50_50</t>
  </si>
  <si>
    <t>Lots</t>
  </si>
  <si>
    <t>Zz_50_60</t>
  </si>
  <si>
    <t>Parcels</t>
  </si>
  <si>
    <t>Zz_50_90</t>
  </si>
  <si>
    <t>Volumes</t>
  </si>
  <si>
    <t>Zz_50_95</t>
  </si>
  <si>
    <t>Zones</t>
  </si>
  <si>
    <t>Zz_60</t>
  </si>
  <si>
    <t>Drawing symbols</t>
  </si>
  <si>
    <t>Zz_60_20</t>
  </si>
  <si>
    <t>Detail call ups</t>
  </si>
  <si>
    <t>Zz_60_30</t>
  </si>
  <si>
    <t>Fall indicators</t>
  </si>
  <si>
    <t>Zz_60_40</t>
  </si>
  <si>
    <t>Joint lines</t>
  </si>
  <si>
    <t>Zz_60_40_15</t>
  </si>
  <si>
    <t>Construction joints</t>
  </si>
  <si>
    <t>Zz_60_40_20</t>
  </si>
  <si>
    <t>Contraction joints</t>
  </si>
  <si>
    <t>Zz_60_40_30</t>
  </si>
  <si>
    <t>Zz_60_45</t>
  </si>
  <si>
    <t>Zz_60_45_20</t>
  </si>
  <si>
    <t>Datum</t>
  </si>
  <si>
    <t>Zz_60_45_60</t>
  </si>
  <si>
    <t>Original ground level</t>
  </si>
  <si>
    <t>Zz_60_45_70</t>
  </si>
  <si>
    <t>Regrade ground level</t>
  </si>
  <si>
    <t>Zz_60_50</t>
  </si>
  <si>
    <t>Markers</t>
  </si>
  <si>
    <t>Zz_60_50_10</t>
  </si>
  <si>
    <t>Break marks</t>
  </si>
  <si>
    <t>Zz_60_50_20</t>
  </si>
  <si>
    <t>Callout marks</t>
  </si>
  <si>
    <t>Zz_60_50_30</t>
  </si>
  <si>
    <t>Elevation marks</t>
  </si>
  <si>
    <t>Zz_60_50_60</t>
  </si>
  <si>
    <t>Plan</t>
  </si>
  <si>
    <t>Zz_60_50_80</t>
  </si>
  <si>
    <t>Section marks</t>
  </si>
  <si>
    <t>Zz_60_50_85</t>
  </si>
  <si>
    <t>Span direction markers</t>
  </si>
  <si>
    <t>Zz_60_50_90</t>
  </si>
  <si>
    <t>Void and opening markers</t>
  </si>
  <si>
    <t>Zz_60_55</t>
  </si>
  <si>
    <t>Match lines</t>
  </si>
  <si>
    <t>Zz_70</t>
  </si>
  <si>
    <t>Views</t>
  </si>
  <si>
    <t>Zz_70_05</t>
  </si>
  <si>
    <t>3D views</t>
  </si>
  <si>
    <t>Zz_70_20</t>
  </si>
  <si>
    <t>Details</t>
  </si>
  <si>
    <t>Zz_70_30</t>
  </si>
  <si>
    <t>Elevations</t>
  </si>
  <si>
    <t>Zz_70_60</t>
  </si>
  <si>
    <t>Plans</t>
  </si>
  <si>
    <t>Zz_70_80</t>
  </si>
  <si>
    <t>Sections</t>
  </si>
  <si>
    <t>Zz_70_90</t>
  </si>
  <si>
    <t>Visualisations</t>
  </si>
  <si>
    <t>Zz_80</t>
  </si>
  <si>
    <t>Presentation</t>
  </si>
  <si>
    <t>Zz_80_30</t>
  </si>
  <si>
    <t>Entourage</t>
  </si>
  <si>
    <t>Zz_80_45</t>
  </si>
  <si>
    <t>Lines</t>
  </si>
  <si>
    <t>Zz_80_45_10</t>
  </si>
  <si>
    <t>Fine</t>
  </si>
  <si>
    <t>Zz_80_45_20</t>
  </si>
  <si>
    <t>Thin</t>
  </si>
  <si>
    <t>Zz_80_45_30</t>
  </si>
  <si>
    <t>Light</t>
  </si>
  <si>
    <t>Zz_80_45_40</t>
  </si>
  <si>
    <t>Medium</t>
  </si>
  <si>
    <t>Zz_80_45_50</t>
  </si>
  <si>
    <t>Heavy</t>
  </si>
  <si>
    <t>Zz_80_45_60</t>
  </si>
  <si>
    <t>Wide</t>
  </si>
  <si>
    <t>Zz_80_45_70</t>
  </si>
  <si>
    <t>Extra-wide</t>
  </si>
  <si>
    <t>Zz_80_45_80</t>
  </si>
  <si>
    <t>XX wide</t>
  </si>
  <si>
    <t>Zz_80_45_90</t>
  </si>
  <si>
    <t>XXX wide</t>
  </si>
  <si>
    <t>Zz_80_60</t>
  </si>
  <si>
    <t>People</t>
  </si>
  <si>
    <t>Zz_80_85</t>
  </si>
  <si>
    <t>Trees and planting</t>
  </si>
  <si>
    <t>Zz_80_90</t>
  </si>
  <si>
    <t>Vehicles</t>
  </si>
  <si>
    <t>Zz_85</t>
  </si>
  <si>
    <t>Generic 3D</t>
  </si>
  <si>
    <t>Zz_85_05</t>
  </si>
  <si>
    <t>3D solids</t>
  </si>
  <si>
    <t>Zz_85_05_60</t>
  </si>
  <si>
    <t>Paths</t>
  </si>
  <si>
    <t>Zz_85_05_80</t>
  </si>
  <si>
    <t>Solids</t>
  </si>
  <si>
    <t>Zz_85_05_85</t>
  </si>
  <si>
    <t>Solid voids</t>
  </si>
  <si>
    <t>Zz_85_20</t>
  </si>
  <si>
    <t>Concept</t>
  </si>
  <si>
    <t>Zz_85_20_20</t>
  </si>
  <si>
    <t>Concept massing</t>
  </si>
  <si>
    <t>Zz_85_20_50</t>
  </si>
  <si>
    <t>Mass group</t>
  </si>
  <si>
    <t>Zz_85_20_55</t>
  </si>
  <si>
    <t>Mass slice</t>
  </si>
  <si>
    <t>Zz_90</t>
  </si>
  <si>
    <t>Readme and plotting lines</t>
  </si>
  <si>
    <t>Zz_90_20</t>
  </si>
  <si>
    <t>Construction lines</t>
  </si>
  <si>
    <t>Zz_90_30</t>
  </si>
  <si>
    <t>External reference information</t>
  </si>
  <si>
    <t>Zz_90_70</t>
  </si>
  <si>
    <t>Readme</t>
  </si>
  <si>
    <t>FI Form of information - 31 July 2019 - v1.1</t>
  </si>
  <si>
    <t>FI_10</t>
  </si>
  <si>
    <t>FI_10_03</t>
  </si>
  <si>
    <t>Agenda (AG)</t>
  </si>
  <si>
    <t>FI_10_10</t>
  </si>
  <si>
    <t>Brochure (BL)</t>
  </si>
  <si>
    <t>FI_10_15</t>
  </si>
  <si>
    <t>Comment (CT)</t>
  </si>
  <si>
    <t>FI_10_17</t>
  </si>
  <si>
    <t>Conversation record (CD)</t>
  </si>
  <si>
    <t>FI_10_20</t>
  </si>
  <si>
    <t>Correspondence (CO)</t>
  </si>
  <si>
    <t>FI_10_27</t>
  </si>
  <si>
    <t>Email (EM)</t>
  </si>
  <si>
    <t>FI_10_30</t>
  </si>
  <si>
    <t>File note (FN)</t>
  </si>
  <si>
    <t>FI_10_45</t>
  </si>
  <si>
    <t>Leaflet (LF)</t>
  </si>
  <si>
    <t>FI_10_46</t>
  </si>
  <si>
    <t>Letter (LT)</t>
  </si>
  <si>
    <t>FI_10_50</t>
  </si>
  <si>
    <t>Memo (ME)</t>
  </si>
  <si>
    <t>FI_10_55</t>
  </si>
  <si>
    <t>Minutes (MI)</t>
  </si>
  <si>
    <t>FI_10_59</t>
  </si>
  <si>
    <t>Poster (PO)</t>
  </si>
  <si>
    <t>FI_10_60</t>
  </si>
  <si>
    <t>Presentation (PP)</t>
  </si>
  <si>
    <t>FI_10_65</t>
  </si>
  <si>
    <t>Press release (PE)</t>
  </si>
  <si>
    <t>FI_10_70</t>
  </si>
  <si>
    <t>Request (RI)</t>
  </si>
  <si>
    <t>FI_10_86</t>
  </si>
  <si>
    <t>Technical query (TQ)</t>
  </si>
  <si>
    <t>FI_10_88</t>
  </si>
  <si>
    <t>Transfer note (TN)</t>
  </si>
  <si>
    <t>FI_10_90</t>
  </si>
  <si>
    <t>Transmittal (TL)</t>
  </si>
  <si>
    <t>FI_20</t>
  </si>
  <si>
    <t>Contractual</t>
  </si>
  <si>
    <t>FI_20_05</t>
  </si>
  <si>
    <t>Application (AP)</t>
  </si>
  <si>
    <t>FI_20_15</t>
  </si>
  <si>
    <t>Contract (CC)</t>
  </si>
  <si>
    <t>FI_20_25</t>
  </si>
  <si>
    <t>Early warning notice (EW)</t>
  </si>
  <si>
    <t>FI_20_40</t>
  </si>
  <si>
    <t>Instruction (IN)</t>
  </si>
  <si>
    <t>FI_20_65</t>
  </si>
  <si>
    <t>Proposal (PS)</t>
  </si>
  <si>
    <t>FI_20_70</t>
  </si>
  <si>
    <t>Requisition (RQ)</t>
  </si>
  <si>
    <t>FI_20_85</t>
  </si>
  <si>
    <t>Subcontract order (SO)</t>
  </si>
  <si>
    <t>FI_20_95</t>
  </si>
  <si>
    <t>Variation (VA)</t>
  </si>
  <si>
    <t>FI_30</t>
  </si>
  <si>
    <t>Data</t>
  </si>
  <si>
    <t>FI_30_20</t>
  </si>
  <si>
    <t>Database (DB)</t>
  </si>
  <si>
    <t>FI_30_22</t>
  </si>
  <si>
    <t>Data set (DS)</t>
  </si>
  <si>
    <t>FI_30_40</t>
  </si>
  <si>
    <t>Information exchange file (IE)</t>
  </si>
  <si>
    <t>FI_30_70</t>
  </si>
  <si>
    <t>Room data sheet (RD)</t>
  </si>
  <si>
    <t>FI_30_80</t>
  </si>
  <si>
    <t>Schedule of accommodation (SA)</t>
  </si>
  <si>
    <t>FI_40</t>
  </si>
  <si>
    <t>Design</t>
  </si>
  <si>
    <t>FI_40_10</t>
  </si>
  <si>
    <t>Calculations (CA)</t>
  </si>
  <si>
    <t>FI_40_75</t>
  </si>
  <si>
    <t>Schedule or table (SH)</t>
  </si>
  <si>
    <t>FI_40_78</t>
  </si>
  <si>
    <t>Scope of works (SW)</t>
  </si>
  <si>
    <t>FI_40_80</t>
  </si>
  <si>
    <t>Specification (SP)</t>
  </si>
  <si>
    <t>FI_50</t>
  </si>
  <si>
    <t>Financial</t>
  </si>
  <si>
    <t>FI_50_10</t>
  </si>
  <si>
    <t>Bill of quantities (BQ)</t>
  </si>
  <si>
    <t>FI_50_15</t>
  </si>
  <si>
    <t>Cost plan (CP)</t>
  </si>
  <si>
    <t>FI_50_27</t>
  </si>
  <si>
    <t>Estimate (ES)</t>
  </si>
  <si>
    <t>FI_50_40</t>
  </si>
  <si>
    <t>Invoice (IV)</t>
  </si>
  <si>
    <t>FI_60</t>
  </si>
  <si>
    <t>Graphical</t>
  </si>
  <si>
    <t>FI_60_05</t>
  </si>
  <si>
    <t>Animation file (AF)</t>
  </si>
  <si>
    <t>FI_60_15</t>
  </si>
  <si>
    <t>Clash rendition (CR)</t>
  </si>
  <si>
    <t>FI_60_17</t>
  </si>
  <si>
    <t>Combined model (CM)</t>
  </si>
  <si>
    <t>FI_60_20</t>
  </si>
  <si>
    <t>Drawing (DG)</t>
  </si>
  <si>
    <t>FI_60_25</t>
  </si>
  <si>
    <t>Drawing rendition (DR)</t>
  </si>
  <si>
    <t>FI_60_40</t>
  </si>
  <si>
    <t>Image (IM)</t>
  </si>
  <si>
    <t>FI_60_50</t>
  </si>
  <si>
    <t>Model rendition (MR)</t>
  </si>
  <si>
    <t>FI_60_53</t>
  </si>
  <si>
    <t>Model - Three dimensional (M3)</t>
  </si>
  <si>
    <t>FI_60_55</t>
  </si>
  <si>
    <t>Model - Two dimensional (M2)</t>
  </si>
  <si>
    <t>FI_60_60</t>
  </si>
  <si>
    <t>Photograph (PH)</t>
  </si>
  <si>
    <t>FI_60_76</t>
  </si>
  <si>
    <t>Schematic (SC)</t>
  </si>
  <si>
    <t>FI_60_80</t>
  </si>
  <si>
    <t>Sketch (SK)</t>
  </si>
  <si>
    <t>FI_60_95</t>
  </si>
  <si>
    <t>Visualization (VS)</t>
  </si>
  <si>
    <t>FI_70</t>
  </si>
  <si>
    <t>Official guidance</t>
  </si>
  <si>
    <t>FI_70_65</t>
  </si>
  <si>
    <t>Protocol (PZ)</t>
  </si>
  <si>
    <t>FI_70_72</t>
  </si>
  <si>
    <t>Regulation (RN)</t>
  </si>
  <si>
    <t>FI_70_85</t>
  </si>
  <si>
    <t>Standard (SD)</t>
  </si>
  <si>
    <t>FI_80</t>
  </si>
  <si>
    <t>Project planning</t>
  </si>
  <si>
    <t>FI_80_50</t>
  </si>
  <si>
    <t>Method statement (MS)</t>
  </si>
  <si>
    <t>FI_80_60</t>
  </si>
  <si>
    <t>Policy (PY)</t>
  </si>
  <si>
    <t>FI_80_63</t>
  </si>
  <si>
    <t>Procedure (PC)</t>
  </si>
  <si>
    <t>FI_80_65</t>
  </si>
  <si>
    <t>Programme (PR)</t>
  </si>
  <si>
    <t>FI_80_85</t>
  </si>
  <si>
    <t>Strategy (SY)</t>
  </si>
  <si>
    <t>FI_90</t>
  </si>
  <si>
    <t>FI_90_13</t>
  </si>
  <si>
    <t>Certificate (CE)</t>
  </si>
  <si>
    <t>FI_90_15</t>
  </si>
  <si>
    <t>Chart (CH)</t>
  </si>
  <si>
    <t>FI_90_21</t>
  </si>
  <si>
    <t>Data sheet (DT)</t>
  </si>
  <si>
    <t>FI_90_23</t>
  </si>
  <si>
    <t>Diary entry (DE)</t>
  </si>
  <si>
    <t>FI_90_24</t>
  </si>
  <si>
    <t>Directory (DY)</t>
  </si>
  <si>
    <t>FI_90_30</t>
  </si>
  <si>
    <t>Form (FM)</t>
  </si>
  <si>
    <t>FI_90_35</t>
  </si>
  <si>
    <t>Guide (GU)</t>
  </si>
  <si>
    <t>FI_90_37</t>
  </si>
  <si>
    <t>Health and safety (HS)</t>
  </si>
  <si>
    <t>FI_90_45</t>
  </si>
  <si>
    <t>List (LI)</t>
  </si>
  <si>
    <t>FI_90_47</t>
  </si>
  <si>
    <t>Log (LG)</t>
  </si>
  <si>
    <t>FI_90_50</t>
  </si>
  <si>
    <t>Manual (MA)</t>
  </si>
  <si>
    <t>FI_90_52</t>
  </si>
  <si>
    <t>Matrix (MX)</t>
  </si>
  <si>
    <t>FI_90_60</t>
  </si>
  <si>
    <t>Permit (PT)</t>
  </si>
  <si>
    <t>FI_90_64</t>
  </si>
  <si>
    <t>Plan (PL)</t>
  </si>
  <si>
    <t>FI_90_66</t>
  </si>
  <si>
    <t>Process workflow (PW)</t>
  </si>
  <si>
    <t>FI_90_70</t>
  </si>
  <si>
    <t>Register (RG)</t>
  </si>
  <si>
    <t>FI_90_72</t>
  </si>
  <si>
    <t>Report (RP)</t>
  </si>
  <si>
    <t>FI_90_80</t>
  </si>
  <si>
    <t>Snagging list (SN)</t>
  </si>
  <si>
    <t>FI_90_83</t>
  </si>
  <si>
    <t>Study (ST)</t>
  </si>
  <si>
    <t>FI_90_85</t>
  </si>
  <si>
    <t>Survey (SU)</t>
  </si>
  <si>
    <t>FI_90_86</t>
  </si>
  <si>
    <t>Technology file (TF)</t>
  </si>
  <si>
    <t>FI_90_87</t>
  </si>
  <si>
    <t>Test result (TR)</t>
  </si>
  <si>
    <t>FI_90_88</t>
  </si>
  <si>
    <t>Template (TE)</t>
  </si>
  <si>
    <t>FI_90_90</t>
  </si>
  <si>
    <t>Training record (TG)</t>
  </si>
  <si>
    <t>FI_90_94</t>
  </si>
  <si>
    <t>Valuation (VL)</t>
  </si>
  <si>
    <t>Ro Roles - 31 July 2019 - v1.1</t>
  </si>
  <si>
    <t>Ro_10</t>
  </si>
  <si>
    <t>Management roles</t>
  </si>
  <si>
    <t>Ro_10_10</t>
  </si>
  <si>
    <t>Organization roles</t>
  </si>
  <si>
    <t>Ro_10_10_05</t>
  </si>
  <si>
    <t>Associate</t>
  </si>
  <si>
    <t>Ro_10_10_12</t>
  </si>
  <si>
    <t>Chairman</t>
  </si>
  <si>
    <t>Ro_10_10_14</t>
  </si>
  <si>
    <t>Chief executive officer</t>
  </si>
  <si>
    <t>Ro_10_10_16</t>
  </si>
  <si>
    <t>Chief financial officer</t>
  </si>
  <si>
    <t>Ro_10_10_18</t>
  </si>
  <si>
    <t>Chief operating officer</t>
  </si>
  <si>
    <t>Ro_10_10_20</t>
  </si>
  <si>
    <t>Coordinator</t>
  </si>
  <si>
    <t>Ro_10_10_25</t>
  </si>
  <si>
    <t>Director</t>
  </si>
  <si>
    <t>Ro_10_10_30</t>
  </si>
  <si>
    <t>Executive director</t>
  </si>
  <si>
    <t>Ro_10_10_50</t>
  </si>
  <si>
    <t>Manager</t>
  </si>
  <si>
    <t>Ro_10_10_53</t>
  </si>
  <si>
    <t>Managing director</t>
  </si>
  <si>
    <t>Ro_10_10_58</t>
  </si>
  <si>
    <t>Non-executive director</t>
  </si>
  <si>
    <t>Ro_10_10_60</t>
  </si>
  <si>
    <t>Partner</t>
  </si>
  <si>
    <t>Ro_10_10_65</t>
  </si>
  <si>
    <t>President</t>
  </si>
  <si>
    <t>Ro_10_10_70</t>
  </si>
  <si>
    <t>Principal</t>
  </si>
  <si>
    <t>Ro_10_10_88</t>
  </si>
  <si>
    <t>Technician</t>
  </si>
  <si>
    <t>Ro_10_10_94</t>
  </si>
  <si>
    <t>Vice chairman</t>
  </si>
  <si>
    <t>Ro_10_10_95</t>
  </si>
  <si>
    <t>Vice president</t>
  </si>
  <si>
    <t>Ro_10_20</t>
  </si>
  <si>
    <t>Client roles</t>
  </si>
  <si>
    <t>Ro_10_20_14</t>
  </si>
  <si>
    <t>Client (K)</t>
  </si>
  <si>
    <t>00-05-20/120 Client;</t>
  </si>
  <si>
    <t>Ro_10_20_15</t>
  </si>
  <si>
    <t>Client advisor</t>
  </si>
  <si>
    <t>Ro_10_20_16</t>
  </si>
  <si>
    <t>Client representative</t>
  </si>
  <si>
    <t>Ro_10_20_26</t>
  </si>
  <si>
    <t>Employer</t>
  </si>
  <si>
    <t>00-05-20/135 Employer;</t>
  </si>
  <si>
    <t>Ro_10_30</t>
  </si>
  <si>
    <t>Asset management roles</t>
  </si>
  <si>
    <t>Ro_10_30_02</t>
  </si>
  <si>
    <t>Asset assurance manager</t>
  </si>
  <si>
    <t>Ro_10_30_10</t>
  </si>
  <si>
    <t>Built asset security manager</t>
  </si>
  <si>
    <t>Ro_10_30_14</t>
  </si>
  <si>
    <t>Chief information officer</t>
  </si>
  <si>
    <t>Ro_10_30_21</t>
  </si>
  <si>
    <t>Asset data governance manager</t>
  </si>
  <si>
    <t>Ro_10_30_27</t>
  </si>
  <si>
    <t>Education consultant</t>
  </si>
  <si>
    <t>Ro_10_30_42</t>
  </si>
  <si>
    <t>Investment consultant</t>
  </si>
  <si>
    <t>Ro_10_30_50</t>
  </si>
  <si>
    <t>Asset manager</t>
  </si>
  <si>
    <t>Ro_10_30_80</t>
  </si>
  <si>
    <t>Asset standards manager</t>
  </si>
  <si>
    <t>Ro_10_30_88</t>
  </si>
  <si>
    <t>Technology consultant</t>
  </si>
  <si>
    <t>Ro_10_40</t>
  </si>
  <si>
    <t>Operation management roles</t>
  </si>
  <si>
    <t>Ro_10_40_01</t>
  </si>
  <si>
    <t>Access manager</t>
  </si>
  <si>
    <t>Ro_10_40_11</t>
  </si>
  <si>
    <t>Catering manager</t>
  </si>
  <si>
    <t>Ro_10_40_20</t>
  </si>
  <si>
    <t>Configuration change manager</t>
  </si>
  <si>
    <t>Ro_10_40_22</t>
  </si>
  <si>
    <t>Cost manager</t>
  </si>
  <si>
    <t>Ro_10_40_24</t>
  </si>
  <si>
    <t>Demand manager</t>
  </si>
  <si>
    <t>Ro_10_40_28</t>
  </si>
  <si>
    <t>Energy manager</t>
  </si>
  <si>
    <t>Ro_10_40_30</t>
  </si>
  <si>
    <t>Facilities manager (F)</t>
  </si>
  <si>
    <t>00-05-20/150 Facilities Manager;</t>
  </si>
  <si>
    <t>Ro_10_40_32</t>
  </si>
  <si>
    <t>Fleet manager</t>
  </si>
  <si>
    <t>Ro_10_40_36</t>
  </si>
  <si>
    <t>Health and safety manager</t>
  </si>
  <si>
    <t>Ro_10_40_43</t>
  </si>
  <si>
    <t>IT business analyst</t>
  </si>
  <si>
    <t>Ro_10_40_47</t>
  </si>
  <si>
    <t>Legal representative</t>
  </si>
  <si>
    <t>Ro_10_40_48</t>
  </si>
  <si>
    <t>Logistics manager</t>
  </si>
  <si>
    <t>Ro_10_40_49</t>
  </si>
  <si>
    <t>Maintenance planner</t>
  </si>
  <si>
    <t>Ro_10_40_50</t>
  </si>
  <si>
    <t>Maintenance provider</t>
  </si>
  <si>
    <t>Ro_10_40_52</t>
  </si>
  <si>
    <t>Management consultant</t>
  </si>
  <si>
    <t>Ro_10_40_53</t>
  </si>
  <si>
    <t>Marketing consultant</t>
  </si>
  <si>
    <t>Ro_10_40_65</t>
  </si>
  <si>
    <t>Procurement consultant</t>
  </si>
  <si>
    <t>Ro_10_40_74</t>
  </si>
  <si>
    <t>Safety manager</t>
  </si>
  <si>
    <t>Ro_10_40_76</t>
  </si>
  <si>
    <t>Security consultant</t>
  </si>
  <si>
    <t>Ro_10_40_86</t>
  </si>
  <si>
    <t>Timetable assurance coordinator</t>
  </si>
  <si>
    <t>Ro_10_40_88</t>
  </si>
  <si>
    <t>Traffic consultant</t>
  </si>
  <si>
    <t>Ro_10_40_90</t>
  </si>
  <si>
    <t>Transportation manager</t>
  </si>
  <si>
    <t>Ro_30</t>
  </si>
  <si>
    <t>Delivery roles</t>
  </si>
  <si>
    <t>Ro_30_10</t>
  </si>
  <si>
    <t>Delivery team roles</t>
  </si>
  <si>
    <t>Ro_30_10_13</t>
  </si>
  <si>
    <t>Clerk of works</t>
  </si>
  <si>
    <t>00-05-20/125 Clerk of works;</t>
  </si>
  <si>
    <t>Ro_30_10_17</t>
  </si>
  <si>
    <t>Commissioning engineer</t>
  </si>
  <si>
    <t>Ro_30_10_19</t>
  </si>
  <si>
    <t>Contract administrator</t>
  </si>
  <si>
    <t>00-05-20/130 Contract Administrator;</t>
  </si>
  <si>
    <t>Ro_30_10_20</t>
  </si>
  <si>
    <t>Contractor (W)</t>
  </si>
  <si>
    <t>Ro_30_10_22</t>
  </si>
  <si>
    <t>Cost consultant</t>
  </si>
  <si>
    <t>Ro_30_10_27</t>
  </si>
  <si>
    <t>Employer's agent</t>
  </si>
  <si>
    <t>00-05-20/140 Employer's Agent;</t>
  </si>
  <si>
    <t>Ro_30_10_36</t>
  </si>
  <si>
    <t>Health and safety consultant</t>
  </si>
  <si>
    <t>Ro_30_10_42</t>
  </si>
  <si>
    <t>Information manager</t>
  </si>
  <si>
    <t>00-05-20/155 Information Manager;</t>
  </si>
  <si>
    <t>Ro_30_10_43</t>
  </si>
  <si>
    <t>Insurance consultant</t>
  </si>
  <si>
    <t>Ro_30_10_47</t>
  </si>
  <si>
    <t>Legal consultant</t>
  </si>
  <si>
    <t>Ro_30_10_67</t>
  </si>
  <si>
    <t>Project manager</t>
  </si>
  <si>
    <t>00-05-20/160 Project Manager;</t>
  </si>
  <si>
    <t>Ro_30_10_85</t>
  </si>
  <si>
    <t>Sub-contractor (X)</t>
  </si>
  <si>
    <t>Ro_30_30</t>
  </si>
  <si>
    <t>Official roles</t>
  </si>
  <si>
    <t>00-05-20/200 Statutory roles;</t>
  </si>
  <si>
    <t>Ro_30_30_09</t>
  </si>
  <si>
    <t>Building control officer</t>
  </si>
  <si>
    <t>Ro_30_30_16</t>
  </si>
  <si>
    <t>Conservation officer</t>
  </si>
  <si>
    <t>Ro_30_30_20</t>
  </si>
  <si>
    <t>Development control officer</t>
  </si>
  <si>
    <t>Ro_30_30_22</t>
  </si>
  <si>
    <t>Dispute resolution officer</t>
  </si>
  <si>
    <t>Ro_30_30_26</t>
  </si>
  <si>
    <t>Environmental officer</t>
  </si>
  <si>
    <t>Ro_30_30_29</t>
  </si>
  <si>
    <t>Flood and coastal risk management officer</t>
  </si>
  <si>
    <t>Ro_30_30_36</t>
  </si>
  <si>
    <t>Heritage officer</t>
  </si>
  <si>
    <t>Ro_30_30_60</t>
  </si>
  <si>
    <t>Party wall surveyor</t>
  </si>
  <si>
    <t>Ro_30_30_65</t>
  </si>
  <si>
    <t>Planning officer</t>
  </si>
  <si>
    <t>Ro_30_30_67</t>
  </si>
  <si>
    <t>Principal contractor</t>
  </si>
  <si>
    <t>00-05-20/210 Principal Contractor;</t>
  </si>
  <si>
    <t>Ro_30_30_68</t>
  </si>
  <si>
    <t>Principal designer</t>
  </si>
  <si>
    <t>00-05-20/205 Principal Designer;</t>
  </si>
  <si>
    <t>Ro_30_40</t>
  </si>
  <si>
    <t>Supplier roles</t>
  </si>
  <si>
    <t>Ro_30_40_36</t>
  </si>
  <si>
    <t>Hardware vendor</t>
  </si>
  <si>
    <t>Ro_30_40_40</t>
  </si>
  <si>
    <t>Importer</t>
  </si>
  <si>
    <t>Ro_30_40_54</t>
  </si>
  <si>
    <t>Manufacturer</t>
  </si>
  <si>
    <t>Ro_30_40_56</t>
  </si>
  <si>
    <t>Nominated supplier</t>
  </si>
  <si>
    <t>Ro_30_40_79</t>
  </si>
  <si>
    <t>Software vendor</t>
  </si>
  <si>
    <t>Ro_30_40_86</t>
  </si>
  <si>
    <t>Supplier</t>
  </si>
  <si>
    <t>Ro_30_50</t>
  </si>
  <si>
    <t>Team lead roles</t>
  </si>
  <si>
    <t>00-05-20/115 Management and delivery roles;</t>
  </si>
  <si>
    <t>Ro_30_50_04</t>
  </si>
  <si>
    <t>Asset management lead</t>
  </si>
  <si>
    <t>Ro_30_50_19</t>
  </si>
  <si>
    <t>Construction lead</t>
  </si>
  <si>
    <t>Ro_30_50_25</t>
  </si>
  <si>
    <t>Design lead</t>
  </si>
  <si>
    <t>Ro_30_50_61</t>
  </si>
  <si>
    <t>Operation lead</t>
  </si>
  <si>
    <t>Ro_30_50_69</t>
  </si>
  <si>
    <t>Programme lead</t>
  </si>
  <si>
    <t>Ro_30_50_70</t>
  </si>
  <si>
    <t>Project lead</t>
  </si>
  <si>
    <t>Ro_30_50_90</t>
  </si>
  <si>
    <t>Task team lead</t>
  </si>
  <si>
    <t>Ro_50</t>
  </si>
  <si>
    <t>Design roles</t>
  </si>
  <si>
    <t>00-05-20/250 Design roles;</t>
  </si>
  <si>
    <t>Ro_50_10</t>
  </si>
  <si>
    <t>Building design roles</t>
  </si>
  <si>
    <t>Ro_50_10_01</t>
  </si>
  <si>
    <t>Access consultant</t>
  </si>
  <si>
    <t>Ro_50_10_03</t>
  </si>
  <si>
    <t>Architect (A)</t>
  </si>
  <si>
    <t>00-05-20/260 Architect;</t>
  </si>
  <si>
    <t>Ro_50_10_04</t>
  </si>
  <si>
    <t>Architectural designer</t>
  </si>
  <si>
    <t>Ro_50_10_05</t>
  </si>
  <si>
    <t>Architectural technologist</t>
  </si>
  <si>
    <t>Ro_50_10_14</t>
  </si>
  <si>
    <t>Cladding designer</t>
  </si>
  <si>
    <t>Ro_50_10_43</t>
  </si>
  <si>
    <t>Interior designer (I)</t>
  </si>
  <si>
    <t>Ro_50_10_50</t>
  </si>
  <si>
    <t>Lighting designer</t>
  </si>
  <si>
    <t>Ro_50_10_80</t>
  </si>
  <si>
    <t>Signage designer</t>
  </si>
  <si>
    <t>Ro_50_20</t>
  </si>
  <si>
    <t>Engineering design roles</t>
  </si>
  <si>
    <t>Ro_50_20_02</t>
  </si>
  <si>
    <t>Acoustic engineer</t>
  </si>
  <si>
    <t>Ro_50_20_08</t>
  </si>
  <si>
    <t>Building services engineer</t>
  </si>
  <si>
    <t>Ro_50_20_11</t>
  </si>
  <si>
    <t>Civil engineer (C)</t>
  </si>
  <si>
    <t>00-05-20/265 Civil engineer;</t>
  </si>
  <si>
    <t>Ro_50_20_24</t>
  </si>
  <si>
    <t>Demolition engineer</t>
  </si>
  <si>
    <t>Ro_50_20_28</t>
  </si>
  <si>
    <t>Drainage engineer (D)</t>
  </si>
  <si>
    <t>Ro_50_20_30</t>
  </si>
  <si>
    <t>Electrical services engineer (E)</t>
  </si>
  <si>
    <t>00-05-20/270 Electrical services engineer;</t>
  </si>
  <si>
    <t>Ro_50_20_31</t>
  </si>
  <si>
    <t>Electronics engineer</t>
  </si>
  <si>
    <t>Ro_50_20_33</t>
  </si>
  <si>
    <t>Fire engineer</t>
  </si>
  <si>
    <t>Ro_50_20_37</t>
  </si>
  <si>
    <t>Geotechnical engineer</t>
  </si>
  <si>
    <t>Ro_50_20_40</t>
  </si>
  <si>
    <t>Heating, ventilation and air conditioning engineer (H)</t>
  </si>
  <si>
    <t>Ro_50_20_41</t>
  </si>
  <si>
    <t>Highways engineer (D)</t>
  </si>
  <si>
    <t>Ro_50_20_42</t>
  </si>
  <si>
    <t>Hydraulic engineer</t>
  </si>
  <si>
    <t>Ro_50_20_53</t>
  </si>
  <si>
    <t>Mechanical, electrical, instrumentation, control and automation (MEICA) engineer</t>
  </si>
  <si>
    <t>Ro_50_20_54</t>
  </si>
  <si>
    <t>Mechanical services engineer (M)</t>
  </si>
  <si>
    <t>00-05-20/280 Mechanical services engineer;</t>
  </si>
  <si>
    <t>Ro_50_20_59</t>
  </si>
  <si>
    <t>Overhead wires engineer</t>
  </si>
  <si>
    <t>Ro_50_20_65</t>
  </si>
  <si>
    <t>Process engineer</t>
  </si>
  <si>
    <t>Ro_50_20_68</t>
  </si>
  <si>
    <t>Public health engineer (P)</t>
  </si>
  <si>
    <t>Ro_50_20_70</t>
  </si>
  <si>
    <t>Rail engineer</t>
  </si>
  <si>
    <t>Ro_50_20_72</t>
  </si>
  <si>
    <t>Reliability engineer</t>
  </si>
  <si>
    <t>Ro_50_20_74</t>
  </si>
  <si>
    <t>Rolling stock engineer</t>
  </si>
  <si>
    <t>Ro_50_20_79</t>
  </si>
  <si>
    <t>Signalling engineer</t>
  </si>
  <si>
    <t>Ro_50_20_83</t>
  </si>
  <si>
    <t>Structural engineer (S)</t>
  </si>
  <si>
    <t>Ro_50_20_86</t>
  </si>
  <si>
    <t>Systems engineer</t>
  </si>
  <si>
    <t>Ro_50_20_88</t>
  </si>
  <si>
    <t>Telecommunication engineer</t>
  </si>
  <si>
    <t>Ro_50_20_90</t>
  </si>
  <si>
    <t>Traffic engineer</t>
  </si>
  <si>
    <t>Ro_50_20_96</t>
  </si>
  <si>
    <t>Water services engineer</t>
  </si>
  <si>
    <t>Ro_50_30</t>
  </si>
  <si>
    <t>Environmental design roles</t>
  </si>
  <si>
    <t>Ro_50_30_04</t>
  </si>
  <si>
    <t>Arboriculturalist</t>
  </si>
  <si>
    <t>Ro_50_30_25</t>
  </si>
  <si>
    <t>Ecologist</t>
  </si>
  <si>
    <t>Ro_50_30_47</t>
  </si>
  <si>
    <t>Landscape architect (L)</t>
  </si>
  <si>
    <t>00-05-20/275 Landscape architect;</t>
  </si>
  <si>
    <t>Ro_50_30_48</t>
  </si>
  <si>
    <t>Landscape designer</t>
  </si>
  <si>
    <t>Ro_50_30_94</t>
  </si>
  <si>
    <t>Urban designer (T)</t>
  </si>
  <si>
    <t>Ro_70</t>
  </si>
  <si>
    <t>Site roles</t>
  </si>
  <si>
    <t>Ro_70_10</t>
  </si>
  <si>
    <t>Surveyor and planner roles</t>
  </si>
  <si>
    <t>Ro_70_10_10</t>
  </si>
  <si>
    <t>Building inspector</t>
  </si>
  <si>
    <t>Ro_70_10_11</t>
  </si>
  <si>
    <t>Building surveyor (B)</t>
  </si>
  <si>
    <t>Ro_70_10_16</t>
  </si>
  <si>
    <t>Conservation surveyor</t>
  </si>
  <si>
    <t>Ro_70_10_33</t>
  </si>
  <si>
    <t>Geotechnical surveyor (G)</t>
  </si>
  <si>
    <t>Ro_70_10_36</t>
  </si>
  <si>
    <t>Heritage surveyor</t>
  </si>
  <si>
    <t>Ro_70_10_46</t>
  </si>
  <si>
    <t>Land surveyor (G)</t>
  </si>
  <si>
    <t>Ro_70_10_64</t>
  </si>
  <si>
    <t>Planning consultant</t>
  </si>
  <si>
    <t>Ro_70_10_75</t>
  </si>
  <si>
    <t>Quantity surveyor (Q)</t>
  </si>
  <si>
    <t>00-05-20/300 Quantity surveyor;</t>
  </si>
  <si>
    <t>Ro_70_10_80</t>
  </si>
  <si>
    <t>Site investigation consultant</t>
  </si>
  <si>
    <t>Ro_70_10_93</t>
  </si>
  <si>
    <t>Utilities surveyor</t>
  </si>
  <si>
    <t>Ro_70_30</t>
  </si>
  <si>
    <t>Environmental and geological roles</t>
  </si>
  <si>
    <t>Ro_70_30_04</t>
  </si>
  <si>
    <t>Archaeologist</t>
  </si>
  <si>
    <t>Ro_70_30_27</t>
  </si>
  <si>
    <t>Environmental assessor</t>
  </si>
  <si>
    <t>Ro_70_30_28</t>
  </si>
  <si>
    <t>Environmental consultant</t>
  </si>
  <si>
    <t>Ro_70_30_35</t>
  </si>
  <si>
    <t>Geographic information system consultant</t>
  </si>
  <si>
    <t>Ro_70_30_85</t>
  </si>
  <si>
    <t>Sustainability consultant</t>
  </si>
  <si>
    <t>Ro_70_50</t>
  </si>
  <si>
    <t>Building trades</t>
  </si>
  <si>
    <t>Ro_70_50_02</t>
  </si>
  <si>
    <t>Access floor installer</t>
  </si>
  <si>
    <t>Ro_70_50_07</t>
  </si>
  <si>
    <t>Bricklayer</t>
  </si>
  <si>
    <t>Ro_70_50_09</t>
  </si>
  <si>
    <t>Builder's labourer</t>
  </si>
  <si>
    <t>Ro_70_50_10</t>
  </si>
  <si>
    <t>Building insulation installer</t>
  </si>
  <si>
    <t>Ro_70_50_12</t>
  </si>
  <si>
    <t>Carpenter</t>
  </si>
  <si>
    <t>Ro_70_50_14</t>
  </si>
  <si>
    <t>Carpet fitter</t>
  </si>
  <si>
    <t>Ro_70_50_16</t>
  </si>
  <si>
    <t>Ceiling installer</t>
  </si>
  <si>
    <t>Ro_70_50_17</t>
  </si>
  <si>
    <t>Cement renderer</t>
  </si>
  <si>
    <t>Ro_70_50_18</t>
  </si>
  <si>
    <t>Cladding installer</t>
  </si>
  <si>
    <t>Ro_70_50_20</t>
  </si>
  <si>
    <t>Construction rigger</t>
  </si>
  <si>
    <t>Ro_70_50_22</t>
  </si>
  <si>
    <t>Crane operator</t>
  </si>
  <si>
    <t>Ro_70_50_26</t>
  </si>
  <si>
    <t>Earth moving labourer</t>
  </si>
  <si>
    <t>Ro_70_50_30</t>
  </si>
  <si>
    <t>Fencing installer</t>
  </si>
  <si>
    <t>Ro_70_50_32</t>
  </si>
  <si>
    <t>Flooring installer</t>
  </si>
  <si>
    <t>Ro_70_50_34</t>
  </si>
  <si>
    <t>Glazier</t>
  </si>
  <si>
    <t>Ro_70_50_37</t>
  </si>
  <si>
    <t>Hoist operator</t>
  </si>
  <si>
    <t>Ro_70_50_44</t>
  </si>
  <si>
    <t>Joiner</t>
  </si>
  <si>
    <t>Ro_70_50_45</t>
  </si>
  <si>
    <t>Landscape installer</t>
  </si>
  <si>
    <t>Ro_70_50_46</t>
  </si>
  <si>
    <t>Landscape maintenance operative</t>
  </si>
  <si>
    <t>Ro_70_50_47</t>
  </si>
  <si>
    <t>Lift operator</t>
  </si>
  <si>
    <t>Ro_70_50_60</t>
  </si>
  <si>
    <t>Painter and decorator</t>
  </si>
  <si>
    <t>Ro_70_50_61</t>
  </si>
  <si>
    <t>Partition installer</t>
  </si>
  <si>
    <t>Ro_70_50_62</t>
  </si>
  <si>
    <t>Paving and surfacing installer</t>
  </si>
  <si>
    <t>Ro_70_50_65</t>
  </si>
  <si>
    <t>Plasterer</t>
  </si>
  <si>
    <t>Ro_70_50_72</t>
  </si>
  <si>
    <t>Roofer</t>
  </si>
  <si>
    <t>Ro_70_50_76</t>
  </si>
  <si>
    <t>Scaffolder</t>
  </si>
  <si>
    <t>Ro_70_50_83</t>
  </si>
  <si>
    <t>Steel erector</t>
  </si>
  <si>
    <t>Ro_70_50_84</t>
  </si>
  <si>
    <t>Steel fixer</t>
  </si>
  <si>
    <t>Ro_70_50_85</t>
  </si>
  <si>
    <t>Stonemason</t>
  </si>
  <si>
    <t>Ro_70_50_88</t>
  </si>
  <si>
    <t>Tiler</t>
  </si>
  <si>
    <t>Ro_70_60</t>
  </si>
  <si>
    <t>Services trades</t>
  </si>
  <si>
    <t>Ro_70_60_10</t>
  </si>
  <si>
    <t>Cable layer</t>
  </si>
  <si>
    <t>Ro_70_60_12</t>
  </si>
  <si>
    <t>CCTV installer</t>
  </si>
  <si>
    <t>Ro_70_60_25</t>
  </si>
  <si>
    <t>Ductwork installer</t>
  </si>
  <si>
    <t>Ro_70_60_27</t>
  </si>
  <si>
    <t>Electrician</t>
  </si>
  <si>
    <t>Ro_70_60_30</t>
  </si>
  <si>
    <t>Fire detection and alarm system installer</t>
  </si>
  <si>
    <t>Ro_70_60_33</t>
  </si>
  <si>
    <t>Gas fitter</t>
  </si>
  <si>
    <t>Ro_70_60_47</t>
  </si>
  <si>
    <t>Lift installer</t>
  </si>
  <si>
    <t>Ro_70_60_63</t>
  </si>
  <si>
    <t>Pipe fitter</t>
  </si>
  <si>
    <t>Ro_70_60_66</t>
  </si>
  <si>
    <t>Plumber</t>
  </si>
  <si>
    <t>Ro_70_60_77</t>
  </si>
  <si>
    <t>Security alarm system installer</t>
  </si>
  <si>
    <t>Ro_70_60_78</t>
  </si>
  <si>
    <t>Services insulation intaller</t>
  </si>
  <si>
    <t>Ro_70_60_81</t>
  </si>
  <si>
    <t>Sprinkler system installer</t>
  </si>
  <si>
    <t>Ro_70_60_87</t>
  </si>
  <si>
    <t>Telecommunications installer</t>
  </si>
  <si>
    <t>Ro_70_60_96</t>
  </si>
  <si>
    <t>Welder</t>
  </si>
  <si>
    <t>Ro_70_65</t>
  </si>
  <si>
    <t>Site management roles</t>
  </si>
  <si>
    <t>Ro_70_65_66</t>
  </si>
  <si>
    <t>Protection officer</t>
  </si>
  <si>
    <t>Ro_70_65_79</t>
  </si>
  <si>
    <t>Signalling technician</t>
  </si>
  <si>
    <t>Ro_70_70</t>
  </si>
  <si>
    <t>Rail and road roles</t>
  </si>
  <si>
    <t>Ro_70_70_37</t>
  </si>
  <si>
    <t>Highways operative</t>
  </si>
  <si>
    <t>Ro_70_70_68</t>
  </si>
  <si>
    <t>Rail labourer</t>
  </si>
  <si>
    <t>Ro_70_70_70</t>
  </si>
  <si>
    <t>Rail track layer</t>
  </si>
  <si>
    <t>Ro_70_70_72</t>
  </si>
  <si>
    <t>Rail traction technician</t>
  </si>
  <si>
    <t>Ro_70_70_85</t>
  </si>
  <si>
    <t>Street works operative</t>
  </si>
  <si>
    <t>Pp Propriedades - 2018 v1.0</t>
  </si>
  <si>
    <t>Pp_20</t>
  </si>
  <si>
    <t>Propriedades contextuais e ambientais</t>
  </si>
  <si>
    <t>Pp_20_20</t>
  </si>
  <si>
    <t>Região</t>
  </si>
  <si>
    <t>Pp_20_25</t>
  </si>
  <si>
    <t>Meterologia</t>
  </si>
  <si>
    <t>Pp_20_30</t>
  </si>
  <si>
    <t>Topografia</t>
  </si>
  <si>
    <t>Pp_20_35</t>
  </si>
  <si>
    <t>Geologia</t>
  </si>
  <si>
    <t>Pp_30</t>
  </si>
  <si>
    <t>Propriedades essenciais</t>
  </si>
  <si>
    <t>Pp_30_01</t>
  </si>
  <si>
    <t>Normalização</t>
  </si>
  <si>
    <t>Pp_30_10</t>
  </si>
  <si>
    <t>Forma, dimensões e massa volúmica</t>
  </si>
  <si>
    <t>Pp_30_10_01</t>
  </si>
  <si>
    <t>Dimensão</t>
  </si>
  <si>
    <t>Pp_30_10_02</t>
  </si>
  <si>
    <t>Granulometria</t>
  </si>
  <si>
    <t>Pp_30_10_03</t>
  </si>
  <si>
    <t>Forma das partículas</t>
  </si>
  <si>
    <t>Pp_30_10_10</t>
  </si>
  <si>
    <t>Massa vólumica das partículas</t>
  </si>
  <si>
    <t>Pp_30_10_11</t>
  </si>
  <si>
    <t>Massa volúmica e absorção de água</t>
  </si>
  <si>
    <t>Pp_30_02</t>
  </si>
  <si>
    <t>Percentagem de partículas britadas</t>
  </si>
  <si>
    <t>Pp_30_15</t>
  </si>
  <si>
    <t>Pp_30_15_01</t>
  </si>
  <si>
    <t>Teor de conchas do agregado grosso</t>
  </si>
  <si>
    <t>Pp_30_15_02</t>
  </si>
  <si>
    <t>Finos</t>
  </si>
  <si>
    <t>Pp_30_15_10</t>
  </si>
  <si>
    <t>Teor de finos</t>
  </si>
  <si>
    <t>Pp_30_16</t>
  </si>
  <si>
    <t>Métodos de montagem e desmontagem</t>
  </si>
  <si>
    <t>Pp_30_20</t>
  </si>
  <si>
    <t>Resistência</t>
  </si>
  <si>
    <t>Pp_30_20_01</t>
  </si>
  <si>
    <t>Resistência à fragmentação do agregado grosso</t>
  </si>
  <si>
    <t>Pp_30_20_02</t>
  </si>
  <si>
    <t>Resistência à fragmentação</t>
  </si>
  <si>
    <t>Pp_30_20_10</t>
  </si>
  <si>
    <t>Resistência ao desgaste do agregado grosso</t>
  </si>
  <si>
    <t>Pp_30_20_11</t>
  </si>
  <si>
    <t>Resistência ao Polimento</t>
  </si>
  <si>
    <t>Pp_30_20_12</t>
  </si>
  <si>
    <t>Resistência à abrasão</t>
  </si>
  <si>
    <t>Pp_30_20_13</t>
  </si>
  <si>
    <t>Resistência à abrasão provocada por pneus com correntes</t>
  </si>
  <si>
    <t>Pp_30_22_20</t>
  </si>
  <si>
    <t>Resistência ao desgaste por atrito</t>
  </si>
  <si>
    <t>Pp_30_25</t>
  </si>
  <si>
    <t>Composição/teor/conteúdo</t>
  </si>
  <si>
    <t>Pp_30_25_01</t>
  </si>
  <si>
    <t>Cloretos</t>
  </si>
  <si>
    <t>Pp_30_25_02</t>
  </si>
  <si>
    <t>Sulfatos solúveis em ácido</t>
  </si>
  <si>
    <t>Pp_30_25_03</t>
  </si>
  <si>
    <t>Enxofre total</t>
  </si>
  <si>
    <t>Pp_30_25_04</t>
  </si>
  <si>
    <t>Constituintes que alteram o tempo de presa e a resistência do betão</t>
  </si>
  <si>
    <t>Pp_30_25_05</t>
  </si>
  <si>
    <t>Teor de carbonatos das areias para camadas de desgaste de pavimentos de betão</t>
  </si>
  <si>
    <t>Pp_30_30</t>
  </si>
  <si>
    <t>Estabilidade volumétrica</t>
  </si>
  <si>
    <t>Pp_30_30_01</t>
  </si>
  <si>
    <t>Estabilidade volumétrica-retracção por secagem</t>
  </si>
  <si>
    <t>Pp_30_30_02</t>
  </si>
  <si>
    <t>Constituintes que afectam a estabilidade volumétrica das escórias de alto-forno arrefecidas por ar</t>
  </si>
  <si>
    <t>Pp_30_35</t>
  </si>
  <si>
    <t>Absorção de água</t>
  </si>
  <si>
    <t>Pp_30_35_01</t>
  </si>
  <si>
    <t>Pp_30_40</t>
  </si>
  <si>
    <t>Substâncias perigosas: Emissão radioactiva (agregados de origem radioactiva usados no betão de edifícios)</t>
  </si>
  <si>
    <t>Pp_30_41</t>
  </si>
  <si>
    <t>Libertação de metais pesados, de hidrocarbonetos poliaromáticos e outras substâncias perigosas</t>
  </si>
  <si>
    <t>Pp_30_45</t>
  </si>
  <si>
    <t>Durabilidade</t>
  </si>
  <si>
    <t>Pp_30_45_01</t>
  </si>
  <si>
    <t>Reacção ao gelo/degelo do agregado grosso</t>
  </si>
  <si>
    <t>Pp_30_45_02</t>
  </si>
  <si>
    <t>Resistência ao gelo/degelo</t>
  </si>
  <si>
    <t>Pp_30_45_20</t>
  </si>
  <si>
    <t>Reacção alcali-sílica</t>
  </si>
  <si>
    <t>Pp_30_45_30</t>
  </si>
  <si>
    <t>Durabilidade face à meteorização - "Sonnenbrand"</t>
  </si>
  <si>
    <t>Pp_40</t>
  </si>
  <si>
    <t>Propriedades das aplicações e das atividades</t>
  </si>
  <si>
    <t>Pp_40_01</t>
  </si>
  <si>
    <t>Atividades usuais</t>
  </si>
  <si>
    <t>Pp_40_10</t>
  </si>
  <si>
    <t>Uso adequado e limitações</t>
  </si>
  <si>
    <t>Pp_40_15</t>
  </si>
  <si>
    <t>Sustentabilidade, eficiência e eficácia</t>
  </si>
  <si>
    <t>Pp_40_20</t>
  </si>
  <si>
    <t>Grau do uso e utilidade</t>
  </si>
  <si>
    <t>Pp_40_25</t>
  </si>
  <si>
    <t>Reutilização, mudança do uso, adaptabilidade e flexibilidade</t>
  </si>
  <si>
    <t>Pp_40_30</t>
  </si>
  <si>
    <t>Consumo, desperdicio e conservação</t>
  </si>
  <si>
    <t>Pp_40_35</t>
  </si>
  <si>
    <t>Falta de uso, uso errado e erros</t>
  </si>
  <si>
    <t>Pp_40_40</t>
  </si>
  <si>
    <t>Falhas, deficiência no uso e defeitos</t>
  </si>
  <si>
    <t>Pp_70</t>
  </si>
  <si>
    <t>Propriedades de operação e manutenção</t>
  </si>
  <si>
    <t>Pp_70_01</t>
  </si>
  <si>
    <t>Métodos de operação</t>
  </si>
  <si>
    <t>Pp_70_02</t>
  </si>
  <si>
    <t>Montagem e desmontagem, conexão e fixação</t>
  </si>
  <si>
    <t>Pp_70_10</t>
  </si>
  <si>
    <t>Manutenção</t>
  </si>
  <si>
    <t>Pp_70_15</t>
  </si>
  <si>
    <t>Revisão e reparação</t>
  </si>
  <si>
    <t>Pp_70_20</t>
  </si>
  <si>
    <t>Modificação</t>
  </si>
  <si>
    <t>Pp_70_25</t>
  </si>
  <si>
    <t>Restauração e substituição</t>
  </si>
  <si>
    <t>Pp_75</t>
  </si>
  <si>
    <t>Propriedades Administrativas</t>
  </si>
  <si>
    <t>Pp_75_01</t>
  </si>
  <si>
    <t>Nome</t>
  </si>
  <si>
    <t>Pp_75_02</t>
  </si>
  <si>
    <t>Fabricante</t>
  </si>
  <si>
    <t>Pp_75_10</t>
  </si>
  <si>
    <t>Estilo</t>
  </si>
  <si>
    <t>Pp_75_15</t>
  </si>
  <si>
    <t>Classe</t>
  </si>
  <si>
    <t>Pp_75_20</t>
  </si>
  <si>
    <t>Preço</t>
  </si>
  <si>
    <t>Pp_75_25</t>
  </si>
  <si>
    <t>"Metadata"</t>
  </si>
  <si>
    <t>Pp_80</t>
  </si>
  <si>
    <t>Propriedades simbólicas e experienciais</t>
  </si>
  <si>
    <t>Pp_80_02</t>
  </si>
  <si>
    <t>Categoria</t>
  </si>
  <si>
    <t>Pp_80_10</t>
  </si>
  <si>
    <t>Cor</t>
  </si>
  <si>
    <t>Pp_80_15</t>
  </si>
  <si>
    <t>Duração unitária</t>
  </si>
  <si>
    <t>Pp_80_16</t>
  </si>
  <si>
    <t>Expetativa de duração</t>
  </si>
  <si>
    <t>Pp_80_20</t>
  </si>
  <si>
    <t>Numero do modelo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</si>
</sst>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0"/>
      <color rgb="FF000000"/>
      <name val="Arial"/>
    </font>
    <font>
      <b/>
      <sz val="10"/>
      <name val="Arial"/>
      <family val="2"/>
    </font>
    <font>
      <b/>
      <u/>
      <sz val="10"/>
      <color rgb="FF0000FF"/>
      <name val="Arial"/>
      <family val="2"/>
    </font>
    <font>
      <sz val="10"/>
      <name val="Arial"/>
      <family val="2"/>
    </font>
    <font>
      <u/>
      <sz val="10"/>
      <color rgb="FF0000FF"/>
      <name val="Arial"/>
      <family val="2"/>
    </font>
    <font>
      <sz val="9"/>
      <color rgb="FF333333"/>
      <name val="Arial"/>
      <family val="2"/>
    </font>
    <font>
      <sz val="9"/>
      <color rgb="FF333333"/>
      <name val="Azo-sans-web"/>
    </font>
    <font>
      <sz val="10"/>
      <color rgb="FF000000"/>
      <name val="Arial"/>
      <family val="2"/>
    </font>
    <font>
      <sz val="10"/>
      <color rgb="FF000000"/>
      <name val="Roboto"/>
    </font>
    <font>
      <sz val="11"/>
      <color rgb="FF000000"/>
      <name val="Calibri"/>
      <family val="2"/>
    </font>
    <font>
      <b/>
      <sz val="15"/>
      <color rgb="FF1F497D"/>
      <name val="Calibri"/>
      <family val="2"/>
    </font>
    <font>
      <b/>
      <sz val="11"/>
      <color rgb="FF000000"/>
      <name val="Calibri"/>
      <family val="2"/>
    </font>
    <font>
      <b/>
      <sz val="11"/>
      <color rgb="FF000000"/>
      <name val="Arial"/>
      <family val="2"/>
    </font>
    <font>
      <sz val="10"/>
      <color rgb="FF38761D"/>
      <name val="Arial"/>
      <family val="2"/>
    </font>
    <font>
      <sz val="11"/>
      <color rgb="FF000000"/>
      <name val="Arial"/>
      <family val="2"/>
    </font>
    <font>
      <sz val="11"/>
      <color rgb="FF38761D"/>
      <name val="Calibri"/>
      <family val="2"/>
    </font>
    <font>
      <b/>
      <sz val="11"/>
      <color rgb="FFFFFFFF"/>
      <name val="Arial"/>
      <family val="2"/>
    </font>
    <font>
      <sz val="11"/>
      <name val="Arial"/>
      <family val="2"/>
    </font>
    <font>
      <sz val="11"/>
      <color rgb="FFFFFFFF"/>
      <name val="Arial"/>
      <family val="2"/>
    </font>
    <font>
      <sz val="11"/>
      <color rgb="FF000000"/>
      <name val="Docs-Calibri"/>
    </font>
    <font>
      <b/>
      <sz val="11"/>
      <color rgb="FFFF0000"/>
      <name val="Calibri"/>
      <family val="2"/>
    </font>
    <font>
      <b/>
      <sz val="11"/>
      <name val="Calibri"/>
      <family val="2"/>
    </font>
    <font>
      <b/>
      <sz val="11"/>
      <color rgb="FFFF6600"/>
      <name val="Calibri"/>
      <family val="2"/>
    </font>
    <font>
      <b/>
      <sz val="10"/>
      <color rgb="FF1F497D"/>
      <name val="Arial"/>
      <family val="2"/>
    </font>
    <font>
      <b/>
      <sz val="10"/>
      <color rgb="FF000000"/>
      <name val="Arial"/>
      <family val="2"/>
    </font>
    <font>
      <sz val="10"/>
      <color rgb="FF666666"/>
      <name val="Arial"/>
      <family val="2"/>
    </font>
    <font>
      <sz val="10"/>
      <name val="Arial"/>
      <family val="2"/>
    </font>
    <font>
      <sz val="10"/>
      <color rgb="FFFF0000"/>
      <name val="Arial"/>
      <family val="2"/>
    </font>
    <font>
      <u/>
      <sz val="10"/>
      <color rgb="FF000000"/>
      <name val="Arial"/>
      <family val="2"/>
    </font>
  </fonts>
  <fills count="19">
    <fill>
      <patternFill patternType="none"/>
    </fill>
    <fill>
      <patternFill patternType="gray125"/>
    </fill>
    <fill>
      <patternFill patternType="solid">
        <fgColor rgb="FF93C47D"/>
        <bgColor rgb="FF93C47D"/>
      </patternFill>
    </fill>
    <fill>
      <patternFill patternType="solid">
        <fgColor rgb="FFFFFF00"/>
        <bgColor rgb="FFFFFF00"/>
      </patternFill>
    </fill>
    <fill>
      <patternFill patternType="solid">
        <fgColor rgb="FFFFFFFF"/>
        <bgColor rgb="FFFFFFFF"/>
      </patternFill>
    </fill>
    <fill>
      <patternFill patternType="solid">
        <fgColor rgb="FFE69138"/>
        <bgColor rgb="FFE69138"/>
      </patternFill>
    </fill>
    <fill>
      <patternFill patternType="solid">
        <fgColor rgb="FF00FF00"/>
        <bgColor rgb="FF00FF00"/>
      </patternFill>
    </fill>
    <fill>
      <patternFill patternType="solid">
        <fgColor rgb="FFFFC000"/>
        <bgColor rgb="FFFFC000"/>
      </patternFill>
    </fill>
    <fill>
      <patternFill patternType="solid">
        <fgColor rgb="FFFF0000"/>
        <bgColor rgb="FFFF0000"/>
      </patternFill>
    </fill>
    <fill>
      <patternFill patternType="solid">
        <fgColor rgb="FFFF9900"/>
        <bgColor rgb="FFFF9900"/>
      </patternFill>
    </fill>
    <fill>
      <patternFill patternType="solid">
        <fgColor rgb="FF808080"/>
        <bgColor rgb="FF808080"/>
      </patternFill>
    </fill>
    <fill>
      <patternFill patternType="solid">
        <fgColor rgb="FFD9D9D9"/>
        <bgColor rgb="FFD9D9D9"/>
      </patternFill>
    </fill>
    <fill>
      <patternFill patternType="solid">
        <fgColor rgb="FFF1F1F1"/>
        <bgColor rgb="FFF1F1F1"/>
      </patternFill>
    </fill>
    <fill>
      <patternFill patternType="solid">
        <fgColor rgb="FFD8D8D8"/>
        <bgColor rgb="FFD8D8D8"/>
      </patternFill>
    </fill>
    <fill>
      <patternFill patternType="solid">
        <fgColor rgb="FFF2F2F2"/>
        <bgColor rgb="FFF2F2F2"/>
      </patternFill>
    </fill>
    <fill>
      <patternFill patternType="solid">
        <fgColor rgb="FFFF6600"/>
        <bgColor rgb="FFFF6600"/>
      </patternFill>
    </fill>
    <fill>
      <patternFill patternType="solid">
        <fgColor rgb="FFBFBFBF"/>
        <bgColor rgb="FFBFBFBF"/>
      </patternFill>
    </fill>
    <fill>
      <patternFill patternType="solid">
        <fgColor rgb="FF00B0F0"/>
        <bgColor rgb="FF00B0F0"/>
      </patternFill>
    </fill>
    <fill>
      <patternFill patternType="solid">
        <fgColor rgb="FFA6A6A6"/>
        <bgColor rgb="FFA6A6A6"/>
      </patternFill>
    </fill>
  </fills>
  <borders count="14">
    <border>
      <left/>
      <right/>
      <top/>
      <bottom/>
      <diagonal/>
    </border>
    <border>
      <left/>
      <right/>
      <top/>
      <bottom style="thin">
        <color rgb="FF4F81BD"/>
      </bottom>
      <diagonal/>
    </border>
    <border>
      <left style="thin">
        <color rgb="FFBEBEBE"/>
      </left>
      <right style="thin">
        <color rgb="FFBEBEBE"/>
      </right>
      <top style="thin">
        <color rgb="FFBEBEBE"/>
      </top>
      <bottom style="thin">
        <color rgb="FFBEBEBE"/>
      </bottom>
      <diagonal/>
    </border>
    <border>
      <left/>
      <right/>
      <top style="thin">
        <color rgb="FFBEBEBE"/>
      </top>
      <bottom style="thin">
        <color rgb="FFBEBEBE"/>
      </bottom>
      <diagonal/>
    </border>
    <border>
      <left/>
      <right style="thin">
        <color rgb="FFBEBEBE"/>
      </right>
      <top style="thin">
        <color rgb="FFBEBEBE"/>
      </top>
      <bottom style="thin">
        <color rgb="FFBEBEBE"/>
      </bottom>
      <diagonal/>
    </border>
    <border>
      <left/>
      <right/>
      <top/>
      <bottom style="thin">
        <color rgb="FFBEBEBE"/>
      </bottom>
      <diagonal/>
    </border>
    <border>
      <left/>
      <right style="thin">
        <color rgb="FFBEBEBE"/>
      </right>
      <top/>
      <bottom style="thin">
        <color rgb="FFBEBEBE"/>
      </bottom>
      <diagonal/>
    </border>
    <border>
      <left style="thin">
        <color rgb="FFBFBFBF"/>
      </left>
      <right style="thin">
        <color rgb="FFBFBFBF"/>
      </right>
      <top style="thin">
        <color rgb="FFBFBFBF"/>
      </top>
      <bottom style="thin">
        <color rgb="FFBFBFBF"/>
      </bottom>
      <diagonal/>
    </border>
    <border>
      <left/>
      <right/>
      <top style="thin">
        <color rgb="FFBFBFBF"/>
      </top>
      <bottom style="thin">
        <color rgb="FFBFBFBF"/>
      </bottom>
      <diagonal/>
    </border>
    <border>
      <left style="thin">
        <color rgb="FFBFBFBF"/>
      </left>
      <right/>
      <top style="thin">
        <color rgb="FFBFBFBF"/>
      </top>
      <bottom style="thin">
        <color rgb="FFBFBFBF"/>
      </bottom>
      <diagonal/>
    </border>
    <border>
      <left/>
      <right/>
      <top/>
      <bottom style="thin">
        <color rgb="FFBFBFBF"/>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s>
  <cellStyleXfs count="1">
    <xf numFmtId="0" fontId="0" fillId="0" borderId="0"/>
  </cellStyleXfs>
  <cellXfs count="218">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1" fillId="0" borderId="0" xfId="0" applyFont="1" applyAlignment="1">
      <alignment vertical="center"/>
    </xf>
    <xf numFmtId="0" fontId="3" fillId="0" borderId="0" xfId="0" applyFont="1" applyAlignment="1">
      <alignment horizontal="center" vertical="center"/>
    </xf>
    <xf numFmtId="0" fontId="3" fillId="2" borderId="0" xfId="0" applyFont="1" applyFill="1" applyAlignment="1">
      <alignment vertical="center"/>
    </xf>
    <xf numFmtId="0" fontId="4" fillId="0" borderId="0" xfId="0" applyFont="1" applyAlignment="1">
      <alignment vertical="center" wrapText="1"/>
    </xf>
    <xf numFmtId="0" fontId="3" fillId="0" borderId="0" xfId="0" applyFont="1" applyAlignment="1">
      <alignment vertical="center"/>
    </xf>
    <xf numFmtId="0" fontId="3" fillId="0" borderId="0" xfId="0" applyFont="1" applyAlignment="1">
      <alignment vertical="center"/>
    </xf>
    <xf numFmtId="0" fontId="3" fillId="3" borderId="0" xfId="0" applyFont="1" applyFill="1" applyAlignment="1">
      <alignment vertical="center"/>
    </xf>
    <xf numFmtId="0" fontId="5" fillId="4" borderId="0" xfId="0" applyFont="1" applyFill="1" applyAlignment="1">
      <alignment horizontal="left" wrapText="1"/>
    </xf>
    <xf numFmtId="0" fontId="6" fillId="4" borderId="0" xfId="0" applyFont="1" applyFill="1" applyAlignment="1">
      <alignment horizontal="left" wrapText="1"/>
    </xf>
    <xf numFmtId="0" fontId="3" fillId="5" borderId="0" xfId="0" applyFont="1" applyFill="1" applyAlignment="1">
      <alignment vertical="center"/>
    </xf>
    <xf numFmtId="0" fontId="3" fillId="0" borderId="0" xfId="0" applyFont="1" applyAlignment="1">
      <alignment vertical="center" wrapText="1"/>
    </xf>
    <xf numFmtId="0" fontId="3" fillId="5" borderId="0" xfId="0" applyFont="1" applyFill="1" applyAlignment="1">
      <alignment vertical="center"/>
    </xf>
    <xf numFmtId="0" fontId="7" fillId="4" borderId="0" xfId="0" applyFont="1" applyFill="1" applyAlignment="1">
      <alignment horizontal="left" vertical="center"/>
    </xf>
    <xf numFmtId="0" fontId="1" fillId="0" borderId="0" xfId="0" applyFont="1" applyAlignment="1">
      <alignment horizontal="center"/>
    </xf>
    <xf numFmtId="0" fontId="1" fillId="0" borderId="0" xfId="0" applyFont="1" applyAlignment="1">
      <alignment horizontal="center"/>
    </xf>
    <xf numFmtId="0" fontId="8" fillId="4" borderId="0" xfId="0" applyFont="1" applyFill="1" applyAlignment="1"/>
    <xf numFmtId="0" fontId="9" fillId="0" borderId="0" xfId="0" applyFont="1" applyAlignment="1">
      <alignment vertical="top"/>
    </xf>
    <xf numFmtId="0" fontId="10" fillId="0" borderId="1" xfId="0" applyFont="1" applyBorder="1" applyAlignment="1">
      <alignment vertical="top"/>
    </xf>
    <xf numFmtId="0" fontId="10" fillId="0" borderId="1" xfId="0" applyFont="1" applyBorder="1" applyAlignment="1">
      <alignment vertical="top"/>
    </xf>
    <xf numFmtId="0" fontId="10" fillId="0" borderId="0" xfId="0" applyFont="1" applyAlignment="1">
      <alignment vertical="top"/>
    </xf>
    <xf numFmtId="0" fontId="9" fillId="0" borderId="0" xfId="0" applyFont="1" applyAlignment="1">
      <alignment vertical="top"/>
    </xf>
    <xf numFmtId="0" fontId="11" fillId="0" borderId="0" xfId="0" applyFont="1" applyAlignment="1">
      <alignment vertical="top"/>
    </xf>
    <xf numFmtId="0" fontId="11" fillId="4" borderId="0" xfId="0" applyFont="1" applyFill="1" applyAlignment="1">
      <alignment horizontal="left"/>
    </xf>
    <xf numFmtId="0" fontId="12" fillId="0" borderId="0" xfId="0" applyFont="1" applyAlignment="1">
      <alignment vertical="top"/>
    </xf>
    <xf numFmtId="0" fontId="9" fillId="0" borderId="0" xfId="0" applyFont="1" applyAlignment="1">
      <alignment vertical="top"/>
    </xf>
    <xf numFmtId="0" fontId="13" fillId="0" borderId="0" xfId="0" applyFont="1" applyAlignment="1"/>
    <xf numFmtId="0" fontId="14" fillId="6" borderId="0" xfId="0" applyFont="1" applyFill="1" applyAlignment="1">
      <alignment vertical="top"/>
    </xf>
    <xf numFmtId="0" fontId="9" fillId="6" borderId="0" xfId="0" applyFont="1" applyFill="1" applyAlignment="1">
      <alignment vertical="top"/>
    </xf>
    <xf numFmtId="0" fontId="14" fillId="3" borderId="0" xfId="0" applyFont="1" applyFill="1" applyAlignment="1">
      <alignment vertical="top"/>
    </xf>
    <xf numFmtId="0" fontId="9" fillId="6" borderId="0" xfId="0" applyFont="1" applyFill="1" applyAlignment="1">
      <alignment vertical="top"/>
    </xf>
    <xf numFmtId="0" fontId="9" fillId="7" borderId="0" xfId="0" applyFont="1" applyFill="1" applyAlignment="1">
      <alignment vertical="top"/>
    </xf>
    <xf numFmtId="0" fontId="15" fillId="0" borderId="0" xfId="0" applyFont="1" applyAlignment="1">
      <alignment vertical="top"/>
    </xf>
    <xf numFmtId="0" fontId="15" fillId="0" borderId="0" xfId="0" applyFont="1" applyAlignment="1">
      <alignment vertical="top"/>
    </xf>
    <xf numFmtId="0" fontId="14" fillId="0" borderId="0" xfId="0" applyFont="1" applyAlignment="1">
      <alignment vertical="top"/>
    </xf>
    <xf numFmtId="0" fontId="9" fillId="7" borderId="0" xfId="0" applyFont="1" applyFill="1" applyAlignment="1">
      <alignment vertical="top"/>
    </xf>
    <xf numFmtId="0" fontId="15" fillId="3" borderId="0" xfId="0" applyFont="1" applyFill="1" applyAlignment="1">
      <alignment vertical="top"/>
    </xf>
    <xf numFmtId="0" fontId="15" fillId="3" borderId="0" xfId="0" applyFont="1" applyFill="1" applyAlignment="1">
      <alignment vertical="top"/>
    </xf>
    <xf numFmtId="0" fontId="9" fillId="3" borderId="0" xfId="0" applyFont="1" applyFill="1" applyAlignment="1">
      <alignment vertical="top"/>
    </xf>
    <xf numFmtId="0" fontId="9" fillId="8" borderId="0" xfId="0" applyFont="1" applyFill="1" applyAlignment="1">
      <alignment vertical="top"/>
    </xf>
    <xf numFmtId="0" fontId="14" fillId="9" borderId="0" xfId="0" applyFont="1" applyFill="1" applyAlignment="1">
      <alignment vertical="top"/>
    </xf>
    <xf numFmtId="0" fontId="9" fillId="4" borderId="0" xfId="0" applyFont="1" applyFill="1" applyAlignment="1">
      <alignment vertical="top"/>
    </xf>
    <xf numFmtId="0" fontId="15" fillId="0" borderId="0" xfId="0" applyFont="1" applyAlignment="1">
      <alignment vertical="top"/>
    </xf>
    <xf numFmtId="0" fontId="16" fillId="10" borderId="2" xfId="0" applyFont="1" applyFill="1" applyBorder="1" applyAlignment="1">
      <alignment horizontal="center" vertical="top"/>
    </xf>
    <xf numFmtId="0" fontId="17" fillId="11" borderId="2" xfId="0" applyFont="1" applyFill="1" applyBorder="1" applyAlignment="1">
      <alignment horizontal="center" vertical="top"/>
    </xf>
    <xf numFmtId="0" fontId="14" fillId="11" borderId="0" xfId="0" applyFont="1" applyFill="1" applyAlignment="1">
      <alignment horizontal="center" vertical="top"/>
    </xf>
    <xf numFmtId="0" fontId="14" fillId="11" borderId="2" xfId="0" applyFont="1" applyFill="1" applyBorder="1" applyAlignment="1">
      <alignment horizontal="center" vertical="top"/>
    </xf>
    <xf numFmtId="0" fontId="7" fillId="11" borderId="2" xfId="0" applyFont="1" applyFill="1" applyBorder="1" applyAlignment="1">
      <alignment horizontal="left"/>
    </xf>
    <xf numFmtId="0" fontId="17" fillId="11" borderId="2" xfId="0" applyFont="1" applyFill="1" applyBorder="1" applyAlignment="1">
      <alignment horizontal="left" vertical="top"/>
    </xf>
    <xf numFmtId="0" fontId="17" fillId="12" borderId="2" xfId="0" applyFont="1" applyFill="1" applyBorder="1" applyAlignment="1">
      <alignment horizontal="center" vertical="top"/>
    </xf>
    <xf numFmtId="0" fontId="14" fillId="12" borderId="0" xfId="0" applyFont="1" applyFill="1" applyAlignment="1">
      <alignment horizontal="center" vertical="top"/>
    </xf>
    <xf numFmtId="0" fontId="14" fillId="12" borderId="2" xfId="0" applyFont="1" applyFill="1" applyBorder="1" applyAlignment="1">
      <alignment horizontal="center" vertical="top"/>
    </xf>
    <xf numFmtId="0" fontId="17" fillId="12" borderId="2" xfId="0" applyFont="1" applyFill="1" applyBorder="1" applyAlignment="1">
      <alignment horizontal="left" vertical="top"/>
    </xf>
    <xf numFmtId="0" fontId="17" fillId="0" borderId="2" xfId="0" applyFont="1" applyBorder="1" applyAlignment="1">
      <alignment horizontal="center" vertical="top"/>
    </xf>
    <xf numFmtId="0" fontId="14" fillId="0" borderId="0" xfId="0" applyFont="1" applyAlignment="1">
      <alignment horizontal="center" vertical="top"/>
    </xf>
    <xf numFmtId="0" fontId="14" fillId="0" borderId="2" xfId="0" applyFont="1" applyBorder="1" applyAlignment="1">
      <alignment horizontal="center" vertical="top"/>
    </xf>
    <xf numFmtId="0" fontId="17" fillId="0" borderId="2" xfId="0" applyFont="1" applyBorder="1" applyAlignment="1">
      <alignment horizontal="left" vertical="top"/>
    </xf>
    <xf numFmtId="0" fontId="7" fillId="12" borderId="2" xfId="0" applyFont="1" applyFill="1" applyBorder="1" applyAlignment="1">
      <alignment horizontal="left"/>
    </xf>
    <xf numFmtId="0" fontId="17" fillId="12" borderId="3" xfId="0" applyFont="1" applyFill="1" applyBorder="1" applyAlignment="1">
      <alignment horizontal="left" vertical="top"/>
    </xf>
    <xf numFmtId="0" fontId="17" fillId="12" borderId="4" xfId="0" applyFont="1" applyFill="1" applyBorder="1" applyAlignment="1">
      <alignment horizontal="center" vertical="top"/>
    </xf>
    <xf numFmtId="0" fontId="7" fillId="0" borderId="2" xfId="0" applyFont="1" applyBorder="1" applyAlignment="1">
      <alignment horizontal="left"/>
    </xf>
    <xf numFmtId="0" fontId="17" fillId="0" borderId="3" xfId="0" applyFont="1" applyBorder="1" applyAlignment="1">
      <alignment horizontal="left" vertical="top"/>
    </xf>
    <xf numFmtId="0" fontId="17" fillId="0" borderId="4" xfId="0" applyFont="1" applyBorder="1" applyAlignment="1">
      <alignment horizontal="center" vertical="top"/>
    </xf>
    <xf numFmtId="0" fontId="7" fillId="12" borderId="2" xfId="0" applyFont="1" applyFill="1" applyBorder="1" applyAlignment="1">
      <alignment horizontal="left"/>
    </xf>
    <xf numFmtId="0" fontId="17" fillId="11" borderId="3" xfId="0" applyFont="1" applyFill="1" applyBorder="1" applyAlignment="1">
      <alignment horizontal="left" vertical="top"/>
    </xf>
    <xf numFmtId="0" fontId="17" fillId="11" borderId="4" xfId="0" applyFont="1" applyFill="1" applyBorder="1" applyAlignment="1">
      <alignment horizontal="center" vertical="top"/>
    </xf>
    <xf numFmtId="0" fontId="7" fillId="0" borderId="2" xfId="0" applyFont="1" applyBorder="1" applyAlignment="1">
      <alignment horizontal="left"/>
    </xf>
    <xf numFmtId="0" fontId="7" fillId="11" borderId="2" xfId="0" applyFont="1" applyFill="1" applyBorder="1" applyAlignment="1">
      <alignment horizontal="left"/>
    </xf>
    <xf numFmtId="0" fontId="17" fillId="11" borderId="4" xfId="0" applyFont="1" applyFill="1" applyBorder="1" applyAlignment="1">
      <alignment horizontal="left" vertical="top"/>
    </xf>
    <xf numFmtId="0" fontId="17" fillId="0" borderId="4" xfId="0" applyFont="1" applyBorder="1" applyAlignment="1">
      <alignment horizontal="left" vertical="top"/>
    </xf>
    <xf numFmtId="0" fontId="17" fillId="0" borderId="2" xfId="0" applyFont="1" applyBorder="1" applyAlignment="1">
      <alignment horizontal="center"/>
    </xf>
    <xf numFmtId="0" fontId="14" fillId="0" borderId="0" xfId="0" applyFont="1" applyAlignment="1">
      <alignment horizontal="center"/>
    </xf>
    <xf numFmtId="0" fontId="14" fillId="0" borderId="2" xfId="0" applyFont="1" applyBorder="1" applyAlignment="1">
      <alignment horizontal="center"/>
    </xf>
    <xf numFmtId="0" fontId="7" fillId="0" borderId="2" xfId="0" applyFont="1" applyBorder="1" applyAlignment="1">
      <alignment horizontal="left" vertical="top"/>
    </xf>
    <xf numFmtId="0" fontId="17" fillId="12" borderId="4" xfId="0" applyFont="1" applyFill="1" applyBorder="1" applyAlignment="1">
      <alignment horizontal="left" vertical="top"/>
    </xf>
    <xf numFmtId="0" fontId="10" fillId="0" borderId="1" xfId="0" applyFont="1" applyBorder="1" applyAlignment="1">
      <alignment horizontal="center" vertical="top"/>
    </xf>
    <xf numFmtId="0" fontId="9" fillId="0" borderId="0" xfId="0" applyFont="1" applyAlignment="1">
      <alignment horizontal="center" vertical="top"/>
    </xf>
    <xf numFmtId="0" fontId="11" fillId="0" borderId="0" xfId="0" applyFont="1" applyAlignment="1">
      <alignment horizontal="center" vertical="top"/>
    </xf>
    <xf numFmtId="0" fontId="9" fillId="0" borderId="0" xfId="0" applyFont="1" applyAlignment="1">
      <alignment horizontal="center" vertical="top"/>
    </xf>
    <xf numFmtId="0" fontId="9" fillId="0" borderId="0" xfId="0" applyFont="1" applyAlignment="1">
      <alignment vertical="top"/>
    </xf>
    <xf numFmtId="0" fontId="3" fillId="0" borderId="0" xfId="0" applyFont="1" applyAlignment="1">
      <alignment horizontal="center"/>
    </xf>
    <xf numFmtId="0" fontId="18" fillId="10" borderId="7" xfId="0" applyFont="1" applyFill="1" applyBorder="1" applyAlignment="1">
      <alignment horizontal="center" vertical="top"/>
    </xf>
    <xf numFmtId="0" fontId="18" fillId="10" borderId="8" xfId="0" applyFont="1" applyFill="1" applyBorder="1" applyAlignment="1">
      <alignment horizontal="center" vertical="top"/>
    </xf>
    <xf numFmtId="0" fontId="17" fillId="10" borderId="9" xfId="0" applyFont="1" applyFill="1" applyBorder="1" applyAlignment="1">
      <alignment horizontal="center" vertical="top"/>
    </xf>
    <xf numFmtId="0" fontId="17" fillId="13" borderId="7" xfId="0" applyFont="1" applyFill="1" applyBorder="1" applyAlignment="1">
      <alignment horizontal="center" vertical="top"/>
    </xf>
    <xf numFmtId="0" fontId="14" fillId="13" borderId="7" xfId="0" applyFont="1" applyFill="1" applyBorder="1" applyAlignment="1">
      <alignment horizontal="center" vertical="top"/>
    </xf>
    <xf numFmtId="0" fontId="7" fillId="13" borderId="7" xfId="0" applyFont="1" applyFill="1" applyBorder="1" applyAlignment="1">
      <alignment horizontal="left"/>
    </xf>
    <xf numFmtId="0" fontId="7" fillId="13" borderId="10" xfId="0" applyFont="1" applyFill="1" applyBorder="1" applyAlignment="1">
      <alignment horizontal="left"/>
    </xf>
    <xf numFmtId="0" fontId="7" fillId="0" borderId="0" xfId="0" applyFont="1" applyAlignment="1">
      <alignment horizontal="left" vertical="top"/>
    </xf>
    <xf numFmtId="0" fontId="17" fillId="14" borderId="7" xfId="0" applyFont="1" applyFill="1" applyBorder="1" applyAlignment="1">
      <alignment horizontal="center" vertical="top"/>
    </xf>
    <xf numFmtId="0" fontId="14" fillId="14" borderId="7" xfId="0" applyFont="1" applyFill="1" applyBorder="1" applyAlignment="1">
      <alignment horizontal="center" vertical="top"/>
    </xf>
    <xf numFmtId="0" fontId="7" fillId="14" borderId="10" xfId="0" applyFont="1" applyFill="1" applyBorder="1" applyAlignment="1">
      <alignment horizontal="left"/>
    </xf>
    <xf numFmtId="0" fontId="17" fillId="0" borderId="7" xfId="0" applyFont="1" applyBorder="1" applyAlignment="1">
      <alignment horizontal="center" vertical="top"/>
    </xf>
    <xf numFmtId="0" fontId="14" fillId="0" borderId="7" xfId="0" applyFont="1" applyBorder="1" applyAlignment="1">
      <alignment horizontal="center" vertical="top"/>
    </xf>
    <xf numFmtId="0" fontId="14" fillId="0" borderId="10" xfId="0" applyFont="1" applyBorder="1" applyAlignment="1">
      <alignment horizontal="center" vertical="top"/>
    </xf>
    <xf numFmtId="0" fontId="7" fillId="14" borderId="10" xfId="0" applyFont="1" applyFill="1" applyBorder="1" applyAlignment="1">
      <alignment horizontal="left"/>
    </xf>
    <xf numFmtId="0" fontId="14" fillId="14" borderId="10" xfId="0" applyFont="1" applyFill="1" applyBorder="1" applyAlignment="1">
      <alignment horizontal="center" vertical="top"/>
    </xf>
    <xf numFmtId="0" fontId="7" fillId="14" borderId="7" xfId="0" applyFont="1" applyFill="1" applyBorder="1" applyAlignment="1">
      <alignment horizontal="left"/>
    </xf>
    <xf numFmtId="0" fontId="7" fillId="14" borderId="7" xfId="0" applyFont="1" applyFill="1" applyBorder="1" applyAlignment="1">
      <alignment horizontal="left"/>
    </xf>
    <xf numFmtId="0" fontId="7" fillId="13" borderId="7" xfId="0" applyFont="1" applyFill="1" applyBorder="1" applyAlignment="1">
      <alignment horizontal="left"/>
    </xf>
    <xf numFmtId="0" fontId="17" fillId="0" borderId="7" xfId="0" applyFont="1" applyBorder="1" applyAlignment="1">
      <alignment horizontal="center"/>
    </xf>
    <xf numFmtId="0" fontId="14" fillId="0" borderId="7" xfId="0" applyFont="1" applyBorder="1" applyAlignment="1">
      <alignment horizontal="center"/>
    </xf>
    <xf numFmtId="0" fontId="9" fillId="0" borderId="0" xfId="0" applyFont="1" applyAlignment="1">
      <alignment horizontal="left" vertical="top"/>
    </xf>
    <xf numFmtId="0" fontId="19" fillId="4" borderId="0" xfId="0" applyFont="1" applyFill="1" applyAlignment="1">
      <alignment horizontal="left"/>
    </xf>
    <xf numFmtId="0" fontId="9" fillId="4" borderId="0" xfId="0" applyFont="1" applyFill="1" applyAlignment="1">
      <alignment horizontal="left"/>
    </xf>
    <xf numFmtId="0" fontId="1" fillId="9" borderId="11" xfId="0" applyFont="1" applyFill="1" applyBorder="1" applyAlignment="1"/>
    <xf numFmtId="0" fontId="20" fillId="0" borderId="0" xfId="0" applyFont="1" applyAlignment="1">
      <alignment vertical="top"/>
    </xf>
    <xf numFmtId="0" fontId="21" fillId="0" borderId="0" xfId="0" applyFont="1" applyAlignment="1">
      <alignment vertical="top"/>
    </xf>
    <xf numFmtId="0" fontId="9" fillId="8" borderId="12" xfId="0" applyFont="1" applyFill="1" applyBorder="1" applyAlignment="1">
      <alignment vertical="top"/>
    </xf>
    <xf numFmtId="0" fontId="9" fillId="8" borderId="12" xfId="0" applyFont="1" applyFill="1" applyBorder="1" applyAlignment="1">
      <alignment vertical="top"/>
    </xf>
    <xf numFmtId="0" fontId="20" fillId="0" borderId="12" xfId="0" applyFont="1" applyBorder="1" applyAlignment="1">
      <alignment vertical="top"/>
    </xf>
    <xf numFmtId="0" fontId="9" fillId="0" borderId="12" xfId="0" applyFont="1" applyBorder="1" applyAlignment="1">
      <alignment vertical="top"/>
    </xf>
    <xf numFmtId="0" fontId="9" fillId="15" borderId="13" xfId="0" applyFont="1" applyFill="1" applyBorder="1" applyAlignment="1">
      <alignment vertical="top"/>
    </xf>
    <xf numFmtId="0" fontId="22" fillId="0" borderId="13" xfId="0" applyFont="1" applyBorder="1" applyAlignment="1">
      <alignment vertical="top"/>
    </xf>
    <xf numFmtId="0" fontId="9" fillId="0" borderId="13" xfId="0" applyFont="1" applyBorder="1" applyAlignment="1">
      <alignment vertical="top"/>
    </xf>
    <xf numFmtId="0" fontId="22" fillId="4" borderId="13" xfId="0" applyFont="1" applyFill="1" applyBorder="1" applyAlignment="1">
      <alignment vertical="top"/>
    </xf>
    <xf numFmtId="0" fontId="9" fillId="8" borderId="13" xfId="0" applyFont="1" applyFill="1" applyBorder="1" applyAlignment="1">
      <alignment vertical="top"/>
    </xf>
    <xf numFmtId="0" fontId="9" fillId="8" borderId="13" xfId="0" applyFont="1" applyFill="1" applyBorder="1" applyAlignment="1">
      <alignment vertical="top"/>
    </xf>
    <xf numFmtId="0" fontId="20" fillId="0" borderId="13" xfId="0" applyFont="1" applyBorder="1" applyAlignment="1">
      <alignment vertical="top"/>
    </xf>
    <xf numFmtId="0" fontId="9" fillId="15" borderId="13" xfId="0" applyFont="1" applyFill="1" applyBorder="1" applyAlignment="1">
      <alignment horizontal="left" vertical="top"/>
    </xf>
    <xf numFmtId="0" fontId="9" fillId="0" borderId="13" xfId="0" applyFont="1" applyBorder="1" applyAlignment="1">
      <alignment vertical="top"/>
    </xf>
    <xf numFmtId="0" fontId="20" fillId="4" borderId="13" xfId="0" applyFont="1" applyFill="1" applyBorder="1" applyAlignment="1">
      <alignment vertical="top"/>
    </xf>
    <xf numFmtId="0" fontId="23" fillId="0" borderId="1" xfId="0" applyFont="1" applyBorder="1" applyAlignment="1">
      <alignment horizontal="left"/>
    </xf>
    <xf numFmtId="0" fontId="23" fillId="0" borderId="1" xfId="0" applyFont="1" applyBorder="1"/>
    <xf numFmtId="0" fontId="23" fillId="0" borderId="1" xfId="0" applyFont="1" applyBorder="1" applyAlignment="1"/>
    <xf numFmtId="0" fontId="7" fillId="0" borderId="0" xfId="0" applyFont="1" applyAlignment="1"/>
    <xf numFmtId="0" fontId="7" fillId="0" borderId="0" xfId="0" applyFont="1" applyAlignment="1">
      <alignment vertical="top"/>
    </xf>
    <xf numFmtId="0" fontId="7" fillId="0" borderId="0" xfId="0" applyFont="1" applyAlignment="1">
      <alignment horizontal="center"/>
    </xf>
    <xf numFmtId="0" fontId="7" fillId="0" borderId="0" xfId="0" applyFont="1" applyAlignment="1">
      <alignment horizontal="left"/>
    </xf>
    <xf numFmtId="0" fontId="7" fillId="0" borderId="0" xfId="0" applyFont="1"/>
    <xf numFmtId="0" fontId="24" fillId="0" borderId="0" xfId="0" applyFont="1" applyAlignment="1">
      <alignment horizontal="center"/>
    </xf>
    <xf numFmtId="0" fontId="24" fillId="0" borderId="0" xfId="0" applyFont="1" applyAlignment="1">
      <alignment horizontal="left"/>
    </xf>
    <xf numFmtId="0" fontId="24" fillId="0" borderId="0" xfId="0" applyFont="1" applyAlignment="1"/>
    <xf numFmtId="0" fontId="24" fillId="0" borderId="0" xfId="0" applyFont="1" applyAlignment="1"/>
    <xf numFmtId="0" fontId="7" fillId="16" borderId="0" xfId="0" applyFont="1" applyFill="1" applyAlignment="1"/>
    <xf numFmtId="0" fontId="7" fillId="16" borderId="0" xfId="0" applyFont="1" applyFill="1" applyAlignment="1">
      <alignment horizontal="center"/>
    </xf>
    <xf numFmtId="0" fontId="7" fillId="16" borderId="0" xfId="0" applyFont="1" applyFill="1" applyAlignment="1">
      <alignment horizontal="center"/>
    </xf>
    <xf numFmtId="0" fontId="7" fillId="16" borderId="0" xfId="0" applyFont="1" applyFill="1" applyAlignment="1">
      <alignment horizontal="left"/>
    </xf>
    <xf numFmtId="0" fontId="7" fillId="16" borderId="0" xfId="0" applyFont="1" applyFill="1" applyAlignment="1">
      <alignment horizontal="center"/>
    </xf>
    <xf numFmtId="0" fontId="7" fillId="16" borderId="0" xfId="0" applyFont="1" applyFill="1" applyAlignment="1"/>
    <xf numFmtId="0" fontId="7" fillId="16" borderId="0" xfId="0" applyFont="1" applyFill="1" applyAlignment="1"/>
    <xf numFmtId="0" fontId="7" fillId="11" borderId="0" xfId="0" applyFont="1" applyFill="1" applyAlignment="1"/>
    <xf numFmtId="0" fontId="7" fillId="11" borderId="0" xfId="0" applyFont="1" applyFill="1" applyAlignment="1">
      <alignment horizontal="center"/>
    </xf>
    <xf numFmtId="0" fontId="7" fillId="11" borderId="0" xfId="0" applyFont="1" applyFill="1" applyAlignment="1">
      <alignment horizontal="center"/>
    </xf>
    <xf numFmtId="0" fontId="7" fillId="11" borderId="0" xfId="0" applyFont="1" applyFill="1" applyAlignment="1">
      <alignment horizontal="left"/>
    </xf>
    <xf numFmtId="0" fontId="7" fillId="11" borderId="0" xfId="0" applyFont="1" applyFill="1" applyAlignment="1">
      <alignment horizontal="center"/>
    </xf>
    <xf numFmtId="0" fontId="7" fillId="11" borderId="0" xfId="0" applyFont="1" applyFill="1" applyAlignment="1"/>
    <xf numFmtId="0" fontId="7" fillId="11" borderId="0" xfId="0" applyFont="1" applyFill="1" applyAlignment="1"/>
    <xf numFmtId="0" fontId="7" fillId="14" borderId="0" xfId="0" applyFont="1" applyFill="1" applyAlignment="1"/>
    <xf numFmtId="0" fontId="7" fillId="14" borderId="0" xfId="0" applyFont="1" applyFill="1" applyAlignment="1">
      <alignment horizontal="center"/>
    </xf>
    <xf numFmtId="0" fontId="7" fillId="14" borderId="0" xfId="0" applyFont="1" applyFill="1" applyAlignment="1">
      <alignment horizontal="center"/>
    </xf>
    <xf numFmtId="0" fontId="7" fillId="14" borderId="0" xfId="0" applyFont="1" applyFill="1" applyAlignment="1">
      <alignment horizontal="left"/>
    </xf>
    <xf numFmtId="0" fontId="7" fillId="14" borderId="0" xfId="0" applyFont="1" applyFill="1" applyAlignment="1">
      <alignment horizontal="center"/>
    </xf>
    <xf numFmtId="0" fontId="7" fillId="14" borderId="0" xfId="0" applyFont="1" applyFill="1" applyAlignment="1"/>
    <xf numFmtId="0" fontId="7" fillId="14" borderId="0" xfId="0" applyFont="1" applyFill="1" applyAlignment="1"/>
    <xf numFmtId="0" fontId="7" fillId="0" borderId="0" xfId="0" applyFont="1" applyAlignment="1"/>
    <xf numFmtId="0" fontId="7" fillId="0" borderId="0" xfId="0" applyFont="1" applyAlignment="1">
      <alignment horizontal="center"/>
    </xf>
    <xf numFmtId="0" fontId="7" fillId="0" borderId="0" xfId="0" applyFont="1" applyAlignment="1">
      <alignment horizontal="left"/>
    </xf>
    <xf numFmtId="0" fontId="7" fillId="0" borderId="0" xfId="0" applyFont="1"/>
    <xf numFmtId="0" fontId="7" fillId="0" borderId="0" xfId="0" applyFont="1" applyAlignment="1"/>
    <xf numFmtId="0" fontId="7" fillId="0" borderId="0" xfId="0" applyFont="1" applyAlignment="1"/>
    <xf numFmtId="0" fontId="7" fillId="14" borderId="0" xfId="0" applyFont="1" applyFill="1" applyAlignment="1">
      <alignment horizontal="center"/>
    </xf>
    <xf numFmtId="0" fontId="7" fillId="14" borderId="0" xfId="0" applyFont="1" applyFill="1"/>
    <xf numFmtId="0" fontId="7" fillId="14" borderId="0" xfId="0" applyFont="1" applyFill="1" applyAlignment="1"/>
    <xf numFmtId="0" fontId="7" fillId="11" borderId="0" xfId="0" applyFont="1" applyFill="1" applyAlignment="1">
      <alignment horizontal="center"/>
    </xf>
    <xf numFmtId="0" fontId="7" fillId="14" borderId="0" xfId="0" applyFont="1" applyFill="1"/>
    <xf numFmtId="0" fontId="7" fillId="0" borderId="0" xfId="0" applyFont="1" applyAlignment="1">
      <alignment horizontal="left"/>
    </xf>
    <xf numFmtId="0" fontId="7" fillId="11" borderId="0" xfId="0" applyFont="1" applyFill="1" applyAlignment="1">
      <alignment horizontal="center"/>
    </xf>
    <xf numFmtId="0" fontId="7" fillId="11" borderId="0" xfId="0" applyFont="1" applyFill="1" applyAlignment="1"/>
    <xf numFmtId="0" fontId="7" fillId="14" borderId="0" xfId="0" applyFont="1" applyFill="1" applyAlignment="1">
      <alignment horizontal="center"/>
    </xf>
    <xf numFmtId="0" fontId="7" fillId="16" borderId="0" xfId="0" applyFont="1" applyFill="1" applyAlignment="1">
      <alignment horizontal="center"/>
    </xf>
    <xf numFmtId="0" fontId="7" fillId="16" borderId="0" xfId="0" applyFont="1" applyFill="1" applyAlignment="1">
      <alignment horizontal="center"/>
    </xf>
    <xf numFmtId="0" fontId="7" fillId="16" borderId="0" xfId="0" applyFont="1" applyFill="1" applyAlignment="1"/>
    <xf numFmtId="0" fontId="25" fillId="0" borderId="0" xfId="0" applyFont="1" applyAlignment="1">
      <alignment horizontal="left"/>
    </xf>
    <xf numFmtId="0" fontId="25" fillId="0" borderId="0" xfId="0" applyFont="1"/>
    <xf numFmtId="0" fontId="26" fillId="0" borderId="0" xfId="0" applyFont="1" applyAlignment="1">
      <alignment horizontal="left"/>
    </xf>
    <xf numFmtId="0" fontId="26" fillId="0" borderId="0" xfId="0" applyFont="1" applyAlignment="1"/>
    <xf numFmtId="0" fontId="25" fillId="0" borderId="0" xfId="0" applyFont="1"/>
    <xf numFmtId="0" fontId="7" fillId="0" borderId="0" xfId="0" applyFont="1" applyAlignment="1">
      <alignment horizontal="left"/>
    </xf>
    <xf numFmtId="0" fontId="7" fillId="0" borderId="0" xfId="0" applyFont="1" applyAlignment="1">
      <alignment horizontal="center"/>
    </xf>
    <xf numFmtId="0" fontId="7" fillId="14" borderId="0" xfId="0" applyFont="1" applyFill="1" applyAlignment="1">
      <alignment horizontal="center"/>
    </xf>
    <xf numFmtId="0" fontId="7" fillId="11" borderId="0" xfId="0" applyFont="1" applyFill="1" applyAlignment="1">
      <alignment horizontal="center"/>
    </xf>
    <xf numFmtId="0" fontId="7" fillId="0" borderId="0" xfId="0" applyFont="1" applyAlignment="1"/>
    <xf numFmtId="0" fontId="7" fillId="14" borderId="0" xfId="0" applyFont="1" applyFill="1" applyAlignment="1">
      <alignment vertical="top"/>
    </xf>
    <xf numFmtId="0" fontId="7" fillId="3" borderId="0" xfId="0" applyFont="1" applyFill="1" applyAlignment="1"/>
    <xf numFmtId="0" fontId="26" fillId="14" borderId="0" xfId="0" applyFont="1" applyFill="1" applyAlignment="1">
      <alignment horizontal="left"/>
    </xf>
    <xf numFmtId="0" fontId="27" fillId="14" borderId="0" xfId="0" applyFont="1" applyFill="1"/>
    <xf numFmtId="0" fontId="7" fillId="11" borderId="0" xfId="0" applyFont="1" applyFill="1"/>
    <xf numFmtId="0" fontId="7" fillId="11" borderId="0" xfId="0" applyFont="1" applyFill="1" applyAlignment="1">
      <alignment vertical="top"/>
    </xf>
    <xf numFmtId="0" fontId="7" fillId="16" borderId="0" xfId="0" applyFont="1" applyFill="1" applyAlignment="1">
      <alignment vertical="top"/>
    </xf>
    <xf numFmtId="0" fontId="7" fillId="3" borderId="0" xfId="0" applyFont="1" applyFill="1" applyAlignment="1">
      <alignment horizontal="left"/>
    </xf>
    <xf numFmtId="0" fontId="7" fillId="3" borderId="0" xfId="0" applyFont="1" applyFill="1"/>
    <xf numFmtId="0" fontId="28" fillId="14" borderId="0" xfId="0" applyFont="1" applyFill="1" applyAlignment="1">
      <alignment horizontal="center"/>
    </xf>
    <xf numFmtId="0" fontId="7" fillId="17" borderId="0" xfId="0" applyFont="1" applyFill="1" applyAlignment="1">
      <alignment horizontal="left"/>
    </xf>
    <xf numFmtId="0" fontId="7" fillId="17" borderId="0" xfId="0" applyFont="1" applyFill="1"/>
    <xf numFmtId="0" fontId="26" fillId="11" borderId="11" xfId="0" applyFont="1" applyFill="1" applyBorder="1" applyAlignment="1">
      <alignment horizontal="left"/>
    </xf>
    <xf numFmtId="0" fontId="7" fillId="3" borderId="0" xfId="0" applyFont="1" applyFill="1" applyAlignment="1">
      <alignment horizontal="left"/>
    </xf>
    <xf numFmtId="0" fontId="7" fillId="16" borderId="0" xfId="0" applyFont="1" applyFill="1"/>
    <xf numFmtId="0" fontId="11" fillId="0" borderId="0" xfId="0" applyFont="1" applyAlignment="1">
      <alignment horizontal="left"/>
    </xf>
    <xf numFmtId="0" fontId="9" fillId="0" borderId="0" xfId="0" applyFont="1" applyAlignment="1">
      <alignment horizontal="left"/>
    </xf>
    <xf numFmtId="0" fontId="9" fillId="16" borderId="0" xfId="0" applyFont="1" applyFill="1" applyAlignment="1">
      <alignment horizontal="left"/>
    </xf>
    <xf numFmtId="0" fontId="9" fillId="11" borderId="0" xfId="0" applyFont="1" applyFill="1" applyAlignment="1">
      <alignment horizontal="left"/>
    </xf>
    <xf numFmtId="0" fontId="9" fillId="0" borderId="0" xfId="0" applyFont="1" applyAlignment="1">
      <alignment horizontal="left"/>
    </xf>
    <xf numFmtId="0" fontId="9" fillId="18" borderId="0" xfId="0" applyFont="1" applyFill="1" applyAlignment="1">
      <alignment horizontal="left"/>
    </xf>
    <xf numFmtId="0" fontId="10" fillId="0" borderId="1" xfId="0" applyFont="1" applyBorder="1" applyAlignment="1">
      <alignment vertical="top"/>
    </xf>
    <xf numFmtId="0" fontId="3" fillId="0" borderId="1" xfId="0" applyFont="1" applyBorder="1"/>
    <xf numFmtId="0" fontId="16" fillId="10" borderId="3" xfId="0" applyFont="1" applyFill="1" applyBorder="1" applyAlignment="1">
      <alignment horizontal="center" vertical="top"/>
    </xf>
    <xf numFmtId="0" fontId="3" fillId="0" borderId="4" xfId="0" applyFont="1" applyBorder="1"/>
    <xf numFmtId="0" fontId="3" fillId="0" borderId="5" xfId="0" applyFont="1" applyBorder="1"/>
    <xf numFmtId="0" fontId="3" fillId="0" borderId="6" xfId="0" applyFont="1" applyBorder="1"/>
    <xf numFmtId="0" fontId="14" fillId="0" borderId="3" xfId="0" applyFont="1" applyBorder="1" applyAlignment="1">
      <alignment horizontal="center" vertical="top"/>
    </xf>
    <xf numFmtId="0" fontId="14" fillId="12" borderId="3" xfId="0" applyFont="1" applyFill="1" applyBorder="1" applyAlignment="1">
      <alignment horizontal="center" vertical="top"/>
    </xf>
    <xf numFmtId="0" fontId="23" fillId="0" borderId="1" xfId="0" applyFont="1" applyBorder="1" applyAlignment="1"/>
    <xf numFmtId="0" fontId="11" fillId="0" borderId="0" xfId="0" applyFont="1" applyAlignment="1">
      <alignment horizontal="left"/>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9"/>
  <sheetViews>
    <sheetView topLeftCell="D1" workbookViewId="0"/>
  </sheetViews>
  <sheetFormatPr defaultColWidth="14.453125" defaultRowHeight="15.75" customHeight="1"/>
  <cols>
    <col min="1" max="1" width="4.81640625" customWidth="1"/>
    <col min="2" max="2" width="22.7265625" customWidth="1"/>
    <col min="4" max="4" width="37.453125" customWidth="1"/>
    <col min="5" max="5" width="15.26953125" customWidth="1"/>
    <col min="7" max="7" width="10.453125" customWidth="1"/>
    <col min="8" max="8" width="29.7265625" customWidth="1"/>
    <col min="9" max="9" width="25.26953125" customWidth="1"/>
    <col min="10" max="10" width="56.26953125" customWidth="1"/>
  </cols>
  <sheetData>
    <row r="1" spans="1:10" ht="13">
      <c r="A1" s="1" t="s">
        <v>0</v>
      </c>
      <c r="B1" s="1" t="s">
        <v>1</v>
      </c>
      <c r="C1" s="1" t="s">
        <v>2</v>
      </c>
      <c r="D1" s="1" t="s">
        <v>3</v>
      </c>
      <c r="E1" s="1" t="s">
        <v>4</v>
      </c>
      <c r="F1" s="1" t="s">
        <v>5</v>
      </c>
      <c r="G1" s="1" t="s">
        <v>6</v>
      </c>
      <c r="H1" s="1" t="s">
        <v>7</v>
      </c>
      <c r="I1" s="2" t="str">
        <f>HYPERLINK("https://www.thenbs.com/knowledge/what-is-uniclass-2015","Descrição NBS")</f>
        <v>Descrição NBS</v>
      </c>
      <c r="J1" s="1" t="s">
        <v>8</v>
      </c>
    </row>
    <row r="2" spans="1:10" ht="24.75" customHeight="1">
      <c r="A2" s="3">
        <v>1</v>
      </c>
      <c r="B2" s="4" t="s">
        <v>9</v>
      </c>
      <c r="C2" s="5">
        <v>379</v>
      </c>
      <c r="D2" s="6" t="s">
        <v>10</v>
      </c>
      <c r="E2" s="7" t="str">
        <f t="shared" ref="E2:E3" si="0">HYPERLINK("https://drive.google.com/file/d/1Q_OBwYyJ6NIBPMxyizelF2mLhuPY39e1/view?usp=sharing","Teresa Poejo")</f>
        <v>Teresa Poejo</v>
      </c>
      <c r="F2" s="8" t="s">
        <v>11</v>
      </c>
      <c r="G2" s="9"/>
      <c r="H2" s="10" t="s">
        <v>12</v>
      </c>
      <c r="I2" s="11" t="s">
        <v>13</v>
      </c>
      <c r="J2" s="12" t="s">
        <v>14</v>
      </c>
    </row>
    <row r="3" spans="1:10" ht="24.75" customHeight="1">
      <c r="A3" s="3">
        <v>2</v>
      </c>
      <c r="B3" s="4" t="s">
        <v>15</v>
      </c>
      <c r="C3" s="5">
        <v>462</v>
      </c>
      <c r="D3" s="6" t="s">
        <v>16</v>
      </c>
      <c r="E3" s="7" t="str">
        <f t="shared" si="0"/>
        <v>Teresa Poejo</v>
      </c>
      <c r="F3" s="8" t="s">
        <v>17</v>
      </c>
      <c r="G3" s="9"/>
      <c r="H3" s="10" t="s">
        <v>18</v>
      </c>
      <c r="I3" s="12" t="s">
        <v>19</v>
      </c>
      <c r="J3" s="12"/>
    </row>
    <row r="4" spans="1:10" ht="24.75" customHeight="1">
      <c r="A4" s="3">
        <v>3</v>
      </c>
      <c r="B4" s="4" t="s">
        <v>20</v>
      </c>
      <c r="C4" s="5">
        <v>917</v>
      </c>
      <c r="D4" s="13" t="s">
        <v>21</v>
      </c>
      <c r="E4" s="14"/>
      <c r="F4" s="8"/>
      <c r="G4" s="9"/>
      <c r="H4" s="10" t="s">
        <v>22</v>
      </c>
      <c r="I4" s="12" t="s">
        <v>23</v>
      </c>
      <c r="J4" s="12" t="s">
        <v>24</v>
      </c>
    </row>
    <row r="5" spans="1:10" ht="24.75" customHeight="1">
      <c r="A5" s="3">
        <v>4</v>
      </c>
      <c r="B5" s="4" t="s">
        <v>25</v>
      </c>
      <c r="C5" s="5">
        <v>848</v>
      </c>
      <c r="D5" s="13" t="s">
        <v>21</v>
      </c>
      <c r="E5" s="14"/>
      <c r="F5" s="9"/>
      <c r="G5" s="9"/>
      <c r="H5" s="15"/>
      <c r="I5" s="12" t="s">
        <v>26</v>
      </c>
      <c r="J5" s="12"/>
    </row>
    <row r="6" spans="1:10" ht="24.75" customHeight="1">
      <c r="A6" s="3">
        <v>5</v>
      </c>
      <c r="B6" s="4" t="s">
        <v>27</v>
      </c>
      <c r="C6" s="5">
        <v>83</v>
      </c>
      <c r="D6" s="6" t="s">
        <v>28</v>
      </c>
      <c r="E6" s="7" t="str">
        <f>HYPERLINK("https://drive.google.com/file/d/1uCPHAQPMLbS662YWjiQ14_sCJlj6mna5/view?usp=sharing","Henrique Nunes")</f>
        <v>Henrique Nunes</v>
      </c>
      <c r="F6" s="9"/>
      <c r="G6" s="9"/>
      <c r="H6" s="15"/>
      <c r="I6" s="12" t="s">
        <v>29</v>
      </c>
      <c r="J6" s="12"/>
    </row>
    <row r="7" spans="1:10" ht="24.75" customHeight="1">
      <c r="A7" s="3">
        <v>6</v>
      </c>
      <c r="B7" s="4" t="s">
        <v>30</v>
      </c>
      <c r="C7" s="5">
        <v>2221</v>
      </c>
      <c r="D7" s="13" t="s">
        <v>21</v>
      </c>
      <c r="E7" s="14"/>
      <c r="F7" s="9"/>
      <c r="G7" s="9"/>
      <c r="H7" s="15"/>
      <c r="I7" s="12" t="s">
        <v>31</v>
      </c>
      <c r="J7" s="12"/>
    </row>
    <row r="8" spans="1:10" ht="24.75" customHeight="1">
      <c r="A8" s="3">
        <v>7</v>
      </c>
      <c r="B8" s="4" t="s">
        <v>32</v>
      </c>
      <c r="C8" s="5">
        <v>7380</v>
      </c>
      <c r="D8" s="6" t="s">
        <v>28</v>
      </c>
      <c r="E8" s="7" t="str">
        <f>HYPERLINK("https://drive.google.com/file/d/1ycQ7VbTTvtlF2uyom6RZ1zDbQzS1Cy2G/view?usp=sharing","Catarina Gomes")</f>
        <v>Catarina Gomes</v>
      </c>
      <c r="F8" s="9"/>
      <c r="G8" s="9"/>
      <c r="H8" s="15"/>
      <c r="I8" s="12" t="s">
        <v>33</v>
      </c>
      <c r="J8" s="12"/>
    </row>
    <row r="9" spans="1:10" ht="24.75" customHeight="1">
      <c r="A9" s="3">
        <v>8</v>
      </c>
      <c r="B9" s="4" t="s">
        <v>34</v>
      </c>
      <c r="C9" s="5">
        <v>811</v>
      </c>
      <c r="D9" s="13" t="s">
        <v>21</v>
      </c>
      <c r="E9" s="14"/>
      <c r="F9" s="9"/>
      <c r="G9" s="9"/>
      <c r="H9" s="15"/>
      <c r="I9" s="12" t="s">
        <v>35</v>
      </c>
      <c r="J9" s="12"/>
    </row>
    <row r="10" spans="1:10" ht="24.75" customHeight="1">
      <c r="A10" s="3">
        <v>9</v>
      </c>
      <c r="B10" s="4" t="s">
        <v>36</v>
      </c>
      <c r="C10" s="5">
        <v>448</v>
      </c>
      <c r="D10" s="10" t="s">
        <v>37</v>
      </c>
      <c r="E10" s="16" t="s">
        <v>38</v>
      </c>
      <c r="F10" s="9"/>
      <c r="G10" s="9"/>
      <c r="H10" s="15"/>
      <c r="I10" s="12" t="s">
        <v>39</v>
      </c>
      <c r="J10" s="12"/>
    </row>
    <row r="11" spans="1:10" ht="24.75" customHeight="1">
      <c r="A11" s="3">
        <v>10</v>
      </c>
      <c r="B11" s="4" t="s">
        <v>40</v>
      </c>
      <c r="C11" s="5">
        <v>132</v>
      </c>
      <c r="D11" s="13" t="s">
        <v>21</v>
      </c>
      <c r="E11" s="14"/>
      <c r="F11" s="9"/>
      <c r="G11" s="9"/>
      <c r="H11" s="15"/>
      <c r="I11" s="12"/>
      <c r="J11" s="12"/>
    </row>
    <row r="12" spans="1:10" ht="24.75" customHeight="1">
      <c r="A12" s="3">
        <v>11</v>
      </c>
      <c r="B12" s="4" t="s">
        <v>41</v>
      </c>
      <c r="C12" s="5">
        <v>97</v>
      </c>
      <c r="D12" s="10" t="s">
        <v>37</v>
      </c>
      <c r="E12" s="16" t="s">
        <v>38</v>
      </c>
      <c r="F12" s="9"/>
      <c r="G12" s="9"/>
      <c r="H12" s="15"/>
      <c r="I12" s="12" t="s">
        <v>42</v>
      </c>
      <c r="J12" s="12"/>
    </row>
    <row r="13" spans="1:10" ht="24.75" customHeight="1">
      <c r="A13" s="3">
        <v>12</v>
      </c>
      <c r="B13" s="4" t="s">
        <v>43</v>
      </c>
      <c r="C13" s="5">
        <v>217</v>
      </c>
      <c r="D13" s="13" t="s">
        <v>21</v>
      </c>
      <c r="E13" s="14"/>
      <c r="F13" s="9"/>
      <c r="G13" s="9"/>
      <c r="H13" s="15"/>
      <c r="I13" s="12"/>
      <c r="J13" s="12"/>
    </row>
    <row r="14" spans="1:10" ht="24.75" customHeight="1">
      <c r="B14" s="4" t="s">
        <v>44</v>
      </c>
      <c r="C14" s="5">
        <v>77</v>
      </c>
      <c r="D14" s="6" t="s">
        <v>28</v>
      </c>
      <c r="E14" s="7" t="str">
        <f>HYPERLINK("https://drive.google.com/file/d/1ycQ7VbTTvtlF2uyom6RZ1zDbQzS1Cy2G/view?usp=sharing","Catarina Gomes")</f>
        <v>Catarina Gomes</v>
      </c>
      <c r="F14" s="8" t="s">
        <v>11</v>
      </c>
      <c r="G14" s="9"/>
      <c r="H14" s="10" t="s">
        <v>12</v>
      </c>
      <c r="I14" s="12"/>
      <c r="J14" s="12"/>
    </row>
    <row r="15" spans="1:10" ht="24.75" customHeight="1">
      <c r="B15" s="17" t="s">
        <v>45</v>
      </c>
      <c r="C15" s="18">
        <f>SUM(C2:C14)</f>
        <v>14072</v>
      </c>
      <c r="D15" s="9"/>
      <c r="H15" s="9"/>
      <c r="I15" s="9"/>
      <c r="J15" s="9"/>
    </row>
    <row r="16" spans="1:10" ht="24.75" customHeight="1">
      <c r="D16" s="9"/>
      <c r="H16" s="9"/>
      <c r="I16" s="9"/>
      <c r="J16" s="9"/>
    </row>
    <row r="17" spans="4:10" ht="24.75" customHeight="1">
      <c r="D17" s="9"/>
      <c r="H17" s="9"/>
      <c r="I17" s="9"/>
      <c r="J17" s="9"/>
    </row>
    <row r="18" spans="4:10" ht="12.5">
      <c r="D18" s="9"/>
    </row>
    <row r="19" spans="4:10" ht="12.5">
      <c r="D1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4"/>
  <sheetViews>
    <sheetView workbookViewId="0"/>
  </sheetViews>
  <sheetFormatPr defaultColWidth="14.453125" defaultRowHeight="15.75" customHeight="1"/>
  <cols>
    <col min="1" max="1" width="26.26953125" customWidth="1"/>
  </cols>
  <sheetData>
    <row r="1" spans="1:8" ht="15.75" customHeight="1">
      <c r="B1" s="1" t="s">
        <v>46</v>
      </c>
    </row>
    <row r="2" spans="1:8" ht="15.75" customHeight="1">
      <c r="A2" s="1" t="s">
        <v>47</v>
      </c>
      <c r="B2" s="3" t="s">
        <v>48</v>
      </c>
      <c r="C2" s="3" t="s">
        <v>49</v>
      </c>
      <c r="D2" s="3" t="s">
        <v>50</v>
      </c>
      <c r="E2" s="3" t="s">
        <v>51</v>
      </c>
      <c r="F2" s="3" t="s">
        <v>52</v>
      </c>
      <c r="G2" s="3" t="s">
        <v>53</v>
      </c>
      <c r="H2" s="3" t="s">
        <v>54</v>
      </c>
    </row>
    <row r="3" spans="1:8" ht="15.75" customHeight="1">
      <c r="A3" s="19" t="s">
        <v>55</v>
      </c>
      <c r="B3" s="3" t="s">
        <v>56</v>
      </c>
      <c r="C3" s="3" t="s">
        <v>57</v>
      </c>
      <c r="D3" s="3" t="s">
        <v>58</v>
      </c>
      <c r="E3" s="20"/>
    </row>
    <row r="4" spans="1:8" ht="15.75" customHeight="1">
      <c r="A4" s="20"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380"/>
  <sheetViews>
    <sheetView workbookViewId="0">
      <pane ySplit="3" topLeftCell="A4" activePane="bottomLeft" state="frozen"/>
      <selection pane="bottomLeft" activeCell="B5" sqref="B5"/>
    </sheetView>
  </sheetViews>
  <sheetFormatPr defaultColWidth="14.453125" defaultRowHeight="15.75" customHeight="1"/>
  <cols>
    <col min="2" max="2" width="7.54296875" customWidth="1"/>
    <col min="3" max="3" width="13.08984375" customWidth="1"/>
    <col min="4" max="4" width="7.453125" customWidth="1"/>
    <col min="5" max="5" width="6.7265625" customWidth="1"/>
    <col min="6" max="6" width="39" customWidth="1"/>
    <col min="7" max="7" width="36" customWidth="1"/>
    <col min="8" max="8" width="41.453125" customWidth="1"/>
    <col min="9" max="9" width="24.7265625" customWidth="1"/>
    <col min="10" max="10" width="50.7265625" customWidth="1"/>
    <col min="11" max="11" width="20.7265625" customWidth="1"/>
    <col min="12" max="12" width="13.54296875" customWidth="1"/>
    <col min="13" max="13" width="15.7265625" customWidth="1"/>
    <col min="14" max="14" width="19.54296875" customWidth="1"/>
    <col min="15" max="15" width="21.26953125" customWidth="1"/>
    <col min="16" max="16" width="23.453125" customWidth="1"/>
    <col min="17" max="17" width="32.26953125" customWidth="1"/>
    <col min="18" max="18" width="14.7265625" customWidth="1"/>
    <col min="19" max="19" width="12.453125" customWidth="1"/>
  </cols>
  <sheetData>
    <row r="1" spans="1:19" ht="15.75" customHeight="1">
      <c r="A1" s="207" t="s">
        <v>60</v>
      </c>
      <c r="B1" s="208"/>
      <c r="C1" s="208"/>
      <c r="D1" s="22"/>
      <c r="E1" s="22"/>
      <c r="F1" s="22"/>
      <c r="H1" s="23"/>
      <c r="I1" s="23"/>
      <c r="J1" s="23"/>
      <c r="K1" s="23"/>
      <c r="L1" s="23"/>
      <c r="M1" s="23"/>
      <c r="N1" s="23"/>
      <c r="O1" s="23"/>
      <c r="P1" s="23"/>
      <c r="Q1" s="23"/>
      <c r="R1" s="22"/>
      <c r="S1" s="22"/>
    </row>
    <row r="2" spans="1:19" ht="15.75" customHeight="1">
      <c r="A2" s="24"/>
      <c r="B2" s="24"/>
      <c r="C2" s="24"/>
      <c r="D2" s="24"/>
      <c r="E2" s="24"/>
      <c r="F2" s="24"/>
      <c r="H2" s="24"/>
      <c r="I2" s="24"/>
      <c r="J2" s="24"/>
      <c r="K2" s="24"/>
      <c r="L2" s="24"/>
      <c r="M2" s="24"/>
      <c r="N2" s="24"/>
      <c r="O2" s="24"/>
      <c r="P2" s="24"/>
      <c r="Q2" s="24"/>
      <c r="R2" s="24"/>
      <c r="S2" s="24"/>
    </row>
    <row r="3" spans="1:19">
      <c r="A3" s="25" t="s">
        <v>61</v>
      </c>
      <c r="B3" s="25" t="s">
        <v>62</v>
      </c>
      <c r="C3" s="25" t="s">
        <v>63</v>
      </c>
      <c r="D3" s="25" t="s">
        <v>64</v>
      </c>
      <c r="E3" s="25" t="s">
        <v>65</v>
      </c>
      <c r="F3" s="25" t="s">
        <v>66</v>
      </c>
      <c r="G3" s="1" t="s">
        <v>67</v>
      </c>
      <c r="H3" s="25" t="s">
        <v>68</v>
      </c>
      <c r="I3" s="25" t="s">
        <v>69</v>
      </c>
      <c r="J3" s="25" t="s">
        <v>70</v>
      </c>
      <c r="K3" s="26" t="s">
        <v>71</v>
      </c>
      <c r="L3" s="27" t="s">
        <v>72</v>
      </c>
      <c r="M3" s="25" t="s">
        <v>73</v>
      </c>
      <c r="N3" s="25" t="s">
        <v>74</v>
      </c>
      <c r="O3" s="27" t="s">
        <v>75</v>
      </c>
      <c r="P3" s="27" t="s">
        <v>76</v>
      </c>
      <c r="Q3" s="27" t="s">
        <v>77</v>
      </c>
      <c r="R3" s="25" t="s">
        <v>78</v>
      </c>
      <c r="S3" s="25" t="s">
        <v>79</v>
      </c>
    </row>
    <row r="4" spans="1:19" ht="15.75" customHeight="1">
      <c r="A4" s="20" t="s">
        <v>80</v>
      </c>
      <c r="B4" s="20">
        <v>20</v>
      </c>
      <c r="C4" s="24"/>
      <c r="D4" s="24"/>
      <c r="E4" s="24"/>
      <c r="F4" s="28" t="s">
        <v>81</v>
      </c>
      <c r="G4" t="str">
        <f ca="1">IFERROR(__xludf.DUMMYFUNCTION("UPPER(LEFT((GOOGLETRANSLATE(F4,""en"",""pt"")),1))&amp;RIGHT(lower((GOOGLETRANSLATE(F4,""en"",""pt""))),(LEN((GOOGLETRANSLATE(F4,""en"",""pt"")))-1))"),"Complexos de serviço administrativo, comerciais e protectores")</f>
        <v>Complexos de serviço administrativo, comerciais e protectores</v>
      </c>
      <c r="H4" s="29" t="s">
        <v>82</v>
      </c>
      <c r="I4" s="20" t="str">
        <f>VLOOKUP(A4,CO_Base_LNEC!$B$4:$G$271,6,FALSE)</f>
        <v>Edifícios da administração, de Comércio e de proteção</v>
      </c>
      <c r="J4" s="29" t="s">
        <v>82</v>
      </c>
      <c r="K4" s="20" t="s">
        <v>83</v>
      </c>
      <c r="L4" s="30" t="s">
        <v>84</v>
      </c>
      <c r="M4" s="31" t="s">
        <v>84</v>
      </c>
      <c r="N4" s="31" t="s">
        <v>84</v>
      </c>
      <c r="O4" s="32" t="s">
        <v>85</v>
      </c>
      <c r="P4" s="33" t="s">
        <v>84</v>
      </c>
      <c r="Q4" s="34" t="s">
        <v>86</v>
      </c>
      <c r="R4" s="24"/>
      <c r="S4" s="24"/>
    </row>
    <row r="5" spans="1:19" ht="15.75" customHeight="1">
      <c r="A5" s="20" t="s">
        <v>87</v>
      </c>
      <c r="B5" s="20">
        <v>20</v>
      </c>
      <c r="C5" s="20">
        <v>10</v>
      </c>
      <c r="D5" s="24"/>
      <c r="E5" s="24"/>
      <c r="F5" s="20" t="s">
        <v>88</v>
      </c>
      <c r="G5" t="str">
        <f ca="1">IFERROR(__xludf.DUMMYFUNCTION("UPPER(LEFT((GOOGLETRANSLATE(F5,""en"",""pt"")),1))&amp;RIGHT(lower((GOOGLETRANSLATE(F5,""en"",""pt""))),(LEN((GOOGLETRANSLATE(F5,""en"",""pt"")))-1))"),"Complexos legislativas")</f>
        <v>Complexos legislativas</v>
      </c>
      <c r="H5" s="35" t="s">
        <v>89</v>
      </c>
      <c r="I5" s="20" t="str">
        <f>VLOOKUP(A5,CO_Base_LNEC!$B$4:$G$271,6,FALSE)</f>
        <v>Edifícios legislativos</v>
      </c>
      <c r="J5" s="35" t="s">
        <v>89</v>
      </c>
      <c r="K5" s="20" t="s">
        <v>83</v>
      </c>
      <c r="L5" s="30" t="s">
        <v>84</v>
      </c>
      <c r="M5" s="31" t="s">
        <v>84</v>
      </c>
      <c r="N5" s="31" t="s">
        <v>84</v>
      </c>
      <c r="O5" s="31" t="s">
        <v>84</v>
      </c>
      <c r="P5" s="33" t="s">
        <v>84</v>
      </c>
      <c r="Q5" s="34" t="s">
        <v>86</v>
      </c>
      <c r="R5" s="24"/>
      <c r="S5" s="24"/>
    </row>
    <row r="6" spans="1:19" ht="15.75" customHeight="1">
      <c r="A6" s="20" t="s">
        <v>90</v>
      </c>
      <c r="B6" s="20">
        <v>20</v>
      </c>
      <c r="C6" s="20">
        <v>10</v>
      </c>
      <c r="D6" s="20">
        <v>60</v>
      </c>
      <c r="E6" s="24"/>
      <c r="F6" s="20" t="s">
        <v>91</v>
      </c>
      <c r="G6" t="str">
        <f ca="1">IFERROR(__xludf.DUMMYFUNCTION("UPPER(LEFT((GOOGLETRANSLATE(F6,""en"",""pt"")),1))&amp;RIGHT(lower((GOOGLETRANSLATE(F6,""en"",""pt""))),(LEN((GOOGLETRANSLATE(F6,""en"",""pt"")))-1))"),"Complexos governamentais")</f>
        <v>Complexos governamentais</v>
      </c>
      <c r="H6" s="36" t="s">
        <v>92</v>
      </c>
      <c r="I6" s="20" t="str">
        <f>VLOOKUP(A6,CO_Base_LNEC!$B$4:$G$271,6,FALSE)</f>
        <v>Edifícios governamentais</v>
      </c>
      <c r="J6" s="36" t="s">
        <v>92</v>
      </c>
      <c r="K6" s="20" t="s">
        <v>83</v>
      </c>
      <c r="L6" s="30" t="s">
        <v>84</v>
      </c>
      <c r="M6" s="31" t="s">
        <v>84</v>
      </c>
      <c r="N6" s="31" t="s">
        <v>84</v>
      </c>
      <c r="O6" s="31" t="s">
        <v>84</v>
      </c>
      <c r="P6" s="33" t="s">
        <v>84</v>
      </c>
      <c r="Q6" s="34" t="s">
        <v>86</v>
      </c>
      <c r="R6" s="24"/>
      <c r="S6" s="24"/>
    </row>
    <row r="7" spans="1:19" ht="15.75" customHeight="1">
      <c r="A7" s="20" t="s">
        <v>93</v>
      </c>
      <c r="B7" s="20">
        <v>20</v>
      </c>
      <c r="C7" s="20">
        <v>15</v>
      </c>
      <c r="D7" s="24"/>
      <c r="E7" s="24"/>
      <c r="F7" s="20" t="s">
        <v>94</v>
      </c>
      <c r="G7" t="str">
        <f ca="1">IFERROR(__xludf.DUMMYFUNCTION("UPPER(LEFT((GOOGLETRANSLATE(F7,""en"",""pt"")),1))&amp;RIGHT(lower((GOOGLETRANSLATE(F7,""en"",""pt""))),(LEN((GOOGLETRANSLATE(F7,""en"",""pt"")))-1))"),"Complexos administrativos")</f>
        <v>Complexos administrativos</v>
      </c>
      <c r="H7" s="36" t="s">
        <v>95</v>
      </c>
      <c r="I7" s="20" t="str">
        <f>VLOOKUP(A7,CO_Base_LNEC!$B$4:$G$271,6,FALSE)</f>
        <v>Edifícios administrativos</v>
      </c>
      <c r="J7" s="36" t="s">
        <v>95</v>
      </c>
      <c r="K7" s="20" t="s">
        <v>83</v>
      </c>
      <c r="L7" s="30" t="s">
        <v>84</v>
      </c>
      <c r="M7" s="31" t="s">
        <v>84</v>
      </c>
      <c r="N7" s="31" t="s">
        <v>84</v>
      </c>
      <c r="O7" s="31" t="s">
        <v>84</v>
      </c>
      <c r="P7" s="33" t="s">
        <v>84</v>
      </c>
      <c r="Q7" s="34" t="s">
        <v>86</v>
      </c>
      <c r="R7" s="24"/>
      <c r="S7" s="24"/>
    </row>
    <row r="8" spans="1:19" ht="15.75" customHeight="1">
      <c r="A8" s="20" t="s">
        <v>96</v>
      </c>
      <c r="B8" s="20">
        <v>20</v>
      </c>
      <c r="C8" s="20">
        <v>15</v>
      </c>
      <c r="D8" s="20">
        <v>8</v>
      </c>
      <c r="E8" s="24"/>
      <c r="F8" s="20" t="s">
        <v>97</v>
      </c>
      <c r="G8" t="str">
        <f ca="1">IFERROR(__xludf.DUMMYFUNCTION("UPPER(LEFT((GOOGLETRANSLATE(F8,""en"",""pt"")),1))&amp;RIGHT(lower((GOOGLETRANSLATE(F8,""en"",""pt""))),(LEN((GOOGLETRANSLATE(F8,""en"",""pt"")))-1))"),"Parques empresariais")</f>
        <v>Parques empresariais</v>
      </c>
      <c r="H8" s="36" t="s">
        <v>98</v>
      </c>
      <c r="I8" s="20" t="str">
        <f>VLOOKUP(A8,CO_Base_LNEC!$B$4:$G$271,6,FALSE)</f>
        <v>Parques empresariais</v>
      </c>
      <c r="J8" s="36" t="s">
        <v>98</v>
      </c>
      <c r="K8" s="20" t="s">
        <v>83</v>
      </c>
      <c r="L8" s="30" t="s">
        <v>84</v>
      </c>
      <c r="M8" s="31" t="s">
        <v>84</v>
      </c>
      <c r="N8" s="31" t="s">
        <v>84</v>
      </c>
      <c r="O8" s="31" t="s">
        <v>84</v>
      </c>
      <c r="P8" s="33" t="s">
        <v>84</v>
      </c>
      <c r="Q8" s="33" t="s">
        <v>84</v>
      </c>
      <c r="R8" s="24"/>
      <c r="S8" s="24"/>
    </row>
    <row r="9" spans="1:19" ht="15.75" customHeight="1">
      <c r="A9" s="20" t="s">
        <v>99</v>
      </c>
      <c r="B9" s="20">
        <v>20</v>
      </c>
      <c r="C9" s="20">
        <v>15</v>
      </c>
      <c r="D9" s="20">
        <v>58</v>
      </c>
      <c r="E9" s="24"/>
      <c r="F9" s="20" t="s">
        <v>100</v>
      </c>
      <c r="G9" t="str">
        <f ca="1">IFERROR(__xludf.DUMMYFUNCTION("UPPER(LEFT((GOOGLETRANSLATE(F9,""en"",""pt"")),1))&amp;RIGHT(lower((GOOGLETRANSLATE(F9,""en"",""pt""))),(LEN((GOOGLETRANSLATE(F9,""en"",""pt"")))-1))"),"Complexos de escritórios")</f>
        <v>Complexos de escritórios</v>
      </c>
      <c r="H9" s="36" t="s">
        <v>101</v>
      </c>
      <c r="I9" s="20" t="str">
        <f>VLOOKUP(A9,CO_Base_LNEC!$B$4:$G$271,6,FALSE)</f>
        <v>Escritórios</v>
      </c>
      <c r="J9" s="36" t="s">
        <v>101</v>
      </c>
      <c r="K9" s="20" t="s">
        <v>83</v>
      </c>
      <c r="L9" s="30" t="s">
        <v>84</v>
      </c>
      <c r="M9" s="31" t="s">
        <v>84</v>
      </c>
      <c r="N9" s="31" t="s">
        <v>84</v>
      </c>
      <c r="O9" s="31" t="s">
        <v>84</v>
      </c>
      <c r="P9" s="33" t="s">
        <v>84</v>
      </c>
      <c r="Q9" s="34" t="s">
        <v>86</v>
      </c>
      <c r="R9" s="24"/>
      <c r="S9" s="24"/>
    </row>
    <row r="10" spans="1:19" ht="15.75" customHeight="1">
      <c r="A10" s="20" t="s">
        <v>102</v>
      </c>
      <c r="B10" s="20">
        <v>20</v>
      </c>
      <c r="C10" s="20">
        <v>20</v>
      </c>
      <c r="D10" s="24"/>
      <c r="E10" s="24"/>
      <c r="F10" s="20" t="s">
        <v>103</v>
      </c>
      <c r="G10" t="str">
        <f ca="1">IFERROR(__xludf.DUMMYFUNCTION("UPPER(LEFT((GOOGLETRANSLATE(F10,""en"",""pt"")),1))&amp;RIGHT(lower((GOOGLETRANSLATE(F10,""en"",""pt""))),(LEN((GOOGLETRANSLATE(F10,""en"",""pt"")))-1))"),"Complexos representativos temporais")</f>
        <v>Complexos representativos temporais</v>
      </c>
      <c r="H10" s="35" t="s">
        <v>104</v>
      </c>
      <c r="I10" s="20" t="str">
        <f>VLOOKUP(A10,CO_Base_LNEC!$B$4:$G$271,6,FALSE)</f>
        <v>Edifícios administração pública</v>
      </c>
      <c r="J10" s="35" t="s">
        <v>105</v>
      </c>
      <c r="K10" s="20" t="s">
        <v>83</v>
      </c>
      <c r="L10" s="30" t="s">
        <v>84</v>
      </c>
      <c r="M10" s="31" t="s">
        <v>84</v>
      </c>
      <c r="N10" s="31" t="s">
        <v>84</v>
      </c>
      <c r="O10" s="31" t="s">
        <v>84</v>
      </c>
      <c r="P10" s="33" t="s">
        <v>84</v>
      </c>
      <c r="Q10" s="34" t="s">
        <v>86</v>
      </c>
      <c r="R10" s="24"/>
      <c r="S10" s="24"/>
    </row>
    <row r="11" spans="1:19" ht="15.75" customHeight="1">
      <c r="A11" s="20" t="s">
        <v>106</v>
      </c>
      <c r="B11" s="20">
        <v>20</v>
      </c>
      <c r="C11" s="20">
        <v>20</v>
      </c>
      <c r="D11" s="20">
        <v>15</v>
      </c>
      <c r="E11" s="24"/>
      <c r="F11" s="20" t="s">
        <v>107</v>
      </c>
      <c r="G11" t="str">
        <f ca="1">IFERROR(__xludf.DUMMYFUNCTION("UPPER(LEFT((GOOGLETRANSLATE(F11,""en"",""pt"")),1))&amp;RIGHT(lower((GOOGLETRANSLATE(F11,""en"",""pt""))),(LEN((GOOGLETRANSLATE(F11,""en"",""pt"")))-1))"),"Complexos de representantes dos estados-nação no exterior")</f>
        <v>Complexos de representantes dos estados-nação no exterior</v>
      </c>
      <c r="H11" s="35" t="s">
        <v>108</v>
      </c>
      <c r="I11" s="20" t="e">
        <f>VLOOKUP(A11,CO_Base_LNEC!$B$4:$G$271,6,FALSE)</f>
        <v>#N/A</v>
      </c>
      <c r="J11" s="20" t="s">
        <v>109</v>
      </c>
      <c r="K11" s="20" t="s">
        <v>83</v>
      </c>
      <c r="L11" s="30" t="s">
        <v>84</v>
      </c>
      <c r="M11" s="31" t="s">
        <v>84</v>
      </c>
      <c r="N11" s="31" t="s">
        <v>84</v>
      </c>
      <c r="O11" s="37" t="s">
        <v>110</v>
      </c>
      <c r="P11" s="33" t="s">
        <v>84</v>
      </c>
      <c r="Q11" s="34" t="s">
        <v>86</v>
      </c>
      <c r="R11" s="24"/>
      <c r="S11" s="24"/>
    </row>
    <row r="12" spans="1:19" ht="15.75" customHeight="1">
      <c r="A12" s="20" t="s">
        <v>111</v>
      </c>
      <c r="B12" s="20">
        <v>20</v>
      </c>
      <c r="C12" s="20">
        <v>20</v>
      </c>
      <c r="D12" s="20">
        <v>40</v>
      </c>
      <c r="E12" s="24"/>
      <c r="F12" s="20" t="s">
        <v>112</v>
      </c>
      <c r="G12" t="str">
        <f ca="1">IFERROR(__xludf.DUMMYFUNCTION("UPPER(LEFT((GOOGLETRANSLATE(F12,""en"",""pt"")),1))&amp;RIGHT(lower((GOOGLETRANSLATE(F12,""en"",""pt""))),(LEN((GOOGLETRANSLATE(F12,""en"",""pt"")))-1))"),"Complexos do governo local")</f>
        <v>Complexos do governo local</v>
      </c>
      <c r="H12" s="35" t="s">
        <v>113</v>
      </c>
      <c r="I12" s="20" t="str">
        <f>VLOOKUP(A12,CO_Base_LNEC!$B$4:$G$271,6,FALSE)</f>
        <v>Edifícios das câmaras municipais</v>
      </c>
      <c r="J12" s="35" t="s">
        <v>114</v>
      </c>
      <c r="K12" s="20" t="s">
        <v>83</v>
      </c>
      <c r="L12" s="30" t="s">
        <v>84</v>
      </c>
      <c r="M12" s="31" t="s">
        <v>84</v>
      </c>
      <c r="N12" s="20" t="s">
        <v>114</v>
      </c>
      <c r="O12" s="31" t="s">
        <v>84</v>
      </c>
      <c r="P12" s="38" t="s">
        <v>115</v>
      </c>
      <c r="Q12" s="38" t="s">
        <v>115</v>
      </c>
      <c r="R12" s="24"/>
      <c r="S12" s="24"/>
    </row>
    <row r="13" spans="1:19" ht="15.75" customHeight="1">
      <c r="A13" s="20" t="s">
        <v>116</v>
      </c>
      <c r="B13" s="20">
        <v>20</v>
      </c>
      <c r="C13" s="20">
        <v>20</v>
      </c>
      <c r="D13" s="20">
        <v>50</v>
      </c>
      <c r="E13" s="24"/>
      <c r="F13" s="20" t="s">
        <v>117</v>
      </c>
      <c r="G13" t="str">
        <f ca="1">IFERROR(__xludf.DUMMYFUNCTION("UPPER(LEFT((GOOGLETRANSLATE(F13,""en"",""pt"")),1))&amp;RIGHT(lower((GOOGLETRANSLATE(F13,""en"",""pt""))),(LEN((GOOGLETRANSLATE(F13,""en"",""pt"")))-1))"),"Complexos governamentais nacionais")</f>
        <v>Complexos governamentais nacionais</v>
      </c>
      <c r="H13" s="36" t="s">
        <v>118</v>
      </c>
      <c r="I13" s="20" t="str">
        <f>VLOOKUP(A13,CO_Base_LNEC!$B$4:$G$271,6,FALSE)</f>
        <v>Edifícios do governo nacional</v>
      </c>
      <c r="J13" s="36" t="s">
        <v>118</v>
      </c>
      <c r="K13" s="20" t="s">
        <v>83</v>
      </c>
      <c r="L13" s="30" t="s">
        <v>84</v>
      </c>
      <c r="M13" s="31" t="s">
        <v>84</v>
      </c>
      <c r="N13" s="31" t="s">
        <v>84</v>
      </c>
      <c r="O13" s="37" t="s">
        <v>119</v>
      </c>
      <c r="P13" s="33" t="s">
        <v>84</v>
      </c>
      <c r="Q13" s="34" t="s">
        <v>86</v>
      </c>
      <c r="R13" s="24"/>
      <c r="S13" s="24"/>
    </row>
    <row r="14" spans="1:19" ht="15.75" customHeight="1">
      <c r="A14" s="20" t="s">
        <v>120</v>
      </c>
      <c r="B14" s="20">
        <v>20</v>
      </c>
      <c r="C14" s="20">
        <v>20</v>
      </c>
      <c r="D14" s="20">
        <v>70</v>
      </c>
      <c r="E14" s="24"/>
      <c r="F14" s="20" t="s">
        <v>121</v>
      </c>
      <c r="G14" t="str">
        <f ca="1">IFERROR(__xludf.DUMMYFUNCTION("UPPER(LEFT((GOOGLETRANSLATE(F14,""en"",""pt"")),1))&amp;RIGHT(lower((GOOGLETRANSLATE(F14,""en"",""pt""))),(LEN((GOOGLETRANSLATE(F14,""en"",""pt"")))-1))"),"Complexos do governo regional")</f>
        <v>Complexos do governo regional</v>
      </c>
      <c r="H14" s="35" t="s">
        <v>122</v>
      </c>
      <c r="I14" s="20" t="str">
        <f>VLOOKUP(A14,CO_Base_LNEC!$B$4:$G$271,6,FALSE)</f>
        <v>Edifícios do governo regional</v>
      </c>
      <c r="J14" s="35" t="s">
        <v>122</v>
      </c>
      <c r="K14" s="20" t="s">
        <v>83</v>
      </c>
      <c r="L14" s="30" t="s">
        <v>84</v>
      </c>
      <c r="M14" s="31" t="s">
        <v>84</v>
      </c>
      <c r="N14" s="31" t="s">
        <v>84</v>
      </c>
      <c r="O14" s="37" t="s">
        <v>123</v>
      </c>
      <c r="P14" s="34" t="s">
        <v>124</v>
      </c>
      <c r="Q14" s="34" t="s">
        <v>125</v>
      </c>
      <c r="R14" s="24"/>
      <c r="S14" s="24"/>
    </row>
    <row r="15" spans="1:19" ht="15.75" customHeight="1">
      <c r="A15" s="20" t="s">
        <v>126</v>
      </c>
      <c r="B15" s="20">
        <v>20</v>
      </c>
      <c r="C15" s="20">
        <v>45</v>
      </c>
      <c r="D15" s="24"/>
      <c r="E15" s="24"/>
      <c r="F15" s="20" t="s">
        <v>127</v>
      </c>
      <c r="G15" t="str">
        <f ca="1">IFERROR(__xludf.DUMMYFUNCTION("UPPER(LEFT((GOOGLETRANSLATE(F15,""en"",""pt"")),1))&amp;RIGHT(lower((GOOGLETRANSLATE(F15,""en"",""pt""))),(LEN((GOOGLETRANSLATE(F15,""en"",""pt"")))-1))"),"Manutenção do veículo a motor e complexos de abastecimento")</f>
        <v>Manutenção do veículo a motor e complexos de abastecimento</v>
      </c>
      <c r="H15" s="35" t="s">
        <v>128</v>
      </c>
      <c r="I15" s="20" t="str">
        <f>VLOOKUP(A15,CO_Base_LNEC!$B$4:$G$271,6,FALSE)</f>
        <v>Edifícios de manutenção e abastecimento de veículos a motor</v>
      </c>
      <c r="J15" s="35" t="s">
        <v>129</v>
      </c>
      <c r="K15" s="20" t="s">
        <v>83</v>
      </c>
      <c r="L15" s="30" t="s">
        <v>84</v>
      </c>
      <c r="M15" s="31" t="s">
        <v>84</v>
      </c>
      <c r="N15" s="31" t="s">
        <v>84</v>
      </c>
      <c r="O15" s="30" t="s">
        <v>84</v>
      </c>
      <c r="P15" s="34" t="s">
        <v>130</v>
      </c>
      <c r="Q15" s="34" t="s">
        <v>125</v>
      </c>
      <c r="R15" s="24"/>
      <c r="S15" s="24"/>
    </row>
    <row r="16" spans="1:19" ht="15.75" customHeight="1">
      <c r="A16" s="20" t="s">
        <v>131</v>
      </c>
      <c r="B16" s="20">
        <v>20</v>
      </c>
      <c r="C16" s="20">
        <v>45</v>
      </c>
      <c r="D16" s="20">
        <v>50</v>
      </c>
      <c r="E16" s="24"/>
      <c r="F16" s="20" t="s">
        <v>132</v>
      </c>
      <c r="G16" t="str">
        <f ca="1">IFERROR(__xludf.DUMMYFUNCTION("UPPER(LEFT((GOOGLETRANSLATE(F16,""en"",""pt"")),1))&amp;RIGHT(lower((GOOGLETRANSLATE(F16,""en"",""pt""))),(LEN((GOOGLETRANSLATE(F16,""en"",""pt"")))-1))"),"Abastecimento de veículos automóveis e estações de carregamento")</f>
        <v>Abastecimento de veículos automóveis e estações de carregamento</v>
      </c>
      <c r="H16" s="35" t="s">
        <v>133</v>
      </c>
      <c r="I16" s="20" t="str">
        <f>VLOOKUP(A16,CO_Base_LNEC!$B$4:$G$271,6,FALSE)</f>
        <v>Estações de abastecimento e carregamento de veículos a motor</v>
      </c>
      <c r="J16" s="35" t="s">
        <v>134</v>
      </c>
      <c r="K16" s="20" t="s">
        <v>83</v>
      </c>
      <c r="L16" s="30" t="s">
        <v>84</v>
      </c>
      <c r="M16" s="31" t="s">
        <v>84</v>
      </c>
      <c r="N16" s="31" t="s">
        <v>84</v>
      </c>
      <c r="O16" s="30" t="s">
        <v>84</v>
      </c>
      <c r="P16" s="34" t="s">
        <v>135</v>
      </c>
      <c r="Q16" s="34" t="s">
        <v>125</v>
      </c>
      <c r="R16" s="24"/>
      <c r="S16" s="24"/>
    </row>
    <row r="17" spans="1:19" ht="15.75" customHeight="1">
      <c r="A17" s="20" t="s">
        <v>136</v>
      </c>
      <c r="B17" s="20">
        <v>20</v>
      </c>
      <c r="C17" s="20">
        <v>45</v>
      </c>
      <c r="D17" s="20">
        <v>54</v>
      </c>
      <c r="E17" s="24"/>
      <c r="F17" s="20" t="s">
        <v>137</v>
      </c>
      <c r="G17" t="str">
        <f ca="1">IFERROR(__xludf.DUMMYFUNCTION("UPPER(LEFT((GOOGLETRANSLATE(F17,""en"",""pt"")),1))&amp;RIGHT(lower((GOOGLETRANSLATE(F17,""en"",""pt""))),(LEN((GOOGLETRANSLATE(F17,""en"",""pt"")))-1))"),"Veículo automóvel de manutenção complexos")</f>
        <v>Veículo automóvel de manutenção complexos</v>
      </c>
      <c r="H17" s="36" t="s">
        <v>138</v>
      </c>
      <c r="I17" s="20" t="str">
        <f>VLOOKUP(A17,CO_Base_LNEC!$B$4:$G$271,6,FALSE)</f>
        <v>Edifícios para manutenção de veículos a motor</v>
      </c>
      <c r="J17" s="35" t="s">
        <v>139</v>
      </c>
      <c r="K17" s="20" t="s">
        <v>83</v>
      </c>
      <c r="L17" s="30" t="s">
        <v>84</v>
      </c>
      <c r="M17" s="31" t="s">
        <v>84</v>
      </c>
      <c r="N17" s="31" t="s">
        <v>84</v>
      </c>
      <c r="O17" s="30" t="s">
        <v>84</v>
      </c>
      <c r="P17" s="34" t="s">
        <v>140</v>
      </c>
      <c r="Q17" s="34" t="s">
        <v>125</v>
      </c>
      <c r="R17" s="24"/>
      <c r="S17" s="24"/>
    </row>
    <row r="18" spans="1:19" ht="15.75" customHeight="1">
      <c r="A18" s="20" t="s">
        <v>141</v>
      </c>
      <c r="B18" s="20">
        <v>20</v>
      </c>
      <c r="C18" s="20">
        <v>50</v>
      </c>
      <c r="D18" s="24"/>
      <c r="E18" s="24"/>
      <c r="F18" s="20" t="s">
        <v>142</v>
      </c>
      <c r="G18" t="str">
        <f ca="1">IFERROR(__xludf.DUMMYFUNCTION("UPPER(LEFT((GOOGLETRANSLATE(F18,""en"",""pt"")),1))&amp;RIGHT(lower((GOOGLETRANSLATE(F18,""en"",""pt""))),(LEN((GOOGLETRANSLATE(F18,""en"",""pt"")))-1))"),"Complexos comerciais")</f>
        <v>Complexos comerciais</v>
      </c>
      <c r="H18" s="36" t="s">
        <v>143</v>
      </c>
      <c r="I18" s="20" t="str">
        <f>VLOOKUP(A18,CO_Base_LNEC!$B$4:$G$271,6,FALSE)</f>
        <v>Edifícios comerciais</v>
      </c>
      <c r="J18" s="36" t="s">
        <v>143</v>
      </c>
      <c r="K18" s="20" t="s">
        <v>83</v>
      </c>
      <c r="L18" s="30" t="s">
        <v>84</v>
      </c>
      <c r="M18" s="31" t="s">
        <v>84</v>
      </c>
      <c r="N18" s="31" t="s">
        <v>84</v>
      </c>
      <c r="O18" s="30" t="s">
        <v>84</v>
      </c>
      <c r="P18" s="34" t="s">
        <v>144</v>
      </c>
      <c r="Q18" s="34" t="s">
        <v>86</v>
      </c>
      <c r="R18" s="24"/>
      <c r="S18" s="24"/>
    </row>
    <row r="19" spans="1:19" ht="15.75" customHeight="1">
      <c r="A19" s="20" t="s">
        <v>145</v>
      </c>
      <c r="B19" s="20">
        <v>20</v>
      </c>
      <c r="C19" s="20">
        <v>50</v>
      </c>
      <c r="D19" s="20">
        <v>5</v>
      </c>
      <c r="E19" s="24"/>
      <c r="F19" s="20" t="s">
        <v>146</v>
      </c>
      <c r="G19" t="str">
        <f ca="1">IFERROR(__xludf.DUMMYFUNCTION("UPPER(LEFT((GOOGLETRANSLATE(F19,""en"",""pt"")),1))&amp;RIGHT(lower((GOOGLETRANSLATE(F19,""en"",""pt""))),(LEN((GOOGLETRANSLATE(F19,""en"",""pt"")))-1))"),"Complexos leilão")</f>
        <v>Complexos leilão</v>
      </c>
      <c r="H19" s="35" t="s">
        <v>147</v>
      </c>
      <c r="I19" s="20" t="e">
        <f>VLOOKUP(A19,CO_Base_LNEC!$B$4:$G$271,6,FALSE)</f>
        <v>#N/A</v>
      </c>
      <c r="J19" s="35" t="s">
        <v>147</v>
      </c>
      <c r="K19" s="20" t="s">
        <v>83</v>
      </c>
      <c r="L19" s="30" t="s">
        <v>84</v>
      </c>
      <c r="M19" s="31" t="s">
        <v>84</v>
      </c>
      <c r="N19" s="31" t="s">
        <v>84</v>
      </c>
      <c r="O19" s="30" t="s">
        <v>84</v>
      </c>
      <c r="P19" s="34" t="s">
        <v>148</v>
      </c>
      <c r="Q19" s="34" t="s">
        <v>86</v>
      </c>
      <c r="R19" s="24"/>
      <c r="S19" s="24"/>
    </row>
    <row r="20" spans="1:19" ht="15.75" customHeight="1">
      <c r="A20" s="20" t="s">
        <v>149</v>
      </c>
      <c r="B20" s="20">
        <v>20</v>
      </c>
      <c r="C20" s="20">
        <v>50</v>
      </c>
      <c r="D20" s="20">
        <v>50</v>
      </c>
      <c r="E20" s="24"/>
      <c r="F20" s="20" t="s">
        <v>150</v>
      </c>
      <c r="G20" t="str">
        <f ca="1">IFERROR(__xludf.DUMMYFUNCTION("UPPER(LEFT((GOOGLETRANSLATE(F20,""en"",""pt"")),1))&amp;RIGHT(lower((GOOGLETRANSLATE(F20,""en"",""pt""))),(LEN((GOOGLETRANSLATE(F20,""en"",""pt"")))-1))"),"Complexos do mercado")</f>
        <v>Complexos do mercado</v>
      </c>
      <c r="H20" s="35" t="s">
        <v>151</v>
      </c>
      <c r="I20" s="20" t="str">
        <f>VLOOKUP(A20,CO_Base_LNEC!$B$4:$G$271,6,FALSE)</f>
        <v>Praças ou mercados municipais</v>
      </c>
      <c r="J20" s="35" t="s">
        <v>151</v>
      </c>
      <c r="K20" s="20" t="s">
        <v>83</v>
      </c>
      <c r="L20" s="30" t="s">
        <v>84</v>
      </c>
      <c r="M20" s="31" t="s">
        <v>84</v>
      </c>
      <c r="N20" s="31" t="s">
        <v>84</v>
      </c>
      <c r="O20" s="30" t="s">
        <v>84</v>
      </c>
      <c r="P20" s="33" t="s">
        <v>84</v>
      </c>
      <c r="Q20" s="34" t="s">
        <v>86</v>
      </c>
      <c r="R20" s="24"/>
      <c r="S20" s="24"/>
    </row>
    <row r="21" spans="1:19" ht="15.75" customHeight="1">
      <c r="A21" s="20" t="s">
        <v>152</v>
      </c>
      <c r="B21" s="20">
        <v>20</v>
      </c>
      <c r="C21" s="20">
        <v>50</v>
      </c>
      <c r="D21" s="20">
        <v>53</v>
      </c>
      <c r="E21" s="24"/>
      <c r="F21" s="20" t="s">
        <v>153</v>
      </c>
      <c r="G21" t="str">
        <f ca="1">IFERROR(__xludf.DUMMYFUNCTION("UPPER(LEFT((GOOGLETRANSLATE(F21,""en"",""pt"")),1))&amp;RIGHT(lower((GOOGLETRANSLATE(F21,""en"",""pt""))),(LEN((GOOGLETRANSLATE(F21,""en"",""pt"")))-1))"),"Complexos utilização mista")</f>
        <v>Complexos utilização mista</v>
      </c>
      <c r="H21" s="35" t="s">
        <v>154</v>
      </c>
      <c r="I21" s="20" t="e">
        <f>VLOOKUP(A21,CO_Base_LNEC!$B$4:$G$271,6,FALSE)</f>
        <v>#N/A</v>
      </c>
      <c r="J21" s="35" t="s">
        <v>154</v>
      </c>
      <c r="K21" s="20" t="s">
        <v>83</v>
      </c>
      <c r="L21" s="30" t="s">
        <v>84</v>
      </c>
      <c r="M21" s="31" t="s">
        <v>84</v>
      </c>
      <c r="N21" s="31" t="s">
        <v>84</v>
      </c>
      <c r="O21" s="30" t="s">
        <v>84</v>
      </c>
      <c r="P21" s="33" t="s">
        <v>84</v>
      </c>
      <c r="Q21" s="33" t="s">
        <v>84</v>
      </c>
      <c r="R21" s="24"/>
      <c r="S21" s="24"/>
    </row>
    <row r="22" spans="1:19" ht="15.75" customHeight="1">
      <c r="A22" s="20" t="s">
        <v>155</v>
      </c>
      <c r="B22" s="20">
        <v>20</v>
      </c>
      <c r="C22" s="20">
        <v>50</v>
      </c>
      <c r="D22" s="20">
        <v>60</v>
      </c>
      <c r="E22" s="24"/>
      <c r="F22" s="20" t="s">
        <v>156</v>
      </c>
      <c r="G22" t="str">
        <f ca="1">IFERROR(__xludf.DUMMYFUNCTION("UPPER(LEFT((GOOGLETRANSLATE(F22,""en"",""pt"")),1))&amp;RIGHT(lower((GOOGLETRANSLATE(F22,""en"",""pt""))),(LEN((GOOGLETRANSLATE(F22,""en"",""pt"")))-1))"),"Desfile de lojas")</f>
        <v>Desfile de lojas</v>
      </c>
      <c r="H22" s="35" t="s">
        <v>157</v>
      </c>
      <c r="I22" s="20" t="e">
        <f>VLOOKUP(A22,CO_Base_LNEC!$B$4:$G$271,6,FALSE)</f>
        <v>#N/A</v>
      </c>
      <c r="J22" s="35" t="s">
        <v>158</v>
      </c>
      <c r="K22" s="20" t="s">
        <v>83</v>
      </c>
      <c r="L22" s="30" t="s">
        <v>84</v>
      </c>
      <c r="M22" s="31" t="s">
        <v>84</v>
      </c>
      <c r="N22" s="31" t="s">
        <v>84</v>
      </c>
      <c r="O22" s="37" t="s">
        <v>159</v>
      </c>
      <c r="P22" s="33" t="s">
        <v>84</v>
      </c>
      <c r="Q22" s="33" t="s">
        <v>84</v>
      </c>
      <c r="R22" s="24"/>
      <c r="S22" s="24"/>
    </row>
    <row r="23" spans="1:19" ht="15.75" customHeight="1">
      <c r="A23" s="20" t="s">
        <v>160</v>
      </c>
      <c r="B23" s="20">
        <v>20</v>
      </c>
      <c r="C23" s="20">
        <v>50</v>
      </c>
      <c r="D23" s="20">
        <v>71</v>
      </c>
      <c r="E23" s="24"/>
      <c r="F23" s="20" t="s">
        <v>161</v>
      </c>
      <c r="G23" t="str">
        <f ca="1">IFERROR(__xludf.DUMMYFUNCTION("UPPER(LEFT((GOOGLETRANSLATE(F23,""en"",""pt"")),1))&amp;RIGHT(lower((GOOGLETRANSLATE(F23,""en"",""pt""))),(LEN((GOOGLETRANSLATE(F23,""en"",""pt"")))-1))"),"Retail parks")</f>
        <v>Retail parks</v>
      </c>
      <c r="H23" s="35" t="s">
        <v>162</v>
      </c>
      <c r="I23" s="20" t="e">
        <f>VLOOKUP(A23,CO_Base_LNEC!$B$4:$G$271,6,FALSE)</f>
        <v>#N/A</v>
      </c>
      <c r="J23" s="35" t="s">
        <v>162</v>
      </c>
      <c r="K23" s="20" t="s">
        <v>83</v>
      </c>
      <c r="L23" s="30" t="s">
        <v>84</v>
      </c>
      <c r="M23" s="31" t="s">
        <v>84</v>
      </c>
      <c r="N23" s="31" t="s">
        <v>84</v>
      </c>
      <c r="O23" s="30" t="s">
        <v>84</v>
      </c>
      <c r="P23" s="33" t="s">
        <v>84</v>
      </c>
      <c r="Q23" s="33" t="s">
        <v>84</v>
      </c>
      <c r="R23" s="24"/>
      <c r="S23" s="24"/>
    </row>
    <row r="24" spans="1:19" ht="15.75" customHeight="1">
      <c r="A24" s="20" t="s">
        <v>163</v>
      </c>
      <c r="B24" s="20">
        <v>20</v>
      </c>
      <c r="C24" s="20">
        <v>50</v>
      </c>
      <c r="D24" s="20">
        <v>78</v>
      </c>
      <c r="E24" s="24"/>
      <c r="F24" s="20" t="s">
        <v>164</v>
      </c>
      <c r="G24" t="str">
        <f ca="1">IFERROR(__xludf.DUMMYFUNCTION("UPPER(LEFT((GOOGLETRANSLATE(F24,""en"",""pt"")),1))&amp;RIGHT(lower((GOOGLETRANSLATE(F24,""en"",""pt""))),(LEN((GOOGLETRANSLATE(F24,""en"",""pt"")))-1))"),"Compras complexos")</f>
        <v>Compras complexos</v>
      </c>
      <c r="H24" s="35" t="s">
        <v>165</v>
      </c>
      <c r="I24" s="20" t="str">
        <f>VLOOKUP(A24,CO_Base_LNEC!$B$4:$G$271,6,FALSE)</f>
        <v>Centros comerciais</v>
      </c>
      <c r="J24" s="35" t="s">
        <v>165</v>
      </c>
      <c r="K24" s="20" t="s">
        <v>83</v>
      </c>
      <c r="L24" s="30" t="s">
        <v>84</v>
      </c>
      <c r="M24" s="31" t="s">
        <v>84</v>
      </c>
      <c r="N24" s="31" t="s">
        <v>84</v>
      </c>
      <c r="O24" s="31" t="s">
        <v>84</v>
      </c>
      <c r="P24" s="33" t="s">
        <v>84</v>
      </c>
      <c r="Q24" s="33" t="s">
        <v>84</v>
      </c>
      <c r="R24" s="24"/>
      <c r="S24" s="24"/>
    </row>
    <row r="25" spans="1:19" ht="15.75" customHeight="1">
      <c r="A25" s="20" t="s">
        <v>166</v>
      </c>
      <c r="B25" s="20">
        <v>20</v>
      </c>
      <c r="C25" s="20">
        <v>50</v>
      </c>
      <c r="D25" s="20">
        <v>94</v>
      </c>
      <c r="E25" s="24"/>
      <c r="F25" s="20" t="s">
        <v>167</v>
      </c>
      <c r="G25" t="str">
        <f ca="1">IFERROR(__xludf.DUMMYFUNCTION("UPPER(LEFT((GOOGLETRANSLATE(F25,""en"",""pt"")),1))&amp;RIGHT(lower((GOOGLETRANSLATE(F25,""en"",""pt""))),(LEN((GOOGLETRANSLATE(F25,""en"",""pt"")))-1))"),"Complexos de vendas de veículos")</f>
        <v>Complexos de vendas de veículos</v>
      </c>
      <c r="H25" s="36" t="s">
        <v>168</v>
      </c>
      <c r="I25" s="20" t="str">
        <f>VLOOKUP(A25,CO_Base_LNEC!$B$4:$G$271,6,FALSE)</f>
        <v>Edifícios de venda de veículos</v>
      </c>
      <c r="J25" s="35" t="s">
        <v>169</v>
      </c>
      <c r="K25" s="20" t="s">
        <v>83</v>
      </c>
      <c r="L25" s="30" t="s">
        <v>84</v>
      </c>
      <c r="M25" s="31" t="s">
        <v>84</v>
      </c>
      <c r="N25" s="31" t="s">
        <v>84</v>
      </c>
      <c r="O25" s="31" t="s">
        <v>84</v>
      </c>
      <c r="P25" s="33" t="s">
        <v>84</v>
      </c>
      <c r="Q25" s="33" t="s">
        <v>84</v>
      </c>
      <c r="R25" s="24"/>
      <c r="S25" s="24"/>
    </row>
    <row r="26" spans="1:19" ht="15.75" customHeight="1">
      <c r="A26" s="20" t="s">
        <v>170</v>
      </c>
      <c r="B26" s="20">
        <v>20</v>
      </c>
      <c r="C26" s="20">
        <v>55</v>
      </c>
      <c r="D26" s="24"/>
      <c r="E26" s="24"/>
      <c r="F26" s="20" t="s">
        <v>171</v>
      </c>
      <c r="G26" t="str">
        <f ca="1">IFERROR(__xludf.DUMMYFUNCTION("UPPER(LEFT((GOOGLETRANSLATE(F26,""en"",""pt"")),1))&amp;RIGHT(lower((GOOGLETRANSLATE(F26,""en"",""pt""))),(LEN((GOOGLETRANSLATE(F26,""en"",""pt"")))-1))"),"Complexos postais")</f>
        <v>Complexos postais</v>
      </c>
      <c r="H26" s="36" t="s">
        <v>172</v>
      </c>
      <c r="I26" s="20" t="str">
        <f>VLOOKUP(A26,CO_Base_LNEC!$B$4:$G$271,6,FALSE)</f>
        <v>Edifícios dos Correios, centros de conferência e serviços similares</v>
      </c>
      <c r="J26" s="36" t="s">
        <v>172</v>
      </c>
      <c r="K26" s="20" t="s">
        <v>83</v>
      </c>
      <c r="L26" s="30" t="s">
        <v>84</v>
      </c>
      <c r="M26" s="31" t="s">
        <v>84</v>
      </c>
      <c r="N26" s="31" t="s">
        <v>84</v>
      </c>
      <c r="O26" s="37" t="s">
        <v>173</v>
      </c>
      <c r="P26" s="33" t="s">
        <v>84</v>
      </c>
      <c r="Q26" s="33" t="s">
        <v>84</v>
      </c>
      <c r="R26" s="24"/>
      <c r="S26" s="24"/>
    </row>
    <row r="27" spans="1:19" ht="15.75" customHeight="1">
      <c r="A27" s="20" t="s">
        <v>174</v>
      </c>
      <c r="B27" s="20">
        <v>20</v>
      </c>
      <c r="C27" s="20">
        <v>55</v>
      </c>
      <c r="D27" s="20">
        <v>10</v>
      </c>
      <c r="E27" s="24"/>
      <c r="F27" s="20" t="s">
        <v>175</v>
      </c>
      <c r="G27" t="str">
        <f ca="1">IFERROR(__xludf.DUMMYFUNCTION("UPPER(LEFT((GOOGLETRANSLATE(F27,""en"",""pt"")),1))&amp;RIGHT(lower((GOOGLETRANSLATE(F27,""en"",""pt""))),(LEN((GOOGLETRANSLATE(F27,""en"",""pt"")))-1))"),"Complexos de comunicações postais")</f>
        <v>Complexos de comunicações postais</v>
      </c>
      <c r="H27" s="35" t="s">
        <v>176</v>
      </c>
      <c r="I27" s="20" t="e">
        <f>VLOOKUP(A27,CO_Base_LNEC!$B$4:$G$271,6,FALSE)</f>
        <v>#N/A</v>
      </c>
      <c r="J27" s="39" t="s">
        <v>177</v>
      </c>
      <c r="K27" s="20" t="s">
        <v>83</v>
      </c>
      <c r="L27" s="30" t="s">
        <v>84</v>
      </c>
      <c r="M27" s="31" t="s">
        <v>84</v>
      </c>
      <c r="N27" s="31" t="s">
        <v>84</v>
      </c>
      <c r="O27" s="31" t="s">
        <v>84</v>
      </c>
      <c r="P27" s="34" t="s">
        <v>178</v>
      </c>
      <c r="Q27" s="33" t="s">
        <v>84</v>
      </c>
      <c r="R27" s="24"/>
      <c r="S27" s="24"/>
    </row>
    <row r="28" spans="1:19" ht="15.75" customHeight="1">
      <c r="A28" s="20" t="s">
        <v>179</v>
      </c>
      <c r="B28" s="20">
        <v>20</v>
      </c>
      <c r="C28" s="20">
        <v>60</v>
      </c>
      <c r="D28" s="24"/>
      <c r="E28" s="24"/>
      <c r="F28" s="20" t="s">
        <v>180</v>
      </c>
      <c r="G28" t="str">
        <f ca="1">IFERROR(__xludf.DUMMYFUNCTION("UPPER(LEFT((GOOGLETRANSLATE(F28,""en"",""pt"")),1))&amp;RIGHT(lower((GOOGLETRANSLATE(F28,""en"",""pt""))),(LEN((GOOGLETRANSLATE(F28,""en"",""pt"")))-1))"),"Complexos militares")</f>
        <v>Complexos militares</v>
      </c>
      <c r="H28" s="36" t="s">
        <v>181</v>
      </c>
      <c r="I28" s="20" t="str">
        <f>VLOOKUP(A28,CO_Base_LNEC!$B$4:$G$271,6,FALSE)</f>
        <v>Edifícios militares</v>
      </c>
      <c r="J28" s="36" t="s">
        <v>181</v>
      </c>
      <c r="K28" s="20" t="s">
        <v>83</v>
      </c>
      <c r="L28" s="30" t="s">
        <v>84</v>
      </c>
      <c r="M28" s="31" t="s">
        <v>84</v>
      </c>
      <c r="N28" s="31" t="s">
        <v>84</v>
      </c>
      <c r="O28" s="31" t="s">
        <v>84</v>
      </c>
      <c r="P28" s="33" t="s">
        <v>84</v>
      </c>
      <c r="Q28" s="33" t="s">
        <v>84</v>
      </c>
      <c r="R28" s="24"/>
      <c r="S28" s="24"/>
    </row>
    <row r="29" spans="1:19" ht="15.75" customHeight="1">
      <c r="A29" s="20" t="s">
        <v>182</v>
      </c>
      <c r="B29" s="20">
        <v>20</v>
      </c>
      <c r="C29" s="20">
        <v>60</v>
      </c>
      <c r="D29" s="20">
        <v>2</v>
      </c>
      <c r="E29" s="24"/>
      <c r="F29" s="20" t="s">
        <v>183</v>
      </c>
      <c r="G29" t="str">
        <f ca="1">IFERROR(__xludf.DUMMYFUNCTION("UPPER(LEFT((GOOGLETRANSLATE(F29,""en"",""pt"")),1))&amp;RIGHT(lower((GOOGLETRANSLATE(F29,""en"",""pt""))),(LEN((GOOGLETRANSLATE(F29,""en"",""pt"")))-1))"),"Complexos da força aérea")</f>
        <v>Complexos da força aérea</v>
      </c>
      <c r="H29" s="35" t="s">
        <v>184</v>
      </c>
      <c r="I29" s="20" t="str">
        <f>VLOOKUP(A29,CO_Base_LNEC!$B$4:$G$271,6,FALSE)</f>
        <v>Edifícios da força aérea</v>
      </c>
      <c r="J29" s="35" t="s">
        <v>184</v>
      </c>
      <c r="K29" s="20" t="s">
        <v>83</v>
      </c>
      <c r="L29" s="30" t="s">
        <v>84</v>
      </c>
      <c r="M29" s="31" t="s">
        <v>84</v>
      </c>
      <c r="N29" s="31" t="s">
        <v>84</v>
      </c>
      <c r="O29" s="31" t="s">
        <v>84</v>
      </c>
      <c r="P29" s="33" t="s">
        <v>84</v>
      </c>
      <c r="Q29" s="34" t="s">
        <v>86</v>
      </c>
      <c r="R29" s="24"/>
      <c r="S29" s="24"/>
    </row>
    <row r="30" spans="1:19" ht="15.75" customHeight="1">
      <c r="A30" s="20" t="s">
        <v>185</v>
      </c>
      <c r="B30" s="20">
        <v>20</v>
      </c>
      <c r="C30" s="20">
        <v>60</v>
      </c>
      <c r="D30" s="20">
        <v>10</v>
      </c>
      <c r="E30" s="24"/>
      <c r="F30" s="20" t="s">
        <v>186</v>
      </c>
      <c r="G30" t="str">
        <f ca="1">IFERROR(__xludf.DUMMYFUNCTION("UPPER(LEFT((GOOGLETRANSLATE(F30,""en"",""pt"")),1))&amp;RIGHT(lower((GOOGLETRANSLATE(F30,""en"",""pt""))),(LEN((GOOGLETRANSLATE(F30,""en"",""pt"")))-1))"),"Complexos do exército")</f>
        <v>Complexos do exército</v>
      </c>
      <c r="H30" s="35" t="s">
        <v>187</v>
      </c>
      <c r="I30" s="20" t="str">
        <f>VLOOKUP(A30,CO_Base_LNEC!$B$4:$G$271,6,FALSE)</f>
        <v>Edifícios do exercito</v>
      </c>
      <c r="J30" s="35" t="s">
        <v>187</v>
      </c>
      <c r="K30" s="20" t="s">
        <v>83</v>
      </c>
      <c r="L30" s="30" t="s">
        <v>84</v>
      </c>
      <c r="M30" s="31" t="s">
        <v>84</v>
      </c>
      <c r="N30" s="31" t="s">
        <v>84</v>
      </c>
      <c r="O30" s="31" t="s">
        <v>84</v>
      </c>
      <c r="P30" s="33" t="s">
        <v>84</v>
      </c>
      <c r="Q30" s="34" t="s">
        <v>86</v>
      </c>
      <c r="R30" s="24"/>
      <c r="S30" s="24"/>
    </row>
    <row r="31" spans="1:19" ht="15.75" customHeight="1">
      <c r="A31" s="20" t="s">
        <v>188</v>
      </c>
      <c r="B31" s="20">
        <v>20</v>
      </c>
      <c r="C31" s="20">
        <v>60</v>
      </c>
      <c r="D31" s="20">
        <v>56</v>
      </c>
      <c r="E31" s="24"/>
      <c r="F31" s="20" t="s">
        <v>189</v>
      </c>
      <c r="G31" t="str">
        <f ca="1">IFERROR(__xludf.DUMMYFUNCTION("UPPER(LEFT((GOOGLETRANSLATE(F31,""en"",""pt"")),1))&amp;RIGHT(lower((GOOGLETRANSLATE(F31,""en"",""pt""))),(LEN((GOOGLETRANSLATE(F31,""en"",""pt"")))-1))"),"Complexos da marinha")</f>
        <v>Complexos da marinha</v>
      </c>
      <c r="H31" s="35" t="s">
        <v>190</v>
      </c>
      <c r="I31" s="20" t="str">
        <f>VLOOKUP(A31,CO_Base_LNEC!$B$4:$G$271,6,FALSE)</f>
        <v>Edifícios da marinha</v>
      </c>
      <c r="J31" s="35" t="s">
        <v>190</v>
      </c>
      <c r="K31" s="20" t="s">
        <v>83</v>
      </c>
      <c r="L31" s="30" t="s">
        <v>84</v>
      </c>
      <c r="M31" s="31" t="s">
        <v>84</v>
      </c>
      <c r="N31" s="31" t="s">
        <v>84</v>
      </c>
      <c r="O31" s="31" t="s">
        <v>84</v>
      </c>
      <c r="P31" s="33" t="s">
        <v>84</v>
      </c>
      <c r="Q31" s="34" t="s">
        <v>86</v>
      </c>
      <c r="R31" s="24"/>
      <c r="S31" s="24"/>
    </row>
    <row r="32" spans="1:19" ht="15.75" customHeight="1">
      <c r="A32" s="20" t="s">
        <v>191</v>
      </c>
      <c r="B32" s="20">
        <v>20</v>
      </c>
      <c r="C32" s="20">
        <v>65</v>
      </c>
      <c r="D32" s="24"/>
      <c r="E32" s="24"/>
      <c r="F32" s="20" t="s">
        <v>192</v>
      </c>
      <c r="G32" t="str">
        <f ca="1">IFERROR(__xludf.DUMMYFUNCTION("UPPER(LEFT((GOOGLETRANSLATE(F32,""en"",""pt"")),1))&amp;RIGHT(lower((GOOGLETRANSLATE(F32,""en"",""pt""))),(LEN((GOOGLETRANSLATE(F32,""en"",""pt"")))-1))"),"Complexos de aplicação da lei")</f>
        <v>Complexos de aplicação da lei</v>
      </c>
      <c r="H32" s="35" t="s">
        <v>193</v>
      </c>
      <c r="I32" s="20" t="str">
        <f>VLOOKUP(A32,CO_Base_LNEC!$B$4:$G$271,6,FALSE)</f>
        <v>Infraestruturas de forças de segurança</v>
      </c>
      <c r="J32" s="35" t="s">
        <v>194</v>
      </c>
      <c r="K32" s="20" t="s">
        <v>83</v>
      </c>
      <c r="L32" s="30" t="s">
        <v>84</v>
      </c>
      <c r="M32" s="31" t="s">
        <v>84</v>
      </c>
      <c r="N32" s="31" t="s">
        <v>84</v>
      </c>
      <c r="O32" s="31" t="s">
        <v>84</v>
      </c>
      <c r="P32" s="33" t="s">
        <v>84</v>
      </c>
      <c r="Q32" s="34" t="s">
        <v>86</v>
      </c>
      <c r="R32" s="24"/>
      <c r="S32" s="24"/>
    </row>
    <row r="33" spans="1:19" ht="15.75" customHeight="1">
      <c r="A33" s="20" t="s">
        <v>195</v>
      </c>
      <c r="B33" s="20">
        <v>20</v>
      </c>
      <c r="C33" s="20">
        <v>65</v>
      </c>
      <c r="D33" s="20">
        <v>56</v>
      </c>
      <c r="E33" s="24"/>
      <c r="F33" s="20" t="s">
        <v>196</v>
      </c>
      <c r="G33" t="str">
        <f ca="1">IFERROR(__xludf.DUMMYFUNCTION("UPPER(LEFT((GOOGLETRANSLATE(F33,""en"",""pt"")),1))&amp;RIGHT(lower((GOOGLETRANSLATE(F33,""en"",""pt""))),(LEN((GOOGLETRANSLATE(F33,""en"",""pt"")))-1))"),"Complexos de agências de aplicação da lei")</f>
        <v>Complexos de agências de aplicação da lei</v>
      </c>
      <c r="H33" s="35" t="s">
        <v>197</v>
      </c>
      <c r="I33" s="20" t="str">
        <f>VLOOKUP(A33,CO_Base_LNEC!$B$4:$G$271,6,FALSE)</f>
        <v>Esquadras da polícia</v>
      </c>
      <c r="J33" s="35" t="s">
        <v>197</v>
      </c>
      <c r="K33" s="20" t="s">
        <v>83</v>
      </c>
      <c r="L33" s="30" t="s">
        <v>84</v>
      </c>
      <c r="M33" s="31" t="s">
        <v>84</v>
      </c>
      <c r="N33" s="31" t="s">
        <v>84</v>
      </c>
      <c r="O33" s="31" t="s">
        <v>84</v>
      </c>
      <c r="P33" s="33" t="s">
        <v>84</v>
      </c>
      <c r="Q33" s="33" t="s">
        <v>84</v>
      </c>
      <c r="R33" s="24"/>
      <c r="S33" s="24"/>
    </row>
    <row r="34" spans="1:19" ht="15.75" customHeight="1">
      <c r="A34" s="20" t="s">
        <v>198</v>
      </c>
      <c r="B34" s="20">
        <v>20</v>
      </c>
      <c r="C34" s="20">
        <v>70</v>
      </c>
      <c r="D34" s="24"/>
      <c r="E34" s="24"/>
      <c r="F34" s="20" t="s">
        <v>199</v>
      </c>
      <c r="G34" t="str">
        <f ca="1">IFERROR(__xludf.DUMMYFUNCTION("UPPER(LEFT((GOOGLETRANSLATE(F34,""en"",""pt"")),1))&amp;RIGHT(lower((GOOGLETRANSLATE(F34,""en"",""pt""))),(LEN((GOOGLETRANSLATE(F34,""en"",""pt"")))-1))"),"Complexos judiciais")</f>
        <v>Complexos judiciais</v>
      </c>
      <c r="H34" s="36" t="s">
        <v>200</v>
      </c>
      <c r="I34" s="20" t="str">
        <f>VLOOKUP(A34,CO_Base_LNEC!$B$4:$G$271,6,FALSE)</f>
        <v>Edifícios judiciais</v>
      </c>
      <c r="J34" s="36" t="s">
        <v>200</v>
      </c>
      <c r="K34" s="20" t="s">
        <v>83</v>
      </c>
      <c r="L34" s="30" t="s">
        <v>84</v>
      </c>
      <c r="M34" s="31" t="s">
        <v>84</v>
      </c>
      <c r="N34" s="31" t="s">
        <v>84</v>
      </c>
      <c r="O34" s="31" t="s">
        <v>84</v>
      </c>
      <c r="P34" s="33" t="s">
        <v>84</v>
      </c>
      <c r="Q34" s="33" t="s">
        <v>84</v>
      </c>
      <c r="R34" s="24"/>
      <c r="S34" s="24"/>
    </row>
    <row r="35" spans="1:19" ht="15.75" customHeight="1">
      <c r="A35" s="20" t="s">
        <v>201</v>
      </c>
      <c r="B35" s="20">
        <v>20</v>
      </c>
      <c r="C35" s="20">
        <v>70</v>
      </c>
      <c r="D35" s="20">
        <v>18</v>
      </c>
      <c r="E35" s="24"/>
      <c r="F35" s="20" t="s">
        <v>202</v>
      </c>
      <c r="G35" t="str">
        <f ca="1">IFERROR(__xludf.DUMMYFUNCTION("UPPER(LEFT((GOOGLETRANSLATE(F35,""en"",""pt"")),1))&amp;RIGHT(lower((GOOGLETRANSLATE(F35,""en"",""pt""))),(LEN((GOOGLETRANSLATE(F35,""en"",""pt"")))-1))"),"Complexos judiciais")</f>
        <v>Complexos judiciais</v>
      </c>
      <c r="H35" s="35" t="s">
        <v>203</v>
      </c>
      <c r="I35" s="20" t="str">
        <f>VLOOKUP(A35,CO_Base_LNEC!$B$4:$G$271,6,FALSE)</f>
        <v>Edifícios dos Tribunais</v>
      </c>
      <c r="J35" s="35" t="s">
        <v>203</v>
      </c>
      <c r="K35" s="20" t="s">
        <v>83</v>
      </c>
      <c r="L35" s="30" t="s">
        <v>84</v>
      </c>
      <c r="M35" s="31" t="s">
        <v>84</v>
      </c>
      <c r="N35" s="31" t="s">
        <v>84</v>
      </c>
      <c r="O35" s="31" t="s">
        <v>84</v>
      </c>
      <c r="P35" s="33" t="s">
        <v>84</v>
      </c>
      <c r="Q35" s="33" t="s">
        <v>84</v>
      </c>
      <c r="R35" s="24"/>
      <c r="S35" s="24"/>
    </row>
    <row r="36" spans="1:19" ht="15.75" customHeight="1">
      <c r="A36" s="20" t="s">
        <v>204</v>
      </c>
      <c r="B36" s="20">
        <v>20</v>
      </c>
      <c r="C36" s="20">
        <v>70</v>
      </c>
      <c r="D36" s="20">
        <v>65</v>
      </c>
      <c r="E36" s="24"/>
      <c r="F36" s="20" t="s">
        <v>205</v>
      </c>
      <c r="G36" t="str">
        <f ca="1">IFERROR(__xludf.DUMMYFUNCTION("UPPER(LEFT((GOOGLETRANSLATE(F36,""en"",""pt"")),1))&amp;RIGHT(lower((GOOGLETRANSLATE(F36,""en"",""pt""))),(LEN((GOOGLETRANSLATE(F36,""en"",""pt"")))-1))"),"Complexos de condicional")</f>
        <v>Complexos de condicional</v>
      </c>
      <c r="H36" s="35" t="s">
        <v>206</v>
      </c>
      <c r="I36" s="20" t="e">
        <f>VLOOKUP(A36,CO_Base_LNEC!$B$4:$G$271,6,FALSE)</f>
        <v>#N/A</v>
      </c>
      <c r="J36" s="39" t="s">
        <v>206</v>
      </c>
      <c r="K36" s="20" t="s">
        <v>83</v>
      </c>
      <c r="L36" s="30" t="s">
        <v>84</v>
      </c>
      <c r="M36" s="31" t="s">
        <v>84</v>
      </c>
      <c r="N36" s="31" t="s">
        <v>84</v>
      </c>
      <c r="O36" s="37" t="s">
        <v>207</v>
      </c>
      <c r="P36" s="33" t="s">
        <v>84</v>
      </c>
      <c r="Q36" s="33" t="s">
        <v>84</v>
      </c>
      <c r="R36" s="24"/>
      <c r="S36" s="24"/>
    </row>
    <row r="37" spans="1:19" ht="15.75" customHeight="1">
      <c r="A37" s="20" t="s">
        <v>208</v>
      </c>
      <c r="B37" s="20">
        <v>20</v>
      </c>
      <c r="C37" s="20">
        <v>75</v>
      </c>
      <c r="D37" s="24"/>
      <c r="E37" s="24"/>
      <c r="F37" s="20" t="s">
        <v>209</v>
      </c>
      <c r="G37" t="str">
        <f ca="1">IFERROR(__xludf.DUMMYFUNCTION("UPPER(LEFT((GOOGLETRANSLATE(F37,""en"",""pt"")),1))&amp;RIGHT(lower((GOOGLETRANSLATE(F37,""en"",""pt""))),(LEN((GOOGLETRANSLATE(F37,""en"",""pt"")))-1))"),"Complexos de detenção")</f>
        <v>Complexos de detenção</v>
      </c>
      <c r="H37" s="36" t="s">
        <v>210</v>
      </c>
      <c r="I37" s="20" t="str">
        <f>VLOOKUP(A37,CO_Base_LNEC!$B$4:$G$271,6,FALSE)</f>
        <v>Edifícios de detenção</v>
      </c>
      <c r="J37" s="40" t="s">
        <v>210</v>
      </c>
      <c r="K37" s="20" t="s">
        <v>83</v>
      </c>
      <c r="L37" s="30" t="s">
        <v>84</v>
      </c>
      <c r="M37" s="31" t="s">
        <v>84</v>
      </c>
      <c r="N37" s="31" t="s">
        <v>84</v>
      </c>
      <c r="O37" s="30" t="s">
        <v>84</v>
      </c>
      <c r="P37" s="33" t="s">
        <v>84</v>
      </c>
      <c r="Q37" s="33" t="s">
        <v>84</v>
      </c>
      <c r="R37" s="24"/>
      <c r="S37" s="24"/>
    </row>
    <row r="38" spans="1:19" ht="15.75" customHeight="1">
      <c r="A38" s="20" t="s">
        <v>211</v>
      </c>
      <c r="B38" s="20">
        <v>20</v>
      </c>
      <c r="C38" s="20">
        <v>75</v>
      </c>
      <c r="D38" s="20">
        <v>42</v>
      </c>
      <c r="E38" s="24"/>
      <c r="F38" s="20" t="s">
        <v>212</v>
      </c>
      <c r="G38" t="str">
        <f ca="1">IFERROR(__xludf.DUMMYFUNCTION("UPPER(LEFT((GOOGLETRANSLATE(F38,""en"",""pt"")),1))&amp;RIGHT(lower((GOOGLETRANSLATE(F38,""en"",""pt""))),(LEN((GOOGLETRANSLATE(F38,""en"",""pt"")))-1))"),"Complexos de detenção imigrantes")</f>
        <v>Complexos de detenção imigrantes</v>
      </c>
      <c r="H38" s="35" t="s">
        <v>213</v>
      </c>
      <c r="I38" s="20" t="e">
        <f>VLOOKUP(A38,CO_Base_LNEC!$B$4:$G$271,6,FALSE)</f>
        <v>#N/A</v>
      </c>
      <c r="J38" s="35" t="s">
        <v>213</v>
      </c>
      <c r="K38" s="20" t="s">
        <v>83</v>
      </c>
      <c r="L38" s="30" t="s">
        <v>84</v>
      </c>
      <c r="M38" s="31" t="s">
        <v>84</v>
      </c>
      <c r="N38" s="31" t="s">
        <v>84</v>
      </c>
      <c r="O38" s="30" t="s">
        <v>84</v>
      </c>
      <c r="P38" s="33" t="s">
        <v>84</v>
      </c>
      <c r="Q38" s="33" t="s">
        <v>84</v>
      </c>
      <c r="R38" s="24"/>
      <c r="S38" s="24"/>
    </row>
    <row r="39" spans="1:19" ht="14.5">
      <c r="A39" s="20" t="s">
        <v>214</v>
      </c>
      <c r="B39" s="20">
        <v>20</v>
      </c>
      <c r="C39" s="20">
        <v>75</v>
      </c>
      <c r="D39" s="20">
        <v>64</v>
      </c>
      <c r="E39" s="24"/>
      <c r="F39" s="20" t="s">
        <v>215</v>
      </c>
      <c r="G39" t="str">
        <f ca="1">IFERROR(__xludf.DUMMYFUNCTION("UPPER(LEFT((GOOGLETRANSLATE(F39,""en"",""pt"")),1))&amp;RIGHT(lower((GOOGLETRANSLATE(F39,""en"",""pt""))),(LEN((GOOGLETRANSLATE(F39,""en"",""pt"")))-1))"),"Complexos de prisão")</f>
        <v>Complexos de prisão</v>
      </c>
      <c r="H39" s="35" t="s">
        <v>216</v>
      </c>
      <c r="I39" s="20" t="str">
        <f>VLOOKUP(A39,CO_Base_LNEC!$B$4:$G$271,6,FALSE)</f>
        <v>Prisões</v>
      </c>
      <c r="J39" s="35" t="s">
        <v>216</v>
      </c>
      <c r="K39" s="20" t="s">
        <v>83</v>
      </c>
      <c r="L39" s="30" t="s">
        <v>84</v>
      </c>
      <c r="M39" s="31" t="s">
        <v>84</v>
      </c>
      <c r="N39" s="31" t="s">
        <v>84</v>
      </c>
      <c r="O39" s="30" t="s">
        <v>84</v>
      </c>
      <c r="P39" s="33" t="s">
        <v>84</v>
      </c>
      <c r="Q39" s="33" t="s">
        <v>84</v>
      </c>
      <c r="R39" s="24"/>
      <c r="S39" s="24"/>
    </row>
    <row r="40" spans="1:19" ht="14.5">
      <c r="A40" s="20" t="s">
        <v>217</v>
      </c>
      <c r="B40" s="20">
        <v>20</v>
      </c>
      <c r="C40" s="20">
        <v>75</v>
      </c>
      <c r="D40" s="20">
        <v>71</v>
      </c>
      <c r="E40" s="24"/>
      <c r="F40" s="20" t="s">
        <v>218</v>
      </c>
      <c r="G40" t="str">
        <f ca="1">IFERROR(__xludf.DUMMYFUNCTION("UPPER(LEFT((GOOGLETRANSLATE(F40,""en"",""pt"")),1))&amp;RIGHT(lower((GOOGLETRANSLATE(F40,""en"",""pt""))),(LEN((GOOGLETRANSLATE(F40,""en"",""pt"")))-1))"),"Complexos de detenção refugiados")</f>
        <v>Complexos de detenção refugiados</v>
      </c>
      <c r="H40" s="35" t="s">
        <v>219</v>
      </c>
      <c r="I40" s="20" t="e">
        <f>VLOOKUP(A40,CO_Base_LNEC!$B$4:$G$271,6,FALSE)</f>
        <v>#N/A</v>
      </c>
      <c r="J40" s="35" t="s">
        <v>219</v>
      </c>
      <c r="K40" s="20" t="s">
        <v>83</v>
      </c>
      <c r="L40" s="30" t="s">
        <v>84</v>
      </c>
      <c r="M40" s="31" t="s">
        <v>84</v>
      </c>
      <c r="N40" s="31" t="s">
        <v>84</v>
      </c>
      <c r="O40" s="30" t="s">
        <v>84</v>
      </c>
      <c r="P40" s="33" t="s">
        <v>84</v>
      </c>
      <c r="Q40" s="33" t="s">
        <v>84</v>
      </c>
      <c r="R40" s="24"/>
      <c r="S40" s="24"/>
    </row>
    <row r="41" spans="1:19" ht="14.5">
      <c r="A41" s="20" t="s">
        <v>220</v>
      </c>
      <c r="B41" s="20">
        <v>20</v>
      </c>
      <c r="C41" s="20">
        <v>80</v>
      </c>
      <c r="D41" s="24"/>
      <c r="E41" s="24"/>
      <c r="F41" s="20" t="s">
        <v>221</v>
      </c>
      <c r="G41" t="str">
        <f ca="1">IFERROR(__xludf.DUMMYFUNCTION("UPPER(LEFT((GOOGLETRANSLATE(F41,""en"",""pt"")),1))&amp;RIGHT(lower((GOOGLETRANSLATE(F41,""en"",""pt""))),(LEN((GOOGLETRANSLATE(F41,""en"",""pt"")))-1))"),"Complexos de armas de treinamento")</f>
        <v>Complexos de armas de treinamento</v>
      </c>
      <c r="H41" s="35" t="s">
        <v>222</v>
      </c>
      <c r="I41" s="20" t="e">
        <f>VLOOKUP(A41,CO_Base_LNEC!$B$4:$G$271,6,FALSE)</f>
        <v>#N/A</v>
      </c>
      <c r="J41" s="35" t="s">
        <v>223</v>
      </c>
      <c r="K41" s="20" t="s">
        <v>83</v>
      </c>
      <c r="L41" s="30" t="s">
        <v>84</v>
      </c>
      <c r="M41" s="31" t="s">
        <v>84</v>
      </c>
      <c r="N41" s="20" t="s">
        <v>224</v>
      </c>
      <c r="O41" s="30" t="s">
        <v>84</v>
      </c>
      <c r="P41" s="33" t="s">
        <v>84</v>
      </c>
      <c r="Q41" s="33" t="s">
        <v>84</v>
      </c>
      <c r="R41" s="24"/>
      <c r="S41" s="24"/>
    </row>
    <row r="42" spans="1:19" ht="14.5">
      <c r="A42" s="20" t="s">
        <v>225</v>
      </c>
      <c r="B42" s="20">
        <v>20</v>
      </c>
      <c r="C42" s="20">
        <v>80</v>
      </c>
      <c r="D42" s="20">
        <v>4</v>
      </c>
      <c r="E42" s="24"/>
      <c r="F42" s="20" t="s">
        <v>226</v>
      </c>
      <c r="G42" t="str">
        <f ca="1">IFERROR(__xludf.DUMMYFUNCTION("UPPER(LEFT((GOOGLETRANSLATE(F42,""en"",""pt"")),1))&amp;RIGHT(lower((GOOGLETRANSLATE(F42,""en"",""pt""))),(LEN((GOOGLETRANSLATE(F42,""en"",""pt"")))-1))"),"Complexos gama de tiro de artilharia")</f>
        <v>Complexos gama de tiro de artilharia</v>
      </c>
      <c r="H42" s="35" t="s">
        <v>227</v>
      </c>
      <c r="I42" s="20" t="e">
        <f>VLOOKUP(A42,CO_Base_LNEC!$B$4:$G$271,6,FALSE)</f>
        <v>#N/A</v>
      </c>
      <c r="J42" s="35" t="s">
        <v>227</v>
      </c>
      <c r="K42" s="20" t="s">
        <v>83</v>
      </c>
      <c r="L42" s="30" t="s">
        <v>84</v>
      </c>
      <c r="M42" s="31" t="s">
        <v>84</v>
      </c>
      <c r="N42" s="31" t="s">
        <v>84</v>
      </c>
      <c r="O42" s="30" t="s">
        <v>84</v>
      </c>
      <c r="P42" s="33" t="s">
        <v>84</v>
      </c>
      <c r="Q42" s="33" t="s">
        <v>84</v>
      </c>
      <c r="R42" s="24"/>
      <c r="S42" s="24"/>
    </row>
    <row r="43" spans="1:19" ht="14.5">
      <c r="A43" s="20" t="s">
        <v>228</v>
      </c>
      <c r="B43" s="20">
        <v>20</v>
      </c>
      <c r="C43" s="20">
        <v>80</v>
      </c>
      <c r="D43" s="20">
        <v>80</v>
      </c>
      <c r="E43" s="24"/>
      <c r="F43" s="20" t="s">
        <v>229</v>
      </c>
      <c r="G43" t="str">
        <f ca="1">IFERROR(__xludf.DUMMYFUNCTION("UPPER(LEFT((GOOGLETRANSLATE(F43,""en"",""pt"")),1))&amp;RIGHT(lower((GOOGLETRANSLATE(F43,""en"",""pt""))),(LEN((GOOGLETRANSLATE(F43,""en"",""pt"")))-1))"),"Armas de pequeno porte disparando complexos de alcance")</f>
        <v>Armas de pequeno porte disparando complexos de alcance</v>
      </c>
      <c r="H43" s="35" t="s">
        <v>230</v>
      </c>
      <c r="I43" s="20" t="e">
        <f>VLOOKUP(A43,CO_Base_LNEC!$B$4:$G$271,6,FALSE)</f>
        <v>#N/A</v>
      </c>
      <c r="J43" s="35" t="s">
        <v>230</v>
      </c>
      <c r="K43" s="20" t="s">
        <v>83</v>
      </c>
      <c r="L43" s="30" t="s">
        <v>84</v>
      </c>
      <c r="M43" s="31" t="s">
        <v>84</v>
      </c>
      <c r="N43" s="31" t="s">
        <v>84</v>
      </c>
      <c r="O43" s="30" t="s">
        <v>84</v>
      </c>
      <c r="P43" s="33" t="s">
        <v>84</v>
      </c>
      <c r="Q43" s="33" t="s">
        <v>84</v>
      </c>
      <c r="R43" s="24"/>
      <c r="S43" s="24"/>
    </row>
    <row r="44" spans="1:19" ht="14.5">
      <c r="A44" s="20" t="s">
        <v>231</v>
      </c>
      <c r="B44" s="20">
        <v>20</v>
      </c>
      <c r="C44" s="20">
        <v>90</v>
      </c>
      <c r="D44" s="24"/>
      <c r="E44" s="24"/>
      <c r="F44" s="20" t="s">
        <v>232</v>
      </c>
      <c r="G44" t="str">
        <f ca="1">IFERROR(__xludf.DUMMYFUNCTION("UPPER(LEFT((GOOGLETRANSLATE(F44,""en"",""pt"")),1))&amp;RIGHT(lower((GOOGLETRANSLATE(F44,""en"",""pt""))),(LEN((GOOGLETRANSLATE(F44,""en"",""pt"")))-1))"),"Complexos de suporte incidentes")</f>
        <v>Complexos de suporte incidentes</v>
      </c>
      <c r="H44" s="35" t="s">
        <v>233</v>
      </c>
      <c r="I44" s="20" t="str">
        <f>VLOOKUP(A44,CO_Base_LNEC!$B$4:$G$271,6,FALSE)</f>
        <v>Infraestruturas para suporte de acidentes</v>
      </c>
      <c r="J44" s="35" t="s">
        <v>234</v>
      </c>
      <c r="K44" s="20" t="s">
        <v>83</v>
      </c>
      <c r="L44" s="30" t="s">
        <v>84</v>
      </c>
      <c r="M44" s="31" t="s">
        <v>84</v>
      </c>
      <c r="N44" s="31" t="s">
        <v>84</v>
      </c>
      <c r="O44" s="37" t="s">
        <v>235</v>
      </c>
      <c r="P44" s="34" t="s">
        <v>236</v>
      </c>
      <c r="Q44" s="33" t="s">
        <v>84</v>
      </c>
      <c r="R44" s="24"/>
      <c r="S44" s="24"/>
    </row>
    <row r="45" spans="1:19" ht="14.5">
      <c r="A45" s="20" t="s">
        <v>237</v>
      </c>
      <c r="B45" s="20">
        <v>20</v>
      </c>
      <c r="C45" s="20">
        <v>90</v>
      </c>
      <c r="D45" s="20">
        <v>2</v>
      </c>
      <c r="E45" s="24"/>
      <c r="F45" s="20" t="s">
        <v>238</v>
      </c>
      <c r="G45" t="str">
        <f ca="1">IFERROR(__xludf.DUMMYFUNCTION("UPPER(LEFT((GOOGLETRANSLATE(F45,""en"",""pt"")),1))&amp;RIGHT(lower((GOOGLETRANSLATE(F45,""en"",""pt""))),(LEN((GOOGLETRANSLATE(F45,""en"",""pt"")))-1))"),"Complexos de resgate aéreo e marítimo")</f>
        <v>Complexos de resgate aéreo e marítimo</v>
      </c>
      <c r="H45" s="36" t="s">
        <v>239</v>
      </c>
      <c r="I45" s="20" t="e">
        <f>VLOOKUP(A45,CO_Base_LNEC!$B$4:$G$271,6,FALSE)</f>
        <v>#N/A</v>
      </c>
      <c r="J45" s="36" t="s">
        <v>239</v>
      </c>
      <c r="K45" s="20" t="s">
        <v>83</v>
      </c>
      <c r="L45" s="30" t="s">
        <v>84</v>
      </c>
      <c r="M45" s="31" t="s">
        <v>84</v>
      </c>
      <c r="N45" s="31" t="s">
        <v>84</v>
      </c>
      <c r="O45" s="30" t="s">
        <v>240</v>
      </c>
      <c r="P45" s="33" t="s">
        <v>84</v>
      </c>
      <c r="Q45" s="33" t="s">
        <v>84</v>
      </c>
      <c r="R45" s="24"/>
      <c r="S45" s="24"/>
    </row>
    <row r="46" spans="1:19" ht="14.5">
      <c r="A46" s="20" t="s">
        <v>241</v>
      </c>
      <c r="B46" s="20">
        <v>20</v>
      </c>
      <c r="C46" s="20">
        <v>90</v>
      </c>
      <c r="D46" s="20">
        <v>16</v>
      </c>
      <c r="E46" s="24"/>
      <c r="F46" s="20" t="s">
        <v>242</v>
      </c>
      <c r="G46" t="str">
        <f ca="1">IFERROR(__xludf.DUMMYFUNCTION("UPPER(LEFT((GOOGLETRANSLATE(F46,""en"",""pt"")),1))&amp;RIGHT(lower((GOOGLETRANSLATE(F46,""en"",""pt""))),(LEN((GOOGLETRANSLATE(F46,""en"",""pt"")))-1))"),"Estações da guarda costeira")</f>
        <v>Estações da guarda costeira</v>
      </c>
      <c r="H46" s="36" t="s">
        <v>243</v>
      </c>
      <c r="I46" s="20" t="str">
        <f>VLOOKUP(A46,CO_Base_LNEC!$B$4:$G$271,6,FALSE)</f>
        <v>Infraestruturas da guarda costeira</v>
      </c>
      <c r="J46" s="41" t="s">
        <v>244</v>
      </c>
      <c r="K46" s="20" t="s">
        <v>83</v>
      </c>
      <c r="L46" s="30" t="s">
        <v>84</v>
      </c>
      <c r="M46" s="31" t="s">
        <v>84</v>
      </c>
      <c r="N46" s="20" t="s">
        <v>245</v>
      </c>
      <c r="O46" s="30" t="s">
        <v>84</v>
      </c>
      <c r="P46" s="33" t="s">
        <v>84</v>
      </c>
      <c r="Q46" s="33" t="s">
        <v>84</v>
      </c>
      <c r="R46" s="24"/>
      <c r="S46" s="24"/>
    </row>
    <row r="47" spans="1:19" ht="14.5">
      <c r="A47" s="20" t="s">
        <v>246</v>
      </c>
      <c r="B47" s="20">
        <v>20</v>
      </c>
      <c r="C47" s="20">
        <v>90</v>
      </c>
      <c r="D47" s="20">
        <v>27</v>
      </c>
      <c r="E47" s="24"/>
      <c r="F47" s="20" t="s">
        <v>247</v>
      </c>
      <c r="G47" t="str">
        <f ca="1">IFERROR(__xludf.DUMMYFUNCTION("UPPER(LEFT((GOOGLETRANSLATE(F47,""en"",""pt"")),1))&amp;RIGHT(lower((GOOGLETRANSLATE(F47,""en"",""pt""))),(LEN((GOOGLETRANSLATE(F47,""en"",""pt"")))-1))"),"Complexos corpo de bombeiros")</f>
        <v>Complexos corpo de bombeiros</v>
      </c>
      <c r="H47" s="35" t="s">
        <v>248</v>
      </c>
      <c r="I47" s="20" t="str">
        <f>VLOOKUP(A47,CO_Base_LNEC!$B$4:$G$271,6,FALSE)</f>
        <v>Quartéis de Bombeiros</v>
      </c>
      <c r="J47" s="20" t="s">
        <v>249</v>
      </c>
      <c r="K47" s="20" t="s">
        <v>83</v>
      </c>
      <c r="L47" s="30" t="s">
        <v>84</v>
      </c>
      <c r="M47" s="31" t="s">
        <v>84</v>
      </c>
      <c r="N47" s="31" t="s">
        <v>84</v>
      </c>
      <c r="O47" s="30" t="s">
        <v>84</v>
      </c>
      <c r="P47" s="33" t="s">
        <v>84</v>
      </c>
      <c r="Q47" s="33" t="s">
        <v>84</v>
      </c>
      <c r="R47" s="24"/>
      <c r="S47" s="24"/>
    </row>
    <row r="48" spans="1:19" ht="14.5">
      <c r="A48" s="20" t="s">
        <v>250</v>
      </c>
      <c r="B48" s="20">
        <v>20</v>
      </c>
      <c r="C48" s="20">
        <v>90</v>
      </c>
      <c r="D48" s="20">
        <v>47</v>
      </c>
      <c r="E48" s="24"/>
      <c r="F48" s="20" t="s">
        <v>251</v>
      </c>
      <c r="G48" t="str">
        <f ca="1">IFERROR(__xludf.DUMMYFUNCTION("UPPER(LEFT((GOOGLETRANSLATE(F48,""en"",""pt"")),1))&amp;RIGHT(lower((GOOGLETRANSLATE(F48,""en"",""pt""))),(LEN((GOOGLETRANSLATE(F48,""en"",""pt"")))-1))"),"Estações de barco vida")</f>
        <v>Estações de barco vida</v>
      </c>
      <c r="H48" s="35" t="s">
        <v>252</v>
      </c>
      <c r="I48" s="20" t="e">
        <f>VLOOKUP(A48,CO_Base_LNEC!$B$4:$G$271,6,FALSE)</f>
        <v>#N/A</v>
      </c>
      <c r="J48" s="35" t="s">
        <v>253</v>
      </c>
      <c r="K48" s="20" t="s">
        <v>83</v>
      </c>
      <c r="L48" s="30" t="s">
        <v>84</v>
      </c>
      <c r="M48" s="31" t="s">
        <v>84</v>
      </c>
      <c r="N48" s="31" t="s">
        <v>84</v>
      </c>
      <c r="O48" s="37" t="s">
        <v>254</v>
      </c>
      <c r="P48" s="33" t="s">
        <v>84</v>
      </c>
      <c r="Q48" s="33" t="s">
        <v>84</v>
      </c>
      <c r="R48" s="24"/>
      <c r="S48" s="24"/>
    </row>
    <row r="49" spans="1:19" ht="14.5">
      <c r="A49" s="20" t="s">
        <v>255</v>
      </c>
      <c r="B49" s="20">
        <v>20</v>
      </c>
      <c r="C49" s="20">
        <v>90</v>
      </c>
      <c r="D49" s="20">
        <v>53</v>
      </c>
      <c r="E49" s="24"/>
      <c r="F49" s="20" t="s">
        <v>256</v>
      </c>
      <c r="G49" t="str">
        <f ca="1">IFERROR(__xludf.DUMMYFUNCTION("UPPER(LEFT((GOOGLETRANSLATE(F49,""en"",""pt"")),1))&amp;RIGHT(lower((GOOGLETRANSLATE(F49,""en"",""pt""))),(LEN((GOOGLETRANSLATE(F49,""en"",""pt"")))-1))"),"Complexos de resgate de montanha")</f>
        <v>Complexos de resgate de montanha</v>
      </c>
      <c r="H49" s="36" t="s">
        <v>257</v>
      </c>
      <c r="I49" s="20" t="e">
        <f>VLOOKUP(A49,CO_Base_LNEC!$B$4:$G$271,6,FALSE)</f>
        <v>#N/A</v>
      </c>
      <c r="J49" s="36" t="s">
        <v>257</v>
      </c>
      <c r="K49" s="20" t="s">
        <v>83</v>
      </c>
      <c r="L49" s="30" t="s">
        <v>84</v>
      </c>
      <c r="M49" s="31" t="s">
        <v>84</v>
      </c>
      <c r="N49" s="31" t="s">
        <v>84</v>
      </c>
      <c r="O49" s="30" t="s">
        <v>84</v>
      </c>
      <c r="P49" s="33" t="s">
        <v>84</v>
      </c>
      <c r="Q49" s="33" t="s">
        <v>84</v>
      </c>
      <c r="R49" s="24"/>
      <c r="S49" s="24"/>
    </row>
    <row r="50" spans="1:19" ht="14.5">
      <c r="A50" s="20" t="s">
        <v>258</v>
      </c>
      <c r="B50" s="20">
        <v>25</v>
      </c>
      <c r="C50" s="24"/>
      <c r="D50" s="24"/>
      <c r="E50" s="24"/>
      <c r="F50" s="20" t="s">
        <v>259</v>
      </c>
      <c r="G50" t="str">
        <f ca="1">IFERROR(__xludf.DUMMYFUNCTION("UPPER(LEFT((GOOGLETRANSLATE(F50,""en"",""pt"")),1))&amp;RIGHT(lower((GOOGLETRANSLATE(F50,""en"",""pt""))),(LEN((GOOGLETRANSLATE(F50,""en"",""pt"")))-1))"),"Culturais, educacionais, complexos e informações científicas")</f>
        <v>Culturais, educacionais, complexos e informações científicas</v>
      </c>
      <c r="H50" s="35" t="s">
        <v>260</v>
      </c>
      <c r="I50" s="20" t="str">
        <f>VLOOKUP(A50,CO_Base_LNEC!$B$4:$G$271,6,FALSE)</f>
        <v>Edifícios culturais, educacionais e de informação</v>
      </c>
      <c r="J50" s="35" t="s">
        <v>260</v>
      </c>
      <c r="K50" s="20" t="s">
        <v>83</v>
      </c>
      <c r="L50" s="30" t="s">
        <v>84</v>
      </c>
      <c r="M50" s="31" t="s">
        <v>84</v>
      </c>
      <c r="N50" s="31" t="s">
        <v>84</v>
      </c>
      <c r="O50" s="30" t="s">
        <v>84</v>
      </c>
      <c r="P50" s="34" t="s">
        <v>261</v>
      </c>
      <c r="Q50" s="33" t="s">
        <v>84</v>
      </c>
      <c r="R50" s="24"/>
      <c r="S50" s="24"/>
    </row>
    <row r="51" spans="1:19" ht="14.5">
      <c r="A51" s="20" t="s">
        <v>262</v>
      </c>
      <c r="B51" s="20">
        <v>25</v>
      </c>
      <c r="C51" s="20">
        <v>5</v>
      </c>
      <c r="D51" s="24"/>
      <c r="E51" s="24"/>
      <c r="F51" s="20" t="s">
        <v>263</v>
      </c>
      <c r="G51" t="str">
        <f ca="1">IFERROR(__xludf.DUMMYFUNCTION("UPPER(LEFT((GOOGLETRANSLATE(F51,""en"",""pt"")),1))&amp;RIGHT(lower((GOOGLETRANSLATE(F51,""en"",""pt""))),(LEN((GOOGLETRANSLATE(F51,""en"",""pt"")))-1))"),"Complexos comemorativas")</f>
        <v>Complexos comemorativas</v>
      </c>
      <c r="H51" s="35" t="s">
        <v>264</v>
      </c>
      <c r="I51" s="20" t="e">
        <f>VLOOKUP(A51,CO_Base_LNEC!$B$4:$G$271,6,FALSE)</f>
        <v>#N/A</v>
      </c>
      <c r="J51" s="35" t="s">
        <v>264</v>
      </c>
      <c r="K51" s="20" t="s">
        <v>83</v>
      </c>
      <c r="L51" s="30" t="s">
        <v>84</v>
      </c>
      <c r="M51" s="31" t="s">
        <v>84</v>
      </c>
      <c r="N51" s="31" t="s">
        <v>84</v>
      </c>
      <c r="O51" s="30" t="s">
        <v>84</v>
      </c>
      <c r="P51" s="33" t="s">
        <v>84</v>
      </c>
      <c r="Q51" s="33" t="s">
        <v>84</v>
      </c>
      <c r="R51" s="24"/>
      <c r="S51" s="24"/>
    </row>
    <row r="52" spans="1:19" ht="14.5">
      <c r="A52" s="20" t="s">
        <v>265</v>
      </c>
      <c r="B52" s="20">
        <v>25</v>
      </c>
      <c r="C52" s="20">
        <v>10</v>
      </c>
      <c r="D52" s="24"/>
      <c r="E52" s="24"/>
      <c r="F52" s="20" t="s">
        <v>266</v>
      </c>
      <c r="G52" t="str">
        <f ca="1">IFERROR(__xludf.DUMMYFUNCTION("UPPER(LEFT((GOOGLETRANSLATE(F52,""en"",""pt"")),1))&amp;RIGHT(lower((GOOGLETRANSLATE(F52,""en"",""pt""))),(LEN((GOOGLETRANSLATE(F52,""en"",""pt"")))-1))"),"Complexos educacionais")</f>
        <v>Complexos educacionais</v>
      </c>
      <c r="H52" s="36" t="s">
        <v>267</v>
      </c>
      <c r="I52" s="20" t="str">
        <f>VLOOKUP(A52,CO_Base_LNEC!$B$4:$G$271,6,FALSE)</f>
        <v>Edifícios Educacionais</v>
      </c>
      <c r="J52" s="36" t="s">
        <v>267</v>
      </c>
      <c r="K52" s="20" t="s">
        <v>83</v>
      </c>
      <c r="L52" s="30" t="s">
        <v>84</v>
      </c>
      <c r="M52" s="31" t="s">
        <v>84</v>
      </c>
      <c r="N52" s="20" t="s">
        <v>268</v>
      </c>
      <c r="O52" s="30" t="s">
        <v>84</v>
      </c>
      <c r="P52" s="33" t="s">
        <v>84</v>
      </c>
      <c r="Q52" s="33" t="s">
        <v>84</v>
      </c>
      <c r="R52" s="24"/>
      <c r="S52" s="24"/>
    </row>
    <row r="53" spans="1:19" ht="14.5">
      <c r="A53" s="20" t="s">
        <v>269</v>
      </c>
      <c r="B53" s="20">
        <v>25</v>
      </c>
      <c r="C53" s="20">
        <v>10</v>
      </c>
      <c r="D53" s="20">
        <v>32</v>
      </c>
      <c r="E53" s="24"/>
      <c r="F53" s="20" t="s">
        <v>270</v>
      </c>
      <c r="G53" t="str">
        <f ca="1">IFERROR(__xludf.DUMMYFUNCTION("UPPER(LEFT((GOOGLETRANSLATE(F53,""en"",""pt"")),1))&amp;RIGHT(lower((GOOGLETRANSLATE(F53,""en"",""pt""))),(LEN((GOOGLETRANSLATE(F53,""en"",""pt"")))-1))"),"Instituições de ensino superior")</f>
        <v>Instituições de ensino superior</v>
      </c>
      <c r="H53" s="35" t="s">
        <v>271</v>
      </c>
      <c r="I53" s="20" t="e">
        <f>VLOOKUP(A53,CO_Base_LNEC!$B$4:$G$271,6,FALSE)</f>
        <v>#N/A</v>
      </c>
      <c r="J53" s="35" t="s">
        <v>272</v>
      </c>
      <c r="K53" s="20" t="s">
        <v>83</v>
      </c>
      <c r="L53" s="30" t="s">
        <v>84</v>
      </c>
      <c r="M53" s="31" t="s">
        <v>84</v>
      </c>
      <c r="N53" s="31" t="s">
        <v>84</v>
      </c>
      <c r="O53" s="30" t="s">
        <v>84</v>
      </c>
      <c r="P53" s="33" t="s">
        <v>84</v>
      </c>
      <c r="Q53" s="33" t="s">
        <v>84</v>
      </c>
      <c r="R53" s="24"/>
      <c r="S53" s="24"/>
    </row>
    <row r="54" spans="1:19" ht="14.5">
      <c r="A54" s="20" t="s">
        <v>273</v>
      </c>
      <c r="B54" s="20">
        <v>25</v>
      </c>
      <c r="C54" s="20">
        <v>10</v>
      </c>
      <c r="D54" s="20">
        <v>41</v>
      </c>
      <c r="E54" s="24"/>
      <c r="F54" s="20" t="s">
        <v>274</v>
      </c>
      <c r="G54" t="str">
        <f ca="1">IFERROR(__xludf.DUMMYFUNCTION("UPPER(LEFT((GOOGLETRANSLATE(F54,""en"",""pt"")),1))&amp;RIGHT(lower((GOOGLETRANSLATE(F54,""en"",""pt""))),(LEN((GOOGLETRANSLATE(F54,""en"",""pt"")))-1))"),"Escolas infantis")</f>
        <v>Escolas infantis</v>
      </c>
      <c r="H54" s="36" t="s">
        <v>275</v>
      </c>
      <c r="I54" s="20" t="e">
        <f>VLOOKUP(A54,CO_Base_LNEC!$B$4:$G$271,6,FALSE)</f>
        <v>#N/A</v>
      </c>
      <c r="J54" s="35" t="s">
        <v>276</v>
      </c>
      <c r="K54" s="20" t="s">
        <v>83</v>
      </c>
      <c r="L54" s="30" t="s">
        <v>84</v>
      </c>
      <c r="M54" s="31" t="s">
        <v>84</v>
      </c>
      <c r="N54" s="31" t="s">
        <v>84</v>
      </c>
      <c r="O54" s="30" t="s">
        <v>84</v>
      </c>
      <c r="P54" s="33" t="s">
        <v>84</v>
      </c>
      <c r="Q54" s="33" t="s">
        <v>84</v>
      </c>
      <c r="R54" s="24"/>
      <c r="S54" s="24"/>
    </row>
    <row r="55" spans="1:19" ht="14.5">
      <c r="A55" s="20" t="s">
        <v>277</v>
      </c>
      <c r="B55" s="20">
        <v>25</v>
      </c>
      <c r="C55" s="20">
        <v>10</v>
      </c>
      <c r="D55" s="20">
        <v>45</v>
      </c>
      <c r="E55" s="24"/>
      <c r="F55" s="20" t="s">
        <v>278</v>
      </c>
      <c r="G55" t="str">
        <f ca="1">IFERROR(__xludf.DUMMYFUNCTION("UPPER(LEFT((GOOGLETRANSLATE(F55,""en"",""pt"")),1))&amp;RIGHT(lower((GOOGLETRANSLATE(F55,""en"",""pt""))),(LEN((GOOGLETRANSLATE(F55,""en"",""pt"")))-1))"),"Jardins de infância, creches e pré-escolas")</f>
        <v>Jardins de infância, creches e pré-escolas</v>
      </c>
      <c r="H55" s="36" t="s">
        <v>279</v>
      </c>
      <c r="I55" s="20" t="str">
        <f>VLOOKUP(A55,CO_Base_LNEC!$B$4:$G$271,6,FALSE)</f>
        <v>Edifícios de educação pré-escolar e creches</v>
      </c>
      <c r="J55" s="35" t="s">
        <v>280</v>
      </c>
      <c r="K55" s="20" t="s">
        <v>83</v>
      </c>
      <c r="L55" s="30" t="s">
        <v>84</v>
      </c>
      <c r="M55" s="31" t="s">
        <v>84</v>
      </c>
      <c r="N55" s="31" t="s">
        <v>84</v>
      </c>
      <c r="O55" s="30" t="s">
        <v>84</v>
      </c>
      <c r="P55" s="34" t="s">
        <v>281</v>
      </c>
      <c r="Q55" s="34" t="s">
        <v>281</v>
      </c>
      <c r="R55" s="24"/>
      <c r="S55" s="24"/>
    </row>
    <row r="56" spans="1:19" ht="14.5">
      <c r="A56" s="20" t="s">
        <v>282</v>
      </c>
      <c r="B56" s="20">
        <v>25</v>
      </c>
      <c r="C56" s="20">
        <v>10</v>
      </c>
      <c r="D56" s="20">
        <v>66</v>
      </c>
      <c r="E56" s="24"/>
      <c r="F56" s="20" t="s">
        <v>283</v>
      </c>
      <c r="G56" t="str">
        <f ca="1">IFERROR(__xludf.DUMMYFUNCTION("UPPER(LEFT((GOOGLETRANSLATE(F56,""en"",""pt"")),1))&amp;RIGHT(lower((GOOGLETRANSLATE(F56,""en"",""pt""))),(LEN((GOOGLETRANSLATE(F56,""en"",""pt"")))-1))"),"Escola primária")</f>
        <v>Escola primária</v>
      </c>
      <c r="H56" s="35" t="s">
        <v>284</v>
      </c>
      <c r="I56" s="20" t="str">
        <f>VLOOKUP(A56,CO_Base_LNEC!$B$4:$G$271,6,FALSE)</f>
        <v>Edifícios de ensino básico</v>
      </c>
      <c r="J56" s="35" t="s">
        <v>285</v>
      </c>
      <c r="K56" s="20" t="s">
        <v>83</v>
      </c>
      <c r="L56" s="30" t="s">
        <v>84</v>
      </c>
      <c r="M56" s="31" t="s">
        <v>84</v>
      </c>
      <c r="N56" s="31" t="s">
        <v>84</v>
      </c>
      <c r="O56" s="30" t="s">
        <v>84</v>
      </c>
      <c r="P56" s="33" t="s">
        <v>84</v>
      </c>
      <c r="Q56" s="33" t="s">
        <v>84</v>
      </c>
      <c r="R56" s="24"/>
      <c r="S56" s="24"/>
    </row>
    <row r="57" spans="1:19" ht="14.5">
      <c r="A57" s="20" t="s">
        <v>286</v>
      </c>
      <c r="B57" s="20">
        <v>25</v>
      </c>
      <c r="C57" s="20">
        <v>10</v>
      </c>
      <c r="D57" s="20">
        <v>77</v>
      </c>
      <c r="E57" s="24"/>
      <c r="F57" s="20" t="s">
        <v>287</v>
      </c>
      <c r="G57" t="str">
        <f ca="1">IFERROR(__xludf.DUMMYFUNCTION("UPPER(LEFT((GOOGLETRANSLATE(F57,""en"",""pt"")),1))&amp;RIGHT(lower((GOOGLETRANSLATE(F57,""en"",""pt""))),(LEN((GOOGLETRANSLATE(F57,""en"",""pt"")))-1))"),"Escolas secundárias")</f>
        <v>Escolas secundárias</v>
      </c>
      <c r="H57" s="36" t="s">
        <v>288</v>
      </c>
      <c r="I57" s="20" t="str">
        <f>VLOOKUP(A57,CO_Base_LNEC!$B$4:$G$271,6,FALSE)</f>
        <v>Edifícios de ensino secundário</v>
      </c>
      <c r="J57" s="35" t="s">
        <v>289</v>
      </c>
      <c r="K57" s="20" t="s">
        <v>83</v>
      </c>
      <c r="L57" s="30" t="s">
        <v>84</v>
      </c>
      <c r="M57" s="31" t="s">
        <v>84</v>
      </c>
      <c r="N57" s="31" t="s">
        <v>84</v>
      </c>
      <c r="O57" s="30" t="s">
        <v>84</v>
      </c>
      <c r="P57" s="33" t="s">
        <v>84</v>
      </c>
      <c r="Q57" s="33" t="s">
        <v>84</v>
      </c>
      <c r="R57" s="24"/>
      <c r="S57" s="24"/>
    </row>
    <row r="58" spans="1:19" ht="14.5">
      <c r="A58" s="20" t="s">
        <v>290</v>
      </c>
      <c r="B58" s="20">
        <v>25</v>
      </c>
      <c r="C58" s="20">
        <v>10</v>
      </c>
      <c r="D58" s="20">
        <v>88</v>
      </c>
      <c r="E58" s="24"/>
      <c r="F58" s="20" t="s">
        <v>291</v>
      </c>
      <c r="G58" t="str">
        <f ca="1">IFERROR(__xludf.DUMMYFUNCTION("UPPER(LEFT((GOOGLETRANSLATE(F58,""en"",""pt"")),1))&amp;RIGHT(lower((GOOGLETRANSLATE(F58,""en"",""pt""))),(LEN((GOOGLETRANSLATE(F58,""en"",""pt"")))-1))"),"Faculdades terciárias")</f>
        <v>Faculdades terciárias</v>
      </c>
      <c r="H58" s="35" t="s">
        <v>292</v>
      </c>
      <c r="I58" s="20" t="str">
        <f>VLOOKUP(A58,CO_Base_LNEC!$B$4:$G$271,6,FALSE)</f>
        <v>Universidades seniores</v>
      </c>
      <c r="J58" s="35" t="s">
        <v>293</v>
      </c>
      <c r="K58" s="20" t="s">
        <v>83</v>
      </c>
      <c r="L58" s="30" t="s">
        <v>84</v>
      </c>
      <c r="M58" s="31" t="s">
        <v>84</v>
      </c>
      <c r="N58" s="31" t="s">
        <v>84</v>
      </c>
      <c r="O58" s="30" t="s">
        <v>84</v>
      </c>
      <c r="P58" s="33" t="s">
        <v>84</v>
      </c>
      <c r="Q58" s="33" t="s">
        <v>84</v>
      </c>
      <c r="R58" s="20" t="s">
        <v>294</v>
      </c>
      <c r="S58" s="24"/>
    </row>
    <row r="59" spans="1:19" ht="14.5">
      <c r="A59" s="20" t="s">
        <v>295</v>
      </c>
      <c r="B59" s="20">
        <v>25</v>
      </c>
      <c r="C59" s="20">
        <v>10</v>
      </c>
      <c r="D59" s="20">
        <v>92</v>
      </c>
      <c r="E59" s="24"/>
      <c r="F59" s="20" t="s">
        <v>296</v>
      </c>
      <c r="G59" t="str">
        <f ca="1">IFERROR(__xludf.DUMMYFUNCTION("UPPER(LEFT((GOOGLETRANSLATE(F59,""en"",""pt"")),1))&amp;RIGHT(lower((GOOGLETRANSLATE(F59,""en"",""pt""))),(LEN((GOOGLETRANSLATE(F59,""en"",""pt"")))-1))"),"Universidades")</f>
        <v>Universidades</v>
      </c>
      <c r="H59" s="36" t="s">
        <v>297</v>
      </c>
      <c r="I59" s="20" t="str">
        <f>VLOOKUP(A59,CO_Base_LNEC!$B$4:$G$271,6,FALSE)</f>
        <v>Universidades</v>
      </c>
      <c r="J59" s="36" t="s">
        <v>297</v>
      </c>
      <c r="K59" s="20" t="s">
        <v>83</v>
      </c>
      <c r="L59" s="30" t="s">
        <v>84</v>
      </c>
      <c r="M59" s="31" t="s">
        <v>84</v>
      </c>
      <c r="N59" s="31" t="s">
        <v>84</v>
      </c>
      <c r="O59" s="30" t="s">
        <v>84</v>
      </c>
      <c r="P59" s="33" t="s">
        <v>84</v>
      </c>
      <c r="Q59" s="33" t="s">
        <v>84</v>
      </c>
      <c r="R59" s="24"/>
      <c r="S59" s="24"/>
    </row>
    <row r="60" spans="1:19" ht="14.5">
      <c r="A60" s="20" t="s">
        <v>298</v>
      </c>
      <c r="B60" s="20">
        <v>25</v>
      </c>
      <c r="C60" s="20">
        <v>30</v>
      </c>
      <c r="D60" s="24"/>
      <c r="E60" s="24"/>
      <c r="F60" s="20" t="s">
        <v>299</v>
      </c>
      <c r="G60" t="str">
        <f ca="1">IFERROR(__xludf.DUMMYFUNCTION("UPPER(LEFT((GOOGLETRANSLATE(F60,""en"",""pt"")),1))&amp;RIGHT(lower((GOOGLETRANSLATE(F60,""en"",""pt""))),(LEN((GOOGLETRANSLATE(F60,""en"",""pt"")))-1))"),"Complexos científicos")</f>
        <v>Complexos científicos</v>
      </c>
      <c r="H60" s="36" t="s">
        <v>300</v>
      </c>
      <c r="I60" s="20" t="str">
        <f>VLOOKUP(A60,CO_Base_LNEC!$B$4:$G$271,6,FALSE)</f>
        <v>Edifícios científicos</v>
      </c>
      <c r="J60" s="36" t="s">
        <v>300</v>
      </c>
      <c r="K60" s="20" t="s">
        <v>83</v>
      </c>
      <c r="L60" s="30" t="s">
        <v>84</v>
      </c>
      <c r="M60" s="31" t="s">
        <v>84</v>
      </c>
      <c r="N60" s="20" t="s">
        <v>301</v>
      </c>
      <c r="O60" s="30" t="s">
        <v>84</v>
      </c>
      <c r="P60" s="33" t="s">
        <v>84</v>
      </c>
      <c r="Q60" s="33" t="s">
        <v>84</v>
      </c>
      <c r="R60" s="24"/>
      <c r="S60" s="24"/>
    </row>
    <row r="61" spans="1:19" ht="14.5">
      <c r="A61" s="20" t="s">
        <v>302</v>
      </c>
      <c r="B61" s="20">
        <v>25</v>
      </c>
      <c r="C61" s="20">
        <v>30</v>
      </c>
      <c r="D61" s="20">
        <v>4</v>
      </c>
      <c r="E61" s="24"/>
      <c r="F61" s="20" t="s">
        <v>303</v>
      </c>
      <c r="G61" t="str">
        <f ca="1">IFERROR(__xludf.DUMMYFUNCTION("UPPER(LEFT((GOOGLETRANSLATE(F61,""en"",""pt"")),1))&amp;RIGHT(lower((GOOGLETRANSLATE(F61,""en"",""pt""))),(LEN((GOOGLETRANSLATE(F61,""en"",""pt"")))-1))"),"Complexos observatório astronómicas")</f>
        <v>Complexos observatório astronómicas</v>
      </c>
      <c r="H61" s="35" t="s">
        <v>304</v>
      </c>
      <c r="I61" s="20" t="str">
        <f>VLOOKUP(A61,CO_Base_LNEC!$B$4:$G$271,6,FALSE)</f>
        <v>Observatório Astronómico</v>
      </c>
      <c r="J61" s="20" t="s">
        <v>305</v>
      </c>
      <c r="K61" s="20" t="s">
        <v>83</v>
      </c>
      <c r="L61" s="30" t="s">
        <v>84</v>
      </c>
      <c r="M61" s="31" t="s">
        <v>84</v>
      </c>
      <c r="N61" s="31" t="s">
        <v>84</v>
      </c>
      <c r="O61" s="30" t="s">
        <v>84</v>
      </c>
      <c r="P61" s="33" t="s">
        <v>84</v>
      </c>
      <c r="Q61" s="33" t="s">
        <v>84</v>
      </c>
      <c r="R61" s="24"/>
      <c r="S61" s="24"/>
    </row>
    <row r="62" spans="1:19" ht="14.5">
      <c r="A62" s="20" t="s">
        <v>306</v>
      </c>
      <c r="B62" s="20">
        <v>25</v>
      </c>
      <c r="C62" s="20">
        <v>30</v>
      </c>
      <c r="D62" s="20">
        <v>8</v>
      </c>
      <c r="E62" s="24"/>
      <c r="F62" s="20" t="s">
        <v>307</v>
      </c>
      <c r="G62" t="str">
        <f ca="1">IFERROR(__xludf.DUMMYFUNCTION("UPPER(LEFT((GOOGLETRANSLATE(F62,""en"",""pt"")),1))&amp;RIGHT(lower((GOOGLETRANSLATE(F62,""en"",""pt""))),(LEN((GOOGLETRANSLATE(F62,""en"",""pt"")))-1))"),"Jardins botânicos")</f>
        <v>Jardins botânicos</v>
      </c>
      <c r="H62" s="36" t="s">
        <v>308</v>
      </c>
      <c r="I62" s="20" t="str">
        <f>VLOOKUP(A62,CO_Base_LNEC!$B$4:$G$271,6,FALSE)</f>
        <v>Jardins Botânicos</v>
      </c>
      <c r="J62" s="36" t="s">
        <v>308</v>
      </c>
      <c r="K62" s="20" t="s">
        <v>83</v>
      </c>
      <c r="L62" s="30" t="s">
        <v>84</v>
      </c>
      <c r="M62" s="31" t="s">
        <v>84</v>
      </c>
      <c r="N62" s="31" t="s">
        <v>84</v>
      </c>
      <c r="O62" s="30" t="s">
        <v>84</v>
      </c>
      <c r="P62" s="33" t="s">
        <v>84</v>
      </c>
      <c r="Q62" s="33" t="s">
        <v>84</v>
      </c>
      <c r="R62" s="24"/>
      <c r="S62" s="24"/>
    </row>
    <row r="63" spans="1:19" ht="14.5">
      <c r="A63" s="20" t="s">
        <v>309</v>
      </c>
      <c r="B63" s="20">
        <v>25</v>
      </c>
      <c r="C63" s="20">
        <v>30</v>
      </c>
      <c r="D63" s="20">
        <v>45</v>
      </c>
      <c r="E63" s="24"/>
      <c r="F63" s="20" t="s">
        <v>310</v>
      </c>
      <c r="G63" t="str">
        <f ca="1">IFERROR(__xludf.DUMMYFUNCTION("UPPER(LEFT((GOOGLETRANSLATE(F63,""en"",""pt"")),1))&amp;RIGHT(lower((GOOGLETRANSLATE(F63,""en"",""pt""))),(LEN((GOOGLETRANSLATE(F63,""en"",""pt"")))-1))"),"Complexos de laboratório")</f>
        <v>Complexos de laboratório</v>
      </c>
      <c r="H63" s="35" t="s">
        <v>311</v>
      </c>
      <c r="I63" s="20" t="str">
        <f>VLOOKUP(A63,CO_Base_LNEC!$B$4:$G$271,6,FALSE)</f>
        <v>Laboratórios de investigação cientifica</v>
      </c>
      <c r="J63" s="35" t="s">
        <v>311</v>
      </c>
      <c r="K63" s="20" t="s">
        <v>83</v>
      </c>
      <c r="L63" s="30" t="s">
        <v>84</v>
      </c>
      <c r="M63" s="31" t="s">
        <v>84</v>
      </c>
      <c r="N63" s="20" t="s">
        <v>312</v>
      </c>
      <c r="O63" s="30" t="s">
        <v>84</v>
      </c>
      <c r="P63" s="33" t="s">
        <v>84</v>
      </c>
      <c r="Q63" s="33" t="s">
        <v>84</v>
      </c>
      <c r="R63" s="24"/>
      <c r="S63" s="24"/>
    </row>
    <row r="64" spans="1:19" ht="14.5">
      <c r="A64" s="20" t="s">
        <v>313</v>
      </c>
      <c r="B64" s="20">
        <v>25</v>
      </c>
      <c r="C64" s="20">
        <v>30</v>
      </c>
      <c r="D64" s="20">
        <v>70</v>
      </c>
      <c r="E64" s="24"/>
      <c r="F64" s="20" t="s">
        <v>314</v>
      </c>
      <c r="G64" t="str">
        <f ca="1">IFERROR(__xludf.DUMMYFUNCTION("UPPER(LEFT((GOOGLETRANSLATE(F64,""en"",""pt"")),1))&amp;RIGHT(lower((GOOGLETRANSLATE(F64,""en"",""pt""))),(LEN((GOOGLETRANSLATE(F64,""en"",""pt"")))-1))"),"Complexos de investigação")</f>
        <v>Complexos de investigação</v>
      </c>
      <c r="H64" s="36" t="s">
        <v>315</v>
      </c>
      <c r="I64" s="20" t="str">
        <f>VLOOKUP(A64,CO_Base_LNEC!$B$4:$G$271,6,FALSE)</f>
        <v>Centros de investigação</v>
      </c>
      <c r="J64" s="36" t="s">
        <v>315</v>
      </c>
      <c r="K64" s="20" t="s">
        <v>83</v>
      </c>
      <c r="L64" s="30" t="s">
        <v>84</v>
      </c>
      <c r="M64" s="31" t="s">
        <v>84</v>
      </c>
      <c r="N64" s="20" t="s">
        <v>316</v>
      </c>
      <c r="O64" s="30" t="s">
        <v>84</v>
      </c>
      <c r="P64" s="33" t="s">
        <v>84</v>
      </c>
      <c r="Q64" s="34" t="s">
        <v>86</v>
      </c>
      <c r="R64" s="24"/>
      <c r="S64" s="24"/>
    </row>
    <row r="65" spans="1:19" ht="14.5">
      <c r="A65" s="20" t="s">
        <v>317</v>
      </c>
      <c r="B65" s="20">
        <v>25</v>
      </c>
      <c r="C65" s="20">
        <v>50</v>
      </c>
      <c r="D65" s="24"/>
      <c r="E65" s="24"/>
      <c r="F65" s="20" t="s">
        <v>318</v>
      </c>
      <c r="G65" t="str">
        <f ca="1">IFERROR(__xludf.DUMMYFUNCTION("UPPER(LEFT((GOOGLETRANSLATE(F65,""en"",""pt"")),1))&amp;RIGHT(lower((GOOGLETRANSLATE(F65,""en"",""pt""))),(LEN((GOOGLETRANSLATE(F65,""en"",""pt"")))-1))"),"Complexos de exposição")</f>
        <v>Complexos de exposição</v>
      </c>
      <c r="H65" s="36" t="s">
        <v>319</v>
      </c>
      <c r="I65" s="20" t="str">
        <f>VLOOKUP(A65,CO_Base_LNEC!$B$4:$G$271,6,FALSE)</f>
        <v>Edifícios de exibições</v>
      </c>
      <c r="J65" s="36" t="s">
        <v>319</v>
      </c>
      <c r="K65" s="20" t="s">
        <v>83</v>
      </c>
      <c r="L65" s="30" t="s">
        <v>84</v>
      </c>
      <c r="M65" s="31" t="s">
        <v>84</v>
      </c>
      <c r="N65" s="20" t="s">
        <v>320</v>
      </c>
      <c r="O65" s="30" t="s">
        <v>84</v>
      </c>
      <c r="P65" s="33" t="s">
        <v>84</v>
      </c>
      <c r="Q65" s="34" t="s">
        <v>86</v>
      </c>
      <c r="R65" s="24"/>
      <c r="S65" s="24"/>
    </row>
    <row r="66" spans="1:19" ht="14.5">
      <c r="A66" s="20" t="s">
        <v>321</v>
      </c>
      <c r="B66" s="20">
        <v>25</v>
      </c>
      <c r="C66" s="20">
        <v>50</v>
      </c>
      <c r="D66" s="20">
        <v>3</v>
      </c>
      <c r="E66" s="24"/>
      <c r="F66" s="20" t="s">
        <v>322</v>
      </c>
      <c r="G66" t="str">
        <f ca="1">IFERROR(__xludf.DUMMYFUNCTION("UPPER(LEFT((GOOGLETRANSLATE(F66,""en"",""pt"")),1))&amp;RIGHT(lower((GOOGLETRANSLATE(F66,""en"",""pt""))),(LEN((GOOGLETRANSLATE(F66,""en"",""pt"")))-1))"),"Instalações de arte")</f>
        <v>Instalações de arte</v>
      </c>
      <c r="H66" s="36" t="s">
        <v>323</v>
      </c>
      <c r="I66" s="20" t="e">
        <f>VLOOKUP(A66,CO_Base_LNEC!$B$4:$G$271,6,FALSE)</f>
        <v>#N/A</v>
      </c>
      <c r="J66" s="36" t="s">
        <v>323</v>
      </c>
      <c r="K66" s="20" t="s">
        <v>83</v>
      </c>
      <c r="L66" s="30" t="s">
        <v>84</v>
      </c>
      <c r="M66" s="31" t="s">
        <v>84</v>
      </c>
      <c r="N66" s="31" t="s">
        <v>84</v>
      </c>
      <c r="O66" s="30" t="s">
        <v>84</v>
      </c>
      <c r="P66" s="33" t="s">
        <v>84</v>
      </c>
      <c r="Q66" s="33" t="s">
        <v>84</v>
      </c>
      <c r="R66" s="24"/>
      <c r="S66" s="24"/>
    </row>
    <row r="67" spans="1:19" ht="14.5">
      <c r="A67" s="20" t="s">
        <v>324</v>
      </c>
      <c r="B67" s="20">
        <v>25</v>
      </c>
      <c r="C67" s="20">
        <v>50</v>
      </c>
      <c r="D67" s="20">
        <v>33</v>
      </c>
      <c r="E67" s="24"/>
      <c r="F67" s="20" t="s">
        <v>325</v>
      </c>
      <c r="G67" t="str">
        <f ca="1">IFERROR(__xludf.DUMMYFUNCTION("UPPER(LEFT((GOOGLETRANSLATE(F67,""en"",""pt"")),1))&amp;RIGHT(lower((GOOGLETRANSLATE(F67,""en"",""pt""))),(LEN((GOOGLETRANSLATE(F67,""en"",""pt"")))-1))"),"Galerias")</f>
        <v>Galerias</v>
      </c>
      <c r="H67" s="36" t="s">
        <v>326</v>
      </c>
      <c r="I67" s="20" t="str">
        <f>VLOOKUP(A67,CO_Base_LNEC!$B$4:$G$271,6,FALSE)</f>
        <v>Galerias de arte</v>
      </c>
      <c r="J67" s="36" t="s">
        <v>326</v>
      </c>
      <c r="K67" s="20" t="s">
        <v>83</v>
      </c>
      <c r="L67" s="30" t="s">
        <v>84</v>
      </c>
      <c r="M67" s="31" t="s">
        <v>84</v>
      </c>
      <c r="N67" s="31" t="s">
        <v>84</v>
      </c>
      <c r="O67" s="30" t="s">
        <v>84</v>
      </c>
      <c r="P67" s="33" t="s">
        <v>84</v>
      </c>
      <c r="Q67" s="33" t="s">
        <v>84</v>
      </c>
      <c r="R67" s="24"/>
      <c r="S67" s="24"/>
    </row>
    <row r="68" spans="1:19" ht="14.5">
      <c r="A68" s="20" t="s">
        <v>327</v>
      </c>
      <c r="B68" s="20">
        <v>25</v>
      </c>
      <c r="C68" s="20">
        <v>50</v>
      </c>
      <c r="D68" s="20">
        <v>34</v>
      </c>
      <c r="E68" s="24"/>
      <c r="F68" s="20" t="s">
        <v>328</v>
      </c>
      <c r="G68" t="str">
        <f ca="1">IFERROR(__xludf.DUMMYFUNCTION("UPPER(LEFT((GOOGLETRANSLATE(F68,""en"",""pt"")),1))&amp;RIGHT(lower((GOOGLETRANSLATE(F68,""en"",""pt""))),(LEN((GOOGLETRANSLATE(F68,""en"",""pt"")))-1))"),"Jardins e viveiros")</f>
        <v>Jardins e viveiros</v>
      </c>
      <c r="H68" s="36" t="s">
        <v>329</v>
      </c>
      <c r="I68" s="20" t="str">
        <f>VLOOKUP(A68,CO_Base_LNEC!$B$4:$G$271,6,FALSE)</f>
        <v>Jardins e viveiros de plantas</v>
      </c>
      <c r="J68" s="20" t="s">
        <v>330</v>
      </c>
      <c r="K68" s="20" t="s">
        <v>83</v>
      </c>
      <c r="L68" s="30" t="s">
        <v>84</v>
      </c>
      <c r="M68" s="31" t="s">
        <v>84</v>
      </c>
      <c r="N68" s="31" t="s">
        <v>84</v>
      </c>
      <c r="O68" s="30" t="s">
        <v>84</v>
      </c>
      <c r="P68" s="33" t="s">
        <v>84</v>
      </c>
      <c r="Q68" s="33" t="s">
        <v>84</v>
      </c>
      <c r="R68" s="24"/>
      <c r="S68" s="24"/>
    </row>
    <row r="69" spans="1:19" ht="14.5">
      <c r="A69" s="20" t="s">
        <v>331</v>
      </c>
      <c r="B69" s="20">
        <v>25</v>
      </c>
      <c r="C69" s="20">
        <v>50</v>
      </c>
      <c r="D69" s="20">
        <v>50</v>
      </c>
      <c r="E69" s="24"/>
      <c r="F69" s="20" t="s">
        <v>332</v>
      </c>
      <c r="G69" t="str">
        <f ca="1">IFERROR(__xludf.DUMMYFUNCTION("UPPER(LEFT((GOOGLETRANSLATE(F69,""en"",""pt"")),1))&amp;RIGHT(lower((GOOGLETRANSLATE(F69,""en"",""pt""))),(LEN((GOOGLETRANSLATE(F69,""en"",""pt"")))-1))"),"Complexos memorial")</f>
        <v>Complexos memorial</v>
      </c>
      <c r="H69" s="35" t="s">
        <v>333</v>
      </c>
      <c r="I69" s="20" t="e">
        <f>VLOOKUP(A69,CO_Base_LNEC!$B$4:$G$271,6,FALSE)</f>
        <v>#N/A</v>
      </c>
      <c r="J69" s="35" t="s">
        <v>333</v>
      </c>
      <c r="K69" s="20" t="s">
        <v>83</v>
      </c>
      <c r="L69" s="30" t="s">
        <v>84</v>
      </c>
      <c r="M69" s="31" t="s">
        <v>84</v>
      </c>
      <c r="N69" s="31" t="s">
        <v>84</v>
      </c>
      <c r="O69" s="30" t="s">
        <v>84</v>
      </c>
      <c r="P69" s="33" t="s">
        <v>84</v>
      </c>
      <c r="Q69" s="33" t="s">
        <v>84</v>
      </c>
      <c r="R69" s="24"/>
      <c r="S69" s="24"/>
    </row>
    <row r="70" spans="1:19" ht="14.5">
      <c r="A70" s="20" t="s">
        <v>334</v>
      </c>
      <c r="B70" s="20">
        <v>25</v>
      </c>
      <c r="C70" s="20">
        <v>50</v>
      </c>
      <c r="D70" s="20">
        <v>52</v>
      </c>
      <c r="E70" s="24"/>
      <c r="F70" s="20" t="s">
        <v>335</v>
      </c>
      <c r="G70" t="str">
        <f ca="1">IFERROR(__xludf.DUMMYFUNCTION("UPPER(LEFT((GOOGLETRANSLATE(F70,""en"",""pt"")),1))&amp;RIGHT(lower((GOOGLETRANSLATE(F70,""en"",""pt""))),(LEN((GOOGLETRANSLATE(F70,""en"",""pt"")))-1))"),"Complexos monumento")</f>
        <v>Complexos monumento</v>
      </c>
      <c r="H70" s="35" t="s">
        <v>336</v>
      </c>
      <c r="I70" s="20" t="str">
        <f>VLOOKUP(A70,CO_Base_LNEC!$B$4:$G$271,6,FALSE)</f>
        <v>Monumentos</v>
      </c>
      <c r="J70" s="35" t="s">
        <v>336</v>
      </c>
      <c r="K70" s="20" t="s">
        <v>83</v>
      </c>
      <c r="L70" s="30" t="s">
        <v>84</v>
      </c>
      <c r="M70" s="31" t="s">
        <v>84</v>
      </c>
      <c r="N70" s="31" t="s">
        <v>84</v>
      </c>
      <c r="O70" s="30" t="s">
        <v>84</v>
      </c>
      <c r="P70" s="33" t="s">
        <v>84</v>
      </c>
      <c r="Q70" s="33" t="s">
        <v>84</v>
      </c>
      <c r="R70" s="24"/>
      <c r="S70" s="24"/>
    </row>
    <row r="71" spans="1:19" ht="14.5">
      <c r="A71" s="20" t="s">
        <v>337</v>
      </c>
      <c r="B71" s="20">
        <v>25</v>
      </c>
      <c r="C71" s="20">
        <v>50</v>
      </c>
      <c r="D71" s="20">
        <v>54</v>
      </c>
      <c r="E71" s="24"/>
      <c r="F71" s="20" t="s">
        <v>338</v>
      </c>
      <c r="G71" t="str">
        <f ca="1">IFERROR(__xludf.DUMMYFUNCTION("UPPER(LEFT((GOOGLETRANSLATE(F71,""en"",""pt"")),1))&amp;RIGHT(lower((GOOGLETRANSLATE(F71,""en"",""pt""))),(LEN((GOOGLETRANSLATE(F71,""en"",""pt"")))-1))"),"Complexos de exposição multi-purpose")</f>
        <v>Complexos de exposição multi-purpose</v>
      </c>
      <c r="H71" s="35" t="s">
        <v>339</v>
      </c>
      <c r="I71" s="20" t="e">
        <f>VLOOKUP(A71,CO_Base_LNEC!$B$4:$G$271,6,FALSE)</f>
        <v>#N/A</v>
      </c>
      <c r="J71" s="35" t="s">
        <v>339</v>
      </c>
      <c r="K71" s="20" t="s">
        <v>83</v>
      </c>
      <c r="L71" s="30" t="s">
        <v>84</v>
      </c>
      <c r="M71" s="31" t="s">
        <v>84</v>
      </c>
      <c r="N71" s="31" t="s">
        <v>84</v>
      </c>
      <c r="O71" s="30" t="s">
        <v>84</v>
      </c>
      <c r="P71" s="33" t="s">
        <v>84</v>
      </c>
      <c r="Q71" s="34" t="s">
        <v>340</v>
      </c>
      <c r="R71" s="24"/>
      <c r="S71" s="24"/>
    </row>
    <row r="72" spans="1:19" ht="14.5">
      <c r="A72" s="20" t="s">
        <v>341</v>
      </c>
      <c r="B72" s="20">
        <v>25</v>
      </c>
      <c r="C72" s="20">
        <v>50</v>
      </c>
      <c r="D72" s="20">
        <v>55</v>
      </c>
      <c r="E72" s="24"/>
      <c r="F72" s="20" t="s">
        <v>342</v>
      </c>
      <c r="G72" t="str">
        <f ca="1">IFERROR(__xludf.DUMMYFUNCTION("UPPER(LEFT((GOOGLETRANSLATE(F72,""en"",""pt"")),1))&amp;RIGHT(lower((GOOGLETRANSLATE(F72,""en"",""pt""))),(LEN((GOOGLETRANSLATE(F72,""en"",""pt"")))-1))"),"Museus")</f>
        <v>Museus</v>
      </c>
      <c r="H72" s="36" t="s">
        <v>343</v>
      </c>
      <c r="I72" s="20" t="str">
        <f>VLOOKUP(A72,CO_Base_LNEC!$B$4:$G$271,6,FALSE)</f>
        <v>Museus</v>
      </c>
      <c r="J72" s="36" t="s">
        <v>343</v>
      </c>
      <c r="K72" s="20" t="s">
        <v>83</v>
      </c>
      <c r="L72" s="30" t="s">
        <v>84</v>
      </c>
      <c r="M72" s="31" t="s">
        <v>84</v>
      </c>
      <c r="N72" s="31" t="s">
        <v>84</v>
      </c>
      <c r="O72" s="30" t="s">
        <v>84</v>
      </c>
      <c r="P72" s="33" t="s">
        <v>84</v>
      </c>
      <c r="Q72" s="33" t="s">
        <v>84</v>
      </c>
      <c r="R72" s="24"/>
      <c r="S72" s="24"/>
    </row>
    <row r="73" spans="1:19" ht="14.5">
      <c r="A73" s="20" t="s">
        <v>344</v>
      </c>
      <c r="B73" s="20">
        <v>25</v>
      </c>
      <c r="C73" s="20">
        <v>50</v>
      </c>
      <c r="D73" s="20">
        <v>58</v>
      </c>
      <c r="E73" s="24"/>
      <c r="F73" s="20" t="s">
        <v>345</v>
      </c>
      <c r="G73" t="str">
        <f ca="1">IFERROR(__xludf.DUMMYFUNCTION("UPPER(LEFT((GOOGLETRANSLATE(F73,""en"",""pt"")),1))&amp;RIGHT(lower((GOOGLETRANSLATE(F73,""en"",""pt""))),(LEN((GOOGLETRANSLATE(F73,""en"",""pt"")))-1))"),"Museus ao ar livre")</f>
        <v>Museus ao ar livre</v>
      </c>
      <c r="H73" s="36" t="s">
        <v>346</v>
      </c>
      <c r="I73" s="20" t="str">
        <f>VLOOKUP(A73,CO_Base_LNEC!$B$4:$G$271,6,FALSE)</f>
        <v>Museus ao ar livre</v>
      </c>
      <c r="J73" s="36" t="s">
        <v>346</v>
      </c>
      <c r="K73" s="20" t="s">
        <v>83</v>
      </c>
      <c r="L73" s="30" t="s">
        <v>84</v>
      </c>
      <c r="M73" s="31" t="s">
        <v>84</v>
      </c>
      <c r="N73" s="31" t="s">
        <v>84</v>
      </c>
      <c r="O73" s="30" t="s">
        <v>84</v>
      </c>
      <c r="P73" s="33" t="s">
        <v>84</v>
      </c>
      <c r="Q73" s="33" t="s">
        <v>84</v>
      </c>
      <c r="R73" s="24"/>
      <c r="S73" s="24"/>
    </row>
    <row r="74" spans="1:19" ht="14.5">
      <c r="A74" s="20" t="s">
        <v>347</v>
      </c>
      <c r="B74" s="20">
        <v>25</v>
      </c>
      <c r="C74" s="20">
        <v>50</v>
      </c>
      <c r="D74" s="20">
        <v>59</v>
      </c>
      <c r="E74" s="24"/>
      <c r="F74" s="20" t="s">
        <v>348</v>
      </c>
      <c r="G74" t="str">
        <f ca="1">IFERROR(__xludf.DUMMYFUNCTION("UPPER(LEFT((GOOGLETRANSLATE(F74,""en"",""pt"")),1))&amp;RIGHT(lower((GOOGLETRANSLATE(F74,""en"",""pt""))),(LEN((GOOGLETRANSLATE(F74,""en"",""pt"")))-1))"),"Parques de escultura ao ar")</f>
        <v>Parques de escultura ao ar</v>
      </c>
      <c r="H74" s="35" t="s">
        <v>349</v>
      </c>
      <c r="I74" s="20" t="e">
        <f>VLOOKUP(A74,CO_Base_LNEC!$B$4:$G$271,6,FALSE)</f>
        <v>#N/A</v>
      </c>
      <c r="J74" s="35" t="s">
        <v>349</v>
      </c>
      <c r="K74" s="20" t="s">
        <v>83</v>
      </c>
      <c r="L74" s="30" t="s">
        <v>84</v>
      </c>
      <c r="M74" s="31" t="s">
        <v>84</v>
      </c>
      <c r="N74" s="31" t="s">
        <v>84</v>
      </c>
      <c r="O74" s="30" t="s">
        <v>84</v>
      </c>
      <c r="P74" s="33" t="s">
        <v>84</v>
      </c>
      <c r="Q74" s="33" t="s">
        <v>84</v>
      </c>
      <c r="R74" s="24"/>
      <c r="S74" s="24"/>
    </row>
    <row r="75" spans="1:19" ht="14.5">
      <c r="A75" s="20" t="s">
        <v>350</v>
      </c>
      <c r="B75" s="20">
        <v>25</v>
      </c>
      <c r="C75" s="20">
        <v>50</v>
      </c>
      <c r="D75" s="20">
        <v>99</v>
      </c>
      <c r="E75" s="24"/>
      <c r="F75" s="20" t="s">
        <v>351</v>
      </c>
      <c r="G75" t="str">
        <f ca="1">IFERROR(__xludf.DUMMYFUNCTION("UPPER(LEFT((GOOGLETRANSLATE(F75,""en"",""pt"")),1))&amp;RIGHT(lower((GOOGLETRANSLATE(F75,""en"",""pt""))),(LEN((GOOGLETRANSLATE(F75,""en"",""pt"")))-1))"),"Zoológicos")</f>
        <v>Zoológicos</v>
      </c>
      <c r="H75" s="35" t="s">
        <v>352</v>
      </c>
      <c r="I75" s="20" t="str">
        <f>VLOOKUP(A75,CO_Base_LNEC!$B$4:$G$271,6,FALSE)</f>
        <v>Jardins Zoológicos</v>
      </c>
      <c r="J75" s="35" t="s">
        <v>352</v>
      </c>
      <c r="K75" s="20" t="s">
        <v>83</v>
      </c>
      <c r="L75" s="30" t="s">
        <v>84</v>
      </c>
      <c r="M75" s="31" t="s">
        <v>84</v>
      </c>
      <c r="N75" s="31" t="s">
        <v>84</v>
      </c>
      <c r="O75" s="30" t="s">
        <v>84</v>
      </c>
      <c r="P75" s="33" t="s">
        <v>84</v>
      </c>
      <c r="Q75" s="33" t="s">
        <v>84</v>
      </c>
      <c r="R75" s="24"/>
      <c r="S75" s="24"/>
    </row>
    <row r="76" spans="1:19" ht="14.5">
      <c r="A76" s="20" t="s">
        <v>353</v>
      </c>
      <c r="B76" s="20">
        <v>25</v>
      </c>
      <c r="C76" s="20">
        <v>70</v>
      </c>
      <c r="D76" s="24"/>
      <c r="E76" s="24"/>
      <c r="F76" s="20" t="s">
        <v>354</v>
      </c>
      <c r="G76" t="str">
        <f ca="1">IFERROR(__xludf.DUMMYFUNCTION("UPPER(LEFT((GOOGLETRANSLATE(F76,""en"",""pt"")),1))&amp;RIGHT(lower((GOOGLETRANSLATE(F76,""en"",""pt""))),(LEN((GOOGLETRANSLATE(F76,""en"",""pt"")))-1))"),"Complexos de informação")</f>
        <v>Complexos de informação</v>
      </c>
      <c r="H76" s="36" t="s">
        <v>355</v>
      </c>
      <c r="I76" s="20" t="str">
        <f>VLOOKUP(A76,CO_Base_LNEC!$B$4:$G$271,6,FALSE)</f>
        <v>Edifícios de informação</v>
      </c>
      <c r="J76" s="36" t="s">
        <v>355</v>
      </c>
      <c r="K76" s="20" t="s">
        <v>83</v>
      </c>
      <c r="L76" s="30" t="s">
        <v>84</v>
      </c>
      <c r="M76" s="31" t="s">
        <v>84</v>
      </c>
      <c r="N76" s="31" t="s">
        <v>84</v>
      </c>
      <c r="O76" s="30" t="s">
        <v>84</v>
      </c>
      <c r="P76" s="33" t="s">
        <v>84</v>
      </c>
      <c r="Q76" s="34" t="s">
        <v>86</v>
      </c>
      <c r="R76" s="24"/>
      <c r="S76" s="24"/>
    </row>
    <row r="77" spans="1:19" ht="14.5">
      <c r="A77" s="20" t="s">
        <v>356</v>
      </c>
      <c r="B77" s="20">
        <v>25</v>
      </c>
      <c r="C77" s="20">
        <v>70</v>
      </c>
      <c r="D77" s="20">
        <v>16</v>
      </c>
      <c r="E77" s="24"/>
      <c r="F77" s="20" t="s">
        <v>357</v>
      </c>
      <c r="G77" t="str">
        <f ca="1">IFERROR(__xludf.DUMMYFUNCTION("UPPER(LEFT((GOOGLETRANSLATE(F77,""en"",""pt"")),1))&amp;RIGHT(lower((GOOGLETRANSLATE(F77,""en"",""pt""))),(LEN((GOOGLETRANSLATE(F77,""en"",""pt"")))-1))"),"Complexos de conferência")</f>
        <v>Complexos de conferência</v>
      </c>
      <c r="H77" s="35" t="s">
        <v>358</v>
      </c>
      <c r="I77" s="20" t="str">
        <f>VLOOKUP(A77,CO_Base_LNEC!$B$4:$G$271,6,FALSE)</f>
        <v>Edifícios de centros de conferências e de congressos</v>
      </c>
      <c r="J77" s="20" t="s">
        <v>359</v>
      </c>
      <c r="K77" s="20" t="s">
        <v>83</v>
      </c>
      <c r="L77" s="30" t="s">
        <v>84</v>
      </c>
      <c r="M77" s="31" t="s">
        <v>84</v>
      </c>
      <c r="N77" s="31" t="s">
        <v>84</v>
      </c>
      <c r="O77" s="30" t="s">
        <v>84</v>
      </c>
      <c r="P77" s="33" t="s">
        <v>84</v>
      </c>
      <c r="Q77" s="33" t="s">
        <v>84</v>
      </c>
      <c r="R77" s="24"/>
      <c r="S77" s="24"/>
    </row>
    <row r="78" spans="1:19" ht="14.5">
      <c r="A78" s="20" t="s">
        <v>360</v>
      </c>
      <c r="B78" s="20">
        <v>25</v>
      </c>
      <c r="C78" s="20">
        <v>70</v>
      </c>
      <c r="D78" s="20">
        <v>23</v>
      </c>
      <c r="E78" s="24"/>
      <c r="F78" s="20" t="s">
        <v>361</v>
      </c>
      <c r="G78" t="str">
        <f ca="1">IFERROR(__xludf.DUMMYFUNCTION("UPPER(LEFT((GOOGLETRANSLATE(F78,""en"",""pt"")),1))&amp;RIGHT(lower((GOOGLETRANSLATE(F78,""en"",""pt""))),(LEN((GOOGLETRANSLATE(F78,""en"",""pt"")))-1))"),"Arquivos de documentos")</f>
        <v>Arquivos de documentos</v>
      </c>
      <c r="H78" s="35" t="s">
        <v>362</v>
      </c>
      <c r="I78" s="20" t="str">
        <f>VLOOKUP(A78,CO_Base_LNEC!$B$4:$G$271,6,FALSE)</f>
        <v>Arquivos</v>
      </c>
      <c r="J78" s="20" t="s">
        <v>363</v>
      </c>
      <c r="K78" s="20" t="s">
        <v>83</v>
      </c>
      <c r="L78" s="30" t="s">
        <v>84</v>
      </c>
      <c r="M78" s="31" t="s">
        <v>84</v>
      </c>
      <c r="N78" s="31" t="s">
        <v>84</v>
      </c>
      <c r="O78" s="37" t="s">
        <v>362</v>
      </c>
      <c r="P78" s="33" t="s">
        <v>84</v>
      </c>
      <c r="Q78" s="33" t="s">
        <v>84</v>
      </c>
      <c r="R78" s="24"/>
      <c r="S78" s="24"/>
    </row>
    <row r="79" spans="1:19" ht="14.5">
      <c r="A79" s="20" t="s">
        <v>364</v>
      </c>
      <c r="B79" s="20">
        <v>25</v>
      </c>
      <c r="C79" s="20">
        <v>70</v>
      </c>
      <c r="D79" s="20">
        <v>30</v>
      </c>
      <c r="E79" s="24"/>
      <c r="F79" s="20" t="s">
        <v>365</v>
      </c>
      <c r="G79" t="str">
        <f ca="1">IFERROR(__xludf.DUMMYFUNCTION("UPPER(LEFT((GOOGLETRANSLATE(F79,""en"",""pt"")),1))&amp;RIGHT(lower((GOOGLETRANSLATE(F79,""en"",""pt""))),(LEN((GOOGLETRANSLATE(F79,""en"",""pt"")))-1))"),"Cinematecas")</f>
        <v>Cinematecas</v>
      </c>
      <c r="H79" s="36" t="s">
        <v>366</v>
      </c>
      <c r="I79" s="20" t="e">
        <f>VLOOKUP(A79,CO_Base_LNEC!$B$4:$G$271,6,FALSE)</f>
        <v>#N/A</v>
      </c>
      <c r="J79" s="36" t="s">
        <v>366</v>
      </c>
      <c r="K79" s="20" t="s">
        <v>83</v>
      </c>
      <c r="L79" s="30" t="s">
        <v>84</v>
      </c>
      <c r="M79" s="31" t="s">
        <v>84</v>
      </c>
      <c r="N79" s="31" t="s">
        <v>84</v>
      </c>
      <c r="O79" s="30" t="s">
        <v>84</v>
      </c>
      <c r="P79" s="33" t="s">
        <v>84</v>
      </c>
      <c r="Q79" s="33" t="s">
        <v>84</v>
      </c>
      <c r="R79" s="24"/>
      <c r="S79" s="24"/>
    </row>
    <row r="80" spans="1:19" ht="14.5">
      <c r="A80" s="20" t="s">
        <v>367</v>
      </c>
      <c r="B80" s="20">
        <v>25</v>
      </c>
      <c r="C80" s="20">
        <v>70</v>
      </c>
      <c r="D80" s="20">
        <v>41</v>
      </c>
      <c r="E80" s="24"/>
      <c r="F80" s="20" t="s">
        <v>368</v>
      </c>
      <c r="G80" t="str">
        <f ca="1">IFERROR(__xludf.DUMMYFUNCTION("UPPER(LEFT((GOOGLETRANSLATE(F80,""en"",""pt"")),1))&amp;RIGHT(lower((GOOGLETRANSLATE(F80,""en"",""pt""))),(LEN((GOOGLETRANSLATE(F80,""en"",""pt"")))-1))"),"Centros de informação")</f>
        <v>Centros de informação</v>
      </c>
      <c r="H80" s="36" t="s">
        <v>369</v>
      </c>
      <c r="I80" s="20" t="e">
        <f>VLOOKUP(A80,CO_Base_LNEC!$B$4:$G$271,6,FALSE)</f>
        <v>#N/A</v>
      </c>
      <c r="J80" s="36" t="s">
        <v>369</v>
      </c>
      <c r="K80" s="20" t="s">
        <v>83</v>
      </c>
      <c r="L80" s="30" t="s">
        <v>84</v>
      </c>
      <c r="M80" s="31" t="s">
        <v>84</v>
      </c>
      <c r="N80" s="31" t="s">
        <v>84</v>
      </c>
      <c r="O80" s="37"/>
      <c r="P80" s="33" t="s">
        <v>84</v>
      </c>
      <c r="Q80" s="34" t="s">
        <v>86</v>
      </c>
      <c r="R80" s="24"/>
      <c r="S80" s="24"/>
    </row>
    <row r="81" spans="1:19" ht="14.5">
      <c r="A81" s="20" t="s">
        <v>370</v>
      </c>
      <c r="B81" s="20">
        <v>25</v>
      </c>
      <c r="C81" s="20">
        <v>70</v>
      </c>
      <c r="D81" s="20">
        <v>47</v>
      </c>
      <c r="E81" s="24"/>
      <c r="F81" s="20" t="s">
        <v>371</v>
      </c>
      <c r="G81" t="str">
        <f ca="1">IFERROR(__xludf.DUMMYFUNCTION("UPPER(LEFT((GOOGLETRANSLATE(F81,""en"",""pt"")),1))&amp;RIGHT(lower((GOOGLETRANSLATE(F81,""en"",""pt""))),(LEN((GOOGLETRANSLATE(F81,""en"",""pt"")))-1))"),"Complexos de biblioteca")</f>
        <v>Complexos de biblioteca</v>
      </c>
      <c r="H81" s="35" t="s">
        <v>372</v>
      </c>
      <c r="I81" s="20" t="str">
        <f>VLOOKUP(A81,CO_Base_LNEC!$B$4:$G$271,6,FALSE)</f>
        <v>Bibliotecas</v>
      </c>
      <c r="J81" s="35" t="s">
        <v>372</v>
      </c>
      <c r="K81" s="20" t="s">
        <v>83</v>
      </c>
      <c r="L81" s="30" t="s">
        <v>84</v>
      </c>
      <c r="M81" s="31" t="s">
        <v>84</v>
      </c>
      <c r="N81" s="31" t="s">
        <v>84</v>
      </c>
      <c r="O81" s="30" t="s">
        <v>84</v>
      </c>
      <c r="P81" s="33" t="s">
        <v>84</v>
      </c>
      <c r="Q81" s="34" t="s">
        <v>86</v>
      </c>
      <c r="R81" s="24"/>
      <c r="S81" s="24"/>
    </row>
    <row r="82" spans="1:19" ht="14.5">
      <c r="A82" s="20" t="s">
        <v>373</v>
      </c>
      <c r="B82" s="20">
        <v>25</v>
      </c>
      <c r="C82" s="20">
        <v>90</v>
      </c>
      <c r="D82" s="24"/>
      <c r="E82" s="24"/>
      <c r="F82" s="20" t="s">
        <v>374</v>
      </c>
      <c r="G82" t="str">
        <f ca="1">IFERROR(__xludf.DUMMYFUNCTION("UPPER(LEFT((GOOGLETRANSLATE(F82,""en"",""pt"")),1))&amp;RIGHT(lower((GOOGLETRANSLATE(F82,""en"",""pt""))),(LEN((GOOGLETRANSLATE(F82,""en"",""pt"")))-1))"),"Complexos de culto")</f>
        <v>Complexos de culto</v>
      </c>
      <c r="H82" s="36" t="s">
        <v>375</v>
      </c>
      <c r="I82" s="20" t="str">
        <f>VLOOKUP(A82,CO_Base_LNEC!$B$4:$G$271,6,FALSE)</f>
        <v>Edifícios para o culto e práticas religiosas</v>
      </c>
      <c r="J82" s="35" t="s">
        <v>375</v>
      </c>
      <c r="K82" s="20" t="s">
        <v>83</v>
      </c>
      <c r="L82" s="30" t="s">
        <v>84</v>
      </c>
      <c r="M82" s="31" t="s">
        <v>84</v>
      </c>
      <c r="N82" s="20" t="s">
        <v>376</v>
      </c>
      <c r="O82" s="30" t="s">
        <v>84</v>
      </c>
      <c r="P82" s="33" t="s">
        <v>84</v>
      </c>
      <c r="Q82" s="34" t="s">
        <v>86</v>
      </c>
      <c r="R82" s="24"/>
      <c r="S82" s="24"/>
    </row>
    <row r="83" spans="1:19" ht="14.5">
      <c r="A83" s="20" t="s">
        <v>377</v>
      </c>
      <c r="B83" s="20">
        <v>25</v>
      </c>
      <c r="C83" s="20">
        <v>90</v>
      </c>
      <c r="D83" s="20">
        <v>30</v>
      </c>
      <c r="E83" s="24"/>
      <c r="F83" s="20" t="s">
        <v>378</v>
      </c>
      <c r="G83" t="str">
        <f ca="1">IFERROR(__xludf.DUMMYFUNCTION("UPPER(LEFT((GOOGLETRANSLATE(F83,""en"",""pt"")),1))&amp;RIGHT(lower((GOOGLETRANSLATE(F83,""en"",""pt""))),(LEN((GOOGLETRANSLATE(F83,""en"",""pt"")))-1))"),"Complexos culto fé")</f>
        <v>Complexos culto fé</v>
      </c>
      <c r="H83" s="35" t="s">
        <v>379</v>
      </c>
      <c r="I83" s="20" t="str">
        <f>VLOOKUP(A83,CO_Base_LNEC!$B$4:$G$271,6,FALSE)</f>
        <v>Edifícios para o culto religioso</v>
      </c>
      <c r="J83" s="35" t="s">
        <v>380</v>
      </c>
      <c r="K83" s="20" t="s">
        <v>83</v>
      </c>
      <c r="L83" s="30" t="s">
        <v>84</v>
      </c>
      <c r="M83" s="31" t="s">
        <v>84</v>
      </c>
      <c r="N83" s="20" t="s">
        <v>381</v>
      </c>
      <c r="O83" s="30" t="s">
        <v>84</v>
      </c>
      <c r="P83" s="33" t="s">
        <v>84</v>
      </c>
      <c r="Q83" s="34" t="s">
        <v>86</v>
      </c>
      <c r="R83" s="24"/>
      <c r="S83" s="24"/>
    </row>
    <row r="84" spans="1:19" ht="14.5">
      <c r="A84" s="20" t="s">
        <v>382</v>
      </c>
      <c r="B84" s="20">
        <v>30</v>
      </c>
      <c r="C84" s="24"/>
      <c r="D84" s="24"/>
      <c r="E84" s="24"/>
      <c r="F84" s="20" t="s">
        <v>383</v>
      </c>
      <c r="G84" t="str">
        <f ca="1">IFERROR(__xludf.DUMMYFUNCTION("UPPER(LEFT((GOOGLETRANSLATE(F84,""en"",""pt"")),1))&amp;RIGHT(lower((GOOGLETRANSLATE(F84,""en"",""pt""))),(LEN((GOOGLETRANSLATE(F84,""en"",""pt"")))-1))"),"Complexos industriais")</f>
        <v>Complexos industriais</v>
      </c>
      <c r="H84" s="36" t="s">
        <v>384</v>
      </c>
      <c r="I84" s="20" t="str">
        <f>VLOOKUP(A84,CO_Base_LNEC!$B$4:$G$271,6,FALSE)</f>
        <v>Edifícios Industriais</v>
      </c>
      <c r="J84" s="36" t="s">
        <v>384</v>
      </c>
      <c r="K84" s="20" t="s">
        <v>83</v>
      </c>
      <c r="L84" s="30" t="s">
        <v>84</v>
      </c>
      <c r="M84" s="31" t="s">
        <v>84</v>
      </c>
      <c r="N84" s="31" t="s">
        <v>84</v>
      </c>
      <c r="O84" s="30" t="s">
        <v>84</v>
      </c>
      <c r="P84" s="33" t="s">
        <v>84</v>
      </c>
      <c r="Q84" s="33" t="s">
        <v>84</v>
      </c>
      <c r="R84" s="24"/>
      <c r="S84" s="24"/>
    </row>
    <row r="85" spans="1:19" ht="14.5">
      <c r="A85" s="20" t="s">
        <v>385</v>
      </c>
      <c r="B85" s="20">
        <v>30</v>
      </c>
      <c r="C85" s="20">
        <v>10</v>
      </c>
      <c r="D85" s="24"/>
      <c r="E85" s="24"/>
      <c r="F85" s="20" t="s">
        <v>386</v>
      </c>
      <c r="G85" t="str">
        <f ca="1">IFERROR(__xludf.DUMMYFUNCTION("UPPER(LEFT((GOOGLETRANSLATE(F85,""en"",""pt"")),1))&amp;RIGHT(lower((GOOGLETRANSLATE(F85,""en"",""pt""))),(LEN((GOOGLETRANSLATE(F85,""en"",""pt"")))-1))"),"Complexos de extracção minerais")</f>
        <v>Complexos de extracção minerais</v>
      </c>
      <c r="H85" s="35" t="s">
        <v>387</v>
      </c>
      <c r="I85" s="20" t="e">
        <f>VLOOKUP(A85,CO_Base_LNEC!$B$4:$G$271,6,FALSE)</f>
        <v>#N/A</v>
      </c>
      <c r="J85" s="35" t="s">
        <v>387</v>
      </c>
      <c r="K85" s="20" t="s">
        <v>83</v>
      </c>
      <c r="L85" s="30" t="s">
        <v>84</v>
      </c>
      <c r="M85" s="31" t="s">
        <v>84</v>
      </c>
      <c r="N85" s="31" t="s">
        <v>84</v>
      </c>
      <c r="O85" s="30" t="s">
        <v>84</v>
      </c>
      <c r="P85" s="33" t="s">
        <v>84</v>
      </c>
      <c r="Q85" s="33" t="s">
        <v>84</v>
      </c>
      <c r="R85" s="24"/>
      <c r="S85" s="24"/>
    </row>
    <row r="86" spans="1:19" ht="14.5">
      <c r="A86" s="20" t="s">
        <v>388</v>
      </c>
      <c r="B86" s="20">
        <v>30</v>
      </c>
      <c r="C86" s="20">
        <v>10</v>
      </c>
      <c r="D86" s="20">
        <v>22</v>
      </c>
      <c r="E86" s="24"/>
      <c r="F86" s="20" t="s">
        <v>389</v>
      </c>
      <c r="G86" t="str">
        <f ca="1">IFERROR(__xludf.DUMMYFUNCTION("UPPER(LEFT((GOOGLETRANSLATE(F86,""en"",""pt"")),1))&amp;RIGHT(lower((GOOGLETRANSLATE(F86,""en"",""pt""))),(LEN((GOOGLETRANSLATE(F86,""en"",""pt"")))-1))"),"Minas profundas")</f>
        <v>Minas profundas</v>
      </c>
      <c r="H86" s="36" t="s">
        <v>390</v>
      </c>
      <c r="I86" s="20" t="e">
        <f>VLOOKUP(A86,CO_Base_LNEC!$B$4:$G$271,6,FALSE)</f>
        <v>#N/A</v>
      </c>
      <c r="J86" s="36" t="s">
        <v>390</v>
      </c>
      <c r="K86" s="20" t="s">
        <v>83</v>
      </c>
      <c r="L86" s="30" t="s">
        <v>84</v>
      </c>
      <c r="M86" s="31" t="s">
        <v>84</v>
      </c>
      <c r="N86" s="31" t="s">
        <v>84</v>
      </c>
      <c r="O86" s="30" t="s">
        <v>84</v>
      </c>
      <c r="P86" s="33" t="s">
        <v>84</v>
      </c>
      <c r="Q86" s="33" t="s">
        <v>84</v>
      </c>
      <c r="R86" s="24"/>
      <c r="S86" s="24"/>
    </row>
    <row r="87" spans="1:19" ht="14.5">
      <c r="A87" s="20" t="s">
        <v>391</v>
      </c>
      <c r="B87" s="20">
        <v>30</v>
      </c>
      <c r="C87" s="20">
        <v>10</v>
      </c>
      <c r="D87" s="20">
        <v>24</v>
      </c>
      <c r="E87" s="24"/>
      <c r="F87" s="20" t="s">
        <v>392</v>
      </c>
      <c r="G87" t="str">
        <f ca="1">IFERROR(__xludf.DUMMYFUNCTION("UPPER(LEFT((GOOGLETRANSLATE(F87,""en"",""pt"")),1))&amp;RIGHT(lower((GOOGLETRANSLATE(F87,""en"",""pt""))),(LEN((GOOGLETRANSLATE(F87,""en"",""pt"")))-1))"),"Minas de deriva")</f>
        <v>Minas de deriva</v>
      </c>
      <c r="H87" s="42" t="s">
        <v>393</v>
      </c>
      <c r="I87" s="20" t="e">
        <f>VLOOKUP(A87,CO_Base_LNEC!$B$4:$G$271,6,FALSE)</f>
        <v>#N/A</v>
      </c>
      <c r="J87" s="40" t="s">
        <v>394</v>
      </c>
      <c r="K87" s="20" t="s">
        <v>395</v>
      </c>
      <c r="L87" s="30" t="s">
        <v>84</v>
      </c>
      <c r="M87" s="31" t="s">
        <v>84</v>
      </c>
      <c r="N87" s="31" t="s">
        <v>84</v>
      </c>
      <c r="O87" s="24"/>
      <c r="P87" s="33" t="s">
        <v>84</v>
      </c>
      <c r="Q87" s="33" t="s">
        <v>84</v>
      </c>
      <c r="R87" s="24"/>
      <c r="S87" s="24"/>
    </row>
    <row r="88" spans="1:19" ht="14.5">
      <c r="A88" s="20" t="s">
        <v>396</v>
      </c>
      <c r="B88" s="20">
        <v>30</v>
      </c>
      <c r="C88" s="20">
        <v>10</v>
      </c>
      <c r="D88" s="20">
        <v>51</v>
      </c>
      <c r="E88" s="24"/>
      <c r="F88" s="20" t="s">
        <v>397</v>
      </c>
      <c r="G88" t="str">
        <f ca="1">IFERROR(__xludf.DUMMYFUNCTION("UPPER(LEFT((GOOGLETRANSLATE(F88,""en"",""pt"")),1))&amp;RIGHT(lower((GOOGLETRANSLATE(F88,""en"",""pt""))),(LEN((GOOGLETRANSLATE(F88,""en"",""pt"")))-1))"),"Metano hidrata complexos de extracção")</f>
        <v>Metano hidrata complexos de extracção</v>
      </c>
      <c r="H88" s="35" t="s">
        <v>398</v>
      </c>
      <c r="I88" s="20" t="e">
        <f>VLOOKUP(A88,CO_Base_LNEC!$B$4:$G$271,6,FALSE)</f>
        <v>#N/A</v>
      </c>
      <c r="J88" s="35" t="s">
        <v>398</v>
      </c>
      <c r="K88" s="20" t="s">
        <v>83</v>
      </c>
      <c r="L88" s="30" t="s">
        <v>84</v>
      </c>
      <c r="M88" s="31" t="s">
        <v>84</v>
      </c>
      <c r="N88" s="31" t="s">
        <v>84</v>
      </c>
      <c r="O88" s="30" t="s">
        <v>84</v>
      </c>
      <c r="P88" s="33" t="s">
        <v>84</v>
      </c>
      <c r="Q88" s="33" t="s">
        <v>84</v>
      </c>
      <c r="R88" s="24"/>
      <c r="S88" s="24"/>
    </row>
    <row r="89" spans="1:19" ht="14.5">
      <c r="A89" s="20" t="s">
        <v>399</v>
      </c>
      <c r="B89" s="20">
        <v>30</v>
      </c>
      <c r="C89" s="20">
        <v>10</v>
      </c>
      <c r="D89" s="20">
        <v>61</v>
      </c>
      <c r="E89" s="24"/>
      <c r="F89" s="20" t="s">
        <v>400</v>
      </c>
      <c r="G89" t="str">
        <f ca="1">IFERROR(__xludf.DUMMYFUNCTION("UPPER(LEFT((GOOGLETRANSLATE(F89,""en"",""pt"")),1))&amp;RIGHT(lower((GOOGLETRANSLATE(F89,""en"",""pt""))),(LEN((GOOGLETRANSLATE(F89,""en"",""pt"")))-1))"),"Minas a céu aberto")</f>
        <v>Minas a céu aberto</v>
      </c>
      <c r="H89" s="36" t="s">
        <v>401</v>
      </c>
      <c r="I89" s="20" t="e">
        <f>VLOOKUP(A89,CO_Base_LNEC!$B$4:$G$271,6,FALSE)</f>
        <v>#N/A</v>
      </c>
      <c r="J89" s="36" t="s">
        <v>401</v>
      </c>
      <c r="K89" s="20" t="s">
        <v>83</v>
      </c>
      <c r="L89" s="30" t="s">
        <v>84</v>
      </c>
      <c r="M89" s="31" t="s">
        <v>84</v>
      </c>
      <c r="N89" s="31" t="s">
        <v>84</v>
      </c>
      <c r="O89" s="30" t="s">
        <v>84</v>
      </c>
      <c r="P89" s="33" t="s">
        <v>84</v>
      </c>
      <c r="Q89" s="33" t="s">
        <v>84</v>
      </c>
      <c r="R89" s="24"/>
      <c r="S89" s="24"/>
    </row>
    <row r="90" spans="1:19" ht="14.5">
      <c r="A90" s="20" t="s">
        <v>402</v>
      </c>
      <c r="B90" s="20">
        <v>30</v>
      </c>
      <c r="C90" s="20">
        <v>10</v>
      </c>
      <c r="D90" s="20">
        <v>69</v>
      </c>
      <c r="E90" s="24"/>
      <c r="F90" s="20" t="s">
        <v>403</v>
      </c>
      <c r="G90" t="str">
        <f ca="1">IFERROR(__xludf.DUMMYFUNCTION("UPPER(LEFT((GOOGLETRANSLATE(F90,""en"",""pt"")),1))&amp;RIGHT(lower((GOOGLETRANSLATE(F90,""en"",""pt""))),(LEN((GOOGLETRANSLATE(F90,""en"",""pt"")))-1))"),"Pedreiras")</f>
        <v>Pedreiras</v>
      </c>
      <c r="H90" s="36" t="s">
        <v>404</v>
      </c>
      <c r="I90" s="20" t="e">
        <f>VLOOKUP(A90,CO_Base_LNEC!$B$4:$G$271,6,FALSE)</f>
        <v>#N/A</v>
      </c>
      <c r="J90" s="36" t="s">
        <v>404</v>
      </c>
      <c r="K90" s="20" t="s">
        <v>83</v>
      </c>
      <c r="L90" s="30" t="s">
        <v>84</v>
      </c>
      <c r="M90" s="31" t="s">
        <v>84</v>
      </c>
      <c r="N90" s="31" t="s">
        <v>84</v>
      </c>
      <c r="O90" s="30" t="s">
        <v>84</v>
      </c>
      <c r="P90" s="33" t="s">
        <v>84</v>
      </c>
      <c r="Q90" s="33" t="s">
        <v>84</v>
      </c>
      <c r="R90" s="24"/>
      <c r="S90" s="24"/>
    </row>
    <row r="91" spans="1:19" ht="14.5">
      <c r="A91" s="20" t="s">
        <v>405</v>
      </c>
      <c r="B91" s="20">
        <v>30</v>
      </c>
      <c r="C91" s="20">
        <v>10</v>
      </c>
      <c r="D91" s="20">
        <v>77</v>
      </c>
      <c r="E91" s="24"/>
      <c r="F91" s="20" t="s">
        <v>406</v>
      </c>
      <c r="G91" t="str">
        <f ca="1">IFERROR(__xludf.DUMMYFUNCTION("UPPER(LEFT((GOOGLETRANSLATE(F91,""en"",""pt"")),1))&amp;RIGHT(lower((GOOGLETRANSLATE(F91,""en"",""pt""))),(LEN((GOOGLETRANSLATE(F91,""en"",""pt"")))-1))"),"Complexos de extracção de gás de xisto")</f>
        <v>Complexos de extracção de gás de xisto</v>
      </c>
      <c r="H91" s="36" t="s">
        <v>407</v>
      </c>
      <c r="I91" s="20" t="e">
        <f>VLOOKUP(A91,CO_Base_LNEC!$B$4:$G$271,6,FALSE)</f>
        <v>#N/A</v>
      </c>
      <c r="J91" s="36" t="s">
        <v>407</v>
      </c>
      <c r="K91" s="20" t="s">
        <v>83</v>
      </c>
      <c r="L91" s="30" t="s">
        <v>84</v>
      </c>
      <c r="M91" s="31" t="s">
        <v>84</v>
      </c>
      <c r="N91" s="31" t="s">
        <v>84</v>
      </c>
      <c r="O91" s="30" t="s">
        <v>84</v>
      </c>
      <c r="P91" s="33" t="s">
        <v>84</v>
      </c>
      <c r="Q91" s="33" t="s">
        <v>84</v>
      </c>
      <c r="R91" s="24"/>
      <c r="S91" s="24"/>
    </row>
    <row r="92" spans="1:19" ht="14.5">
      <c r="A92" s="20" t="s">
        <v>408</v>
      </c>
      <c r="B92" s="20">
        <v>30</v>
      </c>
      <c r="C92" s="20">
        <v>10</v>
      </c>
      <c r="D92" s="20">
        <v>78</v>
      </c>
      <c r="E92" s="24"/>
      <c r="F92" s="20" t="s">
        <v>409</v>
      </c>
      <c r="G92" t="str">
        <f ca="1">IFERROR(__xludf.DUMMYFUNCTION("UPPER(LEFT((GOOGLETRANSLATE(F92,""en"",""pt"")),1))&amp;RIGHT(lower((GOOGLETRANSLATE(F92,""en"",""pt""))),(LEN((GOOGLETRANSLATE(F92,""en"",""pt"")))-1))"),"Complexos de extracção de óleo de xisto")</f>
        <v>Complexos de extracção de óleo de xisto</v>
      </c>
      <c r="H92" s="36" t="s">
        <v>410</v>
      </c>
      <c r="I92" s="20" t="e">
        <f>VLOOKUP(A92,CO_Base_LNEC!$B$4:$G$271,6,FALSE)</f>
        <v>#N/A</v>
      </c>
      <c r="J92" s="36" t="s">
        <v>410</v>
      </c>
      <c r="K92" s="20" t="s">
        <v>83</v>
      </c>
      <c r="L92" s="30" t="s">
        <v>84</v>
      </c>
      <c r="M92" s="31" t="s">
        <v>84</v>
      </c>
      <c r="N92" s="31" t="s">
        <v>84</v>
      </c>
      <c r="O92" s="30" t="s">
        <v>84</v>
      </c>
      <c r="P92" s="33" t="s">
        <v>84</v>
      </c>
      <c r="Q92" s="33" t="s">
        <v>84</v>
      </c>
      <c r="R92" s="24"/>
      <c r="S92" s="24"/>
    </row>
    <row r="93" spans="1:19" ht="14.5">
      <c r="A93" s="20" t="s">
        <v>411</v>
      </c>
      <c r="B93" s="20">
        <v>30</v>
      </c>
      <c r="C93" s="20">
        <v>20</v>
      </c>
      <c r="D93" s="24"/>
      <c r="E93" s="24"/>
      <c r="F93" s="20" t="s">
        <v>412</v>
      </c>
      <c r="G93" t="str">
        <f ca="1">IFERROR(__xludf.DUMMYFUNCTION("UPPER(LEFT((GOOGLETRANSLATE(F93,""en"",""pt"")),1))&amp;RIGHT(lower((GOOGLETRANSLATE(F93,""en"",""pt""))),(LEN((GOOGLETRANSLATE(F93,""en"",""pt"")))-1))"),"Complexos de gestão de químicos nuclear e")</f>
        <v>Complexos de gestão de químicos nuclear e</v>
      </c>
      <c r="H93" s="35" t="s">
        <v>413</v>
      </c>
      <c r="I93" s="20" t="e">
        <f>VLOOKUP(A93,CO_Base_LNEC!$B$4:$G$271,6,FALSE)</f>
        <v>#N/A</v>
      </c>
      <c r="J93" s="35" t="s">
        <v>413</v>
      </c>
      <c r="K93" s="20" t="s">
        <v>83</v>
      </c>
      <c r="L93" s="30" t="s">
        <v>84</v>
      </c>
      <c r="M93" s="31" t="s">
        <v>84</v>
      </c>
      <c r="N93" s="31" t="s">
        <v>84</v>
      </c>
      <c r="O93" s="30" t="s">
        <v>84</v>
      </c>
      <c r="P93" s="33" t="s">
        <v>84</v>
      </c>
      <c r="Q93" s="33" t="s">
        <v>84</v>
      </c>
      <c r="R93" s="24"/>
      <c r="S93" s="24"/>
    </row>
    <row r="94" spans="1:19" ht="14.5">
      <c r="A94" s="20" t="s">
        <v>414</v>
      </c>
      <c r="B94" s="20">
        <v>30</v>
      </c>
      <c r="C94" s="20">
        <v>20</v>
      </c>
      <c r="D94" s="20">
        <v>80</v>
      </c>
      <c r="E94" s="24"/>
      <c r="F94" s="20" t="s">
        <v>415</v>
      </c>
      <c r="G94" t="str">
        <f ca="1">IFERROR(__xludf.DUMMYFUNCTION("UPPER(LEFT((GOOGLETRANSLATE(F94,""en"",""pt"")),1))&amp;RIGHT(lower((GOOGLETRANSLATE(F94,""en"",""pt""))),(LEN((GOOGLETRANSLATE(F94,""en"",""pt"")))-1))"),"Superfície complexos de gestão dos resíduos radioactivos")</f>
        <v>Superfície complexos de gestão dos resíduos radioactivos</v>
      </c>
      <c r="H94" s="35" t="s">
        <v>416</v>
      </c>
      <c r="I94" s="20" t="e">
        <f>VLOOKUP(A94,CO_Base_LNEC!$B$4:$G$271,6,FALSE)</f>
        <v>#N/A</v>
      </c>
      <c r="J94" s="35" t="s">
        <v>416</v>
      </c>
      <c r="K94" s="20" t="s">
        <v>83</v>
      </c>
      <c r="L94" s="30" t="s">
        <v>84</v>
      </c>
      <c r="M94" s="31" t="s">
        <v>84</v>
      </c>
      <c r="N94" s="31" t="s">
        <v>84</v>
      </c>
      <c r="O94" s="30" t="s">
        <v>84</v>
      </c>
      <c r="P94" s="33" t="s">
        <v>84</v>
      </c>
      <c r="Q94" s="33" t="s">
        <v>84</v>
      </c>
      <c r="R94" s="24"/>
      <c r="S94" s="24"/>
    </row>
    <row r="95" spans="1:19" ht="14.5">
      <c r="A95" s="20" t="s">
        <v>417</v>
      </c>
      <c r="B95" s="20">
        <v>30</v>
      </c>
      <c r="C95" s="20">
        <v>20</v>
      </c>
      <c r="D95" s="20">
        <v>95</v>
      </c>
      <c r="E95" s="24"/>
      <c r="F95" s="20" t="s">
        <v>418</v>
      </c>
      <c r="G95" t="str">
        <f ca="1">IFERROR(__xludf.DUMMYFUNCTION("UPPER(LEFT((GOOGLETRANSLATE(F95,""en"",""pt"")),1))&amp;RIGHT(lower((GOOGLETRANSLATE(F95,""en"",""pt""))),(LEN((GOOGLETRANSLATE(F95,""en"",""pt"")))-1))"),"Complexos de gestão de resíduos radioactivos subterrâneas")</f>
        <v>Complexos de gestão de resíduos radioactivos subterrâneas</v>
      </c>
      <c r="H95" s="35" t="s">
        <v>419</v>
      </c>
      <c r="I95" s="20" t="e">
        <f>VLOOKUP(A95,CO_Base_LNEC!$B$4:$G$271,6,FALSE)</f>
        <v>#N/A</v>
      </c>
      <c r="J95" s="35" t="s">
        <v>419</v>
      </c>
      <c r="K95" s="20" t="s">
        <v>83</v>
      </c>
      <c r="L95" s="30" t="s">
        <v>84</v>
      </c>
      <c r="M95" s="31" t="s">
        <v>84</v>
      </c>
      <c r="N95" s="31" t="s">
        <v>84</v>
      </c>
      <c r="O95" s="30" t="s">
        <v>84</v>
      </c>
      <c r="P95" s="33" t="s">
        <v>84</v>
      </c>
      <c r="Q95" s="33" t="s">
        <v>84</v>
      </c>
      <c r="R95" s="24"/>
      <c r="S95" s="24"/>
    </row>
    <row r="96" spans="1:19" ht="14.5">
      <c r="A96" s="20" t="s">
        <v>420</v>
      </c>
      <c r="B96" s="20">
        <v>30</v>
      </c>
      <c r="C96" s="20">
        <v>30</v>
      </c>
      <c r="D96" s="24"/>
      <c r="E96" s="24"/>
      <c r="F96" s="20" t="s">
        <v>421</v>
      </c>
      <c r="G96" t="str">
        <f ca="1">IFERROR(__xludf.DUMMYFUNCTION("UPPER(LEFT((GOOGLETRANSLATE(F96,""en"",""pt"")),1))&amp;RIGHT(lower((GOOGLETRANSLATE(F96,""en"",""pt""))),(LEN((GOOGLETRANSLATE(F96,""en"",""pt"")))-1))"),"Complexos de processamento de minerais")</f>
        <v>Complexos de processamento de minerais</v>
      </c>
      <c r="H96" s="35" t="s">
        <v>422</v>
      </c>
      <c r="I96" s="20" t="e">
        <f>VLOOKUP(A96,CO_Base_LNEC!$B$4:$G$271,6,FALSE)</f>
        <v>#N/A</v>
      </c>
      <c r="J96" s="35" t="s">
        <v>422</v>
      </c>
      <c r="K96" s="20" t="s">
        <v>83</v>
      </c>
      <c r="L96" s="30" t="s">
        <v>84</v>
      </c>
      <c r="M96" s="31" t="s">
        <v>84</v>
      </c>
      <c r="N96" s="31" t="s">
        <v>84</v>
      </c>
      <c r="O96" s="30" t="s">
        <v>84</v>
      </c>
      <c r="P96" s="33" t="s">
        <v>84</v>
      </c>
      <c r="Q96" s="33" t="s">
        <v>84</v>
      </c>
      <c r="R96" s="24"/>
      <c r="S96" s="24"/>
    </row>
    <row r="97" spans="1:19" ht="14.5">
      <c r="A97" s="20" t="s">
        <v>423</v>
      </c>
      <c r="B97" s="20">
        <v>30</v>
      </c>
      <c r="C97" s="20">
        <v>30</v>
      </c>
      <c r="D97" s="20">
        <v>30</v>
      </c>
      <c r="E97" s="24"/>
      <c r="F97" s="20" t="s">
        <v>424</v>
      </c>
      <c r="G97" t="str">
        <f ca="1">IFERROR(__xludf.DUMMYFUNCTION("UPPER(LEFT((GOOGLETRANSLATE(F97,""en"",""pt"")),1))&amp;RIGHT(lower((GOOGLETRANSLATE(F97,""en"",""pt""))),(LEN((GOOGLETRANSLATE(F97,""en"",""pt"")))-1))"),"Complexos de processamento de gás")</f>
        <v>Complexos de processamento de gás</v>
      </c>
      <c r="H97" s="36" t="s">
        <v>425</v>
      </c>
      <c r="I97" s="20" t="e">
        <f>VLOOKUP(A97,CO_Base_LNEC!$B$4:$G$271,6,FALSE)</f>
        <v>#N/A</v>
      </c>
      <c r="J97" s="36" t="s">
        <v>425</v>
      </c>
      <c r="K97" s="20" t="s">
        <v>83</v>
      </c>
      <c r="L97" s="30" t="s">
        <v>84</v>
      </c>
      <c r="M97" s="31" t="s">
        <v>84</v>
      </c>
      <c r="N97" s="31" t="s">
        <v>84</v>
      </c>
      <c r="O97" s="30" t="s">
        <v>84</v>
      </c>
      <c r="P97" s="33" t="s">
        <v>84</v>
      </c>
      <c r="Q97" s="33" t="s">
        <v>84</v>
      </c>
      <c r="R97" s="24"/>
      <c r="S97" s="24"/>
    </row>
    <row r="98" spans="1:19" ht="14.5">
      <c r="A98" s="20" t="s">
        <v>426</v>
      </c>
      <c r="B98" s="20">
        <v>30</v>
      </c>
      <c r="C98" s="20">
        <v>30</v>
      </c>
      <c r="D98" s="20">
        <v>50</v>
      </c>
      <c r="E98" s="24"/>
      <c r="F98" s="20" t="s">
        <v>427</v>
      </c>
      <c r="G98" t="str">
        <f ca="1">IFERROR(__xludf.DUMMYFUNCTION("UPPER(LEFT((GOOGLETRANSLATE(F98,""en"",""pt"")),1))&amp;RIGHT(lower((GOOGLETRANSLATE(F98,""en"",""pt""))),(LEN((GOOGLETRANSLATE(F98,""en"",""pt"")))-1))"),"Complexos de processamento de petróleo")</f>
        <v>Complexos de processamento de petróleo</v>
      </c>
      <c r="H98" s="36" t="s">
        <v>428</v>
      </c>
      <c r="I98" s="20" t="e">
        <f>VLOOKUP(A98,CO_Base_LNEC!$B$4:$G$271,6,FALSE)</f>
        <v>#N/A</v>
      </c>
      <c r="J98" s="36" t="s">
        <v>428</v>
      </c>
      <c r="K98" s="20" t="s">
        <v>83</v>
      </c>
      <c r="L98" s="30" t="s">
        <v>84</v>
      </c>
      <c r="M98" s="31" t="s">
        <v>84</v>
      </c>
      <c r="N98" s="31" t="s">
        <v>84</v>
      </c>
      <c r="O98" s="30" t="s">
        <v>84</v>
      </c>
      <c r="P98" s="33" t="s">
        <v>84</v>
      </c>
      <c r="Q98" s="33" t="s">
        <v>84</v>
      </c>
      <c r="R98" s="24"/>
      <c r="S98" s="24"/>
    </row>
    <row r="99" spans="1:19" ht="14.5">
      <c r="A99" s="20" t="s">
        <v>429</v>
      </c>
      <c r="B99" s="20">
        <v>30</v>
      </c>
      <c r="C99" s="20">
        <v>30</v>
      </c>
      <c r="D99" s="20">
        <v>55</v>
      </c>
      <c r="E99" s="24"/>
      <c r="F99" s="20" t="s">
        <v>430</v>
      </c>
      <c r="G99" t="str">
        <f ca="1">IFERROR(__xludf.DUMMYFUNCTION("UPPER(LEFT((GOOGLETRANSLATE(F99,""en"",""pt"")),1))&amp;RIGHT(lower((GOOGLETRANSLATE(F99,""en"",""pt""))),(LEN((GOOGLETRANSLATE(F99,""en"",""pt"")))-1))"),"Complexos de processamento de minério")</f>
        <v>Complexos de processamento de minério</v>
      </c>
      <c r="H99" s="36" t="s">
        <v>431</v>
      </c>
      <c r="I99" s="20" t="e">
        <f>VLOOKUP(A99,CO_Base_LNEC!$B$4:$G$271,6,FALSE)</f>
        <v>#N/A</v>
      </c>
      <c r="J99" s="36" t="s">
        <v>431</v>
      </c>
      <c r="K99" s="20" t="s">
        <v>83</v>
      </c>
      <c r="L99" s="30" t="s">
        <v>84</v>
      </c>
      <c r="M99" s="31" t="s">
        <v>84</v>
      </c>
      <c r="N99" s="31" t="s">
        <v>84</v>
      </c>
      <c r="O99" s="30" t="s">
        <v>84</v>
      </c>
      <c r="P99" s="33" t="s">
        <v>84</v>
      </c>
      <c r="Q99" s="33" t="s">
        <v>84</v>
      </c>
      <c r="R99" s="24"/>
      <c r="S99" s="24"/>
    </row>
    <row r="100" spans="1:19" ht="14.5">
      <c r="A100" s="20" t="s">
        <v>432</v>
      </c>
      <c r="B100" s="20">
        <v>30</v>
      </c>
      <c r="C100" s="20">
        <v>40</v>
      </c>
      <c r="D100" s="24"/>
      <c r="E100" s="24"/>
      <c r="F100" s="20" t="s">
        <v>433</v>
      </c>
      <c r="G100" t="str">
        <f ca="1">IFERROR(__xludf.DUMMYFUNCTION("UPPER(LEFT((GOOGLETRANSLATE(F100,""en"",""pt"")),1))&amp;RIGHT(lower((GOOGLETRANSLATE(F100,""en"",""pt""))),(LEN((GOOGLETRANSLATE(F100,""en"",""pt"")))-1))"),"Animais e plantas de processamento de produtos complexos")</f>
        <v>Animais e plantas de processamento de produtos complexos</v>
      </c>
      <c r="H100" s="35" t="s">
        <v>434</v>
      </c>
      <c r="I100" s="20" t="str">
        <f>VLOOKUP(A100,CO_Base_LNEC!$B$4:$G$271,6,FALSE)</f>
        <v>Infraestruturas de processamento de produtos derivados de animais e plantas</v>
      </c>
      <c r="J100" s="35" t="s">
        <v>434</v>
      </c>
      <c r="K100" s="20" t="s">
        <v>83</v>
      </c>
      <c r="L100" s="43" t="s">
        <v>435</v>
      </c>
      <c r="M100" s="31" t="s">
        <v>84</v>
      </c>
      <c r="N100" s="31" t="s">
        <v>84</v>
      </c>
      <c r="O100" s="30" t="s">
        <v>84</v>
      </c>
      <c r="P100" s="33" t="s">
        <v>84</v>
      </c>
      <c r="Q100" s="33" t="s">
        <v>84</v>
      </c>
      <c r="R100" s="24"/>
      <c r="S100" s="24"/>
    </row>
    <row r="101" spans="1:19" ht="14.5">
      <c r="A101" s="20" t="s">
        <v>436</v>
      </c>
      <c r="B101" s="20">
        <v>30</v>
      </c>
      <c r="C101" s="20">
        <v>40</v>
      </c>
      <c r="D101" s="20">
        <v>1</v>
      </c>
      <c r="E101" s="24"/>
      <c r="F101" s="20" t="s">
        <v>437</v>
      </c>
      <c r="G101" t="str">
        <f ca="1">IFERROR(__xludf.DUMMYFUNCTION("UPPER(LEFT((GOOGLETRANSLATE(F101,""en"",""pt"")),1))&amp;RIGHT(lower((GOOGLETRANSLATE(F101,""en"",""pt""))),(LEN((GOOGLETRANSLATE(F101,""en"",""pt"")))-1))"),"Matadouros")</f>
        <v>Matadouros</v>
      </c>
      <c r="H101" s="36" t="s">
        <v>438</v>
      </c>
      <c r="I101" s="20" t="str">
        <f>VLOOKUP(A101,CO_Base_LNEC!$B$4:$G$271,6,FALSE)</f>
        <v>Edifícios e instalações para matadouros</v>
      </c>
      <c r="J101" s="36" t="s">
        <v>438</v>
      </c>
      <c r="K101" s="20" t="s">
        <v>83</v>
      </c>
      <c r="L101" s="30" t="s">
        <v>84</v>
      </c>
      <c r="M101" s="31" t="s">
        <v>84</v>
      </c>
      <c r="N101" s="31" t="s">
        <v>84</v>
      </c>
      <c r="O101" s="30" t="s">
        <v>84</v>
      </c>
      <c r="P101" s="33" t="s">
        <v>84</v>
      </c>
      <c r="Q101" s="33" t="s">
        <v>84</v>
      </c>
      <c r="R101" s="24"/>
      <c r="S101" s="24"/>
    </row>
    <row r="102" spans="1:19" ht="14.5">
      <c r="A102" s="20" t="s">
        <v>439</v>
      </c>
      <c r="B102" s="20">
        <v>30</v>
      </c>
      <c r="C102" s="20">
        <v>40</v>
      </c>
      <c r="D102" s="20">
        <v>3</v>
      </c>
      <c r="E102" s="24"/>
      <c r="F102" s="20" t="s">
        <v>440</v>
      </c>
      <c r="G102" t="str">
        <f ca="1">IFERROR(__xludf.DUMMYFUNCTION("UPPER(LEFT((GOOGLETRANSLATE(F102,""en"",""pt"")),1))&amp;RIGHT(lower((GOOGLETRANSLATE(F102,""en"",""pt""))),(LEN((GOOGLETRANSLATE(F102,""en"",""pt"")))-1))"),"Complexos de processamento de produtos animais")</f>
        <v>Complexos de processamento de produtos animais</v>
      </c>
      <c r="H102" s="36" t="s">
        <v>441</v>
      </c>
      <c r="I102" s="20" t="e">
        <f>VLOOKUP(A102,CO_Base_LNEC!$B$4:$G$271,6,FALSE)</f>
        <v>#N/A</v>
      </c>
      <c r="J102" s="36" t="s">
        <v>441</v>
      </c>
      <c r="K102" s="20" t="s">
        <v>83</v>
      </c>
      <c r="L102" s="43" t="s">
        <v>442</v>
      </c>
      <c r="M102" s="31" t="s">
        <v>84</v>
      </c>
      <c r="N102" s="31" t="s">
        <v>84</v>
      </c>
      <c r="O102" s="30" t="s">
        <v>84</v>
      </c>
      <c r="P102" s="33" t="s">
        <v>84</v>
      </c>
      <c r="Q102" s="34" t="s">
        <v>86</v>
      </c>
      <c r="R102" s="24"/>
      <c r="S102" s="24"/>
    </row>
    <row r="103" spans="1:19" ht="14.5">
      <c r="A103" s="20" t="s">
        <v>443</v>
      </c>
      <c r="B103" s="20">
        <v>30</v>
      </c>
      <c r="C103" s="20">
        <v>40</v>
      </c>
      <c r="D103" s="20">
        <v>4</v>
      </c>
      <c r="E103" s="24"/>
      <c r="F103" s="20" t="s">
        <v>444</v>
      </c>
      <c r="G103" t="str">
        <f ca="1">IFERROR(__xludf.DUMMYFUNCTION("UPPER(LEFT((GOOGLETRANSLATE(F103,""en"",""pt"")),1))&amp;RIGHT(lower((GOOGLETRANSLATE(F103,""en"",""pt""))),(LEN((GOOGLETRANSLATE(F103,""en"",""pt"")))-1))"),"Complexos de processamento de culturas arvenses")</f>
        <v>Complexos de processamento de culturas arvenses</v>
      </c>
      <c r="H103" s="35" t="s">
        <v>445</v>
      </c>
      <c r="I103" s="20" t="e">
        <f>VLOOKUP(A103,CO_Base_LNEC!$B$4:$G$271,6,FALSE)</f>
        <v>#N/A</v>
      </c>
      <c r="J103" s="39" t="s">
        <v>446</v>
      </c>
      <c r="K103" s="20" t="s">
        <v>83</v>
      </c>
      <c r="L103" s="43" t="s">
        <v>447</v>
      </c>
      <c r="M103" s="31" t="s">
        <v>84</v>
      </c>
      <c r="N103" s="31" t="s">
        <v>84</v>
      </c>
      <c r="O103" s="37" t="s">
        <v>448</v>
      </c>
      <c r="P103" s="33" t="s">
        <v>84</v>
      </c>
      <c r="Q103" s="34" t="s">
        <v>86</v>
      </c>
      <c r="R103" s="24"/>
      <c r="S103" s="24"/>
    </row>
    <row r="104" spans="1:19" ht="14.5">
      <c r="A104" s="20" t="s">
        <v>449</v>
      </c>
      <c r="B104" s="20">
        <v>30</v>
      </c>
      <c r="C104" s="20">
        <v>40</v>
      </c>
      <c r="D104" s="20">
        <v>6</v>
      </c>
      <c r="E104" s="24"/>
      <c r="F104" s="20" t="s">
        <v>450</v>
      </c>
      <c r="G104" t="str">
        <f ca="1">IFERROR(__xludf.DUMMYFUNCTION("UPPER(LEFT((GOOGLETRANSLATE(F104,""en"",""pt"")),1))&amp;RIGHT(lower((GOOGLETRANSLATE(F104,""en"",""pt""))),(LEN((GOOGLETRANSLATE(F104,""en"",""pt"")))-1))"),"Padarias")</f>
        <v>Padarias</v>
      </c>
      <c r="H104" s="36" t="s">
        <v>451</v>
      </c>
      <c r="I104" s="20" t="e">
        <f>VLOOKUP(A104,CO_Base_LNEC!$B$4:$G$271,6,FALSE)</f>
        <v>#N/A</v>
      </c>
      <c r="J104" s="36" t="s">
        <v>451</v>
      </c>
      <c r="K104" s="20" t="s">
        <v>83</v>
      </c>
      <c r="L104" s="30" t="s">
        <v>84</v>
      </c>
      <c r="M104" s="31" t="s">
        <v>84</v>
      </c>
      <c r="N104" s="31" t="s">
        <v>84</v>
      </c>
      <c r="O104" s="30" t="s">
        <v>84</v>
      </c>
      <c r="P104" s="34" t="s">
        <v>452</v>
      </c>
      <c r="Q104" s="33" t="s">
        <v>84</v>
      </c>
      <c r="R104" s="24"/>
      <c r="S104" s="24"/>
    </row>
    <row r="105" spans="1:19" ht="14.5">
      <c r="A105" s="20" t="s">
        <v>453</v>
      </c>
      <c r="B105" s="20">
        <v>30</v>
      </c>
      <c r="C105" s="20">
        <v>40</v>
      </c>
      <c r="D105" s="20">
        <v>8</v>
      </c>
      <c r="E105" s="24"/>
      <c r="F105" s="20" t="s">
        <v>454</v>
      </c>
      <c r="G105" t="str">
        <f ca="1">IFERROR(__xludf.DUMMYFUNCTION("UPPER(LEFT((GOOGLETRANSLATE(F105,""en"",""pt"")),1))&amp;RIGHT(lower((GOOGLETRANSLATE(F105,""en"",""pt""))),(LEN((GOOGLETRANSLATE(F105,""en"",""pt"")))-1))"),"Cervejarias")</f>
        <v>Cervejarias</v>
      </c>
      <c r="H105" s="36" t="s">
        <v>455</v>
      </c>
      <c r="I105" s="20" t="e">
        <f>VLOOKUP(A105,CO_Base_LNEC!$B$4:$G$271,6,FALSE)</f>
        <v>#N/A</v>
      </c>
      <c r="J105" s="20" t="s">
        <v>456</v>
      </c>
      <c r="K105" s="20" t="s">
        <v>83</v>
      </c>
      <c r="L105" s="30" t="s">
        <v>84</v>
      </c>
      <c r="M105" s="31" t="s">
        <v>84</v>
      </c>
      <c r="N105" s="31" t="s">
        <v>84</v>
      </c>
      <c r="O105" s="30" t="s">
        <v>84</v>
      </c>
      <c r="P105" s="33" t="s">
        <v>84</v>
      </c>
      <c r="Q105" s="33" t="s">
        <v>84</v>
      </c>
      <c r="R105" s="24"/>
      <c r="S105" s="24"/>
    </row>
    <row r="106" spans="1:19" ht="14.5">
      <c r="A106" s="20" t="s">
        <v>457</v>
      </c>
      <c r="B106" s="20">
        <v>30</v>
      </c>
      <c r="C106" s="20">
        <v>40</v>
      </c>
      <c r="D106" s="20">
        <v>11</v>
      </c>
      <c r="E106" s="24"/>
      <c r="F106" s="20" t="s">
        <v>458</v>
      </c>
      <c r="G106" t="str">
        <f ca="1">IFERROR(__xludf.DUMMYFUNCTION("UPPER(LEFT((GOOGLETRANSLATE(F106,""en"",""pt"")),1))&amp;RIGHT(lower((GOOGLETRANSLATE(F106,""en"",""pt""))),(LEN((GOOGLETRANSLATE(F106,""en"",""pt"")))-1))"),"Fábricas de conservas")</f>
        <v>Fábricas de conservas</v>
      </c>
      <c r="H106" s="36" t="s">
        <v>459</v>
      </c>
      <c r="I106" s="20" t="e">
        <f>VLOOKUP(A106,CO_Base_LNEC!$B$4:$G$271,6,FALSE)</f>
        <v>#N/A</v>
      </c>
      <c r="J106" s="36" t="s">
        <v>459</v>
      </c>
      <c r="K106" s="20" t="s">
        <v>83</v>
      </c>
      <c r="L106" s="30" t="s">
        <v>84</v>
      </c>
      <c r="M106" s="31" t="s">
        <v>84</v>
      </c>
      <c r="N106" s="31" t="s">
        <v>84</v>
      </c>
      <c r="O106" s="30" t="s">
        <v>84</v>
      </c>
      <c r="P106" s="33" t="s">
        <v>84</v>
      </c>
      <c r="Q106" s="33" t="s">
        <v>84</v>
      </c>
      <c r="R106" s="24"/>
      <c r="S106" s="24"/>
    </row>
    <row r="107" spans="1:19" ht="14.5">
      <c r="A107" s="20" t="s">
        <v>460</v>
      </c>
      <c r="B107" s="20">
        <v>30</v>
      </c>
      <c r="C107" s="20">
        <v>40</v>
      </c>
      <c r="D107" s="20">
        <v>22</v>
      </c>
      <c r="E107" s="24"/>
      <c r="F107" s="20" t="s">
        <v>461</v>
      </c>
      <c r="G107" t="str">
        <f ca="1">IFERROR(__xludf.DUMMYFUNCTION("UPPER(LEFT((GOOGLETRANSLATE(F107,""en"",""pt"")),1))&amp;RIGHT(lower((GOOGLETRANSLATE(F107,""en"",""pt""))),(LEN((GOOGLETRANSLATE(F107,""en"",""pt"")))-1))"),"Destilarias")</f>
        <v>Destilarias</v>
      </c>
      <c r="H107" s="36" t="s">
        <v>462</v>
      </c>
      <c r="I107" s="20" t="e">
        <f>VLOOKUP(A107,CO_Base_LNEC!$B$4:$G$271,6,FALSE)</f>
        <v>#N/A</v>
      </c>
      <c r="J107" s="36" t="s">
        <v>462</v>
      </c>
      <c r="K107" s="20" t="s">
        <v>83</v>
      </c>
      <c r="L107" s="30" t="s">
        <v>84</v>
      </c>
      <c r="M107" s="31" t="s">
        <v>84</v>
      </c>
      <c r="N107" s="31" t="s">
        <v>84</v>
      </c>
      <c r="O107" s="30" t="s">
        <v>84</v>
      </c>
      <c r="P107" s="33" t="s">
        <v>84</v>
      </c>
      <c r="Q107" s="33" t="s">
        <v>84</v>
      </c>
      <c r="R107" s="24"/>
      <c r="S107" s="24"/>
    </row>
    <row r="108" spans="1:19" ht="14.5">
      <c r="A108" s="20" t="s">
        <v>463</v>
      </c>
      <c r="B108" s="20">
        <v>30</v>
      </c>
      <c r="C108" s="20">
        <v>40</v>
      </c>
      <c r="D108" s="20">
        <v>30</v>
      </c>
      <c r="E108" s="24"/>
      <c r="F108" s="20" t="s">
        <v>464</v>
      </c>
      <c r="G108" t="str">
        <f ca="1">IFERROR(__xludf.DUMMYFUNCTION("UPPER(LEFT((GOOGLETRANSLATE(F108,""en"",""pt"")),1))&amp;RIGHT(lower((GOOGLETRANSLATE(F108,""en"",""pt""))),(LEN((GOOGLETRANSLATE(F108,""en"",""pt"")))-1))"),"Complexos de processamento de peixe")</f>
        <v>Complexos de processamento de peixe</v>
      </c>
      <c r="H108" s="36" t="s">
        <v>465</v>
      </c>
      <c r="I108" s="20" t="e">
        <f>VLOOKUP(A108,CO_Base_LNEC!$B$4:$G$271,6,FALSE)</f>
        <v>#N/A</v>
      </c>
      <c r="J108" s="36" t="s">
        <v>465</v>
      </c>
      <c r="K108" s="20" t="s">
        <v>83</v>
      </c>
      <c r="L108" s="30" t="s">
        <v>84</v>
      </c>
      <c r="M108" s="31" t="s">
        <v>84</v>
      </c>
      <c r="N108" s="31" t="s">
        <v>84</v>
      </c>
      <c r="O108" s="30" t="s">
        <v>84</v>
      </c>
      <c r="P108" s="33" t="s">
        <v>84</v>
      </c>
      <c r="Q108" s="33" t="s">
        <v>84</v>
      </c>
      <c r="R108" s="24"/>
      <c r="S108" s="24"/>
    </row>
    <row r="109" spans="1:19" ht="14.5">
      <c r="A109" s="20" t="s">
        <v>466</v>
      </c>
      <c r="B109" s="20">
        <v>30</v>
      </c>
      <c r="C109" s="20">
        <v>40</v>
      </c>
      <c r="D109" s="20">
        <v>40</v>
      </c>
      <c r="E109" s="24"/>
      <c r="F109" s="20" t="s">
        <v>467</v>
      </c>
      <c r="G109" t="str">
        <f ca="1">IFERROR(__xludf.DUMMYFUNCTION("UPPER(LEFT((GOOGLETRANSLATE(F109,""en"",""pt"")),1))&amp;RIGHT(lower((GOOGLETRANSLATE(F109,""en"",""pt""))),(LEN((GOOGLETRANSLATE(F109,""en"",""pt"")))-1))"),"Complexos de processamento de cultura hortícola")</f>
        <v>Complexos de processamento de cultura hortícola</v>
      </c>
      <c r="H109" s="35" t="s">
        <v>468</v>
      </c>
      <c r="I109" s="20" t="e">
        <f>VLOOKUP(A109,CO_Base_LNEC!$B$4:$G$271,6,FALSE)</f>
        <v>#N/A</v>
      </c>
      <c r="J109" s="35" t="s">
        <v>468</v>
      </c>
      <c r="K109" s="20" t="s">
        <v>83</v>
      </c>
      <c r="L109" s="43" t="s">
        <v>469</v>
      </c>
      <c r="M109" s="31" t="s">
        <v>84</v>
      </c>
      <c r="N109" s="31" t="s">
        <v>84</v>
      </c>
      <c r="O109" s="30" t="s">
        <v>84</v>
      </c>
      <c r="P109" s="33" t="s">
        <v>84</v>
      </c>
      <c r="Q109" s="33" t="s">
        <v>84</v>
      </c>
      <c r="R109" s="24"/>
      <c r="S109" s="24"/>
    </row>
    <row r="110" spans="1:19" ht="14.5">
      <c r="A110" s="20" t="s">
        <v>470</v>
      </c>
      <c r="B110" s="20">
        <v>30</v>
      </c>
      <c r="C110" s="20">
        <v>40</v>
      </c>
      <c r="D110" s="20">
        <v>55</v>
      </c>
      <c r="E110" s="24"/>
      <c r="F110" s="20" t="s">
        <v>471</v>
      </c>
      <c r="G110" t="str">
        <f ca="1">IFERROR(__xludf.DUMMYFUNCTION("UPPER(LEFT((GOOGLETRANSLATE(F110,""en"",""pt"")),1))&amp;RIGHT(lower((GOOGLETRANSLATE(F110,""en"",""pt""))),(LEN((GOOGLETRANSLATE(F110,""en"",""pt"")))-1))"),"Mills")</f>
        <v>Mills</v>
      </c>
      <c r="H110" s="35" t="s">
        <v>472</v>
      </c>
      <c r="I110" s="20" t="e">
        <f>VLOOKUP(A110,CO_Base_LNEC!$B$4:$G$271,6,FALSE)</f>
        <v>#N/A</v>
      </c>
      <c r="J110" s="35" t="s">
        <v>472</v>
      </c>
      <c r="K110" s="20" t="s">
        <v>83</v>
      </c>
      <c r="L110" s="30" t="s">
        <v>84</v>
      </c>
      <c r="M110" s="31" t="s">
        <v>84</v>
      </c>
      <c r="N110" s="31" t="s">
        <v>84</v>
      </c>
      <c r="O110" s="30" t="s">
        <v>84</v>
      </c>
      <c r="P110" s="33" t="s">
        <v>84</v>
      </c>
      <c r="Q110" s="33" t="s">
        <v>84</v>
      </c>
      <c r="R110" s="24"/>
      <c r="S110" s="24"/>
    </row>
    <row r="111" spans="1:19" ht="14.5">
      <c r="A111" s="20" t="s">
        <v>473</v>
      </c>
      <c r="B111" s="20">
        <v>30</v>
      </c>
      <c r="C111" s="20">
        <v>40</v>
      </c>
      <c r="D111" s="20">
        <v>60</v>
      </c>
      <c r="E111" s="24"/>
      <c r="F111" s="20" t="s">
        <v>474</v>
      </c>
      <c r="G111" t="str">
        <f ca="1">IFERROR(__xludf.DUMMYFUNCTION("UPPER(LEFT((GOOGLETRANSLATE(F111,""en"",""pt"")),1))&amp;RIGHT(lower((GOOGLETRANSLATE(F111,""en"",""pt""))),(LEN((GOOGLETRANSLATE(F111,""en"",""pt"")))-1))"),"Complexos de processamento de gado")</f>
        <v>Complexos de processamento de gado</v>
      </c>
      <c r="H111" s="36" t="s">
        <v>475</v>
      </c>
      <c r="I111" s="20" t="e">
        <f>VLOOKUP(A111,CO_Base_LNEC!$B$4:$G$271,6,FALSE)</f>
        <v>#N/A</v>
      </c>
      <c r="J111" s="36" t="s">
        <v>475</v>
      </c>
      <c r="K111" s="20" t="s">
        <v>83</v>
      </c>
      <c r="L111" s="30" t="s">
        <v>84</v>
      </c>
      <c r="M111" s="31" t="s">
        <v>84</v>
      </c>
      <c r="N111" s="31" t="s">
        <v>84</v>
      </c>
      <c r="O111" s="30" t="s">
        <v>84</v>
      </c>
      <c r="P111" s="33" t="s">
        <v>84</v>
      </c>
      <c r="Q111" s="33" t="s">
        <v>84</v>
      </c>
      <c r="R111" s="24"/>
      <c r="S111" s="24"/>
    </row>
    <row r="112" spans="1:19" ht="14.5">
      <c r="A112" s="20" t="s">
        <v>476</v>
      </c>
      <c r="B112" s="20">
        <v>30</v>
      </c>
      <c r="C112" s="20">
        <v>40</v>
      </c>
      <c r="D112" s="20">
        <v>90</v>
      </c>
      <c r="E112" s="24"/>
      <c r="F112" s="20" t="s">
        <v>477</v>
      </c>
      <c r="G112" t="str">
        <f ca="1">IFERROR(__xludf.DUMMYFUNCTION("UPPER(LEFT((GOOGLETRANSLATE(F112,""en"",""pt"")),1))&amp;RIGHT(lower((GOOGLETRANSLATE(F112,""en"",""pt""))),(LEN((GOOGLETRANSLATE(F112,""en"",""pt"")))-1))"),"Complexos de processamento de madeira")</f>
        <v>Complexos de processamento de madeira</v>
      </c>
      <c r="H112" s="36" t="s">
        <v>478</v>
      </c>
      <c r="I112" s="20" t="e">
        <f>VLOOKUP(A112,CO_Base_LNEC!$B$4:$G$271,6,FALSE)</f>
        <v>#N/A</v>
      </c>
      <c r="J112" s="36" t="s">
        <v>478</v>
      </c>
      <c r="K112" s="20" t="s">
        <v>83</v>
      </c>
      <c r="L112" s="30" t="s">
        <v>84</v>
      </c>
      <c r="M112" s="31" t="s">
        <v>84</v>
      </c>
      <c r="N112" s="31" t="s">
        <v>84</v>
      </c>
      <c r="O112" s="30" t="s">
        <v>84</v>
      </c>
      <c r="P112" s="33" t="s">
        <v>84</v>
      </c>
      <c r="Q112" s="33" t="s">
        <v>84</v>
      </c>
      <c r="R112" s="24"/>
      <c r="S112" s="24"/>
    </row>
    <row r="113" spans="1:19" ht="14.5">
      <c r="A113" s="20" t="s">
        <v>479</v>
      </c>
      <c r="B113" s="20">
        <v>30</v>
      </c>
      <c r="C113" s="20">
        <v>40</v>
      </c>
      <c r="D113" s="20">
        <v>96</v>
      </c>
      <c r="E113" s="24"/>
      <c r="F113" s="20" t="s">
        <v>480</v>
      </c>
      <c r="G113" t="str">
        <f ca="1">IFERROR(__xludf.DUMMYFUNCTION("UPPER(LEFT((GOOGLETRANSLATE(F113,""en"",""pt"")),1))&amp;RIGHT(lower((GOOGLETRANSLATE(F113,""en"",""pt""))),(LEN((GOOGLETRANSLATE(F113,""en"",""pt"")))-1))"),"Vinícolas")</f>
        <v>Vinícolas</v>
      </c>
      <c r="H113" s="35" t="s">
        <v>481</v>
      </c>
      <c r="I113" s="20" t="str">
        <f>VLOOKUP(A113,CO_Base_LNEC!$B$4:$G$271,6,FALSE)</f>
        <v>Edifícios e instalações para a indústria do vinho</v>
      </c>
      <c r="J113" s="35" t="s">
        <v>482</v>
      </c>
      <c r="K113" s="20" t="s">
        <v>83</v>
      </c>
      <c r="L113" s="30" t="s">
        <v>84</v>
      </c>
      <c r="M113" s="31" t="s">
        <v>84</v>
      </c>
      <c r="N113" s="31" t="s">
        <v>84</v>
      </c>
      <c r="O113" s="30" t="s">
        <v>84</v>
      </c>
      <c r="P113" s="33" t="s">
        <v>84</v>
      </c>
      <c r="Q113" s="33" t="s">
        <v>84</v>
      </c>
      <c r="R113" s="24"/>
      <c r="S113" s="24"/>
    </row>
    <row r="114" spans="1:19" ht="14.5">
      <c r="A114" s="20" t="s">
        <v>483</v>
      </c>
      <c r="B114" s="20">
        <v>30</v>
      </c>
      <c r="C114" s="20">
        <v>50</v>
      </c>
      <c r="D114" s="24"/>
      <c r="E114" s="24"/>
      <c r="F114" s="20" t="s">
        <v>484</v>
      </c>
      <c r="G114" t="str">
        <f ca="1">IFERROR(__xludf.DUMMYFUNCTION("UPPER(LEFT((GOOGLETRANSLATE(F114,""en"",""pt"")),1))&amp;RIGHT(lower((GOOGLETRANSLATE(F114,""en"",""pt""))),(LEN((GOOGLETRANSLATE(F114,""en"",""pt"")))-1))"),"Complexos de fabricação")</f>
        <v>Complexos de fabricação</v>
      </c>
      <c r="H114" s="35" t="s">
        <v>384</v>
      </c>
      <c r="I114" s="20" t="e">
        <f>VLOOKUP(A114,CO_Base_LNEC!$B$4:$G$271,6,FALSE)</f>
        <v>#N/A</v>
      </c>
      <c r="J114" s="35" t="s">
        <v>384</v>
      </c>
      <c r="K114" s="24"/>
      <c r="L114" s="30" t="s">
        <v>84</v>
      </c>
      <c r="M114" s="31" t="s">
        <v>84</v>
      </c>
      <c r="N114" s="20" t="s">
        <v>485</v>
      </c>
      <c r="O114" s="37" t="s">
        <v>486</v>
      </c>
      <c r="P114" s="34" t="s">
        <v>487</v>
      </c>
      <c r="Q114" s="33" t="s">
        <v>84</v>
      </c>
      <c r="R114" s="24"/>
      <c r="S114" s="24"/>
    </row>
    <row r="115" spans="1:19" ht="14.5">
      <c r="A115" s="20" t="s">
        <v>488</v>
      </c>
      <c r="B115" s="20">
        <v>30</v>
      </c>
      <c r="C115" s="20">
        <v>50</v>
      </c>
      <c r="D115" s="20">
        <v>37</v>
      </c>
      <c r="E115" s="24"/>
      <c r="F115" s="20" t="s">
        <v>489</v>
      </c>
      <c r="G115" t="str">
        <f ca="1">IFERROR(__xludf.DUMMYFUNCTION("UPPER(LEFT((GOOGLETRANSLATE(F115,""en"",""pt"")),1))&amp;RIGHT(lower((GOOGLETRANSLATE(F115,""en"",""pt""))),(LEN((GOOGLETRANSLATE(F115,""en"",""pt"")))-1))"),"Complexos de fabrico pesados")</f>
        <v>Complexos de fabrico pesados</v>
      </c>
      <c r="H115" s="35" t="s">
        <v>490</v>
      </c>
      <c r="I115" s="20" t="e">
        <f>VLOOKUP(A115,CO_Base_LNEC!$B$4:$G$271,6,FALSE)</f>
        <v>#N/A</v>
      </c>
      <c r="J115" s="44" t="s">
        <v>491</v>
      </c>
      <c r="K115" s="20"/>
      <c r="L115" s="30" t="s">
        <v>84</v>
      </c>
      <c r="M115" s="31" t="s">
        <v>84</v>
      </c>
      <c r="N115" s="31" t="s">
        <v>84</v>
      </c>
      <c r="O115" s="30" t="s">
        <v>84</v>
      </c>
      <c r="P115" s="33" t="s">
        <v>84</v>
      </c>
      <c r="Q115" s="33" t="s">
        <v>84</v>
      </c>
      <c r="R115" s="24"/>
      <c r="S115" s="24"/>
    </row>
    <row r="116" spans="1:19" ht="14.5">
      <c r="A116" s="20" t="s">
        <v>492</v>
      </c>
      <c r="B116" s="20">
        <v>30</v>
      </c>
      <c r="C116" s="20">
        <v>50</v>
      </c>
      <c r="D116" s="20">
        <v>41</v>
      </c>
      <c r="E116" s="24"/>
      <c r="F116" s="20" t="s">
        <v>493</v>
      </c>
      <c r="G116" t="str">
        <f ca="1">IFERROR(__xludf.DUMMYFUNCTION("UPPER(LEFT((GOOGLETRANSLATE(F116,""en"",""pt"")),1))&amp;RIGHT(lower((GOOGLETRANSLATE(F116,""en"",""pt""))),(LEN((GOOGLETRANSLATE(F116,""en"",""pt"")))-1))"),"Parques industriais")</f>
        <v>Parques industriais</v>
      </c>
      <c r="H116" s="36" t="s">
        <v>494</v>
      </c>
      <c r="I116" s="20" t="e">
        <f>VLOOKUP(A116,CO_Base_LNEC!$B$4:$G$271,6,FALSE)</f>
        <v>#N/A</v>
      </c>
      <c r="J116" s="36" t="s">
        <v>494</v>
      </c>
      <c r="K116" s="24"/>
      <c r="L116" s="30" t="s">
        <v>84</v>
      </c>
      <c r="M116" s="31" t="s">
        <v>84</v>
      </c>
      <c r="N116" s="31" t="s">
        <v>84</v>
      </c>
      <c r="O116" s="30" t="s">
        <v>84</v>
      </c>
      <c r="P116" s="33" t="s">
        <v>84</v>
      </c>
      <c r="Q116" s="33" t="s">
        <v>84</v>
      </c>
      <c r="R116" s="24"/>
      <c r="S116" s="24"/>
    </row>
    <row r="117" spans="1:19" ht="14.5">
      <c r="A117" s="20" t="s">
        <v>495</v>
      </c>
      <c r="B117" s="20">
        <v>30</v>
      </c>
      <c r="C117" s="20">
        <v>50</v>
      </c>
      <c r="D117" s="20">
        <v>47</v>
      </c>
      <c r="E117" s="24"/>
      <c r="F117" s="20" t="s">
        <v>496</v>
      </c>
      <c r="G117" t="str">
        <f ca="1">IFERROR(__xludf.DUMMYFUNCTION("UPPER(LEFT((GOOGLETRANSLATE(F117,""en"",""pt"")),1))&amp;RIGHT(lower((GOOGLETRANSLATE(F117,""en"",""pt""))),(LEN((GOOGLETRANSLATE(F117,""en"",""pt"")))-1))"),"Complexos de produção de luz")</f>
        <v>Complexos de produção de luz</v>
      </c>
      <c r="H117" s="35" t="s">
        <v>497</v>
      </c>
      <c r="I117" s="20" t="e">
        <f>VLOOKUP(A117,CO_Base_LNEC!$B$4:$G$271,6,FALSE)</f>
        <v>#N/A</v>
      </c>
      <c r="J117" s="44" t="s">
        <v>498</v>
      </c>
      <c r="K117" s="20"/>
      <c r="L117" s="30" t="s">
        <v>84</v>
      </c>
      <c r="M117" s="31" t="s">
        <v>84</v>
      </c>
      <c r="N117" s="20" t="s">
        <v>499</v>
      </c>
      <c r="O117" s="30" t="s">
        <v>84</v>
      </c>
      <c r="P117" s="33" t="s">
        <v>84</v>
      </c>
      <c r="Q117" s="33" t="s">
        <v>84</v>
      </c>
      <c r="R117" s="24"/>
      <c r="S117" s="24"/>
    </row>
    <row r="118" spans="1:19" ht="14.5">
      <c r="A118" s="20" t="s">
        <v>500</v>
      </c>
      <c r="B118" s="20">
        <v>30</v>
      </c>
      <c r="C118" s="20">
        <v>50</v>
      </c>
      <c r="D118" s="20">
        <v>77</v>
      </c>
      <c r="E118" s="24"/>
      <c r="F118" s="20" t="s">
        <v>501</v>
      </c>
      <c r="G118" t="str">
        <f ca="1">IFERROR(__xludf.DUMMYFUNCTION("UPPER(LEFT((GOOGLETRANSLATE(F118,""en"",""pt"")),1))&amp;RIGHT(lower((GOOGLETRANSLATE(F118,""en"",""pt""))),(LEN((GOOGLETRANSLATE(F118,""en"",""pt"")))-1))"),"Estaleiros e construção de barcos")</f>
        <v>Estaleiros e construção de barcos</v>
      </c>
      <c r="H118" s="35" t="s">
        <v>502</v>
      </c>
      <c r="I118" s="20" t="e">
        <f>VLOOKUP(A118,CO_Base_LNEC!$B$4:$G$271,6,FALSE)</f>
        <v>#N/A</v>
      </c>
      <c r="J118" s="35" t="s">
        <v>503</v>
      </c>
      <c r="K118" s="20"/>
      <c r="L118" s="30" t="s">
        <v>84</v>
      </c>
      <c r="M118" s="31" t="s">
        <v>84</v>
      </c>
      <c r="N118" s="31" t="s">
        <v>84</v>
      </c>
      <c r="O118" s="30" t="s">
        <v>84</v>
      </c>
      <c r="P118" s="33" t="s">
        <v>84</v>
      </c>
      <c r="Q118" s="33" t="s">
        <v>84</v>
      </c>
      <c r="R118" s="24"/>
      <c r="S118" s="24"/>
    </row>
    <row r="119" spans="1:19" ht="14.5">
      <c r="A119" s="20" t="s">
        <v>504</v>
      </c>
      <c r="B119" s="20">
        <v>30</v>
      </c>
      <c r="C119" s="20">
        <v>60</v>
      </c>
      <c r="D119" s="24"/>
      <c r="E119" s="24"/>
      <c r="F119" s="20" t="s">
        <v>505</v>
      </c>
      <c r="G119" t="str">
        <f ca="1">IFERROR(__xludf.DUMMYFUNCTION("UPPER(LEFT((GOOGLETRANSLATE(F119,""en"",""pt"")),1))&amp;RIGHT(lower((GOOGLETRANSLATE(F119,""en"",""pt""))),(LEN((GOOGLETRANSLATE(F119,""en"",""pt"")))-1))"),"Complexos de limpeza e de manutenção")</f>
        <v>Complexos de limpeza e de manutenção</v>
      </c>
      <c r="H119" s="36" t="s">
        <v>506</v>
      </c>
      <c r="I119" s="20" t="e">
        <f>VLOOKUP(A119,CO_Base_LNEC!$B$4:$G$271,6,FALSE)</f>
        <v>#N/A</v>
      </c>
      <c r="J119" s="36" t="s">
        <v>506</v>
      </c>
      <c r="K119" s="24"/>
      <c r="L119" s="30" t="s">
        <v>84</v>
      </c>
      <c r="M119" s="31" t="s">
        <v>84</v>
      </c>
      <c r="N119" s="31" t="s">
        <v>84</v>
      </c>
      <c r="O119" s="30" t="s">
        <v>84</v>
      </c>
      <c r="P119" s="33" t="s">
        <v>84</v>
      </c>
      <c r="Q119" s="33" t="s">
        <v>84</v>
      </c>
      <c r="R119" s="24"/>
      <c r="S119" s="24"/>
    </row>
    <row r="120" spans="1:19" ht="14.5">
      <c r="A120" s="20" t="s">
        <v>507</v>
      </c>
      <c r="B120" s="20">
        <v>30</v>
      </c>
      <c r="C120" s="20">
        <v>60</v>
      </c>
      <c r="D120" s="20">
        <v>15</v>
      </c>
      <c r="E120" s="24"/>
      <c r="F120" s="20" t="s">
        <v>508</v>
      </c>
      <c r="G120" t="str">
        <f ca="1">IFERROR(__xludf.DUMMYFUNCTION("UPPER(LEFT((GOOGLETRANSLATE(F120,""en"",""pt"")),1))&amp;RIGHT(lower((GOOGLETRANSLATE(F120,""en"",""pt""))),(LEN((GOOGLETRANSLATE(F120,""en"",""pt"")))-1))"),"Lavanderias comerciais")</f>
        <v>Lavanderias comerciais</v>
      </c>
      <c r="H120" s="35" t="s">
        <v>509</v>
      </c>
      <c r="I120" s="20" t="e">
        <f>VLOOKUP(A120,CO_Base_LNEC!$B$4:$G$271,6,FALSE)</f>
        <v>#N/A</v>
      </c>
      <c r="J120" s="35" t="s">
        <v>509</v>
      </c>
      <c r="K120" s="24"/>
      <c r="L120" s="30" t="s">
        <v>84</v>
      </c>
      <c r="M120" s="31" t="s">
        <v>84</v>
      </c>
      <c r="N120" s="31" t="s">
        <v>84</v>
      </c>
      <c r="O120" s="30" t="s">
        <v>84</v>
      </c>
      <c r="P120" s="33" t="s">
        <v>84</v>
      </c>
      <c r="Q120" s="33" t="s">
        <v>84</v>
      </c>
      <c r="R120" s="24"/>
      <c r="S120" s="24"/>
    </row>
    <row r="121" spans="1:19" ht="14.5">
      <c r="A121" s="20" t="s">
        <v>510</v>
      </c>
      <c r="B121" s="20">
        <v>30</v>
      </c>
      <c r="C121" s="20">
        <v>60</v>
      </c>
      <c r="D121" s="20">
        <v>94</v>
      </c>
      <c r="E121" s="24"/>
      <c r="F121" s="20" t="s">
        <v>511</v>
      </c>
      <c r="G121" t="str">
        <f ca="1">IFERROR(__xludf.DUMMYFUNCTION("UPPER(LEFT((GOOGLETRANSLATE(F121,""en"",""pt"")),1))&amp;RIGHT(lower((GOOGLETRANSLATE(F121,""en"",""pt""))),(LEN((GOOGLETRANSLATE(F121,""en"",""pt"")))-1))"),"Complexos de limpeza de veículos")</f>
        <v>Complexos de limpeza de veículos</v>
      </c>
      <c r="H121" s="36" t="s">
        <v>512</v>
      </c>
      <c r="I121" s="20" t="e">
        <f>VLOOKUP(A121,CO_Base_LNEC!$B$4:$G$271,6,FALSE)</f>
        <v>#N/A</v>
      </c>
      <c r="J121" s="36" t="s">
        <v>512</v>
      </c>
      <c r="K121" s="24"/>
      <c r="L121" s="30" t="s">
        <v>84</v>
      </c>
      <c r="M121" s="31" t="s">
        <v>84</v>
      </c>
      <c r="N121" s="20" t="s">
        <v>513</v>
      </c>
      <c r="O121" s="30" t="s">
        <v>84</v>
      </c>
      <c r="P121" s="33" t="s">
        <v>84</v>
      </c>
      <c r="Q121" s="34" t="s">
        <v>86</v>
      </c>
      <c r="R121" s="24"/>
      <c r="S121" s="24"/>
    </row>
    <row r="122" spans="1:19" ht="14.5">
      <c r="A122" s="20" t="s">
        <v>514</v>
      </c>
      <c r="B122" s="20">
        <v>30</v>
      </c>
      <c r="C122" s="20">
        <v>80</v>
      </c>
      <c r="D122" s="24"/>
      <c r="E122" s="24"/>
      <c r="F122" s="20" t="s">
        <v>515</v>
      </c>
      <c r="G122" t="str">
        <f ca="1">IFERROR(__xludf.DUMMYFUNCTION("UPPER(LEFT((GOOGLETRANSLATE(F122,""en"",""pt"")),1))&amp;RIGHT(lower((GOOGLETRANSLATE(F122,""en"",""pt""))),(LEN((GOOGLETRANSLATE(F122,""en"",""pt"")))-1))"),"Complexos de geração de energia mecânica")</f>
        <v>Complexos de geração de energia mecânica</v>
      </c>
      <c r="H122" s="36" t="s">
        <v>516</v>
      </c>
      <c r="I122" s="20" t="e">
        <f>VLOOKUP(A122,CO_Base_LNEC!$B$4:$G$271,6,FALSE)</f>
        <v>#N/A</v>
      </c>
      <c r="J122" s="36" t="s">
        <v>516</v>
      </c>
      <c r="K122" s="24"/>
      <c r="L122" s="30" t="s">
        <v>84</v>
      </c>
      <c r="M122" s="31" t="s">
        <v>84</v>
      </c>
      <c r="N122" s="31" t="s">
        <v>84</v>
      </c>
      <c r="O122" s="30" t="s">
        <v>84</v>
      </c>
      <c r="P122" s="33" t="s">
        <v>84</v>
      </c>
      <c r="Q122" s="34" t="s">
        <v>86</v>
      </c>
      <c r="R122" s="24"/>
      <c r="S122" s="24"/>
    </row>
    <row r="123" spans="1:19" ht="14.5">
      <c r="A123" s="20" t="s">
        <v>517</v>
      </c>
      <c r="B123" s="20">
        <v>30</v>
      </c>
      <c r="C123" s="20">
        <v>80</v>
      </c>
      <c r="D123" s="20">
        <v>10</v>
      </c>
      <c r="E123" s="24"/>
      <c r="F123" s="20" t="s">
        <v>518</v>
      </c>
      <c r="G123" t="str">
        <f ca="1">IFERROR(__xludf.DUMMYFUNCTION("UPPER(LEFT((GOOGLETRANSLATE(F123,""en"",""pt"")),1))&amp;RIGHT(lower((GOOGLETRANSLATE(F123,""en"",""pt""))),(LEN((GOOGLETRANSLATE(F123,""en"",""pt"")))-1))"),"Complexos de geração de energia cinética")</f>
        <v>Complexos de geração de energia cinética</v>
      </c>
      <c r="H123" s="36" t="s">
        <v>519</v>
      </c>
      <c r="I123" s="20" t="e">
        <f>VLOOKUP(A123,CO_Base_LNEC!$B$4:$G$271,6,FALSE)</f>
        <v>#N/A</v>
      </c>
      <c r="J123" s="36" t="s">
        <v>519</v>
      </c>
      <c r="K123" s="24"/>
      <c r="L123" s="30" t="s">
        <v>84</v>
      </c>
      <c r="M123" s="31" t="s">
        <v>84</v>
      </c>
      <c r="N123" s="31" t="s">
        <v>84</v>
      </c>
      <c r="O123" s="30" t="s">
        <v>84</v>
      </c>
      <c r="P123" s="33" t="s">
        <v>84</v>
      </c>
      <c r="Q123" s="34" t="s">
        <v>86</v>
      </c>
      <c r="R123" s="24"/>
      <c r="S123" s="24"/>
    </row>
    <row r="124" spans="1:19" ht="14.5">
      <c r="A124" s="20" t="s">
        <v>520</v>
      </c>
      <c r="B124" s="20">
        <v>30</v>
      </c>
      <c r="C124" s="20">
        <v>85</v>
      </c>
      <c r="D124" s="24"/>
      <c r="E124" s="24"/>
      <c r="F124" s="20" t="s">
        <v>521</v>
      </c>
      <c r="G124" t="str">
        <f ca="1">IFERROR(__xludf.DUMMYFUNCTION("UPPER(LEFT((GOOGLETRANSLATE(F124,""en"",""pt"")),1))&amp;RIGHT(lower((GOOGLETRANSLATE(F124,""en"",""pt""))),(LEN((GOOGLETRANSLATE(F124,""en"",""pt"")))-1))"),"Complexos marinhos e de água de manutenção")</f>
        <v>Complexos marinhos e de água de manutenção</v>
      </c>
      <c r="H124" s="35" t="s">
        <v>522</v>
      </c>
      <c r="I124" s="20" t="e">
        <f>VLOOKUP(A124,CO_Base_LNEC!$B$4:$G$271,6,FALSE)</f>
        <v>#N/A</v>
      </c>
      <c r="J124" s="35" t="s">
        <v>522</v>
      </c>
      <c r="K124" s="24"/>
      <c r="L124" s="30" t="s">
        <v>84</v>
      </c>
      <c r="M124" s="31" t="s">
        <v>84</v>
      </c>
      <c r="N124" s="31" t="s">
        <v>84</v>
      </c>
      <c r="O124" s="30" t="s">
        <v>84</v>
      </c>
      <c r="P124" s="33" t="s">
        <v>84</v>
      </c>
      <c r="Q124" s="34" t="s">
        <v>86</v>
      </c>
      <c r="R124" s="24"/>
      <c r="S124" s="24"/>
    </row>
    <row r="125" spans="1:19" ht="14.5">
      <c r="A125" s="20" t="s">
        <v>523</v>
      </c>
      <c r="B125" s="20">
        <v>30</v>
      </c>
      <c r="C125" s="20">
        <v>90</v>
      </c>
      <c r="D125" s="24"/>
      <c r="E125" s="24"/>
      <c r="F125" s="20" t="s">
        <v>524</v>
      </c>
      <c r="G125" t="str">
        <f ca="1">IFERROR(__xludf.DUMMYFUNCTION("UPPER(LEFT((GOOGLETRANSLATE(F125,""en"",""pt"")),1))&amp;RIGHT(lower((GOOGLETRANSLATE(F125,""en"",""pt""))),(LEN((GOOGLETRANSLATE(F125,""en"",""pt"")))-1))"),"Complexos de armazenagem e distribuição")</f>
        <v>Complexos de armazenagem e distribuição</v>
      </c>
      <c r="H125" s="36" t="s">
        <v>525</v>
      </c>
      <c r="I125" s="20" t="str">
        <f>VLOOKUP(A125,CO_Base_LNEC!$B$4:$G$271,6,FALSE)</f>
        <v>Reservatórios, armazéns e centros de distribuição</v>
      </c>
      <c r="J125" s="36" t="s">
        <v>525</v>
      </c>
      <c r="K125" s="24"/>
      <c r="L125" s="30" t="s">
        <v>84</v>
      </c>
      <c r="M125" s="31" t="s">
        <v>84</v>
      </c>
      <c r="N125" s="31" t="s">
        <v>84</v>
      </c>
      <c r="O125" s="30" t="s">
        <v>84</v>
      </c>
      <c r="P125" s="33" t="s">
        <v>84</v>
      </c>
      <c r="Q125" s="34" t="s">
        <v>86</v>
      </c>
      <c r="R125" s="24"/>
      <c r="S125" s="24"/>
    </row>
    <row r="126" spans="1:19" ht="14.5">
      <c r="A126" s="20" t="s">
        <v>526</v>
      </c>
      <c r="B126" s="20">
        <v>32</v>
      </c>
      <c r="C126" s="24"/>
      <c r="D126" s="24"/>
      <c r="E126" s="24"/>
      <c r="F126" s="20" t="s">
        <v>527</v>
      </c>
      <c r="G126" t="str">
        <f ca="1">IFERROR(__xludf.DUMMYFUNCTION("UPPER(LEFT((GOOGLETRANSLATE(F126,""en"",""pt"")),1))&amp;RIGHT(lower((GOOGLETRANSLATE(F126,""en"",""pt""))),(LEN((GOOGLETRANSLATE(F126,""en"",""pt"")))-1))"),"Complexos de água e gestão de terras")</f>
        <v>Complexos de água e gestão de terras</v>
      </c>
      <c r="H126" s="36" t="s">
        <v>528</v>
      </c>
      <c r="I126" s="20" t="e">
        <f>VLOOKUP(A126,CO_Base_LNEC!$B$4:$G$271,6,FALSE)</f>
        <v>#N/A</v>
      </c>
      <c r="J126" s="20" t="s">
        <v>529</v>
      </c>
      <c r="K126" s="20"/>
      <c r="L126" s="30" t="s">
        <v>84</v>
      </c>
      <c r="M126" s="31" t="s">
        <v>84</v>
      </c>
      <c r="N126" s="31" t="s">
        <v>84</v>
      </c>
      <c r="O126" s="30" t="s">
        <v>84</v>
      </c>
      <c r="P126" s="33" t="s">
        <v>84</v>
      </c>
      <c r="Q126" s="33" t="s">
        <v>84</v>
      </c>
      <c r="R126" s="24"/>
      <c r="S126" s="24"/>
    </row>
    <row r="127" spans="1:19" ht="14.5">
      <c r="A127" s="20" t="s">
        <v>530</v>
      </c>
      <c r="B127" s="20">
        <v>32</v>
      </c>
      <c r="C127" s="20">
        <v>10</v>
      </c>
      <c r="D127" s="24"/>
      <c r="E127" s="24"/>
      <c r="F127" s="20" t="s">
        <v>531</v>
      </c>
      <c r="G127" t="str">
        <f ca="1">IFERROR(__xludf.DUMMYFUNCTION("UPPER(LEFT((GOOGLETRANSLATE(F127,""en"",""pt"")),1))&amp;RIGHT(lower((GOOGLETRANSLATE(F127,""en"",""pt""))),(LEN((GOOGLETRANSLATE(F127,""en"",""pt"")))-1))"),"Agrícolas e hortícolas complexos")</f>
        <v>Agrícolas e hortícolas complexos</v>
      </c>
      <c r="H127" s="36" t="s">
        <v>532</v>
      </c>
      <c r="I127" s="20" t="e">
        <f>VLOOKUP(A127,CO_Base_LNEC!$B$4:$G$271,6,FALSE)</f>
        <v>#N/A</v>
      </c>
      <c r="J127" s="36" t="s">
        <v>532</v>
      </c>
      <c r="K127" s="24"/>
      <c r="L127" s="30" t="s">
        <v>84</v>
      </c>
      <c r="M127" s="31" t="s">
        <v>84</v>
      </c>
      <c r="N127" s="31" t="s">
        <v>84</v>
      </c>
      <c r="O127" s="30" t="s">
        <v>84</v>
      </c>
      <c r="P127" s="33" t="s">
        <v>84</v>
      </c>
      <c r="Q127" s="33" t="s">
        <v>84</v>
      </c>
      <c r="R127" s="24"/>
      <c r="S127" s="24"/>
    </row>
    <row r="128" spans="1:19" ht="14.5">
      <c r="A128" s="20" t="s">
        <v>533</v>
      </c>
      <c r="B128" s="20">
        <v>32</v>
      </c>
      <c r="C128" s="20">
        <v>10</v>
      </c>
      <c r="D128" s="20">
        <v>2</v>
      </c>
      <c r="E128" s="24"/>
      <c r="F128" s="20" t="s">
        <v>534</v>
      </c>
      <c r="G128" t="str">
        <f ca="1">IFERROR(__xludf.DUMMYFUNCTION("UPPER(LEFT((GOOGLETRANSLATE(F128,""en"",""pt"")),1))&amp;RIGHT(lower((GOOGLETRANSLATE(F128,""en"",""pt""))),(LEN((GOOGLETRANSLATE(F128,""en"",""pt"")))-1))"),"Explorações agrícolas")</f>
        <v>Explorações agrícolas</v>
      </c>
      <c r="H128" s="36" t="s">
        <v>535</v>
      </c>
      <c r="I128" s="20" t="e">
        <f>VLOOKUP(A128,CO_Base_LNEC!$B$4:$G$271,6,FALSE)</f>
        <v>#N/A</v>
      </c>
      <c r="J128" s="36" t="s">
        <v>535</v>
      </c>
      <c r="K128" s="24"/>
      <c r="L128" s="30" t="s">
        <v>84</v>
      </c>
      <c r="M128" s="31" t="s">
        <v>84</v>
      </c>
      <c r="N128" s="31" t="s">
        <v>84</v>
      </c>
      <c r="O128" s="30" t="s">
        <v>84</v>
      </c>
      <c r="P128" s="33" t="s">
        <v>84</v>
      </c>
      <c r="Q128" s="33" t="s">
        <v>84</v>
      </c>
      <c r="R128" s="24"/>
      <c r="S128" s="24"/>
    </row>
    <row r="129" spans="1:19" ht="14.5">
      <c r="A129" s="20" t="s">
        <v>536</v>
      </c>
      <c r="B129" s="20">
        <v>32</v>
      </c>
      <c r="C129" s="20">
        <v>10</v>
      </c>
      <c r="D129" s="20">
        <v>15</v>
      </c>
      <c r="E129" s="24"/>
      <c r="F129" s="20" t="s">
        <v>537</v>
      </c>
      <c r="G129" t="str">
        <f ca="1">IFERROR(__xludf.DUMMYFUNCTION("UPPER(LEFT((GOOGLETRANSLATE(F129,""en"",""pt"")),1))&amp;RIGHT(lower((GOOGLETRANSLATE(F129,""en"",""pt""))),(LEN((GOOGLETRANSLATE(F129,""en"",""pt"")))-1))"),"Crofts")</f>
        <v>Crofts</v>
      </c>
      <c r="H129" s="35" t="s">
        <v>538</v>
      </c>
      <c r="I129" s="20" t="e">
        <f>VLOOKUP(A129,CO_Base_LNEC!$B$4:$G$271,6,FALSE)</f>
        <v>#N/A</v>
      </c>
      <c r="J129" s="35" t="s">
        <v>538</v>
      </c>
      <c r="K129" s="24"/>
      <c r="L129" s="30" t="s">
        <v>84</v>
      </c>
      <c r="M129" s="31" t="s">
        <v>84</v>
      </c>
      <c r="N129" s="31" t="s">
        <v>84</v>
      </c>
      <c r="O129" s="24"/>
      <c r="P129" s="33" t="s">
        <v>84</v>
      </c>
      <c r="Q129" s="33" t="s">
        <v>84</v>
      </c>
      <c r="R129" s="24"/>
      <c r="S129" s="24"/>
    </row>
    <row r="130" spans="1:19" ht="14.5">
      <c r="A130" s="20" t="s">
        <v>539</v>
      </c>
      <c r="B130" s="20">
        <v>32</v>
      </c>
      <c r="C130" s="20">
        <v>10</v>
      </c>
      <c r="D130" s="20">
        <v>28</v>
      </c>
      <c r="E130" s="24"/>
      <c r="F130" s="20" t="s">
        <v>540</v>
      </c>
      <c r="G130" t="str">
        <f ca="1">IFERROR(__xludf.DUMMYFUNCTION("UPPER(LEFT((GOOGLETRANSLATE(F130,""en"",""pt"")),1))&amp;RIGHT(lower((GOOGLETRANSLATE(F130,""en"",""pt""))),(LEN((GOOGLETRANSLATE(F130,""en"",""pt"")))-1))"),"Explorações piscícolas")</f>
        <v>Explorações piscícolas</v>
      </c>
      <c r="H130" s="35" t="s">
        <v>541</v>
      </c>
      <c r="I130" s="20" t="e">
        <f>VLOOKUP(A130,CO_Base_LNEC!$B$4:$G$271,6,FALSE)</f>
        <v>#N/A</v>
      </c>
      <c r="J130" s="35" t="s">
        <v>542</v>
      </c>
      <c r="K130" s="24"/>
      <c r="L130" s="30" t="s">
        <v>84</v>
      </c>
      <c r="M130" s="31" t="s">
        <v>84</v>
      </c>
      <c r="N130" s="31" t="s">
        <v>84</v>
      </c>
      <c r="O130" s="30" t="s">
        <v>84</v>
      </c>
      <c r="P130" s="33" t="s">
        <v>84</v>
      </c>
      <c r="Q130" s="33" t="s">
        <v>84</v>
      </c>
      <c r="R130" s="24"/>
      <c r="S130" s="24"/>
    </row>
    <row r="131" spans="1:19" ht="14.5">
      <c r="A131" s="20" t="s">
        <v>543</v>
      </c>
      <c r="B131" s="20">
        <v>32</v>
      </c>
      <c r="C131" s="20">
        <v>10</v>
      </c>
      <c r="D131" s="20">
        <v>30</v>
      </c>
      <c r="E131" s="24"/>
      <c r="F131" s="20" t="s">
        <v>544</v>
      </c>
      <c r="G131" t="str">
        <f ca="1">IFERROR(__xludf.DUMMYFUNCTION("UPPER(LEFT((GOOGLETRANSLATE(F131,""en"",""pt"")),1))&amp;RIGHT(lower((GOOGLETRANSLATE(F131,""en"",""pt""))),(LEN((GOOGLETRANSLATE(F131,""en"",""pt"")))-1))"),"Centros de incubação de peixe")</f>
        <v>Centros de incubação de peixe</v>
      </c>
      <c r="H131" s="35" t="s">
        <v>545</v>
      </c>
      <c r="I131" s="20" t="e">
        <f>VLOOKUP(A131,CO_Base_LNEC!$B$4:$G$271,6,FALSE)</f>
        <v>#N/A</v>
      </c>
      <c r="J131" s="35" t="s">
        <v>545</v>
      </c>
      <c r="K131" s="24"/>
      <c r="L131" s="30" t="s">
        <v>84</v>
      </c>
      <c r="M131" s="31" t="s">
        <v>84</v>
      </c>
      <c r="N131" s="31" t="s">
        <v>84</v>
      </c>
      <c r="O131" s="37" t="s">
        <v>546</v>
      </c>
      <c r="P131" s="33" t="s">
        <v>84</v>
      </c>
      <c r="Q131" s="33" t="s">
        <v>84</v>
      </c>
      <c r="R131" s="24"/>
      <c r="S131" s="24"/>
    </row>
    <row r="132" spans="1:19" ht="14.5">
      <c r="A132" s="20" t="s">
        <v>547</v>
      </c>
      <c r="B132" s="20">
        <v>32</v>
      </c>
      <c r="C132" s="20">
        <v>10</v>
      </c>
      <c r="D132" s="20">
        <v>39</v>
      </c>
      <c r="E132" s="24"/>
      <c r="F132" s="20" t="s">
        <v>548</v>
      </c>
      <c r="G132" t="str">
        <f ca="1">IFERROR(__xludf.DUMMYFUNCTION("UPPER(LEFT((GOOGLETRANSLATE(F132,""en"",""pt"")),1))&amp;RIGHT(lower((GOOGLETRANSLATE(F132,""en"",""pt""))),(LEN((GOOGLETRANSLATE(F132,""en"",""pt"")))-1))"),"Viveiros hortícolas")</f>
        <v>Viveiros hortícolas</v>
      </c>
      <c r="H132" s="36" t="s">
        <v>549</v>
      </c>
      <c r="I132" s="20" t="e">
        <f>VLOOKUP(A132,CO_Base_LNEC!$B$4:$G$271,6,FALSE)</f>
        <v>#N/A</v>
      </c>
      <c r="J132" s="36" t="s">
        <v>549</v>
      </c>
      <c r="K132" s="24"/>
      <c r="L132" s="30" t="s">
        <v>84</v>
      </c>
      <c r="M132" s="31" t="s">
        <v>84</v>
      </c>
      <c r="N132" s="31" t="s">
        <v>84</v>
      </c>
      <c r="O132" s="30" t="s">
        <v>84</v>
      </c>
      <c r="P132" s="33" t="s">
        <v>84</v>
      </c>
      <c r="Q132" s="33" t="s">
        <v>84</v>
      </c>
      <c r="R132" s="24"/>
      <c r="S132" s="24"/>
    </row>
    <row r="133" spans="1:19" ht="14.5">
      <c r="A133" s="20" t="s">
        <v>550</v>
      </c>
      <c r="B133" s="20">
        <v>32</v>
      </c>
      <c r="C133" s="20">
        <v>10</v>
      </c>
      <c r="D133" s="20">
        <v>46</v>
      </c>
      <c r="E133" s="24"/>
      <c r="F133" s="20" t="s">
        <v>551</v>
      </c>
      <c r="G133" t="str">
        <f ca="1">IFERROR(__xludf.DUMMYFUNCTION("UPPER(LEFT((GOOGLETRANSLATE(F133,""en"",""pt"")),1))&amp;RIGHT(lower((GOOGLETRANSLATE(F133,""en"",""pt""))),(LEN((GOOGLETRANSLATE(F133,""en"",""pt"")))-1))"),"Explorações pecuárias")</f>
        <v>Explorações pecuárias</v>
      </c>
      <c r="H133" s="36" t="s">
        <v>552</v>
      </c>
      <c r="I133" s="20" t="e">
        <f>VLOOKUP(A133,CO_Base_LNEC!$B$4:$G$271,6,FALSE)</f>
        <v>#N/A</v>
      </c>
      <c r="J133" s="36" t="s">
        <v>552</v>
      </c>
      <c r="K133" s="24"/>
      <c r="L133" s="30" t="s">
        <v>84</v>
      </c>
      <c r="M133" s="31" t="s">
        <v>84</v>
      </c>
      <c r="N133" s="31" t="s">
        <v>84</v>
      </c>
      <c r="O133" s="30" t="s">
        <v>84</v>
      </c>
      <c r="P133" s="33" t="s">
        <v>84</v>
      </c>
      <c r="Q133" s="33" t="s">
        <v>84</v>
      </c>
      <c r="R133" s="24"/>
      <c r="S133" s="24"/>
    </row>
    <row r="134" spans="1:19" ht="14.5">
      <c r="A134" s="20" t="s">
        <v>553</v>
      </c>
      <c r="B134" s="20">
        <v>32</v>
      </c>
      <c r="C134" s="20">
        <v>10</v>
      </c>
      <c r="D134" s="20">
        <v>50</v>
      </c>
      <c r="E134" s="24"/>
      <c r="F134" s="20" t="s">
        <v>554</v>
      </c>
      <c r="G134" t="str">
        <f ca="1">IFERROR(__xludf.DUMMYFUNCTION("UPPER(LEFT((GOOGLETRANSLATE(F134,""en"",""pt"")),1))&amp;RIGHT(lower((GOOGLETRANSLATE(F134,""en"",""pt""))),(LEN((GOOGLETRANSLATE(F134,""en"",""pt"")))-1))"),"Florestas manejadas")</f>
        <v>Florestas manejadas</v>
      </c>
      <c r="H134" s="35" t="s">
        <v>555</v>
      </c>
      <c r="I134" s="20" t="e">
        <f>VLOOKUP(A134,CO_Base_LNEC!$B$4:$G$271,6,FALSE)</f>
        <v>#N/A</v>
      </c>
      <c r="J134" s="35" t="s">
        <v>555</v>
      </c>
      <c r="K134" s="24"/>
      <c r="L134" s="30" t="s">
        <v>84</v>
      </c>
      <c r="M134" s="31" t="s">
        <v>84</v>
      </c>
      <c r="N134" s="31" t="s">
        <v>84</v>
      </c>
      <c r="O134" s="30" t="s">
        <v>84</v>
      </c>
      <c r="P134" s="34" t="s">
        <v>556</v>
      </c>
      <c r="Q134" s="34" t="s">
        <v>556</v>
      </c>
      <c r="R134" s="24"/>
      <c r="S134" s="24"/>
    </row>
    <row r="135" spans="1:19" ht="14.5">
      <c r="A135" s="20" t="s">
        <v>557</v>
      </c>
      <c r="B135" s="20">
        <v>32</v>
      </c>
      <c r="C135" s="20">
        <v>10</v>
      </c>
      <c r="D135" s="20">
        <v>58</v>
      </c>
      <c r="E135" s="24"/>
      <c r="F135" s="20" t="s">
        <v>558</v>
      </c>
      <c r="G135" t="str">
        <f ca="1">IFERROR(__xludf.DUMMYFUNCTION("UPPER(LEFT((GOOGLETRANSLATE(F135,""en"",""pt"")),1))&amp;RIGHT(lower((GOOGLETRANSLATE(F135,""en"",""pt""))),(LEN((GOOGLETRANSLATE(F135,""en"",""pt"")))-1))"),"Pomares")</f>
        <v>Pomares</v>
      </c>
      <c r="H135" s="36" t="s">
        <v>559</v>
      </c>
      <c r="I135" s="20" t="e">
        <f>VLOOKUP(A135,CO_Base_LNEC!$B$4:$G$271,6,FALSE)</f>
        <v>#N/A</v>
      </c>
      <c r="J135" s="36" t="s">
        <v>559</v>
      </c>
      <c r="K135" s="24"/>
      <c r="L135" s="30" t="s">
        <v>84</v>
      </c>
      <c r="M135" s="31" t="s">
        <v>84</v>
      </c>
      <c r="N135" s="31" t="s">
        <v>84</v>
      </c>
      <c r="O135" s="30" t="s">
        <v>84</v>
      </c>
      <c r="P135" s="33" t="s">
        <v>84</v>
      </c>
      <c r="Q135" s="33" t="s">
        <v>84</v>
      </c>
      <c r="R135" s="24"/>
      <c r="S135" s="24"/>
    </row>
    <row r="136" spans="1:19" ht="14.5">
      <c r="A136" s="20" t="s">
        <v>560</v>
      </c>
      <c r="B136" s="20">
        <v>32</v>
      </c>
      <c r="C136" s="20">
        <v>10</v>
      </c>
      <c r="D136" s="20">
        <v>94</v>
      </c>
      <c r="E136" s="24"/>
      <c r="F136" s="20" t="s">
        <v>561</v>
      </c>
      <c r="G136" t="str">
        <f ca="1">IFERROR(__xludf.DUMMYFUNCTION("UPPER(LEFT((GOOGLETRANSLATE(F136,""en"",""pt"")),1))&amp;RIGHT(lower((GOOGLETRANSLATE(F136,""en"",""pt""))),(LEN((GOOGLETRANSLATE(F136,""en"",""pt"")))-1))"),"Vineyards")</f>
        <v>Vineyards</v>
      </c>
      <c r="H136" s="35" t="s">
        <v>562</v>
      </c>
      <c r="I136" s="20" t="e">
        <f>VLOOKUP(A136,CO_Base_LNEC!$B$4:$G$271,6,FALSE)</f>
        <v>#N/A</v>
      </c>
      <c r="J136" s="35" t="s">
        <v>562</v>
      </c>
      <c r="K136" s="24"/>
      <c r="L136" s="30" t="s">
        <v>84</v>
      </c>
      <c r="M136" s="31" t="s">
        <v>84</v>
      </c>
      <c r="N136" s="31" t="s">
        <v>84</v>
      </c>
      <c r="O136" s="30" t="s">
        <v>84</v>
      </c>
      <c r="P136" s="33" t="s">
        <v>84</v>
      </c>
      <c r="Q136" s="33" t="s">
        <v>84</v>
      </c>
      <c r="R136" s="24"/>
      <c r="S136" s="24"/>
    </row>
    <row r="137" spans="1:19" ht="14.5">
      <c r="A137" s="20" t="s">
        <v>563</v>
      </c>
      <c r="B137" s="20">
        <v>32</v>
      </c>
      <c r="C137" s="20">
        <v>20</v>
      </c>
      <c r="D137" s="24"/>
      <c r="E137" s="24"/>
      <c r="F137" s="20" t="s">
        <v>564</v>
      </c>
      <c r="G137" t="str">
        <f ca="1">IFERROR(__xludf.DUMMYFUNCTION("UPPER(LEFT((GOOGLETRANSLATE(F137,""en"",""pt"")),1))&amp;RIGHT(lower((GOOGLETRANSLATE(F137,""en"",""pt""))),(LEN((GOOGLETRANSLATE(F137,""en"",""pt"")))-1))"),"Áreas designadas")</f>
        <v>Áreas designadas</v>
      </c>
      <c r="H137" s="36" t="s">
        <v>565</v>
      </c>
      <c r="I137" s="20" t="e">
        <f>VLOOKUP(A137,CO_Base_LNEC!$B$4:$G$271,6,FALSE)</f>
        <v>#N/A</v>
      </c>
      <c r="J137" s="36" t="s">
        <v>565</v>
      </c>
      <c r="K137" s="20" t="s">
        <v>566</v>
      </c>
      <c r="L137" s="30" t="s">
        <v>84</v>
      </c>
      <c r="M137" s="31" t="s">
        <v>84</v>
      </c>
      <c r="N137" s="31" t="s">
        <v>84</v>
      </c>
      <c r="O137" s="37" t="s">
        <v>567</v>
      </c>
      <c r="P137" s="33" t="s">
        <v>84</v>
      </c>
      <c r="Q137" s="33" t="s">
        <v>84</v>
      </c>
      <c r="R137" s="24"/>
      <c r="S137" s="24"/>
    </row>
    <row r="138" spans="1:19" ht="14.5">
      <c r="A138" s="20" t="s">
        <v>568</v>
      </c>
      <c r="B138" s="20">
        <v>32</v>
      </c>
      <c r="C138" s="20">
        <v>20</v>
      </c>
      <c r="D138" s="20">
        <v>4</v>
      </c>
      <c r="E138" s="24"/>
      <c r="F138" s="20" t="s">
        <v>569</v>
      </c>
      <c r="G138" t="str">
        <f ca="1">IFERROR(__xludf.DUMMYFUNCTION("UPPER(LEFT((GOOGLETRANSLATE(F138,""en"",""pt"")),1))&amp;RIGHT(lower((GOOGLETRANSLATE(F138,""en"",""pt""))),(LEN((GOOGLETRANSLATE(F138,""en"",""pt"")))-1))"),"Áreas de interesse arquitectónico ou histórico especial")</f>
        <v>Áreas de interesse arquitectónico ou histórico especial</v>
      </c>
      <c r="H138" s="35" t="s">
        <v>570</v>
      </c>
      <c r="I138" s="20" t="e">
        <f>VLOOKUP(A138,CO_Base_LNEC!$B$4:$G$271,6,FALSE)</f>
        <v>#N/A</v>
      </c>
      <c r="J138" s="35" t="s">
        <v>570</v>
      </c>
      <c r="K138" s="24"/>
      <c r="L138" s="30" t="s">
        <v>84</v>
      </c>
      <c r="M138" s="31" t="s">
        <v>84</v>
      </c>
      <c r="N138" s="31" t="s">
        <v>84</v>
      </c>
      <c r="O138" s="30" t="s">
        <v>84</v>
      </c>
      <c r="P138" s="33" t="s">
        <v>84</v>
      </c>
      <c r="Q138" s="33" t="s">
        <v>84</v>
      </c>
      <c r="R138" s="24"/>
      <c r="S138" s="24"/>
    </row>
    <row r="139" spans="1:19" ht="14.5">
      <c r="A139" s="20" t="s">
        <v>571</v>
      </c>
      <c r="B139" s="20">
        <v>32</v>
      </c>
      <c r="C139" s="20">
        <v>20</v>
      </c>
      <c r="D139" s="20">
        <v>17</v>
      </c>
      <c r="E139" s="24"/>
      <c r="F139" s="20" t="s">
        <v>572</v>
      </c>
      <c r="G139" t="str">
        <f ca="1">IFERROR(__xludf.DUMMYFUNCTION("UPPER(LEFT((GOOGLETRANSLATE(F139,""en"",""pt"")),1))&amp;RIGHT(lower((GOOGLETRANSLATE(F139,""en"",""pt""))),(LEN((GOOGLETRANSLATE(F139,""en"",""pt"")))-1))"),"Commons")</f>
        <v>Commons</v>
      </c>
      <c r="H139" s="35" t="s">
        <v>573</v>
      </c>
      <c r="I139" s="20" t="e">
        <f>VLOOKUP(A139,CO_Base_LNEC!$B$4:$G$271,6,FALSE)</f>
        <v>#N/A</v>
      </c>
      <c r="J139" s="35" t="s">
        <v>573</v>
      </c>
      <c r="K139" s="24"/>
      <c r="L139" s="30" t="s">
        <v>84</v>
      </c>
      <c r="M139" s="31" t="s">
        <v>84</v>
      </c>
      <c r="N139" s="31" t="s">
        <v>84</v>
      </c>
      <c r="O139" s="30" t="s">
        <v>84</v>
      </c>
      <c r="P139" s="33" t="s">
        <v>84</v>
      </c>
      <c r="Q139" s="33" t="s">
        <v>84</v>
      </c>
      <c r="R139" s="24"/>
      <c r="S139" s="24"/>
    </row>
    <row r="140" spans="1:19" ht="14.5">
      <c r="A140" s="20" t="s">
        <v>574</v>
      </c>
      <c r="B140" s="20">
        <v>32</v>
      </c>
      <c r="C140" s="20">
        <v>20</v>
      </c>
      <c r="D140" s="20">
        <v>22</v>
      </c>
      <c r="E140" s="24"/>
      <c r="F140" s="20" t="s">
        <v>575</v>
      </c>
      <c r="G140" t="str">
        <f ca="1">IFERROR(__xludf.DUMMYFUNCTION("UPPER(LEFT((GOOGLETRANSLATE(F140,""en"",""pt"")),1))&amp;RIGHT(lower((GOOGLETRANSLATE(F140,""en"",""pt""))),(LEN((GOOGLETRANSLATE(F140,""en"",""pt"")))-1))"),"Sítios arqueológicos designados")</f>
        <v>Sítios arqueológicos designados</v>
      </c>
      <c r="H140" s="35" t="s">
        <v>576</v>
      </c>
      <c r="I140" s="20" t="e">
        <f>VLOOKUP(A140,CO_Base_LNEC!$B$4:$G$271,6,FALSE)</f>
        <v>#N/A</v>
      </c>
      <c r="J140" s="35" t="s">
        <v>576</v>
      </c>
      <c r="K140" s="24"/>
      <c r="L140" s="30" t="s">
        <v>84</v>
      </c>
      <c r="M140" s="31" t="s">
        <v>84</v>
      </c>
      <c r="N140" s="31" t="s">
        <v>84</v>
      </c>
      <c r="O140" s="30" t="s">
        <v>84</v>
      </c>
      <c r="P140" s="33" t="s">
        <v>84</v>
      </c>
      <c r="Q140" s="33" t="s">
        <v>84</v>
      </c>
      <c r="R140" s="24"/>
      <c r="S140" s="24"/>
    </row>
    <row r="141" spans="1:19" ht="14.5">
      <c r="A141" s="20" t="s">
        <v>577</v>
      </c>
      <c r="B141" s="20">
        <v>32</v>
      </c>
      <c r="C141" s="20">
        <v>20</v>
      </c>
      <c r="D141" s="20">
        <v>23</v>
      </c>
      <c r="E141" s="24"/>
      <c r="F141" s="20" t="s">
        <v>578</v>
      </c>
      <c r="G141" t="str">
        <f ca="1">IFERROR(__xludf.DUMMYFUNCTION("UPPER(LEFT((GOOGLETRANSLATE(F141,""en"",""pt"")),1))&amp;RIGHT(lower((GOOGLETRANSLATE(F141,""en"",""pt""))),(LEN((GOOGLETRANSLATE(F141,""en"",""pt"")))-1))"),"Reservas designados natureza")</f>
        <v>Reservas designados natureza</v>
      </c>
      <c r="H141" s="35" t="s">
        <v>579</v>
      </c>
      <c r="I141" s="20" t="e">
        <f>VLOOKUP(A141,CO_Base_LNEC!$B$4:$G$271,6,FALSE)</f>
        <v>#N/A</v>
      </c>
      <c r="J141" s="35" t="s">
        <v>579</v>
      </c>
      <c r="K141" s="24"/>
      <c r="L141" s="30" t="s">
        <v>84</v>
      </c>
      <c r="M141" s="31" t="s">
        <v>84</v>
      </c>
      <c r="N141" s="31" t="s">
        <v>84</v>
      </c>
      <c r="O141" s="30" t="s">
        <v>84</v>
      </c>
      <c r="P141" s="33" t="s">
        <v>84</v>
      </c>
      <c r="Q141" s="33" t="s">
        <v>84</v>
      </c>
      <c r="R141" s="24"/>
      <c r="S141" s="24"/>
    </row>
    <row r="142" spans="1:19" ht="14.5">
      <c r="A142" s="20" t="s">
        <v>580</v>
      </c>
      <c r="B142" s="20">
        <v>32</v>
      </c>
      <c r="C142" s="20">
        <v>20</v>
      </c>
      <c r="D142" s="20">
        <v>57</v>
      </c>
      <c r="E142" s="24"/>
      <c r="F142" s="20" t="s">
        <v>581</v>
      </c>
      <c r="G142" t="str">
        <f ca="1">IFERROR(__xludf.DUMMYFUNCTION("UPPER(LEFT((GOOGLETRANSLATE(F142,""en"",""pt"")),1))&amp;RIGHT(lower((GOOGLETRANSLATE(F142,""en"",""pt""))),(LEN((GOOGLETRANSLATE(F142,""en"",""pt"")))-1))"),"Parques nacionais")</f>
        <v>Parques nacionais</v>
      </c>
      <c r="H142" s="36" t="s">
        <v>582</v>
      </c>
      <c r="I142" s="20" t="e">
        <f>VLOOKUP(A142,CO_Base_LNEC!$B$4:$G$271,6,FALSE)</f>
        <v>#N/A</v>
      </c>
      <c r="J142" s="36" t="s">
        <v>582</v>
      </c>
      <c r="K142" s="24"/>
      <c r="L142" s="30" t="s">
        <v>84</v>
      </c>
      <c r="M142" s="31" t="s">
        <v>84</v>
      </c>
      <c r="N142" s="31" t="s">
        <v>84</v>
      </c>
      <c r="O142" s="30" t="s">
        <v>84</v>
      </c>
      <c r="P142" s="33" t="s">
        <v>84</v>
      </c>
      <c r="Q142" s="33" t="s">
        <v>84</v>
      </c>
      <c r="R142" s="24"/>
      <c r="S142" s="24"/>
    </row>
    <row r="143" spans="1:19" ht="14.5">
      <c r="A143" s="20" t="s">
        <v>583</v>
      </c>
      <c r="B143" s="20">
        <v>32</v>
      </c>
      <c r="C143" s="20">
        <v>50</v>
      </c>
      <c r="D143" s="24"/>
      <c r="E143" s="24"/>
      <c r="F143" s="20" t="s">
        <v>584</v>
      </c>
      <c r="G143" t="str">
        <f ca="1">IFERROR(__xludf.DUMMYFUNCTION("UPPER(LEFT((GOOGLETRANSLATE(F143,""en"",""pt"")),1))&amp;RIGHT(lower((GOOGLETRANSLATE(F143,""en"",""pt""))),(LEN((GOOGLETRANSLATE(F143,""en"",""pt"")))-1))"),"Marinha maneiras e complexos de navegação")</f>
        <v>Marinha maneiras e complexos de navegação</v>
      </c>
      <c r="H143" s="35" t="s">
        <v>585</v>
      </c>
      <c r="I143" s="20" t="e">
        <f>VLOOKUP(A143,CO_Base_LNEC!$B$4:$G$271,6,FALSE)</f>
        <v>#N/A</v>
      </c>
      <c r="J143" s="35" t="s">
        <v>585</v>
      </c>
      <c r="K143" s="24"/>
      <c r="L143" s="30" t="s">
        <v>84</v>
      </c>
      <c r="M143" s="31" t="s">
        <v>84</v>
      </c>
      <c r="N143" s="31" t="s">
        <v>84</v>
      </c>
      <c r="O143" s="30" t="s">
        <v>84</v>
      </c>
      <c r="P143" s="33" t="s">
        <v>84</v>
      </c>
      <c r="Q143" s="33" t="s">
        <v>84</v>
      </c>
      <c r="R143" s="24"/>
      <c r="S143" s="24"/>
    </row>
    <row r="144" spans="1:19" ht="14.5">
      <c r="A144" s="20" t="s">
        <v>586</v>
      </c>
      <c r="B144" s="20">
        <v>32</v>
      </c>
      <c r="C144" s="20">
        <v>50</v>
      </c>
      <c r="D144" s="20">
        <v>11</v>
      </c>
      <c r="E144" s="24"/>
      <c r="F144" s="20" t="s">
        <v>587</v>
      </c>
      <c r="G144" t="str">
        <f ca="1">IFERROR(__xludf.DUMMYFUNCTION("UPPER(LEFT((GOOGLETRANSLATE(F144,""en"",""pt"")),1))&amp;RIGHT(lower((GOOGLETRANSLATE(F144,""en"",""pt""))),(LEN((GOOGLETRANSLATE(F144,""en"",""pt"")))-1))"),"Causeways")</f>
        <v>Causeways</v>
      </c>
      <c r="H144" s="35" t="s">
        <v>588</v>
      </c>
      <c r="I144" s="20" t="e">
        <f>VLOOKUP(A144,CO_Base_LNEC!$B$4:$G$271,6,FALSE)</f>
        <v>#N/A</v>
      </c>
      <c r="J144" s="35" t="s">
        <v>588</v>
      </c>
      <c r="K144" s="24"/>
      <c r="L144" s="30" t="s">
        <v>84</v>
      </c>
      <c r="M144" s="31" t="s">
        <v>84</v>
      </c>
      <c r="N144" s="31" t="s">
        <v>84</v>
      </c>
      <c r="O144" s="30" t="s">
        <v>84</v>
      </c>
      <c r="P144" s="33" t="s">
        <v>84</v>
      </c>
      <c r="Q144" s="33" t="s">
        <v>84</v>
      </c>
      <c r="R144" s="24"/>
      <c r="S144" s="24"/>
    </row>
    <row r="145" spans="1:19" ht="14.5">
      <c r="A145" s="20" t="s">
        <v>589</v>
      </c>
      <c r="B145" s="20">
        <v>32</v>
      </c>
      <c r="C145" s="20">
        <v>50</v>
      </c>
      <c r="D145" s="20">
        <v>48</v>
      </c>
      <c r="E145" s="24"/>
      <c r="F145" s="20" t="s">
        <v>590</v>
      </c>
      <c r="G145" t="str">
        <f ca="1">IFERROR(__xludf.DUMMYFUNCTION("UPPER(LEFT((GOOGLETRANSLATE(F145,""en"",""pt"")),1))&amp;RIGHT(lower((GOOGLETRANSLATE(F145,""en"",""pt""))),(LEN((GOOGLETRANSLATE(F145,""en"",""pt"")))-1))"),"Complexos farol")</f>
        <v>Complexos farol</v>
      </c>
      <c r="H145" s="35" t="s">
        <v>591</v>
      </c>
      <c r="I145" s="20" t="e">
        <f>VLOOKUP(A145,CO_Base_LNEC!$B$4:$G$271,6,FALSE)</f>
        <v>#N/A</v>
      </c>
      <c r="J145" s="35" t="s">
        <v>591</v>
      </c>
      <c r="K145" s="24"/>
      <c r="L145" s="30" t="s">
        <v>84</v>
      </c>
      <c r="M145" s="31" t="s">
        <v>84</v>
      </c>
      <c r="N145" s="31" t="s">
        <v>84</v>
      </c>
      <c r="O145" s="30" t="s">
        <v>84</v>
      </c>
      <c r="P145" s="33" t="s">
        <v>84</v>
      </c>
      <c r="Q145" s="33" t="s">
        <v>84</v>
      </c>
      <c r="R145" s="24"/>
      <c r="S145" s="24"/>
    </row>
    <row r="146" spans="1:19" ht="14.5">
      <c r="A146" s="20" t="s">
        <v>592</v>
      </c>
      <c r="B146" s="20">
        <v>32</v>
      </c>
      <c r="C146" s="20">
        <v>50</v>
      </c>
      <c r="D146" s="20">
        <v>94</v>
      </c>
      <c r="E146" s="24"/>
      <c r="F146" s="20" t="s">
        <v>593</v>
      </c>
      <c r="G146" t="str">
        <f ca="1">IFERROR(__xludf.DUMMYFUNCTION("UPPER(LEFT((GOOGLETRANSLATE(F146,""en"",""pt"")),1))&amp;RIGHT(lower((GOOGLETRANSLATE(F146,""en"",""pt""))),(LEN((GOOGLETRANSLATE(F146,""en"",""pt"")))-1))"),"Complexos veículo atracação")</f>
        <v>Complexos veículo atracação</v>
      </c>
      <c r="H146" s="35" t="s">
        <v>594</v>
      </c>
      <c r="I146" s="20" t="e">
        <f>VLOOKUP(A146,CO_Base_LNEC!$B$4:$G$271,6,FALSE)</f>
        <v>#N/A</v>
      </c>
      <c r="J146" s="35" t="s">
        <v>594</v>
      </c>
      <c r="K146" s="24"/>
      <c r="L146" s="30" t="s">
        <v>84</v>
      </c>
      <c r="M146" s="31" t="s">
        <v>84</v>
      </c>
      <c r="N146" s="31" t="s">
        <v>84</v>
      </c>
      <c r="O146" s="30" t="s">
        <v>84</v>
      </c>
      <c r="P146" s="33" t="s">
        <v>84</v>
      </c>
      <c r="Q146" s="33" t="s">
        <v>84</v>
      </c>
      <c r="R146" s="24"/>
      <c r="S146" s="24"/>
    </row>
    <row r="147" spans="1:19" ht="14.5">
      <c r="A147" s="20" t="s">
        <v>595</v>
      </c>
      <c r="B147" s="20">
        <v>32</v>
      </c>
      <c r="C147" s="20">
        <v>50</v>
      </c>
      <c r="D147" s="20">
        <v>95</v>
      </c>
      <c r="E147" s="24"/>
      <c r="F147" s="20" t="s">
        <v>596</v>
      </c>
      <c r="G147" t="str">
        <f ca="1">IFERROR(__xludf.DUMMYFUNCTION("UPPER(LEFT((GOOGLETRANSLATE(F147,""en"",""pt"")),1))&amp;RIGHT(lower((GOOGLETRANSLATE(F147,""en"",""pt""))),(LEN((GOOGLETRANSLATE(F147,""en"",""pt"")))-1))"),"Complexos navio de lançamento")</f>
        <v>Complexos navio de lançamento</v>
      </c>
      <c r="H147" s="35" t="s">
        <v>597</v>
      </c>
      <c r="I147" s="20" t="e">
        <f>VLOOKUP(A147,CO_Base_LNEC!$B$4:$G$271,6,FALSE)</f>
        <v>#N/A</v>
      </c>
      <c r="J147" s="35" t="s">
        <v>597</v>
      </c>
      <c r="K147" s="24"/>
      <c r="L147" s="30" t="s">
        <v>84</v>
      </c>
      <c r="M147" s="31" t="s">
        <v>84</v>
      </c>
      <c r="N147" s="31" t="s">
        <v>84</v>
      </c>
      <c r="O147" s="30" t="s">
        <v>84</v>
      </c>
      <c r="P147" s="33" t="s">
        <v>84</v>
      </c>
      <c r="Q147" s="33" t="s">
        <v>84</v>
      </c>
      <c r="R147" s="24"/>
      <c r="S147" s="24"/>
    </row>
    <row r="148" spans="1:19" ht="14.5">
      <c r="A148" s="20" t="s">
        <v>598</v>
      </c>
      <c r="B148" s="20">
        <v>32</v>
      </c>
      <c r="C148" s="20">
        <v>55</v>
      </c>
      <c r="D148" s="24"/>
      <c r="E148" s="24"/>
      <c r="F148" s="20" t="s">
        <v>599</v>
      </c>
      <c r="G148" t="str">
        <f ca="1">IFERROR(__xludf.DUMMYFUNCTION("UPPER(LEFT((GOOGLETRANSLATE(F148,""en"",""pt"")),1))&amp;RIGHT(lower((GOOGLETRANSLATE(F148,""en"",""pt""))),(LEN((GOOGLETRANSLATE(F148,""en"",""pt"")))-1))"),"Marinho e complexos de protecção das águas")</f>
        <v>Marinho e complexos de protecção das águas</v>
      </c>
      <c r="H148" s="35" t="s">
        <v>600</v>
      </c>
      <c r="I148" s="20" t="e">
        <f>VLOOKUP(A148,CO_Base_LNEC!$B$4:$G$271,6,FALSE)</f>
        <v>#N/A</v>
      </c>
      <c r="J148" s="35" t="s">
        <v>600</v>
      </c>
      <c r="K148" s="24"/>
      <c r="L148" s="30" t="s">
        <v>84</v>
      </c>
      <c r="M148" s="31" t="s">
        <v>84</v>
      </c>
      <c r="N148" s="31" t="s">
        <v>84</v>
      </c>
      <c r="O148" s="30" t="s">
        <v>84</v>
      </c>
      <c r="P148" s="33" t="s">
        <v>84</v>
      </c>
      <c r="Q148" s="33" t="s">
        <v>84</v>
      </c>
      <c r="R148" s="24"/>
      <c r="S148" s="24"/>
    </row>
    <row r="149" spans="1:19" ht="14.5">
      <c r="A149" s="20" t="s">
        <v>601</v>
      </c>
      <c r="B149" s="20">
        <v>32</v>
      </c>
      <c r="C149" s="20">
        <v>55</v>
      </c>
      <c r="D149" s="20">
        <v>20</v>
      </c>
      <c r="E149" s="24"/>
      <c r="F149" s="20" t="s">
        <v>602</v>
      </c>
      <c r="G149" t="str">
        <f ca="1">IFERROR(__xludf.DUMMYFUNCTION("UPPER(LEFT((GOOGLETRANSLATE(F149,""en"",""pt"")),1))&amp;RIGHT(lower((GOOGLETRANSLATE(F149,""en"",""pt""))),(LEN((GOOGLETRANSLATE(F149,""en"",""pt"")))-1))"),"Complexos de protecção costeira")</f>
        <v>Complexos de protecção costeira</v>
      </c>
      <c r="H149" s="36" t="s">
        <v>603</v>
      </c>
      <c r="I149" s="20" t="e">
        <f>VLOOKUP(A149,CO_Base_LNEC!$B$4:$G$271,6,FALSE)</f>
        <v>#N/A</v>
      </c>
      <c r="J149" s="36" t="s">
        <v>603</v>
      </c>
      <c r="K149" s="24"/>
      <c r="L149" s="30" t="s">
        <v>84</v>
      </c>
      <c r="M149" s="31" t="s">
        <v>84</v>
      </c>
      <c r="N149" s="31" t="s">
        <v>84</v>
      </c>
      <c r="O149" s="30" t="s">
        <v>84</v>
      </c>
      <c r="P149" s="33" t="s">
        <v>84</v>
      </c>
      <c r="Q149" s="33" t="s">
        <v>84</v>
      </c>
      <c r="R149" s="24"/>
      <c r="S149" s="24"/>
    </row>
    <row r="150" spans="1:19" ht="14.5">
      <c r="A150" s="20" t="s">
        <v>604</v>
      </c>
      <c r="B150" s="20">
        <v>32</v>
      </c>
      <c r="C150" s="20">
        <v>55</v>
      </c>
      <c r="D150" s="20">
        <v>27</v>
      </c>
      <c r="E150" s="24"/>
      <c r="F150" s="20" t="s">
        <v>605</v>
      </c>
      <c r="G150" t="str">
        <f ca="1">IFERROR(__xludf.DUMMYFUNCTION("UPPER(LEFT((GOOGLETRANSLATE(F150,""en"",""pt"")),1))&amp;RIGHT(lower((GOOGLETRANSLATE(F150,""en"",""pt""))),(LEN((GOOGLETRANSLATE(F150,""en"",""pt"")))-1))"),"Complexos de protecção contra a erosão")</f>
        <v>Complexos de protecção contra a erosão</v>
      </c>
      <c r="H150" s="36" t="s">
        <v>606</v>
      </c>
      <c r="I150" s="20" t="e">
        <f>VLOOKUP(A150,CO_Base_LNEC!$B$4:$G$271,6,FALSE)</f>
        <v>#N/A</v>
      </c>
      <c r="J150" s="36" t="s">
        <v>606</v>
      </c>
      <c r="K150" s="24"/>
      <c r="L150" s="30" t="s">
        <v>84</v>
      </c>
      <c r="M150" s="31" t="s">
        <v>84</v>
      </c>
      <c r="N150" s="31" t="s">
        <v>84</v>
      </c>
      <c r="O150" s="30" t="s">
        <v>84</v>
      </c>
      <c r="P150" s="33" t="s">
        <v>84</v>
      </c>
      <c r="Q150" s="33" t="s">
        <v>84</v>
      </c>
      <c r="R150" s="24"/>
      <c r="S150" s="24"/>
    </row>
    <row r="151" spans="1:19" ht="14.5">
      <c r="A151" s="20" t="s">
        <v>607</v>
      </c>
      <c r="B151" s="20">
        <v>32</v>
      </c>
      <c r="C151" s="20">
        <v>55</v>
      </c>
      <c r="D151" s="20">
        <v>30</v>
      </c>
      <c r="E151" s="24"/>
      <c r="F151" s="20" t="s">
        <v>608</v>
      </c>
      <c r="G151" t="str">
        <f ca="1">IFERROR(__xludf.DUMMYFUNCTION("UPPER(LEFT((GOOGLETRANSLATE(F151,""en"",""pt"")),1))&amp;RIGHT(lower((GOOGLETRANSLATE(F151,""en"",""pt""))),(LEN((GOOGLETRANSLATE(F151,""en"",""pt"")))-1))"),"Complexos de protecção contra inundações")</f>
        <v>Complexos de protecção contra inundações</v>
      </c>
      <c r="H151" s="36" t="s">
        <v>609</v>
      </c>
      <c r="I151" s="20" t="e">
        <f>VLOOKUP(A151,CO_Base_LNEC!$B$4:$G$271,6,FALSE)</f>
        <v>#N/A</v>
      </c>
      <c r="J151" s="36" t="s">
        <v>609</v>
      </c>
      <c r="K151" s="24"/>
      <c r="L151" s="30" t="s">
        <v>84</v>
      </c>
      <c r="M151" s="31" t="s">
        <v>84</v>
      </c>
      <c r="N151" s="31" t="s">
        <v>84</v>
      </c>
      <c r="O151" s="30" t="s">
        <v>84</v>
      </c>
      <c r="P151" s="33" t="s">
        <v>84</v>
      </c>
      <c r="Q151" s="33" t="s">
        <v>84</v>
      </c>
      <c r="R151" s="24"/>
      <c r="S151" s="24"/>
    </row>
    <row r="152" spans="1:19" ht="14.5">
      <c r="A152" s="20" t="s">
        <v>610</v>
      </c>
      <c r="B152" s="20">
        <v>32</v>
      </c>
      <c r="C152" s="20">
        <v>65</v>
      </c>
      <c r="D152" s="24"/>
      <c r="E152" s="24"/>
      <c r="F152" s="20" t="s">
        <v>611</v>
      </c>
      <c r="G152" t="str">
        <f ca="1">IFERROR(__xludf.DUMMYFUNCTION("UPPER(LEFT((GOOGLETRANSLATE(F152,""en"",""pt"")),1))&amp;RIGHT(lower((GOOGLETRANSLATE(F152,""en"",""pt""))),(LEN((GOOGLETRANSLATE(F152,""en"",""pt"")))-1))"),"Áreas naturais")</f>
        <v>Áreas naturais</v>
      </c>
      <c r="H152" s="36" t="s">
        <v>612</v>
      </c>
      <c r="I152" s="20" t="e">
        <f>VLOOKUP(A152,CO_Base_LNEC!$B$4:$G$271,6,FALSE)</f>
        <v>#N/A</v>
      </c>
      <c r="J152" s="36" t="s">
        <v>612</v>
      </c>
      <c r="K152" s="24"/>
      <c r="L152" s="30" t="s">
        <v>84</v>
      </c>
      <c r="M152" s="31" t="s">
        <v>84</v>
      </c>
      <c r="N152" s="31" t="s">
        <v>84</v>
      </c>
      <c r="O152" s="30" t="s">
        <v>84</v>
      </c>
      <c r="P152" s="33" t="s">
        <v>84</v>
      </c>
      <c r="Q152" s="33" t="s">
        <v>84</v>
      </c>
      <c r="R152" s="24"/>
      <c r="S152" s="24"/>
    </row>
    <row r="153" spans="1:19" ht="14.5">
      <c r="A153" s="20" t="s">
        <v>613</v>
      </c>
      <c r="B153" s="20">
        <v>32</v>
      </c>
      <c r="C153" s="20">
        <v>65</v>
      </c>
      <c r="D153" s="20">
        <v>4</v>
      </c>
      <c r="E153" s="24"/>
      <c r="F153" s="20" t="s">
        <v>614</v>
      </c>
      <c r="G153" t="str">
        <f ca="1">IFERROR(__xludf.DUMMYFUNCTION("UPPER(LEFT((GOOGLETRANSLATE(F153,""en"",""pt"")),1))&amp;RIGHT(lower((GOOGLETRANSLATE(F153,""en"",""pt""))),(LEN((GOOGLETRANSLATE(F153,""en"",""pt"")))-1))"),"Aquíferos")</f>
        <v>Aquíferos</v>
      </c>
      <c r="H153" s="36" t="s">
        <v>615</v>
      </c>
      <c r="I153" s="20" t="e">
        <f>VLOOKUP(A153,CO_Base_LNEC!$B$4:$G$271,6,FALSE)</f>
        <v>#N/A</v>
      </c>
      <c r="J153" s="36" t="s">
        <v>615</v>
      </c>
      <c r="K153" s="24"/>
      <c r="L153" s="30" t="s">
        <v>84</v>
      </c>
      <c r="M153" s="31" t="s">
        <v>84</v>
      </c>
      <c r="N153" s="31" t="s">
        <v>84</v>
      </c>
      <c r="O153" s="30" t="s">
        <v>84</v>
      </c>
      <c r="P153" s="33" t="s">
        <v>84</v>
      </c>
      <c r="Q153" s="33" t="s">
        <v>84</v>
      </c>
      <c r="R153" s="24"/>
      <c r="S153" s="24"/>
    </row>
    <row r="154" spans="1:19" ht="14.5">
      <c r="A154" s="20" t="s">
        <v>616</v>
      </c>
      <c r="B154" s="20">
        <v>32</v>
      </c>
      <c r="C154" s="20">
        <v>65</v>
      </c>
      <c r="D154" s="20">
        <v>15</v>
      </c>
      <c r="E154" s="24"/>
      <c r="F154" s="20" t="s">
        <v>617</v>
      </c>
      <c r="G154" t="str">
        <f ca="1">IFERROR(__xludf.DUMMYFUNCTION("UPPER(LEFT((GOOGLETRANSLATE(F154,""en"",""pt"")),1))&amp;RIGHT(lower((GOOGLETRANSLATE(F154,""en"",""pt""))),(LEN((GOOGLETRANSLATE(F154,""en"",""pt"")))-1))"),"Cliffs")</f>
        <v>Cliffs</v>
      </c>
      <c r="H154" s="35" t="s">
        <v>618</v>
      </c>
      <c r="I154" s="20" t="e">
        <f>VLOOKUP(A154,CO_Base_LNEC!$B$4:$G$271,6,FALSE)</f>
        <v>#N/A</v>
      </c>
      <c r="J154" s="35" t="s">
        <v>618</v>
      </c>
      <c r="K154" s="24"/>
      <c r="L154" s="30" t="s">
        <v>84</v>
      </c>
      <c r="M154" s="31" t="s">
        <v>84</v>
      </c>
      <c r="N154" s="31" t="s">
        <v>84</v>
      </c>
      <c r="O154" s="30" t="s">
        <v>84</v>
      </c>
      <c r="P154" s="33" t="s">
        <v>84</v>
      </c>
      <c r="Q154" s="33" t="s">
        <v>84</v>
      </c>
      <c r="R154" s="24"/>
      <c r="S154" s="24"/>
    </row>
    <row r="155" spans="1:19" ht="14.5">
      <c r="A155" s="20" t="s">
        <v>619</v>
      </c>
      <c r="B155" s="20">
        <v>32</v>
      </c>
      <c r="C155" s="20">
        <v>65</v>
      </c>
      <c r="D155" s="20">
        <v>16</v>
      </c>
      <c r="E155" s="24"/>
      <c r="F155" s="20" t="s">
        <v>620</v>
      </c>
      <c r="G155" t="str">
        <f ca="1">IFERROR(__xludf.DUMMYFUNCTION("UPPER(LEFT((GOOGLETRANSLATE(F155,""en"",""pt"")),1))&amp;RIGHT(lower((GOOGLETRANSLATE(F155,""en"",""pt""))),(LEN((GOOGLETRANSLATE(F155,""en"",""pt"")))-1))"),"As zonas costeiras")</f>
        <v>As zonas costeiras</v>
      </c>
      <c r="H155" s="35" t="s">
        <v>621</v>
      </c>
      <c r="I155" s="20" t="e">
        <f>VLOOKUP(A155,CO_Base_LNEC!$B$4:$G$271,6,FALSE)</f>
        <v>#N/A</v>
      </c>
      <c r="J155" s="35" t="s">
        <v>621</v>
      </c>
      <c r="K155" s="24"/>
      <c r="L155" s="30" t="s">
        <v>84</v>
      </c>
      <c r="M155" s="31" t="s">
        <v>84</v>
      </c>
      <c r="N155" s="31" t="s">
        <v>84</v>
      </c>
      <c r="O155" s="30" t="s">
        <v>84</v>
      </c>
      <c r="P155" s="33" t="s">
        <v>84</v>
      </c>
      <c r="Q155" s="33" t="s">
        <v>84</v>
      </c>
      <c r="R155" s="24"/>
      <c r="S155" s="24"/>
    </row>
    <row r="156" spans="1:19" ht="14.5">
      <c r="A156" s="20" t="s">
        <v>622</v>
      </c>
      <c r="B156" s="20">
        <v>32</v>
      </c>
      <c r="C156" s="20">
        <v>65</v>
      </c>
      <c r="D156" s="20">
        <v>22</v>
      </c>
      <c r="E156" s="24"/>
      <c r="F156" s="20" t="s">
        <v>623</v>
      </c>
      <c r="G156" t="str">
        <f ca="1">IFERROR(__xludf.DUMMYFUNCTION("UPPER(LEFT((GOOGLETRANSLATE(F156,""en"",""pt"")),1))&amp;RIGHT(lower((GOOGLETRANSLATE(F156,""en"",""pt""))),(LEN((GOOGLETRANSLATE(F156,""en"",""pt"")))-1))"),"Desertos")</f>
        <v>Desertos</v>
      </c>
      <c r="H156" s="36" t="s">
        <v>624</v>
      </c>
      <c r="I156" s="20" t="e">
        <f>VLOOKUP(A156,CO_Base_LNEC!$B$4:$G$271,6,FALSE)</f>
        <v>#N/A</v>
      </c>
      <c r="J156" s="36" t="s">
        <v>624</v>
      </c>
      <c r="K156" s="24"/>
      <c r="L156" s="30" t="s">
        <v>84</v>
      </c>
      <c r="M156" s="31" t="s">
        <v>84</v>
      </c>
      <c r="N156" s="31" t="s">
        <v>84</v>
      </c>
      <c r="O156" s="30" t="s">
        <v>84</v>
      </c>
      <c r="P156" s="33" t="s">
        <v>84</v>
      </c>
      <c r="Q156" s="33" t="s">
        <v>84</v>
      </c>
      <c r="R156" s="24"/>
      <c r="S156" s="24"/>
    </row>
    <row r="157" spans="1:19" ht="14.5">
      <c r="A157" s="20" t="s">
        <v>625</v>
      </c>
      <c r="B157" s="20">
        <v>32</v>
      </c>
      <c r="C157" s="20">
        <v>65</v>
      </c>
      <c r="D157" s="20">
        <v>27</v>
      </c>
      <c r="E157" s="24"/>
      <c r="F157" s="20" t="s">
        <v>626</v>
      </c>
      <c r="G157" t="str">
        <f ca="1">IFERROR(__xludf.DUMMYFUNCTION("UPPER(LEFT((GOOGLETRANSLATE(F157,""en"",""pt"")),1))&amp;RIGHT(lower((GOOGLETRANSLATE(F157,""en"",""pt""))),(LEN((GOOGLETRANSLATE(F157,""en"",""pt"")))-1))"),"Estuários")</f>
        <v>Estuários</v>
      </c>
      <c r="H157" s="36" t="s">
        <v>627</v>
      </c>
      <c r="I157" s="20" t="e">
        <f>VLOOKUP(A157,CO_Base_LNEC!$B$4:$G$271,6,FALSE)</f>
        <v>#N/A</v>
      </c>
      <c r="J157" s="36" t="s">
        <v>627</v>
      </c>
      <c r="K157" s="24"/>
      <c r="L157" s="30" t="s">
        <v>84</v>
      </c>
      <c r="M157" s="31" t="s">
        <v>84</v>
      </c>
      <c r="N157" s="31" t="s">
        <v>84</v>
      </c>
      <c r="O157" s="30" t="s">
        <v>84</v>
      </c>
      <c r="P157" s="33" t="s">
        <v>84</v>
      </c>
      <c r="Q157" s="33" t="s">
        <v>84</v>
      </c>
      <c r="R157" s="24"/>
      <c r="S157" s="24"/>
    </row>
    <row r="158" spans="1:19" ht="14.5">
      <c r="A158" s="20" t="s">
        <v>628</v>
      </c>
      <c r="B158" s="20">
        <v>32</v>
      </c>
      <c r="C158" s="20">
        <v>65</v>
      </c>
      <c r="D158" s="20">
        <v>30</v>
      </c>
      <c r="E158" s="24"/>
      <c r="F158" s="20" t="s">
        <v>629</v>
      </c>
      <c r="G158" t="str">
        <f ca="1">IFERROR(__xludf.DUMMYFUNCTION("UPPER(LEFT((GOOGLETRANSLATE(F158,""en"",""pt"")),1))&amp;RIGHT(lower((GOOGLETRANSLATE(F158,""en"",""pt""))),(LEN((GOOGLETRANSLATE(F158,""en"",""pt"")))-1))"),"Florestas")</f>
        <v>Florestas</v>
      </c>
      <c r="H158" s="36" t="s">
        <v>630</v>
      </c>
      <c r="I158" s="20" t="e">
        <f>VLOOKUP(A158,CO_Base_LNEC!$B$4:$G$271,6,FALSE)</f>
        <v>#N/A</v>
      </c>
      <c r="J158" s="36" t="s">
        <v>630</v>
      </c>
      <c r="K158" s="24"/>
      <c r="L158" s="30" t="s">
        <v>84</v>
      </c>
      <c r="M158" s="31" t="s">
        <v>84</v>
      </c>
      <c r="N158" s="31" t="s">
        <v>84</v>
      </c>
      <c r="O158" s="30" t="s">
        <v>84</v>
      </c>
      <c r="P158" s="33" t="s">
        <v>84</v>
      </c>
      <c r="Q158" s="33" t="s">
        <v>84</v>
      </c>
      <c r="R158" s="24"/>
      <c r="S158" s="24"/>
    </row>
    <row r="159" spans="1:19" ht="14.5">
      <c r="A159" s="20" t="s">
        <v>631</v>
      </c>
      <c r="B159" s="20">
        <v>32</v>
      </c>
      <c r="C159" s="20">
        <v>65</v>
      </c>
      <c r="D159" s="20">
        <v>38</v>
      </c>
      <c r="E159" s="24"/>
      <c r="F159" s="20" t="s">
        <v>632</v>
      </c>
      <c r="G159" t="str">
        <f ca="1">IFERROR(__xludf.DUMMYFUNCTION("UPPER(LEFT((GOOGLETRANSLATE(F159,""en"",""pt"")),1))&amp;RIGHT(lower((GOOGLETRANSLATE(F159,""en"",""pt""))),(LEN((GOOGLETRANSLATE(F159,""en"",""pt"")))-1))"),"Hills")</f>
        <v>Hills</v>
      </c>
      <c r="H159" s="35" t="s">
        <v>633</v>
      </c>
      <c r="I159" s="20" t="e">
        <f>VLOOKUP(A159,CO_Base_LNEC!$B$4:$G$271,6,FALSE)</f>
        <v>#N/A</v>
      </c>
      <c r="J159" s="35" t="s">
        <v>633</v>
      </c>
      <c r="K159" s="24"/>
      <c r="L159" s="30" t="s">
        <v>84</v>
      </c>
      <c r="M159" s="31" t="s">
        <v>84</v>
      </c>
      <c r="N159" s="31" t="s">
        <v>84</v>
      </c>
      <c r="O159" s="30" t="s">
        <v>84</v>
      </c>
      <c r="P159" s="33" t="s">
        <v>84</v>
      </c>
      <c r="Q159" s="33" t="s">
        <v>84</v>
      </c>
      <c r="R159" s="24"/>
      <c r="S159" s="24"/>
    </row>
    <row r="160" spans="1:19" ht="14.5">
      <c r="A160" s="20" t="s">
        <v>634</v>
      </c>
      <c r="B160" s="20">
        <v>32</v>
      </c>
      <c r="C160" s="20">
        <v>65</v>
      </c>
      <c r="D160" s="20">
        <v>46</v>
      </c>
      <c r="E160" s="24"/>
      <c r="F160" s="20" t="s">
        <v>635</v>
      </c>
      <c r="G160" t="str">
        <f ca="1">IFERROR(__xludf.DUMMYFUNCTION("UPPER(LEFT((GOOGLETRANSLATE(F160,""en"",""pt"")),1))&amp;RIGHT(lower((GOOGLETRANSLATE(F160,""en"",""pt""))),(LEN((GOOGLETRANSLATE(F160,""en"",""pt"")))-1))"),"Lagos")</f>
        <v>Lagos</v>
      </c>
      <c r="H160" s="36" t="s">
        <v>636</v>
      </c>
      <c r="I160" s="20" t="e">
        <f>VLOOKUP(A160,CO_Base_LNEC!$B$4:$G$271,6,FALSE)</f>
        <v>#N/A</v>
      </c>
      <c r="J160" s="36" t="s">
        <v>636</v>
      </c>
      <c r="K160" s="24"/>
      <c r="L160" s="30" t="s">
        <v>84</v>
      </c>
      <c r="M160" s="31" t="s">
        <v>84</v>
      </c>
      <c r="N160" s="31" t="s">
        <v>84</v>
      </c>
      <c r="O160" s="30" t="s">
        <v>84</v>
      </c>
      <c r="P160" s="33" t="s">
        <v>84</v>
      </c>
      <c r="Q160" s="33" t="s">
        <v>84</v>
      </c>
      <c r="R160" s="24"/>
      <c r="S160" s="24"/>
    </row>
    <row r="161" spans="1:19" ht="14.5">
      <c r="A161" s="20" t="s">
        <v>637</v>
      </c>
      <c r="B161" s="20">
        <v>32</v>
      </c>
      <c r="C161" s="20">
        <v>65</v>
      </c>
      <c r="D161" s="20">
        <v>54</v>
      </c>
      <c r="E161" s="24"/>
      <c r="F161" s="20" t="s">
        <v>638</v>
      </c>
      <c r="G161" t="str">
        <f ca="1">IFERROR(__xludf.DUMMYFUNCTION("UPPER(LEFT((GOOGLETRANSLATE(F161,""en"",""pt"")),1))&amp;RIGHT(lower((GOOGLETRANSLATE(F161,""en"",""pt""))),(LEN((GOOGLETRANSLATE(F161,""en"",""pt"")))-1))"),"Montanhas")</f>
        <v>Montanhas</v>
      </c>
      <c r="H161" s="36" t="s">
        <v>639</v>
      </c>
      <c r="I161" s="20" t="e">
        <f>VLOOKUP(A161,CO_Base_LNEC!$B$4:$G$271,6,FALSE)</f>
        <v>#N/A</v>
      </c>
      <c r="J161" s="36" t="s">
        <v>639</v>
      </c>
      <c r="K161" s="24"/>
      <c r="L161" s="30" t="s">
        <v>84</v>
      </c>
      <c r="M161" s="31" t="s">
        <v>84</v>
      </c>
      <c r="N161" s="31" t="s">
        <v>84</v>
      </c>
      <c r="O161" s="30" t="s">
        <v>84</v>
      </c>
      <c r="P161" s="33" t="s">
        <v>84</v>
      </c>
      <c r="Q161" s="33" t="s">
        <v>84</v>
      </c>
      <c r="R161" s="24"/>
      <c r="S161" s="24"/>
    </row>
    <row r="162" spans="1:19" ht="14.5">
      <c r="A162" s="20" t="s">
        <v>640</v>
      </c>
      <c r="B162" s="20">
        <v>32</v>
      </c>
      <c r="C162" s="20">
        <v>65</v>
      </c>
      <c r="D162" s="20">
        <v>64</v>
      </c>
      <c r="E162" s="24"/>
      <c r="F162" s="20" t="s">
        <v>641</v>
      </c>
      <c r="G162" t="str">
        <f ca="1">IFERROR(__xludf.DUMMYFUNCTION("UPPER(LEFT((GOOGLETRANSLATE(F162,""en"",""pt"")),1))&amp;RIGHT(lower((GOOGLETRANSLATE(F162,""en"",""pt""))),(LEN((GOOGLETRANSLATE(F162,""en"",""pt"")))-1))"),"Ponds")</f>
        <v>Ponds</v>
      </c>
      <c r="H162" s="35" t="s">
        <v>642</v>
      </c>
      <c r="I162" s="20" t="e">
        <f>VLOOKUP(A162,CO_Base_LNEC!$B$4:$G$271,6,FALSE)</f>
        <v>#N/A</v>
      </c>
      <c r="J162" s="35" t="s">
        <v>642</v>
      </c>
      <c r="K162" s="24"/>
      <c r="L162" s="30" t="s">
        <v>84</v>
      </c>
      <c r="M162" s="31" t="s">
        <v>84</v>
      </c>
      <c r="N162" s="31" t="s">
        <v>84</v>
      </c>
      <c r="O162" s="30" t="s">
        <v>84</v>
      </c>
      <c r="P162" s="33" t="s">
        <v>84</v>
      </c>
      <c r="Q162" s="33" t="s">
        <v>84</v>
      </c>
      <c r="R162" s="24"/>
      <c r="S162" s="24"/>
    </row>
    <row r="163" spans="1:19" ht="14.5">
      <c r="A163" s="20" t="s">
        <v>643</v>
      </c>
      <c r="B163" s="20">
        <v>32</v>
      </c>
      <c r="C163" s="20">
        <v>65</v>
      </c>
      <c r="D163" s="20">
        <v>72</v>
      </c>
      <c r="E163" s="24"/>
      <c r="F163" s="20" t="s">
        <v>644</v>
      </c>
      <c r="G163" t="str">
        <f ca="1">IFERROR(__xludf.DUMMYFUNCTION("UPPER(LEFT((GOOGLETRANSLATE(F163,""en"",""pt"")),1))&amp;RIGHT(lower((GOOGLETRANSLATE(F163,""en"",""pt""))),(LEN((GOOGLETRANSLATE(F163,""en"",""pt"")))-1))"),"Rios")</f>
        <v>Rios</v>
      </c>
      <c r="H163" s="36" t="s">
        <v>645</v>
      </c>
      <c r="I163" s="20" t="e">
        <f>VLOOKUP(A163,CO_Base_LNEC!$B$4:$G$271,6,FALSE)</f>
        <v>#N/A</v>
      </c>
      <c r="J163" s="36" t="s">
        <v>645</v>
      </c>
      <c r="K163" s="24"/>
      <c r="L163" s="30" t="s">
        <v>84</v>
      </c>
      <c r="M163" s="31" t="s">
        <v>84</v>
      </c>
      <c r="N163" s="31" t="s">
        <v>84</v>
      </c>
      <c r="O163" s="30" t="s">
        <v>84</v>
      </c>
      <c r="P163" s="33" t="s">
        <v>84</v>
      </c>
      <c r="Q163" s="33" t="s">
        <v>84</v>
      </c>
      <c r="R163" s="24"/>
      <c r="S163" s="24"/>
    </row>
    <row r="164" spans="1:19" ht="14.5">
      <c r="A164" s="20" t="s">
        <v>646</v>
      </c>
      <c r="B164" s="20">
        <v>32</v>
      </c>
      <c r="C164" s="20">
        <v>65</v>
      </c>
      <c r="D164" s="20">
        <v>75</v>
      </c>
      <c r="E164" s="24"/>
      <c r="F164" s="20" t="s">
        <v>647</v>
      </c>
      <c r="G164" t="str">
        <f ca="1">IFERROR(__xludf.DUMMYFUNCTION("UPPER(LEFT((GOOGLETRANSLATE(F164,""en"",""pt"")),1))&amp;RIGHT(lower((GOOGLETRANSLATE(F164,""en"",""pt""))),(LEN((GOOGLETRANSLATE(F164,""en"",""pt"")))-1))"),"Saltmarshes")</f>
        <v>Saltmarshes</v>
      </c>
      <c r="H164" s="35" t="s">
        <v>648</v>
      </c>
      <c r="I164" s="20" t="e">
        <f>VLOOKUP(A164,CO_Base_LNEC!$B$4:$G$271,6,FALSE)</f>
        <v>#N/A</v>
      </c>
      <c r="J164" s="20" t="s">
        <v>649</v>
      </c>
      <c r="K164" s="20"/>
      <c r="L164" s="30" t="s">
        <v>84</v>
      </c>
      <c r="M164" s="31" t="s">
        <v>84</v>
      </c>
      <c r="N164" s="31" t="s">
        <v>84</v>
      </c>
      <c r="O164" s="30" t="s">
        <v>84</v>
      </c>
      <c r="P164" s="33" t="s">
        <v>84</v>
      </c>
      <c r="Q164" s="33" t="s">
        <v>84</v>
      </c>
      <c r="R164" s="24"/>
      <c r="S164" s="24"/>
    </row>
    <row r="165" spans="1:19" ht="14.5">
      <c r="A165" s="20" t="s">
        <v>650</v>
      </c>
      <c r="B165" s="20">
        <v>32</v>
      </c>
      <c r="C165" s="20">
        <v>65</v>
      </c>
      <c r="D165" s="20">
        <v>79</v>
      </c>
      <c r="E165" s="24"/>
      <c r="F165" s="20" t="s">
        <v>651</v>
      </c>
      <c r="G165" t="str">
        <f ca="1">IFERROR(__xludf.DUMMYFUNCTION("UPPER(LEFT((GOOGLETRANSLATE(F165,""en"",""pt"")),1))&amp;RIGHT(lower((GOOGLETRANSLATE(F165,""en"",""pt""))),(LEN((GOOGLETRANSLATE(F165,""en"",""pt"")))-1))"),"Zonas húmidas sazonais")</f>
        <v>Zonas húmidas sazonais</v>
      </c>
      <c r="H165" s="36" t="s">
        <v>652</v>
      </c>
      <c r="I165" s="20" t="e">
        <f>VLOOKUP(A165,CO_Base_LNEC!$B$4:$G$271,6,FALSE)</f>
        <v>#N/A</v>
      </c>
      <c r="J165" s="36" t="s">
        <v>652</v>
      </c>
      <c r="K165" s="24"/>
      <c r="L165" s="30" t="s">
        <v>84</v>
      </c>
      <c r="M165" s="31" t="s">
        <v>84</v>
      </c>
      <c r="N165" s="31" t="s">
        <v>84</v>
      </c>
      <c r="O165" s="30" t="s">
        <v>84</v>
      </c>
      <c r="P165" s="33" t="s">
        <v>84</v>
      </c>
      <c r="Q165" s="33" t="s">
        <v>84</v>
      </c>
      <c r="R165" s="24"/>
      <c r="S165" s="24"/>
    </row>
    <row r="166" spans="1:19" ht="14.5">
      <c r="A166" s="20" t="s">
        <v>653</v>
      </c>
      <c r="B166" s="20">
        <v>32</v>
      </c>
      <c r="C166" s="20">
        <v>65</v>
      </c>
      <c r="D166" s="20">
        <v>82</v>
      </c>
      <c r="E166" s="24"/>
      <c r="F166" s="20" t="s">
        <v>654</v>
      </c>
      <c r="G166" t="str">
        <f ca="1">IFERROR(__xludf.DUMMYFUNCTION("UPPER(LEFT((GOOGLETRANSLATE(F166,""en"",""pt"")),1))&amp;RIGHT(lower((GOOGLETRANSLATE(F166,""en"",""pt""))),(LEN((GOOGLETRANSLATE(F166,""en"",""pt"")))-1))"),"Molas")</f>
        <v>Molas</v>
      </c>
      <c r="H166" s="35" t="s">
        <v>655</v>
      </c>
      <c r="I166" s="20" t="e">
        <f>VLOOKUP(A166,CO_Base_LNEC!$B$4:$G$271,6,FALSE)</f>
        <v>#N/A</v>
      </c>
      <c r="J166" s="35" t="s">
        <v>655</v>
      </c>
      <c r="K166" s="24"/>
      <c r="L166" s="30" t="s">
        <v>84</v>
      </c>
      <c r="M166" s="31" t="s">
        <v>84</v>
      </c>
      <c r="N166" s="31" t="s">
        <v>84</v>
      </c>
      <c r="O166" s="30" t="s">
        <v>84</v>
      </c>
      <c r="P166" s="33" t="s">
        <v>84</v>
      </c>
      <c r="Q166" s="33" t="s">
        <v>84</v>
      </c>
      <c r="R166" s="24"/>
      <c r="S166" s="24"/>
    </row>
    <row r="167" spans="1:19" ht="14.5">
      <c r="A167" s="20" t="s">
        <v>656</v>
      </c>
      <c r="B167" s="20">
        <v>32</v>
      </c>
      <c r="C167" s="20">
        <v>65</v>
      </c>
      <c r="D167" s="20">
        <v>85</v>
      </c>
      <c r="E167" s="24"/>
      <c r="F167" s="20" t="s">
        <v>657</v>
      </c>
      <c r="G167" t="str">
        <f ca="1">IFERROR(__xludf.DUMMYFUNCTION("UPPER(LEFT((GOOGLETRANSLATE(F167,""en"",""pt"")),1))&amp;RIGHT(lower((GOOGLETRANSLATE(F167,""en"",""pt""))),(LEN((GOOGLETRANSLATE(F167,""en"",""pt"")))-1))"),"Córregos, riachos e queimaduras")</f>
        <v>Córregos, riachos e queimaduras</v>
      </c>
      <c r="H167" s="35" t="s">
        <v>658</v>
      </c>
      <c r="I167" s="20" t="e">
        <f>VLOOKUP(A167,CO_Base_LNEC!$B$4:$G$271,6,FALSE)</f>
        <v>#N/A</v>
      </c>
      <c r="J167" s="35" t="s">
        <v>658</v>
      </c>
      <c r="K167" s="24"/>
      <c r="L167" s="30" t="s">
        <v>84</v>
      </c>
      <c r="M167" s="31" t="s">
        <v>84</v>
      </c>
      <c r="N167" s="31" t="s">
        <v>84</v>
      </c>
      <c r="O167" s="30" t="s">
        <v>84</v>
      </c>
      <c r="P167" s="33" t="s">
        <v>84</v>
      </c>
      <c r="Q167" s="33" t="s">
        <v>84</v>
      </c>
      <c r="R167" s="24"/>
      <c r="S167" s="24"/>
    </row>
    <row r="168" spans="1:19" ht="14.5">
      <c r="A168" s="20" t="s">
        <v>659</v>
      </c>
      <c r="B168" s="20">
        <v>32</v>
      </c>
      <c r="C168" s="20">
        <v>65</v>
      </c>
      <c r="D168" s="20">
        <v>96</v>
      </c>
      <c r="E168" s="24"/>
      <c r="F168" s="20" t="s">
        <v>660</v>
      </c>
      <c r="G168" t="str">
        <f ca="1">IFERROR(__xludf.DUMMYFUNCTION("UPPER(LEFT((GOOGLETRANSLATE(F168,""en"",""pt"")),1))&amp;RIGHT(lower((GOOGLETRANSLATE(F168,""en"",""pt""))),(LEN((GOOGLETRANSLATE(F168,""en"",""pt"")))-1))"),"Woodlands")</f>
        <v>Woodlands</v>
      </c>
      <c r="H168" s="35" t="s">
        <v>661</v>
      </c>
      <c r="I168" s="20" t="e">
        <f>VLOOKUP(A168,CO_Base_LNEC!$B$4:$G$271,6,FALSE)</f>
        <v>#N/A</v>
      </c>
      <c r="J168" s="35" t="s">
        <v>661</v>
      </c>
      <c r="K168" s="24"/>
      <c r="L168" s="30" t="s">
        <v>84</v>
      </c>
      <c r="M168" s="31" t="s">
        <v>84</v>
      </c>
      <c r="N168" s="31" t="s">
        <v>84</v>
      </c>
      <c r="O168" s="30" t="s">
        <v>84</v>
      </c>
      <c r="P168" s="33" t="s">
        <v>84</v>
      </c>
      <c r="Q168" s="33" t="s">
        <v>84</v>
      </c>
      <c r="R168" s="24"/>
      <c r="S168" s="24"/>
    </row>
    <row r="169" spans="1:19" ht="14.5">
      <c r="A169" s="20" t="s">
        <v>662</v>
      </c>
      <c r="B169" s="20">
        <v>32</v>
      </c>
      <c r="C169" s="20">
        <v>85</v>
      </c>
      <c r="D169" s="24"/>
      <c r="E169" s="24"/>
      <c r="F169" s="20" t="s">
        <v>663</v>
      </c>
      <c r="G169" t="str">
        <f ca="1">IFERROR(__xludf.DUMMYFUNCTION("UPPER(LEFT((GOOGLETRANSLATE(F169,""en"",""pt"")),1))&amp;RIGHT(lower((GOOGLETRANSLATE(F169,""en"",""pt""))),(LEN((GOOGLETRANSLATE(F169,""en"",""pt"")))-1))"),"Controlo de água e complexos de retenção")</f>
        <v>Controlo de água e complexos de retenção</v>
      </c>
      <c r="H169" s="35" t="s">
        <v>664</v>
      </c>
      <c r="I169" s="20" t="e">
        <f>VLOOKUP(A169,CO_Base_LNEC!$B$4:$G$271,6,FALSE)</f>
        <v>#N/A</v>
      </c>
      <c r="J169" s="35" t="s">
        <v>664</v>
      </c>
      <c r="K169" s="24"/>
      <c r="L169" s="30" t="s">
        <v>84</v>
      </c>
      <c r="M169" s="31" t="s">
        <v>84</v>
      </c>
      <c r="N169" s="31" t="s">
        <v>84</v>
      </c>
      <c r="O169" s="30" t="s">
        <v>84</v>
      </c>
      <c r="P169" s="33" t="s">
        <v>84</v>
      </c>
      <c r="Q169" s="33" t="s">
        <v>84</v>
      </c>
      <c r="R169" s="24"/>
      <c r="S169" s="24"/>
    </row>
    <row r="170" spans="1:19" ht="14.5">
      <c r="A170" s="20" t="s">
        <v>665</v>
      </c>
      <c r="B170" s="20">
        <v>32</v>
      </c>
      <c r="C170" s="20">
        <v>85</v>
      </c>
      <c r="D170" s="20">
        <v>50</v>
      </c>
      <c r="E170" s="24"/>
      <c r="F170" s="20" t="s">
        <v>666</v>
      </c>
      <c r="G170" t="str">
        <f ca="1">IFERROR(__xludf.DUMMYFUNCTION("UPPER(LEFT((GOOGLETRANSLATE(F170,""en"",""pt"")),1))&amp;RIGHT(lower((GOOGLETRANSLATE(F170,""en"",""pt""))),(LEN((GOOGLETRANSLATE(F170,""en"",""pt"")))-1))"),"Complexos de bloqueio")</f>
        <v>Complexos de bloqueio</v>
      </c>
      <c r="H170" s="35" t="s">
        <v>667</v>
      </c>
      <c r="I170" s="20" t="e">
        <f>VLOOKUP(A170,CO_Base_LNEC!$B$4:$G$271,6,FALSE)</f>
        <v>#N/A</v>
      </c>
      <c r="J170" s="35" t="s">
        <v>667</v>
      </c>
      <c r="K170" s="24"/>
      <c r="L170" s="30" t="s">
        <v>84</v>
      </c>
      <c r="M170" s="31" t="s">
        <v>84</v>
      </c>
      <c r="N170" s="31" t="s">
        <v>84</v>
      </c>
      <c r="O170" s="30" t="s">
        <v>84</v>
      </c>
      <c r="P170" s="33" t="s">
        <v>84</v>
      </c>
      <c r="Q170" s="33" t="s">
        <v>84</v>
      </c>
      <c r="R170" s="24"/>
      <c r="S170" s="24"/>
    </row>
    <row r="171" spans="1:19" ht="14.5">
      <c r="A171" s="20" t="s">
        <v>668</v>
      </c>
      <c r="B171" s="20">
        <v>32</v>
      </c>
      <c r="C171" s="20">
        <v>85</v>
      </c>
      <c r="D171" s="20">
        <v>70</v>
      </c>
      <c r="E171" s="24"/>
      <c r="F171" s="20" t="s">
        <v>669</v>
      </c>
      <c r="G171" t="str">
        <f ca="1">IFERROR(__xludf.DUMMYFUNCTION("UPPER(LEFT((GOOGLETRANSLATE(F171,""en"",""pt"")),1))&amp;RIGHT(lower((GOOGLETRANSLATE(F171,""en"",""pt""))),(LEN((GOOGLETRANSLATE(F171,""en"",""pt"")))-1))"),"Reservatórios")</f>
        <v>Reservatórios</v>
      </c>
      <c r="H171" s="36" t="s">
        <v>670</v>
      </c>
      <c r="I171" s="20" t="e">
        <f>VLOOKUP(A171,CO_Base_LNEC!$B$4:$G$271,6,FALSE)</f>
        <v>#N/A</v>
      </c>
      <c r="J171" s="36" t="s">
        <v>670</v>
      </c>
      <c r="K171" s="24"/>
      <c r="L171" s="30" t="s">
        <v>84</v>
      </c>
      <c r="M171" s="31" t="s">
        <v>84</v>
      </c>
      <c r="N171" s="31" t="s">
        <v>84</v>
      </c>
      <c r="O171" s="30" t="s">
        <v>84</v>
      </c>
      <c r="P171" s="33" t="s">
        <v>84</v>
      </c>
      <c r="Q171" s="33" t="s">
        <v>84</v>
      </c>
      <c r="R171" s="24"/>
      <c r="S171" s="24"/>
    </row>
    <row r="172" spans="1:19" ht="14.5">
      <c r="A172" s="20" t="s">
        <v>671</v>
      </c>
      <c r="B172" s="20">
        <v>32</v>
      </c>
      <c r="C172" s="20">
        <v>85</v>
      </c>
      <c r="D172" s="20">
        <v>88</v>
      </c>
      <c r="E172" s="24"/>
      <c r="F172" s="20" t="s">
        <v>672</v>
      </c>
      <c r="G172" t="str">
        <f ca="1">IFERROR(__xludf.DUMMYFUNCTION("UPPER(LEFT((GOOGLETRANSLATE(F172,""en"",""pt"")),1))&amp;RIGHT(lower((GOOGLETRANSLATE(F172,""en"",""pt""))),(LEN((GOOGLETRANSLATE(F172,""en"",""pt"")))-1))"),"Barreiras de maré")</f>
        <v>Barreiras de maré</v>
      </c>
      <c r="H172" s="36" t="s">
        <v>673</v>
      </c>
      <c r="I172" s="20" t="e">
        <f>VLOOKUP(A172,CO_Base_LNEC!$B$4:$G$271,6,FALSE)</f>
        <v>#N/A</v>
      </c>
      <c r="J172" s="36" t="s">
        <v>673</v>
      </c>
      <c r="K172" s="24"/>
      <c r="L172" s="30" t="s">
        <v>84</v>
      </c>
      <c r="M172" s="31" t="s">
        <v>84</v>
      </c>
      <c r="N172" s="31" t="s">
        <v>84</v>
      </c>
      <c r="O172" s="30" t="s">
        <v>84</v>
      </c>
      <c r="P172" s="33" t="s">
        <v>84</v>
      </c>
      <c r="Q172" s="33" t="s">
        <v>84</v>
      </c>
      <c r="R172" s="24"/>
      <c r="S172" s="24"/>
    </row>
    <row r="173" spans="1:19" ht="14.5">
      <c r="A173" s="20" t="s">
        <v>674</v>
      </c>
      <c r="B173" s="20">
        <v>32</v>
      </c>
      <c r="C173" s="20">
        <v>85</v>
      </c>
      <c r="D173" s="20">
        <v>96</v>
      </c>
      <c r="E173" s="24"/>
      <c r="F173" s="20" t="s">
        <v>675</v>
      </c>
      <c r="G173" t="str">
        <f ca="1">IFERROR(__xludf.DUMMYFUNCTION("UPPER(LEFT((GOOGLETRANSLATE(F173,""en"",""pt"")),1))&amp;RIGHT(lower((GOOGLETRANSLATE(F173,""en"",""pt""))),(LEN((GOOGLETRANSLATE(F173,""en"",""pt"")))-1))"),"Complexos de controle de água")</f>
        <v>Complexos de controle de água</v>
      </c>
      <c r="H173" s="35" t="s">
        <v>676</v>
      </c>
      <c r="I173" s="20" t="e">
        <f>VLOOKUP(A173,CO_Base_LNEC!$B$4:$G$271,6,FALSE)</f>
        <v>#N/A</v>
      </c>
      <c r="J173" s="35" t="s">
        <v>676</v>
      </c>
      <c r="K173" s="24"/>
      <c r="L173" s="30" t="s">
        <v>84</v>
      </c>
      <c r="M173" s="31" t="s">
        <v>84</v>
      </c>
      <c r="N173" s="31" t="s">
        <v>84</v>
      </c>
      <c r="O173" s="30" t="s">
        <v>84</v>
      </c>
      <c r="P173" s="33" t="s">
        <v>84</v>
      </c>
      <c r="Q173" s="33" t="s">
        <v>84</v>
      </c>
      <c r="R173" s="24"/>
      <c r="S173" s="24"/>
    </row>
    <row r="174" spans="1:19" ht="14.5">
      <c r="A174" s="20" t="s">
        <v>677</v>
      </c>
      <c r="B174" s="20">
        <v>32</v>
      </c>
      <c r="C174" s="20">
        <v>85</v>
      </c>
      <c r="D174" s="20">
        <v>97</v>
      </c>
      <c r="E174" s="24"/>
      <c r="F174" s="20" t="s">
        <v>678</v>
      </c>
      <c r="G174" t="str">
        <f ca="1">IFERROR(__xludf.DUMMYFUNCTION("UPPER(LEFT((GOOGLETRANSLATE(F174,""en"",""pt"")),1))&amp;RIGHT(lower((GOOGLETRANSLATE(F174,""en"",""pt""))),(LEN((GOOGLETRANSLATE(F174,""en"",""pt"")))-1))"),"O nível de água e fluir complexos monitorização")</f>
        <v>O nível de água e fluir complexos monitorização</v>
      </c>
      <c r="H174" s="35" t="s">
        <v>679</v>
      </c>
      <c r="I174" s="20" t="e">
        <f>VLOOKUP(A174,CO_Base_LNEC!$B$4:$G$271,6,FALSE)</f>
        <v>#N/A</v>
      </c>
      <c r="J174" s="35" t="s">
        <v>679</v>
      </c>
      <c r="K174" s="24"/>
      <c r="L174" s="30" t="s">
        <v>84</v>
      </c>
      <c r="M174" s="31" t="s">
        <v>84</v>
      </c>
      <c r="N174" s="31" t="s">
        <v>84</v>
      </c>
      <c r="O174" s="30" t="s">
        <v>84</v>
      </c>
      <c r="P174" s="33" t="s">
        <v>84</v>
      </c>
      <c r="Q174" s="33" t="s">
        <v>84</v>
      </c>
      <c r="R174" s="24"/>
      <c r="S174" s="24"/>
    </row>
    <row r="175" spans="1:19" ht="14.5">
      <c r="A175" s="20" t="s">
        <v>680</v>
      </c>
      <c r="B175" s="20">
        <v>32</v>
      </c>
      <c r="C175" s="20">
        <v>85</v>
      </c>
      <c r="D175" s="20">
        <v>98</v>
      </c>
      <c r="E175" s="24"/>
      <c r="F175" s="20" t="s">
        <v>681</v>
      </c>
      <c r="G175" t="str">
        <f ca="1">IFERROR(__xludf.DUMMYFUNCTION("UPPER(LEFT((GOOGLETRANSLATE(F175,""en"",""pt"")),1))&amp;RIGHT(lower((GOOGLETRANSLATE(F175,""en"",""pt""))),(LEN((GOOGLETRANSLATE(F175,""en"",""pt"")))-1))"),"Complexos de bombagem de água")</f>
        <v>Complexos de bombagem de água</v>
      </c>
      <c r="H175" s="35" t="s">
        <v>682</v>
      </c>
      <c r="I175" s="20" t="e">
        <f>VLOOKUP(A175,CO_Base_LNEC!$B$4:$G$271,6,FALSE)</f>
        <v>#N/A</v>
      </c>
      <c r="J175" s="35" t="s">
        <v>682</v>
      </c>
      <c r="K175" s="24"/>
      <c r="L175" s="30" t="s">
        <v>84</v>
      </c>
      <c r="M175" s="31" t="s">
        <v>84</v>
      </c>
      <c r="N175" s="31" t="s">
        <v>84</v>
      </c>
      <c r="O175" s="30" t="s">
        <v>84</v>
      </c>
      <c r="P175" s="33" t="s">
        <v>84</v>
      </c>
      <c r="Q175" s="33" t="s">
        <v>84</v>
      </c>
      <c r="R175" s="24"/>
      <c r="S175" s="24"/>
    </row>
    <row r="176" spans="1:19" ht="14.5">
      <c r="A176" s="20" t="s">
        <v>683</v>
      </c>
      <c r="B176" s="20">
        <v>35</v>
      </c>
      <c r="C176" s="24"/>
      <c r="D176" s="24"/>
      <c r="E176" s="24"/>
      <c r="F176" s="20" t="s">
        <v>684</v>
      </c>
      <c r="G176" t="str">
        <f ca="1">IFERROR(__xludf.DUMMYFUNCTION("UPPER(LEFT((GOOGLETRANSLATE(F176,""en"",""pt"")),1))&amp;RIGHT(lower((GOOGLETRANSLATE(F176,""en"",""pt""))),(LEN((GOOGLETRANSLATE(F176,""en"",""pt"")))-1))"),"Médico, saúde, bem-estar e complexos sanitários")</f>
        <v>Médico, saúde, bem-estar e complexos sanitários</v>
      </c>
      <c r="H176" s="35" t="s">
        <v>685</v>
      </c>
      <c r="I176" s="20" t="str">
        <f>VLOOKUP(A176,CO_Base_LNEC!$B$4:$G$271,6,FALSE)</f>
        <v>Edifícios de saúde</v>
      </c>
      <c r="J176" s="35" t="s">
        <v>685</v>
      </c>
      <c r="K176" s="24"/>
      <c r="L176" s="30" t="s">
        <v>84</v>
      </c>
      <c r="M176" s="31" t="s">
        <v>84</v>
      </c>
      <c r="N176" s="20" t="s">
        <v>686</v>
      </c>
      <c r="O176" s="30" t="s">
        <v>84</v>
      </c>
      <c r="P176" s="33" t="s">
        <v>84</v>
      </c>
      <c r="Q176" s="34" t="s">
        <v>86</v>
      </c>
      <c r="R176" s="24"/>
      <c r="S176" s="24"/>
    </row>
    <row r="177" spans="1:19" ht="14.5">
      <c r="A177" s="20" t="s">
        <v>687</v>
      </c>
      <c r="B177" s="20">
        <v>35</v>
      </c>
      <c r="C177" s="20">
        <v>10</v>
      </c>
      <c r="D177" s="24"/>
      <c r="E177" s="24"/>
      <c r="F177" s="20" t="s">
        <v>688</v>
      </c>
      <c r="G177" t="str">
        <f ca="1">IFERROR(__xludf.DUMMYFUNCTION("UPPER(LEFT((GOOGLETRANSLATE(F177,""en"",""pt"")),1))&amp;RIGHT(lower((GOOGLETRANSLATE(F177,""en"",""pt""))),(LEN((GOOGLETRANSLATE(F177,""en"",""pt"")))-1))"),"Complexos médicos")</f>
        <v>Complexos médicos</v>
      </c>
      <c r="H177" s="36" t="s">
        <v>689</v>
      </c>
      <c r="I177" s="20" t="str">
        <f>VLOOKUP(A177,CO_Base_LNEC!$B$4:$G$271,6,FALSE)</f>
        <v>Edifícios para fins médicos</v>
      </c>
      <c r="J177" s="36" t="s">
        <v>689</v>
      </c>
      <c r="K177" s="24"/>
      <c r="L177" s="30" t="s">
        <v>84</v>
      </c>
      <c r="M177" s="31" t="s">
        <v>84</v>
      </c>
      <c r="N177" s="31" t="s">
        <v>84</v>
      </c>
      <c r="O177" s="30" t="s">
        <v>84</v>
      </c>
      <c r="P177" s="33" t="s">
        <v>84</v>
      </c>
      <c r="Q177" s="34" t="s">
        <v>86</v>
      </c>
      <c r="R177" s="24"/>
      <c r="S177" s="24"/>
    </row>
    <row r="178" spans="1:19" ht="14.5">
      <c r="A178" s="20" t="s">
        <v>690</v>
      </c>
      <c r="B178" s="20">
        <v>35</v>
      </c>
      <c r="C178" s="20">
        <v>10</v>
      </c>
      <c r="D178" s="20">
        <v>2</v>
      </c>
      <c r="E178" s="24"/>
      <c r="F178" s="20" t="s">
        <v>691</v>
      </c>
      <c r="G178" t="str">
        <f ca="1">IFERROR(__xludf.DUMMYFUNCTION("UPPER(LEFT((GOOGLETRANSLATE(F178,""en"",""pt"")),1))&amp;RIGHT(lower((GOOGLETRANSLATE(F178,""en"",""pt""))),(LEN((GOOGLETRANSLATE(F178,""en"",""pt"")))-1))"),"Complexos de ambulância aérea")</f>
        <v>Complexos de ambulância aérea</v>
      </c>
      <c r="H178" s="35" t="s">
        <v>692</v>
      </c>
      <c r="I178" s="20" t="e">
        <f>VLOOKUP(A178,CO_Base_LNEC!$B$4:$G$271,6,FALSE)</f>
        <v>#N/A</v>
      </c>
      <c r="J178" s="35" t="s">
        <v>692</v>
      </c>
      <c r="K178" s="24"/>
      <c r="L178" s="30" t="s">
        <v>84</v>
      </c>
      <c r="M178" s="31" t="s">
        <v>84</v>
      </c>
      <c r="N178" s="31" t="s">
        <v>84</v>
      </c>
      <c r="O178" s="30" t="s">
        <v>84</v>
      </c>
      <c r="P178" s="33" t="s">
        <v>84</v>
      </c>
      <c r="Q178" s="34" t="s">
        <v>86</v>
      </c>
      <c r="R178" s="24"/>
      <c r="S178" s="24"/>
    </row>
    <row r="179" spans="1:19" ht="14.5">
      <c r="A179" s="20" t="s">
        <v>693</v>
      </c>
      <c r="B179" s="20">
        <v>35</v>
      </c>
      <c r="C179" s="20">
        <v>10</v>
      </c>
      <c r="D179" s="20">
        <v>3</v>
      </c>
      <c r="E179" s="24"/>
      <c r="F179" s="20" t="s">
        <v>694</v>
      </c>
      <c r="G179" t="str">
        <f ca="1">IFERROR(__xludf.DUMMYFUNCTION("UPPER(LEFT((GOOGLETRANSLATE(F179,""en"",""pt"")),1))&amp;RIGHT(lower((GOOGLETRANSLATE(F179,""en"",""pt""))),(LEN((GOOGLETRANSLATE(F179,""en"",""pt"")))-1))"),"Complexos de ambulância")</f>
        <v>Complexos de ambulância</v>
      </c>
      <c r="H179" s="35" t="s">
        <v>695</v>
      </c>
      <c r="I179" s="20" t="e">
        <f>VLOOKUP(A179,CO_Base_LNEC!$B$4:$G$271,6,FALSE)</f>
        <v>#N/A</v>
      </c>
      <c r="J179" s="35" t="s">
        <v>696</v>
      </c>
      <c r="K179" s="24"/>
      <c r="L179" s="30" t="s">
        <v>84</v>
      </c>
      <c r="M179" s="31" t="s">
        <v>84</v>
      </c>
      <c r="N179" s="31" t="s">
        <v>84</v>
      </c>
      <c r="O179" s="30" t="s">
        <v>84</v>
      </c>
      <c r="P179" s="33" t="s">
        <v>84</v>
      </c>
      <c r="Q179" s="34" t="s">
        <v>86</v>
      </c>
      <c r="R179" s="24"/>
      <c r="S179" s="24"/>
    </row>
    <row r="180" spans="1:19" ht="14.5">
      <c r="A180" s="20" t="s">
        <v>697</v>
      </c>
      <c r="B180" s="20">
        <v>35</v>
      </c>
      <c r="C180" s="20">
        <v>10</v>
      </c>
      <c r="D180" s="20">
        <v>15</v>
      </c>
      <c r="E180" s="24"/>
      <c r="F180" s="20" t="s">
        <v>698</v>
      </c>
      <c r="G180" t="str">
        <f ca="1">IFERROR(__xludf.DUMMYFUNCTION("UPPER(LEFT((GOOGLETRANSLATE(F180,""en"",""pt"")),1))&amp;RIGHT(lower((GOOGLETRANSLATE(F180,""en"",""pt""))),(LEN((GOOGLETRANSLATE(F180,""en"",""pt"")))-1))"),"Complexos clínicos")</f>
        <v>Complexos clínicos</v>
      </c>
      <c r="H180" s="36" t="s">
        <v>699</v>
      </c>
      <c r="I180" s="20" t="str">
        <f>VLOOKUP(A180,CO_Base_LNEC!$B$4:$G$271,6,FALSE)</f>
        <v>Clínicas e Edifícios de saúde sem internamento</v>
      </c>
      <c r="J180" s="35" t="s">
        <v>700</v>
      </c>
      <c r="K180" s="20" t="s">
        <v>701</v>
      </c>
      <c r="L180" s="30" t="s">
        <v>84</v>
      </c>
      <c r="M180" s="31" t="s">
        <v>84</v>
      </c>
      <c r="N180" s="20" t="s">
        <v>702</v>
      </c>
      <c r="O180" s="30" t="s">
        <v>84</v>
      </c>
      <c r="P180" s="33" t="s">
        <v>84</v>
      </c>
      <c r="Q180" s="34" t="s">
        <v>86</v>
      </c>
      <c r="R180" s="24"/>
      <c r="S180" s="24"/>
    </row>
    <row r="181" spans="1:19" ht="14.5">
      <c r="A181" s="20" t="s">
        <v>703</v>
      </c>
      <c r="B181" s="20">
        <v>35</v>
      </c>
      <c r="C181" s="20">
        <v>10</v>
      </c>
      <c r="D181" s="20">
        <v>37</v>
      </c>
      <c r="E181" s="24"/>
      <c r="F181" s="20" t="s">
        <v>704</v>
      </c>
      <c r="G181" t="str">
        <f ca="1">IFERROR(__xludf.DUMMYFUNCTION("UPPER(LEFT((GOOGLETRANSLATE(F181,""en"",""pt"")),1))&amp;RIGHT(lower((GOOGLETRANSLATE(F181,""en"",""pt""))),(LEN((GOOGLETRANSLATE(F181,""en"",""pt"")))-1))"),"Complexos hospitalares")</f>
        <v>Complexos hospitalares</v>
      </c>
      <c r="H181" s="36" t="s">
        <v>705</v>
      </c>
      <c r="I181" s="20" t="str">
        <f>VLOOKUP(A181,CO_Base_LNEC!$B$4:$G$271,6,FALSE)</f>
        <v>Hospitais Gerais</v>
      </c>
      <c r="J181" s="36" t="s">
        <v>705</v>
      </c>
      <c r="K181" s="24"/>
      <c r="L181" s="30" t="s">
        <v>84</v>
      </c>
      <c r="M181" s="31" t="s">
        <v>84</v>
      </c>
      <c r="N181" s="20" t="s">
        <v>706</v>
      </c>
      <c r="O181" s="30" t="s">
        <v>84</v>
      </c>
      <c r="P181" s="33" t="s">
        <v>84</v>
      </c>
      <c r="Q181" s="34" t="s">
        <v>86</v>
      </c>
      <c r="R181" s="24"/>
      <c r="S181" s="24"/>
    </row>
    <row r="182" spans="1:19" ht="14.5">
      <c r="A182" s="20" t="s">
        <v>707</v>
      </c>
      <c r="B182" s="20">
        <v>35</v>
      </c>
      <c r="C182" s="20">
        <v>50</v>
      </c>
      <c r="D182" s="24"/>
      <c r="E182" s="24"/>
      <c r="F182" s="20" t="s">
        <v>708</v>
      </c>
      <c r="G182" t="str">
        <f ca="1">IFERROR(__xludf.DUMMYFUNCTION("UPPER(LEFT((GOOGLETRANSLATE(F182,""en"",""pt"")),1))&amp;RIGHT(lower((GOOGLETRANSLATE(F182,""en"",""pt""))),(LEN((GOOGLETRANSLATE(F182,""en"",""pt"")))-1))"),"Complexos de bem-estar")</f>
        <v>Complexos de bem-estar</v>
      </c>
      <c r="H182" s="36" t="s">
        <v>709</v>
      </c>
      <c r="I182" s="20" t="str">
        <f>VLOOKUP(A182,CO_Base_LNEC!$B$4:$G$271,6,FALSE)</f>
        <v>Edifícios de bem-estar</v>
      </c>
      <c r="J182" s="20" t="s">
        <v>710</v>
      </c>
      <c r="K182" s="20"/>
      <c r="L182" s="30" t="s">
        <v>84</v>
      </c>
      <c r="M182" s="31" t="s">
        <v>84</v>
      </c>
      <c r="N182" s="20" t="s">
        <v>711</v>
      </c>
      <c r="O182" s="30" t="s">
        <v>84</v>
      </c>
      <c r="P182" s="33" t="s">
        <v>84</v>
      </c>
      <c r="Q182" s="34" t="s">
        <v>86</v>
      </c>
      <c r="R182" s="24"/>
      <c r="S182" s="24"/>
    </row>
    <row r="183" spans="1:19" ht="14.5">
      <c r="A183" s="20" t="s">
        <v>712</v>
      </c>
      <c r="B183" s="20">
        <v>35</v>
      </c>
      <c r="C183" s="20">
        <v>50</v>
      </c>
      <c r="D183" s="20">
        <v>30</v>
      </c>
      <c r="E183" s="24"/>
      <c r="F183" s="20" t="s">
        <v>713</v>
      </c>
      <c r="G183" t="str">
        <f ca="1">IFERROR(__xludf.DUMMYFUNCTION("UPPER(LEFT((GOOGLETRANSLATE(F183,""en"",""pt"")),1))&amp;RIGHT(lower((GOOGLETRANSLATE(F183,""en"",""pt""))),(LEN((GOOGLETRANSLATE(F183,""en"",""pt"")))-1))"),"Fitness e complexos de desintoxicação")</f>
        <v>Fitness e complexos de desintoxicação</v>
      </c>
      <c r="H183" s="35" t="s">
        <v>714</v>
      </c>
      <c r="I183" s="20" t="str">
        <f>VLOOKUP(A183,CO_Base_LNEC!$B$4:$G$271,6,FALSE)</f>
        <v>Ginásios e centros de Fitness</v>
      </c>
      <c r="J183" s="35" t="s">
        <v>715</v>
      </c>
      <c r="K183" s="24"/>
      <c r="L183" s="30" t="s">
        <v>84</v>
      </c>
      <c r="M183" s="31" t="s">
        <v>84</v>
      </c>
      <c r="N183" s="31" t="s">
        <v>84</v>
      </c>
      <c r="O183" s="37"/>
      <c r="P183" s="33" t="s">
        <v>84</v>
      </c>
      <c r="Q183" s="33" t="s">
        <v>84</v>
      </c>
      <c r="R183" s="24"/>
      <c r="S183" s="24"/>
    </row>
    <row r="184" spans="1:19" ht="14.5">
      <c r="A184" s="20" t="s">
        <v>716</v>
      </c>
      <c r="B184" s="20">
        <v>35</v>
      </c>
      <c r="C184" s="20">
        <v>50</v>
      </c>
      <c r="D184" s="20">
        <v>37</v>
      </c>
      <c r="E184" s="24"/>
      <c r="F184" s="20" t="s">
        <v>717</v>
      </c>
      <c r="G184" t="str">
        <f ca="1">IFERROR(__xludf.DUMMYFUNCTION("UPPER(LEFT((GOOGLETRANSLATE(F184,""en"",""pt"")),1))&amp;RIGHT(lower((GOOGLETRANSLATE(F184,""en"",""pt""))),(LEN((GOOGLETRANSLATE(F184,""en"",""pt"")))-1))"),"Hospices")</f>
        <v>Hospices</v>
      </c>
      <c r="H184" s="35" t="s">
        <v>718</v>
      </c>
      <c r="I184" s="20" t="str">
        <f>VLOOKUP(A184,CO_Base_LNEC!$B$4:$G$271,6,FALSE)</f>
        <v>Hospitais Psiquiátricos</v>
      </c>
      <c r="J184" s="20" t="s">
        <v>719</v>
      </c>
      <c r="K184" s="20"/>
      <c r="L184" s="30" t="s">
        <v>84</v>
      </c>
      <c r="M184" s="31" t="s">
        <v>84</v>
      </c>
      <c r="N184" s="31" t="s">
        <v>84</v>
      </c>
      <c r="O184" s="37" t="s">
        <v>720</v>
      </c>
      <c r="P184" s="33" t="s">
        <v>84</v>
      </c>
      <c r="Q184" s="33" t="s">
        <v>84</v>
      </c>
      <c r="R184" s="24"/>
      <c r="S184" s="24"/>
    </row>
    <row r="185" spans="1:19" ht="14.5">
      <c r="A185" s="20" t="s">
        <v>721</v>
      </c>
      <c r="B185" s="20">
        <v>35</v>
      </c>
      <c r="C185" s="20">
        <v>50</v>
      </c>
      <c r="D185" s="20">
        <v>58</v>
      </c>
      <c r="E185" s="24"/>
      <c r="F185" s="20" t="s">
        <v>722</v>
      </c>
      <c r="G185" t="str">
        <f ca="1">IFERROR(__xludf.DUMMYFUNCTION("UPPER(LEFT((GOOGLETRANSLATE(F185,""en"",""pt"")),1))&amp;RIGHT(lower((GOOGLETRANSLATE(F185,""en"",""pt""))),(LEN((GOOGLETRANSLATE(F185,""en"",""pt"")))-1))"),"Asilo")</f>
        <v>Asilo</v>
      </c>
      <c r="H185" s="35" t="s">
        <v>718</v>
      </c>
      <c r="I185" s="20" t="e">
        <f>VLOOKUP(A185,CO_Base_LNEC!$B$4:$G$271,6,FALSE)</f>
        <v>#N/A</v>
      </c>
      <c r="J185" s="35" t="s">
        <v>723</v>
      </c>
      <c r="K185" s="20"/>
      <c r="L185" s="30" t="s">
        <v>84</v>
      </c>
      <c r="M185" s="31" t="s">
        <v>84</v>
      </c>
      <c r="N185" s="31" t="s">
        <v>84</v>
      </c>
      <c r="O185" s="30" t="s">
        <v>84</v>
      </c>
      <c r="P185" s="33" t="s">
        <v>84</v>
      </c>
      <c r="Q185" s="33" t="s">
        <v>84</v>
      </c>
      <c r="R185" s="24"/>
      <c r="S185" s="24"/>
    </row>
    <row r="186" spans="1:19" ht="14.5">
      <c r="A186" s="20" t="s">
        <v>724</v>
      </c>
      <c r="B186" s="20">
        <v>35</v>
      </c>
      <c r="C186" s="20">
        <v>50</v>
      </c>
      <c r="D186" s="20">
        <v>69</v>
      </c>
      <c r="E186" s="24"/>
      <c r="F186" s="20" t="s">
        <v>725</v>
      </c>
      <c r="G186" t="str">
        <f ca="1">IFERROR(__xludf.DUMMYFUNCTION("UPPER(LEFT((GOOGLETRANSLATE(F186,""en"",""pt"")),1))&amp;RIGHT(lower((GOOGLETRANSLATE(F186,""en"",""pt""))),(LEN((GOOGLETRANSLATE(F186,""en"",""pt"")))-1))"),"Estações de quarentena")</f>
        <v>Estações de quarentena</v>
      </c>
      <c r="H186" s="36" t="s">
        <v>726</v>
      </c>
      <c r="I186" s="20" t="e">
        <f>VLOOKUP(A186,CO_Base_LNEC!$B$4:$G$271,6,FALSE)</f>
        <v>#N/A</v>
      </c>
      <c r="J186" s="36" t="s">
        <v>726</v>
      </c>
      <c r="K186" s="24"/>
      <c r="L186" s="30" t="s">
        <v>84</v>
      </c>
      <c r="M186" s="31" t="s">
        <v>84</v>
      </c>
      <c r="N186" s="31" t="s">
        <v>84</v>
      </c>
      <c r="O186" s="30" t="s">
        <v>84</v>
      </c>
      <c r="P186" s="33" t="s">
        <v>84</v>
      </c>
      <c r="Q186" s="33" t="s">
        <v>84</v>
      </c>
      <c r="R186" s="24"/>
      <c r="S186" s="24"/>
    </row>
    <row r="187" spans="1:19" ht="14.5">
      <c r="A187" s="20" t="s">
        <v>727</v>
      </c>
      <c r="B187" s="20">
        <v>35</v>
      </c>
      <c r="C187" s="20">
        <v>50</v>
      </c>
      <c r="D187" s="20">
        <v>82</v>
      </c>
      <c r="E187" s="24"/>
      <c r="F187" s="20" t="s">
        <v>728</v>
      </c>
      <c r="G187" t="str">
        <f ca="1">IFERROR(__xludf.DUMMYFUNCTION("UPPER(LEFT((GOOGLETRANSLATE(F187,""en"",""pt"")),1))&amp;RIGHT(lower((GOOGLETRANSLATE(F187,""en"",""pt""))),(LEN((GOOGLETRANSLATE(F187,""en"",""pt"")))-1))"),"Complexos spa")</f>
        <v>Complexos spa</v>
      </c>
      <c r="H187" s="35" t="s">
        <v>729</v>
      </c>
      <c r="I187" s="20" t="str">
        <f>VLOOKUP(A187,CO_Base_LNEC!$B$4:$G$271,6,FALSE)</f>
        <v>Spas</v>
      </c>
      <c r="J187" s="35" t="s">
        <v>729</v>
      </c>
      <c r="K187" s="24"/>
      <c r="L187" s="30" t="s">
        <v>84</v>
      </c>
      <c r="M187" s="31" t="s">
        <v>84</v>
      </c>
      <c r="N187" s="31" t="s">
        <v>84</v>
      </c>
      <c r="O187" s="30" t="s">
        <v>84</v>
      </c>
      <c r="P187" s="33" t="s">
        <v>84</v>
      </c>
      <c r="Q187" s="33" t="s">
        <v>84</v>
      </c>
      <c r="R187" s="24"/>
      <c r="S187" s="24"/>
    </row>
    <row r="188" spans="1:19" ht="14.5">
      <c r="A188" s="20" t="s">
        <v>730</v>
      </c>
      <c r="B188" s="20">
        <v>35</v>
      </c>
      <c r="C188" s="20">
        <v>50</v>
      </c>
      <c r="D188" s="20">
        <v>90</v>
      </c>
      <c r="E188" s="24"/>
      <c r="F188" s="20" t="s">
        <v>731</v>
      </c>
      <c r="G188" t="str">
        <f ca="1">IFERROR(__xludf.DUMMYFUNCTION("UPPER(LEFT((GOOGLETRANSLATE(F188,""en"",""pt"")),1))&amp;RIGHT(lower((GOOGLETRANSLATE(F188,""en"",""pt""))),(LEN((GOOGLETRANSLATE(F188,""en"",""pt"")))-1))"),"Banhos turcos")</f>
        <v>Banhos turcos</v>
      </c>
      <c r="H188" s="36" t="s">
        <v>732</v>
      </c>
      <c r="I188" s="20" t="e">
        <f>VLOOKUP(A188,CO_Base_LNEC!$B$4:$G$271,6,FALSE)</f>
        <v>#N/A</v>
      </c>
      <c r="J188" s="36" t="s">
        <v>732</v>
      </c>
      <c r="K188" s="24"/>
      <c r="L188" s="30" t="s">
        <v>84</v>
      </c>
      <c r="M188" s="31" t="s">
        <v>84</v>
      </c>
      <c r="N188" s="31" t="s">
        <v>84</v>
      </c>
      <c r="O188" s="30" t="s">
        <v>84</v>
      </c>
      <c r="P188" s="33" t="s">
        <v>84</v>
      </c>
      <c r="Q188" s="33" t="s">
        <v>84</v>
      </c>
      <c r="R188" s="24"/>
      <c r="S188" s="24"/>
    </row>
    <row r="189" spans="1:19" ht="14.5">
      <c r="A189" s="20" t="s">
        <v>733</v>
      </c>
      <c r="B189" s="20">
        <v>35</v>
      </c>
      <c r="C189" s="20">
        <v>70</v>
      </c>
      <c r="D189" s="24"/>
      <c r="E189" s="24"/>
      <c r="F189" s="20" t="s">
        <v>734</v>
      </c>
      <c r="G189" t="str">
        <f ca="1">IFERROR(__xludf.DUMMYFUNCTION("UPPER(LEFT((GOOGLETRANSLATE(F189,""en"",""pt"")),1))&amp;RIGHT(lower((GOOGLETRANSLATE(F189,""en"",""pt""))),(LEN((GOOGLETRANSLATE(F189,""en"",""pt"")))-1))"),"Complexos funerários")</f>
        <v>Complexos funerários</v>
      </c>
      <c r="H189" s="36" t="s">
        <v>735</v>
      </c>
      <c r="I189" s="20" t="str">
        <f>VLOOKUP(A189,CO_Base_LNEC!$B$4:$G$271,6,FALSE)</f>
        <v>Edifícios funerários</v>
      </c>
      <c r="J189" s="36" t="s">
        <v>735</v>
      </c>
      <c r="K189" s="24"/>
      <c r="L189" s="30" t="s">
        <v>84</v>
      </c>
      <c r="M189" s="31" t="s">
        <v>84</v>
      </c>
      <c r="N189" s="31" t="s">
        <v>84</v>
      </c>
      <c r="O189" s="37" t="s">
        <v>736</v>
      </c>
      <c r="P189" s="33" t="s">
        <v>84</v>
      </c>
      <c r="Q189" s="33" t="s">
        <v>84</v>
      </c>
      <c r="R189" s="24"/>
      <c r="S189" s="24"/>
    </row>
    <row r="190" spans="1:19" ht="14.5">
      <c r="A190" s="20" t="s">
        <v>737</v>
      </c>
      <c r="B190" s="20">
        <v>35</v>
      </c>
      <c r="C190" s="20">
        <v>70</v>
      </c>
      <c r="D190" s="20">
        <v>13</v>
      </c>
      <c r="E190" s="24"/>
      <c r="F190" s="20" t="s">
        <v>738</v>
      </c>
      <c r="G190" t="str">
        <f ca="1">IFERROR(__xludf.DUMMYFUNCTION("UPPER(LEFT((GOOGLETRANSLATE(F190,""en"",""pt"")),1))&amp;RIGHT(lower((GOOGLETRANSLATE(F190,""en"",""pt""))),(LEN((GOOGLETRANSLATE(F190,""en"",""pt"")))-1))"),"Cemitérios")</f>
        <v>Cemitérios</v>
      </c>
      <c r="H190" s="36" t="s">
        <v>739</v>
      </c>
      <c r="I190" s="20" t="str">
        <f>VLOOKUP(A190,CO_Base_LNEC!$B$4:$G$271,6,FALSE)</f>
        <v>Cemitérios</v>
      </c>
      <c r="J190" s="36" t="s">
        <v>739</v>
      </c>
      <c r="K190" s="24"/>
      <c r="L190" s="30" t="s">
        <v>84</v>
      </c>
      <c r="M190" s="31" t="s">
        <v>84</v>
      </c>
      <c r="N190" s="31" t="s">
        <v>84</v>
      </c>
      <c r="O190" s="30" t="s">
        <v>84</v>
      </c>
      <c r="P190" s="33" t="s">
        <v>84</v>
      </c>
      <c r="Q190" s="33" t="s">
        <v>84</v>
      </c>
      <c r="R190" s="24"/>
      <c r="S190" s="24"/>
    </row>
    <row r="191" spans="1:19" ht="14.5">
      <c r="A191" s="20" t="s">
        <v>740</v>
      </c>
      <c r="B191" s="20">
        <v>35</v>
      </c>
      <c r="C191" s="20">
        <v>70</v>
      </c>
      <c r="D191" s="20">
        <v>16</v>
      </c>
      <c r="E191" s="24"/>
      <c r="F191" s="20" t="s">
        <v>741</v>
      </c>
      <c r="G191" t="str">
        <f ca="1">IFERROR(__xludf.DUMMYFUNCTION("UPPER(LEFT((GOOGLETRANSLATE(F191,""en"",""pt"")),1))&amp;RIGHT(lower((GOOGLETRANSLATE(F191,""en"",""pt""))),(LEN((GOOGLETRANSLATE(F191,""en"",""pt"")))-1))"),"Crematórios")</f>
        <v>Crematórios</v>
      </c>
      <c r="H191" s="36" t="s">
        <v>742</v>
      </c>
      <c r="I191" s="20" t="str">
        <f>VLOOKUP(A191,CO_Base_LNEC!$B$4:$G$271,6,FALSE)</f>
        <v>Crematórios</v>
      </c>
      <c r="J191" s="36" t="s">
        <v>742</v>
      </c>
      <c r="K191" s="24"/>
      <c r="L191" s="30" t="s">
        <v>84</v>
      </c>
      <c r="M191" s="31" t="s">
        <v>84</v>
      </c>
      <c r="N191" s="31" t="s">
        <v>84</v>
      </c>
      <c r="O191" s="30" t="s">
        <v>84</v>
      </c>
      <c r="P191" s="33" t="s">
        <v>84</v>
      </c>
      <c r="Q191" s="33" t="s">
        <v>84</v>
      </c>
      <c r="R191" s="24"/>
      <c r="S191" s="24"/>
    </row>
    <row r="192" spans="1:19" ht="14.5">
      <c r="A192" s="20" t="s">
        <v>743</v>
      </c>
      <c r="B192" s="20">
        <v>35</v>
      </c>
      <c r="C192" s="20">
        <v>70</v>
      </c>
      <c r="D192" s="20">
        <v>32</v>
      </c>
      <c r="E192" s="24"/>
      <c r="F192" s="20" t="s">
        <v>744</v>
      </c>
      <c r="G192" t="str">
        <f ca="1">IFERROR(__xludf.DUMMYFUNCTION("UPPER(LEFT((GOOGLETRANSLATE(F192,""en"",""pt"")),1))&amp;RIGHT(lower((GOOGLETRANSLATE(F192,""en"",""pt""))),(LEN((GOOGLETRANSLATE(F192,""en"",""pt"")))-1))"),"Complexos funerários")</f>
        <v>Complexos funerários</v>
      </c>
      <c r="H192" s="36" t="s">
        <v>735</v>
      </c>
      <c r="I192" s="20" t="str">
        <f>VLOOKUP(A192,CO_Base_LNEC!$B$4:$G$271,6,FALSE)</f>
        <v>Complexos funerários</v>
      </c>
      <c r="J192" s="36" t="s">
        <v>735</v>
      </c>
      <c r="K192" s="24"/>
      <c r="L192" s="30" t="s">
        <v>84</v>
      </c>
      <c r="M192" s="31" t="s">
        <v>84</v>
      </c>
      <c r="N192" s="20" t="s">
        <v>745</v>
      </c>
      <c r="O192" s="37" t="s">
        <v>746</v>
      </c>
      <c r="P192" s="33" t="s">
        <v>84</v>
      </c>
      <c r="Q192" s="34" t="s">
        <v>115</v>
      </c>
      <c r="R192" s="24"/>
      <c r="S192" s="24"/>
    </row>
    <row r="193" spans="1:19" ht="14.5">
      <c r="A193" s="20" t="s">
        <v>747</v>
      </c>
      <c r="B193" s="20">
        <v>35</v>
      </c>
      <c r="C193" s="20">
        <v>85</v>
      </c>
      <c r="D193" s="24"/>
      <c r="E193" s="24"/>
      <c r="F193" s="20" t="s">
        <v>748</v>
      </c>
      <c r="G193" t="str">
        <f ca="1">IFERROR(__xludf.DUMMYFUNCTION("UPPER(LEFT((GOOGLETRANSLATE(F193,""en"",""pt"")),1))&amp;RIGHT(lower((GOOGLETRANSLATE(F193,""en"",""pt""))),(LEN((GOOGLETRANSLATE(F193,""en"",""pt"")))-1))"),"Complexos de animais")</f>
        <v>Complexos de animais</v>
      </c>
      <c r="H193" s="35" t="s">
        <v>749</v>
      </c>
      <c r="I193" s="20" t="str">
        <f>VLOOKUP(A193,CO_Base_LNEC!$B$4:$G$271,6,FALSE)</f>
        <v>Instalações para animais</v>
      </c>
      <c r="J193" s="35" t="s">
        <v>749</v>
      </c>
      <c r="K193" s="24"/>
      <c r="L193" s="30" t="s">
        <v>84</v>
      </c>
      <c r="M193" s="31" t="s">
        <v>84</v>
      </c>
      <c r="N193" s="20" t="s">
        <v>750</v>
      </c>
      <c r="O193" s="30" t="s">
        <v>84</v>
      </c>
      <c r="P193" s="33" t="s">
        <v>84</v>
      </c>
      <c r="Q193" s="34" t="s">
        <v>115</v>
      </c>
      <c r="R193" s="24"/>
      <c r="S193" s="24"/>
    </row>
    <row r="194" spans="1:19" ht="14.5">
      <c r="A194" s="20" t="s">
        <v>751</v>
      </c>
      <c r="B194" s="20">
        <v>35</v>
      </c>
      <c r="C194" s="20">
        <v>85</v>
      </c>
      <c r="D194" s="20">
        <v>2</v>
      </c>
      <c r="E194" s="24"/>
      <c r="F194" s="20" t="s">
        <v>752</v>
      </c>
      <c r="G194" t="str">
        <f ca="1">IFERROR(__xludf.DUMMYFUNCTION("UPPER(LEFT((GOOGLETRANSLATE(F194,""en"",""pt"")),1))&amp;RIGHT(lower((GOOGLETRANSLATE(F194,""en"",""pt""))),(LEN((GOOGLETRANSLATE(F194,""en"",""pt"")))-1))"),"Complexos gaiola animal")</f>
        <v>Complexos gaiola animal</v>
      </c>
      <c r="H194" s="35" t="s">
        <v>753</v>
      </c>
      <c r="I194" s="20" t="e">
        <f>VLOOKUP(A194,CO_Base_LNEC!$B$4:$G$271,6,FALSE)</f>
        <v>#N/A</v>
      </c>
      <c r="J194" s="35" t="s">
        <v>753</v>
      </c>
      <c r="K194" s="24"/>
      <c r="L194" s="30" t="s">
        <v>84</v>
      </c>
      <c r="M194" s="31" t="s">
        <v>84</v>
      </c>
      <c r="N194" s="20" t="s">
        <v>754</v>
      </c>
      <c r="O194" s="30" t="s">
        <v>84</v>
      </c>
      <c r="P194" s="34" t="s">
        <v>115</v>
      </c>
      <c r="Q194" s="34" t="s">
        <v>115</v>
      </c>
      <c r="R194" s="24"/>
      <c r="S194" s="24"/>
    </row>
    <row r="195" spans="1:19" ht="14.5">
      <c r="A195" s="20" t="s">
        <v>755</v>
      </c>
      <c r="B195" s="20">
        <v>35</v>
      </c>
      <c r="C195" s="20">
        <v>85</v>
      </c>
      <c r="D195" s="20">
        <v>3</v>
      </c>
      <c r="E195" s="24"/>
      <c r="F195" s="20" t="s">
        <v>756</v>
      </c>
      <c r="G195" t="str">
        <f ca="1">IFERROR(__xludf.DUMMYFUNCTION("UPPER(LEFT((GOOGLETRANSLATE(F195,""en"",""pt"")),1))&amp;RIGHT(lower((GOOGLETRANSLATE(F195,""en"",""pt""))),(LEN((GOOGLETRANSLATE(F195,""en"",""pt"")))-1))"),"Complexos de curral")</f>
        <v>Complexos de curral</v>
      </c>
      <c r="H195" s="35" t="s">
        <v>757</v>
      </c>
      <c r="I195" s="20" t="e">
        <f>VLOOKUP(A195,CO_Base_LNEC!$B$4:$G$271,6,FALSE)</f>
        <v>#N/A</v>
      </c>
      <c r="J195" s="35" t="s">
        <v>757</v>
      </c>
      <c r="K195" s="24"/>
      <c r="L195" s="30" t="s">
        <v>84</v>
      </c>
      <c r="M195" s="31" t="s">
        <v>84</v>
      </c>
      <c r="N195" s="31" t="s">
        <v>84</v>
      </c>
      <c r="O195" s="30" t="s">
        <v>84</v>
      </c>
      <c r="P195" s="33" t="s">
        <v>84</v>
      </c>
      <c r="Q195" s="33" t="s">
        <v>84</v>
      </c>
      <c r="R195" s="24"/>
      <c r="S195" s="24"/>
    </row>
    <row r="196" spans="1:19" ht="14.5">
      <c r="A196" s="20" t="s">
        <v>758</v>
      </c>
      <c r="B196" s="20">
        <v>35</v>
      </c>
      <c r="C196" s="20">
        <v>85</v>
      </c>
      <c r="D196" s="20">
        <v>4</v>
      </c>
      <c r="E196" s="24"/>
      <c r="F196" s="20" t="s">
        <v>759</v>
      </c>
      <c r="G196" t="str">
        <f ca="1">IFERROR(__xludf.DUMMYFUNCTION("UPPER(LEFT((GOOGLETRANSLATE(F196,""en"",""pt"")),1))&amp;RIGHT(lower((GOOGLETRANSLATE(F196,""en"",""pt""))),(LEN((GOOGLETRANSLATE(F196,""en"",""pt"")))-1))"),"Aquários")</f>
        <v>Aquários</v>
      </c>
      <c r="H196" s="36" t="s">
        <v>760</v>
      </c>
      <c r="I196" s="20" t="e">
        <f>VLOOKUP(A196,CO_Base_LNEC!$B$4:$G$271,6,FALSE)</f>
        <v>#N/A</v>
      </c>
      <c r="J196" s="36" t="s">
        <v>760</v>
      </c>
      <c r="K196" s="24"/>
      <c r="L196" s="30" t="s">
        <v>84</v>
      </c>
      <c r="M196" s="31" t="s">
        <v>84</v>
      </c>
      <c r="N196" s="31" t="s">
        <v>84</v>
      </c>
      <c r="O196" s="30" t="s">
        <v>84</v>
      </c>
      <c r="P196" s="33" t="s">
        <v>84</v>
      </c>
      <c r="Q196" s="33" t="s">
        <v>84</v>
      </c>
      <c r="R196" s="24"/>
      <c r="S196" s="24"/>
    </row>
    <row r="197" spans="1:19" ht="14.5">
      <c r="A197" s="20" t="s">
        <v>761</v>
      </c>
      <c r="B197" s="20">
        <v>35</v>
      </c>
      <c r="C197" s="20">
        <v>85</v>
      </c>
      <c r="D197" s="20">
        <v>5</v>
      </c>
      <c r="E197" s="24"/>
      <c r="F197" s="20" t="s">
        <v>762</v>
      </c>
      <c r="G197" t="str">
        <f ca="1">IFERROR(__xludf.DUMMYFUNCTION("UPPER(LEFT((GOOGLETRANSLATE(F197,""en"",""pt"")),1))&amp;RIGHT(lower((GOOGLETRANSLATE(F197,""en"",""pt""))),(LEN((GOOGLETRANSLATE(F197,""en"",""pt"")))-1))"),"Complexos de aviário")</f>
        <v>Complexos de aviário</v>
      </c>
      <c r="H197" s="35" t="s">
        <v>763</v>
      </c>
      <c r="I197" s="20" t="str">
        <f>VLOOKUP(A197,CO_Base_LNEC!$B$4:$G$271,6,FALSE)</f>
        <v>Aviários</v>
      </c>
      <c r="J197" s="35" t="s">
        <v>763</v>
      </c>
      <c r="K197" s="24"/>
      <c r="L197" s="30" t="s">
        <v>84</v>
      </c>
      <c r="M197" s="31" t="s">
        <v>84</v>
      </c>
      <c r="N197" s="31" t="s">
        <v>84</v>
      </c>
      <c r="O197" s="30" t="s">
        <v>84</v>
      </c>
      <c r="P197" s="33" t="s">
        <v>84</v>
      </c>
      <c r="Q197" s="33" t="s">
        <v>84</v>
      </c>
      <c r="R197" s="24"/>
      <c r="S197" s="24"/>
    </row>
    <row r="198" spans="1:19" ht="14.5">
      <c r="A198" s="20" t="s">
        <v>764</v>
      </c>
      <c r="B198" s="20">
        <v>35</v>
      </c>
      <c r="C198" s="20">
        <v>85</v>
      </c>
      <c r="D198" s="20">
        <v>45</v>
      </c>
      <c r="E198" s="24"/>
      <c r="F198" s="20" t="s">
        <v>765</v>
      </c>
      <c r="G198" t="str">
        <f ca="1">IFERROR(__xludf.DUMMYFUNCTION("UPPER(LEFT((GOOGLETRANSLATE(F198,""en"",""pt"")),1))&amp;RIGHT(lower((GOOGLETRANSLATE(F198,""en"",""pt""))),(LEN((GOOGLETRANSLATE(F198,""en"",""pt"")))-1))"),"Complexos canil")</f>
        <v>Complexos canil</v>
      </c>
      <c r="H198" s="35" t="s">
        <v>766</v>
      </c>
      <c r="I198" s="20" t="str">
        <f>VLOOKUP(A198,CO_Base_LNEC!$B$4:$G$271,6,FALSE)</f>
        <v>Canis</v>
      </c>
      <c r="J198" s="35" t="s">
        <v>766</v>
      </c>
      <c r="K198" s="24"/>
      <c r="L198" s="30" t="s">
        <v>84</v>
      </c>
      <c r="M198" s="31" t="s">
        <v>84</v>
      </c>
      <c r="N198" s="31" t="s">
        <v>84</v>
      </c>
      <c r="O198" s="30" t="s">
        <v>84</v>
      </c>
      <c r="P198" s="33" t="s">
        <v>84</v>
      </c>
      <c r="Q198" s="33" t="s">
        <v>84</v>
      </c>
      <c r="R198" s="24"/>
      <c r="S198" s="24"/>
    </row>
    <row r="199" spans="1:19" ht="14.5">
      <c r="A199" s="20" t="s">
        <v>767</v>
      </c>
      <c r="B199" s="20">
        <v>35</v>
      </c>
      <c r="C199" s="20">
        <v>85</v>
      </c>
      <c r="D199" s="20">
        <v>85</v>
      </c>
      <c r="E199" s="24"/>
      <c r="F199" s="20" t="s">
        <v>768</v>
      </c>
      <c r="G199" t="str">
        <f ca="1">IFERROR(__xludf.DUMMYFUNCTION("UPPER(LEFT((GOOGLETRANSLATE(F199,""en"",""pt"")),1))&amp;RIGHT(lower((GOOGLETRANSLATE(F199,""en"",""pt""))),(LEN((GOOGLETRANSLATE(F199,""en"",""pt"")))-1))"),"Complexos estáveis")</f>
        <v>Complexos estáveis</v>
      </c>
      <c r="H199" s="35" t="s">
        <v>769</v>
      </c>
      <c r="I199" s="20" t="str">
        <f>VLOOKUP(A199,CO_Base_LNEC!$B$4:$G$271,6,FALSE)</f>
        <v>Estábulos e currais</v>
      </c>
      <c r="J199" s="35" t="s">
        <v>769</v>
      </c>
      <c r="K199" s="24"/>
      <c r="L199" s="30" t="s">
        <v>84</v>
      </c>
      <c r="M199" s="31" t="s">
        <v>84</v>
      </c>
      <c r="N199" s="31" t="s">
        <v>84</v>
      </c>
      <c r="O199" s="30" t="s">
        <v>84</v>
      </c>
      <c r="P199" s="33" t="s">
        <v>84</v>
      </c>
      <c r="Q199" s="33" t="s">
        <v>84</v>
      </c>
      <c r="R199" s="24"/>
      <c r="S199" s="24"/>
    </row>
    <row r="200" spans="1:19" ht="14.5">
      <c r="A200" s="20" t="s">
        <v>770</v>
      </c>
      <c r="B200" s="20">
        <v>35</v>
      </c>
      <c r="C200" s="20">
        <v>90</v>
      </c>
      <c r="D200" s="24"/>
      <c r="E200" s="24"/>
      <c r="F200" s="20" t="s">
        <v>771</v>
      </c>
      <c r="G200" t="str">
        <f ca="1">IFERROR(__xludf.DUMMYFUNCTION("UPPER(LEFT((GOOGLETRANSLATE(F200,""en"",""pt"")),1))&amp;RIGHT(lower((GOOGLETRANSLATE(F200,""en"",""pt""))),(LEN((GOOGLETRANSLATE(F200,""en"",""pt"")))-1))"),"Animal médico, saúde, bem-estar, funerário e complexos sanitários")</f>
        <v>Animal médico, saúde, bem-estar, funerário e complexos sanitários</v>
      </c>
      <c r="H200" s="35" t="s">
        <v>772</v>
      </c>
      <c r="I200" s="20" t="str">
        <f>VLOOKUP(A200,CO_Base_LNEC!$B$4:$G$271,6,FALSE)</f>
        <v>Infraestruturas relativas ao tratamento de animais</v>
      </c>
      <c r="J200" s="35" t="s">
        <v>773</v>
      </c>
      <c r="K200" s="24"/>
      <c r="L200" s="30" t="s">
        <v>84</v>
      </c>
      <c r="M200" s="31" t="s">
        <v>84</v>
      </c>
      <c r="N200" s="20" t="s">
        <v>774</v>
      </c>
      <c r="O200" s="30" t="s">
        <v>84</v>
      </c>
      <c r="P200" s="34" t="s">
        <v>775</v>
      </c>
      <c r="Q200" s="34" t="s">
        <v>115</v>
      </c>
      <c r="R200" s="24"/>
      <c r="S200" s="24"/>
    </row>
    <row r="201" spans="1:19" ht="14.5">
      <c r="A201" s="20" t="s">
        <v>776</v>
      </c>
      <c r="B201" s="20">
        <v>35</v>
      </c>
      <c r="C201" s="20">
        <v>90</v>
      </c>
      <c r="D201" s="20">
        <v>2</v>
      </c>
      <c r="E201" s="24"/>
      <c r="F201" s="20" t="s">
        <v>777</v>
      </c>
      <c r="G201" t="str">
        <f ca="1">IFERROR(__xludf.DUMMYFUNCTION("UPPER(LEFT((GOOGLETRANSLATE(F201,""en"",""pt"")),1))&amp;RIGHT(lower((GOOGLETRANSLATE(F201,""en"",""pt""))),(LEN((GOOGLETRANSLATE(F201,""en"",""pt"")))-1))"),"Complexos funerários animal")</f>
        <v>Complexos funerários animal</v>
      </c>
      <c r="H201" s="35" t="s">
        <v>778</v>
      </c>
      <c r="I201" s="20" t="e">
        <f>VLOOKUP(A201,CO_Base_LNEC!$B$4:$G$271,6,FALSE)</f>
        <v>#N/A</v>
      </c>
      <c r="J201" s="35" t="s">
        <v>778</v>
      </c>
      <c r="K201" s="24"/>
      <c r="L201" s="30" t="s">
        <v>84</v>
      </c>
      <c r="M201" s="31" t="s">
        <v>84</v>
      </c>
      <c r="N201" s="20" t="s">
        <v>779</v>
      </c>
      <c r="O201" s="30" t="s">
        <v>84</v>
      </c>
      <c r="P201" s="33" t="s">
        <v>84</v>
      </c>
      <c r="Q201" s="34" t="s">
        <v>115</v>
      </c>
      <c r="R201" s="24"/>
      <c r="S201" s="24"/>
    </row>
    <row r="202" spans="1:19" ht="14.5">
      <c r="A202" s="20" t="s">
        <v>780</v>
      </c>
      <c r="B202" s="20">
        <v>35</v>
      </c>
      <c r="C202" s="20">
        <v>90</v>
      </c>
      <c r="D202" s="20">
        <v>3</v>
      </c>
      <c r="E202" s="24"/>
      <c r="F202" s="20" t="s">
        <v>781</v>
      </c>
      <c r="G202" t="str">
        <f ca="1">IFERROR(__xludf.DUMMYFUNCTION("UPPER(LEFT((GOOGLETRANSLATE(F202,""en"",""pt"")),1))&amp;RIGHT(lower((GOOGLETRANSLATE(F202,""en"",""pt""))),(LEN((GOOGLETRANSLATE(F202,""en"",""pt"")))-1))"),"Estações de quarentena animal")</f>
        <v>Estações de quarentena animal</v>
      </c>
      <c r="H202" s="36" t="s">
        <v>782</v>
      </c>
      <c r="I202" s="20" t="e">
        <f>VLOOKUP(A202,CO_Base_LNEC!$B$4:$G$271,6,FALSE)</f>
        <v>#N/A</v>
      </c>
      <c r="J202" s="36" t="s">
        <v>782</v>
      </c>
      <c r="K202" s="24"/>
      <c r="L202" s="30" t="s">
        <v>84</v>
      </c>
      <c r="M202" s="31" t="s">
        <v>84</v>
      </c>
      <c r="N202" s="31" t="s">
        <v>84</v>
      </c>
      <c r="O202" s="30" t="s">
        <v>84</v>
      </c>
      <c r="P202" s="33" t="s">
        <v>84</v>
      </c>
      <c r="Q202" s="33" t="s">
        <v>84</v>
      </c>
      <c r="R202" s="24"/>
      <c r="S202" s="24"/>
    </row>
    <row r="203" spans="1:19" ht="14.5">
      <c r="A203" s="20" t="s">
        <v>783</v>
      </c>
      <c r="B203" s="20">
        <v>35</v>
      </c>
      <c r="C203" s="20">
        <v>90</v>
      </c>
      <c r="D203" s="20">
        <v>95</v>
      </c>
      <c r="E203" s="24"/>
      <c r="F203" s="20" t="s">
        <v>784</v>
      </c>
      <c r="G203" t="str">
        <f ca="1">IFERROR(__xludf.DUMMYFUNCTION("UPPER(LEFT((GOOGLETRANSLATE(F203,""en"",""pt"")),1))&amp;RIGHT(lower((GOOGLETRANSLATE(F203,""en"",""pt""))),(LEN((GOOGLETRANSLATE(F203,""en"",""pt"")))-1))"),"Hospitais veterinários")</f>
        <v>Hospitais veterinários</v>
      </c>
      <c r="H203" s="36" t="s">
        <v>785</v>
      </c>
      <c r="I203" s="20" t="str">
        <f>VLOOKUP(A203,CO_Base_LNEC!$B$4:$G$271,6,FALSE)</f>
        <v>Hospitais veterinários</v>
      </c>
      <c r="J203" s="36" t="s">
        <v>785</v>
      </c>
      <c r="K203" s="24"/>
      <c r="L203" s="30" t="s">
        <v>84</v>
      </c>
      <c r="M203" s="31" t="s">
        <v>84</v>
      </c>
      <c r="N203" s="31" t="s">
        <v>84</v>
      </c>
      <c r="O203" s="30" t="s">
        <v>84</v>
      </c>
      <c r="P203" s="33" t="s">
        <v>84</v>
      </c>
      <c r="Q203" s="33" t="s">
        <v>84</v>
      </c>
      <c r="R203" s="24"/>
      <c r="S203" s="24"/>
    </row>
    <row r="204" spans="1:19" ht="14.5">
      <c r="A204" s="20" t="s">
        <v>786</v>
      </c>
      <c r="B204" s="20">
        <v>40</v>
      </c>
      <c r="C204" s="24"/>
      <c r="D204" s="24"/>
      <c r="E204" s="24"/>
      <c r="F204" s="20" t="s">
        <v>787</v>
      </c>
      <c r="G204" t="str">
        <f ca="1">IFERROR(__xludf.DUMMYFUNCTION("UPPER(LEFT((GOOGLETRANSLATE(F204,""en"",""pt"")),1))&amp;RIGHT(lower((GOOGLETRANSLATE(F204,""en"",""pt""))),(LEN((GOOGLETRANSLATE(F204,""en"",""pt"")))-1))"),"Complexos recreativos")</f>
        <v>Complexos recreativos</v>
      </c>
      <c r="H204" s="36" t="s">
        <v>788</v>
      </c>
      <c r="I204" s="20" t="str">
        <f>VLOOKUP(A204,CO_Base_LNEC!$B$4:$G$271,6,FALSE)</f>
        <v>Edifícios recreativos</v>
      </c>
      <c r="J204" s="36" t="s">
        <v>788</v>
      </c>
      <c r="K204" s="24"/>
      <c r="L204" s="30" t="s">
        <v>84</v>
      </c>
      <c r="M204" s="31" t="s">
        <v>84</v>
      </c>
      <c r="N204" s="31" t="s">
        <v>84</v>
      </c>
      <c r="O204" s="30" t="s">
        <v>84</v>
      </c>
      <c r="P204" s="33" t="s">
        <v>84</v>
      </c>
      <c r="Q204" s="33" t="s">
        <v>84</v>
      </c>
      <c r="R204" s="24"/>
      <c r="S204" s="24"/>
    </row>
    <row r="205" spans="1:19" ht="14.5">
      <c r="A205" s="20" t="s">
        <v>789</v>
      </c>
      <c r="B205" s="20">
        <v>40</v>
      </c>
      <c r="C205" s="20">
        <v>5</v>
      </c>
      <c r="D205" s="24"/>
      <c r="E205" s="24"/>
      <c r="F205" s="20" t="s">
        <v>790</v>
      </c>
      <c r="G205" t="str">
        <f ca="1">IFERROR(__xludf.DUMMYFUNCTION("UPPER(LEFT((GOOGLETRANSLATE(F205,""en"",""pt"")),1))&amp;RIGHT(lower((GOOGLETRANSLATE(F205,""en"",""pt""))),(LEN((GOOGLETRANSLATE(F205,""en"",""pt"")))-1))"),"Complexos de diversões")</f>
        <v>Complexos de diversões</v>
      </c>
      <c r="H205" s="35" t="s">
        <v>791</v>
      </c>
      <c r="I205" s="20" t="str">
        <f>VLOOKUP(A205,CO_Base_LNEC!$B$4:$G$271,6,FALSE)</f>
        <v>Infraestruturas para recreativos diversos</v>
      </c>
      <c r="J205" s="35" t="s">
        <v>791</v>
      </c>
      <c r="K205" s="24"/>
      <c r="L205" s="30" t="s">
        <v>84</v>
      </c>
      <c r="M205" s="31" t="s">
        <v>84</v>
      </c>
      <c r="N205" s="31" t="s">
        <v>84</v>
      </c>
      <c r="O205" s="30" t="s">
        <v>84</v>
      </c>
      <c r="P205" s="33" t="s">
        <v>84</v>
      </c>
      <c r="Q205" s="33" t="s">
        <v>84</v>
      </c>
      <c r="R205" s="24"/>
      <c r="S205" s="24"/>
    </row>
    <row r="206" spans="1:19" ht="14.5">
      <c r="A206" s="20" t="s">
        <v>792</v>
      </c>
      <c r="B206" s="20">
        <v>40</v>
      </c>
      <c r="C206" s="20">
        <v>5</v>
      </c>
      <c r="D206" s="20">
        <v>2</v>
      </c>
      <c r="E206" s="24"/>
      <c r="F206" s="20" t="s">
        <v>793</v>
      </c>
      <c r="G206" t="str">
        <f ca="1">IFERROR(__xludf.DUMMYFUNCTION("UPPER(LEFT((GOOGLETRANSLATE(F206,""en"",""pt"")),1))&amp;RIGHT(lower((GOOGLETRANSLATE(F206,""en"",""pt""))),(LEN((GOOGLETRANSLATE(F206,""en"",""pt"")))-1))"),"Anfiteatros")</f>
        <v>Anfiteatros</v>
      </c>
      <c r="H206" s="36" t="s">
        <v>794</v>
      </c>
      <c r="I206" s="20" t="str">
        <f>VLOOKUP(A206,CO_Base_LNEC!$B$4:$G$271,6,FALSE)</f>
        <v>Anfiteatros</v>
      </c>
      <c r="J206" s="36" t="s">
        <v>794</v>
      </c>
      <c r="K206" s="24"/>
      <c r="L206" s="30" t="s">
        <v>84</v>
      </c>
      <c r="M206" s="31" t="s">
        <v>84</v>
      </c>
      <c r="N206" s="31" t="s">
        <v>84</v>
      </c>
      <c r="O206" s="30" t="s">
        <v>84</v>
      </c>
      <c r="P206" s="33" t="s">
        <v>84</v>
      </c>
      <c r="Q206" s="33" t="s">
        <v>84</v>
      </c>
      <c r="R206" s="24"/>
      <c r="S206" s="24"/>
    </row>
    <row r="207" spans="1:19" ht="14.5">
      <c r="A207" s="20" t="s">
        <v>795</v>
      </c>
      <c r="B207" s="20">
        <v>40</v>
      </c>
      <c r="C207" s="20">
        <v>5</v>
      </c>
      <c r="D207" s="20">
        <v>3</v>
      </c>
      <c r="E207" s="24"/>
      <c r="F207" s="20" t="s">
        <v>796</v>
      </c>
      <c r="G207" t="str">
        <f ca="1">IFERROR(__xludf.DUMMYFUNCTION("UPPER(LEFT((GOOGLETRANSLATE(F207,""en"",""pt"")),1))&amp;RIGHT(lower((GOOGLETRANSLATE(F207,""en"",""pt""))),(LEN((GOOGLETRANSLATE(F207,""en"",""pt"")))-1))"),"Parques de diversão")</f>
        <v>Parques de diversão</v>
      </c>
      <c r="H207" s="36" t="s">
        <v>797</v>
      </c>
      <c r="I207" s="20" t="str">
        <f>VLOOKUP(A207,CO_Base_LNEC!$B$4:$G$271,6,FALSE)</f>
        <v>Parques de diversão</v>
      </c>
      <c r="J207" s="36" t="s">
        <v>797</v>
      </c>
      <c r="K207" s="24"/>
      <c r="L207" s="30" t="s">
        <v>84</v>
      </c>
      <c r="M207" s="31" t="s">
        <v>84</v>
      </c>
      <c r="N207" s="31" t="s">
        <v>84</v>
      </c>
      <c r="O207" s="30" t="s">
        <v>84</v>
      </c>
      <c r="P207" s="33" t="s">
        <v>84</v>
      </c>
      <c r="Q207" s="33" t="s">
        <v>84</v>
      </c>
      <c r="R207" s="24"/>
      <c r="S207" s="24"/>
    </row>
    <row r="208" spans="1:19" ht="14.5">
      <c r="A208" s="20" t="s">
        <v>798</v>
      </c>
      <c r="B208" s="20">
        <v>40</v>
      </c>
      <c r="C208" s="20">
        <v>5</v>
      </c>
      <c r="D208" s="20">
        <v>30</v>
      </c>
      <c r="E208" s="24"/>
      <c r="F208" s="20" t="s">
        <v>799</v>
      </c>
      <c r="G208" t="str">
        <f ca="1">IFERROR(__xludf.DUMMYFUNCTION("UPPER(LEFT((GOOGLETRANSLATE(F208,""en"",""pt"")),1))&amp;RIGHT(lower((GOOGLETRANSLATE(F208,""en"",""pt""))),(LEN((GOOGLETRANSLATE(F208,""en"",""pt"")))-1))"),"Complexos do recinto de diversão")</f>
        <v>Complexos do recinto de diversão</v>
      </c>
      <c r="H208" s="35" t="s">
        <v>800</v>
      </c>
      <c r="I208" s="20" t="str">
        <f>VLOOKUP(A208,CO_Base_LNEC!$B$4:$G$271,6,FALSE)</f>
        <v>Espaços de jogos e entretenimento infantil</v>
      </c>
      <c r="J208" s="35" t="s">
        <v>800</v>
      </c>
      <c r="K208" s="24"/>
      <c r="L208" s="30" t="s">
        <v>84</v>
      </c>
      <c r="M208" s="31" t="s">
        <v>84</v>
      </c>
      <c r="N208" s="31" t="s">
        <v>84</v>
      </c>
      <c r="O208" s="30" t="s">
        <v>84</v>
      </c>
      <c r="P208" s="34" t="s">
        <v>801</v>
      </c>
      <c r="Q208" s="33" t="s">
        <v>84</v>
      </c>
      <c r="R208" s="24"/>
      <c r="S208" s="24"/>
    </row>
    <row r="209" spans="1:19" ht="14.5">
      <c r="A209" s="20" t="s">
        <v>802</v>
      </c>
      <c r="B209" s="20">
        <v>40</v>
      </c>
      <c r="C209" s="20">
        <v>5</v>
      </c>
      <c r="D209" s="20">
        <v>63</v>
      </c>
      <c r="E209" s="24"/>
      <c r="F209" s="20" t="s">
        <v>803</v>
      </c>
      <c r="G209" t="str">
        <f ca="1">IFERROR(__xludf.DUMMYFUNCTION("UPPER(LEFT((GOOGLETRANSLATE(F209,""en"",""pt"")),1))&amp;RIGHT(lower((GOOGLETRANSLATE(F209,""en"",""pt""))),(LEN((GOOGLETRANSLATE(F209,""en"",""pt"")))-1))"),"Cais de recreio")</f>
        <v>Cais de recreio</v>
      </c>
      <c r="H209" s="36" t="s">
        <v>804</v>
      </c>
      <c r="I209" s="20" t="e">
        <f>VLOOKUP(A209,CO_Base_LNEC!$B$4:$G$271,6,FALSE)</f>
        <v>#N/A</v>
      </c>
      <c r="J209" s="36" t="s">
        <v>804</v>
      </c>
      <c r="K209" s="24"/>
      <c r="L209" s="30" t="s">
        <v>84</v>
      </c>
      <c r="M209" s="31" t="s">
        <v>84</v>
      </c>
      <c r="N209" s="31" t="s">
        <v>84</v>
      </c>
      <c r="O209" s="30" t="s">
        <v>84</v>
      </c>
      <c r="P209" s="34" t="s">
        <v>805</v>
      </c>
      <c r="Q209" s="33" t="s">
        <v>84</v>
      </c>
      <c r="R209" s="24"/>
      <c r="S209" s="24"/>
    </row>
    <row r="210" spans="1:19" ht="14.5">
      <c r="A210" s="20" t="s">
        <v>806</v>
      </c>
      <c r="B210" s="20">
        <v>40</v>
      </c>
      <c r="C210" s="20">
        <v>5</v>
      </c>
      <c r="D210" s="20">
        <v>89</v>
      </c>
      <c r="E210" s="24"/>
      <c r="F210" s="20" t="s">
        <v>807</v>
      </c>
      <c r="G210" t="str">
        <f ca="1">IFERROR(__xludf.DUMMYFUNCTION("UPPER(LEFT((GOOGLETRANSLATE(F210,""en"",""pt"")),1))&amp;RIGHT(lower((GOOGLETRANSLATE(F210,""en"",""pt""))),(LEN((GOOGLETRANSLATE(F210,""en"",""pt"")))-1))"),"Parques temáticos")</f>
        <v>Parques temáticos</v>
      </c>
      <c r="H210" s="36" t="s">
        <v>808</v>
      </c>
      <c r="I210" s="20" t="str">
        <f>VLOOKUP(A210,CO_Base_LNEC!$B$4:$G$271,6,FALSE)</f>
        <v>Parques temáticos</v>
      </c>
      <c r="J210" s="36" t="s">
        <v>808</v>
      </c>
      <c r="K210" s="24"/>
      <c r="L210" s="30" t="s">
        <v>84</v>
      </c>
      <c r="M210" s="31" t="s">
        <v>84</v>
      </c>
      <c r="N210" s="31" t="s">
        <v>84</v>
      </c>
      <c r="O210" s="30" t="s">
        <v>84</v>
      </c>
      <c r="P210" s="33" t="s">
        <v>84</v>
      </c>
      <c r="Q210" s="33" t="s">
        <v>84</v>
      </c>
      <c r="R210" s="24"/>
      <c r="S210" s="24"/>
    </row>
    <row r="211" spans="1:19" ht="14.5">
      <c r="A211" s="20" t="s">
        <v>809</v>
      </c>
      <c r="B211" s="20">
        <v>40</v>
      </c>
      <c r="C211" s="20">
        <v>35</v>
      </c>
      <c r="D211" s="24"/>
      <c r="E211" s="24"/>
      <c r="F211" s="20" t="s">
        <v>810</v>
      </c>
      <c r="G211" t="str">
        <f ca="1">IFERROR(__xludf.DUMMYFUNCTION("UPPER(LEFT((GOOGLETRANSLATE(F211,""en"",""pt"")),1))&amp;RIGHT(lower((GOOGLETRANSLATE(F211,""en"",""pt""))),(LEN((GOOGLETRANSLATE(F211,""en"",""pt"")))-1))"),"Complexos históricos")</f>
        <v>Complexos históricos</v>
      </c>
      <c r="H211" s="36" t="s">
        <v>811</v>
      </c>
      <c r="I211" s="20" t="e">
        <f>VLOOKUP(A211,CO_Base_LNEC!$B$4:$G$271,6,FALSE)</f>
        <v>#N/A</v>
      </c>
      <c r="J211" s="36" t="s">
        <v>811</v>
      </c>
      <c r="K211" s="24"/>
      <c r="L211" s="30" t="s">
        <v>84</v>
      </c>
      <c r="M211" s="31" t="s">
        <v>84</v>
      </c>
      <c r="N211" s="20" t="s">
        <v>812</v>
      </c>
      <c r="O211" s="30" t="s">
        <v>84</v>
      </c>
      <c r="P211" s="34" t="s">
        <v>813</v>
      </c>
      <c r="Q211" s="34" t="s">
        <v>115</v>
      </c>
      <c r="R211" s="24"/>
      <c r="S211" s="24"/>
    </row>
    <row r="212" spans="1:19" ht="14.5">
      <c r="A212" s="20" t="s">
        <v>814</v>
      </c>
      <c r="B212" s="20">
        <v>40</v>
      </c>
      <c r="C212" s="20">
        <v>35</v>
      </c>
      <c r="D212" s="20">
        <v>6</v>
      </c>
      <c r="E212" s="24"/>
      <c r="F212" s="37" t="s">
        <v>815</v>
      </c>
      <c r="G212" t="str">
        <f ca="1">IFERROR(__xludf.DUMMYFUNCTION("UPPER(LEFT((GOOGLETRANSLATE(F212,""en"",""pt"")),1))&amp;RIGHT(lower((GOOGLETRANSLATE(F212,""en"",""pt""))),(LEN((GOOGLETRANSLATE(F212,""en"",""pt"")))-1))"),"Locais de batalha")</f>
        <v>Locais de batalha</v>
      </c>
      <c r="H212" s="36" t="s">
        <v>816</v>
      </c>
      <c r="I212" s="20" t="e">
        <f>VLOOKUP(A212,CO_Base_LNEC!$B$4:$G$271,6,FALSE)</f>
        <v>#N/A</v>
      </c>
      <c r="J212" s="36" t="s">
        <v>816</v>
      </c>
      <c r="K212" s="24"/>
      <c r="L212" s="30" t="s">
        <v>84</v>
      </c>
      <c r="M212" s="31" t="s">
        <v>84</v>
      </c>
      <c r="N212" s="31" t="s">
        <v>84</v>
      </c>
      <c r="O212" s="30" t="s">
        <v>84</v>
      </c>
      <c r="P212" s="34" t="s">
        <v>817</v>
      </c>
      <c r="Q212" s="34" t="s">
        <v>818</v>
      </c>
      <c r="R212" s="24"/>
      <c r="S212" s="24"/>
    </row>
    <row r="213" spans="1:19" ht="14.5">
      <c r="A213" s="20" t="s">
        <v>819</v>
      </c>
      <c r="B213" s="20">
        <v>40</v>
      </c>
      <c r="C213" s="20">
        <v>35</v>
      </c>
      <c r="D213" s="20">
        <v>39</v>
      </c>
      <c r="E213" s="24"/>
      <c r="F213" s="20" t="s">
        <v>820</v>
      </c>
      <c r="G213" t="str">
        <f ca="1">IFERROR(__xludf.DUMMYFUNCTION("UPPER(LEFT((GOOGLETRANSLATE(F213,""en"",""pt"")),1))&amp;RIGHT(lower((GOOGLETRANSLATE(F213,""en"",""pt""))),(LEN((GOOGLETRANSLATE(F213,""en"",""pt"")))-1))"),"Sítios históricos")</f>
        <v>Sítios históricos</v>
      </c>
      <c r="H213" s="36" t="s">
        <v>821</v>
      </c>
      <c r="I213" s="20" t="e">
        <f>VLOOKUP(A213,CO_Base_LNEC!$B$4:$G$271,6,FALSE)</f>
        <v>#N/A</v>
      </c>
      <c r="J213" s="36" t="s">
        <v>821</v>
      </c>
      <c r="K213" s="24"/>
      <c r="L213" s="30" t="s">
        <v>84</v>
      </c>
      <c r="M213" s="31" t="s">
        <v>84</v>
      </c>
      <c r="N213" s="20" t="s">
        <v>822</v>
      </c>
      <c r="O213" s="30" t="s">
        <v>84</v>
      </c>
      <c r="P213" s="34" t="s">
        <v>115</v>
      </c>
      <c r="Q213" s="34" t="s">
        <v>115</v>
      </c>
      <c r="R213" s="24"/>
      <c r="S213" s="24"/>
    </row>
    <row r="214" spans="1:19" ht="14.5">
      <c r="A214" s="20" t="s">
        <v>823</v>
      </c>
      <c r="B214" s="20">
        <v>40</v>
      </c>
      <c r="C214" s="20">
        <v>35</v>
      </c>
      <c r="D214" s="20">
        <v>78</v>
      </c>
      <c r="E214" s="24"/>
      <c r="F214" s="20" t="s">
        <v>824</v>
      </c>
      <c r="G214" t="str">
        <f ca="1">IFERROR(__xludf.DUMMYFUNCTION("UPPER(LEFT((GOOGLETRANSLATE(F214,""en"",""pt"")),1))&amp;RIGHT(lower((GOOGLETRANSLATE(F214,""en"",""pt""))),(LEN((GOOGLETRANSLATE(F214,""en"",""pt"")))-1))"),"Sites da antiguidade")</f>
        <v>Sites da antiguidade</v>
      </c>
      <c r="H214" s="35" t="s">
        <v>825</v>
      </c>
      <c r="I214" s="20" t="e">
        <f>VLOOKUP(A214,CO_Base_LNEC!$B$4:$G$271,6,FALSE)</f>
        <v>#N/A</v>
      </c>
      <c r="J214" s="35" t="s">
        <v>825</v>
      </c>
      <c r="K214" s="24"/>
      <c r="L214" s="30" t="s">
        <v>84</v>
      </c>
      <c r="M214" s="31" t="s">
        <v>84</v>
      </c>
      <c r="N214" s="20" t="s">
        <v>826</v>
      </c>
      <c r="O214" s="30" t="s">
        <v>84</v>
      </c>
      <c r="P214" s="34" t="s">
        <v>115</v>
      </c>
      <c r="Q214" s="34" t="s">
        <v>115</v>
      </c>
      <c r="R214" s="24"/>
      <c r="S214" s="24"/>
    </row>
    <row r="215" spans="1:19" ht="14.5">
      <c r="A215" s="20" t="s">
        <v>827</v>
      </c>
      <c r="B215" s="20">
        <v>40</v>
      </c>
      <c r="C215" s="20">
        <v>35</v>
      </c>
      <c r="D215" s="20">
        <v>94</v>
      </c>
      <c r="E215" s="24"/>
      <c r="F215" s="20" t="s">
        <v>828</v>
      </c>
      <c r="G215" t="str">
        <f ca="1">IFERROR(__xludf.DUMMYFUNCTION("UPPER(LEFT((GOOGLETRANSLATE(F215,""en"",""pt"")),1))&amp;RIGHT(lower((GOOGLETRANSLATE(F215,""en"",""pt""))),(LEN((GOOGLETRANSLATE(F215,""en"",""pt"")))-1))"),"Terraplenagem visíveis")</f>
        <v>Terraplenagem visíveis</v>
      </c>
      <c r="H215" s="35" t="s">
        <v>829</v>
      </c>
      <c r="I215" s="20" t="e">
        <f>VLOOKUP(A215,CO_Base_LNEC!$B$4:$G$271,6,FALSE)</f>
        <v>#N/A</v>
      </c>
      <c r="J215" s="35" t="s">
        <v>829</v>
      </c>
      <c r="K215" s="24"/>
      <c r="L215" s="30" t="s">
        <v>84</v>
      </c>
      <c r="M215" s="31" t="s">
        <v>84</v>
      </c>
      <c r="N215" s="20" t="s">
        <v>830</v>
      </c>
      <c r="O215" s="30" t="s">
        <v>84</v>
      </c>
      <c r="P215" s="33" t="s">
        <v>84</v>
      </c>
      <c r="Q215" s="34" t="s">
        <v>831</v>
      </c>
      <c r="R215" s="24"/>
      <c r="S215" s="24"/>
    </row>
    <row r="216" spans="1:19" ht="14.5">
      <c r="A216" s="20" t="s">
        <v>832</v>
      </c>
      <c r="B216" s="20">
        <v>40</v>
      </c>
      <c r="C216" s="20">
        <v>60</v>
      </c>
      <c r="D216" s="24"/>
      <c r="E216" s="24"/>
      <c r="F216" s="20" t="s">
        <v>833</v>
      </c>
      <c r="G216" t="str">
        <f ca="1">IFERROR(__xludf.DUMMYFUNCTION("UPPER(LEFT((GOOGLETRANSLATE(F216,""en"",""pt"")),1))&amp;RIGHT(lower((GOOGLETRANSLATE(F216,""en"",""pt""))),(LEN((GOOGLETRANSLATE(F216,""en"",""pt"")))-1))"),"Realizando complexos de artes")</f>
        <v>Realizando complexos de artes</v>
      </c>
      <c r="H216" s="35" t="s">
        <v>834</v>
      </c>
      <c r="I216" s="20" t="str">
        <f>VLOOKUP(A216,CO_Base_LNEC!$B$4:$G$271,6,FALSE)</f>
        <v>Infraestruturas ligadas às artes</v>
      </c>
      <c r="J216" s="35" t="s">
        <v>834</v>
      </c>
      <c r="K216" s="24"/>
      <c r="L216" s="30" t="s">
        <v>84</v>
      </c>
      <c r="M216" s="31" t="s">
        <v>84</v>
      </c>
      <c r="N216" s="20" t="s">
        <v>835</v>
      </c>
      <c r="O216" s="30" t="s">
        <v>84</v>
      </c>
      <c r="P216" s="33" t="s">
        <v>84</v>
      </c>
      <c r="Q216" s="34" t="s">
        <v>115</v>
      </c>
      <c r="R216" s="24"/>
      <c r="S216" s="24"/>
    </row>
    <row r="217" spans="1:19" ht="14.5">
      <c r="A217" s="20" t="s">
        <v>836</v>
      </c>
      <c r="B217" s="20">
        <v>40</v>
      </c>
      <c r="C217" s="20">
        <v>60</v>
      </c>
      <c r="D217" s="20">
        <v>13</v>
      </c>
      <c r="E217" s="24"/>
      <c r="F217" s="20" t="s">
        <v>837</v>
      </c>
      <c r="G217" t="str">
        <f ca="1">IFERROR(__xludf.DUMMYFUNCTION("UPPER(LEFT((GOOGLETRANSLATE(F217,""en"",""pt"")),1))&amp;RIGHT(lower((GOOGLETRANSLATE(F217,""en"",""pt""))),(LEN((GOOGLETRANSLATE(F217,""en"",""pt"")))-1))"),"Complexos de cinemas")</f>
        <v>Complexos de cinemas</v>
      </c>
      <c r="H217" s="36" t="s">
        <v>838</v>
      </c>
      <c r="I217" s="20" t="str">
        <f>VLOOKUP(A217,CO_Base_LNEC!$B$4:$G$271,6,FALSE)</f>
        <v>Cinemas</v>
      </c>
      <c r="J217" s="36" t="s">
        <v>838</v>
      </c>
      <c r="K217" s="24"/>
      <c r="L217" s="30" t="s">
        <v>84</v>
      </c>
      <c r="M217" s="31" t="s">
        <v>84</v>
      </c>
      <c r="N217" s="20" t="s">
        <v>839</v>
      </c>
      <c r="O217" s="30" t="s">
        <v>84</v>
      </c>
      <c r="P217" s="33" t="s">
        <v>84</v>
      </c>
      <c r="Q217" s="34" t="s">
        <v>115</v>
      </c>
      <c r="R217" s="24"/>
      <c r="S217" s="24"/>
    </row>
    <row r="218" spans="1:19" ht="14.5">
      <c r="A218" s="20" t="s">
        <v>840</v>
      </c>
      <c r="B218" s="20">
        <v>40</v>
      </c>
      <c r="C218" s="20">
        <v>60</v>
      </c>
      <c r="D218" s="20">
        <v>14</v>
      </c>
      <c r="E218" s="24"/>
      <c r="F218" s="20" t="s">
        <v>841</v>
      </c>
      <c r="G218" t="str">
        <f ca="1">IFERROR(__xludf.DUMMYFUNCTION("UPPER(LEFT((GOOGLETRANSLATE(F218,""en"",""pt"")),1))&amp;RIGHT(lower((GOOGLETRANSLATE(F218,""en"",""pt""))),(LEN((GOOGLETRANSLATE(F218,""en"",""pt"")))-1))"),"Circos")</f>
        <v>Circos</v>
      </c>
      <c r="H218" s="36" t="s">
        <v>842</v>
      </c>
      <c r="I218" s="20" t="e">
        <f>VLOOKUP(A218,CO_Base_LNEC!$B$4:$G$271,6,FALSE)</f>
        <v>#N/A</v>
      </c>
      <c r="J218" s="36" t="s">
        <v>842</v>
      </c>
      <c r="K218" s="24"/>
      <c r="L218" s="30" t="s">
        <v>84</v>
      </c>
      <c r="M218" s="31" t="s">
        <v>84</v>
      </c>
      <c r="N218" s="31" t="s">
        <v>84</v>
      </c>
      <c r="O218" s="30" t="s">
        <v>84</v>
      </c>
      <c r="P218" s="33" t="s">
        <v>84</v>
      </c>
      <c r="Q218" s="33" t="s">
        <v>84</v>
      </c>
      <c r="R218" s="24"/>
      <c r="S218" s="24"/>
    </row>
    <row r="219" spans="1:19" ht="14.5">
      <c r="A219" s="20" t="s">
        <v>843</v>
      </c>
      <c r="B219" s="20">
        <v>40</v>
      </c>
      <c r="C219" s="20">
        <v>60</v>
      </c>
      <c r="D219" s="20">
        <v>16</v>
      </c>
      <c r="E219" s="24"/>
      <c r="F219" s="20" t="s">
        <v>844</v>
      </c>
      <c r="G219" t="str">
        <f ca="1">IFERROR(__xludf.DUMMYFUNCTION("UPPER(LEFT((GOOGLETRANSLATE(F219,""en"",""pt"")),1))&amp;RIGHT(lower((GOOGLETRANSLATE(F219,""en"",""pt""))),(LEN((GOOGLETRANSLATE(F219,""en"",""pt"")))-1))"),"Complexos de salas de concertos")</f>
        <v>Complexos de salas de concertos</v>
      </c>
      <c r="H219" s="36" t="s">
        <v>845</v>
      </c>
      <c r="I219" s="20" t="str">
        <f>VLOOKUP(A219,CO_Base_LNEC!$B$4:$G$271,6,FALSE)</f>
        <v>Edifícios para concertos</v>
      </c>
      <c r="J219" s="36" t="s">
        <v>845</v>
      </c>
      <c r="K219" s="24"/>
      <c r="L219" s="30" t="s">
        <v>84</v>
      </c>
      <c r="M219" s="31" t="s">
        <v>84</v>
      </c>
      <c r="N219" s="31" t="s">
        <v>84</v>
      </c>
      <c r="O219" s="30" t="s">
        <v>84</v>
      </c>
      <c r="P219" s="33" t="s">
        <v>84</v>
      </c>
      <c r="Q219" s="33" t="s">
        <v>84</v>
      </c>
      <c r="R219" s="24"/>
      <c r="S219" s="24"/>
    </row>
    <row r="220" spans="1:19" ht="14.5">
      <c r="A220" s="20" t="s">
        <v>846</v>
      </c>
      <c r="B220" s="20">
        <v>40</v>
      </c>
      <c r="C220" s="20">
        <v>60</v>
      </c>
      <c r="D220" s="20">
        <v>30</v>
      </c>
      <c r="E220" s="24"/>
      <c r="F220" s="20" t="s">
        <v>847</v>
      </c>
      <c r="G220" t="str">
        <f ca="1">IFERROR(__xludf.DUMMYFUNCTION("UPPER(LEFT((GOOGLETRANSLATE(F220,""en"",""pt"")),1))&amp;RIGHT(lower((GOOGLETRANSLATE(F220,""en"",""pt""))),(LEN((GOOGLETRANSLATE(F220,""en"",""pt"")))-1))"),"Complexos de estúdios de cinema e televisão")</f>
        <v>Complexos de estúdios de cinema e televisão</v>
      </c>
      <c r="H220" s="36" t="s">
        <v>848</v>
      </c>
      <c r="I220" s="20" t="str">
        <f>VLOOKUP(A220,CO_Base_LNEC!$B$4:$G$271,6,FALSE)</f>
        <v>Estúdios de televisão e filmagens</v>
      </c>
      <c r="J220" s="36" t="s">
        <v>848</v>
      </c>
      <c r="K220" s="24"/>
      <c r="L220" s="30" t="s">
        <v>84</v>
      </c>
      <c r="M220" s="31" t="s">
        <v>84</v>
      </c>
      <c r="N220" s="20" t="s">
        <v>849</v>
      </c>
      <c r="O220" s="30" t="s">
        <v>84</v>
      </c>
      <c r="P220" s="33" t="s">
        <v>84</v>
      </c>
      <c r="Q220" s="34" t="s">
        <v>115</v>
      </c>
      <c r="R220" s="24"/>
      <c r="S220" s="24"/>
    </row>
    <row r="221" spans="1:19" ht="14.5">
      <c r="A221" s="20" t="s">
        <v>850</v>
      </c>
      <c r="B221" s="20">
        <v>40</v>
      </c>
      <c r="C221" s="20">
        <v>60</v>
      </c>
      <c r="D221" s="20">
        <v>88</v>
      </c>
      <c r="E221" s="24"/>
      <c r="F221" s="20" t="s">
        <v>851</v>
      </c>
      <c r="G221" t="str">
        <f ca="1">IFERROR(__xludf.DUMMYFUNCTION("UPPER(LEFT((GOOGLETRANSLATE(F221,""en"",""pt"")),1))&amp;RIGHT(lower((GOOGLETRANSLATE(F221,""en"",""pt""))),(LEN((GOOGLETRANSLATE(F221,""en"",""pt"")))-1))"),"Complexos de cinema")</f>
        <v>Complexos de cinema</v>
      </c>
      <c r="H221" s="36" t="s">
        <v>852</v>
      </c>
      <c r="I221" s="20" t="str">
        <f>VLOOKUP(A221,CO_Base_LNEC!$B$4:$G$271,6,FALSE)</f>
        <v>Teatros</v>
      </c>
      <c r="J221" s="20" t="s">
        <v>853</v>
      </c>
      <c r="K221" s="20"/>
      <c r="L221" s="30" t="s">
        <v>84</v>
      </c>
      <c r="M221" s="31" t="s">
        <v>84</v>
      </c>
      <c r="N221" s="31" t="s">
        <v>84</v>
      </c>
      <c r="O221" s="30" t="s">
        <v>84</v>
      </c>
      <c r="P221" s="33" t="s">
        <v>84</v>
      </c>
      <c r="Q221" s="33" t="s">
        <v>84</v>
      </c>
      <c r="R221" s="24"/>
      <c r="S221" s="24"/>
    </row>
    <row r="222" spans="1:19" ht="14.5">
      <c r="A222" s="20" t="s">
        <v>854</v>
      </c>
      <c r="B222" s="20">
        <v>40</v>
      </c>
      <c r="C222" s="20">
        <v>75</v>
      </c>
      <c r="D222" s="24"/>
      <c r="E222" s="24"/>
      <c r="F222" s="20" t="s">
        <v>855</v>
      </c>
      <c r="G222" t="str">
        <f ca="1">IFERROR(__xludf.DUMMYFUNCTION("UPPER(LEFT((GOOGLETRANSLATE(F222,""en"",""pt"")),1))&amp;RIGHT(lower((GOOGLETRANSLATE(F222,""en"",""pt""))),(LEN((GOOGLETRANSLATE(F222,""en"",""pt"")))-1))"),"Complexos de recreação social")</f>
        <v>Complexos de recreação social</v>
      </c>
      <c r="H222" s="36" t="s">
        <v>856</v>
      </c>
      <c r="I222" s="20" t="str">
        <f>VLOOKUP(A222,CO_Base_LNEC!$B$4:$G$271,6,FALSE)</f>
        <v>Edifícios de ação social</v>
      </c>
      <c r="J222" s="35" t="s">
        <v>857</v>
      </c>
      <c r="K222" s="24"/>
      <c r="L222" s="30" t="s">
        <v>84</v>
      </c>
      <c r="M222" s="31" t="s">
        <v>84</v>
      </c>
      <c r="N222" s="20" t="s">
        <v>858</v>
      </c>
      <c r="O222" s="30" t="s">
        <v>84</v>
      </c>
      <c r="P222" s="33" t="s">
        <v>84</v>
      </c>
      <c r="Q222" s="34" t="s">
        <v>115</v>
      </c>
      <c r="R222" s="24"/>
      <c r="S222" s="24"/>
    </row>
    <row r="223" spans="1:19" ht="14.5">
      <c r="A223" s="20" t="s">
        <v>859</v>
      </c>
      <c r="B223" s="20">
        <v>40</v>
      </c>
      <c r="C223" s="20">
        <v>75</v>
      </c>
      <c r="D223" s="20">
        <v>15</v>
      </c>
      <c r="E223" s="24"/>
      <c r="F223" s="20" t="s">
        <v>860</v>
      </c>
      <c r="G223" t="str">
        <f ca="1">IFERROR(__xludf.DUMMYFUNCTION("UPPER(LEFT((GOOGLETRANSLATE(F223,""en"",""pt"")),1))&amp;RIGHT(lower((GOOGLETRANSLATE(F223,""en"",""pt""))),(LEN((GOOGLETRANSLATE(F223,""en"",""pt"")))-1))"),"Centros comunitários")</f>
        <v>Centros comunitários</v>
      </c>
      <c r="H223" s="36" t="s">
        <v>861</v>
      </c>
      <c r="I223" s="20" t="str">
        <f>VLOOKUP(A223,CO_Base_LNEC!$B$4:$G$271,6,FALSE)</f>
        <v>Centros comunitários</v>
      </c>
      <c r="J223" s="36" t="s">
        <v>861</v>
      </c>
      <c r="K223" s="24"/>
      <c r="L223" s="30" t="s">
        <v>84</v>
      </c>
      <c r="M223" s="31" t="s">
        <v>84</v>
      </c>
      <c r="N223" s="31" t="s">
        <v>84</v>
      </c>
      <c r="O223" s="30" t="s">
        <v>84</v>
      </c>
      <c r="P223" s="33" t="s">
        <v>84</v>
      </c>
      <c r="Q223" s="33" t="s">
        <v>84</v>
      </c>
      <c r="R223" s="24"/>
      <c r="S223" s="24"/>
    </row>
    <row r="224" spans="1:19" ht="14.5">
      <c r="A224" s="20" t="s">
        <v>862</v>
      </c>
      <c r="B224" s="20">
        <v>40</v>
      </c>
      <c r="C224" s="20">
        <v>75</v>
      </c>
      <c r="D224" s="20">
        <v>17</v>
      </c>
      <c r="E224" s="24"/>
      <c r="F224" s="20" t="s">
        <v>863</v>
      </c>
      <c r="G224" t="str">
        <f ca="1">IFERROR(__xludf.DUMMYFUNCTION("UPPER(LEFT((GOOGLETRANSLATE(F224,""en"",""pt"")),1))&amp;RIGHT(lower((GOOGLETRANSLATE(F224,""en"",""pt""))),(LEN((GOOGLETRANSLATE(F224,""en"",""pt"")))-1))"),"Parques país")</f>
        <v>Parques país</v>
      </c>
      <c r="H224" s="35" t="s">
        <v>864</v>
      </c>
      <c r="I224" s="20" t="e">
        <f>VLOOKUP(A224,CO_Base_LNEC!$B$4:$G$271,6,FALSE)</f>
        <v>#N/A</v>
      </c>
      <c r="J224" s="35" t="s">
        <v>864</v>
      </c>
      <c r="K224" s="24"/>
      <c r="L224" s="30" t="s">
        <v>84</v>
      </c>
      <c r="M224" s="31" t="s">
        <v>84</v>
      </c>
      <c r="N224" s="31" t="s">
        <v>84</v>
      </c>
      <c r="O224" s="30" t="s">
        <v>84</v>
      </c>
      <c r="P224" s="33" t="s">
        <v>84</v>
      </c>
      <c r="Q224" s="33" t="s">
        <v>84</v>
      </c>
      <c r="R224" s="24"/>
      <c r="S224" s="24"/>
    </row>
    <row r="225" spans="1:19" ht="14.5">
      <c r="A225" s="20" t="s">
        <v>865</v>
      </c>
      <c r="B225" s="20">
        <v>40</v>
      </c>
      <c r="C225" s="20">
        <v>75</v>
      </c>
      <c r="D225" s="20">
        <v>68</v>
      </c>
      <c r="E225" s="24"/>
      <c r="F225" s="20" t="s">
        <v>866</v>
      </c>
      <c r="G225" t="str">
        <f ca="1">IFERROR(__xludf.DUMMYFUNCTION("UPPER(LEFT((GOOGLETRANSLATE(F225,""en"",""pt"")),1))&amp;RIGHT(lower((GOOGLETRANSLATE(F225,""en"",""pt""))),(LEN((GOOGLETRANSLATE(F225,""en"",""pt"")))-1))"),"Parques públicos")</f>
        <v>Parques públicos</v>
      </c>
      <c r="H225" s="36" t="s">
        <v>867</v>
      </c>
      <c r="I225" s="20" t="str">
        <f>VLOOKUP(A225,CO_Base_LNEC!$B$4:$G$271,6,FALSE)</f>
        <v>Parques públicos</v>
      </c>
      <c r="J225" s="36" t="s">
        <v>867</v>
      </c>
      <c r="K225" s="24"/>
      <c r="L225" s="30" t="s">
        <v>84</v>
      </c>
      <c r="M225" s="31" t="s">
        <v>84</v>
      </c>
      <c r="N225" s="31" t="s">
        <v>84</v>
      </c>
      <c r="O225" s="30" t="s">
        <v>84</v>
      </c>
      <c r="P225" s="33" t="s">
        <v>84</v>
      </c>
      <c r="Q225" s="33" t="s">
        <v>84</v>
      </c>
      <c r="R225" s="24"/>
      <c r="S225" s="24"/>
    </row>
    <row r="226" spans="1:19" ht="14.5">
      <c r="A226" s="20" t="s">
        <v>868</v>
      </c>
      <c r="B226" s="20">
        <v>40</v>
      </c>
      <c r="C226" s="20">
        <v>75</v>
      </c>
      <c r="D226" s="20">
        <v>71</v>
      </c>
      <c r="E226" s="24"/>
      <c r="F226" s="20" t="s">
        <v>869</v>
      </c>
      <c r="G226" t="str">
        <f ca="1">IFERROR(__xludf.DUMMYFUNCTION("UPPER(LEFT((GOOGLETRANSLATE(F226,""en"",""pt"")),1))&amp;RIGHT(lower((GOOGLETRANSLATE(F226,""en"",""pt""))),(LEN((GOOGLETRANSLATE(F226,""en"",""pt"")))-1))"),"Recreativos")</f>
        <v>Recreativos</v>
      </c>
      <c r="H226" s="35" t="s">
        <v>870</v>
      </c>
      <c r="I226" s="20" t="e">
        <f>VLOOKUP(A226,CO_Base_LNEC!$B$4:$G$271,6,FALSE)</f>
        <v>#N/A</v>
      </c>
      <c r="J226" s="35" t="s">
        <v>870</v>
      </c>
      <c r="K226" s="24"/>
      <c r="L226" s="30" t="s">
        <v>84</v>
      </c>
      <c r="M226" s="31" t="s">
        <v>84</v>
      </c>
      <c r="N226" s="31" t="s">
        <v>84</v>
      </c>
      <c r="O226" s="30" t="s">
        <v>84</v>
      </c>
      <c r="P226" s="33" t="s">
        <v>84</v>
      </c>
      <c r="Q226" s="33" t="s">
        <v>84</v>
      </c>
      <c r="R226" s="24"/>
      <c r="S226" s="24"/>
    </row>
    <row r="227" spans="1:19" ht="14.5">
      <c r="A227" s="20" t="s">
        <v>871</v>
      </c>
      <c r="B227" s="20">
        <v>42</v>
      </c>
      <c r="C227" s="24"/>
      <c r="D227" s="24"/>
      <c r="E227" s="24"/>
      <c r="F227" s="20" t="s">
        <v>872</v>
      </c>
      <c r="G227" t="str">
        <f ca="1">IFERROR(__xludf.DUMMYFUNCTION("UPPER(LEFT((GOOGLETRANSLATE(F227,""en"",""pt"")),1))&amp;RIGHT(lower((GOOGLETRANSLATE(F227,""en"",""pt""))),(LEN((GOOGLETRANSLATE(F227,""en"",""pt"")))-1))"),"Complexos desportivos e de actividade")</f>
        <v>Complexos desportivos e de actividade</v>
      </c>
      <c r="H227" s="35" t="s">
        <v>873</v>
      </c>
      <c r="I227" s="20" t="str">
        <f>VLOOKUP(A227,CO_Base_LNEC!$B$4:$G$271,6,FALSE)</f>
        <v>Infraestruturas para práticas desportivas e atividades</v>
      </c>
      <c r="J227" s="20" t="s">
        <v>874</v>
      </c>
      <c r="K227" s="20"/>
      <c r="L227" s="30" t="s">
        <v>84</v>
      </c>
      <c r="M227" s="31" t="s">
        <v>84</v>
      </c>
      <c r="N227" s="31" t="s">
        <v>84</v>
      </c>
      <c r="O227" s="37" t="s">
        <v>875</v>
      </c>
      <c r="P227" s="34" t="s">
        <v>873</v>
      </c>
      <c r="Q227" s="34" t="s">
        <v>873</v>
      </c>
      <c r="R227" s="24"/>
      <c r="S227" s="24"/>
    </row>
    <row r="228" spans="1:19" ht="14.5">
      <c r="A228" s="20" t="s">
        <v>876</v>
      </c>
      <c r="B228" s="20">
        <v>42</v>
      </c>
      <c r="C228" s="20">
        <v>40</v>
      </c>
      <c r="D228" s="24"/>
      <c r="E228" s="24"/>
      <c r="F228" s="20" t="s">
        <v>877</v>
      </c>
      <c r="G228" t="str">
        <f ca="1">IFERROR(__xludf.DUMMYFUNCTION("UPPER(LEFT((GOOGLETRANSLATE(F228,""en"",""pt"")),1))&amp;RIGHT(lower((GOOGLETRANSLATE(F228,""en"",""pt""))),(LEN((GOOGLETRANSLATE(F228,""en"",""pt"")))-1))"),"Complexos de actividade interiores")</f>
        <v>Complexos de actividade interiores</v>
      </c>
      <c r="H228" s="35" t="s">
        <v>878</v>
      </c>
      <c r="I228" s="20" t="str">
        <f>VLOOKUP(A228,CO_Base_LNEC!$B$4:$G$271,6,FALSE)</f>
        <v>Infraestruturas cobertas para a prática de atividades</v>
      </c>
      <c r="J228" s="35" t="s">
        <v>878</v>
      </c>
      <c r="K228" s="24"/>
      <c r="L228" s="30" t="s">
        <v>84</v>
      </c>
      <c r="M228" s="31" t="s">
        <v>84</v>
      </c>
      <c r="N228" s="31" t="s">
        <v>84</v>
      </c>
      <c r="O228" s="30" t="s">
        <v>84</v>
      </c>
      <c r="P228" s="33" t="s">
        <v>84</v>
      </c>
      <c r="Q228" s="33" t="s">
        <v>84</v>
      </c>
      <c r="R228" s="24"/>
      <c r="S228" s="24"/>
    </row>
    <row r="229" spans="1:19" ht="14.5">
      <c r="A229" s="20" t="s">
        <v>879</v>
      </c>
      <c r="B229" s="20">
        <v>42</v>
      </c>
      <c r="C229" s="20">
        <v>40</v>
      </c>
      <c r="D229" s="20">
        <v>10</v>
      </c>
      <c r="E229" s="24"/>
      <c r="F229" s="20" t="s">
        <v>880</v>
      </c>
      <c r="G229" t="str">
        <f ca="1">IFERROR(__xludf.DUMMYFUNCTION("UPPER(LEFT((GOOGLETRANSLATE(F229,""en"",""pt"")),1))&amp;RIGHT(lower((GOOGLETRANSLATE(F229,""en"",""pt""))),(LEN((GOOGLETRANSLATE(F229,""en"",""pt"")))-1))"),"Atletismo em pista coberta estádios")</f>
        <v>Atletismo em pista coberta estádios</v>
      </c>
      <c r="H229" s="35" t="s">
        <v>881</v>
      </c>
      <c r="I229" s="20" t="str">
        <f>VLOOKUP(A229,CO_Base_LNEC!$B$4:$G$271,6,FALSE)</f>
        <v>Pistas de atletismo cobertas</v>
      </c>
      <c r="J229" s="35" t="s">
        <v>881</v>
      </c>
      <c r="K229" s="24"/>
      <c r="L229" s="43" t="s">
        <v>882</v>
      </c>
      <c r="M229" s="31" t="s">
        <v>84</v>
      </c>
      <c r="N229" s="31" t="s">
        <v>84</v>
      </c>
      <c r="O229" s="30" t="s">
        <v>84</v>
      </c>
      <c r="P229" s="33" t="s">
        <v>84</v>
      </c>
      <c r="Q229" s="33" t="s">
        <v>84</v>
      </c>
      <c r="R229" s="24"/>
      <c r="S229" s="24"/>
    </row>
    <row r="230" spans="1:19" ht="14.5">
      <c r="A230" s="20" t="s">
        <v>883</v>
      </c>
      <c r="B230" s="20">
        <v>42</v>
      </c>
      <c r="C230" s="20">
        <v>40</v>
      </c>
      <c r="D230" s="20">
        <v>40</v>
      </c>
      <c r="E230" s="24"/>
      <c r="F230" s="20" t="s">
        <v>884</v>
      </c>
      <c r="G230" t="str">
        <f ca="1">IFERROR(__xludf.DUMMYFUNCTION("UPPER(LEFT((GOOGLETRANSLATE(F230,""en"",""pt"")),1))&amp;RIGHT(lower((GOOGLETRANSLATE(F230,""en"",""pt""))),(LEN((GOOGLETRANSLATE(F230,""en"",""pt"")))-1))"),"Complexos desportivos interiores")</f>
        <v>Complexos desportivos interiores</v>
      </c>
      <c r="H230" s="35" t="s">
        <v>885</v>
      </c>
      <c r="I230" s="20" t="str">
        <f>VLOOKUP(A230,CO_Base_LNEC!$B$4:$G$271,6,FALSE)</f>
        <v>Polidesportivos</v>
      </c>
      <c r="J230" s="35" t="s">
        <v>885</v>
      </c>
      <c r="K230" s="24"/>
      <c r="L230" s="30" t="s">
        <v>84</v>
      </c>
      <c r="M230" s="31" t="s">
        <v>84</v>
      </c>
      <c r="N230" s="31" t="s">
        <v>84</v>
      </c>
      <c r="O230" s="30" t="s">
        <v>84</v>
      </c>
      <c r="P230" s="33" t="s">
        <v>84</v>
      </c>
      <c r="Q230" s="34" t="s">
        <v>885</v>
      </c>
      <c r="R230" s="24"/>
      <c r="S230" s="24"/>
    </row>
    <row r="231" spans="1:19" ht="14.5">
      <c r="A231" s="20" t="s">
        <v>886</v>
      </c>
      <c r="B231" s="20">
        <v>42</v>
      </c>
      <c r="C231" s="20">
        <v>50</v>
      </c>
      <c r="D231" s="24"/>
      <c r="E231" s="24"/>
      <c r="F231" s="20" t="s">
        <v>887</v>
      </c>
      <c r="G231" t="str">
        <f ca="1">IFERROR(__xludf.DUMMYFUNCTION("UPPER(LEFT((GOOGLETRANSLATE(F231,""en"",""pt"")),1))&amp;RIGHT(lower((GOOGLETRANSLATE(F231,""en"",""pt""))),(LEN((GOOGLETRANSLATE(F231,""en"",""pt"")))-1))"),"Complexos de actividades ao ar livre")</f>
        <v>Complexos de actividades ao ar livre</v>
      </c>
      <c r="H231" s="36" t="s">
        <v>888</v>
      </c>
      <c r="I231" s="20" t="str">
        <f>VLOOKUP(A231,CO_Base_LNEC!$B$4:$G$271,6,FALSE)</f>
        <v>Infraestruturas ao ar livre para a prática de atividades</v>
      </c>
      <c r="J231" s="36" t="s">
        <v>888</v>
      </c>
      <c r="K231" s="24"/>
      <c r="L231" s="30" t="s">
        <v>84</v>
      </c>
      <c r="M231" s="31" t="s">
        <v>84</v>
      </c>
      <c r="N231" s="31" t="s">
        <v>84</v>
      </c>
      <c r="O231" s="30" t="s">
        <v>84</v>
      </c>
      <c r="P231" s="33" t="s">
        <v>84</v>
      </c>
      <c r="Q231" s="33" t="s">
        <v>84</v>
      </c>
      <c r="R231" s="24"/>
      <c r="S231" s="24"/>
    </row>
    <row r="232" spans="1:19" ht="14.5">
      <c r="A232" s="20" t="s">
        <v>889</v>
      </c>
      <c r="B232" s="20">
        <v>42</v>
      </c>
      <c r="C232" s="20">
        <v>50</v>
      </c>
      <c r="D232" s="20">
        <v>10</v>
      </c>
      <c r="E232" s="24"/>
      <c r="F232" s="20" t="s">
        <v>890</v>
      </c>
      <c r="G232" t="str">
        <f ca="1">IFERROR(__xludf.DUMMYFUNCTION("UPPER(LEFT((GOOGLETRANSLATE(F232,""en"",""pt"")),1))&amp;RIGHT(lower((GOOGLETRANSLATE(F232,""en"",""pt""))),(LEN((GOOGLETRANSLATE(F232,""en"",""pt"")))-1))"),"Atletismo ao ar livre estádios")</f>
        <v>Atletismo ao ar livre estádios</v>
      </c>
      <c r="H232" s="35" t="s">
        <v>891</v>
      </c>
      <c r="I232" s="20" t="str">
        <f>VLOOKUP(A232,CO_Base_LNEC!$B$4:$G$271,6,FALSE)</f>
        <v>Pistas de atletismo ao ar livre</v>
      </c>
      <c r="J232" s="20" t="s">
        <v>892</v>
      </c>
      <c r="K232" s="20"/>
      <c r="L232" s="43" t="s">
        <v>893</v>
      </c>
      <c r="M232" s="31" t="s">
        <v>84</v>
      </c>
      <c r="N232" s="31" t="s">
        <v>84</v>
      </c>
      <c r="O232" s="30" t="s">
        <v>84</v>
      </c>
      <c r="P232" s="33" t="s">
        <v>84</v>
      </c>
      <c r="Q232" s="33" t="s">
        <v>84</v>
      </c>
      <c r="R232" s="24"/>
      <c r="S232" s="24"/>
    </row>
    <row r="233" spans="1:19" ht="14.5">
      <c r="A233" s="20" t="s">
        <v>894</v>
      </c>
      <c r="B233" s="20">
        <v>42</v>
      </c>
      <c r="C233" s="20">
        <v>50</v>
      </c>
      <c r="D233" s="20">
        <v>30</v>
      </c>
      <c r="E233" s="24"/>
      <c r="F233" s="20" t="s">
        <v>895</v>
      </c>
      <c r="G233" t="str">
        <f ca="1">IFERROR(__xludf.DUMMYFUNCTION("UPPER(LEFT((GOOGLETRANSLATE(F233,""en"",""pt"")),1))&amp;RIGHT(lower((GOOGLETRANSLATE(F233,""en"",""pt""))),(LEN((GOOGLETRANSLATE(F233,""en"",""pt"")))-1))"),"Campos de golfe")</f>
        <v>Campos de golfe</v>
      </c>
      <c r="H233" s="36" t="s">
        <v>896</v>
      </c>
      <c r="I233" s="20" t="str">
        <f>VLOOKUP(A233,CO_Base_LNEC!$B$4:$G$271,6,FALSE)</f>
        <v>Campos de golfe</v>
      </c>
      <c r="J233" s="36" t="s">
        <v>896</v>
      </c>
      <c r="K233" s="24"/>
      <c r="L233" s="30" t="s">
        <v>84</v>
      </c>
      <c r="M233" s="31" t="s">
        <v>84</v>
      </c>
      <c r="N233" s="31" t="s">
        <v>84</v>
      </c>
      <c r="O233" s="30" t="s">
        <v>84</v>
      </c>
      <c r="P233" s="33" t="s">
        <v>84</v>
      </c>
      <c r="Q233" s="33" t="s">
        <v>84</v>
      </c>
      <c r="R233" s="24"/>
      <c r="S233" s="24"/>
    </row>
    <row r="234" spans="1:19" ht="14.5">
      <c r="A234" s="20" t="s">
        <v>897</v>
      </c>
      <c r="B234" s="20">
        <v>42</v>
      </c>
      <c r="C234" s="20">
        <v>50</v>
      </c>
      <c r="D234" s="20">
        <v>60</v>
      </c>
      <c r="E234" s="24"/>
      <c r="F234" s="20" t="s">
        <v>898</v>
      </c>
      <c r="G234" t="str">
        <f ca="1">IFERROR(__xludf.DUMMYFUNCTION("UPPER(LEFT((GOOGLETRANSLATE(F234,""en"",""pt"")),1))&amp;RIGHT(lower((GOOGLETRANSLATE(F234,""en"",""pt""))),(LEN((GOOGLETRANSLATE(F234,""en"",""pt"")))-1))"),"Complexos desportivos ao ar livre")</f>
        <v>Complexos desportivos ao ar livre</v>
      </c>
      <c r="H234" s="35" t="s">
        <v>899</v>
      </c>
      <c r="I234" s="20" t="str">
        <f>VLOOKUP(A234,CO_Base_LNEC!$B$4:$G$271,6,FALSE)</f>
        <v>Polidesportivos ao ar livre</v>
      </c>
      <c r="J234" s="35" t="s">
        <v>899</v>
      </c>
      <c r="K234" s="24"/>
      <c r="L234" s="30" t="s">
        <v>84</v>
      </c>
      <c r="M234" s="31" t="s">
        <v>84</v>
      </c>
      <c r="N234" s="31" t="s">
        <v>84</v>
      </c>
      <c r="O234" s="30" t="s">
        <v>84</v>
      </c>
      <c r="P234" s="33" t="s">
        <v>84</v>
      </c>
      <c r="Q234" s="33" t="s">
        <v>84</v>
      </c>
      <c r="R234" s="24"/>
      <c r="S234" s="24"/>
    </row>
    <row r="235" spans="1:19" ht="14.5">
      <c r="A235" s="20" t="s">
        <v>900</v>
      </c>
      <c r="B235" s="20">
        <v>42</v>
      </c>
      <c r="C235" s="20">
        <v>50</v>
      </c>
      <c r="D235" s="20">
        <v>70</v>
      </c>
      <c r="E235" s="24"/>
      <c r="F235" s="20" t="s">
        <v>901</v>
      </c>
      <c r="G235" t="str">
        <f ca="1">IFERROR(__xludf.DUMMYFUNCTION("UPPER(LEFT((GOOGLETRANSLATE(F235,""en"",""pt"")),1))&amp;RIGHT(lower((GOOGLETRANSLATE(F235,""en"",""pt""))),(LEN((GOOGLETRANSLATE(F235,""en"",""pt"")))-1))"),"Galope do cavalo de raça")</f>
        <v>Galope do cavalo de raça</v>
      </c>
      <c r="H235" s="35" t="s">
        <v>902</v>
      </c>
      <c r="I235" s="20" t="str">
        <f>VLOOKUP(A235,CO_Base_LNEC!$B$4:$G$271,6,FALSE)</f>
        <v>Hipódromos e outras instalações para desportos equestres</v>
      </c>
      <c r="J235" s="35" t="s">
        <v>902</v>
      </c>
      <c r="K235" s="24"/>
      <c r="L235" s="30" t="s">
        <v>84</v>
      </c>
      <c r="M235" s="31" t="s">
        <v>84</v>
      </c>
      <c r="N235" s="31" t="s">
        <v>84</v>
      </c>
      <c r="O235" s="30" t="s">
        <v>84</v>
      </c>
      <c r="P235" s="33" t="s">
        <v>84</v>
      </c>
      <c r="Q235" s="33" t="s">
        <v>84</v>
      </c>
      <c r="R235" s="24"/>
      <c r="S235" s="24"/>
    </row>
    <row r="236" spans="1:19" ht="14.5">
      <c r="A236" s="20" t="s">
        <v>903</v>
      </c>
      <c r="B236" s="20">
        <v>42</v>
      </c>
      <c r="C236" s="20">
        <v>50</v>
      </c>
      <c r="D236" s="20">
        <v>95</v>
      </c>
      <c r="E236" s="24"/>
      <c r="F236" s="20" t="s">
        <v>904</v>
      </c>
      <c r="G236" t="str">
        <f ca="1">IFERROR(__xludf.DUMMYFUNCTION("UPPER(LEFT((GOOGLETRANSLATE(F236,""en"",""pt"")),1))&amp;RIGHT(lower((GOOGLETRANSLATE(F236,""en"",""pt""))),(LEN((GOOGLETRANSLATE(F236,""en"",""pt"")))-1))"),"Complexos desportivos de inverno")</f>
        <v>Complexos desportivos de inverno</v>
      </c>
      <c r="H236" s="36" t="s">
        <v>905</v>
      </c>
      <c r="I236" s="20" t="e">
        <f>VLOOKUP(A236,CO_Base_LNEC!$B$4:$G$271,6,FALSE)</f>
        <v>#N/A</v>
      </c>
      <c r="J236" s="36" t="s">
        <v>905</v>
      </c>
      <c r="K236" s="24"/>
      <c r="L236" s="30" t="s">
        <v>84</v>
      </c>
      <c r="M236" s="31" t="s">
        <v>84</v>
      </c>
      <c r="N236" s="31" t="s">
        <v>84</v>
      </c>
      <c r="O236" s="30" t="s">
        <v>84</v>
      </c>
      <c r="P236" s="33" t="s">
        <v>84</v>
      </c>
      <c r="Q236" s="33" t="s">
        <v>84</v>
      </c>
      <c r="R236" s="24"/>
      <c r="S236" s="24"/>
    </row>
    <row r="237" spans="1:19" ht="14.5">
      <c r="A237" s="20" t="s">
        <v>906</v>
      </c>
      <c r="B237" s="20">
        <v>42</v>
      </c>
      <c r="C237" s="20">
        <v>85</v>
      </c>
      <c r="D237" s="24"/>
      <c r="E237" s="24"/>
      <c r="F237" s="20" t="s">
        <v>907</v>
      </c>
      <c r="G237" t="str">
        <f ca="1">IFERROR(__xludf.DUMMYFUNCTION("UPPER(LEFT((GOOGLETRANSLATE(F237,""en"",""pt"")),1))&amp;RIGHT(lower((GOOGLETRANSLATE(F237,""en"",""pt""))),(LEN((GOOGLETRANSLATE(F237,""en"",""pt"")))-1))"),"Complexos de natação")</f>
        <v>Complexos de natação</v>
      </c>
      <c r="H237" s="36" t="s">
        <v>908</v>
      </c>
      <c r="I237" s="20" t="str">
        <f>VLOOKUP(A237,CO_Base_LNEC!$B$4:$G$271,6,FALSE)</f>
        <v>Infraestruturas aquáticas</v>
      </c>
      <c r="J237" s="35" t="s">
        <v>909</v>
      </c>
      <c r="K237" s="24"/>
      <c r="L237" s="30" t="s">
        <v>84</v>
      </c>
      <c r="M237" s="31" t="s">
        <v>84</v>
      </c>
      <c r="N237" s="20" t="s">
        <v>910</v>
      </c>
      <c r="O237" s="30" t="s">
        <v>84</v>
      </c>
      <c r="P237" s="33" t="s">
        <v>84</v>
      </c>
      <c r="Q237" s="33" t="s">
        <v>84</v>
      </c>
      <c r="R237" s="24"/>
      <c r="S237" s="24"/>
    </row>
    <row r="238" spans="1:19" ht="14.5">
      <c r="A238" s="20" t="s">
        <v>911</v>
      </c>
      <c r="B238" s="20">
        <v>42</v>
      </c>
      <c r="C238" s="20">
        <v>85</v>
      </c>
      <c r="D238" s="20">
        <v>40</v>
      </c>
      <c r="E238" s="24"/>
      <c r="F238" s="20" t="s">
        <v>912</v>
      </c>
      <c r="G238" t="str">
        <f ca="1">IFERROR(__xludf.DUMMYFUNCTION("UPPER(LEFT((GOOGLETRANSLATE(F238,""en"",""pt"")),1))&amp;RIGHT(lower((GOOGLETRANSLATE(F238,""en"",""pt""))),(LEN((GOOGLETRANSLATE(F238,""en"",""pt"")))-1))"),"Complexos piscina interior")</f>
        <v>Complexos piscina interior</v>
      </c>
      <c r="H238" s="35" t="s">
        <v>913</v>
      </c>
      <c r="I238" s="20" t="str">
        <f>VLOOKUP(A238,CO_Base_LNEC!$B$4:$G$271,6,FALSE)</f>
        <v>Piscinas cobertas</v>
      </c>
      <c r="J238" s="35" t="s">
        <v>914</v>
      </c>
      <c r="K238" s="24"/>
      <c r="L238" s="30" t="s">
        <v>84</v>
      </c>
      <c r="M238" s="31" t="s">
        <v>84</v>
      </c>
      <c r="N238" s="31" t="s">
        <v>84</v>
      </c>
      <c r="O238" s="30" t="s">
        <v>84</v>
      </c>
      <c r="P238" s="33" t="s">
        <v>84</v>
      </c>
      <c r="Q238" s="33" t="s">
        <v>84</v>
      </c>
      <c r="R238" s="24"/>
      <c r="S238" s="24"/>
    </row>
    <row r="239" spans="1:19" ht="14.5">
      <c r="A239" s="20" t="s">
        <v>915</v>
      </c>
      <c r="B239" s="20">
        <v>42</v>
      </c>
      <c r="C239" s="20">
        <v>85</v>
      </c>
      <c r="D239" s="20">
        <v>60</v>
      </c>
      <c r="E239" s="24"/>
      <c r="F239" s="20" t="s">
        <v>916</v>
      </c>
      <c r="G239" t="str">
        <f ca="1">IFERROR(__xludf.DUMMYFUNCTION("UPPER(LEFT((GOOGLETRANSLATE(F239,""en"",""pt"")),1))&amp;RIGHT(lower((GOOGLETRANSLATE(F239,""en"",""pt""))),(LEN((GOOGLETRANSLATE(F239,""en"",""pt"")))-1))"),"Complexos piscina exterior")</f>
        <v>Complexos piscina exterior</v>
      </c>
      <c r="H239" s="35" t="s">
        <v>917</v>
      </c>
      <c r="I239" s="20" t="str">
        <f>VLOOKUP(A239,CO_Base_LNEC!$B$4:$G$271,6,FALSE)</f>
        <v>Piscinas ao ar livre</v>
      </c>
      <c r="J239" s="35" t="s">
        <v>918</v>
      </c>
      <c r="K239" s="24"/>
      <c r="L239" s="30" t="s">
        <v>84</v>
      </c>
      <c r="M239" s="31" t="s">
        <v>84</v>
      </c>
      <c r="N239" s="31" t="s">
        <v>84</v>
      </c>
      <c r="O239" s="30" t="s">
        <v>84</v>
      </c>
      <c r="P239" s="33" t="s">
        <v>84</v>
      </c>
      <c r="Q239" s="33" t="s">
        <v>84</v>
      </c>
      <c r="R239" s="24"/>
      <c r="S239" s="24"/>
    </row>
    <row r="240" spans="1:19" ht="14.5">
      <c r="A240" s="20" t="s">
        <v>919</v>
      </c>
      <c r="B240" s="20">
        <v>42</v>
      </c>
      <c r="C240" s="20">
        <v>85</v>
      </c>
      <c r="D240" s="20">
        <v>96</v>
      </c>
      <c r="E240" s="24"/>
      <c r="F240" s="20" t="s">
        <v>920</v>
      </c>
      <c r="G240" t="str">
        <f ca="1">IFERROR(__xludf.DUMMYFUNCTION("UPPER(LEFT((GOOGLETRANSLATE(F240,""en"",""pt"")),1))&amp;RIGHT(lower((GOOGLETRANSLATE(F240,""en"",""pt""))),(LEN((GOOGLETRANSLATE(F240,""en"",""pt"")))-1))"),"Parques aquáticos")</f>
        <v>Parques aquáticos</v>
      </c>
      <c r="H240" s="36" t="s">
        <v>921</v>
      </c>
      <c r="I240" s="20" t="str">
        <f>VLOOKUP(A240,CO_Base_LNEC!$B$4:$G$271,6,FALSE)</f>
        <v>Parques de diversão aquáticos</v>
      </c>
      <c r="J240" s="36" t="s">
        <v>921</v>
      </c>
      <c r="K240" s="24"/>
      <c r="L240" s="30" t="s">
        <v>84</v>
      </c>
      <c r="M240" s="31" t="s">
        <v>84</v>
      </c>
      <c r="N240" s="31" t="s">
        <v>84</v>
      </c>
      <c r="O240" s="30" t="s">
        <v>84</v>
      </c>
      <c r="P240" s="33" t="s">
        <v>84</v>
      </c>
      <c r="Q240" s="33" t="s">
        <v>84</v>
      </c>
      <c r="R240" s="24"/>
      <c r="S240" s="24"/>
    </row>
    <row r="241" spans="1:19" ht="14.5">
      <c r="A241" s="20" t="s">
        <v>922</v>
      </c>
      <c r="B241" s="20">
        <v>45</v>
      </c>
      <c r="C241" s="24"/>
      <c r="D241" s="24"/>
      <c r="E241" s="24"/>
      <c r="F241" s="20" t="s">
        <v>923</v>
      </c>
      <c r="G241" t="str">
        <f ca="1">IFERROR(__xludf.DUMMYFUNCTION("UPPER(LEFT((GOOGLETRANSLATE(F241,""en"",""pt"")),1))&amp;RIGHT(lower((GOOGLETRANSLATE(F241,""en"",""pt""))),(LEN((GOOGLETRANSLATE(F241,""en"",""pt"")))-1))"),"Complexos residenciais")</f>
        <v>Complexos residenciais</v>
      </c>
      <c r="H241" s="36" t="s">
        <v>924</v>
      </c>
      <c r="I241" s="20" t="str">
        <f>VLOOKUP(A241,CO_Base_LNEC!$B$4:$G$271,6,FALSE)</f>
        <v>Edifícios de alojamento coletivo</v>
      </c>
      <c r="J241" s="36" t="s">
        <v>924</v>
      </c>
      <c r="K241" s="24"/>
      <c r="L241" s="30" t="s">
        <v>84</v>
      </c>
      <c r="M241" s="31" t="s">
        <v>84</v>
      </c>
      <c r="N241" s="31" t="s">
        <v>84</v>
      </c>
      <c r="O241" s="30" t="s">
        <v>84</v>
      </c>
      <c r="P241" s="33" t="s">
        <v>84</v>
      </c>
      <c r="Q241" s="33" t="s">
        <v>84</v>
      </c>
      <c r="R241" s="24"/>
      <c r="S241" s="24"/>
    </row>
    <row r="242" spans="1:19" ht="14.5">
      <c r="A242" s="20" t="s">
        <v>925</v>
      </c>
      <c r="B242" s="20">
        <v>45</v>
      </c>
      <c r="C242" s="20">
        <v>10</v>
      </c>
      <c r="D242" s="24"/>
      <c r="E242" s="24"/>
      <c r="F242" s="20" t="s">
        <v>926</v>
      </c>
      <c r="G242" t="str">
        <f ca="1">IFERROR(__xludf.DUMMYFUNCTION("UPPER(LEFT((GOOGLETRANSLATE(F242,""en"",""pt"")),1))&amp;RIGHT(lower((GOOGLETRANSLATE(F242,""en"",""pt""))),(LEN((GOOGLETRANSLATE(F242,""en"",""pt"")))-1))"),"Complexos que vivem")</f>
        <v>Complexos que vivem</v>
      </c>
      <c r="H242" s="35" t="s">
        <v>927</v>
      </c>
      <c r="I242" s="20" t="str">
        <f>VLOOKUP(A242,CO_Base_LNEC!$B$4:$G$271,6,FALSE)</f>
        <v>Edifícios para residência</v>
      </c>
      <c r="J242" s="35" t="s">
        <v>928</v>
      </c>
      <c r="K242" s="24"/>
      <c r="L242" s="30" t="s">
        <v>84</v>
      </c>
      <c r="M242" s="31" t="s">
        <v>84</v>
      </c>
      <c r="N242" s="31" t="s">
        <v>84</v>
      </c>
      <c r="O242" s="30" t="s">
        <v>84</v>
      </c>
      <c r="P242" s="34" t="s">
        <v>929</v>
      </c>
      <c r="Q242" s="33" t="s">
        <v>84</v>
      </c>
      <c r="R242" s="24"/>
      <c r="S242" s="24"/>
    </row>
    <row r="243" spans="1:19" ht="14.5">
      <c r="A243" s="20" t="s">
        <v>930</v>
      </c>
      <c r="B243" s="20">
        <v>45</v>
      </c>
      <c r="C243" s="20">
        <v>10</v>
      </c>
      <c r="D243" s="20">
        <v>11</v>
      </c>
      <c r="E243" s="24"/>
      <c r="F243" s="20" t="s">
        <v>931</v>
      </c>
      <c r="G243" t="str">
        <f ca="1">IFERROR(__xludf.DUMMYFUNCTION("UPPER(LEFT((GOOGLETRANSLATE(F243,""en"",""pt"")),1))&amp;RIGHT(lower((GOOGLETRANSLATE(F243,""en"",""pt""))),(LEN((GOOGLETRANSLATE(F243,""en"",""pt"")))-1))"),"Campos de campismo")</f>
        <v>Campos de campismo</v>
      </c>
      <c r="H243" s="35" t="s">
        <v>932</v>
      </c>
      <c r="I243" s="20" t="e">
        <f>VLOOKUP(A243,CO_Base_LNEC!$B$4:$G$271,6,FALSE)</f>
        <v>#N/A</v>
      </c>
      <c r="J243" s="35" t="s">
        <v>932</v>
      </c>
      <c r="K243" s="24"/>
      <c r="L243" s="30" t="s">
        <v>84</v>
      </c>
      <c r="M243" s="31" t="s">
        <v>84</v>
      </c>
      <c r="N243" s="31" t="s">
        <v>84</v>
      </c>
      <c r="O243" s="30" t="s">
        <v>84</v>
      </c>
      <c r="P243" s="33" t="s">
        <v>84</v>
      </c>
      <c r="Q243" s="33" t="s">
        <v>84</v>
      </c>
      <c r="R243" s="24"/>
      <c r="S243" s="24"/>
    </row>
    <row r="244" spans="1:19" ht="14.5">
      <c r="A244" s="20" t="s">
        <v>933</v>
      </c>
      <c r="B244" s="20">
        <v>45</v>
      </c>
      <c r="C244" s="20">
        <v>10</v>
      </c>
      <c r="D244" s="20">
        <v>12</v>
      </c>
      <c r="E244" s="24"/>
      <c r="F244" s="20" t="s">
        <v>934</v>
      </c>
      <c r="G244" t="str">
        <f ca="1">IFERROR(__xludf.DUMMYFUNCTION("UPPER(LEFT((GOOGLETRANSLATE(F244,""en"",""pt"")),1))&amp;RIGHT(lower((GOOGLETRANSLATE(F244,""en"",""pt""))),(LEN((GOOGLETRANSLATE(F244,""en"",""pt"")))-1))"),"Os parques da caravana")</f>
        <v>Os parques da caravana</v>
      </c>
      <c r="H244" s="35" t="s">
        <v>935</v>
      </c>
      <c r="I244" s="20" t="e">
        <f>VLOOKUP(A244,CO_Base_LNEC!$B$4:$G$271,6,FALSE)</f>
        <v>#N/A</v>
      </c>
      <c r="J244" s="35" t="s">
        <v>935</v>
      </c>
      <c r="K244" s="24"/>
      <c r="L244" s="30" t="s">
        <v>84</v>
      </c>
      <c r="M244" s="31" t="s">
        <v>84</v>
      </c>
      <c r="N244" s="31" t="s">
        <v>84</v>
      </c>
      <c r="O244" s="30" t="s">
        <v>84</v>
      </c>
      <c r="P244" s="33" t="s">
        <v>84</v>
      </c>
      <c r="Q244" s="33" t="s">
        <v>84</v>
      </c>
      <c r="R244" s="24"/>
      <c r="S244" s="24"/>
    </row>
    <row r="245" spans="1:19" ht="14.5">
      <c r="A245" s="20" t="s">
        <v>936</v>
      </c>
      <c r="B245" s="20">
        <v>45</v>
      </c>
      <c r="C245" s="20">
        <v>10</v>
      </c>
      <c r="D245" s="20">
        <v>15</v>
      </c>
      <c r="E245" s="24"/>
      <c r="F245" s="20" t="s">
        <v>937</v>
      </c>
      <c r="G245" t="str">
        <f ca="1">IFERROR(__xludf.DUMMYFUNCTION("UPPER(LEFT((GOOGLETRANSLATE(F245,""en"",""pt"")),1))&amp;RIGHT(lower((GOOGLETRANSLATE(F245,""en"",""pt""))),(LEN((GOOGLETRANSLATE(F245,""en"",""pt"")))-1))"),"Conventos e mosteiros")</f>
        <v>Conventos e mosteiros</v>
      </c>
      <c r="H245" s="36" t="s">
        <v>938</v>
      </c>
      <c r="I245" s="20" t="str">
        <f>VLOOKUP(A245,CO_Base_LNEC!$B$4:$G$271,6,FALSE)</f>
        <v>Conventos e mosteiros</v>
      </c>
      <c r="J245" s="36" t="s">
        <v>938</v>
      </c>
      <c r="K245" s="24"/>
      <c r="L245" s="30" t="s">
        <v>84</v>
      </c>
      <c r="M245" s="31" t="s">
        <v>84</v>
      </c>
      <c r="N245" s="31" t="s">
        <v>84</v>
      </c>
      <c r="O245" s="30" t="s">
        <v>84</v>
      </c>
      <c r="P245" s="33" t="s">
        <v>84</v>
      </c>
      <c r="Q245" s="33" t="s">
        <v>84</v>
      </c>
      <c r="R245" s="24"/>
      <c r="S245" s="24"/>
    </row>
    <row r="246" spans="1:19" ht="14.5">
      <c r="A246" s="20" t="s">
        <v>939</v>
      </c>
      <c r="B246" s="20">
        <v>45</v>
      </c>
      <c r="C246" s="20">
        <v>10</v>
      </c>
      <c r="D246" s="20">
        <v>27</v>
      </c>
      <c r="E246" s="24"/>
      <c r="F246" s="20" t="s">
        <v>940</v>
      </c>
      <c r="G246" t="str">
        <f ca="1">IFERROR(__xludf.DUMMYFUNCTION("UPPER(LEFT((GOOGLETRANSLATE(F246,""en"",""pt"")),1))&amp;RIGHT(lower((GOOGLETRANSLATE(F246,""en"",""pt""))),(LEN((GOOGLETRANSLATE(F246,""en"",""pt"")))-1))"),"Acampamentos de emergência")</f>
        <v>Acampamentos de emergência</v>
      </c>
      <c r="H246" s="36" t="s">
        <v>941</v>
      </c>
      <c r="I246" s="20" t="e">
        <f>VLOOKUP(A246,CO_Base_LNEC!$B$4:$G$271,6,FALSE)</f>
        <v>#N/A</v>
      </c>
      <c r="J246" s="36" t="s">
        <v>941</v>
      </c>
      <c r="K246" s="24"/>
      <c r="L246" s="30" t="s">
        <v>84</v>
      </c>
      <c r="M246" s="31" t="s">
        <v>84</v>
      </c>
      <c r="N246" s="31" t="s">
        <v>84</v>
      </c>
      <c r="O246" s="30" t="s">
        <v>84</v>
      </c>
      <c r="P246" s="33" t="s">
        <v>84</v>
      </c>
      <c r="Q246" s="33" t="s">
        <v>84</v>
      </c>
      <c r="R246" s="24"/>
      <c r="S246" s="24"/>
    </row>
    <row r="247" spans="1:19" ht="14.5">
      <c r="A247" s="20" t="s">
        <v>942</v>
      </c>
      <c r="B247" s="20">
        <v>45</v>
      </c>
      <c r="C247" s="20">
        <v>10</v>
      </c>
      <c r="D247" s="20">
        <v>35</v>
      </c>
      <c r="E247" s="24"/>
      <c r="F247" s="20" t="s">
        <v>943</v>
      </c>
      <c r="G247" t="str">
        <f ca="1">IFERROR(__xludf.DUMMYFUNCTION("UPPER(LEFT((GOOGLETRANSLATE(F247,""en"",""pt"")),1))&amp;RIGHT(lower((GOOGLETRANSLATE(F247,""en"",""pt""))),(LEN((GOOGLETRANSLATE(F247,""en"",""pt"")))-1))"),"Salões de residência")</f>
        <v>Salões de residência</v>
      </c>
      <c r="H247" s="35" t="s">
        <v>944</v>
      </c>
      <c r="I247" s="20" t="e">
        <f>VLOOKUP(A247,CO_Base_LNEC!$B$4:$G$271,6,FALSE)</f>
        <v>#N/A</v>
      </c>
      <c r="J247" s="35" t="s">
        <v>944</v>
      </c>
      <c r="K247" s="24"/>
      <c r="L247" s="30" t="s">
        <v>84</v>
      </c>
      <c r="M247" s="31" t="s">
        <v>84</v>
      </c>
      <c r="N247" s="31" t="s">
        <v>84</v>
      </c>
      <c r="O247" s="37"/>
      <c r="P247" s="33" t="s">
        <v>84</v>
      </c>
      <c r="Q247" s="33" t="s">
        <v>84</v>
      </c>
      <c r="R247" s="24"/>
      <c r="S247" s="24"/>
    </row>
    <row r="248" spans="1:19" ht="14.5">
      <c r="A248" s="20" t="s">
        <v>945</v>
      </c>
      <c r="B248" s="20">
        <v>45</v>
      </c>
      <c r="C248" s="20">
        <v>10</v>
      </c>
      <c r="D248" s="20">
        <v>36</v>
      </c>
      <c r="E248" s="24"/>
      <c r="F248" s="20" t="s">
        <v>946</v>
      </c>
      <c r="G248" t="str">
        <f ca="1">IFERROR(__xludf.DUMMYFUNCTION("UPPER(LEFT((GOOGLETRANSLATE(F248,""en"",""pt"")),1))&amp;RIGHT(lower((GOOGLETRANSLATE(F248,""en"",""pt""))),(LEN((GOOGLETRANSLATE(F248,""en"",""pt"")))-1))"),"Arranha-céus complexos residenciais")</f>
        <v>Arranha-céus complexos residenciais</v>
      </c>
      <c r="H248" s="35" t="s">
        <v>947</v>
      </c>
      <c r="I248" s="20" t="e">
        <f>VLOOKUP(A248,CO_Base_LNEC!$B$4:$G$271,6,FALSE)</f>
        <v>#N/A</v>
      </c>
      <c r="J248" s="35" t="s">
        <v>947</v>
      </c>
      <c r="K248" s="24"/>
      <c r="L248" s="30" t="s">
        <v>84</v>
      </c>
      <c r="M248" s="31" t="s">
        <v>84</v>
      </c>
      <c r="N248" s="31" t="s">
        <v>84</v>
      </c>
      <c r="O248" s="30" t="s">
        <v>84</v>
      </c>
      <c r="P248" s="33" t="s">
        <v>84</v>
      </c>
      <c r="Q248" s="33" t="s">
        <v>84</v>
      </c>
      <c r="R248" s="24"/>
      <c r="S248" s="24"/>
    </row>
    <row r="249" spans="1:19" ht="14.5">
      <c r="A249" s="20" t="s">
        <v>948</v>
      </c>
      <c r="B249" s="20">
        <v>45</v>
      </c>
      <c r="C249" s="20">
        <v>10</v>
      </c>
      <c r="D249" s="20">
        <v>37</v>
      </c>
      <c r="E249" s="24"/>
      <c r="F249" s="20" t="s">
        <v>949</v>
      </c>
      <c r="G249" t="str">
        <f ca="1">IFERROR(__xludf.DUMMYFUNCTION("UPPER(LEFT((GOOGLETRANSLATE(F249,""en"",""pt"")),1))&amp;RIGHT(lower((GOOGLETRANSLATE(F249,""en"",""pt""))),(LEN((GOOGLETRANSLATE(F249,""en"",""pt"")))-1))"),"Hostels")</f>
        <v>Hostels</v>
      </c>
      <c r="H249" s="36" t="s">
        <v>949</v>
      </c>
      <c r="I249" s="20" t="e">
        <f>VLOOKUP(A249,CO_Base_LNEC!$B$4:$G$271,6,FALSE)</f>
        <v>#N/A</v>
      </c>
      <c r="J249" s="36" t="s">
        <v>949</v>
      </c>
      <c r="K249" s="24"/>
      <c r="L249" s="30" t="s">
        <v>84</v>
      </c>
      <c r="M249" s="31" t="s">
        <v>84</v>
      </c>
      <c r="N249" s="31" t="s">
        <v>84</v>
      </c>
      <c r="O249" s="30" t="s">
        <v>84</v>
      </c>
      <c r="P249" s="33" t="s">
        <v>84</v>
      </c>
      <c r="Q249" s="33" t="s">
        <v>84</v>
      </c>
      <c r="R249" s="24"/>
      <c r="S249" s="24"/>
    </row>
    <row r="250" spans="1:19" ht="14.5">
      <c r="A250" s="20" t="s">
        <v>950</v>
      </c>
      <c r="B250" s="20">
        <v>45</v>
      </c>
      <c r="C250" s="20">
        <v>10</v>
      </c>
      <c r="D250" s="20">
        <v>38</v>
      </c>
      <c r="E250" s="24"/>
      <c r="F250" s="20" t="s">
        <v>951</v>
      </c>
      <c r="G250" t="str">
        <f ca="1">IFERROR(__xludf.DUMMYFUNCTION("UPPER(LEFT((GOOGLETRANSLATE(F250,""en"",""pt"")),1))&amp;RIGHT(lower((GOOGLETRANSLATE(F250,""en"",""pt""))),(LEN((GOOGLETRANSLATE(F250,""en"",""pt"")))-1))"),"Hotéis")</f>
        <v>Hotéis</v>
      </c>
      <c r="H250" s="36" t="s">
        <v>952</v>
      </c>
      <c r="I250" s="20" t="e">
        <f>VLOOKUP(A250,CO_Base_LNEC!$B$4:$G$271,6,FALSE)</f>
        <v>#N/A</v>
      </c>
      <c r="J250" s="36" t="s">
        <v>952</v>
      </c>
      <c r="K250" s="24"/>
      <c r="L250" s="30" t="s">
        <v>84</v>
      </c>
      <c r="M250" s="31" t="s">
        <v>84</v>
      </c>
      <c r="N250" s="31" t="s">
        <v>84</v>
      </c>
      <c r="O250" s="30" t="s">
        <v>84</v>
      </c>
      <c r="P250" s="33" t="s">
        <v>84</v>
      </c>
      <c r="Q250" s="33" t="s">
        <v>84</v>
      </c>
      <c r="R250" s="24"/>
      <c r="S250" s="24"/>
    </row>
    <row r="251" spans="1:19" ht="14.5">
      <c r="A251" s="20" t="s">
        <v>953</v>
      </c>
      <c r="B251" s="20">
        <v>45</v>
      </c>
      <c r="C251" s="20">
        <v>10</v>
      </c>
      <c r="D251" s="20">
        <v>40</v>
      </c>
      <c r="E251" s="24"/>
      <c r="F251" s="20" t="s">
        <v>954</v>
      </c>
      <c r="G251" t="str">
        <f ca="1">IFERROR(__xludf.DUMMYFUNCTION("UPPER(LEFT((GOOGLETRANSLATE(F251,""en"",""pt"")),1))&amp;RIGHT(lower((GOOGLETRANSLATE(F251,""en"",""pt""))),(LEN((GOOGLETRANSLATE(F251,""en"",""pt"")))-1))"),"Casas em ocupação múltipla")</f>
        <v>Casas em ocupação múltipla</v>
      </c>
      <c r="H251" s="35" t="s">
        <v>955</v>
      </c>
      <c r="I251" s="20" t="e">
        <f>VLOOKUP(A251,CO_Base_LNEC!$B$4:$G$271,6,FALSE)</f>
        <v>#N/A</v>
      </c>
      <c r="J251" s="35" t="s">
        <v>955</v>
      </c>
      <c r="K251" s="24"/>
      <c r="L251" s="30" t="s">
        <v>84</v>
      </c>
      <c r="M251" s="31" t="s">
        <v>84</v>
      </c>
      <c r="N251" s="31" t="s">
        <v>84</v>
      </c>
      <c r="O251" s="37"/>
      <c r="P251" s="33" t="s">
        <v>84</v>
      </c>
      <c r="Q251" s="33" t="s">
        <v>84</v>
      </c>
      <c r="R251" s="24"/>
      <c r="S251" s="24"/>
    </row>
    <row r="252" spans="1:19" ht="14.5">
      <c r="A252" s="20" t="s">
        <v>956</v>
      </c>
      <c r="B252" s="20">
        <v>45</v>
      </c>
      <c r="C252" s="20">
        <v>10</v>
      </c>
      <c r="D252" s="20">
        <v>41</v>
      </c>
      <c r="E252" s="24"/>
      <c r="F252" s="20" t="s">
        <v>957</v>
      </c>
      <c r="G252" t="str">
        <f ca="1">IFERROR(__xludf.DUMMYFUNCTION("UPPER(LEFT((GOOGLETRANSLATE(F252,""en"",""pt"")),1))&amp;RIGHT(lower((GOOGLETRANSLATE(F252,""en"",""pt""))),(LEN((GOOGLETRANSLATE(F252,""en"",""pt"")))-1))"),"Conjuntos habitacionais")</f>
        <v>Conjuntos habitacionais</v>
      </c>
      <c r="H252" s="36" t="s">
        <v>958</v>
      </c>
      <c r="I252" s="20" t="e">
        <f>VLOOKUP(A252,CO_Base_LNEC!$B$4:$G$271,6,FALSE)</f>
        <v>#N/A</v>
      </c>
      <c r="J252" s="36" t="s">
        <v>958</v>
      </c>
      <c r="K252" s="24"/>
      <c r="L252" s="30" t="s">
        <v>84</v>
      </c>
      <c r="M252" s="31" t="s">
        <v>84</v>
      </c>
      <c r="N252" s="31" t="s">
        <v>84</v>
      </c>
      <c r="O252" s="37" t="s">
        <v>959</v>
      </c>
      <c r="P252" s="33" t="s">
        <v>84</v>
      </c>
      <c r="Q252" s="33" t="s">
        <v>84</v>
      </c>
      <c r="R252" s="24"/>
      <c r="S252" s="24"/>
    </row>
    <row r="253" spans="1:19" ht="14.5">
      <c r="A253" s="20" t="s">
        <v>960</v>
      </c>
      <c r="B253" s="20">
        <v>45</v>
      </c>
      <c r="C253" s="20">
        <v>10</v>
      </c>
      <c r="D253" s="20">
        <v>51</v>
      </c>
      <c r="E253" s="24"/>
      <c r="F253" s="20" t="s">
        <v>961</v>
      </c>
      <c r="G253" t="str">
        <f ca="1">IFERROR(__xludf.DUMMYFUNCTION("UPPER(LEFT((GOOGLETRANSLATE(F253,""en"",""pt"")),1))&amp;RIGHT(lower((GOOGLETRANSLATE(F253,""en"",""pt""))),(LEN((GOOGLETRANSLATE(F253,""en"",""pt"")))-1))"),"Acampamentos militares")</f>
        <v>Acampamentos militares</v>
      </c>
      <c r="H253" s="36" t="s">
        <v>962</v>
      </c>
      <c r="I253" s="20" t="e">
        <f>VLOOKUP(A253,CO_Base_LNEC!$B$4:$G$271,6,FALSE)</f>
        <v>#N/A</v>
      </c>
      <c r="J253" s="36" t="s">
        <v>962</v>
      </c>
      <c r="K253" s="24"/>
      <c r="L253" s="30" t="s">
        <v>84</v>
      </c>
      <c r="M253" s="31" t="s">
        <v>84</v>
      </c>
      <c r="N253" s="31" t="s">
        <v>84</v>
      </c>
      <c r="O253" s="37" t="s">
        <v>963</v>
      </c>
      <c r="P253" s="33" t="s">
        <v>84</v>
      </c>
      <c r="Q253" s="33" t="s">
        <v>84</v>
      </c>
      <c r="R253" s="24"/>
      <c r="S253" s="24"/>
    </row>
    <row r="254" spans="1:19" ht="14.5">
      <c r="A254" s="20" t="s">
        <v>964</v>
      </c>
      <c r="B254" s="20">
        <v>45</v>
      </c>
      <c r="C254" s="20">
        <v>10</v>
      </c>
      <c r="D254" s="20">
        <v>54</v>
      </c>
      <c r="E254" s="24"/>
      <c r="F254" s="20" t="s">
        <v>965</v>
      </c>
      <c r="G254" t="str">
        <f ca="1">IFERROR(__xludf.DUMMYFUNCTION("UPPER(LEFT((GOOGLETRANSLATE(F254,""en"",""pt"")),1))&amp;RIGHT(lower((GOOGLETRANSLATE(F254,""en"",""pt""))),(LEN((GOOGLETRANSLATE(F254,""en"",""pt"")))-1))"),"Motéis")</f>
        <v>Motéis</v>
      </c>
      <c r="H254" s="36" t="s">
        <v>966</v>
      </c>
      <c r="I254" s="20" t="e">
        <f>VLOOKUP(A254,CO_Base_LNEC!$B$4:$G$271,6,FALSE)</f>
        <v>#N/A</v>
      </c>
      <c r="J254" s="36" t="s">
        <v>966</v>
      </c>
      <c r="K254" s="24"/>
      <c r="L254" s="30" t="s">
        <v>84</v>
      </c>
      <c r="M254" s="31" t="s">
        <v>84</v>
      </c>
      <c r="N254" s="31" t="s">
        <v>84</v>
      </c>
      <c r="O254" s="30" t="s">
        <v>84</v>
      </c>
      <c r="P254" s="33" t="s">
        <v>84</v>
      </c>
      <c r="Q254" s="33" t="s">
        <v>84</v>
      </c>
      <c r="R254" s="24"/>
      <c r="S254" s="24"/>
    </row>
    <row r="255" spans="1:19" ht="14.5">
      <c r="A255" s="20" t="s">
        <v>967</v>
      </c>
      <c r="B255" s="20">
        <v>45</v>
      </c>
      <c r="C255" s="20">
        <v>10</v>
      </c>
      <c r="D255" s="20">
        <v>72</v>
      </c>
      <c r="E255" s="24"/>
      <c r="F255" s="20" t="s">
        <v>968</v>
      </c>
      <c r="G255" t="str">
        <f ca="1">IFERROR(__xludf.DUMMYFUNCTION("UPPER(LEFT((GOOGLETRANSLATE(F255,""en"",""pt"")),1))&amp;RIGHT(lower((GOOGLETRANSLATE(F255,""en"",""pt""))),(LEN((GOOGLETRANSLATE(F255,""en"",""pt"")))-1))"),"Retiros religiosos")</f>
        <v>Retiros religiosos</v>
      </c>
      <c r="H255" s="36" t="s">
        <v>969</v>
      </c>
      <c r="I255" s="20" t="e">
        <f>VLOOKUP(A255,CO_Base_LNEC!$B$4:$G$271,6,FALSE)</f>
        <v>#N/A</v>
      </c>
      <c r="J255" s="36" t="s">
        <v>969</v>
      </c>
      <c r="K255" s="24"/>
      <c r="L255" s="30" t="s">
        <v>84</v>
      </c>
      <c r="M255" s="31" t="s">
        <v>84</v>
      </c>
      <c r="N255" s="31" t="s">
        <v>84</v>
      </c>
      <c r="O255" s="30" t="s">
        <v>84</v>
      </c>
      <c r="P255" s="33" t="s">
        <v>84</v>
      </c>
      <c r="Q255" s="33" t="s">
        <v>84</v>
      </c>
      <c r="R255" s="24"/>
      <c r="S255" s="24"/>
    </row>
    <row r="256" spans="1:19" ht="14.5">
      <c r="A256" s="20" t="s">
        <v>970</v>
      </c>
      <c r="B256" s="20">
        <v>45</v>
      </c>
      <c r="C256" s="20">
        <v>10</v>
      </c>
      <c r="D256" s="20">
        <v>74</v>
      </c>
      <c r="E256" s="24"/>
      <c r="F256" s="20" t="s">
        <v>971</v>
      </c>
      <c r="G256" t="str">
        <f ca="1">IFERROR(__xludf.DUMMYFUNCTION("UPPER(LEFT((GOOGLETRANSLATE(F256,""en"",""pt"")),1))&amp;RIGHT(lower((GOOGLETRANSLATE(F256,""en"",""pt""))),(LEN((GOOGLETRANSLATE(F256,""en"",""pt"")))-1))"),"Propriedades residenciais")</f>
        <v>Propriedades residenciais</v>
      </c>
      <c r="H256" s="36" t="s">
        <v>972</v>
      </c>
      <c r="I256" s="20" t="e">
        <f>VLOOKUP(A256,CO_Base_LNEC!$B$4:$G$271,6,FALSE)</f>
        <v>#N/A</v>
      </c>
      <c r="J256" s="36" t="s">
        <v>972</v>
      </c>
      <c r="K256" s="24"/>
      <c r="L256" s="30" t="s">
        <v>84</v>
      </c>
      <c r="M256" s="31" t="s">
        <v>84</v>
      </c>
      <c r="N256" s="31" t="s">
        <v>84</v>
      </c>
      <c r="O256" s="30" t="s">
        <v>84</v>
      </c>
      <c r="P256" s="33" t="s">
        <v>84</v>
      </c>
      <c r="Q256" s="33" t="s">
        <v>84</v>
      </c>
      <c r="R256" s="24"/>
      <c r="S256" s="24"/>
    </row>
    <row r="257" spans="1:19" ht="14.5">
      <c r="A257" s="20" t="s">
        <v>973</v>
      </c>
      <c r="B257" s="20">
        <v>45</v>
      </c>
      <c r="C257" s="20">
        <v>10</v>
      </c>
      <c r="D257" s="20">
        <v>78</v>
      </c>
      <c r="E257" s="24"/>
      <c r="F257" s="20" t="s">
        <v>974</v>
      </c>
      <c r="G257" t="str">
        <f ca="1">IFERROR(__xludf.DUMMYFUNCTION("UPPER(LEFT((GOOGLETRANSLATE(F257,""en"",""pt"")),1))&amp;RIGHT(lower((GOOGLETRANSLATE(F257,""en"",""pt""))),(LEN((GOOGLETRANSLATE(F257,""en"",""pt"")))-1))"),"Habitação protegida")</f>
        <v>Habitação protegida</v>
      </c>
      <c r="H257" s="35" t="s">
        <v>975</v>
      </c>
      <c r="I257" s="20" t="str">
        <f>VLOOKUP(A257,CO_Base_LNEC!$B$4:$G$271,6,FALSE)</f>
        <v>Centros de acolhimento</v>
      </c>
      <c r="J257" s="35" t="s">
        <v>975</v>
      </c>
      <c r="K257" s="24"/>
      <c r="L257" s="30" t="s">
        <v>84</v>
      </c>
      <c r="M257" s="31" t="s">
        <v>84</v>
      </c>
      <c r="N257" s="31" t="s">
        <v>84</v>
      </c>
      <c r="O257" s="30" t="s">
        <v>84</v>
      </c>
      <c r="P257" s="33" t="s">
        <v>84</v>
      </c>
      <c r="Q257" s="33" t="s">
        <v>84</v>
      </c>
      <c r="R257" s="24"/>
      <c r="S257" s="24"/>
    </row>
    <row r="258" spans="1:19" ht="14.5">
      <c r="A258" s="20" t="s">
        <v>976</v>
      </c>
      <c r="B258" s="20">
        <v>45</v>
      </c>
      <c r="C258" s="20">
        <v>10</v>
      </c>
      <c r="D258" s="20">
        <v>98</v>
      </c>
      <c r="E258" s="24"/>
      <c r="F258" s="20" t="s">
        <v>977</v>
      </c>
      <c r="G258" t="str">
        <f ca="1">IFERROR(__xludf.DUMMYFUNCTION("UPPER(LEFT((GOOGLETRANSLATE(F258,""en"",""pt"")),1))&amp;RIGHT(lower((GOOGLETRANSLATE(F258,""en"",""pt""))),(LEN((GOOGLETRANSLATE(F258,""en"",""pt"")))-1))"),"Campos de grupo de jovens")</f>
        <v>Campos de grupo de jovens</v>
      </c>
      <c r="H258" s="35" t="s">
        <v>978</v>
      </c>
      <c r="I258" s="20" t="e">
        <f>VLOOKUP(A258,CO_Base_LNEC!$B$4:$G$271,6,FALSE)</f>
        <v>#N/A</v>
      </c>
      <c r="J258" s="35" t="s">
        <v>978</v>
      </c>
      <c r="K258" s="24"/>
      <c r="L258" s="30" t="s">
        <v>84</v>
      </c>
      <c r="M258" s="31" t="s">
        <v>84</v>
      </c>
      <c r="N258" s="31" t="s">
        <v>84</v>
      </c>
      <c r="O258" s="30" t="s">
        <v>84</v>
      </c>
      <c r="P258" s="33" t="s">
        <v>84</v>
      </c>
      <c r="Q258" s="33" t="s">
        <v>84</v>
      </c>
      <c r="R258" s="24"/>
      <c r="S258" s="24"/>
    </row>
    <row r="259" spans="1:19" ht="14.5">
      <c r="A259" s="20" t="s">
        <v>979</v>
      </c>
      <c r="B259" s="20">
        <v>50</v>
      </c>
      <c r="C259" s="24"/>
      <c r="D259" s="24"/>
      <c r="E259" s="24"/>
      <c r="F259" s="20" t="s">
        <v>980</v>
      </c>
      <c r="G259" t="str">
        <f ca="1">IFERROR(__xludf.DUMMYFUNCTION("UPPER(LEFT((GOOGLETRANSLATE(F259,""en"",""pt"")),1))&amp;RIGHT(lower((GOOGLETRANSLATE(F259,""en"",""pt""))),(LEN((GOOGLETRANSLATE(F259,""en"",""pt"")))-1))"),"Resíduos de complexos de eliminação")</f>
        <v>Resíduos de complexos de eliminação</v>
      </c>
      <c r="H259" s="36" t="s">
        <v>981</v>
      </c>
      <c r="I259" s="20" t="str">
        <f>VLOOKUP(A259,CO_Base_LNEC!$B$4:$G$271,6,FALSE)</f>
        <v>Infraestruturas para eliminação de resíduos</v>
      </c>
      <c r="J259" s="36" t="s">
        <v>981</v>
      </c>
      <c r="K259" s="24"/>
      <c r="L259" s="30" t="s">
        <v>84</v>
      </c>
      <c r="M259" s="31" t="s">
        <v>84</v>
      </c>
      <c r="N259" s="31" t="s">
        <v>84</v>
      </c>
      <c r="O259" s="30" t="s">
        <v>84</v>
      </c>
      <c r="P259" s="33" t="s">
        <v>84</v>
      </c>
      <c r="Q259" s="34" t="s">
        <v>982</v>
      </c>
      <c r="R259" s="24"/>
      <c r="S259" s="24"/>
    </row>
    <row r="260" spans="1:19" ht="14.5">
      <c r="A260" s="20" t="s">
        <v>983</v>
      </c>
      <c r="B260" s="20">
        <v>50</v>
      </c>
      <c r="C260" s="20">
        <v>20</v>
      </c>
      <c r="D260" s="24"/>
      <c r="E260" s="24"/>
      <c r="F260" s="20" t="s">
        <v>984</v>
      </c>
      <c r="G260" t="str">
        <f ca="1">IFERROR(__xludf.DUMMYFUNCTION("UPPER(LEFT((GOOGLETRANSLATE(F260,""en"",""pt"")),1))&amp;RIGHT(lower((GOOGLETRANSLATE(F260,""en"",""pt""))),(LEN((GOOGLETRANSLATE(F260,""en"",""pt"")))-1))"),"Complexos de recolha de resíduos húmidos e distribuição")</f>
        <v>Complexos de recolha de resíduos húmidos e distribuição</v>
      </c>
      <c r="H260" s="35" t="s">
        <v>985</v>
      </c>
      <c r="I260" s="20" t="str">
        <f>VLOOKUP(A260,CO_Base_LNEC!$B$4:$G$271,6,FALSE)</f>
        <v>Infraestruturas para recolha de águas residuais</v>
      </c>
      <c r="J260" s="35" t="s">
        <v>985</v>
      </c>
      <c r="K260" s="24"/>
      <c r="L260" s="30" t="s">
        <v>84</v>
      </c>
      <c r="M260" s="31" t="s">
        <v>84</v>
      </c>
      <c r="N260" s="31" t="s">
        <v>84</v>
      </c>
      <c r="O260" s="30" t="s">
        <v>84</v>
      </c>
      <c r="P260" s="33" t="s">
        <v>84</v>
      </c>
      <c r="Q260" s="34" t="s">
        <v>982</v>
      </c>
      <c r="R260" s="24"/>
      <c r="S260" s="24"/>
    </row>
    <row r="261" spans="1:19" ht="14.5">
      <c r="A261" s="20" t="s">
        <v>986</v>
      </c>
      <c r="B261" s="20">
        <v>50</v>
      </c>
      <c r="C261" s="20">
        <v>20</v>
      </c>
      <c r="D261" s="20">
        <v>10</v>
      </c>
      <c r="E261" s="24"/>
      <c r="F261" s="20" t="s">
        <v>987</v>
      </c>
      <c r="G261" t="str">
        <f ca="1">IFERROR(__xludf.DUMMYFUNCTION("UPPER(LEFT((GOOGLETRANSLATE(F261,""en"",""pt"")),1))&amp;RIGHT(lower((GOOGLETRANSLATE(F261,""en"",""pt""))),(LEN((GOOGLETRANSLATE(F261,""en"",""pt"")))-1))"),"Complexos de recolha de águas residuais")</f>
        <v>Complexos de recolha de águas residuais</v>
      </c>
      <c r="H261" s="36" t="s">
        <v>988</v>
      </c>
      <c r="I261" s="20" t="str">
        <f>VLOOKUP(A261,CO_Base_LNEC!$B$4:$G$271,6,FALSE)</f>
        <v>Sistema de recolha de águas residuais</v>
      </c>
      <c r="J261" s="36" t="s">
        <v>988</v>
      </c>
      <c r="K261" s="24"/>
      <c r="L261" s="30" t="s">
        <v>84</v>
      </c>
      <c r="M261" s="31" t="s">
        <v>84</v>
      </c>
      <c r="N261" s="31" t="s">
        <v>84</v>
      </c>
      <c r="O261" s="30" t="s">
        <v>84</v>
      </c>
      <c r="P261" s="33" t="s">
        <v>84</v>
      </c>
      <c r="Q261" s="33" t="s">
        <v>84</v>
      </c>
      <c r="R261" s="24"/>
      <c r="S261" s="24"/>
    </row>
    <row r="262" spans="1:19" ht="14.5">
      <c r="A262" s="20" t="s">
        <v>989</v>
      </c>
      <c r="B262" s="20">
        <v>50</v>
      </c>
      <c r="C262" s="20">
        <v>20</v>
      </c>
      <c r="D262" s="20">
        <v>20</v>
      </c>
      <c r="E262" s="24"/>
      <c r="F262" s="20" t="s">
        <v>990</v>
      </c>
      <c r="G262" t="str">
        <f ca="1">IFERROR(__xludf.DUMMYFUNCTION("UPPER(LEFT((GOOGLETRANSLATE(F262,""en"",""pt"")),1))&amp;RIGHT(lower((GOOGLETRANSLATE(F262,""en"",""pt""))),(LEN((GOOGLETRANSLATE(F262,""en"",""pt"")))-1))"),"Redes de recolha de águas residuais")</f>
        <v>Redes de recolha de águas residuais</v>
      </c>
      <c r="H262" s="36" t="s">
        <v>991</v>
      </c>
      <c r="I262" s="20" t="str">
        <f>VLOOKUP(A262,CO_Base_LNEC!$B$4:$G$271,6,FALSE)</f>
        <v>Redes de esgotos</v>
      </c>
      <c r="J262" s="36" t="s">
        <v>991</v>
      </c>
      <c r="K262" s="24"/>
      <c r="L262" s="30" t="s">
        <v>84</v>
      </c>
      <c r="M262" s="31" t="s">
        <v>84</v>
      </c>
      <c r="N262" s="31" t="s">
        <v>84</v>
      </c>
      <c r="O262" s="30" t="s">
        <v>84</v>
      </c>
      <c r="P262" s="33" t="s">
        <v>84</v>
      </c>
      <c r="Q262" s="33" t="s">
        <v>84</v>
      </c>
      <c r="R262" s="24"/>
      <c r="S262" s="24"/>
    </row>
    <row r="263" spans="1:19" ht="14.5">
      <c r="A263" s="20" t="s">
        <v>992</v>
      </c>
      <c r="B263" s="20">
        <v>50</v>
      </c>
      <c r="C263" s="20">
        <v>20</v>
      </c>
      <c r="D263" s="20">
        <v>60</v>
      </c>
      <c r="E263" s="24"/>
      <c r="F263" s="20" t="s">
        <v>993</v>
      </c>
      <c r="G263" t="str">
        <f ca="1">IFERROR(__xludf.DUMMYFUNCTION("UPPER(LEFT((GOOGLETRANSLATE(F263,""en"",""pt"")),1))&amp;RIGHT(lower((GOOGLETRANSLATE(F263,""en"",""pt""))),(LEN((GOOGLETRANSLATE(F263,""en"",""pt"")))-1))"),"Redes de coleta de drenagem")</f>
        <v>Redes de coleta de drenagem</v>
      </c>
      <c r="H263" s="36" t="s">
        <v>994</v>
      </c>
      <c r="I263" s="20" t="e">
        <f>VLOOKUP(A263,CO_Base_LNEC!$B$4:$G$271,6,FALSE)</f>
        <v>#N/A</v>
      </c>
      <c r="J263" s="36" t="s">
        <v>994</v>
      </c>
      <c r="K263" s="24"/>
      <c r="L263" s="30" t="s">
        <v>84</v>
      </c>
      <c r="M263" s="31" t="s">
        <v>84</v>
      </c>
      <c r="N263" s="31" t="s">
        <v>84</v>
      </c>
      <c r="O263" s="37" t="s">
        <v>995</v>
      </c>
      <c r="P263" s="33" t="s">
        <v>84</v>
      </c>
      <c r="Q263" s="33" t="s">
        <v>84</v>
      </c>
      <c r="R263" s="24"/>
      <c r="S263" s="24"/>
    </row>
    <row r="264" spans="1:19" ht="14.5">
      <c r="A264" s="20" t="s">
        <v>996</v>
      </c>
      <c r="B264" s="20">
        <v>50</v>
      </c>
      <c r="C264" s="20">
        <v>40</v>
      </c>
      <c r="D264" s="24"/>
      <c r="E264" s="24"/>
      <c r="F264" s="20" t="s">
        <v>997</v>
      </c>
      <c r="G264" t="str">
        <f ca="1">IFERROR(__xludf.DUMMYFUNCTION("UPPER(LEFT((GOOGLETRANSLATE(F264,""en"",""pt"")),1))&amp;RIGHT(lower((GOOGLETRANSLATE(F264,""en"",""pt""))),(LEN((GOOGLETRANSLATE(F264,""en"",""pt"")))-1))"),"Complexos de recolha de resíduos secos e distribuição")</f>
        <v>Complexos de recolha de resíduos secos e distribuição</v>
      </c>
      <c r="H264" s="35" t="s">
        <v>998</v>
      </c>
      <c r="I264" s="20" t="str">
        <f>VLOOKUP(A264,CO_Base_LNEC!$B$4:$G$271,6,FALSE)</f>
        <v>Infraestruturas para recolha e separação de resíduos</v>
      </c>
      <c r="J264" s="35" t="s">
        <v>999</v>
      </c>
      <c r="K264" s="24"/>
      <c r="L264" s="30" t="s">
        <v>84</v>
      </c>
      <c r="M264" s="31" t="s">
        <v>84</v>
      </c>
      <c r="N264" s="31" t="s">
        <v>84</v>
      </c>
      <c r="O264" s="30" t="s">
        <v>84</v>
      </c>
      <c r="P264" s="33" t="s">
        <v>84</v>
      </c>
      <c r="Q264" s="34" t="s">
        <v>982</v>
      </c>
      <c r="R264" s="24"/>
      <c r="S264" s="24"/>
    </row>
    <row r="265" spans="1:19" ht="14.5">
      <c r="A265" s="20" t="s">
        <v>1000</v>
      </c>
      <c r="B265" s="20">
        <v>50</v>
      </c>
      <c r="C265" s="20">
        <v>40</v>
      </c>
      <c r="D265" s="20">
        <v>10</v>
      </c>
      <c r="E265" s="24"/>
      <c r="F265" s="20" t="s">
        <v>1001</v>
      </c>
      <c r="G265" t="str">
        <f ca="1">IFERROR(__xludf.DUMMYFUNCTION("UPPER(LEFT((GOOGLETRANSLATE(F265,""en"",""pt"")),1))&amp;RIGHT(lower((GOOGLETRANSLATE(F265,""en"",""pt""))),(LEN((GOOGLETRANSLATE(F265,""en"",""pt"")))-1))"),"Complexos de recolha de resíduos secos")</f>
        <v>Complexos de recolha de resíduos secos</v>
      </c>
      <c r="H265" s="36" t="s">
        <v>1002</v>
      </c>
      <c r="I265" s="20" t="str">
        <f>VLOOKUP(A265,CO_Base_LNEC!$B$4:$G$271,6,FALSE)</f>
        <v>Infraestruturas para recolha de resíduos</v>
      </c>
      <c r="J265" s="35" t="s">
        <v>1003</v>
      </c>
      <c r="K265" s="24"/>
      <c r="L265" s="30" t="s">
        <v>84</v>
      </c>
      <c r="M265" s="31" t="s">
        <v>84</v>
      </c>
      <c r="N265" s="31" t="s">
        <v>84</v>
      </c>
      <c r="O265" s="30" t="s">
        <v>84</v>
      </c>
      <c r="P265" s="33" t="s">
        <v>84</v>
      </c>
      <c r="Q265" s="34" t="s">
        <v>982</v>
      </c>
      <c r="R265" s="24"/>
      <c r="S265" s="24"/>
    </row>
    <row r="266" spans="1:19" ht="14.5">
      <c r="A266" s="20" t="s">
        <v>1004</v>
      </c>
      <c r="B266" s="20">
        <v>50</v>
      </c>
      <c r="C266" s="20">
        <v>40</v>
      </c>
      <c r="D266" s="20">
        <v>50</v>
      </c>
      <c r="E266" s="24"/>
      <c r="F266" s="20" t="s">
        <v>1005</v>
      </c>
      <c r="G266" t="str">
        <f ca="1">IFERROR(__xludf.DUMMYFUNCTION("UPPER(LEFT((GOOGLETRANSLATE(F266,""en"",""pt"")),1))&amp;RIGHT(lower((GOOGLETRANSLATE(F266,""en"",""pt""))),(LEN((GOOGLETRANSLATE(F266,""en"",""pt"")))-1))"),"Complexos de distribuição de resíduos secos")</f>
        <v>Complexos de distribuição de resíduos secos</v>
      </c>
      <c r="H266" s="36" t="s">
        <v>1006</v>
      </c>
      <c r="I266" s="20" t="str">
        <f>VLOOKUP(A266,CO_Base_LNEC!$B$4:$G$271,6,FALSE)</f>
        <v>Infraestruturas para separação de resíduos</v>
      </c>
      <c r="J266" s="35" t="s">
        <v>1007</v>
      </c>
      <c r="K266" s="24"/>
      <c r="L266" s="30" t="s">
        <v>84</v>
      </c>
      <c r="M266" s="31" t="s">
        <v>84</v>
      </c>
      <c r="N266" s="31" t="s">
        <v>84</v>
      </c>
      <c r="O266" s="30" t="s">
        <v>84</v>
      </c>
      <c r="P266" s="33" t="s">
        <v>84</v>
      </c>
      <c r="Q266" s="34" t="s">
        <v>982</v>
      </c>
      <c r="R266" s="24"/>
      <c r="S266" s="24"/>
    </row>
    <row r="267" spans="1:19" ht="14.5">
      <c r="A267" s="20" t="s">
        <v>1008</v>
      </c>
      <c r="B267" s="20">
        <v>50</v>
      </c>
      <c r="C267" s="20">
        <v>60</v>
      </c>
      <c r="D267" s="24"/>
      <c r="E267" s="24"/>
      <c r="F267" s="20" t="s">
        <v>1009</v>
      </c>
      <c r="G267" t="str">
        <f ca="1">IFERROR(__xludf.DUMMYFUNCTION("UPPER(LEFT((GOOGLETRANSLATE(F267,""en"",""pt"")),1))&amp;RIGHT(lower((GOOGLETRANSLATE(F267,""en"",""pt""))),(LEN((GOOGLETRANSLATE(F267,""en"",""pt"")))-1))"),"Complexos de tratamento de resíduos húmidos e eliminação")</f>
        <v>Complexos de tratamento de resíduos húmidos e eliminação</v>
      </c>
      <c r="H267" s="35" t="s">
        <v>1010</v>
      </c>
      <c r="I267" s="20" t="str">
        <f>VLOOKUP(A267,CO_Base_LNEC!$B$4:$G$271,6,FALSE)</f>
        <v>Infraestruturas de tratamento de águas residuais</v>
      </c>
      <c r="J267" s="35" t="s">
        <v>1011</v>
      </c>
      <c r="K267" s="24"/>
      <c r="L267" s="30" t="s">
        <v>84</v>
      </c>
      <c r="M267" s="31" t="s">
        <v>84</v>
      </c>
      <c r="N267" s="31" t="s">
        <v>84</v>
      </c>
      <c r="O267" s="30" t="s">
        <v>84</v>
      </c>
      <c r="P267" s="33" t="s">
        <v>84</v>
      </c>
      <c r="Q267" s="34" t="s">
        <v>982</v>
      </c>
      <c r="R267" s="24"/>
      <c r="S267" s="24"/>
    </row>
    <row r="268" spans="1:19" ht="14.5">
      <c r="A268" s="20" t="s">
        <v>1012</v>
      </c>
      <c r="B268" s="20">
        <v>50</v>
      </c>
      <c r="C268" s="20">
        <v>60</v>
      </c>
      <c r="D268" s="20">
        <v>40</v>
      </c>
      <c r="E268" s="24"/>
      <c r="F268" s="20" t="s">
        <v>1013</v>
      </c>
      <c r="G268" t="str">
        <f ca="1">IFERROR(__xludf.DUMMYFUNCTION("UPPER(LEFT((GOOGLETRANSLATE(F268,""en"",""pt"")),1))&amp;RIGHT(lower((GOOGLETRANSLATE(F268,""en"",""pt""))),(LEN((GOOGLETRANSLATE(F268,""en"",""pt"")))-1))"),"Complexos de tratamento de águas residuais")</f>
        <v>Complexos de tratamento de águas residuais</v>
      </c>
      <c r="H268" s="36" t="s">
        <v>1014</v>
      </c>
      <c r="I268" s="20" t="str">
        <f>VLOOKUP(A268,CO_Base_LNEC!$B$4:$G$271,6,FALSE)</f>
        <v>Estações de tratamento de águas residuais</v>
      </c>
      <c r="J268" s="36" t="s">
        <v>1014</v>
      </c>
      <c r="K268" s="24"/>
      <c r="L268" s="30" t="s">
        <v>84</v>
      </c>
      <c r="M268" s="31" t="s">
        <v>84</v>
      </c>
      <c r="N268" s="31" t="s">
        <v>84</v>
      </c>
      <c r="O268" s="30" t="s">
        <v>84</v>
      </c>
      <c r="P268" s="33" t="s">
        <v>84</v>
      </c>
      <c r="Q268" s="34" t="s">
        <v>982</v>
      </c>
      <c r="R268" s="24"/>
      <c r="S268" s="24"/>
    </row>
    <row r="269" spans="1:19" ht="14.5">
      <c r="A269" s="20" t="s">
        <v>1015</v>
      </c>
      <c r="B269" s="20">
        <v>50</v>
      </c>
      <c r="C269" s="20">
        <v>60</v>
      </c>
      <c r="D269" s="20">
        <v>80</v>
      </c>
      <c r="E269" s="24"/>
      <c r="F269" s="20" t="s">
        <v>1016</v>
      </c>
      <c r="G269" t="str">
        <f ca="1">IFERROR(__xludf.DUMMYFUNCTION("UPPER(LEFT((GOOGLETRANSLATE(F269,""en"",""pt"")),1))&amp;RIGHT(lower((GOOGLETRANSLATE(F269,""en"",""pt""))),(LEN((GOOGLETRANSLATE(F269,""en"",""pt"")))-1))"),"Redes eliminação de drenagem")</f>
        <v>Redes eliminação de drenagem</v>
      </c>
      <c r="H269" s="35" t="s">
        <v>1017</v>
      </c>
      <c r="I269" s="20" t="e">
        <f>VLOOKUP(A269,CO_Base_LNEC!$B$4:$G$271,6,FALSE)</f>
        <v>#N/A</v>
      </c>
      <c r="J269" s="35" t="s">
        <v>1017</v>
      </c>
      <c r="K269" s="24"/>
      <c r="L269" s="30" t="s">
        <v>84</v>
      </c>
      <c r="M269" s="31" t="s">
        <v>84</v>
      </c>
      <c r="N269" s="31" t="s">
        <v>84</v>
      </c>
      <c r="O269" s="24"/>
      <c r="P269" s="33" t="s">
        <v>84</v>
      </c>
      <c r="Q269" s="33" t="s">
        <v>84</v>
      </c>
      <c r="R269" s="24"/>
      <c r="S269" s="24"/>
    </row>
    <row r="270" spans="1:19" ht="14.5">
      <c r="A270" s="20" t="s">
        <v>1018</v>
      </c>
      <c r="B270" s="20">
        <v>50</v>
      </c>
      <c r="C270" s="20">
        <v>80</v>
      </c>
      <c r="D270" s="24"/>
      <c r="E270" s="24"/>
      <c r="F270" s="20" t="s">
        <v>1019</v>
      </c>
      <c r="G270" t="str">
        <f ca="1">IFERROR(__xludf.DUMMYFUNCTION("UPPER(LEFT((GOOGLETRANSLATE(F270,""en"",""pt"")),1))&amp;RIGHT(lower((GOOGLETRANSLATE(F270,""en"",""pt""))),(LEN((GOOGLETRANSLATE(F270,""en"",""pt"")))-1))"),"Complexos de tratamento de resíduos secos e eliminação")</f>
        <v>Complexos de tratamento de resíduos secos e eliminação</v>
      </c>
      <c r="H270" s="35" t="s">
        <v>1020</v>
      </c>
      <c r="I270" s="20" t="str">
        <f>VLOOKUP(A270,CO_Base_LNEC!$B$4:$G$271,6,FALSE)</f>
        <v>Infraestruturas para tratamento e eliminação de resíduos</v>
      </c>
      <c r="J270" s="35" t="s">
        <v>1021</v>
      </c>
      <c r="K270" s="24"/>
      <c r="L270" s="30" t="s">
        <v>84</v>
      </c>
      <c r="M270" s="31" t="s">
        <v>84</v>
      </c>
      <c r="N270" s="31" t="s">
        <v>84</v>
      </c>
      <c r="O270" s="24"/>
      <c r="P270" s="33" t="s">
        <v>84</v>
      </c>
      <c r="Q270" s="34" t="s">
        <v>982</v>
      </c>
      <c r="R270" s="24"/>
      <c r="S270" s="24"/>
    </row>
    <row r="271" spans="1:19" ht="14.5">
      <c r="A271" s="20" t="s">
        <v>1022</v>
      </c>
      <c r="B271" s="20">
        <v>50</v>
      </c>
      <c r="C271" s="20">
        <v>80</v>
      </c>
      <c r="D271" s="20">
        <v>40</v>
      </c>
      <c r="E271" s="24"/>
      <c r="F271" s="20" t="s">
        <v>1023</v>
      </c>
      <c r="G271" t="str">
        <f ca="1">IFERROR(__xludf.DUMMYFUNCTION("UPPER(LEFT((GOOGLETRANSLATE(F271,""en"",""pt"")),1))&amp;RIGHT(lower((GOOGLETRANSLATE(F271,""en"",""pt""))),(LEN((GOOGLETRANSLATE(F271,""en"",""pt"")))-1))"),"Complexos de tratamento de resíduos secos")</f>
        <v>Complexos de tratamento de resíduos secos</v>
      </c>
      <c r="H271" s="36" t="s">
        <v>1024</v>
      </c>
      <c r="I271" s="20" t="str">
        <f>VLOOKUP(A271,CO_Base_LNEC!$B$4:$G$271,6,FALSE)</f>
        <v>Infraestruturas para tratamento de resíduos</v>
      </c>
      <c r="J271" s="35" t="s">
        <v>1025</v>
      </c>
      <c r="K271" s="24"/>
      <c r="L271" s="30" t="s">
        <v>84</v>
      </c>
      <c r="M271" s="31" t="s">
        <v>84</v>
      </c>
      <c r="N271" s="31" t="s">
        <v>84</v>
      </c>
      <c r="O271" s="24"/>
      <c r="P271" s="33" t="s">
        <v>84</v>
      </c>
      <c r="Q271" s="34" t="s">
        <v>982</v>
      </c>
      <c r="R271" s="24"/>
      <c r="S271" s="24"/>
    </row>
    <row r="272" spans="1:19" ht="14.5">
      <c r="A272" s="20" t="s">
        <v>1026</v>
      </c>
      <c r="B272" s="20">
        <v>50</v>
      </c>
      <c r="C272" s="20">
        <v>80</v>
      </c>
      <c r="D272" s="20">
        <v>70</v>
      </c>
      <c r="E272" s="24"/>
      <c r="F272" s="20" t="s">
        <v>1027</v>
      </c>
      <c r="G272" t="str">
        <f ca="1">IFERROR(__xludf.DUMMYFUNCTION("UPPER(LEFT((GOOGLETRANSLATE(F272,""en"",""pt"")),1))&amp;RIGHT(lower((GOOGLETRANSLATE(F272,""en"",""pt""))),(LEN((GOOGLETRANSLATE(F272,""en"",""pt"")))-1))"),"Complexos de eliminação de resíduos secos")</f>
        <v>Complexos de eliminação de resíduos secos</v>
      </c>
      <c r="H272" s="36" t="s">
        <v>1028</v>
      </c>
      <c r="I272" s="20" t="str">
        <f>VLOOKUP(A272,CO_Base_LNEC!$B$4:$G$271,6,FALSE)</f>
        <v>Infraestruturas para eliminação de resíduos</v>
      </c>
      <c r="J272" s="35" t="s">
        <v>1029</v>
      </c>
      <c r="K272" s="24"/>
      <c r="L272" s="30" t="s">
        <v>84</v>
      </c>
      <c r="M272" s="31" t="s">
        <v>84</v>
      </c>
      <c r="N272" s="31" t="s">
        <v>84</v>
      </c>
      <c r="O272" s="24"/>
      <c r="P272" s="33" t="s">
        <v>84</v>
      </c>
      <c r="Q272" s="34" t="s">
        <v>982</v>
      </c>
      <c r="R272" s="24"/>
      <c r="S272" s="24"/>
    </row>
    <row r="273" spans="1:19" ht="14.5">
      <c r="A273" s="20" t="s">
        <v>1030</v>
      </c>
      <c r="B273" s="20">
        <v>55</v>
      </c>
      <c r="C273" s="24"/>
      <c r="D273" s="24"/>
      <c r="E273" s="24"/>
      <c r="F273" s="20" t="s">
        <v>1031</v>
      </c>
      <c r="G273" t="str">
        <f ca="1">IFERROR(__xludf.DUMMYFUNCTION("UPPER(LEFT((GOOGLETRANSLATE(F273,""en"",""pt"")),1))&amp;RIGHT(lower((GOOGLETRANSLATE(F273,""en"",""pt""))),(LEN((GOOGLETRANSLATE(F273,""en"",""pt"")))-1))"),"Complexos de fornecimento suplementar")</f>
        <v>Complexos de fornecimento suplementar</v>
      </c>
      <c r="H273" s="35" t="s">
        <v>1032</v>
      </c>
      <c r="I273" s="20" t="str">
        <f>VLOOKUP(A273,CO_Base_LNEC!$B$4:$G$271,6,FALSE)</f>
        <v>Infraestruturas de fornecimento</v>
      </c>
      <c r="J273" s="35" t="s">
        <v>1032</v>
      </c>
      <c r="K273" s="20" t="s">
        <v>1033</v>
      </c>
      <c r="L273" s="43" t="s">
        <v>1034</v>
      </c>
      <c r="M273" s="31" t="s">
        <v>84</v>
      </c>
      <c r="N273" s="31" t="s">
        <v>84</v>
      </c>
      <c r="O273" s="24"/>
      <c r="P273" s="34" t="s">
        <v>1035</v>
      </c>
      <c r="Q273" s="34" t="s">
        <v>982</v>
      </c>
      <c r="R273" s="24"/>
      <c r="S273" s="24"/>
    </row>
    <row r="274" spans="1:19" ht="14.5">
      <c r="A274" s="20" t="s">
        <v>1036</v>
      </c>
      <c r="B274" s="20">
        <v>55</v>
      </c>
      <c r="C274" s="20">
        <v>5</v>
      </c>
      <c r="D274" s="24"/>
      <c r="E274" s="24"/>
      <c r="F274" s="20" t="s">
        <v>1037</v>
      </c>
      <c r="G274" t="str">
        <f ca="1">IFERROR(__xludf.DUMMYFUNCTION("UPPER(LEFT((GOOGLETRANSLATE(F274,""en"",""pt"")),1))&amp;RIGHT(lower((GOOGLETRANSLATE(F274,""en"",""pt""))),(LEN((GOOGLETRANSLATE(F274,""en"",""pt"")))-1))"),"Complexos de extracção de gás e de tratamento")</f>
        <v>Complexos de extracção de gás e de tratamento</v>
      </c>
      <c r="H274" s="35" t="s">
        <v>1038</v>
      </c>
      <c r="I274" s="20" t="e">
        <f>VLOOKUP(A274,CO_Base_LNEC!$B$4:$G$271,6,FALSE)</f>
        <v>#N/A</v>
      </c>
      <c r="J274" s="35" t="s">
        <v>1038</v>
      </c>
      <c r="K274" s="24"/>
      <c r="L274" s="30" t="s">
        <v>84</v>
      </c>
      <c r="M274" s="31" t="s">
        <v>84</v>
      </c>
      <c r="N274" s="31" t="s">
        <v>84</v>
      </c>
      <c r="O274" s="24"/>
      <c r="P274" s="33" t="s">
        <v>84</v>
      </c>
      <c r="Q274" s="34" t="s">
        <v>86</v>
      </c>
      <c r="R274" s="24"/>
      <c r="S274" s="24"/>
    </row>
    <row r="275" spans="1:19" ht="14.5">
      <c r="A275" s="20" t="s">
        <v>1039</v>
      </c>
      <c r="B275" s="20">
        <v>55</v>
      </c>
      <c r="C275" s="20">
        <v>5</v>
      </c>
      <c r="D275" s="20">
        <v>30</v>
      </c>
      <c r="E275" s="24"/>
      <c r="F275" s="20" t="s">
        <v>1040</v>
      </c>
      <c r="G275" t="str">
        <f ca="1">IFERROR(__xludf.DUMMYFUNCTION("UPPER(LEFT((GOOGLETRANSLATE(F275,""en"",""pt"")),1))&amp;RIGHT(lower((GOOGLETRANSLATE(F275,""en"",""pt""))),(LEN((GOOGLETRANSLATE(F275,""en"",""pt"")))-1))"),"Complexos de extracção de gás")</f>
        <v>Complexos de extracção de gás</v>
      </c>
      <c r="H275" s="36" t="s">
        <v>1041</v>
      </c>
      <c r="I275" s="20" t="e">
        <f>VLOOKUP(A275,CO_Base_LNEC!$B$4:$G$271,6,FALSE)</f>
        <v>#N/A</v>
      </c>
      <c r="J275" s="36" t="s">
        <v>1041</v>
      </c>
      <c r="K275" s="24"/>
      <c r="L275" s="30" t="s">
        <v>84</v>
      </c>
      <c r="M275" s="31" t="s">
        <v>84</v>
      </c>
      <c r="N275" s="31" t="s">
        <v>84</v>
      </c>
      <c r="O275" s="24"/>
      <c r="P275" s="33" t="s">
        <v>84</v>
      </c>
      <c r="Q275" s="33" t="s">
        <v>84</v>
      </c>
      <c r="R275" s="24"/>
      <c r="S275" s="24"/>
    </row>
    <row r="276" spans="1:19" ht="14.5">
      <c r="A276" s="20" t="s">
        <v>1042</v>
      </c>
      <c r="B276" s="20">
        <v>55</v>
      </c>
      <c r="C276" s="20">
        <v>5</v>
      </c>
      <c r="D276" s="20">
        <v>70</v>
      </c>
      <c r="E276" s="24"/>
      <c r="F276" s="20" t="s">
        <v>1043</v>
      </c>
      <c r="G276" t="str">
        <f ca="1">IFERROR(__xludf.DUMMYFUNCTION("UPPER(LEFT((GOOGLETRANSLATE(F276,""en"",""pt"")),1))&amp;RIGHT(lower((GOOGLETRANSLATE(F276,""en"",""pt""))),(LEN((GOOGLETRANSLATE(F276,""en"",""pt"")))-1))"),"Complexos de tratamento de gases")</f>
        <v>Complexos de tratamento de gases</v>
      </c>
      <c r="H276" s="35" t="s">
        <v>1044</v>
      </c>
      <c r="I276" s="20" t="e">
        <f>VLOOKUP(A276,CO_Base_LNEC!$B$4:$G$271,6,FALSE)</f>
        <v>#N/A</v>
      </c>
      <c r="J276" s="35" t="s">
        <v>1044</v>
      </c>
      <c r="K276" s="24"/>
      <c r="L276" s="30" t="s">
        <v>84</v>
      </c>
      <c r="M276" s="31" t="s">
        <v>84</v>
      </c>
      <c r="N276" s="31" t="s">
        <v>84</v>
      </c>
      <c r="O276" s="24"/>
      <c r="P276" s="33" t="s">
        <v>84</v>
      </c>
      <c r="Q276" s="34" t="s">
        <v>86</v>
      </c>
      <c r="R276" s="24"/>
      <c r="S276" s="24"/>
    </row>
    <row r="277" spans="1:19" ht="14.5">
      <c r="A277" s="20" t="s">
        <v>1045</v>
      </c>
      <c r="B277" s="20">
        <v>55</v>
      </c>
      <c r="C277" s="20">
        <v>10</v>
      </c>
      <c r="D277" s="24"/>
      <c r="E277" s="24"/>
      <c r="F277" s="20" t="s">
        <v>1046</v>
      </c>
      <c r="G277" t="str">
        <f ca="1">IFERROR(__xludf.DUMMYFUNCTION("UPPER(LEFT((GOOGLETRANSLATE(F277,""en"",""pt"")),1))&amp;RIGHT(lower((GOOGLETRANSLATE(F277,""en"",""pt""))),(LEN((GOOGLETRANSLATE(F277,""en"",""pt"")))-1))"),"Complexos de extracção de combustível líquido e de tratamento")</f>
        <v>Complexos de extracção de combustível líquido e de tratamento</v>
      </c>
      <c r="H277" s="35" t="s">
        <v>1047</v>
      </c>
      <c r="I277" s="20" t="e">
        <f>VLOOKUP(A277,CO_Base_LNEC!$B$4:$G$271,6,FALSE)</f>
        <v>#N/A</v>
      </c>
      <c r="J277" s="35" t="s">
        <v>1047</v>
      </c>
      <c r="K277" s="24"/>
      <c r="L277" s="30" t="s">
        <v>84</v>
      </c>
      <c r="M277" s="31" t="s">
        <v>84</v>
      </c>
      <c r="N277" s="31" t="s">
        <v>84</v>
      </c>
      <c r="O277" s="24"/>
      <c r="P277" s="33" t="s">
        <v>84</v>
      </c>
      <c r="Q277" s="33" t="s">
        <v>84</v>
      </c>
      <c r="R277" s="24"/>
      <c r="S277" s="24"/>
    </row>
    <row r="278" spans="1:19" ht="14.5">
      <c r="A278" s="20" t="s">
        <v>1048</v>
      </c>
      <c r="B278" s="20">
        <v>55</v>
      </c>
      <c r="C278" s="20">
        <v>10</v>
      </c>
      <c r="D278" s="20">
        <v>40</v>
      </c>
      <c r="E278" s="24"/>
      <c r="F278" s="20" t="s">
        <v>1049</v>
      </c>
      <c r="G278" t="str">
        <f ca="1">IFERROR(__xludf.DUMMYFUNCTION("UPPER(LEFT((GOOGLETRANSLATE(F278,""en"",""pt"")),1))&amp;RIGHT(lower((GOOGLETRANSLATE(F278,""en"",""pt""))),(LEN((GOOGLETRANSLATE(F278,""en"",""pt"")))-1))"),"Complexos de extracção de petróleo")</f>
        <v>Complexos de extracção de petróleo</v>
      </c>
      <c r="H278" s="36" t="s">
        <v>1050</v>
      </c>
      <c r="I278" s="20" t="e">
        <f>VLOOKUP(A278,CO_Base_LNEC!$B$4:$G$271,6,FALSE)</f>
        <v>#N/A</v>
      </c>
      <c r="J278" s="36" t="s">
        <v>1050</v>
      </c>
      <c r="K278" s="24"/>
      <c r="L278" s="30" t="s">
        <v>84</v>
      </c>
      <c r="M278" s="31" t="s">
        <v>84</v>
      </c>
      <c r="N278" s="31" t="s">
        <v>84</v>
      </c>
      <c r="O278" s="24"/>
      <c r="P278" s="33" t="s">
        <v>84</v>
      </c>
      <c r="Q278" s="33" t="s">
        <v>84</v>
      </c>
      <c r="R278" s="24"/>
      <c r="S278" s="24"/>
    </row>
    <row r="279" spans="1:19" ht="14.5">
      <c r="A279" s="20" t="s">
        <v>1051</v>
      </c>
      <c r="B279" s="20">
        <v>55</v>
      </c>
      <c r="C279" s="20">
        <v>10</v>
      </c>
      <c r="D279" s="20">
        <v>80</v>
      </c>
      <c r="E279" s="24"/>
      <c r="F279" s="20" t="s">
        <v>1052</v>
      </c>
      <c r="G279" t="str">
        <f ca="1">IFERROR(__xludf.DUMMYFUNCTION("UPPER(LEFT((GOOGLETRANSLATE(F279,""en"",""pt"")),1))&amp;RIGHT(lower((GOOGLETRANSLATE(F279,""en"",""pt""))),(LEN((GOOGLETRANSLATE(F279,""en"",""pt"")))-1))"),"Complexos de tratamento de petróleo")</f>
        <v>Complexos de tratamento de petróleo</v>
      </c>
      <c r="H279" s="36" t="s">
        <v>1053</v>
      </c>
      <c r="I279" s="20" t="e">
        <f>VLOOKUP(A279,CO_Base_LNEC!$B$4:$G$271,6,FALSE)</f>
        <v>#N/A</v>
      </c>
      <c r="J279" s="36" t="s">
        <v>1053</v>
      </c>
      <c r="K279" s="24"/>
      <c r="L279" s="30" t="s">
        <v>84</v>
      </c>
      <c r="M279" s="31" t="s">
        <v>84</v>
      </c>
      <c r="N279" s="31" t="s">
        <v>84</v>
      </c>
      <c r="O279" s="24"/>
      <c r="P279" s="33" t="s">
        <v>84</v>
      </c>
      <c r="Q279" s="34" t="s">
        <v>86</v>
      </c>
      <c r="R279" s="24"/>
      <c r="S279" s="24"/>
    </row>
    <row r="280" spans="1:19" ht="14.5">
      <c r="A280" s="20" t="s">
        <v>1054</v>
      </c>
      <c r="B280" s="20">
        <v>55</v>
      </c>
      <c r="C280" s="20">
        <v>15</v>
      </c>
      <c r="D280" s="24"/>
      <c r="E280" s="24"/>
      <c r="F280" s="20" t="s">
        <v>1055</v>
      </c>
      <c r="G280" t="str">
        <f ca="1">IFERROR(__xludf.DUMMYFUNCTION("UPPER(LEFT((GOOGLETRANSLATE(F280,""en"",""pt"")),1))&amp;RIGHT(lower((GOOGLETRANSLATE(F280,""en"",""pt""))),(LEN((GOOGLETRANSLATE(F280,""en"",""pt"")))-1))"),"Complexos de extracção e de tratamento de águas")</f>
        <v>Complexos de extracção e de tratamento de águas</v>
      </c>
      <c r="H280" s="35" t="s">
        <v>1056</v>
      </c>
      <c r="I280" s="20" t="str">
        <f>VLOOKUP(A280,CO_Base_LNEC!$B$4:$G$271,6,FALSE)</f>
        <v>Infraestruturas de extração e tratamento de água</v>
      </c>
      <c r="J280" s="35" t="s">
        <v>1057</v>
      </c>
      <c r="K280" s="24"/>
      <c r="L280" s="30" t="s">
        <v>84</v>
      </c>
      <c r="M280" s="31" t="s">
        <v>84</v>
      </c>
      <c r="N280" s="31" t="s">
        <v>84</v>
      </c>
      <c r="O280" s="24"/>
      <c r="P280" s="33" t="s">
        <v>84</v>
      </c>
      <c r="Q280" s="33" t="s">
        <v>84</v>
      </c>
      <c r="R280" s="24"/>
      <c r="S280" s="24"/>
    </row>
    <row r="281" spans="1:19" ht="14.5">
      <c r="A281" s="20" t="s">
        <v>1058</v>
      </c>
      <c r="B281" s="20">
        <v>55</v>
      </c>
      <c r="C281" s="20">
        <v>15</v>
      </c>
      <c r="D281" s="20">
        <v>10</v>
      </c>
      <c r="E281" s="24"/>
      <c r="F281" s="20" t="s">
        <v>1059</v>
      </c>
      <c r="G281" t="str">
        <f ca="1">IFERROR(__xludf.DUMMYFUNCTION("UPPER(LEFT((GOOGLETRANSLATE(F281,""en"",""pt"")),1))&amp;RIGHT(lower((GOOGLETRANSLATE(F281,""en"",""pt""))),(LEN((GOOGLETRANSLATE(F281,""en"",""pt"")))-1))"),"Complexos de extracção de água")</f>
        <v>Complexos de extracção de água</v>
      </c>
      <c r="H281" s="36" t="s">
        <v>1060</v>
      </c>
      <c r="I281" s="20" t="str">
        <f>VLOOKUP(A281,CO_Base_LNEC!$B$4:$G$271,6,FALSE)</f>
        <v>Estações de captação, elevação e filtração de água</v>
      </c>
      <c r="J281" s="45" t="s">
        <v>1061</v>
      </c>
      <c r="K281" s="24"/>
      <c r="L281" s="30" t="s">
        <v>84</v>
      </c>
      <c r="M281" s="31" t="s">
        <v>84</v>
      </c>
      <c r="N281" s="31" t="s">
        <v>84</v>
      </c>
      <c r="O281" s="24"/>
      <c r="P281" s="33" t="s">
        <v>84</v>
      </c>
      <c r="Q281" s="33" t="s">
        <v>84</v>
      </c>
      <c r="R281" s="24"/>
      <c r="S281" s="24"/>
    </row>
    <row r="282" spans="1:19" ht="14.5">
      <c r="A282" s="20" t="s">
        <v>1062</v>
      </c>
      <c r="B282" s="20">
        <v>55</v>
      </c>
      <c r="C282" s="20">
        <v>15</v>
      </c>
      <c r="D282" s="20">
        <v>50</v>
      </c>
      <c r="E282" s="24"/>
      <c r="F282" s="20" t="s">
        <v>1063</v>
      </c>
      <c r="G282" t="str">
        <f ca="1">IFERROR(__xludf.DUMMYFUNCTION("UPPER(LEFT((GOOGLETRANSLATE(F282,""en"",""pt"")),1))&amp;RIGHT(lower((GOOGLETRANSLATE(F282,""en"",""pt""))),(LEN((GOOGLETRANSLATE(F282,""en"",""pt"")))-1))"),"Complexos de tratamento de águas")</f>
        <v>Complexos de tratamento de águas</v>
      </c>
      <c r="H282" s="35" t="s">
        <v>1064</v>
      </c>
      <c r="I282" s="20" t="str">
        <f>VLOOKUP(A282,CO_Base_LNEC!$B$4:$G$271,6,FALSE)</f>
        <v>Estações de tratamento de água</v>
      </c>
      <c r="J282" s="35" t="s">
        <v>1065</v>
      </c>
      <c r="K282" s="24"/>
      <c r="L282" s="30" t="s">
        <v>84</v>
      </c>
      <c r="M282" s="31" t="s">
        <v>84</v>
      </c>
      <c r="N282" s="20" t="s">
        <v>1066</v>
      </c>
      <c r="O282" s="24"/>
      <c r="P282" s="33" t="s">
        <v>84</v>
      </c>
      <c r="Q282" s="33" t="s">
        <v>84</v>
      </c>
      <c r="R282" s="24"/>
      <c r="S282" s="24"/>
    </row>
    <row r="283" spans="1:19" ht="14.5">
      <c r="A283" s="20" t="s">
        <v>1067</v>
      </c>
      <c r="B283" s="20">
        <v>55</v>
      </c>
      <c r="C283" s="20">
        <v>20</v>
      </c>
      <c r="D283" s="24"/>
      <c r="E283" s="24"/>
      <c r="F283" s="20" t="s">
        <v>1068</v>
      </c>
      <c r="G283" t="str">
        <f ca="1">IFERROR(__xludf.DUMMYFUNCTION("UPPER(LEFT((GOOGLETRANSLATE(F283,""en"",""pt"")),1))&amp;RIGHT(lower((GOOGLETRANSLATE(F283,""en"",""pt""))),(LEN((GOOGLETRANSLATE(F283,""en"",""pt"")))-1))"),"Complexos de abastecimento de gás")</f>
        <v>Complexos de abastecimento de gás</v>
      </c>
      <c r="H283" s="36" t="s">
        <v>1069</v>
      </c>
      <c r="I283" s="20" t="str">
        <f>VLOOKUP(A283,CO_Base_LNEC!$B$4:$G$271,6,FALSE)</f>
        <v>Gasodutos</v>
      </c>
      <c r="J283" s="20" t="s">
        <v>1070</v>
      </c>
      <c r="K283" s="20"/>
      <c r="L283" s="30" t="s">
        <v>84</v>
      </c>
      <c r="M283" s="31" t="s">
        <v>84</v>
      </c>
      <c r="N283" s="31" t="s">
        <v>84</v>
      </c>
      <c r="O283" s="24"/>
      <c r="P283" s="34" t="s">
        <v>1071</v>
      </c>
      <c r="Q283" s="34" t="s">
        <v>1071</v>
      </c>
      <c r="R283" s="24"/>
      <c r="S283" s="24"/>
    </row>
    <row r="284" spans="1:19" ht="14.5">
      <c r="A284" s="20" t="s">
        <v>1072</v>
      </c>
      <c r="B284" s="20">
        <v>55</v>
      </c>
      <c r="C284" s="20">
        <v>20</v>
      </c>
      <c r="D284" s="20">
        <v>50</v>
      </c>
      <c r="E284" s="24"/>
      <c r="F284" s="20" t="s">
        <v>1073</v>
      </c>
      <c r="G284" t="str">
        <f ca="1">IFERROR(__xludf.DUMMYFUNCTION("UPPER(LEFT((GOOGLETRANSLATE(F284,""en"",""pt"")),1))&amp;RIGHT(lower((GOOGLETRANSLATE(F284,""en"",""pt""))),(LEN((GOOGLETRANSLATE(F284,""en"",""pt"")))-1))"),"Complexos de distribuição de gás")</f>
        <v>Complexos de distribuição de gás</v>
      </c>
      <c r="H284" s="36" t="s">
        <v>1074</v>
      </c>
      <c r="I284" s="20" t="str">
        <f>VLOOKUP(A284,CO_Base_LNEC!$B$4:$G$271,6,FALSE)</f>
        <v>Estações de compressão para transporte por gasodutos</v>
      </c>
      <c r="J284" s="35" t="s">
        <v>1075</v>
      </c>
      <c r="K284" s="24"/>
      <c r="L284" s="30" t="s">
        <v>84</v>
      </c>
      <c r="M284" s="31" t="s">
        <v>84</v>
      </c>
      <c r="N284" s="31" t="s">
        <v>84</v>
      </c>
      <c r="O284" s="24"/>
      <c r="P284" s="33" t="s">
        <v>84</v>
      </c>
      <c r="Q284" s="33" t="s">
        <v>84</v>
      </c>
      <c r="R284" s="24"/>
      <c r="S284" s="24"/>
    </row>
    <row r="285" spans="1:19" ht="14.5">
      <c r="A285" s="20" t="s">
        <v>1076</v>
      </c>
      <c r="B285" s="20">
        <v>55</v>
      </c>
      <c r="C285" s="20">
        <v>20</v>
      </c>
      <c r="D285" s="20">
        <v>60</v>
      </c>
      <c r="E285" s="24"/>
      <c r="F285" s="20" t="s">
        <v>1077</v>
      </c>
      <c r="G285" t="str">
        <f ca="1">IFERROR(__xludf.DUMMYFUNCTION("UPPER(LEFT((GOOGLETRANSLATE(F285,""en"",""pt"")),1))&amp;RIGHT(lower((GOOGLETRANSLATE(F285,""en"",""pt""))),(LEN((GOOGLETRANSLATE(F285,""en"",""pt"")))-1))"),"Redes de distribuição de gás")</f>
        <v>Redes de distribuição de gás</v>
      </c>
      <c r="H285" s="36" t="s">
        <v>1078</v>
      </c>
      <c r="I285" s="20" t="str">
        <f>VLOOKUP(A285,CO_Base_LNEC!$B$4:$G$271,6,FALSE)</f>
        <v>Gasodutos</v>
      </c>
      <c r="J285" s="45" t="s">
        <v>1079</v>
      </c>
      <c r="K285" s="24"/>
      <c r="L285" s="30" t="s">
        <v>84</v>
      </c>
      <c r="M285" s="31" t="s">
        <v>84</v>
      </c>
      <c r="N285" s="31" t="s">
        <v>84</v>
      </c>
      <c r="O285" s="24"/>
      <c r="P285" s="33" t="s">
        <v>84</v>
      </c>
      <c r="Q285" s="33" t="s">
        <v>84</v>
      </c>
      <c r="R285" s="24"/>
      <c r="S285" s="24"/>
    </row>
    <row r="286" spans="1:19" ht="14.5">
      <c r="A286" s="20" t="s">
        <v>1080</v>
      </c>
      <c r="B286" s="20">
        <v>55</v>
      </c>
      <c r="C286" s="20">
        <v>50</v>
      </c>
      <c r="D286" s="24"/>
      <c r="E286" s="24"/>
      <c r="F286" s="20" t="s">
        <v>1081</v>
      </c>
      <c r="G286" t="str">
        <f ca="1">IFERROR(__xludf.DUMMYFUNCTION("UPPER(LEFT((GOOGLETRANSLATE(F286,""en"",""pt"")),1))&amp;RIGHT(lower((GOOGLETRANSLATE(F286,""en"",""pt""))),(LEN((GOOGLETRANSLATE(F286,""en"",""pt"")))-1))"),"Complexos de abastecimento de combustíveis líquidos")</f>
        <v>Complexos de abastecimento de combustíveis líquidos</v>
      </c>
      <c r="H286" s="36" t="s">
        <v>1082</v>
      </c>
      <c r="I286" s="20" t="str">
        <f>VLOOKUP(A286,CO_Base_LNEC!$B$4:$G$271,6,FALSE)</f>
        <v>Oleodutos</v>
      </c>
      <c r="J286" s="45" t="s">
        <v>1083</v>
      </c>
      <c r="K286" s="24"/>
      <c r="L286" s="30" t="s">
        <v>84</v>
      </c>
      <c r="M286" s="31" t="s">
        <v>84</v>
      </c>
      <c r="N286" s="31" t="s">
        <v>84</v>
      </c>
      <c r="O286" s="24"/>
      <c r="P286" s="33" t="s">
        <v>84</v>
      </c>
      <c r="Q286" s="33" t="s">
        <v>84</v>
      </c>
      <c r="R286" s="24"/>
      <c r="S286" s="24"/>
    </row>
    <row r="287" spans="1:19" ht="14.5">
      <c r="A287" s="20" t="s">
        <v>1084</v>
      </c>
      <c r="B287" s="20">
        <v>55</v>
      </c>
      <c r="C287" s="20">
        <v>50</v>
      </c>
      <c r="D287" s="20">
        <v>10</v>
      </c>
      <c r="E287" s="24"/>
      <c r="F287" s="20" t="s">
        <v>1085</v>
      </c>
      <c r="G287" t="str">
        <f ca="1">IFERROR(__xludf.DUMMYFUNCTION("UPPER(LEFT((GOOGLETRANSLATE(F287,""en"",""pt"")),1))&amp;RIGHT(lower((GOOGLETRANSLATE(F287,""en"",""pt""))),(LEN((GOOGLETRANSLATE(F287,""en"",""pt"")))-1))"),"Complexos de distribuição de combustíveis líquidos")</f>
        <v>Complexos de distribuição de combustíveis líquidos</v>
      </c>
      <c r="H287" s="36" t="s">
        <v>1086</v>
      </c>
      <c r="I287" s="20" t="str">
        <f>VLOOKUP(A287,CO_Base_LNEC!$B$4:$G$271,6,FALSE)</f>
        <v>Estações de bombagem para o transporte de oleodutos</v>
      </c>
      <c r="J287" s="36" t="s">
        <v>1086</v>
      </c>
      <c r="K287" s="24"/>
      <c r="L287" s="30" t="s">
        <v>84</v>
      </c>
      <c r="M287" s="31" t="s">
        <v>84</v>
      </c>
      <c r="N287" s="31" t="s">
        <v>84</v>
      </c>
      <c r="O287" s="24"/>
      <c r="P287" s="33" t="s">
        <v>84</v>
      </c>
      <c r="Q287" s="34" t="s">
        <v>86</v>
      </c>
      <c r="R287" s="24"/>
      <c r="S287" s="24"/>
    </row>
    <row r="288" spans="1:19" ht="14.5">
      <c r="A288" s="20" t="s">
        <v>1087</v>
      </c>
      <c r="B288" s="20">
        <v>55</v>
      </c>
      <c r="C288" s="20">
        <v>50</v>
      </c>
      <c r="D288" s="20">
        <v>50</v>
      </c>
      <c r="E288" s="24"/>
      <c r="F288" s="20" t="s">
        <v>1088</v>
      </c>
      <c r="G288" t="str">
        <f ca="1">IFERROR(__xludf.DUMMYFUNCTION("UPPER(LEFT((GOOGLETRANSLATE(F288,""en"",""pt"")),1))&amp;RIGHT(lower((GOOGLETRANSLATE(F288,""en"",""pt""))),(LEN((GOOGLETRANSLATE(F288,""en"",""pt"")))-1))"),"Redes de distribuição de combustíveis líquidos")</f>
        <v>Redes de distribuição de combustíveis líquidos</v>
      </c>
      <c r="H288" s="36" t="s">
        <v>1089</v>
      </c>
      <c r="I288" s="20" t="str">
        <f>VLOOKUP(A288,CO_Base_LNEC!$B$4:$G$271,6,FALSE)</f>
        <v>Oleodutos para transporte de produtos petrolíferos</v>
      </c>
      <c r="J288" s="36" t="s">
        <v>1089</v>
      </c>
      <c r="K288" s="24"/>
      <c r="L288" s="30" t="s">
        <v>84</v>
      </c>
      <c r="M288" s="31" t="s">
        <v>84</v>
      </c>
      <c r="N288" s="31" t="s">
        <v>84</v>
      </c>
      <c r="O288" s="24"/>
      <c r="P288" s="33" t="s">
        <v>84</v>
      </c>
      <c r="Q288" s="33" t="s">
        <v>84</v>
      </c>
      <c r="R288" s="24"/>
      <c r="S288" s="24"/>
    </row>
    <row r="289" spans="1:19" ht="14.5">
      <c r="A289" s="20" t="s">
        <v>1090</v>
      </c>
      <c r="B289" s="20">
        <v>55</v>
      </c>
      <c r="C289" s="20">
        <v>70</v>
      </c>
      <c r="D289" s="24"/>
      <c r="E289" s="24"/>
      <c r="F289" s="20" t="s">
        <v>1091</v>
      </c>
      <c r="G289" t="str">
        <f ca="1">IFERROR(__xludf.DUMMYFUNCTION("UPPER(LEFT((GOOGLETRANSLATE(F289,""en"",""pt"")),1))&amp;RIGHT(lower((GOOGLETRANSLATE(F289,""en"",""pt""))),(LEN((GOOGLETRANSLATE(F289,""en"",""pt"")))-1))"),"Complexos de abastecimento de água")</f>
        <v>Complexos de abastecimento de água</v>
      </c>
      <c r="H289" s="36" t="s">
        <v>1092</v>
      </c>
      <c r="I289" s="20" t="str">
        <f>VLOOKUP(A289,CO_Base_LNEC!$B$4:$G$271,6,FALSE)</f>
        <v>Infraestruturas para a distribuição de água</v>
      </c>
      <c r="J289" s="36" t="s">
        <v>1092</v>
      </c>
      <c r="K289" s="24"/>
      <c r="L289" s="30" t="s">
        <v>84</v>
      </c>
      <c r="M289" s="31" t="s">
        <v>84</v>
      </c>
      <c r="N289" s="20" t="s">
        <v>1093</v>
      </c>
      <c r="O289" s="24"/>
      <c r="P289" s="33" t="s">
        <v>84</v>
      </c>
      <c r="Q289" s="34" t="s">
        <v>982</v>
      </c>
      <c r="R289" s="24"/>
      <c r="S289" s="24"/>
    </row>
    <row r="290" spans="1:19" ht="14.5">
      <c r="A290" s="20" t="s">
        <v>1094</v>
      </c>
      <c r="B290" s="20">
        <v>55</v>
      </c>
      <c r="C290" s="20">
        <v>70</v>
      </c>
      <c r="D290" s="20">
        <v>20</v>
      </c>
      <c r="E290" s="24"/>
      <c r="F290" s="20" t="s">
        <v>1095</v>
      </c>
      <c r="G290" t="str">
        <f ca="1">IFERROR(__xludf.DUMMYFUNCTION("UPPER(LEFT((GOOGLETRANSLATE(F290,""en"",""pt"")),1))&amp;RIGHT(lower((GOOGLETRANSLATE(F290,""en"",""pt""))),(LEN((GOOGLETRANSLATE(F290,""en"",""pt"")))-1))"),"Complexos de distribuição de água")</f>
        <v>Complexos de distribuição de água</v>
      </c>
      <c r="H290" s="36" t="s">
        <v>1096</v>
      </c>
      <c r="I290" s="20" t="str">
        <f>VLOOKUP(A290,CO_Base_LNEC!$B$4:$G$271,6,FALSE)</f>
        <v>Estações de distribuição de água</v>
      </c>
      <c r="J290" s="36" t="s">
        <v>1096</v>
      </c>
      <c r="K290" s="24"/>
      <c r="L290" s="30" t="s">
        <v>84</v>
      </c>
      <c r="M290" s="31" t="s">
        <v>84</v>
      </c>
      <c r="N290" s="20" t="s">
        <v>1097</v>
      </c>
      <c r="O290" s="24"/>
      <c r="P290" s="33" t="s">
        <v>84</v>
      </c>
      <c r="Q290" s="34" t="s">
        <v>982</v>
      </c>
      <c r="R290" s="24"/>
      <c r="S290" s="24"/>
    </row>
    <row r="291" spans="1:19" ht="14.5">
      <c r="A291" s="20" t="s">
        <v>1098</v>
      </c>
      <c r="B291" s="20">
        <v>55</v>
      </c>
      <c r="C291" s="20">
        <v>70</v>
      </c>
      <c r="D291" s="20">
        <v>60</v>
      </c>
      <c r="E291" s="24"/>
      <c r="F291" s="20" t="s">
        <v>1099</v>
      </c>
      <c r="G291" t="str">
        <f ca="1">IFERROR(__xludf.DUMMYFUNCTION("UPPER(LEFT((GOOGLETRANSLATE(F291,""en"",""pt"")),1))&amp;RIGHT(lower((GOOGLETRANSLATE(F291,""en"",""pt""))),(LEN((GOOGLETRANSLATE(F291,""en"",""pt"")))-1))"),"Redes de distribuição de água")</f>
        <v>Redes de distribuição de água</v>
      </c>
      <c r="H291" s="36" t="s">
        <v>1100</v>
      </c>
      <c r="I291" s="20" t="str">
        <f>VLOOKUP(A291,CO_Base_LNEC!$B$4:$G$271,6,FALSE)</f>
        <v>Condutas para o transporte de água</v>
      </c>
      <c r="J291" s="36" t="s">
        <v>1100</v>
      </c>
      <c r="K291" s="24"/>
      <c r="L291" s="30" t="s">
        <v>84</v>
      </c>
      <c r="M291" s="31" t="s">
        <v>84</v>
      </c>
      <c r="N291" s="31" t="s">
        <v>84</v>
      </c>
      <c r="O291" s="24"/>
      <c r="P291" s="33" t="s">
        <v>84</v>
      </c>
      <c r="Q291" s="33" t="s">
        <v>84</v>
      </c>
      <c r="R291" s="24"/>
      <c r="S291" s="24"/>
    </row>
    <row r="292" spans="1:19" ht="14.5">
      <c r="A292" s="20" t="s">
        <v>1101</v>
      </c>
      <c r="B292" s="20">
        <v>60</v>
      </c>
      <c r="C292" s="24"/>
      <c r="D292" s="24"/>
      <c r="E292" s="24"/>
      <c r="F292" s="20" t="s">
        <v>1102</v>
      </c>
      <c r="G292" t="str">
        <f ca="1">IFERROR(__xludf.DUMMYFUNCTION("UPPER(LEFT((GOOGLETRANSLATE(F292,""en"",""pt"")),1))&amp;RIGHT(lower((GOOGLETRANSLATE(F292,""en"",""pt""))),(LEN((GOOGLETRANSLATE(F292,""en"",""pt"")))-1))"),"Aquecimento, arrefecimento e complexos de refrigeração")</f>
        <v>Aquecimento, arrefecimento e complexos de refrigeração</v>
      </c>
      <c r="H292" s="35" t="s">
        <v>1103</v>
      </c>
      <c r="I292" s="20" t="e">
        <f>VLOOKUP(A292,CO_Base_LNEC!$B$4:$G$271,6,FALSE)</f>
        <v>#N/A</v>
      </c>
      <c r="J292" s="35" t="s">
        <v>1103</v>
      </c>
      <c r="K292" s="24"/>
      <c r="L292" s="30" t="s">
        <v>84</v>
      </c>
      <c r="M292" s="31" t="s">
        <v>84</v>
      </c>
      <c r="N292" s="31" t="s">
        <v>84</v>
      </c>
      <c r="O292" s="24"/>
      <c r="P292" s="33" t="s">
        <v>84</v>
      </c>
      <c r="Q292" s="34" t="s">
        <v>1104</v>
      </c>
      <c r="R292" s="24"/>
      <c r="S292" s="24"/>
    </row>
    <row r="293" spans="1:19" ht="14.5">
      <c r="A293" s="20" t="s">
        <v>1105</v>
      </c>
      <c r="B293" s="20">
        <v>60</v>
      </c>
      <c r="C293" s="20">
        <v>10</v>
      </c>
      <c r="D293" s="24"/>
      <c r="E293" s="24"/>
      <c r="F293" s="20" t="s">
        <v>1106</v>
      </c>
      <c r="G293" t="str">
        <f ca="1">IFERROR(__xludf.DUMMYFUNCTION("UPPER(LEFT((GOOGLETRANSLATE(F293,""en"",""pt"")),1))&amp;RIGHT(lower((GOOGLETRANSLATE(F293,""en"",""pt""))),(LEN((GOOGLETRANSLATE(F293,""en"",""pt"")))-1))"),"Aquecimento complexos")</f>
        <v>Aquecimento complexos</v>
      </c>
      <c r="H293" s="36" t="s">
        <v>1107</v>
      </c>
      <c r="I293" s="20" t="e">
        <f>VLOOKUP(A293,CO_Base_LNEC!$B$4:$G$271,6,FALSE)</f>
        <v>#N/A</v>
      </c>
      <c r="J293" s="36" t="s">
        <v>1107</v>
      </c>
      <c r="K293" s="24"/>
      <c r="L293" s="30" t="s">
        <v>84</v>
      </c>
      <c r="M293" s="31" t="s">
        <v>84</v>
      </c>
      <c r="N293" s="31" t="s">
        <v>84</v>
      </c>
      <c r="O293" s="24"/>
      <c r="P293" s="33" t="s">
        <v>84</v>
      </c>
      <c r="Q293" s="34" t="s">
        <v>1104</v>
      </c>
      <c r="R293" s="24"/>
      <c r="S293" s="24"/>
    </row>
    <row r="294" spans="1:19" ht="14.5">
      <c r="A294" s="20" t="s">
        <v>1108</v>
      </c>
      <c r="B294" s="20">
        <v>60</v>
      </c>
      <c r="C294" s="20">
        <v>10</v>
      </c>
      <c r="D294" s="20">
        <v>10</v>
      </c>
      <c r="E294" s="24"/>
      <c r="F294" s="20" t="s">
        <v>1109</v>
      </c>
      <c r="G294" t="str">
        <f ca="1">IFERROR(__xludf.DUMMYFUNCTION("UPPER(LEFT((GOOGLETRANSLATE(F294,""en"",""pt"")),1))&amp;RIGHT(lower((GOOGLETRANSLATE(F294,""en"",""pt""))),(LEN((GOOGLETRANSLATE(F294,""en"",""pt"")))-1))"),"Complexos de aquecimento urbano")</f>
        <v>Complexos de aquecimento urbano</v>
      </c>
      <c r="H294" s="36" t="s">
        <v>1110</v>
      </c>
      <c r="I294" s="20" t="e">
        <f>VLOOKUP(A294,CO_Base_LNEC!$B$4:$G$271,6,FALSE)</f>
        <v>#N/A</v>
      </c>
      <c r="J294" s="36" t="s">
        <v>1110</v>
      </c>
      <c r="K294" s="24"/>
      <c r="L294" s="30" t="s">
        <v>84</v>
      </c>
      <c r="M294" s="31" t="s">
        <v>84</v>
      </c>
      <c r="N294" s="31" t="s">
        <v>84</v>
      </c>
      <c r="O294" s="24"/>
      <c r="P294" s="33" t="s">
        <v>84</v>
      </c>
      <c r="Q294" s="34" t="s">
        <v>1104</v>
      </c>
      <c r="R294" s="24"/>
      <c r="S294" s="24"/>
    </row>
    <row r="295" spans="1:19" ht="14.5">
      <c r="A295" s="20" t="s">
        <v>1111</v>
      </c>
      <c r="B295" s="20">
        <v>60</v>
      </c>
      <c r="C295" s="20">
        <v>40</v>
      </c>
      <c r="D295" s="24"/>
      <c r="E295" s="24"/>
      <c r="F295" s="20" t="s">
        <v>1112</v>
      </c>
      <c r="G295" t="str">
        <f ca="1">IFERROR(__xludf.DUMMYFUNCTION("UPPER(LEFT((GOOGLETRANSLATE(F295,""en"",""pt"")),1))&amp;RIGHT(lower((GOOGLETRANSLATE(F295,""en"",""pt""))),(LEN((GOOGLETRANSLATE(F295,""en"",""pt"")))-1))"),"Complexos de arrefecimento")</f>
        <v>Complexos de arrefecimento</v>
      </c>
      <c r="H295" s="36" t="s">
        <v>1113</v>
      </c>
      <c r="I295" s="20" t="e">
        <f>VLOOKUP(A295,CO_Base_LNEC!$B$4:$G$271,6,FALSE)</f>
        <v>#N/A</v>
      </c>
      <c r="J295" s="36" t="s">
        <v>1113</v>
      </c>
      <c r="K295" s="24"/>
      <c r="L295" s="30" t="s">
        <v>84</v>
      </c>
      <c r="M295" s="31" t="s">
        <v>84</v>
      </c>
      <c r="N295" s="31" t="s">
        <v>84</v>
      </c>
      <c r="O295" s="24"/>
      <c r="P295" s="33" t="s">
        <v>84</v>
      </c>
      <c r="Q295" s="34" t="s">
        <v>1104</v>
      </c>
      <c r="R295" s="24"/>
      <c r="S295" s="24"/>
    </row>
    <row r="296" spans="1:19" ht="14.5">
      <c r="A296" s="20" t="s">
        <v>1114</v>
      </c>
      <c r="B296" s="20">
        <v>60</v>
      </c>
      <c r="C296" s="20">
        <v>40</v>
      </c>
      <c r="D296" s="20">
        <v>10</v>
      </c>
      <c r="E296" s="24"/>
      <c r="F296" s="20" t="s">
        <v>1115</v>
      </c>
      <c r="G296" t="str">
        <f ca="1">IFERROR(__xludf.DUMMYFUNCTION("UPPER(LEFT((GOOGLETRANSLATE(F296,""en"",""pt"")),1))&amp;RIGHT(lower((GOOGLETRANSLATE(F296,""en"",""pt""))),(LEN((GOOGLETRANSLATE(F296,""en"",""pt"")))-1))"),"Distrito arrefecimento complexos")</f>
        <v>Distrito arrefecimento complexos</v>
      </c>
      <c r="H296" s="35" t="s">
        <v>1116</v>
      </c>
      <c r="I296" s="20" t="e">
        <f>VLOOKUP(A296,CO_Base_LNEC!$B$4:$G$271,6,FALSE)</f>
        <v>#N/A</v>
      </c>
      <c r="J296" s="20" t="s">
        <v>1117</v>
      </c>
      <c r="K296" s="20"/>
      <c r="L296" s="30" t="s">
        <v>84</v>
      </c>
      <c r="M296" s="31" t="s">
        <v>84</v>
      </c>
      <c r="N296" s="31" t="s">
        <v>84</v>
      </c>
      <c r="O296" s="24"/>
      <c r="P296" s="33" t="s">
        <v>84</v>
      </c>
      <c r="Q296" s="34" t="s">
        <v>1104</v>
      </c>
      <c r="R296" s="24"/>
      <c r="S296" s="24"/>
    </row>
    <row r="297" spans="1:19" ht="14.5">
      <c r="A297" s="20" t="s">
        <v>1118</v>
      </c>
      <c r="B297" s="20">
        <v>65</v>
      </c>
      <c r="C297" s="24"/>
      <c r="D297" s="24"/>
      <c r="E297" s="24"/>
      <c r="F297" s="20" t="s">
        <v>1119</v>
      </c>
      <c r="G297" t="str">
        <f ca="1">IFERROR(__xludf.DUMMYFUNCTION("UPPER(LEFT((GOOGLETRANSLATE(F297,""en"",""pt"")),1))&amp;RIGHT(lower((GOOGLETRANSLATE(F297,""en"",""pt""))),(LEN((GOOGLETRANSLATE(F297,""en"",""pt"")))-1))"),"Complexos de ventilação e ar condicionado")</f>
        <v>Complexos de ventilação e ar condicionado</v>
      </c>
      <c r="H297" s="36" t="s">
        <v>1120</v>
      </c>
      <c r="I297" s="20" t="e">
        <f>VLOOKUP(A297,CO_Base_LNEC!$B$4:$G$271,6,FALSE)</f>
        <v>#N/A</v>
      </c>
      <c r="J297" s="36" t="s">
        <v>1120</v>
      </c>
      <c r="K297" s="24"/>
      <c r="L297" s="30" t="s">
        <v>84</v>
      </c>
      <c r="M297" s="31" t="s">
        <v>84</v>
      </c>
      <c r="N297" s="31" t="s">
        <v>84</v>
      </c>
      <c r="O297" s="24"/>
      <c r="P297" s="33" t="s">
        <v>84</v>
      </c>
      <c r="Q297" s="34" t="s">
        <v>1104</v>
      </c>
      <c r="R297" s="24"/>
      <c r="S297" s="24"/>
    </row>
    <row r="298" spans="1:19" ht="14.5">
      <c r="A298" s="20" t="s">
        <v>1121</v>
      </c>
      <c r="B298" s="20">
        <v>70</v>
      </c>
      <c r="C298" s="24"/>
      <c r="D298" s="24"/>
      <c r="E298" s="24"/>
      <c r="F298" s="20" t="s">
        <v>1122</v>
      </c>
      <c r="G298" t="str">
        <f ca="1">IFERROR(__xludf.DUMMYFUNCTION("UPPER(LEFT((GOOGLETRANSLATE(F298,""en"",""pt"")),1))&amp;RIGHT(lower((GOOGLETRANSLATE(F298,""en"",""pt""))),(LEN((GOOGLETRANSLATE(F298,""en"",""pt"")))-1))"),"Complexos de geração de energia eléctrica e de distribuição")</f>
        <v>Complexos de geração de energia eléctrica e de distribuição</v>
      </c>
      <c r="H298" s="35" t="s">
        <v>1123</v>
      </c>
      <c r="I298" s="20" t="str">
        <f>VLOOKUP(A298,CO_Base_LNEC!$B$4:$G$271,6,FALSE)</f>
        <v>Infraestruturas de geração e distribuição de energia elétrica</v>
      </c>
      <c r="J298" s="35" t="s">
        <v>1123</v>
      </c>
      <c r="K298" s="24"/>
      <c r="L298" s="30" t="s">
        <v>84</v>
      </c>
      <c r="M298" s="31" t="s">
        <v>84</v>
      </c>
      <c r="N298" s="31" t="s">
        <v>84</v>
      </c>
      <c r="O298" s="24"/>
      <c r="P298" s="33" t="s">
        <v>84</v>
      </c>
      <c r="Q298" s="34" t="s">
        <v>1124</v>
      </c>
      <c r="R298" s="24"/>
      <c r="S298" s="24"/>
    </row>
    <row r="299" spans="1:19" ht="14.5">
      <c r="A299" s="20" t="s">
        <v>1125</v>
      </c>
      <c r="B299" s="20">
        <v>70</v>
      </c>
      <c r="C299" s="20">
        <v>10</v>
      </c>
      <c r="D299" s="24"/>
      <c r="E299" s="24"/>
      <c r="F299" s="20" t="s">
        <v>1126</v>
      </c>
      <c r="G299" t="str">
        <f ca="1">IFERROR(__xludf.DUMMYFUNCTION("UPPER(LEFT((GOOGLETRANSLATE(F299,""en"",""pt"")),1))&amp;RIGHT(lower((GOOGLETRANSLATE(F299,""en"",""pt""))),(LEN((GOOGLETRANSLATE(F299,""en"",""pt"")))-1))"),"Complexos de geração de energia eléctrica")</f>
        <v>Complexos de geração de energia eléctrica</v>
      </c>
      <c r="H299" s="36" t="s">
        <v>1127</v>
      </c>
      <c r="I299" s="20" t="str">
        <f>VLOOKUP(A299,CO_Base_LNEC!$B$4:$G$271,6,FALSE)</f>
        <v>Infraestruturas de geração de energia elétrica</v>
      </c>
      <c r="J299" s="36" t="s">
        <v>1127</v>
      </c>
      <c r="K299" s="24"/>
      <c r="L299" s="30" t="s">
        <v>84</v>
      </c>
      <c r="M299" s="31" t="s">
        <v>84</v>
      </c>
      <c r="N299" s="31" t="s">
        <v>84</v>
      </c>
      <c r="O299" s="24"/>
      <c r="P299" s="33" t="s">
        <v>84</v>
      </c>
      <c r="Q299" s="34" t="s">
        <v>1124</v>
      </c>
      <c r="R299" s="24"/>
      <c r="S299" s="24"/>
    </row>
    <row r="300" spans="1:19" ht="14.5">
      <c r="A300" s="20" t="s">
        <v>1128</v>
      </c>
      <c r="B300" s="20">
        <v>70</v>
      </c>
      <c r="C300" s="20">
        <v>10</v>
      </c>
      <c r="D300" s="20">
        <v>8</v>
      </c>
      <c r="E300" s="24"/>
      <c r="F300" s="20" t="s">
        <v>1129</v>
      </c>
      <c r="G300" t="str">
        <f ca="1">IFERROR(__xludf.DUMMYFUNCTION("UPPER(LEFT((GOOGLETRANSLATE(F300,""en"",""pt"")),1))&amp;RIGHT(lower((GOOGLETRANSLATE(F300,""en"",""pt""))),(LEN((GOOGLETRANSLATE(F300,""en"",""pt"")))-1))"),"Complexos de geração de energia de biomassa")</f>
        <v>Complexos de geração de energia de biomassa</v>
      </c>
      <c r="H300" s="36" t="s">
        <v>1130</v>
      </c>
      <c r="I300" s="20" t="e">
        <f>VLOOKUP(A300,CO_Base_LNEC!$B$4:$G$271,6,FALSE)</f>
        <v>#N/A</v>
      </c>
      <c r="J300" s="36" t="s">
        <v>1130</v>
      </c>
      <c r="K300" s="24"/>
      <c r="L300" s="30" t="s">
        <v>84</v>
      </c>
      <c r="M300" s="31" t="s">
        <v>84</v>
      </c>
      <c r="N300" s="31" t="s">
        <v>84</v>
      </c>
      <c r="O300" s="24"/>
      <c r="P300" s="33" t="s">
        <v>84</v>
      </c>
      <c r="Q300" s="34" t="s">
        <v>1124</v>
      </c>
      <c r="R300" s="24"/>
      <c r="S300" s="24"/>
    </row>
    <row r="301" spans="1:19" ht="14.5">
      <c r="A301" s="20" t="s">
        <v>1131</v>
      </c>
      <c r="B301" s="20">
        <v>70</v>
      </c>
      <c r="C301" s="20">
        <v>10</v>
      </c>
      <c r="D301" s="20">
        <v>16</v>
      </c>
      <c r="E301" s="24"/>
      <c r="F301" s="20" t="s">
        <v>1132</v>
      </c>
      <c r="G301" t="str">
        <f ca="1">IFERROR(__xludf.DUMMYFUNCTION("UPPER(LEFT((GOOGLETRANSLATE(F301,""en"",""pt"")),1))&amp;RIGHT(lower((GOOGLETRANSLATE(F301,""en"",""pt""))),(LEN((GOOGLETRANSLATE(F301,""en"",""pt"")))-1))"),"Complexos de geração de energia de carvão")</f>
        <v>Complexos de geração de energia de carvão</v>
      </c>
      <c r="H301" s="36" t="s">
        <v>1133</v>
      </c>
      <c r="I301" s="20" t="e">
        <f>VLOOKUP(A301,CO_Base_LNEC!$B$4:$G$271,6,FALSE)</f>
        <v>#N/A</v>
      </c>
      <c r="J301" s="36" t="s">
        <v>1133</v>
      </c>
      <c r="K301" s="24"/>
      <c r="L301" s="30" t="s">
        <v>84</v>
      </c>
      <c r="M301" s="31" t="s">
        <v>84</v>
      </c>
      <c r="N301" s="31" t="s">
        <v>84</v>
      </c>
      <c r="O301" s="24"/>
      <c r="P301" s="33" t="s">
        <v>84</v>
      </c>
      <c r="Q301" s="34" t="s">
        <v>1124</v>
      </c>
      <c r="R301" s="24"/>
      <c r="S301" s="24"/>
    </row>
    <row r="302" spans="1:19" ht="14.5">
      <c r="A302" s="20" t="s">
        <v>1134</v>
      </c>
      <c r="B302" s="20">
        <v>70</v>
      </c>
      <c r="C302" s="20">
        <v>10</v>
      </c>
      <c r="D302" s="20">
        <v>17</v>
      </c>
      <c r="E302" s="24"/>
      <c r="F302" s="20" t="s">
        <v>1135</v>
      </c>
      <c r="G302" t="str">
        <f ca="1">IFERROR(__xludf.DUMMYFUNCTION("UPPER(LEFT((GOOGLETRANSLATE(F302,""en"",""pt"")),1))&amp;RIGHT(lower((GOOGLETRANSLATE(F302,""en"",""pt""))),(LEN((GOOGLETRANSLATE(F302,""en"",""pt"")))-1))"),"Complexos de geração de calor e energia combinados")</f>
        <v>Complexos de geração de calor e energia combinados</v>
      </c>
      <c r="H302" s="35" t="s">
        <v>1136</v>
      </c>
      <c r="I302" s="20" t="e">
        <f>VLOOKUP(A302,CO_Base_LNEC!$B$4:$G$271,6,FALSE)</f>
        <v>#N/A</v>
      </c>
      <c r="J302" s="35" t="s">
        <v>1136</v>
      </c>
      <c r="K302" s="24"/>
      <c r="L302" s="30" t="s">
        <v>84</v>
      </c>
      <c r="M302" s="31" t="s">
        <v>84</v>
      </c>
      <c r="N302" s="31" t="s">
        <v>84</v>
      </c>
      <c r="O302" s="24"/>
      <c r="P302" s="33" t="s">
        <v>84</v>
      </c>
      <c r="Q302" s="34" t="s">
        <v>1124</v>
      </c>
      <c r="R302" s="24"/>
      <c r="S302" s="24"/>
    </row>
    <row r="303" spans="1:19" ht="14.5">
      <c r="A303" s="20" t="s">
        <v>1137</v>
      </c>
      <c r="B303" s="20">
        <v>70</v>
      </c>
      <c r="C303" s="20">
        <v>10</v>
      </c>
      <c r="D303" s="20">
        <v>33</v>
      </c>
      <c r="E303" s="24"/>
      <c r="F303" s="20" t="s">
        <v>1138</v>
      </c>
      <c r="G303" t="str">
        <f ca="1">IFERROR(__xludf.DUMMYFUNCTION("UPPER(LEFT((GOOGLETRANSLATE(F303,""en"",""pt"")),1))&amp;RIGHT(lower((GOOGLETRANSLATE(F303,""en"",""pt""))),(LEN((GOOGLETRANSLATE(F303,""en"",""pt"")))-1))"),"Complexos de geração de energia de gás")</f>
        <v>Complexos de geração de energia de gás</v>
      </c>
      <c r="H303" s="36" t="s">
        <v>1139</v>
      </c>
      <c r="I303" s="20" t="e">
        <f>VLOOKUP(A303,CO_Base_LNEC!$B$4:$G$271,6,FALSE)</f>
        <v>#N/A</v>
      </c>
      <c r="J303" s="36" t="s">
        <v>1139</v>
      </c>
      <c r="K303" s="24"/>
      <c r="L303" s="30" t="s">
        <v>84</v>
      </c>
      <c r="M303" s="31" t="s">
        <v>84</v>
      </c>
      <c r="N303" s="31" t="s">
        <v>84</v>
      </c>
      <c r="O303" s="24"/>
      <c r="P303" s="33" t="s">
        <v>84</v>
      </c>
      <c r="Q303" s="34" t="s">
        <v>1124</v>
      </c>
      <c r="R303" s="24"/>
      <c r="S303" s="24"/>
    </row>
    <row r="304" spans="1:19" ht="14.5">
      <c r="A304" s="20" t="s">
        <v>1140</v>
      </c>
      <c r="B304" s="20">
        <v>70</v>
      </c>
      <c r="C304" s="20">
        <v>10</v>
      </c>
      <c r="D304" s="20">
        <v>34</v>
      </c>
      <c r="E304" s="24"/>
      <c r="F304" s="20" t="s">
        <v>1141</v>
      </c>
      <c r="G304" t="str">
        <f ca="1">IFERROR(__xludf.DUMMYFUNCTION("UPPER(LEFT((GOOGLETRANSLATE(F304,""en"",""pt"")),1))&amp;RIGHT(lower((GOOGLETRANSLATE(F304,""en"",""pt""))),(LEN((GOOGLETRANSLATE(F304,""en"",""pt"")))-1))"),"Complexos de geração de energia geotérmica")</f>
        <v>Complexos de geração de energia geotérmica</v>
      </c>
      <c r="H304" s="36" t="s">
        <v>1142</v>
      </c>
      <c r="I304" s="20" t="str">
        <f>VLOOKUP(A304,CO_Base_LNEC!$B$4:$G$271,6,FALSE)</f>
        <v>Centrais Geotérmicas</v>
      </c>
      <c r="J304" s="36" t="s">
        <v>1142</v>
      </c>
      <c r="K304" s="24"/>
      <c r="L304" s="30" t="s">
        <v>84</v>
      </c>
      <c r="M304" s="31" t="s">
        <v>84</v>
      </c>
      <c r="N304" s="31" t="s">
        <v>84</v>
      </c>
      <c r="O304" s="24"/>
      <c r="P304" s="33" t="s">
        <v>84</v>
      </c>
      <c r="Q304" s="34" t="s">
        <v>1124</v>
      </c>
      <c r="R304" s="24"/>
      <c r="S304" s="24"/>
    </row>
    <row r="305" spans="1:19" ht="14.5">
      <c r="A305" s="20" t="s">
        <v>1143</v>
      </c>
      <c r="B305" s="20">
        <v>70</v>
      </c>
      <c r="C305" s="20">
        <v>10</v>
      </c>
      <c r="D305" s="20">
        <v>38</v>
      </c>
      <c r="E305" s="24"/>
      <c r="F305" s="20" t="s">
        <v>1144</v>
      </c>
      <c r="G305" t="str">
        <f ca="1">IFERROR(__xludf.DUMMYFUNCTION("UPPER(LEFT((GOOGLETRANSLATE(F305,""en"",""pt"")),1))&amp;RIGHT(lower((GOOGLETRANSLATE(F305,""en"",""pt""))),(LEN((GOOGLETRANSLATE(F305,""en"",""pt"")))-1))"),"Complexos de geração de energia hidroeléctrica")</f>
        <v>Complexos de geração de energia hidroeléctrica</v>
      </c>
      <c r="H305" s="36" t="s">
        <v>1145</v>
      </c>
      <c r="I305" s="20" t="str">
        <f>VLOOKUP(A305,CO_Base_LNEC!$B$4:$G$271,6,FALSE)</f>
        <v>Centrais Hidroelétricas</v>
      </c>
      <c r="J305" s="36" t="s">
        <v>1145</v>
      </c>
      <c r="K305" s="24"/>
      <c r="L305" s="30" t="s">
        <v>84</v>
      </c>
      <c r="M305" s="31" t="s">
        <v>84</v>
      </c>
      <c r="N305" s="31" t="s">
        <v>84</v>
      </c>
      <c r="O305" s="24"/>
      <c r="P305" s="33" t="s">
        <v>84</v>
      </c>
      <c r="Q305" s="34" t="s">
        <v>1124</v>
      </c>
      <c r="R305" s="24"/>
      <c r="S305" s="24"/>
    </row>
    <row r="306" spans="1:19" ht="14.5">
      <c r="A306" s="20" t="s">
        <v>1146</v>
      </c>
      <c r="B306" s="20">
        <v>70</v>
      </c>
      <c r="C306" s="20">
        <v>10</v>
      </c>
      <c r="D306" s="20">
        <v>57</v>
      </c>
      <c r="E306" s="24"/>
      <c r="F306" s="20" t="s">
        <v>1147</v>
      </c>
      <c r="G306" t="str">
        <f ca="1">IFERROR(__xludf.DUMMYFUNCTION("UPPER(LEFT((GOOGLETRANSLATE(F306,""en"",""pt"")),1))&amp;RIGHT(lower((GOOGLETRANSLATE(F306,""en"",""pt""))),(LEN((GOOGLETRANSLATE(F306,""en"",""pt"")))-1))"),"Complexos de geração de energia nuclear")</f>
        <v>Complexos de geração de energia nuclear</v>
      </c>
      <c r="H306" s="36" t="s">
        <v>1148</v>
      </c>
      <c r="I306" s="20" t="e">
        <f>VLOOKUP(A306,CO_Base_LNEC!$B$4:$G$271,6,FALSE)</f>
        <v>#N/A</v>
      </c>
      <c r="J306" s="36" t="s">
        <v>1148</v>
      </c>
      <c r="K306" s="24"/>
      <c r="L306" s="30" t="s">
        <v>84</v>
      </c>
      <c r="M306" s="31" t="s">
        <v>84</v>
      </c>
      <c r="N306" s="31" t="s">
        <v>84</v>
      </c>
      <c r="O306" s="24"/>
      <c r="P306" s="33" t="s">
        <v>84</v>
      </c>
      <c r="Q306" s="34" t="s">
        <v>1124</v>
      </c>
      <c r="R306" s="24"/>
      <c r="S306" s="24"/>
    </row>
    <row r="307" spans="1:19" ht="14.5">
      <c r="A307" s="20" t="s">
        <v>1149</v>
      </c>
      <c r="B307" s="20">
        <v>70</v>
      </c>
      <c r="C307" s="20">
        <v>10</v>
      </c>
      <c r="D307" s="20">
        <v>58</v>
      </c>
      <c r="E307" s="24"/>
      <c r="F307" s="20" t="s">
        <v>1150</v>
      </c>
      <c r="G307" t="str">
        <f ca="1">IFERROR(__xludf.DUMMYFUNCTION("UPPER(LEFT((GOOGLETRANSLATE(F307,""en"",""pt"")),1))&amp;RIGHT(lower((GOOGLETRANSLATE(F307,""en"",""pt""))),(LEN((GOOGLETRANSLATE(F307,""en"",""pt"")))-1))"),"Complexos de geração de energia eólica offshore")</f>
        <v>Complexos de geração de energia eólica offshore</v>
      </c>
      <c r="H307" s="36" t="s">
        <v>1151</v>
      </c>
      <c r="I307" s="20" t="e">
        <f>VLOOKUP(A307,CO_Base_LNEC!$B$4:$G$271,6,FALSE)</f>
        <v>#N/A</v>
      </c>
      <c r="J307" s="35" t="s">
        <v>1152</v>
      </c>
      <c r="K307" s="20"/>
      <c r="L307" s="43" t="s">
        <v>1153</v>
      </c>
      <c r="M307" s="31" t="s">
        <v>84</v>
      </c>
      <c r="N307" s="31" t="s">
        <v>84</v>
      </c>
      <c r="O307" s="24"/>
      <c r="P307" s="33" t="s">
        <v>84</v>
      </c>
      <c r="Q307" s="34" t="s">
        <v>1154</v>
      </c>
      <c r="R307" s="24"/>
      <c r="S307" s="24"/>
    </row>
    <row r="308" spans="1:19" ht="14.5">
      <c r="A308" s="20" t="s">
        <v>1155</v>
      </c>
      <c r="B308" s="20">
        <v>70</v>
      </c>
      <c r="C308" s="20">
        <v>10</v>
      </c>
      <c r="D308" s="20">
        <v>59</v>
      </c>
      <c r="E308" s="24"/>
      <c r="F308" s="20" t="s">
        <v>1156</v>
      </c>
      <c r="G308" t="str">
        <f ca="1">IFERROR(__xludf.DUMMYFUNCTION("UPPER(LEFT((GOOGLETRANSLATE(F308,""en"",""pt"")),1))&amp;RIGHT(lower((GOOGLETRANSLATE(F308,""en"",""pt""))),(LEN((GOOGLETRANSLATE(F308,""en"",""pt"")))-1))"),"Complexos de geração de energia movidas a petróleo")</f>
        <v>Complexos de geração de energia movidas a petróleo</v>
      </c>
      <c r="H308" s="35" t="s">
        <v>1157</v>
      </c>
      <c r="I308" s="20" t="e">
        <f>VLOOKUP(A308,CO_Base_LNEC!$B$4:$G$271,6,FALSE)</f>
        <v>#N/A</v>
      </c>
      <c r="J308" s="20" t="s">
        <v>1158</v>
      </c>
      <c r="K308" s="20"/>
      <c r="L308" s="30" t="s">
        <v>84</v>
      </c>
      <c r="M308" s="31" t="s">
        <v>84</v>
      </c>
      <c r="N308" s="31" t="s">
        <v>84</v>
      </c>
      <c r="O308" s="24"/>
      <c r="P308" s="33" t="s">
        <v>84</v>
      </c>
      <c r="Q308" s="34" t="s">
        <v>1124</v>
      </c>
      <c r="R308" s="24"/>
      <c r="S308" s="24"/>
    </row>
    <row r="309" spans="1:19" ht="14.5">
      <c r="A309" s="20" t="s">
        <v>1159</v>
      </c>
      <c r="B309" s="20">
        <v>70</v>
      </c>
      <c r="C309" s="20">
        <v>10</v>
      </c>
      <c r="D309" s="20">
        <v>60</v>
      </c>
      <c r="E309" s="24"/>
      <c r="F309" s="20" t="s">
        <v>1160</v>
      </c>
      <c r="G309" t="str">
        <f ca="1">IFERROR(__xludf.DUMMYFUNCTION("UPPER(LEFT((GOOGLETRANSLATE(F309,""en"",""pt"")),1))&amp;RIGHT(lower((GOOGLETRANSLATE(F309,""en"",""pt""))),(LEN((GOOGLETRANSLATE(F309,""en"",""pt"")))-1))"),"Complexos de geração de energia do vento em terra")</f>
        <v>Complexos de geração de energia do vento em terra</v>
      </c>
      <c r="H309" s="35" t="s">
        <v>1161</v>
      </c>
      <c r="I309" s="20" t="str">
        <f>VLOOKUP(A309,CO_Base_LNEC!$B$4:$G$271,6,FALSE)</f>
        <v>Parques eólicos</v>
      </c>
      <c r="J309" s="20" t="s">
        <v>1162</v>
      </c>
      <c r="K309" s="20"/>
      <c r="L309" s="30" t="s">
        <v>84</v>
      </c>
      <c r="M309" s="31" t="s">
        <v>84</v>
      </c>
      <c r="N309" s="31" t="s">
        <v>84</v>
      </c>
      <c r="O309" s="24"/>
      <c r="P309" s="33" t="s">
        <v>84</v>
      </c>
      <c r="Q309" s="33" t="s">
        <v>84</v>
      </c>
      <c r="R309" s="24"/>
      <c r="S309" s="24"/>
    </row>
    <row r="310" spans="1:19" ht="14.5">
      <c r="A310" s="20" t="s">
        <v>1163</v>
      </c>
      <c r="B310" s="20">
        <v>70</v>
      </c>
      <c r="C310" s="20">
        <v>10</v>
      </c>
      <c r="D310" s="20">
        <v>63</v>
      </c>
      <c r="E310" s="24"/>
      <c r="F310" s="20" t="s">
        <v>1164</v>
      </c>
      <c r="G310" t="str">
        <f ca="1">IFERROR(__xludf.DUMMYFUNCTION("UPPER(LEFT((GOOGLETRANSLATE(F310,""en"",""pt"")),1))&amp;RIGHT(lower((GOOGLETRANSLATE(F310,""en"",""pt""))),(LEN((GOOGLETRANSLATE(F310,""en"",""pt"")))-1))"),"Complexos de geração de energia fotovoltaica")</f>
        <v>Complexos de geração de energia fotovoltaica</v>
      </c>
      <c r="H310" s="36" t="s">
        <v>1165</v>
      </c>
      <c r="I310" s="20" t="e">
        <f>VLOOKUP(A310,CO_Base_LNEC!$B$4:$G$271,6,FALSE)</f>
        <v>#N/A</v>
      </c>
      <c r="J310" s="36" t="s">
        <v>1165</v>
      </c>
      <c r="K310" s="24"/>
      <c r="L310" s="30" t="s">
        <v>84</v>
      </c>
      <c r="M310" s="31" t="s">
        <v>84</v>
      </c>
      <c r="N310" s="31" t="s">
        <v>84</v>
      </c>
      <c r="O310" s="24"/>
      <c r="P310" s="33" t="s">
        <v>84</v>
      </c>
      <c r="Q310" s="34" t="s">
        <v>1124</v>
      </c>
      <c r="R310" s="24"/>
      <c r="S310" s="24"/>
    </row>
    <row r="311" spans="1:19" ht="14.5">
      <c r="A311" s="20" t="s">
        <v>1166</v>
      </c>
      <c r="B311" s="20">
        <v>70</v>
      </c>
      <c r="C311" s="20">
        <v>10</v>
      </c>
      <c r="D311" s="20">
        <v>81</v>
      </c>
      <c r="E311" s="24"/>
      <c r="F311" s="20" t="s">
        <v>1167</v>
      </c>
      <c r="G311" t="str">
        <f ca="1">IFERROR(__xludf.DUMMYFUNCTION("UPPER(LEFT((GOOGLETRANSLATE(F311,""en"",""pt"")),1))&amp;RIGHT(lower((GOOGLETRANSLATE(F311,""en"",""pt""))),(LEN((GOOGLETRANSLATE(F311,""en"",""pt"")))-1))"),"Complexos de geração de energia solar reflectoras")</f>
        <v>Complexos de geração de energia solar reflectoras</v>
      </c>
      <c r="H311" s="35" t="s">
        <v>1168</v>
      </c>
      <c r="I311" s="20" t="str">
        <f>VLOOKUP(A311,CO_Base_LNEC!$B$4:$G$271,6,FALSE)</f>
        <v>Centrais solares</v>
      </c>
      <c r="J311" s="35" t="s">
        <v>1168</v>
      </c>
      <c r="K311" s="24"/>
      <c r="L311" s="30" t="s">
        <v>84</v>
      </c>
      <c r="M311" s="31" t="s">
        <v>84</v>
      </c>
      <c r="N311" s="31" t="s">
        <v>84</v>
      </c>
      <c r="O311" s="24"/>
      <c r="P311" s="33" t="s">
        <v>84</v>
      </c>
      <c r="Q311" s="34" t="s">
        <v>1124</v>
      </c>
      <c r="R311" s="24"/>
      <c r="S311" s="24"/>
    </row>
    <row r="312" spans="1:19" ht="14.5">
      <c r="A312" s="20" t="s">
        <v>1169</v>
      </c>
      <c r="B312" s="20">
        <v>70</v>
      </c>
      <c r="C312" s="20">
        <v>10</v>
      </c>
      <c r="D312" s="20">
        <v>88</v>
      </c>
      <c r="E312" s="24"/>
      <c r="F312" s="20" t="s">
        <v>1170</v>
      </c>
      <c r="G312" t="str">
        <f ca="1">IFERROR(__xludf.DUMMYFUNCTION("UPPER(LEFT((GOOGLETRANSLATE(F312,""en"",""pt"")),1))&amp;RIGHT(lower((GOOGLETRANSLATE(F312,""en"",""pt""))),(LEN((GOOGLETRANSLATE(F312,""en"",""pt"")))-1))"),"Complexos de geração de energia de marés")</f>
        <v>Complexos de geração de energia de marés</v>
      </c>
      <c r="H312" s="36" t="s">
        <v>1171</v>
      </c>
      <c r="I312" s="20" t="e">
        <f>VLOOKUP(A312,CO_Base_LNEC!$B$4:$G$271,6,FALSE)</f>
        <v>#N/A</v>
      </c>
      <c r="J312" s="36" t="s">
        <v>1171</v>
      </c>
      <c r="K312" s="24"/>
      <c r="L312" s="30" t="s">
        <v>84</v>
      </c>
      <c r="M312" s="31" t="s">
        <v>84</v>
      </c>
      <c r="N312" s="31" t="s">
        <v>84</v>
      </c>
      <c r="O312" s="24"/>
      <c r="P312" s="33" t="s">
        <v>84</v>
      </c>
      <c r="Q312" s="34" t="s">
        <v>1124</v>
      </c>
      <c r="R312" s="24"/>
      <c r="S312" s="24"/>
    </row>
    <row r="313" spans="1:19" ht="14.5">
      <c r="A313" s="20" t="s">
        <v>1172</v>
      </c>
      <c r="B313" s="20">
        <v>70</v>
      </c>
      <c r="C313" s="20">
        <v>10</v>
      </c>
      <c r="D313" s="20">
        <v>96</v>
      </c>
      <c r="E313" s="24"/>
      <c r="F313" s="20" t="s">
        <v>1173</v>
      </c>
      <c r="G313" t="str">
        <f ca="1">IFERROR(__xludf.DUMMYFUNCTION("UPPER(LEFT((GOOGLETRANSLATE(F313,""en"",""pt"")),1))&amp;RIGHT(lower((GOOGLETRANSLATE(F313,""en"",""pt""))),(LEN((GOOGLETRANSLATE(F313,""en"",""pt"")))-1))"),"Complexos de geração de energia de onda")</f>
        <v>Complexos de geração de energia de onda</v>
      </c>
      <c r="H313" s="35" t="s">
        <v>1174</v>
      </c>
      <c r="I313" s="20" t="e">
        <f>VLOOKUP(A313,CO_Base_LNEC!$B$4:$G$271,6,FALSE)</f>
        <v>#N/A</v>
      </c>
      <c r="J313" s="35" t="s">
        <v>1174</v>
      </c>
      <c r="K313" s="24"/>
      <c r="L313" s="30" t="s">
        <v>84</v>
      </c>
      <c r="M313" s="31" t="s">
        <v>84</v>
      </c>
      <c r="N313" s="31" t="s">
        <v>84</v>
      </c>
      <c r="O313" s="24"/>
      <c r="P313" s="33" t="s">
        <v>84</v>
      </c>
      <c r="Q313" s="34" t="s">
        <v>1124</v>
      </c>
      <c r="R313" s="24"/>
      <c r="S313" s="24"/>
    </row>
    <row r="314" spans="1:19" ht="14.5">
      <c r="A314" s="20" t="s">
        <v>1175</v>
      </c>
      <c r="B314" s="20">
        <v>70</v>
      </c>
      <c r="C314" s="20">
        <v>30</v>
      </c>
      <c r="D314" s="24"/>
      <c r="E314" s="24"/>
      <c r="F314" s="20" t="s">
        <v>1176</v>
      </c>
      <c r="G314" t="str">
        <f ca="1">IFERROR(__xludf.DUMMYFUNCTION("UPPER(LEFT((GOOGLETRANSLATE(F314,""en"",""pt"")),1))&amp;RIGHT(lower((GOOGLETRANSLATE(F314,""en"",""pt""))),(LEN((GOOGLETRANSLATE(F314,""en"",""pt"")))-1))"),"Complexos de distribuição de electricidade")</f>
        <v>Complexos de distribuição de electricidade</v>
      </c>
      <c r="H314" s="36" t="s">
        <v>1177</v>
      </c>
      <c r="I314" s="20" t="str">
        <f>VLOOKUP(A314,CO_Base_LNEC!$B$4:$G$271,6,FALSE)</f>
        <v>Infraestruturas para a distribuição de energia elétrica</v>
      </c>
      <c r="J314" s="36" t="s">
        <v>1177</v>
      </c>
      <c r="K314" s="24"/>
      <c r="L314" s="30" t="s">
        <v>84</v>
      </c>
      <c r="M314" s="31" t="s">
        <v>84</v>
      </c>
      <c r="N314" s="31" t="s">
        <v>84</v>
      </c>
      <c r="O314" s="24"/>
      <c r="P314" s="33" t="s">
        <v>84</v>
      </c>
      <c r="Q314" s="34" t="s">
        <v>1124</v>
      </c>
      <c r="R314" s="24"/>
      <c r="S314" s="24"/>
    </row>
    <row r="315" spans="1:19" ht="14.5">
      <c r="A315" s="20" t="s">
        <v>1178</v>
      </c>
      <c r="B315" s="20">
        <v>70</v>
      </c>
      <c r="C315" s="20">
        <v>30</v>
      </c>
      <c r="D315" s="20">
        <v>35</v>
      </c>
      <c r="E315" s="24"/>
      <c r="F315" s="20" t="s">
        <v>1179</v>
      </c>
      <c r="G315" t="str">
        <f ca="1">IFERROR(__xludf.DUMMYFUNCTION("UPPER(LEFT((GOOGLETRANSLATE(F315,""en"",""pt"")),1))&amp;RIGHT(lower((GOOGLETRANSLATE(F315,""en"",""pt""))),(LEN((GOOGLETRANSLATE(F315,""en"",""pt"")))-1))"),"Complexos de electricidade de alta tensão da subestação")</f>
        <v>Complexos de electricidade de alta tensão da subestação</v>
      </c>
      <c r="H315" s="35" t="s">
        <v>1180</v>
      </c>
      <c r="I315" s="20" t="str">
        <f>VLOOKUP(A315,CO_Base_LNEC!$B$4:$G$271,6,FALSE)</f>
        <v>Subestações de transformação de energia elétrica de alta e média tensão</v>
      </c>
      <c r="J315" s="35" t="s">
        <v>1180</v>
      </c>
      <c r="K315" s="24"/>
      <c r="L315" s="30" t="s">
        <v>84</v>
      </c>
      <c r="M315" s="31" t="s">
        <v>84</v>
      </c>
      <c r="N315" s="31" t="s">
        <v>84</v>
      </c>
      <c r="O315" s="24"/>
      <c r="P315" s="33" t="s">
        <v>84</v>
      </c>
      <c r="Q315" s="34" t="s">
        <v>1124</v>
      </c>
      <c r="R315" s="24"/>
      <c r="S315" s="24"/>
    </row>
    <row r="316" spans="1:19" ht="14.5">
      <c r="A316" s="20" t="s">
        <v>1181</v>
      </c>
      <c r="B316" s="20">
        <v>70</v>
      </c>
      <c r="C316" s="20">
        <v>30</v>
      </c>
      <c r="D316" s="20">
        <v>40</v>
      </c>
      <c r="E316" s="24"/>
      <c r="F316" s="20" t="s">
        <v>1182</v>
      </c>
      <c r="G316" t="str">
        <f ca="1">IFERROR(__xludf.DUMMYFUNCTION("UPPER(LEFT((GOOGLETRANSLATE(F316,""en"",""pt"")),1))&amp;RIGHT(lower((GOOGLETRANSLATE(F316,""en"",""pt""))),(LEN((GOOGLETRANSLATE(F316,""en"",""pt"")))-1))"),"Redes de electricidade de alta tensão")</f>
        <v>Redes de electricidade de alta tensão</v>
      </c>
      <c r="H316" s="36" t="s">
        <v>1183</v>
      </c>
      <c r="I316" s="20" t="str">
        <f>VLOOKUP(A316,CO_Base_LNEC!$B$4:$G$271,6,FALSE)</f>
        <v>Linhas de transporte de energia elétrica de alta e média tensão</v>
      </c>
      <c r="J316" s="36" t="s">
        <v>1183</v>
      </c>
      <c r="K316" s="24"/>
      <c r="L316" s="30" t="s">
        <v>84</v>
      </c>
      <c r="M316" s="31" t="s">
        <v>84</v>
      </c>
      <c r="N316" s="31" t="s">
        <v>84</v>
      </c>
      <c r="O316" s="24"/>
      <c r="P316" s="33" t="s">
        <v>84</v>
      </c>
      <c r="Q316" s="33" t="s">
        <v>84</v>
      </c>
      <c r="R316" s="24"/>
      <c r="S316" s="24"/>
    </row>
    <row r="317" spans="1:19" ht="14.5">
      <c r="A317" s="20" t="s">
        <v>1184</v>
      </c>
      <c r="B317" s="20">
        <v>70</v>
      </c>
      <c r="C317" s="20">
        <v>30</v>
      </c>
      <c r="D317" s="20">
        <v>45</v>
      </c>
      <c r="E317" s="24"/>
      <c r="F317" s="20" t="s">
        <v>1185</v>
      </c>
      <c r="G317" t="str">
        <f ca="1">IFERROR(__xludf.DUMMYFUNCTION("UPPER(LEFT((GOOGLETRANSLATE(F317,""en"",""pt"")),1))&amp;RIGHT(lower((GOOGLETRANSLATE(F317,""en"",""pt""))),(LEN((GOOGLETRANSLATE(F317,""en"",""pt"")))-1))"),"Complexos de energia eléctrica de baixa tensão da subestação")</f>
        <v>Complexos de energia eléctrica de baixa tensão da subestação</v>
      </c>
      <c r="H317" s="35" t="s">
        <v>1186</v>
      </c>
      <c r="I317" s="20" t="str">
        <f>VLOOKUP(A317,CO_Base_LNEC!$B$4:$G$271,6,FALSE)</f>
        <v>Subestações da rede urbana e local para a eletricidade de baixa tensão</v>
      </c>
      <c r="J317" s="35" t="s">
        <v>1186</v>
      </c>
      <c r="K317" s="24"/>
      <c r="L317" s="30" t="s">
        <v>84</v>
      </c>
      <c r="M317" s="31" t="s">
        <v>84</v>
      </c>
      <c r="N317" s="31" t="s">
        <v>84</v>
      </c>
      <c r="O317" s="24"/>
      <c r="P317" s="33" t="s">
        <v>84</v>
      </c>
      <c r="Q317" s="34" t="s">
        <v>1124</v>
      </c>
      <c r="R317" s="24"/>
      <c r="S317" s="24"/>
    </row>
    <row r="318" spans="1:19" ht="14.5">
      <c r="A318" s="20" t="s">
        <v>1187</v>
      </c>
      <c r="B318" s="20">
        <v>70</v>
      </c>
      <c r="C318" s="20">
        <v>30</v>
      </c>
      <c r="D318" s="20">
        <v>50</v>
      </c>
      <c r="E318" s="24"/>
      <c r="F318" s="20" t="s">
        <v>1188</v>
      </c>
      <c r="G318" t="str">
        <f ca="1">IFERROR(__xludf.DUMMYFUNCTION("UPPER(LEFT((GOOGLETRANSLATE(F318,""en"",""pt"")),1))&amp;RIGHT(lower((GOOGLETRANSLATE(F318,""en"",""pt""))),(LEN((GOOGLETRANSLATE(F318,""en"",""pt"")))-1))"),"Redes eléctricas de baixa tensão")</f>
        <v>Redes eléctricas de baixa tensão</v>
      </c>
      <c r="H318" s="36" t="s">
        <v>1189</v>
      </c>
      <c r="I318" s="20" t="str">
        <f>VLOOKUP(A318,CO_Base_LNEC!$B$4:$G$271,6,FALSE)</f>
        <v>Linhas urbanas e locais para a eletricidade de baixa tensão</v>
      </c>
      <c r="J318" s="36" t="s">
        <v>1189</v>
      </c>
      <c r="K318" s="24"/>
      <c r="L318" s="30" t="s">
        <v>84</v>
      </c>
      <c r="M318" s="31" t="s">
        <v>84</v>
      </c>
      <c r="N318" s="31" t="s">
        <v>84</v>
      </c>
      <c r="O318" s="24"/>
      <c r="P318" s="33" t="s">
        <v>84</v>
      </c>
      <c r="Q318" s="33" t="s">
        <v>84</v>
      </c>
      <c r="R318" s="24"/>
      <c r="S318" s="24"/>
    </row>
    <row r="319" spans="1:19" ht="14.5">
      <c r="A319" s="20" t="s">
        <v>1190</v>
      </c>
      <c r="B319" s="20">
        <v>75</v>
      </c>
      <c r="C319" s="24"/>
      <c r="D319" s="24"/>
      <c r="E319" s="24"/>
      <c r="F319" s="20" t="s">
        <v>1191</v>
      </c>
      <c r="G319" t="str">
        <f ca="1">IFERROR(__xludf.DUMMYFUNCTION("UPPER(LEFT((GOOGLETRANSLATE(F319,""en"",""pt"")),1))&amp;RIGHT(lower((GOOGLETRANSLATE(F319,""en"",""pt""))),(LEN((GOOGLETRANSLATE(F319,""en"",""pt"")))-1))"),"Comunicações, complexos de proteção de segurança, de segurança e de")</f>
        <v>Comunicações, complexos de proteção de segurança, de segurança e de</v>
      </c>
      <c r="H319" s="35" t="s">
        <v>1192</v>
      </c>
      <c r="I319" s="20" t="str">
        <f>VLOOKUP(A319,CO_Base_LNEC!$B$4:$G$271,6,FALSE)</f>
        <v>communications, security, safety and protection complexes</v>
      </c>
      <c r="J319" s="35" t="s">
        <v>1192</v>
      </c>
      <c r="K319" s="24"/>
      <c r="L319" s="30" t="s">
        <v>84</v>
      </c>
      <c r="M319" s="31" t="s">
        <v>84</v>
      </c>
      <c r="N319" s="31" t="s">
        <v>84</v>
      </c>
      <c r="O319" s="24"/>
      <c r="P319" s="33" t="s">
        <v>84</v>
      </c>
      <c r="Q319" s="34" t="s">
        <v>1104</v>
      </c>
      <c r="R319" s="24"/>
      <c r="S319" s="24"/>
    </row>
    <row r="320" spans="1:19" ht="14.5">
      <c r="A320" s="20" t="s">
        <v>1193</v>
      </c>
      <c r="B320" s="20">
        <v>75</v>
      </c>
      <c r="C320" s="20">
        <v>10</v>
      </c>
      <c r="D320" s="24"/>
      <c r="E320" s="24"/>
      <c r="F320" s="20" t="s">
        <v>1194</v>
      </c>
      <c r="G320" t="str">
        <f ca="1">IFERROR(__xludf.DUMMYFUNCTION("UPPER(LEFT((GOOGLETRANSLATE(F320,""en"",""pt"")),1))&amp;RIGHT(lower((GOOGLETRANSLATE(F320,""en"",""pt""))),(LEN((GOOGLETRANSLATE(F320,""en"",""pt"")))-1))"),"Complexos de comunicações")</f>
        <v>Complexos de comunicações</v>
      </c>
      <c r="H320" s="36" t="s">
        <v>1195</v>
      </c>
      <c r="I320" s="20" t="str">
        <f>VLOOKUP(A320,CO_Base_LNEC!$B$4:$G$271,6,FALSE)</f>
        <v>Edifícios e instalações para a comunicação</v>
      </c>
      <c r="J320" s="36" t="s">
        <v>1195</v>
      </c>
      <c r="K320" s="24"/>
      <c r="L320" s="30" t="s">
        <v>84</v>
      </c>
      <c r="M320" s="31" t="s">
        <v>84</v>
      </c>
      <c r="N320" s="31" t="s">
        <v>84</v>
      </c>
      <c r="O320" s="24"/>
      <c r="P320" s="33" t="s">
        <v>84</v>
      </c>
      <c r="Q320" s="34" t="s">
        <v>1104</v>
      </c>
      <c r="R320" s="24"/>
      <c r="S320" s="24"/>
    </row>
    <row r="321" spans="1:19" ht="14.5">
      <c r="A321" s="20" t="s">
        <v>1196</v>
      </c>
      <c r="B321" s="20">
        <v>75</v>
      </c>
      <c r="C321" s="20">
        <v>10</v>
      </c>
      <c r="D321" s="20">
        <v>10</v>
      </c>
      <c r="E321" s="24"/>
      <c r="F321" s="20" t="s">
        <v>1197</v>
      </c>
      <c r="G321" t="str">
        <f ca="1">IFERROR(__xludf.DUMMYFUNCTION("UPPER(LEFT((GOOGLETRANSLATE(F321,""en"",""pt"")),1))&amp;RIGHT(lower((GOOGLETRANSLATE(F321,""en"",""pt""))),(LEN((GOOGLETRANSLATE(F321,""en"",""pt"")))-1))"),"Complexos de comunicação de transmissão")</f>
        <v>Complexos de comunicação de transmissão</v>
      </c>
      <c r="H321" s="35" t="s">
        <v>1198</v>
      </c>
      <c r="I321" s="20" t="str">
        <f>VLOOKUP(A321,CO_Base_LNEC!$B$4:$G$271,6,FALSE)</f>
        <v>Edifícios e instalações para a comunicação</v>
      </c>
      <c r="J321" s="35" t="s">
        <v>1198</v>
      </c>
      <c r="K321" s="24"/>
      <c r="L321" s="30" t="s">
        <v>84</v>
      </c>
      <c r="M321" s="31" t="s">
        <v>84</v>
      </c>
      <c r="N321" s="31" t="s">
        <v>84</v>
      </c>
      <c r="O321" s="24"/>
      <c r="P321" s="33" t="s">
        <v>84</v>
      </c>
      <c r="Q321" s="34" t="s">
        <v>1104</v>
      </c>
      <c r="R321" s="24"/>
      <c r="S321" s="24"/>
    </row>
    <row r="322" spans="1:19" ht="14.5">
      <c r="A322" s="20" t="s">
        <v>1199</v>
      </c>
      <c r="B322" s="20">
        <v>75</v>
      </c>
      <c r="C322" s="20">
        <v>10</v>
      </c>
      <c r="D322" s="20">
        <v>20</v>
      </c>
      <c r="E322" s="24"/>
      <c r="F322" s="20" t="s">
        <v>1200</v>
      </c>
      <c r="G322" t="str">
        <f ca="1">IFERROR(__xludf.DUMMYFUNCTION("UPPER(LEFT((GOOGLETRANSLATE(F322,""en"",""pt"")),1))&amp;RIGHT(lower((GOOGLETRANSLATE(F322,""en"",""pt""))),(LEN((GOOGLETRANSLATE(F322,""en"",""pt"")))-1))"),"Redes de comunicações de transmissão")</f>
        <v>Redes de comunicações de transmissão</v>
      </c>
      <c r="H322" s="35" t="s">
        <v>1201</v>
      </c>
      <c r="I322" s="20" t="str">
        <f>VLOOKUP(A322,CO_Base_LNEC!$B$4:$G$271,6,FALSE)</f>
        <v>Redes utilizadas para transmissão e comunicação</v>
      </c>
      <c r="J322" s="35" t="s">
        <v>1201</v>
      </c>
      <c r="K322" s="24"/>
      <c r="L322" s="30" t="s">
        <v>84</v>
      </c>
      <c r="M322" s="31" t="s">
        <v>84</v>
      </c>
      <c r="N322" s="31" t="s">
        <v>84</v>
      </c>
      <c r="O322" s="24"/>
      <c r="P322" s="33" t="s">
        <v>84</v>
      </c>
      <c r="Q322" s="33" t="s">
        <v>84</v>
      </c>
      <c r="R322" s="24"/>
      <c r="S322" s="24"/>
    </row>
    <row r="323" spans="1:19" ht="14.5">
      <c r="A323" s="20" t="s">
        <v>1202</v>
      </c>
      <c r="B323" s="20">
        <v>75</v>
      </c>
      <c r="C323" s="20">
        <v>10</v>
      </c>
      <c r="D323" s="20">
        <v>80</v>
      </c>
      <c r="E323" s="24"/>
      <c r="F323" s="20" t="s">
        <v>1203</v>
      </c>
      <c r="G323" t="str">
        <f ca="1">IFERROR(__xludf.DUMMYFUNCTION("UPPER(LEFT((GOOGLETRANSLATE(F323,""en"",""pt"")),1))&amp;RIGHT(lower((GOOGLETRANSLATE(F323,""en"",""pt""))),(LEN((GOOGLETRANSLATE(F323,""en"",""pt"")))-1))"),"Complexos de telecomunicações")</f>
        <v>Complexos de telecomunicações</v>
      </c>
      <c r="H323" s="36" t="s">
        <v>1204</v>
      </c>
      <c r="I323" s="20" t="str">
        <f>VLOOKUP(A323,CO_Base_LNEC!$B$4:$G$271,6,FALSE)</f>
        <v>Infraestruturas de apoio às linhas de telecomunicações</v>
      </c>
      <c r="J323" s="36" t="s">
        <v>1204</v>
      </c>
      <c r="K323" s="24"/>
      <c r="L323" s="30" t="s">
        <v>84</v>
      </c>
      <c r="M323" s="31" t="s">
        <v>84</v>
      </c>
      <c r="N323" s="31" t="s">
        <v>84</v>
      </c>
      <c r="O323" s="24"/>
      <c r="P323" s="33" t="s">
        <v>84</v>
      </c>
      <c r="Q323" s="34" t="s">
        <v>1124</v>
      </c>
      <c r="R323" s="24"/>
      <c r="S323" s="24"/>
    </row>
    <row r="324" spans="1:19" ht="14.5">
      <c r="A324" s="20" t="s">
        <v>1205</v>
      </c>
      <c r="B324" s="20">
        <v>75</v>
      </c>
      <c r="C324" s="20">
        <v>10</v>
      </c>
      <c r="D324" s="20">
        <v>90</v>
      </c>
      <c r="E324" s="24"/>
      <c r="F324" s="20" t="s">
        <v>1206</v>
      </c>
      <c r="G324" t="str">
        <f ca="1">IFERROR(__xludf.DUMMYFUNCTION("UPPER(LEFT((GOOGLETRANSLATE(F324,""en"",""pt"")),1))&amp;RIGHT(lower((GOOGLETRANSLATE(F324,""en"",""pt""))),(LEN((GOOGLETRANSLATE(F324,""en"",""pt"")))-1))"),"Redes de telecomunicações")</f>
        <v>Redes de telecomunicações</v>
      </c>
      <c r="H324" s="36" t="s">
        <v>1207</v>
      </c>
      <c r="I324" s="20" t="str">
        <f>VLOOKUP(A324,CO_Base_LNEC!$B$4:$G$271,6,FALSE)</f>
        <v>Linhas urbanas e locais para telecomunicações</v>
      </c>
      <c r="J324" s="36" t="s">
        <v>1207</v>
      </c>
      <c r="K324" s="24"/>
      <c r="L324" s="30" t="s">
        <v>84</v>
      </c>
      <c r="M324" s="31" t="s">
        <v>84</v>
      </c>
      <c r="N324" s="31" t="s">
        <v>84</v>
      </c>
      <c r="O324" s="24"/>
      <c r="P324" s="33" t="s">
        <v>84</v>
      </c>
      <c r="Q324" s="33" t="s">
        <v>84</v>
      </c>
      <c r="R324" s="24"/>
      <c r="S324" s="24"/>
    </row>
    <row r="325" spans="1:19" ht="14.5">
      <c r="A325" s="20" t="s">
        <v>1208</v>
      </c>
      <c r="B325" s="20">
        <v>80</v>
      </c>
      <c r="C325" s="24"/>
      <c r="D325" s="24"/>
      <c r="E325" s="24"/>
      <c r="F325" s="20" t="s">
        <v>1209</v>
      </c>
      <c r="G325" t="str">
        <f ca="1">IFERROR(__xludf.DUMMYFUNCTION("UPPER(LEFT((GOOGLETRANSLATE(F325,""en"",""pt"")),1))&amp;RIGHT(lower((GOOGLETRANSLATE(F325,""en"",""pt""))),(LEN((GOOGLETRANSLATE(F325,""en"",""pt"")))-1))"),"Complexos de transporte")</f>
        <v>Complexos de transporte</v>
      </c>
      <c r="H325" s="36" t="s">
        <v>1210</v>
      </c>
      <c r="I325" s="20" t="str">
        <f>VLOOKUP(A325,CO_Base_LNEC!$B$4:$G$271,6,FALSE)</f>
        <v>Infraestruturas de transportes</v>
      </c>
      <c r="J325" s="36" t="s">
        <v>1210</v>
      </c>
      <c r="K325" s="24"/>
      <c r="L325" s="30" t="s">
        <v>84</v>
      </c>
      <c r="M325" s="31" t="s">
        <v>84</v>
      </c>
      <c r="N325" s="31" t="s">
        <v>84</v>
      </c>
      <c r="O325" s="24"/>
      <c r="P325" s="33" t="s">
        <v>84</v>
      </c>
      <c r="Q325" s="34" t="s">
        <v>1124</v>
      </c>
      <c r="R325" s="24"/>
      <c r="S325" s="24"/>
    </row>
    <row r="326" spans="1:19" ht="14.5">
      <c r="A326" s="20" t="s">
        <v>1211</v>
      </c>
      <c r="B326" s="20">
        <v>80</v>
      </c>
      <c r="C326" s="20">
        <v>5</v>
      </c>
      <c r="D326" s="24"/>
      <c r="E326" s="24"/>
      <c r="F326" s="20" t="s">
        <v>1212</v>
      </c>
      <c r="G326" t="str">
        <f ca="1">IFERROR(__xludf.DUMMYFUNCTION("UPPER(LEFT((GOOGLETRANSLATE(F326,""en"",""pt"")),1))&amp;RIGHT(lower((GOOGLETRANSLATE(F326,""en"",""pt""))),(LEN((GOOGLETRANSLATE(F326,""en"",""pt"")))-1))"),"Complexos aeroespaciais")</f>
        <v>Complexos aeroespaciais</v>
      </c>
      <c r="H326" s="36" t="s">
        <v>1213</v>
      </c>
      <c r="I326" s="20" t="str">
        <f>VLOOKUP(A326,CO_Base_LNEC!$B$4:$G$271,6,FALSE)</f>
        <v>Edifícios e instalações para o transporte aéreo</v>
      </c>
      <c r="J326" s="36" t="s">
        <v>1213</v>
      </c>
      <c r="K326" s="24"/>
      <c r="L326" s="30" t="s">
        <v>84</v>
      </c>
      <c r="M326" s="31" t="s">
        <v>84</v>
      </c>
      <c r="N326" s="31" t="s">
        <v>84</v>
      </c>
      <c r="O326" s="24"/>
      <c r="P326" s="33" t="s">
        <v>84</v>
      </c>
      <c r="Q326" s="34" t="s">
        <v>1124</v>
      </c>
      <c r="R326" s="24"/>
      <c r="S326" s="24"/>
    </row>
    <row r="327" spans="1:19" ht="14.5">
      <c r="A327" s="20" t="s">
        <v>1214</v>
      </c>
      <c r="B327" s="20">
        <v>80</v>
      </c>
      <c r="C327" s="20">
        <v>5</v>
      </c>
      <c r="D327" s="20">
        <v>2</v>
      </c>
      <c r="E327" s="24"/>
      <c r="F327" s="20" t="s">
        <v>1215</v>
      </c>
      <c r="G327" t="str">
        <f ca="1">IFERROR(__xludf.DUMMYFUNCTION("UPPER(LEFT((GOOGLETRANSLATE(F327,""en"",""pt"")),1))&amp;RIGHT(lower((GOOGLETRANSLATE(F327,""en"",""pt""))),(LEN((GOOGLETRANSLATE(F327,""en"",""pt"")))-1))"),"Aeroportos e aeródromos")</f>
        <v>Aeroportos e aeródromos</v>
      </c>
      <c r="H327" s="36" t="s">
        <v>1216</v>
      </c>
      <c r="I327" s="20" t="str">
        <f>VLOOKUP(A327,CO_Base_LNEC!$B$4:$G$271,6,FALSE)</f>
        <v>Aeroportos e aeródromos</v>
      </c>
      <c r="J327" s="36" t="s">
        <v>1216</v>
      </c>
      <c r="K327" s="24"/>
      <c r="L327" s="30" t="s">
        <v>84</v>
      </c>
      <c r="M327" s="31" t="s">
        <v>84</v>
      </c>
      <c r="N327" s="31" t="s">
        <v>84</v>
      </c>
      <c r="O327" s="24"/>
      <c r="P327" s="33" t="s">
        <v>84</v>
      </c>
      <c r="Q327" s="33" t="s">
        <v>84</v>
      </c>
      <c r="R327" s="24"/>
      <c r="S327" s="24"/>
    </row>
    <row r="328" spans="1:19" ht="14.5">
      <c r="A328" s="20" t="s">
        <v>1217</v>
      </c>
      <c r="B328" s="20">
        <v>80</v>
      </c>
      <c r="C328" s="20">
        <v>5</v>
      </c>
      <c r="D328" s="20">
        <v>38</v>
      </c>
      <c r="E328" s="24"/>
      <c r="F328" s="20" t="s">
        <v>1218</v>
      </c>
      <c r="G328" t="str">
        <f ca="1">IFERROR(__xludf.DUMMYFUNCTION("UPPER(LEFT((GOOGLETRANSLATE(F328,""en"",""pt"")),1))&amp;RIGHT(lower((GOOGLETRANSLATE(F328,""en"",""pt""))),(LEN((GOOGLETRANSLATE(F328,""en"",""pt"")))-1))"),"Heliportos")</f>
        <v>Heliportos</v>
      </c>
      <c r="H328" s="36" t="s">
        <v>1219</v>
      </c>
      <c r="I328" s="20" t="str">
        <f>VLOOKUP(A328,CO_Base_LNEC!$B$4:$G$271,6,FALSE)</f>
        <v>Heliportos</v>
      </c>
      <c r="J328" s="36" t="s">
        <v>1219</v>
      </c>
      <c r="K328" s="24"/>
      <c r="L328" s="30" t="s">
        <v>84</v>
      </c>
      <c r="M328" s="31" t="s">
        <v>84</v>
      </c>
      <c r="N328" s="31" t="s">
        <v>84</v>
      </c>
      <c r="O328" s="24"/>
      <c r="P328" s="33" t="s">
        <v>84</v>
      </c>
      <c r="Q328" s="33" t="s">
        <v>84</v>
      </c>
      <c r="R328" s="24"/>
      <c r="S328" s="24"/>
    </row>
    <row r="329" spans="1:19" ht="14.5">
      <c r="A329" s="20" t="s">
        <v>1220</v>
      </c>
      <c r="B329" s="20">
        <v>80</v>
      </c>
      <c r="C329" s="20">
        <v>5</v>
      </c>
      <c r="D329" s="20">
        <v>84</v>
      </c>
      <c r="E329" s="24"/>
      <c r="F329" s="20" t="s">
        <v>1221</v>
      </c>
      <c r="G329" t="str">
        <f ca="1">IFERROR(__xludf.DUMMYFUNCTION("UPPER(LEFT((GOOGLETRANSLATE(F329,""en"",""pt"")),1))&amp;RIGHT(lower((GOOGLETRANSLATE(F329,""en"",""pt""))),(LEN((GOOGLETRANSLATE(F329,""en"",""pt"")))-1))"),"Complexos de naves espaciais")</f>
        <v>Complexos de naves espaciais</v>
      </c>
      <c r="H329" s="36" t="s">
        <v>1222</v>
      </c>
      <c r="I329" s="20" t="e">
        <f>VLOOKUP(A329,CO_Base_LNEC!$B$4:$G$271,6,FALSE)</f>
        <v>#N/A</v>
      </c>
      <c r="J329" s="36" t="s">
        <v>1222</v>
      </c>
      <c r="K329" s="24"/>
      <c r="L329" s="30" t="s">
        <v>84</v>
      </c>
      <c r="M329" s="31" t="s">
        <v>84</v>
      </c>
      <c r="N329" s="31" t="s">
        <v>84</v>
      </c>
      <c r="O329" s="24"/>
      <c r="P329" s="33" t="s">
        <v>84</v>
      </c>
      <c r="Q329" s="34" t="s">
        <v>1104</v>
      </c>
      <c r="R329" s="24"/>
      <c r="S329" s="24"/>
    </row>
    <row r="330" spans="1:19" ht="14.5">
      <c r="A330" s="20" t="s">
        <v>1223</v>
      </c>
      <c r="B330" s="20">
        <v>80</v>
      </c>
      <c r="C330" s="20">
        <v>20</v>
      </c>
      <c r="D330" s="24"/>
      <c r="E330" s="24"/>
      <c r="F330" s="20" t="s">
        <v>1224</v>
      </c>
      <c r="G330" t="str">
        <f ca="1">IFERROR(__xludf.DUMMYFUNCTION("UPPER(LEFT((GOOGLETRANSLATE(F330,""en"",""pt"")),1))&amp;RIGHT(lower((GOOGLETRANSLATE(F330,""en"",""pt""))),(LEN((GOOGLETRANSLATE(F330,""en"",""pt"")))-1))"),"Complexos de transporte por cabos")</f>
        <v>Complexos de transporte por cabos</v>
      </c>
      <c r="H330" s="35" t="s">
        <v>1225</v>
      </c>
      <c r="I330" s="20" t="e">
        <f>VLOOKUP(A330,CO_Base_LNEC!$B$4:$G$271,6,FALSE)</f>
        <v>#N/A</v>
      </c>
      <c r="J330" s="35" t="s">
        <v>1226</v>
      </c>
      <c r="K330" s="20"/>
      <c r="L330" s="30" t="s">
        <v>84</v>
      </c>
      <c r="M330" s="31" t="s">
        <v>84</v>
      </c>
      <c r="N330" s="31" t="s">
        <v>84</v>
      </c>
      <c r="O330" s="24"/>
      <c r="P330" s="33" t="s">
        <v>84</v>
      </c>
      <c r="Q330" s="33" t="s">
        <v>84</v>
      </c>
      <c r="R330" s="24"/>
      <c r="S330" s="24"/>
    </row>
    <row r="331" spans="1:19" ht="14.5">
      <c r="A331" s="20" t="s">
        <v>1227</v>
      </c>
      <c r="B331" s="20">
        <v>80</v>
      </c>
      <c r="C331" s="20">
        <v>20</v>
      </c>
      <c r="D331" s="20">
        <v>2</v>
      </c>
      <c r="E331" s="24"/>
      <c r="F331" s="20" t="s">
        <v>1228</v>
      </c>
      <c r="G331" t="str">
        <f ca="1">IFERROR(__xludf.DUMMYFUNCTION("UPPER(LEFT((GOOGLETRANSLATE(F331,""en"",""pt"")),1))&amp;RIGHT(lower((GOOGLETRANSLATE(F331,""en"",""pt""))),(LEN((GOOGLETRANSLATE(F331,""en"",""pt"")))-1))"),"Complexos de teleférico")</f>
        <v>Complexos de teleférico</v>
      </c>
      <c r="H331" s="35" t="s">
        <v>1229</v>
      </c>
      <c r="I331" s="20" t="e">
        <f>VLOOKUP(A331,CO_Base_LNEC!$B$4:$G$271,6,FALSE)</f>
        <v>#N/A</v>
      </c>
      <c r="J331" s="35" t="s">
        <v>1229</v>
      </c>
      <c r="K331" s="20"/>
      <c r="L331" s="30" t="s">
        <v>84</v>
      </c>
      <c r="M331" s="31" t="s">
        <v>84</v>
      </c>
      <c r="N331" s="31" t="s">
        <v>84</v>
      </c>
      <c r="O331" s="24"/>
      <c r="P331" s="33" t="s">
        <v>84</v>
      </c>
      <c r="Q331" s="33" t="s">
        <v>84</v>
      </c>
      <c r="R331" s="24"/>
      <c r="S331" s="24"/>
    </row>
    <row r="332" spans="1:19" ht="14.5">
      <c r="A332" s="20" t="s">
        <v>1230</v>
      </c>
      <c r="B332" s="20">
        <v>80</v>
      </c>
      <c r="C332" s="20">
        <v>20</v>
      </c>
      <c r="D332" s="20">
        <v>10</v>
      </c>
      <c r="E332" s="24"/>
      <c r="F332" s="20" t="s">
        <v>1231</v>
      </c>
      <c r="G332" t="str">
        <f ca="1">IFERROR(__xludf.DUMMYFUNCTION("UPPER(LEFT((GOOGLETRANSLATE(F332,""en"",""pt"")),1))&amp;RIGHT(lower((GOOGLETRANSLATE(F332,""en"",""pt""))),(LEN((GOOGLETRANSLATE(F332,""en"",""pt"")))-1))"),"Complexos de teleférico")</f>
        <v>Complexos de teleférico</v>
      </c>
      <c r="H332" s="35" t="s">
        <v>1225</v>
      </c>
      <c r="I332" s="20" t="e">
        <f>VLOOKUP(A332,CO_Base_LNEC!$B$4:$G$271,6,FALSE)</f>
        <v>#N/A</v>
      </c>
      <c r="J332" s="35" t="s">
        <v>1232</v>
      </c>
      <c r="K332" s="20"/>
      <c r="L332" s="30" t="s">
        <v>84</v>
      </c>
      <c r="M332" s="31" t="s">
        <v>84</v>
      </c>
      <c r="N332" s="31" t="s">
        <v>84</v>
      </c>
      <c r="O332" s="24"/>
      <c r="P332" s="33" t="s">
        <v>84</v>
      </c>
      <c r="Q332" s="33" t="s">
        <v>84</v>
      </c>
      <c r="R332" s="24"/>
      <c r="S332" s="24"/>
    </row>
    <row r="333" spans="1:19" ht="14.5">
      <c r="A333" s="20" t="s">
        <v>1233</v>
      </c>
      <c r="B333" s="20">
        <v>80</v>
      </c>
      <c r="C333" s="20">
        <v>20</v>
      </c>
      <c r="D333" s="20">
        <v>13</v>
      </c>
      <c r="E333" s="24"/>
      <c r="F333" s="20" t="s">
        <v>1234</v>
      </c>
      <c r="G333" t="str">
        <f ca="1">IFERROR(__xludf.DUMMYFUNCTION("UPPER(LEFT((GOOGLETRANSLATE(F333,""en"",""pt"")),1))&amp;RIGHT(lower((GOOGLETRANSLATE(F333,""en"",""pt""))),(LEN((GOOGLETRANSLATE(F333,""en"",""pt"")))-1))"),"Complexos de maneira teleférico")</f>
        <v>Complexos de maneira teleférico</v>
      </c>
      <c r="H333" s="35" t="s">
        <v>1229</v>
      </c>
      <c r="I333" s="20" t="e">
        <f>VLOOKUP(A333,CO_Base_LNEC!$B$4:$G$271,6,FALSE)</f>
        <v>#N/A</v>
      </c>
      <c r="J333" s="35" t="s">
        <v>1235</v>
      </c>
      <c r="K333" s="20"/>
      <c r="L333" s="30" t="s">
        <v>84</v>
      </c>
      <c r="M333" s="31" t="s">
        <v>84</v>
      </c>
      <c r="N333" s="31" t="s">
        <v>84</v>
      </c>
      <c r="O333" s="24"/>
      <c r="P333" s="33" t="s">
        <v>84</v>
      </c>
      <c r="Q333" s="33" t="s">
        <v>84</v>
      </c>
      <c r="R333" s="24"/>
      <c r="S333" s="24"/>
    </row>
    <row r="334" spans="1:19" ht="14.5">
      <c r="A334" s="20" t="s">
        <v>1236</v>
      </c>
      <c r="B334" s="20">
        <v>80</v>
      </c>
      <c r="C334" s="20">
        <v>20</v>
      </c>
      <c r="D334" s="20">
        <v>32</v>
      </c>
      <c r="E334" s="24"/>
      <c r="F334" s="20" t="s">
        <v>1237</v>
      </c>
      <c r="G334" t="str">
        <f ca="1">IFERROR(__xludf.DUMMYFUNCTION("UPPER(LEFT((GOOGLETRANSLATE(F334,""en"",""pt"")),1))&amp;RIGHT(lower((GOOGLETRANSLATE(F334,""en"",""pt""))),(LEN((GOOGLETRANSLATE(F334,""en"",""pt"")))-1))"),"Complexos funicular")</f>
        <v>Complexos funicular</v>
      </c>
      <c r="H334" s="35" t="s">
        <v>1238</v>
      </c>
      <c r="I334" s="20" t="e">
        <f>VLOOKUP(A334,CO_Base_LNEC!$B$4:$G$271,6,FALSE)</f>
        <v>#N/A</v>
      </c>
      <c r="J334" s="35" t="s">
        <v>1238</v>
      </c>
      <c r="K334" s="20"/>
      <c r="L334" s="30" t="s">
        <v>84</v>
      </c>
      <c r="M334" s="31" t="s">
        <v>84</v>
      </c>
      <c r="N334" s="31" t="s">
        <v>84</v>
      </c>
      <c r="O334" s="24"/>
      <c r="P334" s="33" t="s">
        <v>84</v>
      </c>
      <c r="Q334" s="33" t="s">
        <v>84</v>
      </c>
      <c r="R334" s="24"/>
      <c r="S334" s="24"/>
    </row>
    <row r="335" spans="1:19" ht="14.5">
      <c r="A335" s="20" t="s">
        <v>1239</v>
      </c>
      <c r="B335" s="20">
        <v>80</v>
      </c>
      <c r="C335" s="20">
        <v>20</v>
      </c>
      <c r="D335" s="20">
        <v>34</v>
      </c>
      <c r="E335" s="24"/>
      <c r="F335" s="20" t="s">
        <v>1240</v>
      </c>
      <c r="G335" t="str">
        <f ca="1">IFERROR(__xludf.DUMMYFUNCTION("UPPER(LEFT((GOOGLETRANSLATE(F335,""en"",""pt"")),1))&amp;RIGHT(lower((GOOGLETRANSLATE(F335,""en"",""pt""))),(LEN((GOOGLETRANSLATE(F335,""en"",""pt"")))-1))"),"Complexos de elevador forma de gôndola")</f>
        <v>Complexos de elevador forma de gôndola</v>
      </c>
      <c r="H335" s="35" t="s">
        <v>1229</v>
      </c>
      <c r="I335" s="20" t="e">
        <f>VLOOKUP(A335,CO_Base_LNEC!$B$4:$G$271,6,FALSE)</f>
        <v>#N/A</v>
      </c>
      <c r="J335" s="35" t="s">
        <v>1241</v>
      </c>
      <c r="K335" s="20"/>
      <c r="L335" s="30" t="s">
        <v>84</v>
      </c>
      <c r="M335" s="31" t="s">
        <v>84</v>
      </c>
      <c r="N335" s="31" t="s">
        <v>84</v>
      </c>
      <c r="O335" s="24"/>
      <c r="P335" s="33" t="s">
        <v>84</v>
      </c>
      <c r="Q335" s="33" t="s">
        <v>84</v>
      </c>
      <c r="R335" s="24"/>
      <c r="S335" s="24"/>
    </row>
    <row r="336" spans="1:19" ht="14.5">
      <c r="A336" s="20" t="s">
        <v>1242</v>
      </c>
      <c r="B336" s="20">
        <v>80</v>
      </c>
      <c r="C336" s="20">
        <v>20</v>
      </c>
      <c r="D336" s="20">
        <v>84</v>
      </c>
      <c r="E336" s="24"/>
      <c r="F336" s="20" t="s">
        <v>1243</v>
      </c>
      <c r="G336" t="str">
        <f ca="1">IFERROR(__xludf.DUMMYFUNCTION("UPPER(LEFT((GOOGLETRANSLATE(F336,""en"",""pt"")),1))&amp;RIGHT(lower((GOOGLETRANSLATE(F336,""en"",""pt""))),(LEN((GOOGLETRANSLATE(F336,""en"",""pt"")))-1))"),"Complexos de elevador maneira superfície")</f>
        <v>Complexos de elevador maneira superfície</v>
      </c>
      <c r="H336" s="35" t="s">
        <v>1244</v>
      </c>
      <c r="I336" s="20" t="e">
        <f>VLOOKUP(A336,CO_Base_LNEC!$B$4:$G$271,6,FALSE)</f>
        <v>#N/A</v>
      </c>
      <c r="J336" s="35" t="s">
        <v>1244</v>
      </c>
      <c r="K336" s="24"/>
      <c r="L336" s="30" t="s">
        <v>84</v>
      </c>
      <c r="M336" s="31" t="s">
        <v>84</v>
      </c>
      <c r="N336" s="31" t="s">
        <v>84</v>
      </c>
      <c r="O336" s="24"/>
      <c r="P336" s="33" t="s">
        <v>84</v>
      </c>
      <c r="Q336" s="33" t="s">
        <v>84</v>
      </c>
      <c r="R336" s="24"/>
      <c r="S336" s="24"/>
    </row>
    <row r="337" spans="1:19" ht="14.5">
      <c r="A337" s="20" t="s">
        <v>1245</v>
      </c>
      <c r="B337" s="20">
        <v>80</v>
      </c>
      <c r="C337" s="20">
        <v>20</v>
      </c>
      <c r="D337" s="20">
        <v>99</v>
      </c>
      <c r="E337" s="24"/>
      <c r="F337" s="20" t="s">
        <v>1246</v>
      </c>
      <c r="G337" t="str">
        <f ca="1">IFERROR(__xludf.DUMMYFUNCTION("UPPER(LEFT((GOOGLETRANSLATE(F337,""en"",""pt"")),1))&amp;RIGHT(lower((GOOGLETRANSLATE(F337,""en"",""pt""))),(LEN((GOOGLETRANSLATE(F337,""en"",""pt"")))-1))"),"Zip complexos forma de linha")</f>
        <v>Zip complexos forma de linha</v>
      </c>
      <c r="H337" s="35" t="s">
        <v>1247</v>
      </c>
      <c r="I337" s="20" t="e">
        <f>VLOOKUP(A337,CO_Base_LNEC!$B$4:$G$271,6,FALSE)</f>
        <v>#N/A</v>
      </c>
      <c r="J337" s="35" t="s">
        <v>1247</v>
      </c>
      <c r="K337" s="24"/>
      <c r="L337" s="30" t="s">
        <v>84</v>
      </c>
      <c r="M337" s="31" t="s">
        <v>84</v>
      </c>
      <c r="N337" s="31" t="s">
        <v>84</v>
      </c>
      <c r="O337" s="24"/>
      <c r="P337" s="33" t="s">
        <v>84</v>
      </c>
      <c r="Q337" s="33" t="s">
        <v>84</v>
      </c>
      <c r="R337" s="24"/>
      <c r="S337" s="24"/>
    </row>
    <row r="338" spans="1:19" ht="14.5">
      <c r="A338" s="20" t="s">
        <v>1248</v>
      </c>
      <c r="B338" s="20">
        <v>80</v>
      </c>
      <c r="C338" s="20">
        <v>35</v>
      </c>
      <c r="D338" s="24"/>
      <c r="E338" s="24"/>
      <c r="F338" s="20" t="s">
        <v>1249</v>
      </c>
      <c r="G338" t="str">
        <f ca="1">IFERROR(__xludf.DUMMYFUNCTION("UPPER(LEFT((GOOGLETRANSLATE(F338,""en"",""pt"")),1))&amp;RIGHT(lower((GOOGLETRANSLATE(F338,""en"",""pt""))),(LEN((GOOGLETRANSLATE(F338,""en"",""pt"")))-1))"),"Complexos de estrada")</f>
        <v>Complexos de estrada</v>
      </c>
      <c r="H338" s="35" t="s">
        <v>1250</v>
      </c>
      <c r="I338" s="20" t="str">
        <f>VLOOKUP(A338,CO_Base_LNEC!$B$4:$G$271,6,FALSE)</f>
        <v>Edifícios e instalações para o transporte rodoviário</v>
      </c>
      <c r="J338" s="35" t="s">
        <v>1251</v>
      </c>
      <c r="K338" s="24"/>
      <c r="L338" s="30" t="s">
        <v>84</v>
      </c>
      <c r="M338" s="31" t="s">
        <v>84</v>
      </c>
      <c r="N338" s="31" t="s">
        <v>84</v>
      </c>
      <c r="O338" s="24"/>
      <c r="P338" s="33" t="s">
        <v>84</v>
      </c>
      <c r="Q338" s="34" t="s">
        <v>1124</v>
      </c>
      <c r="R338" s="24"/>
      <c r="S338" s="24"/>
    </row>
    <row r="339" spans="1:19" ht="14.5">
      <c r="A339" s="20" t="s">
        <v>1252</v>
      </c>
      <c r="B339" s="20">
        <v>80</v>
      </c>
      <c r="C339" s="20">
        <v>35</v>
      </c>
      <c r="D339" s="20">
        <v>75</v>
      </c>
      <c r="E339" s="24"/>
      <c r="F339" s="20" t="s">
        <v>1253</v>
      </c>
      <c r="G339" t="str">
        <f ca="1">IFERROR(__xludf.DUMMYFUNCTION("UPPER(LEFT((GOOGLETRANSLATE(F339,""en"",""pt"")),1))&amp;RIGHT(lower((GOOGLETRANSLATE(F339,""en"",""pt""))),(LEN((GOOGLETRANSLATE(F339,""en"",""pt"")))-1))"),"Redes rodoviárias")</f>
        <v>Redes rodoviárias</v>
      </c>
      <c r="H339" s="36" t="s">
        <v>1254</v>
      </c>
      <c r="I339" s="20" t="e">
        <f>VLOOKUP(A339,CO_Base_LNEC!$B$4:$G$271,6,FALSE)</f>
        <v>#N/A</v>
      </c>
      <c r="J339" s="36" t="s">
        <v>1254</v>
      </c>
      <c r="K339" s="24"/>
      <c r="L339" s="30" t="s">
        <v>84</v>
      </c>
      <c r="M339" s="31" t="s">
        <v>84</v>
      </c>
      <c r="N339" s="31" t="s">
        <v>84</v>
      </c>
      <c r="O339" s="24"/>
      <c r="P339" s="33" t="s">
        <v>84</v>
      </c>
      <c r="Q339" s="33" t="s">
        <v>84</v>
      </c>
      <c r="R339" s="24"/>
      <c r="S339" s="24"/>
    </row>
    <row r="340" spans="1:19" ht="14.5">
      <c r="A340" s="20" t="s">
        <v>1255</v>
      </c>
      <c r="B340" s="20">
        <v>80</v>
      </c>
      <c r="C340" s="20">
        <v>50</v>
      </c>
      <c r="D340" s="24"/>
      <c r="E340" s="24"/>
      <c r="F340" s="20" t="s">
        <v>1256</v>
      </c>
      <c r="G340" t="str">
        <f ca="1">IFERROR(__xludf.DUMMYFUNCTION("UPPER(LEFT((GOOGLETRANSLATE(F340,""en"",""pt"")),1))&amp;RIGHT(lower((GOOGLETRANSLATE(F340,""en"",""pt""))),(LEN((GOOGLETRANSLATE(F340,""en"",""pt"")))-1))"),"Complexos ferroviárias")</f>
        <v>Complexos ferroviárias</v>
      </c>
      <c r="H340" s="35" t="s">
        <v>1257</v>
      </c>
      <c r="I340" s="20" t="str">
        <f>VLOOKUP(A340,CO_Base_LNEC!$B$4:$G$271,6,FALSE)</f>
        <v>Edifícios e instalações para o transporte ferroviário</v>
      </c>
      <c r="J340" s="20" t="s">
        <v>1258</v>
      </c>
      <c r="K340" s="20"/>
      <c r="L340" s="30" t="s">
        <v>84</v>
      </c>
      <c r="M340" s="31" t="s">
        <v>84</v>
      </c>
      <c r="N340" s="31" t="s">
        <v>84</v>
      </c>
      <c r="O340" s="24"/>
      <c r="P340" s="33" t="s">
        <v>84</v>
      </c>
      <c r="Q340" s="33" t="s">
        <v>84</v>
      </c>
      <c r="R340" s="24"/>
      <c r="S340" s="24"/>
    </row>
    <row r="341" spans="1:19" ht="14.5">
      <c r="A341" s="20" t="s">
        <v>1259</v>
      </c>
      <c r="B341" s="20">
        <v>80</v>
      </c>
      <c r="C341" s="20">
        <v>50</v>
      </c>
      <c r="D341" s="20">
        <v>35</v>
      </c>
      <c r="E341" s="24"/>
      <c r="F341" s="20" t="s">
        <v>1260</v>
      </c>
      <c r="G341" t="str">
        <f ca="1">IFERROR(__xludf.DUMMYFUNCTION("UPPER(LEFT((GOOGLETRANSLATE(F341,""en"",""pt"")),1))&amp;RIGHT(lower((GOOGLETRANSLATE(F341,""en"",""pt""))),(LEN((GOOGLETRANSLATE(F341,""en"",""pt"")))-1))"),"Complexos ferroviários pesados")</f>
        <v>Complexos ferroviários pesados</v>
      </c>
      <c r="H341" s="35" t="s">
        <v>1261</v>
      </c>
      <c r="I341" s="20" t="str">
        <f>VLOOKUP(A341,CO_Base_LNEC!$B$4:$G$271,6,FALSE)</f>
        <v>Edifícios e instalações associados a outro transporte ferroviário</v>
      </c>
      <c r="J341" s="24" t="str">
        <f ca="1">G341</f>
        <v>Complexos ferroviários pesados</v>
      </c>
      <c r="K341" s="20"/>
      <c r="L341" s="30" t="s">
        <v>84</v>
      </c>
      <c r="M341" s="31" t="s">
        <v>84</v>
      </c>
      <c r="N341" s="31" t="s">
        <v>84</v>
      </c>
      <c r="O341" s="24"/>
      <c r="P341" s="33" t="s">
        <v>84</v>
      </c>
      <c r="Q341" s="33" t="s">
        <v>84</v>
      </c>
      <c r="R341" s="24"/>
      <c r="S341" s="24"/>
    </row>
    <row r="342" spans="1:19" ht="14.5">
      <c r="A342" s="20" t="s">
        <v>1262</v>
      </c>
      <c r="B342" s="20">
        <v>80</v>
      </c>
      <c r="C342" s="20">
        <v>50</v>
      </c>
      <c r="D342" s="20">
        <v>37</v>
      </c>
      <c r="E342" s="24"/>
      <c r="F342" s="20" t="s">
        <v>1263</v>
      </c>
      <c r="G342" t="str">
        <f ca="1">IFERROR(__xludf.DUMMYFUNCTION("UPPER(LEFT((GOOGLETRANSLATE(F342,""en"",""pt"")),1))&amp;RIGHT(lower((GOOGLETRANSLATE(F342,""en"",""pt""))),(LEN((GOOGLETRANSLATE(F342,""en"",""pt"")))-1))"),"Complexos ferroviários de alta velocidade")</f>
        <v>Complexos ferroviários de alta velocidade</v>
      </c>
      <c r="H342" s="35" t="s">
        <v>1264</v>
      </c>
      <c r="I342" s="20" t="e">
        <f>VLOOKUP(A342,CO_Base_LNEC!$B$4:$G$271,6,FALSE)</f>
        <v>#N/A</v>
      </c>
      <c r="J342" s="20" t="s">
        <v>1265</v>
      </c>
      <c r="K342" s="20"/>
      <c r="L342" s="30" t="s">
        <v>84</v>
      </c>
      <c r="M342" s="31" t="s">
        <v>84</v>
      </c>
      <c r="N342" s="31" t="s">
        <v>84</v>
      </c>
      <c r="O342" s="24"/>
      <c r="P342" s="33" t="s">
        <v>84</v>
      </c>
      <c r="Q342" s="33" t="s">
        <v>84</v>
      </c>
      <c r="R342" s="24"/>
      <c r="S342" s="24"/>
    </row>
    <row r="343" spans="1:19" ht="14.5">
      <c r="A343" s="20" t="s">
        <v>1266</v>
      </c>
      <c r="B343" s="20">
        <v>80</v>
      </c>
      <c r="C343" s="20">
        <v>50</v>
      </c>
      <c r="D343" s="20">
        <v>45</v>
      </c>
      <c r="E343" s="24"/>
      <c r="F343" s="20" t="s">
        <v>1267</v>
      </c>
      <c r="G343" t="str">
        <f ca="1">IFERROR(__xludf.DUMMYFUNCTION("UPPER(LEFT((GOOGLETRANSLATE(F343,""en"",""pt"")),1))&amp;RIGHT(lower((GOOGLETRANSLATE(F343,""en"",""pt""))),(LEN((GOOGLETRANSLATE(F343,""en"",""pt"")))-1))"),"Complexos leves sobre trilhos")</f>
        <v>Complexos leves sobre trilhos</v>
      </c>
      <c r="H343" s="35" t="s">
        <v>1268</v>
      </c>
      <c r="I343" s="20" t="e">
        <f>VLOOKUP(A343,CO_Base_LNEC!$B$4:$G$271,6,FALSE)</f>
        <v>#N/A</v>
      </c>
      <c r="J343" s="20" t="s">
        <v>1269</v>
      </c>
      <c r="K343" s="20"/>
      <c r="L343" s="30" t="s">
        <v>84</v>
      </c>
      <c r="M343" s="31" t="s">
        <v>84</v>
      </c>
      <c r="N343" s="31" t="s">
        <v>84</v>
      </c>
      <c r="O343" s="24"/>
      <c r="P343" s="33" t="s">
        <v>84</v>
      </c>
      <c r="Q343" s="33" t="s">
        <v>84</v>
      </c>
      <c r="R343" s="24"/>
      <c r="S343" s="24"/>
    </row>
    <row r="344" spans="1:19" ht="14.5">
      <c r="A344" s="20" t="s">
        <v>1270</v>
      </c>
      <c r="B344" s="20">
        <v>80</v>
      </c>
      <c r="C344" s="20">
        <v>50</v>
      </c>
      <c r="D344" s="20">
        <v>50</v>
      </c>
      <c r="E344" s="24"/>
      <c r="F344" s="20" t="s">
        <v>1271</v>
      </c>
      <c r="G344" t="str">
        <f ca="1">IFERROR(__xludf.DUMMYFUNCTION("UPPER(LEFT((GOOGLETRANSLATE(F344,""en"",""pt"")),1))&amp;RIGHT(lower((GOOGLETRANSLATE(F344,""en"",""pt""))),(LEN((GOOGLETRANSLATE(F344,""en"",""pt"")))-1))"),"Formas de levitação magnética")</f>
        <v>Formas de levitação magnética</v>
      </c>
      <c r="H344" s="35" t="s">
        <v>1272</v>
      </c>
      <c r="I344" s="20" t="e">
        <f>VLOOKUP(A344,CO_Base_LNEC!$B$4:$G$271,6,FALSE)</f>
        <v>#N/A</v>
      </c>
      <c r="J344" s="20" t="s">
        <v>1273</v>
      </c>
      <c r="K344" s="20"/>
      <c r="L344" s="30" t="s">
        <v>84</v>
      </c>
      <c r="M344" s="31" t="s">
        <v>84</v>
      </c>
      <c r="N344" s="31" t="s">
        <v>84</v>
      </c>
      <c r="O344" s="24"/>
      <c r="P344" s="34" t="s">
        <v>1274</v>
      </c>
      <c r="Q344" s="33" t="s">
        <v>84</v>
      </c>
      <c r="R344" s="24"/>
      <c r="S344" s="24"/>
    </row>
    <row r="345" spans="1:19" ht="14.5">
      <c r="A345" s="20" t="s">
        <v>1275</v>
      </c>
      <c r="B345" s="20">
        <v>80</v>
      </c>
      <c r="C345" s="20">
        <v>50</v>
      </c>
      <c r="D345" s="20">
        <v>53</v>
      </c>
      <c r="E345" s="24"/>
      <c r="F345" s="20" t="s">
        <v>1276</v>
      </c>
      <c r="G345" t="str">
        <f ca="1">IFERROR(__xludf.DUMMYFUNCTION("UPPER(LEFT((GOOGLETRANSLATE(F345,""en"",""pt"")),1))&amp;RIGHT(lower((GOOGLETRANSLATE(F345,""en"",""pt""))),(LEN((GOOGLETRANSLATE(F345,""en"",""pt"")))-1))"),"Complexos monorail")</f>
        <v>Complexos monorail</v>
      </c>
      <c r="H345" s="35" t="s">
        <v>1277</v>
      </c>
      <c r="I345" s="20" t="e">
        <f>VLOOKUP(A345,CO_Base_LNEC!$B$4:$G$271,6,FALSE)</f>
        <v>#N/A</v>
      </c>
      <c r="J345" s="20" t="s">
        <v>1278</v>
      </c>
      <c r="K345" s="20"/>
      <c r="L345" s="30" t="s">
        <v>84</v>
      </c>
      <c r="M345" s="31" t="s">
        <v>84</v>
      </c>
      <c r="N345" s="31" t="s">
        <v>84</v>
      </c>
      <c r="O345" s="24"/>
      <c r="P345" s="33" t="s">
        <v>84</v>
      </c>
      <c r="Q345" s="33" t="s">
        <v>84</v>
      </c>
      <c r="R345" s="24"/>
      <c r="S345" s="24"/>
    </row>
    <row r="346" spans="1:19" ht="14.5">
      <c r="A346" s="20" t="s">
        <v>1279</v>
      </c>
      <c r="B346" s="20">
        <v>80</v>
      </c>
      <c r="C346" s="20">
        <v>50</v>
      </c>
      <c r="D346" s="20">
        <v>56</v>
      </c>
      <c r="E346" s="24"/>
      <c r="F346" s="20" t="s">
        <v>1280</v>
      </c>
      <c r="G346" t="str">
        <f ca="1">IFERROR(__xludf.DUMMYFUNCTION("UPPER(LEFT((GOOGLETRANSLATE(F346,""en"",""pt"")),1))&amp;RIGHT(lower((GOOGLETRANSLATE(F346,""en"",""pt""))),(LEN((GOOGLETRANSLATE(F346,""en"",""pt"")))-1))"),"Complexos ferroviárias de bitola estreita")</f>
        <v>Complexos ferroviárias de bitola estreita</v>
      </c>
      <c r="H346" s="35" t="s">
        <v>1281</v>
      </c>
      <c r="I346" s="20" t="e">
        <f>VLOOKUP(A346,CO_Base_LNEC!$B$4:$G$271,6,FALSE)</f>
        <v>#N/A</v>
      </c>
      <c r="J346" s="20" t="s">
        <v>1282</v>
      </c>
      <c r="K346" s="20"/>
      <c r="L346" s="30" t="s">
        <v>84</v>
      </c>
      <c r="M346" s="31" t="s">
        <v>84</v>
      </c>
      <c r="N346" s="31" t="s">
        <v>84</v>
      </c>
      <c r="O346" s="24"/>
      <c r="P346" s="34" t="s">
        <v>1283</v>
      </c>
      <c r="Q346" s="33" t="s">
        <v>84</v>
      </c>
      <c r="R346" s="24"/>
      <c r="S346" s="24"/>
    </row>
    <row r="347" spans="1:19" ht="14.5">
      <c r="A347" s="20" t="s">
        <v>1284</v>
      </c>
      <c r="B347" s="20">
        <v>80</v>
      </c>
      <c r="C347" s="20">
        <v>50</v>
      </c>
      <c r="D347" s="20">
        <v>69</v>
      </c>
      <c r="E347" s="24"/>
      <c r="F347" s="20" t="s">
        <v>1285</v>
      </c>
      <c r="G347" t="str">
        <f ca="1">IFERROR(__xludf.DUMMYFUNCTION("UPPER(LEFT((GOOGLETRANSLATE(F347,""en"",""pt"")),1))&amp;RIGHT(lower((GOOGLETRANSLATE(F347,""en"",""pt""))),(LEN((GOOGLETRANSLATE(F347,""en"",""pt"")))-1))"),"Cremalheira complexos ferroviários")</f>
        <v>Cremalheira complexos ferroviários</v>
      </c>
      <c r="H347" s="35" t="s">
        <v>1286</v>
      </c>
      <c r="I347" s="20" t="e">
        <f>VLOOKUP(A347,CO_Base_LNEC!$B$4:$G$271,6,FALSE)</f>
        <v>#N/A</v>
      </c>
      <c r="J347" s="20" t="s">
        <v>1287</v>
      </c>
      <c r="K347" s="20"/>
      <c r="L347" s="30" t="s">
        <v>84</v>
      </c>
      <c r="M347" s="31" t="s">
        <v>84</v>
      </c>
      <c r="N347" s="31" t="s">
        <v>84</v>
      </c>
      <c r="O347" s="24"/>
      <c r="P347" s="34" t="s">
        <v>1288</v>
      </c>
      <c r="Q347" s="33" t="s">
        <v>84</v>
      </c>
      <c r="R347" s="24"/>
      <c r="S347" s="24"/>
    </row>
    <row r="348" spans="1:19" ht="14.5">
      <c r="A348" s="20" t="s">
        <v>1289</v>
      </c>
      <c r="B348" s="20">
        <v>80</v>
      </c>
      <c r="C348" s="20">
        <v>50</v>
      </c>
      <c r="D348" s="20">
        <v>76</v>
      </c>
      <c r="E348" s="24"/>
      <c r="F348" s="20" t="s">
        <v>1290</v>
      </c>
      <c r="G348" t="str">
        <f ca="1">IFERROR(__xludf.DUMMYFUNCTION("UPPER(LEFT((GOOGLETRANSLATE(F348,""en"",""pt"")),1))&amp;RIGHT(lower((GOOGLETRANSLATE(F348,""en"",""pt""))),(LEN((GOOGLETRANSLATE(F348,""en"",""pt"")))-1))"),"Complexos ferroviários ligeiros à base de estrada")</f>
        <v>Complexos ferroviários ligeiros à base de estrada</v>
      </c>
      <c r="H348" s="35" t="s">
        <v>1291</v>
      </c>
      <c r="I348" s="20" t="e">
        <f>VLOOKUP(A348,CO_Base_LNEC!$B$4:$G$271,6,FALSE)</f>
        <v>#N/A</v>
      </c>
      <c r="J348" s="20" t="s">
        <v>1292</v>
      </c>
      <c r="K348" s="20"/>
      <c r="L348" s="30" t="s">
        <v>84</v>
      </c>
      <c r="M348" s="31" t="s">
        <v>84</v>
      </c>
      <c r="N348" s="31" t="s">
        <v>84</v>
      </c>
      <c r="O348" s="24"/>
      <c r="P348" s="34" t="s">
        <v>1288</v>
      </c>
      <c r="Q348" s="33" t="s">
        <v>84</v>
      </c>
      <c r="R348" s="24"/>
      <c r="S348" s="24"/>
    </row>
    <row r="349" spans="1:19" ht="14.5">
      <c r="A349" s="20" t="s">
        <v>1293</v>
      </c>
      <c r="B349" s="20">
        <v>80</v>
      </c>
      <c r="C349" s="20">
        <v>70</v>
      </c>
      <c r="D349" s="24"/>
      <c r="E349" s="24"/>
      <c r="F349" s="20" t="s">
        <v>1294</v>
      </c>
      <c r="G349" t="str">
        <f ca="1">IFERROR(__xludf.DUMMYFUNCTION("UPPER(LEFT((GOOGLETRANSLATE(F349,""en"",""pt"")),1))&amp;RIGHT(lower((GOOGLETRANSLATE(F349,""en"",""pt""))),(LEN((GOOGLETRANSLATE(F349,""en"",""pt"")))-1))"),"Marinho e vias navegáveis ​​complexos de transporte")</f>
        <v>Marinho e vias navegáveis ​​complexos de transporte</v>
      </c>
      <c r="H349" s="35" t="s">
        <v>1295</v>
      </c>
      <c r="I349" s="20" t="str">
        <f>VLOOKUP(A349,CO_Base_LNEC!$B$4:$G$271,6,FALSE)</f>
        <v>Edifícios e instalações para os transportes marítimo e fluvial</v>
      </c>
      <c r="J349" s="20" t="s">
        <v>1296</v>
      </c>
      <c r="K349" s="20"/>
      <c r="L349" s="30" t="s">
        <v>84</v>
      </c>
      <c r="M349" s="31" t="s">
        <v>84</v>
      </c>
      <c r="N349" s="31" t="s">
        <v>84</v>
      </c>
      <c r="O349" s="24"/>
      <c r="P349" s="33" t="s">
        <v>84</v>
      </c>
      <c r="Q349" s="33" t="s">
        <v>84</v>
      </c>
      <c r="R349" s="24"/>
      <c r="S349" s="24"/>
    </row>
    <row r="350" spans="1:19" ht="14.5">
      <c r="A350" s="20" t="s">
        <v>1297</v>
      </c>
      <c r="B350" s="20">
        <v>80</v>
      </c>
      <c r="C350" s="20">
        <v>70</v>
      </c>
      <c r="D350" s="20">
        <v>11</v>
      </c>
      <c r="E350" s="24"/>
      <c r="F350" s="20" t="s">
        <v>1298</v>
      </c>
      <c r="G350" t="str">
        <f ca="1">IFERROR(__xludf.DUMMYFUNCTION("UPPER(LEFT((GOOGLETRANSLATE(F350,""en"",""pt"")),1))&amp;RIGHT(lower((GOOGLETRANSLATE(F350,""en"",""pt""))),(LEN((GOOGLETRANSLATE(F350,""en"",""pt"")))-1))"),"Complexos de ferry de cabo")</f>
        <v>Complexos de ferry de cabo</v>
      </c>
      <c r="H350" s="35" t="s">
        <v>1299</v>
      </c>
      <c r="I350" s="20" t="e">
        <f>VLOOKUP(A350,CO_Base_LNEC!$B$4:$G$271,6,FALSE)</f>
        <v>#N/A</v>
      </c>
      <c r="J350" s="20" t="s">
        <v>1300</v>
      </c>
      <c r="K350" s="20"/>
      <c r="L350" s="30" t="s">
        <v>84</v>
      </c>
      <c r="M350" s="31" t="s">
        <v>84</v>
      </c>
      <c r="N350" s="31" t="s">
        <v>84</v>
      </c>
      <c r="O350" s="24"/>
      <c r="P350" s="33" t="s">
        <v>84</v>
      </c>
      <c r="Q350" s="33" t="s">
        <v>84</v>
      </c>
      <c r="R350" s="24"/>
      <c r="S350" s="24"/>
    </row>
    <row r="351" spans="1:19" ht="14.5">
      <c r="A351" s="20" t="s">
        <v>1301</v>
      </c>
      <c r="B351" s="20">
        <v>80</v>
      </c>
      <c r="C351" s="20">
        <v>70</v>
      </c>
      <c r="D351" s="20">
        <v>13</v>
      </c>
      <c r="E351" s="24"/>
      <c r="F351" s="20" t="s">
        <v>1302</v>
      </c>
      <c r="G351" t="str">
        <f ca="1">IFERROR(__xludf.DUMMYFUNCTION("UPPER(LEFT((GOOGLETRANSLATE(F351,""en"",""pt"")),1))&amp;RIGHT(lower((GOOGLETRANSLATE(F351,""en"",""pt""))),(LEN((GOOGLETRANSLATE(F351,""en"",""pt"")))-1))"),"Complexos canal")</f>
        <v>Complexos canal</v>
      </c>
      <c r="H351" s="35" t="s">
        <v>1303</v>
      </c>
      <c r="I351" s="20" t="e">
        <f>VLOOKUP(A351,CO_Base_LNEC!$B$4:$G$271,6,FALSE)</f>
        <v>#N/A</v>
      </c>
      <c r="J351" s="20" t="s">
        <v>1304</v>
      </c>
      <c r="K351" s="20"/>
      <c r="L351" s="30" t="s">
        <v>84</v>
      </c>
      <c r="M351" s="31" t="s">
        <v>84</v>
      </c>
      <c r="N351" s="31" t="s">
        <v>84</v>
      </c>
      <c r="O351" s="24"/>
      <c r="P351" s="33" t="s">
        <v>84</v>
      </c>
      <c r="Q351" s="33" t="s">
        <v>84</v>
      </c>
      <c r="R351" s="24"/>
      <c r="S351" s="24"/>
    </row>
    <row r="352" spans="1:19" ht="14.5">
      <c r="A352" s="20" t="s">
        <v>1305</v>
      </c>
      <c r="B352" s="20">
        <v>80</v>
      </c>
      <c r="C352" s="20">
        <v>70</v>
      </c>
      <c r="D352" s="20">
        <v>17</v>
      </c>
      <c r="E352" s="24"/>
      <c r="F352" s="20" t="s">
        <v>1306</v>
      </c>
      <c r="G352" t="str">
        <f ca="1">IFERROR(__xludf.DUMMYFUNCTION("UPPER(LEFT((GOOGLETRANSLATE(F352,""en"",""pt"")),1))&amp;RIGHT(lower((GOOGLETRANSLATE(F352,""en"",""pt""))),(LEN((GOOGLETRANSLATE(F352,""en"",""pt"")))-1))"),"Portos de contentores")</f>
        <v>Portos de contentores</v>
      </c>
      <c r="H352" s="36" t="s">
        <v>1307</v>
      </c>
      <c r="I352" s="20" t="str">
        <f>VLOOKUP(A352,CO_Base_LNEC!$B$4:$G$271,6,FALSE)</f>
        <v>Docas</v>
      </c>
      <c r="J352" s="36" t="s">
        <v>1307</v>
      </c>
      <c r="K352" s="24"/>
      <c r="L352" s="30" t="s">
        <v>84</v>
      </c>
      <c r="M352" s="31" t="s">
        <v>84</v>
      </c>
      <c r="N352" s="31" t="s">
        <v>84</v>
      </c>
      <c r="O352" s="24"/>
      <c r="P352" s="33" t="s">
        <v>84</v>
      </c>
      <c r="Q352" s="33" t="s">
        <v>84</v>
      </c>
      <c r="R352" s="24"/>
      <c r="S352" s="24"/>
    </row>
    <row r="353" spans="1:19" ht="14.5">
      <c r="A353" s="20" t="s">
        <v>1308</v>
      </c>
      <c r="B353" s="20">
        <v>80</v>
      </c>
      <c r="C353" s="20">
        <v>70</v>
      </c>
      <c r="D353" s="20">
        <v>23</v>
      </c>
      <c r="E353" s="24"/>
      <c r="F353" s="20" t="s">
        <v>1309</v>
      </c>
      <c r="G353" t="str">
        <f ca="1">IFERROR(__xludf.DUMMYFUNCTION("UPPER(LEFT((GOOGLETRANSLATE(F353,""en"",""pt"")),1))&amp;RIGHT(lower((GOOGLETRANSLATE(F353,""en"",""pt""))),(LEN((GOOGLETRANSLATE(F353,""en"",""pt"")))-1))"),"Portos secos a granel")</f>
        <v>Portos secos a granel</v>
      </c>
      <c r="H353" s="35" t="s">
        <v>1310</v>
      </c>
      <c r="I353" s="20" t="e">
        <f>VLOOKUP(A353,CO_Base_LNEC!$B$4:$G$271,6,FALSE)</f>
        <v>#N/A</v>
      </c>
      <c r="J353" s="35" t="s">
        <v>1311</v>
      </c>
      <c r="K353" s="24"/>
      <c r="L353" s="30" t="s">
        <v>84</v>
      </c>
      <c r="M353" s="31" t="s">
        <v>84</v>
      </c>
      <c r="N353" s="31" t="s">
        <v>84</v>
      </c>
      <c r="O353" s="24"/>
      <c r="P353" s="33" t="s">
        <v>84</v>
      </c>
      <c r="Q353" s="33" t="s">
        <v>84</v>
      </c>
      <c r="R353" s="24"/>
      <c r="S353" s="24"/>
    </row>
    <row r="354" spans="1:19" ht="14.5">
      <c r="A354" s="20" t="s">
        <v>1312</v>
      </c>
      <c r="B354" s="20">
        <v>80</v>
      </c>
      <c r="C354" s="20">
        <v>70</v>
      </c>
      <c r="D354" s="20">
        <v>30</v>
      </c>
      <c r="E354" s="24"/>
      <c r="F354" s="20" t="s">
        <v>1313</v>
      </c>
      <c r="G354" t="str">
        <f ca="1">IFERROR(__xludf.DUMMYFUNCTION("UPPER(LEFT((GOOGLETRANSLATE(F354,""en"",""pt"")),1))&amp;RIGHT(lower((GOOGLETRANSLATE(F354,""en"",""pt""))),(LEN((GOOGLETRANSLATE(F354,""en"",""pt"")))-1))"),"Portos de pesca")</f>
        <v>Portos de pesca</v>
      </c>
      <c r="H354" s="36" t="s">
        <v>1314</v>
      </c>
      <c r="I354" s="20" t="str">
        <f>VLOOKUP(A354,CO_Base_LNEC!$B$4:$G$271,6,FALSE)</f>
        <v>Portos de pesca</v>
      </c>
      <c r="J354" s="36" t="s">
        <v>1314</v>
      </c>
      <c r="K354" s="24"/>
      <c r="L354" s="30" t="s">
        <v>84</v>
      </c>
      <c r="M354" s="31" t="s">
        <v>84</v>
      </c>
      <c r="N354" s="31" t="s">
        <v>84</v>
      </c>
      <c r="O354" s="24"/>
      <c r="P354" s="33" t="s">
        <v>84</v>
      </c>
      <c r="Q354" s="33" t="s">
        <v>84</v>
      </c>
      <c r="R354" s="24"/>
      <c r="S354" s="24"/>
    </row>
    <row r="355" spans="1:19" ht="14.5">
      <c r="A355" s="20" t="s">
        <v>1315</v>
      </c>
      <c r="B355" s="20">
        <v>80</v>
      </c>
      <c r="C355" s="20">
        <v>70</v>
      </c>
      <c r="D355" s="20">
        <v>36</v>
      </c>
      <c r="E355" s="24"/>
      <c r="F355" s="20" t="s">
        <v>1316</v>
      </c>
      <c r="G355" t="str">
        <f ca="1">IFERROR(__xludf.DUMMYFUNCTION("UPPER(LEFT((GOOGLETRANSLATE(F355,""en"",""pt"")),1))&amp;RIGHT(lower((GOOGLETRANSLATE(F355,""en"",""pt""))),(LEN((GOOGLETRANSLATE(F355,""en"",""pt"")))-1))"),"Portos")</f>
        <v>Portos</v>
      </c>
      <c r="H355" s="36" t="s">
        <v>1317</v>
      </c>
      <c r="I355" s="20" t="str">
        <f>VLOOKUP(A355,CO_Base_LNEC!$B$4:$G$271,6,FALSE)</f>
        <v>Portos e cais marítimos ou fluviais</v>
      </c>
      <c r="J355" s="36" t="s">
        <v>1317</v>
      </c>
      <c r="K355" s="24"/>
      <c r="L355" s="30" t="s">
        <v>84</v>
      </c>
      <c r="M355" s="31" t="s">
        <v>84</v>
      </c>
      <c r="N355" s="31" t="s">
        <v>84</v>
      </c>
      <c r="O355" s="24"/>
      <c r="P355" s="33" t="s">
        <v>84</v>
      </c>
      <c r="Q355" s="33" t="s">
        <v>84</v>
      </c>
      <c r="R355" s="24"/>
      <c r="S355" s="24"/>
    </row>
    <row r="356" spans="1:19" ht="14.5">
      <c r="A356" s="20" t="s">
        <v>1318</v>
      </c>
      <c r="B356" s="20">
        <v>80</v>
      </c>
      <c r="C356" s="20">
        <v>70</v>
      </c>
      <c r="D356" s="20">
        <v>47</v>
      </c>
      <c r="E356" s="24"/>
      <c r="F356" s="20" t="s">
        <v>1319</v>
      </c>
      <c r="G356" t="str">
        <f ca="1">IFERROR(__xludf.DUMMYFUNCTION("UPPER(LEFT((GOOGLETRANSLATE(F356,""en"",""pt"")),1))&amp;RIGHT(lower((GOOGLETRANSLATE(F356,""en"",""pt""))),(LEN((GOOGLETRANSLATE(F356,""en"",""pt"")))-1))"),"Portos granel líquidos")</f>
        <v>Portos granel líquidos</v>
      </c>
      <c r="H356" s="35" t="s">
        <v>1320</v>
      </c>
      <c r="I356" s="20" t="e">
        <f>VLOOKUP(A356,CO_Base_LNEC!$B$4:$G$271,6,FALSE)</f>
        <v>#N/A</v>
      </c>
      <c r="J356" s="35" t="s">
        <v>1320</v>
      </c>
      <c r="K356" s="24"/>
      <c r="L356" s="30" t="s">
        <v>84</v>
      </c>
      <c r="M356" s="31" t="s">
        <v>84</v>
      </c>
      <c r="N356" s="31" t="s">
        <v>84</v>
      </c>
      <c r="O356" s="24"/>
      <c r="P356" s="33" t="s">
        <v>84</v>
      </c>
      <c r="Q356" s="33" t="s">
        <v>84</v>
      </c>
      <c r="R356" s="24"/>
      <c r="S356" s="24"/>
    </row>
    <row r="357" spans="1:19" ht="14.5">
      <c r="A357" s="20" t="s">
        <v>1321</v>
      </c>
      <c r="B357" s="20">
        <v>80</v>
      </c>
      <c r="C357" s="20">
        <v>70</v>
      </c>
      <c r="D357" s="20">
        <v>70</v>
      </c>
      <c r="E357" s="24"/>
      <c r="F357" s="20" t="s">
        <v>1322</v>
      </c>
      <c r="G357" t="str">
        <f ca="1">IFERROR(__xludf.DUMMYFUNCTION("UPPER(LEFT((GOOGLETRANSLATE(F357,""en"",""pt"")),1))&amp;RIGHT(lower((GOOGLETRANSLATE(F357,""en"",""pt""))),(LEN((GOOGLETRANSLATE(F357,""en"",""pt"")))-1))"),"Complexos de rio ferry")</f>
        <v>Complexos de rio ferry</v>
      </c>
      <c r="H357" s="35" t="s">
        <v>1323</v>
      </c>
      <c r="I357" s="20" t="str">
        <f>VLOOKUP(A357,CO_Base_LNEC!$B$4:$G$271,6,FALSE)</f>
        <v>Instalações associados ao transporte marítimo de passageiros e de mercadoria</v>
      </c>
      <c r="J357" s="35" t="s">
        <v>1324</v>
      </c>
      <c r="K357" s="24"/>
      <c r="L357" s="30" t="s">
        <v>84</v>
      </c>
      <c r="M357" s="31" t="s">
        <v>84</v>
      </c>
      <c r="N357" s="31" t="s">
        <v>84</v>
      </c>
      <c r="O357" s="24"/>
      <c r="P357" s="33" t="s">
        <v>84</v>
      </c>
      <c r="Q357" s="33" t="s">
        <v>84</v>
      </c>
      <c r="R357" s="24"/>
      <c r="S357" s="24"/>
    </row>
    <row r="358" spans="1:19" ht="14.5">
      <c r="A358" s="20" t="s">
        <v>1325</v>
      </c>
      <c r="B358" s="20">
        <v>80</v>
      </c>
      <c r="C358" s="20">
        <v>70</v>
      </c>
      <c r="D358" s="20">
        <v>72</v>
      </c>
      <c r="E358" s="24"/>
      <c r="F358" s="20" t="s">
        <v>1326</v>
      </c>
      <c r="G358" t="str">
        <f ca="1">IFERROR(__xludf.DUMMYFUNCTION("UPPER(LEFT((GOOGLETRANSLATE(F358,""en"",""pt"")),1))&amp;RIGHT(lower((GOOGLETRANSLATE(F358,""en"",""pt""))),(LEN((GOOGLETRANSLATE(F358,""en"",""pt"")))-1))"),"Roll-on portas roll-off")</f>
        <v>Roll-on portas roll-off</v>
      </c>
      <c r="H358" s="35" t="s">
        <v>1327</v>
      </c>
      <c r="I358" s="20" t="e">
        <f>VLOOKUP(A358,CO_Base_LNEC!$B$4:$G$271,6,FALSE)</f>
        <v>#N/A</v>
      </c>
      <c r="J358" s="35" t="s">
        <v>1327</v>
      </c>
      <c r="K358" s="24"/>
      <c r="L358" s="30" t="s">
        <v>84</v>
      </c>
      <c r="M358" s="31" t="s">
        <v>84</v>
      </c>
      <c r="N358" s="31" t="s">
        <v>84</v>
      </c>
      <c r="O358" s="24"/>
      <c r="P358" s="33" t="s">
        <v>84</v>
      </c>
      <c r="Q358" s="33" t="s">
        <v>84</v>
      </c>
      <c r="R358" s="24"/>
      <c r="S358" s="24"/>
    </row>
    <row r="359" spans="1:19" ht="14.5">
      <c r="A359" s="20" t="s">
        <v>1328</v>
      </c>
      <c r="B359" s="20">
        <v>80</v>
      </c>
      <c r="C359" s="20">
        <v>70</v>
      </c>
      <c r="D359" s="20">
        <v>77</v>
      </c>
      <c r="E359" s="24"/>
      <c r="F359" s="20" t="s">
        <v>1329</v>
      </c>
      <c r="G359" t="str">
        <f ca="1">IFERROR(__xludf.DUMMYFUNCTION("UPPER(LEFT((GOOGLETRANSLATE(F359,""en"",""pt"")),1))&amp;RIGHT(lower((GOOGLETRANSLATE(F359,""en"",""pt""))),(LEN((GOOGLETRANSLATE(F359,""en"",""pt"")))-1))"),"Portos de cruzeiro do mar")</f>
        <v>Portos de cruzeiro do mar</v>
      </c>
      <c r="H359" s="35" t="s">
        <v>1330</v>
      </c>
      <c r="I359" s="20" t="str">
        <f>VLOOKUP(A359,CO_Base_LNEC!$B$4:$G$271,6,FALSE)</f>
        <v>Portos para cruzeiros</v>
      </c>
      <c r="J359" s="35" t="s">
        <v>1330</v>
      </c>
      <c r="K359" s="24"/>
      <c r="L359" s="30" t="s">
        <v>84</v>
      </c>
      <c r="M359" s="31" t="s">
        <v>84</v>
      </c>
      <c r="N359" s="31" t="s">
        <v>84</v>
      </c>
      <c r="O359" s="24"/>
      <c r="P359" s="33" t="s">
        <v>84</v>
      </c>
      <c r="Q359" s="33" t="s">
        <v>84</v>
      </c>
      <c r="R359" s="24"/>
      <c r="S359" s="24"/>
    </row>
    <row r="360" spans="1:19" ht="14.5">
      <c r="A360" s="20" t="s">
        <v>1331</v>
      </c>
      <c r="B360" s="20">
        <v>80</v>
      </c>
      <c r="C360" s="20">
        <v>70</v>
      </c>
      <c r="D360" s="20">
        <v>78</v>
      </c>
      <c r="E360" s="24"/>
      <c r="F360" s="20" t="s">
        <v>1332</v>
      </c>
      <c r="G360" t="str">
        <f ca="1">IFERROR(__xludf.DUMMYFUNCTION("UPPER(LEFT((GOOGLETRANSLATE(F360,""en"",""pt"")),1))&amp;RIGHT(lower((GOOGLETRANSLATE(F360,""en"",""pt""))),(LEN((GOOGLETRANSLATE(F360,""en"",""pt"")))-1))"),"Portos de mar")</f>
        <v>Portos de mar</v>
      </c>
      <c r="H360" s="35" t="s">
        <v>1333</v>
      </c>
      <c r="I360" s="20" t="e">
        <f>VLOOKUP(A360,CO_Base_LNEC!$B$4:$G$271,6,FALSE)</f>
        <v>#N/A</v>
      </c>
      <c r="J360" s="35" t="s">
        <v>1333</v>
      </c>
      <c r="K360" s="24"/>
      <c r="L360" s="30" t="s">
        <v>84</v>
      </c>
      <c r="M360" s="31" t="s">
        <v>84</v>
      </c>
      <c r="N360" s="31" t="s">
        <v>84</v>
      </c>
      <c r="O360" s="24"/>
      <c r="P360" s="33" t="s">
        <v>84</v>
      </c>
      <c r="Q360" s="33" t="s">
        <v>84</v>
      </c>
      <c r="R360" s="24"/>
      <c r="S360" s="24"/>
    </row>
    <row r="361" spans="1:19" ht="14.5">
      <c r="A361" s="20" t="s">
        <v>1334</v>
      </c>
      <c r="B361" s="20">
        <v>80</v>
      </c>
      <c r="C361" s="20">
        <v>90</v>
      </c>
      <c r="D361" s="24"/>
      <c r="E361" s="24"/>
      <c r="F361" s="20" t="s">
        <v>1335</v>
      </c>
      <c r="G361" t="str">
        <f ca="1">IFERROR(__xludf.DUMMYFUNCTION("UPPER(LEFT((GOOGLETRANSLATE(F361,""en"",""pt"")),1))&amp;RIGHT(lower((GOOGLETRANSLATE(F361,""en"",""pt""))),(LEN((GOOGLETRANSLATE(F361,""en"",""pt"")))-1))"),"Complexos de intercâmbio de transporte")</f>
        <v>Complexos de intercâmbio de transporte</v>
      </c>
      <c r="H361" s="35" t="s">
        <v>1336</v>
      </c>
      <c r="I361" s="20" t="e">
        <f>VLOOKUP(A361,CO_Base_LNEC!$B$4:$G$271,6,FALSE)</f>
        <v>#N/A</v>
      </c>
      <c r="J361" s="35" t="s">
        <v>1336</v>
      </c>
      <c r="K361" s="20"/>
      <c r="L361" s="30" t="s">
        <v>84</v>
      </c>
      <c r="M361" s="31" t="s">
        <v>84</v>
      </c>
      <c r="N361" s="31" t="s">
        <v>84</v>
      </c>
      <c r="O361" s="24"/>
      <c r="P361" s="33" t="s">
        <v>84</v>
      </c>
      <c r="Q361" s="33" t="s">
        <v>84</v>
      </c>
      <c r="R361" s="24"/>
      <c r="S361" s="24"/>
    </row>
    <row r="362" spans="1:19" ht="14.5">
      <c r="A362" s="20" t="s">
        <v>1337</v>
      </c>
      <c r="B362" s="20">
        <v>90</v>
      </c>
      <c r="C362" s="24"/>
      <c r="D362" s="24"/>
      <c r="E362" s="24"/>
      <c r="F362" s="20" t="s">
        <v>1338</v>
      </c>
      <c r="G362" t="str">
        <f ca="1">IFERROR(__xludf.DUMMYFUNCTION("UPPER(LEFT((GOOGLETRANSLATE(F362,""en"",""pt"")),1))&amp;RIGHT(lower((GOOGLETRANSLATE(F362,""en"",""pt""))),(LEN((GOOGLETRANSLATE(F362,""en"",""pt"")))-1))"),"Complexos de circulação e de armazenamento")</f>
        <v>Complexos de circulação e de armazenamento</v>
      </c>
      <c r="H362" s="36" t="s">
        <v>1339</v>
      </c>
      <c r="I362" s="20" t="str">
        <f>VLOOKUP(A362,CO_Base_LNEC!$B$4:$G$271,6,FALSE)</f>
        <v>Edifícios e instalações de armazenagem e circulação</v>
      </c>
      <c r="J362" s="35" t="s">
        <v>1340</v>
      </c>
      <c r="K362" s="24"/>
      <c r="L362" s="30" t="s">
        <v>84</v>
      </c>
      <c r="M362" s="31" t="s">
        <v>84</v>
      </c>
      <c r="N362" s="31" t="s">
        <v>84</v>
      </c>
      <c r="O362" s="24"/>
      <c r="P362" s="33" t="s">
        <v>84</v>
      </c>
      <c r="Q362" s="33" t="s">
        <v>84</v>
      </c>
      <c r="R362" s="24"/>
      <c r="S362" s="24"/>
    </row>
    <row r="363" spans="1:19" ht="14.5">
      <c r="A363" s="20" t="s">
        <v>1341</v>
      </c>
      <c r="B363" s="20">
        <v>90</v>
      </c>
      <c r="C363" s="20">
        <v>50</v>
      </c>
      <c r="D363" s="24"/>
      <c r="E363" s="24"/>
      <c r="F363" s="20" t="s">
        <v>1342</v>
      </c>
      <c r="G363" t="str">
        <f ca="1">IFERROR(__xludf.DUMMYFUNCTION("UPPER(LEFT((GOOGLETRANSLATE(F363,""en"",""pt"")),1))&amp;RIGHT(lower((GOOGLETRANSLATE(F363,""en"",""pt""))),(LEN((GOOGLETRANSLATE(F363,""en"",""pt"")))-1))"),"Complexos de armazenamento")</f>
        <v>Complexos de armazenamento</v>
      </c>
      <c r="H363" s="36" t="s">
        <v>1343</v>
      </c>
      <c r="I363" s="20" t="str">
        <f>VLOOKUP(A363,CO_Base_LNEC!$B$4:$G$271,6,FALSE)</f>
        <v>Edifícios de armazenagem</v>
      </c>
      <c r="J363" s="36" t="s">
        <v>1343</v>
      </c>
      <c r="K363" s="24"/>
      <c r="L363" s="30" t="s">
        <v>84</v>
      </c>
      <c r="M363" s="31" t="s">
        <v>84</v>
      </c>
      <c r="N363" s="31" t="s">
        <v>84</v>
      </c>
      <c r="O363" s="24"/>
      <c r="P363" s="33" t="s">
        <v>84</v>
      </c>
      <c r="Q363" s="33" t="s">
        <v>84</v>
      </c>
      <c r="R363" s="24"/>
      <c r="S363" s="24"/>
    </row>
    <row r="364" spans="1:19" ht="14.5">
      <c r="A364" s="20" t="s">
        <v>1344</v>
      </c>
      <c r="B364" s="20">
        <v>90</v>
      </c>
      <c r="C364" s="20">
        <v>50</v>
      </c>
      <c r="D364" s="20">
        <v>3</v>
      </c>
      <c r="E364" s="24"/>
      <c r="F364" s="20" t="s">
        <v>1345</v>
      </c>
      <c r="G364" t="str">
        <f ca="1">IFERROR(__xludf.DUMMYFUNCTION("UPPER(LEFT((GOOGLETRANSLATE(F364,""en"",""pt"")),1))&amp;RIGHT(lower((GOOGLETRANSLATE(F364,""en"",""pt""))),(LEN((GOOGLETRANSLATE(F364,""en"",""pt"")))-1))"),"Complexos de armazenamento de alimentos ambientais")</f>
        <v>Complexos de armazenamento de alimentos ambientais</v>
      </c>
      <c r="H364" s="35" t="s">
        <v>1346</v>
      </c>
      <c r="I364" s="20" t="str">
        <f>VLOOKUP(A364,CO_Base_LNEC!$B$4:$G$271,6,FALSE)</f>
        <v>Silos para cereais</v>
      </c>
      <c r="J364" s="35" t="s">
        <v>1347</v>
      </c>
      <c r="K364" s="24"/>
      <c r="L364" s="30" t="s">
        <v>84</v>
      </c>
      <c r="M364" s="31" t="s">
        <v>84</v>
      </c>
      <c r="N364" s="31" t="s">
        <v>84</v>
      </c>
      <c r="O364" s="24"/>
      <c r="P364" s="33" t="s">
        <v>84</v>
      </c>
      <c r="Q364" s="33" t="s">
        <v>84</v>
      </c>
      <c r="R364" s="24"/>
      <c r="S364" s="24"/>
    </row>
    <row r="365" spans="1:19" ht="14.5">
      <c r="A365" s="20" t="s">
        <v>1348</v>
      </c>
      <c r="B365" s="20">
        <v>90</v>
      </c>
      <c r="C365" s="20">
        <v>50</v>
      </c>
      <c r="D365" s="20">
        <v>4</v>
      </c>
      <c r="E365" s="24"/>
      <c r="F365" s="20" t="s">
        <v>1349</v>
      </c>
      <c r="G365" t="str">
        <f ca="1">IFERROR(__xludf.DUMMYFUNCTION("UPPER(LEFT((GOOGLETRANSLATE(F365,""en"",""pt"")),1))&amp;RIGHT(lower((GOOGLETRANSLATE(F365,""en"",""pt""))),(LEN((GOOGLETRANSLATE(F365,""en"",""pt"")))-1))"),"Complexos de armazenamento braços")</f>
        <v>Complexos de armazenamento braços</v>
      </c>
      <c r="H365" s="35" t="s">
        <v>1350</v>
      </c>
      <c r="I365" s="20" t="e">
        <f>VLOOKUP(A365,CO_Base_LNEC!$B$4:$G$271,6,FALSE)</f>
        <v>#N/A</v>
      </c>
      <c r="J365" s="35" t="s">
        <v>1350</v>
      </c>
      <c r="K365" s="24"/>
      <c r="L365" s="30" t="s">
        <v>84</v>
      </c>
      <c r="M365" s="31" t="s">
        <v>84</v>
      </c>
      <c r="N365" s="31" t="s">
        <v>84</v>
      </c>
      <c r="O365" s="24"/>
      <c r="P365" s="33" t="s">
        <v>84</v>
      </c>
      <c r="Q365" s="33" t="s">
        <v>84</v>
      </c>
      <c r="R365" s="24"/>
      <c r="S365" s="24"/>
    </row>
    <row r="366" spans="1:19" ht="14.5">
      <c r="A366" s="20" t="s">
        <v>1351</v>
      </c>
      <c r="B366" s="20">
        <v>90</v>
      </c>
      <c r="C366" s="20">
        <v>50</v>
      </c>
      <c r="D366" s="20">
        <v>15</v>
      </c>
      <c r="E366" s="24"/>
      <c r="F366" s="20" t="s">
        <v>1352</v>
      </c>
      <c r="G366" t="str">
        <f ca="1">IFERROR(__xludf.DUMMYFUNCTION("UPPER(LEFT((GOOGLETRANSLATE(F366,""en"",""pt"")),1))&amp;RIGHT(lower((GOOGLETRANSLATE(F366,""en"",""pt""))),(LEN((GOOGLETRANSLATE(F366,""en"",""pt"")))-1))"),"Complexos de armazenamento em frio")</f>
        <v>Complexos de armazenamento em frio</v>
      </c>
      <c r="H366" s="36" t="s">
        <v>1353</v>
      </c>
      <c r="I366" s="20" t="str">
        <f>VLOOKUP(A366,CO_Base_LNEC!$B$4:$G$271,6,FALSE)</f>
        <v>Armazéns frigoríficos</v>
      </c>
      <c r="J366" s="36" t="s">
        <v>1353</v>
      </c>
      <c r="K366" s="24"/>
      <c r="L366" s="30" t="s">
        <v>84</v>
      </c>
      <c r="M366" s="31" t="s">
        <v>84</v>
      </c>
      <c r="N366" s="31" t="s">
        <v>84</v>
      </c>
      <c r="O366" s="24"/>
      <c r="P366" s="33" t="s">
        <v>84</v>
      </c>
      <c r="Q366" s="33" t="s">
        <v>84</v>
      </c>
      <c r="R366" s="24"/>
      <c r="S366" s="24"/>
    </row>
    <row r="367" spans="1:19" ht="14.5">
      <c r="A367" s="20" t="s">
        <v>1354</v>
      </c>
      <c r="B367" s="20">
        <v>90</v>
      </c>
      <c r="C367" s="20">
        <v>50</v>
      </c>
      <c r="D367" s="20">
        <v>16</v>
      </c>
      <c r="E367" s="24"/>
      <c r="F367" s="20" t="s">
        <v>1355</v>
      </c>
      <c r="G367" t="str">
        <f ca="1">IFERROR(__xludf.DUMMYFUNCTION("UPPER(LEFT((GOOGLETRANSLATE(F367,""en"",""pt"")),1))&amp;RIGHT(lower((GOOGLETRANSLATE(F367,""en"",""pt""))),(LEN((GOOGLETRANSLATE(F367,""en"",""pt"")))-1))"),"Complexos preparados para armazenamento de restos humanos")</f>
        <v>Complexos preparados para armazenamento de restos humanos</v>
      </c>
      <c r="H367" s="36" t="s">
        <v>1356</v>
      </c>
      <c r="I367" s="20" t="e">
        <f>VLOOKUP(A367,CO_Base_LNEC!$B$4:$G$271,6,FALSE)</f>
        <v>#N/A</v>
      </c>
      <c r="J367" s="36" t="s">
        <v>1356</v>
      </c>
      <c r="L367" s="30" t="s">
        <v>84</v>
      </c>
      <c r="M367" s="31" t="s">
        <v>84</v>
      </c>
      <c r="N367" s="31" t="s">
        <v>84</v>
      </c>
      <c r="O367" s="24"/>
      <c r="P367" s="33" t="s">
        <v>84</v>
      </c>
      <c r="Q367" s="33" t="s">
        <v>84</v>
      </c>
      <c r="R367" s="24"/>
      <c r="S367" s="24"/>
    </row>
    <row r="368" spans="1:19" ht="14.5">
      <c r="A368" s="20" t="s">
        <v>1357</v>
      </c>
      <c r="B368" s="20">
        <v>90</v>
      </c>
      <c r="C368" s="20">
        <v>50</v>
      </c>
      <c r="D368" s="20">
        <v>24</v>
      </c>
      <c r="E368" s="24"/>
      <c r="F368" s="20" t="s">
        <v>1358</v>
      </c>
      <c r="G368" t="str">
        <f ca="1">IFERROR(__xludf.DUMMYFUNCTION("UPPER(LEFT((GOOGLETRANSLATE(F368,""en"",""pt"")),1))&amp;RIGHT(lower((GOOGLETRANSLATE(F368,""en"",""pt""))),(LEN((GOOGLETRANSLATE(F368,""en"",""pt"")))-1))"),"Complexos de armazenamento de resíduos secos")</f>
        <v>Complexos de armazenamento de resíduos secos</v>
      </c>
      <c r="H368" s="36" t="s">
        <v>1359</v>
      </c>
      <c r="I368" s="20" t="str">
        <f>VLOOKUP(A368,CO_Base_LNEC!$B$4:$G$271,6,FALSE)</f>
        <v>Infraestruturas de deposição de resíduos</v>
      </c>
      <c r="J368" s="35" t="s">
        <v>1360</v>
      </c>
      <c r="K368" s="20"/>
      <c r="L368" s="30" t="s">
        <v>84</v>
      </c>
      <c r="M368" s="31" t="s">
        <v>84</v>
      </c>
      <c r="N368" s="31" t="s">
        <v>84</v>
      </c>
      <c r="O368" s="24"/>
      <c r="P368" s="33" t="s">
        <v>84</v>
      </c>
      <c r="Q368" s="33" t="s">
        <v>84</v>
      </c>
      <c r="R368" s="24"/>
      <c r="S368" s="24"/>
    </row>
    <row r="369" spans="1:19" ht="14.5">
      <c r="A369" s="20" t="s">
        <v>1361</v>
      </c>
      <c r="B369" s="20">
        <v>90</v>
      </c>
      <c r="C369" s="20">
        <v>50</v>
      </c>
      <c r="D369" s="20">
        <v>34</v>
      </c>
      <c r="E369" s="24"/>
      <c r="F369" s="20" t="s">
        <v>1362</v>
      </c>
      <c r="G369" t="str">
        <f ca="1">IFERROR(__xludf.DUMMYFUNCTION("UPPER(LEFT((GOOGLETRANSLATE(F369,""en"",""pt"")),1))&amp;RIGHT(lower((GOOGLETRANSLATE(F369,""en"",""pt""))),(LEN((GOOGLETRANSLATE(F369,""en"",""pt"")))-1))"),"Complexos de armazenamento de gás")</f>
        <v>Complexos de armazenamento de gás</v>
      </c>
      <c r="H369" s="36" t="s">
        <v>1363</v>
      </c>
      <c r="I369" s="20" t="str">
        <f>VLOOKUP(A369,CO_Base_LNEC!$B$4:$G$271,6,FALSE)</f>
        <v>Reservatórios para gás</v>
      </c>
      <c r="J369" s="36" t="s">
        <v>1363</v>
      </c>
      <c r="K369" s="24"/>
      <c r="L369" s="30" t="s">
        <v>84</v>
      </c>
      <c r="M369" s="31" t="s">
        <v>84</v>
      </c>
      <c r="N369" s="31" t="s">
        <v>84</v>
      </c>
      <c r="O369" s="24"/>
      <c r="P369" s="33" t="s">
        <v>84</v>
      </c>
      <c r="Q369" s="33" t="s">
        <v>84</v>
      </c>
      <c r="R369" s="24"/>
      <c r="S369" s="24"/>
    </row>
    <row r="370" spans="1:19" ht="14.5">
      <c r="A370" s="20" t="s">
        <v>1364</v>
      </c>
      <c r="B370" s="20">
        <v>90</v>
      </c>
      <c r="C370" s="20">
        <v>50</v>
      </c>
      <c r="D370" s="20">
        <v>45</v>
      </c>
      <c r="E370" s="24"/>
      <c r="F370" s="20" t="s">
        <v>1365</v>
      </c>
      <c r="G370" t="str">
        <f ca="1">IFERROR(__xludf.DUMMYFUNCTION("UPPER(LEFT((GOOGLETRANSLATE(F370,""en"",""pt"")),1))&amp;RIGHT(lower((GOOGLETRANSLATE(F370,""en"",""pt""))),(LEN((GOOGLETRANSLATE(F370,""en"",""pt"")))-1))"),"Complexos de armazenamento de combustível líquido")</f>
        <v>Complexos de armazenamento de combustível líquido</v>
      </c>
      <c r="H370" s="36" t="s">
        <v>1366</v>
      </c>
      <c r="I370" s="20" t="str">
        <f>VLOOKUP(A370,CO_Base_LNEC!$B$4:$G$271,6,FALSE)</f>
        <v>Reservatórios para petróleo</v>
      </c>
      <c r="J370" s="36" t="s">
        <v>1366</v>
      </c>
      <c r="K370" s="24"/>
      <c r="L370" s="30" t="s">
        <v>84</v>
      </c>
      <c r="M370" s="31" t="s">
        <v>84</v>
      </c>
      <c r="N370" s="31" t="s">
        <v>84</v>
      </c>
      <c r="O370" s="24"/>
      <c r="P370" s="33" t="s">
        <v>84</v>
      </c>
      <c r="Q370" s="33" t="s">
        <v>84</v>
      </c>
      <c r="R370" s="24"/>
      <c r="S370" s="24"/>
    </row>
    <row r="371" spans="1:19" ht="14.5">
      <c r="A371" s="20" t="s">
        <v>1367</v>
      </c>
      <c r="B371" s="20">
        <v>90</v>
      </c>
      <c r="C371" s="20">
        <v>50</v>
      </c>
      <c r="D371" s="20">
        <v>51</v>
      </c>
      <c r="E371" s="24"/>
      <c r="F371" s="20" t="s">
        <v>1368</v>
      </c>
      <c r="G371" t="str">
        <f ca="1">IFERROR(__xludf.DUMMYFUNCTION("UPPER(LEFT((GOOGLETRANSLATE(F371,""en"",""pt"")),1))&amp;RIGHT(lower((GOOGLETRANSLATE(F371,""en"",""pt""))),(LEN((GOOGLETRANSLATE(F371,""en"",""pt"")))-1))"),"Arsenais militares")</f>
        <v>Arsenais militares</v>
      </c>
      <c r="H371" s="36" t="s">
        <v>1369</v>
      </c>
      <c r="I371" s="20" t="e">
        <f>VLOOKUP(A371,CO_Base_LNEC!$B$4:$G$271,6,FALSE)</f>
        <v>#N/A</v>
      </c>
      <c r="J371" s="36" t="s">
        <v>1369</v>
      </c>
      <c r="K371" s="24"/>
      <c r="L371" s="30" t="s">
        <v>84</v>
      </c>
      <c r="M371" s="31" t="s">
        <v>84</v>
      </c>
      <c r="N371" s="31" t="s">
        <v>84</v>
      </c>
      <c r="O371" s="24"/>
      <c r="P371" s="33" t="s">
        <v>84</v>
      </c>
      <c r="Q371" s="33" t="s">
        <v>84</v>
      </c>
      <c r="R371" s="24"/>
      <c r="S371" s="24"/>
    </row>
    <row r="372" spans="1:19" ht="14.5">
      <c r="A372" s="20" t="s">
        <v>1370</v>
      </c>
      <c r="B372" s="20">
        <v>90</v>
      </c>
      <c r="C372" s="20">
        <v>50</v>
      </c>
      <c r="D372" s="20">
        <v>52</v>
      </c>
      <c r="E372" s="24"/>
      <c r="F372" s="20" t="s">
        <v>1371</v>
      </c>
      <c r="G372" t="str">
        <f ca="1">IFERROR(__xludf.DUMMYFUNCTION("UPPER(LEFT((GOOGLETRANSLATE(F372,""en"",""pt"")),1))&amp;RIGHT(lower((GOOGLETRANSLATE(F372,""en"",""pt""))),(LEN((GOOGLETRANSLATE(F372,""en"",""pt"")))-1))"),"Complexos de armazenamento minerais")</f>
        <v>Complexos de armazenamento minerais</v>
      </c>
      <c r="H372" s="35" t="s">
        <v>1372</v>
      </c>
      <c r="I372" s="20" t="e">
        <f>VLOOKUP(A372,CO_Base_LNEC!$B$4:$G$271,6,FALSE)</f>
        <v>#N/A</v>
      </c>
      <c r="J372" s="35" t="s">
        <v>1372</v>
      </c>
      <c r="K372" s="24"/>
      <c r="L372" s="30" t="s">
        <v>84</v>
      </c>
      <c r="M372" s="31" t="s">
        <v>84</v>
      </c>
      <c r="N372" s="31" t="s">
        <v>84</v>
      </c>
      <c r="O372" s="24"/>
      <c r="P372" s="33" t="s">
        <v>84</v>
      </c>
      <c r="Q372" s="33" t="s">
        <v>84</v>
      </c>
      <c r="R372" s="24"/>
      <c r="S372" s="24"/>
    </row>
    <row r="373" spans="1:19" ht="14.5">
      <c r="A373" s="20" t="s">
        <v>1373</v>
      </c>
      <c r="B373" s="20">
        <v>90</v>
      </c>
      <c r="C373" s="20">
        <v>50</v>
      </c>
      <c r="D373" s="20">
        <v>71</v>
      </c>
      <c r="E373" s="24"/>
      <c r="F373" s="20" t="s">
        <v>1374</v>
      </c>
      <c r="G373" t="str">
        <f ca="1">IFERROR(__xludf.DUMMYFUNCTION("UPPER(LEFT((GOOGLETRANSLATE(F373,""en"",""pt"")),1))&amp;RIGHT(lower((GOOGLETRANSLATE(F373,""en"",""pt""))),(LEN((GOOGLETRANSLATE(F373,""en"",""pt"")))-1))"),"Complexos de armazenamento de alimentos refrigerados")</f>
        <v>Complexos de armazenamento de alimentos refrigerados</v>
      </c>
      <c r="H373" s="35" t="s">
        <v>1375</v>
      </c>
      <c r="I373" s="20" t="str">
        <f>VLOOKUP(A373,CO_Base_LNEC!$B$4:$G$271,6,FALSE)</f>
        <v>Armazéns frigoríficos para armazenamento de alimentos</v>
      </c>
      <c r="J373" s="35" t="s">
        <v>1376</v>
      </c>
      <c r="K373" s="24"/>
      <c r="L373" s="30" t="s">
        <v>84</v>
      </c>
      <c r="M373" s="31" t="s">
        <v>84</v>
      </c>
      <c r="N373" s="31" t="s">
        <v>84</v>
      </c>
      <c r="O373" s="24"/>
      <c r="P373" s="33" t="s">
        <v>84</v>
      </c>
      <c r="Q373" s="33" t="s">
        <v>84</v>
      </c>
      <c r="R373" s="24"/>
      <c r="S373" s="24"/>
    </row>
    <row r="374" spans="1:19" ht="14.5">
      <c r="A374" s="20" t="s">
        <v>1377</v>
      </c>
      <c r="B374" s="20">
        <v>90</v>
      </c>
      <c r="C374" s="20">
        <v>50</v>
      </c>
      <c r="D374" s="20">
        <v>77</v>
      </c>
      <c r="E374" s="24"/>
      <c r="F374" s="37" t="s">
        <v>1378</v>
      </c>
      <c r="G374" t="str">
        <f ca="1">IFERROR(__xludf.DUMMYFUNCTION("UPPER(LEFT((GOOGLETRANSLATE(F374,""en"",""pt"")),1))&amp;RIGHT(lower((GOOGLETRANSLATE(F374,""en"",""pt""))),(LEN((GOOGLETRANSLATE(F374,""en"",""pt"")))-1))"),"Complexos de armazenamento seguras")</f>
        <v>Complexos de armazenamento seguras</v>
      </c>
      <c r="H374" s="35" t="s">
        <v>1379</v>
      </c>
      <c r="I374" s="20" t="e">
        <f>VLOOKUP(A374,CO_Base_LNEC!$B$4:$G$271,6,FALSE)</f>
        <v>#N/A</v>
      </c>
      <c r="J374" s="35" t="s">
        <v>1379</v>
      </c>
      <c r="K374" s="24"/>
      <c r="L374" s="30" t="s">
        <v>84</v>
      </c>
      <c r="M374" s="31" t="s">
        <v>84</v>
      </c>
      <c r="N374" s="31" t="s">
        <v>84</v>
      </c>
      <c r="O374" s="24"/>
      <c r="P374" s="34" t="s">
        <v>1380</v>
      </c>
      <c r="Q374" s="33" t="s">
        <v>84</v>
      </c>
      <c r="R374" s="24"/>
      <c r="S374" s="24"/>
    </row>
    <row r="375" spans="1:19" ht="14.5">
      <c r="A375" s="20" t="s">
        <v>1381</v>
      </c>
      <c r="B375" s="20">
        <v>90</v>
      </c>
      <c r="C375" s="20">
        <v>50</v>
      </c>
      <c r="D375" s="20">
        <v>78</v>
      </c>
      <c r="E375" s="24"/>
      <c r="F375" s="20" t="s">
        <v>1382</v>
      </c>
      <c r="G375" t="str">
        <f ca="1">IFERROR(__xludf.DUMMYFUNCTION("UPPER(LEFT((GOOGLETRANSLATE(F375,""en"",""pt"")),1))&amp;RIGHT(lower((GOOGLETRANSLATE(F375,""en"",""pt""))),(LEN((GOOGLETRANSLATE(F375,""en"",""pt"")))-1))"),"Complexos de armazenamento auto")</f>
        <v>Complexos de armazenamento auto</v>
      </c>
      <c r="H375" s="35" t="s">
        <v>1383</v>
      </c>
      <c r="I375" s="20" t="e">
        <f>VLOOKUP(A375,CO_Base_LNEC!$B$4:$G$271,6,FALSE)</f>
        <v>#N/A</v>
      </c>
      <c r="J375" s="35" t="s">
        <v>1383</v>
      </c>
      <c r="K375" s="24"/>
      <c r="L375" s="30" t="s">
        <v>84</v>
      </c>
      <c r="M375" s="31" t="s">
        <v>84</v>
      </c>
      <c r="N375" s="31" t="s">
        <v>84</v>
      </c>
      <c r="O375" s="24"/>
      <c r="P375" s="34" t="s">
        <v>1384</v>
      </c>
      <c r="Q375" s="33" t="s">
        <v>84</v>
      </c>
      <c r="R375" s="24"/>
      <c r="S375" s="24"/>
    </row>
    <row r="376" spans="1:19" ht="14.5">
      <c r="A376" s="20" t="s">
        <v>1385</v>
      </c>
      <c r="B376" s="20">
        <v>90</v>
      </c>
      <c r="C376" s="20">
        <v>50</v>
      </c>
      <c r="D376" s="20">
        <v>80</v>
      </c>
      <c r="E376" s="24"/>
      <c r="F376" s="20" t="s">
        <v>1386</v>
      </c>
      <c r="G376" t="str">
        <f ca="1">IFERROR(__xludf.DUMMYFUNCTION("UPPER(LEFT((GOOGLETRANSLATE(F376,""en"",""pt"")),1))&amp;RIGHT(lower((GOOGLETRANSLATE(F376,""en"",""pt""))),(LEN((GOOGLETRANSLATE(F376,""en"",""pt"")))-1))"),"Complexos de armazenamento de combustível sólido")</f>
        <v>Complexos de armazenamento de combustível sólido</v>
      </c>
      <c r="H376" s="36" t="s">
        <v>1387</v>
      </c>
      <c r="I376" s="20" t="e">
        <f>VLOOKUP(A376,CO_Base_LNEC!$B$4:$G$271,6,FALSE)</f>
        <v>#N/A</v>
      </c>
      <c r="J376" s="36" t="s">
        <v>1387</v>
      </c>
      <c r="K376" s="24"/>
      <c r="L376" s="30" t="s">
        <v>84</v>
      </c>
      <c r="M376" s="31" t="s">
        <v>84</v>
      </c>
      <c r="N376" s="31" t="s">
        <v>84</v>
      </c>
      <c r="O376" s="24"/>
      <c r="P376" s="33" t="s">
        <v>84</v>
      </c>
      <c r="Q376" s="34" t="s">
        <v>1124</v>
      </c>
      <c r="R376" s="24"/>
      <c r="S376" s="24"/>
    </row>
    <row r="377" spans="1:19" ht="14.5">
      <c r="A377" s="20" t="s">
        <v>1388</v>
      </c>
      <c r="B377" s="20">
        <v>90</v>
      </c>
      <c r="C377" s="20">
        <v>50</v>
      </c>
      <c r="D377" s="20">
        <v>94</v>
      </c>
      <c r="E377" s="24"/>
      <c r="F377" s="20" t="s">
        <v>1389</v>
      </c>
      <c r="G377" t="str">
        <f ca="1">IFERROR(__xludf.DUMMYFUNCTION("UPPER(LEFT((GOOGLETRANSLATE(F377,""en"",""pt"")),1))&amp;RIGHT(lower((GOOGLETRANSLATE(F377,""en"",""pt""))),(LEN((GOOGLETRANSLATE(F377,""en"",""pt"")))-1))"),"Armazéns")</f>
        <v>Armazéns</v>
      </c>
      <c r="H377" s="36" t="s">
        <v>1390</v>
      </c>
      <c r="I377" s="20" t="str">
        <f>VLOOKUP(A377,CO_Base_LNEC!$B$4:$G$271,6,FALSE)</f>
        <v>Edifícios e instalações para a indústria têxtil e do vestuário</v>
      </c>
      <c r="J377" s="36" t="s">
        <v>1390</v>
      </c>
      <c r="K377" s="24"/>
      <c r="L377" s="30" t="s">
        <v>84</v>
      </c>
      <c r="M377" s="31" t="s">
        <v>84</v>
      </c>
      <c r="N377" s="31" t="s">
        <v>84</v>
      </c>
      <c r="O377" s="24"/>
      <c r="P377" s="33" t="s">
        <v>84</v>
      </c>
      <c r="Q377" s="33" t="s">
        <v>84</v>
      </c>
      <c r="R377" s="24"/>
      <c r="S377" s="24"/>
    </row>
    <row r="378" spans="1:19" ht="14.5">
      <c r="A378" s="20" t="s">
        <v>1391</v>
      </c>
      <c r="B378" s="20">
        <v>90</v>
      </c>
      <c r="C378" s="20">
        <v>50</v>
      </c>
      <c r="D378" s="20">
        <v>95</v>
      </c>
      <c r="E378" s="24"/>
      <c r="F378" s="20" t="s">
        <v>1392</v>
      </c>
      <c r="G378" t="str">
        <f ca="1">IFERROR(__xludf.DUMMYFUNCTION("UPPER(LEFT((GOOGLETRANSLATE(F378,""en"",""pt"")),1))&amp;RIGHT(lower((GOOGLETRANSLATE(F378,""en"",""pt""))),(LEN((GOOGLETRANSLATE(F378,""en"",""pt"")))-1))"),"Complexos de armazenamento de águas residuais")</f>
        <v>Complexos de armazenamento de águas residuais</v>
      </c>
      <c r="H378" s="36" t="s">
        <v>1393</v>
      </c>
      <c r="I378" s="20" t="str">
        <f>VLOOKUP(A378,CO_Base_LNEC!$B$4:$G$271,6,FALSE)</f>
        <v>Reservatórios de águas residuais</v>
      </c>
      <c r="J378" s="36" t="s">
        <v>1393</v>
      </c>
      <c r="K378" s="24"/>
      <c r="L378" s="30" t="s">
        <v>84</v>
      </c>
      <c r="M378" s="31" t="s">
        <v>84</v>
      </c>
      <c r="N378" s="20" t="s">
        <v>1394</v>
      </c>
      <c r="O378" s="24"/>
      <c r="P378" s="33" t="s">
        <v>84</v>
      </c>
      <c r="Q378" s="34" t="s">
        <v>1124</v>
      </c>
      <c r="R378" s="24"/>
      <c r="S378" s="24"/>
    </row>
    <row r="379" spans="1:19" ht="14.5">
      <c r="A379" s="20" t="s">
        <v>1395</v>
      </c>
      <c r="B379" s="20">
        <v>90</v>
      </c>
      <c r="C379" s="20">
        <v>50</v>
      </c>
      <c r="D379" s="20">
        <v>96</v>
      </c>
      <c r="E379" s="24"/>
      <c r="F379" s="20" t="s">
        <v>1396</v>
      </c>
      <c r="G379" t="str">
        <f ca="1">IFERROR(__xludf.DUMMYFUNCTION("UPPER(LEFT((GOOGLETRANSLATE(F379,""en"",""pt"")),1))&amp;RIGHT(lower((GOOGLETRANSLATE(F379,""en"",""pt""))),(LEN((GOOGLETRANSLATE(F379,""en"",""pt"")))-1))"),"Complexos de armazenamento de água")</f>
        <v>Complexos de armazenamento de água</v>
      </c>
      <c r="H379" s="36" t="s">
        <v>1397</v>
      </c>
      <c r="I379" s="20" t="str">
        <f>VLOOKUP(A379,CO_Base_LNEC!$B$4:$G$271,6,FALSE)</f>
        <v>Reservatórios de água</v>
      </c>
      <c r="J379" s="36" t="s">
        <v>1397</v>
      </c>
      <c r="K379" s="24"/>
      <c r="L379" s="30" t="s">
        <v>84</v>
      </c>
      <c r="M379" s="31" t="s">
        <v>84</v>
      </c>
      <c r="N379" s="20" t="s">
        <v>1398</v>
      </c>
      <c r="O379" s="24"/>
      <c r="P379" s="33" t="s">
        <v>84</v>
      </c>
      <c r="Q379" s="34" t="s">
        <v>1124</v>
      </c>
      <c r="R379" s="24"/>
      <c r="S379" s="24"/>
    </row>
    <row r="380" spans="1:19" ht="12.5">
      <c r="N380" s="3" t="s">
        <v>1399</v>
      </c>
    </row>
  </sheetData>
  <autoFilter ref="A3:S379" xr:uid="{00000000-0009-0000-0000-000002000000}"/>
  <mergeCells count="1">
    <mergeCell ref="A1:C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271"/>
  <sheetViews>
    <sheetView workbookViewId="0"/>
  </sheetViews>
  <sheetFormatPr defaultColWidth="14.453125" defaultRowHeight="15.75" customHeight="1"/>
  <cols>
    <col min="7" max="7" width="112.26953125" customWidth="1"/>
  </cols>
  <sheetData>
    <row r="1" spans="1:7" ht="15.75" customHeight="1">
      <c r="A1" s="3" t="s">
        <v>1400</v>
      </c>
      <c r="B1" s="3" t="s">
        <v>1400</v>
      </c>
    </row>
    <row r="3" spans="1:7" ht="15.75" customHeight="1">
      <c r="A3" s="46" t="s">
        <v>1401</v>
      </c>
      <c r="B3" s="46" t="s">
        <v>1402</v>
      </c>
      <c r="C3" s="46" t="s">
        <v>1403</v>
      </c>
      <c r="D3" s="46" t="s">
        <v>1404</v>
      </c>
      <c r="E3" s="209" t="s">
        <v>1405</v>
      </c>
      <c r="F3" s="210"/>
      <c r="G3" s="46" t="s">
        <v>1406</v>
      </c>
    </row>
    <row r="4" spans="1:7" ht="15.75" customHeight="1">
      <c r="A4" s="47" t="s">
        <v>1407</v>
      </c>
      <c r="B4" s="48" t="s">
        <v>80</v>
      </c>
      <c r="C4" s="49">
        <v>20</v>
      </c>
      <c r="D4" s="50"/>
      <c r="E4" s="211"/>
      <c r="F4" s="212"/>
      <c r="G4" s="51" t="s">
        <v>1408</v>
      </c>
    </row>
    <row r="5" spans="1:7" ht="15.75" customHeight="1">
      <c r="A5" s="52" t="s">
        <v>1409</v>
      </c>
      <c r="B5" s="53" t="s">
        <v>87</v>
      </c>
      <c r="C5" s="54">
        <v>20</v>
      </c>
      <c r="D5" s="54">
        <v>10</v>
      </c>
      <c r="E5" s="211"/>
      <c r="F5" s="212"/>
      <c r="G5" s="55" t="s">
        <v>1410</v>
      </c>
    </row>
    <row r="6" spans="1:7" ht="15.75" customHeight="1">
      <c r="A6" s="56" t="s">
        <v>1411</v>
      </c>
      <c r="B6" s="57" t="s">
        <v>90</v>
      </c>
      <c r="C6" s="58">
        <v>20</v>
      </c>
      <c r="D6" s="58">
        <v>10</v>
      </c>
      <c r="E6" s="213">
        <v>60</v>
      </c>
      <c r="F6" s="210"/>
      <c r="G6" s="59" t="s">
        <v>1412</v>
      </c>
    </row>
    <row r="7" spans="1:7" ht="15.75" customHeight="1">
      <c r="A7" s="52" t="s">
        <v>1413</v>
      </c>
      <c r="B7" s="53" t="s">
        <v>93</v>
      </c>
      <c r="C7" s="54">
        <v>20</v>
      </c>
      <c r="D7" s="54">
        <v>15</v>
      </c>
      <c r="E7" s="211"/>
      <c r="F7" s="212"/>
      <c r="G7" s="55" t="s">
        <v>1414</v>
      </c>
    </row>
    <row r="8" spans="1:7" ht="15.75" customHeight="1">
      <c r="A8" s="56" t="s">
        <v>1415</v>
      </c>
      <c r="B8" s="57" t="s">
        <v>96</v>
      </c>
      <c r="C8" s="58">
        <v>20</v>
      </c>
      <c r="D8" s="58">
        <v>15</v>
      </c>
      <c r="E8" s="213">
        <v>8</v>
      </c>
      <c r="F8" s="210"/>
      <c r="G8" s="59" t="s">
        <v>98</v>
      </c>
    </row>
    <row r="9" spans="1:7" ht="15.75" customHeight="1">
      <c r="A9" s="56" t="s">
        <v>1416</v>
      </c>
      <c r="B9" s="57" t="s">
        <v>99</v>
      </c>
      <c r="C9" s="58">
        <v>20</v>
      </c>
      <c r="D9" s="58">
        <v>15</v>
      </c>
      <c r="E9" s="213">
        <v>58</v>
      </c>
      <c r="F9" s="210"/>
      <c r="G9" s="59" t="s">
        <v>1417</v>
      </c>
    </row>
    <row r="10" spans="1:7" ht="15.75" customHeight="1">
      <c r="A10" s="52" t="s">
        <v>1418</v>
      </c>
      <c r="B10" s="53" t="s">
        <v>102</v>
      </c>
      <c r="C10" s="54">
        <v>20</v>
      </c>
      <c r="D10" s="54">
        <v>20</v>
      </c>
      <c r="E10" s="211"/>
      <c r="F10" s="212"/>
      <c r="G10" s="55" t="s">
        <v>1419</v>
      </c>
    </row>
    <row r="11" spans="1:7" ht="15.75" customHeight="1">
      <c r="A11" s="56" t="s">
        <v>1420</v>
      </c>
      <c r="B11" s="57" t="s">
        <v>111</v>
      </c>
      <c r="C11" s="58">
        <v>20</v>
      </c>
      <c r="D11" s="58">
        <v>20</v>
      </c>
      <c r="E11" s="213">
        <v>40</v>
      </c>
      <c r="F11" s="210"/>
      <c r="G11" s="59" t="s">
        <v>1421</v>
      </c>
    </row>
    <row r="12" spans="1:7" ht="15.75" customHeight="1">
      <c r="A12" s="56" t="s">
        <v>1422</v>
      </c>
      <c r="B12" s="57" t="s">
        <v>116</v>
      </c>
      <c r="C12" s="58">
        <v>20</v>
      </c>
      <c r="D12" s="58">
        <v>20</v>
      </c>
      <c r="E12" s="213">
        <v>50</v>
      </c>
      <c r="F12" s="210"/>
      <c r="G12" s="59" t="s">
        <v>1423</v>
      </c>
    </row>
    <row r="13" spans="1:7" ht="15.75" customHeight="1">
      <c r="A13" s="56" t="s">
        <v>1424</v>
      </c>
      <c r="B13" s="57" t="s">
        <v>120</v>
      </c>
      <c r="C13" s="58">
        <v>20</v>
      </c>
      <c r="D13" s="58">
        <v>20</v>
      </c>
      <c r="E13" s="213">
        <v>70</v>
      </c>
      <c r="F13" s="210"/>
      <c r="G13" s="59" t="s">
        <v>1425</v>
      </c>
    </row>
    <row r="14" spans="1:7" ht="15.75" customHeight="1">
      <c r="A14" s="52" t="s">
        <v>1426</v>
      </c>
      <c r="B14" s="53" t="s">
        <v>1427</v>
      </c>
      <c r="C14" s="54">
        <v>20</v>
      </c>
      <c r="D14" s="54">
        <v>30</v>
      </c>
      <c r="E14" s="211"/>
      <c r="F14" s="212"/>
      <c r="G14" s="55" t="s">
        <v>1428</v>
      </c>
    </row>
    <row r="15" spans="1:7" ht="15.75" customHeight="1">
      <c r="A15" s="56" t="s">
        <v>1429</v>
      </c>
      <c r="B15" s="57" t="s">
        <v>1430</v>
      </c>
      <c r="C15" s="58">
        <v>20</v>
      </c>
      <c r="D15" s="58">
        <v>30</v>
      </c>
      <c r="E15" s="214">
        <v>10</v>
      </c>
      <c r="F15" s="210"/>
      <c r="G15" s="59" t="s">
        <v>1431</v>
      </c>
    </row>
    <row r="16" spans="1:7" ht="15.75" customHeight="1">
      <c r="A16" s="56" t="s">
        <v>1432</v>
      </c>
      <c r="B16" s="57" t="s">
        <v>1433</v>
      </c>
      <c r="C16" s="58">
        <v>20</v>
      </c>
      <c r="D16" s="58">
        <v>30</v>
      </c>
      <c r="E16" s="213">
        <v>20</v>
      </c>
      <c r="F16" s="210"/>
      <c r="G16" s="59" t="s">
        <v>1434</v>
      </c>
    </row>
    <row r="17" spans="1:7" ht="15.75" customHeight="1">
      <c r="A17" s="52" t="s">
        <v>1435</v>
      </c>
      <c r="B17" s="53" t="s">
        <v>126</v>
      </c>
      <c r="C17" s="54">
        <v>20</v>
      </c>
      <c r="D17" s="54">
        <v>45</v>
      </c>
      <c r="E17" s="211"/>
      <c r="F17" s="212"/>
      <c r="G17" s="55" t="s">
        <v>1436</v>
      </c>
    </row>
    <row r="18" spans="1:7" ht="15.75" customHeight="1">
      <c r="A18" s="56" t="s">
        <v>1437</v>
      </c>
      <c r="B18" s="57" t="s">
        <v>131</v>
      </c>
      <c r="C18" s="58">
        <v>20</v>
      </c>
      <c r="D18" s="58">
        <v>45</v>
      </c>
      <c r="E18" s="213">
        <v>50</v>
      </c>
      <c r="F18" s="210"/>
      <c r="G18" s="59" t="s">
        <v>1438</v>
      </c>
    </row>
    <row r="19" spans="1:7" ht="15.75" customHeight="1">
      <c r="A19" s="56" t="s">
        <v>1439</v>
      </c>
      <c r="B19" s="57" t="s">
        <v>136</v>
      </c>
      <c r="C19" s="58">
        <v>20</v>
      </c>
      <c r="D19" s="58">
        <v>45</v>
      </c>
      <c r="E19" s="213">
        <v>54</v>
      </c>
      <c r="F19" s="210"/>
      <c r="G19" s="59" t="s">
        <v>1440</v>
      </c>
    </row>
    <row r="20" spans="1:7" ht="15.75" customHeight="1">
      <c r="A20" s="52" t="s">
        <v>1441</v>
      </c>
      <c r="B20" s="53" t="s">
        <v>141</v>
      </c>
      <c r="C20" s="54">
        <v>20</v>
      </c>
      <c r="D20" s="54">
        <v>50</v>
      </c>
      <c r="E20" s="211"/>
      <c r="F20" s="212"/>
      <c r="G20" s="55" t="s">
        <v>1442</v>
      </c>
    </row>
    <row r="21" spans="1:7" ht="15.75" customHeight="1">
      <c r="A21" s="56" t="s">
        <v>1443</v>
      </c>
      <c r="B21" s="57" t="s">
        <v>1444</v>
      </c>
      <c r="C21" s="58">
        <v>20</v>
      </c>
      <c r="D21" s="58">
        <v>50</v>
      </c>
      <c r="E21" s="213">
        <v>40</v>
      </c>
      <c r="F21" s="210"/>
      <c r="G21" s="59" t="s">
        <v>1445</v>
      </c>
    </row>
    <row r="22" spans="1:7" ht="15.75" customHeight="1">
      <c r="A22" s="56" t="s">
        <v>1446</v>
      </c>
      <c r="B22" s="57" t="s">
        <v>1447</v>
      </c>
      <c r="C22" s="58">
        <v>20</v>
      </c>
      <c r="D22" s="58">
        <v>50</v>
      </c>
      <c r="E22" s="213">
        <v>41</v>
      </c>
      <c r="F22" s="210"/>
      <c r="G22" s="59" t="s">
        <v>1448</v>
      </c>
    </row>
    <row r="23" spans="1:7" ht="15.75" customHeight="1">
      <c r="A23" s="56" t="s">
        <v>1449</v>
      </c>
      <c r="B23" s="57" t="s">
        <v>1450</v>
      </c>
      <c r="C23" s="58">
        <v>20</v>
      </c>
      <c r="D23" s="58">
        <v>50</v>
      </c>
      <c r="E23" s="213">
        <v>42</v>
      </c>
      <c r="F23" s="210"/>
      <c r="G23" s="59" t="s">
        <v>1451</v>
      </c>
    </row>
    <row r="24" spans="1:7" ht="15.75" customHeight="1">
      <c r="A24" s="56" t="s">
        <v>1452</v>
      </c>
      <c r="B24" s="57" t="s">
        <v>149</v>
      </c>
      <c r="C24" s="58">
        <v>20</v>
      </c>
      <c r="D24" s="58">
        <v>50</v>
      </c>
      <c r="E24" s="213">
        <v>50</v>
      </c>
      <c r="F24" s="210"/>
      <c r="G24" s="59" t="s">
        <v>1453</v>
      </c>
    </row>
    <row r="25" spans="1:7" ht="15.75" customHeight="1">
      <c r="A25" s="56" t="s">
        <v>1454</v>
      </c>
      <c r="B25" s="57" t="s">
        <v>163</v>
      </c>
      <c r="C25" s="58">
        <v>20</v>
      </c>
      <c r="D25" s="58">
        <v>50</v>
      </c>
      <c r="E25" s="213">
        <v>78</v>
      </c>
      <c r="F25" s="210"/>
      <c r="G25" s="59" t="s">
        <v>165</v>
      </c>
    </row>
    <row r="26" spans="1:7" ht="15.75" customHeight="1">
      <c r="A26" s="56" t="s">
        <v>1455</v>
      </c>
      <c r="B26" s="57" t="s">
        <v>166</v>
      </c>
      <c r="C26" s="58">
        <v>20</v>
      </c>
      <c r="D26" s="58">
        <v>50</v>
      </c>
      <c r="E26" s="213">
        <v>94</v>
      </c>
      <c r="F26" s="210"/>
      <c r="G26" s="59" t="s">
        <v>1456</v>
      </c>
    </row>
    <row r="27" spans="1:7" ht="15.75" customHeight="1">
      <c r="A27" s="52" t="s">
        <v>1457</v>
      </c>
      <c r="B27" s="53" t="s">
        <v>170</v>
      </c>
      <c r="C27" s="54">
        <v>20</v>
      </c>
      <c r="D27" s="54">
        <v>55</v>
      </c>
      <c r="E27" s="211"/>
      <c r="F27" s="212"/>
      <c r="G27" s="55" t="s">
        <v>1458</v>
      </c>
    </row>
    <row r="28" spans="1:7" ht="15.75" customHeight="1">
      <c r="A28" s="56" t="s">
        <v>1459</v>
      </c>
      <c r="B28" s="57" t="s">
        <v>1460</v>
      </c>
      <c r="C28" s="58">
        <v>20</v>
      </c>
      <c r="D28" s="58">
        <v>55</v>
      </c>
      <c r="E28" s="213">
        <v>15</v>
      </c>
      <c r="F28" s="210"/>
      <c r="G28" s="59" t="s">
        <v>1461</v>
      </c>
    </row>
    <row r="29" spans="1:7" ht="15.75" customHeight="1">
      <c r="A29" s="56" t="s">
        <v>1462</v>
      </c>
      <c r="B29" s="57" t="s">
        <v>1463</v>
      </c>
      <c r="C29" s="58">
        <v>20</v>
      </c>
      <c r="D29" s="58">
        <v>55</v>
      </c>
      <c r="E29" s="213">
        <v>16</v>
      </c>
      <c r="F29" s="210"/>
      <c r="G29" s="59" t="s">
        <v>1464</v>
      </c>
    </row>
    <row r="30" spans="1:7" ht="15.75" customHeight="1">
      <c r="A30" s="56" t="s">
        <v>1465</v>
      </c>
      <c r="B30" s="57" t="s">
        <v>1466</v>
      </c>
      <c r="C30" s="58">
        <v>20</v>
      </c>
      <c r="D30" s="58">
        <v>55</v>
      </c>
      <c r="E30" s="213">
        <v>17</v>
      </c>
      <c r="F30" s="210"/>
      <c r="G30" s="59" t="s">
        <v>1467</v>
      </c>
    </row>
    <row r="31" spans="1:7" ht="15.75" customHeight="1">
      <c r="A31" s="52" t="s">
        <v>1468</v>
      </c>
      <c r="B31" s="53" t="s">
        <v>179</v>
      </c>
      <c r="C31" s="54">
        <v>20</v>
      </c>
      <c r="D31" s="54">
        <v>60</v>
      </c>
      <c r="E31" s="211"/>
      <c r="F31" s="212"/>
      <c r="G31" s="55" t="s">
        <v>1469</v>
      </c>
    </row>
    <row r="32" spans="1:7" ht="15.75" customHeight="1">
      <c r="A32" s="56" t="s">
        <v>1470</v>
      </c>
      <c r="B32" s="57" t="s">
        <v>182</v>
      </c>
      <c r="C32" s="58">
        <v>20</v>
      </c>
      <c r="D32" s="58">
        <v>60</v>
      </c>
      <c r="E32" s="213">
        <v>2</v>
      </c>
      <c r="F32" s="210"/>
      <c r="G32" s="59" t="s">
        <v>1471</v>
      </c>
    </row>
    <row r="33" spans="1:8" ht="15.75" customHeight="1">
      <c r="A33" s="56" t="s">
        <v>1472</v>
      </c>
      <c r="B33" s="57" t="s">
        <v>185</v>
      </c>
      <c r="C33" s="58">
        <v>20</v>
      </c>
      <c r="D33" s="58">
        <v>60</v>
      </c>
      <c r="E33" s="213">
        <v>10</v>
      </c>
      <c r="F33" s="210"/>
      <c r="G33" s="59" t="s">
        <v>1473</v>
      </c>
    </row>
    <row r="34" spans="1:8" ht="15.75" customHeight="1">
      <c r="A34" s="56" t="s">
        <v>1474</v>
      </c>
      <c r="B34" s="57" t="s">
        <v>188</v>
      </c>
      <c r="C34" s="58">
        <v>20</v>
      </c>
      <c r="D34" s="58">
        <v>60</v>
      </c>
      <c r="E34" s="213">
        <v>56</v>
      </c>
      <c r="F34" s="210"/>
      <c r="G34" s="59" t="s">
        <v>1475</v>
      </c>
    </row>
    <row r="35" spans="1:8" ht="14">
      <c r="A35" s="52" t="s">
        <v>1476</v>
      </c>
      <c r="B35" s="53" t="s">
        <v>191</v>
      </c>
      <c r="C35" s="54">
        <v>20</v>
      </c>
      <c r="D35" s="54">
        <v>65</v>
      </c>
      <c r="E35" s="211"/>
      <c r="F35" s="212"/>
      <c r="G35" s="55" t="s">
        <v>1477</v>
      </c>
    </row>
    <row r="36" spans="1:8" ht="14">
      <c r="A36" s="56" t="s">
        <v>1478</v>
      </c>
      <c r="B36" s="57" t="s">
        <v>195</v>
      </c>
      <c r="C36" s="58">
        <v>20</v>
      </c>
      <c r="D36" s="58">
        <v>65</v>
      </c>
      <c r="E36" s="213">
        <v>56</v>
      </c>
      <c r="F36" s="210"/>
      <c r="G36" s="59" t="s">
        <v>1479</v>
      </c>
    </row>
    <row r="37" spans="1:8" ht="14">
      <c r="A37" s="52" t="s">
        <v>1480</v>
      </c>
      <c r="B37" s="53" t="s">
        <v>198</v>
      </c>
      <c r="C37" s="54">
        <v>20</v>
      </c>
      <c r="D37" s="54">
        <v>70</v>
      </c>
      <c r="E37" s="211"/>
      <c r="F37" s="212"/>
      <c r="G37" s="55" t="s">
        <v>1481</v>
      </c>
    </row>
    <row r="38" spans="1:8" ht="14">
      <c r="A38" s="56" t="s">
        <v>1482</v>
      </c>
      <c r="B38" s="57" t="s">
        <v>201</v>
      </c>
      <c r="C38" s="58">
        <v>20</v>
      </c>
      <c r="D38" s="58">
        <v>70</v>
      </c>
      <c r="E38" s="213">
        <v>18</v>
      </c>
      <c r="F38" s="210"/>
      <c r="G38" s="59" t="s">
        <v>1483</v>
      </c>
    </row>
    <row r="39" spans="1:8" ht="14">
      <c r="A39" s="52" t="s">
        <v>1484</v>
      </c>
      <c r="B39" s="53" t="s">
        <v>208</v>
      </c>
      <c r="C39" s="54">
        <v>20</v>
      </c>
      <c r="D39" s="54">
        <v>75</v>
      </c>
      <c r="E39" s="60"/>
      <c r="F39" s="60"/>
      <c r="G39" s="61" t="s">
        <v>1485</v>
      </c>
      <c r="H39" s="62"/>
    </row>
    <row r="40" spans="1:8" ht="14">
      <c r="A40" s="56" t="s">
        <v>1486</v>
      </c>
      <c r="B40" s="57" t="s">
        <v>214</v>
      </c>
      <c r="C40" s="58">
        <v>20</v>
      </c>
      <c r="D40" s="58">
        <v>75</v>
      </c>
      <c r="E40" s="58">
        <v>64</v>
      </c>
      <c r="F40" s="63"/>
      <c r="G40" s="64" t="s">
        <v>1487</v>
      </c>
      <c r="H40" s="65"/>
    </row>
    <row r="41" spans="1:8" ht="14">
      <c r="A41" s="52" t="s">
        <v>1488</v>
      </c>
      <c r="B41" s="53" t="s">
        <v>231</v>
      </c>
      <c r="C41" s="54">
        <v>20</v>
      </c>
      <c r="D41" s="54">
        <v>90</v>
      </c>
      <c r="E41" s="66"/>
      <c r="F41" s="66"/>
      <c r="G41" s="61" t="s">
        <v>1489</v>
      </c>
      <c r="H41" s="62"/>
    </row>
    <row r="42" spans="1:8" ht="14">
      <c r="A42" s="56" t="s">
        <v>1490</v>
      </c>
      <c r="B42" s="57" t="s">
        <v>241</v>
      </c>
      <c r="C42" s="58">
        <v>20</v>
      </c>
      <c r="D42" s="58">
        <v>90</v>
      </c>
      <c r="E42" s="58">
        <v>16</v>
      </c>
      <c r="F42" s="63"/>
      <c r="G42" s="64" t="s">
        <v>1491</v>
      </c>
      <c r="H42" s="65"/>
    </row>
    <row r="43" spans="1:8" ht="14">
      <c r="A43" s="56" t="s">
        <v>1492</v>
      </c>
      <c r="B43" s="57" t="s">
        <v>246</v>
      </c>
      <c r="C43" s="58">
        <v>20</v>
      </c>
      <c r="D43" s="58">
        <v>90</v>
      </c>
      <c r="E43" s="58">
        <v>27</v>
      </c>
      <c r="F43" s="63"/>
      <c r="G43" s="64" t="s">
        <v>1493</v>
      </c>
      <c r="H43" s="65"/>
    </row>
    <row r="44" spans="1:8" ht="14">
      <c r="A44" s="47" t="s">
        <v>1494</v>
      </c>
      <c r="B44" s="48" t="s">
        <v>258</v>
      </c>
      <c r="C44" s="49">
        <v>25</v>
      </c>
      <c r="D44" s="50"/>
      <c r="E44" s="50"/>
      <c r="F44" s="50"/>
      <c r="G44" s="67" t="s">
        <v>1495</v>
      </c>
      <c r="H44" s="68"/>
    </row>
    <row r="45" spans="1:8" ht="14">
      <c r="A45" s="52" t="s">
        <v>1496</v>
      </c>
      <c r="B45" s="53" t="s">
        <v>265</v>
      </c>
      <c r="C45" s="54">
        <v>25</v>
      </c>
      <c r="D45" s="54">
        <v>10</v>
      </c>
      <c r="E45" s="60"/>
      <c r="F45" s="60"/>
      <c r="G45" s="61" t="s">
        <v>1497</v>
      </c>
      <c r="H45" s="62"/>
    </row>
    <row r="46" spans="1:8" ht="14">
      <c r="A46" s="56" t="s">
        <v>1498</v>
      </c>
      <c r="B46" s="57" t="s">
        <v>1499</v>
      </c>
      <c r="C46" s="58">
        <v>25</v>
      </c>
      <c r="D46" s="58">
        <v>10</v>
      </c>
      <c r="E46" s="58">
        <v>15</v>
      </c>
      <c r="F46" s="63"/>
      <c r="G46" s="64" t="s">
        <v>1500</v>
      </c>
      <c r="H46" s="65"/>
    </row>
    <row r="47" spans="1:8" ht="14">
      <c r="A47" s="56" t="s">
        <v>1501</v>
      </c>
      <c r="B47" s="57" t="s">
        <v>1502</v>
      </c>
      <c r="C47" s="58">
        <v>25</v>
      </c>
      <c r="D47" s="58">
        <v>10</v>
      </c>
      <c r="E47" s="58">
        <v>20</v>
      </c>
      <c r="F47" s="63"/>
      <c r="G47" s="64" t="s">
        <v>1503</v>
      </c>
      <c r="H47" s="65"/>
    </row>
    <row r="48" spans="1:8" ht="14">
      <c r="A48" s="56" t="s">
        <v>1504</v>
      </c>
      <c r="B48" s="57" t="s">
        <v>277</v>
      </c>
      <c r="C48" s="58">
        <v>25</v>
      </c>
      <c r="D48" s="58">
        <v>10</v>
      </c>
      <c r="E48" s="58">
        <v>45</v>
      </c>
      <c r="F48" s="69"/>
      <c r="G48" s="64" t="s">
        <v>1505</v>
      </c>
      <c r="H48" s="65"/>
    </row>
    <row r="49" spans="1:8" ht="14">
      <c r="A49" s="56" t="s">
        <v>1506</v>
      </c>
      <c r="B49" s="57" t="s">
        <v>282</v>
      </c>
      <c r="C49" s="58">
        <v>25</v>
      </c>
      <c r="D49" s="58">
        <v>10</v>
      </c>
      <c r="E49" s="58">
        <v>66</v>
      </c>
      <c r="F49" s="63"/>
      <c r="G49" s="64" t="s">
        <v>1507</v>
      </c>
      <c r="H49" s="65"/>
    </row>
    <row r="50" spans="1:8" ht="14">
      <c r="A50" s="56" t="s">
        <v>1508</v>
      </c>
      <c r="B50" s="57" t="s">
        <v>286</v>
      </c>
      <c r="C50" s="58">
        <v>25</v>
      </c>
      <c r="D50" s="58">
        <v>10</v>
      </c>
      <c r="E50" s="58">
        <v>77</v>
      </c>
      <c r="F50" s="63"/>
      <c r="G50" s="64" t="s">
        <v>1509</v>
      </c>
      <c r="H50" s="65"/>
    </row>
    <row r="51" spans="1:8" ht="14">
      <c r="A51" s="56" t="s">
        <v>1510</v>
      </c>
      <c r="B51" s="57" t="s">
        <v>1511</v>
      </c>
      <c r="C51" s="58">
        <v>25</v>
      </c>
      <c r="D51" s="58">
        <v>10</v>
      </c>
      <c r="E51" s="58">
        <v>80</v>
      </c>
      <c r="F51" s="63"/>
      <c r="G51" s="64" t="s">
        <v>1512</v>
      </c>
      <c r="H51" s="65"/>
    </row>
    <row r="52" spans="1:8" ht="14">
      <c r="A52" s="56" t="s">
        <v>1513</v>
      </c>
      <c r="B52" s="57" t="s">
        <v>290</v>
      </c>
      <c r="C52" s="58">
        <v>25</v>
      </c>
      <c r="D52" s="58">
        <v>10</v>
      </c>
      <c r="E52" s="58">
        <v>88</v>
      </c>
      <c r="F52" s="63"/>
      <c r="G52" s="64" t="s">
        <v>1514</v>
      </c>
      <c r="H52" s="65"/>
    </row>
    <row r="53" spans="1:8" ht="14">
      <c r="A53" s="56" t="s">
        <v>1515</v>
      </c>
      <c r="B53" s="57" t="s">
        <v>295</v>
      </c>
      <c r="C53" s="58">
        <v>25</v>
      </c>
      <c r="D53" s="58">
        <v>10</v>
      </c>
      <c r="E53" s="58">
        <v>92</v>
      </c>
      <c r="F53" s="63"/>
      <c r="G53" s="64" t="s">
        <v>297</v>
      </c>
      <c r="H53" s="65"/>
    </row>
    <row r="54" spans="1:8" ht="14">
      <c r="A54" s="52" t="s">
        <v>1516</v>
      </c>
      <c r="B54" s="53" t="s">
        <v>298</v>
      </c>
      <c r="C54" s="54">
        <v>25</v>
      </c>
      <c r="D54" s="54">
        <v>30</v>
      </c>
      <c r="E54" s="60"/>
      <c r="F54" s="60"/>
      <c r="G54" s="61" t="s">
        <v>1517</v>
      </c>
      <c r="H54" s="62"/>
    </row>
    <row r="55" spans="1:8" ht="14">
      <c r="A55" s="56" t="s">
        <v>1518</v>
      </c>
      <c r="B55" s="57" t="s">
        <v>302</v>
      </c>
      <c r="C55" s="58">
        <v>25</v>
      </c>
      <c r="D55" s="58">
        <v>30</v>
      </c>
      <c r="E55" s="58">
        <v>4</v>
      </c>
      <c r="F55" s="63"/>
      <c r="G55" s="64" t="s">
        <v>1519</v>
      </c>
      <c r="H55" s="65"/>
    </row>
    <row r="56" spans="1:8" ht="14">
      <c r="A56" s="56" t="s">
        <v>1520</v>
      </c>
      <c r="B56" s="57" t="s">
        <v>306</v>
      </c>
      <c r="C56" s="58">
        <v>25</v>
      </c>
      <c r="D56" s="58">
        <v>30</v>
      </c>
      <c r="E56" s="58">
        <v>8</v>
      </c>
      <c r="F56" s="63"/>
      <c r="G56" s="64" t="s">
        <v>1521</v>
      </c>
      <c r="H56" s="65"/>
    </row>
    <row r="57" spans="1:8" ht="14">
      <c r="A57" s="56" t="s">
        <v>1522</v>
      </c>
      <c r="B57" s="57" t="s">
        <v>309</v>
      </c>
      <c r="C57" s="58">
        <v>25</v>
      </c>
      <c r="D57" s="58">
        <v>30</v>
      </c>
      <c r="E57" s="58">
        <v>45</v>
      </c>
      <c r="F57" s="63"/>
      <c r="G57" s="64" t="s">
        <v>1523</v>
      </c>
      <c r="H57" s="65"/>
    </row>
    <row r="58" spans="1:8" ht="14">
      <c r="A58" s="56" t="s">
        <v>1524</v>
      </c>
      <c r="B58" s="57" t="s">
        <v>1525</v>
      </c>
      <c r="C58" s="58">
        <v>25</v>
      </c>
      <c r="D58" s="58">
        <v>30</v>
      </c>
      <c r="E58" s="58">
        <v>50</v>
      </c>
      <c r="F58" s="63"/>
      <c r="G58" s="64" t="s">
        <v>1526</v>
      </c>
      <c r="H58" s="65"/>
    </row>
    <row r="59" spans="1:8" ht="14">
      <c r="A59" s="56" t="s">
        <v>1527</v>
      </c>
      <c r="B59" s="57" t="s">
        <v>313</v>
      </c>
      <c r="C59" s="58">
        <v>25</v>
      </c>
      <c r="D59" s="58">
        <v>30</v>
      </c>
      <c r="E59" s="58">
        <v>70</v>
      </c>
      <c r="F59" s="63"/>
      <c r="G59" s="64" t="s">
        <v>1528</v>
      </c>
      <c r="H59" s="65"/>
    </row>
    <row r="60" spans="1:8" ht="14">
      <c r="A60" s="52" t="s">
        <v>1529</v>
      </c>
      <c r="B60" s="53" t="s">
        <v>317</v>
      </c>
      <c r="C60" s="54">
        <v>25</v>
      </c>
      <c r="D60" s="54">
        <v>50</v>
      </c>
      <c r="E60" s="60"/>
      <c r="F60" s="60"/>
      <c r="G60" s="61" t="s">
        <v>1530</v>
      </c>
      <c r="H60" s="62"/>
    </row>
    <row r="61" spans="1:8" ht="14">
      <c r="A61" s="56" t="s">
        <v>1531</v>
      </c>
      <c r="B61" s="57" t="s">
        <v>324</v>
      </c>
      <c r="C61" s="58">
        <v>25</v>
      </c>
      <c r="D61" s="58">
        <v>50</v>
      </c>
      <c r="E61" s="58">
        <v>33</v>
      </c>
      <c r="F61" s="63"/>
      <c r="G61" s="64" t="s">
        <v>1532</v>
      </c>
      <c r="H61" s="65"/>
    </row>
    <row r="62" spans="1:8" ht="14">
      <c r="A62" s="56" t="s">
        <v>1533</v>
      </c>
      <c r="B62" s="57" t="s">
        <v>327</v>
      </c>
      <c r="C62" s="58">
        <v>25</v>
      </c>
      <c r="D62" s="58">
        <v>50</v>
      </c>
      <c r="E62" s="58">
        <v>34</v>
      </c>
      <c r="F62" s="63"/>
      <c r="G62" s="64" t="s">
        <v>1534</v>
      </c>
      <c r="H62" s="65"/>
    </row>
    <row r="63" spans="1:8" ht="14">
      <c r="A63" s="56" t="s">
        <v>1535</v>
      </c>
      <c r="B63" s="57" t="s">
        <v>334</v>
      </c>
      <c r="C63" s="58">
        <v>25</v>
      </c>
      <c r="D63" s="58">
        <v>50</v>
      </c>
      <c r="E63" s="58">
        <v>52</v>
      </c>
      <c r="F63" s="63"/>
      <c r="G63" s="64" t="s">
        <v>1536</v>
      </c>
      <c r="H63" s="65"/>
    </row>
    <row r="64" spans="1:8" ht="14">
      <c r="A64" s="56" t="s">
        <v>1537</v>
      </c>
      <c r="B64" s="57" t="s">
        <v>341</v>
      </c>
      <c r="C64" s="58">
        <v>25</v>
      </c>
      <c r="D64" s="58">
        <v>50</v>
      </c>
      <c r="E64" s="58">
        <v>55</v>
      </c>
      <c r="F64" s="63"/>
      <c r="G64" s="64" t="s">
        <v>343</v>
      </c>
      <c r="H64" s="65"/>
    </row>
    <row r="65" spans="1:8" ht="14">
      <c r="A65" s="56" t="s">
        <v>1538</v>
      </c>
      <c r="B65" s="57" t="s">
        <v>344</v>
      </c>
      <c r="C65" s="58">
        <v>25</v>
      </c>
      <c r="D65" s="58">
        <v>50</v>
      </c>
      <c r="E65" s="58">
        <v>58</v>
      </c>
      <c r="F65" s="63"/>
      <c r="G65" s="64" t="s">
        <v>346</v>
      </c>
      <c r="H65" s="65"/>
    </row>
    <row r="66" spans="1:8" ht="14">
      <c r="A66" s="56" t="s">
        <v>1539</v>
      </c>
      <c r="B66" s="57" t="s">
        <v>350</v>
      </c>
      <c r="C66" s="58">
        <v>25</v>
      </c>
      <c r="D66" s="58">
        <v>50</v>
      </c>
      <c r="E66" s="58">
        <v>99</v>
      </c>
      <c r="F66" s="63"/>
      <c r="G66" s="64" t="s">
        <v>352</v>
      </c>
      <c r="H66" s="65"/>
    </row>
    <row r="67" spans="1:8" ht="14">
      <c r="A67" s="52" t="s">
        <v>1540</v>
      </c>
      <c r="B67" s="53" t="s">
        <v>353</v>
      </c>
      <c r="C67" s="54">
        <v>25</v>
      </c>
      <c r="D67" s="54">
        <v>70</v>
      </c>
      <c r="E67" s="60"/>
      <c r="F67" s="60"/>
      <c r="G67" s="61" t="s">
        <v>1541</v>
      </c>
      <c r="H67" s="62"/>
    </row>
    <row r="68" spans="1:8" ht="14">
      <c r="A68" s="56" t="s">
        <v>1542</v>
      </c>
      <c r="B68" s="57" t="s">
        <v>356</v>
      </c>
      <c r="C68" s="58">
        <v>25</v>
      </c>
      <c r="D68" s="58">
        <v>70</v>
      </c>
      <c r="E68" s="58">
        <v>16</v>
      </c>
      <c r="F68" s="69"/>
      <c r="G68" s="64" t="s">
        <v>1543</v>
      </c>
      <c r="H68" s="65"/>
    </row>
    <row r="69" spans="1:8" ht="14">
      <c r="A69" s="56" t="s">
        <v>1544</v>
      </c>
      <c r="B69" s="57" t="s">
        <v>360</v>
      </c>
      <c r="C69" s="58">
        <v>25</v>
      </c>
      <c r="D69" s="58">
        <v>70</v>
      </c>
      <c r="E69" s="58">
        <v>23</v>
      </c>
      <c r="F69" s="63"/>
      <c r="G69" s="64" t="s">
        <v>363</v>
      </c>
      <c r="H69" s="65"/>
    </row>
    <row r="70" spans="1:8" ht="14">
      <c r="A70" s="56" t="s">
        <v>1545</v>
      </c>
      <c r="B70" s="57" t="s">
        <v>370</v>
      </c>
      <c r="C70" s="58">
        <v>25</v>
      </c>
      <c r="D70" s="58">
        <v>70</v>
      </c>
      <c r="E70" s="58">
        <v>47</v>
      </c>
      <c r="F70" s="63"/>
      <c r="G70" s="64" t="s">
        <v>1546</v>
      </c>
      <c r="H70" s="65"/>
    </row>
    <row r="71" spans="1:8" ht="14">
      <c r="A71" s="52" t="s">
        <v>1547</v>
      </c>
      <c r="B71" s="53" t="s">
        <v>373</v>
      </c>
      <c r="C71" s="54">
        <v>25</v>
      </c>
      <c r="D71" s="54">
        <v>90</v>
      </c>
      <c r="E71" s="60"/>
      <c r="F71" s="60"/>
      <c r="G71" s="61" t="s">
        <v>1548</v>
      </c>
      <c r="H71" s="62"/>
    </row>
    <row r="72" spans="1:8" ht="14">
      <c r="A72" s="56" t="s">
        <v>1549</v>
      </c>
      <c r="B72" s="57" t="s">
        <v>377</v>
      </c>
      <c r="C72" s="58">
        <v>25</v>
      </c>
      <c r="D72" s="58">
        <v>90</v>
      </c>
      <c r="E72" s="58">
        <v>30</v>
      </c>
      <c r="F72" s="63"/>
      <c r="G72" s="64" t="s">
        <v>1550</v>
      </c>
      <c r="H72" s="65"/>
    </row>
    <row r="73" spans="1:8" ht="14">
      <c r="A73" s="47" t="s">
        <v>1551</v>
      </c>
      <c r="B73" s="48" t="s">
        <v>382</v>
      </c>
      <c r="C73" s="49">
        <v>30</v>
      </c>
      <c r="D73" s="70"/>
      <c r="E73" s="70"/>
      <c r="F73" s="70"/>
      <c r="G73" s="67" t="s">
        <v>1552</v>
      </c>
      <c r="H73" s="68"/>
    </row>
    <row r="74" spans="1:8" ht="14">
      <c r="A74" s="52" t="s">
        <v>1553</v>
      </c>
      <c r="B74" s="53" t="s">
        <v>432</v>
      </c>
      <c r="C74" s="54">
        <v>30</v>
      </c>
      <c r="D74" s="54">
        <v>40</v>
      </c>
      <c r="E74" s="66"/>
      <c r="F74" s="66"/>
      <c r="G74" s="61" t="s">
        <v>1554</v>
      </c>
      <c r="H74" s="62"/>
    </row>
    <row r="75" spans="1:8" ht="14">
      <c r="A75" s="56" t="s">
        <v>1555</v>
      </c>
      <c r="B75" s="57" t="s">
        <v>436</v>
      </c>
      <c r="C75" s="58">
        <v>30</v>
      </c>
      <c r="D75" s="58">
        <v>40</v>
      </c>
      <c r="E75" s="58">
        <v>1</v>
      </c>
      <c r="F75" s="63"/>
      <c r="G75" s="64" t="s">
        <v>1556</v>
      </c>
      <c r="H75" s="65"/>
    </row>
    <row r="76" spans="1:8" ht="14">
      <c r="A76" s="56" t="s">
        <v>1557</v>
      </c>
      <c r="B76" s="57" t="s">
        <v>479</v>
      </c>
      <c r="C76" s="58">
        <v>30</v>
      </c>
      <c r="D76" s="58">
        <v>40</v>
      </c>
      <c r="E76" s="58">
        <v>96</v>
      </c>
      <c r="F76" s="69"/>
      <c r="G76" s="64" t="s">
        <v>1558</v>
      </c>
      <c r="H76" s="65"/>
    </row>
    <row r="77" spans="1:8" ht="14">
      <c r="A77" s="52" t="s">
        <v>1559</v>
      </c>
      <c r="B77" s="53" t="s">
        <v>523</v>
      </c>
      <c r="C77" s="54">
        <v>30</v>
      </c>
      <c r="D77" s="54">
        <v>90</v>
      </c>
      <c r="E77" s="66"/>
      <c r="F77" s="66"/>
      <c r="G77" s="61" t="s">
        <v>1560</v>
      </c>
      <c r="H77" s="62"/>
    </row>
    <row r="78" spans="1:8" ht="14">
      <c r="A78" s="47" t="s">
        <v>1561</v>
      </c>
      <c r="B78" s="48" t="s">
        <v>683</v>
      </c>
      <c r="C78" s="49">
        <v>35</v>
      </c>
      <c r="D78" s="70"/>
      <c r="E78" s="70"/>
      <c r="F78" s="70"/>
      <c r="G78" s="67" t="s">
        <v>1562</v>
      </c>
      <c r="H78" s="68"/>
    </row>
    <row r="79" spans="1:8" ht="14">
      <c r="A79" s="52" t="s">
        <v>1563</v>
      </c>
      <c r="B79" s="53" t="s">
        <v>687</v>
      </c>
      <c r="C79" s="54">
        <v>35</v>
      </c>
      <c r="D79" s="54">
        <v>10</v>
      </c>
      <c r="E79" s="60"/>
      <c r="F79" s="60"/>
      <c r="G79" s="61" t="s">
        <v>1564</v>
      </c>
      <c r="H79" s="62"/>
    </row>
    <row r="80" spans="1:8" ht="14">
      <c r="A80" s="56" t="s">
        <v>1565</v>
      </c>
      <c r="B80" s="57" t="s">
        <v>697</v>
      </c>
      <c r="C80" s="58">
        <v>35</v>
      </c>
      <c r="D80" s="58">
        <v>10</v>
      </c>
      <c r="E80" s="58">
        <v>15</v>
      </c>
      <c r="F80" s="69"/>
      <c r="G80" s="64" t="s">
        <v>1566</v>
      </c>
      <c r="H80" s="65"/>
    </row>
    <row r="81" spans="1:8" ht="14">
      <c r="A81" s="56" t="s">
        <v>1567</v>
      </c>
      <c r="B81" s="57" t="s">
        <v>703</v>
      </c>
      <c r="C81" s="58">
        <v>35</v>
      </c>
      <c r="D81" s="58">
        <v>10</v>
      </c>
      <c r="E81" s="58">
        <v>37</v>
      </c>
      <c r="F81" s="63"/>
      <c r="G81" s="64" t="s">
        <v>1568</v>
      </c>
      <c r="H81" s="65"/>
    </row>
    <row r="82" spans="1:8" ht="14">
      <c r="A82" s="56" t="s">
        <v>1569</v>
      </c>
      <c r="B82" s="57" t="s">
        <v>1570</v>
      </c>
      <c r="C82" s="58">
        <v>35</v>
      </c>
      <c r="D82" s="58">
        <v>10</v>
      </c>
      <c r="E82" s="58">
        <v>50</v>
      </c>
      <c r="F82" s="63"/>
      <c r="G82" s="64" t="s">
        <v>1571</v>
      </c>
      <c r="H82" s="65"/>
    </row>
    <row r="83" spans="1:8" ht="14">
      <c r="A83" s="56" t="s">
        <v>1572</v>
      </c>
      <c r="B83" s="57" t="s">
        <v>1573</v>
      </c>
      <c r="C83" s="58">
        <v>35</v>
      </c>
      <c r="D83" s="58">
        <v>10</v>
      </c>
      <c r="E83" s="58">
        <v>60</v>
      </c>
      <c r="F83" s="63"/>
      <c r="G83" s="64" t="s">
        <v>1574</v>
      </c>
      <c r="H83" s="65"/>
    </row>
    <row r="84" spans="1:8" ht="14">
      <c r="A84" s="56" t="s">
        <v>1575</v>
      </c>
      <c r="B84" s="57" t="s">
        <v>1576</v>
      </c>
      <c r="C84" s="58">
        <v>35</v>
      </c>
      <c r="D84" s="58">
        <v>10</v>
      </c>
      <c r="E84" s="58">
        <v>70</v>
      </c>
      <c r="F84" s="63"/>
      <c r="G84" s="64" t="s">
        <v>1577</v>
      </c>
      <c r="H84" s="65"/>
    </row>
    <row r="85" spans="1:8" ht="14">
      <c r="A85" s="56" t="s">
        <v>1578</v>
      </c>
      <c r="B85" s="57" t="s">
        <v>1579</v>
      </c>
      <c r="C85" s="58">
        <v>35</v>
      </c>
      <c r="D85" s="58">
        <v>10</v>
      </c>
      <c r="E85" s="58">
        <v>80</v>
      </c>
      <c r="F85" s="63"/>
      <c r="G85" s="64" t="s">
        <v>1580</v>
      </c>
      <c r="H85" s="65"/>
    </row>
    <row r="86" spans="1:8" ht="14">
      <c r="A86" s="52" t="s">
        <v>1581</v>
      </c>
      <c r="B86" s="53" t="s">
        <v>707</v>
      </c>
      <c r="C86" s="54">
        <v>35</v>
      </c>
      <c r="D86" s="54">
        <v>50</v>
      </c>
      <c r="E86" s="60"/>
      <c r="F86" s="60"/>
      <c r="G86" s="61" t="s">
        <v>1582</v>
      </c>
      <c r="H86" s="62"/>
    </row>
    <row r="87" spans="1:8" ht="14">
      <c r="A87" s="56" t="s">
        <v>1583</v>
      </c>
      <c r="B87" s="57" t="s">
        <v>712</v>
      </c>
      <c r="C87" s="58">
        <v>35</v>
      </c>
      <c r="D87" s="58">
        <v>50</v>
      </c>
      <c r="E87" s="58">
        <v>30</v>
      </c>
      <c r="F87" s="63"/>
      <c r="G87" s="64" t="s">
        <v>1584</v>
      </c>
      <c r="H87" s="65"/>
    </row>
    <row r="88" spans="1:8" ht="14">
      <c r="A88" s="56" t="s">
        <v>1585</v>
      </c>
      <c r="B88" s="57" t="s">
        <v>716</v>
      </c>
      <c r="C88" s="58">
        <v>35</v>
      </c>
      <c r="D88" s="58">
        <v>50</v>
      </c>
      <c r="E88" s="58">
        <v>37</v>
      </c>
      <c r="F88" s="63"/>
      <c r="G88" s="64" t="s">
        <v>1586</v>
      </c>
      <c r="H88" s="65"/>
    </row>
    <row r="89" spans="1:8" ht="14">
      <c r="A89" s="56" t="s">
        <v>1587</v>
      </c>
      <c r="B89" s="57" t="s">
        <v>727</v>
      </c>
      <c r="C89" s="58">
        <v>35</v>
      </c>
      <c r="D89" s="58">
        <v>50</v>
      </c>
      <c r="E89" s="58">
        <v>82</v>
      </c>
      <c r="F89" s="63"/>
      <c r="G89" s="64" t="s">
        <v>1588</v>
      </c>
      <c r="H89" s="65"/>
    </row>
    <row r="90" spans="1:8" ht="14">
      <c r="A90" s="52" t="s">
        <v>1589</v>
      </c>
      <c r="B90" s="53" t="s">
        <v>733</v>
      </c>
      <c r="C90" s="54">
        <v>35</v>
      </c>
      <c r="D90" s="54">
        <v>70</v>
      </c>
      <c r="E90" s="60"/>
      <c r="F90" s="60"/>
      <c r="G90" s="61" t="s">
        <v>1590</v>
      </c>
      <c r="H90" s="62"/>
    </row>
    <row r="91" spans="1:8" ht="14">
      <c r="A91" s="56" t="s">
        <v>1591</v>
      </c>
      <c r="B91" s="57" t="s">
        <v>737</v>
      </c>
      <c r="C91" s="58">
        <v>35</v>
      </c>
      <c r="D91" s="58">
        <v>70</v>
      </c>
      <c r="E91" s="58">
        <v>13</v>
      </c>
      <c r="F91" s="63"/>
      <c r="G91" s="64" t="s">
        <v>739</v>
      </c>
      <c r="H91" s="65"/>
    </row>
    <row r="92" spans="1:8" ht="14">
      <c r="A92" s="56" t="s">
        <v>1592</v>
      </c>
      <c r="B92" s="57" t="s">
        <v>740</v>
      </c>
      <c r="C92" s="58">
        <v>35</v>
      </c>
      <c r="D92" s="58">
        <v>70</v>
      </c>
      <c r="E92" s="58">
        <v>16</v>
      </c>
      <c r="F92" s="63"/>
      <c r="G92" s="64" t="s">
        <v>742</v>
      </c>
      <c r="H92" s="65"/>
    </row>
    <row r="93" spans="1:8" ht="14">
      <c r="A93" s="56" t="s">
        <v>1593</v>
      </c>
      <c r="B93" s="57" t="s">
        <v>743</v>
      </c>
      <c r="C93" s="58">
        <v>35</v>
      </c>
      <c r="D93" s="58">
        <v>70</v>
      </c>
      <c r="E93" s="58">
        <v>32</v>
      </c>
      <c r="F93" s="63"/>
      <c r="G93" s="64" t="s">
        <v>735</v>
      </c>
      <c r="H93" s="65"/>
    </row>
    <row r="94" spans="1:8" ht="14">
      <c r="A94" s="52" t="s">
        <v>1594</v>
      </c>
      <c r="B94" s="53" t="s">
        <v>747</v>
      </c>
      <c r="C94" s="54">
        <v>35</v>
      </c>
      <c r="D94" s="54">
        <v>85</v>
      </c>
      <c r="E94" s="60"/>
      <c r="F94" s="60"/>
      <c r="G94" s="61" t="s">
        <v>1595</v>
      </c>
      <c r="H94" s="62"/>
    </row>
    <row r="95" spans="1:8" ht="14">
      <c r="A95" s="56" t="s">
        <v>1596</v>
      </c>
      <c r="B95" s="57" t="s">
        <v>761</v>
      </c>
      <c r="C95" s="58">
        <v>35</v>
      </c>
      <c r="D95" s="58">
        <v>85</v>
      </c>
      <c r="E95" s="58">
        <v>5</v>
      </c>
      <c r="F95" s="63"/>
      <c r="G95" s="64" t="s">
        <v>763</v>
      </c>
      <c r="H95" s="65"/>
    </row>
    <row r="96" spans="1:8" ht="14">
      <c r="A96" s="56" t="s">
        <v>1597</v>
      </c>
      <c r="B96" s="57" t="s">
        <v>1598</v>
      </c>
      <c r="C96" s="58">
        <v>35</v>
      </c>
      <c r="D96" s="58">
        <v>85</v>
      </c>
      <c r="E96" s="58">
        <v>10</v>
      </c>
      <c r="F96" s="63"/>
      <c r="G96" s="64" t="s">
        <v>1599</v>
      </c>
      <c r="H96" s="65"/>
    </row>
    <row r="97" spans="1:8" ht="14">
      <c r="A97" s="56" t="s">
        <v>1600</v>
      </c>
      <c r="B97" s="57" t="s">
        <v>764</v>
      </c>
      <c r="C97" s="58">
        <v>35</v>
      </c>
      <c r="D97" s="58">
        <v>85</v>
      </c>
      <c r="E97" s="58">
        <v>45</v>
      </c>
      <c r="F97" s="63"/>
      <c r="G97" s="64" t="s">
        <v>766</v>
      </c>
      <c r="H97" s="65"/>
    </row>
    <row r="98" spans="1:8" ht="14">
      <c r="A98" s="56" t="s">
        <v>1601</v>
      </c>
      <c r="B98" s="57" t="s">
        <v>767</v>
      </c>
      <c r="C98" s="58">
        <v>35</v>
      </c>
      <c r="D98" s="58">
        <v>85</v>
      </c>
      <c r="E98" s="58">
        <v>85</v>
      </c>
      <c r="F98" s="63"/>
      <c r="G98" s="64" t="s">
        <v>1602</v>
      </c>
      <c r="H98" s="65"/>
    </row>
    <row r="99" spans="1:8" ht="14">
      <c r="A99" s="56" t="s">
        <v>1603</v>
      </c>
      <c r="B99" s="57" t="s">
        <v>1604</v>
      </c>
      <c r="C99" s="58">
        <v>35</v>
      </c>
      <c r="D99" s="58">
        <v>85</v>
      </c>
      <c r="E99" s="58">
        <v>90</v>
      </c>
      <c r="F99" s="63"/>
      <c r="G99" s="64" t="s">
        <v>1605</v>
      </c>
      <c r="H99" s="65"/>
    </row>
    <row r="100" spans="1:8" ht="14">
      <c r="A100" s="52" t="s">
        <v>1606</v>
      </c>
      <c r="B100" s="53" t="s">
        <v>770</v>
      </c>
      <c r="C100" s="54">
        <v>35</v>
      </c>
      <c r="D100" s="54">
        <v>90</v>
      </c>
      <c r="E100" s="66"/>
      <c r="F100" s="66"/>
      <c r="G100" s="61" t="s">
        <v>1607</v>
      </c>
      <c r="H100" s="62"/>
    </row>
    <row r="101" spans="1:8" ht="14">
      <c r="A101" s="56" t="s">
        <v>1608</v>
      </c>
      <c r="B101" s="57" t="s">
        <v>783</v>
      </c>
      <c r="C101" s="58">
        <v>35</v>
      </c>
      <c r="D101" s="58">
        <v>90</v>
      </c>
      <c r="E101" s="58">
        <v>95</v>
      </c>
      <c r="F101" s="63"/>
      <c r="G101" s="64" t="s">
        <v>785</v>
      </c>
      <c r="H101" s="65"/>
    </row>
    <row r="102" spans="1:8" ht="14">
      <c r="A102" s="47" t="s">
        <v>1609</v>
      </c>
      <c r="B102" s="48" t="s">
        <v>786</v>
      </c>
      <c r="C102" s="49">
        <v>40</v>
      </c>
      <c r="D102" s="70"/>
      <c r="E102" s="70"/>
      <c r="F102" s="70"/>
      <c r="G102" s="67" t="s">
        <v>1610</v>
      </c>
      <c r="H102" s="68"/>
    </row>
    <row r="103" spans="1:8" ht="14">
      <c r="A103" s="52" t="s">
        <v>1611</v>
      </c>
      <c r="B103" s="53" t="s">
        <v>789</v>
      </c>
      <c r="C103" s="54">
        <v>40</v>
      </c>
      <c r="D103" s="54">
        <v>5</v>
      </c>
      <c r="E103" s="60"/>
      <c r="F103" s="60"/>
      <c r="G103" s="61" t="s">
        <v>1612</v>
      </c>
      <c r="H103" s="62"/>
    </row>
    <row r="104" spans="1:8" ht="14">
      <c r="A104" s="56" t="s">
        <v>1613</v>
      </c>
      <c r="B104" s="57" t="s">
        <v>792</v>
      </c>
      <c r="C104" s="58">
        <v>40</v>
      </c>
      <c r="D104" s="58">
        <v>5</v>
      </c>
      <c r="E104" s="58">
        <v>2</v>
      </c>
      <c r="F104" s="63"/>
      <c r="G104" s="64" t="s">
        <v>794</v>
      </c>
      <c r="H104" s="65"/>
    </row>
    <row r="105" spans="1:8" ht="14">
      <c r="A105" s="56" t="s">
        <v>1614</v>
      </c>
      <c r="B105" s="57" t="s">
        <v>795</v>
      </c>
      <c r="C105" s="58">
        <v>40</v>
      </c>
      <c r="D105" s="58">
        <v>5</v>
      </c>
      <c r="E105" s="58">
        <v>3</v>
      </c>
      <c r="F105" s="63"/>
      <c r="G105" s="64" t="s">
        <v>797</v>
      </c>
      <c r="H105" s="65"/>
    </row>
    <row r="106" spans="1:8" ht="14">
      <c r="A106" s="56" t="s">
        <v>1615</v>
      </c>
      <c r="B106" s="57" t="s">
        <v>798</v>
      </c>
      <c r="C106" s="58">
        <v>40</v>
      </c>
      <c r="D106" s="58">
        <v>5</v>
      </c>
      <c r="E106" s="58">
        <v>30</v>
      </c>
      <c r="F106" s="69"/>
      <c r="G106" s="64" t="s">
        <v>1616</v>
      </c>
      <c r="H106" s="65"/>
    </row>
    <row r="107" spans="1:8" ht="14">
      <c r="A107" s="56" t="s">
        <v>1617</v>
      </c>
      <c r="B107" s="57" t="s">
        <v>806</v>
      </c>
      <c r="C107" s="58">
        <v>40</v>
      </c>
      <c r="D107" s="58">
        <v>5</v>
      </c>
      <c r="E107" s="58">
        <v>89</v>
      </c>
      <c r="F107" s="63"/>
      <c r="G107" s="64" t="s">
        <v>808</v>
      </c>
      <c r="H107" s="65"/>
    </row>
    <row r="108" spans="1:8" ht="14">
      <c r="A108" s="52" t="s">
        <v>1618</v>
      </c>
      <c r="B108" s="53" t="s">
        <v>832</v>
      </c>
      <c r="C108" s="54">
        <v>40</v>
      </c>
      <c r="D108" s="54">
        <v>60</v>
      </c>
      <c r="E108" s="60"/>
      <c r="F108" s="60"/>
      <c r="G108" s="61" t="s">
        <v>1619</v>
      </c>
      <c r="H108" s="62"/>
    </row>
    <row r="109" spans="1:8" ht="14">
      <c r="A109" s="56" t="s">
        <v>1620</v>
      </c>
      <c r="B109" s="57" t="s">
        <v>836</v>
      </c>
      <c r="C109" s="58">
        <v>40</v>
      </c>
      <c r="D109" s="58">
        <v>60</v>
      </c>
      <c r="E109" s="58">
        <v>13</v>
      </c>
      <c r="F109" s="63"/>
      <c r="G109" s="64" t="s">
        <v>1621</v>
      </c>
      <c r="H109" s="65"/>
    </row>
    <row r="110" spans="1:8" ht="14">
      <c r="A110" s="56" t="s">
        <v>1622</v>
      </c>
      <c r="B110" s="57" t="s">
        <v>843</v>
      </c>
      <c r="C110" s="58">
        <v>40</v>
      </c>
      <c r="D110" s="58">
        <v>60</v>
      </c>
      <c r="E110" s="58">
        <v>16</v>
      </c>
      <c r="F110" s="63"/>
      <c r="G110" s="64" t="s">
        <v>1623</v>
      </c>
      <c r="H110" s="65"/>
    </row>
    <row r="111" spans="1:8" ht="14">
      <c r="A111" s="56" t="s">
        <v>1624</v>
      </c>
      <c r="B111" s="57" t="s">
        <v>1625</v>
      </c>
      <c r="C111" s="58">
        <v>40</v>
      </c>
      <c r="D111" s="58">
        <v>60</v>
      </c>
      <c r="E111" s="58">
        <v>20</v>
      </c>
      <c r="F111" s="63"/>
      <c r="G111" s="64" t="s">
        <v>1626</v>
      </c>
      <c r="H111" s="65"/>
    </row>
    <row r="112" spans="1:8" ht="14">
      <c r="A112" s="56" t="s">
        <v>1627</v>
      </c>
      <c r="B112" s="57" t="s">
        <v>1628</v>
      </c>
      <c r="C112" s="58">
        <v>40</v>
      </c>
      <c r="D112" s="58">
        <v>60</v>
      </c>
      <c r="E112" s="58">
        <v>25</v>
      </c>
      <c r="F112" s="63"/>
      <c r="G112" s="64" t="s">
        <v>1629</v>
      </c>
      <c r="H112" s="65"/>
    </row>
    <row r="113" spans="1:8" ht="14">
      <c r="A113" s="56" t="s">
        <v>1630</v>
      </c>
      <c r="B113" s="57" t="s">
        <v>846</v>
      </c>
      <c r="C113" s="58">
        <v>40</v>
      </c>
      <c r="D113" s="58">
        <v>60</v>
      </c>
      <c r="E113" s="58">
        <v>30</v>
      </c>
      <c r="F113" s="63"/>
      <c r="G113" s="64" t="s">
        <v>1631</v>
      </c>
      <c r="H113" s="65"/>
    </row>
    <row r="114" spans="1:8" ht="14">
      <c r="A114" s="56" t="s">
        <v>1632</v>
      </c>
      <c r="B114" s="57" t="s">
        <v>1633</v>
      </c>
      <c r="C114" s="58">
        <v>40</v>
      </c>
      <c r="D114" s="58">
        <v>60</v>
      </c>
      <c r="E114" s="58">
        <v>35</v>
      </c>
      <c r="F114" s="63"/>
      <c r="G114" s="64" t="s">
        <v>1634</v>
      </c>
      <c r="H114" s="65"/>
    </row>
    <row r="115" spans="1:8" ht="14">
      <c r="A115" s="56" t="s">
        <v>1635</v>
      </c>
      <c r="B115" s="57" t="s">
        <v>850</v>
      </c>
      <c r="C115" s="58">
        <v>40</v>
      </c>
      <c r="D115" s="58">
        <v>60</v>
      </c>
      <c r="E115" s="58">
        <v>88</v>
      </c>
      <c r="F115" s="63"/>
      <c r="G115" s="64" t="s">
        <v>853</v>
      </c>
      <c r="H115" s="65"/>
    </row>
    <row r="116" spans="1:8" ht="14">
      <c r="A116" s="52" t="s">
        <v>1636</v>
      </c>
      <c r="B116" s="53" t="s">
        <v>854</v>
      </c>
      <c r="C116" s="54">
        <v>40</v>
      </c>
      <c r="D116" s="54">
        <v>75</v>
      </c>
      <c r="E116" s="60"/>
      <c r="F116" s="60"/>
      <c r="G116" s="61" t="s">
        <v>1637</v>
      </c>
      <c r="H116" s="62"/>
    </row>
    <row r="117" spans="1:8" ht="14">
      <c r="A117" s="56" t="s">
        <v>1638</v>
      </c>
      <c r="B117" s="57" t="s">
        <v>859</v>
      </c>
      <c r="C117" s="58">
        <v>40</v>
      </c>
      <c r="D117" s="58">
        <v>75</v>
      </c>
      <c r="E117" s="58">
        <v>15</v>
      </c>
      <c r="F117" s="63"/>
      <c r="G117" s="64" t="s">
        <v>861</v>
      </c>
      <c r="H117" s="65"/>
    </row>
    <row r="118" spans="1:8" ht="14">
      <c r="A118" s="56" t="s">
        <v>1639</v>
      </c>
      <c r="B118" s="57" t="s">
        <v>1640</v>
      </c>
      <c r="C118" s="58">
        <v>40</v>
      </c>
      <c r="D118" s="58">
        <v>75</v>
      </c>
      <c r="E118" s="58">
        <v>20</v>
      </c>
      <c r="F118" s="69"/>
      <c r="G118" s="64" t="s">
        <v>1641</v>
      </c>
      <c r="H118" s="65"/>
    </row>
    <row r="119" spans="1:8" ht="14">
      <c r="A119" s="56" t="s">
        <v>1642</v>
      </c>
      <c r="B119" s="57" t="s">
        <v>1643</v>
      </c>
      <c r="C119" s="58">
        <v>40</v>
      </c>
      <c r="D119" s="58">
        <v>75</v>
      </c>
      <c r="E119" s="58">
        <v>25</v>
      </c>
      <c r="F119" s="63"/>
      <c r="G119" s="64" t="s">
        <v>1644</v>
      </c>
      <c r="H119" s="65"/>
    </row>
    <row r="120" spans="1:8" ht="14">
      <c r="A120" s="56" t="s">
        <v>1645</v>
      </c>
      <c r="B120" s="57" t="s">
        <v>1646</v>
      </c>
      <c r="C120" s="58">
        <v>40</v>
      </c>
      <c r="D120" s="58">
        <v>75</v>
      </c>
      <c r="E120" s="58">
        <v>30</v>
      </c>
      <c r="F120" s="63"/>
      <c r="G120" s="64" t="s">
        <v>1647</v>
      </c>
      <c r="H120" s="65"/>
    </row>
    <row r="121" spans="1:8" ht="14">
      <c r="A121" s="56" t="s">
        <v>1648</v>
      </c>
      <c r="B121" s="57" t="s">
        <v>865</v>
      </c>
      <c r="C121" s="58">
        <v>40</v>
      </c>
      <c r="D121" s="58">
        <v>75</v>
      </c>
      <c r="E121" s="58">
        <v>68</v>
      </c>
      <c r="F121" s="63"/>
      <c r="G121" s="64" t="s">
        <v>867</v>
      </c>
      <c r="H121" s="65"/>
    </row>
    <row r="122" spans="1:8" ht="14">
      <c r="A122" s="47" t="s">
        <v>1649</v>
      </c>
      <c r="B122" s="48" t="s">
        <v>871</v>
      </c>
      <c r="C122" s="49">
        <v>42</v>
      </c>
      <c r="D122" s="50"/>
      <c r="E122" s="50"/>
      <c r="F122" s="50"/>
      <c r="G122" s="67" t="s">
        <v>1650</v>
      </c>
      <c r="H122" s="68"/>
    </row>
    <row r="123" spans="1:8" ht="14">
      <c r="A123" s="52" t="s">
        <v>1651</v>
      </c>
      <c r="B123" s="53" t="s">
        <v>876</v>
      </c>
      <c r="C123" s="54">
        <v>42</v>
      </c>
      <c r="D123" s="54">
        <v>40</v>
      </c>
      <c r="E123" s="66"/>
      <c r="F123" s="66"/>
      <c r="G123" s="61" t="s">
        <v>1652</v>
      </c>
      <c r="H123" s="62"/>
    </row>
    <row r="124" spans="1:8" ht="14">
      <c r="A124" s="56" t="s">
        <v>1653</v>
      </c>
      <c r="B124" s="57" t="s">
        <v>879</v>
      </c>
      <c r="C124" s="58">
        <v>42</v>
      </c>
      <c r="D124" s="58">
        <v>40</v>
      </c>
      <c r="E124" s="58">
        <v>10</v>
      </c>
      <c r="F124" s="63"/>
      <c r="G124" s="64" t="s">
        <v>881</v>
      </c>
      <c r="H124" s="65"/>
    </row>
    <row r="125" spans="1:8" ht="14">
      <c r="A125" s="56" t="s">
        <v>1654</v>
      </c>
      <c r="B125" s="57" t="s">
        <v>1655</v>
      </c>
      <c r="C125" s="58">
        <v>42</v>
      </c>
      <c r="D125" s="58">
        <v>40</v>
      </c>
      <c r="E125" s="58">
        <v>20</v>
      </c>
      <c r="F125" s="63"/>
      <c r="G125" s="64" t="s">
        <v>1656</v>
      </c>
      <c r="H125" s="65"/>
    </row>
    <row r="126" spans="1:8" ht="14">
      <c r="A126" s="56" t="s">
        <v>1657</v>
      </c>
      <c r="B126" s="57" t="s">
        <v>883</v>
      </c>
      <c r="C126" s="58">
        <v>42</v>
      </c>
      <c r="D126" s="58">
        <v>40</v>
      </c>
      <c r="E126" s="58">
        <v>40</v>
      </c>
      <c r="F126" s="63"/>
      <c r="G126" s="64" t="s">
        <v>1658</v>
      </c>
      <c r="H126" s="65"/>
    </row>
    <row r="127" spans="1:8" ht="14">
      <c r="A127" s="56" t="s">
        <v>1659</v>
      </c>
      <c r="B127" s="57" t="s">
        <v>1660</v>
      </c>
      <c r="C127" s="58">
        <v>42</v>
      </c>
      <c r="D127" s="58">
        <v>40</v>
      </c>
      <c r="E127" s="58">
        <v>45</v>
      </c>
      <c r="F127" s="63"/>
      <c r="G127" s="64" t="s">
        <v>1661</v>
      </c>
      <c r="H127" s="65"/>
    </row>
    <row r="128" spans="1:8" ht="14">
      <c r="A128" s="52" t="s">
        <v>1662</v>
      </c>
      <c r="B128" s="53" t="s">
        <v>886</v>
      </c>
      <c r="C128" s="54">
        <v>42</v>
      </c>
      <c r="D128" s="54">
        <v>50</v>
      </c>
      <c r="E128" s="66"/>
      <c r="F128" s="66"/>
      <c r="G128" s="61" t="s">
        <v>1663</v>
      </c>
      <c r="H128" s="62"/>
    </row>
    <row r="129" spans="1:8" ht="14">
      <c r="A129" s="56" t="s">
        <v>1664</v>
      </c>
      <c r="B129" s="57" t="s">
        <v>889</v>
      </c>
      <c r="C129" s="58">
        <v>42</v>
      </c>
      <c r="D129" s="58">
        <v>50</v>
      </c>
      <c r="E129" s="58">
        <v>10</v>
      </c>
      <c r="F129" s="63"/>
      <c r="G129" s="64" t="s">
        <v>892</v>
      </c>
      <c r="H129" s="65"/>
    </row>
    <row r="130" spans="1:8" ht="14">
      <c r="A130" s="56" t="s">
        <v>1665</v>
      </c>
      <c r="B130" s="57" t="s">
        <v>1666</v>
      </c>
      <c r="C130" s="58">
        <v>42</v>
      </c>
      <c r="D130" s="58">
        <v>50</v>
      </c>
      <c r="E130" s="58">
        <v>20</v>
      </c>
      <c r="F130" s="63"/>
      <c r="G130" s="64" t="s">
        <v>1667</v>
      </c>
      <c r="H130" s="65"/>
    </row>
    <row r="131" spans="1:8" ht="14">
      <c r="A131" s="56" t="s">
        <v>1668</v>
      </c>
      <c r="B131" s="57" t="s">
        <v>894</v>
      </c>
      <c r="C131" s="58">
        <v>42</v>
      </c>
      <c r="D131" s="58">
        <v>50</v>
      </c>
      <c r="E131" s="58">
        <v>30</v>
      </c>
      <c r="F131" s="63"/>
      <c r="G131" s="64" t="s">
        <v>896</v>
      </c>
      <c r="H131" s="65"/>
    </row>
    <row r="132" spans="1:8" ht="14">
      <c r="A132" s="56" t="s">
        <v>1669</v>
      </c>
      <c r="B132" s="57" t="s">
        <v>897</v>
      </c>
      <c r="C132" s="58">
        <v>42</v>
      </c>
      <c r="D132" s="58">
        <v>50</v>
      </c>
      <c r="E132" s="58">
        <v>60</v>
      </c>
      <c r="F132" s="63"/>
      <c r="G132" s="64" t="s">
        <v>1670</v>
      </c>
      <c r="H132" s="65"/>
    </row>
    <row r="133" spans="1:8" ht="14">
      <c r="A133" s="56" t="s">
        <v>1671</v>
      </c>
      <c r="B133" s="57" t="s">
        <v>900</v>
      </c>
      <c r="C133" s="58">
        <v>42</v>
      </c>
      <c r="D133" s="58">
        <v>50</v>
      </c>
      <c r="E133" s="58">
        <v>70</v>
      </c>
      <c r="F133" s="69"/>
      <c r="G133" s="64" t="s">
        <v>1672</v>
      </c>
      <c r="H133" s="65"/>
    </row>
    <row r="134" spans="1:8" ht="14">
      <c r="A134" s="52" t="s">
        <v>1673</v>
      </c>
      <c r="B134" s="53" t="s">
        <v>906</v>
      </c>
      <c r="C134" s="54">
        <v>42</v>
      </c>
      <c r="D134" s="54">
        <v>85</v>
      </c>
      <c r="E134" s="60"/>
      <c r="F134" s="60"/>
      <c r="G134" s="61" t="s">
        <v>1674</v>
      </c>
      <c r="H134" s="62"/>
    </row>
    <row r="135" spans="1:8" ht="14">
      <c r="A135" s="56" t="s">
        <v>1675</v>
      </c>
      <c r="B135" s="57" t="s">
        <v>911</v>
      </c>
      <c r="C135" s="58">
        <v>42</v>
      </c>
      <c r="D135" s="58">
        <v>85</v>
      </c>
      <c r="E135" s="58">
        <v>40</v>
      </c>
      <c r="F135" s="63"/>
      <c r="G135" s="64" t="s">
        <v>1676</v>
      </c>
      <c r="H135" s="65"/>
    </row>
    <row r="136" spans="1:8" ht="14">
      <c r="A136" s="56" t="s">
        <v>1677</v>
      </c>
      <c r="B136" s="57" t="s">
        <v>915</v>
      </c>
      <c r="C136" s="58">
        <v>42</v>
      </c>
      <c r="D136" s="58">
        <v>85</v>
      </c>
      <c r="E136" s="58">
        <v>60</v>
      </c>
      <c r="F136" s="63"/>
      <c r="G136" s="64" t="s">
        <v>1678</v>
      </c>
      <c r="H136" s="65"/>
    </row>
    <row r="137" spans="1:8" ht="14">
      <c r="A137" s="56" t="s">
        <v>1679</v>
      </c>
      <c r="B137" s="57" t="s">
        <v>919</v>
      </c>
      <c r="C137" s="58">
        <v>42</v>
      </c>
      <c r="D137" s="58">
        <v>85</v>
      </c>
      <c r="E137" s="58">
        <v>96</v>
      </c>
      <c r="F137" s="63"/>
      <c r="G137" s="64" t="s">
        <v>1680</v>
      </c>
      <c r="H137" s="65"/>
    </row>
    <row r="138" spans="1:8" ht="14">
      <c r="A138" s="52" t="s">
        <v>1681</v>
      </c>
      <c r="B138" s="53" t="s">
        <v>1682</v>
      </c>
      <c r="C138" s="54">
        <v>42</v>
      </c>
      <c r="D138" s="54">
        <v>90</v>
      </c>
      <c r="E138" s="60"/>
      <c r="F138" s="60"/>
      <c r="G138" s="61" t="s">
        <v>1683</v>
      </c>
      <c r="H138" s="62"/>
    </row>
    <row r="139" spans="1:8" ht="14">
      <c r="A139" s="56" t="s">
        <v>1684</v>
      </c>
      <c r="B139" s="57" t="s">
        <v>1685</v>
      </c>
      <c r="C139" s="58">
        <v>42</v>
      </c>
      <c r="D139" s="58">
        <v>90</v>
      </c>
      <c r="E139" s="58">
        <v>5</v>
      </c>
      <c r="F139" s="63"/>
      <c r="G139" s="64" t="s">
        <v>1686</v>
      </c>
      <c r="H139" s="65"/>
    </row>
    <row r="140" spans="1:8" ht="14">
      <c r="A140" s="56" t="s">
        <v>1687</v>
      </c>
      <c r="B140" s="57" t="s">
        <v>1688</v>
      </c>
      <c r="C140" s="58">
        <v>42</v>
      </c>
      <c r="D140" s="58">
        <v>90</v>
      </c>
      <c r="E140" s="58">
        <v>10</v>
      </c>
      <c r="F140" s="69"/>
      <c r="G140" s="64" t="s">
        <v>1689</v>
      </c>
      <c r="H140" s="65"/>
    </row>
    <row r="141" spans="1:8" ht="14">
      <c r="A141" s="47" t="s">
        <v>1690</v>
      </c>
      <c r="B141" s="48" t="s">
        <v>1691</v>
      </c>
      <c r="C141" s="49">
        <v>45</v>
      </c>
      <c r="D141" s="70"/>
      <c r="E141" s="70"/>
      <c r="F141" s="70"/>
      <c r="G141" s="67" t="s">
        <v>1692</v>
      </c>
      <c r="H141" s="68"/>
    </row>
    <row r="142" spans="1:8" ht="14">
      <c r="A142" s="47" t="s">
        <v>1693</v>
      </c>
      <c r="B142" s="48" t="s">
        <v>922</v>
      </c>
      <c r="C142" s="49">
        <v>45</v>
      </c>
      <c r="D142" s="70"/>
      <c r="E142" s="70"/>
      <c r="F142" s="70"/>
      <c r="G142" s="67" t="s">
        <v>1694</v>
      </c>
      <c r="H142" s="68"/>
    </row>
    <row r="143" spans="1:8" ht="14">
      <c r="A143" s="52" t="s">
        <v>1695</v>
      </c>
      <c r="B143" s="53" t="s">
        <v>925</v>
      </c>
      <c r="C143" s="54">
        <v>45</v>
      </c>
      <c r="D143" s="54">
        <v>10</v>
      </c>
      <c r="E143" s="60"/>
      <c r="F143" s="60"/>
      <c r="G143" s="61" t="s">
        <v>1696</v>
      </c>
      <c r="H143" s="62"/>
    </row>
    <row r="144" spans="1:8" ht="14">
      <c r="A144" s="56" t="s">
        <v>1697</v>
      </c>
      <c r="B144" s="57" t="s">
        <v>936</v>
      </c>
      <c r="C144" s="58">
        <v>45</v>
      </c>
      <c r="D144" s="58">
        <v>10</v>
      </c>
      <c r="E144" s="58">
        <v>15</v>
      </c>
      <c r="F144" s="63"/>
      <c r="G144" s="64" t="s">
        <v>938</v>
      </c>
      <c r="H144" s="65"/>
    </row>
    <row r="145" spans="1:8" ht="14">
      <c r="A145" s="56" t="s">
        <v>1698</v>
      </c>
      <c r="B145" s="57" t="s">
        <v>1699</v>
      </c>
      <c r="C145" s="58">
        <v>45</v>
      </c>
      <c r="D145" s="58">
        <v>10</v>
      </c>
      <c r="E145" s="58">
        <v>16</v>
      </c>
      <c r="F145" s="69"/>
      <c r="G145" s="64" t="s">
        <v>1700</v>
      </c>
      <c r="H145" s="65"/>
    </row>
    <row r="146" spans="1:8" ht="14">
      <c r="A146" s="56" t="s">
        <v>1701</v>
      </c>
      <c r="B146" s="57" t="s">
        <v>1702</v>
      </c>
      <c r="C146" s="58">
        <v>45</v>
      </c>
      <c r="D146" s="58">
        <v>10</v>
      </c>
      <c r="E146" s="58">
        <v>17</v>
      </c>
      <c r="F146" s="69"/>
      <c r="G146" s="64" t="s">
        <v>1703</v>
      </c>
      <c r="H146" s="65"/>
    </row>
    <row r="147" spans="1:8" ht="14">
      <c r="A147" s="56" t="s">
        <v>1704</v>
      </c>
      <c r="B147" s="57" t="s">
        <v>1705</v>
      </c>
      <c r="C147" s="58">
        <v>45</v>
      </c>
      <c r="D147" s="58">
        <v>10</v>
      </c>
      <c r="E147" s="58">
        <v>18</v>
      </c>
      <c r="F147" s="69"/>
      <c r="G147" s="64" t="s">
        <v>1706</v>
      </c>
      <c r="H147" s="65"/>
    </row>
    <row r="148" spans="1:8" ht="14">
      <c r="A148" s="56" t="s">
        <v>1707</v>
      </c>
      <c r="B148" s="57" t="s">
        <v>1708</v>
      </c>
      <c r="C148" s="58">
        <v>45</v>
      </c>
      <c r="D148" s="58">
        <v>10</v>
      </c>
      <c r="E148" s="58">
        <v>23</v>
      </c>
      <c r="F148" s="69"/>
      <c r="G148" s="64" t="s">
        <v>1709</v>
      </c>
      <c r="H148" s="65"/>
    </row>
    <row r="149" spans="1:8" ht="14">
      <c r="A149" s="56" t="s">
        <v>1710</v>
      </c>
      <c r="B149" s="57" t="s">
        <v>1711</v>
      </c>
      <c r="C149" s="58">
        <v>45</v>
      </c>
      <c r="D149" s="58">
        <v>10</v>
      </c>
      <c r="E149" s="58">
        <v>24</v>
      </c>
      <c r="F149" s="63"/>
      <c r="G149" s="64" t="s">
        <v>1712</v>
      </c>
      <c r="H149" s="65"/>
    </row>
    <row r="150" spans="1:8" ht="14">
      <c r="A150" s="56" t="s">
        <v>1713</v>
      </c>
      <c r="B150" s="57" t="s">
        <v>1714</v>
      </c>
      <c r="C150" s="58">
        <v>45</v>
      </c>
      <c r="D150" s="58">
        <v>10</v>
      </c>
      <c r="E150" s="58">
        <v>25</v>
      </c>
      <c r="F150" s="63"/>
      <c r="G150" s="64" t="s">
        <v>1715</v>
      </c>
      <c r="H150" s="65"/>
    </row>
    <row r="151" spans="1:8" ht="14">
      <c r="A151" s="56" t="s">
        <v>1716</v>
      </c>
      <c r="B151" s="57" t="s">
        <v>1717</v>
      </c>
      <c r="C151" s="58">
        <v>45</v>
      </c>
      <c r="D151" s="58">
        <v>10</v>
      </c>
      <c r="E151" s="58">
        <v>44</v>
      </c>
      <c r="F151" s="63"/>
      <c r="G151" s="64" t="s">
        <v>1718</v>
      </c>
      <c r="H151" s="65"/>
    </row>
    <row r="152" spans="1:8" ht="14">
      <c r="A152" s="56" t="s">
        <v>1719</v>
      </c>
      <c r="B152" s="57" t="s">
        <v>1720</v>
      </c>
      <c r="C152" s="58">
        <v>45</v>
      </c>
      <c r="D152" s="58">
        <v>10</v>
      </c>
      <c r="E152" s="58">
        <v>45</v>
      </c>
      <c r="F152" s="63"/>
      <c r="G152" s="64" t="s">
        <v>1721</v>
      </c>
      <c r="H152" s="65"/>
    </row>
    <row r="153" spans="1:8" ht="14">
      <c r="A153" s="56" t="s">
        <v>1722</v>
      </c>
      <c r="B153" s="57" t="s">
        <v>1723</v>
      </c>
      <c r="C153" s="58">
        <v>45</v>
      </c>
      <c r="D153" s="58">
        <v>10</v>
      </c>
      <c r="E153" s="58">
        <v>47</v>
      </c>
      <c r="F153" s="63"/>
      <c r="G153" s="64" t="s">
        <v>1724</v>
      </c>
      <c r="H153" s="65"/>
    </row>
    <row r="154" spans="1:8" ht="14">
      <c r="A154" s="56" t="s">
        <v>1725</v>
      </c>
      <c r="B154" s="57" t="s">
        <v>973</v>
      </c>
      <c r="C154" s="58">
        <v>45</v>
      </c>
      <c r="D154" s="58">
        <v>10</v>
      </c>
      <c r="E154" s="58">
        <v>78</v>
      </c>
      <c r="F154" s="63"/>
      <c r="G154" s="64" t="s">
        <v>1726</v>
      </c>
      <c r="H154" s="65"/>
    </row>
    <row r="155" spans="1:8" ht="14">
      <c r="A155" s="47" t="s">
        <v>1727</v>
      </c>
      <c r="B155" s="48" t="s">
        <v>1728</v>
      </c>
      <c r="C155" s="49">
        <v>47</v>
      </c>
      <c r="D155" s="50"/>
      <c r="E155" s="50"/>
      <c r="F155" s="50"/>
      <c r="G155" s="67" t="s">
        <v>1729</v>
      </c>
      <c r="H155" s="71"/>
    </row>
    <row r="156" spans="1:8" ht="14">
      <c r="A156" s="52" t="s">
        <v>1730</v>
      </c>
      <c r="B156" s="53" t="s">
        <v>1731</v>
      </c>
      <c r="C156" s="54">
        <v>47</v>
      </c>
      <c r="D156" s="54">
        <v>10</v>
      </c>
      <c r="E156" s="60"/>
      <c r="F156" s="60"/>
      <c r="G156" s="61" t="s">
        <v>1732</v>
      </c>
      <c r="H156" s="62"/>
    </row>
    <row r="157" spans="1:8" ht="14">
      <c r="A157" s="56" t="s">
        <v>1733</v>
      </c>
      <c r="B157" s="57" t="s">
        <v>1734</v>
      </c>
      <c r="C157" s="58">
        <v>47</v>
      </c>
      <c r="D157" s="58">
        <v>10</v>
      </c>
      <c r="E157" s="58">
        <v>5</v>
      </c>
      <c r="F157" s="63"/>
      <c r="G157" s="64" t="s">
        <v>952</v>
      </c>
      <c r="H157" s="65"/>
    </row>
    <row r="158" spans="1:8" ht="14">
      <c r="A158" s="56" t="s">
        <v>1735</v>
      </c>
      <c r="B158" s="57" t="s">
        <v>1736</v>
      </c>
      <c r="C158" s="58">
        <v>47</v>
      </c>
      <c r="D158" s="58">
        <v>10</v>
      </c>
      <c r="E158" s="58">
        <v>10</v>
      </c>
      <c r="F158" s="63"/>
      <c r="G158" s="64" t="s">
        <v>1737</v>
      </c>
      <c r="H158" s="65"/>
    </row>
    <row r="159" spans="1:8" ht="14">
      <c r="A159" s="56" t="s">
        <v>1738</v>
      </c>
      <c r="B159" s="57" t="s">
        <v>1739</v>
      </c>
      <c r="C159" s="58">
        <v>47</v>
      </c>
      <c r="D159" s="58">
        <v>10</v>
      </c>
      <c r="E159" s="58">
        <v>15</v>
      </c>
      <c r="F159" s="63"/>
      <c r="G159" s="64" t="s">
        <v>1740</v>
      </c>
      <c r="H159" s="65"/>
    </row>
    <row r="160" spans="1:8" ht="14">
      <c r="A160" s="56" t="s">
        <v>1741</v>
      </c>
      <c r="B160" s="57" t="s">
        <v>1742</v>
      </c>
      <c r="C160" s="58">
        <v>47</v>
      </c>
      <c r="D160" s="58">
        <v>10</v>
      </c>
      <c r="E160" s="58">
        <v>20</v>
      </c>
      <c r="F160" s="63"/>
      <c r="G160" s="64" t="s">
        <v>1743</v>
      </c>
      <c r="H160" s="65"/>
    </row>
    <row r="161" spans="1:8" ht="14">
      <c r="A161" s="56" t="s">
        <v>1744</v>
      </c>
      <c r="B161" s="57" t="s">
        <v>1745</v>
      </c>
      <c r="C161" s="58">
        <v>47</v>
      </c>
      <c r="D161" s="58">
        <v>10</v>
      </c>
      <c r="E161" s="58">
        <v>25</v>
      </c>
      <c r="F161" s="63"/>
      <c r="G161" s="64" t="s">
        <v>966</v>
      </c>
      <c r="H161" s="65"/>
    </row>
    <row r="162" spans="1:8" ht="14">
      <c r="A162" s="56" t="s">
        <v>1746</v>
      </c>
      <c r="B162" s="57" t="s">
        <v>1747</v>
      </c>
      <c r="C162" s="58">
        <v>47</v>
      </c>
      <c r="D162" s="58">
        <v>10</v>
      </c>
      <c r="E162" s="58">
        <v>30</v>
      </c>
      <c r="F162" s="63"/>
      <c r="G162" s="64" t="s">
        <v>1748</v>
      </c>
      <c r="H162" s="65"/>
    </row>
    <row r="163" spans="1:8" ht="14">
      <c r="A163" s="52" t="s">
        <v>1749</v>
      </c>
      <c r="B163" s="53" t="s">
        <v>1750</v>
      </c>
      <c r="C163" s="54">
        <v>47</v>
      </c>
      <c r="D163" s="54">
        <v>20</v>
      </c>
      <c r="E163" s="66"/>
      <c r="F163" s="66"/>
      <c r="G163" s="61" t="s">
        <v>1751</v>
      </c>
      <c r="H163" s="62"/>
    </row>
    <row r="164" spans="1:8" ht="14">
      <c r="A164" s="56" t="s">
        <v>1752</v>
      </c>
      <c r="B164" s="57" t="s">
        <v>1753</v>
      </c>
      <c r="C164" s="58">
        <v>47</v>
      </c>
      <c r="D164" s="58">
        <v>20</v>
      </c>
      <c r="E164" s="58">
        <v>5</v>
      </c>
      <c r="F164" s="63"/>
      <c r="G164" s="64" t="s">
        <v>1754</v>
      </c>
      <c r="H164" s="65"/>
    </row>
    <row r="165" spans="1:8" ht="14">
      <c r="A165" s="56" t="s">
        <v>1755</v>
      </c>
      <c r="B165" s="57" t="s">
        <v>1756</v>
      </c>
      <c r="C165" s="58">
        <v>47</v>
      </c>
      <c r="D165" s="58">
        <v>20</v>
      </c>
      <c r="E165" s="58">
        <v>10</v>
      </c>
      <c r="F165" s="63"/>
      <c r="G165" s="64" t="s">
        <v>1757</v>
      </c>
      <c r="H165" s="65"/>
    </row>
    <row r="166" spans="1:8" ht="14">
      <c r="A166" s="56" t="s">
        <v>1758</v>
      </c>
      <c r="B166" s="57" t="s">
        <v>1759</v>
      </c>
      <c r="C166" s="58">
        <v>47</v>
      </c>
      <c r="D166" s="58">
        <v>20</v>
      </c>
      <c r="E166" s="58">
        <v>15</v>
      </c>
      <c r="F166" s="63"/>
      <c r="G166" s="64" t="s">
        <v>1760</v>
      </c>
      <c r="H166" s="65"/>
    </row>
    <row r="167" spans="1:8" ht="14">
      <c r="A167" s="52" t="s">
        <v>1761</v>
      </c>
      <c r="B167" s="53" t="s">
        <v>1762</v>
      </c>
      <c r="C167" s="54">
        <v>47</v>
      </c>
      <c r="D167" s="54">
        <v>30</v>
      </c>
      <c r="E167" s="60"/>
      <c r="F167" s="60"/>
      <c r="G167" s="61" t="s">
        <v>932</v>
      </c>
      <c r="H167" s="62"/>
    </row>
    <row r="168" spans="1:8" ht="14">
      <c r="A168" s="52" t="s">
        <v>1763</v>
      </c>
      <c r="B168" s="53" t="s">
        <v>1764</v>
      </c>
      <c r="C168" s="54">
        <v>47</v>
      </c>
      <c r="D168" s="54">
        <v>50</v>
      </c>
      <c r="E168" s="60"/>
      <c r="F168" s="60"/>
      <c r="G168" s="61" t="s">
        <v>1765</v>
      </c>
      <c r="H168" s="62"/>
    </row>
    <row r="169" spans="1:8" ht="14">
      <c r="A169" s="56" t="s">
        <v>1766</v>
      </c>
      <c r="B169" s="57" t="s">
        <v>1767</v>
      </c>
      <c r="C169" s="58">
        <v>47</v>
      </c>
      <c r="D169" s="58">
        <v>50</v>
      </c>
      <c r="E169" s="58">
        <v>5</v>
      </c>
      <c r="F169" s="63"/>
      <c r="G169" s="64" t="s">
        <v>1768</v>
      </c>
      <c r="H169" s="65"/>
    </row>
    <row r="170" spans="1:8" ht="14">
      <c r="A170" s="56" t="s">
        <v>1769</v>
      </c>
      <c r="B170" s="57" t="s">
        <v>1770</v>
      </c>
      <c r="C170" s="58">
        <v>47</v>
      </c>
      <c r="D170" s="58">
        <v>50</v>
      </c>
      <c r="E170" s="58">
        <v>10</v>
      </c>
      <c r="F170" s="63"/>
      <c r="G170" s="64" t="s">
        <v>1771</v>
      </c>
      <c r="H170" s="65"/>
    </row>
    <row r="171" spans="1:8" ht="14">
      <c r="A171" s="56" t="s">
        <v>1772</v>
      </c>
      <c r="B171" s="57" t="s">
        <v>1773</v>
      </c>
      <c r="C171" s="58">
        <v>47</v>
      </c>
      <c r="D171" s="58">
        <v>50</v>
      </c>
      <c r="E171" s="58">
        <v>15</v>
      </c>
      <c r="F171" s="63"/>
      <c r="G171" s="64" t="s">
        <v>1774</v>
      </c>
      <c r="H171" s="65"/>
    </row>
    <row r="172" spans="1:8" ht="14">
      <c r="A172" s="52" t="s">
        <v>1775</v>
      </c>
      <c r="B172" s="53" t="s">
        <v>1776</v>
      </c>
      <c r="C172" s="54">
        <v>47</v>
      </c>
      <c r="D172" s="54">
        <v>60</v>
      </c>
      <c r="E172" s="66"/>
      <c r="F172" s="66"/>
      <c r="G172" s="61" t="s">
        <v>1777</v>
      </c>
      <c r="H172" s="62"/>
    </row>
    <row r="173" spans="1:8" ht="14">
      <c r="A173" s="56" t="s">
        <v>1778</v>
      </c>
      <c r="B173" s="57" t="s">
        <v>1779</v>
      </c>
      <c r="C173" s="58">
        <v>47</v>
      </c>
      <c r="D173" s="58">
        <v>60</v>
      </c>
      <c r="E173" s="58">
        <v>5</v>
      </c>
      <c r="F173" s="63"/>
      <c r="G173" s="64" t="s">
        <v>1780</v>
      </c>
      <c r="H173" s="65"/>
    </row>
    <row r="174" spans="1:8" ht="14">
      <c r="A174" s="56" t="s">
        <v>1781</v>
      </c>
      <c r="B174" s="57" t="s">
        <v>1782</v>
      </c>
      <c r="C174" s="58">
        <v>47</v>
      </c>
      <c r="D174" s="58">
        <v>60</v>
      </c>
      <c r="E174" s="58">
        <v>10</v>
      </c>
      <c r="F174" s="63"/>
      <c r="G174" s="64" t="s">
        <v>1783</v>
      </c>
      <c r="H174" s="65"/>
    </row>
    <row r="175" spans="1:8" ht="14">
      <c r="A175" s="52" t="s">
        <v>1784</v>
      </c>
      <c r="B175" s="53" t="s">
        <v>1785</v>
      </c>
      <c r="C175" s="54">
        <v>47</v>
      </c>
      <c r="D175" s="54">
        <v>70</v>
      </c>
      <c r="E175" s="60"/>
      <c r="F175" s="60"/>
      <c r="G175" s="61" t="s">
        <v>1786</v>
      </c>
      <c r="H175" s="62"/>
    </row>
    <row r="176" spans="1:8" ht="14">
      <c r="A176" s="56" t="s">
        <v>1787</v>
      </c>
      <c r="B176" s="57" t="s">
        <v>1788</v>
      </c>
      <c r="C176" s="58">
        <v>47</v>
      </c>
      <c r="D176" s="58">
        <v>70</v>
      </c>
      <c r="E176" s="58">
        <v>5</v>
      </c>
      <c r="F176" s="63"/>
      <c r="G176" s="64" t="s">
        <v>1789</v>
      </c>
      <c r="H176" s="65"/>
    </row>
    <row r="177" spans="1:8" ht="14">
      <c r="A177" s="56" t="s">
        <v>1790</v>
      </c>
      <c r="B177" s="57" t="s">
        <v>1791</v>
      </c>
      <c r="C177" s="58">
        <v>47</v>
      </c>
      <c r="D177" s="58">
        <v>70</v>
      </c>
      <c r="E177" s="58">
        <v>10</v>
      </c>
      <c r="F177" s="69"/>
      <c r="G177" s="64" t="s">
        <v>1792</v>
      </c>
      <c r="H177" s="65"/>
    </row>
    <row r="178" spans="1:8" ht="14">
      <c r="A178" s="56" t="s">
        <v>1793</v>
      </c>
      <c r="B178" s="57" t="s">
        <v>1794</v>
      </c>
      <c r="C178" s="58">
        <v>47</v>
      </c>
      <c r="D178" s="58">
        <v>70</v>
      </c>
      <c r="E178" s="58">
        <v>15</v>
      </c>
      <c r="F178" s="69"/>
      <c r="G178" s="64" t="s">
        <v>1795</v>
      </c>
      <c r="H178" s="65"/>
    </row>
    <row r="179" spans="1:8" ht="14">
      <c r="A179" s="47" t="s">
        <v>1796</v>
      </c>
      <c r="B179" s="48" t="s">
        <v>979</v>
      </c>
      <c r="C179" s="49">
        <v>50</v>
      </c>
      <c r="D179" s="50"/>
      <c r="E179" s="50"/>
      <c r="F179" s="50"/>
      <c r="G179" s="67" t="s">
        <v>1797</v>
      </c>
      <c r="H179" s="68"/>
    </row>
    <row r="180" spans="1:8" ht="14">
      <c r="A180" s="52" t="s">
        <v>1798</v>
      </c>
      <c r="B180" s="53" t="s">
        <v>983</v>
      </c>
      <c r="C180" s="54">
        <v>50</v>
      </c>
      <c r="D180" s="54">
        <v>20</v>
      </c>
      <c r="E180" s="66"/>
      <c r="F180" s="66"/>
      <c r="G180" s="61" t="s">
        <v>1799</v>
      </c>
      <c r="H180" s="62"/>
    </row>
    <row r="181" spans="1:8" ht="14">
      <c r="A181" s="56" t="s">
        <v>1800</v>
      </c>
      <c r="B181" s="57" t="s">
        <v>986</v>
      </c>
      <c r="C181" s="58">
        <v>50</v>
      </c>
      <c r="D181" s="58">
        <v>20</v>
      </c>
      <c r="E181" s="58">
        <v>10</v>
      </c>
      <c r="F181" s="63"/>
      <c r="G181" s="64" t="s">
        <v>1801</v>
      </c>
      <c r="H181" s="65"/>
    </row>
    <row r="182" spans="1:8" ht="14">
      <c r="A182" s="56" t="s">
        <v>1802</v>
      </c>
      <c r="B182" s="57" t="s">
        <v>989</v>
      </c>
      <c r="C182" s="58">
        <v>50</v>
      </c>
      <c r="D182" s="58">
        <v>20</v>
      </c>
      <c r="E182" s="58">
        <v>20</v>
      </c>
      <c r="F182" s="63"/>
      <c r="G182" s="64" t="s">
        <v>1803</v>
      </c>
      <c r="H182" s="65"/>
    </row>
    <row r="183" spans="1:8" ht="14">
      <c r="A183" s="56" t="s">
        <v>1804</v>
      </c>
      <c r="B183" s="57" t="s">
        <v>1805</v>
      </c>
      <c r="C183" s="58">
        <v>50</v>
      </c>
      <c r="D183" s="58">
        <v>20</v>
      </c>
      <c r="E183" s="58">
        <v>30</v>
      </c>
      <c r="F183" s="63"/>
      <c r="G183" s="64" t="s">
        <v>1806</v>
      </c>
      <c r="H183" s="65"/>
    </row>
    <row r="184" spans="1:8" ht="14">
      <c r="A184" s="52" t="s">
        <v>1807</v>
      </c>
      <c r="B184" s="53" t="s">
        <v>996</v>
      </c>
      <c r="C184" s="54">
        <v>50</v>
      </c>
      <c r="D184" s="54">
        <v>40</v>
      </c>
      <c r="E184" s="66"/>
      <c r="F184" s="66"/>
      <c r="G184" s="61" t="s">
        <v>1808</v>
      </c>
      <c r="H184" s="62"/>
    </row>
    <row r="185" spans="1:8" ht="14">
      <c r="A185" s="56" t="s">
        <v>1809</v>
      </c>
      <c r="B185" s="57" t="s">
        <v>1000</v>
      </c>
      <c r="C185" s="58">
        <v>50</v>
      </c>
      <c r="D185" s="58">
        <v>40</v>
      </c>
      <c r="E185" s="58">
        <v>10</v>
      </c>
      <c r="F185" s="63"/>
      <c r="G185" s="64" t="s">
        <v>1810</v>
      </c>
      <c r="H185" s="65"/>
    </row>
    <row r="186" spans="1:8" ht="14">
      <c r="A186" s="56" t="s">
        <v>1811</v>
      </c>
      <c r="B186" s="57" t="s">
        <v>1004</v>
      </c>
      <c r="C186" s="58">
        <v>50</v>
      </c>
      <c r="D186" s="58">
        <v>40</v>
      </c>
      <c r="E186" s="58">
        <v>50</v>
      </c>
      <c r="F186" s="69"/>
      <c r="G186" s="64" t="s">
        <v>1812</v>
      </c>
      <c r="H186" s="65"/>
    </row>
    <row r="187" spans="1:8" ht="14">
      <c r="A187" s="52" t="s">
        <v>1813</v>
      </c>
      <c r="B187" s="53" t="s">
        <v>1008</v>
      </c>
      <c r="C187" s="54">
        <v>50</v>
      </c>
      <c r="D187" s="54">
        <v>60</v>
      </c>
      <c r="E187" s="66"/>
      <c r="F187" s="66"/>
      <c r="G187" s="61" t="s">
        <v>1814</v>
      </c>
      <c r="H187" s="62"/>
    </row>
    <row r="188" spans="1:8" ht="14">
      <c r="A188" s="56" t="s">
        <v>1815</v>
      </c>
      <c r="B188" s="57" t="s">
        <v>1012</v>
      </c>
      <c r="C188" s="58">
        <v>50</v>
      </c>
      <c r="D188" s="58">
        <v>60</v>
      </c>
      <c r="E188" s="58">
        <v>40</v>
      </c>
      <c r="F188" s="69"/>
      <c r="G188" s="64" t="s">
        <v>1816</v>
      </c>
      <c r="H188" s="65"/>
    </row>
    <row r="189" spans="1:8" ht="14">
      <c r="A189" s="52" t="s">
        <v>1817</v>
      </c>
      <c r="B189" s="53" t="s">
        <v>1018</v>
      </c>
      <c r="C189" s="54">
        <v>50</v>
      </c>
      <c r="D189" s="54">
        <v>80</v>
      </c>
      <c r="E189" s="66"/>
      <c r="F189" s="66"/>
      <c r="G189" s="61" t="s">
        <v>1818</v>
      </c>
      <c r="H189" s="62"/>
    </row>
    <row r="190" spans="1:8" ht="14">
      <c r="A190" s="56" t="s">
        <v>1819</v>
      </c>
      <c r="B190" s="57" t="s">
        <v>1022</v>
      </c>
      <c r="C190" s="58">
        <v>50</v>
      </c>
      <c r="D190" s="58">
        <v>80</v>
      </c>
      <c r="E190" s="58">
        <v>40</v>
      </c>
      <c r="F190" s="69"/>
      <c r="G190" s="64" t="s">
        <v>1820</v>
      </c>
      <c r="H190" s="65"/>
    </row>
    <row r="191" spans="1:8" ht="14">
      <c r="A191" s="56" t="s">
        <v>1821</v>
      </c>
      <c r="B191" s="57" t="s">
        <v>1026</v>
      </c>
      <c r="C191" s="58">
        <v>50</v>
      </c>
      <c r="D191" s="58">
        <v>80</v>
      </c>
      <c r="E191" s="58">
        <v>70</v>
      </c>
      <c r="F191" s="69"/>
      <c r="G191" s="64" t="s">
        <v>1797</v>
      </c>
      <c r="H191" s="65"/>
    </row>
    <row r="192" spans="1:8" ht="14">
      <c r="A192" s="47" t="s">
        <v>1822</v>
      </c>
      <c r="B192" s="48" t="s">
        <v>1030</v>
      </c>
      <c r="C192" s="49">
        <v>55</v>
      </c>
      <c r="D192" s="70"/>
      <c r="E192" s="70"/>
      <c r="F192" s="70"/>
      <c r="G192" s="67" t="s">
        <v>1823</v>
      </c>
      <c r="H192" s="68"/>
    </row>
    <row r="193" spans="1:8" ht="14">
      <c r="A193" s="52" t="s">
        <v>1824</v>
      </c>
      <c r="B193" s="53" t="s">
        <v>1054</v>
      </c>
      <c r="C193" s="54">
        <v>55</v>
      </c>
      <c r="D193" s="54">
        <v>15</v>
      </c>
      <c r="E193" s="66"/>
      <c r="F193" s="66"/>
      <c r="G193" s="61" t="s">
        <v>1825</v>
      </c>
      <c r="H193" s="62"/>
    </row>
    <row r="194" spans="1:8" ht="14">
      <c r="A194" s="56" t="s">
        <v>1826</v>
      </c>
      <c r="B194" s="57" t="s">
        <v>1058</v>
      </c>
      <c r="C194" s="58">
        <v>55</v>
      </c>
      <c r="D194" s="58">
        <v>15</v>
      </c>
      <c r="E194" s="58">
        <v>10</v>
      </c>
      <c r="F194" s="69"/>
      <c r="G194" s="64" t="s">
        <v>1061</v>
      </c>
      <c r="H194" s="65"/>
    </row>
    <row r="195" spans="1:8" ht="14">
      <c r="A195" s="56" t="s">
        <v>1827</v>
      </c>
      <c r="B195" s="57" t="s">
        <v>1062</v>
      </c>
      <c r="C195" s="58">
        <v>55</v>
      </c>
      <c r="D195" s="58">
        <v>15</v>
      </c>
      <c r="E195" s="58">
        <v>50</v>
      </c>
      <c r="F195" s="63"/>
      <c r="G195" s="64" t="s">
        <v>1065</v>
      </c>
      <c r="H195" s="65"/>
    </row>
    <row r="196" spans="1:8" ht="14">
      <c r="A196" s="52" t="s">
        <v>1828</v>
      </c>
      <c r="B196" s="53" t="s">
        <v>1067</v>
      </c>
      <c r="C196" s="54">
        <v>55</v>
      </c>
      <c r="D196" s="54">
        <v>20</v>
      </c>
      <c r="E196" s="60"/>
      <c r="F196" s="60"/>
      <c r="G196" s="61" t="s">
        <v>1079</v>
      </c>
      <c r="H196" s="62"/>
    </row>
    <row r="197" spans="1:8" ht="14">
      <c r="A197" s="56" t="s">
        <v>1829</v>
      </c>
      <c r="B197" s="57" t="s">
        <v>1072</v>
      </c>
      <c r="C197" s="58">
        <v>55</v>
      </c>
      <c r="D197" s="58">
        <v>20</v>
      </c>
      <c r="E197" s="58">
        <v>50</v>
      </c>
      <c r="F197" s="69"/>
      <c r="G197" s="64" t="s">
        <v>1830</v>
      </c>
      <c r="H197" s="65"/>
    </row>
    <row r="198" spans="1:8" ht="14">
      <c r="A198" s="56" t="s">
        <v>1831</v>
      </c>
      <c r="B198" s="57" t="s">
        <v>1076</v>
      </c>
      <c r="C198" s="58">
        <v>55</v>
      </c>
      <c r="D198" s="58">
        <v>20</v>
      </c>
      <c r="E198" s="58">
        <v>60</v>
      </c>
      <c r="F198" s="63"/>
      <c r="G198" s="64" t="s">
        <v>1079</v>
      </c>
      <c r="H198" s="65"/>
    </row>
    <row r="199" spans="1:8" ht="14">
      <c r="A199" s="52" t="s">
        <v>1832</v>
      </c>
      <c r="B199" s="53" t="s">
        <v>1080</v>
      </c>
      <c r="C199" s="54">
        <v>55</v>
      </c>
      <c r="D199" s="54">
        <v>50</v>
      </c>
      <c r="E199" s="60"/>
      <c r="F199" s="60"/>
      <c r="G199" s="61" t="s">
        <v>1083</v>
      </c>
      <c r="H199" s="62"/>
    </row>
    <row r="200" spans="1:8" ht="14">
      <c r="A200" s="56" t="s">
        <v>1833</v>
      </c>
      <c r="B200" s="57" t="s">
        <v>1084</v>
      </c>
      <c r="C200" s="58">
        <v>55</v>
      </c>
      <c r="D200" s="58">
        <v>50</v>
      </c>
      <c r="E200" s="58">
        <v>10</v>
      </c>
      <c r="F200" s="69"/>
      <c r="G200" s="64" t="s">
        <v>1834</v>
      </c>
      <c r="H200" s="65"/>
    </row>
    <row r="201" spans="1:8" ht="14">
      <c r="A201" s="56" t="s">
        <v>1835</v>
      </c>
      <c r="B201" s="57" t="s">
        <v>1087</v>
      </c>
      <c r="C201" s="58">
        <v>55</v>
      </c>
      <c r="D201" s="58">
        <v>50</v>
      </c>
      <c r="E201" s="58">
        <v>50</v>
      </c>
      <c r="F201" s="69"/>
      <c r="G201" s="64" t="s">
        <v>1836</v>
      </c>
      <c r="H201" s="65"/>
    </row>
    <row r="202" spans="1:8" ht="14">
      <c r="A202" s="52" t="s">
        <v>1837</v>
      </c>
      <c r="B202" s="53" t="s">
        <v>1090</v>
      </c>
      <c r="C202" s="54">
        <v>55</v>
      </c>
      <c r="D202" s="54">
        <v>70</v>
      </c>
      <c r="E202" s="66"/>
      <c r="F202" s="66"/>
      <c r="G202" s="61" t="s">
        <v>1838</v>
      </c>
      <c r="H202" s="62"/>
    </row>
    <row r="203" spans="1:8" ht="14">
      <c r="A203" s="56" t="s">
        <v>1839</v>
      </c>
      <c r="B203" s="57" t="s">
        <v>1094</v>
      </c>
      <c r="C203" s="58">
        <v>55</v>
      </c>
      <c r="D203" s="58">
        <v>70</v>
      </c>
      <c r="E203" s="58">
        <v>20</v>
      </c>
      <c r="F203" s="63"/>
      <c r="G203" s="64" t="s">
        <v>1840</v>
      </c>
      <c r="H203" s="65"/>
    </row>
    <row r="204" spans="1:8" ht="14">
      <c r="A204" s="56" t="s">
        <v>1841</v>
      </c>
      <c r="B204" s="57" t="s">
        <v>1098</v>
      </c>
      <c r="C204" s="58">
        <v>55</v>
      </c>
      <c r="D204" s="58">
        <v>70</v>
      </c>
      <c r="E204" s="58">
        <v>60</v>
      </c>
      <c r="F204" s="63"/>
      <c r="G204" s="64" t="s">
        <v>1842</v>
      </c>
      <c r="H204" s="65"/>
    </row>
    <row r="205" spans="1:8" ht="14">
      <c r="A205" s="47" t="s">
        <v>1843</v>
      </c>
      <c r="B205" s="48" t="s">
        <v>1121</v>
      </c>
      <c r="C205" s="49">
        <v>70</v>
      </c>
      <c r="D205" s="50"/>
      <c r="E205" s="50"/>
      <c r="F205" s="50"/>
      <c r="G205" s="67" t="s">
        <v>1844</v>
      </c>
      <c r="H205" s="71"/>
    </row>
    <row r="206" spans="1:8" ht="14">
      <c r="A206" s="52" t="s">
        <v>1845</v>
      </c>
      <c r="B206" s="53" t="s">
        <v>1125</v>
      </c>
      <c r="C206" s="54">
        <v>70</v>
      </c>
      <c r="D206" s="54">
        <v>10</v>
      </c>
      <c r="E206" s="66"/>
      <c r="F206" s="66"/>
      <c r="G206" s="61" t="s">
        <v>1846</v>
      </c>
      <c r="H206" s="62"/>
    </row>
    <row r="207" spans="1:8" ht="14">
      <c r="A207" s="56" t="s">
        <v>1847</v>
      </c>
      <c r="B207" s="57" t="s">
        <v>1140</v>
      </c>
      <c r="C207" s="58">
        <v>70</v>
      </c>
      <c r="D207" s="58">
        <v>10</v>
      </c>
      <c r="E207" s="58">
        <v>34</v>
      </c>
      <c r="F207" s="63"/>
      <c r="G207" s="64" t="s">
        <v>1848</v>
      </c>
      <c r="H207" s="65"/>
    </row>
    <row r="208" spans="1:8" ht="14">
      <c r="A208" s="56" t="s">
        <v>1849</v>
      </c>
      <c r="B208" s="57" t="s">
        <v>1143</v>
      </c>
      <c r="C208" s="58">
        <v>70</v>
      </c>
      <c r="D208" s="58">
        <v>10</v>
      </c>
      <c r="E208" s="58">
        <v>38</v>
      </c>
      <c r="F208" s="63"/>
      <c r="G208" s="64" t="s">
        <v>1850</v>
      </c>
      <c r="H208" s="65"/>
    </row>
    <row r="209" spans="1:8" ht="14">
      <c r="A209" s="56" t="s">
        <v>1851</v>
      </c>
      <c r="B209" s="57" t="s">
        <v>1852</v>
      </c>
      <c r="C209" s="58">
        <v>70</v>
      </c>
      <c r="D209" s="58">
        <v>10</v>
      </c>
      <c r="E209" s="58">
        <v>50</v>
      </c>
      <c r="F209" s="63"/>
      <c r="G209" s="64" t="s">
        <v>1853</v>
      </c>
      <c r="H209" s="65"/>
    </row>
    <row r="210" spans="1:8" ht="14">
      <c r="A210" s="56" t="s">
        <v>1854</v>
      </c>
      <c r="B210" s="57" t="s">
        <v>1159</v>
      </c>
      <c r="C210" s="58">
        <v>70</v>
      </c>
      <c r="D210" s="58">
        <v>10</v>
      </c>
      <c r="E210" s="58">
        <v>60</v>
      </c>
      <c r="F210" s="63"/>
      <c r="G210" s="64" t="s">
        <v>1855</v>
      </c>
      <c r="H210" s="65"/>
    </row>
    <row r="211" spans="1:8" ht="14">
      <c r="A211" s="56" t="s">
        <v>1856</v>
      </c>
      <c r="B211" s="57" t="s">
        <v>1166</v>
      </c>
      <c r="C211" s="58">
        <v>70</v>
      </c>
      <c r="D211" s="58">
        <v>10</v>
      </c>
      <c r="E211" s="58">
        <v>81</v>
      </c>
      <c r="F211" s="63"/>
      <c r="G211" s="64" t="s">
        <v>1857</v>
      </c>
      <c r="H211" s="65"/>
    </row>
    <row r="212" spans="1:8" ht="14">
      <c r="A212" s="52" t="s">
        <v>1858</v>
      </c>
      <c r="B212" s="53" t="s">
        <v>1175</v>
      </c>
      <c r="C212" s="54">
        <v>70</v>
      </c>
      <c r="D212" s="54">
        <v>30</v>
      </c>
      <c r="E212" s="66"/>
      <c r="F212" s="66"/>
      <c r="G212" s="61" t="s">
        <v>1859</v>
      </c>
      <c r="H212" s="62"/>
    </row>
    <row r="213" spans="1:8" ht="14">
      <c r="A213" s="56" t="s">
        <v>1860</v>
      </c>
      <c r="B213" s="57" t="s">
        <v>1178</v>
      </c>
      <c r="C213" s="58">
        <v>70</v>
      </c>
      <c r="D213" s="58">
        <v>30</v>
      </c>
      <c r="E213" s="58">
        <v>35</v>
      </c>
      <c r="F213" s="69"/>
      <c r="G213" s="64" t="s">
        <v>1861</v>
      </c>
      <c r="H213" s="72"/>
    </row>
    <row r="214" spans="1:8" ht="14">
      <c r="A214" s="56" t="s">
        <v>1862</v>
      </c>
      <c r="B214" s="57" t="s">
        <v>1181</v>
      </c>
      <c r="C214" s="58">
        <v>70</v>
      </c>
      <c r="D214" s="58">
        <v>30</v>
      </c>
      <c r="E214" s="58">
        <v>40</v>
      </c>
      <c r="F214" s="69"/>
      <c r="G214" s="64" t="s">
        <v>1863</v>
      </c>
      <c r="H214" s="65"/>
    </row>
    <row r="215" spans="1:8" ht="14">
      <c r="A215" s="56" t="s">
        <v>1864</v>
      </c>
      <c r="B215" s="57" t="s">
        <v>1184</v>
      </c>
      <c r="C215" s="58">
        <v>70</v>
      </c>
      <c r="D215" s="58">
        <v>30</v>
      </c>
      <c r="E215" s="58">
        <v>45</v>
      </c>
      <c r="F215" s="69"/>
      <c r="G215" s="64" t="s">
        <v>1865</v>
      </c>
      <c r="H215" s="72"/>
    </row>
    <row r="216" spans="1:8" ht="14">
      <c r="A216" s="56" t="s">
        <v>1866</v>
      </c>
      <c r="B216" s="57" t="s">
        <v>1187</v>
      </c>
      <c r="C216" s="58">
        <v>70</v>
      </c>
      <c r="D216" s="58">
        <v>30</v>
      </c>
      <c r="E216" s="58">
        <v>50</v>
      </c>
      <c r="F216" s="69"/>
      <c r="G216" s="64" t="s">
        <v>1867</v>
      </c>
      <c r="H216" s="72"/>
    </row>
    <row r="217" spans="1:8" ht="14">
      <c r="A217" s="47" t="s">
        <v>1868</v>
      </c>
      <c r="B217" s="48" t="s">
        <v>1190</v>
      </c>
      <c r="C217" s="49">
        <v>75</v>
      </c>
      <c r="D217" s="50"/>
      <c r="E217" s="50"/>
      <c r="F217" s="50"/>
      <c r="G217" s="67" t="s">
        <v>1869</v>
      </c>
      <c r="H217" s="68"/>
    </row>
    <row r="218" spans="1:8" ht="14">
      <c r="A218" s="52" t="s">
        <v>1870</v>
      </c>
      <c r="B218" s="53" t="s">
        <v>1193</v>
      </c>
      <c r="C218" s="54">
        <v>75</v>
      </c>
      <c r="D218" s="54">
        <v>10</v>
      </c>
      <c r="E218" s="66"/>
      <c r="F218" s="66"/>
      <c r="G218" s="61" t="s">
        <v>1871</v>
      </c>
      <c r="H218" s="62"/>
    </row>
    <row r="219" spans="1:8" ht="14">
      <c r="A219" s="56" t="s">
        <v>1872</v>
      </c>
      <c r="B219" s="57" t="s">
        <v>1196</v>
      </c>
      <c r="C219" s="58">
        <v>75</v>
      </c>
      <c r="D219" s="58">
        <v>10</v>
      </c>
      <c r="E219" s="58">
        <v>10</v>
      </c>
      <c r="F219" s="69"/>
      <c r="G219" s="64" t="s">
        <v>1871</v>
      </c>
      <c r="H219" s="65"/>
    </row>
    <row r="220" spans="1:8" ht="14">
      <c r="A220" s="56" t="s">
        <v>1873</v>
      </c>
      <c r="B220" s="57" t="s">
        <v>1199</v>
      </c>
      <c r="C220" s="58">
        <v>75</v>
      </c>
      <c r="D220" s="58">
        <v>10</v>
      </c>
      <c r="E220" s="58">
        <v>20</v>
      </c>
      <c r="F220" s="69"/>
      <c r="G220" s="64" t="s">
        <v>1874</v>
      </c>
      <c r="H220" s="65"/>
    </row>
    <row r="221" spans="1:8" ht="14">
      <c r="A221" s="56" t="s">
        <v>1875</v>
      </c>
      <c r="B221" s="57" t="s">
        <v>1202</v>
      </c>
      <c r="C221" s="58">
        <v>75</v>
      </c>
      <c r="D221" s="58">
        <v>10</v>
      </c>
      <c r="E221" s="58">
        <v>80</v>
      </c>
      <c r="F221" s="69"/>
      <c r="G221" s="64" t="s">
        <v>1876</v>
      </c>
      <c r="H221" s="65"/>
    </row>
    <row r="222" spans="1:8" ht="14">
      <c r="A222" s="56" t="s">
        <v>1877</v>
      </c>
      <c r="B222" s="57" t="s">
        <v>1205</v>
      </c>
      <c r="C222" s="58">
        <v>75</v>
      </c>
      <c r="D222" s="58">
        <v>10</v>
      </c>
      <c r="E222" s="58">
        <v>90</v>
      </c>
      <c r="F222" s="69"/>
      <c r="G222" s="64" t="s">
        <v>1878</v>
      </c>
      <c r="H222" s="65"/>
    </row>
    <row r="223" spans="1:8" ht="14">
      <c r="A223" s="52" t="s">
        <v>1879</v>
      </c>
      <c r="B223" s="53" t="s">
        <v>1880</v>
      </c>
      <c r="C223" s="54">
        <v>75</v>
      </c>
      <c r="D223" s="54">
        <v>30</v>
      </c>
      <c r="E223" s="66"/>
      <c r="F223" s="66"/>
      <c r="G223" s="61" t="s">
        <v>1881</v>
      </c>
      <c r="H223" s="62"/>
    </row>
    <row r="224" spans="1:8" ht="14">
      <c r="A224" s="47" t="s">
        <v>1882</v>
      </c>
      <c r="B224" s="48" t="s">
        <v>1208</v>
      </c>
      <c r="C224" s="49">
        <v>80</v>
      </c>
      <c r="D224" s="70"/>
      <c r="E224" s="70"/>
      <c r="F224" s="70"/>
      <c r="G224" s="67" t="s">
        <v>1883</v>
      </c>
      <c r="H224" s="68"/>
    </row>
    <row r="225" spans="1:8" ht="14">
      <c r="A225" s="52" t="s">
        <v>1884</v>
      </c>
      <c r="B225" s="53" t="s">
        <v>1211</v>
      </c>
      <c r="C225" s="54">
        <v>80</v>
      </c>
      <c r="D225" s="54">
        <v>5</v>
      </c>
      <c r="E225" s="66"/>
      <c r="F225" s="66"/>
      <c r="G225" s="61" t="s">
        <v>1885</v>
      </c>
      <c r="H225" s="62"/>
    </row>
    <row r="226" spans="1:8" ht="14">
      <c r="A226" s="56" t="s">
        <v>1886</v>
      </c>
      <c r="B226" s="57" t="s">
        <v>1214</v>
      </c>
      <c r="C226" s="58">
        <v>80</v>
      </c>
      <c r="D226" s="58">
        <v>5</v>
      </c>
      <c r="E226" s="58">
        <v>2</v>
      </c>
      <c r="F226" s="63"/>
      <c r="G226" s="64" t="s">
        <v>1216</v>
      </c>
      <c r="H226" s="65"/>
    </row>
    <row r="227" spans="1:8" ht="14">
      <c r="A227" s="56" t="s">
        <v>1887</v>
      </c>
      <c r="B227" s="57" t="s">
        <v>1217</v>
      </c>
      <c r="C227" s="58">
        <v>80</v>
      </c>
      <c r="D227" s="58">
        <v>5</v>
      </c>
      <c r="E227" s="58">
        <v>38</v>
      </c>
      <c r="F227" s="63"/>
      <c r="G227" s="64" t="s">
        <v>1219</v>
      </c>
      <c r="H227" s="65"/>
    </row>
    <row r="228" spans="1:8" ht="14">
      <c r="A228" s="73" t="s">
        <v>1888</v>
      </c>
      <c r="B228" s="74" t="s">
        <v>1889</v>
      </c>
      <c r="C228" s="75">
        <v>80</v>
      </c>
      <c r="D228" s="75">
        <v>5</v>
      </c>
      <c r="E228" s="75">
        <v>40</v>
      </c>
      <c r="F228" s="69"/>
      <c r="G228" s="64" t="s">
        <v>1890</v>
      </c>
      <c r="H228" s="65"/>
    </row>
    <row r="229" spans="1:8" ht="14">
      <c r="A229" s="56" t="s">
        <v>1891</v>
      </c>
      <c r="B229" s="57" t="s">
        <v>1892</v>
      </c>
      <c r="C229" s="58">
        <v>80</v>
      </c>
      <c r="D229" s="58">
        <v>5</v>
      </c>
      <c r="E229" s="58">
        <v>50</v>
      </c>
      <c r="F229" s="69"/>
      <c r="G229" s="64" t="s">
        <v>1893</v>
      </c>
      <c r="H229" s="65"/>
    </row>
    <row r="230" spans="1:8" ht="14">
      <c r="A230" s="52" t="s">
        <v>1894</v>
      </c>
      <c r="B230" s="53" t="s">
        <v>1248</v>
      </c>
      <c r="C230" s="54">
        <v>80</v>
      </c>
      <c r="D230" s="54">
        <v>35</v>
      </c>
      <c r="E230" s="66"/>
      <c r="F230" s="66"/>
      <c r="G230" s="61" t="s">
        <v>1895</v>
      </c>
      <c r="H230" s="62"/>
    </row>
    <row r="231" spans="1:8" ht="14">
      <c r="A231" s="56" t="s">
        <v>1896</v>
      </c>
      <c r="B231" s="57" t="s">
        <v>1897</v>
      </c>
      <c r="C231" s="58">
        <v>80</v>
      </c>
      <c r="D231" s="58">
        <v>35</v>
      </c>
      <c r="E231" s="58">
        <v>7</v>
      </c>
      <c r="F231" s="69"/>
      <c r="G231" s="64" t="s">
        <v>1898</v>
      </c>
      <c r="H231" s="65"/>
    </row>
    <row r="232" spans="1:8" ht="14">
      <c r="A232" s="56" t="s">
        <v>1899</v>
      </c>
      <c r="B232" s="57" t="s">
        <v>1900</v>
      </c>
      <c r="C232" s="58">
        <v>80</v>
      </c>
      <c r="D232" s="58">
        <v>35</v>
      </c>
      <c r="E232" s="58">
        <v>9</v>
      </c>
      <c r="F232" s="63"/>
      <c r="G232" s="64" t="s">
        <v>1901</v>
      </c>
      <c r="H232" s="65"/>
    </row>
    <row r="233" spans="1:8" ht="14">
      <c r="A233" s="56" t="s">
        <v>1902</v>
      </c>
      <c r="B233" s="57" t="s">
        <v>1903</v>
      </c>
      <c r="C233" s="58">
        <v>80</v>
      </c>
      <c r="D233" s="58">
        <v>35</v>
      </c>
      <c r="E233" s="58">
        <v>11</v>
      </c>
      <c r="F233" s="69"/>
      <c r="G233" s="64" t="s">
        <v>1904</v>
      </c>
      <c r="H233" s="65"/>
    </row>
    <row r="234" spans="1:8" ht="14">
      <c r="A234" s="56" t="s">
        <v>1905</v>
      </c>
      <c r="B234" s="57" t="s">
        <v>1906</v>
      </c>
      <c r="C234" s="58">
        <v>80</v>
      </c>
      <c r="D234" s="58">
        <v>35</v>
      </c>
      <c r="E234" s="58">
        <v>20</v>
      </c>
      <c r="F234" s="69"/>
      <c r="G234" s="64" t="s">
        <v>1907</v>
      </c>
      <c r="H234" s="65"/>
    </row>
    <row r="235" spans="1:8" ht="14">
      <c r="A235" s="56" t="s">
        <v>1908</v>
      </c>
      <c r="B235" s="57" t="s">
        <v>1909</v>
      </c>
      <c r="C235" s="58">
        <v>80</v>
      </c>
      <c r="D235" s="58">
        <v>35</v>
      </c>
      <c r="E235" s="58">
        <v>35</v>
      </c>
      <c r="F235" s="76"/>
      <c r="G235" s="64" t="s">
        <v>1910</v>
      </c>
      <c r="H235" s="65"/>
    </row>
    <row r="236" spans="1:8" ht="14">
      <c r="A236" s="56" t="s">
        <v>1911</v>
      </c>
      <c r="B236" s="57" t="s">
        <v>1912</v>
      </c>
      <c r="C236" s="58">
        <v>80</v>
      </c>
      <c r="D236" s="58">
        <v>35</v>
      </c>
      <c r="E236" s="58">
        <v>40</v>
      </c>
      <c r="F236" s="63"/>
      <c r="G236" s="64" t="s">
        <v>1913</v>
      </c>
      <c r="H236" s="65"/>
    </row>
    <row r="237" spans="1:8" ht="14">
      <c r="A237" s="56" t="s">
        <v>1914</v>
      </c>
      <c r="B237" s="57" t="s">
        <v>1915</v>
      </c>
      <c r="C237" s="58">
        <v>80</v>
      </c>
      <c r="D237" s="58">
        <v>35</v>
      </c>
      <c r="E237" s="58">
        <v>88</v>
      </c>
      <c r="F237" s="69"/>
      <c r="G237" s="64" t="s">
        <v>1916</v>
      </c>
      <c r="H237" s="65"/>
    </row>
    <row r="238" spans="1:8" ht="14">
      <c r="A238" s="56" t="s">
        <v>1917</v>
      </c>
      <c r="B238" s="57" t="s">
        <v>1918</v>
      </c>
      <c r="C238" s="58">
        <v>80</v>
      </c>
      <c r="D238" s="58">
        <v>35</v>
      </c>
      <c r="E238" s="58">
        <v>90</v>
      </c>
      <c r="F238" s="63"/>
      <c r="G238" s="64" t="s">
        <v>1919</v>
      </c>
      <c r="H238" s="65"/>
    </row>
    <row r="239" spans="1:8" ht="14">
      <c r="A239" s="56" t="s">
        <v>1920</v>
      </c>
      <c r="B239" s="57" t="s">
        <v>1921</v>
      </c>
      <c r="C239" s="58">
        <v>80</v>
      </c>
      <c r="D239" s="58">
        <v>35</v>
      </c>
      <c r="E239" s="58">
        <v>95</v>
      </c>
      <c r="F239" s="63"/>
      <c r="G239" s="64" t="s">
        <v>1922</v>
      </c>
      <c r="H239" s="65"/>
    </row>
    <row r="240" spans="1:8" ht="14">
      <c r="A240" s="52" t="s">
        <v>1923</v>
      </c>
      <c r="B240" s="53" t="s">
        <v>1924</v>
      </c>
      <c r="C240" s="54">
        <v>80</v>
      </c>
      <c r="D240" s="54">
        <v>40</v>
      </c>
      <c r="E240" s="66"/>
      <c r="F240" s="66"/>
      <c r="G240" s="61" t="s">
        <v>1925</v>
      </c>
      <c r="H240" s="62"/>
    </row>
    <row r="241" spans="1:8" ht="14">
      <c r="A241" s="56" t="s">
        <v>1926</v>
      </c>
      <c r="B241" s="57" t="s">
        <v>1927</v>
      </c>
      <c r="C241" s="58">
        <v>80</v>
      </c>
      <c r="D241" s="58">
        <v>40</v>
      </c>
      <c r="E241" s="58">
        <v>35</v>
      </c>
      <c r="F241" s="63"/>
      <c r="G241" s="64" t="s">
        <v>1928</v>
      </c>
      <c r="H241" s="65"/>
    </row>
    <row r="242" spans="1:8" ht="14">
      <c r="A242" s="56" t="s">
        <v>1929</v>
      </c>
      <c r="B242" s="57" t="s">
        <v>1930</v>
      </c>
      <c r="C242" s="58">
        <v>80</v>
      </c>
      <c r="D242" s="58">
        <v>40</v>
      </c>
      <c r="E242" s="58">
        <v>40</v>
      </c>
      <c r="F242" s="63"/>
      <c r="G242" s="64" t="s">
        <v>1931</v>
      </c>
      <c r="H242" s="65"/>
    </row>
    <row r="243" spans="1:8" ht="14">
      <c r="A243" s="52" t="s">
        <v>1932</v>
      </c>
      <c r="B243" s="53" t="s">
        <v>1255</v>
      </c>
      <c r="C243" s="54">
        <v>80</v>
      </c>
      <c r="D243" s="54">
        <v>50</v>
      </c>
      <c r="E243" s="66"/>
      <c r="F243" s="66"/>
      <c r="G243" s="61" t="s">
        <v>1258</v>
      </c>
      <c r="H243" s="62"/>
    </row>
    <row r="244" spans="1:8" ht="14">
      <c r="A244" s="73" t="s">
        <v>1933</v>
      </c>
      <c r="B244" s="74" t="s">
        <v>1934</v>
      </c>
      <c r="C244" s="75">
        <v>80</v>
      </c>
      <c r="D244" s="75">
        <v>50</v>
      </c>
      <c r="E244" s="75">
        <v>20</v>
      </c>
      <c r="F244" s="76"/>
      <c r="G244" s="64" t="s">
        <v>1935</v>
      </c>
      <c r="H244" s="65"/>
    </row>
    <row r="245" spans="1:8" ht="14">
      <c r="A245" s="56" t="s">
        <v>1936</v>
      </c>
      <c r="B245" s="57" t="s">
        <v>1259</v>
      </c>
      <c r="C245" s="58">
        <v>80</v>
      </c>
      <c r="D245" s="58">
        <v>50</v>
      </c>
      <c r="E245" s="58">
        <v>35</v>
      </c>
      <c r="F245" s="69"/>
      <c r="G245" s="64" t="s">
        <v>1937</v>
      </c>
      <c r="H245" s="72"/>
    </row>
    <row r="246" spans="1:8" ht="14">
      <c r="A246" s="73" t="s">
        <v>1938</v>
      </c>
      <c r="B246" s="74" t="s">
        <v>1939</v>
      </c>
      <c r="C246" s="75">
        <v>80</v>
      </c>
      <c r="D246" s="75">
        <v>50</v>
      </c>
      <c r="E246" s="75">
        <v>40</v>
      </c>
      <c r="F246" s="76"/>
      <c r="G246" s="64" t="s">
        <v>1940</v>
      </c>
      <c r="H246" s="65"/>
    </row>
    <row r="247" spans="1:8" ht="14">
      <c r="A247" s="56" t="s">
        <v>1941</v>
      </c>
      <c r="B247" s="57" t="s">
        <v>1942</v>
      </c>
      <c r="C247" s="58">
        <v>80</v>
      </c>
      <c r="D247" s="58">
        <v>50</v>
      </c>
      <c r="E247" s="58">
        <v>74</v>
      </c>
      <c r="F247" s="63"/>
      <c r="G247" s="64" t="s">
        <v>1943</v>
      </c>
      <c r="H247" s="65"/>
    </row>
    <row r="248" spans="1:8" ht="14">
      <c r="A248" s="56" t="s">
        <v>1944</v>
      </c>
      <c r="B248" s="57" t="s">
        <v>1945</v>
      </c>
      <c r="C248" s="58">
        <v>80</v>
      </c>
      <c r="D248" s="58">
        <v>50</v>
      </c>
      <c r="E248" s="58">
        <v>75</v>
      </c>
      <c r="F248" s="69"/>
      <c r="G248" s="64" t="s">
        <v>1946</v>
      </c>
      <c r="H248" s="65"/>
    </row>
    <row r="249" spans="1:8" ht="14">
      <c r="A249" s="52" t="s">
        <v>1947</v>
      </c>
      <c r="B249" s="53" t="s">
        <v>1293</v>
      </c>
      <c r="C249" s="54">
        <v>80</v>
      </c>
      <c r="D249" s="54">
        <v>70</v>
      </c>
      <c r="E249" s="66"/>
      <c r="F249" s="66"/>
      <c r="G249" s="61" t="s">
        <v>1948</v>
      </c>
      <c r="H249" s="77"/>
    </row>
    <row r="250" spans="1:8" ht="14">
      <c r="A250" s="56" t="s">
        <v>1949</v>
      </c>
      <c r="B250" s="57" t="s">
        <v>1305</v>
      </c>
      <c r="C250" s="58">
        <v>80</v>
      </c>
      <c r="D250" s="58">
        <v>70</v>
      </c>
      <c r="E250" s="58">
        <v>17</v>
      </c>
      <c r="F250" s="63"/>
      <c r="G250" s="64" t="s">
        <v>1950</v>
      </c>
      <c r="H250" s="65"/>
    </row>
    <row r="251" spans="1:8" ht="14">
      <c r="A251" s="56" t="s">
        <v>1951</v>
      </c>
      <c r="B251" s="57" t="s">
        <v>1312</v>
      </c>
      <c r="C251" s="58">
        <v>80</v>
      </c>
      <c r="D251" s="58">
        <v>70</v>
      </c>
      <c r="E251" s="58">
        <v>30</v>
      </c>
      <c r="F251" s="63"/>
      <c r="G251" s="64" t="s">
        <v>1314</v>
      </c>
      <c r="H251" s="65"/>
    </row>
    <row r="252" spans="1:8" ht="14">
      <c r="A252" s="56" t="s">
        <v>1952</v>
      </c>
      <c r="B252" s="57" t="s">
        <v>1315</v>
      </c>
      <c r="C252" s="58">
        <v>80</v>
      </c>
      <c r="D252" s="58">
        <v>70</v>
      </c>
      <c r="E252" s="58">
        <v>36</v>
      </c>
      <c r="F252" s="63"/>
      <c r="G252" s="64" t="s">
        <v>1953</v>
      </c>
      <c r="H252" s="65"/>
    </row>
    <row r="253" spans="1:8" ht="14">
      <c r="A253" s="56" t="s">
        <v>1954</v>
      </c>
      <c r="B253" s="57" t="s">
        <v>1955</v>
      </c>
      <c r="C253" s="58">
        <v>80</v>
      </c>
      <c r="D253" s="58">
        <v>70</v>
      </c>
      <c r="E253" s="58">
        <v>50</v>
      </c>
      <c r="F253" s="63"/>
      <c r="G253" s="64" t="s">
        <v>1956</v>
      </c>
      <c r="H253" s="65"/>
    </row>
    <row r="254" spans="1:8" ht="14">
      <c r="A254" s="56" t="s">
        <v>1957</v>
      </c>
      <c r="B254" s="57" t="s">
        <v>1958</v>
      </c>
      <c r="C254" s="58">
        <v>80</v>
      </c>
      <c r="D254" s="58">
        <v>70</v>
      </c>
      <c r="E254" s="58">
        <v>60</v>
      </c>
      <c r="F254" s="69"/>
      <c r="G254" s="64" t="s">
        <v>1959</v>
      </c>
      <c r="H254" s="72"/>
    </row>
    <row r="255" spans="1:8" ht="14">
      <c r="A255" s="73" t="s">
        <v>1960</v>
      </c>
      <c r="B255" s="74" t="s">
        <v>1321</v>
      </c>
      <c r="C255" s="75">
        <v>80</v>
      </c>
      <c r="D255" s="75">
        <v>70</v>
      </c>
      <c r="E255" s="75">
        <v>70</v>
      </c>
      <c r="F255" s="69"/>
      <c r="G255" s="64" t="s">
        <v>1961</v>
      </c>
      <c r="H255" s="65"/>
    </row>
    <row r="256" spans="1:8" ht="14">
      <c r="A256" s="73" t="s">
        <v>1962</v>
      </c>
      <c r="B256" s="74" t="s">
        <v>1963</v>
      </c>
      <c r="C256" s="75">
        <v>80</v>
      </c>
      <c r="D256" s="75">
        <v>70</v>
      </c>
      <c r="E256" s="75">
        <v>75</v>
      </c>
      <c r="F256" s="69"/>
      <c r="G256" s="64" t="s">
        <v>1964</v>
      </c>
      <c r="H256" s="65"/>
    </row>
    <row r="257" spans="1:8" ht="14">
      <c r="A257" s="56" t="s">
        <v>1965</v>
      </c>
      <c r="B257" s="57" t="s">
        <v>1328</v>
      </c>
      <c r="C257" s="58">
        <v>80</v>
      </c>
      <c r="D257" s="58">
        <v>70</v>
      </c>
      <c r="E257" s="58">
        <v>77</v>
      </c>
      <c r="F257" s="63"/>
      <c r="G257" s="64" t="s">
        <v>1966</v>
      </c>
      <c r="H257" s="65"/>
    </row>
    <row r="258" spans="1:8" ht="14">
      <c r="A258" s="47" t="s">
        <v>1967</v>
      </c>
      <c r="B258" s="48" t="s">
        <v>1337</v>
      </c>
      <c r="C258" s="49">
        <v>90</v>
      </c>
      <c r="D258" s="50"/>
      <c r="E258" s="50"/>
      <c r="F258" s="50"/>
      <c r="G258" s="67" t="s">
        <v>1968</v>
      </c>
      <c r="H258" s="68"/>
    </row>
    <row r="259" spans="1:8" ht="14">
      <c r="A259" s="52" t="s">
        <v>1969</v>
      </c>
      <c r="B259" s="53" t="s">
        <v>1341</v>
      </c>
      <c r="C259" s="54">
        <v>90</v>
      </c>
      <c r="D259" s="54">
        <v>50</v>
      </c>
      <c r="E259" s="60"/>
      <c r="F259" s="60"/>
      <c r="G259" s="61" t="s">
        <v>1970</v>
      </c>
      <c r="H259" s="62"/>
    </row>
    <row r="260" spans="1:8" ht="14">
      <c r="A260" s="56" t="s">
        <v>1971</v>
      </c>
      <c r="B260" s="57" t="s">
        <v>1344</v>
      </c>
      <c r="C260" s="58">
        <v>90</v>
      </c>
      <c r="D260" s="58">
        <v>50</v>
      </c>
      <c r="E260" s="58">
        <v>3</v>
      </c>
      <c r="F260" s="63"/>
      <c r="G260" s="64" t="s">
        <v>1972</v>
      </c>
      <c r="H260" s="65"/>
    </row>
    <row r="261" spans="1:8" ht="14">
      <c r="A261" s="56" t="s">
        <v>1973</v>
      </c>
      <c r="B261" s="57" t="s">
        <v>1974</v>
      </c>
      <c r="C261" s="58">
        <v>90</v>
      </c>
      <c r="D261" s="58">
        <v>50</v>
      </c>
      <c r="E261" s="58">
        <v>7</v>
      </c>
      <c r="F261" s="69"/>
      <c r="G261" s="64" t="s">
        <v>1975</v>
      </c>
      <c r="H261" s="65"/>
    </row>
    <row r="262" spans="1:8" ht="14">
      <c r="A262" s="56" t="s">
        <v>1976</v>
      </c>
      <c r="B262" s="57" t="s">
        <v>1351</v>
      </c>
      <c r="C262" s="58">
        <v>90</v>
      </c>
      <c r="D262" s="58">
        <v>50</v>
      </c>
      <c r="E262" s="58">
        <v>15</v>
      </c>
      <c r="F262" s="63"/>
      <c r="G262" s="64" t="s">
        <v>1977</v>
      </c>
      <c r="H262" s="65"/>
    </row>
    <row r="263" spans="1:8" ht="14">
      <c r="A263" s="56" t="s">
        <v>1978</v>
      </c>
      <c r="B263" s="57" t="s">
        <v>1357</v>
      </c>
      <c r="C263" s="58">
        <v>90</v>
      </c>
      <c r="D263" s="58">
        <v>50</v>
      </c>
      <c r="E263" s="58">
        <v>24</v>
      </c>
      <c r="F263" s="63"/>
      <c r="G263" s="64" t="s">
        <v>1979</v>
      </c>
      <c r="H263" s="65"/>
    </row>
    <row r="264" spans="1:8" ht="14">
      <c r="A264" s="56" t="s">
        <v>1980</v>
      </c>
      <c r="B264" s="57" t="s">
        <v>1361</v>
      </c>
      <c r="C264" s="58">
        <v>90</v>
      </c>
      <c r="D264" s="58">
        <v>50</v>
      </c>
      <c r="E264" s="58">
        <v>34</v>
      </c>
      <c r="F264" s="63"/>
      <c r="G264" s="64" t="s">
        <v>1981</v>
      </c>
      <c r="H264" s="65"/>
    </row>
    <row r="265" spans="1:8" ht="14">
      <c r="A265" s="56" t="s">
        <v>1982</v>
      </c>
      <c r="B265" s="57" t="s">
        <v>1364</v>
      </c>
      <c r="C265" s="58">
        <v>90</v>
      </c>
      <c r="D265" s="58">
        <v>50</v>
      </c>
      <c r="E265" s="58">
        <v>45</v>
      </c>
      <c r="F265" s="63"/>
      <c r="G265" s="64" t="s">
        <v>1983</v>
      </c>
      <c r="H265" s="65"/>
    </row>
    <row r="266" spans="1:8" ht="14">
      <c r="A266" s="56" t="s">
        <v>1984</v>
      </c>
      <c r="B266" s="57" t="s">
        <v>1985</v>
      </c>
      <c r="C266" s="58">
        <v>90</v>
      </c>
      <c r="D266" s="58">
        <v>50</v>
      </c>
      <c r="E266" s="58">
        <v>50</v>
      </c>
      <c r="F266" s="69"/>
      <c r="G266" s="64" t="s">
        <v>1986</v>
      </c>
      <c r="H266" s="65"/>
    </row>
    <row r="267" spans="1:8" ht="14">
      <c r="A267" s="56" t="s">
        <v>1987</v>
      </c>
      <c r="B267" s="57" t="s">
        <v>1988</v>
      </c>
      <c r="C267" s="58">
        <v>90</v>
      </c>
      <c r="D267" s="58">
        <v>50</v>
      </c>
      <c r="E267" s="58">
        <v>60</v>
      </c>
      <c r="F267" s="63"/>
      <c r="G267" s="64" t="s">
        <v>1989</v>
      </c>
      <c r="H267" s="65"/>
    </row>
    <row r="268" spans="1:8" ht="14">
      <c r="A268" s="56" t="s">
        <v>1990</v>
      </c>
      <c r="B268" s="57" t="s">
        <v>1373</v>
      </c>
      <c r="C268" s="58">
        <v>90</v>
      </c>
      <c r="D268" s="58">
        <v>50</v>
      </c>
      <c r="E268" s="58">
        <v>71</v>
      </c>
      <c r="F268" s="69"/>
      <c r="G268" s="64" t="s">
        <v>1991</v>
      </c>
      <c r="H268" s="65"/>
    </row>
    <row r="269" spans="1:8" ht="14">
      <c r="A269" s="56" t="s">
        <v>1992</v>
      </c>
      <c r="B269" s="57" t="s">
        <v>1388</v>
      </c>
      <c r="C269" s="58">
        <v>90</v>
      </c>
      <c r="D269" s="58">
        <v>50</v>
      </c>
      <c r="E269" s="58">
        <v>94</v>
      </c>
      <c r="F269" s="69"/>
      <c r="G269" s="64" t="s">
        <v>1993</v>
      </c>
      <c r="H269" s="65"/>
    </row>
    <row r="270" spans="1:8" ht="14">
      <c r="A270" s="56" t="s">
        <v>1994</v>
      </c>
      <c r="B270" s="57" t="s">
        <v>1391</v>
      </c>
      <c r="C270" s="58">
        <v>90</v>
      </c>
      <c r="D270" s="58">
        <v>50</v>
      </c>
      <c r="E270" s="58">
        <v>95</v>
      </c>
      <c r="F270" s="63"/>
      <c r="G270" s="64" t="s">
        <v>1995</v>
      </c>
      <c r="H270" s="65"/>
    </row>
    <row r="271" spans="1:8" ht="14">
      <c r="A271" s="56" t="s">
        <v>1996</v>
      </c>
      <c r="B271" s="57" t="s">
        <v>1395</v>
      </c>
      <c r="C271" s="58">
        <v>90</v>
      </c>
      <c r="D271" s="58">
        <v>50</v>
      </c>
      <c r="E271" s="58">
        <v>96</v>
      </c>
      <c r="F271" s="63"/>
      <c r="G271" s="64" t="s">
        <v>1997</v>
      </c>
      <c r="H271" s="65"/>
    </row>
  </sheetData>
  <mergeCells count="36">
    <mergeCell ref="E35:F35"/>
    <mergeCell ref="E36:F36"/>
    <mergeCell ref="E37:F37"/>
    <mergeCell ref="E38:F38"/>
    <mergeCell ref="E24:F24"/>
    <mergeCell ref="E25:F25"/>
    <mergeCell ref="E26:F26"/>
    <mergeCell ref="E27:F27"/>
    <mergeCell ref="E28:F28"/>
    <mergeCell ref="E29:F29"/>
    <mergeCell ref="E30:F30"/>
    <mergeCell ref="E23:F23"/>
    <mergeCell ref="E31:F31"/>
    <mergeCell ref="E32:F32"/>
    <mergeCell ref="E33:F33"/>
    <mergeCell ref="E34:F34"/>
    <mergeCell ref="E18:F18"/>
    <mergeCell ref="E19:F19"/>
    <mergeCell ref="E20:F20"/>
    <mergeCell ref="E21:F21"/>
    <mergeCell ref="E22:F22"/>
    <mergeCell ref="E13:F13"/>
    <mergeCell ref="E14:F14"/>
    <mergeCell ref="E15:F15"/>
    <mergeCell ref="E16:F16"/>
    <mergeCell ref="E17:F17"/>
    <mergeCell ref="E8:F8"/>
    <mergeCell ref="E9:F9"/>
    <mergeCell ref="E10:F10"/>
    <mergeCell ref="E11:F11"/>
    <mergeCell ref="E12:F12"/>
    <mergeCell ref="E3:F3"/>
    <mergeCell ref="E4:F4"/>
    <mergeCell ref="E5:F5"/>
    <mergeCell ref="E6:F6"/>
    <mergeCell ref="E7:F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outlinePr summaryBelow="0" summaryRight="0"/>
  </sheetPr>
  <dimension ref="A1:M1000"/>
  <sheetViews>
    <sheetView topLeftCell="D1" workbookViewId="0">
      <pane ySplit="3" topLeftCell="A4" activePane="bottomLeft" state="frozen"/>
      <selection pane="bottomLeft" activeCell="B5" sqref="B5"/>
    </sheetView>
  </sheetViews>
  <sheetFormatPr defaultColWidth="14.453125" defaultRowHeight="15.75" customHeight="1"/>
  <cols>
    <col min="1" max="1" width="38" customWidth="1"/>
    <col min="2" max="2" width="6.453125" customWidth="1"/>
    <col min="3" max="3" width="9.7265625" customWidth="1"/>
    <col min="4" max="4" width="7.453125" customWidth="1"/>
    <col min="5" max="5" width="6.7265625" customWidth="1"/>
    <col min="6" max="6" width="50.7265625" customWidth="1"/>
    <col min="7" max="7" width="38.26953125" customWidth="1"/>
    <col min="8" max="9" width="29" customWidth="1"/>
  </cols>
  <sheetData>
    <row r="1" spans="1:13" ht="19.5">
      <c r="A1" s="207" t="s">
        <v>1998</v>
      </c>
      <c r="B1" s="208"/>
      <c r="C1" s="208"/>
      <c r="D1" s="78"/>
      <c r="E1" s="78"/>
      <c r="F1" s="22"/>
      <c r="G1" s="22" t="str">
        <f>"Traduzidos "&amp;COUNTA(J4:J917)&amp;" de "&amp;COUNTA(A4:A917)</f>
        <v>Traduzidos 122 de 459</v>
      </c>
      <c r="H1" s="22"/>
      <c r="I1" s="22"/>
      <c r="J1" s="78"/>
      <c r="K1" s="22"/>
      <c r="L1" s="22"/>
      <c r="M1" s="22"/>
    </row>
    <row r="2" spans="1:13" ht="14.5">
      <c r="A2" s="24"/>
      <c r="B2" s="79"/>
      <c r="C2" s="79"/>
      <c r="D2" s="79"/>
      <c r="E2" s="79"/>
      <c r="F2" s="24"/>
      <c r="G2" s="24"/>
      <c r="H2" s="24"/>
      <c r="I2" s="24"/>
      <c r="J2" s="79"/>
      <c r="K2" s="24"/>
      <c r="L2" s="24"/>
      <c r="M2" s="24"/>
    </row>
    <row r="3" spans="1:13" ht="14.5">
      <c r="A3" s="25" t="s">
        <v>61</v>
      </c>
      <c r="B3" s="80" t="s">
        <v>62</v>
      </c>
      <c r="C3" s="80" t="s">
        <v>63</v>
      </c>
      <c r="D3" s="80" t="s">
        <v>64</v>
      </c>
      <c r="E3" s="80" t="s">
        <v>65</v>
      </c>
      <c r="F3" s="25" t="s">
        <v>66</v>
      </c>
      <c r="G3" s="1" t="s">
        <v>67</v>
      </c>
      <c r="H3" s="1" t="s">
        <v>69</v>
      </c>
      <c r="I3" s="25" t="s">
        <v>70</v>
      </c>
      <c r="J3" s="80" t="s">
        <v>1999</v>
      </c>
      <c r="K3" s="25" t="s">
        <v>2000</v>
      </c>
      <c r="L3" s="25" t="s">
        <v>78</v>
      </c>
      <c r="M3" s="25" t="s">
        <v>79</v>
      </c>
    </row>
    <row r="4" spans="1:13" ht="14.5" hidden="1">
      <c r="A4" s="20" t="s">
        <v>2001</v>
      </c>
      <c r="B4" s="81">
        <v>20</v>
      </c>
      <c r="C4" s="79"/>
      <c r="D4" s="79"/>
      <c r="E4" s="79"/>
      <c r="F4" s="28" t="s">
        <v>2002</v>
      </c>
      <c r="G4" s="24" t="str">
        <f ca="1">IFERROR(__xludf.DUMMYFUNCTION("UPPER(LEFT((GOOGLETRANSLATE(F4,""en"",""pt"")),1))&amp;RIGHT(lower((GOOGLETRANSLATE(F4,""en"",""pt""))),(LEN((GOOGLETRANSLATE(F4,""en"",""pt"")))-1))"),"Entidades de serviços administrativos, comerciais e de proteção")</f>
        <v>Entidades de serviços administrativos, comerciais e de proteção</v>
      </c>
      <c r="H4" s="24" t="str">
        <f>VLOOKUP(A4,En_Base_LNEC!$A$2:$E$10000,5,FALSE)</f>
        <v>Edifícios da administração, de Comércio e de proteção</v>
      </c>
      <c r="I4" s="20" t="s">
        <v>2003</v>
      </c>
      <c r="J4" s="81" t="s">
        <v>2004</v>
      </c>
      <c r="K4" s="24"/>
      <c r="L4" s="24"/>
      <c r="M4" s="24"/>
    </row>
    <row r="5" spans="1:13" ht="14.5" hidden="1">
      <c r="A5" s="20" t="s">
        <v>2005</v>
      </c>
      <c r="B5" s="81">
        <v>20</v>
      </c>
      <c r="C5" s="81">
        <v>10</v>
      </c>
      <c r="D5" s="79"/>
      <c r="E5" s="79"/>
      <c r="F5" s="20" t="s">
        <v>2006</v>
      </c>
      <c r="G5" s="24" t="str">
        <f ca="1">IFERROR(__xludf.DUMMYFUNCTION("UPPER(LEFT((GOOGLETRANSLATE(F5,""en"",""pt"")),1))&amp;RIGHT(lower((GOOGLETRANSLATE(F5,""en"",""pt""))),(LEN((GOOGLETRANSLATE(F5,""en"",""pt"")))-1))"),"Entidades legislativas")</f>
        <v>Entidades legislativas</v>
      </c>
      <c r="H5" s="24" t="str">
        <f>VLOOKUP(A5,En_Base_LNEC!$A$2:$E$10000,5,FALSE)</f>
        <v>Edifícios legislativos</v>
      </c>
      <c r="I5" s="20" t="s">
        <v>1410</v>
      </c>
      <c r="J5" s="81" t="s">
        <v>2004</v>
      </c>
      <c r="K5" s="24"/>
      <c r="L5" s="24"/>
      <c r="M5" s="24"/>
    </row>
    <row r="6" spans="1:13" ht="14.5" hidden="1">
      <c r="A6" s="20" t="s">
        <v>2007</v>
      </c>
      <c r="B6" s="81">
        <v>20</v>
      </c>
      <c r="C6" s="81">
        <v>10</v>
      </c>
      <c r="D6" s="81">
        <v>45</v>
      </c>
      <c r="E6" s="79"/>
      <c r="F6" s="20" t="s">
        <v>2008</v>
      </c>
      <c r="G6" s="24" t="str">
        <f ca="1">IFERROR(__xludf.DUMMYFUNCTION("UPPER(LEFT((GOOGLETRANSLATE(F6,""en"",""pt"")),1))&amp;RIGHT(lower((GOOGLETRANSLATE(F6,""en"",""pt""))),(LEN((GOOGLETRANSLATE(F6,""en"",""pt"")))-1))"),"Edifícios governamentais")</f>
        <v>Edifícios governamentais</v>
      </c>
      <c r="H6" s="24" t="e">
        <f>VLOOKUP(A6,En_Base_LNEC!$A$2:$E$10000,5,FALSE)</f>
        <v>#N/A</v>
      </c>
      <c r="I6" s="82" t="s">
        <v>1412</v>
      </c>
      <c r="J6" s="81" t="s">
        <v>2004</v>
      </c>
      <c r="K6" s="24"/>
      <c r="L6" s="24"/>
      <c r="M6" s="24"/>
    </row>
    <row r="7" spans="1:13" ht="14.5" hidden="1">
      <c r="A7" s="20" t="s">
        <v>2009</v>
      </c>
      <c r="B7" s="81">
        <v>20</v>
      </c>
      <c r="C7" s="81">
        <v>15</v>
      </c>
      <c r="D7" s="79"/>
      <c r="E7" s="79"/>
      <c r="F7" s="20" t="s">
        <v>2010</v>
      </c>
      <c r="G7" s="24" t="str">
        <f ca="1">IFERROR(__xludf.DUMMYFUNCTION("UPPER(LEFT((GOOGLETRANSLATE(F7,""en"",""pt"")),1))&amp;RIGHT(lower((GOOGLETRANSLATE(F7,""en"",""pt""))),(LEN((GOOGLETRANSLATE(F7,""en"",""pt"")))-1))"),"Entidades escritório administrativo")</f>
        <v>Entidades escritório administrativo</v>
      </c>
      <c r="H7" s="24" t="str">
        <f>VLOOKUP(A7,En_Base_LNEC!$A$2:$E$10000,5,FALSE)</f>
        <v>Edifícios administrativos</v>
      </c>
      <c r="I7" s="24" t="s">
        <v>1414</v>
      </c>
      <c r="J7" s="81" t="s">
        <v>2004</v>
      </c>
      <c r="K7" s="20" t="s">
        <v>2011</v>
      </c>
      <c r="L7" s="24"/>
      <c r="M7" s="24"/>
    </row>
    <row r="8" spans="1:13" ht="14.5">
      <c r="A8" s="20" t="s">
        <v>2012</v>
      </c>
      <c r="B8" s="81">
        <v>20</v>
      </c>
      <c r="C8" s="81">
        <v>15</v>
      </c>
      <c r="D8" s="81">
        <v>10</v>
      </c>
      <c r="E8" s="79"/>
      <c r="F8" s="20" t="s">
        <v>2013</v>
      </c>
      <c r="G8" s="24" t="str">
        <f ca="1">IFERROR(__xludf.DUMMYFUNCTION("UPPER(LEFT((GOOGLETRANSLATE(F8,""en"",""pt"")),1))&amp;RIGHT(lower((GOOGLETRANSLATE(F8,""en"",""pt""))),(LEN((GOOGLETRANSLATE(F8,""en"",""pt"")))-1))"),"Vários edifícios de escritórios ocupação")</f>
        <v>Vários edifícios de escritórios ocupação</v>
      </c>
      <c r="H8" s="24" t="e">
        <f>VLOOKUP(A8,En_Base_LNEC!$A$2:$E$10000,5,FALSE)</f>
        <v>#N/A</v>
      </c>
      <c r="I8" s="20" t="s">
        <v>2014</v>
      </c>
      <c r="J8" s="81" t="s">
        <v>2004</v>
      </c>
      <c r="K8" s="24"/>
      <c r="L8" s="24"/>
      <c r="M8" s="24"/>
    </row>
    <row r="9" spans="1:13" ht="14.5">
      <c r="A9" s="20" t="s">
        <v>2015</v>
      </c>
      <c r="B9" s="81">
        <v>20</v>
      </c>
      <c r="C9" s="81">
        <v>15</v>
      </c>
      <c r="D9" s="81">
        <v>70</v>
      </c>
      <c r="E9" s="79"/>
      <c r="F9" s="20" t="s">
        <v>2016</v>
      </c>
      <c r="G9" s="24" t="str">
        <f ca="1">IFERROR(__xludf.DUMMYFUNCTION("UPPER(LEFT((GOOGLETRANSLATE(F9,""en"",""pt"")),1))&amp;RIGHT(lower((GOOGLETRANSLATE(F9,""en"",""pt""))),(LEN((GOOGLETRANSLATE(F9,""en"",""pt"")))-1))"),"Edifícios de escritórios única ocupação")</f>
        <v>Edifícios de escritórios única ocupação</v>
      </c>
      <c r="H9" s="24" t="e">
        <f>VLOOKUP(A9,En_Base_LNEC!$A$2:$E$10000,5,FALSE)</f>
        <v>#N/A</v>
      </c>
      <c r="I9" s="20" t="s">
        <v>2017</v>
      </c>
      <c r="J9" s="81" t="s">
        <v>2004</v>
      </c>
      <c r="K9" s="24"/>
      <c r="L9" s="24"/>
      <c r="M9" s="24"/>
    </row>
    <row r="10" spans="1:13" ht="14.5" hidden="1">
      <c r="A10" s="20" t="s">
        <v>2018</v>
      </c>
      <c r="B10" s="81">
        <v>20</v>
      </c>
      <c r="C10" s="81">
        <v>20</v>
      </c>
      <c r="D10" s="79"/>
      <c r="E10" s="79"/>
      <c r="F10" s="20" t="s">
        <v>2019</v>
      </c>
      <c r="G10" s="24" t="str">
        <f ca="1">IFERROR(__xludf.DUMMYFUNCTION("UPPER(LEFT((GOOGLETRANSLATE(F10,""en"",""pt"")),1))&amp;RIGHT(lower((GOOGLETRANSLATE(F10,""en"",""pt""))),(LEN((GOOGLETRANSLATE(F10,""en"",""pt"")))-1))"),"Entidades representativas seculares")</f>
        <v>Entidades representativas seculares</v>
      </c>
      <c r="H10" s="24" t="str">
        <f>VLOOKUP(A10,En_Base_LNEC!$A$2:$E$10000,5,FALSE)</f>
        <v>Edifícios administração pública</v>
      </c>
      <c r="I10" s="20" t="s">
        <v>2020</v>
      </c>
      <c r="J10" s="81" t="s">
        <v>2004</v>
      </c>
      <c r="K10" s="24"/>
      <c r="L10" s="24"/>
      <c r="M10" s="24"/>
    </row>
    <row r="11" spans="1:13" ht="14.5">
      <c r="A11" s="20" t="s">
        <v>2021</v>
      </c>
      <c r="B11" s="81">
        <v>20</v>
      </c>
      <c r="C11" s="81">
        <v>20</v>
      </c>
      <c r="D11" s="81">
        <v>10</v>
      </c>
      <c r="E11" s="79"/>
      <c r="F11" s="20" t="s">
        <v>2022</v>
      </c>
      <c r="G11" s="24" t="str">
        <f ca="1">IFERROR(__xludf.DUMMYFUNCTION("UPPER(LEFT((GOOGLETRANSLATE(F11,""en"",""pt"")),1))&amp;RIGHT(lower((GOOGLETRANSLATE(F11,""en"",""pt""))),(LEN((GOOGLETRANSLATE(F11,""en"",""pt"")))-1))"),"Edifícios para representantes de estados-nação no exterior")</f>
        <v>Edifícios para representantes de estados-nação no exterior</v>
      </c>
      <c r="H11" s="24" t="e">
        <f>VLOOKUP(A11,En_Base_LNEC!$A$2:$E$10000,5,FALSE)</f>
        <v>#N/A</v>
      </c>
      <c r="I11" s="20" t="s">
        <v>2023</v>
      </c>
      <c r="J11" s="81" t="s">
        <v>2004</v>
      </c>
      <c r="K11" s="20" t="s">
        <v>2024</v>
      </c>
      <c r="L11" s="24"/>
      <c r="M11" s="24"/>
    </row>
    <row r="12" spans="1:13" ht="14.5" hidden="1">
      <c r="A12" s="20" t="s">
        <v>2025</v>
      </c>
      <c r="B12" s="81">
        <v>20</v>
      </c>
      <c r="C12" s="81">
        <v>20</v>
      </c>
      <c r="D12" s="81">
        <v>40</v>
      </c>
      <c r="E12" s="79"/>
      <c r="F12" s="20" t="s">
        <v>2026</v>
      </c>
      <c r="G12" s="24" t="str">
        <f ca="1">IFERROR(__xludf.DUMMYFUNCTION("UPPER(LEFT((GOOGLETRANSLATE(F12,""en"",""pt"")),1))&amp;RIGHT(lower((GOOGLETRANSLATE(F12,""en"",""pt""))),(LEN((GOOGLETRANSLATE(F12,""en"",""pt"")))-1))"),"Edifícios governamentais locais")</f>
        <v>Edifícios governamentais locais</v>
      </c>
      <c r="H12" s="24" t="str">
        <f>VLOOKUP(A12,En_Base_LNEC!$A$2:$E$10000,5,FALSE)</f>
        <v>Edifícios das câmaras municipais</v>
      </c>
      <c r="I12" s="20" t="s">
        <v>2027</v>
      </c>
      <c r="J12" s="81" t="s">
        <v>2004</v>
      </c>
      <c r="K12" s="24"/>
      <c r="L12" s="24"/>
      <c r="M12" s="24"/>
    </row>
    <row r="13" spans="1:13" ht="14.5" hidden="1">
      <c r="A13" s="20" t="s">
        <v>2028</v>
      </c>
      <c r="B13" s="81">
        <v>20</v>
      </c>
      <c r="C13" s="81">
        <v>20</v>
      </c>
      <c r="D13" s="81">
        <v>50</v>
      </c>
      <c r="E13" s="79"/>
      <c r="F13" s="20" t="s">
        <v>2029</v>
      </c>
      <c r="G13" s="24" t="str">
        <f ca="1">IFERROR(__xludf.DUMMYFUNCTION("UPPER(LEFT((GOOGLETRANSLATE(F13,""en"",""pt"")),1))&amp;RIGHT(lower((GOOGLETRANSLATE(F13,""en"",""pt""))),(LEN((GOOGLETRANSLATE(F13,""en"",""pt"")))-1))"),"Edifícios governamentais nacionais")</f>
        <v>Edifícios governamentais nacionais</v>
      </c>
      <c r="H13" s="24" t="str">
        <f>VLOOKUP(A13,En_Base_LNEC!$A$2:$E$10000,5,FALSE)</f>
        <v>Edifícios do governo nacional</v>
      </c>
      <c r="I13" s="24" t="s">
        <v>1423</v>
      </c>
      <c r="J13" s="81" t="s">
        <v>2004</v>
      </c>
      <c r="K13" s="24"/>
      <c r="L13" s="24"/>
      <c r="M13" s="24"/>
    </row>
    <row r="14" spans="1:13" ht="14.5" hidden="1">
      <c r="A14" s="20" t="s">
        <v>2030</v>
      </c>
      <c r="B14" s="81">
        <v>20</v>
      </c>
      <c r="C14" s="81">
        <v>20</v>
      </c>
      <c r="D14" s="81">
        <v>70</v>
      </c>
      <c r="E14" s="79"/>
      <c r="F14" s="20" t="s">
        <v>2031</v>
      </c>
      <c r="G14" s="24" t="str">
        <f ca="1">IFERROR(__xludf.DUMMYFUNCTION("UPPER(LEFT((GOOGLETRANSLATE(F14,""en"",""pt"")),1))&amp;RIGHT(lower((GOOGLETRANSLATE(F14,""en"",""pt""))),(LEN((GOOGLETRANSLATE(F14,""en"",""pt"")))-1))"),"Edifícios governamentais regionais")</f>
        <v>Edifícios governamentais regionais</v>
      </c>
      <c r="H14" s="24" t="str">
        <f>VLOOKUP(A14,En_Base_LNEC!$A$2:$E$10000,5,FALSE)</f>
        <v>Edifícios do governo regional</v>
      </c>
      <c r="I14" s="24" t="s">
        <v>1425</v>
      </c>
      <c r="J14" s="81" t="s">
        <v>2004</v>
      </c>
      <c r="K14" s="24"/>
      <c r="L14" s="24"/>
      <c r="M14" s="24"/>
    </row>
    <row r="15" spans="1:13" ht="14.5" hidden="1">
      <c r="A15" s="20" t="s">
        <v>2032</v>
      </c>
      <c r="B15" s="81">
        <v>20</v>
      </c>
      <c r="C15" s="81">
        <v>45</v>
      </c>
      <c r="D15" s="79"/>
      <c r="E15" s="79"/>
      <c r="F15" s="20" t="s">
        <v>2033</v>
      </c>
      <c r="G15" s="24" t="str">
        <f ca="1">IFERROR(__xludf.DUMMYFUNCTION("UPPER(LEFT((GOOGLETRANSLATE(F15,""en"",""pt"")),1))&amp;RIGHT(lower((GOOGLETRANSLATE(F15,""en"",""pt""))),(LEN((GOOGLETRANSLATE(F15,""en"",""pt"")))-1))"),"Manutenção de veículos automóveis e entidades de abastecimento")</f>
        <v>Manutenção de veículos automóveis e entidades de abastecimento</v>
      </c>
      <c r="H15" s="24" t="str">
        <f>VLOOKUP(A15,En_Base_LNEC!$A$2:$E$10000,5,FALSE)</f>
        <v>Edifícios de manutenção e abastecimento de veículos a motor</v>
      </c>
      <c r="I15" s="24" t="s">
        <v>1436</v>
      </c>
      <c r="J15" s="81" t="s">
        <v>2004</v>
      </c>
      <c r="K15" s="24"/>
      <c r="L15" s="24"/>
      <c r="M15" s="24"/>
    </row>
    <row r="16" spans="1:13" ht="14.5" hidden="1">
      <c r="A16" s="20" t="s">
        <v>2034</v>
      </c>
      <c r="B16" s="81">
        <v>20</v>
      </c>
      <c r="C16" s="81">
        <v>45</v>
      </c>
      <c r="D16" s="81">
        <v>50</v>
      </c>
      <c r="E16" s="79"/>
      <c r="F16" s="20" t="s">
        <v>2035</v>
      </c>
      <c r="G16" s="24" t="str">
        <f ca="1">IFERROR(__xludf.DUMMYFUNCTION("UPPER(LEFT((GOOGLETRANSLATE(F16,""en"",""pt"")),1))&amp;RIGHT(lower((GOOGLETRANSLATE(F16,""en"",""pt""))),(LEN((GOOGLETRANSLATE(F16,""en"",""pt"")))-1))"),"Abastecimento de veículos automóveis e entidades de carregamento")</f>
        <v>Abastecimento de veículos automóveis e entidades de carregamento</v>
      </c>
      <c r="H16" s="24" t="str">
        <f>VLOOKUP(A16,En_Base_LNEC!$A$2:$E$10000,5,FALSE)</f>
        <v>Estações de abastecimento e carregamento de veículos a motor</v>
      </c>
      <c r="I16" s="24" t="s">
        <v>1438</v>
      </c>
      <c r="J16" s="81" t="s">
        <v>2004</v>
      </c>
      <c r="K16" s="24"/>
      <c r="L16" s="24"/>
      <c r="M16" s="24"/>
    </row>
    <row r="17" spans="1:13" ht="14.5" hidden="1">
      <c r="A17" s="20" t="s">
        <v>2036</v>
      </c>
      <c r="B17" s="81">
        <v>20</v>
      </c>
      <c r="C17" s="81">
        <v>45</v>
      </c>
      <c r="D17" s="81">
        <v>54</v>
      </c>
      <c r="E17" s="79"/>
      <c r="F17" s="20" t="s">
        <v>2037</v>
      </c>
      <c r="G17" s="24" t="str">
        <f ca="1">IFERROR(__xludf.DUMMYFUNCTION("UPPER(LEFT((GOOGLETRANSLATE(F17,""en"",""pt"")),1))&amp;RIGHT(lower((GOOGLETRANSLATE(F17,""en"",""pt""))),(LEN((GOOGLETRANSLATE(F17,""en"",""pt"")))-1))"),"Entidades de manutenção e reparação de veículos automóveis")</f>
        <v>Entidades de manutenção e reparação de veículos automóveis</v>
      </c>
      <c r="H17" s="24" t="str">
        <f>VLOOKUP(A17,En_Base_LNEC!$A$2:$E$10000,5,FALSE)</f>
        <v>Edifícios para manutenção de veículos a motor</v>
      </c>
      <c r="I17" s="20" t="s">
        <v>2038</v>
      </c>
      <c r="J17" s="81" t="s">
        <v>2004</v>
      </c>
      <c r="K17" s="24"/>
      <c r="L17" s="24"/>
      <c r="M17" s="24"/>
    </row>
    <row r="18" spans="1:13" ht="14.5" hidden="1">
      <c r="A18" s="20" t="s">
        <v>2039</v>
      </c>
      <c r="B18" s="81">
        <v>20</v>
      </c>
      <c r="C18" s="81">
        <v>50</v>
      </c>
      <c r="D18" s="79"/>
      <c r="E18" s="79"/>
      <c r="F18" s="20" t="s">
        <v>2040</v>
      </c>
      <c r="G18" s="24" t="str">
        <f ca="1">IFERROR(__xludf.DUMMYFUNCTION("UPPER(LEFT((GOOGLETRANSLATE(F18,""en"",""pt"")),1))&amp;RIGHT(lower((GOOGLETRANSLATE(F18,""en"",""pt""))),(LEN((GOOGLETRANSLATE(F18,""en"",""pt"")))-1))"),"Entidades comerciais")</f>
        <v>Entidades comerciais</v>
      </c>
      <c r="H18" s="24" t="str">
        <f>VLOOKUP(A18,En_Base_LNEC!$A$2:$E$10000,5,FALSE)</f>
        <v>Edifícios comerciais</v>
      </c>
      <c r="I18" s="24" t="s">
        <v>1442</v>
      </c>
      <c r="J18" s="81" t="s">
        <v>2004</v>
      </c>
      <c r="K18" s="24"/>
      <c r="L18" s="24"/>
      <c r="M18" s="24"/>
    </row>
    <row r="19" spans="1:13" ht="14.5" hidden="1">
      <c r="A19" s="20" t="s">
        <v>2041</v>
      </c>
      <c r="B19" s="81">
        <v>20</v>
      </c>
      <c r="C19" s="81">
        <v>50</v>
      </c>
      <c r="D19" s="81">
        <v>5</v>
      </c>
      <c r="E19" s="79"/>
      <c r="F19" s="20" t="s">
        <v>2042</v>
      </c>
      <c r="G19" s="24" t="str">
        <f ca="1">IFERROR(__xludf.DUMMYFUNCTION("UPPER(LEFT((GOOGLETRANSLATE(F19,""en"",""pt"")),1))&amp;RIGHT(lower((GOOGLETRANSLATE(F19,""en"",""pt""))),(LEN((GOOGLETRANSLATE(F19,""en"",""pt"")))-1))"),"Edifícios leilão")</f>
        <v>Edifícios leilão</v>
      </c>
      <c r="H19" s="24" t="e">
        <f>VLOOKUP(A19,En_Base_LNEC!$A$2:$E$10000,5,FALSE)</f>
        <v>#N/A</v>
      </c>
      <c r="I19" s="20" t="s">
        <v>2043</v>
      </c>
      <c r="J19" s="81" t="s">
        <v>2004</v>
      </c>
      <c r="K19" s="24"/>
      <c r="L19" s="24"/>
      <c r="M19" s="24"/>
    </row>
    <row r="20" spans="1:13" ht="14.5">
      <c r="A20" s="20" t="s">
        <v>2044</v>
      </c>
      <c r="B20" s="81">
        <v>20</v>
      </c>
      <c r="C20" s="81">
        <v>50</v>
      </c>
      <c r="D20" s="81">
        <v>22</v>
      </c>
      <c r="E20" s="79"/>
      <c r="F20" s="20" t="s">
        <v>2045</v>
      </c>
      <c r="G20" s="24" t="str">
        <f ca="1">IFERROR(__xludf.DUMMYFUNCTION("UPPER(LEFT((GOOGLETRANSLATE(F20,""en"",""pt"")),1))&amp;RIGHT(lower((GOOGLETRANSLATE(F20,""en"",""pt""))),(LEN((GOOGLETRANSLATE(F20,""en"",""pt"")))-1))"),"Lojas de departamento")</f>
        <v>Lojas de departamento</v>
      </c>
      <c r="H20" s="24" t="e">
        <f>VLOOKUP(A20,En_Base_LNEC!$A$2:$E$10000,5,FALSE)</f>
        <v>#N/A</v>
      </c>
      <c r="I20" s="20" t="s">
        <v>2046</v>
      </c>
      <c r="J20" s="81" t="s">
        <v>2004</v>
      </c>
      <c r="K20" s="20" t="s">
        <v>2047</v>
      </c>
      <c r="L20" s="24"/>
      <c r="M20" s="24"/>
    </row>
    <row r="21" spans="1:13" ht="14.5">
      <c r="A21" s="20" t="s">
        <v>2048</v>
      </c>
      <c r="B21" s="81">
        <v>20</v>
      </c>
      <c r="C21" s="81">
        <v>50</v>
      </c>
      <c r="D21" s="81">
        <v>29</v>
      </c>
      <c r="E21" s="79"/>
      <c r="F21" s="20" t="s">
        <v>2049</v>
      </c>
      <c r="G21" s="24" t="str">
        <f ca="1">IFERROR(__xludf.DUMMYFUNCTION("UPPER(LEFT((GOOGLETRANSLATE(F21,""en"",""pt"")),1))&amp;RIGHT(lower((GOOGLETRANSLATE(F21,""en"",""pt""))),(LEN((GOOGLETRANSLATE(F21,""en"",""pt"")))-1))"),"Edifícios de serviços financeiros e profissionais")</f>
        <v>Edifícios de serviços financeiros e profissionais</v>
      </c>
      <c r="H21" s="24" t="e">
        <f>VLOOKUP(A21,En_Base_LNEC!$A$2:$E$10000,5,FALSE)</f>
        <v>#N/A</v>
      </c>
      <c r="I21" s="24" t="s">
        <v>2050</v>
      </c>
      <c r="J21" s="81" t="s">
        <v>2004</v>
      </c>
      <c r="K21" s="24"/>
      <c r="L21" s="24"/>
      <c r="M21" s="24"/>
    </row>
    <row r="22" spans="1:13" ht="14.5" hidden="1">
      <c r="A22" s="20" t="s">
        <v>2051</v>
      </c>
      <c r="B22" s="81">
        <v>20</v>
      </c>
      <c r="C22" s="81">
        <v>50</v>
      </c>
      <c r="D22" s="81">
        <v>50</v>
      </c>
      <c r="E22" s="79"/>
      <c r="F22" s="20" t="s">
        <v>2052</v>
      </c>
      <c r="G22" s="24" t="str">
        <f ca="1">IFERROR(__xludf.DUMMYFUNCTION("UPPER(LEFT((GOOGLETRANSLATE(F22,""en"",""pt"")),1))&amp;RIGHT(lower((GOOGLETRANSLATE(F22,""en"",""pt""))),(LEN((GOOGLETRANSLATE(F22,""en"",""pt"")))-1))"),"Mercados")</f>
        <v>Mercados</v>
      </c>
      <c r="H22" s="24" t="str">
        <f>VLOOKUP(A22,En_Base_LNEC!$A$2:$E$10000,5,FALSE)</f>
        <v>Praças ou mercados municipais</v>
      </c>
      <c r="I22" s="24" t="s">
        <v>1453</v>
      </c>
      <c r="J22" s="81" t="s">
        <v>2004</v>
      </c>
      <c r="K22" s="24"/>
      <c r="L22" s="24"/>
      <c r="M22" s="24"/>
    </row>
    <row r="23" spans="1:13" ht="14.5" hidden="1">
      <c r="A23" s="20" t="s">
        <v>2053</v>
      </c>
      <c r="B23" s="81">
        <v>20</v>
      </c>
      <c r="C23" s="81">
        <v>50</v>
      </c>
      <c r="D23" s="81">
        <v>53</v>
      </c>
      <c r="E23" s="79"/>
      <c r="F23" s="20" t="s">
        <v>2054</v>
      </c>
      <c r="G23" s="24" t="str">
        <f ca="1">IFERROR(__xludf.DUMMYFUNCTION("UPPER(LEFT((GOOGLETRANSLATE(F23,""en"",""pt"")),1))&amp;RIGHT(lower((GOOGLETRANSLATE(F23,""en"",""pt""))),(LEN((GOOGLETRANSLATE(F23,""en"",""pt"")))-1))"),"Edifícios de uso misto")</f>
        <v>Edifícios de uso misto</v>
      </c>
      <c r="H23" s="24" t="e">
        <f>VLOOKUP(A23,En_Base_LNEC!$A$2:$E$10000,5,FALSE)</f>
        <v>#N/A</v>
      </c>
      <c r="I23" s="24" t="s">
        <v>2055</v>
      </c>
      <c r="J23" s="81" t="s">
        <v>2004</v>
      </c>
      <c r="K23" s="24"/>
      <c r="L23" s="24"/>
      <c r="M23" s="24"/>
    </row>
    <row r="24" spans="1:13" ht="14.5" hidden="1">
      <c r="A24" s="20" t="s">
        <v>2056</v>
      </c>
      <c r="B24" s="81">
        <v>20</v>
      </c>
      <c r="C24" s="81">
        <v>50</v>
      </c>
      <c r="D24" s="81">
        <v>55</v>
      </c>
      <c r="E24" s="79"/>
      <c r="F24" s="20" t="s">
        <v>2057</v>
      </c>
      <c r="G24" s="24" t="str">
        <f ca="1">IFERROR(__xludf.DUMMYFUNCTION("UPPER(LEFT((GOOGLETRANSLATE(F24,""en"",""pt"")),1))&amp;RIGHT(lower((GOOGLETRANSLATE(F24,""en"",""pt""))),(LEN((GOOGLETRANSLATE(F24,""en"",""pt"")))-1))"),"Entidades de vendas de veículos a motor")</f>
        <v>Entidades de vendas de veículos a motor</v>
      </c>
      <c r="H24" s="24" t="e">
        <f>VLOOKUP(A24,En_Base_LNEC!$A$2:$E$10000,5,FALSE)</f>
        <v>#N/A</v>
      </c>
      <c r="I24" s="20" t="s">
        <v>2058</v>
      </c>
      <c r="J24" s="81" t="s">
        <v>2004</v>
      </c>
      <c r="K24" s="24"/>
      <c r="L24" s="24"/>
      <c r="M24" s="24"/>
    </row>
    <row r="25" spans="1:13" ht="14.5" hidden="1">
      <c r="A25" s="20" t="s">
        <v>2059</v>
      </c>
      <c r="B25" s="81">
        <v>20</v>
      </c>
      <c r="C25" s="81">
        <v>50</v>
      </c>
      <c r="D25" s="81">
        <v>80</v>
      </c>
      <c r="E25" s="79"/>
      <c r="F25" s="20" t="s">
        <v>2060</v>
      </c>
      <c r="G25" s="24" t="str">
        <f ca="1">IFERROR(__xludf.DUMMYFUNCTION("UPPER(LEFT((GOOGLETRANSLATE(F25,""en"",""pt"")),1))&amp;RIGHT(lower((GOOGLETRANSLATE(F25,""en"",""pt""))),(LEN((GOOGLETRANSLATE(F25,""en"",""pt"")))-1))"),"Unidades de loja")</f>
        <v>Unidades de loja</v>
      </c>
      <c r="H25" s="24" t="e">
        <f>VLOOKUP(A25,En_Base_LNEC!$A$2:$E$10000,5,FALSE)</f>
        <v>#N/A</v>
      </c>
      <c r="I25" s="3" t="s">
        <v>2061</v>
      </c>
      <c r="J25" s="81" t="s">
        <v>2004</v>
      </c>
      <c r="K25" s="24"/>
      <c r="L25" s="24"/>
      <c r="M25" s="24"/>
    </row>
    <row r="26" spans="1:13" ht="14.5" hidden="1">
      <c r="A26" s="20" t="s">
        <v>2062</v>
      </c>
      <c r="B26" s="81">
        <v>20</v>
      </c>
      <c r="C26" s="81">
        <v>50</v>
      </c>
      <c r="D26" s="81">
        <v>85</v>
      </c>
      <c r="E26" s="79"/>
      <c r="F26" s="20" t="s">
        <v>2063</v>
      </c>
      <c r="G26" s="24" t="str">
        <f ca="1">IFERROR(__xludf.DUMMYFUNCTION("UPPER(LEFT((GOOGLETRANSLATE(F26,""en"",""pt"")),1))&amp;RIGHT(lower((GOOGLETRANSLATE(F26,""en"",""pt""))),(LEN((GOOGLETRANSLATE(F26,""en"",""pt"")))-1))"),"Supermercados")</f>
        <v>Supermercados</v>
      </c>
      <c r="H26" s="24" t="e">
        <f>VLOOKUP(A26,En_Base_LNEC!$A$2:$E$10000,5,FALSE)</f>
        <v>#N/A</v>
      </c>
      <c r="I26" s="24" t="s">
        <v>2064</v>
      </c>
      <c r="J26" s="81" t="s">
        <v>2004</v>
      </c>
      <c r="K26" s="24"/>
      <c r="L26" s="24"/>
      <c r="M26" s="24"/>
    </row>
    <row r="27" spans="1:13" ht="14.5" hidden="1">
      <c r="A27" s="20" t="s">
        <v>2065</v>
      </c>
      <c r="B27" s="81">
        <v>20</v>
      </c>
      <c r="C27" s="81">
        <v>50</v>
      </c>
      <c r="D27" s="81">
        <v>97</v>
      </c>
      <c r="E27" s="79"/>
      <c r="F27" s="20" t="s">
        <v>2066</v>
      </c>
      <c r="G27" s="24" t="str">
        <f ca="1">IFERROR(__xludf.DUMMYFUNCTION("UPPER(LEFT((GOOGLETRANSLATE(F27,""en"",""pt"")),1))&amp;RIGHT(lower((GOOGLETRANSLATE(F27,""en"",""pt""))),(LEN((GOOGLETRANSLATE(F27,""en"",""pt"")))-1))"),"Edifícios atacado")</f>
        <v>Edifícios atacado</v>
      </c>
      <c r="H27" s="24" t="e">
        <f>VLOOKUP(A27,En_Base_LNEC!$A$2:$E$10000,5,FALSE)</f>
        <v>#N/A</v>
      </c>
      <c r="I27" s="20" t="s">
        <v>2067</v>
      </c>
      <c r="J27" s="81" t="s">
        <v>2004</v>
      </c>
      <c r="K27" s="24"/>
      <c r="L27" s="24"/>
      <c r="M27" s="24"/>
    </row>
    <row r="28" spans="1:13" ht="14.5" hidden="1">
      <c r="A28" s="20" t="s">
        <v>2068</v>
      </c>
      <c r="B28" s="81">
        <v>20</v>
      </c>
      <c r="C28" s="81">
        <v>55</v>
      </c>
      <c r="D28" s="79"/>
      <c r="E28" s="79"/>
      <c r="F28" s="20" t="s">
        <v>2069</v>
      </c>
      <c r="G28" s="24" t="str">
        <f ca="1">IFERROR(__xludf.DUMMYFUNCTION("UPPER(LEFT((GOOGLETRANSLATE(F28,""en"",""pt"")),1))&amp;RIGHT(lower((GOOGLETRANSLATE(F28,""en"",""pt""))),(LEN((GOOGLETRANSLATE(F28,""en"",""pt"")))-1))"),"Entidades comunicações postais")</f>
        <v>Entidades comunicações postais</v>
      </c>
      <c r="H28" s="24" t="str">
        <f>VLOOKUP(A28,En_Base_LNEC!$A$2:$E$10000,5,FALSE)</f>
        <v>Edifícios dos Correios, centros de conferência e serviços similares</v>
      </c>
      <c r="I28" s="20" t="s">
        <v>2070</v>
      </c>
      <c r="J28" s="81" t="s">
        <v>2004</v>
      </c>
      <c r="K28" s="24"/>
      <c r="L28" s="24"/>
      <c r="M28" s="24"/>
    </row>
    <row r="29" spans="1:13" ht="14.5" hidden="1">
      <c r="A29" s="20" t="s">
        <v>2071</v>
      </c>
      <c r="B29" s="81">
        <v>20</v>
      </c>
      <c r="C29" s="81">
        <v>55</v>
      </c>
      <c r="D29" s="81">
        <v>65</v>
      </c>
      <c r="E29" s="79"/>
      <c r="F29" s="20" t="s">
        <v>2072</v>
      </c>
      <c r="G29" s="24" t="str">
        <f ca="1">IFERROR(__xludf.DUMMYFUNCTION("UPPER(LEFT((GOOGLETRANSLATE(F29,""en"",""pt"")),1))&amp;RIGHT(lower((GOOGLETRANSLATE(F29,""en"",""pt""))),(LEN((GOOGLETRANSLATE(F29,""en"",""pt"")))-1))"),"Os edifícios dos correios")</f>
        <v>Os edifícios dos correios</v>
      </c>
      <c r="H29" s="24" t="e">
        <f>VLOOKUP(A29,En_Base_LNEC!$A$2:$E$10000,5,FALSE)</f>
        <v>#N/A</v>
      </c>
      <c r="I29" s="20" t="s">
        <v>2073</v>
      </c>
      <c r="J29" s="81" t="s">
        <v>2004</v>
      </c>
      <c r="K29" s="20" t="s">
        <v>2074</v>
      </c>
      <c r="L29" s="24"/>
      <c r="M29" s="24"/>
    </row>
    <row r="30" spans="1:13" ht="14.5" hidden="1">
      <c r="A30" s="20" t="s">
        <v>2075</v>
      </c>
      <c r="B30" s="81">
        <v>20</v>
      </c>
      <c r="C30" s="81">
        <v>55</v>
      </c>
      <c r="D30" s="81">
        <v>80</v>
      </c>
      <c r="E30" s="79"/>
      <c r="F30" s="20" t="s">
        <v>2076</v>
      </c>
      <c r="G30" s="24" t="str">
        <f ca="1">IFERROR(__xludf.DUMMYFUNCTION("UPPER(LEFT((GOOGLETRANSLATE(F30,""en"",""pt"")),1))&amp;RIGHT(lower((GOOGLETRANSLATE(F30,""en"",""pt""))),(LEN((GOOGLETRANSLATE(F30,""en"",""pt"")))-1))"),"Classificando edifícios de escritórios")</f>
        <v>Classificando edifícios de escritórios</v>
      </c>
      <c r="H30" s="24" t="e">
        <f>VLOOKUP(A30,En_Base_LNEC!$A$2:$E$10000,5,FALSE)</f>
        <v>#N/A</v>
      </c>
      <c r="I30" s="20" t="s">
        <v>2077</v>
      </c>
      <c r="J30" s="81" t="s">
        <v>2004</v>
      </c>
      <c r="K30" s="24"/>
      <c r="L30" s="24"/>
      <c r="M30" s="24"/>
    </row>
    <row r="31" spans="1:13" ht="14.5" hidden="1">
      <c r="A31" s="20" t="s">
        <v>2078</v>
      </c>
      <c r="B31" s="81">
        <v>20</v>
      </c>
      <c r="C31" s="81">
        <v>60</v>
      </c>
      <c r="D31" s="79"/>
      <c r="E31" s="79"/>
      <c r="F31" s="20" t="s">
        <v>2079</v>
      </c>
      <c r="G31" s="24" t="str">
        <f ca="1">IFERROR(__xludf.DUMMYFUNCTION("UPPER(LEFT((GOOGLETRANSLATE(F31,""en"",""pt"")),1))&amp;RIGHT(lower((GOOGLETRANSLATE(F31,""en"",""pt""))),(LEN((GOOGLETRANSLATE(F31,""en"",""pt"")))-1))"),"Entidades militares")</f>
        <v>Entidades militares</v>
      </c>
      <c r="H31" s="24" t="str">
        <f>VLOOKUP(A31,En_Base_LNEC!$A$2:$E$10000,5,FALSE)</f>
        <v>Edifícios militares</v>
      </c>
      <c r="I31" s="24" t="s">
        <v>1469</v>
      </c>
      <c r="J31" s="81" t="s">
        <v>2004</v>
      </c>
      <c r="K31" s="24"/>
      <c r="L31" s="24"/>
      <c r="M31" s="24"/>
    </row>
    <row r="32" spans="1:13" ht="14.5" hidden="1">
      <c r="A32" s="20" t="s">
        <v>2080</v>
      </c>
      <c r="B32" s="81">
        <v>20</v>
      </c>
      <c r="C32" s="81">
        <v>60</v>
      </c>
      <c r="D32" s="81">
        <v>2</v>
      </c>
      <c r="E32" s="79"/>
      <c r="F32" s="20" t="s">
        <v>2081</v>
      </c>
      <c r="G32" s="24" t="str">
        <f ca="1">IFERROR(__xludf.DUMMYFUNCTION("UPPER(LEFT((GOOGLETRANSLATE(F32,""en"",""pt"")),1))&amp;RIGHT(lower((GOOGLETRANSLATE(F32,""en"",""pt""))),(LEN((GOOGLETRANSLATE(F32,""en"",""pt"")))-1))"),"Edifícios da força aérea")</f>
        <v>Edifícios da força aérea</v>
      </c>
      <c r="H32" s="24" t="str">
        <f>VLOOKUP(A32,En_Base_LNEC!$A$2:$E$10000,5,FALSE)</f>
        <v>Edifícios da força aérea</v>
      </c>
      <c r="I32" s="20" t="s">
        <v>2082</v>
      </c>
      <c r="J32" s="81" t="s">
        <v>2004</v>
      </c>
      <c r="K32" s="24"/>
      <c r="L32" s="24"/>
      <c r="M32" s="24"/>
    </row>
    <row r="33" spans="1:13" ht="14.5" hidden="1">
      <c r="A33" s="20" t="s">
        <v>2083</v>
      </c>
      <c r="B33" s="81">
        <v>20</v>
      </c>
      <c r="C33" s="81">
        <v>60</v>
      </c>
      <c r="D33" s="81">
        <v>10</v>
      </c>
      <c r="E33" s="79"/>
      <c r="F33" s="20" t="s">
        <v>2084</v>
      </c>
      <c r="G33" s="24" t="str">
        <f ca="1">IFERROR(__xludf.DUMMYFUNCTION("UPPER(LEFT((GOOGLETRANSLATE(F33,""en"",""pt"")),1))&amp;RIGHT(lower((GOOGLETRANSLATE(F33,""en"",""pt""))),(LEN((GOOGLETRANSLATE(F33,""en"",""pt"")))-1))"),"Edifícios do exército")</f>
        <v>Edifícios do exército</v>
      </c>
      <c r="H33" s="24" t="str">
        <f>VLOOKUP(A33,En_Base_LNEC!$A$2:$E$10000,5,FALSE)</f>
        <v>Edifícios do exercito</v>
      </c>
      <c r="I33" s="20" t="s">
        <v>2085</v>
      </c>
      <c r="J33" s="81" t="s">
        <v>2004</v>
      </c>
      <c r="K33" s="24"/>
      <c r="L33" s="24"/>
      <c r="M33" s="24"/>
    </row>
    <row r="34" spans="1:13" ht="14.5" hidden="1">
      <c r="A34" s="20" t="s">
        <v>2086</v>
      </c>
      <c r="B34" s="81">
        <v>20</v>
      </c>
      <c r="C34" s="81">
        <v>60</v>
      </c>
      <c r="D34" s="81">
        <v>56</v>
      </c>
      <c r="E34" s="79"/>
      <c r="F34" s="20" t="s">
        <v>2087</v>
      </c>
      <c r="G34" s="24" t="str">
        <f ca="1">IFERROR(__xludf.DUMMYFUNCTION("UPPER(LEFT((GOOGLETRANSLATE(F34,""en"",""pt"")),1))&amp;RIGHT(lower((GOOGLETRANSLATE(F34,""en"",""pt""))),(LEN((GOOGLETRANSLATE(F34,""en"",""pt"")))-1))"),"Edifícios da marinha")</f>
        <v>Edifícios da marinha</v>
      </c>
      <c r="H34" s="24" t="str">
        <f>VLOOKUP(A34,En_Base_LNEC!$A$2:$E$10000,5,FALSE)</f>
        <v>Edifícios da marinha</v>
      </c>
      <c r="I34" s="20" t="s">
        <v>2088</v>
      </c>
      <c r="J34" s="81" t="s">
        <v>2004</v>
      </c>
      <c r="K34" s="24"/>
      <c r="L34" s="24"/>
      <c r="M34" s="24"/>
    </row>
    <row r="35" spans="1:13" ht="14.5" hidden="1">
      <c r="A35" s="20" t="s">
        <v>2089</v>
      </c>
      <c r="B35" s="81">
        <v>20</v>
      </c>
      <c r="C35" s="81">
        <v>65</v>
      </c>
      <c r="D35" s="79"/>
      <c r="E35" s="79"/>
      <c r="F35" s="20" t="s">
        <v>2090</v>
      </c>
      <c r="G35" s="24" t="str">
        <f ca="1">IFERROR(__xludf.DUMMYFUNCTION("UPPER(LEFT((GOOGLETRANSLATE(F35,""en"",""pt"")),1))&amp;RIGHT(lower((GOOGLETRANSLATE(F35,""en"",""pt""))),(LEN((GOOGLETRANSLATE(F35,""en"",""pt"")))-1))"),"Entidades operacionais da aplicação da lei")</f>
        <v>Entidades operacionais da aplicação da lei</v>
      </c>
      <c r="H35" s="24" t="str">
        <f>VLOOKUP(A35,En_Base_LNEC!$A$2:$E$10000,5,FALSE)</f>
        <v>Infraestruturas de forças de segurança</v>
      </c>
      <c r="I35" s="20" t="s">
        <v>2091</v>
      </c>
      <c r="J35" s="81" t="s">
        <v>2004</v>
      </c>
      <c r="K35" s="24"/>
      <c r="L35" s="24"/>
      <c r="M35" s="24"/>
    </row>
    <row r="36" spans="1:13" ht="14.5" hidden="1">
      <c r="A36" s="20" t="s">
        <v>2092</v>
      </c>
      <c r="B36" s="81">
        <v>20</v>
      </c>
      <c r="C36" s="81">
        <v>65</v>
      </c>
      <c r="D36" s="81">
        <v>9</v>
      </c>
      <c r="E36" s="79"/>
      <c r="F36" s="20" t="s">
        <v>2093</v>
      </c>
      <c r="G36" s="24" t="str">
        <f ca="1">IFERROR(__xludf.DUMMYFUNCTION("UPPER(LEFT((GOOGLETRANSLATE(F36,""en"",""pt"")),1))&amp;RIGHT(lower((GOOGLETRANSLATE(F36,""en"",""pt""))),(LEN((GOOGLETRANSLATE(F36,""en"",""pt"")))-1))"),"Edifícios da polícia")</f>
        <v>Edifícios da polícia</v>
      </c>
      <c r="H36" s="24" t="e">
        <f>VLOOKUP(A36,En_Base_LNEC!$A$2:$E$10000,5,FALSE)</f>
        <v>#N/A</v>
      </c>
      <c r="I36" s="24" t="s">
        <v>2094</v>
      </c>
      <c r="J36" s="81" t="s">
        <v>2004</v>
      </c>
      <c r="K36" s="24"/>
      <c r="L36" s="24"/>
      <c r="M36" s="24"/>
    </row>
    <row r="37" spans="1:13" ht="14.5" hidden="1">
      <c r="A37" s="20" t="s">
        <v>2095</v>
      </c>
      <c r="B37" s="81">
        <v>20</v>
      </c>
      <c r="C37" s="81">
        <v>70</v>
      </c>
      <c r="D37" s="79"/>
      <c r="E37" s="79"/>
      <c r="F37" s="20" t="s">
        <v>2096</v>
      </c>
      <c r="G37" s="24" t="str">
        <f ca="1">IFERROR(__xludf.DUMMYFUNCTION("UPPER(LEFT((GOOGLETRANSLATE(F37,""en"",""pt"")),1))&amp;RIGHT(lower((GOOGLETRANSLATE(F37,""en"",""pt""))),(LEN((GOOGLETRANSLATE(F37,""en"",""pt"")))-1))"),"Entidades judiciais")</f>
        <v>Entidades judiciais</v>
      </c>
      <c r="H37" s="24" t="str">
        <f>VLOOKUP(A37,En_Base_LNEC!$A$2:$E$10000,5,FALSE)</f>
        <v>Edifícios judiciais</v>
      </c>
      <c r="I37" s="24" t="s">
        <v>1481</v>
      </c>
      <c r="J37" s="81" t="s">
        <v>2004</v>
      </c>
      <c r="K37" s="24"/>
      <c r="L37" s="24"/>
      <c r="M37" s="24"/>
    </row>
    <row r="38" spans="1:13" ht="14.5" hidden="1">
      <c r="A38" s="20" t="s">
        <v>2097</v>
      </c>
      <c r="B38" s="81">
        <v>20</v>
      </c>
      <c r="C38" s="81">
        <v>70</v>
      </c>
      <c r="D38" s="81">
        <v>40</v>
      </c>
      <c r="E38" s="79"/>
      <c r="F38" s="20" t="s">
        <v>2098</v>
      </c>
      <c r="G38" s="24" t="str">
        <f ca="1">IFERROR(__xludf.DUMMYFUNCTION("UPPER(LEFT((GOOGLETRANSLATE(F38,""en"",""pt"")),1))&amp;RIGHT(lower((GOOGLETRANSLATE(F38,""en"",""pt""))),(LEN((GOOGLETRANSLATE(F38,""en"",""pt"")))-1))"),"Edifícios tribunal")</f>
        <v>Edifícios tribunal</v>
      </c>
      <c r="H38" s="24" t="e">
        <f>VLOOKUP(A38,En_Base_LNEC!$A$2:$E$10000,5,FALSE)</f>
        <v>#N/A</v>
      </c>
      <c r="I38" s="20" t="s">
        <v>2099</v>
      </c>
      <c r="J38" s="81" t="s">
        <v>2004</v>
      </c>
      <c r="K38" s="24"/>
      <c r="L38" s="24"/>
      <c r="M38" s="24"/>
    </row>
    <row r="39" spans="1:13" ht="14.5" hidden="1">
      <c r="A39" s="20" t="s">
        <v>2100</v>
      </c>
      <c r="B39" s="81">
        <v>20</v>
      </c>
      <c r="C39" s="81">
        <v>75</v>
      </c>
      <c r="D39" s="79"/>
      <c r="E39" s="79"/>
      <c r="F39" s="20" t="s">
        <v>2101</v>
      </c>
      <c r="G39" s="24" t="str">
        <f ca="1">IFERROR(__xludf.DUMMYFUNCTION("UPPER(LEFT((GOOGLETRANSLATE(F39,""en"",""pt"")),1))&amp;RIGHT(lower((GOOGLETRANSLATE(F39,""en"",""pt""))),(LEN((GOOGLETRANSLATE(F39,""en"",""pt"")))-1))"),"Entidades de detenção")</f>
        <v>Entidades de detenção</v>
      </c>
      <c r="H39" s="24" t="str">
        <f>VLOOKUP(A39,En_Base_LNEC!$A$2:$E$10000,5,FALSE)</f>
        <v>Edifícios de detenção</v>
      </c>
      <c r="I39" s="24" t="s">
        <v>1485</v>
      </c>
      <c r="J39" s="81" t="s">
        <v>2004</v>
      </c>
      <c r="K39" s="24"/>
      <c r="L39" s="24"/>
      <c r="M39" s="24"/>
    </row>
    <row r="40" spans="1:13" ht="14.5" hidden="1">
      <c r="A40" s="20" t="s">
        <v>2102</v>
      </c>
      <c r="B40" s="81">
        <v>20</v>
      </c>
      <c r="C40" s="81">
        <v>75</v>
      </c>
      <c r="D40" s="81">
        <v>10</v>
      </c>
      <c r="E40" s="79"/>
      <c r="F40" s="20" t="s">
        <v>2103</v>
      </c>
      <c r="G40" s="24" t="str">
        <f ca="1">IFERROR(__xludf.DUMMYFUNCTION("UPPER(LEFT((GOOGLETRANSLATE(F40,""en"",""pt"")),1))&amp;RIGHT(lower((GOOGLETRANSLATE(F40,""en"",""pt""))),(LEN((GOOGLETRANSLATE(F40,""en"",""pt"")))-1))"),"Edifícios de detenção")</f>
        <v>Edifícios de detenção</v>
      </c>
      <c r="H40" s="24" t="e">
        <f>VLOOKUP(A40,En_Base_LNEC!$A$2:$E$10000,5,FALSE)</f>
        <v>#N/A</v>
      </c>
      <c r="I40" s="24" t="s">
        <v>1485</v>
      </c>
      <c r="J40" s="81" t="s">
        <v>2004</v>
      </c>
      <c r="K40" s="24"/>
      <c r="L40" s="24"/>
      <c r="M40" s="24"/>
    </row>
    <row r="41" spans="1:13" ht="14.5" hidden="1">
      <c r="A41" s="20" t="s">
        <v>2104</v>
      </c>
      <c r="B41" s="81">
        <v>20</v>
      </c>
      <c r="C41" s="81">
        <v>80</v>
      </c>
      <c r="D41" s="79"/>
      <c r="E41" s="79"/>
      <c r="F41" s="20" t="s">
        <v>2105</v>
      </c>
      <c r="G41" s="24" t="str">
        <f ca="1">IFERROR(__xludf.DUMMYFUNCTION("UPPER(LEFT((GOOGLETRANSLATE(F41,""en"",""pt"")),1))&amp;RIGHT(lower((GOOGLETRANSLATE(F41,""en"",""pt""))),(LEN((GOOGLETRANSLATE(F41,""en"",""pt"")))-1))"),"Gamas de armas de treinamento")</f>
        <v>Gamas de armas de treinamento</v>
      </c>
      <c r="H41" s="24" t="e">
        <f>VLOOKUP(A41,En_Base_LNEC!$A$2:$E$10000,5,FALSE)</f>
        <v>#N/A</v>
      </c>
      <c r="I41" s="20" t="s">
        <v>2106</v>
      </c>
      <c r="J41" s="81" t="s">
        <v>2004</v>
      </c>
      <c r="K41" s="24"/>
      <c r="L41" s="24"/>
      <c r="M41" s="24"/>
    </row>
    <row r="42" spans="1:13" ht="14.5" hidden="1">
      <c r="A42" s="20" t="s">
        <v>2107</v>
      </c>
      <c r="B42" s="81">
        <v>20</v>
      </c>
      <c r="C42" s="81">
        <v>80</v>
      </c>
      <c r="D42" s="81">
        <v>29</v>
      </c>
      <c r="E42" s="79"/>
      <c r="F42" s="20" t="s">
        <v>2108</v>
      </c>
      <c r="G42" s="24" t="str">
        <f ca="1">IFERROR(__xludf.DUMMYFUNCTION("UPPER(LEFT((GOOGLETRANSLATE(F42,""en"",""pt"")),1))&amp;RIGHT(lower((GOOGLETRANSLATE(F42,""en"",""pt""))),(LEN((GOOGLETRANSLATE(F42,""en"",""pt"")))-1))"),"Firing edifícios alcance")</f>
        <v>Firing edifícios alcance</v>
      </c>
      <c r="H42" s="24" t="e">
        <f>VLOOKUP(A42,En_Base_LNEC!$A$2:$E$10000,5,FALSE)</f>
        <v>#N/A</v>
      </c>
      <c r="I42" s="20" t="s">
        <v>2109</v>
      </c>
      <c r="J42" s="81" t="s">
        <v>2004</v>
      </c>
      <c r="K42" s="24"/>
      <c r="L42" s="24"/>
      <c r="M42" s="24"/>
    </row>
    <row r="43" spans="1:13" ht="14.5" hidden="1">
      <c r="A43" s="20" t="s">
        <v>2110</v>
      </c>
      <c r="B43" s="81">
        <v>20</v>
      </c>
      <c r="C43" s="81">
        <v>80</v>
      </c>
      <c r="D43" s="81">
        <v>30</v>
      </c>
      <c r="E43" s="79"/>
      <c r="F43" s="20" t="s">
        <v>2111</v>
      </c>
      <c r="G43" s="24" t="str">
        <f ca="1">IFERROR(__xludf.DUMMYFUNCTION("UPPER(LEFT((GOOGLETRANSLATE(F43,""en"",""pt"")),1))&amp;RIGHT(lower((GOOGLETRANSLATE(F43,""en"",""pt""))),(LEN((GOOGLETRANSLATE(F43,""en"",""pt"")))-1))"),"Campos de tiro exterior")</f>
        <v>Campos de tiro exterior</v>
      </c>
      <c r="H43" s="24" t="e">
        <f>VLOOKUP(A43,En_Base_LNEC!$A$2:$E$10000,5,FALSE)</f>
        <v>#N/A</v>
      </c>
      <c r="I43" s="20" t="s">
        <v>2112</v>
      </c>
      <c r="J43" s="81" t="s">
        <v>2004</v>
      </c>
      <c r="K43" s="24"/>
      <c r="L43" s="24"/>
      <c r="M43" s="24"/>
    </row>
    <row r="44" spans="1:13" ht="14.5" hidden="1">
      <c r="A44" s="20" t="s">
        <v>2113</v>
      </c>
      <c r="B44" s="81">
        <v>20</v>
      </c>
      <c r="C44" s="81">
        <v>85</v>
      </c>
      <c r="D44" s="79"/>
      <c r="E44" s="79"/>
      <c r="F44" s="20" t="s">
        <v>2114</v>
      </c>
      <c r="G44" s="24" t="str">
        <f ca="1">IFERROR(__xludf.DUMMYFUNCTION("UPPER(LEFT((GOOGLETRANSLATE(F44,""en"",""pt"")),1))&amp;RIGHT(lower((GOOGLETRANSLATE(F44,""en"",""pt""))),(LEN((GOOGLETRANSLATE(F44,""en"",""pt"")))-1))"),"As entidades de segurança")</f>
        <v>As entidades de segurança</v>
      </c>
      <c r="H44" s="24" t="e">
        <f>VLOOKUP(A44,En_Base_LNEC!$A$2:$E$10000,5,FALSE)</f>
        <v>#N/A</v>
      </c>
      <c r="I44" s="20" t="s">
        <v>2115</v>
      </c>
      <c r="J44" s="81" t="s">
        <v>2004</v>
      </c>
      <c r="K44" s="24"/>
      <c r="L44" s="24"/>
      <c r="M44" s="24"/>
    </row>
    <row r="45" spans="1:13" ht="14.5" hidden="1">
      <c r="A45" s="20" t="s">
        <v>2116</v>
      </c>
      <c r="B45" s="81">
        <v>20</v>
      </c>
      <c r="C45" s="81">
        <v>85</v>
      </c>
      <c r="D45" s="81">
        <v>15</v>
      </c>
      <c r="E45" s="79"/>
      <c r="F45" s="20" t="s">
        <v>2117</v>
      </c>
      <c r="G45" s="24" t="str">
        <f ca="1">IFERROR(__xludf.DUMMYFUNCTION("UPPER(LEFT((GOOGLETRANSLATE(F45,""en"",""pt"")),1))&amp;RIGHT(lower((GOOGLETRANSLATE(F45,""en"",""pt""))),(LEN((GOOGLETRANSLATE(F45,""en"",""pt"")))-1))"),"Edifícios de controle de segurança")</f>
        <v>Edifícios de controle de segurança</v>
      </c>
      <c r="H45" s="24" t="e">
        <f>VLOOKUP(A45,En_Base_LNEC!$A$2:$E$10000,5,FALSE)</f>
        <v>#N/A</v>
      </c>
      <c r="I45" s="24" t="s">
        <v>2118</v>
      </c>
      <c r="J45" s="81" t="s">
        <v>2004</v>
      </c>
      <c r="K45" s="24"/>
      <c r="L45" s="24"/>
      <c r="M45" s="24"/>
    </row>
    <row r="46" spans="1:13" ht="14.5" hidden="1">
      <c r="A46" s="20" t="s">
        <v>2119</v>
      </c>
      <c r="B46" s="81">
        <v>20</v>
      </c>
      <c r="C46" s="81">
        <v>85</v>
      </c>
      <c r="D46" s="81">
        <v>30</v>
      </c>
      <c r="E46" s="79"/>
      <c r="F46" s="20" t="s">
        <v>2120</v>
      </c>
      <c r="G46" s="24" t="str">
        <f ca="1">IFERROR(__xludf.DUMMYFUNCTION("UPPER(LEFT((GOOGLETRANSLATE(F46,""en"",""pt"")),1))&amp;RIGHT(lower((GOOGLETRANSLATE(F46,""en"",""pt""))),(LEN((GOOGLETRANSLATE(F46,""en"",""pt"")))-1))"),"Cercas de segurança")</f>
        <v>Cercas de segurança</v>
      </c>
      <c r="H46" s="24" t="e">
        <f>VLOOKUP(A46,En_Base_LNEC!$A$2:$E$10000,5,FALSE)</f>
        <v>#N/A</v>
      </c>
      <c r="I46" s="20" t="s">
        <v>2121</v>
      </c>
      <c r="J46" s="81" t="s">
        <v>2004</v>
      </c>
      <c r="K46" s="24"/>
      <c r="L46" s="24"/>
      <c r="M46" s="24"/>
    </row>
    <row r="47" spans="1:13" ht="14.5" hidden="1">
      <c r="A47" s="20" t="s">
        <v>2122</v>
      </c>
      <c r="B47" s="81">
        <v>20</v>
      </c>
      <c r="C47" s="81">
        <v>90</v>
      </c>
      <c r="D47" s="79"/>
      <c r="E47" s="79"/>
      <c r="F47" s="20" t="s">
        <v>2123</v>
      </c>
      <c r="G47" s="24" t="str">
        <f ca="1">IFERROR(__xludf.DUMMYFUNCTION("UPPER(LEFT((GOOGLETRANSLATE(F47,""en"",""pt"")),1))&amp;RIGHT(lower((GOOGLETRANSLATE(F47,""en"",""pt""))),(LEN((GOOGLETRANSLATE(F47,""en"",""pt"")))-1))"),"Entidades de apoio incidentes")</f>
        <v>Entidades de apoio incidentes</v>
      </c>
      <c r="H47" s="24" t="str">
        <f>VLOOKUP(A47,En_Base_LNEC!$A$2:$E$10000,5,FALSE)</f>
        <v>Infraestruturas para suporte de acidentes</v>
      </c>
      <c r="I47" s="20" t="s">
        <v>2124</v>
      </c>
      <c r="J47" s="81" t="s">
        <v>2004</v>
      </c>
      <c r="K47" s="24"/>
      <c r="L47" s="24"/>
      <c r="M47" s="24"/>
    </row>
    <row r="48" spans="1:13" ht="14.5" hidden="1">
      <c r="A48" s="20" t="s">
        <v>2125</v>
      </c>
      <c r="B48" s="81">
        <v>20</v>
      </c>
      <c r="C48" s="81">
        <v>90</v>
      </c>
      <c r="D48" s="81">
        <v>10</v>
      </c>
      <c r="E48" s="79"/>
      <c r="F48" s="20" t="s">
        <v>2126</v>
      </c>
      <c r="G48" s="24" t="str">
        <f ca="1">IFERROR(__xludf.DUMMYFUNCTION("UPPER(LEFT((GOOGLETRANSLATE(F48,""en"",""pt"")),1))&amp;RIGHT(lower((GOOGLETRANSLATE(F48,""en"",""pt""))),(LEN((GOOGLETRANSLATE(F48,""en"",""pt"")))-1))"),"Edifícios de treinamento de incêndio e salvamento")</f>
        <v>Edifícios de treinamento de incêndio e salvamento</v>
      </c>
      <c r="H48" s="24" t="e">
        <f>VLOOKUP(A48,En_Base_LNEC!$A$2:$E$10000,5,FALSE)</f>
        <v>#N/A</v>
      </c>
      <c r="I48" s="20" t="s">
        <v>2127</v>
      </c>
      <c r="J48" s="81" t="s">
        <v>2004</v>
      </c>
      <c r="K48" s="24"/>
      <c r="L48" s="24"/>
      <c r="M48" s="24"/>
    </row>
    <row r="49" spans="1:13" ht="14.5" hidden="1">
      <c r="A49" s="20" t="s">
        <v>2128</v>
      </c>
      <c r="B49" s="81">
        <v>20</v>
      </c>
      <c r="C49" s="81">
        <v>90</v>
      </c>
      <c r="D49" s="81">
        <v>15</v>
      </c>
      <c r="E49" s="79"/>
      <c r="F49" s="20" t="s">
        <v>2129</v>
      </c>
      <c r="G49" s="24" t="str">
        <f ca="1">IFERROR(__xludf.DUMMYFUNCTION("UPPER(LEFT((GOOGLETRANSLATE(F49,""en"",""pt"")),1))&amp;RIGHT(lower((GOOGLETRANSLATE(F49,""en"",""pt""))),(LEN((GOOGLETRANSLATE(F49,""en"",""pt"")))-1))"),"Edifícios da estação de incêndio")</f>
        <v>Edifícios da estação de incêndio</v>
      </c>
      <c r="H49" s="24" t="e">
        <f>VLOOKUP(A49,En_Base_LNEC!$A$2:$E$10000,5,FALSE)</f>
        <v>#N/A</v>
      </c>
      <c r="I49" s="20" t="s">
        <v>249</v>
      </c>
      <c r="J49" s="81" t="s">
        <v>2004</v>
      </c>
      <c r="K49" s="24"/>
      <c r="L49" s="24"/>
      <c r="M49" s="24"/>
    </row>
    <row r="50" spans="1:13" ht="14.5">
      <c r="A50" s="20" t="s">
        <v>2130</v>
      </c>
      <c r="B50" s="81">
        <v>25</v>
      </c>
      <c r="C50" s="79"/>
      <c r="D50" s="79"/>
      <c r="E50" s="79"/>
      <c r="F50" s="20" t="s">
        <v>2131</v>
      </c>
      <c r="G50" s="24" t="str">
        <f ca="1">IFERROR(__xludf.DUMMYFUNCTION("UPPER(LEFT((GOOGLETRANSLATE(F50,""en"",""pt"")),1))&amp;RIGHT(lower((GOOGLETRANSLATE(F50,""en"",""pt""))),(LEN((GOOGLETRANSLATE(F50,""en"",""pt"")))-1))"),"Culturais, educacionais, entidades científicas e de informação")</f>
        <v>Culturais, educacionais, entidades científicas e de informação</v>
      </c>
      <c r="H50" s="24" t="str">
        <f>VLOOKUP(A50,En_Base_LNEC!$A$2:$E$10000,5,FALSE)</f>
        <v>Edifícios culturais, educacionais e de informação</v>
      </c>
      <c r="I50" s="24" t="s">
        <v>1495</v>
      </c>
      <c r="J50" s="81" t="s">
        <v>2004</v>
      </c>
      <c r="K50" s="24"/>
      <c r="L50" s="24"/>
      <c r="M50" s="24"/>
    </row>
    <row r="51" spans="1:13" ht="14.5">
      <c r="A51" s="20" t="s">
        <v>2132</v>
      </c>
      <c r="B51" s="81">
        <v>25</v>
      </c>
      <c r="C51" s="81">
        <v>5</v>
      </c>
      <c r="D51" s="79"/>
      <c r="E51" s="79"/>
      <c r="F51" s="20" t="s">
        <v>2133</v>
      </c>
      <c r="G51" s="24" t="str">
        <f ca="1">IFERROR(__xludf.DUMMYFUNCTION("UPPER(LEFT((GOOGLETRANSLATE(F51,""en"",""pt"")),1))&amp;RIGHT(lower((GOOGLETRANSLATE(F51,""en"",""pt""))),(LEN((GOOGLETRANSLATE(F51,""en"",""pt"")))-1))"),"Entidades de comemoração")</f>
        <v>Entidades de comemoração</v>
      </c>
      <c r="H51" s="24" t="e">
        <f>VLOOKUP(A51,En_Base_LNEC!$A$2:$E$10000,5,FALSE)</f>
        <v>#N/A</v>
      </c>
      <c r="I51" s="20" t="s">
        <v>2134</v>
      </c>
      <c r="J51" s="81" t="s">
        <v>2004</v>
      </c>
      <c r="K51" s="24"/>
      <c r="L51" s="24"/>
      <c r="M51" s="24"/>
    </row>
    <row r="52" spans="1:13" ht="14.5">
      <c r="A52" s="20" t="s">
        <v>2135</v>
      </c>
      <c r="B52" s="81">
        <v>25</v>
      </c>
      <c r="C52" s="81">
        <v>5</v>
      </c>
      <c r="D52" s="81">
        <v>35</v>
      </c>
      <c r="E52" s="79"/>
      <c r="F52" s="20" t="s">
        <v>2136</v>
      </c>
      <c r="G52" s="24" t="str">
        <f ca="1">IFERROR(__xludf.DUMMYFUNCTION("UPPER(LEFT((GOOGLETRANSLATE(F52,""en"",""pt"")),1))&amp;RIGHT(lower((GOOGLETRANSLATE(F52,""en"",""pt""))),(LEN((GOOGLETRANSLATE(F52,""en"",""pt"")))-1))"),"Jardins de lembrança")</f>
        <v>Jardins de lembrança</v>
      </c>
      <c r="H52" s="24" t="e">
        <f>VLOOKUP(A52,En_Base_LNEC!$A$2:$E$10000,5,FALSE)</f>
        <v>#N/A</v>
      </c>
      <c r="I52" s="20" t="s">
        <v>2137</v>
      </c>
      <c r="J52" s="81" t="s">
        <v>2004</v>
      </c>
      <c r="K52" s="24"/>
      <c r="L52" s="24"/>
      <c r="M52" s="24"/>
    </row>
    <row r="53" spans="1:13" ht="14.5">
      <c r="A53" s="20" t="s">
        <v>2138</v>
      </c>
      <c r="B53" s="81">
        <v>25</v>
      </c>
      <c r="C53" s="81">
        <v>5</v>
      </c>
      <c r="D53" s="81">
        <v>50</v>
      </c>
      <c r="E53" s="79"/>
      <c r="F53" s="20" t="s">
        <v>2139</v>
      </c>
      <c r="G53" s="24" t="str">
        <f ca="1">IFERROR(__xludf.DUMMYFUNCTION("UPPER(LEFT((GOOGLETRANSLATE(F53,""en"",""pt"")),1))&amp;RIGHT(lower((GOOGLETRANSLATE(F53,""en"",""pt""))),(LEN((GOOGLETRANSLATE(F53,""en"",""pt"")))-1))"),"Memoriais")</f>
        <v>Memoriais</v>
      </c>
      <c r="H53" s="24" t="e">
        <f>VLOOKUP(A53,En_Base_LNEC!$A$2:$E$10000,5,FALSE)</f>
        <v>#N/A</v>
      </c>
      <c r="I53" s="24" t="s">
        <v>2140</v>
      </c>
      <c r="J53" s="81" t="s">
        <v>2004</v>
      </c>
      <c r="K53" s="24"/>
      <c r="L53" s="24"/>
      <c r="M53" s="24"/>
    </row>
    <row r="54" spans="1:13" ht="14.5">
      <c r="A54" s="20" t="s">
        <v>2141</v>
      </c>
      <c r="B54" s="81">
        <v>25</v>
      </c>
      <c r="C54" s="81">
        <v>5</v>
      </c>
      <c r="D54" s="81">
        <v>55</v>
      </c>
      <c r="E54" s="79"/>
      <c r="F54" s="20" t="s">
        <v>2142</v>
      </c>
      <c r="G54" s="24" t="str">
        <f ca="1">IFERROR(__xludf.DUMMYFUNCTION("UPPER(LEFT((GOOGLETRANSLATE(F54,""en"",""pt"")),1))&amp;RIGHT(lower((GOOGLETRANSLATE(F54,""en"",""pt""))),(LEN((GOOGLETRANSLATE(F54,""en"",""pt"")))-1))"),"Monumentos")</f>
        <v>Monumentos</v>
      </c>
      <c r="H54" s="24" t="e">
        <f>VLOOKUP(A54,En_Base_LNEC!$A$2:$E$10000,5,FALSE)</f>
        <v>#N/A</v>
      </c>
      <c r="I54" s="24" t="s">
        <v>1536</v>
      </c>
      <c r="J54" s="81" t="s">
        <v>2004</v>
      </c>
      <c r="K54" s="24"/>
      <c r="L54" s="24"/>
      <c r="M54" s="24"/>
    </row>
    <row r="55" spans="1:13" ht="14.5">
      <c r="A55" s="20" t="s">
        <v>2143</v>
      </c>
      <c r="B55" s="81">
        <v>25</v>
      </c>
      <c r="C55" s="81">
        <v>10</v>
      </c>
      <c r="D55" s="79"/>
      <c r="E55" s="79"/>
      <c r="F55" s="20" t="s">
        <v>2144</v>
      </c>
      <c r="G55" s="24" t="str">
        <f ca="1">IFERROR(__xludf.DUMMYFUNCTION("UPPER(LEFT((GOOGLETRANSLATE(F55,""en"",""pt"")),1))&amp;RIGHT(lower((GOOGLETRANSLATE(F55,""en"",""pt""))),(LEN((GOOGLETRANSLATE(F55,""en"",""pt"")))-1))"),"Entidades educacionais")</f>
        <v>Entidades educacionais</v>
      </c>
      <c r="H55" s="24" t="str">
        <f>VLOOKUP(A55,En_Base_LNEC!$A$2:$E$10000,5,FALSE)</f>
        <v>Edifícios Educacionais</v>
      </c>
      <c r="I55" s="24" t="s">
        <v>1497</v>
      </c>
      <c r="J55" s="81" t="s">
        <v>2004</v>
      </c>
      <c r="K55" s="24"/>
      <c r="L55" s="24"/>
      <c r="M55" s="24"/>
    </row>
    <row r="56" spans="1:13" ht="14.5">
      <c r="A56" s="20" t="s">
        <v>2145</v>
      </c>
      <c r="B56" s="81">
        <v>25</v>
      </c>
      <c r="C56" s="81">
        <v>10</v>
      </c>
      <c r="D56" s="81">
        <v>10</v>
      </c>
      <c r="E56" s="79"/>
      <c r="F56" s="20" t="s">
        <v>2146</v>
      </c>
      <c r="G56" s="24" t="str">
        <f ca="1">IFERROR(__xludf.DUMMYFUNCTION("UPPER(LEFT((GOOGLETRANSLATE(F56,""en"",""pt"")),1))&amp;RIGHT(lower((GOOGLETRANSLATE(F56,""en"",""pt""))),(LEN((GOOGLETRANSLATE(F56,""en"",""pt"")))-1))"),"Edifícios de educação pré-escolar")</f>
        <v>Edifícios de educação pré-escolar</v>
      </c>
      <c r="H56" s="24" t="e">
        <f>VLOOKUP(A56,En_Base_LNEC!$A$2:$E$10000,5,FALSE)</f>
        <v>#N/A</v>
      </c>
      <c r="I56" s="24"/>
      <c r="J56" s="79"/>
      <c r="K56" s="20" t="s">
        <v>2147</v>
      </c>
      <c r="L56" s="24"/>
      <c r="M56" s="24"/>
    </row>
    <row r="57" spans="1:13" ht="14.5">
      <c r="A57" s="20" t="s">
        <v>2148</v>
      </c>
      <c r="B57" s="81">
        <v>25</v>
      </c>
      <c r="C57" s="81">
        <v>10</v>
      </c>
      <c r="D57" s="81">
        <v>20</v>
      </c>
      <c r="E57" s="79"/>
      <c r="F57" s="20" t="s">
        <v>2149</v>
      </c>
      <c r="G57" s="24" t="str">
        <f ca="1">IFERROR(__xludf.DUMMYFUNCTION("UPPER(LEFT((GOOGLETRANSLATE(F57,""en"",""pt"")),1))&amp;RIGHT(lower((GOOGLETRANSLATE(F57,""en"",""pt""))),(LEN((GOOGLETRANSLATE(F57,""en"",""pt"")))-1))"),"Edifícios educacionais infantis")</f>
        <v>Edifícios educacionais infantis</v>
      </c>
      <c r="H57" s="24" t="str">
        <f>VLOOKUP(A57,En_Base_LNEC!$A$2:$E$10000,5,FALSE)</f>
        <v>Academias de arte</v>
      </c>
      <c r="I57" s="24"/>
      <c r="J57" s="79"/>
      <c r="K57" s="24"/>
      <c r="L57" s="24"/>
      <c r="M57" s="24"/>
    </row>
    <row r="58" spans="1:13" ht="14.5">
      <c r="A58" s="20" t="s">
        <v>2150</v>
      </c>
      <c r="B58" s="81">
        <v>25</v>
      </c>
      <c r="C58" s="81">
        <v>10</v>
      </c>
      <c r="D58" s="81">
        <v>30</v>
      </c>
      <c r="E58" s="79"/>
      <c r="F58" s="20" t="s">
        <v>2151</v>
      </c>
      <c r="G58" s="24" t="str">
        <f ca="1">IFERROR(__xludf.DUMMYFUNCTION("UPPER(LEFT((GOOGLETRANSLATE(F58,""en"",""pt"")),1))&amp;RIGHT(lower((GOOGLETRANSLATE(F58,""en"",""pt""))),(LEN((GOOGLETRANSLATE(F58,""en"",""pt"")))-1))"),"Edifícios de ensino primário")</f>
        <v>Edifícios de ensino primário</v>
      </c>
      <c r="H58" s="24" t="e">
        <f>VLOOKUP(A58,En_Base_LNEC!$A$2:$E$10000,5,FALSE)</f>
        <v>#N/A</v>
      </c>
      <c r="I58" s="24"/>
      <c r="J58" s="79"/>
      <c r="K58" s="24"/>
      <c r="L58" s="24"/>
      <c r="M58" s="24"/>
    </row>
    <row r="59" spans="1:13" ht="14.5">
      <c r="A59" s="20" t="s">
        <v>2152</v>
      </c>
      <c r="B59" s="81">
        <v>25</v>
      </c>
      <c r="C59" s="81">
        <v>10</v>
      </c>
      <c r="D59" s="81">
        <v>40</v>
      </c>
      <c r="E59" s="79"/>
      <c r="F59" s="20" t="s">
        <v>2153</v>
      </c>
      <c r="G59" s="24" t="str">
        <f ca="1">IFERROR(__xludf.DUMMYFUNCTION("UPPER(LEFT((GOOGLETRANSLATE(F59,""en"",""pt"")),1))&amp;RIGHT(lower((GOOGLETRANSLATE(F59,""en"",""pt""))),(LEN((GOOGLETRANSLATE(F59,""en"",""pt"")))-1))"),"Edifícios educacionais secundárias")</f>
        <v>Edifícios educacionais secundárias</v>
      </c>
      <c r="H59" s="24" t="e">
        <f>VLOOKUP(A59,En_Base_LNEC!$A$2:$E$10000,5,FALSE)</f>
        <v>#N/A</v>
      </c>
      <c r="I59" s="24"/>
      <c r="J59" s="79"/>
      <c r="K59" s="24"/>
      <c r="L59" s="24"/>
      <c r="M59" s="24"/>
    </row>
    <row r="60" spans="1:13" ht="14.5">
      <c r="A60" s="20" t="s">
        <v>2154</v>
      </c>
      <c r="B60" s="81">
        <v>25</v>
      </c>
      <c r="C60" s="81">
        <v>10</v>
      </c>
      <c r="D60" s="81">
        <v>50</v>
      </c>
      <c r="E60" s="79"/>
      <c r="F60" s="20" t="s">
        <v>2155</v>
      </c>
      <c r="G60" s="24" t="str">
        <f ca="1">IFERROR(__xludf.DUMMYFUNCTION("UPPER(LEFT((GOOGLETRANSLATE(F60,""en"",""pt"")),1))&amp;RIGHT(lower((GOOGLETRANSLATE(F60,""en"",""pt""))),(LEN((GOOGLETRANSLATE(F60,""en"",""pt"")))-1))"),"Edifícios de educação pré-terciários")</f>
        <v>Edifícios de educação pré-terciários</v>
      </c>
      <c r="H60" s="24" t="e">
        <f>VLOOKUP(A60,En_Base_LNEC!$A$2:$E$10000,5,FALSE)</f>
        <v>#N/A</v>
      </c>
      <c r="I60" s="24"/>
      <c r="J60" s="79"/>
      <c r="K60" s="24"/>
      <c r="L60" s="24"/>
      <c r="M60" s="24"/>
    </row>
    <row r="61" spans="1:13" ht="14.5">
      <c r="A61" s="20" t="s">
        <v>2156</v>
      </c>
      <c r="B61" s="81">
        <v>25</v>
      </c>
      <c r="C61" s="81">
        <v>10</v>
      </c>
      <c r="D61" s="81">
        <v>60</v>
      </c>
      <c r="E61" s="79"/>
      <c r="F61" s="20" t="s">
        <v>2157</v>
      </c>
      <c r="G61" s="24" t="str">
        <f ca="1">IFERROR(__xludf.DUMMYFUNCTION("UPPER(LEFT((GOOGLETRANSLATE(F61,""en"",""pt"")),1))&amp;RIGHT(lower((GOOGLETRANSLATE(F61,""en"",""pt""))),(LEN((GOOGLETRANSLATE(F61,""en"",""pt"")))-1))"),"Edifícios de ensino superior")</f>
        <v>Edifícios de ensino superior</v>
      </c>
      <c r="H61" s="24" t="e">
        <f>VLOOKUP(A61,En_Base_LNEC!$A$2:$E$10000,5,FALSE)</f>
        <v>#N/A</v>
      </c>
      <c r="I61" s="24"/>
      <c r="J61" s="79"/>
      <c r="K61" s="24"/>
      <c r="L61" s="24"/>
      <c r="M61" s="24"/>
    </row>
    <row r="62" spans="1:13" ht="14.5">
      <c r="A62" s="20" t="s">
        <v>2158</v>
      </c>
      <c r="B62" s="81">
        <v>25</v>
      </c>
      <c r="C62" s="81">
        <v>10</v>
      </c>
      <c r="D62" s="81">
        <v>70</v>
      </c>
      <c r="E62" s="79"/>
      <c r="F62" s="20" t="s">
        <v>2159</v>
      </c>
      <c r="G62" s="24" t="str">
        <f ca="1">IFERROR(__xludf.DUMMYFUNCTION("UPPER(LEFT((GOOGLETRANSLATE(F62,""en"",""pt"")),1))&amp;RIGHT(lower((GOOGLETRANSLATE(F62,""en"",""pt""))),(LEN((GOOGLETRANSLATE(F62,""en"",""pt"")))-1))"),"Edifícios educativos para adultos")</f>
        <v>Edifícios educativos para adultos</v>
      </c>
      <c r="H62" s="24" t="e">
        <f>VLOOKUP(A62,En_Base_LNEC!$A$2:$E$10000,5,FALSE)</f>
        <v>#N/A</v>
      </c>
      <c r="I62" s="24"/>
      <c r="J62" s="79"/>
      <c r="K62" s="24"/>
      <c r="L62" s="24"/>
      <c r="M62" s="24"/>
    </row>
    <row r="63" spans="1:13" ht="14.5">
      <c r="A63" s="20" t="s">
        <v>2160</v>
      </c>
      <c r="B63" s="81">
        <v>25</v>
      </c>
      <c r="C63" s="81">
        <v>30</v>
      </c>
      <c r="D63" s="79"/>
      <c r="E63" s="79"/>
      <c r="F63" s="20" t="s">
        <v>2161</v>
      </c>
      <c r="G63" s="24" t="str">
        <f ca="1">IFERROR(__xludf.DUMMYFUNCTION("UPPER(LEFT((GOOGLETRANSLATE(F63,""en"",""pt"")),1))&amp;RIGHT(lower((GOOGLETRANSLATE(F63,""en"",""pt""))),(LEN((GOOGLETRANSLATE(F63,""en"",""pt"")))-1))"),"Entidades científicas e laboratoriais")</f>
        <v>Entidades científicas e laboratoriais</v>
      </c>
      <c r="H63" s="24" t="str">
        <f>VLOOKUP(A63,En_Base_LNEC!$A$2:$E$10000,5,FALSE)</f>
        <v>Edifícios científicos</v>
      </c>
      <c r="I63" s="24"/>
      <c r="J63" s="79"/>
      <c r="K63" s="24"/>
      <c r="L63" s="24"/>
      <c r="M63" s="24"/>
    </row>
    <row r="64" spans="1:13" ht="14.5">
      <c r="A64" s="20" t="s">
        <v>2162</v>
      </c>
      <c r="B64" s="81">
        <v>25</v>
      </c>
      <c r="C64" s="81">
        <v>30</v>
      </c>
      <c r="D64" s="81">
        <v>40</v>
      </c>
      <c r="E64" s="79"/>
      <c r="F64" s="20" t="s">
        <v>2163</v>
      </c>
      <c r="G64" s="24" t="str">
        <f ca="1">IFERROR(__xludf.DUMMYFUNCTION("UPPER(LEFT((GOOGLETRANSLATE(F64,""en"",""pt"")),1))&amp;RIGHT(lower((GOOGLETRANSLATE(F64,""en"",""pt""))),(LEN((GOOGLETRANSLATE(F64,""en"",""pt"")))-1))"),"Edifícios de laboratório")</f>
        <v>Edifícios de laboratório</v>
      </c>
      <c r="H64" s="24" t="e">
        <f>VLOOKUP(A64,En_Base_LNEC!$A$2:$E$10000,5,FALSE)</f>
        <v>#N/A</v>
      </c>
      <c r="I64" s="24"/>
      <c r="J64" s="79"/>
      <c r="K64" s="24"/>
      <c r="L64" s="24"/>
      <c r="M64" s="24"/>
    </row>
    <row r="65" spans="1:13" ht="14.5">
      <c r="A65" s="20" t="s">
        <v>2164</v>
      </c>
      <c r="B65" s="81">
        <v>25</v>
      </c>
      <c r="C65" s="81">
        <v>30</v>
      </c>
      <c r="D65" s="81">
        <v>50</v>
      </c>
      <c r="E65" s="79"/>
      <c r="F65" s="20" t="s">
        <v>2165</v>
      </c>
      <c r="G65" s="24" t="str">
        <f ca="1">IFERROR(__xludf.DUMMYFUNCTION("UPPER(LEFT((GOOGLETRANSLATE(F65,""en"",""pt"")),1))&amp;RIGHT(lower((GOOGLETRANSLATE(F65,""en"",""pt""))),(LEN((GOOGLETRANSLATE(F65,""en"",""pt"")))-1))"),"Estações meteorológicas")</f>
        <v>Estações meteorológicas</v>
      </c>
      <c r="H65" s="24" t="str">
        <f>VLOOKUP(A65,En_Base_LNEC!$A$2:$E$10000,5,FALSE)</f>
        <v>Estações meteorológicas</v>
      </c>
      <c r="I65" s="24" t="s">
        <v>1526</v>
      </c>
      <c r="J65" s="81" t="s">
        <v>2004</v>
      </c>
      <c r="K65" s="24"/>
      <c r="L65" s="24"/>
      <c r="M65" s="24"/>
    </row>
    <row r="66" spans="1:13" ht="14.5">
      <c r="A66" s="20" t="s">
        <v>2166</v>
      </c>
      <c r="B66" s="81">
        <v>25</v>
      </c>
      <c r="C66" s="81">
        <v>30</v>
      </c>
      <c r="D66" s="81">
        <v>60</v>
      </c>
      <c r="E66" s="79"/>
      <c r="F66" s="20" t="s">
        <v>2167</v>
      </c>
      <c r="G66" s="24" t="str">
        <f ca="1">IFERROR(__xludf.DUMMYFUNCTION("UPPER(LEFT((GOOGLETRANSLATE(F66,""en"",""pt"")),1))&amp;RIGHT(lower((GOOGLETRANSLATE(F66,""en"",""pt""))),(LEN((GOOGLETRANSLATE(F66,""en"",""pt"")))-1))"),"Edifícios observatory")</f>
        <v>Edifícios observatory</v>
      </c>
      <c r="H66" s="24" t="e">
        <f>VLOOKUP(A66,En_Base_LNEC!$A$2:$E$10000,5,FALSE)</f>
        <v>#N/A</v>
      </c>
      <c r="I66" s="20" t="s">
        <v>2168</v>
      </c>
      <c r="J66" s="81" t="s">
        <v>2004</v>
      </c>
      <c r="K66" s="24"/>
      <c r="L66" s="24"/>
      <c r="M66" s="24"/>
    </row>
    <row r="67" spans="1:13" ht="14.5">
      <c r="A67" s="20" t="s">
        <v>2169</v>
      </c>
      <c r="B67" s="81">
        <v>25</v>
      </c>
      <c r="C67" s="81">
        <v>30</v>
      </c>
      <c r="D67" s="81">
        <v>66</v>
      </c>
      <c r="E67" s="79"/>
      <c r="F67" s="20" t="s">
        <v>2170</v>
      </c>
      <c r="G67" s="24" t="str">
        <f ca="1">IFERROR(__xludf.DUMMYFUNCTION("UPPER(LEFT((GOOGLETRANSLATE(F67,""en"",""pt"")),1))&amp;RIGHT(lower((GOOGLETRANSLATE(F67,""en"",""pt""))),(LEN((GOOGLETRANSLATE(F67,""en"",""pt"")))-1))"),"Antenas observatory")</f>
        <v>Antenas observatory</v>
      </c>
      <c r="H67" s="24" t="e">
        <f>VLOOKUP(A67,En_Base_LNEC!$A$2:$E$10000,5,FALSE)</f>
        <v>#N/A</v>
      </c>
      <c r="I67" s="20" t="s">
        <v>2171</v>
      </c>
      <c r="J67" s="81" t="s">
        <v>2004</v>
      </c>
      <c r="K67" s="24"/>
      <c r="L67" s="24"/>
      <c r="M67" s="24"/>
    </row>
    <row r="68" spans="1:13" ht="14.5">
      <c r="A68" s="20" t="s">
        <v>2172</v>
      </c>
      <c r="B68" s="81">
        <v>25</v>
      </c>
      <c r="C68" s="81">
        <v>30</v>
      </c>
      <c r="D68" s="81">
        <v>70</v>
      </c>
      <c r="E68" s="79"/>
      <c r="F68" s="20" t="s">
        <v>2173</v>
      </c>
      <c r="G68" s="24" t="str">
        <f ca="1">IFERROR(__xludf.DUMMYFUNCTION("UPPER(LEFT((GOOGLETRANSLATE(F68,""en"",""pt"")),1))&amp;RIGHT(lower((GOOGLETRANSLATE(F68,""en"",""pt""))),(LEN((GOOGLETRANSLATE(F68,""en"",""pt"")))-1))"),"Edifícios destinados à investigação")</f>
        <v>Edifícios destinados à investigação</v>
      </c>
      <c r="H68" s="24" t="str">
        <f>VLOOKUP(A68,En_Base_LNEC!$A$2:$E$10000,5,FALSE)</f>
        <v>Centros de investigação</v>
      </c>
      <c r="I68" s="24" t="s">
        <v>2174</v>
      </c>
      <c r="J68" s="81" t="s">
        <v>2004</v>
      </c>
      <c r="K68" s="20" t="s">
        <v>2175</v>
      </c>
      <c r="L68" s="24"/>
      <c r="M68" s="24"/>
    </row>
    <row r="69" spans="1:13" ht="14.5">
      <c r="A69" s="20" t="s">
        <v>2176</v>
      </c>
      <c r="B69" s="81">
        <v>25</v>
      </c>
      <c r="C69" s="81">
        <v>30</v>
      </c>
      <c r="D69" s="81">
        <v>77</v>
      </c>
      <c r="E69" s="79"/>
      <c r="F69" s="20" t="s">
        <v>2177</v>
      </c>
      <c r="G69" s="24" t="str">
        <f ca="1">IFERROR(__xludf.DUMMYFUNCTION("UPPER(LEFT((GOOGLETRANSLATE(F69,""en"",""pt"")),1))&amp;RIGHT(lower((GOOGLETRANSLATE(F69,""en"",""pt""))),(LEN((GOOGLETRANSLATE(F69,""en"",""pt"")))-1))"),"Bancos de sementes")</f>
        <v>Bancos de sementes</v>
      </c>
      <c r="H69" s="24" t="e">
        <f>VLOOKUP(A69,En_Base_LNEC!$A$2:$E$10000,5,FALSE)</f>
        <v>#N/A</v>
      </c>
      <c r="I69" s="24" t="s">
        <v>2178</v>
      </c>
      <c r="J69" s="81" t="s">
        <v>2004</v>
      </c>
      <c r="K69" s="24"/>
      <c r="L69" s="24"/>
      <c r="M69" s="24"/>
    </row>
    <row r="70" spans="1:13" ht="14.5">
      <c r="A70" s="20" t="s">
        <v>2179</v>
      </c>
      <c r="B70" s="81">
        <v>25</v>
      </c>
      <c r="C70" s="81">
        <v>30</v>
      </c>
      <c r="D70" s="81">
        <v>90</v>
      </c>
      <c r="E70" s="79"/>
      <c r="F70" s="20" t="s">
        <v>2180</v>
      </c>
      <c r="G70" s="24" t="str">
        <f ca="1">IFERROR(__xludf.DUMMYFUNCTION("UPPER(LEFT((GOOGLETRANSLATE(F70,""en"",""pt"")),1))&amp;RIGHT(lower((GOOGLETRANSLATE(F70,""en"",""pt""))),(LEN((GOOGLETRANSLATE(F70,""en"",""pt"")))-1))"),"Pilares de triangulação")</f>
        <v>Pilares de triangulação</v>
      </c>
      <c r="H70" s="24" t="e">
        <f>VLOOKUP(A70,En_Base_LNEC!$A$2:$E$10000,5,FALSE)</f>
        <v>#N/A</v>
      </c>
      <c r="I70" s="20" t="s">
        <v>2181</v>
      </c>
      <c r="J70" s="81" t="s">
        <v>2004</v>
      </c>
      <c r="K70" s="24"/>
      <c r="L70" s="24"/>
      <c r="M70" s="24"/>
    </row>
    <row r="71" spans="1:13" ht="14.5">
      <c r="A71" s="20" t="s">
        <v>2182</v>
      </c>
      <c r="B71" s="81">
        <v>25</v>
      </c>
      <c r="C71" s="81">
        <v>50</v>
      </c>
      <c r="D71" s="79"/>
      <c r="E71" s="79"/>
      <c r="F71" s="20" t="s">
        <v>2183</v>
      </c>
      <c r="G71" s="24" t="str">
        <f ca="1">IFERROR(__xludf.DUMMYFUNCTION("UPPER(LEFT((GOOGLETRANSLATE(F71,""en"",""pt"")),1))&amp;RIGHT(lower((GOOGLETRANSLATE(F71,""en"",""pt""))),(LEN((GOOGLETRANSLATE(F71,""en"",""pt"")))-1))"),"Entidades de exposições")</f>
        <v>Entidades de exposições</v>
      </c>
      <c r="H71" s="24" t="str">
        <f>VLOOKUP(A71,En_Base_LNEC!$A$2:$E$10000,5,FALSE)</f>
        <v>Edifícios de exibições</v>
      </c>
      <c r="I71" s="20" t="s">
        <v>2184</v>
      </c>
      <c r="J71" s="81" t="s">
        <v>2004</v>
      </c>
      <c r="K71" s="24"/>
      <c r="L71" s="24"/>
      <c r="M71" s="24"/>
    </row>
    <row r="72" spans="1:13" ht="14.5">
      <c r="A72" s="20" t="s">
        <v>2185</v>
      </c>
      <c r="B72" s="81">
        <v>25</v>
      </c>
      <c r="C72" s="81">
        <v>50</v>
      </c>
      <c r="D72" s="81">
        <v>2</v>
      </c>
      <c r="E72" s="79"/>
      <c r="F72" s="20" t="s">
        <v>2186</v>
      </c>
      <c r="G72" s="24" t="str">
        <f ca="1">IFERROR(__xludf.DUMMYFUNCTION("UPPER(LEFT((GOOGLETRANSLATE(F72,""en"",""pt"")),1))&amp;RIGHT(lower((GOOGLETRANSLATE(F72,""en"",""pt""))),(LEN((GOOGLETRANSLATE(F72,""en"",""pt"")))-1))"),"Edifícios exposição de arte")</f>
        <v>Edifícios exposição de arte</v>
      </c>
      <c r="H72" s="24" t="e">
        <f>VLOOKUP(A72,En_Base_LNEC!$A$2:$E$10000,5,FALSE)</f>
        <v>#N/A</v>
      </c>
      <c r="I72" s="20" t="s">
        <v>2187</v>
      </c>
      <c r="J72" s="81" t="s">
        <v>2004</v>
      </c>
      <c r="K72" s="24"/>
      <c r="L72" s="24"/>
      <c r="M72" s="24"/>
    </row>
    <row r="73" spans="1:13" ht="14.5">
      <c r="A73" s="20" t="s">
        <v>2188</v>
      </c>
      <c r="B73" s="81">
        <v>25</v>
      </c>
      <c r="C73" s="81">
        <v>50</v>
      </c>
      <c r="D73" s="81">
        <v>4</v>
      </c>
      <c r="E73" s="79"/>
      <c r="F73" s="20" t="s">
        <v>322</v>
      </c>
      <c r="G73" s="24" t="str">
        <f ca="1">IFERROR(__xludf.DUMMYFUNCTION("UPPER(LEFT((GOOGLETRANSLATE(F73,""en"",""pt"")),1))&amp;RIGHT(lower((GOOGLETRANSLATE(F73,""en"",""pt""))),(LEN((GOOGLETRANSLATE(F73,""en"",""pt"")))-1))"),"Instalações de arte")</f>
        <v>Instalações de arte</v>
      </c>
      <c r="H73" s="24" t="e">
        <f>VLOOKUP(A73,En_Base_LNEC!$A$2:$E$10000,5,FALSE)</f>
        <v>#N/A</v>
      </c>
      <c r="I73" s="20" t="s">
        <v>2189</v>
      </c>
      <c r="J73" s="81" t="s">
        <v>2004</v>
      </c>
      <c r="K73" s="24"/>
      <c r="L73" s="24"/>
      <c r="M73" s="24"/>
    </row>
    <row r="74" spans="1:13" ht="14.5">
      <c r="A74" s="20" t="s">
        <v>2190</v>
      </c>
      <c r="B74" s="81">
        <v>25</v>
      </c>
      <c r="C74" s="81">
        <v>50</v>
      </c>
      <c r="D74" s="81">
        <v>15</v>
      </c>
      <c r="E74" s="79"/>
      <c r="F74" s="20" t="s">
        <v>2191</v>
      </c>
      <c r="G74" s="24" t="str">
        <f ca="1">IFERROR(__xludf.DUMMYFUNCTION("UPPER(LEFT((GOOGLETRANSLATE(F74,""en"",""pt"")),1))&amp;RIGHT(lower((GOOGLETRANSLATE(F74,""en"",""pt""))),(LEN((GOOGLETRANSLATE(F74,""en"",""pt"")))-1))"),"Edifícios de exposição coleção")</f>
        <v>Edifícios de exposição coleção</v>
      </c>
      <c r="H74" s="24" t="e">
        <f>VLOOKUP(A74,En_Base_LNEC!$A$2:$E$10000,5,FALSE)</f>
        <v>#N/A</v>
      </c>
      <c r="I74" s="20" t="s">
        <v>2192</v>
      </c>
      <c r="J74" s="81" t="s">
        <v>2004</v>
      </c>
      <c r="K74" s="24"/>
      <c r="L74" s="24"/>
      <c r="M74" s="24"/>
    </row>
    <row r="75" spans="1:13" ht="14.5">
      <c r="A75" s="20" t="s">
        <v>2193</v>
      </c>
      <c r="B75" s="81">
        <v>25</v>
      </c>
      <c r="C75" s="81">
        <v>50</v>
      </c>
      <c r="D75" s="81">
        <v>29</v>
      </c>
      <c r="E75" s="79"/>
      <c r="F75" s="20" t="s">
        <v>2194</v>
      </c>
      <c r="G75" s="24" t="str">
        <f ca="1">IFERROR(__xludf.DUMMYFUNCTION("UPPER(LEFT((GOOGLETRANSLATE(F75,""en"",""pt"")),1))&amp;RIGHT(lower((GOOGLETRANSLATE(F75,""en"",""pt""))),(LEN((GOOGLETRANSLATE(F75,""en"",""pt"")))-1))"),"Edifícios de exposição fauna")</f>
        <v>Edifícios de exposição fauna</v>
      </c>
      <c r="H75" s="24" t="e">
        <f>VLOOKUP(A75,En_Base_LNEC!$A$2:$E$10000,5,FALSE)</f>
        <v>#N/A</v>
      </c>
      <c r="I75" s="24"/>
      <c r="J75" s="79"/>
      <c r="K75" s="24"/>
      <c r="L75" s="24"/>
      <c r="M75" s="24"/>
    </row>
    <row r="76" spans="1:13" ht="14.5">
      <c r="A76" s="20" t="s">
        <v>2195</v>
      </c>
      <c r="B76" s="81">
        <v>25</v>
      </c>
      <c r="C76" s="81">
        <v>50</v>
      </c>
      <c r="D76" s="81">
        <v>30</v>
      </c>
      <c r="E76" s="79"/>
      <c r="F76" s="20" t="s">
        <v>2196</v>
      </c>
      <c r="G76" s="24" t="str">
        <f ca="1">IFERROR(__xludf.DUMMYFUNCTION("UPPER(LEFT((GOOGLETRANSLATE(F76,""en"",""pt"")),1))&amp;RIGHT(lower((GOOGLETRANSLATE(F76,""en"",""pt""))),(LEN((GOOGLETRANSLATE(F76,""en"",""pt"")))-1))"),"Recinto de exposições da fauna")</f>
        <v>Recinto de exposições da fauna</v>
      </c>
      <c r="H76" s="24" t="e">
        <f>VLOOKUP(A76,En_Base_LNEC!$A$2:$E$10000,5,FALSE)</f>
        <v>#N/A</v>
      </c>
      <c r="I76" s="24"/>
      <c r="J76" s="79"/>
      <c r="K76" s="24"/>
      <c r="L76" s="24"/>
      <c r="M76" s="24"/>
    </row>
    <row r="77" spans="1:13" ht="14.5">
      <c r="A77" s="20" t="s">
        <v>2197</v>
      </c>
      <c r="B77" s="81">
        <v>25</v>
      </c>
      <c r="C77" s="81">
        <v>50</v>
      </c>
      <c r="D77" s="81">
        <v>31</v>
      </c>
      <c r="E77" s="79"/>
      <c r="F77" s="20" t="s">
        <v>2198</v>
      </c>
      <c r="G77" s="24" t="str">
        <f ca="1">IFERROR(__xludf.DUMMYFUNCTION("UPPER(LEFT((GOOGLETRANSLATE(F77,""en"",""pt"")),1))&amp;RIGHT(lower((GOOGLETRANSLATE(F77,""en"",""pt""))),(LEN((GOOGLETRANSLATE(F77,""en"",""pt"")))-1))"),"Edifícios de exposição flora")</f>
        <v>Edifícios de exposição flora</v>
      </c>
      <c r="H77" s="24" t="e">
        <f>VLOOKUP(A77,En_Base_LNEC!$A$2:$E$10000,5,FALSE)</f>
        <v>#N/A</v>
      </c>
      <c r="I77" s="24"/>
      <c r="J77" s="79"/>
      <c r="K77" s="24"/>
      <c r="L77" s="24"/>
      <c r="M77" s="24"/>
    </row>
    <row r="78" spans="1:13" ht="14.5">
      <c r="A78" s="20" t="s">
        <v>2199</v>
      </c>
      <c r="B78" s="81">
        <v>25</v>
      </c>
      <c r="C78" s="81">
        <v>50</v>
      </c>
      <c r="D78" s="81">
        <v>32</v>
      </c>
      <c r="E78" s="79"/>
      <c r="F78" s="20" t="s">
        <v>2200</v>
      </c>
      <c r="G78" s="24" t="str">
        <f ca="1">IFERROR(__xludf.DUMMYFUNCTION("UPPER(LEFT((GOOGLETRANSLATE(F78,""en"",""pt"")),1))&amp;RIGHT(lower((GOOGLETRANSLATE(F78,""en"",""pt""))),(LEN((GOOGLETRANSLATE(F78,""en"",""pt"")))-1))"),"Recinto de exposições flora")</f>
        <v>Recinto de exposições flora</v>
      </c>
      <c r="H78" s="24" t="e">
        <f>VLOOKUP(A78,En_Base_LNEC!$A$2:$E$10000,5,FALSE)</f>
        <v>#N/A</v>
      </c>
      <c r="I78" s="24"/>
      <c r="J78" s="79"/>
      <c r="K78" s="24"/>
      <c r="L78" s="24"/>
      <c r="M78" s="24"/>
    </row>
    <row r="79" spans="1:13" ht="14.5">
      <c r="A79" s="20" t="s">
        <v>2201</v>
      </c>
      <c r="B79" s="81">
        <v>25</v>
      </c>
      <c r="C79" s="81">
        <v>50</v>
      </c>
      <c r="D79" s="81">
        <v>54</v>
      </c>
      <c r="E79" s="79"/>
      <c r="F79" s="20" t="s">
        <v>2202</v>
      </c>
      <c r="G79" s="24" t="str">
        <f ca="1">IFERROR(__xludf.DUMMYFUNCTION("UPPER(LEFT((GOOGLETRANSLATE(F79,""en"",""pt"")),1))&amp;RIGHT(lower((GOOGLETRANSLATE(F79,""en"",""pt""))),(LEN((GOOGLETRANSLATE(F79,""en"",""pt"")))-1))"),"Edifícios de exposição multipurpose")</f>
        <v>Edifícios de exposição multipurpose</v>
      </c>
      <c r="H79" s="24" t="e">
        <f>VLOOKUP(A79,En_Base_LNEC!$A$2:$E$10000,5,FALSE)</f>
        <v>#N/A</v>
      </c>
      <c r="I79" s="24"/>
      <c r="J79" s="79"/>
      <c r="K79" s="24"/>
      <c r="L79" s="24"/>
      <c r="M79" s="24"/>
    </row>
    <row r="80" spans="1:13" ht="14.5">
      <c r="A80" s="20" t="s">
        <v>2203</v>
      </c>
      <c r="B80" s="81">
        <v>25</v>
      </c>
      <c r="C80" s="81">
        <v>70</v>
      </c>
      <c r="D80" s="79"/>
      <c r="E80" s="79"/>
      <c r="F80" s="20" t="s">
        <v>2204</v>
      </c>
      <c r="G80" s="24" t="str">
        <f ca="1">IFERROR(__xludf.DUMMYFUNCTION("UPPER(LEFT((GOOGLETRANSLATE(F80,""en"",""pt"")),1))&amp;RIGHT(lower((GOOGLETRANSLATE(F80,""en"",""pt""))),(LEN((GOOGLETRANSLATE(F80,""en"",""pt"")))-1))"),"Entidades de informação")</f>
        <v>Entidades de informação</v>
      </c>
      <c r="H80" s="24" t="str">
        <f>VLOOKUP(A80,En_Base_LNEC!$A$2:$E$10000,5,FALSE)</f>
        <v>Edifícios de informação</v>
      </c>
      <c r="I80" s="24" t="s">
        <v>1541</v>
      </c>
      <c r="J80" s="81" t="s">
        <v>2004</v>
      </c>
      <c r="K80" s="24"/>
      <c r="L80" s="24"/>
      <c r="M80" s="24"/>
    </row>
    <row r="81" spans="1:13" ht="14.5">
      <c r="A81" s="20" t="s">
        <v>2205</v>
      </c>
      <c r="B81" s="81">
        <v>25</v>
      </c>
      <c r="C81" s="81">
        <v>70</v>
      </c>
      <c r="D81" s="81">
        <v>2</v>
      </c>
      <c r="E81" s="79"/>
      <c r="F81" s="20" t="s">
        <v>2206</v>
      </c>
      <c r="G81" s="24" t="str">
        <f ca="1">IFERROR(__xludf.DUMMYFUNCTION("UPPER(LEFT((GOOGLETRANSLATE(F81,""en"",""pt"")),1))&amp;RIGHT(lower((GOOGLETRANSLATE(F81,""en"",""pt""))),(LEN((GOOGLETRANSLATE(F81,""en"",""pt"")))-1))"),"Edifícios arquivo")</f>
        <v>Edifícios arquivo</v>
      </c>
      <c r="H81" s="24" t="e">
        <f>VLOOKUP(A81,En_Base_LNEC!$A$2:$E$10000,5,FALSE)</f>
        <v>#N/A</v>
      </c>
      <c r="I81" s="20" t="s">
        <v>2207</v>
      </c>
      <c r="J81" s="81" t="s">
        <v>2004</v>
      </c>
      <c r="K81" s="24"/>
      <c r="L81" s="24"/>
      <c r="M81" s="24"/>
    </row>
    <row r="82" spans="1:13" ht="14.5">
      <c r="A82" s="20" t="s">
        <v>2208</v>
      </c>
      <c r="B82" s="81">
        <v>25</v>
      </c>
      <c r="C82" s="81">
        <v>70</v>
      </c>
      <c r="D82" s="81">
        <v>13</v>
      </c>
      <c r="E82" s="79"/>
      <c r="F82" s="20" t="s">
        <v>2209</v>
      </c>
      <c r="G82" s="24" t="str">
        <f ca="1">IFERROR(__xludf.DUMMYFUNCTION("UPPER(LEFT((GOOGLETRANSLATE(F82,""en"",""pt"")),1))&amp;RIGHT(lower((GOOGLETRANSLATE(F82,""en"",""pt""))),(LEN((GOOGLETRANSLATE(F82,""en"",""pt"")))-1))"),"Edifícios de conferência")</f>
        <v>Edifícios de conferência</v>
      </c>
      <c r="H82" s="24" t="e">
        <f>VLOOKUP(A82,En_Base_LNEC!$A$2:$E$10000,5,FALSE)</f>
        <v>#N/A</v>
      </c>
      <c r="I82" s="20" t="s">
        <v>2210</v>
      </c>
      <c r="J82" s="81" t="s">
        <v>2004</v>
      </c>
      <c r="K82" s="24"/>
      <c r="L82" s="24"/>
      <c r="M82" s="24"/>
    </row>
    <row r="83" spans="1:13" ht="14.5">
      <c r="A83" s="20" t="s">
        <v>2211</v>
      </c>
      <c r="B83" s="81">
        <v>25</v>
      </c>
      <c r="C83" s="81">
        <v>70</v>
      </c>
      <c r="D83" s="81">
        <v>42</v>
      </c>
      <c r="E83" s="79"/>
      <c r="F83" s="20" t="s">
        <v>2212</v>
      </c>
      <c r="G83" s="24" t="str">
        <f ca="1">IFERROR(__xludf.DUMMYFUNCTION("UPPER(LEFT((GOOGLETRANSLATE(F83,""en"",""pt"")),1))&amp;RIGHT(lower((GOOGLETRANSLATE(F83,""en"",""pt""))),(LEN((GOOGLETRANSLATE(F83,""en"",""pt"")))-1))"),"Quiosques de informação")</f>
        <v>Quiosques de informação</v>
      </c>
      <c r="H83" s="24" t="e">
        <f>VLOOKUP(A83,En_Base_LNEC!$A$2:$E$10000,5,FALSE)</f>
        <v>#N/A</v>
      </c>
      <c r="I83" s="24" t="s">
        <v>2213</v>
      </c>
      <c r="J83" s="81" t="s">
        <v>2004</v>
      </c>
      <c r="K83" s="24"/>
      <c r="L83" s="24"/>
      <c r="M83" s="24"/>
    </row>
    <row r="84" spans="1:13" ht="14.5">
      <c r="A84" s="20" t="s">
        <v>2214</v>
      </c>
      <c r="B84" s="81">
        <v>25</v>
      </c>
      <c r="C84" s="81">
        <v>70</v>
      </c>
      <c r="D84" s="81">
        <v>47</v>
      </c>
      <c r="E84" s="79"/>
      <c r="F84" s="20" t="s">
        <v>2215</v>
      </c>
      <c r="G84" s="24" t="str">
        <f ca="1">IFERROR(__xludf.DUMMYFUNCTION("UPPER(LEFT((GOOGLETRANSLATE(F84,""en"",""pt"")),1))&amp;RIGHT(lower((GOOGLETRANSLATE(F84,""en"",""pt""))),(LEN((GOOGLETRANSLATE(F84,""en"",""pt"")))-1))"),"Prédios de bibliotecas")</f>
        <v>Prédios de bibliotecas</v>
      </c>
      <c r="H84" s="24" t="str">
        <f>VLOOKUP(A84,En_Base_LNEC!$A$2:$E$10000,5,FALSE)</f>
        <v>Bibliotecas</v>
      </c>
      <c r="I84" s="20" t="s">
        <v>2216</v>
      </c>
      <c r="J84" s="81" t="s">
        <v>2004</v>
      </c>
      <c r="K84" s="24"/>
      <c r="L84" s="24"/>
      <c r="M84" s="24"/>
    </row>
    <row r="85" spans="1:13" ht="14.5">
      <c r="A85" s="20" t="s">
        <v>2217</v>
      </c>
      <c r="B85" s="81">
        <v>25</v>
      </c>
      <c r="C85" s="81">
        <v>90</v>
      </c>
      <c r="D85" s="79"/>
      <c r="E85" s="79"/>
      <c r="F85" s="20" t="s">
        <v>2218</v>
      </c>
      <c r="G85" s="24" t="str">
        <f ca="1">IFERROR(__xludf.DUMMYFUNCTION("UPPER(LEFT((GOOGLETRANSLATE(F85,""en"",""pt"")),1))&amp;RIGHT(lower((GOOGLETRANSLATE(F85,""en"",""pt""))),(LEN((GOOGLETRANSLATE(F85,""en"",""pt"")))-1))"),"Entidades de adoração")</f>
        <v>Entidades de adoração</v>
      </c>
      <c r="H85" s="24" t="str">
        <f>VLOOKUP(A85,En_Base_LNEC!$A$2:$E$10000,5,FALSE)</f>
        <v>Edifícios para o culto e práticas religiosas</v>
      </c>
      <c r="I85" s="24"/>
      <c r="J85" s="79"/>
      <c r="K85" s="24"/>
      <c r="L85" s="24"/>
      <c r="M85" s="24"/>
    </row>
    <row r="86" spans="1:13" ht="14.5">
      <c r="A86" s="20" t="s">
        <v>2219</v>
      </c>
      <c r="B86" s="81">
        <v>25</v>
      </c>
      <c r="C86" s="81">
        <v>90</v>
      </c>
      <c r="D86" s="81">
        <v>30</v>
      </c>
      <c r="E86" s="79"/>
      <c r="F86" s="20" t="s">
        <v>2220</v>
      </c>
      <c r="G86" s="24" t="str">
        <f ca="1">IFERROR(__xludf.DUMMYFUNCTION("UPPER(LEFT((GOOGLETRANSLATE(F86,""en"",""pt"")),1))&amp;RIGHT(lower((GOOGLETRANSLATE(F86,""en"",""pt""))),(LEN((GOOGLETRANSLATE(F86,""en"",""pt"")))-1))"),"Edifícios de culto fé")</f>
        <v>Edifícios de culto fé</v>
      </c>
      <c r="H86" s="24" t="str">
        <f>VLOOKUP(A86,En_Base_LNEC!$A$2:$E$10000,5,FALSE)</f>
        <v>Edifícios para o culto religioso</v>
      </c>
      <c r="I86" s="24"/>
      <c r="J86" s="79"/>
      <c r="K86" s="24"/>
      <c r="L86" s="24"/>
      <c r="M86" s="24"/>
    </row>
    <row r="87" spans="1:13" ht="14.5">
      <c r="A87" s="20" t="s">
        <v>2221</v>
      </c>
      <c r="B87" s="81">
        <v>30</v>
      </c>
      <c r="C87" s="79"/>
      <c r="D87" s="79"/>
      <c r="E87" s="79"/>
      <c r="F87" s="20" t="s">
        <v>2222</v>
      </c>
      <c r="G87" s="24" t="str">
        <f ca="1">IFERROR(__xludf.DUMMYFUNCTION("UPPER(LEFT((GOOGLETRANSLATE(F87,""en"",""pt"")),1))&amp;RIGHT(lower((GOOGLETRANSLATE(F87,""en"",""pt""))),(LEN((GOOGLETRANSLATE(F87,""en"",""pt"")))-1))"),"Entidades industriais")</f>
        <v>Entidades industriais</v>
      </c>
      <c r="H87" s="24" t="str">
        <f>VLOOKUP(A87,En_Base_LNEC!$A$2:$E$10000,5,FALSE)</f>
        <v>Edifícios Industriais</v>
      </c>
      <c r="I87" s="24"/>
      <c r="J87" s="79"/>
      <c r="K87" s="24"/>
      <c r="L87" s="24"/>
      <c r="M87" s="24"/>
    </row>
    <row r="88" spans="1:13" ht="14.5">
      <c r="A88" s="20" t="s">
        <v>2223</v>
      </c>
      <c r="B88" s="81">
        <v>30</v>
      </c>
      <c r="C88" s="81">
        <v>10</v>
      </c>
      <c r="D88" s="79"/>
      <c r="E88" s="79"/>
      <c r="F88" s="20" t="s">
        <v>2224</v>
      </c>
      <c r="G88" s="24" t="str">
        <f ca="1">IFERROR(__xludf.DUMMYFUNCTION("UPPER(LEFT((GOOGLETRANSLATE(F88,""en"",""pt"")),1))&amp;RIGHT(lower((GOOGLETRANSLATE(F88,""en"",""pt""))),(LEN((GOOGLETRANSLATE(F88,""en"",""pt"")))-1))"),"Entidades extração mineral")</f>
        <v>Entidades extração mineral</v>
      </c>
      <c r="H88" s="24" t="e">
        <f>VLOOKUP(A88,En_Base_LNEC!$A$2:$E$10000,5,FALSE)</f>
        <v>#N/A</v>
      </c>
      <c r="I88" s="24"/>
      <c r="J88" s="79"/>
      <c r="K88" s="24"/>
      <c r="L88" s="24"/>
      <c r="M88" s="24"/>
    </row>
    <row r="89" spans="1:13" ht="14.5">
      <c r="A89" s="20" t="s">
        <v>2225</v>
      </c>
      <c r="B89" s="81">
        <v>30</v>
      </c>
      <c r="C89" s="81">
        <v>10</v>
      </c>
      <c r="D89" s="81">
        <v>57</v>
      </c>
      <c r="E89" s="79"/>
      <c r="F89" s="20" t="s">
        <v>2226</v>
      </c>
      <c r="G89" s="24" t="str">
        <f ca="1">IFERROR(__xludf.DUMMYFUNCTION("UPPER(LEFT((GOOGLETRANSLATE(F89,""en"",""pt"")),1))&amp;RIGHT(lower((GOOGLETRANSLATE(F89,""en"",""pt""))),(LEN((GOOGLETRANSLATE(F89,""en"",""pt"")))-1))"),"Plataformas de extração de petróleo e gás")</f>
        <v>Plataformas de extração de petróleo e gás</v>
      </c>
      <c r="H89" s="24" t="e">
        <f>VLOOKUP(A89,En_Base_LNEC!$A$2:$E$10000,5,FALSE)</f>
        <v>#N/A</v>
      </c>
      <c r="I89" s="24" t="s">
        <v>2227</v>
      </c>
      <c r="J89" s="81" t="s">
        <v>2004</v>
      </c>
      <c r="K89" s="24"/>
      <c r="L89" s="24"/>
      <c r="M89" s="24"/>
    </row>
    <row r="90" spans="1:13" ht="14.5">
      <c r="A90" s="20" t="s">
        <v>2228</v>
      </c>
      <c r="B90" s="81">
        <v>30</v>
      </c>
      <c r="C90" s="81">
        <v>10</v>
      </c>
      <c r="D90" s="81">
        <v>80</v>
      </c>
      <c r="E90" s="79"/>
      <c r="F90" s="20" t="s">
        <v>2229</v>
      </c>
      <c r="G90" s="24" t="str">
        <f ca="1">IFERROR(__xludf.DUMMYFUNCTION("UPPER(LEFT((GOOGLETRANSLATE(F90,""en"",""pt"")),1))&amp;RIGHT(lower((GOOGLETRANSLATE(F90,""en"",""pt""))),(LEN((GOOGLETRANSLATE(F90,""en"",""pt"")))-1))"),"Montes despojo")</f>
        <v>Montes despojo</v>
      </c>
      <c r="H90" s="24" t="e">
        <f>VLOOKUP(A90,En_Base_LNEC!$A$2:$E$10000,5,FALSE)</f>
        <v>#N/A</v>
      </c>
      <c r="I90" s="24"/>
      <c r="J90" s="79"/>
      <c r="K90" s="24"/>
      <c r="L90" s="24"/>
      <c r="M90" s="24"/>
    </row>
    <row r="91" spans="1:13" ht="14.5">
      <c r="A91" s="20" t="s">
        <v>2230</v>
      </c>
      <c r="B91" s="81">
        <v>30</v>
      </c>
      <c r="C91" s="81">
        <v>10</v>
      </c>
      <c r="D91" s="81">
        <v>85</v>
      </c>
      <c r="E91" s="79"/>
      <c r="F91" s="20" t="s">
        <v>2231</v>
      </c>
      <c r="G91" s="24" t="str">
        <f ca="1">IFERROR(__xludf.DUMMYFUNCTION("UPPER(LEFT((GOOGLETRANSLATE(F91,""en"",""pt"")),1))&amp;RIGHT(lower((GOOGLETRANSLATE(F91,""en"",""pt""))),(LEN((GOOGLETRANSLATE(F91,""en"",""pt"")))-1))"),"Estruturas de mineração de superfície")</f>
        <v>Estruturas de mineração de superfície</v>
      </c>
      <c r="H91" s="24" t="e">
        <f>VLOOKUP(A91,En_Base_LNEC!$A$2:$E$10000,5,FALSE)</f>
        <v>#N/A</v>
      </c>
      <c r="I91" s="24"/>
      <c r="J91" s="79"/>
      <c r="K91" s="24"/>
      <c r="L91" s="24"/>
      <c r="M91" s="24"/>
    </row>
    <row r="92" spans="1:13" ht="14.5">
      <c r="A92" s="20" t="s">
        <v>2232</v>
      </c>
      <c r="B92" s="81">
        <v>30</v>
      </c>
      <c r="C92" s="81">
        <v>10</v>
      </c>
      <c r="D92" s="81">
        <v>86</v>
      </c>
      <c r="E92" s="79"/>
      <c r="F92" s="20" t="s">
        <v>2233</v>
      </c>
      <c r="G92" s="24" t="str">
        <f ca="1">IFERROR(__xludf.DUMMYFUNCTION("UPPER(LEFT((GOOGLETRANSLATE(F92,""en"",""pt"")),1))&amp;RIGHT(lower((GOOGLETRANSLATE(F92,""en"",""pt""))),(LEN((GOOGLETRANSLATE(F92,""en"",""pt"")))-1))"),"Estacas de mineração de superfície")</f>
        <v>Estacas de mineração de superfície</v>
      </c>
      <c r="H92" s="24" t="e">
        <f>VLOOKUP(A92,En_Base_LNEC!$A$2:$E$10000,5,FALSE)</f>
        <v>#N/A</v>
      </c>
      <c r="I92" s="24"/>
      <c r="J92" s="79"/>
      <c r="K92" s="24"/>
      <c r="L92" s="24"/>
      <c r="M92" s="24"/>
    </row>
    <row r="93" spans="1:13" ht="14.5">
      <c r="A93" s="20" t="s">
        <v>2234</v>
      </c>
      <c r="B93" s="81">
        <v>30</v>
      </c>
      <c r="C93" s="81">
        <v>10</v>
      </c>
      <c r="D93" s="81">
        <v>90</v>
      </c>
      <c r="E93" s="79"/>
      <c r="F93" s="20" t="s">
        <v>2235</v>
      </c>
      <c r="G93" s="24" t="str">
        <f ca="1">IFERROR(__xludf.DUMMYFUNCTION("UPPER(LEFT((GOOGLETRANSLATE(F93,""en"",""pt"")),1))&amp;RIGHT(lower((GOOGLETRANSLATE(F93,""en"",""pt""))),(LEN((GOOGLETRANSLATE(F93,""en"",""pt"")))-1))"),"Estruturas de mineração subterrânea")</f>
        <v>Estruturas de mineração subterrânea</v>
      </c>
      <c r="H93" s="24" t="e">
        <f>VLOOKUP(A93,En_Base_LNEC!$A$2:$E$10000,5,FALSE)</f>
        <v>#N/A</v>
      </c>
      <c r="I93" s="20" t="s">
        <v>393</v>
      </c>
      <c r="J93" s="81" t="s">
        <v>2004</v>
      </c>
      <c r="K93" s="24"/>
      <c r="L93" s="24"/>
      <c r="M93" s="24"/>
    </row>
    <row r="94" spans="1:13" ht="14.5">
      <c r="A94" s="20" t="s">
        <v>2236</v>
      </c>
      <c r="B94" s="81">
        <v>30</v>
      </c>
      <c r="C94" s="81">
        <v>20</v>
      </c>
      <c r="D94" s="79"/>
      <c r="E94" s="79"/>
      <c r="F94" s="20" t="s">
        <v>2237</v>
      </c>
      <c r="G94" s="24" t="str">
        <f ca="1">IFERROR(__xludf.DUMMYFUNCTION("UPPER(LEFT((GOOGLETRANSLATE(F94,""en"",""pt"")),1))&amp;RIGHT(lower((GOOGLETRANSLATE(F94,""en"",""pt""))),(LEN((GOOGLETRANSLATE(F94,""en"",""pt"")))-1))"),"Entidades gestoras químicos nuclear e")</f>
        <v>Entidades gestoras químicos nuclear e</v>
      </c>
      <c r="H94" s="24" t="e">
        <f>VLOOKUP(A94,En_Base_LNEC!$A$2:$E$10000,5,FALSE)</f>
        <v>#N/A</v>
      </c>
      <c r="I94" s="20" t="s">
        <v>2238</v>
      </c>
      <c r="J94" s="81" t="s">
        <v>2004</v>
      </c>
      <c r="K94" s="24"/>
      <c r="L94" s="24"/>
      <c r="M94" s="24"/>
    </row>
    <row r="95" spans="1:13" ht="14.5">
      <c r="A95" s="20" t="s">
        <v>2239</v>
      </c>
      <c r="B95" s="81">
        <v>30</v>
      </c>
      <c r="C95" s="81">
        <v>20</v>
      </c>
      <c r="D95" s="81">
        <v>15</v>
      </c>
      <c r="E95" s="79"/>
      <c r="F95" s="20" t="s">
        <v>2240</v>
      </c>
      <c r="G95" s="24" t="str">
        <f ca="1">IFERROR(__xludf.DUMMYFUNCTION("UPPER(LEFT((GOOGLETRANSLATE(F95,""en"",""pt"")),1))&amp;RIGHT(lower((GOOGLETRANSLATE(F95,""en"",""pt""))),(LEN((GOOGLETRANSLATE(F95,""en"",""pt"")))-1))"),"Radioatividade desperdiçar edifícios de controlo de gestão")</f>
        <v>Radioatividade desperdiçar edifícios de controlo de gestão</v>
      </c>
      <c r="H95" s="24" t="e">
        <f>VLOOKUP(A95,En_Base_LNEC!$A$2:$E$10000,5,FALSE)</f>
        <v>#N/A</v>
      </c>
      <c r="I95" s="20" t="s">
        <v>2241</v>
      </c>
      <c r="J95" s="81" t="s">
        <v>2004</v>
      </c>
      <c r="K95" s="24"/>
      <c r="L95" s="24"/>
      <c r="M95" s="24"/>
    </row>
    <row r="96" spans="1:13" ht="14.5">
      <c r="A96" s="20" t="s">
        <v>2242</v>
      </c>
      <c r="B96" s="81">
        <v>30</v>
      </c>
      <c r="C96" s="81">
        <v>20</v>
      </c>
      <c r="D96" s="81">
        <v>30</v>
      </c>
      <c r="E96" s="79"/>
      <c r="F96" s="20" t="s">
        <v>2243</v>
      </c>
      <c r="G96" s="24" t="str">
        <f ca="1">IFERROR(__xludf.DUMMYFUNCTION("UPPER(LEFT((GOOGLETRANSLATE(F96,""en"",""pt"")),1))&amp;RIGHT(lower((GOOGLETRANSLATE(F96,""en"",""pt""))),(LEN((GOOGLETRANSLATE(F96,""en"",""pt"")))-1))"),"Geradora de calor elevado túnel gestão dos resíduos radioactivos")</f>
        <v>Geradora de calor elevado túnel gestão dos resíduos radioactivos</v>
      </c>
      <c r="H96" s="24" t="e">
        <f>VLOOKUP(A96,En_Base_LNEC!$A$2:$E$10000,5,FALSE)</f>
        <v>#N/A</v>
      </c>
      <c r="I96" s="20" t="s">
        <v>2244</v>
      </c>
      <c r="J96" s="81" t="s">
        <v>2004</v>
      </c>
      <c r="K96" s="24"/>
      <c r="L96" s="24"/>
      <c r="M96" s="24"/>
    </row>
    <row r="97" spans="1:13" ht="14.5">
      <c r="A97" s="20" t="s">
        <v>2245</v>
      </c>
      <c r="B97" s="81">
        <v>30</v>
      </c>
      <c r="C97" s="81">
        <v>20</v>
      </c>
      <c r="D97" s="81">
        <v>35</v>
      </c>
      <c r="E97" s="79"/>
      <c r="F97" s="20" t="s">
        <v>2246</v>
      </c>
      <c r="G97" s="24" t="str">
        <f ca="1">IFERROR(__xludf.DUMMYFUNCTION("UPPER(LEFT((GOOGLETRANSLATE(F97,""en"",""pt"")),1))&amp;RIGHT(lower((GOOGLETRANSLATE(F97,""en"",""pt""))),(LEN((GOOGLETRANSLATE(F97,""en"",""pt"")))-1))"),"Edifícios de transferência de pacote de resíduos radioativos de alta calor")</f>
        <v>Edifícios de transferência de pacote de resíduos radioativos de alta calor</v>
      </c>
      <c r="H97" s="24" t="e">
        <f>VLOOKUP(A97,En_Base_LNEC!$A$2:$E$10000,5,FALSE)</f>
        <v>#N/A</v>
      </c>
      <c r="I97" s="20" t="s">
        <v>2247</v>
      </c>
      <c r="J97" s="81" t="s">
        <v>2004</v>
      </c>
      <c r="K97" s="24"/>
      <c r="L97" s="24"/>
      <c r="M97" s="24"/>
    </row>
    <row r="98" spans="1:13" ht="14.5">
      <c r="A98" s="20" t="s">
        <v>2248</v>
      </c>
      <c r="B98" s="81">
        <v>30</v>
      </c>
      <c r="C98" s="81">
        <v>20</v>
      </c>
      <c r="D98" s="81">
        <v>45</v>
      </c>
      <c r="E98" s="79"/>
      <c r="F98" s="20" t="s">
        <v>2249</v>
      </c>
      <c r="G98" s="24" t="str">
        <f ca="1">IFERROR(__xludf.DUMMYFUNCTION("UPPER(LEFT((GOOGLETRANSLATE(F98,""en"",""pt"")),1))&amp;RIGHT(lower((GOOGLETRANSLATE(F98,""en"",""pt""))),(LEN((GOOGLETRANSLATE(F98,""en"",""pt"")))-1))"),"Edifícios de transferência de pacote de resíduos radioativos de baixo calor")</f>
        <v>Edifícios de transferência de pacote de resíduos radioativos de baixo calor</v>
      </c>
      <c r="H98" s="24" t="e">
        <f>VLOOKUP(A98,En_Base_LNEC!$A$2:$E$10000,5,FALSE)</f>
        <v>#N/A</v>
      </c>
      <c r="I98" s="20" t="s">
        <v>2250</v>
      </c>
      <c r="J98" s="81" t="s">
        <v>2004</v>
      </c>
      <c r="K98" s="24"/>
      <c r="L98" s="24"/>
      <c r="M98" s="24"/>
    </row>
    <row r="99" spans="1:13" ht="14.5">
      <c r="A99" s="20" t="s">
        <v>2251</v>
      </c>
      <c r="B99" s="81">
        <v>30</v>
      </c>
      <c r="C99" s="81">
        <v>20</v>
      </c>
      <c r="D99" s="81">
        <v>60</v>
      </c>
      <c r="E99" s="79"/>
      <c r="F99" s="20" t="s">
        <v>2252</v>
      </c>
      <c r="G99" s="24" t="str">
        <f ca="1">IFERROR(__xludf.DUMMYFUNCTION("UPPER(LEFT((GOOGLETRANSLATE(F99,""en"",""pt"")),1))&amp;RIGHT(lower((GOOGLETRANSLATE(F99,""en"",""pt""))),(LEN((GOOGLETRANSLATE(F99,""en"",""pt"")))-1))"),"Geração de calor baixo abóbada gestão dos resíduos radioactivos")</f>
        <v>Geração de calor baixo abóbada gestão dos resíduos radioactivos</v>
      </c>
      <c r="H99" s="24" t="e">
        <f>VLOOKUP(A99,En_Base_LNEC!$A$2:$E$10000,5,FALSE)</f>
        <v>#N/A</v>
      </c>
      <c r="I99" s="20" t="s">
        <v>2253</v>
      </c>
      <c r="J99" s="81" t="s">
        <v>2004</v>
      </c>
      <c r="K99" s="24"/>
      <c r="L99" s="24"/>
      <c r="M99" s="24"/>
    </row>
    <row r="100" spans="1:13" ht="14.5">
      <c r="A100" s="20" t="s">
        <v>2254</v>
      </c>
      <c r="B100" s="81">
        <v>30</v>
      </c>
      <c r="C100" s="81">
        <v>20</v>
      </c>
      <c r="D100" s="81">
        <v>70</v>
      </c>
      <c r="E100" s="79"/>
      <c r="F100" s="20" t="s">
        <v>2255</v>
      </c>
      <c r="G100" s="24" t="str">
        <f ca="1">IFERROR(__xludf.DUMMYFUNCTION("UPPER(LEFT((GOOGLETRANSLATE(F100,""en"",""pt"")),1))&amp;RIGHT(lower((GOOGLETRANSLATE(F100,""en"",""pt""))),(LEN((GOOGLETRANSLATE(F100,""en"",""pt"")))-1))"),"Edifícios descontaminação de radioatividade")</f>
        <v>Edifícios descontaminação de radioatividade</v>
      </c>
      <c r="H100" s="24" t="e">
        <f>VLOOKUP(A100,En_Base_LNEC!$A$2:$E$10000,5,FALSE)</f>
        <v>#N/A</v>
      </c>
      <c r="I100" s="20" t="s">
        <v>2256</v>
      </c>
      <c r="J100" s="81" t="s">
        <v>2004</v>
      </c>
      <c r="K100" s="24"/>
      <c r="L100" s="24"/>
      <c r="M100" s="24"/>
    </row>
    <row r="101" spans="1:13" ht="14.5">
      <c r="A101" s="20" t="s">
        <v>2257</v>
      </c>
      <c r="B101" s="81">
        <v>30</v>
      </c>
      <c r="C101" s="81">
        <v>20</v>
      </c>
      <c r="D101" s="81">
        <v>75</v>
      </c>
      <c r="E101" s="79"/>
      <c r="F101" s="20" t="s">
        <v>2258</v>
      </c>
      <c r="G101" s="24" t="str">
        <f ca="1">IFERROR(__xludf.DUMMYFUNCTION("UPPER(LEFT((GOOGLETRANSLATE(F101,""en"",""pt"")),1))&amp;RIGHT(lower((GOOGLETRANSLATE(F101,""en"",""pt""))),(LEN((GOOGLETRANSLATE(F101,""en"",""pt"")))-1))"),"Radioactividade edifícios de gestão de efluentes")</f>
        <v>Radioactividade edifícios de gestão de efluentes</v>
      </c>
      <c r="H101" s="24" t="e">
        <f>VLOOKUP(A101,En_Base_LNEC!$A$2:$E$10000,5,FALSE)</f>
        <v>#N/A</v>
      </c>
      <c r="I101" s="20" t="s">
        <v>2259</v>
      </c>
      <c r="J101" s="81" t="s">
        <v>2004</v>
      </c>
      <c r="K101" s="24"/>
      <c r="L101" s="24"/>
      <c r="M101" s="24"/>
    </row>
    <row r="102" spans="1:13" ht="14.5">
      <c r="A102" s="20" t="s">
        <v>2260</v>
      </c>
      <c r="B102" s="81">
        <v>30</v>
      </c>
      <c r="C102" s="81">
        <v>30</v>
      </c>
      <c r="D102" s="79"/>
      <c r="E102" s="79"/>
      <c r="F102" s="20" t="s">
        <v>2261</v>
      </c>
      <c r="G102" s="24" t="str">
        <f ca="1">IFERROR(__xludf.DUMMYFUNCTION("UPPER(LEFT((GOOGLETRANSLATE(F102,""en"",""pt"")),1))&amp;RIGHT(lower((GOOGLETRANSLATE(F102,""en"",""pt""))),(LEN((GOOGLETRANSLATE(F102,""en"",""pt"")))-1))"),"Entidades de processamento de minerais")</f>
        <v>Entidades de processamento de minerais</v>
      </c>
      <c r="H102" s="24" t="e">
        <f>VLOOKUP(A102,En_Base_LNEC!$A$2:$E$10000,5,FALSE)</f>
        <v>#N/A</v>
      </c>
      <c r="I102" s="20" t="s">
        <v>2262</v>
      </c>
      <c r="J102" s="81" t="s">
        <v>2004</v>
      </c>
      <c r="K102" s="24"/>
      <c r="L102" s="24"/>
      <c r="M102" s="24"/>
    </row>
    <row r="103" spans="1:13" ht="14.5">
      <c r="A103" s="20" t="s">
        <v>2263</v>
      </c>
      <c r="B103" s="81">
        <v>30</v>
      </c>
      <c r="C103" s="81">
        <v>30</v>
      </c>
      <c r="D103" s="81">
        <v>33</v>
      </c>
      <c r="E103" s="79"/>
      <c r="F103" s="20" t="s">
        <v>2264</v>
      </c>
      <c r="G103" s="24" t="str">
        <f ca="1">IFERROR(__xludf.DUMMYFUNCTION("UPPER(LEFT((GOOGLETRANSLATE(F103,""en"",""pt"")),1))&amp;RIGHT(lower((GOOGLETRANSLATE(F103,""en"",""pt""))),(LEN((GOOGLETRANSLATE(F103,""en"",""pt"")))-1))"),"As estruturas de transformação de gás")</f>
        <v>As estruturas de transformação de gás</v>
      </c>
      <c r="H103" s="24" t="e">
        <f>VLOOKUP(A103,En_Base_LNEC!$A$2:$E$10000,5,FALSE)</f>
        <v>#N/A</v>
      </c>
      <c r="I103" s="20" t="s">
        <v>2265</v>
      </c>
      <c r="J103" s="81" t="s">
        <v>2004</v>
      </c>
      <c r="K103" s="24"/>
      <c r="L103" s="24"/>
      <c r="M103" s="24"/>
    </row>
    <row r="104" spans="1:13" ht="14.5">
      <c r="A104" s="20" t="s">
        <v>2266</v>
      </c>
      <c r="B104" s="81">
        <v>30</v>
      </c>
      <c r="C104" s="81">
        <v>30</v>
      </c>
      <c r="D104" s="81">
        <v>58</v>
      </c>
      <c r="E104" s="79"/>
      <c r="F104" s="20" t="s">
        <v>2267</v>
      </c>
      <c r="G104" s="24" t="str">
        <f ca="1">IFERROR(__xludf.DUMMYFUNCTION("UPPER(LEFT((GOOGLETRANSLATE(F104,""en"",""pt"")),1))&amp;RIGHT(lower((GOOGLETRANSLATE(F104,""en"",""pt""))),(LEN((GOOGLETRANSLATE(F104,""en"",""pt"")))-1))"),"Estruturas de processamento de petróleo")</f>
        <v>Estruturas de processamento de petróleo</v>
      </c>
      <c r="H104" s="24" t="e">
        <f>VLOOKUP(A104,En_Base_LNEC!$A$2:$E$10000,5,FALSE)</f>
        <v>#N/A</v>
      </c>
      <c r="I104" s="20" t="s">
        <v>2268</v>
      </c>
      <c r="J104" s="81" t="s">
        <v>2004</v>
      </c>
      <c r="K104" s="24"/>
      <c r="L104" s="24"/>
      <c r="M104" s="24"/>
    </row>
    <row r="105" spans="1:13" ht="14.5">
      <c r="A105" s="20" t="s">
        <v>2269</v>
      </c>
      <c r="B105" s="81">
        <v>30</v>
      </c>
      <c r="C105" s="81">
        <v>30</v>
      </c>
      <c r="D105" s="81">
        <v>59</v>
      </c>
      <c r="E105" s="79"/>
      <c r="F105" s="20" t="s">
        <v>2270</v>
      </c>
      <c r="G105" s="24" t="str">
        <f ca="1">IFERROR(__xludf.DUMMYFUNCTION("UPPER(LEFT((GOOGLETRANSLATE(F105,""en"",""pt"")),1))&amp;RIGHT(lower((GOOGLETRANSLATE(F105,""en"",""pt""))),(LEN((GOOGLETRANSLATE(F105,""en"",""pt"")))-1))"),"As estruturas de transformação de minério")</f>
        <v>As estruturas de transformação de minério</v>
      </c>
      <c r="H105" s="24" t="e">
        <f>VLOOKUP(A105,En_Base_LNEC!$A$2:$E$10000,5,FALSE)</f>
        <v>#N/A</v>
      </c>
      <c r="I105" s="20" t="s">
        <v>2271</v>
      </c>
      <c r="J105" s="81" t="s">
        <v>2004</v>
      </c>
      <c r="K105" s="24"/>
      <c r="L105" s="24"/>
      <c r="M105" s="24"/>
    </row>
    <row r="106" spans="1:13" ht="14.5">
      <c r="A106" s="20" t="s">
        <v>2272</v>
      </c>
      <c r="B106" s="81">
        <v>30</v>
      </c>
      <c r="C106" s="81">
        <v>40</v>
      </c>
      <c r="D106" s="79"/>
      <c r="E106" s="79"/>
      <c r="F106" s="20" t="s">
        <v>2273</v>
      </c>
      <c r="G106" s="24" t="str">
        <f ca="1">IFERROR(__xludf.DUMMYFUNCTION("UPPER(LEFT((GOOGLETRANSLATE(F106,""en"",""pt"")),1))&amp;RIGHT(lower((GOOGLETRANSLATE(F106,""en"",""pt""))),(LEN((GOOGLETRANSLATE(F106,""en"",""pt"")))-1))"),"Animais e plantas de processamento de produtos entidades")</f>
        <v>Animais e plantas de processamento de produtos entidades</v>
      </c>
      <c r="H106" s="24" t="str">
        <f>VLOOKUP(A106,En_Base_LNEC!$A$2:$E$10000,5,FALSE)</f>
        <v>Infraestruturas de processamento de produtos derivados de animais e plantas</v>
      </c>
      <c r="I106" s="20" t="s">
        <v>2274</v>
      </c>
      <c r="J106" s="81" t="s">
        <v>2004</v>
      </c>
      <c r="K106" s="24"/>
      <c r="L106" s="24"/>
      <c r="M106" s="24"/>
    </row>
    <row r="107" spans="1:13" ht="14.5">
      <c r="A107" s="20" t="s">
        <v>2275</v>
      </c>
      <c r="B107" s="81">
        <v>30</v>
      </c>
      <c r="C107" s="81">
        <v>40</v>
      </c>
      <c r="D107" s="81">
        <v>1</v>
      </c>
      <c r="E107" s="79"/>
      <c r="F107" s="20" t="s">
        <v>2276</v>
      </c>
      <c r="G107" s="24" t="str">
        <f ca="1">IFERROR(__xludf.DUMMYFUNCTION("UPPER(LEFT((GOOGLETRANSLATE(F107,""en"",""pt"")),1))&amp;RIGHT(lower((GOOGLETRANSLATE(F107,""en"",""pt""))),(LEN((GOOGLETRANSLATE(F107,""en"",""pt"")))-1))"),"Edifícios de processamento de animais")</f>
        <v>Edifícios de processamento de animais</v>
      </c>
      <c r="H107" s="24" t="str">
        <f>VLOOKUP(A107,En_Base_LNEC!$A$2:$E$10000,5,FALSE)</f>
        <v>Edifícios e instalações para matadouros</v>
      </c>
      <c r="I107" s="20" t="s">
        <v>2277</v>
      </c>
      <c r="J107" s="81" t="s">
        <v>2004</v>
      </c>
      <c r="K107" s="24"/>
      <c r="L107" s="24"/>
      <c r="M107" s="24"/>
    </row>
    <row r="108" spans="1:13" ht="14.5">
      <c r="A108" s="20" t="s">
        <v>2278</v>
      </c>
      <c r="B108" s="81">
        <v>30</v>
      </c>
      <c r="C108" s="81">
        <v>40</v>
      </c>
      <c r="D108" s="81">
        <v>20</v>
      </c>
      <c r="E108" s="79"/>
      <c r="F108" s="20" t="s">
        <v>2279</v>
      </c>
      <c r="G108" s="24" t="str">
        <f ca="1">IFERROR(__xludf.DUMMYFUNCTION("UPPER(LEFT((GOOGLETRANSLATE(F108,""en"",""pt"")),1))&amp;RIGHT(lower((GOOGLETRANSLATE(F108,""en"",""pt""))),(LEN((GOOGLETRANSLATE(F108,""en"",""pt"")))-1))"),"Edifícios de processamento da colheita")</f>
        <v>Edifícios de processamento da colheita</v>
      </c>
      <c r="H108" s="24" t="e">
        <f>VLOOKUP(A108,En_Base_LNEC!$A$2:$E$10000,5,FALSE)</f>
        <v>#N/A</v>
      </c>
      <c r="I108" s="24"/>
      <c r="J108" s="79"/>
      <c r="K108" s="24"/>
      <c r="L108" s="24"/>
      <c r="M108" s="24"/>
    </row>
    <row r="109" spans="1:13" ht="14.5">
      <c r="A109" s="20" t="s">
        <v>2280</v>
      </c>
      <c r="B109" s="81">
        <v>30</v>
      </c>
      <c r="C109" s="81">
        <v>40</v>
      </c>
      <c r="D109" s="81">
        <v>30</v>
      </c>
      <c r="E109" s="79"/>
      <c r="F109" s="20" t="s">
        <v>2281</v>
      </c>
      <c r="G109" s="24" t="str">
        <f ca="1">IFERROR(__xludf.DUMMYFUNCTION("UPPER(LEFT((GOOGLETRANSLATE(F109,""en"",""pt"")),1))&amp;RIGHT(lower((GOOGLETRANSLATE(F109,""en"",""pt""))),(LEN((GOOGLETRANSLATE(F109,""en"",""pt"")))-1))"),"Edifícios de processamento de peixe")</f>
        <v>Edifícios de processamento de peixe</v>
      </c>
      <c r="H109" s="24" t="e">
        <f>VLOOKUP(A109,En_Base_LNEC!$A$2:$E$10000,5,FALSE)</f>
        <v>#N/A</v>
      </c>
      <c r="I109" s="24"/>
      <c r="J109" s="79"/>
      <c r="K109" s="24"/>
      <c r="L109" s="24"/>
      <c r="M109" s="24"/>
    </row>
    <row r="110" spans="1:13" ht="14.5">
      <c r="A110" s="20" t="s">
        <v>2282</v>
      </c>
      <c r="B110" s="81">
        <v>30</v>
      </c>
      <c r="C110" s="81">
        <v>40</v>
      </c>
      <c r="D110" s="81">
        <v>40</v>
      </c>
      <c r="E110" s="79"/>
      <c r="F110" s="20" t="s">
        <v>2283</v>
      </c>
      <c r="G110" s="24" t="str">
        <f ca="1">IFERROR(__xludf.DUMMYFUNCTION("UPPER(LEFT((GOOGLETRANSLATE(F110,""en"",""pt"")),1))&amp;RIGHT(lower((GOOGLETRANSLATE(F110,""en"",""pt""))),(LEN((GOOGLETRANSLATE(F110,""en"",""pt"")))-1))"),"Edifícios de processamento de hortícolas")</f>
        <v>Edifícios de processamento de hortícolas</v>
      </c>
      <c r="H110" s="24" t="e">
        <f>VLOOKUP(A110,En_Base_LNEC!$A$2:$E$10000,5,FALSE)</f>
        <v>#N/A</v>
      </c>
      <c r="I110" s="24"/>
      <c r="J110" s="79"/>
      <c r="K110" s="24"/>
      <c r="L110" s="24"/>
      <c r="M110" s="24"/>
    </row>
    <row r="111" spans="1:13" ht="14.5">
      <c r="A111" s="20" t="s">
        <v>2284</v>
      </c>
      <c r="B111" s="81">
        <v>30</v>
      </c>
      <c r="C111" s="81">
        <v>40</v>
      </c>
      <c r="D111" s="81">
        <v>90</v>
      </c>
      <c r="E111" s="79"/>
      <c r="F111" s="20" t="s">
        <v>2285</v>
      </c>
      <c r="G111" s="24" t="str">
        <f ca="1">IFERROR(__xludf.DUMMYFUNCTION("UPPER(LEFT((GOOGLETRANSLATE(F111,""en"",""pt"")),1))&amp;RIGHT(lower((GOOGLETRANSLATE(F111,""en"",""pt""))),(LEN((GOOGLETRANSLATE(F111,""en"",""pt"")))-1))"),"Edifícios de processamento de madeira")</f>
        <v>Edifícios de processamento de madeira</v>
      </c>
      <c r="H111" s="24" t="e">
        <f>VLOOKUP(A111,En_Base_LNEC!$A$2:$E$10000,5,FALSE)</f>
        <v>#N/A</v>
      </c>
      <c r="I111" s="24"/>
      <c r="J111" s="79"/>
      <c r="K111" s="24"/>
      <c r="L111" s="24"/>
      <c r="M111" s="24"/>
    </row>
    <row r="112" spans="1:13" ht="14.5">
      <c r="A112" s="20" t="s">
        <v>2286</v>
      </c>
      <c r="B112" s="81">
        <v>30</v>
      </c>
      <c r="C112" s="81">
        <v>50</v>
      </c>
      <c r="D112" s="79"/>
      <c r="E112" s="79"/>
      <c r="F112" s="20" t="s">
        <v>2287</v>
      </c>
      <c r="G112" s="24" t="str">
        <f ca="1">IFERROR(__xludf.DUMMYFUNCTION("UPPER(LEFT((GOOGLETRANSLATE(F112,""en"",""pt"")),1))&amp;RIGHT(lower((GOOGLETRANSLATE(F112,""en"",""pt""))),(LEN((GOOGLETRANSLATE(F112,""en"",""pt"")))-1))"),"Entidades de fabricação")</f>
        <v>Entidades de fabricação</v>
      </c>
      <c r="H112" s="24" t="e">
        <f>VLOOKUP(A112,En_Base_LNEC!$A$2:$E$10000,5,FALSE)</f>
        <v>#N/A</v>
      </c>
      <c r="I112" s="24"/>
      <c r="J112" s="79"/>
      <c r="K112" s="24"/>
      <c r="L112" s="24"/>
      <c r="M112" s="24"/>
    </row>
    <row r="113" spans="1:13" ht="14.5">
      <c r="A113" s="20" t="s">
        <v>2288</v>
      </c>
      <c r="B113" s="81">
        <v>30</v>
      </c>
      <c r="C113" s="81">
        <v>50</v>
      </c>
      <c r="D113" s="81">
        <v>15</v>
      </c>
      <c r="E113" s="79"/>
      <c r="F113" s="20" t="s">
        <v>2289</v>
      </c>
      <c r="G113" s="24" t="str">
        <f ca="1">IFERROR(__xludf.DUMMYFUNCTION("UPPER(LEFT((GOOGLETRANSLATE(F113,""en"",""pt"")),1))&amp;RIGHT(lower((GOOGLETRANSLATE(F113,""en"",""pt""))),(LEN((GOOGLETRANSLATE(F113,""en"",""pt"")))-1))"),"Guindastes")</f>
        <v>Guindastes</v>
      </c>
      <c r="H113" s="24" t="e">
        <f>VLOOKUP(A113,En_Base_LNEC!$A$2:$E$10000,5,FALSE)</f>
        <v>#N/A</v>
      </c>
      <c r="I113" s="24"/>
      <c r="J113" s="79"/>
      <c r="K113" s="24"/>
      <c r="L113" s="24"/>
      <c r="M113" s="24"/>
    </row>
    <row r="114" spans="1:13" ht="14.5">
      <c r="A114" s="20" t="s">
        <v>2290</v>
      </c>
      <c r="B114" s="81">
        <v>30</v>
      </c>
      <c r="C114" s="81">
        <v>50</v>
      </c>
      <c r="D114" s="81">
        <v>50</v>
      </c>
      <c r="E114" s="79"/>
      <c r="F114" s="20" t="s">
        <v>2291</v>
      </c>
      <c r="G114" s="24" t="str">
        <f ca="1">IFERROR(__xludf.DUMMYFUNCTION("UPPER(LEFT((GOOGLETRANSLATE(F114,""en"",""pt"")),1))&amp;RIGHT(lower((GOOGLETRANSLATE(F114,""en"",""pt""))),(LEN((GOOGLETRANSLATE(F114,""en"",""pt"")))-1))"),"Edifícios de fabricação")</f>
        <v>Edifícios de fabricação</v>
      </c>
      <c r="H114" s="24" t="e">
        <f>VLOOKUP(A114,En_Base_LNEC!$A$2:$E$10000,5,FALSE)</f>
        <v>#N/A</v>
      </c>
      <c r="I114" s="24"/>
      <c r="J114" s="79"/>
      <c r="K114" s="24"/>
      <c r="L114" s="24"/>
      <c r="M114" s="24"/>
    </row>
    <row r="115" spans="1:13" ht="14.5">
      <c r="A115" s="20" t="s">
        <v>2292</v>
      </c>
      <c r="B115" s="81">
        <v>30</v>
      </c>
      <c r="C115" s="81">
        <v>60</v>
      </c>
      <c r="D115" s="79"/>
      <c r="E115" s="79"/>
      <c r="F115" s="20" t="s">
        <v>2293</v>
      </c>
      <c r="G115" s="24" t="str">
        <f ca="1">IFERROR(__xludf.DUMMYFUNCTION("UPPER(LEFT((GOOGLETRANSLATE(F115,""en"",""pt"")),1))&amp;RIGHT(lower((GOOGLETRANSLATE(F115,""en"",""pt""))),(LEN((GOOGLETRANSLATE(F115,""en"",""pt"")))-1))"),"Entidades de limpeza e manutenção")</f>
        <v>Entidades de limpeza e manutenção</v>
      </c>
      <c r="H115" s="24" t="e">
        <f>VLOOKUP(A115,En_Base_LNEC!$A$2:$E$10000,5,FALSE)</f>
        <v>#N/A</v>
      </c>
      <c r="I115" s="24"/>
      <c r="J115" s="79"/>
      <c r="K115" s="24"/>
      <c r="L115" s="24"/>
      <c r="M115" s="24"/>
    </row>
    <row r="116" spans="1:13" ht="14.5">
      <c r="A116" s="20" t="s">
        <v>2294</v>
      </c>
      <c r="B116" s="81">
        <v>30</v>
      </c>
      <c r="C116" s="81">
        <v>60</v>
      </c>
      <c r="D116" s="81">
        <v>20</v>
      </c>
      <c r="E116" s="79"/>
      <c r="F116" s="20" t="s">
        <v>2295</v>
      </c>
      <c r="G116" s="24" t="str">
        <f ca="1">IFERROR(__xludf.DUMMYFUNCTION("UPPER(LEFT((GOOGLETRANSLATE(F116,""en"",""pt"")),1))&amp;RIGHT(lower((GOOGLETRANSLATE(F116,""en"",""pt""))),(LEN((GOOGLETRANSLATE(F116,""en"",""pt"")))-1))"),"Edifícios descontaminação de lavandaria")</f>
        <v>Edifícios descontaminação de lavandaria</v>
      </c>
      <c r="H116" s="24" t="e">
        <f>VLOOKUP(A116,En_Base_LNEC!$A$2:$E$10000,5,FALSE)</f>
        <v>#N/A</v>
      </c>
      <c r="I116" s="24"/>
      <c r="J116" s="79"/>
      <c r="K116" s="24"/>
      <c r="L116" s="24"/>
      <c r="M116" s="24"/>
    </row>
    <row r="117" spans="1:13" ht="14.5">
      <c r="A117" s="20" t="s">
        <v>2296</v>
      </c>
      <c r="B117" s="81">
        <v>30</v>
      </c>
      <c r="C117" s="81">
        <v>60</v>
      </c>
      <c r="D117" s="81">
        <v>40</v>
      </c>
      <c r="E117" s="79"/>
      <c r="F117" s="20" t="s">
        <v>2297</v>
      </c>
      <c r="G117" s="24" t="str">
        <f ca="1">IFERROR(__xludf.DUMMYFUNCTION("UPPER(LEFT((GOOGLETRANSLATE(F117,""en"",""pt"")),1))&amp;RIGHT(lower((GOOGLETRANSLATE(F117,""en"",""pt""))),(LEN((GOOGLETRANSLATE(F117,""en"",""pt"")))-1))"),"Edifícios de lavandaria")</f>
        <v>Edifícios de lavandaria</v>
      </c>
      <c r="H117" s="24" t="e">
        <f>VLOOKUP(A117,En_Base_LNEC!$A$2:$E$10000,5,FALSE)</f>
        <v>#N/A</v>
      </c>
      <c r="I117" s="24"/>
      <c r="J117" s="79"/>
      <c r="K117" s="24"/>
      <c r="L117" s="24"/>
      <c r="M117" s="24"/>
    </row>
    <row r="118" spans="1:13" ht="14.5">
      <c r="A118" s="20" t="s">
        <v>2298</v>
      </c>
      <c r="B118" s="81">
        <v>30</v>
      </c>
      <c r="C118" s="81">
        <v>60</v>
      </c>
      <c r="D118" s="81">
        <v>50</v>
      </c>
      <c r="E118" s="79"/>
      <c r="F118" s="20" t="s">
        <v>2299</v>
      </c>
      <c r="G118" s="24" t="str">
        <f ca="1">IFERROR(__xludf.DUMMYFUNCTION("UPPER(LEFT((GOOGLETRANSLATE(F118,""en"",""pt"")),1))&amp;RIGHT(lower((GOOGLETRANSLATE(F118,""en"",""pt""))),(LEN((GOOGLETRANSLATE(F118,""en"",""pt"")))-1))"),"Edifícios de manutenção")</f>
        <v>Edifícios de manutenção</v>
      </c>
      <c r="H118" s="24" t="e">
        <f>VLOOKUP(A118,En_Base_LNEC!$A$2:$E$10000,5,FALSE)</f>
        <v>#N/A</v>
      </c>
      <c r="I118" s="24"/>
      <c r="J118" s="79"/>
      <c r="K118" s="24"/>
      <c r="L118" s="24"/>
      <c r="M118" s="24"/>
    </row>
    <row r="119" spans="1:13" ht="14.5">
      <c r="A119" s="20" t="s">
        <v>2300</v>
      </c>
      <c r="B119" s="81">
        <v>30</v>
      </c>
      <c r="C119" s="81">
        <v>60</v>
      </c>
      <c r="D119" s="81">
        <v>94</v>
      </c>
      <c r="E119" s="79"/>
      <c r="F119" s="20" t="s">
        <v>2301</v>
      </c>
      <c r="G119" s="24" t="str">
        <f ca="1">IFERROR(__xludf.DUMMYFUNCTION("UPPER(LEFT((GOOGLETRANSLATE(F119,""en"",""pt"")),1))&amp;RIGHT(lower((GOOGLETRANSLATE(F119,""en"",""pt""))),(LEN((GOOGLETRANSLATE(F119,""en"",""pt"")))-1))"),"Edifícios de manutenção para veículos")</f>
        <v>Edifícios de manutenção para veículos</v>
      </c>
      <c r="H119" s="24" t="e">
        <f>VLOOKUP(A119,En_Base_LNEC!$A$2:$E$10000,5,FALSE)</f>
        <v>#N/A</v>
      </c>
      <c r="I119" s="24"/>
      <c r="J119" s="79"/>
      <c r="K119" s="24"/>
      <c r="L119" s="24"/>
      <c r="M119" s="24"/>
    </row>
    <row r="120" spans="1:13" ht="14.5">
      <c r="A120" s="20" t="s">
        <v>2302</v>
      </c>
      <c r="B120" s="81">
        <v>30</v>
      </c>
      <c r="C120" s="81">
        <v>70</v>
      </c>
      <c r="D120" s="79"/>
      <c r="E120" s="79"/>
      <c r="F120" s="20" t="s">
        <v>2303</v>
      </c>
      <c r="G120" s="24" t="str">
        <f ca="1">IFERROR(__xludf.DUMMYFUNCTION("UPPER(LEFT((GOOGLETRANSLATE(F120,""en"",""pt"")),1))&amp;RIGHT(lower((GOOGLETRANSLATE(F120,""en"",""pt""))),(LEN((GOOGLETRANSLATE(F120,""en"",""pt"")))-1))"),"Entidades de processo")</f>
        <v>Entidades de processo</v>
      </c>
      <c r="H120" s="24" t="e">
        <f>VLOOKUP(A120,En_Base_LNEC!$A$2:$E$10000,5,FALSE)</f>
        <v>#N/A</v>
      </c>
      <c r="I120" s="24"/>
      <c r="J120" s="79"/>
      <c r="K120" s="24"/>
      <c r="L120" s="24"/>
      <c r="M120" s="24"/>
    </row>
    <row r="121" spans="1:13" ht="14.5">
      <c r="A121" s="20" t="s">
        <v>2304</v>
      </c>
      <c r="B121" s="81">
        <v>30</v>
      </c>
      <c r="C121" s="81">
        <v>70</v>
      </c>
      <c r="D121" s="81">
        <v>13</v>
      </c>
      <c r="E121" s="79"/>
      <c r="F121" s="20" t="s">
        <v>2305</v>
      </c>
      <c r="G121" s="24" t="str">
        <f ca="1">IFERROR(__xludf.DUMMYFUNCTION("UPPER(LEFT((GOOGLETRANSLATE(F121,""en"",""pt"")),1))&amp;RIGHT(lower((GOOGLETRANSLATE(F121,""en"",""pt""))),(LEN((GOOGLETRANSLATE(F121,""en"",""pt"")))-1))"),"Chaminés")</f>
        <v>Chaminés</v>
      </c>
      <c r="H121" s="24" t="e">
        <f>VLOOKUP(A121,En_Base_LNEC!$A$2:$E$10000,5,FALSE)</f>
        <v>#N/A</v>
      </c>
      <c r="I121" s="24"/>
      <c r="J121" s="79"/>
      <c r="K121" s="24"/>
      <c r="L121" s="24"/>
      <c r="M121" s="24"/>
    </row>
    <row r="122" spans="1:13" ht="14.5">
      <c r="A122" s="20" t="s">
        <v>2306</v>
      </c>
      <c r="B122" s="81">
        <v>30</v>
      </c>
      <c r="C122" s="81">
        <v>70</v>
      </c>
      <c r="D122" s="81">
        <v>15</v>
      </c>
      <c r="E122" s="79"/>
      <c r="F122" s="20" t="s">
        <v>2307</v>
      </c>
      <c r="G122" s="24" t="str">
        <f ca="1">IFERROR(__xludf.DUMMYFUNCTION("UPPER(LEFT((GOOGLETRANSLATE(F122,""en"",""pt"")),1))&amp;RIGHT(lower((GOOGLETRANSLATE(F122,""en"",""pt""))),(LEN((GOOGLETRANSLATE(F122,""en"",""pt"")))-1))"),"Transportadores")</f>
        <v>Transportadores</v>
      </c>
      <c r="H122" s="24" t="e">
        <f>VLOOKUP(A122,En_Base_LNEC!$A$2:$E$10000,5,FALSE)</f>
        <v>#N/A</v>
      </c>
      <c r="I122" s="24"/>
      <c r="J122" s="79"/>
      <c r="K122" s="24"/>
      <c r="L122" s="24"/>
      <c r="M122" s="24"/>
    </row>
    <row r="123" spans="1:13" ht="14.5">
      <c r="A123" s="20" t="s">
        <v>2308</v>
      </c>
      <c r="B123" s="81">
        <v>30</v>
      </c>
      <c r="C123" s="81">
        <v>70</v>
      </c>
      <c r="D123" s="81">
        <v>17</v>
      </c>
      <c r="E123" s="79"/>
      <c r="F123" s="20" t="s">
        <v>2309</v>
      </c>
      <c r="G123" s="24" t="str">
        <f ca="1">IFERROR(__xludf.DUMMYFUNCTION("UPPER(LEFT((GOOGLETRANSLATE(F123,""en"",""pt"")),1))&amp;RIGHT(lower((GOOGLETRANSLATE(F123,""en"",""pt""))),(LEN((GOOGLETRANSLATE(F123,""en"",""pt"")))-1))"),"Torres de refrigeração")</f>
        <v>Torres de refrigeração</v>
      </c>
      <c r="H123" s="24" t="e">
        <f>VLOOKUP(A123,En_Base_LNEC!$A$2:$E$10000,5,FALSE)</f>
        <v>#N/A</v>
      </c>
      <c r="I123" s="24"/>
      <c r="J123" s="79"/>
      <c r="K123" s="24"/>
      <c r="L123" s="24"/>
      <c r="M123" s="24"/>
    </row>
    <row r="124" spans="1:13" ht="14.5">
      <c r="A124" s="20" t="s">
        <v>2310</v>
      </c>
      <c r="B124" s="81">
        <v>30</v>
      </c>
      <c r="C124" s="81">
        <v>70</v>
      </c>
      <c r="D124" s="81">
        <v>28</v>
      </c>
      <c r="E124" s="79"/>
      <c r="F124" s="20" t="s">
        <v>2311</v>
      </c>
      <c r="G124" s="24" t="str">
        <f ca="1">IFERROR(__xludf.DUMMYFUNCTION("UPPER(LEFT((GOOGLETRANSLATE(F124,""en"",""pt"")),1))&amp;RIGHT(lower((GOOGLETRANSLATE(F124,""en"",""pt""))),(LEN((GOOGLETRANSLATE(F124,""en"",""pt"")))-1))"),"Pórticos de equipamentos")</f>
        <v>Pórticos de equipamentos</v>
      </c>
      <c r="H124" s="24" t="e">
        <f>VLOOKUP(A124,En_Base_LNEC!$A$2:$E$10000,5,FALSE)</f>
        <v>#N/A</v>
      </c>
      <c r="I124" s="24"/>
      <c r="J124" s="79"/>
      <c r="K124" s="24"/>
      <c r="L124" s="24"/>
      <c r="M124" s="24"/>
    </row>
    <row r="125" spans="1:13" ht="14.5">
      <c r="A125" s="20" t="s">
        <v>2312</v>
      </c>
      <c r="B125" s="81">
        <v>30</v>
      </c>
      <c r="C125" s="81">
        <v>80</v>
      </c>
      <c r="D125" s="79"/>
      <c r="E125" s="79"/>
      <c r="F125" s="20" t="s">
        <v>2313</v>
      </c>
      <c r="G125" s="24" t="str">
        <f ca="1">IFERROR(__xludf.DUMMYFUNCTION("UPPER(LEFT((GOOGLETRANSLATE(F125,""en"",""pt"")),1))&amp;RIGHT(lower((GOOGLETRANSLATE(F125,""en"",""pt""))),(LEN((GOOGLETRANSLATE(F125,""en"",""pt"")))-1))"),"Geração de energia mecânica")</f>
        <v>Geração de energia mecânica</v>
      </c>
      <c r="H125" s="24" t="e">
        <f>VLOOKUP(A125,En_Base_LNEC!$A$2:$E$10000,5,FALSE)</f>
        <v>#N/A</v>
      </c>
      <c r="I125" s="24"/>
      <c r="J125" s="79"/>
      <c r="K125" s="24"/>
      <c r="L125" s="24"/>
      <c r="M125" s="24"/>
    </row>
    <row r="126" spans="1:13" ht="14.5">
      <c r="A126" s="20" t="s">
        <v>2314</v>
      </c>
      <c r="B126" s="81">
        <v>30</v>
      </c>
      <c r="C126" s="81">
        <v>80</v>
      </c>
      <c r="D126" s="81">
        <v>96</v>
      </c>
      <c r="E126" s="79"/>
      <c r="F126" s="20" t="s">
        <v>2315</v>
      </c>
      <c r="G126" s="24" t="str">
        <f ca="1">IFERROR(__xludf.DUMMYFUNCTION("UPPER(LEFT((GOOGLETRANSLATE(F126,""en"",""pt"")),1))&amp;RIGHT(lower((GOOGLETRANSLATE(F126,""en"",""pt""))),(LEN((GOOGLETRANSLATE(F126,""en"",""pt"")))-1))"),"Moinhos")</f>
        <v>Moinhos</v>
      </c>
      <c r="H126" s="24" t="e">
        <f>VLOOKUP(A126,En_Base_LNEC!$A$2:$E$10000,5,FALSE)</f>
        <v>#N/A</v>
      </c>
      <c r="I126" s="20" t="s">
        <v>2316</v>
      </c>
      <c r="J126" s="81" t="s">
        <v>2004</v>
      </c>
      <c r="K126" s="24"/>
      <c r="L126" s="24"/>
      <c r="M126" s="24"/>
    </row>
    <row r="127" spans="1:13" ht="14.5">
      <c r="A127" s="20" t="s">
        <v>2317</v>
      </c>
      <c r="B127" s="81">
        <v>30</v>
      </c>
      <c r="C127" s="81">
        <v>80</v>
      </c>
      <c r="D127" s="81">
        <v>97</v>
      </c>
      <c r="E127" s="79"/>
      <c r="F127" s="20" t="s">
        <v>2318</v>
      </c>
      <c r="G127" s="24" t="str">
        <f ca="1">IFERROR(__xludf.DUMMYFUNCTION("UPPER(LEFT((GOOGLETRANSLATE(F127,""en"",""pt"")),1))&amp;RIGHT(lower((GOOGLETRANSLATE(F127,""en"",""pt""))),(LEN((GOOGLETRANSLATE(F127,""en"",""pt"")))-1))"),"Moinhos de vento")</f>
        <v>Moinhos de vento</v>
      </c>
      <c r="H127" s="24" t="e">
        <f>VLOOKUP(A127,En_Base_LNEC!$A$2:$E$10000,5,FALSE)</f>
        <v>#N/A</v>
      </c>
      <c r="I127" s="24" t="s">
        <v>2319</v>
      </c>
      <c r="J127" s="81" t="s">
        <v>2004</v>
      </c>
      <c r="K127" s="24"/>
      <c r="L127" s="24"/>
      <c r="M127" s="24"/>
    </row>
    <row r="128" spans="1:13" ht="14.5">
      <c r="A128" s="20" t="s">
        <v>2320</v>
      </c>
      <c r="B128" s="81">
        <v>30</v>
      </c>
      <c r="C128" s="81">
        <v>85</v>
      </c>
      <c r="D128" s="79"/>
      <c r="E128" s="79"/>
      <c r="F128" s="20" t="s">
        <v>2321</v>
      </c>
      <c r="G128" s="24" t="str">
        <f ca="1">IFERROR(__xludf.DUMMYFUNCTION("UPPER(LEFT((GOOGLETRANSLATE(F128,""en"",""pt"")),1))&amp;RIGHT(lower((GOOGLETRANSLATE(F128,""en"",""pt""))),(LEN((GOOGLETRANSLATE(F128,""en"",""pt"")))-1))"),"Entidades marinhos e de água")</f>
        <v>Entidades marinhos e de água</v>
      </c>
      <c r="H128" s="24" t="e">
        <f>VLOOKUP(A128,En_Base_LNEC!$A$2:$E$10000,5,FALSE)</f>
        <v>#N/A</v>
      </c>
      <c r="I128" s="24"/>
      <c r="J128" s="79"/>
      <c r="K128" s="24"/>
      <c r="L128" s="24"/>
      <c r="M128" s="24"/>
    </row>
    <row r="129" spans="1:13" ht="14.5">
      <c r="A129" s="20" t="s">
        <v>2322</v>
      </c>
      <c r="B129" s="81">
        <v>30</v>
      </c>
      <c r="C129" s="81">
        <v>85</v>
      </c>
      <c r="D129" s="81">
        <v>7</v>
      </c>
      <c r="E129" s="79"/>
      <c r="F129" s="20" t="s">
        <v>2323</v>
      </c>
      <c r="G129" s="24" t="str">
        <f ca="1">IFERROR(__xludf.DUMMYFUNCTION("UPPER(LEFT((GOOGLETRANSLATE(F129,""en"",""pt"")),1))&amp;RIGHT(lower((GOOGLETRANSLATE(F129,""en"",""pt""))),(LEN((GOOGLETRANSLATE(F129,""en"",""pt"")))-1))"),"Edifícios boathouse")</f>
        <v>Edifícios boathouse</v>
      </c>
      <c r="H129" s="24" t="e">
        <f>VLOOKUP(A129,En_Base_LNEC!$A$2:$E$10000,5,FALSE)</f>
        <v>#N/A</v>
      </c>
      <c r="I129" s="24"/>
      <c r="J129" s="79"/>
      <c r="K129" s="24"/>
      <c r="L129" s="24"/>
      <c r="M129" s="24"/>
    </row>
    <row r="130" spans="1:13" ht="14.5">
      <c r="A130" s="20" t="s">
        <v>2324</v>
      </c>
      <c r="B130" s="81">
        <v>30</v>
      </c>
      <c r="C130" s="81">
        <v>85</v>
      </c>
      <c r="D130" s="81">
        <v>8</v>
      </c>
      <c r="E130" s="79"/>
      <c r="F130" s="20" t="s">
        <v>2325</v>
      </c>
      <c r="G130" s="24" t="str">
        <f ca="1">IFERROR(__xludf.DUMMYFUNCTION("UPPER(LEFT((GOOGLETRANSLATE(F130,""en"",""pt"")),1))&amp;RIGHT(lower((GOOGLETRANSLATE(F130,""en"",""pt""))),(LEN((GOOGLETRANSLATE(F130,""en"",""pt"")))-1))"),"Edifícios estaleiro naval")</f>
        <v>Edifícios estaleiro naval</v>
      </c>
      <c r="H130" s="24" t="e">
        <f>VLOOKUP(A130,En_Base_LNEC!$A$2:$E$10000,5,FALSE)</f>
        <v>#N/A</v>
      </c>
      <c r="I130" s="20" t="s">
        <v>2326</v>
      </c>
      <c r="J130" s="81" t="s">
        <v>2004</v>
      </c>
      <c r="K130" s="24"/>
      <c r="L130" s="24"/>
      <c r="M130" s="24"/>
    </row>
    <row r="131" spans="1:13" ht="14.5">
      <c r="A131" s="20" t="s">
        <v>2327</v>
      </c>
      <c r="B131" s="81">
        <v>30</v>
      </c>
      <c r="C131" s="81">
        <v>85</v>
      </c>
      <c r="D131" s="81">
        <v>24</v>
      </c>
      <c r="E131" s="79"/>
      <c r="F131" s="20" t="s">
        <v>2328</v>
      </c>
      <c r="G131" s="24" t="str">
        <f ca="1">IFERROR(__xludf.DUMMYFUNCTION("UPPER(LEFT((GOOGLETRANSLATE(F131,""en"",""pt"")),1))&amp;RIGHT(lower((GOOGLETRANSLATE(F131,""en"",""pt""))),(LEN((GOOGLETRANSLATE(F131,""en"",""pt"")))-1))"),"Docas secas")</f>
        <v>Docas secas</v>
      </c>
      <c r="H131" s="24" t="e">
        <f>VLOOKUP(A131,En_Base_LNEC!$A$2:$E$10000,5,FALSE)</f>
        <v>#N/A</v>
      </c>
      <c r="I131" s="24" t="s">
        <v>2329</v>
      </c>
      <c r="J131" s="81" t="s">
        <v>2004</v>
      </c>
      <c r="K131" s="24"/>
      <c r="L131" s="24"/>
      <c r="M131" s="24"/>
    </row>
    <row r="132" spans="1:13" ht="14.5">
      <c r="A132" s="20" t="s">
        <v>2330</v>
      </c>
      <c r="B132" s="81">
        <v>30</v>
      </c>
      <c r="C132" s="81">
        <v>85</v>
      </c>
      <c r="D132" s="81">
        <v>80</v>
      </c>
      <c r="E132" s="79"/>
      <c r="F132" s="20" t="s">
        <v>2331</v>
      </c>
      <c r="G132" s="24" t="str">
        <f ca="1">IFERROR(__xludf.DUMMYFUNCTION("UPPER(LEFT((GOOGLETRANSLATE(F132,""en"",""pt"")),1))&amp;RIGHT(lower((GOOGLETRANSLATE(F132,""en"",""pt""))),(LEN((GOOGLETRANSLATE(F132,""en"",""pt"")))-1))"),"Edifícios de estaleiro")</f>
        <v>Edifícios de estaleiro</v>
      </c>
      <c r="H132" s="24" t="e">
        <f>VLOOKUP(A132,En_Base_LNEC!$A$2:$E$10000,5,FALSE)</f>
        <v>#N/A</v>
      </c>
      <c r="I132" s="24"/>
      <c r="J132" s="79"/>
      <c r="K132" s="24"/>
      <c r="L132" s="24"/>
      <c r="M132" s="24"/>
    </row>
    <row r="133" spans="1:13" ht="14.5">
      <c r="A133" s="20" t="s">
        <v>2332</v>
      </c>
      <c r="B133" s="81">
        <v>30</v>
      </c>
      <c r="C133" s="81">
        <v>90</v>
      </c>
      <c r="D133" s="79"/>
      <c r="E133" s="79"/>
      <c r="F133" s="20" t="s">
        <v>2333</v>
      </c>
      <c r="G133" s="24" t="str">
        <f ca="1">IFERROR(__xludf.DUMMYFUNCTION("UPPER(LEFT((GOOGLETRANSLATE(F133,""en"",""pt"")),1))&amp;RIGHT(lower((GOOGLETRANSLATE(F133,""en"",""pt""))),(LEN((GOOGLETRANSLATE(F133,""en"",""pt"")))-1))"),"Entidades de armazenagem e distribuição")</f>
        <v>Entidades de armazenagem e distribuição</v>
      </c>
      <c r="H133" s="24" t="str">
        <f>VLOOKUP(A133,En_Base_LNEC!$A$2:$E$10000,5,FALSE)</f>
        <v>Reservatórios, armazéns e centros de distribuição</v>
      </c>
      <c r="I133" s="24"/>
      <c r="J133" s="79"/>
      <c r="K133" s="24"/>
      <c r="L133" s="24"/>
      <c r="M133" s="24"/>
    </row>
    <row r="134" spans="1:13" ht="14.5">
      <c r="A134" s="20" t="s">
        <v>2334</v>
      </c>
      <c r="B134" s="81">
        <v>30</v>
      </c>
      <c r="C134" s="81">
        <v>90</v>
      </c>
      <c r="D134" s="81">
        <v>33</v>
      </c>
      <c r="E134" s="79"/>
      <c r="F134" s="20" t="s">
        <v>2335</v>
      </c>
      <c r="G134" s="24" t="str">
        <f ca="1">IFERROR(__xludf.DUMMYFUNCTION("UPPER(LEFT((GOOGLETRANSLATE(F134,""en"",""pt"")),1))&amp;RIGHT(lower((GOOGLETRANSLATE(F134,""en"",""pt""))),(LEN((GOOGLETRANSLATE(F134,""en"",""pt"")))-1))"),"Produtos de armazenagem edifícios")</f>
        <v>Produtos de armazenagem edifícios</v>
      </c>
      <c r="H134" s="24" t="e">
        <f>VLOOKUP(A134,En_Base_LNEC!$A$2:$E$10000,5,FALSE)</f>
        <v>#N/A</v>
      </c>
      <c r="I134" s="24"/>
      <c r="J134" s="79"/>
      <c r="K134" s="24"/>
      <c r="L134" s="24"/>
      <c r="M134" s="24"/>
    </row>
    <row r="135" spans="1:13" ht="14.5">
      <c r="A135" s="20" t="s">
        <v>2336</v>
      </c>
      <c r="B135" s="81">
        <v>30</v>
      </c>
      <c r="C135" s="81">
        <v>90</v>
      </c>
      <c r="D135" s="81">
        <v>35</v>
      </c>
      <c r="E135" s="79"/>
      <c r="F135" s="20" t="s">
        <v>2337</v>
      </c>
      <c r="G135" s="24" t="str">
        <f ca="1">IFERROR(__xludf.DUMMYFUNCTION("UPPER(LEFT((GOOGLETRANSLATE(F135,""en"",""pt"")),1))&amp;RIGHT(lower((GOOGLETRANSLATE(F135,""en"",""pt""))),(LEN((GOOGLETRANSLATE(F135,""en"",""pt"")))-1))"),"Mercadorias edifícios de distribuição")</f>
        <v>Mercadorias edifícios de distribuição</v>
      </c>
      <c r="H135" s="24" t="e">
        <f>VLOOKUP(A135,En_Base_LNEC!$A$2:$E$10000,5,FALSE)</f>
        <v>#N/A</v>
      </c>
      <c r="I135" s="24"/>
      <c r="J135" s="79"/>
      <c r="K135" s="24"/>
      <c r="L135" s="24"/>
      <c r="M135" s="24"/>
    </row>
    <row r="136" spans="1:13" ht="14.5">
      <c r="A136" s="20" t="s">
        <v>2338</v>
      </c>
      <c r="B136" s="81">
        <v>32</v>
      </c>
      <c r="C136" s="79"/>
      <c r="D136" s="79"/>
      <c r="E136" s="79"/>
      <c r="F136" s="20" t="s">
        <v>2339</v>
      </c>
      <c r="G136" s="24" t="str">
        <f ca="1">IFERROR(__xludf.DUMMYFUNCTION("UPPER(LEFT((GOOGLETRANSLATE(F136,""en"",""pt"")),1))&amp;RIGHT(lower((GOOGLETRANSLATE(F136,""en"",""pt""))),(LEN((GOOGLETRANSLATE(F136,""en"",""pt"")))-1))"),"Entidades de água e gestão de terras")</f>
        <v>Entidades de água e gestão de terras</v>
      </c>
      <c r="H136" s="24" t="e">
        <f>VLOOKUP(A136,En_Base_LNEC!$A$2:$E$10000,5,FALSE)</f>
        <v>#N/A</v>
      </c>
      <c r="I136" s="24"/>
      <c r="J136" s="79"/>
      <c r="K136" s="24"/>
      <c r="L136" s="24"/>
      <c r="M136" s="24"/>
    </row>
    <row r="137" spans="1:13" ht="14.5">
      <c r="A137" s="20" t="s">
        <v>2340</v>
      </c>
      <c r="B137" s="81">
        <v>32</v>
      </c>
      <c r="C137" s="81">
        <v>10</v>
      </c>
      <c r="D137" s="79"/>
      <c r="E137" s="79"/>
      <c r="F137" s="20" t="s">
        <v>2341</v>
      </c>
      <c r="G137" s="24" t="str">
        <f ca="1">IFERROR(__xludf.DUMMYFUNCTION("UPPER(LEFT((GOOGLETRANSLATE(F137,""en"",""pt"")),1))&amp;RIGHT(lower((GOOGLETRANSLATE(F137,""en"",""pt""))),(LEN((GOOGLETRANSLATE(F137,""en"",""pt"")))-1))"),"Agrícola e entidades hortícolas")</f>
        <v>Agrícola e entidades hortícolas</v>
      </c>
      <c r="H137" s="24" t="e">
        <f>VLOOKUP(A137,En_Base_LNEC!$A$2:$E$10000,5,FALSE)</f>
        <v>#N/A</v>
      </c>
      <c r="I137" s="24"/>
      <c r="J137" s="79"/>
      <c r="K137" s="24"/>
      <c r="L137" s="24"/>
      <c r="M137" s="24"/>
    </row>
    <row r="138" spans="1:13" ht="14.5">
      <c r="A138" s="20" t="s">
        <v>2342</v>
      </c>
      <c r="B138" s="81">
        <v>32</v>
      </c>
      <c r="C138" s="81">
        <v>10</v>
      </c>
      <c r="D138" s="81">
        <v>2</v>
      </c>
      <c r="E138" s="79"/>
      <c r="F138" s="20" t="s">
        <v>2343</v>
      </c>
      <c r="G138" s="24" t="str">
        <f ca="1">IFERROR(__xludf.DUMMYFUNCTION("UPPER(LEFT((GOOGLETRANSLATE(F138,""en"",""pt"")),1))&amp;RIGHT(lower((GOOGLETRANSLATE(F138,""en"",""pt""))),(LEN((GOOGLETRANSLATE(F138,""en"",""pt"")))-1))"),"Edifícios arvenses")</f>
        <v>Edifícios arvenses</v>
      </c>
      <c r="H138" s="24" t="e">
        <f>VLOOKUP(A138,En_Base_LNEC!$A$2:$E$10000,5,FALSE)</f>
        <v>#N/A</v>
      </c>
      <c r="I138" s="24"/>
      <c r="J138" s="79"/>
      <c r="K138" s="24"/>
      <c r="L138" s="24"/>
      <c r="M138" s="24"/>
    </row>
    <row r="139" spans="1:13" ht="14.5">
      <c r="A139" s="20" t="s">
        <v>2344</v>
      </c>
      <c r="B139" s="81">
        <v>32</v>
      </c>
      <c r="C139" s="81">
        <v>10</v>
      </c>
      <c r="D139" s="81">
        <v>4</v>
      </c>
      <c r="E139" s="79"/>
      <c r="F139" s="20" t="s">
        <v>2345</v>
      </c>
      <c r="G139" s="24" t="str">
        <f ca="1">IFERROR(__xludf.DUMMYFUNCTION("UPPER(LEFT((GOOGLETRANSLATE(F139,""en"",""pt"")),1))&amp;RIGHT(lower((GOOGLETRANSLATE(F139,""en"",""pt""))),(LEN((GOOGLETRANSLATE(F139,""en"",""pt"")))-1))"),"Terra arável")</f>
        <v>Terra arável</v>
      </c>
      <c r="H139" s="24" t="e">
        <f>VLOOKUP(A139,En_Base_LNEC!$A$2:$E$10000,5,FALSE)</f>
        <v>#N/A</v>
      </c>
      <c r="I139" s="24" t="s">
        <v>2346</v>
      </c>
      <c r="J139" s="81" t="s">
        <v>2004</v>
      </c>
      <c r="K139" s="24"/>
      <c r="L139" s="24"/>
      <c r="M139" s="24"/>
    </row>
    <row r="140" spans="1:13" ht="14.5">
      <c r="A140" s="20" t="s">
        <v>2347</v>
      </c>
      <c r="B140" s="81">
        <v>32</v>
      </c>
      <c r="C140" s="81">
        <v>10</v>
      </c>
      <c r="D140" s="81">
        <v>20</v>
      </c>
      <c r="E140" s="79"/>
      <c r="F140" s="20" t="s">
        <v>2348</v>
      </c>
      <c r="G140" s="24" t="str">
        <f ca="1">IFERROR(__xludf.DUMMYFUNCTION("UPPER(LEFT((GOOGLETRANSLATE(F140,""en"",""pt"")),1))&amp;RIGHT(lower((GOOGLETRANSLATE(F140,""en"",""pt""))),(LEN((GOOGLETRANSLATE(F140,""en"",""pt"")))-1))"),"Arvoredos")</f>
        <v>Arvoredos</v>
      </c>
      <c r="H140" s="24" t="e">
        <f>VLOOKUP(A140,En_Base_LNEC!$A$2:$E$10000,5,FALSE)</f>
        <v>#N/A</v>
      </c>
      <c r="I140" s="24" t="s">
        <v>2349</v>
      </c>
      <c r="J140" s="81" t="s">
        <v>2004</v>
      </c>
      <c r="K140" s="24"/>
      <c r="L140" s="24"/>
      <c r="M140" s="24"/>
    </row>
    <row r="141" spans="1:13" ht="14.5">
      <c r="A141" s="20" t="s">
        <v>2350</v>
      </c>
      <c r="B141" s="81">
        <v>32</v>
      </c>
      <c r="C141" s="81">
        <v>10</v>
      </c>
      <c r="D141" s="81">
        <v>28</v>
      </c>
      <c r="E141" s="79"/>
      <c r="F141" s="20" t="s">
        <v>2351</v>
      </c>
      <c r="G141" s="24" t="str">
        <f ca="1">IFERROR(__xludf.DUMMYFUNCTION("UPPER(LEFT((GOOGLETRANSLATE(F141,""en"",""pt"")),1))&amp;RIGHT(lower((GOOGLETRANSLATE(F141,""en"",""pt""))),(LEN((GOOGLETRANSLATE(F141,""en"",""pt"")))-1))"),"Edifícios de pesca")</f>
        <v>Edifícios de pesca</v>
      </c>
      <c r="H141" s="24" t="e">
        <f>VLOOKUP(A141,En_Base_LNEC!$A$2:$E$10000,5,FALSE)</f>
        <v>#N/A</v>
      </c>
      <c r="I141" s="24"/>
      <c r="J141" s="79"/>
      <c r="K141" s="24"/>
      <c r="L141" s="24"/>
      <c r="M141" s="24"/>
    </row>
    <row r="142" spans="1:13" ht="14.5">
      <c r="A142" s="20" t="s">
        <v>2352</v>
      </c>
      <c r="B142" s="81">
        <v>32</v>
      </c>
      <c r="C142" s="81">
        <v>10</v>
      </c>
      <c r="D142" s="81">
        <v>29</v>
      </c>
      <c r="E142" s="79"/>
      <c r="F142" s="20" t="s">
        <v>2353</v>
      </c>
      <c r="G142" s="24" t="str">
        <f ca="1">IFERROR(__xludf.DUMMYFUNCTION("UPPER(LEFT((GOOGLETRANSLATE(F142,""en"",""pt"")),1))&amp;RIGHT(lower((GOOGLETRANSLATE(F142,""en"",""pt""))),(LEN((GOOGLETRANSLATE(F142,""en"",""pt"")))-1))"),"Gaiolas de pesca")</f>
        <v>Gaiolas de pesca</v>
      </c>
      <c r="H142" s="24" t="e">
        <f>VLOOKUP(A142,En_Base_LNEC!$A$2:$E$10000,5,FALSE)</f>
        <v>#N/A</v>
      </c>
      <c r="I142" s="20" t="s">
        <v>2354</v>
      </c>
      <c r="J142" s="81" t="s">
        <v>2004</v>
      </c>
      <c r="K142" s="24"/>
      <c r="L142" s="24"/>
      <c r="M142" s="24"/>
    </row>
    <row r="143" spans="1:13" ht="14.5">
      <c r="A143" s="20" t="s">
        <v>2355</v>
      </c>
      <c r="B143" s="81">
        <v>32</v>
      </c>
      <c r="C143" s="81">
        <v>10</v>
      </c>
      <c r="D143" s="81">
        <v>30</v>
      </c>
      <c r="E143" s="79"/>
      <c r="F143" s="20" t="s">
        <v>2356</v>
      </c>
      <c r="G143" s="24" t="str">
        <f ca="1">IFERROR(__xludf.DUMMYFUNCTION("UPPER(LEFT((GOOGLETRANSLATE(F143,""en"",""pt"")),1))&amp;RIGHT(lower((GOOGLETRANSLATE(F143,""en"",""pt""))),(LEN((GOOGLETRANSLATE(F143,""en"",""pt"")))-1))"),"Edifícios florestais")</f>
        <v>Edifícios florestais</v>
      </c>
      <c r="H143" s="24" t="e">
        <f>VLOOKUP(A143,En_Base_LNEC!$A$2:$E$10000,5,FALSE)</f>
        <v>#N/A</v>
      </c>
      <c r="I143" s="24"/>
      <c r="J143" s="79"/>
      <c r="K143" s="24"/>
      <c r="L143" s="24"/>
      <c r="M143" s="24"/>
    </row>
    <row r="144" spans="1:13" ht="14.5">
      <c r="A144" s="20" t="s">
        <v>2357</v>
      </c>
      <c r="B144" s="81">
        <v>32</v>
      </c>
      <c r="C144" s="81">
        <v>10</v>
      </c>
      <c r="D144" s="81">
        <v>31</v>
      </c>
      <c r="E144" s="79"/>
      <c r="F144" s="20" t="s">
        <v>2358</v>
      </c>
      <c r="G144" s="24" t="str">
        <f ca="1">IFERROR(__xludf.DUMMYFUNCTION("UPPER(LEFT((GOOGLETRANSLATE(F144,""en"",""pt"")),1))&amp;RIGHT(lower((GOOGLETRANSLATE(F144,""en"",""pt""))),(LEN((GOOGLETRANSLATE(F144,""en"",""pt"")))-1))"),"Plantações florestais")</f>
        <v>Plantações florestais</v>
      </c>
      <c r="H144" s="24" t="e">
        <f>VLOOKUP(A144,En_Base_LNEC!$A$2:$E$10000,5,FALSE)</f>
        <v>#N/A</v>
      </c>
      <c r="I144" s="24"/>
      <c r="J144" s="79"/>
      <c r="K144" s="24"/>
      <c r="L144" s="24"/>
      <c r="M144" s="24"/>
    </row>
    <row r="145" spans="1:13" ht="14.5">
      <c r="A145" s="20" t="s">
        <v>2359</v>
      </c>
      <c r="B145" s="81">
        <v>32</v>
      </c>
      <c r="C145" s="81">
        <v>10</v>
      </c>
      <c r="D145" s="81">
        <v>39</v>
      </c>
      <c r="E145" s="79"/>
      <c r="F145" s="20" t="s">
        <v>2360</v>
      </c>
      <c r="G145" s="24" t="str">
        <f ca="1">IFERROR(__xludf.DUMMYFUNCTION("UPPER(LEFT((GOOGLETRANSLATE(F145,""en"",""pt"")),1))&amp;RIGHT(lower((GOOGLETRANSLATE(F145,""en"",""pt""))),(LEN((GOOGLETRANSLATE(F145,""en"",""pt"")))-1))"),"Edifícios hortícolas")</f>
        <v>Edifícios hortícolas</v>
      </c>
      <c r="H145" s="24" t="e">
        <f>VLOOKUP(A145,En_Base_LNEC!$A$2:$E$10000,5,FALSE)</f>
        <v>#N/A</v>
      </c>
      <c r="I145" s="24"/>
      <c r="J145" s="79"/>
      <c r="K145" s="24"/>
      <c r="L145" s="24"/>
      <c r="M145" s="24"/>
    </row>
    <row r="146" spans="1:13" ht="14.5">
      <c r="A146" s="20" t="s">
        <v>2361</v>
      </c>
      <c r="B146" s="81">
        <v>32</v>
      </c>
      <c r="C146" s="81">
        <v>10</v>
      </c>
      <c r="D146" s="81">
        <v>40</v>
      </c>
      <c r="E146" s="79"/>
      <c r="F146" s="20" t="s">
        <v>2362</v>
      </c>
      <c r="G146" s="24" t="str">
        <f ca="1">IFERROR(__xludf.DUMMYFUNCTION("UPPER(LEFT((GOOGLETRANSLATE(F146,""en"",""pt"")),1))&amp;RIGHT(lower((GOOGLETRANSLATE(F146,""en"",""pt""))),(LEN((GOOGLETRANSLATE(F146,""en"",""pt"")))-1))"),"Terra horticultural")</f>
        <v>Terra horticultural</v>
      </c>
      <c r="H146" s="24" t="e">
        <f>VLOOKUP(A146,En_Base_LNEC!$A$2:$E$10000,5,FALSE)</f>
        <v>#N/A</v>
      </c>
      <c r="I146" s="24"/>
      <c r="J146" s="79"/>
      <c r="K146" s="24"/>
      <c r="L146" s="24"/>
      <c r="M146" s="24"/>
    </row>
    <row r="147" spans="1:13" ht="14.5">
      <c r="A147" s="20" t="s">
        <v>2363</v>
      </c>
      <c r="B147" s="81">
        <v>32</v>
      </c>
      <c r="C147" s="81">
        <v>10</v>
      </c>
      <c r="D147" s="81">
        <v>46</v>
      </c>
      <c r="E147" s="79"/>
      <c r="F147" s="20" t="s">
        <v>2364</v>
      </c>
      <c r="G147" s="24" t="str">
        <f ca="1">IFERROR(__xludf.DUMMYFUNCTION("UPPER(LEFT((GOOGLETRANSLATE(F147,""en"",""pt"")),1))&amp;RIGHT(lower((GOOGLETRANSLATE(F147,""en"",""pt""))),(LEN((GOOGLETRANSLATE(F147,""en"",""pt"")))-1))"),"Edifícios pecuários")</f>
        <v>Edifícios pecuários</v>
      </c>
      <c r="H147" s="24" t="e">
        <f>VLOOKUP(A147,En_Base_LNEC!$A$2:$E$10000,5,FALSE)</f>
        <v>#N/A</v>
      </c>
      <c r="I147" s="24"/>
      <c r="J147" s="79"/>
      <c r="K147" s="24"/>
      <c r="L147" s="24"/>
      <c r="M147" s="24"/>
    </row>
    <row r="148" spans="1:13" ht="14.5">
      <c r="A148" s="20" t="s">
        <v>2365</v>
      </c>
      <c r="B148" s="81">
        <v>32</v>
      </c>
      <c r="C148" s="81">
        <v>10</v>
      </c>
      <c r="D148" s="81">
        <v>47</v>
      </c>
      <c r="E148" s="79"/>
      <c r="F148" s="20" t="s">
        <v>2366</v>
      </c>
      <c r="G148" s="24" t="str">
        <f ca="1">IFERROR(__xludf.DUMMYFUNCTION("UPPER(LEFT((GOOGLETRANSLATE(F148,""en"",""pt"")),1))&amp;RIGHT(lower((GOOGLETRANSLATE(F148,""en"",""pt""))),(LEN((GOOGLETRANSLATE(F148,""en"",""pt"")))-1))"),"Piquetes de gado e campos")</f>
        <v>Piquetes de gado e campos</v>
      </c>
      <c r="H148" s="24" t="e">
        <f>VLOOKUP(A148,En_Base_LNEC!$A$2:$E$10000,5,FALSE)</f>
        <v>#N/A</v>
      </c>
      <c r="I148" s="24"/>
      <c r="J148" s="79"/>
      <c r="K148" s="24"/>
      <c r="L148" s="24"/>
      <c r="M148" s="24"/>
    </row>
    <row r="149" spans="1:13" ht="14.5">
      <c r="A149" s="20" t="s">
        <v>2367</v>
      </c>
      <c r="B149" s="81">
        <v>32</v>
      </c>
      <c r="C149" s="81">
        <v>10</v>
      </c>
      <c r="D149" s="81">
        <v>93</v>
      </c>
      <c r="E149" s="79"/>
      <c r="F149" s="20" t="s">
        <v>2368</v>
      </c>
      <c r="G149" s="24" t="str">
        <f ca="1">IFERROR(__xludf.DUMMYFUNCTION("UPPER(LEFT((GOOGLETRANSLATE(F149,""en"",""pt"")),1))&amp;RIGHT(lower((GOOGLETRANSLATE(F149,""en"",""pt""))),(LEN((GOOGLETRANSLATE(F149,""en"",""pt"")))-1))"),"Edifícios vineyard and winery")</f>
        <v>Edifícios vineyard and winery</v>
      </c>
      <c r="H149" s="24" t="e">
        <f>VLOOKUP(A149,En_Base_LNEC!$A$2:$E$10000,5,FALSE)</f>
        <v>#N/A</v>
      </c>
      <c r="I149" s="24"/>
      <c r="J149" s="79"/>
      <c r="K149" s="24"/>
      <c r="L149" s="24"/>
      <c r="M149" s="24"/>
    </row>
    <row r="150" spans="1:13" ht="14.5">
      <c r="A150" s="20" t="s">
        <v>2369</v>
      </c>
      <c r="B150" s="81">
        <v>32</v>
      </c>
      <c r="C150" s="81">
        <v>10</v>
      </c>
      <c r="D150" s="81">
        <v>94</v>
      </c>
      <c r="E150" s="79"/>
      <c r="F150" s="20" t="s">
        <v>2370</v>
      </c>
      <c r="G150" s="24" t="str">
        <f ca="1">IFERROR(__xludf.DUMMYFUNCTION("UPPER(LEFT((GOOGLETRANSLATE(F150,""en"",""pt"")),1))&amp;RIGHT(lower((GOOGLETRANSLATE(F150,""en"",""pt""))),(LEN((GOOGLETRANSLATE(F150,""en"",""pt"")))-1))"),"Plantações de vinha")</f>
        <v>Plantações de vinha</v>
      </c>
      <c r="H150" s="24" t="e">
        <f>VLOOKUP(A150,En_Base_LNEC!$A$2:$E$10000,5,FALSE)</f>
        <v>#N/A</v>
      </c>
      <c r="I150" s="24"/>
      <c r="J150" s="79"/>
      <c r="K150" s="24"/>
      <c r="L150" s="24"/>
      <c r="M150" s="24"/>
    </row>
    <row r="151" spans="1:13" ht="14.5">
      <c r="A151" s="20" t="s">
        <v>2371</v>
      </c>
      <c r="B151" s="81">
        <v>32</v>
      </c>
      <c r="C151" s="81">
        <v>35</v>
      </c>
      <c r="D151" s="79"/>
      <c r="E151" s="79"/>
      <c r="F151" s="20" t="s">
        <v>2372</v>
      </c>
      <c r="G151" s="24" t="str">
        <f ca="1">IFERROR(__xludf.DUMMYFUNCTION("UPPER(LEFT((GOOGLETRANSLATE(F151,""en"",""pt"")),1))&amp;RIGHT(lower((GOOGLETRANSLATE(F151,""en"",""pt""))),(LEN((GOOGLETRANSLATE(F151,""en"",""pt"")))-1))"),"Terreno")</f>
        <v>Terreno</v>
      </c>
      <c r="H151" s="24" t="e">
        <f>VLOOKUP(A151,En_Base_LNEC!$A$2:$E$10000,5,FALSE)</f>
        <v>#N/A</v>
      </c>
      <c r="I151" s="24"/>
      <c r="J151" s="79"/>
      <c r="K151" s="24"/>
      <c r="L151" s="24"/>
      <c r="M151" s="24"/>
    </row>
    <row r="152" spans="1:13" ht="14.5">
      <c r="A152" s="20" t="s">
        <v>2373</v>
      </c>
      <c r="B152" s="81">
        <v>32</v>
      </c>
      <c r="C152" s="81">
        <v>35</v>
      </c>
      <c r="D152" s="81">
        <v>5</v>
      </c>
      <c r="E152" s="79"/>
      <c r="F152" s="20" t="s">
        <v>2374</v>
      </c>
      <c r="G152" s="24" t="str">
        <f ca="1">IFERROR(__xludf.DUMMYFUNCTION("UPPER(LEFT((GOOGLETRANSLATE(F152,""en"",""pt"")),1))&amp;RIGHT(lower((GOOGLETRANSLATE(F152,""en"",""pt""))),(LEN((GOOGLETRANSLATE(F152,""en"",""pt"")))-1))"),"Arboretums")</f>
        <v>Arboretums</v>
      </c>
      <c r="H152" s="24" t="e">
        <f>VLOOKUP(A152,En_Base_LNEC!$A$2:$E$10000,5,FALSE)</f>
        <v>#N/A</v>
      </c>
      <c r="I152" s="24"/>
      <c r="J152" s="79"/>
      <c r="K152" s="24"/>
      <c r="L152" s="24"/>
      <c r="M152" s="24"/>
    </row>
    <row r="153" spans="1:13" ht="14.5">
      <c r="A153" s="20" t="s">
        <v>2375</v>
      </c>
      <c r="B153" s="81">
        <v>32</v>
      </c>
      <c r="C153" s="81">
        <v>35</v>
      </c>
      <c r="D153" s="81">
        <v>12</v>
      </c>
      <c r="E153" s="79"/>
      <c r="F153" s="20" t="s">
        <v>2376</v>
      </c>
      <c r="G153" s="24" t="str">
        <f ca="1">IFERROR(__xludf.DUMMYFUNCTION("UPPER(LEFT((GOOGLETRANSLATE(F153,""en"",""pt"")),1))&amp;RIGHT(lower((GOOGLETRANSLATE(F153,""en"",""pt""))),(LEN((GOOGLETRANSLATE(F153,""en"",""pt"")))-1))"),"Jardins botânicos")</f>
        <v>Jardins botânicos</v>
      </c>
      <c r="H153" s="24" t="e">
        <f>VLOOKUP(A153,En_Base_LNEC!$A$2:$E$10000,5,FALSE)</f>
        <v>#N/A</v>
      </c>
      <c r="I153" s="24"/>
      <c r="J153" s="79"/>
      <c r="K153" s="24"/>
      <c r="L153" s="24"/>
      <c r="M153" s="24"/>
    </row>
    <row r="154" spans="1:13" ht="14.5">
      <c r="A154" s="20" t="s">
        <v>2377</v>
      </c>
      <c r="B154" s="81">
        <v>32</v>
      </c>
      <c r="C154" s="81">
        <v>35</v>
      </c>
      <c r="D154" s="81">
        <v>15</v>
      </c>
      <c r="E154" s="79"/>
      <c r="F154" s="20" t="s">
        <v>2378</v>
      </c>
      <c r="G154" s="24" t="str">
        <f ca="1">IFERROR(__xludf.DUMMYFUNCTION("UPPER(LEFT((GOOGLETRANSLATE(F154,""en"",""pt"")),1))&amp;RIGHT(lower((GOOGLETRANSLATE(F154,""en"",""pt""))),(LEN((GOOGLETRANSLATE(F154,""en"",""pt"")))-1))"),"Hortas comunitárias")</f>
        <v>Hortas comunitárias</v>
      </c>
      <c r="H154" s="24" t="e">
        <f>VLOOKUP(A154,En_Base_LNEC!$A$2:$E$10000,5,FALSE)</f>
        <v>#N/A</v>
      </c>
      <c r="I154" s="24"/>
      <c r="J154" s="79"/>
      <c r="K154" s="24"/>
      <c r="L154" s="24"/>
      <c r="M154" s="24"/>
    </row>
    <row r="155" spans="1:13" ht="14.5">
      <c r="A155" s="20" t="s">
        <v>2379</v>
      </c>
      <c r="B155" s="81">
        <v>32</v>
      </c>
      <c r="C155" s="81">
        <v>35</v>
      </c>
      <c r="D155" s="81">
        <v>33</v>
      </c>
      <c r="E155" s="79"/>
      <c r="F155" s="20" t="s">
        <v>2380</v>
      </c>
      <c r="G155" s="24" t="str">
        <f ca="1">IFERROR(__xludf.DUMMYFUNCTION("UPPER(LEFT((GOOGLETRANSLATE(F155,""en"",""pt"")),1))&amp;RIGHT(lower((GOOGLETRANSLATE(F155,""en"",""pt""))),(LEN((GOOGLETRANSLATE(F155,""en"",""pt"")))-1))"),"Jardins")</f>
        <v>Jardins</v>
      </c>
      <c r="H155" s="24" t="e">
        <f>VLOOKUP(A155,En_Base_LNEC!$A$2:$E$10000,5,FALSE)</f>
        <v>#N/A</v>
      </c>
      <c r="I155" s="24"/>
      <c r="J155" s="79"/>
      <c r="K155" s="24"/>
      <c r="L155" s="24"/>
      <c r="M155" s="24"/>
    </row>
    <row r="156" spans="1:13" ht="14.5">
      <c r="A156" s="20" t="s">
        <v>2381</v>
      </c>
      <c r="B156" s="81">
        <v>32</v>
      </c>
      <c r="C156" s="81">
        <v>35</v>
      </c>
      <c r="D156" s="81">
        <v>36</v>
      </c>
      <c r="E156" s="79"/>
      <c r="F156" s="20" t="s">
        <v>2382</v>
      </c>
      <c r="G156" s="24" t="str">
        <f ca="1">IFERROR(__xludf.DUMMYFUNCTION("UPPER(LEFT((GOOGLETRANSLATE(F156,""en"",""pt"")),1))&amp;RIGHT(lower((GOOGLETRANSLATE(F156,""en"",""pt""))),(LEN((GOOGLETRANSLATE(F156,""en"",""pt"")))-1))"),"Paisagens duras")</f>
        <v>Paisagens duras</v>
      </c>
      <c r="H156" s="24" t="e">
        <f>VLOOKUP(A156,En_Base_LNEC!$A$2:$E$10000,5,FALSE)</f>
        <v>#N/A</v>
      </c>
      <c r="I156" s="24"/>
      <c r="J156" s="79"/>
      <c r="K156" s="24"/>
      <c r="L156" s="24"/>
      <c r="M156" s="24"/>
    </row>
    <row r="157" spans="1:13" ht="14.5">
      <c r="A157" s="20" t="s">
        <v>2383</v>
      </c>
      <c r="B157" s="81">
        <v>32</v>
      </c>
      <c r="C157" s="81">
        <v>35</v>
      </c>
      <c r="D157" s="81">
        <v>80</v>
      </c>
      <c r="E157" s="79"/>
      <c r="F157" s="20" t="s">
        <v>2384</v>
      </c>
      <c r="G157" s="24" t="str">
        <f ca="1">IFERROR(__xludf.DUMMYFUNCTION("UPPER(LEFT((GOOGLETRANSLATE(F157,""en"",""pt"")),1))&amp;RIGHT(lower((GOOGLETRANSLATE(F157,""en"",""pt""))),(LEN((GOOGLETRANSLATE(F157,""en"",""pt"")))-1))"),"Paisagens suaves")</f>
        <v>Paisagens suaves</v>
      </c>
      <c r="H157" s="24" t="e">
        <f>VLOOKUP(A157,En_Base_LNEC!$A$2:$E$10000,5,FALSE)</f>
        <v>#N/A</v>
      </c>
      <c r="I157" s="24"/>
      <c r="J157" s="79"/>
      <c r="K157" s="24"/>
      <c r="L157" s="24"/>
      <c r="M157" s="24"/>
    </row>
    <row r="158" spans="1:13" ht="14.5">
      <c r="A158" s="20" t="s">
        <v>2385</v>
      </c>
      <c r="B158" s="81">
        <v>32</v>
      </c>
      <c r="C158" s="81">
        <v>40</v>
      </c>
      <c r="D158" s="79"/>
      <c r="E158" s="79"/>
      <c r="F158" s="20" t="s">
        <v>2386</v>
      </c>
      <c r="G158" s="24" t="str">
        <f ca="1">IFERROR(__xludf.DUMMYFUNCTION("UPPER(LEFT((GOOGLETRANSLATE(F158,""en"",""pt"")),1))&amp;RIGHT(lower((GOOGLETRANSLATE(F158,""en"",""pt""))),(LEN((GOOGLETRANSLATE(F158,""en"",""pt"")))-1))"),"Entidades de terra conseguiu")</f>
        <v>Entidades de terra conseguiu</v>
      </c>
      <c r="H158" s="24" t="e">
        <f>VLOOKUP(A158,En_Base_LNEC!$A$2:$E$10000,5,FALSE)</f>
        <v>#N/A</v>
      </c>
      <c r="I158" s="24"/>
      <c r="J158" s="79"/>
      <c r="K158" s="24"/>
      <c r="L158" s="24"/>
      <c r="M158" s="24"/>
    </row>
    <row r="159" spans="1:13" ht="14.5">
      <c r="A159" s="20" t="s">
        <v>2387</v>
      </c>
      <c r="B159" s="81">
        <v>32</v>
      </c>
      <c r="C159" s="81">
        <v>40</v>
      </c>
      <c r="D159" s="81">
        <v>20</v>
      </c>
      <c r="E159" s="79"/>
      <c r="F159" s="20" t="s">
        <v>2388</v>
      </c>
      <c r="G159" s="24" t="str">
        <f ca="1">IFERROR(__xludf.DUMMYFUNCTION("UPPER(LEFT((GOOGLETRANSLATE(F159,""en"",""pt"")),1))&amp;RIGHT(lower((GOOGLETRANSLATE(F159,""en"",""pt""))),(LEN((GOOGLETRANSLATE(F159,""en"",""pt"")))-1))"),"Estacas")</f>
        <v>Estacas</v>
      </c>
      <c r="H159" s="24" t="e">
        <f>VLOOKUP(A159,En_Base_LNEC!$A$2:$E$10000,5,FALSE)</f>
        <v>#N/A</v>
      </c>
      <c r="I159" s="24"/>
      <c r="J159" s="79"/>
      <c r="K159" s="24"/>
      <c r="L159" s="24"/>
      <c r="M159" s="24"/>
    </row>
    <row r="160" spans="1:13" ht="14.5">
      <c r="A160" s="20" t="s">
        <v>2389</v>
      </c>
      <c r="B160" s="81">
        <v>32</v>
      </c>
      <c r="C160" s="81">
        <v>40</v>
      </c>
      <c r="D160" s="81">
        <v>26</v>
      </c>
      <c r="E160" s="79"/>
      <c r="F160" s="20" t="s">
        <v>2390</v>
      </c>
      <c r="G160" s="24" t="str">
        <f ca="1">IFERROR(__xludf.DUMMYFUNCTION("UPPER(LEFT((GOOGLETRANSLATE(F160,""en"",""pt"")),1))&amp;RIGHT(lower((GOOGLETRANSLATE(F160,""en"",""pt""))),(LEN((GOOGLETRANSLATE(F160,""en"",""pt"")))-1))"),"Aterros")</f>
        <v>Aterros</v>
      </c>
      <c r="H160" s="24" t="e">
        <f>VLOOKUP(A160,En_Base_LNEC!$A$2:$E$10000,5,FALSE)</f>
        <v>#N/A</v>
      </c>
      <c r="I160" s="24"/>
      <c r="J160" s="79"/>
      <c r="K160" s="24"/>
      <c r="L160" s="24"/>
      <c r="M160" s="24"/>
    </row>
    <row r="161" spans="1:13" ht="14.5">
      <c r="A161" s="20" t="s">
        <v>2391</v>
      </c>
      <c r="B161" s="81">
        <v>32</v>
      </c>
      <c r="C161" s="81">
        <v>40</v>
      </c>
      <c r="D161" s="81">
        <v>30</v>
      </c>
      <c r="E161" s="79"/>
      <c r="F161" s="20" t="s">
        <v>2392</v>
      </c>
      <c r="G161" s="24" t="str">
        <f ca="1">IFERROR(__xludf.DUMMYFUNCTION("UPPER(LEFT((GOOGLETRANSLATE(F161,""en"",""pt"")),1))&amp;RIGHT(lower((GOOGLETRANSLATE(F161,""en"",""pt""))),(LEN((GOOGLETRANSLATE(F161,""en"",""pt"")))-1))"),"Estacas falsos")</f>
        <v>Estacas falsos</v>
      </c>
      <c r="H161" s="24" t="e">
        <f>VLOOKUP(A161,En_Base_LNEC!$A$2:$E$10000,5,FALSE)</f>
        <v>#N/A</v>
      </c>
      <c r="I161" s="24"/>
      <c r="J161" s="79"/>
      <c r="K161" s="24"/>
      <c r="L161" s="24"/>
      <c r="M161" s="24"/>
    </row>
    <row r="162" spans="1:13" ht="14.5">
      <c r="A162" s="20" t="s">
        <v>2393</v>
      </c>
      <c r="B162" s="81">
        <v>32</v>
      </c>
      <c r="C162" s="81">
        <v>40</v>
      </c>
      <c r="D162" s="81">
        <v>90</v>
      </c>
      <c r="E162" s="79"/>
      <c r="F162" s="20" t="s">
        <v>2394</v>
      </c>
      <c r="G162" s="24" t="str">
        <f ca="1">IFERROR(__xludf.DUMMYFUNCTION("UPPER(LEFT((GOOGLETRANSLATE(F162,""en"",""pt"")),1))&amp;RIGHT(lower((GOOGLETRANSLATE(F162,""en"",""pt""))),(LEN((GOOGLETRANSLATE(F162,""en"",""pt"")))-1))"),"Trincheiras")</f>
        <v>Trincheiras</v>
      </c>
      <c r="H162" s="24" t="e">
        <f>VLOOKUP(A162,En_Base_LNEC!$A$2:$E$10000,5,FALSE)</f>
        <v>#N/A</v>
      </c>
      <c r="I162" s="24"/>
      <c r="J162" s="79"/>
      <c r="K162" s="24"/>
      <c r="L162" s="24"/>
      <c r="M162" s="24"/>
    </row>
    <row r="163" spans="1:13" ht="14.5">
      <c r="A163" s="20" t="s">
        <v>2395</v>
      </c>
      <c r="B163" s="81">
        <v>32</v>
      </c>
      <c r="C163" s="81">
        <v>50</v>
      </c>
      <c r="D163" s="79"/>
      <c r="E163" s="79"/>
      <c r="F163" s="20" t="s">
        <v>2396</v>
      </c>
      <c r="G163" s="24" t="str">
        <f ca="1">IFERROR(__xludf.DUMMYFUNCTION("UPPER(LEFT((GOOGLETRANSLATE(F163,""en"",""pt"")),1))&amp;RIGHT(lower((GOOGLETRANSLATE(F163,""en"",""pt""))),(LEN((GOOGLETRANSLATE(F163,""en"",""pt"")))-1))"),"Entidades laterais marinhos e de água")</f>
        <v>Entidades laterais marinhos e de água</v>
      </c>
      <c r="H163" s="24" t="e">
        <f>VLOOKUP(A163,En_Base_LNEC!$A$2:$E$10000,5,FALSE)</f>
        <v>#N/A</v>
      </c>
      <c r="I163" s="24"/>
      <c r="J163" s="79"/>
      <c r="K163" s="24"/>
      <c r="L163" s="24"/>
      <c r="M163" s="24"/>
    </row>
    <row r="164" spans="1:13" ht="14.5">
      <c r="A164" s="20" t="s">
        <v>2397</v>
      </c>
      <c r="B164" s="81">
        <v>32</v>
      </c>
      <c r="C164" s="81">
        <v>50</v>
      </c>
      <c r="D164" s="81">
        <v>20</v>
      </c>
      <c r="E164" s="79"/>
      <c r="F164" s="20" t="s">
        <v>2398</v>
      </c>
      <c r="G164" s="24" t="str">
        <f ca="1">IFERROR(__xludf.DUMMYFUNCTION("UPPER(LEFT((GOOGLETRANSLATE(F164,""en"",""pt"")),1))&amp;RIGHT(lower((GOOGLETRANSLATE(F164,""en"",""pt""))),(LEN((GOOGLETRANSLATE(F164,""en"",""pt"")))-1))"),"A desmagnetização e gamas acústicos")</f>
        <v>A desmagnetização e gamas acústicos</v>
      </c>
      <c r="H164" s="24" t="e">
        <f>VLOOKUP(A164,En_Base_LNEC!$A$2:$E$10000,5,FALSE)</f>
        <v>#N/A</v>
      </c>
      <c r="I164" s="24"/>
      <c r="J164" s="79"/>
      <c r="K164" s="24"/>
      <c r="L164" s="24"/>
      <c r="M164" s="24"/>
    </row>
    <row r="165" spans="1:13" ht="14.5">
      <c r="A165" s="20" t="s">
        <v>2399</v>
      </c>
      <c r="B165" s="81">
        <v>32</v>
      </c>
      <c r="C165" s="81">
        <v>50</v>
      </c>
      <c r="D165" s="81">
        <v>22</v>
      </c>
      <c r="E165" s="79"/>
      <c r="F165" s="20" t="s">
        <v>2400</v>
      </c>
      <c r="G165" s="24" t="str">
        <f ca="1">IFERROR(__xludf.DUMMYFUNCTION("UPPER(LEFT((GOOGLETRANSLATE(F165,""en"",""pt"")),1))&amp;RIGHT(lower((GOOGLETRANSLATE(F165,""en"",""pt""))),(LEN((GOOGLETRANSLATE(F165,""en"",""pt"")))-1))"),"Edifícios doca")</f>
        <v>Edifícios doca</v>
      </c>
      <c r="H165" s="24" t="e">
        <f>VLOOKUP(A165,En_Base_LNEC!$A$2:$E$10000,5,FALSE)</f>
        <v>#N/A</v>
      </c>
      <c r="I165" s="24"/>
      <c r="J165" s="79"/>
      <c r="K165" s="24"/>
      <c r="L165" s="24"/>
      <c r="M165" s="24"/>
    </row>
    <row r="166" spans="1:13" ht="14.5">
      <c r="A166" s="20" t="s">
        <v>2401</v>
      </c>
      <c r="B166" s="81">
        <v>32</v>
      </c>
      <c r="C166" s="81">
        <v>50</v>
      </c>
      <c r="D166" s="81">
        <v>44</v>
      </c>
      <c r="E166" s="79"/>
      <c r="F166" s="20" t="s">
        <v>2402</v>
      </c>
      <c r="G166" s="24" t="str">
        <f ca="1">IFERROR(__xludf.DUMMYFUNCTION("UPPER(LEFT((GOOGLETRANSLATE(F166,""en"",""pt"")),1))&amp;RIGHT(lower((GOOGLETRANSLATE(F166,""en"",""pt""))),(LEN((GOOGLETRANSLATE(F166,""en"",""pt"")))-1))"),"Molhes")</f>
        <v>Molhes</v>
      </c>
      <c r="H166" s="24" t="e">
        <f>VLOOKUP(A166,En_Base_LNEC!$A$2:$E$10000,5,FALSE)</f>
        <v>#N/A</v>
      </c>
      <c r="I166" s="24" t="s">
        <v>2403</v>
      </c>
      <c r="J166" s="81" t="s">
        <v>2004</v>
      </c>
      <c r="K166" s="24"/>
      <c r="L166" s="24"/>
      <c r="M166" s="24"/>
    </row>
    <row r="167" spans="1:13" ht="14.5">
      <c r="A167" s="20" t="s">
        <v>2404</v>
      </c>
      <c r="B167" s="81">
        <v>32</v>
      </c>
      <c r="C167" s="81">
        <v>50</v>
      </c>
      <c r="D167" s="81">
        <v>46</v>
      </c>
      <c r="E167" s="79"/>
      <c r="F167" s="20" t="s">
        <v>2405</v>
      </c>
      <c r="G167" s="24" t="str">
        <f ca="1">IFERROR(__xludf.DUMMYFUNCTION("UPPER(LEFT((GOOGLETRANSLATE(F167,""en"",""pt"")),1))&amp;RIGHT(lower((GOOGLETRANSLATE(F167,""en"",""pt""))),(LEN((GOOGLETRANSLATE(F167,""en"",""pt"")))-1))"),"Embarcadères")</f>
        <v>Embarcadères</v>
      </c>
      <c r="H167" s="24" t="e">
        <f>VLOOKUP(A167,En_Base_LNEC!$A$2:$E$10000,5,FALSE)</f>
        <v>#N/A</v>
      </c>
      <c r="I167" s="24"/>
      <c r="J167" s="79"/>
      <c r="K167" s="24"/>
      <c r="L167" s="24"/>
      <c r="M167" s="24"/>
    </row>
    <row r="168" spans="1:13" ht="14.5">
      <c r="A168" s="20" t="s">
        <v>2406</v>
      </c>
      <c r="B168" s="81">
        <v>32</v>
      </c>
      <c r="C168" s="81">
        <v>50</v>
      </c>
      <c r="D168" s="81">
        <v>58</v>
      </c>
      <c r="E168" s="79"/>
      <c r="F168" s="20" t="s">
        <v>2407</v>
      </c>
      <c r="G168" s="24" t="str">
        <f ca="1">IFERROR(__xludf.DUMMYFUNCTION("UPPER(LEFT((GOOGLETRANSLATE(F168,""en"",""pt"")),1))&amp;RIGHT(lower((GOOGLETRANSLATE(F168,""en"",""pt""))),(LEN((GOOGLETRANSLATE(F168,""en"",""pt"")))-1))"),"Fixações offshore")</f>
        <v>Fixações offshore</v>
      </c>
      <c r="H168" s="24" t="e">
        <f>VLOOKUP(A168,En_Base_LNEC!$A$2:$E$10000,5,FALSE)</f>
        <v>#N/A</v>
      </c>
      <c r="I168" s="24"/>
      <c r="J168" s="79"/>
      <c r="K168" s="24"/>
      <c r="L168" s="24"/>
      <c r="M168" s="24"/>
    </row>
    <row r="169" spans="1:13" ht="14.5">
      <c r="A169" s="20" t="s">
        <v>2408</v>
      </c>
      <c r="B169" s="81">
        <v>32</v>
      </c>
      <c r="C169" s="81">
        <v>50</v>
      </c>
      <c r="D169" s="81">
        <v>63</v>
      </c>
      <c r="E169" s="79"/>
      <c r="F169" s="20" t="s">
        <v>2409</v>
      </c>
      <c r="G169" s="24" t="str">
        <f ca="1">IFERROR(__xludf.DUMMYFUNCTION("UPPER(LEFT((GOOGLETRANSLATE(F169,""en"",""pt"")),1))&amp;RIGHT(lower((GOOGLETRANSLATE(F169,""en"",""pt""))),(LEN((GOOGLETRANSLATE(F169,""en"",""pt"")))-1))"),"Piers")</f>
        <v>Piers</v>
      </c>
      <c r="H169" s="24" t="e">
        <f>VLOOKUP(A169,En_Base_LNEC!$A$2:$E$10000,5,FALSE)</f>
        <v>#N/A</v>
      </c>
      <c r="I169" s="20" t="s">
        <v>2410</v>
      </c>
      <c r="J169" s="81" t="s">
        <v>2004</v>
      </c>
      <c r="K169" s="24"/>
      <c r="L169" s="24"/>
      <c r="M169" s="24"/>
    </row>
    <row r="170" spans="1:13" ht="14.5">
      <c r="A170" s="20" t="s">
        <v>2411</v>
      </c>
      <c r="B170" s="81">
        <v>32</v>
      </c>
      <c r="C170" s="81">
        <v>50</v>
      </c>
      <c r="D170" s="81">
        <v>69</v>
      </c>
      <c r="E170" s="79"/>
      <c r="F170" s="20" t="s">
        <v>2412</v>
      </c>
      <c r="G170" s="24" t="str">
        <f ca="1">IFERROR(__xludf.DUMMYFUNCTION("UPPER(LEFT((GOOGLETRANSLATE(F170,""en"",""pt"")),1))&amp;RIGHT(lower((GOOGLETRANSLATE(F170,""en"",""pt""))),(LEN((GOOGLETRANSLATE(F170,""en"",""pt"")))-1))"),"Quays")</f>
        <v>Quays</v>
      </c>
      <c r="H170" s="24" t="e">
        <f>VLOOKUP(A170,En_Base_LNEC!$A$2:$E$10000,5,FALSE)</f>
        <v>#N/A</v>
      </c>
      <c r="I170" s="24"/>
      <c r="J170" s="79"/>
      <c r="K170" s="24"/>
      <c r="L170" s="24"/>
      <c r="M170" s="24"/>
    </row>
    <row r="171" spans="1:13" ht="14.5">
      <c r="A171" s="20" t="s">
        <v>2413</v>
      </c>
      <c r="B171" s="81">
        <v>32</v>
      </c>
      <c r="C171" s="81">
        <v>50</v>
      </c>
      <c r="D171" s="81">
        <v>98</v>
      </c>
      <c r="E171" s="79"/>
      <c r="F171" s="20" t="s">
        <v>2414</v>
      </c>
      <c r="G171" s="24" t="str">
        <f ca="1">IFERROR(__xludf.DUMMYFUNCTION("UPPER(LEFT((GOOGLETRANSLATE(F171,""en"",""pt"")),1))&amp;RIGHT(lower((GOOGLETRANSLATE(F171,""en"",""pt""))),(LEN((GOOGLETRANSLATE(F171,""en"",""pt"")))-1))"),"Cais")</f>
        <v>Cais</v>
      </c>
      <c r="H171" s="24" t="e">
        <f>VLOOKUP(A171,En_Base_LNEC!$A$2:$E$10000,5,FALSE)</f>
        <v>#N/A</v>
      </c>
      <c r="I171" s="24"/>
      <c r="J171" s="79"/>
      <c r="K171" s="24"/>
      <c r="L171" s="24"/>
      <c r="M171" s="24"/>
    </row>
    <row r="172" spans="1:13" ht="14.5">
      <c r="A172" s="20" t="s">
        <v>2415</v>
      </c>
      <c r="B172" s="81">
        <v>32</v>
      </c>
      <c r="C172" s="81">
        <v>85</v>
      </c>
      <c r="D172" s="79"/>
      <c r="E172" s="79"/>
      <c r="F172" s="20" t="s">
        <v>2416</v>
      </c>
      <c r="G172" s="24" t="str">
        <f ca="1">IFERROR(__xludf.DUMMYFUNCTION("UPPER(LEFT((GOOGLETRANSLATE(F172,""en"",""pt"")),1))&amp;RIGHT(lower((GOOGLETRANSLATE(F172,""en"",""pt""))),(LEN((GOOGLETRANSLATE(F172,""en"",""pt"")))-1))"),"Entidades de controle de água e retenção")</f>
        <v>Entidades de controle de água e retenção</v>
      </c>
      <c r="H172" s="24" t="e">
        <f>VLOOKUP(A172,En_Base_LNEC!$A$2:$E$10000,5,FALSE)</f>
        <v>#N/A</v>
      </c>
      <c r="I172" s="24"/>
      <c r="J172" s="79"/>
      <c r="K172" s="24"/>
      <c r="L172" s="24"/>
      <c r="M172" s="24"/>
    </row>
    <row r="173" spans="1:13" ht="14.5">
      <c r="A173" s="20" t="s">
        <v>2417</v>
      </c>
      <c r="B173" s="81">
        <v>32</v>
      </c>
      <c r="C173" s="81">
        <v>85</v>
      </c>
      <c r="D173" s="81">
        <v>6</v>
      </c>
      <c r="E173" s="79"/>
      <c r="F173" s="20" t="s">
        <v>2418</v>
      </c>
      <c r="G173" s="24" t="str">
        <f ca="1">IFERROR(__xludf.DUMMYFUNCTION("UPPER(LEFT((GOOGLETRANSLATE(F173,""en"",""pt"")),1))&amp;RIGHT(lower((GOOGLETRANSLATE(F173,""en"",""pt""))),(LEN((GOOGLETRANSLATE(F173,""en"",""pt"")))-1))"),"Praias de barreira")</f>
        <v>Praias de barreira</v>
      </c>
      <c r="H173" s="24" t="e">
        <f>VLOOKUP(A173,En_Base_LNEC!$A$2:$E$10000,5,FALSE)</f>
        <v>#N/A</v>
      </c>
      <c r="I173" s="24"/>
      <c r="J173" s="79"/>
      <c r="K173" s="24"/>
      <c r="L173" s="24"/>
      <c r="M173" s="24"/>
    </row>
    <row r="174" spans="1:13" ht="14.5">
      <c r="A174" s="20" t="s">
        <v>2419</v>
      </c>
      <c r="B174" s="81">
        <v>32</v>
      </c>
      <c r="C174" s="81">
        <v>85</v>
      </c>
      <c r="D174" s="81">
        <v>10</v>
      </c>
      <c r="E174" s="79"/>
      <c r="F174" s="20" t="s">
        <v>2420</v>
      </c>
      <c r="G174" s="24" t="str">
        <f ca="1">IFERROR(__xludf.DUMMYFUNCTION("UPPER(LEFT((GOOGLETRANSLATE(F174,""en"",""pt"")),1))&amp;RIGHT(lower((GOOGLETRANSLATE(F174,""en"",""pt""))),(LEN((GOOGLETRANSLATE(F174,""en"",""pt"")))-1))"),"Quebra-mares")</f>
        <v>Quebra-mares</v>
      </c>
      <c r="H174" s="24" t="e">
        <f>VLOOKUP(A174,En_Base_LNEC!$A$2:$E$10000,5,FALSE)</f>
        <v>#N/A</v>
      </c>
      <c r="I174" s="24" t="s">
        <v>2421</v>
      </c>
      <c r="J174" s="81" t="s">
        <v>2004</v>
      </c>
      <c r="K174" s="24"/>
      <c r="L174" s="24"/>
      <c r="M174" s="24"/>
    </row>
    <row r="175" spans="1:13" ht="14.5">
      <c r="A175" s="20" t="s">
        <v>2422</v>
      </c>
      <c r="B175" s="81">
        <v>32</v>
      </c>
      <c r="C175" s="81">
        <v>85</v>
      </c>
      <c r="D175" s="81">
        <v>15</v>
      </c>
      <c r="E175" s="79"/>
      <c r="F175" s="20" t="s">
        <v>2423</v>
      </c>
      <c r="G175" s="24" t="str">
        <f ca="1">IFERROR(__xludf.DUMMYFUNCTION("UPPER(LEFT((GOOGLETRANSLATE(F175,""en"",""pt"")),1))&amp;RIGHT(lower((GOOGLETRANSLATE(F175,""en"",""pt""))),(LEN((GOOGLETRANSLATE(F175,""en"",""pt"")))-1))"),"Portões de controle")</f>
        <v>Portões de controle</v>
      </c>
      <c r="H175" s="24" t="e">
        <f>VLOOKUP(A175,En_Base_LNEC!$A$2:$E$10000,5,FALSE)</f>
        <v>#N/A</v>
      </c>
      <c r="I175" s="20" t="s">
        <v>2424</v>
      </c>
      <c r="J175" s="81" t="s">
        <v>2004</v>
      </c>
      <c r="K175" s="24"/>
      <c r="L175" s="24"/>
      <c r="M175" s="24"/>
    </row>
    <row r="176" spans="1:13" ht="14.5">
      <c r="A176" s="20" t="s">
        <v>2425</v>
      </c>
      <c r="B176" s="81">
        <v>32</v>
      </c>
      <c r="C176" s="81">
        <v>85</v>
      </c>
      <c r="D176" s="81">
        <v>21</v>
      </c>
      <c r="E176" s="79"/>
      <c r="F176" s="20" t="s">
        <v>2426</v>
      </c>
      <c r="G176" s="24" t="str">
        <f ca="1">IFERROR(__xludf.DUMMYFUNCTION("UPPER(LEFT((GOOGLETRANSLATE(F176,""en"",""pt"")),1))&amp;RIGHT(lower((GOOGLETRANSLATE(F176,""en"",""pt""))),(LEN((GOOGLETRANSLATE(F176,""en"",""pt"")))-1))"),"Barragens")</f>
        <v>Barragens</v>
      </c>
      <c r="H176" s="24" t="e">
        <f>VLOOKUP(A176,En_Base_LNEC!$A$2:$E$10000,5,FALSE)</f>
        <v>#N/A</v>
      </c>
      <c r="I176" s="24" t="s">
        <v>2427</v>
      </c>
      <c r="J176" s="81" t="s">
        <v>2004</v>
      </c>
      <c r="K176" s="24"/>
      <c r="L176" s="24"/>
      <c r="M176" s="24"/>
    </row>
    <row r="177" spans="1:13" ht="14.5">
      <c r="A177" s="20" t="s">
        <v>2428</v>
      </c>
      <c r="B177" s="81">
        <v>32</v>
      </c>
      <c r="C177" s="81">
        <v>85</v>
      </c>
      <c r="D177" s="81">
        <v>23</v>
      </c>
      <c r="E177" s="79"/>
      <c r="F177" s="20" t="s">
        <v>2429</v>
      </c>
      <c r="G177" s="24" t="str">
        <f ca="1">IFERROR(__xludf.DUMMYFUNCTION("UPPER(LEFT((GOOGLETRANSLATE(F177,""en"",""pt"")),1))&amp;RIGHT(lower((GOOGLETRANSLATE(F177,""en"",""pt""))),(LEN((GOOGLETRANSLATE(F177,""en"",""pt"")))-1))"),"Telas de detritos")</f>
        <v>Telas de detritos</v>
      </c>
      <c r="H177" s="24" t="e">
        <f>VLOOKUP(A177,En_Base_LNEC!$A$2:$E$10000,5,FALSE)</f>
        <v>#N/A</v>
      </c>
      <c r="I177" s="24"/>
      <c r="J177" s="79"/>
      <c r="K177" s="24"/>
      <c r="L177" s="24"/>
      <c r="M177" s="24"/>
    </row>
    <row r="178" spans="1:13" ht="14.5">
      <c r="A178" s="20" t="s">
        <v>2430</v>
      </c>
      <c r="B178" s="81">
        <v>32</v>
      </c>
      <c r="C178" s="81">
        <v>85</v>
      </c>
      <c r="D178" s="81">
        <v>24</v>
      </c>
      <c r="E178" s="79"/>
      <c r="F178" s="20" t="s">
        <v>2431</v>
      </c>
      <c r="G178" s="24" t="str">
        <f ca="1">IFERROR(__xludf.DUMMYFUNCTION("UPPER(LEFT((GOOGLETRANSLATE(F178,""en"",""pt"")),1))&amp;RIGHT(lower((GOOGLETRANSLATE(F178,""en"",""pt""))),(LEN((GOOGLETRANSLATE(F178,""en"",""pt"")))-1))"),"Dolphins")</f>
        <v>Dolphins</v>
      </c>
      <c r="H178" s="24" t="e">
        <f>VLOOKUP(A178,En_Base_LNEC!$A$2:$E$10000,5,FALSE)</f>
        <v>#N/A</v>
      </c>
      <c r="I178" s="24"/>
      <c r="J178" s="79"/>
      <c r="K178" s="24"/>
      <c r="L178" s="24"/>
      <c r="M178" s="24"/>
    </row>
    <row r="179" spans="1:13" ht="14.5">
      <c r="A179" s="20" t="s">
        <v>2432</v>
      </c>
      <c r="B179" s="81">
        <v>32</v>
      </c>
      <c r="C179" s="81">
        <v>85</v>
      </c>
      <c r="D179" s="81">
        <v>25</v>
      </c>
      <c r="E179" s="79"/>
      <c r="F179" s="20" t="s">
        <v>2433</v>
      </c>
      <c r="G179" s="24" t="str">
        <f ca="1">IFERROR(__xludf.DUMMYFUNCTION("UPPER(LEFT((GOOGLETRANSLATE(F179,""en"",""pt"")),1))&amp;RIGHT(lower((GOOGLETRANSLATE(F179,""en"",""pt""))),(LEN((GOOGLETRANSLATE(F179,""en"",""pt"")))-1))"),"Draw-off torres")</f>
        <v>Draw-off torres</v>
      </c>
      <c r="H179" s="24" t="e">
        <f>VLOOKUP(A179,En_Base_LNEC!$A$2:$E$10000,5,FALSE)</f>
        <v>#N/A</v>
      </c>
      <c r="I179" s="24"/>
      <c r="J179" s="79"/>
      <c r="K179" s="24"/>
      <c r="L179" s="24"/>
      <c r="M179" s="24"/>
    </row>
    <row r="180" spans="1:13" ht="14.5">
      <c r="A180" s="20" t="s">
        <v>2434</v>
      </c>
      <c r="B180" s="81">
        <v>32</v>
      </c>
      <c r="C180" s="81">
        <v>85</v>
      </c>
      <c r="D180" s="81">
        <v>30</v>
      </c>
      <c r="E180" s="79"/>
      <c r="F180" s="20" t="s">
        <v>2435</v>
      </c>
      <c r="G180" s="24" t="str">
        <f ca="1">IFERROR(__xludf.DUMMYFUNCTION("UPPER(LEFT((GOOGLETRANSLATE(F180,""en"",""pt"")),1))&amp;RIGHT(lower((GOOGLETRANSLATE(F180,""en"",""pt""))),(LEN((GOOGLETRANSLATE(F180,""en"",""pt"")))-1))"),"Estruturas de prevenção de inundações")</f>
        <v>Estruturas de prevenção de inundações</v>
      </c>
      <c r="H180" s="24" t="e">
        <f>VLOOKUP(A180,En_Base_LNEC!$A$2:$E$10000,5,FALSE)</f>
        <v>#N/A</v>
      </c>
      <c r="I180" s="24" t="s">
        <v>2436</v>
      </c>
      <c r="J180" s="81" t="s">
        <v>2004</v>
      </c>
      <c r="K180" s="24"/>
      <c r="L180" s="24"/>
      <c r="M180" s="24"/>
    </row>
    <row r="181" spans="1:13" ht="14.5">
      <c r="A181" s="20" t="s">
        <v>2437</v>
      </c>
      <c r="B181" s="81">
        <v>32</v>
      </c>
      <c r="C181" s="81">
        <v>85</v>
      </c>
      <c r="D181" s="81">
        <v>31</v>
      </c>
      <c r="E181" s="79"/>
      <c r="F181" s="20" t="s">
        <v>2438</v>
      </c>
      <c r="G181" s="24" t="str">
        <f ca="1">IFERROR(__xludf.DUMMYFUNCTION("UPPER(LEFT((GOOGLETRANSLATE(F181,""en"",""pt"")),1))&amp;RIGHT(lower((GOOGLETRANSLATE(F181,""en"",""pt""))),(LEN((GOOGLETRANSLATE(F181,""en"",""pt"")))-1))"),"Flumes")</f>
        <v>Flumes</v>
      </c>
      <c r="H181" s="24" t="e">
        <f>VLOOKUP(A181,En_Base_LNEC!$A$2:$E$10000,5,FALSE)</f>
        <v>#N/A</v>
      </c>
      <c r="I181" s="24"/>
      <c r="J181" s="79"/>
      <c r="K181" s="24"/>
      <c r="L181" s="24"/>
      <c r="M181" s="24"/>
    </row>
    <row r="182" spans="1:13" ht="14.5">
      <c r="A182" s="20" t="s">
        <v>2439</v>
      </c>
      <c r="B182" s="81">
        <v>32</v>
      </c>
      <c r="C182" s="81">
        <v>85</v>
      </c>
      <c r="D182" s="81">
        <v>35</v>
      </c>
      <c r="E182" s="79"/>
      <c r="F182" s="20" t="s">
        <v>2440</v>
      </c>
      <c r="G182" s="24" t="str">
        <f ca="1">IFERROR(__xludf.DUMMYFUNCTION("UPPER(LEFT((GOOGLETRANSLATE(F182,""en"",""pt"")),1))&amp;RIGHT(lower((GOOGLETRANSLATE(F182,""en"",""pt""))),(LEN((GOOGLETRANSLATE(F182,""en"",""pt"")))-1))"),"Groynes")</f>
        <v>Groynes</v>
      </c>
      <c r="H182" s="24" t="e">
        <f>VLOOKUP(A182,En_Base_LNEC!$A$2:$E$10000,5,FALSE)</f>
        <v>#N/A</v>
      </c>
      <c r="I182" s="24"/>
      <c r="J182" s="79"/>
      <c r="K182" s="24"/>
      <c r="L182" s="24"/>
      <c r="M182" s="24"/>
    </row>
    <row r="183" spans="1:13" ht="14.5">
      <c r="A183" s="20" t="s">
        <v>2441</v>
      </c>
      <c r="B183" s="81">
        <v>32</v>
      </c>
      <c r="C183" s="81">
        <v>85</v>
      </c>
      <c r="D183" s="81">
        <v>37</v>
      </c>
      <c r="E183" s="79"/>
      <c r="F183" s="20" t="s">
        <v>2442</v>
      </c>
      <c r="G183" s="24" t="str">
        <f ca="1">IFERROR(__xludf.DUMMYFUNCTION("UPPER(LEFT((GOOGLETRANSLATE(F183,""en"",""pt"")),1))&amp;RIGHT(lower((GOOGLETRANSLATE(F183,""en"",""pt""))),(LEN((GOOGLETRANSLATE(F183,""en"",""pt"")))-1))"),"Terreno elevado")</f>
        <v>Terreno elevado</v>
      </c>
      <c r="H183" s="24" t="e">
        <f>VLOOKUP(A183,En_Base_LNEC!$A$2:$E$10000,5,FALSE)</f>
        <v>#N/A</v>
      </c>
      <c r="I183" s="24" t="s">
        <v>2443</v>
      </c>
      <c r="J183" s="81" t="s">
        <v>2004</v>
      </c>
      <c r="K183" s="24"/>
      <c r="L183" s="24"/>
      <c r="M183" s="24"/>
    </row>
    <row r="184" spans="1:13" ht="14.5">
      <c r="A184" s="20" t="s">
        <v>2444</v>
      </c>
      <c r="B184" s="81">
        <v>32</v>
      </c>
      <c r="C184" s="81">
        <v>85</v>
      </c>
      <c r="D184" s="81">
        <v>45</v>
      </c>
      <c r="E184" s="79"/>
      <c r="F184" s="20" t="s">
        <v>2445</v>
      </c>
      <c r="G184" s="24" t="str">
        <f ca="1">IFERROR(__xludf.DUMMYFUNCTION("UPPER(LEFT((GOOGLETRANSLATE(F184,""en"",""pt"")),1))&amp;RIGHT(lower((GOOGLETRANSLATE(F184,""en"",""pt""))),(LEN((GOOGLETRANSLATE(F184,""en"",""pt"")))-1))"),"Levees")</f>
        <v>Levees</v>
      </c>
      <c r="H184" s="24" t="e">
        <f>VLOOKUP(A184,En_Base_LNEC!$A$2:$E$10000,5,FALSE)</f>
        <v>#N/A</v>
      </c>
      <c r="I184" s="24"/>
      <c r="J184" s="79"/>
      <c r="K184" s="24"/>
      <c r="L184" s="24"/>
      <c r="M184" s="24"/>
    </row>
    <row r="185" spans="1:13" ht="14.5">
      <c r="A185" s="20" t="s">
        <v>2446</v>
      </c>
      <c r="B185" s="81">
        <v>32</v>
      </c>
      <c r="C185" s="81">
        <v>85</v>
      </c>
      <c r="D185" s="81">
        <v>59</v>
      </c>
      <c r="E185" s="79"/>
      <c r="F185" s="20" t="s">
        <v>2447</v>
      </c>
      <c r="G185" s="24" t="str">
        <f ca="1">IFERROR(__xludf.DUMMYFUNCTION("UPPER(LEFT((GOOGLETRANSLATE(F185,""en"",""pt"")),1))&amp;RIGHT(lower((GOOGLETRANSLATE(F185,""en"",""pt""))),(LEN((GOOGLETRANSLATE(F185,""en"",""pt"")))-1))"),"Emissários")</f>
        <v>Emissários</v>
      </c>
      <c r="H185" s="24" t="e">
        <f>VLOOKUP(A185,En_Base_LNEC!$A$2:$E$10000,5,FALSE)</f>
        <v>#N/A</v>
      </c>
      <c r="I185" s="24"/>
      <c r="J185" s="79"/>
      <c r="K185" s="24"/>
      <c r="L185" s="24"/>
      <c r="M185" s="24"/>
    </row>
    <row r="186" spans="1:13" ht="14.5">
      <c r="A186" s="20" t="s">
        <v>2448</v>
      </c>
      <c r="B186" s="81">
        <v>32</v>
      </c>
      <c r="C186" s="81">
        <v>85</v>
      </c>
      <c r="D186" s="81">
        <v>72</v>
      </c>
      <c r="E186" s="79"/>
      <c r="F186" s="20" t="s">
        <v>2449</v>
      </c>
      <c r="G186" s="24" t="str">
        <f ca="1">IFERROR(__xludf.DUMMYFUNCTION("UPPER(LEFT((GOOGLETRANSLATE(F186,""en"",""pt"")),1))&amp;RIGHT(lower((GOOGLETRANSLATE(F186,""en"",""pt""))),(LEN((GOOGLETRANSLATE(F186,""en"",""pt"")))-1))"),"Revestimentos")</f>
        <v>Revestimentos</v>
      </c>
      <c r="H186" s="24" t="e">
        <f>VLOOKUP(A186,En_Base_LNEC!$A$2:$E$10000,5,FALSE)</f>
        <v>#N/A</v>
      </c>
      <c r="I186" s="24" t="s">
        <v>2450</v>
      </c>
      <c r="J186" s="81" t="s">
        <v>2004</v>
      </c>
      <c r="K186" s="24"/>
      <c r="L186" s="24"/>
      <c r="M186" s="24"/>
    </row>
    <row r="187" spans="1:13" ht="14.5">
      <c r="A187" s="20" t="s">
        <v>2451</v>
      </c>
      <c r="B187" s="81">
        <v>32</v>
      </c>
      <c r="C187" s="81">
        <v>85</v>
      </c>
      <c r="D187" s="81">
        <v>77</v>
      </c>
      <c r="E187" s="79"/>
      <c r="F187" s="20" t="s">
        <v>2452</v>
      </c>
      <c r="G187" s="24" t="str">
        <f ca="1">IFERROR(__xludf.DUMMYFUNCTION("UPPER(LEFT((GOOGLETRANSLATE(F187,""en"",""pt"")),1))&amp;RIGHT(lower((GOOGLETRANSLATE(F187,""en"",""pt""))),(LEN((GOOGLETRANSLATE(F187,""en"",""pt"")))-1))"),"Diques do mar")</f>
        <v>Diques do mar</v>
      </c>
      <c r="H187" s="24" t="e">
        <f>VLOOKUP(A187,En_Base_LNEC!$A$2:$E$10000,5,FALSE)</f>
        <v>#N/A</v>
      </c>
      <c r="I187" s="20" t="s">
        <v>2453</v>
      </c>
      <c r="J187" s="81" t="s">
        <v>2004</v>
      </c>
      <c r="K187" s="24"/>
      <c r="L187" s="24"/>
      <c r="M187" s="24"/>
    </row>
    <row r="188" spans="1:13" ht="14.5">
      <c r="A188" s="20" t="s">
        <v>2454</v>
      </c>
      <c r="B188" s="81">
        <v>32</v>
      </c>
      <c r="C188" s="81">
        <v>85</v>
      </c>
      <c r="D188" s="81">
        <v>80</v>
      </c>
      <c r="E188" s="79"/>
      <c r="F188" s="20" t="s">
        <v>2455</v>
      </c>
      <c r="G188" s="24" t="str">
        <f ca="1">IFERROR(__xludf.DUMMYFUNCTION("UPPER(LEFT((GOOGLETRANSLATE(F188,""en"",""pt"")),1))&amp;RIGHT(lower((GOOGLETRANSLATE(F188,""en"",""pt""))),(LEN((GOOGLETRANSLATE(F188,""en"",""pt"")))-1))"),"Sluices")</f>
        <v>Sluices</v>
      </c>
      <c r="H188" s="24" t="e">
        <f>VLOOKUP(A188,En_Base_LNEC!$A$2:$E$10000,5,FALSE)</f>
        <v>#N/A</v>
      </c>
      <c r="I188" s="24"/>
      <c r="J188" s="79"/>
      <c r="K188" s="24"/>
      <c r="L188" s="24"/>
      <c r="M188" s="24"/>
    </row>
    <row r="189" spans="1:13" ht="14.5">
      <c r="A189" s="20" t="s">
        <v>2456</v>
      </c>
      <c r="B189" s="81">
        <v>32</v>
      </c>
      <c r="C189" s="81">
        <v>85</v>
      </c>
      <c r="D189" s="81">
        <v>82</v>
      </c>
      <c r="E189" s="79"/>
      <c r="F189" s="20" t="s">
        <v>2457</v>
      </c>
      <c r="G189" s="24" t="str">
        <f ca="1">IFERROR(__xludf.DUMMYFUNCTION("UPPER(LEFT((GOOGLETRANSLATE(F189,""en"",""pt"")),1))&amp;RIGHT(lower((GOOGLETRANSLATE(F189,""en"",""pt""))),(LEN((GOOGLETRANSLATE(F189,""en"",""pt"")))-1))"),"Vertedouros")</f>
        <v>Vertedouros</v>
      </c>
      <c r="H189" s="24" t="e">
        <f>VLOOKUP(A189,En_Base_LNEC!$A$2:$E$10000,5,FALSE)</f>
        <v>#N/A</v>
      </c>
      <c r="I189" s="24"/>
      <c r="J189" s="79"/>
      <c r="K189" s="24"/>
      <c r="L189" s="24"/>
      <c r="M189" s="24"/>
    </row>
    <row r="190" spans="1:13" ht="14.5">
      <c r="A190" s="20" t="s">
        <v>2458</v>
      </c>
      <c r="B190" s="81">
        <v>32</v>
      </c>
      <c r="C190" s="81">
        <v>85</v>
      </c>
      <c r="D190" s="81">
        <v>84</v>
      </c>
      <c r="E190" s="79"/>
      <c r="F190" s="20" t="s">
        <v>2459</v>
      </c>
      <c r="G190" s="24" t="str">
        <f ca="1">IFERROR(__xludf.DUMMYFUNCTION("UPPER(LEFT((GOOGLETRANSLATE(F190,""en"",""pt"")),1))&amp;RIGHT(lower((GOOGLETRANSLATE(F190,""en"",""pt""))),(LEN((GOOGLETRANSLATE(F190,""en"",""pt"")))-1))"),"Acalmando bacias")</f>
        <v>Acalmando bacias</v>
      </c>
      <c r="H190" s="24" t="e">
        <f>VLOOKUP(A190,En_Base_LNEC!$A$2:$E$10000,5,FALSE)</f>
        <v>#N/A</v>
      </c>
      <c r="I190" s="24"/>
      <c r="J190" s="79"/>
      <c r="K190" s="24"/>
      <c r="L190" s="24"/>
      <c r="M190" s="24"/>
    </row>
    <row r="191" spans="1:13" ht="14.5">
      <c r="A191" s="20" t="s">
        <v>2460</v>
      </c>
      <c r="B191" s="81">
        <v>32</v>
      </c>
      <c r="C191" s="81">
        <v>85</v>
      </c>
      <c r="D191" s="81">
        <v>96</v>
      </c>
      <c r="E191" s="79"/>
      <c r="F191" s="20" t="s">
        <v>2461</v>
      </c>
      <c r="G191" s="24" t="str">
        <f ca="1">IFERROR(__xludf.DUMMYFUNCTION("UPPER(LEFT((GOOGLETRANSLATE(F191,""en"",""pt"")),1))&amp;RIGHT(lower((GOOGLETRANSLATE(F191,""en"",""pt""))),(LEN((GOOGLETRANSLATE(F191,""en"",""pt"")))-1))"),"Estruturas de retenção de água")</f>
        <v>Estruturas de retenção de água</v>
      </c>
      <c r="H191" s="24" t="e">
        <f>VLOOKUP(A191,En_Base_LNEC!$A$2:$E$10000,5,FALSE)</f>
        <v>#N/A</v>
      </c>
      <c r="I191" s="24" t="s">
        <v>2462</v>
      </c>
      <c r="J191" s="81" t="s">
        <v>2004</v>
      </c>
      <c r="K191" s="24"/>
      <c r="L191" s="24"/>
      <c r="M191" s="24"/>
    </row>
    <row r="192" spans="1:13" ht="14.5">
      <c r="A192" s="20" t="s">
        <v>2463</v>
      </c>
      <c r="B192" s="81">
        <v>32</v>
      </c>
      <c r="C192" s="81">
        <v>85</v>
      </c>
      <c r="D192" s="81">
        <v>97</v>
      </c>
      <c r="E192" s="79"/>
      <c r="F192" s="20" t="s">
        <v>2464</v>
      </c>
      <c r="G192" s="24" t="str">
        <f ca="1">IFERROR(__xludf.DUMMYFUNCTION("UPPER(LEFT((GOOGLETRANSLATE(F192,""en"",""pt"")),1))&amp;RIGHT(lower((GOOGLETRANSLATE(F192,""en"",""pt""))),(LEN((GOOGLETRANSLATE(F192,""en"",""pt"")))-1))"),"Weirs")</f>
        <v>Weirs</v>
      </c>
      <c r="H192" s="24" t="e">
        <f>VLOOKUP(A192,En_Base_LNEC!$A$2:$E$10000,5,FALSE)</f>
        <v>#N/A</v>
      </c>
      <c r="I192" s="24"/>
      <c r="J192" s="79"/>
      <c r="K192" s="24"/>
      <c r="L192" s="24"/>
      <c r="M192" s="24"/>
    </row>
    <row r="193" spans="1:13" ht="14.5">
      <c r="A193" s="20" t="s">
        <v>2465</v>
      </c>
      <c r="B193" s="81">
        <v>32</v>
      </c>
      <c r="C193" s="81">
        <v>85</v>
      </c>
      <c r="D193" s="81">
        <v>98</v>
      </c>
      <c r="E193" s="79"/>
      <c r="F193" s="20" t="s">
        <v>2466</v>
      </c>
      <c r="G193" s="24" t="str">
        <f ca="1">IFERROR(__xludf.DUMMYFUNCTION("UPPER(LEFT((GOOGLETRANSLATE(F193,""en"",""pt"")),1))&amp;RIGHT(lower((GOOGLETRANSLATE(F193,""en"",""pt""))),(LEN((GOOGLETRANSLATE(F193,""en"",""pt"")))-1))"),"Wells")</f>
        <v>Wells</v>
      </c>
      <c r="H193" s="24" t="e">
        <f>VLOOKUP(A193,En_Base_LNEC!$A$2:$E$10000,5,FALSE)</f>
        <v>#N/A</v>
      </c>
      <c r="I193" s="20" t="s">
        <v>2467</v>
      </c>
      <c r="J193" s="81" t="s">
        <v>2004</v>
      </c>
      <c r="K193" s="24"/>
      <c r="L193" s="24"/>
      <c r="M193" s="24"/>
    </row>
    <row r="194" spans="1:13" ht="14.5">
      <c r="A194" s="20" t="s">
        <v>2468</v>
      </c>
      <c r="B194" s="81">
        <v>32</v>
      </c>
      <c r="C194" s="81">
        <v>95</v>
      </c>
      <c r="D194" s="79"/>
      <c r="E194" s="79"/>
      <c r="F194" s="20" t="s">
        <v>2469</v>
      </c>
      <c r="G194" s="24" t="str">
        <f ca="1">IFERROR(__xludf.DUMMYFUNCTION("UPPER(LEFT((GOOGLETRANSLATE(F194,""en"",""pt"")),1))&amp;RIGHT(lower((GOOGLETRANSLATE(F194,""en"",""pt""))),(LEN((GOOGLETRANSLATE(F194,""en"",""pt"")))-1))"),"Waterways")</f>
        <v>Waterways</v>
      </c>
      <c r="H194" s="24" t="e">
        <f>VLOOKUP(A194,En_Base_LNEC!$A$2:$E$10000,5,FALSE)</f>
        <v>#N/A</v>
      </c>
      <c r="I194" s="24"/>
      <c r="J194" s="79"/>
      <c r="K194" s="24"/>
      <c r="L194" s="24"/>
      <c r="M194" s="24"/>
    </row>
    <row r="195" spans="1:13" ht="14.5">
      <c r="A195" s="20" t="s">
        <v>2470</v>
      </c>
      <c r="B195" s="81">
        <v>32</v>
      </c>
      <c r="C195" s="81">
        <v>95</v>
      </c>
      <c r="D195" s="81">
        <v>14</v>
      </c>
      <c r="E195" s="79"/>
      <c r="F195" s="20" t="s">
        <v>2471</v>
      </c>
      <c r="G195" s="24" t="str">
        <f ca="1">IFERROR(__xludf.DUMMYFUNCTION("UPPER(LEFT((GOOGLETRANSLATE(F195,""en"",""pt"")),1))&amp;RIGHT(lower((GOOGLETRANSLATE(F195,""en"",""pt""))),(LEN((GOOGLETRANSLATE(F195,""en"",""pt"")))-1))"),"Canais")</f>
        <v>Canais</v>
      </c>
      <c r="H195" s="24" t="e">
        <f>VLOOKUP(A195,En_Base_LNEC!$A$2:$E$10000,5,FALSE)</f>
        <v>#N/A</v>
      </c>
      <c r="I195" s="24"/>
      <c r="J195" s="79"/>
      <c r="K195" s="24"/>
      <c r="L195" s="24"/>
      <c r="M195" s="24"/>
    </row>
    <row r="196" spans="1:13" ht="14.5">
      <c r="A196" s="20" t="s">
        <v>2472</v>
      </c>
      <c r="B196" s="81">
        <v>32</v>
      </c>
      <c r="C196" s="81">
        <v>95</v>
      </c>
      <c r="D196" s="81">
        <v>16</v>
      </c>
      <c r="E196" s="79"/>
      <c r="F196" s="20" t="s">
        <v>2473</v>
      </c>
      <c r="G196" s="24" t="str">
        <f ca="1">IFERROR(__xludf.DUMMYFUNCTION("UPPER(LEFT((GOOGLETRANSLATE(F196,""en"",""pt"")),1))&amp;RIGHT(lower((GOOGLETRANSLATE(F196,""en"",""pt""))),(LEN((GOOGLETRANSLATE(F196,""en"",""pt"")))-1))"),"Bueiros complexos")</f>
        <v>Bueiros complexos</v>
      </c>
      <c r="H196" s="24" t="e">
        <f>VLOOKUP(A196,En_Base_LNEC!$A$2:$E$10000,5,FALSE)</f>
        <v>#N/A</v>
      </c>
      <c r="I196" s="24"/>
      <c r="J196" s="79"/>
      <c r="K196" s="24"/>
      <c r="L196" s="24"/>
      <c r="M196" s="24"/>
    </row>
    <row r="197" spans="1:13" ht="14.5">
      <c r="A197" s="20" t="s">
        <v>2474</v>
      </c>
      <c r="B197" s="81">
        <v>32</v>
      </c>
      <c r="C197" s="81">
        <v>95</v>
      </c>
      <c r="D197" s="81">
        <v>23</v>
      </c>
      <c r="E197" s="79"/>
      <c r="F197" s="20" t="s">
        <v>2475</v>
      </c>
      <c r="G197" s="24" t="str">
        <f ca="1">IFERROR(__xludf.DUMMYFUNCTION("UPPER(LEFT((GOOGLETRANSLATE(F197,""en"",""pt"")),1))&amp;RIGHT(lower((GOOGLETRANSLATE(F197,""en"",""pt""))),(LEN((GOOGLETRANSLATE(F197,""en"",""pt"")))-1))"),"Valas")</f>
        <v>Valas</v>
      </c>
      <c r="H197" s="24" t="e">
        <f>VLOOKUP(A197,En_Base_LNEC!$A$2:$E$10000,5,FALSE)</f>
        <v>#N/A</v>
      </c>
      <c r="I197" s="24" t="s">
        <v>2476</v>
      </c>
      <c r="J197" s="81" t="s">
        <v>2004</v>
      </c>
      <c r="K197" s="24"/>
      <c r="L197" s="24"/>
      <c r="M197" s="24"/>
    </row>
    <row r="198" spans="1:13" ht="14.5">
      <c r="A198" s="20" t="s">
        <v>2477</v>
      </c>
      <c r="B198" s="81">
        <v>32</v>
      </c>
      <c r="C198" s="81">
        <v>95</v>
      </c>
      <c r="D198" s="81">
        <v>59</v>
      </c>
      <c r="E198" s="79"/>
      <c r="F198" s="20" t="s">
        <v>2478</v>
      </c>
      <c r="G198" s="24" t="str">
        <f ca="1">IFERROR(__xludf.DUMMYFUNCTION("UPPER(LEFT((GOOGLETRANSLATE(F198,""en"",""pt"")),1))&amp;RIGHT(lower((GOOGLETRANSLATE(F198,""en"",""pt""))),(LEN((GOOGLETRANSLATE(F198,""en"",""pt"")))-1))"),"Canais abertos")</f>
        <v>Canais abertos</v>
      </c>
      <c r="H198" s="24" t="e">
        <f>VLOOKUP(A198,En_Base_LNEC!$A$2:$E$10000,5,FALSE)</f>
        <v>#N/A</v>
      </c>
      <c r="I198" s="24"/>
      <c r="J198" s="79"/>
      <c r="K198" s="24"/>
      <c r="L198" s="24"/>
      <c r="M198" s="24"/>
    </row>
    <row r="199" spans="1:13" ht="14.5">
      <c r="A199" s="20" t="s">
        <v>2479</v>
      </c>
      <c r="B199" s="81">
        <v>32</v>
      </c>
      <c r="C199" s="81">
        <v>95</v>
      </c>
      <c r="D199" s="81">
        <v>80</v>
      </c>
      <c r="E199" s="79"/>
      <c r="F199" s="20" t="s">
        <v>2480</v>
      </c>
      <c r="G199" s="24" t="str">
        <f ca="1">IFERROR(__xludf.DUMMYFUNCTION("UPPER(LEFT((GOOGLETRANSLATE(F199,""en"",""pt"")),1))&amp;RIGHT(lower((GOOGLETRANSLATE(F199,""en"",""pt""))),(LEN((GOOGLETRANSLATE(F199,""en"",""pt"")))-1))"),"Bueiros simples")</f>
        <v>Bueiros simples</v>
      </c>
      <c r="H199" s="24" t="e">
        <f>VLOOKUP(A199,En_Base_LNEC!$A$2:$E$10000,5,FALSE)</f>
        <v>#N/A</v>
      </c>
      <c r="I199" s="24"/>
      <c r="J199" s="79"/>
      <c r="K199" s="24"/>
      <c r="L199" s="24"/>
      <c r="M199" s="24"/>
    </row>
    <row r="200" spans="1:13" ht="14.5">
      <c r="A200" s="20" t="s">
        <v>2481</v>
      </c>
      <c r="B200" s="81">
        <v>32</v>
      </c>
      <c r="C200" s="81">
        <v>95</v>
      </c>
      <c r="D200" s="81">
        <v>85</v>
      </c>
      <c r="E200" s="79"/>
      <c r="F200" s="20" t="s">
        <v>2482</v>
      </c>
      <c r="G200" s="24" t="str">
        <f ca="1">IFERROR(__xludf.DUMMYFUNCTION("UPPER(LEFT((GOOGLETRANSLATE(F200,""en"",""pt"")),1))&amp;RIGHT(lower((GOOGLETRANSLATE(F200,""en"",""pt""))),(LEN((GOOGLETRANSLATE(F200,""en"",""pt"")))-1))"),"Canais de água na superfície")</f>
        <v>Canais de água na superfície</v>
      </c>
      <c r="H200" s="24" t="e">
        <f>VLOOKUP(A200,En_Base_LNEC!$A$2:$E$10000,5,FALSE)</f>
        <v>#N/A</v>
      </c>
      <c r="I200" s="24"/>
      <c r="J200" s="79"/>
      <c r="K200" s="24"/>
      <c r="L200" s="24"/>
      <c r="M200" s="24"/>
    </row>
    <row r="201" spans="1:13" ht="14.5">
      <c r="A201" s="20" t="s">
        <v>2483</v>
      </c>
      <c r="B201" s="81">
        <v>32</v>
      </c>
      <c r="C201" s="81">
        <v>95</v>
      </c>
      <c r="D201" s="81">
        <v>86</v>
      </c>
      <c r="E201" s="79"/>
      <c r="F201" s="20" t="s">
        <v>2484</v>
      </c>
      <c r="G201" s="24" t="str">
        <f ca="1">IFERROR(__xludf.DUMMYFUNCTION("UPPER(LEFT((GOOGLETRANSLATE(F201,""en"",""pt"")),1))&amp;RIGHT(lower((GOOGLETRANSLATE(F201,""en"",""pt""))),(LEN((GOOGLETRANSLATE(F201,""en"",""pt"")))-1))"),"Swales")</f>
        <v>Swales</v>
      </c>
      <c r="H201" s="24" t="e">
        <f>VLOOKUP(A201,En_Base_LNEC!$A$2:$E$10000,5,FALSE)</f>
        <v>#N/A</v>
      </c>
      <c r="I201" s="24"/>
      <c r="J201" s="79"/>
      <c r="K201" s="24"/>
      <c r="L201" s="24"/>
      <c r="M201" s="24"/>
    </row>
    <row r="202" spans="1:13" ht="14.5">
      <c r="A202" s="20" t="s">
        <v>2485</v>
      </c>
      <c r="B202" s="81">
        <v>35</v>
      </c>
      <c r="C202" s="79"/>
      <c r="D202" s="79"/>
      <c r="E202" s="79"/>
      <c r="F202" s="20" t="s">
        <v>2486</v>
      </c>
      <c r="G202" s="24" t="str">
        <f ca="1">IFERROR(__xludf.DUMMYFUNCTION("UPPER(LEFT((GOOGLETRANSLATE(F202,""en"",""pt"")),1))&amp;RIGHT(lower((GOOGLETRANSLATE(F202,""en"",""pt""))),(LEN((GOOGLETRANSLATE(F202,""en"",""pt"")))-1))"),"Médico, saúde, bem-estar e entidades sanitárias")</f>
        <v>Médico, saúde, bem-estar e entidades sanitárias</v>
      </c>
      <c r="H202" s="24" t="str">
        <f>VLOOKUP(A202,En_Base_LNEC!$A$2:$E$10000,5,FALSE)</f>
        <v>Edifícios de saúde</v>
      </c>
      <c r="I202" s="24"/>
      <c r="J202" s="79"/>
      <c r="K202" s="24"/>
      <c r="L202" s="24"/>
      <c r="M202" s="24"/>
    </row>
    <row r="203" spans="1:13" ht="14.5">
      <c r="A203" s="20" t="s">
        <v>2487</v>
      </c>
      <c r="B203" s="81">
        <v>35</v>
      </c>
      <c r="C203" s="81">
        <v>10</v>
      </c>
      <c r="D203" s="79"/>
      <c r="E203" s="79"/>
      <c r="F203" s="20" t="s">
        <v>2488</v>
      </c>
      <c r="G203" s="24" t="str">
        <f ca="1">IFERROR(__xludf.DUMMYFUNCTION("UPPER(LEFT((GOOGLETRANSLATE(F203,""en"",""pt"")),1))&amp;RIGHT(lower((GOOGLETRANSLATE(F203,""en"",""pt""))),(LEN((GOOGLETRANSLATE(F203,""en"",""pt"")))-1))"),"Entidades médicas")</f>
        <v>Entidades médicas</v>
      </c>
      <c r="H203" s="24" t="str">
        <f>VLOOKUP(A203,En_Base_LNEC!$A$2:$E$10000,5,FALSE)</f>
        <v>Edifícios para fins médicos</v>
      </c>
      <c r="I203" s="24"/>
      <c r="J203" s="79"/>
      <c r="K203" s="24"/>
      <c r="L203" s="24"/>
      <c r="M203" s="24"/>
    </row>
    <row r="204" spans="1:13" ht="14.5">
      <c r="A204" s="20" t="s">
        <v>2489</v>
      </c>
      <c r="B204" s="81">
        <v>35</v>
      </c>
      <c r="C204" s="81">
        <v>10</v>
      </c>
      <c r="D204" s="81">
        <v>10</v>
      </c>
      <c r="E204" s="79"/>
      <c r="F204" s="20" t="s">
        <v>2490</v>
      </c>
      <c r="G204" s="24" t="str">
        <f ca="1">IFERROR(__xludf.DUMMYFUNCTION("UPPER(LEFT((GOOGLETRANSLATE(F204,""en"",""pt"")),1))&amp;RIGHT(lower((GOOGLETRANSLATE(F204,""en"",""pt""))),(LEN((GOOGLETRANSLATE(F204,""en"",""pt"")))-1))"),"Edifícios médicos")</f>
        <v>Edifícios médicos</v>
      </c>
      <c r="H204" s="24" t="e">
        <f>VLOOKUP(A204,En_Base_LNEC!$A$2:$E$10000,5,FALSE)</f>
        <v>#N/A</v>
      </c>
      <c r="I204" s="20" t="s">
        <v>2491</v>
      </c>
      <c r="J204" s="81" t="s">
        <v>2004</v>
      </c>
      <c r="K204" s="24"/>
      <c r="L204" s="24"/>
      <c r="M204" s="24"/>
    </row>
    <row r="205" spans="1:13" ht="14.5">
      <c r="A205" s="20" t="s">
        <v>2492</v>
      </c>
      <c r="B205" s="81">
        <v>35</v>
      </c>
      <c r="C205" s="81">
        <v>50</v>
      </c>
      <c r="D205" s="79"/>
      <c r="E205" s="79"/>
      <c r="F205" s="20" t="s">
        <v>2493</v>
      </c>
      <c r="G205" s="24" t="str">
        <f ca="1">IFERROR(__xludf.DUMMYFUNCTION("UPPER(LEFT((GOOGLETRANSLATE(F205,""en"",""pt"")),1))&amp;RIGHT(lower((GOOGLETRANSLATE(F205,""en"",""pt""))),(LEN((GOOGLETRANSLATE(F205,""en"",""pt"")))-1))"),"Entidades de assistência social")</f>
        <v>Entidades de assistência social</v>
      </c>
      <c r="H205" s="24" t="str">
        <f>VLOOKUP(A205,En_Base_LNEC!$A$2:$E$10000,5,FALSE)</f>
        <v>Edifícios de bem-estar</v>
      </c>
      <c r="I205" s="24"/>
      <c r="J205" s="79"/>
      <c r="K205" s="24"/>
      <c r="L205" s="24"/>
      <c r="M205" s="24"/>
    </row>
    <row r="206" spans="1:13" ht="14.5">
      <c r="A206" s="20" t="s">
        <v>2494</v>
      </c>
      <c r="B206" s="81">
        <v>35</v>
      </c>
      <c r="C206" s="81">
        <v>50</v>
      </c>
      <c r="D206" s="81">
        <v>21</v>
      </c>
      <c r="E206" s="79"/>
      <c r="F206" s="20" t="s">
        <v>2495</v>
      </c>
      <c r="G206" s="24" t="str">
        <f ca="1">IFERROR(__xludf.DUMMYFUNCTION("UPPER(LEFT((GOOGLETRANSLATE(F206,""en"",""pt"")),1))&amp;RIGHT(lower((GOOGLETRANSLATE(F206,""en"",""pt""))),(LEN((GOOGLETRANSLATE(F206,""en"",""pt"")))-1))"),"Edifícios de bem-estar dia")</f>
        <v>Edifícios de bem-estar dia</v>
      </c>
      <c r="H206" s="24" t="e">
        <f>VLOOKUP(A206,En_Base_LNEC!$A$2:$E$10000,5,FALSE)</f>
        <v>#N/A</v>
      </c>
      <c r="I206" s="24"/>
      <c r="J206" s="79"/>
      <c r="K206" s="24"/>
      <c r="L206" s="24"/>
      <c r="M206" s="24"/>
    </row>
    <row r="207" spans="1:13" ht="14.5">
      <c r="A207" s="20" t="s">
        <v>2496</v>
      </c>
      <c r="B207" s="81">
        <v>35</v>
      </c>
      <c r="C207" s="81">
        <v>50</v>
      </c>
      <c r="D207" s="81">
        <v>70</v>
      </c>
      <c r="E207" s="79"/>
      <c r="F207" s="20" t="s">
        <v>2497</v>
      </c>
      <c r="G207" s="24" t="str">
        <f ca="1">IFERROR(__xludf.DUMMYFUNCTION("UPPER(LEFT((GOOGLETRANSLATE(F207,""en"",""pt"")),1))&amp;RIGHT(lower((GOOGLETRANSLATE(F207,""en"",""pt""))),(LEN((GOOGLETRANSLATE(F207,""en"",""pt"")))-1))"),"Edifícios residenciais de bem-estar")</f>
        <v>Edifícios residenciais de bem-estar</v>
      </c>
      <c r="H207" s="24" t="e">
        <f>VLOOKUP(A207,En_Base_LNEC!$A$2:$E$10000,5,FALSE)</f>
        <v>#N/A</v>
      </c>
      <c r="I207" s="24"/>
      <c r="J207" s="79"/>
      <c r="K207" s="24"/>
      <c r="L207" s="24"/>
      <c r="M207" s="24"/>
    </row>
    <row r="208" spans="1:13" ht="14.5">
      <c r="A208" s="20" t="s">
        <v>2498</v>
      </c>
      <c r="B208" s="81">
        <v>35</v>
      </c>
      <c r="C208" s="81">
        <v>50</v>
      </c>
      <c r="D208" s="81">
        <v>94</v>
      </c>
      <c r="E208" s="79"/>
      <c r="F208" s="20" t="s">
        <v>2499</v>
      </c>
      <c r="G208" s="24" t="str">
        <f ca="1">IFERROR(__xludf.DUMMYFUNCTION("UPPER(LEFT((GOOGLETRANSLATE(F208,""en"",""pt"")),1))&amp;RIGHT(lower((GOOGLETRANSLATE(F208,""en"",""pt""))),(LEN((GOOGLETRANSLATE(F208,""en"",""pt"")))-1))"),"Edifícios de bem-estar visitante")</f>
        <v>Edifícios de bem-estar visitante</v>
      </c>
      <c r="H208" s="24" t="e">
        <f>VLOOKUP(A208,En_Base_LNEC!$A$2:$E$10000,5,FALSE)</f>
        <v>#N/A</v>
      </c>
      <c r="I208" s="24"/>
      <c r="J208" s="79"/>
      <c r="K208" s="24"/>
      <c r="L208" s="24"/>
      <c r="M208" s="24"/>
    </row>
    <row r="209" spans="1:13" ht="14.5">
      <c r="A209" s="20" t="s">
        <v>2500</v>
      </c>
      <c r="B209" s="81">
        <v>35</v>
      </c>
      <c r="C209" s="81">
        <v>70</v>
      </c>
      <c r="D209" s="79"/>
      <c r="E209" s="79"/>
      <c r="F209" s="20" t="s">
        <v>2501</v>
      </c>
      <c r="G209" s="24" t="str">
        <f ca="1">IFERROR(__xludf.DUMMYFUNCTION("UPPER(LEFT((GOOGLETRANSLATE(F209,""en"",""pt"")),1))&amp;RIGHT(lower((GOOGLETRANSLATE(F209,""en"",""pt""))),(LEN((GOOGLETRANSLATE(F209,""en"",""pt"")))-1))"),"Entidades funerários")</f>
        <v>Entidades funerários</v>
      </c>
      <c r="H209" s="24" t="str">
        <f>VLOOKUP(A209,En_Base_LNEC!$A$2:$E$10000,5,FALSE)</f>
        <v>Edifícios funerários</v>
      </c>
      <c r="I209" s="24"/>
      <c r="J209" s="79"/>
      <c r="K209" s="24"/>
      <c r="L209" s="24"/>
      <c r="M209" s="24"/>
    </row>
    <row r="210" spans="1:13" ht="14.5">
      <c r="A210" s="20" t="s">
        <v>2502</v>
      </c>
      <c r="B210" s="81">
        <v>35</v>
      </c>
      <c r="C210" s="81">
        <v>70</v>
      </c>
      <c r="D210" s="81">
        <v>6</v>
      </c>
      <c r="E210" s="79"/>
      <c r="F210" s="20" t="s">
        <v>2503</v>
      </c>
      <c r="G210" s="24" t="str">
        <f ca="1">IFERROR(__xludf.DUMMYFUNCTION("UPPER(LEFT((GOOGLETRANSLATE(F210,""en"",""pt"")),1))&amp;RIGHT(lower((GOOGLETRANSLATE(F210,""en"",""pt""))),(LEN((GOOGLETRANSLATE(F210,""en"",""pt"")))-1))"),"Edifícios de armazenamento do corpo")</f>
        <v>Edifícios de armazenamento do corpo</v>
      </c>
      <c r="H210" s="24" t="e">
        <f>VLOOKUP(A210,En_Base_LNEC!$A$2:$E$10000,5,FALSE)</f>
        <v>#N/A</v>
      </c>
      <c r="I210" s="24"/>
      <c r="J210" s="79"/>
      <c r="K210" s="24"/>
      <c r="L210" s="24"/>
      <c r="M210" s="24"/>
    </row>
    <row r="211" spans="1:13" ht="14.5">
      <c r="A211" s="20" t="s">
        <v>2504</v>
      </c>
      <c r="B211" s="81">
        <v>35</v>
      </c>
      <c r="C211" s="81">
        <v>70</v>
      </c>
      <c r="D211" s="81">
        <v>10</v>
      </c>
      <c r="E211" s="79"/>
      <c r="F211" s="20" t="s">
        <v>2505</v>
      </c>
      <c r="G211" s="24" t="str">
        <f ca="1">IFERROR(__xludf.DUMMYFUNCTION("UPPER(LEFT((GOOGLETRANSLATE(F211,""en"",""pt"")),1))&amp;RIGHT(lower((GOOGLETRANSLATE(F211,""en"",""pt""))),(LEN((GOOGLETRANSLATE(F211,""en"",""pt"")))-1))"),"Edifícios enterro")</f>
        <v>Edifícios enterro</v>
      </c>
      <c r="H211" s="24" t="e">
        <f>VLOOKUP(A211,En_Base_LNEC!$A$2:$E$10000,5,FALSE)</f>
        <v>#N/A</v>
      </c>
      <c r="I211" s="24"/>
      <c r="J211" s="79"/>
      <c r="K211" s="24"/>
      <c r="L211" s="24"/>
      <c r="M211" s="24"/>
    </row>
    <row r="212" spans="1:13" ht="14.5">
      <c r="A212" s="20" t="s">
        <v>2506</v>
      </c>
      <c r="B212" s="81">
        <v>35</v>
      </c>
      <c r="C212" s="81">
        <v>70</v>
      </c>
      <c r="D212" s="81">
        <v>11</v>
      </c>
      <c r="E212" s="79"/>
      <c r="F212" s="20" t="s">
        <v>2507</v>
      </c>
      <c r="G212" s="24" t="str">
        <f ca="1">IFERROR(__xludf.DUMMYFUNCTION("UPPER(LEFT((GOOGLETRANSLATE(F212,""en"",""pt"")),1))&amp;RIGHT(lower((GOOGLETRANSLATE(F212,""en"",""pt""))),(LEN((GOOGLETRANSLATE(F212,""en"",""pt"")))-1))"),"Cemitérios")</f>
        <v>Cemitérios</v>
      </c>
      <c r="H212" s="24" t="e">
        <f>VLOOKUP(A212,En_Base_LNEC!$A$2:$E$10000,5,FALSE)</f>
        <v>#N/A</v>
      </c>
      <c r="I212" s="24"/>
      <c r="J212" s="79"/>
      <c r="K212" s="24"/>
      <c r="L212" s="24"/>
      <c r="M212" s="24"/>
    </row>
    <row r="213" spans="1:13" ht="14.5">
      <c r="A213" s="20" t="s">
        <v>2508</v>
      </c>
      <c r="B213" s="81">
        <v>35</v>
      </c>
      <c r="C213" s="81">
        <v>70</v>
      </c>
      <c r="D213" s="81">
        <v>30</v>
      </c>
      <c r="E213" s="79"/>
      <c r="F213" s="20" t="s">
        <v>2509</v>
      </c>
      <c r="G213" s="24" t="str">
        <f ca="1">IFERROR(__xludf.DUMMYFUNCTION("UPPER(LEFT((GOOGLETRANSLATE(F213,""en"",""pt"")),1))&amp;RIGHT(lower((GOOGLETRANSLATE(F213,""en"",""pt""))),(LEN((GOOGLETRANSLATE(F213,""en"",""pt"")))-1))"),"Edifícios funerários")</f>
        <v>Edifícios funerários</v>
      </c>
      <c r="H213" s="24" t="e">
        <f>VLOOKUP(A213,En_Base_LNEC!$A$2:$E$10000,5,FALSE)</f>
        <v>#N/A</v>
      </c>
      <c r="I213" s="24"/>
      <c r="J213" s="79"/>
      <c r="K213" s="24"/>
      <c r="L213" s="24"/>
      <c r="M213" s="24"/>
    </row>
    <row r="214" spans="1:13" ht="14.5">
      <c r="A214" s="20" t="s">
        <v>2510</v>
      </c>
      <c r="B214" s="81">
        <v>35</v>
      </c>
      <c r="C214" s="81">
        <v>70</v>
      </c>
      <c r="D214" s="81">
        <v>60</v>
      </c>
      <c r="E214" s="79"/>
      <c r="F214" s="20" t="s">
        <v>2511</v>
      </c>
      <c r="G214" s="24" t="str">
        <f ca="1">IFERROR(__xludf.DUMMYFUNCTION("UPPER(LEFT((GOOGLETRANSLATE(F214,""en"",""pt"")),1))&amp;RIGHT(lower((GOOGLETRANSLATE(F214,""en"",""pt""))),(LEN((GOOGLETRANSLATE(F214,""en"",""pt"")))-1))"),"Chaminés médica")</f>
        <v>Chaminés médica</v>
      </c>
      <c r="H214" s="24" t="e">
        <f>VLOOKUP(A214,En_Base_LNEC!$A$2:$E$10000,5,FALSE)</f>
        <v>#N/A</v>
      </c>
      <c r="I214" s="24"/>
      <c r="J214" s="79"/>
      <c r="K214" s="24"/>
      <c r="L214" s="24"/>
      <c r="M214" s="24"/>
    </row>
    <row r="215" spans="1:13" ht="14.5">
      <c r="A215" s="20" t="s">
        <v>2512</v>
      </c>
      <c r="B215" s="81">
        <v>35</v>
      </c>
      <c r="C215" s="81">
        <v>80</v>
      </c>
      <c r="D215" s="79"/>
      <c r="E215" s="79"/>
      <c r="F215" s="20" t="s">
        <v>2513</v>
      </c>
      <c r="G215" s="24" t="str">
        <f ca="1">IFERROR(__xludf.DUMMYFUNCTION("UPPER(LEFT((GOOGLETRANSLATE(F215,""en"",""pt"")),1))&amp;RIGHT(lower((GOOGLETRANSLATE(F215,""en"",""pt""))),(LEN((GOOGLETRANSLATE(F215,""en"",""pt"")))-1))"),"Entidades sanitárias")</f>
        <v>Entidades sanitárias</v>
      </c>
      <c r="H215" s="24" t="e">
        <f>VLOOKUP(A215,En_Base_LNEC!$A$2:$E$10000,5,FALSE)</f>
        <v>#N/A</v>
      </c>
      <c r="I215" s="20" t="s">
        <v>2514</v>
      </c>
      <c r="J215" s="81" t="s">
        <v>2004</v>
      </c>
      <c r="K215" s="24"/>
      <c r="L215" s="24"/>
      <c r="M215" s="24"/>
    </row>
    <row r="216" spans="1:13" ht="14.5">
      <c r="A216" s="20" t="s">
        <v>2515</v>
      </c>
      <c r="B216" s="81">
        <v>35</v>
      </c>
      <c r="C216" s="81">
        <v>80</v>
      </c>
      <c r="D216" s="81">
        <v>10</v>
      </c>
      <c r="E216" s="79"/>
      <c r="F216" s="20" t="s">
        <v>2516</v>
      </c>
      <c r="G216" s="24" t="str">
        <f ca="1">IFERROR(__xludf.DUMMYFUNCTION("UPPER(LEFT((GOOGLETRANSLATE(F216,""en"",""pt"")),1))&amp;RIGHT(lower((GOOGLETRANSLATE(F216,""en"",""pt""))),(LEN((GOOGLETRANSLATE(F216,""en"",""pt"")))-1))"),"Edifícios de banho")</f>
        <v>Edifícios de banho</v>
      </c>
      <c r="H216" s="24" t="e">
        <f>VLOOKUP(A216,En_Base_LNEC!$A$2:$E$10000,5,FALSE)</f>
        <v>#N/A</v>
      </c>
      <c r="I216" s="24"/>
      <c r="J216" s="79"/>
      <c r="K216" s="24"/>
      <c r="L216" s="24"/>
      <c r="M216" s="24"/>
    </row>
    <row r="217" spans="1:13" ht="14.5">
      <c r="A217" s="20" t="s">
        <v>2517</v>
      </c>
      <c r="B217" s="81">
        <v>35</v>
      </c>
      <c r="C217" s="81">
        <v>80</v>
      </c>
      <c r="D217" s="81">
        <v>90</v>
      </c>
      <c r="E217" s="79"/>
      <c r="F217" s="20" t="s">
        <v>2518</v>
      </c>
      <c r="G217" s="24" t="str">
        <f ca="1">IFERROR(__xludf.DUMMYFUNCTION("UPPER(LEFT((GOOGLETRANSLATE(F217,""en"",""pt"")),1))&amp;RIGHT(lower((GOOGLETRANSLATE(F217,""en"",""pt""))),(LEN((GOOGLETRANSLATE(F217,""en"",""pt"")))-1))"),"Edifícios wc")</f>
        <v>Edifícios wc</v>
      </c>
      <c r="H217" s="24" t="e">
        <f>VLOOKUP(A217,En_Base_LNEC!$A$2:$E$10000,5,FALSE)</f>
        <v>#N/A</v>
      </c>
      <c r="I217" s="24"/>
      <c r="J217" s="79"/>
      <c r="K217" s="24"/>
      <c r="L217" s="24"/>
      <c r="M217" s="24"/>
    </row>
    <row r="218" spans="1:13" ht="14.5">
      <c r="A218" s="20" t="s">
        <v>2519</v>
      </c>
      <c r="B218" s="81">
        <v>35</v>
      </c>
      <c r="C218" s="81">
        <v>85</v>
      </c>
      <c r="D218" s="79"/>
      <c r="E218" s="79"/>
      <c r="F218" s="20" t="s">
        <v>2520</v>
      </c>
      <c r="G218" s="24" t="str">
        <f ca="1">IFERROR(__xludf.DUMMYFUNCTION("UPPER(LEFT((GOOGLETRANSLATE(F218,""en"",""pt"")),1))&amp;RIGHT(lower((GOOGLETRANSLATE(F218,""en"",""pt""))),(LEN((GOOGLETRANSLATE(F218,""en"",""pt"")))-1))"),"Entidades de animais")</f>
        <v>Entidades de animais</v>
      </c>
      <c r="H218" s="24" t="str">
        <f>VLOOKUP(A218,En_Base_LNEC!$A$2:$E$10000,5,FALSE)</f>
        <v>Instalações para animais</v>
      </c>
      <c r="I218" s="24"/>
      <c r="J218" s="79"/>
      <c r="K218" s="24"/>
      <c r="L218" s="24"/>
      <c r="M218" s="24"/>
    </row>
    <row r="219" spans="1:13" ht="14.5">
      <c r="A219" s="20" t="s">
        <v>2521</v>
      </c>
      <c r="B219" s="81">
        <v>35</v>
      </c>
      <c r="C219" s="81">
        <v>85</v>
      </c>
      <c r="D219" s="81">
        <v>2</v>
      </c>
      <c r="E219" s="79"/>
      <c r="F219" s="20" t="s">
        <v>2522</v>
      </c>
      <c r="G219" s="24" t="str">
        <f ca="1">IFERROR(__xludf.DUMMYFUNCTION("UPPER(LEFT((GOOGLETRANSLATE(F219,""en"",""pt"")),1))&amp;RIGHT(lower((GOOGLETRANSLATE(F219,""en"",""pt""))),(LEN((GOOGLETRANSLATE(F219,""en"",""pt"")))-1))"),"Edifícios gaiola animal")</f>
        <v>Edifícios gaiola animal</v>
      </c>
      <c r="H219" s="24" t="e">
        <f>VLOOKUP(A219,En_Base_LNEC!$A$2:$E$10000,5,FALSE)</f>
        <v>#N/A</v>
      </c>
      <c r="I219" s="24"/>
      <c r="J219" s="79"/>
      <c r="K219" s="24"/>
      <c r="L219" s="24"/>
      <c r="M219" s="24"/>
    </row>
    <row r="220" spans="1:13" ht="14.5">
      <c r="A220" s="20" t="s">
        <v>2523</v>
      </c>
      <c r="B220" s="81">
        <v>35</v>
      </c>
      <c r="C220" s="81">
        <v>85</v>
      </c>
      <c r="D220" s="81">
        <v>3</v>
      </c>
      <c r="E220" s="79"/>
      <c r="F220" s="20" t="s">
        <v>2524</v>
      </c>
      <c r="G220" s="24" t="str">
        <f ca="1">IFERROR(__xludf.DUMMYFUNCTION("UPPER(LEFT((GOOGLETRANSLATE(F220,""en"",""pt"")),1))&amp;RIGHT(lower((GOOGLETRANSLATE(F220,""en"",""pt""))),(LEN((GOOGLETRANSLATE(F220,""en"",""pt"")))-1))"),"Edifícios curral")</f>
        <v>Edifícios curral</v>
      </c>
      <c r="H220" s="24" t="e">
        <f>VLOOKUP(A220,En_Base_LNEC!$A$2:$E$10000,5,FALSE)</f>
        <v>#N/A</v>
      </c>
      <c r="I220" s="24"/>
      <c r="J220" s="79"/>
      <c r="K220" s="24"/>
      <c r="L220" s="24"/>
      <c r="M220" s="24"/>
    </row>
    <row r="221" spans="1:13" ht="14.5">
      <c r="A221" s="20" t="s">
        <v>2525</v>
      </c>
      <c r="B221" s="81">
        <v>35</v>
      </c>
      <c r="C221" s="81">
        <v>85</v>
      </c>
      <c r="D221" s="81">
        <v>84</v>
      </c>
      <c r="E221" s="79"/>
      <c r="F221" s="20" t="s">
        <v>2526</v>
      </c>
      <c r="G221" s="24" t="str">
        <f ca="1">IFERROR(__xludf.DUMMYFUNCTION("UPPER(LEFT((GOOGLETRANSLATE(F221,""en"",""pt"")),1))&amp;RIGHT(lower((GOOGLETRANSLATE(F221,""en"",""pt""))),(LEN((GOOGLETRANSLATE(F221,""en"",""pt"")))-1))"),"Edifícios estáveis")</f>
        <v>Edifícios estáveis</v>
      </c>
      <c r="H221" s="24" t="e">
        <f>VLOOKUP(A221,En_Base_LNEC!$A$2:$E$10000,5,FALSE)</f>
        <v>#N/A</v>
      </c>
      <c r="I221" s="20" t="s">
        <v>769</v>
      </c>
      <c r="J221" s="81" t="s">
        <v>2004</v>
      </c>
      <c r="K221" s="24"/>
      <c r="L221" s="24"/>
      <c r="M221" s="24"/>
    </row>
    <row r="222" spans="1:13" ht="14.5">
      <c r="A222" s="20" t="s">
        <v>2527</v>
      </c>
      <c r="B222" s="81">
        <v>35</v>
      </c>
      <c r="C222" s="81">
        <v>90</v>
      </c>
      <c r="D222" s="79"/>
      <c r="E222" s="79"/>
      <c r="F222" s="20" t="s">
        <v>2528</v>
      </c>
      <c r="G222" s="24" t="str">
        <f ca="1">IFERROR(__xludf.DUMMYFUNCTION("UPPER(LEFT((GOOGLETRANSLATE(F222,""en"",""pt"")),1))&amp;RIGHT(lower((GOOGLETRANSLATE(F222,""en"",""pt""))),(LEN((GOOGLETRANSLATE(F222,""en"",""pt"")))-1))"),"Animal médico, saúde, bem-estar e entidades funerários")</f>
        <v>Animal médico, saúde, bem-estar e entidades funerários</v>
      </c>
      <c r="H222" s="24" t="str">
        <f>VLOOKUP(A222,En_Base_LNEC!$A$2:$E$10000,5,FALSE)</f>
        <v>Infraestruturas relativas ao tratamento de animais</v>
      </c>
      <c r="I222" s="24" t="s">
        <v>1607</v>
      </c>
      <c r="J222" s="81" t="s">
        <v>2004</v>
      </c>
      <c r="K222" s="20" t="s">
        <v>2529</v>
      </c>
      <c r="L222" s="24"/>
      <c r="M222" s="24"/>
    </row>
    <row r="223" spans="1:13" ht="14.5">
      <c r="A223" s="20" t="s">
        <v>2530</v>
      </c>
      <c r="B223" s="81">
        <v>35</v>
      </c>
      <c r="C223" s="81">
        <v>90</v>
      </c>
      <c r="D223" s="81">
        <v>10</v>
      </c>
      <c r="E223" s="79"/>
      <c r="F223" s="20" t="s">
        <v>2531</v>
      </c>
      <c r="G223" s="24" t="str">
        <f ca="1">IFERROR(__xludf.DUMMYFUNCTION("UPPER(LEFT((GOOGLETRANSLATE(F223,""en"",""pt"")),1))&amp;RIGHT(lower((GOOGLETRANSLATE(F223,""en"",""pt""))),(LEN((GOOGLETRANSLATE(F223,""en"",""pt"")))-1))"),"Cemitérios de animais")</f>
        <v>Cemitérios de animais</v>
      </c>
      <c r="H223" s="24" t="e">
        <f>VLOOKUP(A223,En_Base_LNEC!$A$2:$E$10000,5,FALSE)</f>
        <v>#N/A</v>
      </c>
      <c r="I223" s="20" t="s">
        <v>2532</v>
      </c>
      <c r="J223" s="81" t="s">
        <v>2004</v>
      </c>
      <c r="K223" s="24"/>
      <c r="L223" s="24"/>
      <c r="M223" s="24"/>
    </row>
    <row r="224" spans="1:13" ht="14.5">
      <c r="A224" s="20" t="s">
        <v>2533</v>
      </c>
      <c r="B224" s="81">
        <v>35</v>
      </c>
      <c r="C224" s="81">
        <v>90</v>
      </c>
      <c r="D224" s="81">
        <v>30</v>
      </c>
      <c r="E224" s="79"/>
      <c r="F224" s="20" t="s">
        <v>2534</v>
      </c>
      <c r="G224" s="24" t="str">
        <f ca="1">IFERROR(__xludf.DUMMYFUNCTION("UPPER(LEFT((GOOGLETRANSLATE(F224,""en"",""pt"")),1))&amp;RIGHT(lower((GOOGLETRANSLATE(F224,""en"",""pt""))),(LEN((GOOGLETRANSLATE(F224,""en"",""pt"")))-1))"),"Edifícios funerários animal")</f>
        <v>Edifícios funerários animal</v>
      </c>
      <c r="H224" s="24" t="e">
        <f>VLOOKUP(A224,En_Base_LNEC!$A$2:$E$10000,5,FALSE)</f>
        <v>#N/A</v>
      </c>
      <c r="I224" s="24"/>
      <c r="J224" s="79"/>
      <c r="K224" s="24"/>
      <c r="L224" s="24"/>
      <c r="M224" s="24"/>
    </row>
    <row r="225" spans="1:13" ht="14.5">
      <c r="A225" s="20" t="s">
        <v>2535</v>
      </c>
      <c r="B225" s="81">
        <v>35</v>
      </c>
      <c r="C225" s="81">
        <v>90</v>
      </c>
      <c r="D225" s="81">
        <v>50</v>
      </c>
      <c r="E225" s="79"/>
      <c r="F225" s="20" t="s">
        <v>2536</v>
      </c>
      <c r="G225" s="24" t="str">
        <f ca="1">IFERROR(__xludf.DUMMYFUNCTION("UPPER(LEFT((GOOGLETRANSLATE(F225,""en"",""pt"")),1))&amp;RIGHT(lower((GOOGLETRANSLATE(F225,""en"",""pt""))),(LEN((GOOGLETRANSLATE(F225,""en"",""pt"")))-1))"),"Animais edifícios médicos")</f>
        <v>Animais edifícios médicos</v>
      </c>
      <c r="H225" s="24" t="e">
        <f>VLOOKUP(A225,En_Base_LNEC!$A$2:$E$10000,5,FALSE)</f>
        <v>#N/A</v>
      </c>
      <c r="I225" s="24"/>
      <c r="J225" s="79"/>
      <c r="K225" s="24"/>
      <c r="L225" s="24"/>
      <c r="M225" s="24"/>
    </row>
    <row r="226" spans="1:13" ht="14.5">
      <c r="A226" s="20" t="s">
        <v>2537</v>
      </c>
      <c r="B226" s="81">
        <v>40</v>
      </c>
      <c r="C226" s="79"/>
      <c r="D226" s="79"/>
      <c r="E226" s="79"/>
      <c r="F226" s="20" t="s">
        <v>2538</v>
      </c>
      <c r="G226" s="24" t="str">
        <f ca="1">IFERROR(__xludf.DUMMYFUNCTION("UPPER(LEFT((GOOGLETRANSLATE(F226,""en"",""pt"")),1))&amp;RIGHT(lower((GOOGLETRANSLATE(F226,""en"",""pt""))),(LEN((GOOGLETRANSLATE(F226,""en"",""pt"")))-1))"),"Entidades recreativas")</f>
        <v>Entidades recreativas</v>
      </c>
      <c r="H226" s="24" t="str">
        <f>VLOOKUP(A226,En_Base_LNEC!$A$2:$E$10000,5,FALSE)</f>
        <v>Edifícios recreativos</v>
      </c>
      <c r="I226" s="24"/>
      <c r="J226" s="79"/>
      <c r="K226" s="24"/>
      <c r="L226" s="24"/>
      <c r="M226" s="24"/>
    </row>
    <row r="227" spans="1:13" ht="14.5">
      <c r="A227" s="20" t="s">
        <v>2539</v>
      </c>
      <c r="B227" s="81">
        <v>40</v>
      </c>
      <c r="C227" s="81">
        <v>5</v>
      </c>
      <c r="D227" s="79"/>
      <c r="E227" s="79"/>
      <c r="F227" s="20" t="s">
        <v>2540</v>
      </c>
      <c r="G227" s="24" t="str">
        <f ca="1">IFERROR(__xludf.DUMMYFUNCTION("UPPER(LEFT((GOOGLETRANSLATE(F227,""en"",""pt"")),1))&amp;RIGHT(lower((GOOGLETRANSLATE(F227,""en"",""pt""))),(LEN((GOOGLETRANSLATE(F227,""en"",""pt"")))-1))"),"Entidades de diversões")</f>
        <v>Entidades de diversões</v>
      </c>
      <c r="H227" s="24" t="str">
        <f>VLOOKUP(A227,En_Base_LNEC!$A$2:$E$10000,5,FALSE)</f>
        <v>Infraestruturas para recreativos diversos</v>
      </c>
      <c r="I227" s="24"/>
      <c r="J227" s="79"/>
      <c r="K227" s="24"/>
      <c r="L227" s="24"/>
      <c r="M227" s="24"/>
    </row>
    <row r="228" spans="1:13" ht="14.5">
      <c r="A228" s="20" t="s">
        <v>2541</v>
      </c>
      <c r="B228" s="81">
        <v>40</v>
      </c>
      <c r="C228" s="81">
        <v>5</v>
      </c>
      <c r="D228" s="81">
        <v>3</v>
      </c>
      <c r="E228" s="79"/>
      <c r="F228" s="20" t="s">
        <v>2542</v>
      </c>
      <c r="G228" s="24" t="str">
        <f ca="1">IFERROR(__xludf.DUMMYFUNCTION("UPPER(LEFT((GOOGLETRANSLATE(F228,""en"",""pt"")),1))&amp;RIGHT(lower((GOOGLETRANSLATE(F228,""en"",""pt""))),(LEN((GOOGLETRANSLATE(F228,""en"",""pt"")))-1))"),"Edifícios de diversões")</f>
        <v>Edifícios de diversões</v>
      </c>
      <c r="H228" s="24" t="str">
        <f>VLOOKUP(A228,En_Base_LNEC!$A$2:$E$10000,5,FALSE)</f>
        <v>Parques de diversão</v>
      </c>
      <c r="I228" s="24"/>
      <c r="J228" s="79"/>
      <c r="K228" s="24"/>
      <c r="L228" s="24"/>
      <c r="M228" s="24"/>
    </row>
    <row r="229" spans="1:13" ht="14.5">
      <c r="A229" s="20" t="s">
        <v>2543</v>
      </c>
      <c r="B229" s="81">
        <v>40</v>
      </c>
      <c r="C229" s="81">
        <v>5</v>
      </c>
      <c r="D229" s="81">
        <v>13</v>
      </c>
      <c r="E229" s="79"/>
      <c r="F229" s="20" t="s">
        <v>1626</v>
      </c>
      <c r="G229" s="24" t="str">
        <f ca="1">IFERROR(__xludf.DUMMYFUNCTION("UPPER(LEFT((GOOGLETRANSLATE(F229,""en"",""pt"")),1))&amp;RIGHT(lower((GOOGLETRANSLATE(F229,""en"",""pt""))),(LEN((GOOGLETRANSLATE(F229,""en"",""pt"")))-1))"),"Casinos")</f>
        <v>Casinos</v>
      </c>
      <c r="H229" s="24" t="e">
        <f>VLOOKUP(A229,En_Base_LNEC!$A$2:$E$10000,5,FALSE)</f>
        <v>#N/A</v>
      </c>
      <c r="I229" s="24" t="s">
        <v>1626</v>
      </c>
      <c r="J229" s="20" t="s">
        <v>2004</v>
      </c>
      <c r="K229" s="24"/>
      <c r="L229" s="24"/>
      <c r="M229" s="24"/>
    </row>
    <row r="230" spans="1:13" ht="14.5">
      <c r="A230" s="20" t="s">
        <v>2544</v>
      </c>
      <c r="B230" s="81">
        <v>40</v>
      </c>
      <c r="C230" s="81">
        <v>5</v>
      </c>
      <c r="D230" s="81">
        <v>42</v>
      </c>
      <c r="E230" s="79"/>
      <c r="F230" s="20" t="s">
        <v>2545</v>
      </c>
      <c r="G230" s="24" t="str">
        <f ca="1">IFERROR(__xludf.DUMMYFUNCTION("UPPER(LEFT((GOOGLETRANSLATE(F230,""en"",""pt"")),1))&amp;RIGHT(lower((GOOGLETRANSLATE(F230,""en"",""pt""))),(LEN((GOOGLETRANSLATE(F230,""en"",""pt"")))-1))"),"Feiras interior")</f>
        <v>Feiras interior</v>
      </c>
      <c r="H230" s="24" t="e">
        <f>VLOOKUP(A230,En_Base_LNEC!$A$2:$E$10000,5,FALSE)</f>
        <v>#N/A</v>
      </c>
      <c r="I230" s="24"/>
      <c r="J230" s="79"/>
      <c r="K230" s="24"/>
      <c r="L230" s="24"/>
      <c r="M230" s="24"/>
    </row>
    <row r="231" spans="1:13" ht="14.5">
      <c r="A231" s="20" t="s">
        <v>2546</v>
      </c>
      <c r="B231" s="81">
        <v>40</v>
      </c>
      <c r="C231" s="81">
        <v>5</v>
      </c>
      <c r="D231" s="81">
        <v>60</v>
      </c>
      <c r="E231" s="79"/>
      <c r="F231" s="20" t="s">
        <v>2547</v>
      </c>
      <c r="G231" s="24" t="str">
        <f ca="1">IFERROR(__xludf.DUMMYFUNCTION("UPPER(LEFT((GOOGLETRANSLATE(F231,""en"",""pt"")),1))&amp;RIGHT(lower((GOOGLETRANSLATE(F231,""en"",""pt""))),(LEN((GOOGLETRANSLATE(F231,""en"",""pt"")))-1))"),"Feiras ao ar livre")</f>
        <v>Feiras ao ar livre</v>
      </c>
      <c r="H231" s="24" t="e">
        <f>VLOOKUP(A231,En_Base_LNEC!$A$2:$E$10000,5,FALSE)</f>
        <v>#N/A</v>
      </c>
      <c r="I231" s="24"/>
      <c r="J231" s="79"/>
      <c r="K231" s="24"/>
      <c r="L231" s="24"/>
      <c r="M231" s="24"/>
    </row>
    <row r="232" spans="1:13" ht="14.5">
      <c r="A232" s="20" t="s">
        <v>2548</v>
      </c>
      <c r="B232" s="81">
        <v>40</v>
      </c>
      <c r="C232" s="81">
        <v>5</v>
      </c>
      <c r="D232" s="81">
        <v>68</v>
      </c>
      <c r="E232" s="79"/>
      <c r="F232" s="20" t="s">
        <v>2549</v>
      </c>
      <c r="G232" s="24" t="str">
        <f ca="1">IFERROR(__xludf.DUMMYFUNCTION("UPPER(LEFT((GOOGLETRANSLATE(F232,""en"",""pt"")),1))&amp;RIGHT(lower((GOOGLETRANSLATE(F232,""en"",""pt""))),(LEN((GOOGLETRANSLATE(F232,""en"",""pt"")))-1))"),"Serviços públicos")</f>
        <v>Serviços públicos</v>
      </c>
      <c r="H232" s="24" t="e">
        <f>VLOOKUP(A232,En_Base_LNEC!$A$2:$E$10000,5,FALSE)</f>
        <v>#N/A</v>
      </c>
      <c r="I232" s="24"/>
      <c r="J232" s="79"/>
      <c r="K232" s="24"/>
      <c r="L232" s="24"/>
      <c r="M232" s="24"/>
    </row>
    <row r="233" spans="1:13" ht="14.5">
      <c r="A233" s="20" t="s">
        <v>2550</v>
      </c>
      <c r="B233" s="81">
        <v>40</v>
      </c>
      <c r="C233" s="81">
        <v>20</v>
      </c>
      <c r="D233" s="79"/>
      <c r="E233" s="79"/>
      <c r="F233" s="20" t="s">
        <v>2551</v>
      </c>
      <c r="G233" s="24" t="str">
        <f ca="1">IFERROR(__xludf.DUMMYFUNCTION("UPPER(LEFT((GOOGLETRANSLATE(F233,""en"",""pt"")),1))&amp;RIGHT(lower((GOOGLETRANSLATE(F233,""en"",""pt""))),(LEN((GOOGLETRANSLATE(F233,""en"",""pt"")))-1))"),"Entidades jantar")</f>
        <v>Entidades jantar</v>
      </c>
      <c r="H233" s="24" t="e">
        <f>VLOOKUP(A233,En_Base_LNEC!$A$2:$E$10000,5,FALSE)</f>
        <v>#N/A</v>
      </c>
      <c r="I233" s="24"/>
      <c r="J233" s="79"/>
      <c r="K233" s="24"/>
      <c r="L233" s="24"/>
      <c r="M233" s="24"/>
    </row>
    <row r="234" spans="1:13" ht="14.5">
      <c r="A234" s="20" t="s">
        <v>2552</v>
      </c>
      <c r="B234" s="81">
        <v>40</v>
      </c>
      <c r="C234" s="81">
        <v>20</v>
      </c>
      <c r="D234" s="81">
        <v>23</v>
      </c>
      <c r="E234" s="79"/>
      <c r="F234" s="20" t="s">
        <v>2553</v>
      </c>
      <c r="G234" s="24" t="str">
        <f ca="1">IFERROR(__xludf.DUMMYFUNCTION("UPPER(LEFT((GOOGLETRANSLATE(F234,""en"",""pt"")),1))&amp;RIGHT(lower((GOOGLETRANSLATE(F234,""en"",""pt""))),(LEN((GOOGLETRANSLATE(F234,""en"",""pt"")))-1))"),"Edifícios jantar")</f>
        <v>Edifícios jantar</v>
      </c>
      <c r="H234" s="24" t="e">
        <f>VLOOKUP(A234,En_Base_LNEC!$A$2:$E$10000,5,FALSE)</f>
        <v>#N/A</v>
      </c>
      <c r="I234" s="24"/>
      <c r="J234" s="79"/>
      <c r="K234" s="24"/>
      <c r="L234" s="24"/>
      <c r="M234" s="24"/>
    </row>
    <row r="235" spans="1:13" ht="14.5">
      <c r="A235" s="20" t="s">
        <v>2554</v>
      </c>
      <c r="B235" s="81">
        <v>40</v>
      </c>
      <c r="C235" s="81">
        <v>35</v>
      </c>
      <c r="D235" s="79"/>
      <c r="E235" s="79"/>
      <c r="F235" s="20" t="s">
        <v>2555</v>
      </c>
      <c r="G235" s="24" t="str">
        <f ca="1">IFERROR(__xludf.DUMMYFUNCTION("UPPER(LEFT((GOOGLETRANSLATE(F235,""en"",""pt"")),1))&amp;RIGHT(lower((GOOGLETRANSLATE(F235,""en"",""pt""))),(LEN((GOOGLETRANSLATE(F235,""en"",""pt"")))-1))"),"Entidades históricos")</f>
        <v>Entidades históricos</v>
      </c>
      <c r="H235" s="24" t="e">
        <f>VLOOKUP(A235,En_Base_LNEC!$A$2:$E$10000,5,FALSE)</f>
        <v>#N/A</v>
      </c>
      <c r="I235" s="24"/>
      <c r="J235" s="79"/>
      <c r="K235" s="24"/>
      <c r="L235" s="24"/>
      <c r="M235" s="24"/>
    </row>
    <row r="236" spans="1:13" ht="14.5">
      <c r="A236" s="20" t="s">
        <v>2556</v>
      </c>
      <c r="B236" s="81">
        <v>40</v>
      </c>
      <c r="C236" s="81">
        <v>35</v>
      </c>
      <c r="D236" s="81">
        <v>10</v>
      </c>
      <c r="E236" s="79"/>
      <c r="F236" s="20" t="s">
        <v>2557</v>
      </c>
      <c r="G236" s="24" t="str">
        <f ca="1">IFERROR(__xludf.DUMMYFUNCTION("UPPER(LEFT((GOOGLETRANSLATE(F236,""en"",""pt"")),1))&amp;RIGHT(lower((GOOGLETRANSLATE(F236,""en"",""pt""))),(LEN((GOOGLETRANSLATE(F236,""en"",""pt"")))-1))"),"Edifícios de interesse histórico")</f>
        <v>Edifícios de interesse histórico</v>
      </c>
      <c r="H236" s="24" t="e">
        <f>VLOOKUP(A236,En_Base_LNEC!$A$2:$E$10000,5,FALSE)</f>
        <v>#N/A</v>
      </c>
      <c r="I236" s="24"/>
      <c r="J236" s="79"/>
      <c r="K236" s="24"/>
      <c r="L236" s="24"/>
      <c r="M236" s="24"/>
    </row>
    <row r="237" spans="1:13" ht="14.5">
      <c r="A237" s="20" t="s">
        <v>2558</v>
      </c>
      <c r="B237" s="81">
        <v>40</v>
      </c>
      <c r="C237" s="81">
        <v>35</v>
      </c>
      <c r="D237" s="81">
        <v>36</v>
      </c>
      <c r="E237" s="79"/>
      <c r="F237" s="20" t="s">
        <v>2559</v>
      </c>
      <c r="G237" s="24" t="str">
        <f ca="1">IFERROR(__xludf.DUMMYFUNCTION("UPPER(LEFT((GOOGLETRANSLATE(F237,""en"",""pt"")),1))&amp;RIGHT(lower((GOOGLETRANSLATE(F237,""en"",""pt""))),(LEN((GOOGLETRANSLATE(F237,""en"",""pt"")))-1))"),"Prédios históricos")</f>
        <v>Prédios históricos</v>
      </c>
      <c r="H237" s="24" t="e">
        <f>VLOOKUP(A237,En_Base_LNEC!$A$2:$E$10000,5,FALSE)</f>
        <v>#N/A</v>
      </c>
      <c r="I237" s="24"/>
      <c r="J237" s="79"/>
      <c r="K237" s="24"/>
      <c r="L237" s="24"/>
      <c r="M237" s="24"/>
    </row>
    <row r="238" spans="1:13" ht="14.5">
      <c r="A238" s="20" t="s">
        <v>2560</v>
      </c>
      <c r="B238" s="81">
        <v>40</v>
      </c>
      <c r="C238" s="81">
        <v>60</v>
      </c>
      <c r="D238" s="79"/>
      <c r="E238" s="79"/>
      <c r="F238" s="20" t="s">
        <v>2561</v>
      </c>
      <c r="G238" s="24" t="str">
        <f ca="1">IFERROR(__xludf.DUMMYFUNCTION("UPPER(LEFT((GOOGLETRANSLATE(F238,""en"",""pt"")),1))&amp;RIGHT(lower((GOOGLETRANSLATE(F238,""en"",""pt""))),(LEN((GOOGLETRANSLATE(F238,""en"",""pt"")))-1))"),"Realizando entidades artes")</f>
        <v>Realizando entidades artes</v>
      </c>
      <c r="H238" s="24" t="str">
        <f>VLOOKUP(A238,En_Base_LNEC!$A$2:$E$10000,5,FALSE)</f>
        <v>Infraestruturas ligadas às artes</v>
      </c>
      <c r="I238" s="24"/>
      <c r="J238" s="79"/>
      <c r="K238" s="24"/>
      <c r="L238" s="24"/>
      <c r="M238" s="24"/>
    </row>
    <row r="239" spans="1:13" ht="14.5">
      <c r="A239" s="20" t="s">
        <v>2562</v>
      </c>
      <c r="B239" s="81">
        <v>40</v>
      </c>
      <c r="C239" s="81">
        <v>60</v>
      </c>
      <c r="D239" s="81">
        <v>10</v>
      </c>
      <c r="E239" s="79"/>
      <c r="F239" s="20" t="s">
        <v>2563</v>
      </c>
      <c r="G239" s="24" t="str">
        <f ca="1">IFERROR(__xludf.DUMMYFUNCTION("UPPER(LEFT((GOOGLETRANSLATE(F239,""en"",""pt"")),1))&amp;RIGHT(lower((GOOGLETRANSLATE(F239,""en"",""pt""))),(LEN((GOOGLETRANSLATE(F239,""en"",""pt"")))-1))"),"Vários edifícios das artes de palco")</f>
        <v>Vários edifícios das artes de palco</v>
      </c>
      <c r="H239" s="24" t="e">
        <f>VLOOKUP(A239,En_Base_LNEC!$A$2:$E$10000,5,FALSE)</f>
        <v>#N/A</v>
      </c>
      <c r="I239" s="24"/>
      <c r="J239" s="79"/>
      <c r="K239" s="24"/>
      <c r="L239" s="24"/>
      <c r="M239" s="24"/>
    </row>
    <row r="240" spans="1:13" ht="14.5">
      <c r="A240" s="20" t="s">
        <v>2564</v>
      </c>
      <c r="B240" s="81">
        <v>40</v>
      </c>
      <c r="C240" s="81">
        <v>60</v>
      </c>
      <c r="D240" s="81">
        <v>70</v>
      </c>
      <c r="E240" s="79"/>
      <c r="F240" s="20" t="s">
        <v>2565</v>
      </c>
      <c r="G240" s="24" t="str">
        <f ca="1">IFERROR(__xludf.DUMMYFUNCTION("UPPER(LEFT((GOOGLETRANSLATE(F240,""en"",""pt"")),1))&amp;RIGHT(lower((GOOGLETRANSLATE(F240,""en"",""pt""))),(LEN((GOOGLETRANSLATE(F240,""en"",""pt"")))-1))"),"Edifícios único de artes cênicas")</f>
        <v>Edifícios único de artes cênicas</v>
      </c>
      <c r="H240" s="24" t="e">
        <f>VLOOKUP(A240,En_Base_LNEC!$A$2:$E$10000,5,FALSE)</f>
        <v>#N/A</v>
      </c>
      <c r="I240" s="24"/>
      <c r="J240" s="79"/>
      <c r="K240" s="24"/>
      <c r="L240" s="24"/>
      <c r="M240" s="24"/>
    </row>
    <row r="241" spans="1:13" ht="14.5">
      <c r="A241" s="20" t="s">
        <v>2566</v>
      </c>
      <c r="B241" s="81">
        <v>40</v>
      </c>
      <c r="C241" s="81">
        <v>75</v>
      </c>
      <c r="D241" s="79"/>
      <c r="E241" s="79"/>
      <c r="F241" s="20" t="s">
        <v>2567</v>
      </c>
      <c r="G241" s="24" t="str">
        <f ca="1">IFERROR(__xludf.DUMMYFUNCTION("UPPER(LEFT((GOOGLETRANSLATE(F241,""en"",""pt"")),1))&amp;RIGHT(lower((GOOGLETRANSLATE(F241,""en"",""pt""))),(LEN((GOOGLETRANSLATE(F241,""en"",""pt"")))-1))"),"Entidades de recreação social")</f>
        <v>Entidades de recreação social</v>
      </c>
      <c r="H241" s="24" t="str">
        <f>VLOOKUP(A241,En_Base_LNEC!$A$2:$E$10000,5,FALSE)</f>
        <v>Edifícios de ação social</v>
      </c>
      <c r="I241" s="24"/>
      <c r="J241" s="79"/>
      <c r="K241" s="24"/>
      <c r="L241" s="24"/>
      <c r="M241" s="24"/>
    </row>
    <row r="242" spans="1:13" ht="14.5">
      <c r="A242" s="20" t="s">
        <v>2568</v>
      </c>
      <c r="B242" s="81">
        <v>40</v>
      </c>
      <c r="C242" s="81">
        <v>75</v>
      </c>
      <c r="D242" s="81">
        <v>10</v>
      </c>
      <c r="E242" s="79"/>
      <c r="F242" s="20" t="s">
        <v>2569</v>
      </c>
      <c r="G242" s="24" t="str">
        <f ca="1">IFERROR(__xludf.DUMMYFUNCTION("UPPER(LEFT((GOOGLETRANSLATE(F242,""en"",""pt"")),1))&amp;RIGHT(lower((GOOGLETRANSLATE(F242,""en"",""pt""))),(LEN((GOOGLETRANSLATE(F242,""en"",""pt"")))-1))"),"Vários edifícios recreação sociais")</f>
        <v>Vários edifícios recreação sociais</v>
      </c>
      <c r="H242" s="24" t="e">
        <f>VLOOKUP(A242,En_Base_LNEC!$A$2:$E$10000,5,FALSE)</f>
        <v>#N/A</v>
      </c>
      <c r="I242" s="24"/>
      <c r="J242" s="79"/>
      <c r="K242" s="24"/>
      <c r="L242" s="24"/>
      <c r="M242" s="24"/>
    </row>
    <row r="243" spans="1:13" ht="14.5">
      <c r="A243" s="20" t="s">
        <v>2570</v>
      </c>
      <c r="B243" s="81">
        <v>40</v>
      </c>
      <c r="C243" s="81">
        <v>75</v>
      </c>
      <c r="D243" s="81">
        <v>15</v>
      </c>
      <c r="E243" s="79"/>
      <c r="F243" s="20" t="s">
        <v>2571</v>
      </c>
      <c r="G243" s="24" t="str">
        <f ca="1">IFERROR(__xludf.DUMMYFUNCTION("UPPER(LEFT((GOOGLETRANSLATE(F243,""en"",""pt"")),1))&amp;RIGHT(lower((GOOGLETRANSLATE(F243,""en"",""pt""))),(LEN((GOOGLETRANSLATE(F243,""en"",""pt"")))-1))"),"Casas do clube")</f>
        <v>Casas do clube</v>
      </c>
      <c r="H243" s="24" t="str">
        <f>VLOOKUP(A243,En_Base_LNEC!$A$2:$E$10000,5,FALSE)</f>
        <v>Centros comunitários</v>
      </c>
      <c r="I243" s="24"/>
      <c r="J243" s="79"/>
      <c r="K243" s="24"/>
      <c r="L243" s="24"/>
      <c r="M243" s="24"/>
    </row>
    <row r="244" spans="1:13" ht="14.5">
      <c r="A244" s="20" t="s">
        <v>2572</v>
      </c>
      <c r="B244" s="81">
        <v>40</v>
      </c>
      <c r="C244" s="81">
        <v>75</v>
      </c>
      <c r="D244" s="81">
        <v>70</v>
      </c>
      <c r="E244" s="79"/>
      <c r="F244" s="20" t="s">
        <v>2573</v>
      </c>
      <c r="G244" s="24" t="str">
        <f ca="1">IFERROR(__xludf.DUMMYFUNCTION("UPPER(LEFT((GOOGLETRANSLATE(F244,""en"",""pt"")),1))&amp;RIGHT(lower((GOOGLETRANSLATE(F244,""en"",""pt""))),(LEN((GOOGLETRANSLATE(F244,""en"",""pt"")))-1))"),"Edifícios único recreação sociais")</f>
        <v>Edifícios único recreação sociais</v>
      </c>
      <c r="H244" s="24" t="e">
        <f>VLOOKUP(A244,En_Base_LNEC!$A$2:$E$10000,5,FALSE)</f>
        <v>#N/A</v>
      </c>
      <c r="I244" s="24"/>
      <c r="J244" s="79"/>
      <c r="K244" s="24"/>
      <c r="L244" s="24"/>
      <c r="M244" s="24"/>
    </row>
    <row r="245" spans="1:13" ht="14.5">
      <c r="A245" s="20" t="s">
        <v>2574</v>
      </c>
      <c r="B245" s="81">
        <v>40</v>
      </c>
      <c r="C245" s="81">
        <v>75</v>
      </c>
      <c r="D245" s="81">
        <v>94</v>
      </c>
      <c r="E245" s="79"/>
      <c r="F245" s="20" t="s">
        <v>2575</v>
      </c>
      <c r="G245" s="24" t="str">
        <f ca="1">IFERROR(__xludf.DUMMYFUNCTION("UPPER(LEFT((GOOGLETRANSLATE(F245,""en"",""pt"")),1))&amp;RIGHT(lower((GOOGLETRANSLATE(F245,""en"",""pt""))),(LEN((GOOGLETRANSLATE(F245,""en"",""pt"")))-1))"),"Centros de visitantes")</f>
        <v>Centros de visitantes</v>
      </c>
      <c r="H245" s="24" t="e">
        <f>VLOOKUP(A245,En_Base_LNEC!$A$2:$E$10000,5,FALSE)</f>
        <v>#N/A</v>
      </c>
      <c r="I245" s="24"/>
      <c r="J245" s="79"/>
      <c r="K245" s="24"/>
      <c r="L245" s="24"/>
      <c r="M245" s="24"/>
    </row>
    <row r="246" spans="1:13" ht="14.5">
      <c r="A246" s="20" t="s">
        <v>2576</v>
      </c>
      <c r="B246" s="81">
        <v>42</v>
      </c>
      <c r="C246" s="79"/>
      <c r="D246" s="79"/>
      <c r="E246" s="79"/>
      <c r="F246" s="20" t="s">
        <v>2577</v>
      </c>
      <c r="G246" s="24" t="str">
        <f ca="1">IFERROR(__xludf.DUMMYFUNCTION("UPPER(LEFT((GOOGLETRANSLATE(F246,""en"",""pt"")),1))&amp;RIGHT(lower((GOOGLETRANSLATE(F246,""en"",""pt""))),(LEN((GOOGLETRANSLATE(F246,""en"",""pt"")))-1))"),"Entidades desporto e da actividade")</f>
        <v>Entidades desporto e da actividade</v>
      </c>
      <c r="H246" s="24" t="str">
        <f>VLOOKUP(A246,En_Base_LNEC!$A$2:$E$10000,5,FALSE)</f>
        <v>Infraestruturas para práticas desportivas e atividades</v>
      </c>
      <c r="I246" s="24"/>
      <c r="J246" s="79"/>
      <c r="K246" s="24"/>
      <c r="L246" s="24"/>
      <c r="M246" s="24"/>
    </row>
    <row r="247" spans="1:13" ht="14.5">
      <c r="A247" s="20" t="s">
        <v>2578</v>
      </c>
      <c r="B247" s="81">
        <v>42</v>
      </c>
      <c r="C247" s="81">
        <v>15</v>
      </c>
      <c r="D247" s="79"/>
      <c r="E247" s="79"/>
      <c r="F247" s="20" t="s">
        <v>2579</v>
      </c>
      <c r="G247" s="24" t="str">
        <f ca="1">IFERROR(__xludf.DUMMYFUNCTION("UPPER(LEFT((GOOGLETRANSLATE(F247,""en"",""pt"")),1))&amp;RIGHT(lower((GOOGLETRANSLATE(F247,""en"",""pt""))),(LEN((GOOGLETRANSLATE(F247,""en"",""pt"")))-1))"),"Tribunais, campos e entidades desportivas de campo")</f>
        <v>Tribunais, campos e entidades desportivas de campo</v>
      </c>
      <c r="H247" s="24" t="e">
        <f>VLOOKUP(A247,En_Base_LNEC!$A$2:$E$10000,5,FALSE)</f>
        <v>#N/A</v>
      </c>
      <c r="I247" s="24"/>
      <c r="J247" s="79"/>
      <c r="K247" s="24"/>
      <c r="L247" s="24"/>
      <c r="M247" s="24"/>
    </row>
    <row r="248" spans="1:13" ht="14.5">
      <c r="A248" s="20" t="s">
        <v>2580</v>
      </c>
      <c r="B248" s="81">
        <v>42</v>
      </c>
      <c r="C248" s="81">
        <v>15</v>
      </c>
      <c r="D248" s="81">
        <v>6</v>
      </c>
      <c r="E248" s="79"/>
      <c r="F248" s="20" t="s">
        <v>2581</v>
      </c>
      <c r="G248" s="24" t="str">
        <f ca="1">IFERROR(__xludf.DUMMYFUNCTION("UPPER(LEFT((GOOGLETRANSLATE(F248,""en"",""pt"")),1))&amp;RIGHT(lower((GOOGLETRANSLATE(F248,""en"",""pt""))),(LEN((GOOGLETRANSLATE(F248,""en"",""pt"")))-1))"),"Quadras de bola")</f>
        <v>Quadras de bola</v>
      </c>
      <c r="H248" s="24" t="e">
        <f>VLOOKUP(A248,En_Base_LNEC!$A$2:$E$10000,5,FALSE)</f>
        <v>#N/A</v>
      </c>
      <c r="I248" s="24"/>
      <c r="J248" s="79"/>
      <c r="K248" s="24"/>
      <c r="L248" s="24"/>
      <c r="M248" s="24"/>
    </row>
    <row r="249" spans="1:13" ht="14.5">
      <c r="A249" s="20" t="s">
        <v>2582</v>
      </c>
      <c r="B249" s="81">
        <v>42</v>
      </c>
      <c r="C249" s="81">
        <v>15</v>
      </c>
      <c r="D249" s="81">
        <v>81</v>
      </c>
      <c r="E249" s="79"/>
      <c r="F249" s="20" t="s">
        <v>2583</v>
      </c>
      <c r="G249" s="24" t="str">
        <f ca="1">IFERROR(__xludf.DUMMYFUNCTION("UPPER(LEFT((GOOGLETRANSLATE(F249,""en"",""pt"")),1))&amp;RIGHT(lower((GOOGLETRANSLATE(F249,""en"",""pt""))),(LEN((GOOGLETRANSLATE(F249,""en"",""pt"")))-1))"),"Campos desportivos")</f>
        <v>Campos desportivos</v>
      </c>
      <c r="H249" s="24" t="e">
        <f>VLOOKUP(A249,En_Base_LNEC!$A$2:$E$10000,5,FALSE)</f>
        <v>#N/A</v>
      </c>
      <c r="I249" s="24"/>
      <c r="J249" s="79"/>
      <c r="K249" s="24"/>
      <c r="L249" s="24"/>
      <c r="M249" s="24"/>
    </row>
    <row r="250" spans="1:13" ht="14.5">
      <c r="A250" s="20" t="s">
        <v>2584</v>
      </c>
      <c r="B250" s="81">
        <v>42</v>
      </c>
      <c r="C250" s="81">
        <v>15</v>
      </c>
      <c r="D250" s="81">
        <v>82</v>
      </c>
      <c r="E250" s="79"/>
      <c r="F250" s="20" t="s">
        <v>2585</v>
      </c>
      <c r="G250" s="24" t="str">
        <f ca="1">IFERROR(__xludf.DUMMYFUNCTION("UPPER(LEFT((GOOGLETRANSLATE(F250,""en"",""pt"")),1))&amp;RIGHT(lower((GOOGLETRANSLATE(F250,""en"",""pt""))),(LEN((GOOGLETRANSLATE(F250,""en"",""pt"")))-1))"),"Campos desportivos")</f>
        <v>Campos desportivos</v>
      </c>
      <c r="H250" s="24" t="e">
        <f>VLOOKUP(A250,En_Base_LNEC!$A$2:$E$10000,5,FALSE)</f>
        <v>#N/A</v>
      </c>
      <c r="I250" s="24"/>
      <c r="J250" s="79"/>
      <c r="K250" s="24"/>
      <c r="L250" s="24"/>
      <c r="M250" s="24"/>
    </row>
    <row r="251" spans="1:13" ht="14.5">
      <c r="A251" s="20" t="s">
        <v>2586</v>
      </c>
      <c r="B251" s="81">
        <v>42</v>
      </c>
      <c r="C251" s="81">
        <v>40</v>
      </c>
      <c r="D251" s="79"/>
      <c r="E251" s="79"/>
      <c r="F251" s="20" t="s">
        <v>2587</v>
      </c>
      <c r="G251" s="24" t="str">
        <f ca="1">IFERROR(__xludf.DUMMYFUNCTION("UPPER(LEFT((GOOGLETRANSLATE(F251,""en"",""pt"")),1))&amp;RIGHT(lower((GOOGLETRANSLATE(F251,""en"",""pt""))),(LEN((GOOGLETRANSLATE(F251,""en"",""pt"")))-1))"),"Entidades a atividade interna")</f>
        <v>Entidades a atividade interna</v>
      </c>
      <c r="H251" s="24" t="str">
        <f>VLOOKUP(A251,En_Base_LNEC!$A$2:$E$10000,5,FALSE)</f>
        <v>Infraestruturas cobertas para a prática de atividades</v>
      </c>
      <c r="I251" s="24"/>
      <c r="J251" s="79"/>
      <c r="K251" s="24"/>
      <c r="L251" s="24"/>
      <c r="M251" s="24"/>
    </row>
    <row r="252" spans="1:13" ht="14.5">
      <c r="A252" s="20" t="s">
        <v>2588</v>
      </c>
      <c r="B252" s="81">
        <v>42</v>
      </c>
      <c r="C252" s="81">
        <v>40</v>
      </c>
      <c r="D252" s="81">
        <v>80</v>
      </c>
      <c r="E252" s="79"/>
      <c r="F252" s="20" t="s">
        <v>2589</v>
      </c>
      <c r="G252" s="24" t="str">
        <f ca="1">IFERROR(__xludf.DUMMYFUNCTION("UPPER(LEFT((GOOGLETRANSLATE(F252,""en"",""pt"")),1))&amp;RIGHT(lower((GOOGLETRANSLATE(F252,""en"",""pt""))),(LEN((GOOGLETRANSLATE(F252,""en"",""pt"")))-1))"),"Edifícios desportivos")</f>
        <v>Edifícios desportivos</v>
      </c>
      <c r="H252" s="24" t="e">
        <f>VLOOKUP(A252,En_Base_LNEC!$A$2:$E$10000,5,FALSE)</f>
        <v>#N/A</v>
      </c>
      <c r="I252" s="24"/>
      <c r="J252" s="79"/>
      <c r="K252" s="24"/>
      <c r="L252" s="24"/>
      <c r="M252" s="24"/>
    </row>
    <row r="253" spans="1:13" ht="14.5">
      <c r="A253" s="20" t="s">
        <v>2590</v>
      </c>
      <c r="B253" s="81">
        <v>42</v>
      </c>
      <c r="C253" s="81">
        <v>55</v>
      </c>
      <c r="D253" s="79"/>
      <c r="E253" s="79"/>
      <c r="F253" s="20" t="s">
        <v>2591</v>
      </c>
      <c r="G253" s="24" t="str">
        <f ca="1">IFERROR(__xludf.DUMMYFUNCTION("UPPER(LEFT((GOOGLETRANSLATE(F253,""en"",""pt"")),1))&amp;RIGHT(lower((GOOGLETRANSLATE(F253,""en"",""pt""))),(LEN((GOOGLETRANSLATE(F253,""en"",""pt"")))-1))"),"Entidades atividade ao ar livre")</f>
        <v>Entidades atividade ao ar livre</v>
      </c>
      <c r="H253" s="24" t="e">
        <f>VLOOKUP(A253,En_Base_LNEC!$A$2:$E$10000,5,FALSE)</f>
        <v>#N/A</v>
      </c>
      <c r="I253" s="24"/>
      <c r="J253" s="79"/>
      <c r="K253" s="24"/>
      <c r="L253" s="24"/>
      <c r="M253" s="24"/>
    </row>
    <row r="254" spans="1:13" ht="14.5">
      <c r="A254" s="20" t="s">
        <v>2592</v>
      </c>
      <c r="B254" s="81">
        <v>42</v>
      </c>
      <c r="C254" s="81">
        <v>55</v>
      </c>
      <c r="D254" s="81">
        <v>1</v>
      </c>
      <c r="E254" s="79"/>
      <c r="F254" s="20" t="s">
        <v>2593</v>
      </c>
      <c r="G254" s="24" t="str">
        <f ca="1">IFERROR(__xludf.DUMMYFUNCTION("UPPER(LEFT((GOOGLETRANSLATE(F254,""en"",""pt"")),1))&amp;RIGHT(lower((GOOGLETRANSLATE(F254,""en"",""pt""))),(LEN((GOOGLETRANSLATE(F254,""en"",""pt"")))-1))"),"Motivos de atividade")</f>
        <v>Motivos de atividade</v>
      </c>
      <c r="H254" s="24" t="e">
        <f>VLOOKUP(A254,En_Base_LNEC!$A$2:$E$10000,5,FALSE)</f>
        <v>#N/A</v>
      </c>
      <c r="I254" s="24"/>
      <c r="J254" s="79"/>
      <c r="K254" s="24"/>
      <c r="L254" s="24"/>
      <c r="M254" s="24"/>
    </row>
    <row r="255" spans="1:13" ht="14.5">
      <c r="A255" s="20" t="s">
        <v>2594</v>
      </c>
      <c r="B255" s="81">
        <v>42</v>
      </c>
      <c r="C255" s="81">
        <v>55</v>
      </c>
      <c r="D255" s="81">
        <v>34</v>
      </c>
      <c r="E255" s="79"/>
      <c r="F255" s="20" t="s">
        <v>2595</v>
      </c>
      <c r="G255" s="24" t="str">
        <f ca="1">IFERROR(__xludf.DUMMYFUNCTION("UPPER(LEFT((GOOGLETRANSLATE(F255,""en"",""pt"")),1))&amp;RIGHT(lower((GOOGLETRANSLATE(F255,""en"",""pt""))),(LEN((GOOGLETRANSLATE(F255,""en"",""pt"")))-1))"),"Golf driving ranges")</f>
        <v>Golf driving ranges</v>
      </c>
      <c r="H255" s="24" t="e">
        <f>VLOOKUP(A255,En_Base_LNEC!$A$2:$E$10000,5,FALSE)</f>
        <v>#N/A</v>
      </c>
      <c r="I255" s="24"/>
      <c r="J255" s="79"/>
      <c r="K255" s="24"/>
      <c r="L255" s="24"/>
      <c r="M255" s="24"/>
    </row>
    <row r="256" spans="1:13" ht="14.5">
      <c r="A256" s="20" t="s">
        <v>2596</v>
      </c>
      <c r="B256" s="81">
        <v>42</v>
      </c>
      <c r="C256" s="81">
        <v>85</v>
      </c>
      <c r="D256" s="79"/>
      <c r="E256" s="79"/>
      <c r="F256" s="20" t="s">
        <v>2597</v>
      </c>
      <c r="G256" s="24" t="str">
        <f ca="1">IFERROR(__xludf.DUMMYFUNCTION("UPPER(LEFT((GOOGLETRANSLATE(F256,""en"",""pt"")),1))&amp;RIGHT(lower((GOOGLETRANSLATE(F256,""en"",""pt""))),(LEN((GOOGLETRANSLATE(F256,""en"",""pt"")))-1))"),"Entidades de natação")</f>
        <v>Entidades de natação</v>
      </c>
      <c r="H256" s="24" t="str">
        <f>VLOOKUP(A256,En_Base_LNEC!$A$2:$E$10000,5,FALSE)</f>
        <v>Infraestruturas aquáticas</v>
      </c>
      <c r="I256" s="24"/>
      <c r="J256" s="79"/>
      <c r="K256" s="24"/>
      <c r="L256" s="24"/>
      <c r="M256" s="24"/>
    </row>
    <row r="257" spans="1:13" ht="14.5">
      <c r="A257" s="20" t="s">
        <v>2598</v>
      </c>
      <c r="B257" s="81">
        <v>42</v>
      </c>
      <c r="C257" s="81">
        <v>85</v>
      </c>
      <c r="D257" s="81">
        <v>60</v>
      </c>
      <c r="E257" s="79"/>
      <c r="F257" s="20" t="s">
        <v>2599</v>
      </c>
      <c r="G257" s="24" t="str">
        <f ca="1">IFERROR(__xludf.DUMMYFUNCTION("UPPER(LEFT((GOOGLETRANSLATE(F257,""en"",""pt"")),1))&amp;RIGHT(lower((GOOGLETRANSLATE(F257,""en"",""pt""))),(LEN((GOOGLETRANSLATE(F257,""en"",""pt"")))-1))"),"Piscinas exteriores")</f>
        <v>Piscinas exteriores</v>
      </c>
      <c r="H257" s="24" t="str">
        <f>VLOOKUP(A257,En_Base_LNEC!$A$2:$E$10000,5,FALSE)</f>
        <v>Piscinas ao ar livre</v>
      </c>
      <c r="I257" s="24"/>
      <c r="J257" s="79"/>
      <c r="K257" s="24"/>
      <c r="L257" s="24"/>
      <c r="M257" s="24"/>
    </row>
    <row r="258" spans="1:13" ht="14.5">
      <c r="A258" s="20" t="s">
        <v>2600</v>
      </c>
      <c r="B258" s="81">
        <v>42</v>
      </c>
      <c r="C258" s="81">
        <v>85</v>
      </c>
      <c r="D258" s="81">
        <v>83</v>
      </c>
      <c r="E258" s="79"/>
      <c r="F258" s="20" t="s">
        <v>2601</v>
      </c>
      <c r="G258" s="24" t="str">
        <f ca="1">IFERROR(__xludf.DUMMYFUNCTION("UPPER(LEFT((GOOGLETRANSLATE(F258,""en"",""pt"")),1))&amp;RIGHT(lower((GOOGLETRANSLATE(F258,""en"",""pt""))),(LEN((GOOGLETRANSLATE(F258,""en"",""pt"")))-1))"),"Natação edifícios piscina")</f>
        <v>Natação edifícios piscina</v>
      </c>
      <c r="H258" s="24" t="e">
        <f>VLOOKUP(A258,En_Base_LNEC!$A$2:$E$10000,5,FALSE)</f>
        <v>#N/A</v>
      </c>
      <c r="I258" s="24"/>
      <c r="J258" s="79"/>
      <c r="K258" s="24"/>
      <c r="L258" s="24"/>
      <c r="M258" s="24"/>
    </row>
    <row r="259" spans="1:13" ht="14.5">
      <c r="A259" s="20" t="s">
        <v>2602</v>
      </c>
      <c r="B259" s="81">
        <v>42</v>
      </c>
      <c r="C259" s="81">
        <v>90</v>
      </c>
      <c r="D259" s="79"/>
      <c r="E259" s="79"/>
      <c r="F259" s="20" t="s">
        <v>2603</v>
      </c>
      <c r="G259" s="24" t="str">
        <f ca="1">IFERROR(__xludf.DUMMYFUNCTION("UPPER(LEFT((GOOGLETRANSLATE(F259,""en"",""pt"")),1))&amp;RIGHT(lower((GOOGLETRANSLATE(F259,""en"",""pt""))),(LEN((GOOGLETRANSLATE(F259,""en"",""pt"")))-1))"),"Entidades de atividade de água")</f>
        <v>Entidades de atividade de água</v>
      </c>
      <c r="H259" s="24" t="str">
        <f>VLOOKUP(A259,En_Base_LNEC!$A$2:$E$10000,5,FALSE)</f>
        <v>Outras infraestruturas para desporto</v>
      </c>
      <c r="I259" s="24"/>
      <c r="J259" s="79"/>
      <c r="K259" s="24"/>
      <c r="L259" s="24"/>
      <c r="M259" s="24"/>
    </row>
    <row r="260" spans="1:13" ht="14.5">
      <c r="A260" s="20" t="s">
        <v>2604</v>
      </c>
      <c r="B260" s="81">
        <v>42</v>
      </c>
      <c r="C260" s="81">
        <v>95</v>
      </c>
      <c r="D260" s="79"/>
      <c r="E260" s="79"/>
      <c r="F260" s="20" t="s">
        <v>2605</v>
      </c>
      <c r="G260" s="24" t="str">
        <f ca="1">IFERROR(__xludf.DUMMYFUNCTION("UPPER(LEFT((GOOGLETRANSLATE(F260,""en"",""pt"")),1))&amp;RIGHT(lower((GOOGLETRANSLATE(F260,""en"",""pt""))),(LEN((GOOGLETRANSLATE(F260,""en"",""pt"")))-1))"),"Entidades de desportos de inverno")</f>
        <v>Entidades de desportos de inverno</v>
      </c>
      <c r="H260" s="24" t="e">
        <f>VLOOKUP(A260,En_Base_LNEC!$A$2:$E$10000,5,FALSE)</f>
        <v>#N/A</v>
      </c>
      <c r="I260" s="24"/>
      <c r="J260" s="79"/>
      <c r="K260" s="24"/>
      <c r="L260" s="24"/>
      <c r="M260" s="24"/>
    </row>
    <row r="261" spans="1:13" ht="14.5">
      <c r="A261" s="20" t="s">
        <v>2606</v>
      </c>
      <c r="B261" s="81">
        <v>42</v>
      </c>
      <c r="C261" s="81">
        <v>95</v>
      </c>
      <c r="D261" s="81">
        <v>40</v>
      </c>
      <c r="E261" s="79"/>
      <c r="F261" s="20" t="s">
        <v>2607</v>
      </c>
      <c r="G261" s="24" t="str">
        <f ca="1">IFERROR(__xludf.DUMMYFUNCTION("UPPER(LEFT((GOOGLETRANSLATE(F261,""en"",""pt"")),1))&amp;RIGHT(lower((GOOGLETRANSLATE(F261,""en"",""pt""))),(LEN((GOOGLETRANSLATE(F261,""en"",""pt"")))-1))"),"Edifícios pista de gelo")</f>
        <v>Edifícios pista de gelo</v>
      </c>
      <c r="H261" s="24" t="e">
        <f>VLOOKUP(A261,En_Base_LNEC!$A$2:$E$10000,5,FALSE)</f>
        <v>#N/A</v>
      </c>
      <c r="I261" s="24"/>
      <c r="J261" s="79"/>
      <c r="K261" s="24"/>
      <c r="L261" s="24"/>
      <c r="M261" s="24"/>
    </row>
    <row r="262" spans="1:13" ht="14.5">
      <c r="A262" s="20" t="s">
        <v>2608</v>
      </c>
      <c r="B262" s="81">
        <v>42</v>
      </c>
      <c r="C262" s="81">
        <v>95</v>
      </c>
      <c r="D262" s="81">
        <v>80</v>
      </c>
      <c r="E262" s="79"/>
      <c r="F262" s="20" t="s">
        <v>2609</v>
      </c>
      <c r="G262" s="24" t="str">
        <f ca="1">IFERROR(__xludf.DUMMYFUNCTION("UPPER(LEFT((GOOGLETRANSLATE(F262,""en"",""pt"")),1))&amp;RIGHT(lower((GOOGLETRANSLATE(F262,""en"",""pt""))),(LEN((GOOGLETRANSLATE(F262,""en"",""pt"")))-1))"),"Prédios do resort de esqui")</f>
        <v>Prédios do resort de esqui</v>
      </c>
      <c r="H262" s="24" t="e">
        <f>VLOOKUP(A262,En_Base_LNEC!$A$2:$E$10000,5,FALSE)</f>
        <v>#N/A</v>
      </c>
      <c r="I262" s="24"/>
      <c r="J262" s="79"/>
      <c r="K262" s="24"/>
      <c r="L262" s="24"/>
      <c r="M262" s="24"/>
    </row>
    <row r="263" spans="1:13" ht="14.5">
      <c r="A263" s="20" t="s">
        <v>2610</v>
      </c>
      <c r="B263" s="81">
        <v>45</v>
      </c>
      <c r="C263" s="79"/>
      <c r="D263" s="79"/>
      <c r="E263" s="79"/>
      <c r="F263" s="20" t="s">
        <v>2611</v>
      </c>
      <c r="G263" s="24" t="str">
        <f ca="1">IFERROR(__xludf.DUMMYFUNCTION("UPPER(LEFT((GOOGLETRANSLATE(F263,""en"",""pt"")),1))&amp;RIGHT(lower((GOOGLETRANSLATE(F263,""en"",""pt""))),(LEN((GOOGLETRANSLATE(F263,""en"",""pt"")))-1))"),"Entidades residenciais")</f>
        <v>Entidades residenciais</v>
      </c>
      <c r="H263" s="24" t="str">
        <f>VLOOKUP(A263,En_Base_LNEC!$A$2:$E$10000,5,FALSE)</f>
        <v>Edifícios de alojamento coletivo</v>
      </c>
      <c r="I263" s="24"/>
      <c r="J263" s="79"/>
      <c r="K263" s="24"/>
      <c r="L263" s="24"/>
      <c r="M263" s="24"/>
    </row>
    <row r="264" spans="1:13" ht="14.5">
      <c r="A264" s="20" t="s">
        <v>2612</v>
      </c>
      <c r="B264" s="81">
        <v>45</v>
      </c>
      <c r="C264" s="81">
        <v>10</v>
      </c>
      <c r="D264" s="79"/>
      <c r="E264" s="79"/>
      <c r="F264" s="20" t="s">
        <v>2613</v>
      </c>
      <c r="G264" s="24" t="str">
        <f ca="1">IFERROR(__xludf.DUMMYFUNCTION("UPPER(LEFT((GOOGLETRANSLATE(F264,""en"",""pt"")),1))&amp;RIGHT(lower((GOOGLETRANSLATE(F264,""en"",""pt""))),(LEN((GOOGLETRANSLATE(F264,""en"",""pt"")))-1))"),"Prédios residenciais")</f>
        <v>Prédios residenciais</v>
      </c>
      <c r="H264" s="24" t="str">
        <f>VLOOKUP(A264,En_Base_LNEC!$A$2:$E$10000,5,FALSE)</f>
        <v>Edifícios para residência</v>
      </c>
      <c r="I264" s="24"/>
      <c r="J264" s="79"/>
      <c r="K264" s="24"/>
      <c r="L264" s="24"/>
      <c r="M264" s="24"/>
    </row>
    <row r="265" spans="1:13" ht="14.5">
      <c r="A265" s="20" t="s">
        <v>2614</v>
      </c>
      <c r="B265" s="81">
        <v>45</v>
      </c>
      <c r="C265" s="81">
        <v>10</v>
      </c>
      <c r="D265" s="81">
        <v>39</v>
      </c>
      <c r="E265" s="79"/>
      <c r="F265" s="20" t="s">
        <v>2615</v>
      </c>
      <c r="G265" s="24" t="str">
        <f ca="1">IFERROR(__xludf.DUMMYFUNCTION("UPPER(LEFT((GOOGLETRANSLATE(F265,""en"",""pt"")),1))&amp;RIGHT(lower((GOOGLETRANSLATE(F265,""en"",""pt""))),(LEN((GOOGLETRANSLATE(F265,""en"",""pt"")))-1))"),"Casas")</f>
        <v>Casas</v>
      </c>
      <c r="H265" s="24" t="e">
        <f>VLOOKUP(A265,En_Base_LNEC!$A$2:$E$10000,5,FALSE)</f>
        <v>#N/A</v>
      </c>
      <c r="I265" s="24"/>
      <c r="J265" s="79"/>
      <c r="K265" s="24"/>
      <c r="L265" s="24"/>
      <c r="M265" s="24"/>
    </row>
    <row r="266" spans="1:13" ht="14.5">
      <c r="A266" s="20" t="s">
        <v>2616</v>
      </c>
      <c r="B266" s="81">
        <v>45</v>
      </c>
      <c r="C266" s="81">
        <v>10</v>
      </c>
      <c r="D266" s="81">
        <v>47</v>
      </c>
      <c r="E266" s="79"/>
      <c r="F266" s="20" t="s">
        <v>2617</v>
      </c>
      <c r="G266" s="24" t="str">
        <f ca="1">IFERROR(__xludf.DUMMYFUNCTION("UPPER(LEFT((GOOGLETRANSLATE(F266,""en"",""pt"")),1))&amp;RIGHT(lower((GOOGLETRANSLATE(F266,""en"",""pt""))),(LEN((GOOGLETRANSLATE(F266,""en"",""pt"")))-1))"),"Edifícios residenciais de longo prazo")</f>
        <v>Edifícios residenciais de longo prazo</v>
      </c>
      <c r="H266" s="24" t="str">
        <f>VLOOKUP(A266,En_Base_LNEC!$A$2:$E$10000,5,FALSE)</f>
        <v>Centros de noite para pessoas idosas</v>
      </c>
      <c r="I266" s="24"/>
      <c r="J266" s="79"/>
      <c r="K266" s="24"/>
      <c r="L266" s="24"/>
      <c r="M266" s="24"/>
    </row>
    <row r="267" spans="1:13" ht="14.5">
      <c r="A267" s="20" t="s">
        <v>2618</v>
      </c>
      <c r="B267" s="81">
        <v>45</v>
      </c>
      <c r="C267" s="81">
        <v>10</v>
      </c>
      <c r="D267" s="81">
        <v>70</v>
      </c>
      <c r="E267" s="79"/>
      <c r="F267" s="20" t="s">
        <v>2619</v>
      </c>
      <c r="G267" s="24" t="str">
        <f ca="1">IFERROR(__xludf.DUMMYFUNCTION("UPPER(LEFT((GOOGLETRANSLATE(F267,""en"",""pt"")),1))&amp;RIGHT(lower((GOOGLETRANSLATE(F267,""en"",""pt""))),(LEN((GOOGLETRANSLATE(F267,""en"",""pt"")))-1))"),"Edifícios residenciais curto prazo")</f>
        <v>Edifícios residenciais curto prazo</v>
      </c>
      <c r="H267" s="24" t="e">
        <f>VLOOKUP(A267,En_Base_LNEC!$A$2:$E$10000,5,FALSE)</f>
        <v>#N/A</v>
      </c>
      <c r="I267" s="24"/>
      <c r="J267" s="79"/>
      <c r="K267" s="24"/>
      <c r="L267" s="24"/>
      <c r="M267" s="24"/>
    </row>
    <row r="268" spans="1:13" ht="14.5">
      <c r="A268" s="20" t="s">
        <v>2620</v>
      </c>
      <c r="B268" s="81">
        <v>45</v>
      </c>
      <c r="C268" s="81">
        <v>10</v>
      </c>
      <c r="D268" s="81">
        <v>90</v>
      </c>
      <c r="E268" s="79"/>
      <c r="F268" s="20" t="s">
        <v>2621</v>
      </c>
      <c r="G268" s="24" t="str">
        <f ca="1">IFERROR(__xludf.DUMMYFUNCTION("UPPER(LEFT((GOOGLETRANSLATE(F268,""en"",""pt"")),1))&amp;RIGHT(lower((GOOGLETRANSLATE(F268,""en"",""pt""))),(LEN((GOOGLETRANSLATE(F268,""en"",""pt"")))-1))"),"Edifícios residenciais temporários")</f>
        <v>Edifícios residenciais temporários</v>
      </c>
      <c r="H268" s="24" t="e">
        <f>VLOOKUP(A268,En_Base_LNEC!$A$2:$E$10000,5,FALSE)</f>
        <v>#N/A</v>
      </c>
      <c r="I268" s="24"/>
      <c r="J268" s="79"/>
      <c r="K268" s="24"/>
      <c r="L268" s="24"/>
      <c r="M268" s="24"/>
    </row>
    <row r="269" spans="1:13" ht="14.5">
      <c r="A269" s="20" t="s">
        <v>2622</v>
      </c>
      <c r="B269" s="81">
        <v>50</v>
      </c>
      <c r="C269" s="79"/>
      <c r="D269" s="79"/>
      <c r="E269" s="79"/>
      <c r="F269" s="20" t="s">
        <v>2623</v>
      </c>
      <c r="G269" s="24" t="str">
        <f ca="1">IFERROR(__xludf.DUMMYFUNCTION("UPPER(LEFT((GOOGLETRANSLATE(F269,""en"",""pt"")),1))&amp;RIGHT(lower((GOOGLETRANSLATE(F269,""en"",""pt""))),(LEN((GOOGLETRANSLATE(F269,""en"",""pt"")))-1))"),"Resíduos entidades eliminação")</f>
        <v>Resíduos entidades eliminação</v>
      </c>
      <c r="H269" s="24" t="str">
        <f>VLOOKUP(A269,En_Base_LNEC!$A$2:$E$10000,5,FALSE)</f>
        <v>Infraestruturas para eliminação de resíduos</v>
      </c>
      <c r="I269" s="24"/>
      <c r="J269" s="79"/>
      <c r="K269" s="24"/>
      <c r="L269" s="24"/>
      <c r="M269" s="24"/>
    </row>
    <row r="270" spans="1:13" ht="14.5">
      <c r="A270" s="20" t="s">
        <v>2624</v>
      </c>
      <c r="B270" s="81">
        <v>50</v>
      </c>
      <c r="C270" s="81">
        <v>10</v>
      </c>
      <c r="D270" s="79"/>
      <c r="E270" s="79"/>
      <c r="F270" s="20" t="s">
        <v>2625</v>
      </c>
      <c r="G270" s="24" t="str">
        <f ca="1">IFERROR(__xludf.DUMMYFUNCTION("UPPER(LEFT((GOOGLETRANSLATE(F270,""en"",""pt"")),1))&amp;RIGHT(lower((GOOGLETRANSLATE(F270,""en"",""pt""))),(LEN((GOOGLETRANSLATE(F270,""en"",""pt"")))-1))"),"Entidades de recolha de resíduos de gás")</f>
        <v>Entidades de recolha de resíduos de gás</v>
      </c>
      <c r="H270" s="24" t="e">
        <f>VLOOKUP(A270,En_Base_LNEC!$A$2:$E$10000,5,FALSE)</f>
        <v>#N/A</v>
      </c>
      <c r="I270" s="24"/>
      <c r="J270" s="79"/>
      <c r="K270" s="24"/>
      <c r="L270" s="24"/>
      <c r="M270" s="24"/>
    </row>
    <row r="271" spans="1:13" ht="14.5">
      <c r="A271" s="20" t="s">
        <v>2626</v>
      </c>
      <c r="B271" s="81">
        <v>50</v>
      </c>
      <c r="C271" s="81">
        <v>20</v>
      </c>
      <c r="D271" s="79"/>
      <c r="E271" s="79"/>
      <c r="F271" s="20" t="s">
        <v>2627</v>
      </c>
      <c r="G271" s="24" t="str">
        <f ca="1">IFERROR(__xludf.DUMMYFUNCTION("UPPER(LEFT((GOOGLETRANSLATE(F271,""en"",""pt"")),1))&amp;RIGHT(lower((GOOGLETRANSLATE(F271,""en"",""pt""))),(LEN((GOOGLETRANSLATE(F271,""en"",""pt"")))-1))"),"Entidades de recolha de resíduos molhados")</f>
        <v>Entidades de recolha de resíduos molhados</v>
      </c>
      <c r="H271" s="24" t="str">
        <f>VLOOKUP(A271,En_Base_LNEC!$A$2:$E$10000,5,FALSE)</f>
        <v>Infraestruturas para recolha de águas residuais</v>
      </c>
      <c r="I271" s="24"/>
      <c r="J271" s="79"/>
      <c r="K271" s="24"/>
      <c r="L271" s="24"/>
      <c r="M271" s="24"/>
    </row>
    <row r="272" spans="1:13" ht="14.5">
      <c r="A272" s="20" t="s">
        <v>2628</v>
      </c>
      <c r="B272" s="81">
        <v>50</v>
      </c>
      <c r="C272" s="81">
        <v>20</v>
      </c>
      <c r="D272" s="81">
        <v>10</v>
      </c>
      <c r="E272" s="79"/>
      <c r="F272" s="20" t="s">
        <v>2629</v>
      </c>
      <c r="G272" s="24" t="str">
        <f ca="1">IFERROR(__xludf.DUMMYFUNCTION("UPPER(LEFT((GOOGLETRANSLATE(F272,""en"",""pt"")),1))&amp;RIGHT(lower((GOOGLETRANSLATE(F272,""en"",""pt""))),(LEN((GOOGLETRANSLATE(F272,""en"",""pt"")))-1))"),"Tanques de recolha de resíduos wet")</f>
        <v>Tanques de recolha de resíduos wet</v>
      </c>
      <c r="H272" s="24" t="str">
        <f>VLOOKUP(A272,En_Base_LNEC!$A$2:$E$10000,5,FALSE)</f>
        <v>Sistema de recolha de águas residuais</v>
      </c>
      <c r="I272" s="24"/>
      <c r="J272" s="79"/>
      <c r="K272" s="24"/>
      <c r="L272" s="24"/>
      <c r="M272" s="24"/>
    </row>
    <row r="273" spans="1:13" ht="14.5">
      <c r="A273" s="20" t="s">
        <v>2630</v>
      </c>
      <c r="B273" s="81">
        <v>50</v>
      </c>
      <c r="C273" s="81">
        <v>30</v>
      </c>
      <c r="D273" s="79"/>
      <c r="E273" s="79"/>
      <c r="F273" s="20" t="s">
        <v>2631</v>
      </c>
      <c r="G273" s="24" t="str">
        <f ca="1">IFERROR(__xludf.DUMMYFUNCTION("UPPER(LEFT((GOOGLETRANSLATE(F273,""en"",""pt"")),1))&amp;RIGHT(lower((GOOGLETRANSLATE(F273,""en"",""pt""))),(LEN((GOOGLETRANSLATE(F273,""en"",""pt"")))-1))"),"Coleta de drenagem e águas residuais")</f>
        <v>Coleta de drenagem e águas residuais</v>
      </c>
      <c r="H273" s="24" t="e">
        <f>VLOOKUP(A273,En_Base_LNEC!$A$2:$E$10000,5,FALSE)</f>
        <v>#N/A</v>
      </c>
      <c r="I273" s="24"/>
      <c r="J273" s="79"/>
      <c r="K273" s="24"/>
      <c r="L273" s="24"/>
      <c r="M273" s="24"/>
    </row>
    <row r="274" spans="1:13" ht="14.5">
      <c r="A274" s="20" t="s">
        <v>2632</v>
      </c>
      <c r="B274" s="81">
        <v>50</v>
      </c>
      <c r="C274" s="81">
        <v>30</v>
      </c>
      <c r="D274" s="81">
        <v>25</v>
      </c>
      <c r="E274" s="79"/>
      <c r="F274" s="20" t="s">
        <v>2633</v>
      </c>
      <c r="G274" s="24" t="str">
        <f ca="1">IFERROR(__xludf.DUMMYFUNCTION("UPPER(LEFT((GOOGLETRANSLATE(F274,""en"",""pt"")),1))&amp;RIGHT(lower((GOOGLETRANSLATE(F274,""en"",""pt""))),(LEN((GOOGLETRANSLATE(F274,""en"",""pt"")))-1))"),"Condutas de recolha de drenagem")</f>
        <v>Condutas de recolha de drenagem</v>
      </c>
      <c r="H274" s="24" t="e">
        <f>VLOOKUP(A274,En_Base_LNEC!$A$2:$E$10000,5,FALSE)</f>
        <v>#N/A</v>
      </c>
      <c r="I274" s="24"/>
      <c r="J274" s="79"/>
      <c r="K274" s="24"/>
      <c r="L274" s="24"/>
      <c r="M274" s="24"/>
    </row>
    <row r="275" spans="1:13" ht="14.5">
      <c r="A275" s="20" t="s">
        <v>2634</v>
      </c>
      <c r="B275" s="81">
        <v>50</v>
      </c>
      <c r="C275" s="81">
        <v>30</v>
      </c>
      <c r="D275" s="81">
        <v>85</v>
      </c>
      <c r="E275" s="79"/>
      <c r="F275" s="20" t="s">
        <v>2635</v>
      </c>
      <c r="G275" s="24" t="str">
        <f ca="1">IFERROR(__xludf.DUMMYFUNCTION("UPPER(LEFT((GOOGLETRANSLATE(F275,""en"",""pt"")),1))&amp;RIGHT(lower((GOOGLETRANSLATE(F275,""en"",""pt""))),(LEN((GOOGLETRANSLATE(F275,""en"",""pt"")))-1))"),"Condutas de recolha de água de superfície")</f>
        <v>Condutas de recolha de água de superfície</v>
      </c>
      <c r="H275" s="24" t="e">
        <f>VLOOKUP(A275,En_Base_LNEC!$A$2:$E$10000,5,FALSE)</f>
        <v>#N/A</v>
      </c>
      <c r="I275" s="24"/>
      <c r="J275" s="79"/>
      <c r="K275" s="24"/>
      <c r="L275" s="24"/>
      <c r="M275" s="24"/>
    </row>
    <row r="276" spans="1:13" ht="14.5">
      <c r="A276" s="20" t="s">
        <v>2636</v>
      </c>
      <c r="B276" s="81">
        <v>50</v>
      </c>
      <c r="C276" s="81">
        <v>30</v>
      </c>
      <c r="D276" s="81">
        <v>98</v>
      </c>
      <c r="E276" s="79"/>
      <c r="F276" s="20" t="s">
        <v>2637</v>
      </c>
      <c r="G276" s="24" t="str">
        <f ca="1">IFERROR(__xludf.DUMMYFUNCTION("UPPER(LEFT((GOOGLETRANSLATE(F276,""en"",""pt"")),1))&amp;RIGHT(lower((GOOGLETRANSLATE(F276,""en"",""pt""))),(LEN((GOOGLETRANSLATE(F276,""en"",""pt"")))-1))"),"Condutas de recolha de águas residuais")</f>
        <v>Condutas de recolha de águas residuais</v>
      </c>
      <c r="H276" s="24" t="e">
        <f>VLOOKUP(A276,En_Base_LNEC!$A$2:$E$10000,5,FALSE)</f>
        <v>#N/A</v>
      </c>
      <c r="I276" s="24"/>
      <c r="J276" s="79"/>
      <c r="K276" s="24"/>
      <c r="L276" s="24"/>
      <c r="M276" s="24"/>
    </row>
    <row r="277" spans="1:13" ht="14.5">
      <c r="A277" s="20" t="s">
        <v>2638</v>
      </c>
      <c r="B277" s="81">
        <v>50</v>
      </c>
      <c r="C277" s="81">
        <v>30</v>
      </c>
      <c r="D277" s="81">
        <v>99</v>
      </c>
      <c r="E277" s="79"/>
      <c r="F277" s="20" t="s">
        <v>2639</v>
      </c>
      <c r="G277" s="24" t="str">
        <f ca="1">IFERROR(__xludf.DUMMYFUNCTION("UPPER(LEFT((GOOGLETRANSLATE(F277,""en"",""pt"")),1))&amp;RIGHT(lower((GOOGLETRANSLATE(F277,""en"",""pt""))),(LEN((GOOGLETRANSLATE(F277,""en"",""pt"")))-1))"),"Estruturas de recolha de águas residuais")</f>
        <v>Estruturas de recolha de águas residuais</v>
      </c>
      <c r="H277" s="24" t="e">
        <f>VLOOKUP(A277,En_Base_LNEC!$A$2:$E$10000,5,FALSE)</f>
        <v>#N/A</v>
      </c>
      <c r="I277" s="24"/>
      <c r="J277" s="79"/>
      <c r="K277" s="24"/>
      <c r="L277" s="24"/>
      <c r="M277" s="24"/>
    </row>
    <row r="278" spans="1:13" ht="14.5">
      <c r="A278" s="20" t="s">
        <v>2640</v>
      </c>
      <c r="B278" s="81">
        <v>50</v>
      </c>
      <c r="C278" s="81">
        <v>40</v>
      </c>
      <c r="D278" s="79"/>
      <c r="E278" s="79"/>
      <c r="F278" s="20" t="s">
        <v>2641</v>
      </c>
      <c r="G278" s="24" t="str">
        <f ca="1">IFERROR(__xludf.DUMMYFUNCTION("UPPER(LEFT((GOOGLETRANSLATE(F278,""en"",""pt"")),1))&amp;RIGHT(lower((GOOGLETRANSLATE(F278,""en"",""pt""))),(LEN((GOOGLETRANSLATE(F278,""en"",""pt"")))-1))"),"Recolha de resíduos secos e distribuição")</f>
        <v>Recolha de resíduos secos e distribuição</v>
      </c>
      <c r="H278" s="24" t="str">
        <f>VLOOKUP(A278,En_Base_LNEC!$A$2:$E$10000,5,FALSE)</f>
        <v>Infraestruturas para recolha e separação de resíduos</v>
      </c>
      <c r="I278" s="24"/>
      <c r="J278" s="79"/>
      <c r="K278" s="24"/>
      <c r="L278" s="24"/>
      <c r="M278" s="24"/>
    </row>
    <row r="279" spans="1:13" ht="14.5">
      <c r="A279" s="20" t="s">
        <v>2642</v>
      </c>
      <c r="B279" s="81">
        <v>50</v>
      </c>
      <c r="C279" s="81">
        <v>40</v>
      </c>
      <c r="D279" s="81">
        <v>10</v>
      </c>
      <c r="E279" s="79"/>
      <c r="F279" s="20" t="s">
        <v>2643</v>
      </c>
      <c r="G279" s="24" t="str">
        <f ca="1">IFERROR(__xludf.DUMMYFUNCTION("UPPER(LEFT((GOOGLETRANSLATE(F279,""en"",""pt"")),1))&amp;RIGHT(lower((GOOGLETRANSLATE(F279,""en"",""pt""))),(LEN((GOOGLETRANSLATE(F279,""en"",""pt"")))-1))"),"Estruturas de recolha de resíduos secos")</f>
        <v>Estruturas de recolha de resíduos secos</v>
      </c>
      <c r="H279" s="24" t="str">
        <f>VLOOKUP(A279,En_Base_LNEC!$A$2:$E$10000,5,FALSE)</f>
        <v>Infraestruturas para recolha de resíduos</v>
      </c>
      <c r="I279" s="24"/>
      <c r="J279" s="79"/>
      <c r="K279" s="24"/>
      <c r="L279" s="24"/>
      <c r="M279" s="24"/>
    </row>
    <row r="280" spans="1:13" ht="14.5">
      <c r="A280" s="20" t="s">
        <v>2644</v>
      </c>
      <c r="B280" s="81">
        <v>50</v>
      </c>
      <c r="C280" s="81">
        <v>40</v>
      </c>
      <c r="D280" s="81">
        <v>50</v>
      </c>
      <c r="E280" s="79"/>
      <c r="F280" s="20" t="s">
        <v>2645</v>
      </c>
      <c r="G280" s="24" t="str">
        <f ca="1">IFERROR(__xludf.DUMMYFUNCTION("UPPER(LEFT((GOOGLETRANSLATE(F280,""en"",""pt"")),1))&amp;RIGHT(lower((GOOGLETRANSLATE(F280,""en"",""pt""))),(LEN((GOOGLETRANSLATE(F280,""en"",""pt"")))-1))"),"Estruturas de distribuição de resíduos secos")</f>
        <v>Estruturas de distribuição de resíduos secos</v>
      </c>
      <c r="H280" s="24" t="str">
        <f>VLOOKUP(A280,En_Base_LNEC!$A$2:$E$10000,5,FALSE)</f>
        <v>Infraestruturas para separação de resíduos</v>
      </c>
      <c r="I280" s="24"/>
      <c r="J280" s="79"/>
      <c r="K280" s="24"/>
      <c r="L280" s="24"/>
      <c r="M280" s="24"/>
    </row>
    <row r="281" spans="1:13" ht="14.5">
      <c r="A281" s="20" t="s">
        <v>2646</v>
      </c>
      <c r="B281" s="81">
        <v>50</v>
      </c>
      <c r="C281" s="81">
        <v>50</v>
      </c>
      <c r="D281" s="79"/>
      <c r="E281" s="79"/>
      <c r="F281" s="20" t="s">
        <v>2647</v>
      </c>
      <c r="G281" s="24" t="str">
        <f ca="1">IFERROR(__xludf.DUMMYFUNCTION("UPPER(LEFT((GOOGLETRANSLATE(F281,""en"",""pt"")),1))&amp;RIGHT(lower((GOOGLETRANSLATE(F281,""en"",""pt""))),(LEN((GOOGLETRANSLATE(F281,""en"",""pt"")))-1))"),"Armazenamento de resíduos de gás, tratamento e disposição")</f>
        <v>Armazenamento de resíduos de gás, tratamento e disposição</v>
      </c>
      <c r="H281" s="24" t="e">
        <f>VLOOKUP(A281,En_Base_LNEC!$A$2:$E$10000,5,FALSE)</f>
        <v>#N/A</v>
      </c>
      <c r="I281" s="24"/>
      <c r="J281" s="79"/>
      <c r="K281" s="24"/>
      <c r="L281" s="24"/>
      <c r="M281" s="24"/>
    </row>
    <row r="282" spans="1:13" ht="14.5">
      <c r="A282" s="20" t="s">
        <v>2648</v>
      </c>
      <c r="B282" s="81">
        <v>50</v>
      </c>
      <c r="C282" s="81">
        <v>60</v>
      </c>
      <c r="D282" s="79"/>
      <c r="E282" s="79"/>
      <c r="F282" s="20" t="s">
        <v>2649</v>
      </c>
      <c r="G282" s="24" t="str">
        <f ca="1">IFERROR(__xludf.DUMMYFUNCTION("UPPER(LEFT((GOOGLETRANSLATE(F282,""en"",""pt"")),1))&amp;RIGHT(lower((GOOGLETRANSLATE(F282,""en"",""pt""))),(LEN((GOOGLETRANSLATE(F282,""en"",""pt"")))-1))"),"Armazenamento de resíduos húmidos, tratamento e disposição")</f>
        <v>Armazenamento de resíduos húmidos, tratamento e disposição</v>
      </c>
      <c r="H282" s="24" t="str">
        <f>VLOOKUP(A282,En_Base_LNEC!$A$2:$E$10000,5,FALSE)</f>
        <v>Infraestruturas de tratamento de águas residuais</v>
      </c>
      <c r="I282" s="24"/>
      <c r="J282" s="79"/>
      <c r="K282" s="24"/>
      <c r="L282" s="24"/>
      <c r="M282" s="24"/>
    </row>
    <row r="283" spans="1:13" ht="14.5">
      <c r="A283" s="20" t="s">
        <v>2650</v>
      </c>
      <c r="B283" s="81">
        <v>50</v>
      </c>
      <c r="C283" s="81">
        <v>70</v>
      </c>
      <c r="D283" s="79"/>
      <c r="E283" s="79"/>
      <c r="F283" s="20" t="s">
        <v>2651</v>
      </c>
      <c r="G283" s="24" t="str">
        <f ca="1">IFERROR(__xludf.DUMMYFUNCTION("UPPER(LEFT((GOOGLETRANSLATE(F283,""en"",""pt"")),1))&amp;RIGHT(lower((GOOGLETRANSLATE(F283,""en"",""pt""))),(LEN((GOOGLETRANSLATE(F283,""en"",""pt"")))-1))"),"Armazenamento de drenagem, tratamento e eliminação")</f>
        <v>Armazenamento de drenagem, tratamento e eliminação</v>
      </c>
      <c r="H283" s="24" t="e">
        <f>VLOOKUP(A283,En_Base_LNEC!$A$2:$E$10000,5,FALSE)</f>
        <v>#N/A</v>
      </c>
      <c r="I283" s="24"/>
      <c r="J283" s="79"/>
      <c r="K283" s="24"/>
      <c r="L283" s="24"/>
      <c r="M283" s="24"/>
    </row>
    <row r="284" spans="1:13" ht="14.5">
      <c r="A284" s="20" t="s">
        <v>2652</v>
      </c>
      <c r="B284" s="81">
        <v>50</v>
      </c>
      <c r="C284" s="81">
        <v>75</v>
      </c>
      <c r="D284" s="79"/>
      <c r="E284" s="79"/>
      <c r="F284" s="20" t="s">
        <v>2653</v>
      </c>
      <c r="G284" s="24" t="str">
        <f ca="1">IFERROR(__xludf.DUMMYFUNCTION("UPPER(LEFT((GOOGLETRANSLATE(F284,""en"",""pt"")),1))&amp;RIGHT(lower((GOOGLETRANSLATE(F284,""en"",""pt""))),(LEN((GOOGLETRANSLATE(F284,""en"",""pt"")))-1))"),"Águas residuais de armazenamento, tratamento e eliminação")</f>
        <v>Águas residuais de armazenamento, tratamento e eliminação</v>
      </c>
      <c r="H284" s="24" t="e">
        <f>VLOOKUP(A284,En_Base_LNEC!$A$2:$E$10000,5,FALSE)</f>
        <v>#N/A</v>
      </c>
      <c r="I284" s="24"/>
      <c r="J284" s="79"/>
      <c r="K284" s="24"/>
      <c r="L284" s="24"/>
      <c r="M284" s="24"/>
    </row>
    <row r="285" spans="1:13" ht="14.5">
      <c r="A285" s="20" t="s">
        <v>2654</v>
      </c>
      <c r="B285" s="81">
        <v>50</v>
      </c>
      <c r="C285" s="81">
        <v>75</v>
      </c>
      <c r="D285" s="81">
        <v>15</v>
      </c>
      <c r="E285" s="79"/>
      <c r="F285" s="20" t="s">
        <v>2655</v>
      </c>
      <c r="G285" s="24" t="str">
        <f ca="1">IFERROR(__xludf.DUMMYFUNCTION("UPPER(LEFT((GOOGLETRANSLATE(F285,""en"",""pt"")),1))&amp;RIGHT(lower((GOOGLETRANSLATE(F285,""en"",""pt""))),(LEN((GOOGLETRANSLATE(F285,""en"",""pt"")))-1))"),"Entidades de águas residuais")</f>
        <v>Entidades de águas residuais</v>
      </c>
      <c r="H285" s="24" t="e">
        <f>VLOOKUP(A285,En_Base_LNEC!$A$2:$E$10000,5,FALSE)</f>
        <v>#N/A</v>
      </c>
      <c r="I285" s="24"/>
      <c r="J285" s="79"/>
      <c r="K285" s="24"/>
      <c r="L285" s="24"/>
      <c r="M285" s="24"/>
    </row>
    <row r="286" spans="1:13" ht="14.5">
      <c r="A286" s="20" t="s">
        <v>2656</v>
      </c>
      <c r="B286" s="81">
        <v>50</v>
      </c>
      <c r="C286" s="81">
        <v>75</v>
      </c>
      <c r="D286" s="81">
        <v>40</v>
      </c>
      <c r="E286" s="79"/>
      <c r="F286" s="20" t="s">
        <v>2657</v>
      </c>
      <c r="G286" s="24" t="str">
        <f ca="1">IFERROR(__xludf.DUMMYFUNCTION("UPPER(LEFT((GOOGLETRANSLATE(F286,""en"",""pt"")),1))&amp;RIGHT(lower((GOOGLETRANSLATE(F286,""en"",""pt""))),(LEN((GOOGLETRANSLATE(F286,""en"",""pt"")))-1))"),"Edifícios tratamento de águas residuais")</f>
        <v>Edifícios tratamento de águas residuais</v>
      </c>
      <c r="H286" s="24" t="e">
        <f>VLOOKUP(A286,En_Base_LNEC!$A$2:$E$10000,5,FALSE)</f>
        <v>#N/A</v>
      </c>
      <c r="I286" s="24"/>
      <c r="J286" s="79"/>
      <c r="K286" s="24"/>
      <c r="L286" s="24"/>
      <c r="M286" s="24"/>
    </row>
    <row r="287" spans="1:13" ht="14.5">
      <c r="A287" s="20" t="s">
        <v>2658</v>
      </c>
      <c r="B287" s="81">
        <v>50</v>
      </c>
      <c r="C287" s="81">
        <v>75</v>
      </c>
      <c r="D287" s="81">
        <v>45</v>
      </c>
      <c r="E287" s="79"/>
      <c r="F287" s="20" t="s">
        <v>2659</v>
      </c>
      <c r="G287" s="24" t="str">
        <f ca="1">IFERROR(__xludf.DUMMYFUNCTION("UPPER(LEFT((GOOGLETRANSLATE(F287,""en"",""pt"")),1))&amp;RIGHT(lower((GOOGLETRANSLATE(F287,""en"",""pt""))),(LEN((GOOGLETRANSLATE(F287,""en"",""pt"")))-1))"),"Entidades de tratamento de esgoto")</f>
        <v>Entidades de tratamento de esgoto</v>
      </c>
      <c r="H287" s="24" t="e">
        <f>VLOOKUP(A287,En_Base_LNEC!$A$2:$E$10000,5,FALSE)</f>
        <v>#N/A</v>
      </c>
      <c r="I287" s="24"/>
      <c r="J287" s="79"/>
      <c r="K287" s="24"/>
      <c r="L287" s="24"/>
      <c r="M287" s="24"/>
    </row>
    <row r="288" spans="1:13" ht="14.5">
      <c r="A288" s="20" t="s">
        <v>2660</v>
      </c>
      <c r="B288" s="81">
        <v>50</v>
      </c>
      <c r="C288" s="81">
        <v>75</v>
      </c>
      <c r="D288" s="81">
        <v>70</v>
      </c>
      <c r="E288" s="79"/>
      <c r="F288" s="20" t="s">
        <v>2661</v>
      </c>
      <c r="G288" s="24" t="str">
        <f ca="1">IFERROR(__xludf.DUMMYFUNCTION("UPPER(LEFT((GOOGLETRANSLATE(F288,""en"",""pt"")),1))&amp;RIGHT(lower((GOOGLETRANSLATE(F288,""en"",""pt""))),(LEN((GOOGLETRANSLATE(F288,""en"",""pt"")))-1))"),"Edifícios eliminação de águas residuais")</f>
        <v>Edifícios eliminação de águas residuais</v>
      </c>
      <c r="H288" s="24" t="e">
        <f>VLOOKUP(A288,En_Base_LNEC!$A$2:$E$10000,5,FALSE)</f>
        <v>#N/A</v>
      </c>
      <c r="I288" s="24"/>
      <c r="J288" s="79"/>
      <c r="K288" s="24"/>
      <c r="L288" s="24"/>
      <c r="M288" s="24"/>
    </row>
    <row r="289" spans="1:13" ht="14.5">
      <c r="A289" s="20" t="s">
        <v>2662</v>
      </c>
      <c r="B289" s="81">
        <v>50</v>
      </c>
      <c r="C289" s="81">
        <v>80</v>
      </c>
      <c r="D289" s="79"/>
      <c r="E289" s="79"/>
      <c r="F289" s="20" t="s">
        <v>2663</v>
      </c>
      <c r="G289" s="24" t="str">
        <f ca="1">IFERROR(__xludf.DUMMYFUNCTION("UPPER(LEFT((GOOGLETRANSLATE(F289,""en"",""pt"")),1))&amp;RIGHT(lower((GOOGLETRANSLATE(F289,""en"",""pt""))),(LEN((GOOGLETRANSLATE(F289,""en"",""pt"")))-1))"),"Tratamento de resíduos secos e eliminação")</f>
        <v>Tratamento de resíduos secos e eliminação</v>
      </c>
      <c r="H289" s="24" t="str">
        <f>VLOOKUP(A289,En_Base_LNEC!$A$2:$E$10000,5,FALSE)</f>
        <v>Infraestruturas para tratamento e eliminação de resíduos</v>
      </c>
      <c r="I289" s="24"/>
      <c r="J289" s="79"/>
      <c r="K289" s="24"/>
      <c r="L289" s="24"/>
      <c r="M289" s="24"/>
    </row>
    <row r="290" spans="1:13" ht="14.5">
      <c r="A290" s="20" t="s">
        <v>2664</v>
      </c>
      <c r="B290" s="81">
        <v>50</v>
      </c>
      <c r="C290" s="81">
        <v>80</v>
      </c>
      <c r="D290" s="81">
        <v>40</v>
      </c>
      <c r="E290" s="79"/>
      <c r="F290" s="20" t="s">
        <v>2665</v>
      </c>
      <c r="G290" s="24" t="str">
        <f ca="1">IFERROR(__xludf.DUMMYFUNCTION("UPPER(LEFT((GOOGLETRANSLATE(F290,""en"",""pt"")),1))&amp;RIGHT(lower((GOOGLETRANSLATE(F290,""en"",""pt""))),(LEN((GOOGLETRANSLATE(F290,""en"",""pt"")))-1))"),"Estruturas de tratamento de resíduos secos")</f>
        <v>Estruturas de tratamento de resíduos secos</v>
      </c>
      <c r="H290" s="24" t="str">
        <f>VLOOKUP(A290,En_Base_LNEC!$A$2:$E$10000,5,FALSE)</f>
        <v>Infraestruturas para tratamento de resíduos</v>
      </c>
      <c r="I290" s="24"/>
      <c r="J290" s="79"/>
      <c r="K290" s="24"/>
      <c r="L290" s="24"/>
      <c r="M290" s="24"/>
    </row>
    <row r="291" spans="1:13" ht="14.5">
      <c r="A291" s="20" t="s">
        <v>2666</v>
      </c>
      <c r="B291" s="81">
        <v>50</v>
      </c>
      <c r="C291" s="81">
        <v>80</v>
      </c>
      <c r="D291" s="81">
        <v>70</v>
      </c>
      <c r="E291" s="79"/>
      <c r="F291" s="20" t="s">
        <v>2667</v>
      </c>
      <c r="G291" s="24" t="str">
        <f ca="1">IFERROR(__xludf.DUMMYFUNCTION("UPPER(LEFT((GOOGLETRANSLATE(F291,""en"",""pt"")),1))&amp;RIGHT(lower((GOOGLETRANSLATE(F291,""en"",""pt""))),(LEN((GOOGLETRANSLATE(F291,""en"",""pt"")))-1))"),"Estruturas de eliminação de resíduos secos")</f>
        <v>Estruturas de eliminação de resíduos secos</v>
      </c>
      <c r="H291" s="24" t="str">
        <f>VLOOKUP(A291,En_Base_LNEC!$A$2:$E$10000,5,FALSE)</f>
        <v>Infraestruturas para eliminação de resíduos</v>
      </c>
      <c r="I291" s="24"/>
      <c r="J291" s="79"/>
      <c r="K291" s="24"/>
      <c r="L291" s="24"/>
      <c r="M291" s="24"/>
    </row>
    <row r="292" spans="1:13" ht="14.5">
      <c r="A292" s="20" t="s">
        <v>2668</v>
      </c>
      <c r="B292" s="81">
        <v>55</v>
      </c>
      <c r="C292" s="79"/>
      <c r="D292" s="79"/>
      <c r="E292" s="79"/>
      <c r="F292" s="20" t="s">
        <v>2669</v>
      </c>
      <c r="G292" s="24" t="str">
        <f ca="1">IFERROR(__xludf.DUMMYFUNCTION("UPPER(LEFT((GOOGLETRANSLATE(F292,""en"",""pt"")),1))&amp;RIGHT(lower((GOOGLETRANSLATE(F292,""en"",""pt""))),(LEN((GOOGLETRANSLATE(F292,""en"",""pt"")))-1))"),"Entidades fornecimento suplementar")</f>
        <v>Entidades fornecimento suplementar</v>
      </c>
      <c r="H292" s="24" t="str">
        <f>VLOOKUP(A292,En_Base_LNEC!$A$2:$E$10000,5,FALSE)</f>
        <v>Infraestruturas de fornecimento</v>
      </c>
      <c r="I292" s="24"/>
      <c r="J292" s="79"/>
      <c r="K292" s="24"/>
      <c r="L292" s="24"/>
      <c r="M292" s="24"/>
    </row>
    <row r="293" spans="1:13" ht="14.5">
      <c r="A293" s="20" t="s">
        <v>2670</v>
      </c>
      <c r="B293" s="81">
        <v>55</v>
      </c>
      <c r="C293" s="81">
        <v>5</v>
      </c>
      <c r="D293" s="79"/>
      <c r="E293" s="79"/>
      <c r="F293" s="20" t="s">
        <v>2671</v>
      </c>
      <c r="G293" s="24" t="str">
        <f ca="1">IFERROR(__xludf.DUMMYFUNCTION("UPPER(LEFT((GOOGLETRANSLATE(F293,""en"",""pt"")),1))&amp;RIGHT(lower((GOOGLETRANSLATE(F293,""en"",""pt""))),(LEN((GOOGLETRANSLATE(F293,""en"",""pt"")))-1))"),"Extracção de gás, tratamento e armazenamento")</f>
        <v>Extracção de gás, tratamento e armazenamento</v>
      </c>
      <c r="H293" s="24" t="e">
        <f>VLOOKUP(A293,En_Base_LNEC!$A$2:$E$10000,5,FALSE)</f>
        <v>#N/A</v>
      </c>
      <c r="I293" s="24"/>
      <c r="J293" s="79"/>
      <c r="K293" s="24"/>
      <c r="L293" s="24"/>
      <c r="M293" s="24"/>
    </row>
    <row r="294" spans="1:13" ht="14.5">
      <c r="A294" s="20" t="s">
        <v>2672</v>
      </c>
      <c r="B294" s="81">
        <v>55</v>
      </c>
      <c r="C294" s="81">
        <v>5</v>
      </c>
      <c r="D294" s="81">
        <v>30</v>
      </c>
      <c r="E294" s="79"/>
      <c r="F294" s="20" t="s">
        <v>2673</v>
      </c>
      <c r="G294" s="24" t="str">
        <f ca="1">IFERROR(__xludf.DUMMYFUNCTION("UPPER(LEFT((GOOGLETRANSLATE(F294,""en"",""pt"")),1))&amp;RIGHT(lower((GOOGLETRANSLATE(F294,""en"",""pt""))),(LEN((GOOGLETRANSLATE(F294,""en"",""pt"")))-1))"),"Estruturas de extracção de gás")</f>
        <v>Estruturas de extracção de gás</v>
      </c>
      <c r="H294" s="24" t="e">
        <f>VLOOKUP(A294,En_Base_LNEC!$A$2:$E$10000,5,FALSE)</f>
        <v>#N/A</v>
      </c>
      <c r="I294" s="24"/>
      <c r="J294" s="79"/>
      <c r="K294" s="24"/>
      <c r="L294" s="24"/>
      <c r="M294" s="24"/>
    </row>
    <row r="295" spans="1:13" ht="14.5">
      <c r="A295" s="20" t="s">
        <v>2674</v>
      </c>
      <c r="B295" s="81">
        <v>55</v>
      </c>
      <c r="C295" s="81">
        <v>5</v>
      </c>
      <c r="D295" s="81">
        <v>35</v>
      </c>
      <c r="E295" s="79"/>
      <c r="F295" s="20" t="s">
        <v>2675</v>
      </c>
      <c r="G295" s="24" t="str">
        <f ca="1">IFERROR(__xludf.DUMMYFUNCTION("UPPER(LEFT((GOOGLETRANSLATE(F295,""en"",""pt"")),1))&amp;RIGHT(lower((GOOGLETRANSLATE(F295,""en"",""pt""))),(LEN((GOOGLETRANSLATE(F295,""en"",""pt"")))-1))"),"Recipientes de extracção de gás")</f>
        <v>Recipientes de extracção de gás</v>
      </c>
      <c r="H295" s="24" t="e">
        <f>VLOOKUP(A295,En_Base_LNEC!$A$2:$E$10000,5,FALSE)</f>
        <v>#N/A</v>
      </c>
      <c r="I295" s="20" t="s">
        <v>2676</v>
      </c>
      <c r="J295" s="81" t="s">
        <v>2004</v>
      </c>
      <c r="K295" s="24"/>
      <c r="L295" s="24"/>
      <c r="M295" s="24"/>
    </row>
    <row r="296" spans="1:13" ht="14.5">
      <c r="A296" s="20" t="s">
        <v>2677</v>
      </c>
      <c r="B296" s="81">
        <v>55</v>
      </c>
      <c r="C296" s="81">
        <v>5</v>
      </c>
      <c r="D296" s="81">
        <v>38</v>
      </c>
      <c r="E296" s="79"/>
      <c r="F296" s="20" t="s">
        <v>2678</v>
      </c>
      <c r="G296" s="24" t="str">
        <f ca="1">IFERROR(__xludf.DUMMYFUNCTION("UPPER(LEFT((GOOGLETRANSLATE(F296,""en"",""pt"")),1))&amp;RIGHT(lower((GOOGLETRANSLATE(F296,""en"",""pt""))),(LEN((GOOGLETRANSLATE(F296,""en"",""pt"")))-1))"),"Condutas de extracção de gás")</f>
        <v>Condutas de extracção de gás</v>
      </c>
      <c r="H296" s="24" t="e">
        <f>VLOOKUP(A296,En_Base_LNEC!$A$2:$E$10000,5,FALSE)</f>
        <v>#N/A</v>
      </c>
      <c r="I296" s="24" t="s">
        <v>2679</v>
      </c>
      <c r="J296" s="81" t="s">
        <v>2004</v>
      </c>
      <c r="K296" s="24"/>
      <c r="L296" s="24"/>
      <c r="M296" s="24"/>
    </row>
    <row r="297" spans="1:13" ht="14.5">
      <c r="A297" s="20" t="s">
        <v>2680</v>
      </c>
      <c r="B297" s="81">
        <v>55</v>
      </c>
      <c r="C297" s="81">
        <v>5</v>
      </c>
      <c r="D297" s="81">
        <v>70</v>
      </c>
      <c r="E297" s="79"/>
      <c r="F297" s="20" t="s">
        <v>2681</v>
      </c>
      <c r="G297" s="24" t="str">
        <f ca="1">IFERROR(__xludf.DUMMYFUNCTION("UPPER(LEFT((GOOGLETRANSLATE(F297,""en"",""pt"")),1))&amp;RIGHT(lower((GOOGLETRANSLATE(F297,""en"",""pt""))),(LEN((GOOGLETRANSLATE(F297,""en"",""pt"")))-1))"),"Edifícios de tratamento de gás")</f>
        <v>Edifícios de tratamento de gás</v>
      </c>
      <c r="H297" s="24" t="e">
        <f>VLOOKUP(A297,En_Base_LNEC!$A$2:$E$10000,5,FALSE)</f>
        <v>#N/A</v>
      </c>
      <c r="I297" s="20" t="s">
        <v>2682</v>
      </c>
      <c r="J297" s="81" t="s">
        <v>2004</v>
      </c>
      <c r="K297" s="24"/>
      <c r="L297" s="24"/>
      <c r="M297" s="24"/>
    </row>
    <row r="298" spans="1:13" ht="14.5">
      <c r="A298" s="20" t="s">
        <v>2683</v>
      </c>
      <c r="B298" s="81">
        <v>55</v>
      </c>
      <c r="C298" s="81">
        <v>5</v>
      </c>
      <c r="D298" s="81">
        <v>75</v>
      </c>
      <c r="E298" s="79"/>
      <c r="F298" s="20" t="s">
        <v>2684</v>
      </c>
      <c r="G298" s="24" t="str">
        <f ca="1">IFERROR(__xludf.DUMMYFUNCTION("UPPER(LEFT((GOOGLETRANSLATE(F298,""en"",""pt"")),1))&amp;RIGHT(lower((GOOGLETRANSLATE(F298,""en"",""pt""))),(LEN((GOOGLETRANSLATE(F298,""en"",""pt"")))-1))"),"Instalação de tratamento de gás")</f>
        <v>Instalação de tratamento de gás</v>
      </c>
      <c r="H298" s="24" t="e">
        <f>VLOOKUP(A298,En_Base_LNEC!$A$2:$E$10000,5,FALSE)</f>
        <v>#N/A</v>
      </c>
      <c r="I298" s="20" t="s">
        <v>2685</v>
      </c>
      <c r="J298" s="81" t="s">
        <v>2004</v>
      </c>
      <c r="K298" s="24"/>
      <c r="L298" s="24"/>
      <c r="M298" s="24"/>
    </row>
    <row r="299" spans="1:13" ht="14.5">
      <c r="A299" s="20" t="s">
        <v>2686</v>
      </c>
      <c r="B299" s="81">
        <v>55</v>
      </c>
      <c r="C299" s="81">
        <v>5</v>
      </c>
      <c r="D299" s="81">
        <v>78</v>
      </c>
      <c r="E299" s="79"/>
      <c r="F299" s="20" t="s">
        <v>2687</v>
      </c>
      <c r="G299" s="24" t="str">
        <f ca="1">IFERROR(__xludf.DUMMYFUNCTION("UPPER(LEFT((GOOGLETRANSLATE(F299,""en"",""pt"")),1))&amp;RIGHT(lower((GOOGLETRANSLATE(F299,""en"",""pt""))),(LEN((GOOGLETRANSLATE(F299,""en"",""pt"")))-1))"),"Condutas de gás de tratamento")</f>
        <v>Condutas de gás de tratamento</v>
      </c>
      <c r="H299" s="24" t="e">
        <f>VLOOKUP(A299,En_Base_LNEC!$A$2:$E$10000,5,FALSE)</f>
        <v>#N/A</v>
      </c>
      <c r="I299" s="24"/>
      <c r="J299" s="79"/>
      <c r="K299" s="24"/>
      <c r="L299" s="24"/>
      <c r="M299" s="24"/>
    </row>
    <row r="300" spans="1:13" ht="14.5">
      <c r="A300" s="20" t="s">
        <v>2688</v>
      </c>
      <c r="B300" s="81">
        <v>55</v>
      </c>
      <c r="C300" s="81">
        <v>10</v>
      </c>
      <c r="D300" s="79"/>
      <c r="E300" s="79"/>
      <c r="F300" s="20" t="s">
        <v>2689</v>
      </c>
      <c r="G300" s="24" t="str">
        <f ca="1">IFERROR(__xludf.DUMMYFUNCTION("UPPER(LEFT((GOOGLETRANSLATE(F300,""en"",""pt"")),1))&amp;RIGHT(lower((GOOGLETRANSLATE(F300,""en"",""pt""))),(LEN((GOOGLETRANSLATE(F300,""en"",""pt"")))-1))"),"Entidades de extração de combustível líquido e de tratamento")</f>
        <v>Entidades de extração de combustível líquido e de tratamento</v>
      </c>
      <c r="H300" s="24" t="e">
        <f>VLOOKUP(A300,En_Base_LNEC!$A$2:$E$10000,5,FALSE)</f>
        <v>#N/A</v>
      </c>
      <c r="I300" s="24"/>
      <c r="J300" s="79"/>
      <c r="K300" s="24"/>
      <c r="L300" s="24"/>
      <c r="M300" s="24"/>
    </row>
    <row r="301" spans="1:13" ht="14.5">
      <c r="A301" s="20" t="s">
        <v>2690</v>
      </c>
      <c r="B301" s="81">
        <v>55</v>
      </c>
      <c r="C301" s="81">
        <v>10</v>
      </c>
      <c r="D301" s="81">
        <v>10</v>
      </c>
      <c r="E301" s="79"/>
      <c r="F301" s="20" t="s">
        <v>2691</v>
      </c>
      <c r="G301" s="24" t="str">
        <f ca="1">IFERROR(__xludf.DUMMYFUNCTION("UPPER(LEFT((GOOGLETRANSLATE(F301,""en"",""pt"")),1))&amp;RIGHT(lower((GOOGLETRANSLATE(F301,""en"",""pt""))),(LEN((GOOGLETRANSLATE(F301,""en"",""pt"")))-1))"),"Estruturas de extração de petróleo")</f>
        <v>Estruturas de extração de petróleo</v>
      </c>
      <c r="H301" s="24" t="e">
        <f>VLOOKUP(A301,En_Base_LNEC!$A$2:$E$10000,5,FALSE)</f>
        <v>#N/A</v>
      </c>
      <c r="I301" s="24"/>
      <c r="J301" s="79"/>
      <c r="K301" s="24"/>
      <c r="L301" s="24"/>
      <c r="M301" s="24"/>
    </row>
    <row r="302" spans="1:13" ht="14.5">
      <c r="A302" s="20" t="s">
        <v>2692</v>
      </c>
      <c r="B302" s="81">
        <v>55</v>
      </c>
      <c r="C302" s="81">
        <v>10</v>
      </c>
      <c r="D302" s="81">
        <v>50</v>
      </c>
      <c r="E302" s="79"/>
      <c r="F302" s="20" t="s">
        <v>2693</v>
      </c>
      <c r="G302" s="24" t="str">
        <f ca="1">IFERROR(__xludf.DUMMYFUNCTION("UPPER(LEFT((GOOGLETRANSLATE(F302,""en"",""pt"")),1))&amp;RIGHT(lower((GOOGLETRANSLATE(F302,""en"",""pt""))),(LEN((GOOGLETRANSLATE(F302,""en"",""pt"")))-1))"),"Edifícios de tratamento de combustível")</f>
        <v>Edifícios de tratamento de combustível</v>
      </c>
      <c r="H302" s="24" t="e">
        <f>VLOOKUP(A302,En_Base_LNEC!$A$2:$E$10000,5,FALSE)</f>
        <v>#N/A</v>
      </c>
      <c r="I302" s="24"/>
      <c r="J302" s="79"/>
      <c r="K302" s="24"/>
      <c r="L302" s="24"/>
      <c r="M302" s="24"/>
    </row>
    <row r="303" spans="1:13" ht="14.5">
      <c r="A303" s="20" t="s">
        <v>2694</v>
      </c>
      <c r="B303" s="81">
        <v>55</v>
      </c>
      <c r="C303" s="81">
        <v>10</v>
      </c>
      <c r="D303" s="81">
        <v>55</v>
      </c>
      <c r="E303" s="79"/>
      <c r="F303" s="20" t="s">
        <v>2695</v>
      </c>
      <c r="G303" s="24" t="str">
        <f ca="1">IFERROR(__xludf.DUMMYFUNCTION("UPPER(LEFT((GOOGLETRANSLATE(F303,""en"",""pt"")),1))&amp;RIGHT(lower((GOOGLETRANSLATE(F303,""en"",""pt""))),(LEN((GOOGLETRANSLATE(F303,""en"",""pt"")))-1))"),"Tanques de combustível de tratamento")</f>
        <v>Tanques de combustível de tratamento</v>
      </c>
      <c r="H303" s="24" t="e">
        <f>VLOOKUP(A303,En_Base_LNEC!$A$2:$E$10000,5,FALSE)</f>
        <v>#N/A</v>
      </c>
      <c r="I303" s="24"/>
      <c r="J303" s="79"/>
      <c r="K303" s="24"/>
      <c r="L303" s="24"/>
      <c r="M303" s="24"/>
    </row>
    <row r="304" spans="1:13" ht="14.5">
      <c r="A304" s="20" t="s">
        <v>2696</v>
      </c>
      <c r="B304" s="81">
        <v>55</v>
      </c>
      <c r="C304" s="81">
        <v>10</v>
      </c>
      <c r="D304" s="81">
        <v>58</v>
      </c>
      <c r="E304" s="79"/>
      <c r="F304" s="20" t="s">
        <v>2697</v>
      </c>
      <c r="G304" s="24" t="str">
        <f ca="1">IFERROR(__xludf.DUMMYFUNCTION("UPPER(LEFT((GOOGLETRANSLATE(F304,""en"",""pt"")),1))&amp;RIGHT(lower((GOOGLETRANSLATE(F304,""en"",""pt""))),(LEN((GOOGLETRANSLATE(F304,""en"",""pt"")))-1))"),"Dutos de tratamento de combustível")</f>
        <v>Dutos de tratamento de combustível</v>
      </c>
      <c r="H304" s="24" t="e">
        <f>VLOOKUP(A304,En_Base_LNEC!$A$2:$E$10000,5,FALSE)</f>
        <v>#N/A</v>
      </c>
      <c r="I304" s="24"/>
      <c r="J304" s="79"/>
      <c r="K304" s="24"/>
      <c r="L304" s="24"/>
      <c r="M304" s="24"/>
    </row>
    <row r="305" spans="1:13" ht="14.5">
      <c r="A305" s="20" t="s">
        <v>2698</v>
      </c>
      <c r="B305" s="81">
        <v>55</v>
      </c>
      <c r="C305" s="81">
        <v>15</v>
      </c>
      <c r="D305" s="79"/>
      <c r="E305" s="79"/>
      <c r="F305" s="20" t="s">
        <v>2699</v>
      </c>
      <c r="G305" s="24" t="str">
        <f ca="1">IFERROR(__xludf.DUMMYFUNCTION("UPPER(LEFT((GOOGLETRANSLATE(F305,""en"",""pt"")),1))&amp;RIGHT(lower((GOOGLETRANSLATE(F305,""en"",""pt""))),(LEN((GOOGLETRANSLATE(F305,""en"",""pt"")))-1))"),"Entidades de extracção e de tratamento de águas")</f>
        <v>Entidades de extracção e de tratamento de águas</v>
      </c>
      <c r="H305" s="24" t="str">
        <f>VLOOKUP(A305,En_Base_LNEC!$A$2:$E$10000,5,FALSE)</f>
        <v>Infraestruturas de extração e tratamento de água</v>
      </c>
      <c r="I305" s="24"/>
      <c r="J305" s="79"/>
      <c r="K305" s="24"/>
      <c r="L305" s="24"/>
      <c r="M305" s="24"/>
    </row>
    <row r="306" spans="1:13" ht="14.5">
      <c r="A306" s="20" t="s">
        <v>2700</v>
      </c>
      <c r="B306" s="81">
        <v>55</v>
      </c>
      <c r="C306" s="81">
        <v>15</v>
      </c>
      <c r="D306" s="81">
        <v>10</v>
      </c>
      <c r="E306" s="79"/>
      <c r="F306" s="20" t="s">
        <v>2701</v>
      </c>
      <c r="G306" s="24" t="str">
        <f ca="1">IFERROR(__xludf.DUMMYFUNCTION("UPPER(LEFT((GOOGLETRANSLATE(F306,""en"",""pt"")),1))&amp;RIGHT(lower((GOOGLETRANSLATE(F306,""en"",""pt""))),(LEN((GOOGLETRANSLATE(F306,""en"",""pt"")))-1))"),"Edifícios extração de água")</f>
        <v>Edifícios extração de água</v>
      </c>
      <c r="H306" s="24" t="str">
        <f>VLOOKUP(A306,En_Base_LNEC!$A$2:$E$10000,5,FALSE)</f>
        <v>Estações de captação, elevação e filtração de água</v>
      </c>
      <c r="I306" s="24"/>
      <c r="J306" s="79"/>
      <c r="K306" s="24"/>
      <c r="L306" s="24"/>
      <c r="M306" s="24"/>
    </row>
    <row r="307" spans="1:13" ht="14.5">
      <c r="A307" s="20" t="s">
        <v>2702</v>
      </c>
      <c r="B307" s="81">
        <v>55</v>
      </c>
      <c r="C307" s="81">
        <v>15</v>
      </c>
      <c r="D307" s="81">
        <v>15</v>
      </c>
      <c r="E307" s="79"/>
      <c r="F307" s="20" t="s">
        <v>2703</v>
      </c>
      <c r="G307" s="24" t="str">
        <f ca="1">IFERROR(__xludf.DUMMYFUNCTION("UPPER(LEFT((GOOGLETRANSLATE(F307,""en"",""pt"")),1))&amp;RIGHT(lower((GOOGLETRANSLATE(F307,""en"",""pt""))),(LEN((GOOGLETRANSLATE(F307,""en"",""pt"")))-1))"),"Tanques de água de extracção")</f>
        <v>Tanques de água de extracção</v>
      </c>
      <c r="H307" s="24" t="e">
        <f>VLOOKUP(A307,En_Base_LNEC!$A$2:$E$10000,5,FALSE)</f>
        <v>#N/A</v>
      </c>
      <c r="I307" s="24"/>
      <c r="J307" s="79"/>
      <c r="K307" s="24"/>
      <c r="L307" s="24"/>
      <c r="M307" s="24"/>
    </row>
    <row r="308" spans="1:13" ht="14.5">
      <c r="A308" s="20" t="s">
        <v>2704</v>
      </c>
      <c r="B308" s="81">
        <v>55</v>
      </c>
      <c r="C308" s="81">
        <v>15</v>
      </c>
      <c r="D308" s="81">
        <v>20</v>
      </c>
      <c r="E308" s="79"/>
      <c r="F308" s="20" t="s">
        <v>2705</v>
      </c>
      <c r="G308" s="24" t="str">
        <f ca="1">IFERROR(__xludf.DUMMYFUNCTION("UPPER(LEFT((GOOGLETRANSLATE(F308,""en"",""pt"")),1))&amp;RIGHT(lower((GOOGLETRANSLATE(F308,""en"",""pt""))),(LEN((GOOGLETRANSLATE(F308,""en"",""pt"")))-1))"),"Condutas de extracção de água")</f>
        <v>Condutas de extracção de água</v>
      </c>
      <c r="H308" s="24" t="e">
        <f>VLOOKUP(A308,En_Base_LNEC!$A$2:$E$10000,5,FALSE)</f>
        <v>#N/A</v>
      </c>
      <c r="I308" s="24" t="s">
        <v>2706</v>
      </c>
      <c r="J308" s="81" t="s">
        <v>2004</v>
      </c>
      <c r="K308" s="24"/>
      <c r="L308" s="24"/>
      <c r="M308" s="24"/>
    </row>
    <row r="309" spans="1:13" ht="14.5">
      <c r="A309" s="20" t="s">
        <v>2707</v>
      </c>
      <c r="B309" s="81">
        <v>55</v>
      </c>
      <c r="C309" s="81">
        <v>15</v>
      </c>
      <c r="D309" s="81">
        <v>50</v>
      </c>
      <c r="E309" s="79"/>
      <c r="F309" s="20" t="s">
        <v>2708</v>
      </c>
      <c r="G309" s="24" t="str">
        <f ca="1">IFERROR(__xludf.DUMMYFUNCTION("UPPER(LEFT((GOOGLETRANSLATE(F309,""en"",""pt"")),1))&amp;RIGHT(lower((GOOGLETRANSLATE(F309,""en"",""pt""))),(LEN((GOOGLETRANSLATE(F309,""en"",""pt"")))-1))"),"Edifícios de tratamento de água")</f>
        <v>Edifícios de tratamento de água</v>
      </c>
      <c r="H309" s="24" t="str">
        <f>VLOOKUP(A309,En_Base_LNEC!$A$2:$E$10000,5,FALSE)</f>
        <v>Estações de tratamento de água</v>
      </c>
      <c r="I309" s="24"/>
      <c r="J309" s="79"/>
      <c r="K309" s="24"/>
      <c r="L309" s="24"/>
      <c r="M309" s="24"/>
    </row>
    <row r="310" spans="1:13" ht="14.5">
      <c r="A310" s="20" t="s">
        <v>2709</v>
      </c>
      <c r="B310" s="81">
        <v>55</v>
      </c>
      <c r="C310" s="81">
        <v>15</v>
      </c>
      <c r="D310" s="81">
        <v>55</v>
      </c>
      <c r="E310" s="79"/>
      <c r="F310" s="20" t="s">
        <v>2710</v>
      </c>
      <c r="G310" s="24" t="str">
        <f ca="1">IFERROR(__xludf.DUMMYFUNCTION("UPPER(LEFT((GOOGLETRANSLATE(F310,""en"",""pt"")),1))&amp;RIGHT(lower((GOOGLETRANSLATE(F310,""en"",""pt""))),(LEN((GOOGLETRANSLATE(F310,""en"",""pt"")))-1))"),"Tanques de tratamento de águas")</f>
        <v>Tanques de tratamento de águas</v>
      </c>
      <c r="H310" s="24" t="e">
        <f>VLOOKUP(A310,En_Base_LNEC!$A$2:$E$10000,5,FALSE)</f>
        <v>#N/A</v>
      </c>
      <c r="I310" s="24"/>
      <c r="J310" s="79"/>
      <c r="K310" s="24"/>
      <c r="L310" s="24"/>
      <c r="M310" s="24"/>
    </row>
    <row r="311" spans="1:13" ht="14.5">
      <c r="A311" s="20" t="s">
        <v>2711</v>
      </c>
      <c r="B311" s="81">
        <v>55</v>
      </c>
      <c r="C311" s="81">
        <v>20</v>
      </c>
      <c r="D311" s="79"/>
      <c r="E311" s="79"/>
      <c r="F311" s="20" t="s">
        <v>2712</v>
      </c>
      <c r="G311" s="24" t="str">
        <f ca="1">IFERROR(__xludf.DUMMYFUNCTION("UPPER(LEFT((GOOGLETRANSLATE(F311,""en"",""pt"")),1))&amp;RIGHT(lower((GOOGLETRANSLATE(F311,""en"",""pt""))),(LEN((GOOGLETRANSLATE(F311,""en"",""pt"")))-1))"),"Entidades de fornecimento de gás")</f>
        <v>Entidades de fornecimento de gás</v>
      </c>
      <c r="H311" s="24" t="str">
        <f>VLOOKUP(A311,En_Base_LNEC!$A$2:$E$10000,5,FALSE)</f>
        <v>Gasodutos</v>
      </c>
      <c r="I311" s="24"/>
      <c r="J311" s="79"/>
      <c r="K311" s="24"/>
      <c r="L311" s="24"/>
      <c r="M311" s="24"/>
    </row>
    <row r="312" spans="1:13" ht="14.5">
      <c r="A312" s="20" t="s">
        <v>2713</v>
      </c>
      <c r="B312" s="81">
        <v>55</v>
      </c>
      <c r="C312" s="81">
        <v>20</v>
      </c>
      <c r="D312" s="81">
        <v>50</v>
      </c>
      <c r="E312" s="79"/>
      <c r="F312" s="20" t="s">
        <v>2714</v>
      </c>
      <c r="G312" s="24" t="str">
        <f ca="1">IFERROR(__xludf.DUMMYFUNCTION("UPPER(LEFT((GOOGLETRANSLATE(F312,""en"",""pt"")),1))&amp;RIGHT(lower((GOOGLETRANSLATE(F312,""en"",""pt""))),(LEN((GOOGLETRANSLATE(F312,""en"",""pt"")))-1))"),"Estruturas de distribuição de gás")</f>
        <v>Estruturas de distribuição de gás</v>
      </c>
      <c r="H312" s="24" t="str">
        <f>VLOOKUP(A312,En_Base_LNEC!$A$2:$E$10000,5,FALSE)</f>
        <v>Estações de compressão para transporte por gasodutos</v>
      </c>
      <c r="I312" s="24"/>
      <c r="J312" s="79"/>
      <c r="K312" s="24"/>
      <c r="L312" s="24"/>
      <c r="M312" s="24"/>
    </row>
    <row r="313" spans="1:13" ht="14.5">
      <c r="A313" s="20" t="s">
        <v>2715</v>
      </c>
      <c r="B313" s="81">
        <v>55</v>
      </c>
      <c r="C313" s="81">
        <v>20</v>
      </c>
      <c r="D313" s="81">
        <v>60</v>
      </c>
      <c r="E313" s="79"/>
      <c r="F313" s="20" t="s">
        <v>2716</v>
      </c>
      <c r="G313" s="24" t="str">
        <f ca="1">IFERROR(__xludf.DUMMYFUNCTION("UPPER(LEFT((GOOGLETRANSLATE(F313,""en"",""pt"")),1))&amp;RIGHT(lower((GOOGLETRANSLATE(F313,""en"",""pt""))),(LEN((GOOGLETRANSLATE(F313,""en"",""pt"")))-1))"),"As condutas de distribuição de gás")</f>
        <v>As condutas de distribuição de gás</v>
      </c>
      <c r="H313" s="24" t="str">
        <f>VLOOKUP(A313,En_Base_LNEC!$A$2:$E$10000,5,FALSE)</f>
        <v>Gasodutos</v>
      </c>
      <c r="I313" s="24" t="s">
        <v>1079</v>
      </c>
      <c r="J313" s="79"/>
      <c r="K313" s="24"/>
      <c r="L313" s="24"/>
      <c r="M313" s="24"/>
    </row>
    <row r="314" spans="1:13" ht="14.5">
      <c r="A314" s="20" t="s">
        <v>2717</v>
      </c>
      <c r="B314" s="81">
        <v>55</v>
      </c>
      <c r="C314" s="81">
        <v>30</v>
      </c>
      <c r="D314" s="79"/>
      <c r="E314" s="79"/>
      <c r="F314" s="20" t="s">
        <v>2718</v>
      </c>
      <c r="G314" s="24" t="str">
        <f ca="1">IFERROR(__xludf.DUMMYFUNCTION("UPPER(LEFT((GOOGLETRANSLATE(F314,""en"",""pt"")),1))&amp;RIGHT(lower((GOOGLETRANSLATE(F314,""en"",""pt""))),(LEN((GOOGLETRANSLATE(F314,""en"",""pt"")))-1))"),"Entidades de abastecimento de extinção de incêndios")</f>
        <v>Entidades de abastecimento de extinção de incêndios</v>
      </c>
      <c r="H314" s="24" t="e">
        <f>VLOOKUP(A314,En_Base_LNEC!$A$2:$E$10000,5,FALSE)</f>
        <v>#N/A</v>
      </c>
      <c r="I314" s="24"/>
      <c r="J314" s="79"/>
      <c r="K314" s="24"/>
      <c r="L314" s="24"/>
      <c r="M314" s="24"/>
    </row>
    <row r="315" spans="1:13" ht="14.5">
      <c r="A315" s="20" t="s">
        <v>2719</v>
      </c>
      <c r="B315" s="81">
        <v>55</v>
      </c>
      <c r="C315" s="81">
        <v>40</v>
      </c>
      <c r="D315" s="79"/>
      <c r="E315" s="79"/>
      <c r="F315" s="20" t="s">
        <v>2720</v>
      </c>
      <c r="G315" s="24" t="str">
        <f ca="1">IFERROR(__xludf.DUMMYFUNCTION("UPPER(LEFT((GOOGLETRANSLATE(F315,""en"",""pt"")),1))&amp;RIGHT(lower((GOOGLETRANSLATE(F315,""en"",""pt""))),(LEN((GOOGLETRANSLATE(F315,""en"",""pt"")))-1))"),"Entidades de fornecimento de vapor")</f>
        <v>Entidades de fornecimento de vapor</v>
      </c>
      <c r="H315" s="24" t="e">
        <f>VLOOKUP(A315,En_Base_LNEC!$A$2:$E$10000,5,FALSE)</f>
        <v>#N/A</v>
      </c>
      <c r="I315" s="24"/>
      <c r="J315" s="79"/>
      <c r="K315" s="24"/>
      <c r="L315" s="24"/>
      <c r="M315" s="24"/>
    </row>
    <row r="316" spans="1:13" ht="14.5">
      <c r="A316" s="20" t="s">
        <v>2721</v>
      </c>
      <c r="B316" s="81">
        <v>55</v>
      </c>
      <c r="C316" s="81">
        <v>50</v>
      </c>
      <c r="D316" s="79"/>
      <c r="E316" s="79"/>
      <c r="F316" s="20" t="s">
        <v>2722</v>
      </c>
      <c r="G316" s="24" t="str">
        <f ca="1">IFERROR(__xludf.DUMMYFUNCTION("UPPER(LEFT((GOOGLETRANSLATE(F316,""en"",""pt"")),1))&amp;RIGHT(lower((GOOGLETRANSLATE(F316,""en"",""pt""))),(LEN((GOOGLETRANSLATE(F316,""en"",""pt"")))-1))"),"Entidades de abastecimento de combustíveis líquidos")</f>
        <v>Entidades de abastecimento de combustíveis líquidos</v>
      </c>
      <c r="H316" s="24" t="str">
        <f>VLOOKUP(A316,En_Base_LNEC!$A$2:$E$10000,5,FALSE)</f>
        <v>Oleodutos</v>
      </c>
      <c r="I316" s="24"/>
      <c r="J316" s="79"/>
      <c r="K316" s="24"/>
      <c r="L316" s="24"/>
      <c r="M316" s="24"/>
    </row>
    <row r="317" spans="1:13" ht="14.5">
      <c r="A317" s="20" t="s">
        <v>2723</v>
      </c>
      <c r="B317" s="81">
        <v>55</v>
      </c>
      <c r="C317" s="81">
        <v>50</v>
      </c>
      <c r="D317" s="81">
        <v>20</v>
      </c>
      <c r="E317" s="79"/>
      <c r="F317" s="20" t="s">
        <v>2724</v>
      </c>
      <c r="G317" s="24" t="str">
        <f ca="1">IFERROR(__xludf.DUMMYFUNCTION("UPPER(LEFT((GOOGLETRANSLATE(F317,""en"",""pt"")),1))&amp;RIGHT(lower((GOOGLETRANSLATE(F317,""en"",""pt""))),(LEN((GOOGLETRANSLATE(F317,""en"",""pt"")))-1))"),"Condutas de distribuição de combustível")</f>
        <v>Condutas de distribuição de combustível</v>
      </c>
      <c r="H317" s="24" t="e">
        <f>VLOOKUP(A317,En_Base_LNEC!$A$2:$E$10000,5,FALSE)</f>
        <v>#N/A</v>
      </c>
      <c r="I317" s="24"/>
      <c r="J317" s="79"/>
      <c r="K317" s="24"/>
      <c r="L317" s="24"/>
      <c r="M317" s="24"/>
    </row>
    <row r="318" spans="1:13" ht="14.5">
      <c r="A318" s="20" t="s">
        <v>2725</v>
      </c>
      <c r="B318" s="81">
        <v>55</v>
      </c>
      <c r="C318" s="81">
        <v>50</v>
      </c>
      <c r="D318" s="81">
        <v>45</v>
      </c>
      <c r="E318" s="79"/>
      <c r="F318" s="20" t="s">
        <v>2726</v>
      </c>
      <c r="G318" s="24" t="str">
        <f ca="1">IFERROR(__xludf.DUMMYFUNCTION("UPPER(LEFT((GOOGLETRANSLATE(F318,""en"",""pt"")),1))&amp;RIGHT(lower((GOOGLETRANSLATE(F318,""en"",""pt""))),(LEN((GOOGLETRANSLATE(F318,""en"",""pt"")))-1))"),"Edifícios de distribuição de combustíveis líquidos")</f>
        <v>Edifícios de distribuição de combustíveis líquidos</v>
      </c>
      <c r="H318" s="24" t="e">
        <f>VLOOKUP(A318,En_Base_LNEC!$A$2:$E$10000,5,FALSE)</f>
        <v>#N/A</v>
      </c>
      <c r="I318" s="24"/>
      <c r="J318" s="79"/>
      <c r="K318" s="24"/>
      <c r="L318" s="24"/>
      <c r="M318" s="24"/>
    </row>
    <row r="319" spans="1:13" ht="14.5">
      <c r="A319" s="20" t="s">
        <v>2727</v>
      </c>
      <c r="B319" s="81">
        <v>55</v>
      </c>
      <c r="C319" s="81">
        <v>60</v>
      </c>
      <c r="D319" s="79"/>
      <c r="E319" s="79"/>
      <c r="F319" s="20" t="s">
        <v>2728</v>
      </c>
      <c r="G319" s="24" t="str">
        <f ca="1">IFERROR(__xludf.DUMMYFUNCTION("UPPER(LEFT((GOOGLETRANSLATE(F319,""en"",""pt"")),1))&amp;RIGHT(lower((GOOGLETRANSLATE(F319,""en"",""pt""))),(LEN((GOOGLETRANSLATE(F319,""en"",""pt"")))-1))"),"Processar entidades de fornecimento de líquido")</f>
        <v>Processar entidades de fornecimento de líquido</v>
      </c>
      <c r="H319" s="24" t="e">
        <f>VLOOKUP(A319,En_Base_LNEC!$A$2:$E$10000,5,FALSE)</f>
        <v>#N/A</v>
      </c>
      <c r="I319" s="24"/>
      <c r="J319" s="79"/>
      <c r="K319" s="24"/>
      <c r="L319" s="24"/>
      <c r="M319" s="24"/>
    </row>
    <row r="320" spans="1:13" ht="14.5">
      <c r="A320" s="20" t="s">
        <v>2729</v>
      </c>
      <c r="B320" s="81">
        <v>55</v>
      </c>
      <c r="C320" s="81">
        <v>70</v>
      </c>
      <c r="D320" s="79"/>
      <c r="E320" s="79"/>
      <c r="F320" s="20" t="s">
        <v>2730</v>
      </c>
      <c r="G320" s="24" t="str">
        <f ca="1">IFERROR(__xludf.DUMMYFUNCTION("UPPER(LEFT((GOOGLETRANSLATE(F320,""en"",""pt"")),1))&amp;RIGHT(lower((GOOGLETRANSLATE(F320,""en"",""pt""))),(LEN((GOOGLETRANSLATE(F320,""en"",""pt"")))-1))"),"Entidades de abastecimento de água")</f>
        <v>Entidades de abastecimento de água</v>
      </c>
      <c r="H320" s="24" t="str">
        <f>VLOOKUP(A320,En_Base_LNEC!$A$2:$E$10000,5,FALSE)</f>
        <v>Infraestruturas para a distribuição de água</v>
      </c>
      <c r="I320" s="24"/>
      <c r="J320" s="79"/>
      <c r="K320" s="24"/>
      <c r="L320" s="24"/>
      <c r="M320" s="24"/>
    </row>
    <row r="321" spans="1:13" ht="14.5">
      <c r="A321" s="20" t="s">
        <v>2731</v>
      </c>
      <c r="B321" s="81">
        <v>55</v>
      </c>
      <c r="C321" s="81">
        <v>70</v>
      </c>
      <c r="D321" s="81">
        <v>10</v>
      </c>
      <c r="E321" s="79"/>
      <c r="F321" s="20" t="s">
        <v>2732</v>
      </c>
      <c r="G321" s="24" t="str">
        <f ca="1">IFERROR(__xludf.DUMMYFUNCTION("UPPER(LEFT((GOOGLETRANSLATE(F321,""en"",""pt"")),1))&amp;RIGHT(lower((GOOGLETRANSLATE(F321,""en"",""pt""))),(LEN((GOOGLETRANSLATE(F321,""en"",""pt"")))-1))"),"Edifícios de distribuição de água")</f>
        <v>Edifícios de distribuição de água</v>
      </c>
      <c r="H321" s="24" t="e">
        <f>VLOOKUP(A321,En_Base_LNEC!$A$2:$E$10000,5,FALSE)</f>
        <v>#N/A</v>
      </c>
      <c r="I321" s="24"/>
      <c r="J321" s="79"/>
      <c r="K321" s="24"/>
      <c r="L321" s="24"/>
      <c r="M321" s="24"/>
    </row>
    <row r="322" spans="1:13" ht="14.5">
      <c r="A322" s="20" t="s">
        <v>2733</v>
      </c>
      <c r="B322" s="81">
        <v>55</v>
      </c>
      <c r="C322" s="81">
        <v>70</v>
      </c>
      <c r="D322" s="81">
        <v>18</v>
      </c>
      <c r="E322" s="79"/>
      <c r="F322" s="20" t="s">
        <v>2734</v>
      </c>
      <c r="G322" s="24" t="str">
        <f ca="1">IFERROR(__xludf.DUMMYFUNCTION("UPPER(LEFT((GOOGLETRANSLATE(F322,""en"",""pt"")),1))&amp;RIGHT(lower((GOOGLETRANSLATE(F322,""en"",""pt""))),(LEN((GOOGLETRANSLATE(F322,""en"",""pt"")))-1))"),"As condutas de distribuição de água")</f>
        <v>As condutas de distribuição de água</v>
      </c>
      <c r="H322" s="24" t="e">
        <f>VLOOKUP(A322,En_Base_LNEC!$A$2:$E$10000,5,FALSE)</f>
        <v>#N/A</v>
      </c>
      <c r="I322" s="24"/>
      <c r="J322" s="79"/>
      <c r="K322" s="24"/>
      <c r="L322" s="24"/>
      <c r="M322" s="24"/>
    </row>
    <row r="323" spans="1:13" ht="14.5">
      <c r="A323" s="20" t="s">
        <v>2735</v>
      </c>
      <c r="B323" s="81">
        <v>55</v>
      </c>
      <c r="C323" s="81">
        <v>90</v>
      </c>
      <c r="D323" s="79"/>
      <c r="E323" s="79"/>
      <c r="F323" s="20" t="s">
        <v>2736</v>
      </c>
      <c r="G323" s="24" t="str">
        <f ca="1">IFERROR(__xludf.DUMMYFUNCTION("UPPER(LEFT((GOOGLETRANSLATE(F323,""en"",""pt"")),1))&amp;RIGHT(lower((GOOGLETRANSLATE(F323,""en"",""pt""))),(LEN((GOOGLETRANSLATE(F323,""en"",""pt"")))-1))"),"Entidades de abastecimento canalizado sólidos")</f>
        <v>Entidades de abastecimento canalizado sólidos</v>
      </c>
      <c r="H323" s="24" t="e">
        <f>VLOOKUP(A323,En_Base_LNEC!$A$2:$E$10000,5,FALSE)</f>
        <v>#N/A</v>
      </c>
      <c r="I323" s="24"/>
      <c r="J323" s="79"/>
      <c r="K323" s="24"/>
      <c r="L323" s="24"/>
      <c r="M323" s="24"/>
    </row>
    <row r="324" spans="1:13" ht="14.5">
      <c r="A324" s="20" t="s">
        <v>2737</v>
      </c>
      <c r="B324" s="81">
        <v>60</v>
      </c>
      <c r="C324" s="79"/>
      <c r="D324" s="79"/>
      <c r="E324" s="79"/>
      <c r="F324" s="20" t="s">
        <v>2738</v>
      </c>
      <c r="G324" s="24" t="str">
        <f ca="1">IFERROR(__xludf.DUMMYFUNCTION("UPPER(LEFT((GOOGLETRANSLATE(F324,""en"",""pt"")),1))&amp;RIGHT(lower((GOOGLETRANSLATE(F324,""en"",""pt""))),(LEN((GOOGLETRANSLATE(F324,""en"",""pt"")))-1))"),"Aquecimento, arrefecimento e entidades de refrigeração")</f>
        <v>Aquecimento, arrefecimento e entidades de refrigeração</v>
      </c>
      <c r="H324" s="24" t="e">
        <f>VLOOKUP(A324,En_Base_LNEC!$A$2:$E$10000,5,FALSE)</f>
        <v>#N/A</v>
      </c>
      <c r="I324" s="24"/>
      <c r="J324" s="79"/>
      <c r="K324" s="24"/>
      <c r="L324" s="24"/>
      <c r="M324" s="24"/>
    </row>
    <row r="325" spans="1:13" ht="14.5">
      <c r="A325" s="20" t="s">
        <v>2739</v>
      </c>
      <c r="B325" s="81">
        <v>60</v>
      </c>
      <c r="C325" s="81">
        <v>30</v>
      </c>
      <c r="D325" s="79"/>
      <c r="E325" s="79"/>
      <c r="F325" s="20" t="s">
        <v>2740</v>
      </c>
      <c r="G325" s="24" t="str">
        <f ca="1">IFERROR(__xludf.DUMMYFUNCTION("UPPER(LEFT((GOOGLETRANSLATE(F325,""en"",""pt"")),1))&amp;RIGHT(lower((GOOGLETRANSLATE(F325,""en"",""pt""))),(LEN((GOOGLETRANSLATE(F325,""en"",""pt"")))-1))"),"Ferroviário e pavimentação entidades de aquecimento")</f>
        <v>Ferroviário e pavimentação entidades de aquecimento</v>
      </c>
      <c r="H325" s="24" t="e">
        <f>VLOOKUP(A325,En_Base_LNEC!$A$2:$E$10000,5,FALSE)</f>
        <v>#N/A</v>
      </c>
      <c r="I325" s="24"/>
      <c r="J325" s="79"/>
      <c r="K325" s="24"/>
      <c r="L325" s="24"/>
      <c r="M325" s="24"/>
    </row>
    <row r="326" spans="1:13" ht="14.5">
      <c r="A326" s="20" t="s">
        <v>2741</v>
      </c>
      <c r="B326" s="81">
        <v>60</v>
      </c>
      <c r="C326" s="81">
        <v>40</v>
      </c>
      <c r="D326" s="79"/>
      <c r="E326" s="79"/>
      <c r="F326" s="20" t="s">
        <v>2742</v>
      </c>
      <c r="G326" s="24" t="str">
        <f ca="1">IFERROR(__xludf.DUMMYFUNCTION("UPPER(LEFT((GOOGLETRANSLATE(F326,""en"",""pt"")),1))&amp;RIGHT(lower((GOOGLETRANSLATE(F326,""en"",""pt""))),(LEN((GOOGLETRANSLATE(F326,""en"",""pt"")))-1))"),"Aquecimento e arrefecimento entidades")</f>
        <v>Aquecimento e arrefecimento entidades</v>
      </c>
      <c r="H326" s="24" t="e">
        <f>VLOOKUP(A326,En_Base_LNEC!$A$2:$E$10000,5,FALSE)</f>
        <v>#N/A</v>
      </c>
      <c r="I326" s="24"/>
      <c r="J326" s="79"/>
      <c r="K326" s="24"/>
      <c r="L326" s="24"/>
      <c r="M326" s="24"/>
    </row>
    <row r="327" spans="1:13" ht="14.5">
      <c r="A327" s="20" t="s">
        <v>2743</v>
      </c>
      <c r="B327" s="81">
        <v>60</v>
      </c>
      <c r="C327" s="81">
        <v>40</v>
      </c>
      <c r="D327" s="81">
        <v>10</v>
      </c>
      <c r="E327" s="79"/>
      <c r="F327" s="20" t="s">
        <v>2744</v>
      </c>
      <c r="G327" s="24" t="str">
        <f ca="1">IFERROR(__xludf.DUMMYFUNCTION("UPPER(LEFT((GOOGLETRANSLATE(F327,""en"",""pt"")),1))&amp;RIGHT(lower((GOOGLETRANSLATE(F327,""en"",""pt""))),(LEN((GOOGLETRANSLATE(F327,""en"",""pt"")))-1))"),"Edifícios de aquecimento urbano")</f>
        <v>Edifícios de aquecimento urbano</v>
      </c>
      <c r="H327" s="24" t="e">
        <f>VLOOKUP(A327,En_Base_LNEC!$A$2:$E$10000,5,FALSE)</f>
        <v>#N/A</v>
      </c>
      <c r="I327" s="24"/>
      <c r="J327" s="79"/>
      <c r="K327" s="24"/>
      <c r="L327" s="24"/>
      <c r="M327" s="24"/>
    </row>
    <row r="328" spans="1:13" ht="14.5">
      <c r="A328" s="20" t="s">
        <v>2745</v>
      </c>
      <c r="B328" s="81">
        <v>60</v>
      </c>
      <c r="C328" s="81">
        <v>40</v>
      </c>
      <c r="D328" s="81">
        <v>20</v>
      </c>
      <c r="E328" s="79"/>
      <c r="F328" s="20" t="s">
        <v>2746</v>
      </c>
      <c r="G328" s="24" t="str">
        <f ca="1">IFERROR(__xludf.DUMMYFUNCTION("UPPER(LEFT((GOOGLETRANSLATE(F328,""en"",""pt"")),1))&amp;RIGHT(lower((GOOGLETRANSLATE(F328,""en"",""pt""))),(LEN((GOOGLETRANSLATE(F328,""en"",""pt"")))-1))"),"Dutos de aquecimento urbano")</f>
        <v>Dutos de aquecimento urbano</v>
      </c>
      <c r="H328" s="24" t="e">
        <f>VLOOKUP(A328,En_Base_LNEC!$A$2:$E$10000,5,FALSE)</f>
        <v>#N/A</v>
      </c>
      <c r="I328" s="24"/>
      <c r="J328" s="79"/>
      <c r="K328" s="24"/>
      <c r="L328" s="24"/>
      <c r="M328" s="24"/>
    </row>
    <row r="329" spans="1:13" ht="14.5">
      <c r="A329" s="20" t="s">
        <v>2747</v>
      </c>
      <c r="B329" s="81">
        <v>60</v>
      </c>
      <c r="C329" s="81">
        <v>40</v>
      </c>
      <c r="D329" s="81">
        <v>50</v>
      </c>
      <c r="E329" s="79"/>
      <c r="F329" s="20" t="s">
        <v>2748</v>
      </c>
      <c r="G329" s="24" t="str">
        <f ca="1">IFERROR(__xludf.DUMMYFUNCTION("UPPER(LEFT((GOOGLETRANSLATE(F329,""en"",""pt"")),1))&amp;RIGHT(lower((GOOGLETRANSLATE(F329,""en"",""pt""))),(LEN((GOOGLETRANSLATE(F329,""en"",""pt"")))-1))"),"Distrito arrefecimento edifícios")</f>
        <v>Distrito arrefecimento edifícios</v>
      </c>
      <c r="H329" s="24" t="e">
        <f>VLOOKUP(A329,En_Base_LNEC!$A$2:$E$10000,5,FALSE)</f>
        <v>#N/A</v>
      </c>
      <c r="I329" s="24"/>
      <c r="J329" s="79"/>
      <c r="K329" s="24"/>
      <c r="L329" s="24"/>
      <c r="M329" s="24"/>
    </row>
    <row r="330" spans="1:13" ht="14.5">
      <c r="A330" s="20" t="s">
        <v>2749</v>
      </c>
      <c r="B330" s="81">
        <v>60</v>
      </c>
      <c r="C330" s="81">
        <v>40</v>
      </c>
      <c r="D330" s="81">
        <v>60</v>
      </c>
      <c r="E330" s="79"/>
      <c r="F330" s="20" t="s">
        <v>2750</v>
      </c>
      <c r="G330" s="24" t="str">
        <f ca="1">IFERROR(__xludf.DUMMYFUNCTION("UPPER(LEFT((GOOGLETRANSLATE(F330,""en"",""pt"")),1))&amp;RIGHT(lower((GOOGLETRANSLATE(F330,""en"",""pt""))),(LEN((GOOGLETRANSLATE(F330,""en"",""pt"")))-1))"),"Distrito arrefecimento condutas")</f>
        <v>Distrito arrefecimento condutas</v>
      </c>
      <c r="H330" s="24" t="e">
        <f>VLOOKUP(A330,En_Base_LNEC!$A$2:$E$10000,5,FALSE)</f>
        <v>#N/A</v>
      </c>
      <c r="I330" s="24"/>
      <c r="J330" s="79"/>
      <c r="K330" s="24"/>
      <c r="L330" s="24"/>
      <c r="M330" s="24"/>
    </row>
    <row r="331" spans="1:13" ht="14.5">
      <c r="A331" s="20" t="s">
        <v>2751</v>
      </c>
      <c r="B331" s="81">
        <v>60</v>
      </c>
      <c r="C331" s="81">
        <v>60</v>
      </c>
      <c r="D331" s="79"/>
      <c r="E331" s="79"/>
      <c r="F331" s="20" t="s">
        <v>2752</v>
      </c>
      <c r="G331" s="24" t="str">
        <f ca="1">IFERROR(__xludf.DUMMYFUNCTION("UPPER(LEFT((GOOGLETRANSLATE(F331,""en"",""pt"")),1))&amp;RIGHT(lower((GOOGLETRANSLATE(F331,""en"",""pt""))),(LEN((GOOGLETRANSLATE(F331,""en"",""pt"")))-1))"),"Entidades de refrigeração")</f>
        <v>Entidades de refrigeração</v>
      </c>
      <c r="H331" s="24" t="e">
        <f>VLOOKUP(A331,En_Base_LNEC!$A$2:$E$10000,5,FALSE)</f>
        <v>#N/A</v>
      </c>
      <c r="I331" s="24"/>
      <c r="J331" s="79"/>
      <c r="K331" s="24"/>
      <c r="L331" s="24"/>
      <c r="M331" s="24"/>
    </row>
    <row r="332" spans="1:13" ht="14.5">
      <c r="A332" s="20" t="s">
        <v>2753</v>
      </c>
      <c r="B332" s="81">
        <v>60</v>
      </c>
      <c r="C332" s="81">
        <v>80</v>
      </c>
      <c r="D332" s="79"/>
      <c r="E332" s="79"/>
      <c r="F332" s="20" t="s">
        <v>2754</v>
      </c>
      <c r="G332" s="24" t="str">
        <f ca="1">IFERROR(__xludf.DUMMYFUNCTION("UPPER(LEFT((GOOGLETRANSLATE(F332,""en"",""pt"")),1))&amp;RIGHT(lower((GOOGLETRANSLATE(F332,""en"",""pt""))),(LEN((GOOGLETRANSLATE(F332,""en"",""pt"")))-1))"),"Entidades de secagem")</f>
        <v>Entidades de secagem</v>
      </c>
      <c r="H332" s="24" t="e">
        <f>VLOOKUP(A332,En_Base_LNEC!$A$2:$E$10000,5,FALSE)</f>
        <v>#N/A</v>
      </c>
      <c r="I332" s="24"/>
      <c r="J332" s="79"/>
      <c r="K332" s="24"/>
      <c r="L332" s="24"/>
      <c r="M332" s="24"/>
    </row>
    <row r="333" spans="1:13" ht="14.5">
      <c r="A333" s="20" t="s">
        <v>2755</v>
      </c>
      <c r="B333" s="81">
        <v>65</v>
      </c>
      <c r="C333" s="79"/>
      <c r="D333" s="79"/>
      <c r="E333" s="79"/>
      <c r="F333" s="20" t="s">
        <v>2756</v>
      </c>
      <c r="G333" s="24" t="str">
        <f ca="1">IFERROR(__xludf.DUMMYFUNCTION("UPPER(LEFT((GOOGLETRANSLATE(F333,""en"",""pt"")),1))&amp;RIGHT(lower((GOOGLETRANSLATE(F333,""en"",""pt""))),(LEN((GOOGLETRANSLATE(F333,""en"",""pt"")))-1))"),"Entidades ventilação e ar condicionado")</f>
        <v>Entidades ventilação e ar condicionado</v>
      </c>
      <c r="H333" s="24" t="e">
        <f>VLOOKUP(A333,En_Base_LNEC!$A$2:$E$10000,5,FALSE)</f>
        <v>#N/A</v>
      </c>
      <c r="I333" s="24"/>
      <c r="J333" s="79"/>
      <c r="K333" s="24"/>
      <c r="L333" s="24"/>
      <c r="M333" s="24"/>
    </row>
    <row r="334" spans="1:13" ht="14.5">
      <c r="A334" s="20" t="s">
        <v>2757</v>
      </c>
      <c r="B334" s="81">
        <v>65</v>
      </c>
      <c r="C334" s="81">
        <v>40</v>
      </c>
      <c r="D334" s="79"/>
      <c r="E334" s="79"/>
      <c r="F334" s="20" t="s">
        <v>2758</v>
      </c>
      <c r="G334" s="24" t="str">
        <f ca="1">IFERROR(__xludf.DUMMYFUNCTION("UPPER(LEFT((GOOGLETRANSLATE(F334,""en"",""pt"")),1))&amp;RIGHT(lower((GOOGLETRANSLATE(F334,""en"",""pt""))),(LEN((GOOGLETRANSLATE(F334,""en"",""pt"")))-1))"),"Entidades de ventilação")</f>
        <v>Entidades de ventilação</v>
      </c>
      <c r="H334" s="24" t="e">
        <f>VLOOKUP(A334,En_Base_LNEC!$A$2:$E$10000,5,FALSE)</f>
        <v>#N/A</v>
      </c>
      <c r="I334" s="24"/>
      <c r="J334" s="79"/>
      <c r="K334" s="24"/>
      <c r="L334" s="24"/>
      <c r="M334" s="24"/>
    </row>
    <row r="335" spans="1:13" ht="14.5">
      <c r="A335" s="20" t="s">
        <v>2759</v>
      </c>
      <c r="B335" s="81">
        <v>65</v>
      </c>
      <c r="C335" s="81">
        <v>40</v>
      </c>
      <c r="D335" s="81">
        <v>80</v>
      </c>
      <c r="E335" s="79"/>
      <c r="F335" s="20" t="s">
        <v>2760</v>
      </c>
      <c r="G335" s="24" t="str">
        <f ca="1">IFERROR(__xludf.DUMMYFUNCTION("UPPER(LEFT((GOOGLETRANSLATE(F335,""en"",""pt"")),1))&amp;RIGHT(lower((GOOGLETRANSLATE(F335,""en"",""pt""))),(LEN((GOOGLETRANSLATE(F335,""en"",""pt"")))-1))"),"Shaft e planta de ventilação de túnel edifício")</f>
        <v>Shaft e planta de ventilação de túnel edifício</v>
      </c>
      <c r="H335" s="24" t="e">
        <f>VLOOKUP(A335,En_Base_LNEC!$A$2:$E$10000,5,FALSE)</f>
        <v>#N/A</v>
      </c>
      <c r="I335" s="24"/>
      <c r="J335" s="79"/>
      <c r="K335" s="24"/>
      <c r="L335" s="24"/>
      <c r="M335" s="24"/>
    </row>
    <row r="336" spans="1:13" ht="14.5">
      <c r="A336" s="20" t="s">
        <v>2761</v>
      </c>
      <c r="B336" s="81">
        <v>65</v>
      </c>
      <c r="C336" s="81">
        <v>80</v>
      </c>
      <c r="D336" s="79"/>
      <c r="E336" s="79"/>
      <c r="F336" s="20" t="s">
        <v>2762</v>
      </c>
      <c r="G336" s="24" t="str">
        <f ca="1">IFERROR(__xludf.DUMMYFUNCTION("UPPER(LEFT((GOOGLETRANSLATE(F336,""en"",""pt"")),1))&amp;RIGHT(lower((GOOGLETRANSLATE(F336,""en"",""pt""))),(LEN((GOOGLETRANSLATE(F336,""en"",""pt"")))-1))"),"Entidades de ar condicionado")</f>
        <v>Entidades de ar condicionado</v>
      </c>
      <c r="H336" s="24" t="e">
        <f>VLOOKUP(A336,En_Base_LNEC!$A$2:$E$10000,5,FALSE)</f>
        <v>#N/A</v>
      </c>
      <c r="I336" s="24"/>
      <c r="J336" s="79"/>
      <c r="K336" s="24"/>
      <c r="L336" s="24"/>
      <c r="M336" s="24"/>
    </row>
    <row r="337" spans="1:13" ht="14.5">
      <c r="A337" s="20" t="s">
        <v>2763</v>
      </c>
      <c r="B337" s="81">
        <v>70</v>
      </c>
      <c r="C337" s="79"/>
      <c r="D337" s="79"/>
      <c r="E337" s="79"/>
      <c r="F337" s="20" t="s">
        <v>2764</v>
      </c>
      <c r="G337" s="24" t="str">
        <f ca="1">IFERROR(__xludf.DUMMYFUNCTION("UPPER(LEFT((GOOGLETRANSLATE(F337,""en"",""pt"")),1))&amp;RIGHT(lower((GOOGLETRANSLATE(F337,""en"",""pt""))),(LEN((GOOGLETRANSLATE(F337,""en"",""pt"")))-1))"),"Entidades de geração de energia elétrica e de distribuição")</f>
        <v>Entidades de geração de energia elétrica e de distribuição</v>
      </c>
      <c r="H337" s="24" t="str">
        <f>VLOOKUP(A337,En_Base_LNEC!$A$2:$E$10000,5,FALSE)</f>
        <v>Infraestruturasde geração e distribuição de energia elétrica</v>
      </c>
      <c r="I337" s="24"/>
      <c r="J337" s="79"/>
      <c r="K337" s="24"/>
      <c r="L337" s="24"/>
      <c r="M337" s="24"/>
    </row>
    <row r="338" spans="1:13" ht="14.5">
      <c r="A338" s="20" t="s">
        <v>2765</v>
      </c>
      <c r="B338" s="81">
        <v>70</v>
      </c>
      <c r="C338" s="81">
        <v>10</v>
      </c>
      <c r="D338" s="79"/>
      <c r="E338" s="79"/>
      <c r="F338" s="20" t="s">
        <v>2766</v>
      </c>
      <c r="G338" s="24" t="str">
        <f ca="1">IFERROR(__xludf.DUMMYFUNCTION("UPPER(LEFT((GOOGLETRANSLATE(F338,""en"",""pt"")),1))&amp;RIGHT(lower((GOOGLETRANSLATE(F338,""en"",""pt""))),(LEN((GOOGLETRANSLATE(F338,""en"",""pt"")))-1))"),"Entidades de geração de energia elétrica")</f>
        <v>Entidades de geração de energia elétrica</v>
      </c>
      <c r="H338" s="24" t="str">
        <f>VLOOKUP(A338,En_Base_LNEC!$A$2:$E$10000,5,FALSE)</f>
        <v>Infraestruturas de geração de energia elétrica</v>
      </c>
      <c r="I338" s="24"/>
      <c r="J338" s="79"/>
      <c r="K338" s="24"/>
      <c r="L338" s="24"/>
      <c r="M338" s="24"/>
    </row>
    <row r="339" spans="1:13" ht="14.5">
      <c r="A339" s="20" t="s">
        <v>2767</v>
      </c>
      <c r="B339" s="81">
        <v>70</v>
      </c>
      <c r="C339" s="81">
        <v>10</v>
      </c>
      <c r="D339" s="81">
        <v>10</v>
      </c>
      <c r="E339" s="79"/>
      <c r="F339" s="20" t="s">
        <v>2768</v>
      </c>
      <c r="G339" s="24" t="str">
        <f ca="1">IFERROR(__xludf.DUMMYFUNCTION("UPPER(LEFT((GOOGLETRANSLATE(F339,""en"",""pt"")),1))&amp;RIGHT(lower((GOOGLETRANSLATE(F339,""en"",""pt""))),(LEN((GOOGLETRANSLATE(F339,""en"",""pt"")))-1))"),"Edifícios de geração de energia elétrica")</f>
        <v>Edifícios de geração de energia elétrica</v>
      </c>
      <c r="H339" s="24" t="e">
        <f>VLOOKUP(A339,En_Base_LNEC!$A$2:$E$10000,5,FALSE)</f>
        <v>#N/A</v>
      </c>
      <c r="I339" s="24"/>
      <c r="J339" s="79"/>
      <c r="K339" s="24"/>
      <c r="L339" s="24"/>
      <c r="M339" s="24"/>
    </row>
    <row r="340" spans="1:13" ht="14.5">
      <c r="A340" s="20" t="s">
        <v>2769</v>
      </c>
      <c r="B340" s="81">
        <v>70</v>
      </c>
      <c r="C340" s="81">
        <v>10</v>
      </c>
      <c r="D340" s="81">
        <v>80</v>
      </c>
      <c r="E340" s="79"/>
      <c r="F340" s="20" t="s">
        <v>2770</v>
      </c>
      <c r="G340" s="24" t="str">
        <f ca="1">IFERROR(__xludf.DUMMYFUNCTION("UPPER(LEFT((GOOGLETRANSLATE(F340,""en"",""pt"")),1))&amp;RIGHT(lower((GOOGLETRANSLATE(F340,""en"",""pt""))),(LEN((GOOGLETRANSLATE(F340,""en"",""pt"")))-1))"),"Campos de painéis solares")</f>
        <v>Campos de painéis solares</v>
      </c>
      <c r="H340" s="24" t="e">
        <f>VLOOKUP(A340,En_Base_LNEC!$A$2:$E$10000,5,FALSE)</f>
        <v>#N/A</v>
      </c>
      <c r="I340" s="24" t="s">
        <v>2771</v>
      </c>
      <c r="J340" s="81" t="s">
        <v>2004</v>
      </c>
      <c r="K340" s="24"/>
      <c r="L340" s="24"/>
      <c r="M340" s="24"/>
    </row>
    <row r="341" spans="1:13" ht="14.5">
      <c r="A341" s="20" t="s">
        <v>2772</v>
      </c>
      <c r="B341" s="81">
        <v>70</v>
      </c>
      <c r="C341" s="81">
        <v>10</v>
      </c>
      <c r="D341" s="81">
        <v>90</v>
      </c>
      <c r="E341" s="79"/>
      <c r="F341" s="20" t="s">
        <v>2773</v>
      </c>
      <c r="G341" s="24" t="str">
        <f ca="1">IFERROR(__xludf.DUMMYFUNCTION("UPPER(LEFT((GOOGLETRANSLATE(F341,""en"",""pt"")),1))&amp;RIGHT(lower((GOOGLETRANSLATE(F341,""en"",""pt""))),(LEN((GOOGLETRANSLATE(F341,""en"",""pt"")))-1))"),"Turbinas eólicas")</f>
        <v>Turbinas eólicas</v>
      </c>
      <c r="H341" s="24" t="e">
        <f>VLOOKUP(A341,En_Base_LNEC!$A$2:$E$10000,5,FALSE)</f>
        <v>#N/A</v>
      </c>
      <c r="I341" s="24"/>
      <c r="J341" s="79"/>
      <c r="K341" s="24"/>
      <c r="L341" s="24"/>
      <c r="M341" s="24"/>
    </row>
    <row r="342" spans="1:13" ht="14.5">
      <c r="A342" s="20" t="s">
        <v>2774</v>
      </c>
      <c r="B342" s="81">
        <v>70</v>
      </c>
      <c r="C342" s="81">
        <v>30</v>
      </c>
      <c r="D342" s="79"/>
      <c r="E342" s="79"/>
      <c r="F342" s="20" t="s">
        <v>2775</v>
      </c>
      <c r="G342" s="24" t="str">
        <f ca="1">IFERROR(__xludf.DUMMYFUNCTION("UPPER(LEFT((GOOGLETRANSLATE(F342,""en"",""pt"")),1))&amp;RIGHT(lower((GOOGLETRANSLATE(F342,""en"",""pt""))),(LEN((GOOGLETRANSLATE(F342,""en"",""pt"")))-1))"),"Distribuição de electricidade e unidades de transmissão")</f>
        <v>Distribuição de electricidade e unidades de transmissão</v>
      </c>
      <c r="H342" s="24" t="str">
        <f>VLOOKUP(A342,En_Base_LNEC!$A$2:$E$10000,5,FALSE)</f>
        <v>Infraestruturaspara a distribuição de energia elétrica</v>
      </c>
      <c r="I342" s="24"/>
      <c r="J342" s="79"/>
      <c r="K342" s="24"/>
      <c r="L342" s="24"/>
      <c r="M342" s="24"/>
    </row>
    <row r="343" spans="1:13" ht="14.5">
      <c r="A343" s="20" t="s">
        <v>2776</v>
      </c>
      <c r="B343" s="81">
        <v>70</v>
      </c>
      <c r="C343" s="81">
        <v>30</v>
      </c>
      <c r="D343" s="81">
        <v>18</v>
      </c>
      <c r="E343" s="79"/>
      <c r="F343" s="20" t="s">
        <v>2777</v>
      </c>
      <c r="G343" s="24" t="str">
        <f ca="1">IFERROR(__xludf.DUMMYFUNCTION("UPPER(LEFT((GOOGLETRANSLATE(F343,""en"",""pt"")),1))&amp;RIGHT(lower((GOOGLETRANSLATE(F343,""en"",""pt""))),(LEN((GOOGLETRANSLATE(F343,""en"",""pt"")))-1))"),"Torres de transmissão de electricidade e linhas")</f>
        <v>Torres de transmissão de electricidade e linhas</v>
      </c>
      <c r="H343" s="24" t="e">
        <f>VLOOKUP(A343,En_Base_LNEC!$A$2:$E$10000,5,FALSE)</f>
        <v>#N/A</v>
      </c>
      <c r="I343" s="20" t="s">
        <v>2778</v>
      </c>
      <c r="J343" s="81" t="s">
        <v>2004</v>
      </c>
      <c r="K343" s="24"/>
      <c r="L343" s="24"/>
      <c r="M343" s="24"/>
    </row>
    <row r="344" spans="1:13" ht="14.5">
      <c r="A344" s="20" t="s">
        <v>2779</v>
      </c>
      <c r="B344" s="81">
        <v>70</v>
      </c>
      <c r="C344" s="81">
        <v>30</v>
      </c>
      <c r="D344" s="81">
        <v>35</v>
      </c>
      <c r="E344" s="79"/>
      <c r="F344" s="20" t="s">
        <v>2780</v>
      </c>
      <c r="G344" s="24" t="str">
        <f ca="1">IFERROR(__xludf.DUMMYFUNCTION("UPPER(LEFT((GOOGLETRANSLATE(F344,""en"",""pt"")),1))&amp;RIGHT(lower((GOOGLETRANSLATE(F344,""en"",""pt""))),(LEN((GOOGLETRANSLATE(F344,""en"",""pt"")))-1))"),"Subestações eléctricas de alta tensão")</f>
        <v>Subestações eléctricas de alta tensão</v>
      </c>
      <c r="H344" s="24" t="str">
        <f>VLOOKUP(A344,En_Base_LNEC!$A$2:$E$10000,5,FALSE)</f>
        <v>Subestações de transformação de energia elétrica de alta e média tensão</v>
      </c>
      <c r="I344" s="20" t="s">
        <v>2781</v>
      </c>
      <c r="J344" s="81" t="s">
        <v>2004</v>
      </c>
      <c r="K344" s="24"/>
      <c r="L344" s="24"/>
      <c r="M344" s="24"/>
    </row>
    <row r="345" spans="1:13" ht="14.5">
      <c r="A345" s="20" t="s">
        <v>2782</v>
      </c>
      <c r="B345" s="81">
        <v>70</v>
      </c>
      <c r="C345" s="81">
        <v>30</v>
      </c>
      <c r="D345" s="81">
        <v>45</v>
      </c>
      <c r="E345" s="79"/>
      <c r="F345" s="20" t="s">
        <v>2783</v>
      </c>
      <c r="G345" s="24" t="str">
        <f ca="1">IFERROR(__xludf.DUMMYFUNCTION("UPPER(LEFT((GOOGLETRANSLATE(F345,""en"",""pt"")),1))&amp;RIGHT(lower((GOOGLETRANSLATE(F345,""en"",""pt""))),(LEN((GOOGLETRANSLATE(F345,""en"",""pt"")))-1))"),"Subestações de energia elétrica de baixa tensão")</f>
        <v>Subestações de energia elétrica de baixa tensão</v>
      </c>
      <c r="H345" s="24" t="str">
        <f>VLOOKUP(A345,En_Base_LNEC!$A$2:$E$10000,5,FALSE)</f>
        <v>Subestações da rede urbana e local para a eletricidade de baixa tensão</v>
      </c>
      <c r="I345" s="20" t="s">
        <v>2784</v>
      </c>
      <c r="J345" s="81" t="s">
        <v>2004</v>
      </c>
      <c r="K345" s="24"/>
      <c r="L345" s="24"/>
      <c r="M345" s="24"/>
    </row>
    <row r="346" spans="1:13" ht="14.5">
      <c r="A346" s="20" t="s">
        <v>2785</v>
      </c>
      <c r="B346" s="81">
        <v>70</v>
      </c>
      <c r="C346" s="81">
        <v>30</v>
      </c>
      <c r="D346" s="81">
        <v>90</v>
      </c>
      <c r="E346" s="79"/>
      <c r="F346" s="20" t="s">
        <v>2786</v>
      </c>
      <c r="G346" s="24" t="str">
        <f ca="1">IFERROR(__xludf.DUMMYFUNCTION("UPPER(LEFT((GOOGLETRANSLATE(F346,""en"",""pt"")),1))&amp;RIGHT(lower((GOOGLETRANSLATE(F346,""en"",""pt""))),(LEN((GOOGLETRANSLATE(F346,""en"",""pt"")))-1))"),"Linhas de transmissão de energia elétrica subterrâneas")</f>
        <v>Linhas de transmissão de energia elétrica subterrâneas</v>
      </c>
      <c r="H346" s="24" t="e">
        <f>VLOOKUP(A346,En_Base_LNEC!$A$2:$E$10000,5,FALSE)</f>
        <v>#N/A</v>
      </c>
      <c r="I346" s="20" t="s">
        <v>2787</v>
      </c>
      <c r="J346" s="81" t="s">
        <v>2004</v>
      </c>
      <c r="K346" s="24"/>
      <c r="L346" s="24"/>
      <c r="M346" s="24"/>
    </row>
    <row r="347" spans="1:13" ht="14.5">
      <c r="A347" s="20" t="s">
        <v>2788</v>
      </c>
      <c r="B347" s="81">
        <v>75</v>
      </c>
      <c r="C347" s="79"/>
      <c r="D347" s="79"/>
      <c r="E347" s="79"/>
      <c r="F347" s="20" t="s">
        <v>2789</v>
      </c>
      <c r="G347" s="24" t="str">
        <f ca="1">IFERROR(__xludf.DUMMYFUNCTION("UPPER(LEFT((GOOGLETRANSLATE(F347,""en"",""pt"")),1))&amp;RIGHT(lower((GOOGLETRANSLATE(F347,""en"",""pt""))),(LEN((GOOGLETRANSLATE(F347,""en"",""pt"")))-1))"),"Comunicações, segurança, de segurança e de entidades de proteção")</f>
        <v>Comunicações, segurança, de segurança e de entidades de proteção</v>
      </c>
      <c r="H347" s="24" t="str">
        <f>VLOOKUP(A347,En_Base_LNEC!$A$2:$E$10000,5,FALSE)</f>
        <v>communications, security, safety and protection complexes</v>
      </c>
      <c r="I347" s="24"/>
      <c r="J347" s="79"/>
      <c r="K347" s="24"/>
      <c r="L347" s="24"/>
      <c r="M347" s="24"/>
    </row>
    <row r="348" spans="1:13" ht="14.5">
      <c r="A348" s="20" t="s">
        <v>2790</v>
      </c>
      <c r="B348" s="81">
        <v>75</v>
      </c>
      <c r="C348" s="81">
        <v>10</v>
      </c>
      <c r="D348" s="79"/>
      <c r="E348" s="79"/>
      <c r="F348" s="20" t="s">
        <v>2791</v>
      </c>
      <c r="G348" s="24" t="str">
        <f ca="1">IFERROR(__xludf.DUMMYFUNCTION("UPPER(LEFT((GOOGLETRANSLATE(F348,""en"",""pt"")),1))&amp;RIGHT(lower((GOOGLETRANSLATE(F348,""en"",""pt""))),(LEN((GOOGLETRANSLATE(F348,""en"",""pt"")))-1))"),"Entidades de comunicação")</f>
        <v>Entidades de comunicação</v>
      </c>
      <c r="H348" s="24" t="str">
        <f>VLOOKUP(A348,En_Base_LNEC!$A$2:$E$10000,5,FALSE)</f>
        <v>Edifícios e instalações para a comunicação</v>
      </c>
      <c r="I348" s="24"/>
      <c r="J348" s="79"/>
      <c r="K348" s="24"/>
      <c r="L348" s="24"/>
      <c r="M348" s="24"/>
    </row>
    <row r="349" spans="1:13" ht="14.5">
      <c r="A349" s="20" t="s">
        <v>2792</v>
      </c>
      <c r="B349" s="81">
        <v>75</v>
      </c>
      <c r="C349" s="81">
        <v>10</v>
      </c>
      <c r="D349" s="81">
        <v>10</v>
      </c>
      <c r="E349" s="79"/>
      <c r="F349" s="20" t="s">
        <v>2793</v>
      </c>
      <c r="G349" s="24" t="str">
        <f ca="1">IFERROR(__xludf.DUMMYFUNCTION("UPPER(LEFT((GOOGLETRANSLATE(F349,""en"",""pt"")),1))&amp;RIGHT(lower((GOOGLETRANSLATE(F349,""en"",""pt""))),(LEN((GOOGLETRANSLATE(F349,""en"",""pt"")))-1))"),"Edifícios de comunicação de transmissão")</f>
        <v>Edifícios de comunicação de transmissão</v>
      </c>
      <c r="H349" s="24" t="str">
        <f>VLOOKUP(A349,En_Base_LNEC!$A$2:$E$10000,5,FALSE)</f>
        <v>Edifícios e instalações para a comunicação</v>
      </c>
      <c r="I349" s="20" t="s">
        <v>2794</v>
      </c>
      <c r="J349" s="81" t="s">
        <v>2004</v>
      </c>
      <c r="K349" s="24"/>
      <c r="L349" s="24"/>
      <c r="M349" s="24"/>
    </row>
    <row r="350" spans="1:13" ht="14.5">
      <c r="A350" s="20" t="s">
        <v>2795</v>
      </c>
      <c r="B350" s="81">
        <v>75</v>
      </c>
      <c r="C350" s="81">
        <v>10</v>
      </c>
      <c r="D350" s="81">
        <v>16</v>
      </c>
      <c r="E350" s="79"/>
      <c r="F350" s="20" t="s">
        <v>2796</v>
      </c>
      <c r="G350" s="24" t="str">
        <f ca="1">IFERROR(__xludf.DUMMYFUNCTION("UPPER(LEFT((GOOGLETRANSLATE(F350,""en"",""pt"")),1))&amp;RIGHT(lower((GOOGLETRANSLATE(F350,""en"",""pt""))),(LEN((GOOGLETRANSLATE(F350,""en"",""pt"")))-1))"),"Mastros e torres de comunicações de transmissão")</f>
        <v>Mastros e torres de comunicações de transmissão</v>
      </c>
      <c r="H350" s="24" t="e">
        <f>VLOOKUP(A350,En_Base_LNEC!$A$2:$E$10000,5,FALSE)</f>
        <v>#N/A</v>
      </c>
      <c r="I350" s="20" t="s">
        <v>2797</v>
      </c>
      <c r="J350" s="81" t="s">
        <v>2004</v>
      </c>
      <c r="K350" s="24"/>
      <c r="L350" s="24"/>
      <c r="M350" s="24"/>
    </row>
    <row r="351" spans="1:13" ht="14.5">
      <c r="A351" s="20" t="s">
        <v>2798</v>
      </c>
      <c r="B351" s="81">
        <v>75</v>
      </c>
      <c r="C351" s="81">
        <v>10</v>
      </c>
      <c r="D351" s="81">
        <v>20</v>
      </c>
      <c r="E351" s="79"/>
      <c r="F351" s="20" t="s">
        <v>2799</v>
      </c>
      <c r="G351" s="24" t="str">
        <f ca="1">IFERROR(__xludf.DUMMYFUNCTION("UPPER(LEFT((GOOGLETRANSLATE(F351,""en"",""pt"")),1))&amp;RIGHT(lower((GOOGLETRANSLATE(F351,""en"",""pt""))),(LEN((GOOGLETRANSLATE(F351,""en"",""pt"")))-1))"),"Os centros de dados")</f>
        <v>Os centros de dados</v>
      </c>
      <c r="H351" s="24" t="str">
        <f>VLOOKUP(A351,En_Base_LNEC!$A$2:$E$10000,5,FALSE)</f>
        <v>Redes utilizadas para transmissão e comunicação</v>
      </c>
      <c r="I351" s="20" t="s">
        <v>2800</v>
      </c>
      <c r="J351" s="81" t="s">
        <v>2004</v>
      </c>
      <c r="K351" s="24"/>
      <c r="L351" s="24"/>
      <c r="M351" s="24"/>
    </row>
    <row r="352" spans="1:13" ht="14.5">
      <c r="A352" s="20" t="s">
        <v>2801</v>
      </c>
      <c r="B352" s="81">
        <v>75</v>
      </c>
      <c r="C352" s="81">
        <v>30</v>
      </c>
      <c r="D352" s="79"/>
      <c r="E352" s="79"/>
      <c r="F352" s="20" t="s">
        <v>2802</v>
      </c>
      <c r="G352" s="24" t="str">
        <f ca="1">IFERROR(__xludf.DUMMYFUNCTION("UPPER(LEFT((GOOGLETRANSLATE(F352,""en"",""pt"")),1))&amp;RIGHT(lower((GOOGLETRANSLATE(F352,""en"",""pt""))),(LEN((GOOGLETRANSLATE(F352,""en"",""pt"")))-1))"),"Sinalizando entidades")</f>
        <v>Sinalizando entidades</v>
      </c>
      <c r="H352" s="24" t="str">
        <f>VLOOKUP(A352,En_Base_LNEC!$A$2:$E$10000,5,FALSE)</f>
        <v>Edifícios e instalações para as telecomunicações</v>
      </c>
      <c r="I352" s="24"/>
      <c r="J352" s="79"/>
      <c r="K352" s="24"/>
      <c r="L352" s="24"/>
      <c r="M352" s="24"/>
    </row>
    <row r="353" spans="1:13" ht="14.5">
      <c r="A353" s="20" t="s">
        <v>2803</v>
      </c>
      <c r="B353" s="81">
        <v>75</v>
      </c>
      <c r="C353" s="81">
        <v>30</v>
      </c>
      <c r="D353" s="81">
        <v>10</v>
      </c>
      <c r="E353" s="79"/>
      <c r="F353" s="20" t="s">
        <v>2804</v>
      </c>
      <c r="G353" s="24" t="str">
        <f ca="1">IFERROR(__xludf.DUMMYFUNCTION("UPPER(LEFT((GOOGLETRANSLATE(F353,""en"",""pt"")),1))&amp;RIGHT(lower((GOOGLETRANSLATE(F353,""en"",""pt""))),(LEN((GOOGLETRANSLATE(F353,""en"",""pt"")))-1))"),"Edifícios de comunicação peer-to-peer")</f>
        <v>Edifícios de comunicação peer-to-peer</v>
      </c>
      <c r="H353" s="24" t="e">
        <f>VLOOKUP(A353,En_Base_LNEC!$A$2:$E$10000,5,FALSE)</f>
        <v>#N/A</v>
      </c>
      <c r="I353" s="24"/>
      <c r="J353" s="79"/>
      <c r="K353" s="24"/>
      <c r="L353" s="24"/>
      <c r="M353" s="24"/>
    </row>
    <row r="354" spans="1:13" ht="14.5">
      <c r="A354" s="20" t="s">
        <v>2805</v>
      </c>
      <c r="B354" s="81">
        <v>75</v>
      </c>
      <c r="C354" s="81">
        <v>30</v>
      </c>
      <c r="D354" s="81">
        <v>18</v>
      </c>
      <c r="E354" s="79"/>
      <c r="F354" s="20" t="s">
        <v>2806</v>
      </c>
      <c r="G354" s="24" t="str">
        <f ca="1">IFERROR(__xludf.DUMMYFUNCTION("UPPER(LEFT((GOOGLETRANSLATE(F354,""en"",""pt"")),1))&amp;RIGHT(lower((GOOGLETRANSLATE(F354,""en"",""pt""))),(LEN((GOOGLETRANSLATE(F354,""en"",""pt"")))-1))"),"Redes de comunicações peer-to-peer")</f>
        <v>Redes de comunicações peer-to-peer</v>
      </c>
      <c r="H354" s="24" t="e">
        <f>VLOOKUP(A354,En_Base_LNEC!$A$2:$E$10000,5,FALSE)</f>
        <v>#N/A</v>
      </c>
      <c r="I354" s="24"/>
      <c r="J354" s="79"/>
      <c r="K354" s="24"/>
      <c r="L354" s="24"/>
      <c r="M354" s="24"/>
    </row>
    <row r="355" spans="1:13" ht="14.5">
      <c r="A355" s="20" t="s">
        <v>2807</v>
      </c>
      <c r="B355" s="81">
        <v>75</v>
      </c>
      <c r="C355" s="81">
        <v>40</v>
      </c>
      <c r="D355" s="79"/>
      <c r="E355" s="79"/>
      <c r="F355" s="20" t="s">
        <v>2808</v>
      </c>
      <c r="G355" s="24" t="str">
        <f ca="1">IFERROR(__xludf.DUMMYFUNCTION("UPPER(LEFT((GOOGLETRANSLATE(F355,""en"",""pt"")),1))&amp;RIGHT(lower((GOOGLETRANSLATE(F355,""en"",""pt""))),(LEN((GOOGLETRANSLATE(F355,""en"",""pt"")))-1))"),"Entidades sistemas de segurança")</f>
        <v>Entidades sistemas de segurança</v>
      </c>
      <c r="H355" s="24" t="e">
        <f>VLOOKUP(A355,En_Base_LNEC!$A$2:$E$10000,5,FALSE)</f>
        <v>#N/A</v>
      </c>
      <c r="I355" s="24"/>
      <c r="J355" s="79"/>
      <c r="K355" s="24"/>
      <c r="L355" s="24"/>
      <c r="M355" s="24"/>
    </row>
    <row r="356" spans="1:13" ht="14.5">
      <c r="A356" s="20" t="s">
        <v>2809</v>
      </c>
      <c r="B356" s="81">
        <v>75</v>
      </c>
      <c r="C356" s="81">
        <v>50</v>
      </c>
      <c r="D356" s="79"/>
      <c r="E356" s="79"/>
      <c r="F356" s="20" t="s">
        <v>2810</v>
      </c>
      <c r="G356" s="24" t="str">
        <f ca="1">IFERROR(__xludf.DUMMYFUNCTION("UPPER(LEFT((GOOGLETRANSLATE(F356,""en"",""pt"")),1))&amp;RIGHT(lower((GOOGLETRANSLATE(F356,""en"",""pt""))),(LEN((GOOGLETRANSLATE(F356,""en"",""pt"")))-1))"),"Entidades de segurança e protecção")</f>
        <v>Entidades de segurança e protecção</v>
      </c>
      <c r="H356" s="24" t="e">
        <f>VLOOKUP(A356,En_Base_LNEC!$A$2:$E$10000,5,FALSE)</f>
        <v>#N/A</v>
      </c>
      <c r="I356" s="24"/>
      <c r="J356" s="79"/>
      <c r="K356" s="24"/>
      <c r="L356" s="24"/>
      <c r="M356" s="24"/>
    </row>
    <row r="357" spans="1:13" ht="14.5">
      <c r="A357" s="20" t="s">
        <v>2811</v>
      </c>
      <c r="B357" s="81">
        <v>75</v>
      </c>
      <c r="C357" s="81">
        <v>60</v>
      </c>
      <c r="D357" s="79"/>
      <c r="E357" s="79"/>
      <c r="F357" s="20" t="s">
        <v>2812</v>
      </c>
      <c r="G357" s="24" t="str">
        <f ca="1">IFERROR(__xludf.DUMMYFUNCTION("UPPER(LEFT((GOOGLETRANSLATE(F357,""en"",""pt"")),1))&amp;RIGHT(lower((GOOGLETRANSLATE(F357,""en"",""pt""))),(LEN((GOOGLETRANSLATE(F357,""en"",""pt"")))-1))"),"Entidades de segurança ambiental")</f>
        <v>Entidades de segurança ambiental</v>
      </c>
      <c r="H357" s="24" t="e">
        <f>VLOOKUP(A357,En_Base_LNEC!$A$2:$E$10000,5,FALSE)</f>
        <v>#N/A</v>
      </c>
      <c r="I357" s="24"/>
      <c r="J357" s="79"/>
      <c r="K357" s="24"/>
      <c r="L357" s="24"/>
      <c r="M357" s="24"/>
    </row>
    <row r="358" spans="1:13" ht="14.5">
      <c r="A358" s="20" t="s">
        <v>2813</v>
      </c>
      <c r="B358" s="81">
        <v>75</v>
      </c>
      <c r="C358" s="81">
        <v>70</v>
      </c>
      <c r="D358" s="79"/>
      <c r="E358" s="79"/>
      <c r="F358" s="20" t="s">
        <v>2814</v>
      </c>
      <c r="G358" s="24" t="str">
        <f ca="1">IFERROR(__xludf.DUMMYFUNCTION("UPPER(LEFT((GOOGLETRANSLATE(F358,""en"",""pt"")),1))&amp;RIGHT(lower((GOOGLETRANSLATE(F358,""en"",""pt""))),(LEN((GOOGLETRANSLATE(F358,""en"",""pt"")))-1))"),"Entidades de controle e gestão")</f>
        <v>Entidades de controle e gestão</v>
      </c>
      <c r="H358" s="24" t="e">
        <f>VLOOKUP(A358,En_Base_LNEC!$A$2:$E$10000,5,FALSE)</f>
        <v>#N/A</v>
      </c>
      <c r="I358" s="24"/>
      <c r="J358" s="79"/>
      <c r="K358" s="24"/>
      <c r="L358" s="24"/>
      <c r="M358" s="24"/>
    </row>
    <row r="359" spans="1:13" ht="14.5">
      <c r="A359" s="20" t="s">
        <v>2815</v>
      </c>
      <c r="B359" s="81">
        <v>75</v>
      </c>
      <c r="C359" s="81">
        <v>80</v>
      </c>
      <c r="D359" s="79"/>
      <c r="E359" s="79"/>
      <c r="F359" s="20" t="s">
        <v>2816</v>
      </c>
      <c r="G359" s="24" t="str">
        <f ca="1">IFERROR(__xludf.DUMMYFUNCTION("UPPER(LEFT((GOOGLETRANSLATE(F359,""en"",""pt"")),1))&amp;RIGHT(lower((GOOGLETRANSLATE(F359,""en"",""pt""))),(LEN((GOOGLETRANSLATE(F359,""en"",""pt"")))-1))"),"Entidades de proteção")</f>
        <v>Entidades de proteção</v>
      </c>
      <c r="H359" s="24" t="e">
        <f>VLOOKUP(A359,En_Base_LNEC!$A$2:$E$10000,5,FALSE)</f>
        <v>#N/A</v>
      </c>
      <c r="I359" s="24"/>
      <c r="J359" s="79"/>
      <c r="K359" s="24"/>
      <c r="L359" s="24"/>
      <c r="M359" s="24"/>
    </row>
    <row r="360" spans="1:13" ht="14.5">
      <c r="A360" s="20" t="s">
        <v>2817</v>
      </c>
      <c r="B360" s="81">
        <v>80</v>
      </c>
      <c r="C360" s="79"/>
      <c r="D360" s="79"/>
      <c r="E360" s="79"/>
      <c r="F360" s="20" t="s">
        <v>2818</v>
      </c>
      <c r="G360" s="24" t="str">
        <f ca="1">IFERROR(__xludf.DUMMYFUNCTION("UPPER(LEFT((GOOGLETRANSLATE(F360,""en"",""pt"")),1))&amp;RIGHT(lower((GOOGLETRANSLATE(F360,""en"",""pt""))),(LEN((GOOGLETRANSLATE(F360,""en"",""pt"")))-1))"),"Entidades de transporte")</f>
        <v>Entidades de transporte</v>
      </c>
      <c r="H360" s="24" t="str">
        <f>VLOOKUP(A360,En_Base_LNEC!$A$2:$E$10000,5,FALSE)</f>
        <v>Infraestruturasde transportes</v>
      </c>
      <c r="I360" s="24" t="s">
        <v>2819</v>
      </c>
      <c r="J360" s="81" t="s">
        <v>2004</v>
      </c>
      <c r="K360" s="24"/>
      <c r="L360" s="24"/>
      <c r="M360" s="24"/>
    </row>
    <row r="361" spans="1:13" ht="14.5">
      <c r="A361" s="20" t="s">
        <v>2820</v>
      </c>
      <c r="B361" s="81">
        <v>80</v>
      </c>
      <c r="C361" s="81">
        <v>5</v>
      </c>
      <c r="D361" s="79"/>
      <c r="E361" s="79"/>
      <c r="F361" s="20" t="s">
        <v>2821</v>
      </c>
      <c r="G361" s="24" t="str">
        <f ca="1">IFERROR(__xludf.DUMMYFUNCTION("UPPER(LEFT((GOOGLETRANSLATE(F361,""en"",""pt"")),1))&amp;RIGHT(lower((GOOGLETRANSLATE(F361,""en"",""pt""))),(LEN((GOOGLETRANSLATE(F361,""en"",""pt"")))-1))"),"Entidades do setor aeroespacial")</f>
        <v>Entidades do setor aeroespacial</v>
      </c>
      <c r="H361" s="24" t="str">
        <f>VLOOKUP(A361,En_Base_LNEC!$A$2:$E$10000,5,FALSE)</f>
        <v>Edifícios e instalações para o transporte aéreo</v>
      </c>
      <c r="I361" s="24"/>
      <c r="J361" s="79"/>
      <c r="K361" s="24"/>
      <c r="L361" s="24"/>
      <c r="M361" s="24"/>
    </row>
    <row r="362" spans="1:13" ht="14.5">
      <c r="A362" s="20" t="s">
        <v>2822</v>
      </c>
      <c r="B362" s="81">
        <v>80</v>
      </c>
      <c r="C362" s="81">
        <v>5</v>
      </c>
      <c r="D362" s="81">
        <v>1</v>
      </c>
      <c r="E362" s="79"/>
      <c r="F362" s="20" t="s">
        <v>2823</v>
      </c>
      <c r="G362" s="24" t="str">
        <f ca="1">IFERROR(__xludf.DUMMYFUNCTION("UPPER(LEFT((GOOGLETRANSLATE(F362,""en"",""pt"")),1))&amp;RIGHT(lower((GOOGLETRANSLATE(F362,""en"",""pt""))),(LEN((GOOGLETRANSLATE(F362,""en"",""pt"")))-1))"),"Torres de controle de tráfego aéreo")</f>
        <v>Torres de controle de tráfego aéreo</v>
      </c>
      <c r="H362" s="24" t="e">
        <f>VLOOKUP(A362,En_Base_LNEC!$A$2:$E$10000,5,FALSE)</f>
        <v>#N/A</v>
      </c>
      <c r="I362" s="24"/>
      <c r="J362" s="79"/>
      <c r="K362" s="24"/>
      <c r="L362" s="24"/>
      <c r="M362" s="24"/>
    </row>
    <row r="363" spans="1:13" ht="14.5">
      <c r="A363" s="20" t="s">
        <v>2824</v>
      </c>
      <c r="B363" s="81">
        <v>80</v>
      </c>
      <c r="C363" s="81">
        <v>5</v>
      </c>
      <c r="D363" s="81">
        <v>2</v>
      </c>
      <c r="E363" s="79"/>
      <c r="F363" s="20" t="s">
        <v>2825</v>
      </c>
      <c r="G363" s="24" t="str">
        <f ca="1">IFERROR(__xludf.DUMMYFUNCTION("UPPER(LEFT((GOOGLETRANSLATE(F363,""en"",""pt"")),1))&amp;RIGHT(lower((GOOGLETRANSLATE(F363,""en"",""pt""))),(LEN((GOOGLETRANSLATE(F363,""en"",""pt"")))-1))"),"Hangares de aviões")</f>
        <v>Hangares de aviões</v>
      </c>
      <c r="H363" s="24" t="str">
        <f>VLOOKUP(A363,En_Base_LNEC!$A$2:$E$10000,5,FALSE)</f>
        <v>Aeroportos e aeródromos</v>
      </c>
      <c r="I363" s="24"/>
      <c r="J363" s="79"/>
      <c r="K363" s="24"/>
      <c r="L363" s="24"/>
      <c r="M363" s="24"/>
    </row>
    <row r="364" spans="1:13" ht="14.5">
      <c r="A364" s="20" t="s">
        <v>2826</v>
      </c>
      <c r="B364" s="81">
        <v>80</v>
      </c>
      <c r="C364" s="81">
        <v>5</v>
      </c>
      <c r="D364" s="81">
        <v>60</v>
      </c>
      <c r="E364" s="79"/>
      <c r="F364" s="20" t="s">
        <v>2827</v>
      </c>
      <c r="G364" s="24" t="str">
        <f ca="1">IFERROR(__xludf.DUMMYFUNCTION("UPPER(LEFT((GOOGLETRANSLATE(F364,""en"",""pt"")),1))&amp;RIGHT(lower((GOOGLETRANSLATE(F364,""en"",""pt""))),(LEN((GOOGLETRANSLATE(F364,""en"",""pt"")))-1))"),"Passageiros edifícios dos terminais")</f>
        <v>Passageiros edifícios dos terminais</v>
      </c>
      <c r="H364" s="24" t="e">
        <f>VLOOKUP(A364,En_Base_LNEC!$A$2:$E$10000,5,FALSE)</f>
        <v>#N/A</v>
      </c>
      <c r="I364" s="24"/>
      <c r="J364" s="79"/>
      <c r="K364" s="24"/>
      <c r="L364" s="24"/>
      <c r="M364" s="24"/>
    </row>
    <row r="365" spans="1:13" ht="14.5">
      <c r="A365" s="20" t="s">
        <v>2828</v>
      </c>
      <c r="B365" s="81">
        <v>80</v>
      </c>
      <c r="C365" s="81">
        <v>20</v>
      </c>
      <c r="D365" s="79"/>
      <c r="E365" s="79"/>
      <c r="F365" s="20" t="s">
        <v>2829</v>
      </c>
      <c r="G365" s="24" t="str">
        <f ca="1">IFERROR(__xludf.DUMMYFUNCTION("UPPER(LEFT((GOOGLETRANSLATE(F365,""en"",""pt"")),1))&amp;RIGHT(lower((GOOGLETRANSLATE(F365,""en"",""pt""))),(LEN((GOOGLETRANSLATE(F365,""en"",""pt"")))-1))"),"Entidades de transporte por cabos")</f>
        <v>Entidades de transporte por cabos</v>
      </c>
      <c r="H365" s="24" t="e">
        <f>VLOOKUP(A365,En_Base_LNEC!$A$2:$E$10000,5,FALSE)</f>
        <v>#N/A</v>
      </c>
      <c r="I365" s="24"/>
      <c r="J365" s="79"/>
      <c r="K365" s="24"/>
      <c r="L365" s="24"/>
      <c r="M365" s="24"/>
    </row>
    <row r="366" spans="1:13" ht="14.5">
      <c r="A366" s="20" t="s">
        <v>2830</v>
      </c>
      <c r="B366" s="81">
        <v>80</v>
      </c>
      <c r="C366" s="81">
        <v>20</v>
      </c>
      <c r="D366" s="81">
        <v>11</v>
      </c>
      <c r="E366" s="79"/>
      <c r="F366" s="20" t="s">
        <v>2831</v>
      </c>
      <c r="G366" s="24" t="str">
        <f ca="1">IFERROR(__xludf.DUMMYFUNCTION("UPPER(LEFT((GOOGLETRANSLATE(F366,""en"",""pt"")),1))&amp;RIGHT(lower((GOOGLETRANSLATE(F366,""en"",""pt""))),(LEN((GOOGLETRANSLATE(F366,""en"",""pt"")))-1))"),"Entidades de teleférico")</f>
        <v>Entidades de teleférico</v>
      </c>
      <c r="H366" s="24" t="e">
        <f>VLOOKUP(A366,En_Base_LNEC!$A$2:$E$10000,5,FALSE)</f>
        <v>#N/A</v>
      </c>
      <c r="I366" s="24"/>
      <c r="J366" s="79"/>
      <c r="K366" s="24"/>
      <c r="L366" s="24"/>
      <c r="M366" s="24"/>
    </row>
    <row r="367" spans="1:13" ht="14.5">
      <c r="A367" s="20" t="s">
        <v>2832</v>
      </c>
      <c r="B367" s="81">
        <v>80</v>
      </c>
      <c r="C367" s="81">
        <v>20</v>
      </c>
      <c r="D367" s="81">
        <v>12</v>
      </c>
      <c r="E367" s="79"/>
      <c r="F367" s="20" t="s">
        <v>2833</v>
      </c>
      <c r="G367" s="24" t="str">
        <f ca="1">IFERROR(__xludf.DUMMYFUNCTION("UPPER(LEFT((GOOGLETRANSLATE(F367,""en"",""pt"")),1))&amp;RIGHT(lower((GOOGLETRANSLATE(F367,""en"",""pt""))),(LEN((GOOGLETRANSLATE(F367,""en"",""pt"")))-1))"),"Estações de teleférico")</f>
        <v>Estações de teleférico</v>
      </c>
      <c r="H367" s="24" t="e">
        <f>VLOOKUP(A367,En_Base_LNEC!$A$2:$E$10000,5,FALSE)</f>
        <v>#N/A</v>
      </c>
      <c r="I367" s="24"/>
      <c r="J367" s="79"/>
      <c r="K367" s="24"/>
      <c r="L367" s="24"/>
      <c r="M367" s="24"/>
    </row>
    <row r="368" spans="1:13" ht="14.5">
      <c r="A368" s="20" t="s">
        <v>2834</v>
      </c>
      <c r="B368" s="81">
        <v>80</v>
      </c>
      <c r="C368" s="81">
        <v>20</v>
      </c>
      <c r="D368" s="81">
        <v>86</v>
      </c>
      <c r="E368" s="79"/>
      <c r="F368" s="20" t="s">
        <v>2835</v>
      </c>
      <c r="G368" s="24" t="str">
        <f ca="1">IFERROR(__xludf.DUMMYFUNCTION("UPPER(LEFT((GOOGLETRANSLATE(F368,""en"",""pt"")),1))&amp;RIGHT(lower((GOOGLETRANSLATE(F368,""en"",""pt""))),(LEN((GOOGLETRANSLATE(F368,""en"",""pt"")))-1))"),"Teleféricos suspensos")</f>
        <v>Teleféricos suspensos</v>
      </c>
      <c r="H368" s="24" t="e">
        <f>VLOOKUP(A368,En_Base_LNEC!$A$2:$E$10000,5,FALSE)</f>
        <v>#N/A</v>
      </c>
      <c r="I368" s="24"/>
      <c r="J368" s="79"/>
      <c r="K368" s="24"/>
      <c r="L368" s="24"/>
      <c r="M368" s="24"/>
    </row>
    <row r="369" spans="1:13" ht="14.5">
      <c r="A369" s="20" t="s">
        <v>2836</v>
      </c>
      <c r="B369" s="81">
        <v>80</v>
      </c>
      <c r="C369" s="81">
        <v>35</v>
      </c>
      <c r="D369" s="79"/>
      <c r="E369" s="79"/>
      <c r="F369" s="20" t="s">
        <v>2837</v>
      </c>
      <c r="G369" s="24" t="str">
        <f ca="1">IFERROR(__xludf.DUMMYFUNCTION("UPPER(LEFT((GOOGLETRANSLATE(F369,""en"",""pt"")),1))&amp;RIGHT(lower((GOOGLETRANSLATE(F369,""en"",""pt""))),(LEN((GOOGLETRANSLATE(F369,""en"",""pt"")))-1))"),"Entidades rodoviárias")</f>
        <v>Entidades rodoviárias</v>
      </c>
      <c r="H369" s="24" t="str">
        <f>VLOOKUP(A369,En_Base_LNEC!$A$2:$E$10000,5,FALSE)</f>
        <v>Edifícios e instalações para o transporte rodoviário</v>
      </c>
      <c r="I369" s="24"/>
      <c r="J369" s="79"/>
      <c r="K369" s="24"/>
      <c r="L369" s="24"/>
      <c r="M369" s="24"/>
    </row>
    <row r="370" spans="1:13" ht="14.5">
      <c r="A370" s="20" t="s">
        <v>2838</v>
      </c>
      <c r="B370" s="81">
        <v>80</v>
      </c>
      <c r="C370" s="81">
        <v>35</v>
      </c>
      <c r="D370" s="81">
        <v>1</v>
      </c>
      <c r="E370" s="79"/>
      <c r="F370" s="20" t="s">
        <v>2839</v>
      </c>
      <c r="G370" s="24" t="str">
        <f ca="1">IFERROR(__xludf.DUMMYFUNCTION("UPPER(LEFT((GOOGLETRANSLATE(F370,""en"",""pt"")),1))&amp;RIGHT(lower((GOOGLETRANSLATE(F370,""en"",""pt""))),(LEN((GOOGLETRANSLATE(F370,""en"",""pt"")))-1))"),"Estradas de acesso")</f>
        <v>Estradas de acesso</v>
      </c>
      <c r="H370" s="24" t="e">
        <f>VLOOKUP(A370,En_Base_LNEC!$A$2:$E$10000,5,FALSE)</f>
        <v>#N/A</v>
      </c>
      <c r="I370" s="24"/>
      <c r="J370" s="79"/>
      <c r="K370" s="24"/>
      <c r="L370" s="24"/>
      <c r="M370" s="24"/>
    </row>
    <row r="371" spans="1:13" ht="14.5">
      <c r="A371" s="20" t="s">
        <v>2840</v>
      </c>
      <c r="B371" s="81">
        <v>80</v>
      </c>
      <c r="C371" s="81">
        <v>35</v>
      </c>
      <c r="D371" s="81">
        <v>7</v>
      </c>
      <c r="E371" s="79"/>
      <c r="F371" s="20" t="s">
        <v>2841</v>
      </c>
      <c r="G371" s="24" t="str">
        <f ca="1">IFERROR(__xludf.DUMMYFUNCTION("UPPER(LEFT((GOOGLETRANSLATE(F371,""en"",""pt"")),1))&amp;RIGHT(lower((GOOGLETRANSLATE(F371,""en"",""pt""))),(LEN((GOOGLETRANSLATE(F371,""en"",""pt"")))-1))"),"Depósitos de manutenção de ônibus")</f>
        <v>Depósitos de manutenção de ônibus</v>
      </c>
      <c r="H371" s="24" t="str">
        <f>VLOOKUP(A371,En_Base_LNEC!$A$2:$E$10000,5,FALSE)</f>
        <v>Edifícios e instalações para reparação e manutenção de autocarros</v>
      </c>
      <c r="I371" s="24"/>
      <c r="J371" s="79"/>
      <c r="K371" s="24"/>
      <c r="L371" s="24"/>
      <c r="M371" s="24"/>
    </row>
    <row r="372" spans="1:13" ht="14.5">
      <c r="A372" s="20" t="s">
        <v>2842</v>
      </c>
      <c r="B372" s="81">
        <v>80</v>
      </c>
      <c r="C372" s="81">
        <v>35</v>
      </c>
      <c r="D372" s="81">
        <v>9</v>
      </c>
      <c r="E372" s="79"/>
      <c r="F372" s="20" t="s">
        <v>2843</v>
      </c>
      <c r="G372" s="24" t="str">
        <f ca="1">IFERROR(__xludf.DUMMYFUNCTION("UPPER(LEFT((GOOGLETRANSLATE(F372,""en"",""pt"")),1))&amp;RIGHT(lower((GOOGLETRANSLATE(F372,""en"",""pt""))),(LEN((GOOGLETRANSLATE(F372,""en"",""pt"")))-1))"),"Estações de autocarro")</f>
        <v>Estações de autocarro</v>
      </c>
      <c r="H372" s="24" t="str">
        <f>VLOOKUP(A372,En_Base_LNEC!$A$2:$E$10000,5,FALSE)</f>
        <v>Estações de autocarros</v>
      </c>
      <c r="I372" s="24"/>
      <c r="J372" s="79"/>
      <c r="K372" s="24"/>
      <c r="L372" s="24"/>
      <c r="M372" s="24"/>
    </row>
    <row r="373" spans="1:13" ht="14.5">
      <c r="A373" s="20" t="s">
        <v>2844</v>
      </c>
      <c r="B373" s="81">
        <v>80</v>
      </c>
      <c r="C373" s="81">
        <v>35</v>
      </c>
      <c r="D373" s="81">
        <v>34</v>
      </c>
      <c r="E373" s="79"/>
      <c r="F373" s="20" t="s">
        <v>2845</v>
      </c>
      <c r="G373" s="24" t="str">
        <f ca="1">IFERROR(__xludf.DUMMYFUNCTION("UPPER(LEFT((GOOGLETRANSLATE(F373,""en"",""pt"")),1))&amp;RIGHT(lower((GOOGLETRANSLATE(F373,""en"",""pt""))),(LEN((GOOGLETRANSLATE(F373,""en"",""pt"")))-1))"),"Corredores de ônibus guiadas")</f>
        <v>Corredores de ônibus guiadas</v>
      </c>
      <c r="H373" s="24" t="e">
        <f>VLOOKUP(A373,En_Base_LNEC!$A$2:$E$10000,5,FALSE)</f>
        <v>#N/A</v>
      </c>
      <c r="I373" s="24"/>
      <c r="J373" s="79"/>
      <c r="K373" s="24"/>
      <c r="L373" s="24"/>
      <c r="M373" s="24"/>
    </row>
    <row r="374" spans="1:13" ht="14.5">
      <c r="A374" s="20" t="s">
        <v>2846</v>
      </c>
      <c r="B374" s="81">
        <v>80</v>
      </c>
      <c r="C374" s="81">
        <v>35</v>
      </c>
      <c r="D374" s="81">
        <v>35</v>
      </c>
      <c r="E374" s="79"/>
      <c r="F374" s="20" t="s">
        <v>2847</v>
      </c>
      <c r="G374" s="24" t="str">
        <f ca="1">IFERROR(__xludf.DUMMYFUNCTION("UPPER(LEFT((GOOGLETRANSLATE(F374,""en"",""pt"")),1))&amp;RIGHT(lower((GOOGLETRANSLATE(F374,""en"",""pt""))),(LEN((GOOGLETRANSLATE(F374,""en"",""pt"")))-1))"),"Depósitos de manutenção de rodovias")</f>
        <v>Depósitos de manutenção de rodovias</v>
      </c>
      <c r="H374" s="24" t="str">
        <f>VLOOKUP(A374,En_Base_LNEC!$A$2:$E$10000,5,FALSE)</f>
        <v>Infraestruturas e instalações de exploração, sinalização, iluminação, zonas de estacionamento e de segurança em estradas</v>
      </c>
      <c r="I374" s="24"/>
      <c r="J374" s="79"/>
      <c r="K374" s="24"/>
      <c r="L374" s="24"/>
      <c r="M374" s="24"/>
    </row>
    <row r="375" spans="1:13" ht="14.5">
      <c r="A375" s="20" t="s">
        <v>2848</v>
      </c>
      <c r="B375" s="81">
        <v>80</v>
      </c>
      <c r="C375" s="81">
        <v>35</v>
      </c>
      <c r="D375" s="81">
        <v>38</v>
      </c>
      <c r="E375" s="79"/>
      <c r="F375" s="20" t="s">
        <v>2849</v>
      </c>
      <c r="G375" s="24" t="str">
        <f ca="1">IFERROR(__xludf.DUMMYFUNCTION("UPPER(LEFT((GOOGLETRANSLATE(F375,""en"",""pt"")),1))&amp;RIGHT(lower((GOOGLETRANSLATE(F375,""en"",""pt""))),(LEN((GOOGLETRANSLATE(F375,""en"",""pt"")))-1))"),"Estações de serviço estrada")</f>
        <v>Estações de serviço estrada</v>
      </c>
      <c r="H375" s="24" t="e">
        <f>VLOOKUP(A375,En_Base_LNEC!$A$2:$E$10000,5,FALSE)</f>
        <v>#N/A</v>
      </c>
      <c r="I375" s="24"/>
      <c r="J375" s="79"/>
      <c r="K375" s="24"/>
      <c r="L375" s="24"/>
      <c r="M375" s="24"/>
    </row>
    <row r="376" spans="1:13" ht="14.5">
      <c r="A376" s="20" t="s">
        <v>2850</v>
      </c>
      <c r="B376" s="81">
        <v>80</v>
      </c>
      <c r="C376" s="81">
        <v>35</v>
      </c>
      <c r="D376" s="81">
        <v>56</v>
      </c>
      <c r="E376" s="79"/>
      <c r="F376" s="20" t="s">
        <v>2851</v>
      </c>
      <c r="G376" s="24" t="str">
        <f ca="1">IFERROR(__xludf.DUMMYFUNCTION("UPPER(LEFT((GOOGLETRANSLATE(F376,""en"",""pt"")),1))&amp;RIGHT(lower((GOOGLETRANSLATE(F376,""en"",""pt""))),(LEN((GOOGLETRANSLATE(F376,""en"",""pt"")))-1))"),"Auto-estradas")</f>
        <v>Auto-estradas</v>
      </c>
      <c r="H376" s="24" t="e">
        <f>VLOOKUP(A376,En_Base_LNEC!$A$2:$E$10000,5,FALSE)</f>
        <v>#N/A</v>
      </c>
      <c r="I376" s="24"/>
      <c r="J376" s="79"/>
      <c r="K376" s="24"/>
      <c r="L376" s="24"/>
      <c r="M376" s="24"/>
    </row>
    <row r="377" spans="1:13" ht="14.5">
      <c r="A377" s="20" t="s">
        <v>2852</v>
      </c>
      <c r="B377" s="81">
        <v>80</v>
      </c>
      <c r="C377" s="81">
        <v>35</v>
      </c>
      <c r="D377" s="81">
        <v>67</v>
      </c>
      <c r="E377" s="79"/>
      <c r="F377" s="20" t="s">
        <v>2853</v>
      </c>
      <c r="G377" s="24" t="str">
        <f ca="1">IFERROR(__xludf.DUMMYFUNCTION("UPPER(LEFT((GOOGLETRANSLATE(F377,""en"",""pt"")),1))&amp;RIGHT(lower((GOOGLETRANSLATE(F377,""en"",""pt""))),(LEN((GOOGLETRANSLATE(F377,""en"",""pt"")))-1))"),"Estradas privadas")</f>
        <v>Estradas privadas</v>
      </c>
      <c r="H377" s="24" t="e">
        <f>VLOOKUP(A377,En_Base_LNEC!$A$2:$E$10000,5,FALSE)</f>
        <v>#N/A</v>
      </c>
      <c r="I377" s="24"/>
      <c r="J377" s="79"/>
      <c r="K377" s="24"/>
      <c r="L377" s="24"/>
      <c r="M377" s="24"/>
    </row>
    <row r="378" spans="1:13" ht="14.5">
      <c r="A378" s="20" t="s">
        <v>2854</v>
      </c>
      <c r="B378" s="81">
        <v>80</v>
      </c>
      <c r="C378" s="81">
        <v>35</v>
      </c>
      <c r="D378" s="81">
        <v>73</v>
      </c>
      <c r="E378" s="79"/>
      <c r="F378" s="20" t="s">
        <v>2855</v>
      </c>
      <c r="G378" s="24" t="str">
        <f ca="1">IFERROR(__xludf.DUMMYFUNCTION("UPPER(LEFT((GOOGLETRANSLATE(F378,""en"",""pt"")),1))&amp;RIGHT(lower((GOOGLETRANSLATE(F378,""en"",""pt""))),(LEN((GOOGLETRANSLATE(F378,""en"",""pt"")))-1))"),"Depósitos de transporte rodoviário de mercadorias")</f>
        <v>Depósitos de transporte rodoviário de mercadorias</v>
      </c>
      <c r="H378" s="24" t="e">
        <f>VLOOKUP(A378,En_Base_LNEC!$A$2:$E$10000,5,FALSE)</f>
        <v>#N/A</v>
      </c>
      <c r="I378" s="24"/>
      <c r="J378" s="79"/>
      <c r="K378" s="24"/>
      <c r="L378" s="24"/>
      <c r="M378" s="24"/>
    </row>
    <row r="379" spans="1:13" ht="14.5">
      <c r="A379" s="20" t="s">
        <v>2856</v>
      </c>
      <c r="B379" s="81">
        <v>80</v>
      </c>
      <c r="C379" s="81">
        <v>35</v>
      </c>
      <c r="D379" s="81">
        <v>74</v>
      </c>
      <c r="E379" s="79"/>
      <c r="F379" s="20" t="s">
        <v>2857</v>
      </c>
      <c r="G379" s="24" t="str">
        <f ca="1">IFERROR(__xludf.DUMMYFUNCTION("UPPER(LEFT((GOOGLETRANSLATE(F379,""en"",""pt"")),1))&amp;RIGHT(lower((GOOGLETRANSLATE(F379,""en"",""pt""))),(LEN((GOOGLETRANSLATE(F379,""en"",""pt"")))-1))"),"Roads")</f>
        <v>Roads</v>
      </c>
      <c r="H379" s="24" t="e">
        <f>VLOOKUP(A379,En_Base_LNEC!$A$2:$E$10000,5,FALSE)</f>
        <v>#N/A</v>
      </c>
      <c r="I379" s="24"/>
      <c r="J379" s="79"/>
      <c r="K379" s="24"/>
      <c r="L379" s="24"/>
      <c r="M379" s="24"/>
    </row>
    <row r="380" spans="1:13" ht="14.5">
      <c r="A380" s="20" t="s">
        <v>2858</v>
      </c>
      <c r="B380" s="81">
        <v>80</v>
      </c>
      <c r="C380" s="81">
        <v>35</v>
      </c>
      <c r="D380" s="81">
        <v>77</v>
      </c>
      <c r="E380" s="79"/>
      <c r="F380" s="20" t="s">
        <v>2859</v>
      </c>
      <c r="G380" s="24" t="str">
        <f ca="1">IFERROR(__xludf.DUMMYFUNCTION("UPPER(LEFT((GOOGLETRANSLATE(F380,""en"",""pt"")),1))&amp;RIGHT(lower((GOOGLETRANSLATE(F380,""en"",""pt""))),(LEN((GOOGLETRANSLATE(F380,""en"",""pt"")))-1))"),"Edifícios área de serviço")</f>
        <v>Edifícios área de serviço</v>
      </c>
      <c r="H380" s="24" t="e">
        <f>VLOOKUP(A380,En_Base_LNEC!$A$2:$E$10000,5,FALSE)</f>
        <v>#N/A</v>
      </c>
      <c r="I380" s="24"/>
      <c r="J380" s="79"/>
      <c r="K380" s="24"/>
      <c r="L380" s="24"/>
      <c r="M380" s="24"/>
    </row>
    <row r="381" spans="1:13" ht="14.5">
      <c r="A381" s="20" t="s">
        <v>2860</v>
      </c>
      <c r="B381" s="81">
        <v>80</v>
      </c>
      <c r="C381" s="81">
        <v>35</v>
      </c>
      <c r="D381" s="81">
        <v>88</v>
      </c>
      <c r="E381" s="79"/>
      <c r="F381" s="20" t="s">
        <v>2861</v>
      </c>
      <c r="G381" s="24" t="str">
        <f ca="1">IFERROR(__xludf.DUMMYFUNCTION("UPPER(LEFT((GOOGLETRANSLATE(F381,""en"",""pt"")),1))&amp;RIGHT(lower((GOOGLETRANSLATE(F381,""en"",""pt""))),(LEN((GOOGLETRANSLATE(F381,""en"",""pt"")))-1))"),"Portagens")</f>
        <v>Portagens</v>
      </c>
      <c r="H381" s="24" t="str">
        <f>VLOOKUP(A381,En_Base_LNEC!$A$2:$E$10000,5,FALSE)</f>
        <v>Edifícios e instalações para reparação e manutenção de camiões</v>
      </c>
      <c r="I381" s="24"/>
      <c r="J381" s="79"/>
      <c r="K381" s="24"/>
      <c r="L381" s="24"/>
      <c r="M381" s="24"/>
    </row>
    <row r="382" spans="1:13" ht="14.5">
      <c r="A382" s="20" t="s">
        <v>2862</v>
      </c>
      <c r="B382" s="81">
        <v>80</v>
      </c>
      <c r="C382" s="81">
        <v>35</v>
      </c>
      <c r="D382" s="81">
        <v>89</v>
      </c>
      <c r="E382" s="79"/>
      <c r="F382" s="20" t="s">
        <v>2863</v>
      </c>
      <c r="G382" s="24" t="str">
        <f ca="1">IFERROR(__xludf.DUMMYFUNCTION("UPPER(LEFT((GOOGLETRANSLATE(F382,""en"",""pt"")),1))&amp;RIGHT(lower((GOOGLETRANSLATE(F382,""en"",""pt""))),(LEN((GOOGLETRANSLATE(F382,""en"",""pt"")))-1))"),"Tracks")</f>
        <v>Tracks</v>
      </c>
      <c r="H382" s="24" t="e">
        <f>VLOOKUP(A382,En_Base_LNEC!$A$2:$E$10000,5,FALSE)</f>
        <v>#N/A</v>
      </c>
      <c r="I382" s="24"/>
      <c r="J382" s="79"/>
      <c r="K382" s="24"/>
      <c r="L382" s="24"/>
      <c r="M382" s="24"/>
    </row>
    <row r="383" spans="1:13" ht="14.5">
      <c r="A383" s="20" t="s">
        <v>2864</v>
      </c>
      <c r="B383" s="81">
        <v>80</v>
      </c>
      <c r="C383" s="81">
        <v>35</v>
      </c>
      <c r="D383" s="81">
        <v>90</v>
      </c>
      <c r="E383" s="79"/>
      <c r="F383" s="20" t="s">
        <v>2865</v>
      </c>
      <c r="G383" s="24" t="str">
        <f ca="1">IFERROR(__xludf.DUMMYFUNCTION("UPPER(LEFT((GOOGLETRANSLATE(F383,""en"",""pt"")),1))&amp;RIGHT(lower((GOOGLETRANSLATE(F383,""en"",""pt""))),(LEN((GOOGLETRANSLATE(F383,""en"",""pt"")))-1))"),"Depósitos de manutenção de caminhão")</f>
        <v>Depósitos de manutenção de caminhão</v>
      </c>
      <c r="H383" s="24" t="str">
        <f>VLOOKUP(A383,En_Base_LNEC!$A$2:$E$10000,5,FALSE)</f>
        <v>Abrigos</v>
      </c>
      <c r="I383" s="24"/>
      <c r="J383" s="79"/>
      <c r="K383" s="24"/>
      <c r="L383" s="24"/>
      <c r="M383" s="24"/>
    </row>
    <row r="384" spans="1:13" ht="14.5">
      <c r="A384" s="20" t="s">
        <v>2866</v>
      </c>
      <c r="B384" s="81">
        <v>80</v>
      </c>
      <c r="C384" s="81">
        <v>40</v>
      </c>
      <c r="D384" s="79"/>
      <c r="E384" s="79"/>
      <c r="F384" s="20" t="s">
        <v>2867</v>
      </c>
      <c r="G384" s="24" t="str">
        <f ca="1">IFERROR(__xludf.DUMMYFUNCTION("UPPER(LEFT((GOOGLETRANSLATE(F384,""en"",""pt"")),1))&amp;RIGHT(lower((GOOGLETRANSLATE(F384,""en"",""pt""))),(LEN((GOOGLETRANSLATE(F384,""en"",""pt"")))-1))"),"Pathways")</f>
        <v>Pathways</v>
      </c>
      <c r="H384" s="24" t="str">
        <f>VLOOKUP(A384,En_Base_LNEC!$A$2:$E$10000,5,FALSE)</f>
        <v>Estações de serviço e portagens nas autoestradas</v>
      </c>
      <c r="I384" s="24"/>
      <c r="J384" s="79"/>
      <c r="K384" s="24"/>
      <c r="L384" s="24"/>
      <c r="M384" s="24"/>
    </row>
    <row r="385" spans="1:13" ht="14.5">
      <c r="A385" s="20" t="s">
        <v>2868</v>
      </c>
      <c r="B385" s="81">
        <v>80</v>
      </c>
      <c r="C385" s="81">
        <v>40</v>
      </c>
      <c r="D385" s="81">
        <v>8</v>
      </c>
      <c r="E385" s="79"/>
      <c r="F385" s="20" t="s">
        <v>2869</v>
      </c>
      <c r="G385" s="24" t="str">
        <f ca="1">IFERROR(__xludf.DUMMYFUNCTION("UPPER(LEFT((GOOGLETRANSLATE(F385,""en"",""pt"")),1))&amp;RIGHT(lower((GOOGLETRANSLATE(F385,""en"",""pt""))),(LEN((GOOGLETRANSLATE(F385,""en"",""pt"")))-1))"),"Bridleways")</f>
        <v>Bridleways</v>
      </c>
      <c r="H385" s="24" t="e">
        <f>VLOOKUP(A385,En_Base_LNEC!$A$2:$E$10000,5,FALSE)</f>
        <v>#N/A</v>
      </c>
      <c r="I385" s="24"/>
      <c r="J385" s="79"/>
      <c r="K385" s="24"/>
      <c r="L385" s="24"/>
      <c r="M385" s="24"/>
    </row>
    <row r="386" spans="1:13" ht="14.5">
      <c r="A386" s="20" t="s">
        <v>2870</v>
      </c>
      <c r="B386" s="81">
        <v>80</v>
      </c>
      <c r="C386" s="81">
        <v>40</v>
      </c>
      <c r="D386" s="81">
        <v>10</v>
      </c>
      <c r="E386" s="79"/>
      <c r="F386" s="20" t="s">
        <v>2871</v>
      </c>
      <c r="G386" s="24" t="str">
        <f ca="1">IFERROR(__xludf.DUMMYFUNCTION("UPPER(LEFT((GOOGLETRANSLATE(F386,""en"",""pt"")),1))&amp;RIGHT(lower((GOOGLETRANSLATE(F386,""en"",""pt""))),(LEN((GOOGLETRANSLATE(F386,""en"",""pt"")))-1))"),"Byways")</f>
        <v>Byways</v>
      </c>
      <c r="H386" s="24" t="e">
        <f>VLOOKUP(A386,En_Base_LNEC!$A$2:$E$10000,5,FALSE)</f>
        <v>#N/A</v>
      </c>
      <c r="I386" s="24"/>
      <c r="J386" s="79"/>
      <c r="K386" s="24"/>
      <c r="L386" s="24"/>
      <c r="M386" s="24"/>
    </row>
    <row r="387" spans="1:13" ht="14.5">
      <c r="A387" s="20" t="s">
        <v>2872</v>
      </c>
      <c r="B387" s="81">
        <v>80</v>
      </c>
      <c r="C387" s="81">
        <v>40</v>
      </c>
      <c r="D387" s="81">
        <v>20</v>
      </c>
      <c r="E387" s="79"/>
      <c r="F387" s="20" t="s">
        <v>2873</v>
      </c>
      <c r="G387" s="24" t="str">
        <f ca="1">IFERROR(__xludf.DUMMYFUNCTION("UPPER(LEFT((GOOGLETRANSLATE(F387,""en"",""pt"")),1))&amp;RIGHT(lower((GOOGLETRANSLATE(F387,""en"",""pt""))),(LEN((GOOGLETRANSLATE(F387,""en"",""pt"")))-1))"),"Percursos de ciclo")</f>
        <v>Percursos de ciclo</v>
      </c>
      <c r="H387" s="24" t="e">
        <f>VLOOKUP(A387,En_Base_LNEC!$A$2:$E$10000,5,FALSE)</f>
        <v>#N/A</v>
      </c>
      <c r="I387" s="24"/>
      <c r="J387" s="79"/>
      <c r="K387" s="24"/>
      <c r="L387" s="24"/>
      <c r="M387" s="24"/>
    </row>
    <row r="388" spans="1:13" ht="14.5">
      <c r="A388" s="20" t="s">
        <v>2874</v>
      </c>
      <c r="B388" s="81">
        <v>80</v>
      </c>
      <c r="C388" s="81">
        <v>40</v>
      </c>
      <c r="D388" s="81">
        <v>30</v>
      </c>
      <c r="E388" s="79"/>
      <c r="F388" s="20" t="s">
        <v>2875</v>
      </c>
      <c r="G388" s="24" t="str">
        <f ca="1">IFERROR(__xludf.DUMMYFUNCTION("UPPER(LEFT((GOOGLETRANSLATE(F388,""en"",""pt"")),1))&amp;RIGHT(lower((GOOGLETRANSLATE(F388,""en"",""pt""))),(LEN((GOOGLETRANSLATE(F388,""en"",""pt"")))-1))"),"Footpaths")</f>
        <v>Footpaths</v>
      </c>
      <c r="H388" s="24" t="e">
        <f>VLOOKUP(A388,En_Base_LNEC!$A$2:$E$10000,5,FALSE)</f>
        <v>#N/A</v>
      </c>
      <c r="I388" s="24"/>
      <c r="J388" s="79"/>
      <c r="K388" s="24"/>
      <c r="L388" s="24"/>
      <c r="M388" s="24"/>
    </row>
    <row r="389" spans="1:13" ht="14.5">
      <c r="A389" s="20" t="s">
        <v>2876</v>
      </c>
      <c r="B389" s="81">
        <v>80</v>
      </c>
      <c r="C389" s="81">
        <v>40</v>
      </c>
      <c r="D389" s="81">
        <v>37</v>
      </c>
      <c r="E389" s="79"/>
      <c r="F389" s="20" t="s">
        <v>2877</v>
      </c>
      <c r="G389" s="24" t="str">
        <f ca="1">IFERROR(__xludf.DUMMYFUNCTION("UPPER(LEFT((GOOGLETRANSLATE(F389,""en"",""pt"")),1))&amp;RIGHT(lower((GOOGLETRANSLATE(F389,""en"",""pt""))),(LEN((GOOGLETRANSLATE(F389,""en"",""pt"")))-1))"),"Trilhas para caminhadas")</f>
        <v>Trilhas para caminhadas</v>
      </c>
      <c r="H389" s="24" t="e">
        <f>VLOOKUP(A389,En_Base_LNEC!$A$2:$E$10000,5,FALSE)</f>
        <v>#N/A</v>
      </c>
      <c r="I389" s="24"/>
      <c r="J389" s="79"/>
      <c r="K389" s="24"/>
      <c r="L389" s="24"/>
      <c r="M389" s="24"/>
    </row>
    <row r="390" spans="1:13" ht="14.5">
      <c r="A390" s="20" t="s">
        <v>2878</v>
      </c>
      <c r="B390" s="81">
        <v>80</v>
      </c>
      <c r="C390" s="81">
        <v>40</v>
      </c>
      <c r="D390" s="81">
        <v>66</v>
      </c>
      <c r="E390" s="79"/>
      <c r="F390" s="20" t="s">
        <v>2879</v>
      </c>
      <c r="G390" s="24" t="str">
        <f ca="1">IFERROR(__xludf.DUMMYFUNCTION("UPPER(LEFT((GOOGLETRANSLATE(F390,""en"",""pt"")),1))&amp;RIGHT(lower((GOOGLETRANSLATE(F390,""en"",""pt""))),(LEN((GOOGLETRANSLATE(F390,""en"",""pt"")))-1))"),"Promenades")</f>
        <v>Promenades</v>
      </c>
      <c r="H390" s="24" t="e">
        <f>VLOOKUP(A390,En_Base_LNEC!$A$2:$E$10000,5,FALSE)</f>
        <v>#N/A</v>
      </c>
      <c r="I390" s="24"/>
      <c r="J390" s="79"/>
      <c r="K390" s="24"/>
      <c r="L390" s="24"/>
      <c r="M390" s="24"/>
    </row>
    <row r="391" spans="1:13" ht="14.5">
      <c r="A391" s="20" t="s">
        <v>2880</v>
      </c>
      <c r="B391" s="81">
        <v>80</v>
      </c>
      <c r="C391" s="81">
        <v>40</v>
      </c>
      <c r="D391" s="81">
        <v>70</v>
      </c>
      <c r="E391" s="79"/>
      <c r="F391" s="20" t="s">
        <v>2881</v>
      </c>
      <c r="G391" s="24" t="str">
        <f ca="1">IFERROR(__xludf.DUMMYFUNCTION("UPPER(LEFT((GOOGLETRANSLATE(F391,""en"",""pt"")),1))&amp;RIGHT(lower((GOOGLETRANSLATE(F391,""en"",""pt""))),(LEN((GOOGLETRANSLATE(F391,""en"",""pt"")))-1))"),"Maneiras rambler")</f>
        <v>Maneiras rambler</v>
      </c>
      <c r="H391" s="24" t="e">
        <f>VLOOKUP(A391,En_Base_LNEC!$A$2:$E$10000,5,FALSE)</f>
        <v>#N/A</v>
      </c>
      <c r="I391" s="24"/>
      <c r="J391" s="79"/>
      <c r="K391" s="24"/>
      <c r="L391" s="24"/>
      <c r="M391" s="24"/>
    </row>
    <row r="392" spans="1:13" ht="14.5">
      <c r="A392" s="20" t="s">
        <v>2882</v>
      </c>
      <c r="B392" s="81">
        <v>80</v>
      </c>
      <c r="C392" s="81">
        <v>40</v>
      </c>
      <c r="D392" s="81">
        <v>90</v>
      </c>
      <c r="E392" s="79"/>
      <c r="F392" s="20" t="s">
        <v>2883</v>
      </c>
      <c r="G392" s="24" t="str">
        <f ca="1">IFERROR(__xludf.DUMMYFUNCTION("UPPER(LEFT((GOOGLETRANSLATE(F392,""en"",""pt"")),1))&amp;RIGHT(lower((GOOGLETRANSLATE(F392,""en"",""pt""))),(LEN((GOOGLETRANSLATE(F392,""en"",""pt"")))-1))"),"Trilhas")</f>
        <v>Trilhas</v>
      </c>
      <c r="H392" s="24" t="e">
        <f>VLOOKUP(A392,En_Base_LNEC!$A$2:$E$10000,5,FALSE)</f>
        <v>#N/A</v>
      </c>
      <c r="I392" s="24"/>
      <c r="J392" s="79"/>
      <c r="K392" s="24"/>
      <c r="L392" s="24"/>
      <c r="M392" s="24"/>
    </row>
    <row r="393" spans="1:13" ht="14.5">
      <c r="A393" s="20" t="s">
        <v>2884</v>
      </c>
      <c r="B393" s="81">
        <v>80</v>
      </c>
      <c r="C393" s="81">
        <v>45</v>
      </c>
      <c r="D393" s="79"/>
      <c r="E393" s="79"/>
      <c r="F393" s="20" t="s">
        <v>2885</v>
      </c>
      <c r="G393" s="24" t="str">
        <f ca="1">IFERROR(__xludf.DUMMYFUNCTION("UPPER(LEFT((GOOGLETRANSLATE(F393,""en"",""pt"")),1))&amp;RIGHT(lower((GOOGLETRANSLATE(F393,""en"",""pt""))),(LEN((GOOGLETRANSLATE(F393,""en"",""pt"")))-1))"),"Entidades de armazenamento de veículos")</f>
        <v>Entidades de armazenamento de veículos</v>
      </c>
      <c r="H393" s="24" t="e">
        <f>VLOOKUP(A393,En_Base_LNEC!$A$2:$E$10000,5,FALSE)</f>
        <v>#N/A</v>
      </c>
      <c r="I393" s="24"/>
      <c r="J393" s="79"/>
      <c r="K393" s="24"/>
      <c r="L393" s="24"/>
      <c r="M393" s="24"/>
    </row>
    <row r="394" spans="1:13" ht="14.5">
      <c r="A394" s="20" t="s">
        <v>2886</v>
      </c>
      <c r="B394" s="81">
        <v>80</v>
      </c>
      <c r="C394" s="81">
        <v>45</v>
      </c>
      <c r="D394" s="81">
        <v>8</v>
      </c>
      <c r="E394" s="79"/>
      <c r="F394" s="20" t="s">
        <v>2887</v>
      </c>
      <c r="G394" s="24" t="str">
        <f ca="1">IFERROR(__xludf.DUMMYFUNCTION("UPPER(LEFT((GOOGLETRANSLATE(F394,""en"",""pt"")),1))&amp;RIGHT(lower((GOOGLETRANSLATE(F394,""en"",""pt""))),(LEN((GOOGLETRANSLATE(F394,""en"",""pt"")))-1))"),"Parques de ônibus")</f>
        <v>Parques de ônibus</v>
      </c>
      <c r="H394" s="24" t="e">
        <f>VLOOKUP(A394,En_Base_LNEC!$A$2:$E$10000,5,FALSE)</f>
        <v>#N/A</v>
      </c>
      <c r="I394" s="24"/>
      <c r="J394" s="79"/>
      <c r="K394" s="24"/>
      <c r="L394" s="24"/>
      <c r="M394" s="24"/>
    </row>
    <row r="395" spans="1:13" ht="14.5">
      <c r="A395" s="20" t="s">
        <v>2888</v>
      </c>
      <c r="B395" s="81">
        <v>80</v>
      </c>
      <c r="C395" s="81">
        <v>45</v>
      </c>
      <c r="D395" s="81">
        <v>11</v>
      </c>
      <c r="E395" s="79"/>
      <c r="F395" s="20" t="s">
        <v>2889</v>
      </c>
      <c r="G395" s="24" t="str">
        <f ca="1">IFERROR(__xludf.DUMMYFUNCTION("UPPER(LEFT((GOOGLETRANSLATE(F395,""en"",""pt"")),1))&amp;RIGHT(lower((GOOGLETRANSLATE(F395,""en"",""pt""))),(LEN((GOOGLETRANSLATE(F395,""en"",""pt"")))-1))"),"Entidades garagem carro")</f>
        <v>Entidades garagem carro</v>
      </c>
      <c r="H395" s="24" t="e">
        <f>VLOOKUP(A395,En_Base_LNEC!$A$2:$E$10000,5,FALSE)</f>
        <v>#N/A</v>
      </c>
      <c r="I395" s="24"/>
      <c r="J395" s="79"/>
      <c r="K395" s="24"/>
      <c r="L395" s="24"/>
      <c r="M395" s="24"/>
    </row>
    <row r="396" spans="1:13" ht="14.5">
      <c r="A396" s="20" t="s">
        <v>2890</v>
      </c>
      <c r="B396" s="81">
        <v>80</v>
      </c>
      <c r="C396" s="81">
        <v>45</v>
      </c>
      <c r="D396" s="81">
        <v>17</v>
      </c>
      <c r="E396" s="79"/>
      <c r="F396" s="20" t="s">
        <v>2891</v>
      </c>
      <c r="G396" s="24" t="str">
        <f ca="1">IFERROR(__xludf.DUMMYFUNCTION("UPPER(LEFT((GOOGLETRANSLATE(F396,""en"",""pt"")),1))&amp;RIGHT(lower((GOOGLETRANSLATE(F396,""en"",""pt""))),(LEN((GOOGLETRANSLATE(F396,""en"",""pt"")))-1))"),"Parques de autocarros")</f>
        <v>Parques de autocarros</v>
      </c>
      <c r="H396" s="24" t="e">
        <f>VLOOKUP(A396,En_Base_LNEC!$A$2:$E$10000,5,FALSE)</f>
        <v>#N/A</v>
      </c>
      <c r="I396" s="24"/>
      <c r="J396" s="79"/>
      <c r="K396" s="24"/>
      <c r="L396" s="24"/>
      <c r="M396" s="24"/>
    </row>
    <row r="397" spans="1:13" ht="14.5">
      <c r="A397" s="20" t="s">
        <v>2892</v>
      </c>
      <c r="B397" s="81">
        <v>80</v>
      </c>
      <c r="C397" s="81">
        <v>45</v>
      </c>
      <c r="D397" s="81">
        <v>55</v>
      </c>
      <c r="E397" s="79"/>
      <c r="F397" s="20" t="s">
        <v>2893</v>
      </c>
      <c r="G397" s="24" t="str">
        <f ca="1">IFERROR(__xludf.DUMMYFUNCTION("UPPER(LEFT((GOOGLETRANSLATE(F397,""en"",""pt"")),1))&amp;RIGHT(lower((GOOGLETRANSLATE(F397,""en"",""pt""))),(LEN((GOOGLETRANSLATE(F397,""en"",""pt"")))-1))"),"Parques de veículos de vários andares")</f>
        <v>Parques de veículos de vários andares</v>
      </c>
      <c r="H397" s="24" t="e">
        <f>VLOOKUP(A397,En_Base_LNEC!$A$2:$E$10000,5,FALSE)</f>
        <v>#N/A</v>
      </c>
      <c r="I397" s="24"/>
      <c r="J397" s="79"/>
      <c r="K397" s="24"/>
      <c r="L397" s="24"/>
      <c r="M397" s="24"/>
    </row>
    <row r="398" spans="1:13" ht="14.5">
      <c r="A398" s="20" t="s">
        <v>2894</v>
      </c>
      <c r="B398" s="81">
        <v>80</v>
      </c>
      <c r="C398" s="81">
        <v>45</v>
      </c>
      <c r="D398" s="81">
        <v>85</v>
      </c>
      <c r="E398" s="79"/>
      <c r="F398" s="20" t="s">
        <v>2895</v>
      </c>
      <c r="G398" s="24" t="str">
        <f ca="1">IFERROR(__xludf.DUMMYFUNCTION("UPPER(LEFT((GOOGLETRANSLATE(F398,""en"",""pt"")),1))&amp;RIGHT(lower((GOOGLETRANSLATE(F398,""en"",""pt""))),(LEN((GOOGLETRANSLATE(F398,""en"",""pt"")))-1))"),"Parques de veículos superfície")</f>
        <v>Parques de veículos superfície</v>
      </c>
      <c r="H398" s="24" t="e">
        <f>VLOOKUP(A398,En_Base_LNEC!$A$2:$E$10000,5,FALSE)</f>
        <v>#N/A</v>
      </c>
      <c r="I398" s="24"/>
      <c r="J398" s="79"/>
      <c r="K398" s="24"/>
      <c r="L398" s="24"/>
      <c r="M398" s="24"/>
    </row>
    <row r="399" spans="1:13" ht="14.5">
      <c r="A399" s="20" t="s">
        <v>2896</v>
      </c>
      <c r="B399" s="81">
        <v>80</v>
      </c>
      <c r="C399" s="81">
        <v>45</v>
      </c>
      <c r="D399" s="81">
        <v>89</v>
      </c>
      <c r="E399" s="79"/>
      <c r="F399" s="20" t="s">
        <v>2897</v>
      </c>
      <c r="G399" s="24" t="str">
        <f ca="1">IFERROR(__xludf.DUMMYFUNCTION("UPPER(LEFT((GOOGLETRANSLATE(F399,""en"",""pt"")),1))&amp;RIGHT(lower((GOOGLETRANSLATE(F399,""en"",""pt""))),(LEN((GOOGLETRANSLATE(F399,""en"",""pt"")))-1))"),"Parques de caminhão")</f>
        <v>Parques de caminhão</v>
      </c>
      <c r="H399" s="24" t="e">
        <f>VLOOKUP(A399,En_Base_LNEC!$A$2:$E$10000,5,FALSE)</f>
        <v>#N/A</v>
      </c>
      <c r="I399" s="24"/>
      <c r="J399" s="79"/>
      <c r="K399" s="24"/>
      <c r="L399" s="24"/>
      <c r="M399" s="24"/>
    </row>
    <row r="400" spans="1:13" ht="14.5">
      <c r="A400" s="20" t="s">
        <v>2898</v>
      </c>
      <c r="B400" s="81">
        <v>80</v>
      </c>
      <c r="C400" s="81">
        <v>45</v>
      </c>
      <c r="D400" s="81">
        <v>92</v>
      </c>
      <c r="E400" s="79"/>
      <c r="F400" s="20" t="s">
        <v>2899</v>
      </c>
      <c r="G400" s="24" t="str">
        <f ca="1">IFERROR(__xludf.DUMMYFUNCTION("UPPER(LEFT((GOOGLETRANSLATE(F400,""en"",""pt"")),1))&amp;RIGHT(lower((GOOGLETRANSLATE(F400,""en"",""pt""))),(LEN((GOOGLETRANSLATE(F400,""en"",""pt"")))-1))"),"Parques de veículos subterrâneas")</f>
        <v>Parques de veículos subterrâneas</v>
      </c>
      <c r="H400" s="24" t="e">
        <f>VLOOKUP(A400,En_Base_LNEC!$A$2:$E$10000,5,FALSE)</f>
        <v>#N/A</v>
      </c>
      <c r="I400" s="24"/>
      <c r="J400" s="79"/>
      <c r="K400" s="24"/>
      <c r="L400" s="24"/>
      <c r="M400" s="24"/>
    </row>
    <row r="401" spans="1:13" ht="14.5">
      <c r="A401" s="20" t="s">
        <v>2900</v>
      </c>
      <c r="B401" s="81">
        <v>80</v>
      </c>
      <c r="C401" s="81">
        <v>50</v>
      </c>
      <c r="D401" s="79"/>
      <c r="E401" s="79"/>
      <c r="F401" s="20" t="s">
        <v>2901</v>
      </c>
      <c r="G401" s="24" t="str">
        <f ca="1">IFERROR(__xludf.DUMMYFUNCTION("UPPER(LEFT((GOOGLETRANSLATE(F401,""en"",""pt"")),1))&amp;RIGHT(lower((GOOGLETRANSLATE(F401,""en"",""pt""))),(LEN((GOOGLETRANSLATE(F401,""en"",""pt"")))-1))"),"Entidades ferroviárias")</f>
        <v>Entidades ferroviárias</v>
      </c>
      <c r="H401" s="24" t="str">
        <f>VLOOKUP(A401,En_Base_LNEC!$A$2:$E$10000,5,FALSE)</f>
        <v>Edifícios e instalações para o transporte ferroviário</v>
      </c>
      <c r="I401" s="24"/>
      <c r="J401" s="79"/>
      <c r="K401" s="24"/>
      <c r="L401" s="24"/>
      <c r="M401" s="24"/>
    </row>
    <row r="402" spans="1:13" ht="14.5">
      <c r="A402" s="20" t="s">
        <v>2902</v>
      </c>
      <c r="B402" s="81">
        <v>80</v>
      </c>
      <c r="C402" s="81">
        <v>50</v>
      </c>
      <c r="D402" s="81">
        <v>53</v>
      </c>
      <c r="E402" s="79"/>
      <c r="F402" s="20" t="s">
        <v>2903</v>
      </c>
      <c r="G402" s="24" t="str">
        <f ca="1">IFERROR(__xludf.DUMMYFUNCTION("UPPER(LEFT((GOOGLETRANSLATE(F402,""en"",""pt"")),1))&amp;RIGHT(lower((GOOGLETRANSLATE(F402,""en"",""pt""))),(LEN((GOOGLETRANSLATE(F402,""en"",""pt"")))-1))"),"Entidades monorail")</f>
        <v>Entidades monorail</v>
      </c>
      <c r="H402" s="24" t="e">
        <f>VLOOKUP(A402,En_Base_LNEC!$A$2:$E$10000,5,FALSE)</f>
        <v>#N/A</v>
      </c>
      <c r="I402" s="24"/>
      <c r="J402" s="79"/>
      <c r="K402" s="24"/>
      <c r="L402" s="24"/>
      <c r="M402" s="24"/>
    </row>
    <row r="403" spans="1:13" ht="14.5">
      <c r="A403" s="20" t="s">
        <v>2904</v>
      </c>
      <c r="B403" s="81">
        <v>80</v>
      </c>
      <c r="C403" s="81">
        <v>50</v>
      </c>
      <c r="D403" s="81">
        <v>58</v>
      </c>
      <c r="E403" s="79"/>
      <c r="F403" s="20" t="s">
        <v>2905</v>
      </c>
      <c r="G403" s="24" t="str">
        <f ca="1">IFERROR(__xludf.DUMMYFUNCTION("UPPER(LEFT((GOOGLETRANSLATE(F403,""en"",""pt"")),1))&amp;RIGHT(lower((GOOGLETRANSLATE(F403,""en"",""pt""))),(LEN((GOOGLETRANSLATE(F403,""en"",""pt"")))-1))"),"Plataformas")</f>
        <v>Plataformas</v>
      </c>
      <c r="H403" s="24" t="e">
        <f>VLOOKUP(A403,En_Base_LNEC!$A$2:$E$10000,5,FALSE)</f>
        <v>#N/A</v>
      </c>
      <c r="I403" s="24"/>
      <c r="J403" s="79"/>
      <c r="K403" s="24"/>
      <c r="L403" s="24"/>
      <c r="M403" s="24"/>
    </row>
    <row r="404" spans="1:13" ht="14.5">
      <c r="A404" s="20" t="s">
        <v>2906</v>
      </c>
      <c r="B404" s="81">
        <v>80</v>
      </c>
      <c r="C404" s="81">
        <v>50</v>
      </c>
      <c r="D404" s="81">
        <v>60</v>
      </c>
      <c r="E404" s="79"/>
      <c r="F404" s="20" t="s">
        <v>2907</v>
      </c>
      <c r="G404" s="24" t="str">
        <f ca="1">IFERROR(__xludf.DUMMYFUNCTION("UPPER(LEFT((GOOGLETRANSLATE(F404,""en"",""pt"")),1))&amp;RIGHT(lower((GOOGLETRANSLATE(F404,""en"",""pt""))),(LEN((GOOGLETRANSLATE(F404,""en"",""pt"")))-1))"),"Rack de edifícios manutenção de trilho")</f>
        <v>Rack de edifícios manutenção de trilho</v>
      </c>
      <c r="H404" s="24" t="e">
        <f>VLOOKUP(A404,En_Base_LNEC!$A$2:$E$10000,5,FALSE)</f>
        <v>#N/A</v>
      </c>
      <c r="I404" s="24"/>
      <c r="J404" s="79"/>
      <c r="K404" s="24"/>
      <c r="L404" s="24"/>
      <c r="M404" s="24"/>
    </row>
    <row r="405" spans="1:13" ht="14.5">
      <c r="A405" s="20" t="s">
        <v>2908</v>
      </c>
      <c r="B405" s="81">
        <v>80</v>
      </c>
      <c r="C405" s="81">
        <v>50</v>
      </c>
      <c r="D405" s="81">
        <v>62</v>
      </c>
      <c r="E405" s="79"/>
      <c r="F405" s="20" t="s">
        <v>2909</v>
      </c>
      <c r="G405" s="24" t="str">
        <f ca="1">IFERROR(__xludf.DUMMYFUNCTION("UPPER(LEFT((GOOGLETRANSLATE(F405,""en"",""pt"")),1))&amp;RIGHT(lower((GOOGLETRANSLATE(F405,""en"",""pt""))),(LEN((GOOGLETRANSLATE(F405,""en"",""pt"")))-1))"),"Ferrovias cremalheira rastrear entidades")</f>
        <v>Ferrovias cremalheira rastrear entidades</v>
      </c>
      <c r="H405" s="24" t="e">
        <f>VLOOKUP(A405,En_Base_LNEC!$A$2:$E$10000,5,FALSE)</f>
        <v>#N/A</v>
      </c>
      <c r="I405" s="24"/>
      <c r="J405" s="79"/>
      <c r="K405" s="24"/>
      <c r="L405" s="24"/>
      <c r="M405" s="24"/>
    </row>
    <row r="406" spans="1:13" ht="14.5">
      <c r="A406" s="20" t="s">
        <v>2910</v>
      </c>
      <c r="B406" s="81">
        <v>80</v>
      </c>
      <c r="C406" s="81">
        <v>50</v>
      </c>
      <c r="D406" s="81">
        <v>64</v>
      </c>
      <c r="E406" s="79"/>
      <c r="F406" s="20" t="s">
        <v>2911</v>
      </c>
      <c r="G406" s="24" t="str">
        <f ca="1">IFERROR(__xludf.DUMMYFUNCTION("UPPER(LEFT((GOOGLETRANSLATE(F406,""en"",""pt"")),1))&amp;RIGHT(lower((GOOGLETRANSLATE(F406,""en"",""pt""))),(LEN((GOOGLETRANSLATE(F406,""en"",""pt"")))-1))"),"Depósitos de distribuição ferroviárias")</f>
        <v>Depósitos de distribuição ferroviárias</v>
      </c>
      <c r="H406" s="24" t="e">
        <f>VLOOKUP(A406,En_Base_LNEC!$A$2:$E$10000,5,FALSE)</f>
        <v>#N/A</v>
      </c>
      <c r="I406" s="24"/>
      <c r="J406" s="79"/>
      <c r="K406" s="24"/>
      <c r="L406" s="24"/>
      <c r="M406" s="24"/>
    </row>
    <row r="407" spans="1:13" ht="14.5">
      <c r="A407" s="20" t="s">
        <v>2912</v>
      </c>
      <c r="B407" s="81">
        <v>80</v>
      </c>
      <c r="C407" s="81">
        <v>50</v>
      </c>
      <c r="D407" s="81">
        <v>66</v>
      </c>
      <c r="E407" s="79"/>
      <c r="F407" s="20" t="s">
        <v>2913</v>
      </c>
      <c r="G407" s="24" t="str">
        <f ca="1">IFERROR(__xludf.DUMMYFUNCTION("UPPER(LEFT((GOOGLETRANSLATE(F407,""en"",""pt"")),1))&amp;RIGHT(lower((GOOGLETRANSLATE(F407,""en"",""pt""))),(LEN((GOOGLETRANSLATE(F407,""en"",""pt"")))-1))"),"Entidades transporte ferroviário de mercadorias")</f>
        <v>Entidades transporte ferroviário de mercadorias</v>
      </c>
      <c r="H407" s="24" t="e">
        <f>VLOOKUP(A407,En_Base_LNEC!$A$2:$E$10000,5,FALSE)</f>
        <v>#N/A</v>
      </c>
      <c r="I407" s="24"/>
      <c r="J407" s="79"/>
      <c r="K407" s="24"/>
      <c r="L407" s="24"/>
      <c r="M407" s="24"/>
    </row>
    <row r="408" spans="1:13" ht="14.5">
      <c r="A408" s="20" t="s">
        <v>2914</v>
      </c>
      <c r="B408" s="81">
        <v>80</v>
      </c>
      <c r="C408" s="81">
        <v>50</v>
      </c>
      <c r="D408" s="81">
        <v>68</v>
      </c>
      <c r="E408" s="79"/>
      <c r="F408" s="20" t="s">
        <v>2915</v>
      </c>
      <c r="G408" s="24" t="str">
        <f ca="1">IFERROR(__xludf.DUMMYFUNCTION("UPPER(LEFT((GOOGLETRANSLATE(F408,""en"",""pt"")),1))&amp;RIGHT(lower((GOOGLETRANSLATE(F408,""en"",""pt""))),(LEN((GOOGLETRANSLATE(F408,""en"",""pt"")))-1))"),"Entidades de triagem ferroviários")</f>
        <v>Entidades de triagem ferroviários</v>
      </c>
      <c r="H408" s="24" t="e">
        <f>VLOOKUP(A408,En_Base_LNEC!$A$2:$E$10000,5,FALSE)</f>
        <v>#N/A</v>
      </c>
      <c r="I408" s="24"/>
      <c r="J408" s="79"/>
      <c r="K408" s="24"/>
      <c r="L408" s="24"/>
      <c r="M408" s="24"/>
    </row>
    <row r="409" spans="1:13" ht="14.5">
      <c r="A409" s="20" t="s">
        <v>2916</v>
      </c>
      <c r="B409" s="81">
        <v>80</v>
      </c>
      <c r="C409" s="81">
        <v>50</v>
      </c>
      <c r="D409" s="81">
        <v>71</v>
      </c>
      <c r="E409" s="79"/>
      <c r="F409" s="20" t="s">
        <v>2917</v>
      </c>
      <c r="G409" s="24" t="str">
        <f ca="1">IFERROR(__xludf.DUMMYFUNCTION("UPPER(LEFT((GOOGLETRANSLATE(F409,""en"",""pt"")),1))&amp;RIGHT(lower((GOOGLETRANSLATE(F409,""en"",""pt""))),(LEN((GOOGLETRANSLATE(F409,""en"",""pt"")))-1))"),"Corredores ferroviários")</f>
        <v>Corredores ferroviários</v>
      </c>
      <c r="H409" s="24" t="e">
        <f>VLOOKUP(A409,En_Base_LNEC!$A$2:$E$10000,5,FALSE)</f>
        <v>#N/A</v>
      </c>
      <c r="I409" s="24"/>
      <c r="J409" s="79"/>
      <c r="K409" s="24"/>
      <c r="L409" s="24"/>
      <c r="M409" s="24"/>
    </row>
    <row r="410" spans="1:13" ht="14.5">
      <c r="A410" s="20" t="s">
        <v>2918</v>
      </c>
      <c r="B410" s="81">
        <v>80</v>
      </c>
      <c r="C410" s="81">
        <v>50</v>
      </c>
      <c r="D410" s="81">
        <v>74</v>
      </c>
      <c r="E410" s="79"/>
      <c r="F410" s="20" t="s">
        <v>2919</v>
      </c>
      <c r="G410" s="24" t="str">
        <f ca="1">IFERROR(__xludf.DUMMYFUNCTION("UPPER(LEFT((GOOGLETRANSLATE(F410,""en"",""pt"")),1))&amp;RIGHT(lower((GOOGLETRANSLATE(F410,""en"",""pt""))),(LEN((GOOGLETRANSLATE(F410,""en"",""pt"")))-1))"),"Estações ferroviárias")</f>
        <v>Estações ferroviárias</v>
      </c>
      <c r="H410" s="24" t="str">
        <f>VLOOKUP(A410,En_Base_LNEC!$A$2:$E$10000,5,FALSE)</f>
        <v>Estações de comboios</v>
      </c>
      <c r="I410" s="24"/>
      <c r="J410" s="79"/>
      <c r="K410" s="24"/>
      <c r="L410" s="24"/>
      <c r="M410" s="24"/>
    </row>
    <row r="411" spans="1:13" ht="14.5">
      <c r="A411" s="20" t="s">
        <v>2920</v>
      </c>
      <c r="B411" s="81">
        <v>80</v>
      </c>
      <c r="C411" s="81">
        <v>50</v>
      </c>
      <c r="D411" s="81">
        <v>76</v>
      </c>
      <c r="E411" s="79"/>
      <c r="F411" s="20" t="s">
        <v>2921</v>
      </c>
      <c r="G411" s="24" t="str">
        <f ca="1">IFERROR(__xludf.DUMMYFUNCTION("UPPER(LEFT((GOOGLETRANSLATE(F411,""en"",""pt"")),1))&amp;RIGHT(lower((GOOGLETRANSLATE(F411,""en"",""pt""))),(LEN((GOOGLETRANSLATE(F411,""en"",""pt"")))-1))"),"Ramais ferroviários")</f>
        <v>Ramais ferroviários</v>
      </c>
      <c r="H411" s="24" t="e">
        <f>VLOOKUP(A411,En_Base_LNEC!$A$2:$E$10000,5,FALSE)</f>
        <v>#N/A</v>
      </c>
      <c r="I411" s="24"/>
      <c r="J411" s="79"/>
      <c r="K411" s="24"/>
      <c r="L411" s="24"/>
      <c r="M411" s="24"/>
    </row>
    <row r="412" spans="1:13" ht="14.5">
      <c r="A412" s="20" t="s">
        <v>2922</v>
      </c>
      <c r="B412" s="81">
        <v>80</v>
      </c>
      <c r="C412" s="81">
        <v>50</v>
      </c>
      <c r="D412" s="81">
        <v>78</v>
      </c>
      <c r="E412" s="79"/>
      <c r="F412" s="20" t="s">
        <v>2923</v>
      </c>
      <c r="G412" s="24" t="str">
        <f ca="1">IFERROR(__xludf.DUMMYFUNCTION("UPPER(LEFT((GOOGLETRANSLATE(F412,""en"",""pt"")),1))&amp;RIGHT(lower((GOOGLETRANSLATE(F412,""en"",""pt""))),(LEN((GOOGLETRANSLATE(F412,""en"",""pt"")))-1))"),"Depósitos do material circulante")</f>
        <v>Depósitos do material circulante</v>
      </c>
      <c r="H412" s="24" t="e">
        <f>VLOOKUP(A412,En_Base_LNEC!$A$2:$E$10000,5,FALSE)</f>
        <v>#N/A</v>
      </c>
      <c r="I412" s="24"/>
      <c r="J412" s="79"/>
      <c r="K412" s="24"/>
      <c r="L412" s="24"/>
      <c r="M412" s="24"/>
    </row>
    <row r="413" spans="1:13" ht="14.5">
      <c r="A413" s="20" t="s">
        <v>2924</v>
      </c>
      <c r="B413" s="81">
        <v>80</v>
      </c>
      <c r="C413" s="81">
        <v>50</v>
      </c>
      <c r="D413" s="81">
        <v>83</v>
      </c>
      <c r="E413" s="79"/>
      <c r="F413" s="20" t="s">
        <v>2925</v>
      </c>
      <c r="G413" s="24" t="str">
        <f ca="1">IFERROR(__xludf.DUMMYFUNCTION("UPPER(LEFT((GOOGLETRANSLATE(F413,""en"",""pt"")),1))&amp;RIGHT(lower((GOOGLETRANSLATE(F413,""en"",""pt""))),(LEN((GOOGLETRANSLATE(F413,""en"",""pt"")))-1))"),"Edifícios da estação")</f>
        <v>Edifícios da estação</v>
      </c>
      <c r="H413" s="24" t="e">
        <f>VLOOKUP(A413,En_Base_LNEC!$A$2:$E$10000,5,FALSE)</f>
        <v>#N/A</v>
      </c>
      <c r="I413" s="24"/>
      <c r="J413" s="79"/>
      <c r="K413" s="24"/>
      <c r="L413" s="24"/>
      <c r="M413" s="24"/>
    </row>
    <row r="414" spans="1:13" ht="14.5">
      <c r="A414" s="20" t="s">
        <v>2926</v>
      </c>
      <c r="B414" s="81">
        <v>80</v>
      </c>
      <c r="C414" s="81">
        <v>50</v>
      </c>
      <c r="D414" s="81">
        <v>86</v>
      </c>
      <c r="E414" s="79"/>
      <c r="F414" s="20" t="s">
        <v>2927</v>
      </c>
      <c r="G414" s="24" t="str">
        <f ca="1">IFERROR(__xludf.DUMMYFUNCTION("UPPER(LEFT((GOOGLETRANSLATE(F414,""en"",""pt"")),1))&amp;RIGHT(lower((GOOGLETRANSLATE(F414,""en"",""pt""))),(LEN((GOOGLETRANSLATE(F414,""en"",""pt"")))-1))"),"Depósitos de manutenção de faixa")</f>
        <v>Depósitos de manutenção de faixa</v>
      </c>
      <c r="H414" s="24" t="e">
        <f>VLOOKUP(A414,En_Base_LNEC!$A$2:$E$10000,5,FALSE)</f>
        <v>#N/A</v>
      </c>
      <c r="I414" s="24"/>
      <c r="J414" s="79"/>
      <c r="K414" s="24"/>
      <c r="L414" s="24"/>
      <c r="M414" s="24"/>
    </row>
    <row r="415" spans="1:13" ht="14.5">
      <c r="A415" s="20" t="s">
        <v>2928</v>
      </c>
      <c r="B415" s="81">
        <v>80</v>
      </c>
      <c r="C415" s="81">
        <v>50</v>
      </c>
      <c r="D415" s="81">
        <v>87</v>
      </c>
      <c r="E415" s="79"/>
      <c r="F415" s="20" t="s">
        <v>2929</v>
      </c>
      <c r="G415" s="24" t="str">
        <f ca="1">IFERROR(__xludf.DUMMYFUNCTION("UPPER(LEFT((GOOGLETRANSLATE(F415,""en"",""pt"")),1))&amp;RIGHT(lower((GOOGLETRANSLATE(F415,""en"",""pt""))),(LEN((GOOGLETRANSLATE(F415,""en"",""pt"")))-1))"),"Circuitos de via edifícios equipamentos disjuntor")</f>
        <v>Circuitos de via edifícios equipamentos disjuntor</v>
      </c>
      <c r="H415" s="24" t="e">
        <f>VLOOKUP(A415,En_Base_LNEC!$A$2:$E$10000,5,FALSE)</f>
        <v>#N/A</v>
      </c>
      <c r="I415" s="24"/>
      <c r="J415" s="79"/>
      <c r="K415" s="24"/>
      <c r="L415" s="24"/>
      <c r="M415" s="24"/>
    </row>
    <row r="416" spans="1:13" ht="14.5">
      <c r="A416" s="20" t="s">
        <v>2930</v>
      </c>
      <c r="B416" s="81">
        <v>80</v>
      </c>
      <c r="C416" s="81">
        <v>50</v>
      </c>
      <c r="D416" s="81">
        <v>88</v>
      </c>
      <c r="E416" s="79"/>
      <c r="F416" s="20" t="s">
        <v>2931</v>
      </c>
      <c r="G416" s="24" t="str">
        <f ca="1">IFERROR(__xludf.DUMMYFUNCTION("UPPER(LEFT((GOOGLETRANSLATE(F416,""en"",""pt"")),1))&amp;RIGHT(lower((GOOGLETRANSLATE(F416,""en"",""pt""))),(LEN((GOOGLETRANSLATE(F416,""en"",""pt"")))-1))"),"Edifícios de manutenção do trem")</f>
        <v>Edifícios de manutenção do trem</v>
      </c>
      <c r="H416" s="24" t="e">
        <f>VLOOKUP(A416,En_Base_LNEC!$A$2:$E$10000,5,FALSE)</f>
        <v>#N/A</v>
      </c>
      <c r="I416" s="24"/>
      <c r="J416" s="79"/>
      <c r="K416" s="24"/>
      <c r="L416" s="24"/>
      <c r="M416" s="24"/>
    </row>
    <row r="417" spans="1:13" ht="14.5">
      <c r="A417" s="20" t="s">
        <v>2932</v>
      </c>
      <c r="B417" s="81">
        <v>80</v>
      </c>
      <c r="C417" s="81">
        <v>50</v>
      </c>
      <c r="D417" s="81">
        <v>90</v>
      </c>
      <c r="E417" s="79"/>
      <c r="F417" s="20" t="s">
        <v>2933</v>
      </c>
      <c r="G417" s="24" t="str">
        <f ca="1">IFERROR(__xludf.DUMMYFUNCTION("UPPER(LEFT((GOOGLETRANSLATE(F417,""en"",""pt"")),1))&amp;RIGHT(lower((GOOGLETRANSLATE(F417,""en"",""pt""))),(LEN((GOOGLETRANSLATE(F417,""en"",""pt"")))-1))"),"Tramways")</f>
        <v>Tramways</v>
      </c>
      <c r="H417" s="24" t="e">
        <f>VLOOKUP(A417,En_Base_LNEC!$A$2:$E$10000,5,FALSE)</f>
        <v>#N/A</v>
      </c>
      <c r="I417" s="24"/>
      <c r="J417" s="79"/>
      <c r="K417" s="24"/>
      <c r="L417" s="24"/>
      <c r="M417" s="24"/>
    </row>
    <row r="418" spans="1:13" ht="14.5">
      <c r="A418" s="20" t="s">
        <v>2934</v>
      </c>
      <c r="B418" s="81">
        <v>80</v>
      </c>
      <c r="C418" s="81">
        <v>50</v>
      </c>
      <c r="D418" s="81">
        <v>94</v>
      </c>
      <c r="E418" s="79"/>
      <c r="F418" s="20" t="s">
        <v>2935</v>
      </c>
      <c r="G418" s="24" t="str">
        <f ca="1">IFERROR(__xludf.DUMMYFUNCTION("UPPER(LEFT((GOOGLETRANSLATE(F418,""en"",""pt"")),1))&amp;RIGHT(lower((GOOGLETRANSLATE(F418,""en"",""pt""))),(LEN((GOOGLETRANSLATE(F418,""en"",""pt"")))-1))"),"Estações ferroviárias subterrâneas")</f>
        <v>Estações ferroviárias subterrâneas</v>
      </c>
      <c r="H418" s="24" t="e">
        <f>VLOOKUP(A418,En_Base_LNEC!$A$2:$E$10000,5,FALSE)</f>
        <v>#N/A</v>
      </c>
      <c r="I418" s="24"/>
      <c r="J418" s="79"/>
      <c r="K418" s="24"/>
      <c r="L418" s="24"/>
      <c r="M418" s="24"/>
    </row>
    <row r="419" spans="1:13" ht="14.5">
      <c r="A419" s="20" t="s">
        <v>2936</v>
      </c>
      <c r="B419" s="81">
        <v>80</v>
      </c>
      <c r="C419" s="81">
        <v>50</v>
      </c>
      <c r="D419" s="81">
        <v>95</v>
      </c>
      <c r="E419" s="79"/>
      <c r="F419" s="20" t="s">
        <v>2937</v>
      </c>
      <c r="G419" s="24" t="str">
        <f ca="1">IFERROR(__xludf.DUMMYFUNCTION("UPPER(LEFT((GOOGLETRANSLATE(F419,""en"",""pt"")),1))&amp;RIGHT(lower((GOOGLETRANSLATE(F419,""en"",""pt""))),(LEN((GOOGLETRANSLATE(F419,""en"",""pt"")))-1))"),"Edifícios descontaminação vagão")</f>
        <v>Edifícios descontaminação vagão</v>
      </c>
      <c r="H419" s="24" t="e">
        <f>VLOOKUP(A419,En_Base_LNEC!$A$2:$E$10000,5,FALSE)</f>
        <v>#N/A</v>
      </c>
      <c r="I419" s="24"/>
      <c r="J419" s="79"/>
      <c r="K419" s="24"/>
      <c r="L419" s="24"/>
      <c r="M419" s="24"/>
    </row>
    <row r="420" spans="1:13" ht="14.5">
      <c r="A420" s="20" t="s">
        <v>2938</v>
      </c>
      <c r="B420" s="81">
        <v>80</v>
      </c>
      <c r="C420" s="81">
        <v>50</v>
      </c>
      <c r="D420" s="81">
        <v>97</v>
      </c>
      <c r="E420" s="79"/>
      <c r="F420" s="20" t="s">
        <v>2939</v>
      </c>
      <c r="G420" s="24" t="str">
        <f ca="1">IFERROR(__xludf.DUMMYFUNCTION("UPPER(LEFT((GOOGLETRANSLATE(F420,""en"",""pt"")),1))&amp;RIGHT(lower((GOOGLETRANSLATE(F420,""en"",""pt""))),(LEN((GOOGLETRANSLATE(F420,""en"",""pt"")))-1))"),"Edifícios de manutenção vagão")</f>
        <v>Edifícios de manutenção vagão</v>
      </c>
      <c r="H420" s="24" t="e">
        <f>VLOOKUP(A420,En_Base_LNEC!$A$2:$E$10000,5,FALSE)</f>
        <v>#N/A</v>
      </c>
      <c r="I420" s="24"/>
      <c r="J420" s="79"/>
      <c r="K420" s="24"/>
      <c r="L420" s="24"/>
      <c r="M420" s="24"/>
    </row>
    <row r="421" spans="1:13" ht="14.5">
      <c r="A421" s="20" t="s">
        <v>2940</v>
      </c>
      <c r="B421" s="81">
        <v>80</v>
      </c>
      <c r="C421" s="81">
        <v>70</v>
      </c>
      <c r="D421" s="79"/>
      <c r="E421" s="79"/>
      <c r="F421" s="20" t="s">
        <v>2941</v>
      </c>
      <c r="G421" s="24" t="str">
        <f ca="1">IFERROR(__xludf.DUMMYFUNCTION("UPPER(LEFT((GOOGLETRANSLATE(F421,""en"",""pt"")),1))&amp;RIGHT(lower((GOOGLETRANSLATE(F421,""en"",""pt""))),(LEN((GOOGLETRANSLATE(F421,""en"",""pt"")))-1))"),"Marinha e hidrovias entidades de transporte")</f>
        <v>Marinha e hidrovias entidades de transporte</v>
      </c>
      <c r="H421" s="24" t="str">
        <f>VLOOKUP(A421,En_Base_LNEC!$A$2:$E$10000,5,FALSE)</f>
        <v>Edifícios e instalações para os transportes marítimo e fluvial</v>
      </c>
      <c r="I421" s="24"/>
      <c r="J421" s="79"/>
      <c r="K421" s="24"/>
      <c r="L421" s="24"/>
      <c r="M421" s="24"/>
    </row>
    <row r="422" spans="1:13" ht="14.5">
      <c r="A422" s="20" t="s">
        <v>2942</v>
      </c>
      <c r="B422" s="81">
        <v>80</v>
      </c>
      <c r="C422" s="81">
        <v>70</v>
      </c>
      <c r="D422" s="81">
        <v>6</v>
      </c>
      <c r="E422" s="79"/>
      <c r="F422" s="20" t="s">
        <v>2943</v>
      </c>
      <c r="G422" s="24" t="str">
        <f ca="1">IFERROR(__xludf.DUMMYFUNCTION("UPPER(LEFT((GOOGLETRANSLATE(F422,""en"",""pt"")),1))&amp;RIGHT(lower((GOOGLETRANSLATE(F422,""en"",""pt""))),(LEN((GOOGLETRANSLATE(F422,""en"",""pt"")))-1))"),"Terminais de carregamento barcaça")</f>
        <v>Terminais de carregamento barcaça</v>
      </c>
      <c r="H422" s="24" t="e">
        <f>VLOOKUP(A422,En_Base_LNEC!$A$2:$E$10000,5,FALSE)</f>
        <v>#N/A</v>
      </c>
      <c r="I422" s="24"/>
      <c r="J422" s="79"/>
      <c r="K422" s="24"/>
      <c r="L422" s="24"/>
      <c r="M422" s="24"/>
    </row>
    <row r="423" spans="1:13" ht="14.5">
      <c r="A423" s="20" t="s">
        <v>2944</v>
      </c>
      <c r="B423" s="81">
        <v>80</v>
      </c>
      <c r="C423" s="81">
        <v>70</v>
      </c>
      <c r="D423" s="81">
        <v>11</v>
      </c>
      <c r="E423" s="79"/>
      <c r="F423" s="20" t="s">
        <v>2945</v>
      </c>
      <c r="G423" s="24" t="str">
        <f ca="1">IFERROR(__xludf.DUMMYFUNCTION("UPPER(LEFT((GOOGLETRANSLATE(F423,""en"",""pt"")),1))&amp;RIGHT(lower((GOOGLETRANSLATE(F423,""en"",""pt""))),(LEN((GOOGLETRANSLATE(F423,""en"",""pt"")))-1))"),"Canais canal")</f>
        <v>Canais canal</v>
      </c>
      <c r="H423" s="24" t="e">
        <f>VLOOKUP(A423,En_Base_LNEC!$A$2:$E$10000,5,FALSE)</f>
        <v>#N/A</v>
      </c>
      <c r="I423" s="24"/>
      <c r="J423" s="79"/>
      <c r="K423" s="24"/>
      <c r="L423" s="24"/>
      <c r="M423" s="24"/>
    </row>
    <row r="424" spans="1:13" ht="14.5">
      <c r="A424" s="20" t="s">
        <v>2946</v>
      </c>
      <c r="B424" s="81">
        <v>80</v>
      </c>
      <c r="C424" s="81">
        <v>70</v>
      </c>
      <c r="D424" s="81">
        <v>15</v>
      </c>
      <c r="E424" s="79"/>
      <c r="F424" s="20" t="s">
        <v>2947</v>
      </c>
      <c r="G424" s="24" t="str">
        <f ca="1">IFERROR(__xludf.DUMMYFUNCTION("UPPER(LEFT((GOOGLETRANSLATE(F424,""en"",""pt"")),1))&amp;RIGHT(lower((GOOGLETRANSLATE(F424,""en"",""pt""))),(LEN((GOOGLETRANSLATE(F424,""en"",""pt"")))-1))"),"Eclusas")</f>
        <v>Eclusas</v>
      </c>
      <c r="H424" s="24" t="e">
        <f>VLOOKUP(A424,En_Base_LNEC!$A$2:$E$10000,5,FALSE)</f>
        <v>#N/A</v>
      </c>
      <c r="I424" s="24"/>
      <c r="J424" s="79"/>
      <c r="K424" s="24"/>
      <c r="L424" s="24"/>
      <c r="M424" s="24"/>
    </row>
    <row r="425" spans="1:13" ht="14.5">
      <c r="A425" s="20" t="s">
        <v>2948</v>
      </c>
      <c r="B425" s="81">
        <v>80</v>
      </c>
      <c r="C425" s="81">
        <v>70</v>
      </c>
      <c r="D425" s="81">
        <v>46</v>
      </c>
      <c r="E425" s="79"/>
      <c r="F425" s="20" t="s">
        <v>2949</v>
      </c>
      <c r="G425" s="24" t="str">
        <f ca="1">IFERROR(__xludf.DUMMYFUNCTION("UPPER(LEFT((GOOGLETRANSLATE(F425,""en"",""pt"")),1))&amp;RIGHT(lower((GOOGLETRANSLATE(F425,""en"",""pt""))),(LEN((GOOGLETRANSLATE(F425,""en"",""pt"")))-1))"),"Terminais de passageiros lake")</f>
        <v>Terminais de passageiros lake</v>
      </c>
      <c r="H425" s="24" t="e">
        <f>VLOOKUP(A425,En_Base_LNEC!$A$2:$E$10000,5,FALSE)</f>
        <v>#N/A</v>
      </c>
      <c r="I425" s="24"/>
      <c r="J425" s="79"/>
      <c r="K425" s="24"/>
      <c r="L425" s="24"/>
      <c r="M425" s="24"/>
    </row>
    <row r="426" spans="1:13" ht="14.5">
      <c r="A426" s="20" t="s">
        <v>2950</v>
      </c>
      <c r="B426" s="81">
        <v>80</v>
      </c>
      <c r="C426" s="81">
        <v>70</v>
      </c>
      <c r="D426" s="81">
        <v>50</v>
      </c>
      <c r="E426" s="79"/>
      <c r="F426" s="20" t="s">
        <v>1956</v>
      </c>
      <c r="G426" s="24" t="str">
        <f ca="1">IFERROR(__xludf.DUMMYFUNCTION("UPPER(LEFT((GOOGLETRANSLATE(F426,""en"",""pt"")),1))&amp;RIGHT(lower((GOOGLETRANSLATE(F426,""en"",""pt""))),(LEN((GOOGLETRANSLATE(F426,""en"",""pt"")))-1))"),"Marinas")</f>
        <v>Marinas</v>
      </c>
      <c r="H426" s="24" t="str">
        <f>VLOOKUP(A426,En_Base_LNEC!$A$2:$E$10000,5,FALSE)</f>
        <v>Marinas</v>
      </c>
      <c r="I426" s="24"/>
      <c r="J426" s="79"/>
      <c r="K426" s="24"/>
      <c r="L426" s="24"/>
      <c r="M426" s="24"/>
    </row>
    <row r="427" spans="1:13" ht="14.5">
      <c r="A427" s="20" t="s">
        <v>2951</v>
      </c>
      <c r="B427" s="81">
        <v>80</v>
      </c>
      <c r="C427" s="81">
        <v>70</v>
      </c>
      <c r="D427" s="81">
        <v>71</v>
      </c>
      <c r="E427" s="79"/>
      <c r="F427" s="20" t="s">
        <v>2952</v>
      </c>
      <c r="G427" s="24" t="str">
        <f ca="1">IFERROR(__xludf.DUMMYFUNCTION("UPPER(LEFT((GOOGLETRANSLATE(F427,""en"",""pt"")),1))&amp;RIGHT(lower((GOOGLETRANSLATE(F427,""en"",""pt""))),(LEN((GOOGLETRANSLATE(F427,""en"",""pt"")))-1))"),"Terminais rio de passageiros")</f>
        <v>Terminais rio de passageiros</v>
      </c>
      <c r="H427" s="24" t="e">
        <f>VLOOKUP(A427,En_Base_LNEC!$A$2:$E$10000,5,FALSE)</f>
        <v>#N/A</v>
      </c>
      <c r="I427" s="24"/>
      <c r="J427" s="79"/>
      <c r="K427" s="24"/>
      <c r="L427" s="24"/>
      <c r="M427" s="24"/>
    </row>
    <row r="428" spans="1:13" ht="14.5">
      <c r="A428" s="20" t="s">
        <v>2953</v>
      </c>
      <c r="B428" s="81">
        <v>80</v>
      </c>
      <c r="C428" s="81">
        <v>90</v>
      </c>
      <c r="D428" s="79"/>
      <c r="E428" s="79"/>
      <c r="F428" s="20" t="s">
        <v>2954</v>
      </c>
      <c r="G428" s="24" t="str">
        <f ca="1">IFERROR(__xludf.DUMMYFUNCTION("UPPER(LEFT((GOOGLETRANSLATE(F428,""en"",""pt"")),1))&amp;RIGHT(lower((GOOGLETRANSLATE(F428,""en"",""pt""))),(LEN((GOOGLETRANSLATE(F428,""en"",""pt"")))-1))"),"Entidades centro de transporte")</f>
        <v>Entidades centro de transporte</v>
      </c>
      <c r="H428" s="24" t="e">
        <f>VLOOKUP(A428,En_Base_LNEC!$A$2:$E$10000,5,FALSE)</f>
        <v>#N/A</v>
      </c>
      <c r="I428" s="24"/>
      <c r="J428" s="79"/>
      <c r="K428" s="24"/>
      <c r="L428" s="24"/>
      <c r="M428" s="24"/>
    </row>
    <row r="429" spans="1:13" ht="14.5">
      <c r="A429" s="20" t="s">
        <v>2955</v>
      </c>
      <c r="B429" s="81">
        <v>80</v>
      </c>
      <c r="C429" s="81">
        <v>94</v>
      </c>
      <c r="D429" s="79"/>
      <c r="E429" s="79"/>
      <c r="F429" s="20" t="s">
        <v>2956</v>
      </c>
      <c r="G429" s="24" t="str">
        <f ca="1">IFERROR(__xludf.DUMMYFUNCTION("UPPER(LEFT((GOOGLETRANSLATE(F429,""en"",""pt"")),1))&amp;RIGHT(lower((GOOGLETRANSLATE(F429,""en"",""pt""))),(LEN((GOOGLETRANSLATE(F429,""en"",""pt"")))-1))"),"Bridges")</f>
        <v>Bridges</v>
      </c>
      <c r="H429" s="24" t="e">
        <f>VLOOKUP(A429,En_Base_LNEC!$A$2:$E$10000,5,FALSE)</f>
        <v>#N/A</v>
      </c>
      <c r="I429" s="24"/>
      <c r="J429" s="79"/>
      <c r="K429" s="24"/>
      <c r="L429" s="24"/>
      <c r="M429" s="24"/>
    </row>
    <row r="430" spans="1:13" ht="14.5">
      <c r="A430" s="20" t="s">
        <v>2957</v>
      </c>
      <c r="B430" s="81">
        <v>80</v>
      </c>
      <c r="C430" s="81">
        <v>94</v>
      </c>
      <c r="D430" s="81">
        <v>30</v>
      </c>
      <c r="E430" s="79"/>
      <c r="F430" s="20" t="s">
        <v>2958</v>
      </c>
      <c r="G430" s="24" t="str">
        <f ca="1">IFERROR(__xludf.DUMMYFUNCTION("UPPER(LEFT((GOOGLETRANSLATE(F430,""en"",""pt"")),1))&amp;RIGHT(lower((GOOGLETRANSLATE(F430,""en"",""pt""))),(LEN((GOOGLETRANSLATE(F430,""en"",""pt"")))-1))"),"Pontes fixas")</f>
        <v>Pontes fixas</v>
      </c>
      <c r="H430" s="24" t="e">
        <f>VLOOKUP(A430,En_Base_LNEC!$A$2:$E$10000,5,FALSE)</f>
        <v>#N/A</v>
      </c>
      <c r="I430" s="24"/>
      <c r="J430" s="79"/>
      <c r="K430" s="24"/>
      <c r="L430" s="24"/>
      <c r="M430" s="24"/>
    </row>
    <row r="431" spans="1:13" ht="14.5">
      <c r="A431" s="20" t="s">
        <v>2959</v>
      </c>
      <c r="B431" s="81">
        <v>80</v>
      </c>
      <c r="C431" s="81">
        <v>94</v>
      </c>
      <c r="D431" s="81">
        <v>50</v>
      </c>
      <c r="E431" s="79"/>
      <c r="F431" s="20" t="s">
        <v>2960</v>
      </c>
      <c r="G431" s="24" t="str">
        <f ca="1">IFERROR(__xludf.DUMMYFUNCTION("UPPER(LEFT((GOOGLETRANSLATE(F431,""en"",""pt"")),1))&amp;RIGHT(lower((GOOGLETRANSLATE(F431,""en"",""pt""))),(LEN((GOOGLETRANSLATE(F431,""en"",""pt"")))-1))"),"Pontes móveis")</f>
        <v>Pontes móveis</v>
      </c>
      <c r="H431" s="24" t="e">
        <f>VLOOKUP(A431,En_Base_LNEC!$A$2:$E$10000,5,FALSE)</f>
        <v>#N/A</v>
      </c>
      <c r="I431" s="24"/>
      <c r="J431" s="79"/>
      <c r="K431" s="24"/>
      <c r="L431" s="24"/>
      <c r="M431" s="24"/>
    </row>
    <row r="432" spans="1:13" ht="14.5">
      <c r="A432" s="20" t="s">
        <v>2961</v>
      </c>
      <c r="B432" s="81">
        <v>80</v>
      </c>
      <c r="C432" s="81">
        <v>96</v>
      </c>
      <c r="D432" s="79"/>
      <c r="E432" s="79"/>
      <c r="F432" s="20" t="s">
        <v>2962</v>
      </c>
      <c r="G432" s="24" t="str">
        <f ca="1">IFERROR(__xludf.DUMMYFUNCTION("UPPER(LEFT((GOOGLETRANSLATE(F432,""en"",""pt"")),1))&amp;RIGHT(lower((GOOGLETRANSLATE(F432,""en"",""pt""))),(LEN((GOOGLETRANSLATE(F432,""en"",""pt"")))-1))"),"Túneis e poços")</f>
        <v>Túneis e poços</v>
      </c>
      <c r="H432" s="24" t="e">
        <f>VLOOKUP(A432,En_Base_LNEC!$A$2:$E$10000,5,FALSE)</f>
        <v>#N/A</v>
      </c>
      <c r="I432" s="24"/>
      <c r="J432" s="79"/>
      <c r="K432" s="24"/>
      <c r="L432" s="24"/>
      <c r="M432" s="24"/>
    </row>
    <row r="433" spans="1:13" ht="14.5">
      <c r="A433" s="20" t="s">
        <v>2963</v>
      </c>
      <c r="B433" s="81">
        <v>80</v>
      </c>
      <c r="C433" s="81">
        <v>96</v>
      </c>
      <c r="D433" s="81">
        <v>20</v>
      </c>
      <c r="E433" s="79"/>
      <c r="F433" s="20" t="s">
        <v>2964</v>
      </c>
      <c r="G433" s="24" t="str">
        <f ca="1">IFERROR(__xludf.DUMMYFUNCTION("UPPER(LEFT((GOOGLETRANSLATE(F433,""en"",""pt"")),1))&amp;RIGHT(lower((GOOGLETRANSLATE(F433,""en"",""pt""))),(LEN((GOOGLETRANSLATE(F433,""en"",""pt"")))-1))"),"Túneis de deriva")</f>
        <v>Túneis de deriva</v>
      </c>
      <c r="H433" s="24" t="e">
        <f>VLOOKUP(A433,En_Base_LNEC!$A$2:$E$10000,5,FALSE)</f>
        <v>#N/A</v>
      </c>
      <c r="I433" s="24"/>
      <c r="J433" s="79"/>
      <c r="K433" s="24"/>
      <c r="L433" s="24"/>
      <c r="M433" s="24"/>
    </row>
    <row r="434" spans="1:13" ht="14.5">
      <c r="A434" s="20" t="s">
        <v>2965</v>
      </c>
      <c r="B434" s="81">
        <v>80</v>
      </c>
      <c r="C434" s="81">
        <v>96</v>
      </c>
      <c r="D434" s="81">
        <v>46</v>
      </c>
      <c r="E434" s="79"/>
      <c r="F434" s="20" t="s">
        <v>2966</v>
      </c>
      <c r="G434" s="24" t="str">
        <f ca="1">IFERROR(__xludf.DUMMYFUNCTION("UPPER(LEFT((GOOGLETRANSLATE(F434,""en"",""pt"")),1))&amp;RIGHT(lower((GOOGLETRANSLATE(F434,""en"",""pt""))),(LEN((GOOGLETRANSLATE(F434,""en"",""pt"")))-1))"),"Túneis de deriva alinhadas")</f>
        <v>Túneis de deriva alinhadas</v>
      </c>
      <c r="H434" s="24" t="e">
        <f>VLOOKUP(A434,En_Base_LNEC!$A$2:$E$10000,5,FALSE)</f>
        <v>#N/A</v>
      </c>
      <c r="I434" s="24"/>
      <c r="J434" s="79"/>
      <c r="K434" s="24"/>
      <c r="L434" s="24"/>
      <c r="M434" s="24"/>
    </row>
    <row r="435" spans="1:13" ht="14.5">
      <c r="A435" s="20" t="s">
        <v>2967</v>
      </c>
      <c r="B435" s="81">
        <v>80</v>
      </c>
      <c r="C435" s="81">
        <v>96</v>
      </c>
      <c r="D435" s="81">
        <v>49</v>
      </c>
      <c r="E435" s="79"/>
      <c r="F435" s="20" t="s">
        <v>2968</v>
      </c>
      <c r="G435" s="24" t="str">
        <f ca="1">IFERROR(__xludf.DUMMYFUNCTION("UPPER(LEFT((GOOGLETRANSLATE(F435,""en"",""pt"")),1))&amp;RIGHT(lower((GOOGLETRANSLATE(F435,""en"",""pt""))),(LEN((GOOGLETRANSLATE(F435,""en"",""pt"")))-1))"),"Túneis alinhados")</f>
        <v>Túneis alinhados</v>
      </c>
      <c r="H435" s="24" t="e">
        <f>VLOOKUP(A435,En_Base_LNEC!$A$2:$E$10000,5,FALSE)</f>
        <v>#N/A</v>
      </c>
      <c r="I435" s="24"/>
      <c r="J435" s="79"/>
      <c r="K435" s="24"/>
      <c r="L435" s="24"/>
      <c r="M435" s="24"/>
    </row>
    <row r="436" spans="1:13" ht="14.5">
      <c r="A436" s="20" t="s">
        <v>2969</v>
      </c>
      <c r="B436" s="81">
        <v>80</v>
      </c>
      <c r="C436" s="81">
        <v>96</v>
      </c>
      <c r="D436" s="81">
        <v>80</v>
      </c>
      <c r="E436" s="79"/>
      <c r="F436" s="20" t="s">
        <v>2970</v>
      </c>
      <c r="G436" s="24" t="str">
        <f ca="1">IFERROR(__xludf.DUMMYFUNCTION("UPPER(LEFT((GOOGLETRANSLATE(F436,""en"",""pt"")),1))&amp;RIGHT(lower((GOOGLETRANSLATE(F436,""en"",""pt""))),(LEN((GOOGLETRANSLATE(F436,""en"",""pt"")))-1))"),"Veios")</f>
        <v>Veios</v>
      </c>
      <c r="H436" s="24" t="e">
        <f>VLOOKUP(A436,En_Base_LNEC!$A$2:$E$10000,5,FALSE)</f>
        <v>#N/A</v>
      </c>
      <c r="I436" s="24"/>
      <c r="J436" s="79"/>
      <c r="K436" s="24"/>
      <c r="L436" s="24"/>
      <c r="M436" s="24"/>
    </row>
    <row r="437" spans="1:13" ht="14.5">
      <c r="A437" s="20" t="s">
        <v>2971</v>
      </c>
      <c r="B437" s="81">
        <v>80</v>
      </c>
      <c r="C437" s="81">
        <v>96</v>
      </c>
      <c r="D437" s="81">
        <v>90</v>
      </c>
      <c r="E437" s="79"/>
      <c r="F437" s="20" t="s">
        <v>2972</v>
      </c>
      <c r="G437" s="24" t="str">
        <f ca="1">IFERROR(__xludf.DUMMYFUNCTION("UPPER(LEFT((GOOGLETRANSLATE(F437,""en"",""pt"")),1))&amp;RIGHT(lower((GOOGLETRANSLATE(F437,""en"",""pt""))),(LEN((GOOGLETRANSLATE(F437,""en"",""pt"")))-1))"),"Túneis")</f>
        <v>Túneis</v>
      </c>
      <c r="H437" s="24" t="e">
        <f>VLOOKUP(A437,En_Base_LNEC!$A$2:$E$10000,5,FALSE)</f>
        <v>#N/A</v>
      </c>
      <c r="I437" s="24"/>
      <c r="J437" s="79"/>
      <c r="K437" s="24"/>
      <c r="L437" s="24"/>
      <c r="M437" s="24"/>
    </row>
    <row r="438" spans="1:13" ht="14.5">
      <c r="A438" s="20" t="s">
        <v>2973</v>
      </c>
      <c r="B438" s="81">
        <v>80</v>
      </c>
      <c r="C438" s="81">
        <v>96</v>
      </c>
      <c r="D438" s="81">
        <v>91</v>
      </c>
      <c r="E438" s="79"/>
      <c r="F438" s="20" t="s">
        <v>2974</v>
      </c>
      <c r="G438" s="24" t="str">
        <f ca="1">IFERROR(__xludf.DUMMYFUNCTION("UPPER(LEFT((GOOGLETRANSLATE(F438,""en"",""pt"")),1))&amp;RIGHT(lower((GOOGLETRANSLATE(F438,""en"",""pt""))),(LEN((GOOGLETRANSLATE(F438,""en"",""pt"")))-1))"),"Portais de túnel")</f>
        <v>Portais de túnel</v>
      </c>
      <c r="H438" s="24" t="e">
        <f>VLOOKUP(A438,En_Base_LNEC!$A$2:$E$10000,5,FALSE)</f>
        <v>#N/A</v>
      </c>
      <c r="I438" s="24"/>
      <c r="J438" s="79"/>
      <c r="K438" s="24"/>
      <c r="L438" s="24"/>
      <c r="M438" s="24"/>
    </row>
    <row r="439" spans="1:13" ht="14.5">
      <c r="A439" s="20" t="s">
        <v>2975</v>
      </c>
      <c r="B439" s="81">
        <v>80</v>
      </c>
      <c r="C439" s="81">
        <v>96</v>
      </c>
      <c r="D439" s="81">
        <v>92</v>
      </c>
      <c r="E439" s="79"/>
      <c r="F439" s="20" t="s">
        <v>2976</v>
      </c>
      <c r="G439" s="24" t="str">
        <f ca="1">IFERROR(__xludf.DUMMYFUNCTION("UPPER(LEFT((GOOGLETRANSLATE(F439,""en"",""pt"")),1))&amp;RIGHT(lower((GOOGLETRANSLATE(F439,""en"",""pt""))),(LEN((GOOGLETRANSLATE(F439,""en"",""pt"")))-1))"),"Passagens inferiores")</f>
        <v>Passagens inferiores</v>
      </c>
      <c r="H439" s="24" t="e">
        <f>VLOOKUP(A439,En_Base_LNEC!$A$2:$E$10000,5,FALSE)</f>
        <v>#N/A</v>
      </c>
      <c r="I439" s="24"/>
      <c r="J439" s="79"/>
      <c r="K439" s="24"/>
      <c r="L439" s="24"/>
      <c r="M439" s="24"/>
    </row>
    <row r="440" spans="1:13" ht="14.5">
      <c r="A440" s="20" t="s">
        <v>2977</v>
      </c>
      <c r="B440" s="81">
        <v>90</v>
      </c>
      <c r="C440" s="79"/>
      <c r="D440" s="79"/>
      <c r="E440" s="79"/>
      <c r="F440" s="20" t="s">
        <v>2978</v>
      </c>
      <c r="G440" s="24" t="str">
        <f ca="1">IFERROR(__xludf.DUMMYFUNCTION("UPPER(LEFT((GOOGLETRANSLATE(F440,""en"",""pt"")),1))&amp;RIGHT(lower((GOOGLETRANSLATE(F440,""en"",""pt""))),(LEN((GOOGLETRANSLATE(F440,""en"",""pt"")))-1))"),"Entidades de circulação e armazenamento")</f>
        <v>Entidades de circulação e armazenamento</v>
      </c>
      <c r="H440" s="24" t="str">
        <f>VLOOKUP(A440,En_Base_LNEC!$A$2:$E$10000,5,FALSE)</f>
        <v>Edifícios e instalações de armazenagem e circulação</v>
      </c>
      <c r="I440" s="24"/>
      <c r="J440" s="79"/>
      <c r="K440" s="24"/>
      <c r="L440" s="24"/>
      <c r="M440" s="24"/>
    </row>
    <row r="441" spans="1:13" ht="14.5">
      <c r="A441" s="20" t="s">
        <v>2979</v>
      </c>
      <c r="B441" s="81">
        <v>90</v>
      </c>
      <c r="C441" s="81">
        <v>10</v>
      </c>
      <c r="D441" s="79"/>
      <c r="E441" s="79"/>
      <c r="F441" s="20" t="s">
        <v>2980</v>
      </c>
      <c r="G441" s="24" t="str">
        <f ca="1">IFERROR(__xludf.DUMMYFUNCTION("UPPER(LEFT((GOOGLETRANSLATE(F441,""en"",""pt"")),1))&amp;RIGHT(lower((GOOGLETRANSLATE(F441,""en"",""pt""))),(LEN((GOOGLETRANSLATE(F441,""en"",""pt"")))-1))"),"Entidades de circulação")</f>
        <v>Entidades de circulação</v>
      </c>
      <c r="H441" s="24" t="e">
        <f>VLOOKUP(A441,En_Base_LNEC!$A$2:$E$10000,5,FALSE)</f>
        <v>#N/A</v>
      </c>
      <c r="I441" s="24"/>
      <c r="J441" s="79"/>
      <c r="K441" s="24"/>
      <c r="L441" s="24"/>
      <c r="M441" s="24"/>
    </row>
    <row r="442" spans="1:13" ht="14.5">
      <c r="A442" s="20" t="s">
        <v>2981</v>
      </c>
      <c r="B442" s="81">
        <v>90</v>
      </c>
      <c r="C442" s="81">
        <v>10</v>
      </c>
      <c r="D442" s="81">
        <v>2</v>
      </c>
      <c r="E442" s="79"/>
      <c r="F442" s="20" t="s">
        <v>2982</v>
      </c>
      <c r="G442" s="24" t="str">
        <f ca="1">IFERROR(__xludf.DUMMYFUNCTION("UPPER(LEFT((GOOGLETRANSLATE(F442,""en"",""pt"")),1))&amp;RIGHT(lower((GOOGLETRANSLATE(F442,""en"",""pt""))),(LEN((GOOGLETRANSLATE(F442,""en"",""pt"")))-1))"),"Escadas de acesso e passarelas")</f>
        <v>Escadas de acesso e passarelas</v>
      </c>
      <c r="H442" s="24" t="e">
        <f>VLOOKUP(A442,En_Base_LNEC!$A$2:$E$10000,5,FALSE)</f>
        <v>#N/A</v>
      </c>
      <c r="I442" s="24"/>
      <c r="J442" s="79"/>
      <c r="K442" s="24"/>
      <c r="L442" s="24"/>
      <c r="M442" s="24"/>
    </row>
    <row r="443" spans="1:13" ht="14.5">
      <c r="A443" s="20" t="s">
        <v>2983</v>
      </c>
      <c r="B443" s="81">
        <v>90</v>
      </c>
      <c r="C443" s="81">
        <v>10</v>
      </c>
      <c r="D443" s="81">
        <v>62</v>
      </c>
      <c r="E443" s="79"/>
      <c r="F443" s="20" t="s">
        <v>2984</v>
      </c>
      <c r="G443" s="24" t="str">
        <f ca="1">IFERROR(__xludf.DUMMYFUNCTION("UPPER(LEFT((GOOGLETRANSLATE(F443,""en"",""pt"")),1))&amp;RIGHT(lower((GOOGLETRANSLATE(F443,""en"",""pt""))),(LEN((GOOGLETRANSLATE(F443,""en"",""pt"")))-1))"),"Áreas para peões")</f>
        <v>Áreas para peões</v>
      </c>
      <c r="H443" s="24" t="e">
        <f>VLOOKUP(A443,En_Base_LNEC!$A$2:$E$10000,5,FALSE)</f>
        <v>#N/A</v>
      </c>
      <c r="I443" s="24"/>
      <c r="J443" s="79"/>
      <c r="K443" s="24"/>
      <c r="L443" s="24"/>
      <c r="M443" s="24"/>
    </row>
    <row r="444" spans="1:13" ht="14.5">
      <c r="A444" s="20" t="s">
        <v>2985</v>
      </c>
      <c r="B444" s="81">
        <v>90</v>
      </c>
      <c r="C444" s="81">
        <v>10</v>
      </c>
      <c r="D444" s="81">
        <v>77</v>
      </c>
      <c r="E444" s="79"/>
      <c r="F444" s="20" t="s">
        <v>2986</v>
      </c>
      <c r="G444" s="24" t="str">
        <f ca="1">IFERROR(__xludf.DUMMYFUNCTION("UPPER(LEFT((GOOGLETRANSLATE(F444,""en"",""pt"")),1))&amp;RIGHT(lower((GOOGLETRANSLATE(F444,""en"",""pt""))),(LEN((GOOGLETRANSLATE(F444,""en"",""pt"")))-1))"),"Áreas de serviços externos")</f>
        <v>Áreas de serviços externos</v>
      </c>
      <c r="H444" s="24" t="e">
        <f>VLOOKUP(A444,En_Base_LNEC!$A$2:$E$10000,5,FALSE)</f>
        <v>#N/A</v>
      </c>
      <c r="I444" s="24"/>
      <c r="J444" s="79"/>
      <c r="K444" s="24"/>
      <c r="L444" s="24"/>
      <c r="M444" s="24"/>
    </row>
    <row r="445" spans="1:13" ht="14.5">
      <c r="A445" s="20" t="s">
        <v>2987</v>
      </c>
      <c r="B445" s="81">
        <v>90</v>
      </c>
      <c r="C445" s="81">
        <v>50</v>
      </c>
      <c r="D445" s="79"/>
      <c r="E445" s="79"/>
      <c r="F445" s="20" t="s">
        <v>2988</v>
      </c>
      <c r="G445" s="24" t="str">
        <f ca="1">IFERROR(__xludf.DUMMYFUNCTION("UPPER(LEFT((GOOGLETRANSLATE(F445,""en"",""pt"")),1))&amp;RIGHT(lower((GOOGLETRANSLATE(F445,""en"",""pt""))),(LEN((GOOGLETRANSLATE(F445,""en"",""pt"")))-1))"),"Entidades de armazenamento")</f>
        <v>Entidades de armazenamento</v>
      </c>
      <c r="H445" s="24" t="str">
        <f>VLOOKUP(A445,En_Base_LNEC!$A$2:$E$10000,5,FALSE)</f>
        <v>Edifícios de armazenagem</v>
      </c>
      <c r="I445" s="24"/>
      <c r="J445" s="79"/>
      <c r="K445" s="24"/>
      <c r="L445" s="24"/>
      <c r="M445" s="24"/>
    </row>
    <row r="446" spans="1:13" ht="14.5">
      <c r="A446" s="20" t="s">
        <v>2989</v>
      </c>
      <c r="B446" s="81">
        <v>90</v>
      </c>
      <c r="C446" s="81">
        <v>50</v>
      </c>
      <c r="D446" s="81">
        <v>2</v>
      </c>
      <c r="E446" s="79"/>
      <c r="F446" s="20" t="s">
        <v>2990</v>
      </c>
      <c r="G446" s="24" t="str">
        <f ca="1">IFERROR(__xludf.DUMMYFUNCTION("UPPER(LEFT((GOOGLETRANSLATE(F446,""en"",""pt"")),1))&amp;RIGHT(lower((GOOGLETRANSLATE(F446,""en"",""pt""))),(LEN((GOOGLETRANSLATE(F446,""en"",""pt"")))-1))"),"Edifícios de armazenamento agrícolas")</f>
        <v>Edifícios de armazenamento agrícolas</v>
      </c>
      <c r="H446" s="24" t="e">
        <f>VLOOKUP(A446,En_Base_LNEC!$A$2:$E$10000,5,FALSE)</f>
        <v>#N/A</v>
      </c>
      <c r="I446" s="24"/>
      <c r="J446" s="79"/>
      <c r="K446" s="24"/>
      <c r="L446" s="24"/>
      <c r="M446" s="24"/>
    </row>
    <row r="447" spans="1:13" ht="14.5">
      <c r="A447" s="20" t="s">
        <v>2991</v>
      </c>
      <c r="B447" s="81">
        <v>90</v>
      </c>
      <c r="C447" s="81">
        <v>50</v>
      </c>
      <c r="D447" s="81">
        <v>3</v>
      </c>
      <c r="E447" s="79"/>
      <c r="F447" s="20" t="s">
        <v>2992</v>
      </c>
      <c r="G447" s="24" t="str">
        <f ca="1">IFERROR(__xludf.DUMMYFUNCTION("UPPER(LEFT((GOOGLETRANSLATE(F447,""en"",""pt"")),1))&amp;RIGHT(lower((GOOGLETRANSLATE(F447,""en"",""pt""))),(LEN((GOOGLETRANSLATE(F447,""en"",""pt"")))-1))"),"Silos de armazenagem agrícolas")</f>
        <v>Silos de armazenagem agrícolas</v>
      </c>
      <c r="H447" s="24" t="str">
        <f>VLOOKUP(A447,En_Base_LNEC!$A$2:$E$10000,5,FALSE)</f>
        <v>Silos para cereais</v>
      </c>
      <c r="I447" s="24"/>
      <c r="J447" s="79"/>
      <c r="K447" s="24"/>
      <c r="L447" s="24"/>
      <c r="M447" s="24"/>
    </row>
    <row r="448" spans="1:13" ht="14.5">
      <c r="A448" s="20" t="s">
        <v>2993</v>
      </c>
      <c r="B448" s="81">
        <v>90</v>
      </c>
      <c r="C448" s="81">
        <v>50</v>
      </c>
      <c r="D448" s="81">
        <v>10</v>
      </c>
      <c r="E448" s="79"/>
      <c r="F448" s="20" t="s">
        <v>2994</v>
      </c>
      <c r="G448" s="24" t="str">
        <f ca="1">IFERROR(__xludf.DUMMYFUNCTION("UPPER(LEFT((GOOGLETRANSLATE(F448,""en"",""pt"")),1))&amp;RIGHT(lower((GOOGLETRANSLATE(F448,""en"",""pt""))),(LEN((GOOGLETRANSLATE(F448,""en"",""pt"")))-1))"),"Estruturas de armazenamento de resíduos secos")</f>
        <v>Estruturas de armazenamento de resíduos secos</v>
      </c>
      <c r="H448" s="24" t="e">
        <f>VLOOKUP(A448,En_Base_LNEC!$A$2:$E$10000,5,FALSE)</f>
        <v>#N/A</v>
      </c>
      <c r="I448" s="24"/>
      <c r="J448" s="79"/>
      <c r="K448" s="24"/>
      <c r="L448" s="24"/>
      <c r="M448" s="24"/>
    </row>
    <row r="449" spans="1:13" ht="14.5">
      <c r="A449" s="20" t="s">
        <v>2995</v>
      </c>
      <c r="B449" s="81">
        <v>90</v>
      </c>
      <c r="C449" s="81">
        <v>50</v>
      </c>
      <c r="D449" s="81">
        <v>11</v>
      </c>
      <c r="E449" s="79"/>
      <c r="F449" s="20" t="s">
        <v>2996</v>
      </c>
      <c r="G449" s="24" t="str">
        <f ca="1">IFERROR(__xludf.DUMMYFUNCTION("UPPER(LEFT((GOOGLETRANSLATE(F449,""en"",""pt"")),1))&amp;RIGHT(lower((GOOGLETRANSLATE(F449,""en"",""pt""))),(LEN((GOOGLETRANSLATE(F449,""en"",""pt"")))-1))"),"Jardas de armazenamento de resíduos secos")</f>
        <v>Jardas de armazenamento de resíduos secos</v>
      </c>
      <c r="H449" s="24" t="e">
        <f>VLOOKUP(A449,En_Base_LNEC!$A$2:$E$10000,5,FALSE)</f>
        <v>#N/A</v>
      </c>
      <c r="I449" s="24"/>
      <c r="J449" s="79"/>
      <c r="K449" s="24"/>
      <c r="L449" s="24"/>
      <c r="M449" s="24"/>
    </row>
    <row r="450" spans="1:13" ht="14.5">
      <c r="A450" s="20" t="s">
        <v>2997</v>
      </c>
      <c r="B450" s="81">
        <v>90</v>
      </c>
      <c r="C450" s="81">
        <v>50</v>
      </c>
      <c r="D450" s="81">
        <v>28</v>
      </c>
      <c r="E450" s="79"/>
      <c r="F450" s="20" t="s">
        <v>2998</v>
      </c>
      <c r="G450" s="24" t="str">
        <f ca="1">IFERROR(__xludf.DUMMYFUNCTION("UPPER(LEFT((GOOGLETRANSLATE(F450,""en"",""pt"")),1))&amp;RIGHT(lower((GOOGLETRANSLATE(F450,""en"",""pt""))),(LEN((GOOGLETRANSLATE(F450,""en"",""pt"")))-1))"),"Explosivos lojas")</f>
        <v>Explosivos lojas</v>
      </c>
      <c r="H450" s="24" t="e">
        <f>VLOOKUP(A450,En_Base_LNEC!$A$2:$E$10000,5,FALSE)</f>
        <v>#N/A</v>
      </c>
      <c r="I450" s="24"/>
      <c r="J450" s="79"/>
      <c r="K450" s="24"/>
      <c r="L450" s="24"/>
      <c r="M450" s="24"/>
    </row>
    <row r="451" spans="1:13" ht="14.5">
      <c r="A451" s="20" t="s">
        <v>2999</v>
      </c>
      <c r="B451" s="81">
        <v>90</v>
      </c>
      <c r="C451" s="81">
        <v>50</v>
      </c>
      <c r="D451" s="81">
        <v>50</v>
      </c>
      <c r="E451" s="79"/>
      <c r="F451" s="20" t="s">
        <v>3000</v>
      </c>
      <c r="G451" s="24" t="str">
        <f ca="1">IFERROR(__xludf.DUMMYFUNCTION("UPPER(LEFT((GOOGLETRANSLATE(F451,""en"",""pt"")),1))&amp;RIGHT(lower((GOOGLETRANSLATE(F451,""en"",""pt""))),(LEN((GOOGLETRANSLATE(F451,""en"",""pt"")))-1))"),"Fabricação de tanques e silos")</f>
        <v>Fabricação de tanques e silos</v>
      </c>
      <c r="H451" s="24" t="str">
        <f>VLOOKUP(A451,En_Base_LNEC!$A$2:$E$10000,5,FALSE)</f>
        <v>Lagares e instalações para a indústria do azeite</v>
      </c>
      <c r="I451" s="24"/>
      <c r="J451" s="79"/>
      <c r="K451" s="24"/>
      <c r="L451" s="24"/>
      <c r="M451" s="24"/>
    </row>
    <row r="452" spans="1:13" ht="14.5">
      <c r="A452" s="20" t="s">
        <v>3001</v>
      </c>
      <c r="B452" s="81">
        <v>90</v>
      </c>
      <c r="C452" s="81">
        <v>50</v>
      </c>
      <c r="D452" s="81">
        <v>53</v>
      </c>
      <c r="E452" s="79"/>
      <c r="F452" s="20" t="s">
        <v>3002</v>
      </c>
      <c r="G452" s="24" t="str">
        <f ca="1">IFERROR(__xludf.DUMMYFUNCTION("UPPER(LEFT((GOOGLETRANSLATE(F452,""en"",""pt"")),1))&amp;RIGHT(lower((GOOGLETRANSLATE(F452,""en"",""pt""))),(LEN((GOOGLETRANSLATE(F452,""en"",""pt"")))-1))"),"Silos de armazenagem minerais")</f>
        <v>Silos de armazenagem minerais</v>
      </c>
      <c r="H452" s="24" t="e">
        <f>VLOOKUP(A452,En_Base_LNEC!$A$2:$E$10000,5,FALSE)</f>
        <v>#N/A</v>
      </c>
      <c r="I452" s="24"/>
      <c r="J452" s="79"/>
      <c r="K452" s="24"/>
      <c r="L452" s="24"/>
      <c r="M452" s="24"/>
    </row>
    <row r="453" spans="1:13" ht="14.5">
      <c r="A453" s="20" t="s">
        <v>3003</v>
      </c>
      <c r="B453" s="81">
        <v>90</v>
      </c>
      <c r="C453" s="81">
        <v>50</v>
      </c>
      <c r="D453" s="81">
        <v>55</v>
      </c>
      <c r="E453" s="79"/>
      <c r="F453" s="20" t="s">
        <v>3004</v>
      </c>
      <c r="G453" s="24" t="str">
        <f ca="1">IFERROR(__xludf.DUMMYFUNCTION("UPPER(LEFT((GOOGLETRANSLATE(F453,""en"",""pt"")),1))&amp;RIGHT(lower((GOOGLETRANSLATE(F453,""en"",""pt""))),(LEN((GOOGLETRANSLATE(F453,""en"",""pt"")))-1))"),"Entidades de armazenamento de veículos a motor")</f>
        <v>Entidades de armazenamento de veículos a motor</v>
      </c>
      <c r="H453" s="24" t="e">
        <f>VLOOKUP(A453,En_Base_LNEC!$A$2:$E$10000,5,FALSE)</f>
        <v>#N/A</v>
      </c>
      <c r="I453" s="24"/>
      <c r="J453" s="79"/>
      <c r="K453" s="24"/>
      <c r="L453" s="24"/>
      <c r="M453" s="24"/>
    </row>
    <row r="454" spans="1:13" ht="14.5">
      <c r="A454" s="20" t="s">
        <v>3005</v>
      </c>
      <c r="B454" s="81">
        <v>90</v>
      </c>
      <c r="C454" s="81">
        <v>50</v>
      </c>
      <c r="D454" s="81">
        <v>58</v>
      </c>
      <c r="E454" s="79"/>
      <c r="F454" s="20" t="s">
        <v>3006</v>
      </c>
      <c r="G454" s="24" t="str">
        <f ca="1">IFERROR(__xludf.DUMMYFUNCTION("UPPER(LEFT((GOOGLETRANSLATE(F454,""en"",""pt"")),1))&amp;RIGHT(lower((GOOGLETRANSLATE(F454,""en"",""pt""))),(LEN((GOOGLETRANSLATE(F454,""en"",""pt"")))-1))"),"Tanques de armazenamento de gás e petróleo")</f>
        <v>Tanques de armazenamento de gás e petróleo</v>
      </c>
      <c r="H454" s="24" t="e">
        <f>VLOOKUP(A454,En_Base_LNEC!$A$2:$E$10000,5,FALSE)</f>
        <v>#N/A</v>
      </c>
      <c r="I454" s="24"/>
      <c r="J454" s="79"/>
      <c r="K454" s="24"/>
      <c r="L454" s="24"/>
      <c r="M454" s="24"/>
    </row>
    <row r="455" spans="1:13" ht="14.5">
      <c r="A455" s="20" t="s">
        <v>3007</v>
      </c>
      <c r="B455" s="81">
        <v>90</v>
      </c>
      <c r="C455" s="81">
        <v>50</v>
      </c>
      <c r="D455" s="81">
        <v>68</v>
      </c>
      <c r="E455" s="79"/>
      <c r="F455" s="20" t="s">
        <v>3008</v>
      </c>
      <c r="G455" s="24" t="str">
        <f ca="1">IFERROR(__xludf.DUMMYFUNCTION("UPPER(LEFT((GOOGLETRANSLATE(F455,""en"",""pt"")),1))&amp;RIGHT(lower((GOOGLETRANSLATE(F455,""en"",""pt""))),(LEN((GOOGLETRANSLATE(F455,""en"",""pt"")))-1))"),"Entidades de armazenamento de contentores refrigerados")</f>
        <v>Entidades de armazenamento de contentores refrigerados</v>
      </c>
      <c r="H455" s="24" t="e">
        <f>VLOOKUP(A455,En_Base_LNEC!$A$2:$E$10000,5,FALSE)</f>
        <v>#N/A</v>
      </c>
      <c r="I455" s="24"/>
      <c r="J455" s="79"/>
      <c r="K455" s="24"/>
      <c r="L455" s="24"/>
      <c r="M455" s="24"/>
    </row>
    <row r="456" spans="1:13" ht="14.5">
      <c r="A456" s="20" t="s">
        <v>3009</v>
      </c>
      <c r="B456" s="81">
        <v>90</v>
      </c>
      <c r="C456" s="81">
        <v>50</v>
      </c>
      <c r="D456" s="81">
        <v>70</v>
      </c>
      <c r="E456" s="79"/>
      <c r="F456" s="20" t="s">
        <v>3010</v>
      </c>
      <c r="G456" s="24" t="str">
        <f ca="1">IFERROR(__xludf.DUMMYFUNCTION("UPPER(LEFT((GOOGLETRANSLATE(F456,""en"",""pt"")),1))&amp;RIGHT(lower((GOOGLETRANSLATE(F456,""en"",""pt""))),(LEN((GOOGLETRANSLATE(F456,""en"",""pt"")))-1))"),"Edifícios de armazenamento")</f>
        <v>Edifícios de armazenamento</v>
      </c>
      <c r="H456" s="24" t="e">
        <f>VLOOKUP(A456,En_Base_LNEC!$A$2:$E$10000,5,FALSE)</f>
        <v>#N/A</v>
      </c>
      <c r="I456" s="24"/>
      <c r="J456" s="79"/>
      <c r="K456" s="24"/>
      <c r="L456" s="24"/>
      <c r="M456" s="24"/>
    </row>
    <row r="457" spans="1:13" ht="14.5">
      <c r="A457" s="20" t="s">
        <v>3011</v>
      </c>
      <c r="B457" s="81">
        <v>90</v>
      </c>
      <c r="C457" s="81">
        <v>50</v>
      </c>
      <c r="D457" s="81">
        <v>96</v>
      </c>
      <c r="E457" s="79"/>
      <c r="F457" s="20" t="s">
        <v>3012</v>
      </c>
      <c r="G457" s="24" t="str">
        <f ca="1">IFERROR(__xludf.DUMMYFUNCTION("UPPER(LEFT((GOOGLETRANSLATE(F457,""en"",""pt"")),1))&amp;RIGHT(lower((GOOGLETRANSLATE(F457,""en"",""pt""))),(LEN((GOOGLETRANSLATE(F457,""en"",""pt"")))-1))"),"Estruturas de armazenamento de águas residuais")</f>
        <v>Estruturas de armazenamento de águas residuais</v>
      </c>
      <c r="H457" s="24" t="str">
        <f>VLOOKUP(A457,En_Base_LNEC!$A$2:$E$10000,5,FALSE)</f>
        <v>Reservatórios de água</v>
      </c>
      <c r="I457" s="24"/>
      <c r="J457" s="79"/>
      <c r="K457" s="24"/>
      <c r="L457" s="24"/>
      <c r="M457" s="24"/>
    </row>
    <row r="458" spans="1:13" ht="14.5">
      <c r="A458" s="20" t="s">
        <v>3013</v>
      </c>
      <c r="B458" s="81">
        <v>90</v>
      </c>
      <c r="C458" s="81">
        <v>90</v>
      </c>
      <c r="D458" s="79"/>
      <c r="E458" s="79"/>
      <c r="F458" s="20" t="s">
        <v>3014</v>
      </c>
      <c r="G458" s="24" t="str">
        <f ca="1">IFERROR(__xludf.DUMMYFUNCTION("UPPER(LEFT((GOOGLETRANSLATE(F458,""en"",""pt"")),1))&amp;RIGHT(lower((GOOGLETRANSLATE(F458,""en"",""pt""))),(LEN((GOOGLETRANSLATE(F458,""en"",""pt"")))-1))"),"Entidades de plantas e controle")</f>
        <v>Entidades de plantas e controle</v>
      </c>
      <c r="H458" s="24" t="e">
        <f>VLOOKUP(A458,En_Base_LNEC!$A$2:$E$10000,5,FALSE)</f>
        <v>#N/A</v>
      </c>
      <c r="I458" s="24"/>
      <c r="J458" s="79"/>
      <c r="K458" s="24"/>
      <c r="L458" s="24"/>
      <c r="M458" s="24"/>
    </row>
    <row r="459" spans="1:13" ht="14.5">
      <c r="A459" s="20" t="s">
        <v>3015</v>
      </c>
      <c r="B459" s="81">
        <v>90</v>
      </c>
      <c r="C459" s="81">
        <v>90</v>
      </c>
      <c r="D459" s="81">
        <v>33</v>
      </c>
      <c r="E459" s="79"/>
      <c r="F459" s="20" t="s">
        <v>3016</v>
      </c>
      <c r="G459" s="24" t="str">
        <f ca="1">IFERROR(__xludf.DUMMYFUNCTION("UPPER(LEFT((GOOGLETRANSLATE(F459,""en"",""pt"")),1))&amp;RIGHT(lower((GOOGLETRANSLATE(F459,""en"",""pt""))),(LEN((GOOGLETRANSLATE(F459,""en"",""pt"")))-1))"),"Casas calibre")</f>
        <v>Casas calibre</v>
      </c>
      <c r="H459" s="24" t="e">
        <f>VLOOKUP(A459,En_Base_LNEC!$A$2:$E$10000,5,FALSE)</f>
        <v>#N/A</v>
      </c>
      <c r="I459" s="24"/>
      <c r="J459" s="79"/>
      <c r="K459" s="24"/>
      <c r="L459" s="24"/>
      <c r="M459" s="24"/>
    </row>
    <row r="460" spans="1:13" ht="14.5">
      <c r="A460" s="20" t="s">
        <v>3017</v>
      </c>
      <c r="B460" s="81">
        <v>90</v>
      </c>
      <c r="C460" s="81">
        <v>90</v>
      </c>
      <c r="D460" s="81">
        <v>35</v>
      </c>
      <c r="E460" s="79"/>
      <c r="F460" s="20" t="s">
        <v>3018</v>
      </c>
      <c r="G460" s="24" t="str">
        <f ca="1">IFERROR(__xludf.DUMMYFUNCTION("UPPER(LEFT((GOOGLETRANSLATE(F460,""en"",""pt"")),1))&amp;RIGHT(lower((GOOGLETRANSLATE(F460,""en"",""pt""))),(LEN((GOOGLETRANSLATE(F460,""en"",""pt"")))-1))"),"Aferição edifícios da estação")</f>
        <v>Aferição edifícios da estação</v>
      </c>
      <c r="H460" s="24" t="e">
        <f>VLOOKUP(A460,En_Base_LNEC!$A$2:$E$10000,5,FALSE)</f>
        <v>#N/A</v>
      </c>
      <c r="I460" s="24"/>
      <c r="J460" s="79"/>
      <c r="K460" s="24"/>
      <c r="L460" s="24"/>
      <c r="M460" s="24"/>
    </row>
    <row r="461" spans="1:13" ht="14.5">
      <c r="A461" s="20" t="s">
        <v>3019</v>
      </c>
      <c r="B461" s="81">
        <v>90</v>
      </c>
      <c r="C461" s="81">
        <v>90</v>
      </c>
      <c r="D461" s="81">
        <v>50</v>
      </c>
      <c r="E461" s="79"/>
      <c r="F461" s="20" t="s">
        <v>3020</v>
      </c>
      <c r="G461" s="24" t="str">
        <f ca="1">IFERROR(__xludf.DUMMYFUNCTION("UPPER(LEFT((GOOGLETRANSLATE(F461,""en"",""pt"")),1))&amp;RIGHT(lower((GOOGLETRANSLATE(F461,""en"",""pt""))),(LEN((GOOGLETRANSLATE(F461,""en"",""pt"")))-1))"),"Edifícios de serviços mecânicos")</f>
        <v>Edifícios de serviços mecânicos</v>
      </c>
      <c r="H461" s="24" t="e">
        <f>VLOOKUP(A461,En_Base_LNEC!$A$2:$E$10000,5,FALSE)</f>
        <v>#N/A</v>
      </c>
      <c r="I461" s="24"/>
      <c r="J461" s="79"/>
      <c r="K461" s="24"/>
      <c r="L461" s="24"/>
      <c r="M461" s="24"/>
    </row>
    <row r="462" spans="1:13" ht="14.5">
      <c r="A462" s="20" t="s">
        <v>3021</v>
      </c>
      <c r="B462" s="81">
        <v>90</v>
      </c>
      <c r="C462" s="81">
        <v>90</v>
      </c>
      <c r="D462" s="81">
        <v>68</v>
      </c>
      <c r="E462" s="79"/>
      <c r="F462" s="20" t="s">
        <v>3022</v>
      </c>
      <c r="G462" s="24" t="str">
        <f ca="1">IFERROR(__xludf.DUMMYFUNCTION("UPPER(LEFT((GOOGLETRANSLATE(F462,""en"",""pt"")),1))&amp;RIGHT(lower((GOOGLETRANSLATE(F462,""en"",""pt""))),(LEN((GOOGLETRANSLATE(F462,""en"",""pt"")))-1))"),"Casas de bomba")</f>
        <v>Casas de bomba</v>
      </c>
      <c r="H462" s="24" t="e">
        <f>VLOOKUP(A462,En_Base_LNEC!$A$2:$E$10000,5,FALSE)</f>
        <v>#N/A</v>
      </c>
      <c r="I462" s="24"/>
      <c r="J462" s="79"/>
      <c r="K462" s="24"/>
      <c r="L462" s="24"/>
      <c r="M462" s="24"/>
    </row>
    <row r="463" spans="1:13" ht="12.5">
      <c r="B463" s="83"/>
      <c r="C463" s="83"/>
      <c r="D463" s="83"/>
      <c r="E463" s="83"/>
      <c r="J463" s="83"/>
    </row>
    <row r="464" spans="1:13" ht="12.5">
      <c r="B464" s="83"/>
      <c r="C464" s="83"/>
      <c r="D464" s="83"/>
      <c r="E464" s="83"/>
      <c r="J464" s="83"/>
    </row>
    <row r="465" spans="2:10" ht="12.5">
      <c r="B465" s="83"/>
      <c r="C465" s="83"/>
      <c r="D465" s="83"/>
      <c r="E465" s="83"/>
      <c r="J465" s="83"/>
    </row>
    <row r="466" spans="2:10" ht="12.5">
      <c r="B466" s="83"/>
      <c r="C466" s="83"/>
      <c r="D466" s="83"/>
      <c r="E466" s="83"/>
      <c r="J466" s="83"/>
    </row>
    <row r="467" spans="2:10" ht="12.5">
      <c r="B467" s="83"/>
      <c r="C467" s="83"/>
      <c r="D467" s="83"/>
      <c r="E467" s="83"/>
      <c r="J467" s="83"/>
    </row>
    <row r="468" spans="2:10" ht="12.5">
      <c r="B468" s="83"/>
      <c r="C468" s="83"/>
      <c r="D468" s="83"/>
      <c r="E468" s="83"/>
      <c r="J468" s="83"/>
    </row>
    <row r="469" spans="2:10" ht="12.5">
      <c r="B469" s="83"/>
      <c r="C469" s="83"/>
      <c r="D469" s="83"/>
      <c r="E469" s="83"/>
      <c r="J469" s="83"/>
    </row>
    <row r="470" spans="2:10" ht="12.5">
      <c r="B470" s="83"/>
      <c r="C470" s="83"/>
      <c r="D470" s="83"/>
      <c r="E470" s="83"/>
      <c r="J470" s="83"/>
    </row>
    <row r="471" spans="2:10" ht="12.5">
      <c r="B471" s="83"/>
      <c r="C471" s="83"/>
      <c r="D471" s="83"/>
      <c r="E471" s="83"/>
      <c r="J471" s="83"/>
    </row>
    <row r="472" spans="2:10" ht="12.5">
      <c r="B472" s="83"/>
      <c r="C472" s="83"/>
      <c r="D472" s="83"/>
      <c r="E472" s="83"/>
      <c r="J472" s="83"/>
    </row>
    <row r="473" spans="2:10" ht="12.5">
      <c r="B473" s="83"/>
      <c r="C473" s="83"/>
      <c r="D473" s="83"/>
      <c r="E473" s="83"/>
      <c r="J473" s="83"/>
    </row>
    <row r="474" spans="2:10" ht="12.5">
      <c r="B474" s="83"/>
      <c r="C474" s="83"/>
      <c r="D474" s="83"/>
      <c r="E474" s="83"/>
      <c r="J474" s="83"/>
    </row>
    <row r="475" spans="2:10" ht="12.5">
      <c r="B475" s="83"/>
      <c r="C475" s="83"/>
      <c r="D475" s="83"/>
      <c r="E475" s="83"/>
      <c r="J475" s="83"/>
    </row>
    <row r="476" spans="2:10" ht="12.5">
      <c r="B476" s="83"/>
      <c r="C476" s="83"/>
      <c r="D476" s="83"/>
      <c r="E476" s="83"/>
      <c r="J476" s="83"/>
    </row>
    <row r="477" spans="2:10" ht="12.5">
      <c r="B477" s="83"/>
      <c r="C477" s="83"/>
      <c r="D477" s="83"/>
      <c r="E477" s="83"/>
      <c r="J477" s="83"/>
    </row>
    <row r="478" spans="2:10" ht="12.5">
      <c r="B478" s="83"/>
      <c r="C478" s="83"/>
      <c r="D478" s="83"/>
      <c r="E478" s="83"/>
      <c r="J478" s="83"/>
    </row>
    <row r="479" spans="2:10" ht="12.5">
      <c r="B479" s="83"/>
      <c r="C479" s="83"/>
      <c r="D479" s="83"/>
      <c r="E479" s="83"/>
      <c r="J479" s="83"/>
    </row>
    <row r="480" spans="2:10" ht="12.5">
      <c r="B480" s="83"/>
      <c r="C480" s="83"/>
      <c r="D480" s="83"/>
      <c r="E480" s="83"/>
      <c r="J480" s="83"/>
    </row>
    <row r="481" spans="2:10" ht="12.5">
      <c r="B481" s="83"/>
      <c r="C481" s="83"/>
      <c r="D481" s="83"/>
      <c r="E481" s="83"/>
      <c r="J481" s="83"/>
    </row>
    <row r="482" spans="2:10" ht="12.5">
      <c r="B482" s="83"/>
      <c r="C482" s="83"/>
      <c r="D482" s="83"/>
      <c r="E482" s="83"/>
      <c r="J482" s="83"/>
    </row>
    <row r="483" spans="2:10" ht="12.5">
      <c r="B483" s="83"/>
      <c r="C483" s="83"/>
      <c r="D483" s="83"/>
      <c r="E483" s="83"/>
      <c r="J483" s="83"/>
    </row>
    <row r="484" spans="2:10" ht="12.5">
      <c r="B484" s="83"/>
      <c r="C484" s="83"/>
      <c r="D484" s="83"/>
      <c r="E484" s="83"/>
      <c r="J484" s="83"/>
    </row>
    <row r="485" spans="2:10" ht="12.5">
      <c r="B485" s="83"/>
      <c r="C485" s="83"/>
      <c r="D485" s="83"/>
      <c r="E485" s="83"/>
      <c r="J485" s="83"/>
    </row>
    <row r="486" spans="2:10" ht="12.5">
      <c r="B486" s="83"/>
      <c r="C486" s="83"/>
      <c r="D486" s="83"/>
      <c r="E486" s="83"/>
      <c r="J486" s="83"/>
    </row>
    <row r="487" spans="2:10" ht="12.5">
      <c r="B487" s="83"/>
      <c r="C487" s="83"/>
      <c r="D487" s="83"/>
      <c r="E487" s="83"/>
      <c r="J487" s="83"/>
    </row>
    <row r="488" spans="2:10" ht="12.5">
      <c r="B488" s="83"/>
      <c r="C488" s="83"/>
      <c r="D488" s="83"/>
      <c r="E488" s="83"/>
      <c r="J488" s="83"/>
    </row>
    <row r="489" spans="2:10" ht="12.5">
      <c r="B489" s="83"/>
      <c r="C489" s="83"/>
      <c r="D489" s="83"/>
      <c r="E489" s="83"/>
      <c r="J489" s="83"/>
    </row>
    <row r="490" spans="2:10" ht="12.5">
      <c r="B490" s="83"/>
      <c r="C490" s="83"/>
      <c r="D490" s="83"/>
      <c r="E490" s="83"/>
      <c r="J490" s="83"/>
    </row>
    <row r="491" spans="2:10" ht="12.5">
      <c r="B491" s="83"/>
      <c r="C491" s="83"/>
      <c r="D491" s="83"/>
      <c r="E491" s="83"/>
      <c r="J491" s="83"/>
    </row>
    <row r="492" spans="2:10" ht="12.5">
      <c r="B492" s="83"/>
      <c r="C492" s="83"/>
      <c r="D492" s="83"/>
      <c r="E492" s="83"/>
      <c r="J492" s="83"/>
    </row>
    <row r="493" spans="2:10" ht="12.5">
      <c r="B493" s="83"/>
      <c r="C493" s="83"/>
      <c r="D493" s="83"/>
      <c r="E493" s="83"/>
      <c r="J493" s="83"/>
    </row>
    <row r="494" spans="2:10" ht="12.5">
      <c r="B494" s="83"/>
      <c r="C494" s="83"/>
      <c r="D494" s="83"/>
      <c r="E494" s="83"/>
      <c r="J494" s="83"/>
    </row>
    <row r="495" spans="2:10" ht="12.5">
      <c r="B495" s="83"/>
      <c r="C495" s="83"/>
      <c r="D495" s="83"/>
      <c r="E495" s="83"/>
      <c r="J495" s="83"/>
    </row>
    <row r="496" spans="2:10" ht="12.5">
      <c r="B496" s="83"/>
      <c r="C496" s="83"/>
      <c r="D496" s="83"/>
      <c r="E496" s="83"/>
      <c r="J496" s="83"/>
    </row>
    <row r="497" spans="2:10" ht="12.5">
      <c r="B497" s="83"/>
      <c r="C497" s="83"/>
      <c r="D497" s="83"/>
      <c r="E497" s="83"/>
      <c r="J497" s="83"/>
    </row>
    <row r="498" spans="2:10" ht="12.5">
      <c r="B498" s="83"/>
      <c r="C498" s="83"/>
      <c r="D498" s="83"/>
      <c r="E498" s="83"/>
      <c r="J498" s="83"/>
    </row>
    <row r="499" spans="2:10" ht="12.5">
      <c r="B499" s="83"/>
      <c r="C499" s="83"/>
      <c r="D499" s="83"/>
      <c r="E499" s="83"/>
      <c r="J499" s="83"/>
    </row>
    <row r="500" spans="2:10" ht="12.5">
      <c r="B500" s="83"/>
      <c r="C500" s="83"/>
      <c r="D500" s="83"/>
      <c r="E500" s="83"/>
      <c r="J500" s="83"/>
    </row>
    <row r="501" spans="2:10" ht="12.5">
      <c r="B501" s="83"/>
      <c r="C501" s="83"/>
      <c r="D501" s="83"/>
      <c r="E501" s="83"/>
      <c r="J501" s="83"/>
    </row>
    <row r="502" spans="2:10" ht="12.5">
      <c r="B502" s="83"/>
      <c r="C502" s="83"/>
      <c r="D502" s="83"/>
      <c r="E502" s="83"/>
      <c r="J502" s="83"/>
    </row>
    <row r="503" spans="2:10" ht="12.5">
      <c r="B503" s="83"/>
      <c r="C503" s="83"/>
      <c r="D503" s="83"/>
      <c r="E503" s="83"/>
      <c r="J503" s="83"/>
    </row>
    <row r="504" spans="2:10" ht="12.5">
      <c r="B504" s="83"/>
      <c r="C504" s="83"/>
      <c r="D504" s="83"/>
      <c r="E504" s="83"/>
      <c r="J504" s="83"/>
    </row>
    <row r="505" spans="2:10" ht="12.5">
      <c r="B505" s="83"/>
      <c r="C505" s="83"/>
      <c r="D505" s="83"/>
      <c r="E505" s="83"/>
      <c r="J505" s="83"/>
    </row>
    <row r="506" spans="2:10" ht="12.5">
      <c r="B506" s="83"/>
      <c r="C506" s="83"/>
      <c r="D506" s="83"/>
      <c r="E506" s="83"/>
      <c r="J506" s="83"/>
    </row>
    <row r="507" spans="2:10" ht="12.5">
      <c r="B507" s="83"/>
      <c r="C507" s="83"/>
      <c r="D507" s="83"/>
      <c r="E507" s="83"/>
      <c r="J507" s="83"/>
    </row>
    <row r="508" spans="2:10" ht="12.5">
      <c r="B508" s="83"/>
      <c r="C508" s="83"/>
      <c r="D508" s="83"/>
      <c r="E508" s="83"/>
      <c r="J508" s="83"/>
    </row>
    <row r="509" spans="2:10" ht="12.5">
      <c r="B509" s="83"/>
      <c r="C509" s="83"/>
      <c r="D509" s="83"/>
      <c r="E509" s="83"/>
      <c r="J509" s="83"/>
    </row>
    <row r="510" spans="2:10" ht="12.5">
      <c r="B510" s="83"/>
      <c r="C510" s="83"/>
      <c r="D510" s="83"/>
      <c r="E510" s="83"/>
      <c r="J510" s="83"/>
    </row>
    <row r="511" spans="2:10" ht="12.5">
      <c r="B511" s="83"/>
      <c r="C511" s="83"/>
      <c r="D511" s="83"/>
      <c r="E511" s="83"/>
      <c r="J511" s="83"/>
    </row>
    <row r="512" spans="2:10" ht="12.5">
      <c r="B512" s="83"/>
      <c r="C512" s="83"/>
      <c r="D512" s="83"/>
      <c r="E512" s="83"/>
      <c r="J512" s="83"/>
    </row>
    <row r="513" spans="2:10" ht="12.5">
      <c r="B513" s="83"/>
      <c r="C513" s="83"/>
      <c r="D513" s="83"/>
      <c r="E513" s="83"/>
      <c r="J513" s="83"/>
    </row>
    <row r="514" spans="2:10" ht="12.5">
      <c r="B514" s="83"/>
      <c r="C514" s="83"/>
      <c r="D514" s="83"/>
      <c r="E514" s="83"/>
      <c r="J514" s="83"/>
    </row>
    <row r="515" spans="2:10" ht="12.5">
      <c r="B515" s="83"/>
      <c r="C515" s="83"/>
      <c r="D515" s="83"/>
      <c r="E515" s="83"/>
      <c r="J515" s="83"/>
    </row>
    <row r="516" spans="2:10" ht="12.5">
      <c r="B516" s="83"/>
      <c r="C516" s="83"/>
      <c r="D516" s="83"/>
      <c r="E516" s="83"/>
      <c r="J516" s="83"/>
    </row>
    <row r="517" spans="2:10" ht="12.5">
      <c r="B517" s="83"/>
      <c r="C517" s="83"/>
      <c r="D517" s="83"/>
      <c r="E517" s="83"/>
      <c r="J517" s="83"/>
    </row>
    <row r="518" spans="2:10" ht="12.5">
      <c r="B518" s="83"/>
      <c r="C518" s="83"/>
      <c r="D518" s="83"/>
      <c r="E518" s="83"/>
      <c r="J518" s="83"/>
    </row>
    <row r="519" spans="2:10" ht="12.5">
      <c r="B519" s="83"/>
      <c r="C519" s="83"/>
      <c r="D519" s="83"/>
      <c r="E519" s="83"/>
      <c r="J519" s="83"/>
    </row>
    <row r="520" spans="2:10" ht="12.5">
      <c r="B520" s="83"/>
      <c r="C520" s="83"/>
      <c r="D520" s="83"/>
      <c r="E520" s="83"/>
      <c r="J520" s="83"/>
    </row>
    <row r="521" spans="2:10" ht="12.5">
      <c r="B521" s="83"/>
      <c r="C521" s="83"/>
      <c r="D521" s="83"/>
      <c r="E521" s="83"/>
      <c r="J521" s="83"/>
    </row>
    <row r="522" spans="2:10" ht="12.5">
      <c r="B522" s="83"/>
      <c r="C522" s="83"/>
      <c r="D522" s="83"/>
      <c r="E522" s="83"/>
      <c r="J522" s="83"/>
    </row>
    <row r="523" spans="2:10" ht="12.5">
      <c r="B523" s="83"/>
      <c r="C523" s="83"/>
      <c r="D523" s="83"/>
      <c r="E523" s="83"/>
      <c r="J523" s="83"/>
    </row>
    <row r="524" spans="2:10" ht="12.5">
      <c r="B524" s="83"/>
      <c r="C524" s="83"/>
      <c r="D524" s="83"/>
      <c r="E524" s="83"/>
      <c r="J524" s="83"/>
    </row>
    <row r="525" spans="2:10" ht="12.5">
      <c r="B525" s="83"/>
      <c r="C525" s="83"/>
      <c r="D525" s="83"/>
      <c r="E525" s="83"/>
      <c r="J525" s="83"/>
    </row>
    <row r="526" spans="2:10" ht="12.5">
      <c r="B526" s="83"/>
      <c r="C526" s="83"/>
      <c r="D526" s="83"/>
      <c r="E526" s="83"/>
      <c r="J526" s="83"/>
    </row>
    <row r="527" spans="2:10" ht="12.5">
      <c r="B527" s="83"/>
      <c r="C527" s="83"/>
      <c r="D527" s="83"/>
      <c r="E527" s="83"/>
      <c r="J527" s="83"/>
    </row>
    <row r="528" spans="2:10" ht="12.5">
      <c r="B528" s="83"/>
      <c r="C528" s="83"/>
      <c r="D528" s="83"/>
      <c r="E528" s="83"/>
      <c r="J528" s="83"/>
    </row>
    <row r="529" spans="2:10" ht="12.5">
      <c r="B529" s="83"/>
      <c r="C529" s="83"/>
      <c r="D529" s="83"/>
      <c r="E529" s="83"/>
      <c r="J529" s="83"/>
    </row>
    <row r="530" spans="2:10" ht="12.5">
      <c r="B530" s="83"/>
      <c r="C530" s="83"/>
      <c r="D530" s="83"/>
      <c r="E530" s="83"/>
      <c r="J530" s="83"/>
    </row>
    <row r="531" spans="2:10" ht="12.5">
      <c r="B531" s="83"/>
      <c r="C531" s="83"/>
      <c r="D531" s="83"/>
      <c r="E531" s="83"/>
      <c r="J531" s="83"/>
    </row>
    <row r="532" spans="2:10" ht="12.5">
      <c r="B532" s="83"/>
      <c r="C532" s="83"/>
      <c r="D532" s="83"/>
      <c r="E532" s="83"/>
      <c r="J532" s="83"/>
    </row>
    <row r="533" spans="2:10" ht="12.5">
      <c r="B533" s="83"/>
      <c r="C533" s="83"/>
      <c r="D533" s="83"/>
      <c r="E533" s="83"/>
      <c r="J533" s="83"/>
    </row>
    <row r="534" spans="2:10" ht="12.5">
      <c r="B534" s="83"/>
      <c r="C534" s="83"/>
      <c r="D534" s="83"/>
      <c r="E534" s="83"/>
      <c r="J534" s="83"/>
    </row>
    <row r="535" spans="2:10" ht="12.5">
      <c r="B535" s="83"/>
      <c r="C535" s="83"/>
      <c r="D535" s="83"/>
      <c r="E535" s="83"/>
      <c r="J535" s="83"/>
    </row>
    <row r="536" spans="2:10" ht="12.5">
      <c r="B536" s="83"/>
      <c r="C536" s="83"/>
      <c r="D536" s="83"/>
      <c r="E536" s="83"/>
      <c r="J536" s="83"/>
    </row>
    <row r="537" spans="2:10" ht="12.5">
      <c r="B537" s="83"/>
      <c r="C537" s="83"/>
      <c r="D537" s="83"/>
      <c r="E537" s="83"/>
      <c r="J537" s="83"/>
    </row>
    <row r="538" spans="2:10" ht="12.5">
      <c r="B538" s="83"/>
      <c r="C538" s="83"/>
      <c r="D538" s="83"/>
      <c r="E538" s="83"/>
      <c r="J538" s="83"/>
    </row>
    <row r="539" spans="2:10" ht="12.5">
      <c r="B539" s="83"/>
      <c r="C539" s="83"/>
      <c r="D539" s="83"/>
      <c r="E539" s="83"/>
      <c r="J539" s="83"/>
    </row>
    <row r="540" spans="2:10" ht="12.5">
      <c r="B540" s="83"/>
      <c r="C540" s="83"/>
      <c r="D540" s="83"/>
      <c r="E540" s="83"/>
      <c r="J540" s="83"/>
    </row>
    <row r="541" spans="2:10" ht="12.5">
      <c r="B541" s="83"/>
      <c r="C541" s="83"/>
      <c r="D541" s="83"/>
      <c r="E541" s="83"/>
      <c r="J541" s="83"/>
    </row>
    <row r="542" spans="2:10" ht="12.5">
      <c r="B542" s="83"/>
      <c r="C542" s="83"/>
      <c r="D542" s="83"/>
      <c r="E542" s="83"/>
      <c r="J542" s="83"/>
    </row>
    <row r="543" spans="2:10" ht="12.5">
      <c r="B543" s="83"/>
      <c r="C543" s="83"/>
      <c r="D543" s="83"/>
      <c r="E543" s="83"/>
      <c r="J543" s="83"/>
    </row>
    <row r="544" spans="2:10" ht="12.5">
      <c r="B544" s="83"/>
      <c r="C544" s="83"/>
      <c r="D544" s="83"/>
      <c r="E544" s="83"/>
      <c r="J544" s="83"/>
    </row>
    <row r="545" spans="2:10" ht="12.5">
      <c r="B545" s="83"/>
      <c r="C545" s="83"/>
      <c r="D545" s="83"/>
      <c r="E545" s="83"/>
      <c r="J545" s="83"/>
    </row>
    <row r="546" spans="2:10" ht="12.5">
      <c r="B546" s="83"/>
      <c r="C546" s="83"/>
      <c r="D546" s="83"/>
      <c r="E546" s="83"/>
      <c r="J546" s="83"/>
    </row>
    <row r="547" spans="2:10" ht="12.5">
      <c r="B547" s="83"/>
      <c r="C547" s="83"/>
      <c r="D547" s="83"/>
      <c r="E547" s="83"/>
      <c r="J547" s="83"/>
    </row>
    <row r="548" spans="2:10" ht="12.5">
      <c r="B548" s="83"/>
      <c r="C548" s="83"/>
      <c r="D548" s="83"/>
      <c r="E548" s="83"/>
      <c r="J548" s="83"/>
    </row>
    <row r="549" spans="2:10" ht="12.5">
      <c r="B549" s="83"/>
      <c r="C549" s="83"/>
      <c r="D549" s="83"/>
      <c r="E549" s="83"/>
      <c r="J549" s="83"/>
    </row>
    <row r="550" spans="2:10" ht="12.5">
      <c r="B550" s="83"/>
      <c r="C550" s="83"/>
      <c r="D550" s="83"/>
      <c r="E550" s="83"/>
      <c r="J550" s="83"/>
    </row>
    <row r="551" spans="2:10" ht="12.5">
      <c r="B551" s="83"/>
      <c r="C551" s="83"/>
      <c r="D551" s="83"/>
      <c r="E551" s="83"/>
      <c r="J551" s="83"/>
    </row>
    <row r="552" spans="2:10" ht="12.5">
      <c r="B552" s="83"/>
      <c r="C552" s="83"/>
      <c r="D552" s="83"/>
      <c r="E552" s="83"/>
      <c r="J552" s="83"/>
    </row>
    <row r="553" spans="2:10" ht="12.5">
      <c r="B553" s="83"/>
      <c r="C553" s="83"/>
      <c r="D553" s="83"/>
      <c r="E553" s="83"/>
      <c r="J553" s="83"/>
    </row>
    <row r="554" spans="2:10" ht="12.5">
      <c r="B554" s="83"/>
      <c r="C554" s="83"/>
      <c r="D554" s="83"/>
      <c r="E554" s="83"/>
      <c r="J554" s="83"/>
    </row>
    <row r="555" spans="2:10" ht="12.5">
      <c r="B555" s="83"/>
      <c r="C555" s="83"/>
      <c r="D555" s="83"/>
      <c r="E555" s="83"/>
      <c r="J555" s="83"/>
    </row>
    <row r="556" spans="2:10" ht="12.5">
      <c r="B556" s="83"/>
      <c r="C556" s="83"/>
      <c r="D556" s="83"/>
      <c r="E556" s="83"/>
      <c r="J556" s="83"/>
    </row>
    <row r="557" spans="2:10" ht="12.5">
      <c r="B557" s="83"/>
      <c r="C557" s="83"/>
      <c r="D557" s="83"/>
      <c r="E557" s="83"/>
      <c r="J557" s="83"/>
    </row>
    <row r="558" spans="2:10" ht="12.5">
      <c r="B558" s="83"/>
      <c r="C558" s="83"/>
      <c r="D558" s="83"/>
      <c r="E558" s="83"/>
      <c r="J558" s="83"/>
    </row>
    <row r="559" spans="2:10" ht="12.5">
      <c r="B559" s="83"/>
      <c r="C559" s="83"/>
      <c r="D559" s="83"/>
      <c r="E559" s="83"/>
      <c r="J559" s="83"/>
    </row>
    <row r="560" spans="2:10" ht="12.5">
      <c r="B560" s="83"/>
      <c r="C560" s="83"/>
      <c r="D560" s="83"/>
      <c r="E560" s="83"/>
      <c r="J560" s="83"/>
    </row>
    <row r="561" spans="2:10" ht="12.5">
      <c r="B561" s="83"/>
      <c r="C561" s="83"/>
      <c r="D561" s="83"/>
      <c r="E561" s="83"/>
      <c r="J561" s="83"/>
    </row>
    <row r="562" spans="2:10" ht="12.5">
      <c r="B562" s="83"/>
      <c r="C562" s="83"/>
      <c r="D562" s="83"/>
      <c r="E562" s="83"/>
      <c r="J562" s="83"/>
    </row>
    <row r="563" spans="2:10" ht="12.5">
      <c r="B563" s="83"/>
      <c r="C563" s="83"/>
      <c r="D563" s="83"/>
      <c r="E563" s="83"/>
      <c r="J563" s="83"/>
    </row>
    <row r="564" spans="2:10" ht="12.5">
      <c r="B564" s="83"/>
      <c r="C564" s="83"/>
      <c r="D564" s="83"/>
      <c r="E564" s="83"/>
      <c r="J564" s="83"/>
    </row>
    <row r="565" spans="2:10" ht="12.5">
      <c r="B565" s="83"/>
      <c r="C565" s="83"/>
      <c r="D565" s="83"/>
      <c r="E565" s="83"/>
      <c r="J565" s="83"/>
    </row>
    <row r="566" spans="2:10" ht="12.5">
      <c r="B566" s="83"/>
      <c r="C566" s="83"/>
      <c r="D566" s="83"/>
      <c r="E566" s="83"/>
      <c r="J566" s="83"/>
    </row>
    <row r="567" spans="2:10" ht="12.5">
      <c r="B567" s="83"/>
      <c r="C567" s="83"/>
      <c r="D567" s="83"/>
      <c r="E567" s="83"/>
      <c r="J567" s="83"/>
    </row>
    <row r="568" spans="2:10" ht="12.5">
      <c r="B568" s="83"/>
      <c r="C568" s="83"/>
      <c r="D568" s="83"/>
      <c r="E568" s="83"/>
      <c r="J568" s="83"/>
    </row>
    <row r="569" spans="2:10" ht="12.5">
      <c r="B569" s="83"/>
      <c r="C569" s="83"/>
      <c r="D569" s="83"/>
      <c r="E569" s="83"/>
      <c r="J569" s="83"/>
    </row>
    <row r="570" spans="2:10" ht="12.5">
      <c r="B570" s="83"/>
      <c r="C570" s="83"/>
      <c r="D570" s="83"/>
      <c r="E570" s="83"/>
      <c r="J570" s="83"/>
    </row>
    <row r="571" spans="2:10" ht="12.5">
      <c r="B571" s="83"/>
      <c r="C571" s="83"/>
      <c r="D571" s="83"/>
      <c r="E571" s="83"/>
      <c r="J571" s="83"/>
    </row>
    <row r="572" spans="2:10" ht="12.5">
      <c r="B572" s="83"/>
      <c r="C572" s="83"/>
      <c r="D572" s="83"/>
      <c r="E572" s="83"/>
      <c r="J572" s="83"/>
    </row>
    <row r="573" spans="2:10" ht="12.5">
      <c r="B573" s="83"/>
      <c r="C573" s="83"/>
      <c r="D573" s="83"/>
      <c r="E573" s="83"/>
      <c r="J573" s="83"/>
    </row>
    <row r="574" spans="2:10" ht="12.5">
      <c r="B574" s="83"/>
      <c r="C574" s="83"/>
      <c r="D574" s="83"/>
      <c r="E574" s="83"/>
      <c r="J574" s="83"/>
    </row>
    <row r="575" spans="2:10" ht="12.5">
      <c r="B575" s="83"/>
      <c r="C575" s="83"/>
      <c r="D575" s="83"/>
      <c r="E575" s="83"/>
      <c r="J575" s="83"/>
    </row>
    <row r="576" spans="2:10" ht="12.5">
      <c r="B576" s="83"/>
      <c r="C576" s="83"/>
      <c r="D576" s="83"/>
      <c r="E576" s="83"/>
      <c r="J576" s="83"/>
    </row>
    <row r="577" spans="2:10" ht="12.5">
      <c r="B577" s="83"/>
      <c r="C577" s="83"/>
      <c r="D577" s="83"/>
      <c r="E577" s="83"/>
      <c r="J577" s="83"/>
    </row>
    <row r="578" spans="2:10" ht="12.5">
      <c r="B578" s="83"/>
      <c r="C578" s="83"/>
      <c r="D578" s="83"/>
      <c r="E578" s="83"/>
      <c r="J578" s="83"/>
    </row>
    <row r="579" spans="2:10" ht="12.5">
      <c r="B579" s="83"/>
      <c r="C579" s="83"/>
      <c r="D579" s="83"/>
      <c r="E579" s="83"/>
      <c r="J579" s="83"/>
    </row>
    <row r="580" spans="2:10" ht="12.5">
      <c r="B580" s="83"/>
      <c r="C580" s="83"/>
      <c r="D580" s="83"/>
      <c r="E580" s="83"/>
      <c r="J580" s="83"/>
    </row>
    <row r="581" spans="2:10" ht="12.5">
      <c r="B581" s="83"/>
      <c r="C581" s="83"/>
      <c r="D581" s="83"/>
      <c r="E581" s="83"/>
      <c r="J581" s="83"/>
    </row>
    <row r="582" spans="2:10" ht="12.5">
      <c r="B582" s="83"/>
      <c r="C582" s="83"/>
      <c r="D582" s="83"/>
      <c r="E582" s="83"/>
      <c r="J582" s="83"/>
    </row>
    <row r="583" spans="2:10" ht="12.5">
      <c r="B583" s="83"/>
      <c r="C583" s="83"/>
      <c r="D583" s="83"/>
      <c r="E583" s="83"/>
      <c r="J583" s="83"/>
    </row>
    <row r="584" spans="2:10" ht="12.5">
      <c r="B584" s="83"/>
      <c r="C584" s="83"/>
      <c r="D584" s="83"/>
      <c r="E584" s="83"/>
      <c r="J584" s="83"/>
    </row>
    <row r="585" spans="2:10" ht="12.5">
      <c r="B585" s="83"/>
      <c r="C585" s="83"/>
      <c r="D585" s="83"/>
      <c r="E585" s="83"/>
      <c r="J585" s="83"/>
    </row>
    <row r="586" spans="2:10" ht="12.5">
      <c r="B586" s="83"/>
      <c r="C586" s="83"/>
      <c r="D586" s="83"/>
      <c r="E586" s="83"/>
      <c r="J586" s="83"/>
    </row>
    <row r="587" spans="2:10" ht="12.5">
      <c r="B587" s="83"/>
      <c r="C587" s="83"/>
      <c r="D587" s="83"/>
      <c r="E587" s="83"/>
      <c r="J587" s="83"/>
    </row>
    <row r="588" spans="2:10" ht="12.5">
      <c r="B588" s="83"/>
      <c r="C588" s="83"/>
      <c r="D588" s="83"/>
      <c r="E588" s="83"/>
      <c r="J588" s="83"/>
    </row>
    <row r="589" spans="2:10" ht="12.5">
      <c r="B589" s="83"/>
      <c r="C589" s="83"/>
      <c r="D589" s="83"/>
      <c r="E589" s="83"/>
      <c r="J589" s="83"/>
    </row>
    <row r="590" spans="2:10" ht="12.5">
      <c r="B590" s="83"/>
      <c r="C590" s="83"/>
      <c r="D590" s="83"/>
      <c r="E590" s="83"/>
      <c r="J590" s="83"/>
    </row>
    <row r="591" spans="2:10" ht="12.5">
      <c r="B591" s="83"/>
      <c r="C591" s="83"/>
      <c r="D591" s="83"/>
      <c r="E591" s="83"/>
      <c r="J591" s="83"/>
    </row>
    <row r="592" spans="2:10" ht="12.5">
      <c r="B592" s="83"/>
      <c r="C592" s="83"/>
      <c r="D592" s="83"/>
      <c r="E592" s="83"/>
      <c r="J592" s="83"/>
    </row>
    <row r="593" spans="2:10" ht="12.5">
      <c r="B593" s="83"/>
      <c r="C593" s="83"/>
      <c r="D593" s="83"/>
      <c r="E593" s="83"/>
      <c r="J593" s="83"/>
    </row>
    <row r="594" spans="2:10" ht="12.5">
      <c r="B594" s="83"/>
      <c r="C594" s="83"/>
      <c r="D594" s="83"/>
      <c r="E594" s="83"/>
      <c r="J594" s="83"/>
    </row>
    <row r="595" spans="2:10" ht="12.5">
      <c r="B595" s="83"/>
      <c r="C595" s="83"/>
      <c r="D595" s="83"/>
      <c r="E595" s="83"/>
      <c r="J595" s="83"/>
    </row>
    <row r="596" spans="2:10" ht="12.5">
      <c r="B596" s="83"/>
      <c r="C596" s="83"/>
      <c r="D596" s="83"/>
      <c r="E596" s="83"/>
      <c r="J596" s="83"/>
    </row>
    <row r="597" spans="2:10" ht="12.5">
      <c r="B597" s="83"/>
      <c r="C597" s="83"/>
      <c r="D597" s="83"/>
      <c r="E597" s="83"/>
      <c r="J597" s="83"/>
    </row>
    <row r="598" spans="2:10" ht="12.5">
      <c r="B598" s="83"/>
      <c r="C598" s="83"/>
      <c r="D598" s="83"/>
      <c r="E598" s="83"/>
      <c r="J598" s="83"/>
    </row>
    <row r="599" spans="2:10" ht="12.5">
      <c r="B599" s="83"/>
      <c r="C599" s="83"/>
      <c r="D599" s="83"/>
      <c r="E599" s="83"/>
      <c r="J599" s="83"/>
    </row>
    <row r="600" spans="2:10" ht="12.5">
      <c r="B600" s="83"/>
      <c r="C600" s="83"/>
      <c r="D600" s="83"/>
      <c r="E600" s="83"/>
      <c r="J600" s="83"/>
    </row>
    <row r="601" spans="2:10" ht="12.5">
      <c r="B601" s="83"/>
      <c r="C601" s="83"/>
      <c r="D601" s="83"/>
      <c r="E601" s="83"/>
      <c r="J601" s="83"/>
    </row>
    <row r="602" spans="2:10" ht="12.5">
      <c r="B602" s="83"/>
      <c r="C602" s="83"/>
      <c r="D602" s="83"/>
      <c r="E602" s="83"/>
      <c r="J602" s="83"/>
    </row>
    <row r="603" spans="2:10" ht="12.5">
      <c r="B603" s="83"/>
      <c r="C603" s="83"/>
      <c r="D603" s="83"/>
      <c r="E603" s="83"/>
      <c r="J603" s="83"/>
    </row>
    <row r="604" spans="2:10" ht="12.5">
      <c r="B604" s="83"/>
      <c r="C604" s="83"/>
      <c r="D604" s="83"/>
      <c r="E604" s="83"/>
      <c r="J604" s="83"/>
    </row>
    <row r="605" spans="2:10" ht="12.5">
      <c r="B605" s="83"/>
      <c r="C605" s="83"/>
      <c r="D605" s="83"/>
      <c r="E605" s="83"/>
      <c r="J605" s="83"/>
    </row>
    <row r="606" spans="2:10" ht="12.5">
      <c r="B606" s="83"/>
      <c r="C606" s="83"/>
      <c r="D606" s="83"/>
      <c r="E606" s="83"/>
      <c r="J606" s="83"/>
    </row>
    <row r="607" spans="2:10" ht="12.5">
      <c r="B607" s="83"/>
      <c r="C607" s="83"/>
      <c r="D607" s="83"/>
      <c r="E607" s="83"/>
      <c r="J607" s="83"/>
    </row>
    <row r="608" spans="2:10" ht="12.5">
      <c r="B608" s="83"/>
      <c r="C608" s="83"/>
      <c r="D608" s="83"/>
      <c r="E608" s="83"/>
      <c r="J608" s="83"/>
    </row>
    <row r="609" spans="2:10" ht="12.5">
      <c r="B609" s="83"/>
      <c r="C609" s="83"/>
      <c r="D609" s="83"/>
      <c r="E609" s="83"/>
      <c r="J609" s="83"/>
    </row>
    <row r="610" spans="2:10" ht="12.5">
      <c r="B610" s="83"/>
      <c r="C610" s="83"/>
      <c r="D610" s="83"/>
      <c r="E610" s="83"/>
      <c r="J610" s="83"/>
    </row>
    <row r="611" spans="2:10" ht="12.5">
      <c r="B611" s="83"/>
      <c r="C611" s="83"/>
      <c r="D611" s="83"/>
      <c r="E611" s="83"/>
      <c r="J611" s="83"/>
    </row>
    <row r="612" spans="2:10" ht="12.5">
      <c r="B612" s="83"/>
      <c r="C612" s="83"/>
      <c r="D612" s="83"/>
      <c r="E612" s="83"/>
      <c r="J612" s="83"/>
    </row>
    <row r="613" spans="2:10" ht="12.5">
      <c r="B613" s="83"/>
      <c r="C613" s="83"/>
      <c r="D613" s="83"/>
      <c r="E613" s="83"/>
      <c r="J613" s="83"/>
    </row>
    <row r="614" spans="2:10" ht="12.5">
      <c r="B614" s="83"/>
      <c r="C614" s="83"/>
      <c r="D614" s="83"/>
      <c r="E614" s="83"/>
      <c r="J614" s="83"/>
    </row>
    <row r="615" spans="2:10" ht="12.5">
      <c r="B615" s="83"/>
      <c r="C615" s="83"/>
      <c r="D615" s="83"/>
      <c r="E615" s="83"/>
      <c r="J615" s="83"/>
    </row>
    <row r="616" spans="2:10" ht="12.5">
      <c r="B616" s="83"/>
      <c r="C616" s="83"/>
      <c r="D616" s="83"/>
      <c r="E616" s="83"/>
      <c r="J616" s="83"/>
    </row>
    <row r="617" spans="2:10" ht="12.5">
      <c r="B617" s="83"/>
      <c r="C617" s="83"/>
      <c r="D617" s="83"/>
      <c r="E617" s="83"/>
      <c r="J617" s="83"/>
    </row>
    <row r="618" spans="2:10" ht="12.5">
      <c r="B618" s="83"/>
      <c r="C618" s="83"/>
      <c r="D618" s="83"/>
      <c r="E618" s="83"/>
      <c r="J618" s="83"/>
    </row>
    <row r="619" spans="2:10" ht="12.5">
      <c r="B619" s="83"/>
      <c r="C619" s="83"/>
      <c r="D619" s="83"/>
      <c r="E619" s="83"/>
      <c r="J619" s="83"/>
    </row>
    <row r="620" spans="2:10" ht="12.5">
      <c r="B620" s="83"/>
      <c r="C620" s="83"/>
      <c r="D620" s="83"/>
      <c r="E620" s="83"/>
      <c r="J620" s="83"/>
    </row>
    <row r="621" spans="2:10" ht="12.5">
      <c r="B621" s="83"/>
      <c r="C621" s="83"/>
      <c r="D621" s="83"/>
      <c r="E621" s="83"/>
      <c r="J621" s="83"/>
    </row>
    <row r="622" spans="2:10" ht="12.5">
      <c r="B622" s="83"/>
      <c r="C622" s="83"/>
      <c r="D622" s="83"/>
      <c r="E622" s="83"/>
      <c r="J622" s="83"/>
    </row>
    <row r="623" spans="2:10" ht="12.5">
      <c r="B623" s="83"/>
      <c r="C623" s="83"/>
      <c r="D623" s="83"/>
      <c r="E623" s="83"/>
      <c r="J623" s="83"/>
    </row>
    <row r="624" spans="2:10" ht="12.5">
      <c r="B624" s="83"/>
      <c r="C624" s="83"/>
      <c r="D624" s="83"/>
      <c r="E624" s="83"/>
      <c r="J624" s="83"/>
    </row>
    <row r="625" spans="2:10" ht="12.5">
      <c r="B625" s="83"/>
      <c r="C625" s="83"/>
      <c r="D625" s="83"/>
      <c r="E625" s="83"/>
      <c r="J625" s="83"/>
    </row>
    <row r="626" spans="2:10" ht="12.5">
      <c r="B626" s="83"/>
      <c r="C626" s="83"/>
      <c r="D626" s="83"/>
      <c r="E626" s="83"/>
      <c r="J626" s="83"/>
    </row>
    <row r="627" spans="2:10" ht="12.5">
      <c r="B627" s="83"/>
      <c r="C627" s="83"/>
      <c r="D627" s="83"/>
      <c r="E627" s="83"/>
      <c r="J627" s="83"/>
    </row>
    <row r="628" spans="2:10" ht="12.5">
      <c r="B628" s="83"/>
      <c r="C628" s="83"/>
      <c r="D628" s="83"/>
      <c r="E628" s="83"/>
      <c r="J628" s="83"/>
    </row>
    <row r="629" spans="2:10" ht="12.5">
      <c r="B629" s="83"/>
      <c r="C629" s="83"/>
      <c r="D629" s="83"/>
      <c r="E629" s="83"/>
      <c r="J629" s="83"/>
    </row>
    <row r="630" spans="2:10" ht="12.5">
      <c r="B630" s="83"/>
      <c r="C630" s="83"/>
      <c r="D630" s="83"/>
      <c r="E630" s="83"/>
      <c r="J630" s="83"/>
    </row>
    <row r="631" spans="2:10" ht="12.5">
      <c r="B631" s="83"/>
      <c r="C631" s="83"/>
      <c r="D631" s="83"/>
      <c r="E631" s="83"/>
      <c r="J631" s="83"/>
    </row>
    <row r="632" spans="2:10" ht="12.5">
      <c r="B632" s="83"/>
      <c r="C632" s="83"/>
      <c r="D632" s="83"/>
      <c r="E632" s="83"/>
      <c r="J632" s="83"/>
    </row>
    <row r="633" spans="2:10" ht="12.5">
      <c r="B633" s="83"/>
      <c r="C633" s="83"/>
      <c r="D633" s="83"/>
      <c r="E633" s="83"/>
      <c r="J633" s="83"/>
    </row>
    <row r="634" spans="2:10" ht="12.5">
      <c r="B634" s="83"/>
      <c r="C634" s="83"/>
      <c r="D634" s="83"/>
      <c r="E634" s="83"/>
      <c r="J634" s="83"/>
    </row>
    <row r="635" spans="2:10" ht="12.5">
      <c r="B635" s="83"/>
      <c r="C635" s="83"/>
      <c r="D635" s="83"/>
      <c r="E635" s="83"/>
      <c r="J635" s="83"/>
    </row>
    <row r="636" spans="2:10" ht="12.5">
      <c r="B636" s="83"/>
      <c r="C636" s="83"/>
      <c r="D636" s="83"/>
      <c r="E636" s="83"/>
      <c r="J636" s="83"/>
    </row>
    <row r="637" spans="2:10" ht="12.5">
      <c r="B637" s="83"/>
      <c r="C637" s="83"/>
      <c r="D637" s="83"/>
      <c r="E637" s="83"/>
      <c r="J637" s="83"/>
    </row>
    <row r="638" spans="2:10" ht="12.5">
      <c r="B638" s="83"/>
      <c r="C638" s="83"/>
      <c r="D638" s="83"/>
      <c r="E638" s="83"/>
      <c r="J638" s="83"/>
    </row>
    <row r="639" spans="2:10" ht="12.5">
      <c r="B639" s="83"/>
      <c r="C639" s="83"/>
      <c r="D639" s="83"/>
      <c r="E639" s="83"/>
      <c r="J639" s="83"/>
    </row>
    <row r="640" spans="2:10" ht="12.5">
      <c r="B640" s="83"/>
      <c r="C640" s="83"/>
      <c r="D640" s="83"/>
      <c r="E640" s="83"/>
      <c r="J640" s="83"/>
    </row>
    <row r="641" spans="2:10" ht="12.5">
      <c r="B641" s="83"/>
      <c r="C641" s="83"/>
      <c r="D641" s="83"/>
      <c r="E641" s="83"/>
      <c r="J641" s="83"/>
    </row>
    <row r="642" spans="2:10" ht="12.5">
      <c r="B642" s="83"/>
      <c r="C642" s="83"/>
      <c r="D642" s="83"/>
      <c r="E642" s="83"/>
      <c r="J642" s="83"/>
    </row>
    <row r="643" spans="2:10" ht="12.5">
      <c r="B643" s="83"/>
      <c r="C643" s="83"/>
      <c r="D643" s="83"/>
      <c r="E643" s="83"/>
      <c r="J643" s="83"/>
    </row>
    <row r="644" spans="2:10" ht="12.5">
      <c r="B644" s="83"/>
      <c r="C644" s="83"/>
      <c r="D644" s="83"/>
      <c r="E644" s="83"/>
      <c r="J644" s="83"/>
    </row>
    <row r="645" spans="2:10" ht="12.5">
      <c r="B645" s="83"/>
      <c r="C645" s="83"/>
      <c r="D645" s="83"/>
      <c r="E645" s="83"/>
      <c r="J645" s="83"/>
    </row>
    <row r="646" spans="2:10" ht="12.5">
      <c r="B646" s="83"/>
      <c r="C646" s="83"/>
      <c r="D646" s="83"/>
      <c r="E646" s="83"/>
      <c r="J646" s="83"/>
    </row>
    <row r="647" spans="2:10" ht="12.5">
      <c r="B647" s="83"/>
      <c r="C647" s="83"/>
      <c r="D647" s="83"/>
      <c r="E647" s="83"/>
      <c r="J647" s="83"/>
    </row>
    <row r="648" spans="2:10" ht="12.5">
      <c r="B648" s="83"/>
      <c r="C648" s="83"/>
      <c r="D648" s="83"/>
      <c r="E648" s="83"/>
      <c r="J648" s="83"/>
    </row>
    <row r="649" spans="2:10" ht="12.5">
      <c r="B649" s="83"/>
      <c r="C649" s="83"/>
      <c r="D649" s="83"/>
      <c r="E649" s="83"/>
      <c r="J649" s="83"/>
    </row>
    <row r="650" spans="2:10" ht="12.5">
      <c r="B650" s="83"/>
      <c r="C650" s="83"/>
      <c r="D650" s="83"/>
      <c r="E650" s="83"/>
      <c r="J650" s="83"/>
    </row>
    <row r="651" spans="2:10" ht="12.5">
      <c r="B651" s="83"/>
      <c r="C651" s="83"/>
      <c r="D651" s="83"/>
      <c r="E651" s="83"/>
      <c r="J651" s="83"/>
    </row>
    <row r="652" spans="2:10" ht="12.5">
      <c r="B652" s="83"/>
      <c r="C652" s="83"/>
      <c r="D652" s="83"/>
      <c r="E652" s="83"/>
      <c r="J652" s="83"/>
    </row>
    <row r="653" spans="2:10" ht="12.5">
      <c r="B653" s="83"/>
      <c r="C653" s="83"/>
      <c r="D653" s="83"/>
      <c r="E653" s="83"/>
      <c r="J653" s="83"/>
    </row>
    <row r="654" spans="2:10" ht="12.5">
      <c r="B654" s="83"/>
      <c r="C654" s="83"/>
      <c r="D654" s="83"/>
      <c r="E654" s="83"/>
      <c r="J654" s="83"/>
    </row>
    <row r="655" spans="2:10" ht="12.5">
      <c r="B655" s="83"/>
      <c r="C655" s="83"/>
      <c r="D655" s="83"/>
      <c r="E655" s="83"/>
      <c r="J655" s="83"/>
    </row>
    <row r="656" spans="2:10" ht="12.5">
      <c r="B656" s="83"/>
      <c r="C656" s="83"/>
      <c r="D656" s="83"/>
      <c r="E656" s="83"/>
      <c r="J656" s="83"/>
    </row>
    <row r="657" spans="2:10" ht="12.5">
      <c r="B657" s="83"/>
      <c r="C657" s="83"/>
      <c r="D657" s="83"/>
      <c r="E657" s="83"/>
      <c r="J657" s="83"/>
    </row>
    <row r="658" spans="2:10" ht="12.5">
      <c r="B658" s="83"/>
      <c r="C658" s="83"/>
      <c r="D658" s="83"/>
      <c r="E658" s="83"/>
      <c r="J658" s="83"/>
    </row>
    <row r="659" spans="2:10" ht="12.5">
      <c r="B659" s="83"/>
      <c r="C659" s="83"/>
      <c r="D659" s="83"/>
      <c r="E659" s="83"/>
      <c r="J659" s="83"/>
    </row>
    <row r="660" spans="2:10" ht="12.5">
      <c r="B660" s="83"/>
      <c r="C660" s="83"/>
      <c r="D660" s="83"/>
      <c r="E660" s="83"/>
      <c r="J660" s="83"/>
    </row>
    <row r="661" spans="2:10" ht="12.5">
      <c r="B661" s="83"/>
      <c r="C661" s="83"/>
      <c r="D661" s="83"/>
      <c r="E661" s="83"/>
      <c r="J661" s="83"/>
    </row>
    <row r="662" spans="2:10" ht="12.5">
      <c r="B662" s="83"/>
      <c r="C662" s="83"/>
      <c r="D662" s="83"/>
      <c r="E662" s="83"/>
      <c r="J662" s="83"/>
    </row>
    <row r="663" spans="2:10" ht="12.5">
      <c r="B663" s="83"/>
      <c r="C663" s="83"/>
      <c r="D663" s="83"/>
      <c r="E663" s="83"/>
      <c r="J663" s="83"/>
    </row>
    <row r="664" spans="2:10" ht="12.5">
      <c r="B664" s="83"/>
      <c r="C664" s="83"/>
      <c r="D664" s="83"/>
      <c r="E664" s="83"/>
      <c r="J664" s="83"/>
    </row>
    <row r="665" spans="2:10" ht="12.5">
      <c r="B665" s="83"/>
      <c r="C665" s="83"/>
      <c r="D665" s="83"/>
      <c r="E665" s="83"/>
      <c r="J665" s="83"/>
    </row>
    <row r="666" spans="2:10" ht="12.5">
      <c r="B666" s="83"/>
      <c r="C666" s="83"/>
      <c r="D666" s="83"/>
      <c r="E666" s="83"/>
      <c r="J666" s="83"/>
    </row>
    <row r="667" spans="2:10" ht="12.5">
      <c r="B667" s="83"/>
      <c r="C667" s="83"/>
      <c r="D667" s="83"/>
      <c r="E667" s="83"/>
      <c r="J667" s="83"/>
    </row>
    <row r="668" spans="2:10" ht="12.5">
      <c r="B668" s="83"/>
      <c r="C668" s="83"/>
      <c r="D668" s="83"/>
      <c r="E668" s="83"/>
      <c r="J668" s="83"/>
    </row>
    <row r="669" spans="2:10" ht="12.5">
      <c r="B669" s="83"/>
      <c r="C669" s="83"/>
      <c r="D669" s="83"/>
      <c r="E669" s="83"/>
      <c r="J669" s="83"/>
    </row>
    <row r="670" spans="2:10" ht="12.5">
      <c r="B670" s="83"/>
      <c r="C670" s="83"/>
      <c r="D670" s="83"/>
      <c r="E670" s="83"/>
      <c r="J670" s="83"/>
    </row>
    <row r="671" spans="2:10" ht="12.5">
      <c r="B671" s="83"/>
      <c r="C671" s="83"/>
      <c r="D671" s="83"/>
      <c r="E671" s="83"/>
      <c r="J671" s="83"/>
    </row>
    <row r="672" spans="2:10" ht="12.5">
      <c r="B672" s="83"/>
      <c r="C672" s="83"/>
      <c r="D672" s="83"/>
      <c r="E672" s="83"/>
      <c r="J672" s="83"/>
    </row>
    <row r="673" spans="2:10" ht="12.5">
      <c r="B673" s="83"/>
      <c r="C673" s="83"/>
      <c r="D673" s="83"/>
      <c r="E673" s="83"/>
      <c r="J673" s="83"/>
    </row>
    <row r="674" spans="2:10" ht="12.5">
      <c r="B674" s="83"/>
      <c r="C674" s="83"/>
      <c r="D674" s="83"/>
      <c r="E674" s="83"/>
      <c r="J674" s="83"/>
    </row>
    <row r="675" spans="2:10" ht="12.5">
      <c r="B675" s="83"/>
      <c r="C675" s="83"/>
      <c r="D675" s="83"/>
      <c r="E675" s="83"/>
      <c r="J675" s="83"/>
    </row>
    <row r="676" spans="2:10" ht="12.5">
      <c r="B676" s="83"/>
      <c r="C676" s="83"/>
      <c r="D676" s="83"/>
      <c r="E676" s="83"/>
      <c r="J676" s="83"/>
    </row>
    <row r="677" spans="2:10" ht="12.5">
      <c r="B677" s="83"/>
      <c r="C677" s="83"/>
      <c r="D677" s="83"/>
      <c r="E677" s="83"/>
      <c r="J677" s="83"/>
    </row>
    <row r="678" spans="2:10" ht="12.5">
      <c r="B678" s="83"/>
      <c r="C678" s="83"/>
      <c r="D678" s="83"/>
      <c r="E678" s="83"/>
      <c r="J678" s="83"/>
    </row>
    <row r="679" spans="2:10" ht="12.5">
      <c r="B679" s="83"/>
      <c r="C679" s="83"/>
      <c r="D679" s="83"/>
      <c r="E679" s="83"/>
      <c r="J679" s="83"/>
    </row>
    <row r="680" spans="2:10" ht="12.5">
      <c r="B680" s="83"/>
      <c r="C680" s="83"/>
      <c r="D680" s="83"/>
      <c r="E680" s="83"/>
      <c r="J680" s="83"/>
    </row>
    <row r="681" spans="2:10" ht="12.5">
      <c r="B681" s="83"/>
      <c r="C681" s="83"/>
      <c r="D681" s="83"/>
      <c r="E681" s="83"/>
      <c r="J681" s="83"/>
    </row>
    <row r="682" spans="2:10" ht="12.5">
      <c r="B682" s="83"/>
      <c r="C682" s="83"/>
      <c r="D682" s="83"/>
      <c r="E682" s="83"/>
      <c r="J682" s="83"/>
    </row>
    <row r="683" spans="2:10" ht="12.5">
      <c r="B683" s="83"/>
      <c r="C683" s="83"/>
      <c r="D683" s="83"/>
      <c r="E683" s="83"/>
      <c r="J683" s="83"/>
    </row>
    <row r="684" spans="2:10" ht="12.5">
      <c r="B684" s="83"/>
      <c r="C684" s="83"/>
      <c r="D684" s="83"/>
      <c r="E684" s="83"/>
      <c r="J684" s="83"/>
    </row>
    <row r="685" spans="2:10" ht="12.5">
      <c r="B685" s="83"/>
      <c r="C685" s="83"/>
      <c r="D685" s="83"/>
      <c r="E685" s="83"/>
      <c r="J685" s="83"/>
    </row>
    <row r="686" spans="2:10" ht="12.5">
      <c r="B686" s="83"/>
      <c r="C686" s="83"/>
      <c r="D686" s="83"/>
      <c r="E686" s="83"/>
      <c r="J686" s="83"/>
    </row>
    <row r="687" spans="2:10" ht="12.5">
      <c r="B687" s="83"/>
      <c r="C687" s="83"/>
      <c r="D687" s="83"/>
      <c r="E687" s="83"/>
      <c r="J687" s="83"/>
    </row>
    <row r="688" spans="2:10" ht="12.5">
      <c r="B688" s="83"/>
      <c r="C688" s="83"/>
      <c r="D688" s="83"/>
      <c r="E688" s="83"/>
      <c r="J688" s="83"/>
    </row>
    <row r="689" spans="2:10" ht="12.5">
      <c r="B689" s="83"/>
      <c r="C689" s="83"/>
      <c r="D689" s="83"/>
      <c r="E689" s="83"/>
      <c r="J689" s="83"/>
    </row>
    <row r="690" spans="2:10" ht="12.5">
      <c r="B690" s="83"/>
      <c r="C690" s="83"/>
      <c r="D690" s="83"/>
      <c r="E690" s="83"/>
      <c r="J690" s="83"/>
    </row>
    <row r="691" spans="2:10" ht="12.5">
      <c r="B691" s="83"/>
      <c r="C691" s="83"/>
      <c r="D691" s="83"/>
      <c r="E691" s="83"/>
      <c r="J691" s="83"/>
    </row>
    <row r="692" spans="2:10" ht="12.5">
      <c r="B692" s="83"/>
      <c r="C692" s="83"/>
      <c r="D692" s="83"/>
      <c r="E692" s="83"/>
      <c r="J692" s="83"/>
    </row>
    <row r="693" spans="2:10" ht="12.5">
      <c r="B693" s="83"/>
      <c r="C693" s="83"/>
      <c r="D693" s="83"/>
      <c r="E693" s="83"/>
      <c r="J693" s="83"/>
    </row>
    <row r="694" spans="2:10" ht="12.5">
      <c r="B694" s="83"/>
      <c r="C694" s="83"/>
      <c r="D694" s="83"/>
      <c r="E694" s="83"/>
      <c r="J694" s="83"/>
    </row>
    <row r="695" spans="2:10" ht="12.5">
      <c r="B695" s="83"/>
      <c r="C695" s="83"/>
      <c r="D695" s="83"/>
      <c r="E695" s="83"/>
      <c r="J695" s="83"/>
    </row>
    <row r="696" spans="2:10" ht="12.5">
      <c r="B696" s="83"/>
      <c r="C696" s="83"/>
      <c r="D696" s="83"/>
      <c r="E696" s="83"/>
      <c r="J696" s="83"/>
    </row>
    <row r="697" spans="2:10" ht="12.5">
      <c r="B697" s="83"/>
      <c r="C697" s="83"/>
      <c r="D697" s="83"/>
      <c r="E697" s="83"/>
      <c r="J697" s="83"/>
    </row>
    <row r="698" spans="2:10" ht="12.5">
      <c r="B698" s="83"/>
      <c r="C698" s="83"/>
      <c r="D698" s="83"/>
      <c r="E698" s="83"/>
      <c r="J698" s="83"/>
    </row>
    <row r="699" spans="2:10" ht="12.5">
      <c r="B699" s="83"/>
      <c r="C699" s="83"/>
      <c r="D699" s="83"/>
      <c r="E699" s="83"/>
      <c r="J699" s="83"/>
    </row>
    <row r="700" spans="2:10" ht="12.5">
      <c r="B700" s="83"/>
      <c r="C700" s="83"/>
      <c r="D700" s="83"/>
      <c r="E700" s="83"/>
      <c r="J700" s="83"/>
    </row>
    <row r="701" spans="2:10" ht="12.5">
      <c r="B701" s="83"/>
      <c r="C701" s="83"/>
      <c r="D701" s="83"/>
      <c r="E701" s="83"/>
      <c r="J701" s="83"/>
    </row>
    <row r="702" spans="2:10" ht="12.5">
      <c r="B702" s="83"/>
      <c r="C702" s="83"/>
      <c r="D702" s="83"/>
      <c r="E702" s="83"/>
      <c r="J702" s="83"/>
    </row>
    <row r="703" spans="2:10" ht="12.5">
      <c r="B703" s="83"/>
      <c r="C703" s="83"/>
      <c r="D703" s="83"/>
      <c r="E703" s="83"/>
      <c r="J703" s="83"/>
    </row>
    <row r="704" spans="2:10" ht="12.5">
      <c r="B704" s="83"/>
      <c r="C704" s="83"/>
      <c r="D704" s="83"/>
      <c r="E704" s="83"/>
      <c r="J704" s="83"/>
    </row>
    <row r="705" spans="2:10" ht="12.5">
      <c r="B705" s="83"/>
      <c r="C705" s="83"/>
      <c r="D705" s="83"/>
      <c r="E705" s="83"/>
      <c r="J705" s="83"/>
    </row>
    <row r="706" spans="2:10" ht="12.5">
      <c r="B706" s="83"/>
      <c r="C706" s="83"/>
      <c r="D706" s="83"/>
      <c r="E706" s="83"/>
      <c r="J706" s="83"/>
    </row>
    <row r="707" spans="2:10" ht="12.5">
      <c r="B707" s="83"/>
      <c r="C707" s="83"/>
      <c r="D707" s="83"/>
      <c r="E707" s="83"/>
      <c r="J707" s="83"/>
    </row>
    <row r="708" spans="2:10" ht="12.5">
      <c r="B708" s="83"/>
      <c r="C708" s="83"/>
      <c r="D708" s="83"/>
      <c r="E708" s="83"/>
      <c r="J708" s="83"/>
    </row>
    <row r="709" spans="2:10" ht="12.5">
      <c r="B709" s="83"/>
      <c r="C709" s="83"/>
      <c r="D709" s="83"/>
      <c r="E709" s="83"/>
      <c r="J709" s="83"/>
    </row>
    <row r="710" spans="2:10" ht="12.5">
      <c r="B710" s="83"/>
      <c r="C710" s="83"/>
      <c r="D710" s="83"/>
      <c r="E710" s="83"/>
      <c r="J710" s="83"/>
    </row>
    <row r="711" spans="2:10" ht="12.5">
      <c r="B711" s="83"/>
      <c r="C711" s="83"/>
      <c r="D711" s="83"/>
      <c r="E711" s="83"/>
      <c r="J711" s="83"/>
    </row>
    <row r="712" spans="2:10" ht="12.5">
      <c r="B712" s="83"/>
      <c r="C712" s="83"/>
      <c r="D712" s="83"/>
      <c r="E712" s="83"/>
      <c r="J712" s="83"/>
    </row>
    <row r="713" spans="2:10" ht="12.5">
      <c r="B713" s="83"/>
      <c r="C713" s="83"/>
      <c r="D713" s="83"/>
      <c r="E713" s="83"/>
      <c r="J713" s="83"/>
    </row>
    <row r="714" spans="2:10" ht="12.5">
      <c r="B714" s="83"/>
      <c r="C714" s="83"/>
      <c r="D714" s="83"/>
      <c r="E714" s="83"/>
      <c r="J714" s="83"/>
    </row>
    <row r="715" spans="2:10" ht="12.5">
      <c r="B715" s="83"/>
      <c r="C715" s="83"/>
      <c r="D715" s="83"/>
      <c r="E715" s="83"/>
      <c r="J715" s="83"/>
    </row>
    <row r="716" spans="2:10" ht="12.5">
      <c r="B716" s="83"/>
      <c r="C716" s="83"/>
      <c r="D716" s="83"/>
      <c r="E716" s="83"/>
      <c r="J716" s="83"/>
    </row>
    <row r="717" spans="2:10" ht="12.5">
      <c r="B717" s="83"/>
      <c r="C717" s="83"/>
      <c r="D717" s="83"/>
      <c r="E717" s="83"/>
      <c r="J717" s="83"/>
    </row>
    <row r="718" spans="2:10" ht="12.5">
      <c r="B718" s="83"/>
      <c r="C718" s="83"/>
      <c r="D718" s="83"/>
      <c r="E718" s="83"/>
      <c r="J718" s="83"/>
    </row>
    <row r="719" spans="2:10" ht="12.5">
      <c r="B719" s="83"/>
      <c r="C719" s="83"/>
      <c r="D719" s="83"/>
      <c r="E719" s="83"/>
      <c r="J719" s="83"/>
    </row>
    <row r="720" spans="2:10" ht="12.5">
      <c r="B720" s="83"/>
      <c r="C720" s="83"/>
      <c r="D720" s="83"/>
      <c r="E720" s="83"/>
      <c r="J720" s="83"/>
    </row>
    <row r="721" spans="2:10" ht="12.5">
      <c r="B721" s="83"/>
      <c r="C721" s="83"/>
      <c r="D721" s="83"/>
      <c r="E721" s="83"/>
      <c r="J721" s="83"/>
    </row>
    <row r="722" spans="2:10" ht="12.5">
      <c r="B722" s="83"/>
      <c r="C722" s="83"/>
      <c r="D722" s="83"/>
      <c r="E722" s="83"/>
      <c r="J722" s="83"/>
    </row>
    <row r="723" spans="2:10" ht="12.5">
      <c r="B723" s="83"/>
      <c r="C723" s="83"/>
      <c r="D723" s="83"/>
      <c r="E723" s="83"/>
      <c r="J723" s="83"/>
    </row>
    <row r="724" spans="2:10" ht="12.5">
      <c r="B724" s="83"/>
      <c r="C724" s="83"/>
      <c r="D724" s="83"/>
      <c r="E724" s="83"/>
      <c r="J724" s="83"/>
    </row>
    <row r="725" spans="2:10" ht="12.5">
      <c r="B725" s="83"/>
      <c r="C725" s="83"/>
      <c r="D725" s="83"/>
      <c r="E725" s="83"/>
      <c r="J725" s="83"/>
    </row>
    <row r="726" spans="2:10" ht="12.5">
      <c r="B726" s="83"/>
      <c r="C726" s="83"/>
      <c r="D726" s="83"/>
      <c r="E726" s="83"/>
      <c r="J726" s="83"/>
    </row>
    <row r="727" spans="2:10" ht="12.5">
      <c r="B727" s="83"/>
      <c r="C727" s="83"/>
      <c r="D727" s="83"/>
      <c r="E727" s="83"/>
      <c r="J727" s="83"/>
    </row>
    <row r="728" spans="2:10" ht="12.5">
      <c r="B728" s="83"/>
      <c r="C728" s="83"/>
      <c r="D728" s="83"/>
      <c r="E728" s="83"/>
      <c r="J728" s="83"/>
    </row>
    <row r="729" spans="2:10" ht="12.5">
      <c r="B729" s="83"/>
      <c r="C729" s="83"/>
      <c r="D729" s="83"/>
      <c r="E729" s="83"/>
      <c r="J729" s="83"/>
    </row>
    <row r="730" spans="2:10" ht="12.5">
      <c r="B730" s="83"/>
      <c r="C730" s="83"/>
      <c r="D730" s="83"/>
      <c r="E730" s="83"/>
      <c r="J730" s="83"/>
    </row>
    <row r="731" spans="2:10" ht="12.5">
      <c r="B731" s="83"/>
      <c r="C731" s="83"/>
      <c r="D731" s="83"/>
      <c r="E731" s="83"/>
      <c r="J731" s="83"/>
    </row>
    <row r="732" spans="2:10" ht="12.5">
      <c r="B732" s="83"/>
      <c r="C732" s="83"/>
      <c r="D732" s="83"/>
      <c r="E732" s="83"/>
      <c r="J732" s="83"/>
    </row>
    <row r="733" spans="2:10" ht="12.5">
      <c r="B733" s="83"/>
      <c r="C733" s="83"/>
      <c r="D733" s="83"/>
      <c r="E733" s="83"/>
      <c r="J733" s="83"/>
    </row>
    <row r="734" spans="2:10" ht="12.5">
      <c r="B734" s="83"/>
      <c r="C734" s="83"/>
      <c r="D734" s="83"/>
      <c r="E734" s="83"/>
      <c r="J734" s="83"/>
    </row>
    <row r="735" spans="2:10" ht="12.5">
      <c r="B735" s="83"/>
      <c r="C735" s="83"/>
      <c r="D735" s="83"/>
      <c r="E735" s="83"/>
      <c r="J735" s="83"/>
    </row>
    <row r="736" spans="2:10" ht="12.5">
      <c r="B736" s="83"/>
      <c r="C736" s="83"/>
      <c r="D736" s="83"/>
      <c r="E736" s="83"/>
      <c r="J736" s="83"/>
    </row>
    <row r="737" spans="2:10" ht="12.5">
      <c r="B737" s="83"/>
      <c r="C737" s="83"/>
      <c r="D737" s="83"/>
      <c r="E737" s="83"/>
      <c r="J737" s="83"/>
    </row>
    <row r="738" spans="2:10" ht="12.5">
      <c r="B738" s="83"/>
      <c r="C738" s="83"/>
      <c r="D738" s="83"/>
      <c r="E738" s="83"/>
      <c r="J738" s="83"/>
    </row>
    <row r="739" spans="2:10" ht="12.5">
      <c r="B739" s="83"/>
      <c r="C739" s="83"/>
      <c r="D739" s="83"/>
      <c r="E739" s="83"/>
      <c r="J739" s="83"/>
    </row>
    <row r="740" spans="2:10" ht="12.5">
      <c r="B740" s="83"/>
      <c r="C740" s="83"/>
      <c r="D740" s="83"/>
      <c r="E740" s="83"/>
      <c r="J740" s="83"/>
    </row>
    <row r="741" spans="2:10" ht="12.5">
      <c r="B741" s="83"/>
      <c r="C741" s="83"/>
      <c r="D741" s="83"/>
      <c r="E741" s="83"/>
      <c r="J741" s="83"/>
    </row>
    <row r="742" spans="2:10" ht="12.5">
      <c r="B742" s="83"/>
      <c r="C742" s="83"/>
      <c r="D742" s="83"/>
      <c r="E742" s="83"/>
      <c r="J742" s="83"/>
    </row>
    <row r="743" spans="2:10" ht="12.5">
      <c r="B743" s="83"/>
      <c r="C743" s="83"/>
      <c r="D743" s="83"/>
      <c r="E743" s="83"/>
      <c r="J743" s="83"/>
    </row>
    <row r="744" spans="2:10" ht="12.5">
      <c r="B744" s="83"/>
      <c r="C744" s="83"/>
      <c r="D744" s="83"/>
      <c r="E744" s="83"/>
      <c r="J744" s="83"/>
    </row>
    <row r="745" spans="2:10" ht="12.5">
      <c r="B745" s="83"/>
      <c r="C745" s="83"/>
      <c r="D745" s="83"/>
      <c r="E745" s="83"/>
      <c r="J745" s="83"/>
    </row>
    <row r="746" spans="2:10" ht="12.5">
      <c r="B746" s="83"/>
      <c r="C746" s="83"/>
      <c r="D746" s="83"/>
      <c r="E746" s="83"/>
      <c r="J746" s="83"/>
    </row>
    <row r="747" spans="2:10" ht="12.5">
      <c r="B747" s="83"/>
      <c r="C747" s="83"/>
      <c r="D747" s="83"/>
      <c r="E747" s="83"/>
      <c r="J747" s="83"/>
    </row>
    <row r="748" spans="2:10" ht="12.5">
      <c r="B748" s="83"/>
      <c r="C748" s="83"/>
      <c r="D748" s="83"/>
      <c r="E748" s="83"/>
      <c r="J748" s="83"/>
    </row>
    <row r="749" spans="2:10" ht="12.5">
      <c r="B749" s="83"/>
      <c r="C749" s="83"/>
      <c r="D749" s="83"/>
      <c r="E749" s="83"/>
      <c r="J749" s="83"/>
    </row>
    <row r="750" spans="2:10" ht="12.5">
      <c r="B750" s="83"/>
      <c r="C750" s="83"/>
      <c r="D750" s="83"/>
      <c r="E750" s="83"/>
      <c r="J750" s="83"/>
    </row>
    <row r="751" spans="2:10" ht="12.5">
      <c r="B751" s="83"/>
      <c r="C751" s="83"/>
      <c r="D751" s="83"/>
      <c r="E751" s="83"/>
      <c r="J751" s="83"/>
    </row>
    <row r="752" spans="2:10" ht="12.5">
      <c r="B752" s="83"/>
      <c r="C752" s="83"/>
      <c r="D752" s="83"/>
      <c r="E752" s="83"/>
      <c r="J752" s="83"/>
    </row>
    <row r="753" spans="2:10" ht="12.5">
      <c r="B753" s="83"/>
      <c r="C753" s="83"/>
      <c r="D753" s="83"/>
      <c r="E753" s="83"/>
      <c r="J753" s="83"/>
    </row>
    <row r="754" spans="2:10" ht="12.5">
      <c r="B754" s="83"/>
      <c r="C754" s="83"/>
      <c r="D754" s="83"/>
      <c r="E754" s="83"/>
      <c r="J754" s="83"/>
    </row>
    <row r="755" spans="2:10" ht="12.5">
      <c r="B755" s="83"/>
      <c r="C755" s="83"/>
      <c r="D755" s="83"/>
      <c r="E755" s="83"/>
      <c r="J755" s="83"/>
    </row>
    <row r="756" spans="2:10" ht="12.5">
      <c r="B756" s="83"/>
      <c r="C756" s="83"/>
      <c r="D756" s="83"/>
      <c r="E756" s="83"/>
      <c r="J756" s="83"/>
    </row>
    <row r="757" spans="2:10" ht="12.5">
      <c r="B757" s="83"/>
      <c r="C757" s="83"/>
      <c r="D757" s="83"/>
      <c r="E757" s="83"/>
      <c r="J757" s="83"/>
    </row>
    <row r="758" spans="2:10" ht="12.5">
      <c r="B758" s="83"/>
      <c r="C758" s="83"/>
      <c r="D758" s="83"/>
      <c r="E758" s="83"/>
      <c r="J758" s="83"/>
    </row>
    <row r="759" spans="2:10" ht="12.5">
      <c r="B759" s="83"/>
      <c r="C759" s="83"/>
      <c r="D759" s="83"/>
      <c r="E759" s="83"/>
      <c r="J759" s="83"/>
    </row>
    <row r="760" spans="2:10" ht="12.5">
      <c r="B760" s="83"/>
      <c r="C760" s="83"/>
      <c r="D760" s="83"/>
      <c r="E760" s="83"/>
      <c r="J760" s="83"/>
    </row>
    <row r="761" spans="2:10" ht="12.5">
      <c r="B761" s="83"/>
      <c r="C761" s="83"/>
      <c r="D761" s="83"/>
      <c r="E761" s="83"/>
      <c r="J761" s="83"/>
    </row>
    <row r="762" spans="2:10" ht="12.5">
      <c r="B762" s="83"/>
      <c r="C762" s="83"/>
      <c r="D762" s="83"/>
      <c r="E762" s="83"/>
      <c r="J762" s="83"/>
    </row>
    <row r="763" spans="2:10" ht="12.5">
      <c r="B763" s="83"/>
      <c r="C763" s="83"/>
      <c r="D763" s="83"/>
      <c r="E763" s="83"/>
      <c r="J763" s="83"/>
    </row>
    <row r="764" spans="2:10" ht="12.5">
      <c r="B764" s="83"/>
      <c r="C764" s="83"/>
      <c r="D764" s="83"/>
      <c r="E764" s="83"/>
      <c r="J764" s="83"/>
    </row>
    <row r="765" spans="2:10" ht="12.5">
      <c r="B765" s="83"/>
      <c r="C765" s="83"/>
      <c r="D765" s="83"/>
      <c r="E765" s="83"/>
      <c r="J765" s="83"/>
    </row>
    <row r="766" spans="2:10" ht="12.5">
      <c r="B766" s="83"/>
      <c r="C766" s="83"/>
      <c r="D766" s="83"/>
      <c r="E766" s="83"/>
      <c r="J766" s="83"/>
    </row>
    <row r="767" spans="2:10" ht="12.5">
      <c r="B767" s="83"/>
      <c r="C767" s="83"/>
      <c r="D767" s="83"/>
      <c r="E767" s="83"/>
      <c r="J767" s="83"/>
    </row>
    <row r="768" spans="2:10" ht="12.5">
      <c r="B768" s="83"/>
      <c r="C768" s="83"/>
      <c r="D768" s="83"/>
      <c r="E768" s="83"/>
      <c r="J768" s="83"/>
    </row>
    <row r="769" spans="2:10" ht="12.5">
      <c r="B769" s="83"/>
      <c r="C769" s="83"/>
      <c r="D769" s="83"/>
      <c r="E769" s="83"/>
      <c r="J769" s="83"/>
    </row>
    <row r="770" spans="2:10" ht="12.5">
      <c r="B770" s="83"/>
      <c r="C770" s="83"/>
      <c r="D770" s="83"/>
      <c r="E770" s="83"/>
      <c r="J770" s="83"/>
    </row>
    <row r="771" spans="2:10" ht="12.5">
      <c r="B771" s="83"/>
      <c r="C771" s="83"/>
      <c r="D771" s="83"/>
      <c r="E771" s="83"/>
      <c r="J771" s="83"/>
    </row>
    <row r="772" spans="2:10" ht="12.5">
      <c r="B772" s="83"/>
      <c r="C772" s="83"/>
      <c r="D772" s="83"/>
      <c r="E772" s="83"/>
      <c r="J772" s="83"/>
    </row>
    <row r="773" spans="2:10" ht="12.5">
      <c r="B773" s="83"/>
      <c r="C773" s="83"/>
      <c r="D773" s="83"/>
      <c r="E773" s="83"/>
      <c r="J773" s="83"/>
    </row>
    <row r="774" spans="2:10" ht="12.5">
      <c r="B774" s="83"/>
      <c r="C774" s="83"/>
      <c r="D774" s="83"/>
      <c r="E774" s="83"/>
      <c r="J774" s="83"/>
    </row>
    <row r="775" spans="2:10" ht="12.5">
      <c r="B775" s="83"/>
      <c r="C775" s="83"/>
      <c r="D775" s="83"/>
      <c r="E775" s="83"/>
      <c r="J775" s="83"/>
    </row>
    <row r="776" spans="2:10" ht="12.5">
      <c r="B776" s="83"/>
      <c r="C776" s="83"/>
      <c r="D776" s="83"/>
      <c r="E776" s="83"/>
      <c r="J776" s="83"/>
    </row>
    <row r="777" spans="2:10" ht="12.5">
      <c r="B777" s="83"/>
      <c r="C777" s="83"/>
      <c r="D777" s="83"/>
      <c r="E777" s="83"/>
      <c r="J777" s="83"/>
    </row>
    <row r="778" spans="2:10" ht="12.5">
      <c r="B778" s="83"/>
      <c r="C778" s="83"/>
      <c r="D778" s="83"/>
      <c r="E778" s="83"/>
      <c r="J778" s="83"/>
    </row>
    <row r="779" spans="2:10" ht="12.5">
      <c r="B779" s="83"/>
      <c r="C779" s="83"/>
      <c r="D779" s="83"/>
      <c r="E779" s="83"/>
      <c r="J779" s="83"/>
    </row>
    <row r="780" spans="2:10" ht="12.5">
      <c r="B780" s="83"/>
      <c r="C780" s="83"/>
      <c r="D780" s="83"/>
      <c r="E780" s="83"/>
      <c r="J780" s="83"/>
    </row>
    <row r="781" spans="2:10" ht="12.5">
      <c r="B781" s="83"/>
      <c r="C781" s="83"/>
      <c r="D781" s="83"/>
      <c r="E781" s="83"/>
      <c r="J781" s="83"/>
    </row>
    <row r="782" spans="2:10" ht="12.5">
      <c r="B782" s="83"/>
      <c r="C782" s="83"/>
      <c r="D782" s="83"/>
      <c r="E782" s="83"/>
      <c r="J782" s="83"/>
    </row>
    <row r="783" spans="2:10" ht="12.5">
      <c r="B783" s="83"/>
      <c r="C783" s="83"/>
      <c r="D783" s="83"/>
      <c r="E783" s="83"/>
      <c r="J783" s="83"/>
    </row>
    <row r="784" spans="2:10" ht="12.5">
      <c r="B784" s="83"/>
      <c r="C784" s="83"/>
      <c r="D784" s="83"/>
      <c r="E784" s="83"/>
      <c r="J784" s="83"/>
    </row>
    <row r="785" spans="2:10" ht="12.5">
      <c r="B785" s="83"/>
      <c r="C785" s="83"/>
      <c r="D785" s="83"/>
      <c r="E785" s="83"/>
      <c r="J785" s="83"/>
    </row>
    <row r="786" spans="2:10" ht="12.5">
      <c r="B786" s="83"/>
      <c r="C786" s="83"/>
      <c r="D786" s="83"/>
      <c r="E786" s="83"/>
      <c r="J786" s="83"/>
    </row>
    <row r="787" spans="2:10" ht="12.5">
      <c r="B787" s="83"/>
      <c r="C787" s="83"/>
      <c r="D787" s="83"/>
      <c r="E787" s="83"/>
      <c r="J787" s="83"/>
    </row>
    <row r="788" spans="2:10" ht="12.5">
      <c r="B788" s="83"/>
      <c r="C788" s="83"/>
      <c r="D788" s="83"/>
      <c r="E788" s="83"/>
      <c r="J788" s="83"/>
    </row>
    <row r="789" spans="2:10" ht="12.5">
      <c r="B789" s="83"/>
      <c r="C789" s="83"/>
      <c r="D789" s="83"/>
      <c r="E789" s="83"/>
      <c r="J789" s="83"/>
    </row>
    <row r="790" spans="2:10" ht="12.5">
      <c r="B790" s="83"/>
      <c r="C790" s="83"/>
      <c r="D790" s="83"/>
      <c r="E790" s="83"/>
      <c r="J790" s="83"/>
    </row>
    <row r="791" spans="2:10" ht="12.5">
      <c r="B791" s="83"/>
      <c r="C791" s="83"/>
      <c r="D791" s="83"/>
      <c r="E791" s="83"/>
      <c r="J791" s="83"/>
    </row>
    <row r="792" spans="2:10" ht="12.5">
      <c r="B792" s="83"/>
      <c r="C792" s="83"/>
      <c r="D792" s="83"/>
      <c r="E792" s="83"/>
      <c r="J792" s="83"/>
    </row>
    <row r="793" spans="2:10" ht="12.5">
      <c r="B793" s="83"/>
      <c r="C793" s="83"/>
      <c r="D793" s="83"/>
      <c r="E793" s="83"/>
      <c r="J793" s="83"/>
    </row>
    <row r="794" spans="2:10" ht="12.5">
      <c r="B794" s="83"/>
      <c r="C794" s="83"/>
      <c r="D794" s="83"/>
      <c r="E794" s="83"/>
      <c r="J794" s="83"/>
    </row>
    <row r="795" spans="2:10" ht="12.5">
      <c r="B795" s="83"/>
      <c r="C795" s="83"/>
      <c r="D795" s="83"/>
      <c r="E795" s="83"/>
      <c r="J795" s="83"/>
    </row>
    <row r="796" spans="2:10" ht="12.5">
      <c r="B796" s="83"/>
      <c r="C796" s="83"/>
      <c r="D796" s="83"/>
      <c r="E796" s="83"/>
      <c r="J796" s="83"/>
    </row>
    <row r="797" spans="2:10" ht="12.5">
      <c r="B797" s="83"/>
      <c r="C797" s="83"/>
      <c r="D797" s="83"/>
      <c r="E797" s="83"/>
      <c r="J797" s="83"/>
    </row>
    <row r="798" spans="2:10" ht="12.5">
      <c r="B798" s="83"/>
      <c r="C798" s="83"/>
      <c r="D798" s="83"/>
      <c r="E798" s="83"/>
      <c r="J798" s="83"/>
    </row>
    <row r="799" spans="2:10" ht="12.5">
      <c r="B799" s="83"/>
      <c r="C799" s="83"/>
      <c r="D799" s="83"/>
      <c r="E799" s="83"/>
      <c r="J799" s="83"/>
    </row>
    <row r="800" spans="2:10" ht="12.5">
      <c r="B800" s="83"/>
      <c r="C800" s="83"/>
      <c r="D800" s="83"/>
      <c r="E800" s="83"/>
      <c r="J800" s="83"/>
    </row>
    <row r="801" spans="2:10" ht="12.5">
      <c r="B801" s="83"/>
      <c r="C801" s="83"/>
      <c r="D801" s="83"/>
      <c r="E801" s="83"/>
      <c r="J801" s="83"/>
    </row>
    <row r="802" spans="2:10" ht="12.5">
      <c r="B802" s="83"/>
      <c r="C802" s="83"/>
      <c r="D802" s="83"/>
      <c r="E802" s="83"/>
      <c r="J802" s="83"/>
    </row>
    <row r="803" spans="2:10" ht="12.5">
      <c r="B803" s="83"/>
      <c r="C803" s="83"/>
      <c r="D803" s="83"/>
      <c r="E803" s="83"/>
      <c r="J803" s="83"/>
    </row>
    <row r="804" spans="2:10" ht="12.5">
      <c r="B804" s="83"/>
      <c r="C804" s="83"/>
      <c r="D804" s="83"/>
      <c r="E804" s="83"/>
      <c r="J804" s="83"/>
    </row>
    <row r="805" spans="2:10" ht="12.5">
      <c r="B805" s="83"/>
      <c r="C805" s="83"/>
      <c r="D805" s="83"/>
      <c r="E805" s="83"/>
      <c r="J805" s="83"/>
    </row>
    <row r="806" spans="2:10" ht="12.5">
      <c r="B806" s="83"/>
      <c r="C806" s="83"/>
      <c r="D806" s="83"/>
      <c r="E806" s="83"/>
      <c r="J806" s="83"/>
    </row>
    <row r="807" spans="2:10" ht="12.5">
      <c r="B807" s="83"/>
      <c r="C807" s="83"/>
      <c r="D807" s="83"/>
      <c r="E807" s="83"/>
      <c r="J807" s="83"/>
    </row>
    <row r="808" spans="2:10" ht="12.5">
      <c r="B808" s="83"/>
      <c r="C808" s="83"/>
      <c r="D808" s="83"/>
      <c r="E808" s="83"/>
      <c r="J808" s="83"/>
    </row>
    <row r="809" spans="2:10" ht="12.5">
      <c r="B809" s="83"/>
      <c r="C809" s="83"/>
      <c r="D809" s="83"/>
      <c r="E809" s="83"/>
      <c r="J809" s="83"/>
    </row>
    <row r="810" spans="2:10" ht="12.5">
      <c r="B810" s="83"/>
      <c r="C810" s="83"/>
      <c r="D810" s="83"/>
      <c r="E810" s="83"/>
      <c r="J810" s="83"/>
    </row>
    <row r="811" spans="2:10" ht="12.5">
      <c r="B811" s="83"/>
      <c r="C811" s="83"/>
      <c r="D811" s="83"/>
      <c r="E811" s="83"/>
      <c r="J811" s="83"/>
    </row>
    <row r="812" spans="2:10" ht="12.5">
      <c r="B812" s="83"/>
      <c r="C812" s="83"/>
      <c r="D812" s="83"/>
      <c r="E812" s="83"/>
      <c r="J812" s="83"/>
    </row>
    <row r="813" spans="2:10" ht="12.5">
      <c r="B813" s="83"/>
      <c r="C813" s="83"/>
      <c r="D813" s="83"/>
      <c r="E813" s="83"/>
      <c r="J813" s="83"/>
    </row>
    <row r="814" spans="2:10" ht="12.5">
      <c r="B814" s="83"/>
      <c r="C814" s="83"/>
      <c r="D814" s="83"/>
      <c r="E814" s="83"/>
      <c r="J814" s="83"/>
    </row>
    <row r="815" spans="2:10" ht="12.5">
      <c r="B815" s="83"/>
      <c r="C815" s="83"/>
      <c r="D815" s="83"/>
      <c r="E815" s="83"/>
      <c r="J815" s="83"/>
    </row>
    <row r="816" spans="2:10" ht="12.5">
      <c r="B816" s="83"/>
      <c r="C816" s="83"/>
      <c r="D816" s="83"/>
      <c r="E816" s="83"/>
      <c r="J816" s="83"/>
    </row>
    <row r="817" spans="2:10" ht="12.5">
      <c r="B817" s="83"/>
      <c r="C817" s="83"/>
      <c r="D817" s="83"/>
      <c r="E817" s="83"/>
      <c r="J817" s="83"/>
    </row>
    <row r="818" spans="2:10" ht="12.5">
      <c r="B818" s="83"/>
      <c r="C818" s="83"/>
      <c r="D818" s="83"/>
      <c r="E818" s="83"/>
      <c r="J818" s="83"/>
    </row>
    <row r="819" spans="2:10" ht="12.5">
      <c r="B819" s="83"/>
      <c r="C819" s="83"/>
      <c r="D819" s="83"/>
      <c r="E819" s="83"/>
      <c r="J819" s="83"/>
    </row>
    <row r="820" spans="2:10" ht="12.5">
      <c r="B820" s="83"/>
      <c r="C820" s="83"/>
      <c r="D820" s="83"/>
      <c r="E820" s="83"/>
      <c r="J820" s="83"/>
    </row>
    <row r="821" spans="2:10" ht="12.5">
      <c r="B821" s="83"/>
      <c r="C821" s="83"/>
      <c r="D821" s="83"/>
      <c r="E821" s="83"/>
      <c r="J821" s="83"/>
    </row>
    <row r="822" spans="2:10" ht="12.5">
      <c r="B822" s="83"/>
      <c r="C822" s="83"/>
      <c r="D822" s="83"/>
      <c r="E822" s="83"/>
      <c r="J822" s="83"/>
    </row>
    <row r="823" spans="2:10" ht="12.5">
      <c r="B823" s="83"/>
      <c r="C823" s="83"/>
      <c r="D823" s="83"/>
      <c r="E823" s="83"/>
      <c r="J823" s="83"/>
    </row>
    <row r="824" spans="2:10" ht="12.5">
      <c r="B824" s="83"/>
      <c r="C824" s="83"/>
      <c r="D824" s="83"/>
      <c r="E824" s="83"/>
      <c r="J824" s="83"/>
    </row>
    <row r="825" spans="2:10" ht="12.5">
      <c r="B825" s="83"/>
      <c r="C825" s="83"/>
      <c r="D825" s="83"/>
      <c r="E825" s="83"/>
      <c r="J825" s="83"/>
    </row>
    <row r="826" spans="2:10" ht="12.5">
      <c r="B826" s="83"/>
      <c r="C826" s="83"/>
      <c r="D826" s="83"/>
      <c r="E826" s="83"/>
      <c r="J826" s="83"/>
    </row>
    <row r="827" spans="2:10" ht="12.5">
      <c r="B827" s="83"/>
      <c r="C827" s="83"/>
      <c r="D827" s="83"/>
      <c r="E827" s="83"/>
      <c r="J827" s="83"/>
    </row>
    <row r="828" spans="2:10" ht="12.5">
      <c r="B828" s="83"/>
      <c r="C828" s="83"/>
      <c r="D828" s="83"/>
      <c r="E828" s="83"/>
      <c r="J828" s="83"/>
    </row>
    <row r="829" spans="2:10" ht="12.5">
      <c r="B829" s="83"/>
      <c r="C829" s="83"/>
      <c r="D829" s="83"/>
      <c r="E829" s="83"/>
      <c r="J829" s="83"/>
    </row>
    <row r="830" spans="2:10" ht="12.5">
      <c r="B830" s="83"/>
      <c r="C830" s="83"/>
      <c r="D830" s="83"/>
      <c r="E830" s="83"/>
      <c r="J830" s="83"/>
    </row>
    <row r="831" spans="2:10" ht="12.5">
      <c r="B831" s="83"/>
      <c r="C831" s="83"/>
      <c r="D831" s="83"/>
      <c r="E831" s="83"/>
      <c r="J831" s="83"/>
    </row>
    <row r="832" spans="2:10" ht="12.5">
      <c r="B832" s="83"/>
      <c r="C832" s="83"/>
      <c r="D832" s="83"/>
      <c r="E832" s="83"/>
      <c r="J832" s="83"/>
    </row>
    <row r="833" spans="2:10" ht="12.5">
      <c r="B833" s="83"/>
      <c r="C833" s="83"/>
      <c r="D833" s="83"/>
      <c r="E833" s="83"/>
      <c r="J833" s="83"/>
    </row>
    <row r="834" spans="2:10" ht="12.5">
      <c r="B834" s="83"/>
      <c r="C834" s="83"/>
      <c r="D834" s="83"/>
      <c r="E834" s="83"/>
      <c r="J834" s="83"/>
    </row>
    <row r="835" spans="2:10" ht="12.5">
      <c r="B835" s="83"/>
      <c r="C835" s="83"/>
      <c r="D835" s="83"/>
      <c r="E835" s="83"/>
      <c r="J835" s="83"/>
    </row>
    <row r="836" spans="2:10" ht="12.5">
      <c r="B836" s="83"/>
      <c r="C836" s="83"/>
      <c r="D836" s="83"/>
      <c r="E836" s="83"/>
      <c r="J836" s="83"/>
    </row>
    <row r="837" spans="2:10" ht="12.5">
      <c r="B837" s="83"/>
      <c r="C837" s="83"/>
      <c r="D837" s="83"/>
      <c r="E837" s="83"/>
      <c r="J837" s="83"/>
    </row>
    <row r="838" spans="2:10" ht="12.5">
      <c r="B838" s="83"/>
      <c r="C838" s="83"/>
      <c r="D838" s="83"/>
      <c r="E838" s="83"/>
      <c r="J838" s="83"/>
    </row>
    <row r="839" spans="2:10" ht="12.5">
      <c r="B839" s="83"/>
      <c r="C839" s="83"/>
      <c r="D839" s="83"/>
      <c r="E839" s="83"/>
      <c r="J839" s="83"/>
    </row>
    <row r="840" spans="2:10" ht="12.5">
      <c r="B840" s="83"/>
      <c r="C840" s="83"/>
      <c r="D840" s="83"/>
      <c r="E840" s="83"/>
      <c r="J840" s="83"/>
    </row>
    <row r="841" spans="2:10" ht="12.5">
      <c r="B841" s="83"/>
      <c r="C841" s="83"/>
      <c r="D841" s="83"/>
      <c r="E841" s="83"/>
      <c r="J841" s="83"/>
    </row>
    <row r="842" spans="2:10" ht="12.5">
      <c r="B842" s="83"/>
      <c r="C842" s="83"/>
      <c r="D842" s="83"/>
      <c r="E842" s="83"/>
      <c r="J842" s="83"/>
    </row>
    <row r="843" spans="2:10" ht="12.5">
      <c r="B843" s="83"/>
      <c r="C843" s="83"/>
      <c r="D843" s="83"/>
      <c r="E843" s="83"/>
      <c r="J843" s="83"/>
    </row>
    <row r="844" spans="2:10" ht="12.5">
      <c r="B844" s="83"/>
      <c r="C844" s="83"/>
      <c r="D844" s="83"/>
      <c r="E844" s="83"/>
      <c r="J844" s="83"/>
    </row>
    <row r="845" spans="2:10" ht="12.5">
      <c r="B845" s="83"/>
      <c r="C845" s="83"/>
      <c r="D845" s="83"/>
      <c r="E845" s="83"/>
      <c r="J845" s="83"/>
    </row>
    <row r="846" spans="2:10" ht="12.5">
      <c r="B846" s="83"/>
      <c r="C846" s="83"/>
      <c r="D846" s="83"/>
      <c r="E846" s="83"/>
      <c r="J846" s="83"/>
    </row>
    <row r="847" spans="2:10" ht="12.5">
      <c r="B847" s="83"/>
      <c r="C847" s="83"/>
      <c r="D847" s="83"/>
      <c r="E847" s="83"/>
      <c r="J847" s="83"/>
    </row>
    <row r="848" spans="2:10" ht="12.5">
      <c r="B848" s="83"/>
      <c r="C848" s="83"/>
      <c r="D848" s="83"/>
      <c r="E848" s="83"/>
      <c r="J848" s="83"/>
    </row>
    <row r="849" spans="2:10" ht="12.5">
      <c r="B849" s="83"/>
      <c r="C849" s="83"/>
      <c r="D849" s="83"/>
      <c r="E849" s="83"/>
      <c r="J849" s="83"/>
    </row>
    <row r="850" spans="2:10" ht="12.5">
      <c r="B850" s="83"/>
      <c r="C850" s="83"/>
      <c r="D850" s="83"/>
      <c r="E850" s="83"/>
      <c r="J850" s="83"/>
    </row>
    <row r="851" spans="2:10" ht="12.5">
      <c r="B851" s="83"/>
      <c r="C851" s="83"/>
      <c r="D851" s="83"/>
      <c r="E851" s="83"/>
      <c r="J851" s="83"/>
    </row>
    <row r="852" spans="2:10" ht="12.5">
      <c r="B852" s="83"/>
      <c r="C852" s="83"/>
      <c r="D852" s="83"/>
      <c r="E852" s="83"/>
      <c r="J852" s="83"/>
    </row>
    <row r="853" spans="2:10" ht="12.5">
      <c r="B853" s="83"/>
      <c r="C853" s="83"/>
      <c r="D853" s="83"/>
      <c r="E853" s="83"/>
      <c r="J853" s="83"/>
    </row>
    <row r="854" spans="2:10" ht="12.5">
      <c r="B854" s="83"/>
      <c r="C854" s="83"/>
      <c r="D854" s="83"/>
      <c r="E854" s="83"/>
      <c r="J854" s="83"/>
    </row>
    <row r="855" spans="2:10" ht="12.5">
      <c r="B855" s="83"/>
      <c r="C855" s="83"/>
      <c r="D855" s="83"/>
      <c r="E855" s="83"/>
      <c r="J855" s="83"/>
    </row>
    <row r="856" spans="2:10" ht="12.5">
      <c r="B856" s="83"/>
      <c r="C856" s="83"/>
      <c r="D856" s="83"/>
      <c r="E856" s="83"/>
      <c r="J856" s="83"/>
    </row>
    <row r="857" spans="2:10" ht="12.5">
      <c r="B857" s="83"/>
      <c r="C857" s="83"/>
      <c r="D857" s="83"/>
      <c r="E857" s="83"/>
      <c r="J857" s="83"/>
    </row>
    <row r="858" spans="2:10" ht="12.5">
      <c r="B858" s="83"/>
      <c r="C858" s="83"/>
      <c r="D858" s="83"/>
      <c r="E858" s="83"/>
      <c r="J858" s="83"/>
    </row>
    <row r="859" spans="2:10" ht="12.5">
      <c r="B859" s="83"/>
      <c r="C859" s="83"/>
      <c r="D859" s="83"/>
      <c r="E859" s="83"/>
      <c r="J859" s="83"/>
    </row>
    <row r="860" spans="2:10" ht="12.5">
      <c r="B860" s="83"/>
      <c r="C860" s="83"/>
      <c r="D860" s="83"/>
      <c r="E860" s="83"/>
      <c r="J860" s="83"/>
    </row>
    <row r="861" spans="2:10" ht="12.5">
      <c r="B861" s="83"/>
      <c r="C861" s="83"/>
      <c r="D861" s="83"/>
      <c r="E861" s="83"/>
      <c r="J861" s="83"/>
    </row>
    <row r="862" spans="2:10" ht="12.5">
      <c r="B862" s="83"/>
      <c r="C862" s="83"/>
      <c r="D862" s="83"/>
      <c r="E862" s="83"/>
      <c r="J862" s="83"/>
    </row>
    <row r="863" spans="2:10" ht="12.5">
      <c r="B863" s="83"/>
      <c r="C863" s="83"/>
      <c r="D863" s="83"/>
      <c r="E863" s="83"/>
      <c r="J863" s="83"/>
    </row>
    <row r="864" spans="2:10" ht="12.5">
      <c r="B864" s="83"/>
      <c r="C864" s="83"/>
      <c r="D864" s="83"/>
      <c r="E864" s="83"/>
      <c r="J864" s="83"/>
    </row>
    <row r="865" spans="2:10" ht="12.5">
      <c r="B865" s="83"/>
      <c r="C865" s="83"/>
      <c r="D865" s="83"/>
      <c r="E865" s="83"/>
      <c r="J865" s="83"/>
    </row>
    <row r="866" spans="2:10" ht="12.5">
      <c r="B866" s="83"/>
      <c r="C866" s="83"/>
      <c r="D866" s="83"/>
      <c r="E866" s="83"/>
      <c r="J866" s="83"/>
    </row>
    <row r="867" spans="2:10" ht="12.5">
      <c r="B867" s="83"/>
      <c r="C867" s="83"/>
      <c r="D867" s="83"/>
      <c r="E867" s="83"/>
      <c r="J867" s="83"/>
    </row>
    <row r="868" spans="2:10" ht="12.5">
      <c r="B868" s="83"/>
      <c r="C868" s="83"/>
      <c r="D868" s="83"/>
      <c r="E868" s="83"/>
      <c r="J868" s="83"/>
    </row>
    <row r="869" spans="2:10" ht="12.5">
      <c r="B869" s="83"/>
      <c r="C869" s="83"/>
      <c r="D869" s="83"/>
      <c r="E869" s="83"/>
      <c r="J869" s="83"/>
    </row>
    <row r="870" spans="2:10" ht="12.5">
      <c r="B870" s="83"/>
      <c r="C870" s="83"/>
      <c r="D870" s="83"/>
      <c r="E870" s="83"/>
      <c r="J870" s="83"/>
    </row>
    <row r="871" spans="2:10" ht="12.5">
      <c r="B871" s="83"/>
      <c r="C871" s="83"/>
      <c r="D871" s="83"/>
      <c r="E871" s="83"/>
      <c r="J871" s="83"/>
    </row>
    <row r="872" spans="2:10" ht="12.5">
      <c r="B872" s="83"/>
      <c r="C872" s="83"/>
      <c r="D872" s="83"/>
      <c r="E872" s="83"/>
      <c r="J872" s="83"/>
    </row>
    <row r="873" spans="2:10" ht="12.5">
      <c r="B873" s="83"/>
      <c r="C873" s="83"/>
      <c r="D873" s="83"/>
      <c r="E873" s="83"/>
      <c r="J873" s="83"/>
    </row>
    <row r="874" spans="2:10" ht="12.5">
      <c r="B874" s="83"/>
      <c r="C874" s="83"/>
      <c r="D874" s="83"/>
      <c r="E874" s="83"/>
      <c r="J874" s="83"/>
    </row>
    <row r="875" spans="2:10" ht="12.5">
      <c r="B875" s="83"/>
      <c r="C875" s="83"/>
      <c r="D875" s="83"/>
      <c r="E875" s="83"/>
      <c r="J875" s="83"/>
    </row>
    <row r="876" spans="2:10" ht="12.5">
      <c r="B876" s="83"/>
      <c r="C876" s="83"/>
      <c r="D876" s="83"/>
      <c r="E876" s="83"/>
      <c r="J876" s="83"/>
    </row>
    <row r="877" spans="2:10" ht="12.5">
      <c r="B877" s="83"/>
      <c r="C877" s="83"/>
      <c r="D877" s="83"/>
      <c r="E877" s="83"/>
      <c r="J877" s="83"/>
    </row>
    <row r="878" spans="2:10" ht="12.5">
      <c r="B878" s="83"/>
      <c r="C878" s="83"/>
      <c r="D878" s="83"/>
      <c r="E878" s="83"/>
      <c r="J878" s="83"/>
    </row>
    <row r="879" spans="2:10" ht="12.5">
      <c r="B879" s="83"/>
      <c r="C879" s="83"/>
      <c r="D879" s="83"/>
      <c r="E879" s="83"/>
      <c r="J879" s="83"/>
    </row>
    <row r="880" spans="2:10" ht="12.5">
      <c r="B880" s="83"/>
      <c r="C880" s="83"/>
      <c r="D880" s="83"/>
      <c r="E880" s="83"/>
      <c r="J880" s="83"/>
    </row>
    <row r="881" spans="2:10" ht="12.5">
      <c r="B881" s="83"/>
      <c r="C881" s="83"/>
      <c r="D881" s="83"/>
      <c r="E881" s="83"/>
      <c r="J881" s="83"/>
    </row>
    <row r="882" spans="2:10" ht="12.5">
      <c r="B882" s="83"/>
      <c r="C882" s="83"/>
      <c r="D882" s="83"/>
      <c r="E882" s="83"/>
      <c r="J882" s="83"/>
    </row>
    <row r="883" spans="2:10" ht="12.5">
      <c r="B883" s="83"/>
      <c r="C883" s="83"/>
      <c r="D883" s="83"/>
      <c r="E883" s="83"/>
      <c r="J883" s="83"/>
    </row>
    <row r="884" spans="2:10" ht="12.5">
      <c r="B884" s="83"/>
      <c r="C884" s="83"/>
      <c r="D884" s="83"/>
      <c r="E884" s="83"/>
      <c r="J884" s="83"/>
    </row>
    <row r="885" spans="2:10" ht="12.5">
      <c r="B885" s="83"/>
      <c r="C885" s="83"/>
      <c r="D885" s="83"/>
      <c r="E885" s="83"/>
      <c r="J885" s="83"/>
    </row>
    <row r="886" spans="2:10" ht="12.5">
      <c r="B886" s="83"/>
      <c r="C886" s="83"/>
      <c r="D886" s="83"/>
      <c r="E886" s="83"/>
      <c r="J886" s="83"/>
    </row>
    <row r="887" spans="2:10" ht="12.5">
      <c r="B887" s="83"/>
      <c r="C887" s="83"/>
      <c r="D887" s="83"/>
      <c r="E887" s="83"/>
      <c r="J887" s="83"/>
    </row>
    <row r="888" spans="2:10" ht="12.5">
      <c r="B888" s="83"/>
      <c r="C888" s="83"/>
      <c r="D888" s="83"/>
      <c r="E888" s="83"/>
      <c r="J888" s="83"/>
    </row>
    <row r="889" spans="2:10" ht="12.5">
      <c r="B889" s="83"/>
      <c r="C889" s="83"/>
      <c r="D889" s="83"/>
      <c r="E889" s="83"/>
      <c r="J889" s="83"/>
    </row>
    <row r="890" spans="2:10" ht="12.5">
      <c r="B890" s="83"/>
      <c r="C890" s="83"/>
      <c r="D890" s="83"/>
      <c r="E890" s="83"/>
      <c r="J890" s="83"/>
    </row>
    <row r="891" spans="2:10" ht="12.5">
      <c r="B891" s="83"/>
      <c r="C891" s="83"/>
      <c r="D891" s="83"/>
      <c r="E891" s="83"/>
      <c r="J891" s="83"/>
    </row>
    <row r="892" spans="2:10" ht="12.5">
      <c r="B892" s="83"/>
      <c r="C892" s="83"/>
      <c r="D892" s="83"/>
      <c r="E892" s="83"/>
      <c r="J892" s="83"/>
    </row>
    <row r="893" spans="2:10" ht="12.5">
      <c r="B893" s="83"/>
      <c r="C893" s="83"/>
      <c r="D893" s="83"/>
      <c r="E893" s="83"/>
      <c r="J893" s="83"/>
    </row>
    <row r="894" spans="2:10" ht="12.5">
      <c r="B894" s="83"/>
      <c r="C894" s="83"/>
      <c r="D894" s="83"/>
      <c r="E894" s="83"/>
      <c r="J894" s="83"/>
    </row>
    <row r="895" spans="2:10" ht="12.5">
      <c r="B895" s="83"/>
      <c r="C895" s="83"/>
      <c r="D895" s="83"/>
      <c r="E895" s="83"/>
      <c r="J895" s="83"/>
    </row>
    <row r="896" spans="2:10" ht="12.5">
      <c r="B896" s="83"/>
      <c r="C896" s="83"/>
      <c r="D896" s="83"/>
      <c r="E896" s="83"/>
      <c r="J896" s="83"/>
    </row>
    <row r="897" spans="2:10" ht="12.5">
      <c r="B897" s="83"/>
      <c r="C897" s="83"/>
      <c r="D897" s="83"/>
      <c r="E897" s="83"/>
      <c r="J897" s="83"/>
    </row>
    <row r="898" spans="2:10" ht="12.5">
      <c r="B898" s="83"/>
      <c r="C898" s="83"/>
      <c r="D898" s="83"/>
      <c r="E898" s="83"/>
      <c r="J898" s="83"/>
    </row>
    <row r="899" spans="2:10" ht="12.5">
      <c r="B899" s="83"/>
      <c r="C899" s="83"/>
      <c r="D899" s="83"/>
      <c r="E899" s="83"/>
      <c r="J899" s="83"/>
    </row>
    <row r="900" spans="2:10" ht="12.5">
      <c r="B900" s="83"/>
      <c r="C900" s="83"/>
      <c r="D900" s="83"/>
      <c r="E900" s="83"/>
      <c r="J900" s="83"/>
    </row>
    <row r="901" spans="2:10" ht="12.5">
      <c r="B901" s="83"/>
      <c r="C901" s="83"/>
      <c r="D901" s="83"/>
      <c r="E901" s="83"/>
      <c r="J901" s="83"/>
    </row>
    <row r="902" spans="2:10" ht="12.5">
      <c r="B902" s="83"/>
      <c r="C902" s="83"/>
      <c r="D902" s="83"/>
      <c r="E902" s="83"/>
      <c r="J902" s="83"/>
    </row>
    <row r="903" spans="2:10" ht="12.5">
      <c r="B903" s="83"/>
      <c r="C903" s="83"/>
      <c r="D903" s="83"/>
      <c r="E903" s="83"/>
      <c r="J903" s="83"/>
    </row>
    <row r="904" spans="2:10" ht="12.5">
      <c r="B904" s="83"/>
      <c r="C904" s="83"/>
      <c r="D904" s="83"/>
      <c r="E904" s="83"/>
      <c r="J904" s="83"/>
    </row>
    <row r="905" spans="2:10" ht="12.5">
      <c r="B905" s="83"/>
      <c r="C905" s="83"/>
      <c r="D905" s="83"/>
      <c r="E905" s="83"/>
      <c r="J905" s="83"/>
    </row>
    <row r="906" spans="2:10" ht="12.5">
      <c r="B906" s="83"/>
      <c r="C906" s="83"/>
      <c r="D906" s="83"/>
      <c r="E906" s="83"/>
      <c r="J906" s="83"/>
    </row>
    <row r="907" spans="2:10" ht="12.5">
      <c r="B907" s="83"/>
      <c r="C907" s="83"/>
      <c r="D907" s="83"/>
      <c r="E907" s="83"/>
      <c r="J907" s="83"/>
    </row>
    <row r="908" spans="2:10" ht="12.5">
      <c r="B908" s="83"/>
      <c r="C908" s="83"/>
      <c r="D908" s="83"/>
      <c r="E908" s="83"/>
      <c r="J908" s="83"/>
    </row>
    <row r="909" spans="2:10" ht="12.5">
      <c r="B909" s="83"/>
      <c r="C909" s="83"/>
      <c r="D909" s="83"/>
      <c r="E909" s="83"/>
      <c r="J909" s="83"/>
    </row>
    <row r="910" spans="2:10" ht="12.5">
      <c r="B910" s="83"/>
      <c r="C910" s="83"/>
      <c r="D910" s="83"/>
      <c r="E910" s="83"/>
      <c r="J910" s="83"/>
    </row>
    <row r="911" spans="2:10" ht="12.5">
      <c r="B911" s="83"/>
      <c r="C911" s="83"/>
      <c r="D911" s="83"/>
      <c r="E911" s="83"/>
      <c r="J911" s="83"/>
    </row>
    <row r="912" spans="2:10" ht="12.5">
      <c r="B912" s="83"/>
      <c r="C912" s="83"/>
      <c r="D912" s="83"/>
      <c r="E912" s="83"/>
      <c r="J912" s="83"/>
    </row>
    <row r="913" spans="2:10" ht="12.5">
      <c r="B913" s="83"/>
      <c r="C913" s="83"/>
      <c r="D913" s="83"/>
      <c r="E913" s="83"/>
      <c r="J913" s="83"/>
    </row>
    <row r="914" spans="2:10" ht="12.5">
      <c r="B914" s="83"/>
      <c r="C914" s="83"/>
      <c r="D914" s="83"/>
      <c r="E914" s="83"/>
      <c r="J914" s="83"/>
    </row>
    <row r="915" spans="2:10" ht="12.5">
      <c r="B915" s="83"/>
      <c r="C915" s="83"/>
      <c r="D915" s="83"/>
      <c r="E915" s="83"/>
      <c r="J915" s="83"/>
    </row>
    <row r="916" spans="2:10" ht="12.5">
      <c r="B916" s="83"/>
      <c r="C916" s="83"/>
      <c r="D916" s="83"/>
      <c r="E916" s="83"/>
      <c r="J916" s="83"/>
    </row>
    <row r="917" spans="2:10" ht="12.5">
      <c r="B917" s="83"/>
      <c r="C917" s="83"/>
      <c r="D917" s="83"/>
      <c r="E917" s="83"/>
      <c r="J917" s="83"/>
    </row>
    <row r="918" spans="2:10" ht="12.5">
      <c r="B918" s="83"/>
      <c r="C918" s="83"/>
      <c r="D918" s="83"/>
      <c r="E918" s="83"/>
      <c r="J918" s="83"/>
    </row>
    <row r="919" spans="2:10" ht="12.5">
      <c r="B919" s="83"/>
      <c r="C919" s="83"/>
      <c r="D919" s="83"/>
      <c r="E919" s="83"/>
      <c r="J919" s="83"/>
    </row>
    <row r="920" spans="2:10" ht="12.5">
      <c r="B920" s="83"/>
      <c r="C920" s="83"/>
      <c r="D920" s="83"/>
      <c r="E920" s="83"/>
      <c r="J920" s="83"/>
    </row>
    <row r="921" spans="2:10" ht="12.5">
      <c r="B921" s="83"/>
      <c r="C921" s="83"/>
      <c r="D921" s="83"/>
      <c r="E921" s="83"/>
      <c r="J921" s="83"/>
    </row>
    <row r="922" spans="2:10" ht="12.5">
      <c r="B922" s="83"/>
      <c r="C922" s="83"/>
      <c r="D922" s="83"/>
      <c r="E922" s="83"/>
      <c r="J922" s="83"/>
    </row>
    <row r="923" spans="2:10" ht="12.5">
      <c r="B923" s="83"/>
      <c r="C923" s="83"/>
      <c r="D923" s="83"/>
      <c r="E923" s="83"/>
      <c r="J923" s="83"/>
    </row>
    <row r="924" spans="2:10" ht="12.5">
      <c r="B924" s="83"/>
      <c r="C924" s="83"/>
      <c r="D924" s="83"/>
      <c r="E924" s="83"/>
      <c r="J924" s="83"/>
    </row>
    <row r="925" spans="2:10" ht="12.5">
      <c r="B925" s="83"/>
      <c r="C925" s="83"/>
      <c r="D925" s="83"/>
      <c r="E925" s="83"/>
      <c r="J925" s="83"/>
    </row>
    <row r="926" spans="2:10" ht="12.5">
      <c r="B926" s="83"/>
      <c r="C926" s="83"/>
      <c r="D926" s="83"/>
      <c r="E926" s="83"/>
      <c r="J926" s="83"/>
    </row>
    <row r="927" spans="2:10" ht="12.5">
      <c r="B927" s="83"/>
      <c r="C927" s="83"/>
      <c r="D927" s="83"/>
      <c r="E927" s="83"/>
      <c r="J927" s="83"/>
    </row>
    <row r="928" spans="2:10" ht="12.5">
      <c r="B928" s="83"/>
      <c r="C928" s="83"/>
      <c r="D928" s="83"/>
      <c r="E928" s="83"/>
      <c r="J928" s="83"/>
    </row>
    <row r="929" spans="2:10" ht="12.5">
      <c r="B929" s="83"/>
      <c r="C929" s="83"/>
      <c r="D929" s="83"/>
      <c r="E929" s="83"/>
      <c r="J929" s="83"/>
    </row>
    <row r="930" spans="2:10" ht="12.5">
      <c r="B930" s="83"/>
      <c r="C930" s="83"/>
      <c r="D930" s="83"/>
      <c r="E930" s="83"/>
      <c r="J930" s="83"/>
    </row>
    <row r="931" spans="2:10" ht="12.5">
      <c r="B931" s="83"/>
      <c r="C931" s="83"/>
      <c r="D931" s="83"/>
      <c r="E931" s="83"/>
      <c r="J931" s="83"/>
    </row>
    <row r="932" spans="2:10" ht="12.5">
      <c r="B932" s="83"/>
      <c r="C932" s="83"/>
      <c r="D932" s="83"/>
      <c r="E932" s="83"/>
      <c r="J932" s="83"/>
    </row>
    <row r="933" spans="2:10" ht="12.5">
      <c r="B933" s="83"/>
      <c r="C933" s="83"/>
      <c r="D933" s="83"/>
      <c r="E933" s="83"/>
      <c r="J933" s="83"/>
    </row>
    <row r="934" spans="2:10" ht="12.5">
      <c r="B934" s="83"/>
      <c r="C934" s="83"/>
      <c r="D934" s="83"/>
      <c r="E934" s="83"/>
      <c r="J934" s="83"/>
    </row>
    <row r="935" spans="2:10" ht="12.5">
      <c r="B935" s="83"/>
      <c r="C935" s="83"/>
      <c r="D935" s="83"/>
      <c r="E935" s="83"/>
      <c r="J935" s="83"/>
    </row>
    <row r="936" spans="2:10" ht="12.5">
      <c r="B936" s="83"/>
      <c r="C936" s="83"/>
      <c r="D936" s="83"/>
      <c r="E936" s="83"/>
      <c r="J936" s="83"/>
    </row>
    <row r="937" spans="2:10" ht="12.5">
      <c r="B937" s="83"/>
      <c r="C937" s="83"/>
      <c r="D937" s="83"/>
      <c r="E937" s="83"/>
      <c r="J937" s="83"/>
    </row>
    <row r="938" spans="2:10" ht="12.5">
      <c r="B938" s="83"/>
      <c r="C938" s="83"/>
      <c r="D938" s="83"/>
      <c r="E938" s="83"/>
      <c r="J938" s="83"/>
    </row>
    <row r="939" spans="2:10" ht="12.5">
      <c r="B939" s="83"/>
      <c r="C939" s="83"/>
      <c r="D939" s="83"/>
      <c r="E939" s="83"/>
      <c r="J939" s="83"/>
    </row>
    <row r="940" spans="2:10" ht="12.5">
      <c r="B940" s="83"/>
      <c r="C940" s="83"/>
      <c r="D940" s="83"/>
      <c r="E940" s="83"/>
      <c r="J940" s="83"/>
    </row>
    <row r="941" spans="2:10" ht="12.5">
      <c r="B941" s="83"/>
      <c r="C941" s="83"/>
      <c r="D941" s="83"/>
      <c r="E941" s="83"/>
      <c r="J941" s="83"/>
    </row>
    <row r="942" spans="2:10" ht="12.5">
      <c r="B942" s="83"/>
      <c r="C942" s="83"/>
      <c r="D942" s="83"/>
      <c r="E942" s="83"/>
      <c r="J942" s="83"/>
    </row>
    <row r="943" spans="2:10" ht="12.5">
      <c r="B943" s="83"/>
      <c r="C943" s="83"/>
      <c r="D943" s="83"/>
      <c r="E943" s="83"/>
      <c r="J943" s="83"/>
    </row>
    <row r="944" spans="2:10" ht="12.5">
      <c r="B944" s="83"/>
      <c r="C944" s="83"/>
      <c r="D944" s="83"/>
      <c r="E944" s="83"/>
      <c r="J944" s="83"/>
    </row>
    <row r="945" spans="2:10" ht="12.5">
      <c r="B945" s="83"/>
      <c r="C945" s="83"/>
      <c r="D945" s="83"/>
      <c r="E945" s="83"/>
      <c r="J945" s="83"/>
    </row>
    <row r="946" spans="2:10" ht="12.5">
      <c r="B946" s="83"/>
      <c r="C946" s="83"/>
      <c r="D946" s="83"/>
      <c r="E946" s="83"/>
      <c r="J946" s="83"/>
    </row>
    <row r="947" spans="2:10" ht="12.5">
      <c r="B947" s="83"/>
      <c r="C947" s="83"/>
      <c r="D947" s="83"/>
      <c r="E947" s="83"/>
      <c r="J947" s="83"/>
    </row>
    <row r="948" spans="2:10" ht="12.5">
      <c r="B948" s="83"/>
      <c r="C948" s="83"/>
      <c r="D948" s="83"/>
      <c r="E948" s="83"/>
      <c r="J948" s="83"/>
    </row>
    <row r="949" spans="2:10" ht="12.5">
      <c r="B949" s="83"/>
      <c r="C949" s="83"/>
      <c r="D949" s="83"/>
      <c r="E949" s="83"/>
      <c r="J949" s="83"/>
    </row>
    <row r="950" spans="2:10" ht="12.5">
      <c r="B950" s="83"/>
      <c r="C950" s="83"/>
      <c r="D950" s="83"/>
      <c r="E950" s="83"/>
      <c r="J950" s="83"/>
    </row>
    <row r="951" spans="2:10" ht="12.5">
      <c r="B951" s="83"/>
      <c r="C951" s="83"/>
      <c r="D951" s="83"/>
      <c r="E951" s="83"/>
      <c r="J951" s="83"/>
    </row>
    <row r="952" spans="2:10" ht="12.5">
      <c r="B952" s="83"/>
      <c r="C952" s="83"/>
      <c r="D952" s="83"/>
      <c r="E952" s="83"/>
      <c r="J952" s="83"/>
    </row>
    <row r="953" spans="2:10" ht="12.5">
      <c r="B953" s="83"/>
      <c r="C953" s="83"/>
      <c r="D953" s="83"/>
      <c r="E953" s="83"/>
      <c r="J953" s="83"/>
    </row>
    <row r="954" spans="2:10" ht="12.5">
      <c r="B954" s="83"/>
      <c r="C954" s="83"/>
      <c r="D954" s="83"/>
      <c r="E954" s="83"/>
      <c r="J954" s="83"/>
    </row>
    <row r="955" spans="2:10" ht="12.5">
      <c r="B955" s="83"/>
      <c r="C955" s="83"/>
      <c r="D955" s="83"/>
      <c r="E955" s="83"/>
      <c r="J955" s="83"/>
    </row>
    <row r="956" spans="2:10" ht="12.5">
      <c r="B956" s="83"/>
      <c r="C956" s="83"/>
      <c r="D956" s="83"/>
      <c r="E956" s="83"/>
      <c r="J956" s="83"/>
    </row>
    <row r="957" spans="2:10" ht="12.5">
      <c r="B957" s="83"/>
      <c r="C957" s="83"/>
      <c r="D957" s="83"/>
      <c r="E957" s="83"/>
      <c r="J957" s="83"/>
    </row>
    <row r="958" spans="2:10" ht="12.5">
      <c r="B958" s="83"/>
      <c r="C958" s="83"/>
      <c r="D958" s="83"/>
      <c r="E958" s="83"/>
      <c r="J958" s="83"/>
    </row>
    <row r="959" spans="2:10" ht="12.5">
      <c r="B959" s="83"/>
      <c r="C959" s="83"/>
      <c r="D959" s="83"/>
      <c r="E959" s="83"/>
      <c r="J959" s="83"/>
    </row>
    <row r="960" spans="2:10" ht="12.5">
      <c r="B960" s="83"/>
      <c r="C960" s="83"/>
      <c r="D960" s="83"/>
      <c r="E960" s="83"/>
      <c r="J960" s="83"/>
    </row>
    <row r="961" spans="2:10" ht="12.5">
      <c r="B961" s="83"/>
      <c r="C961" s="83"/>
      <c r="D961" s="83"/>
      <c r="E961" s="83"/>
      <c r="J961" s="83"/>
    </row>
    <row r="962" spans="2:10" ht="12.5">
      <c r="B962" s="83"/>
      <c r="C962" s="83"/>
      <c r="D962" s="83"/>
      <c r="E962" s="83"/>
      <c r="J962" s="83"/>
    </row>
    <row r="963" spans="2:10" ht="12.5">
      <c r="B963" s="83"/>
      <c r="C963" s="83"/>
      <c r="D963" s="83"/>
      <c r="E963" s="83"/>
      <c r="J963" s="83"/>
    </row>
    <row r="964" spans="2:10" ht="12.5">
      <c r="B964" s="83"/>
      <c r="C964" s="83"/>
      <c r="D964" s="83"/>
      <c r="E964" s="83"/>
      <c r="J964" s="83"/>
    </row>
    <row r="965" spans="2:10" ht="12.5">
      <c r="B965" s="83"/>
      <c r="C965" s="83"/>
      <c r="D965" s="83"/>
      <c r="E965" s="83"/>
      <c r="J965" s="83"/>
    </row>
    <row r="966" spans="2:10" ht="12.5">
      <c r="B966" s="83"/>
      <c r="C966" s="83"/>
      <c r="D966" s="83"/>
      <c r="E966" s="83"/>
      <c r="J966" s="83"/>
    </row>
    <row r="967" spans="2:10" ht="12.5">
      <c r="B967" s="83"/>
      <c r="C967" s="83"/>
      <c r="D967" s="83"/>
      <c r="E967" s="83"/>
      <c r="J967" s="83"/>
    </row>
    <row r="968" spans="2:10" ht="12.5">
      <c r="B968" s="83"/>
      <c r="C968" s="83"/>
      <c r="D968" s="83"/>
      <c r="E968" s="83"/>
      <c r="J968" s="83"/>
    </row>
    <row r="969" spans="2:10" ht="12.5">
      <c r="B969" s="83"/>
      <c r="C969" s="83"/>
      <c r="D969" s="83"/>
      <c r="E969" s="83"/>
      <c r="J969" s="83"/>
    </row>
    <row r="970" spans="2:10" ht="12.5">
      <c r="B970" s="83"/>
      <c r="C970" s="83"/>
      <c r="D970" s="83"/>
      <c r="E970" s="83"/>
      <c r="J970" s="83"/>
    </row>
    <row r="971" spans="2:10" ht="12.5">
      <c r="B971" s="83"/>
      <c r="C971" s="83"/>
      <c r="D971" s="83"/>
      <c r="E971" s="83"/>
      <c r="J971" s="83"/>
    </row>
    <row r="972" spans="2:10" ht="12.5">
      <c r="B972" s="83"/>
      <c r="C972" s="83"/>
      <c r="D972" s="83"/>
      <c r="E972" s="83"/>
      <c r="J972" s="83"/>
    </row>
    <row r="973" spans="2:10" ht="12.5">
      <c r="B973" s="83"/>
      <c r="C973" s="83"/>
      <c r="D973" s="83"/>
      <c r="E973" s="83"/>
      <c r="J973" s="83"/>
    </row>
    <row r="974" spans="2:10" ht="12.5">
      <c r="B974" s="83"/>
      <c r="C974" s="83"/>
      <c r="D974" s="83"/>
      <c r="E974" s="83"/>
      <c r="J974" s="83"/>
    </row>
    <row r="975" spans="2:10" ht="12.5">
      <c r="B975" s="83"/>
      <c r="C975" s="83"/>
      <c r="D975" s="83"/>
      <c r="E975" s="83"/>
      <c r="J975" s="83"/>
    </row>
    <row r="976" spans="2:10" ht="12.5">
      <c r="B976" s="83"/>
      <c r="C976" s="83"/>
      <c r="D976" s="83"/>
      <c r="E976" s="83"/>
      <c r="J976" s="83"/>
    </row>
    <row r="977" spans="2:10" ht="12.5">
      <c r="B977" s="83"/>
      <c r="C977" s="83"/>
      <c r="D977" s="83"/>
      <c r="E977" s="83"/>
      <c r="J977" s="83"/>
    </row>
    <row r="978" spans="2:10" ht="12.5">
      <c r="B978" s="83"/>
      <c r="C978" s="83"/>
      <c r="D978" s="83"/>
      <c r="E978" s="83"/>
      <c r="J978" s="83"/>
    </row>
    <row r="979" spans="2:10" ht="12.5">
      <c r="B979" s="83"/>
      <c r="C979" s="83"/>
      <c r="D979" s="83"/>
      <c r="E979" s="83"/>
      <c r="J979" s="83"/>
    </row>
    <row r="980" spans="2:10" ht="12.5">
      <c r="B980" s="83"/>
      <c r="C980" s="83"/>
      <c r="D980" s="83"/>
      <c r="E980" s="83"/>
      <c r="J980" s="83"/>
    </row>
    <row r="981" spans="2:10" ht="12.5">
      <c r="B981" s="83"/>
      <c r="C981" s="83"/>
      <c r="D981" s="83"/>
      <c r="E981" s="83"/>
      <c r="J981" s="83"/>
    </row>
    <row r="982" spans="2:10" ht="12.5">
      <c r="B982" s="83"/>
      <c r="C982" s="83"/>
      <c r="D982" s="83"/>
      <c r="E982" s="83"/>
      <c r="J982" s="83"/>
    </row>
    <row r="983" spans="2:10" ht="12.5">
      <c r="B983" s="83"/>
      <c r="C983" s="83"/>
      <c r="D983" s="83"/>
      <c r="E983" s="83"/>
      <c r="J983" s="83"/>
    </row>
    <row r="984" spans="2:10" ht="12.5">
      <c r="B984" s="83"/>
      <c r="C984" s="83"/>
      <c r="D984" s="83"/>
      <c r="E984" s="83"/>
      <c r="J984" s="83"/>
    </row>
    <row r="985" spans="2:10" ht="12.5">
      <c r="B985" s="83"/>
      <c r="C985" s="83"/>
      <c r="D985" s="83"/>
      <c r="E985" s="83"/>
      <c r="J985" s="83"/>
    </row>
    <row r="986" spans="2:10" ht="12.5">
      <c r="B986" s="83"/>
      <c r="C986" s="83"/>
      <c r="D986" s="83"/>
      <c r="E986" s="83"/>
      <c r="J986" s="83"/>
    </row>
    <row r="987" spans="2:10" ht="12.5">
      <c r="B987" s="83"/>
      <c r="C987" s="83"/>
      <c r="D987" s="83"/>
      <c r="E987" s="83"/>
      <c r="J987" s="83"/>
    </row>
    <row r="988" spans="2:10" ht="12.5">
      <c r="B988" s="83"/>
      <c r="C988" s="83"/>
      <c r="D988" s="83"/>
      <c r="E988" s="83"/>
      <c r="J988" s="83"/>
    </row>
    <row r="989" spans="2:10" ht="12.5">
      <c r="B989" s="83"/>
      <c r="C989" s="83"/>
      <c r="D989" s="83"/>
      <c r="E989" s="83"/>
      <c r="J989" s="83"/>
    </row>
    <row r="990" spans="2:10" ht="12.5">
      <c r="B990" s="83"/>
      <c r="C990" s="83"/>
      <c r="D990" s="83"/>
      <c r="E990" s="83"/>
      <c r="J990" s="83"/>
    </row>
    <row r="991" spans="2:10" ht="12.5">
      <c r="B991" s="83"/>
      <c r="C991" s="83"/>
      <c r="D991" s="83"/>
      <c r="E991" s="83"/>
      <c r="J991" s="83"/>
    </row>
    <row r="992" spans="2:10" ht="12.5">
      <c r="B992" s="83"/>
      <c r="C992" s="83"/>
      <c r="D992" s="83"/>
      <c r="E992" s="83"/>
      <c r="J992" s="83"/>
    </row>
    <row r="993" spans="2:10" ht="12.5">
      <c r="B993" s="83"/>
      <c r="C993" s="83"/>
      <c r="D993" s="83"/>
      <c r="E993" s="83"/>
      <c r="J993" s="83"/>
    </row>
    <row r="994" spans="2:10" ht="12.5">
      <c r="B994" s="83"/>
      <c r="C994" s="83"/>
      <c r="D994" s="83"/>
      <c r="E994" s="83"/>
      <c r="J994" s="83"/>
    </row>
    <row r="995" spans="2:10" ht="12.5">
      <c r="B995" s="83"/>
      <c r="C995" s="83"/>
      <c r="D995" s="83"/>
      <c r="E995" s="83"/>
      <c r="J995" s="83"/>
    </row>
    <row r="996" spans="2:10" ht="12.5">
      <c r="B996" s="83"/>
      <c r="C996" s="83"/>
      <c r="D996" s="83"/>
      <c r="E996" s="83"/>
      <c r="J996" s="83"/>
    </row>
    <row r="997" spans="2:10" ht="12.5">
      <c r="B997" s="83"/>
      <c r="C997" s="83"/>
      <c r="D997" s="83"/>
      <c r="E997" s="83"/>
      <c r="J997" s="83"/>
    </row>
    <row r="998" spans="2:10" ht="12.5">
      <c r="B998" s="83"/>
      <c r="C998" s="83"/>
      <c r="D998" s="83"/>
      <c r="E998" s="83"/>
      <c r="J998" s="83"/>
    </row>
    <row r="999" spans="2:10" ht="12.5">
      <c r="B999" s="83"/>
      <c r="C999" s="83"/>
      <c r="D999" s="83"/>
      <c r="E999" s="83"/>
      <c r="J999" s="83"/>
    </row>
    <row r="1000" spans="2:10" ht="12.5">
      <c r="B1000" s="83"/>
      <c r="C1000" s="83"/>
      <c r="D1000" s="83"/>
      <c r="E1000" s="83"/>
      <c r="J1000" s="83"/>
    </row>
  </sheetData>
  <autoFilter ref="A3:R462" xr:uid="{00000000-0009-0000-0000-000004000000}">
    <filterColumn colId="9">
      <filters blank="1"/>
    </filterColumn>
  </autoFilter>
  <mergeCells count="1">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298"/>
  <sheetViews>
    <sheetView workbookViewId="0"/>
  </sheetViews>
  <sheetFormatPr defaultColWidth="14.453125" defaultRowHeight="15.75" customHeight="1"/>
  <cols>
    <col min="5" max="5" width="91" customWidth="1"/>
  </cols>
  <sheetData>
    <row r="1" spans="1:5" ht="15.75" customHeight="1">
      <c r="A1" s="84" t="s">
        <v>1401</v>
      </c>
      <c r="B1" s="84" t="s">
        <v>1403</v>
      </c>
      <c r="C1" s="84" t="s">
        <v>1404</v>
      </c>
      <c r="D1" s="85" t="s">
        <v>1405</v>
      </c>
      <c r="E1" s="86" t="s">
        <v>1406</v>
      </c>
    </row>
    <row r="2" spans="1:5" ht="15.75" customHeight="1">
      <c r="A2" s="87" t="s">
        <v>2001</v>
      </c>
      <c r="B2" s="88">
        <v>20</v>
      </c>
      <c r="C2" s="89"/>
      <c r="D2" s="90"/>
      <c r="E2" s="91" t="s">
        <v>1408</v>
      </c>
    </row>
    <row r="3" spans="1:5" ht="15.75" customHeight="1">
      <c r="A3" s="92" t="s">
        <v>2005</v>
      </c>
      <c r="B3" s="93">
        <v>20</v>
      </c>
      <c r="C3" s="93">
        <v>10</v>
      </c>
      <c r="D3" s="94"/>
      <c r="E3" s="91" t="s">
        <v>1410</v>
      </c>
    </row>
    <row r="4" spans="1:5" ht="15.75" customHeight="1">
      <c r="A4" s="95" t="s">
        <v>3023</v>
      </c>
      <c r="B4" s="96">
        <v>20</v>
      </c>
      <c r="C4" s="96">
        <v>10</v>
      </c>
      <c r="D4" s="97">
        <v>60</v>
      </c>
      <c r="E4" s="91" t="s">
        <v>1412</v>
      </c>
    </row>
    <row r="5" spans="1:5" ht="15.75" customHeight="1">
      <c r="A5" s="92" t="s">
        <v>2009</v>
      </c>
      <c r="B5" s="93">
        <v>20</v>
      </c>
      <c r="C5" s="93">
        <v>15</v>
      </c>
      <c r="D5" s="94"/>
      <c r="E5" s="91" t="s">
        <v>1414</v>
      </c>
    </row>
    <row r="6" spans="1:5" ht="15.75" customHeight="1">
      <c r="A6" s="95" t="s">
        <v>3024</v>
      </c>
      <c r="B6" s="96">
        <v>20</v>
      </c>
      <c r="C6" s="96">
        <v>15</v>
      </c>
      <c r="D6" s="97">
        <v>8</v>
      </c>
      <c r="E6" s="91" t="s">
        <v>98</v>
      </c>
    </row>
    <row r="7" spans="1:5" ht="15.75" customHeight="1">
      <c r="A7" s="95" t="s">
        <v>3025</v>
      </c>
      <c r="B7" s="96">
        <v>20</v>
      </c>
      <c r="C7" s="96">
        <v>15</v>
      </c>
      <c r="D7" s="97">
        <v>58</v>
      </c>
      <c r="E7" s="91" t="s">
        <v>1417</v>
      </c>
    </row>
    <row r="8" spans="1:5" ht="15.75" customHeight="1">
      <c r="A8" s="92" t="s">
        <v>2018</v>
      </c>
      <c r="B8" s="93">
        <v>20</v>
      </c>
      <c r="C8" s="93">
        <v>20</v>
      </c>
      <c r="D8" s="94"/>
      <c r="E8" s="91" t="s">
        <v>1419</v>
      </c>
    </row>
    <row r="9" spans="1:5" ht="15.75" customHeight="1">
      <c r="A9" s="95" t="s">
        <v>2025</v>
      </c>
      <c r="B9" s="96">
        <v>20</v>
      </c>
      <c r="C9" s="96">
        <v>20</v>
      </c>
      <c r="D9" s="97">
        <v>40</v>
      </c>
      <c r="E9" s="91" t="s">
        <v>1421</v>
      </c>
    </row>
    <row r="10" spans="1:5" ht="15.75" customHeight="1">
      <c r="A10" s="95" t="s">
        <v>2028</v>
      </c>
      <c r="B10" s="96">
        <v>20</v>
      </c>
      <c r="C10" s="96">
        <v>20</v>
      </c>
      <c r="D10" s="97">
        <v>50</v>
      </c>
      <c r="E10" s="91" t="s">
        <v>1423</v>
      </c>
    </row>
    <row r="11" spans="1:5" ht="15.75" customHeight="1">
      <c r="A11" s="95" t="s">
        <v>2030</v>
      </c>
      <c r="B11" s="96">
        <v>20</v>
      </c>
      <c r="C11" s="96">
        <v>20</v>
      </c>
      <c r="D11" s="97">
        <v>70</v>
      </c>
      <c r="E11" s="91" t="s">
        <v>1425</v>
      </c>
    </row>
    <row r="12" spans="1:5" ht="15.75" customHeight="1">
      <c r="A12" s="92" t="s">
        <v>3026</v>
      </c>
      <c r="B12" s="93">
        <v>20</v>
      </c>
      <c r="C12" s="93">
        <v>30</v>
      </c>
      <c r="D12" s="98"/>
      <c r="E12" s="91" t="s">
        <v>1428</v>
      </c>
    </row>
    <row r="13" spans="1:5" ht="15.75" customHeight="1">
      <c r="A13" s="95" t="s">
        <v>3027</v>
      </c>
      <c r="B13" s="96">
        <v>20</v>
      </c>
      <c r="C13" s="96">
        <v>30</v>
      </c>
      <c r="D13" s="99">
        <v>10</v>
      </c>
      <c r="E13" s="91" t="s">
        <v>1431</v>
      </c>
    </row>
    <row r="14" spans="1:5" ht="15.75" customHeight="1">
      <c r="A14" s="95" t="s">
        <v>3028</v>
      </c>
      <c r="B14" s="96">
        <v>20</v>
      </c>
      <c r="C14" s="96">
        <v>30</v>
      </c>
      <c r="D14" s="97">
        <v>20</v>
      </c>
      <c r="E14" s="91" t="s">
        <v>1434</v>
      </c>
    </row>
    <row r="15" spans="1:5" ht="15.75" customHeight="1">
      <c r="A15" s="92" t="s">
        <v>2032</v>
      </c>
      <c r="B15" s="93">
        <v>20</v>
      </c>
      <c r="C15" s="93">
        <v>45</v>
      </c>
      <c r="D15" s="98"/>
      <c r="E15" s="91" t="s">
        <v>1436</v>
      </c>
    </row>
    <row r="16" spans="1:5" ht="15.75" customHeight="1">
      <c r="A16" s="95" t="s">
        <v>2034</v>
      </c>
      <c r="B16" s="96">
        <v>20</v>
      </c>
      <c r="C16" s="96">
        <v>45</v>
      </c>
      <c r="D16" s="97">
        <v>50</v>
      </c>
      <c r="E16" s="91" t="s">
        <v>1438</v>
      </c>
    </row>
    <row r="17" spans="1:5" ht="15.75" customHeight="1">
      <c r="A17" s="95" t="s">
        <v>2036</v>
      </c>
      <c r="B17" s="96">
        <v>20</v>
      </c>
      <c r="C17" s="96">
        <v>45</v>
      </c>
      <c r="D17" s="97">
        <v>54</v>
      </c>
      <c r="E17" s="91" t="s">
        <v>1440</v>
      </c>
    </row>
    <row r="18" spans="1:5" ht="15.75" customHeight="1">
      <c r="A18" s="92" t="s">
        <v>2039</v>
      </c>
      <c r="B18" s="93">
        <v>20</v>
      </c>
      <c r="C18" s="93">
        <v>50</v>
      </c>
      <c r="D18" s="94"/>
      <c r="E18" s="91" t="s">
        <v>1442</v>
      </c>
    </row>
    <row r="19" spans="1:5" ht="15.75" customHeight="1">
      <c r="A19" s="95" t="s">
        <v>3029</v>
      </c>
      <c r="B19" s="96">
        <v>20</v>
      </c>
      <c r="C19" s="96">
        <v>50</v>
      </c>
      <c r="D19" s="97">
        <v>40</v>
      </c>
      <c r="E19" s="91" t="s">
        <v>1445</v>
      </c>
    </row>
    <row r="20" spans="1:5" ht="15.75" customHeight="1">
      <c r="A20" s="95" t="s">
        <v>3030</v>
      </c>
      <c r="B20" s="96">
        <v>20</v>
      </c>
      <c r="C20" s="96">
        <v>50</v>
      </c>
      <c r="D20" s="97">
        <v>41</v>
      </c>
      <c r="E20" s="91" t="s">
        <v>1448</v>
      </c>
    </row>
    <row r="21" spans="1:5" ht="15.75" customHeight="1">
      <c r="A21" s="95" t="s">
        <v>3031</v>
      </c>
      <c r="B21" s="96">
        <v>20</v>
      </c>
      <c r="C21" s="96">
        <v>50</v>
      </c>
      <c r="D21" s="97">
        <v>42</v>
      </c>
      <c r="E21" s="91" t="s">
        <v>1451</v>
      </c>
    </row>
    <row r="22" spans="1:5" ht="15.75" customHeight="1">
      <c r="A22" s="95" t="s">
        <v>2051</v>
      </c>
      <c r="B22" s="96">
        <v>20</v>
      </c>
      <c r="C22" s="96">
        <v>50</v>
      </c>
      <c r="D22" s="97">
        <v>50</v>
      </c>
      <c r="E22" s="91" t="s">
        <v>1453</v>
      </c>
    </row>
    <row r="23" spans="1:5" ht="15.75" customHeight="1">
      <c r="A23" s="95" t="s">
        <v>3032</v>
      </c>
      <c r="B23" s="96">
        <v>20</v>
      </c>
      <c r="C23" s="96">
        <v>50</v>
      </c>
      <c r="D23" s="97">
        <v>78</v>
      </c>
      <c r="E23" s="91" t="s">
        <v>165</v>
      </c>
    </row>
    <row r="24" spans="1:5" ht="15.75" customHeight="1">
      <c r="A24" s="95" t="s">
        <v>3033</v>
      </c>
      <c r="B24" s="96">
        <v>20</v>
      </c>
      <c r="C24" s="96">
        <v>50</v>
      </c>
      <c r="D24" s="97">
        <v>94</v>
      </c>
      <c r="E24" s="91" t="s">
        <v>1456</v>
      </c>
    </row>
    <row r="25" spans="1:5" ht="15.75" customHeight="1">
      <c r="A25" s="92" t="s">
        <v>2068</v>
      </c>
      <c r="B25" s="93">
        <v>20</v>
      </c>
      <c r="C25" s="93">
        <v>55</v>
      </c>
      <c r="D25" s="98"/>
      <c r="E25" s="91" t="s">
        <v>1458</v>
      </c>
    </row>
    <row r="26" spans="1:5" ht="15.75" customHeight="1">
      <c r="A26" s="95" t="s">
        <v>3034</v>
      </c>
      <c r="B26" s="96">
        <v>20</v>
      </c>
      <c r="C26" s="96">
        <v>55</v>
      </c>
      <c r="D26" s="97">
        <v>15</v>
      </c>
      <c r="E26" s="91" t="s">
        <v>1461</v>
      </c>
    </row>
    <row r="27" spans="1:5" ht="15.75" customHeight="1">
      <c r="A27" s="95" t="s">
        <v>3035</v>
      </c>
      <c r="B27" s="96">
        <v>20</v>
      </c>
      <c r="C27" s="96">
        <v>55</v>
      </c>
      <c r="D27" s="97">
        <v>16</v>
      </c>
      <c r="E27" s="91" t="s">
        <v>1464</v>
      </c>
    </row>
    <row r="28" spans="1:5" ht="15.75" customHeight="1">
      <c r="A28" s="95" t="s">
        <v>3036</v>
      </c>
      <c r="B28" s="96">
        <v>20</v>
      </c>
      <c r="C28" s="96">
        <v>55</v>
      </c>
      <c r="D28" s="97">
        <v>17</v>
      </c>
      <c r="E28" s="91" t="s">
        <v>1467</v>
      </c>
    </row>
    <row r="29" spans="1:5" ht="15.75" customHeight="1">
      <c r="A29" s="92" t="s">
        <v>2078</v>
      </c>
      <c r="B29" s="93">
        <v>20</v>
      </c>
      <c r="C29" s="93">
        <v>60</v>
      </c>
      <c r="D29" s="94"/>
      <c r="E29" s="91" t="s">
        <v>1469</v>
      </c>
    </row>
    <row r="30" spans="1:5" ht="15.75" customHeight="1">
      <c r="A30" s="95" t="s">
        <v>2080</v>
      </c>
      <c r="B30" s="96">
        <v>20</v>
      </c>
      <c r="C30" s="96">
        <v>60</v>
      </c>
      <c r="D30" s="97">
        <v>2</v>
      </c>
      <c r="E30" s="91" t="s">
        <v>1471</v>
      </c>
    </row>
    <row r="31" spans="1:5" ht="15.75" customHeight="1">
      <c r="A31" s="95" t="s">
        <v>2083</v>
      </c>
      <c r="B31" s="96">
        <v>20</v>
      </c>
      <c r="C31" s="96">
        <v>60</v>
      </c>
      <c r="D31" s="97">
        <v>10</v>
      </c>
      <c r="E31" s="91" t="s">
        <v>1473</v>
      </c>
    </row>
    <row r="32" spans="1:5" ht="15.75" customHeight="1">
      <c r="A32" s="95" t="s">
        <v>2086</v>
      </c>
      <c r="B32" s="96">
        <v>20</v>
      </c>
      <c r="C32" s="96">
        <v>60</v>
      </c>
      <c r="D32" s="97">
        <v>56</v>
      </c>
      <c r="E32" s="91" t="s">
        <v>1475</v>
      </c>
    </row>
    <row r="33" spans="1:5" ht="15.75" customHeight="1">
      <c r="A33" s="92" t="s">
        <v>2089</v>
      </c>
      <c r="B33" s="93">
        <v>20</v>
      </c>
      <c r="C33" s="93">
        <v>65</v>
      </c>
      <c r="D33" s="94"/>
      <c r="E33" s="91" t="s">
        <v>1477</v>
      </c>
    </row>
    <row r="34" spans="1:5" ht="15.75" customHeight="1">
      <c r="A34" s="95" t="s">
        <v>3037</v>
      </c>
      <c r="B34" s="96">
        <v>20</v>
      </c>
      <c r="C34" s="96">
        <v>65</v>
      </c>
      <c r="D34" s="97">
        <v>56</v>
      </c>
      <c r="E34" s="91" t="s">
        <v>1479</v>
      </c>
    </row>
    <row r="35" spans="1:5" ht="14">
      <c r="A35" s="92" t="s">
        <v>2095</v>
      </c>
      <c r="B35" s="93">
        <v>20</v>
      </c>
      <c r="C35" s="93">
        <v>70</v>
      </c>
      <c r="D35" s="94"/>
      <c r="E35" s="91" t="s">
        <v>1481</v>
      </c>
    </row>
    <row r="36" spans="1:5" ht="14">
      <c r="A36" s="95" t="s">
        <v>3038</v>
      </c>
      <c r="B36" s="96">
        <v>20</v>
      </c>
      <c r="C36" s="96">
        <v>70</v>
      </c>
      <c r="D36" s="97">
        <v>18</v>
      </c>
      <c r="E36" s="91" t="s">
        <v>1483</v>
      </c>
    </row>
    <row r="37" spans="1:5" ht="14">
      <c r="A37" s="92" t="s">
        <v>2100</v>
      </c>
      <c r="B37" s="93">
        <v>20</v>
      </c>
      <c r="C37" s="93">
        <v>75</v>
      </c>
      <c r="D37" s="100"/>
      <c r="E37" s="91" t="s">
        <v>1485</v>
      </c>
    </row>
    <row r="38" spans="1:5" ht="14">
      <c r="A38" s="95" t="s">
        <v>3039</v>
      </c>
      <c r="B38" s="96">
        <v>20</v>
      </c>
      <c r="C38" s="96">
        <v>75</v>
      </c>
      <c r="D38" s="96">
        <v>64</v>
      </c>
      <c r="E38" s="91" t="s">
        <v>1487</v>
      </c>
    </row>
    <row r="39" spans="1:5" ht="14">
      <c r="A39" s="92" t="s">
        <v>2122</v>
      </c>
      <c r="B39" s="93">
        <v>20</v>
      </c>
      <c r="C39" s="93">
        <v>90</v>
      </c>
      <c r="D39" s="101"/>
      <c r="E39" s="91" t="s">
        <v>1489</v>
      </c>
    </row>
    <row r="40" spans="1:5" ht="14">
      <c r="A40" s="95" t="s">
        <v>3040</v>
      </c>
      <c r="B40" s="96">
        <v>20</v>
      </c>
      <c r="C40" s="96">
        <v>90</v>
      </c>
      <c r="D40" s="96">
        <v>16</v>
      </c>
      <c r="E40" s="91" t="s">
        <v>1491</v>
      </c>
    </row>
    <row r="41" spans="1:5" ht="14">
      <c r="A41" s="95" t="s">
        <v>3041</v>
      </c>
      <c r="B41" s="96">
        <v>20</v>
      </c>
      <c r="C41" s="96">
        <v>90</v>
      </c>
      <c r="D41" s="96">
        <v>27</v>
      </c>
      <c r="E41" s="91" t="s">
        <v>1493</v>
      </c>
    </row>
    <row r="42" spans="1:5" ht="14">
      <c r="A42" s="87" t="s">
        <v>2130</v>
      </c>
      <c r="B42" s="88">
        <v>25</v>
      </c>
      <c r="C42" s="89"/>
      <c r="D42" s="89"/>
      <c r="E42" s="91" t="s">
        <v>1495</v>
      </c>
    </row>
    <row r="43" spans="1:5" ht="14">
      <c r="A43" s="92" t="s">
        <v>2143</v>
      </c>
      <c r="B43" s="93">
        <v>25</v>
      </c>
      <c r="C43" s="93">
        <v>10</v>
      </c>
      <c r="D43" s="100"/>
      <c r="E43" s="91" t="s">
        <v>1497</v>
      </c>
    </row>
    <row r="44" spans="1:5" ht="14">
      <c r="A44" s="95" t="s">
        <v>3042</v>
      </c>
      <c r="B44" s="96">
        <v>25</v>
      </c>
      <c r="C44" s="96">
        <v>10</v>
      </c>
      <c r="D44" s="96">
        <v>15</v>
      </c>
      <c r="E44" s="91" t="s">
        <v>1500</v>
      </c>
    </row>
    <row r="45" spans="1:5" ht="14">
      <c r="A45" s="95" t="s">
        <v>2148</v>
      </c>
      <c r="B45" s="96">
        <v>25</v>
      </c>
      <c r="C45" s="96">
        <v>10</v>
      </c>
      <c r="D45" s="96">
        <v>20</v>
      </c>
      <c r="E45" s="91" t="s">
        <v>1503</v>
      </c>
    </row>
    <row r="46" spans="1:5" ht="14">
      <c r="A46" s="95" t="s">
        <v>3043</v>
      </c>
      <c r="B46" s="96">
        <v>25</v>
      </c>
      <c r="C46" s="96">
        <v>10</v>
      </c>
      <c r="D46" s="96">
        <v>45</v>
      </c>
      <c r="E46" s="91" t="s">
        <v>1505</v>
      </c>
    </row>
    <row r="47" spans="1:5" ht="14">
      <c r="A47" s="95" t="s">
        <v>3044</v>
      </c>
      <c r="B47" s="96">
        <v>25</v>
      </c>
      <c r="C47" s="96">
        <v>10</v>
      </c>
      <c r="D47" s="96">
        <v>66</v>
      </c>
      <c r="E47" s="91" t="s">
        <v>1507</v>
      </c>
    </row>
    <row r="48" spans="1:5" ht="14">
      <c r="A48" s="95" t="s">
        <v>3045</v>
      </c>
      <c r="B48" s="96">
        <v>25</v>
      </c>
      <c r="C48" s="96">
        <v>10</v>
      </c>
      <c r="D48" s="96">
        <v>77</v>
      </c>
      <c r="E48" s="91" t="s">
        <v>1509</v>
      </c>
    </row>
    <row r="49" spans="1:5" ht="14">
      <c r="A49" s="95" t="s">
        <v>3046</v>
      </c>
      <c r="B49" s="96">
        <v>25</v>
      </c>
      <c r="C49" s="96">
        <v>10</v>
      </c>
      <c r="D49" s="96">
        <v>80</v>
      </c>
      <c r="E49" s="91" t="s">
        <v>1512</v>
      </c>
    </row>
    <row r="50" spans="1:5" ht="14">
      <c r="A50" s="95" t="s">
        <v>3047</v>
      </c>
      <c r="B50" s="96">
        <v>25</v>
      </c>
      <c r="C50" s="96">
        <v>10</v>
      </c>
      <c r="D50" s="96">
        <v>88</v>
      </c>
      <c r="E50" s="91" t="s">
        <v>1514</v>
      </c>
    </row>
    <row r="51" spans="1:5" ht="14">
      <c r="A51" s="95" t="s">
        <v>3048</v>
      </c>
      <c r="B51" s="96">
        <v>25</v>
      </c>
      <c r="C51" s="96">
        <v>10</v>
      </c>
      <c r="D51" s="96">
        <v>92</v>
      </c>
      <c r="E51" s="91" t="s">
        <v>297</v>
      </c>
    </row>
    <row r="52" spans="1:5" ht="14">
      <c r="A52" s="92" t="s">
        <v>2160</v>
      </c>
      <c r="B52" s="93">
        <v>25</v>
      </c>
      <c r="C52" s="93">
        <v>30</v>
      </c>
      <c r="D52" s="100"/>
      <c r="E52" s="91" t="s">
        <v>1517</v>
      </c>
    </row>
    <row r="53" spans="1:5" ht="14">
      <c r="A53" s="95" t="s">
        <v>3049</v>
      </c>
      <c r="B53" s="96">
        <v>25</v>
      </c>
      <c r="C53" s="96">
        <v>30</v>
      </c>
      <c r="D53" s="96">
        <v>4</v>
      </c>
      <c r="E53" s="91" t="s">
        <v>1519</v>
      </c>
    </row>
    <row r="54" spans="1:5" ht="14">
      <c r="A54" s="95" t="s">
        <v>3050</v>
      </c>
      <c r="B54" s="96">
        <v>25</v>
      </c>
      <c r="C54" s="96">
        <v>30</v>
      </c>
      <c r="D54" s="96">
        <v>8</v>
      </c>
      <c r="E54" s="91" t="s">
        <v>1521</v>
      </c>
    </row>
    <row r="55" spans="1:5" ht="14">
      <c r="A55" s="95" t="s">
        <v>3051</v>
      </c>
      <c r="B55" s="96">
        <v>25</v>
      </c>
      <c r="C55" s="96">
        <v>30</v>
      </c>
      <c r="D55" s="96">
        <v>45</v>
      </c>
      <c r="E55" s="91" t="s">
        <v>1523</v>
      </c>
    </row>
    <row r="56" spans="1:5" ht="14">
      <c r="A56" s="95" t="s">
        <v>2164</v>
      </c>
      <c r="B56" s="96">
        <v>25</v>
      </c>
      <c r="C56" s="96">
        <v>30</v>
      </c>
      <c r="D56" s="96">
        <v>50</v>
      </c>
      <c r="E56" s="91" t="s">
        <v>1526</v>
      </c>
    </row>
    <row r="57" spans="1:5" ht="14">
      <c r="A57" s="95" t="s">
        <v>2172</v>
      </c>
      <c r="B57" s="96">
        <v>25</v>
      </c>
      <c r="C57" s="96">
        <v>30</v>
      </c>
      <c r="D57" s="96">
        <v>70</v>
      </c>
      <c r="E57" s="91" t="s">
        <v>1528</v>
      </c>
    </row>
    <row r="58" spans="1:5" ht="14">
      <c r="A58" s="92" t="s">
        <v>2182</v>
      </c>
      <c r="B58" s="93">
        <v>25</v>
      </c>
      <c r="C58" s="93">
        <v>50</v>
      </c>
      <c r="D58" s="100"/>
      <c r="E58" s="91" t="s">
        <v>1530</v>
      </c>
    </row>
    <row r="59" spans="1:5" ht="14">
      <c r="A59" s="95" t="s">
        <v>3052</v>
      </c>
      <c r="B59" s="96">
        <v>25</v>
      </c>
      <c r="C59" s="96">
        <v>50</v>
      </c>
      <c r="D59" s="96">
        <v>33</v>
      </c>
      <c r="E59" s="91" t="s">
        <v>1532</v>
      </c>
    </row>
    <row r="60" spans="1:5" ht="14">
      <c r="A60" s="95" t="s">
        <v>3053</v>
      </c>
      <c r="B60" s="96">
        <v>25</v>
      </c>
      <c r="C60" s="96">
        <v>50</v>
      </c>
      <c r="D60" s="96">
        <v>34</v>
      </c>
      <c r="E60" s="91" t="s">
        <v>1534</v>
      </c>
    </row>
    <row r="61" spans="1:5" ht="14">
      <c r="A61" s="95" t="s">
        <v>3054</v>
      </c>
      <c r="B61" s="96">
        <v>25</v>
      </c>
      <c r="C61" s="96">
        <v>50</v>
      </c>
      <c r="D61" s="96">
        <v>52</v>
      </c>
      <c r="E61" s="91" t="s">
        <v>1536</v>
      </c>
    </row>
    <row r="62" spans="1:5" ht="14">
      <c r="A62" s="95" t="s">
        <v>3055</v>
      </c>
      <c r="B62" s="96">
        <v>25</v>
      </c>
      <c r="C62" s="96">
        <v>50</v>
      </c>
      <c r="D62" s="96">
        <v>55</v>
      </c>
      <c r="E62" s="91" t="s">
        <v>343</v>
      </c>
    </row>
    <row r="63" spans="1:5" ht="14">
      <c r="A63" s="95" t="s">
        <v>3056</v>
      </c>
      <c r="B63" s="96">
        <v>25</v>
      </c>
      <c r="C63" s="96">
        <v>50</v>
      </c>
      <c r="D63" s="96">
        <v>58</v>
      </c>
      <c r="E63" s="91" t="s">
        <v>346</v>
      </c>
    </row>
    <row r="64" spans="1:5" ht="14">
      <c r="A64" s="95" t="s">
        <v>3057</v>
      </c>
      <c r="B64" s="96">
        <v>25</v>
      </c>
      <c r="C64" s="96">
        <v>50</v>
      </c>
      <c r="D64" s="96">
        <v>99</v>
      </c>
      <c r="E64" s="91" t="s">
        <v>352</v>
      </c>
    </row>
    <row r="65" spans="1:5" ht="14">
      <c r="A65" s="92" t="s">
        <v>2203</v>
      </c>
      <c r="B65" s="93">
        <v>25</v>
      </c>
      <c r="C65" s="93">
        <v>70</v>
      </c>
      <c r="D65" s="100"/>
      <c r="E65" s="91" t="s">
        <v>1541</v>
      </c>
    </row>
    <row r="66" spans="1:5" ht="14">
      <c r="A66" s="95" t="s">
        <v>3058</v>
      </c>
      <c r="B66" s="96">
        <v>25</v>
      </c>
      <c r="C66" s="96">
        <v>70</v>
      </c>
      <c r="D66" s="96">
        <v>16</v>
      </c>
      <c r="E66" s="91" t="s">
        <v>1543</v>
      </c>
    </row>
    <row r="67" spans="1:5" ht="14">
      <c r="A67" s="95" t="s">
        <v>3059</v>
      </c>
      <c r="B67" s="96">
        <v>25</v>
      </c>
      <c r="C67" s="96">
        <v>70</v>
      </c>
      <c r="D67" s="96">
        <v>23</v>
      </c>
      <c r="E67" s="91" t="s">
        <v>363</v>
      </c>
    </row>
    <row r="68" spans="1:5" ht="14">
      <c r="A68" s="95" t="s">
        <v>2214</v>
      </c>
      <c r="B68" s="96">
        <v>25</v>
      </c>
      <c r="C68" s="96">
        <v>70</v>
      </c>
      <c r="D68" s="96">
        <v>47</v>
      </c>
      <c r="E68" s="91" t="s">
        <v>1546</v>
      </c>
    </row>
    <row r="69" spans="1:5" ht="14">
      <c r="A69" s="92" t="s">
        <v>2217</v>
      </c>
      <c r="B69" s="93">
        <v>25</v>
      </c>
      <c r="C69" s="93">
        <v>90</v>
      </c>
      <c r="D69" s="100"/>
      <c r="E69" s="91" t="s">
        <v>1548</v>
      </c>
    </row>
    <row r="70" spans="1:5" ht="14">
      <c r="A70" s="95" t="s">
        <v>2219</v>
      </c>
      <c r="B70" s="96">
        <v>25</v>
      </c>
      <c r="C70" s="96">
        <v>90</v>
      </c>
      <c r="D70" s="96">
        <v>30</v>
      </c>
      <c r="E70" s="91" t="s">
        <v>1550</v>
      </c>
    </row>
    <row r="71" spans="1:5" ht="14">
      <c r="A71" s="87" t="s">
        <v>2221</v>
      </c>
      <c r="B71" s="88">
        <v>30</v>
      </c>
      <c r="C71" s="102"/>
      <c r="D71" s="102"/>
      <c r="E71" s="91" t="s">
        <v>1552</v>
      </c>
    </row>
    <row r="72" spans="1:5" ht="14">
      <c r="A72" s="92" t="s">
        <v>2272</v>
      </c>
      <c r="B72" s="93">
        <v>30</v>
      </c>
      <c r="C72" s="93">
        <v>40</v>
      </c>
      <c r="D72" s="101"/>
      <c r="E72" s="91" t="s">
        <v>1554</v>
      </c>
    </row>
    <row r="73" spans="1:5" ht="14">
      <c r="A73" s="95" t="s">
        <v>2275</v>
      </c>
      <c r="B73" s="96">
        <v>30</v>
      </c>
      <c r="C73" s="96">
        <v>40</v>
      </c>
      <c r="D73" s="96">
        <v>1</v>
      </c>
      <c r="E73" s="91" t="s">
        <v>1556</v>
      </c>
    </row>
    <row r="74" spans="1:5" ht="14">
      <c r="A74" s="95" t="s">
        <v>3060</v>
      </c>
      <c r="B74" s="96">
        <v>30</v>
      </c>
      <c r="C74" s="96">
        <v>40</v>
      </c>
      <c r="D74" s="96">
        <v>96</v>
      </c>
      <c r="E74" s="91" t="s">
        <v>1558</v>
      </c>
    </row>
    <row r="75" spans="1:5" ht="14">
      <c r="A75" s="92" t="s">
        <v>2332</v>
      </c>
      <c r="B75" s="93">
        <v>30</v>
      </c>
      <c r="C75" s="93">
        <v>90</v>
      </c>
      <c r="D75" s="101"/>
      <c r="E75" s="91" t="s">
        <v>1560</v>
      </c>
    </row>
    <row r="76" spans="1:5" ht="14">
      <c r="A76" s="87" t="s">
        <v>2485</v>
      </c>
      <c r="B76" s="88">
        <v>35</v>
      </c>
      <c r="C76" s="102"/>
      <c r="D76" s="102"/>
      <c r="E76" s="91" t="s">
        <v>1562</v>
      </c>
    </row>
    <row r="77" spans="1:5" ht="14">
      <c r="A77" s="92" t="s">
        <v>2487</v>
      </c>
      <c r="B77" s="93">
        <v>35</v>
      </c>
      <c r="C77" s="93">
        <v>10</v>
      </c>
      <c r="D77" s="100"/>
      <c r="E77" s="91" t="s">
        <v>1564</v>
      </c>
    </row>
    <row r="78" spans="1:5" ht="14">
      <c r="A78" s="95" t="s">
        <v>3061</v>
      </c>
      <c r="B78" s="96">
        <v>35</v>
      </c>
      <c r="C78" s="96">
        <v>10</v>
      </c>
      <c r="D78" s="96">
        <v>15</v>
      </c>
      <c r="E78" s="91" t="s">
        <v>1566</v>
      </c>
    </row>
    <row r="79" spans="1:5" ht="14">
      <c r="A79" s="95" t="s">
        <v>3062</v>
      </c>
      <c r="B79" s="96">
        <v>35</v>
      </c>
      <c r="C79" s="96">
        <v>10</v>
      </c>
      <c r="D79" s="96">
        <v>37</v>
      </c>
      <c r="E79" s="91" t="s">
        <v>1568</v>
      </c>
    </row>
    <row r="80" spans="1:5" ht="14">
      <c r="A80" s="95" t="s">
        <v>3063</v>
      </c>
      <c r="B80" s="96">
        <v>35</v>
      </c>
      <c r="C80" s="96">
        <v>10</v>
      </c>
      <c r="D80" s="96">
        <v>50</v>
      </c>
      <c r="E80" s="91" t="s">
        <v>1571</v>
      </c>
    </row>
    <row r="81" spans="1:5" ht="14">
      <c r="A81" s="95" t="s">
        <v>3064</v>
      </c>
      <c r="B81" s="96">
        <v>35</v>
      </c>
      <c r="C81" s="96">
        <v>10</v>
      </c>
      <c r="D81" s="96">
        <v>60</v>
      </c>
      <c r="E81" s="91" t="s">
        <v>1574</v>
      </c>
    </row>
    <row r="82" spans="1:5" ht="14">
      <c r="A82" s="95" t="s">
        <v>3065</v>
      </c>
      <c r="B82" s="96">
        <v>35</v>
      </c>
      <c r="C82" s="96">
        <v>10</v>
      </c>
      <c r="D82" s="96">
        <v>70</v>
      </c>
      <c r="E82" s="91" t="s">
        <v>1577</v>
      </c>
    </row>
    <row r="83" spans="1:5" ht="14">
      <c r="A83" s="95" t="s">
        <v>3066</v>
      </c>
      <c r="B83" s="96">
        <v>35</v>
      </c>
      <c r="C83" s="96">
        <v>10</v>
      </c>
      <c r="D83" s="96">
        <v>80</v>
      </c>
      <c r="E83" s="91" t="s">
        <v>1580</v>
      </c>
    </row>
    <row r="84" spans="1:5" ht="14">
      <c r="A84" s="92" t="s">
        <v>2492</v>
      </c>
      <c r="B84" s="93">
        <v>35</v>
      </c>
      <c r="C84" s="93">
        <v>50</v>
      </c>
      <c r="D84" s="100"/>
      <c r="E84" s="91" t="s">
        <v>1582</v>
      </c>
    </row>
    <row r="85" spans="1:5" ht="14">
      <c r="A85" s="95" t="s">
        <v>3067</v>
      </c>
      <c r="B85" s="96">
        <v>35</v>
      </c>
      <c r="C85" s="96">
        <v>50</v>
      </c>
      <c r="D85" s="96">
        <v>30</v>
      </c>
      <c r="E85" s="91" t="s">
        <v>1584</v>
      </c>
    </row>
    <row r="86" spans="1:5" ht="14">
      <c r="A86" s="95" t="s">
        <v>3068</v>
      </c>
      <c r="B86" s="96">
        <v>35</v>
      </c>
      <c r="C86" s="96">
        <v>50</v>
      </c>
      <c r="D86" s="96">
        <v>37</v>
      </c>
      <c r="E86" s="91" t="s">
        <v>1586</v>
      </c>
    </row>
    <row r="87" spans="1:5" ht="14">
      <c r="A87" s="95" t="s">
        <v>3069</v>
      </c>
      <c r="B87" s="96">
        <v>35</v>
      </c>
      <c r="C87" s="96">
        <v>50</v>
      </c>
      <c r="D87" s="96">
        <v>82</v>
      </c>
      <c r="E87" s="91" t="s">
        <v>1588</v>
      </c>
    </row>
    <row r="88" spans="1:5" ht="14">
      <c r="A88" s="92" t="s">
        <v>2500</v>
      </c>
      <c r="B88" s="93">
        <v>35</v>
      </c>
      <c r="C88" s="93">
        <v>70</v>
      </c>
      <c r="D88" s="100"/>
      <c r="E88" s="91" t="s">
        <v>1590</v>
      </c>
    </row>
    <row r="89" spans="1:5" ht="14">
      <c r="A89" s="95" t="s">
        <v>3070</v>
      </c>
      <c r="B89" s="96">
        <v>35</v>
      </c>
      <c r="C89" s="96">
        <v>70</v>
      </c>
      <c r="D89" s="96">
        <v>13</v>
      </c>
      <c r="E89" s="91" t="s">
        <v>739</v>
      </c>
    </row>
    <row r="90" spans="1:5" ht="14">
      <c r="A90" s="95" t="s">
        <v>3071</v>
      </c>
      <c r="B90" s="96">
        <v>35</v>
      </c>
      <c r="C90" s="96">
        <v>70</v>
      </c>
      <c r="D90" s="96">
        <v>16</v>
      </c>
      <c r="E90" s="91" t="s">
        <v>742</v>
      </c>
    </row>
    <row r="91" spans="1:5" ht="14">
      <c r="A91" s="95" t="s">
        <v>3072</v>
      </c>
      <c r="B91" s="96">
        <v>35</v>
      </c>
      <c r="C91" s="96">
        <v>70</v>
      </c>
      <c r="D91" s="96">
        <v>32</v>
      </c>
      <c r="E91" s="91" t="s">
        <v>735</v>
      </c>
    </row>
    <row r="92" spans="1:5" ht="14">
      <c r="A92" s="92" t="s">
        <v>2519</v>
      </c>
      <c r="B92" s="93">
        <v>35</v>
      </c>
      <c r="C92" s="93">
        <v>85</v>
      </c>
      <c r="D92" s="100"/>
      <c r="E92" s="91" t="s">
        <v>1595</v>
      </c>
    </row>
    <row r="93" spans="1:5" ht="14">
      <c r="A93" s="95" t="s">
        <v>3073</v>
      </c>
      <c r="B93" s="96">
        <v>35</v>
      </c>
      <c r="C93" s="96">
        <v>85</v>
      </c>
      <c r="D93" s="96">
        <v>5</v>
      </c>
      <c r="E93" s="91" t="s">
        <v>763</v>
      </c>
    </row>
    <row r="94" spans="1:5" ht="14">
      <c r="A94" s="95" t="s">
        <v>3074</v>
      </c>
      <c r="B94" s="96">
        <v>35</v>
      </c>
      <c r="C94" s="96">
        <v>85</v>
      </c>
      <c r="D94" s="96">
        <v>10</v>
      </c>
      <c r="E94" s="91" t="s">
        <v>1599</v>
      </c>
    </row>
    <row r="95" spans="1:5" ht="14">
      <c r="A95" s="95" t="s">
        <v>3075</v>
      </c>
      <c r="B95" s="96">
        <v>35</v>
      </c>
      <c r="C95" s="96">
        <v>85</v>
      </c>
      <c r="D95" s="96">
        <v>45</v>
      </c>
      <c r="E95" s="91" t="s">
        <v>766</v>
      </c>
    </row>
    <row r="96" spans="1:5" ht="14">
      <c r="A96" s="95" t="s">
        <v>3076</v>
      </c>
      <c r="B96" s="96">
        <v>35</v>
      </c>
      <c r="C96" s="96">
        <v>85</v>
      </c>
      <c r="D96" s="96">
        <v>85</v>
      </c>
      <c r="E96" s="91" t="s">
        <v>1602</v>
      </c>
    </row>
    <row r="97" spans="1:5" ht="14">
      <c r="A97" s="95" t="s">
        <v>3077</v>
      </c>
      <c r="B97" s="96">
        <v>35</v>
      </c>
      <c r="C97" s="96">
        <v>85</v>
      </c>
      <c r="D97" s="96">
        <v>90</v>
      </c>
      <c r="E97" s="91" t="s">
        <v>1605</v>
      </c>
    </row>
    <row r="98" spans="1:5" ht="14">
      <c r="A98" s="92" t="s">
        <v>2527</v>
      </c>
      <c r="B98" s="93">
        <v>35</v>
      </c>
      <c r="C98" s="93">
        <v>90</v>
      </c>
      <c r="D98" s="101"/>
      <c r="E98" s="91" t="s">
        <v>1607</v>
      </c>
    </row>
    <row r="99" spans="1:5" ht="14">
      <c r="A99" s="95" t="s">
        <v>3078</v>
      </c>
      <c r="B99" s="96">
        <v>35</v>
      </c>
      <c r="C99" s="96">
        <v>90</v>
      </c>
      <c r="D99" s="96">
        <v>95</v>
      </c>
      <c r="E99" s="91" t="s">
        <v>785</v>
      </c>
    </row>
    <row r="100" spans="1:5" ht="14">
      <c r="A100" s="87" t="s">
        <v>2537</v>
      </c>
      <c r="B100" s="88">
        <v>40</v>
      </c>
      <c r="C100" s="102"/>
      <c r="D100" s="102"/>
      <c r="E100" s="91" t="s">
        <v>1610</v>
      </c>
    </row>
    <row r="101" spans="1:5" ht="14">
      <c r="A101" s="92" t="s">
        <v>2539</v>
      </c>
      <c r="B101" s="93">
        <v>40</v>
      </c>
      <c r="C101" s="93">
        <v>5</v>
      </c>
      <c r="D101" s="100"/>
      <c r="E101" s="91" t="s">
        <v>1612</v>
      </c>
    </row>
    <row r="102" spans="1:5" ht="14">
      <c r="A102" s="95" t="s">
        <v>3079</v>
      </c>
      <c r="B102" s="96">
        <v>40</v>
      </c>
      <c r="C102" s="96">
        <v>5</v>
      </c>
      <c r="D102" s="96">
        <v>2</v>
      </c>
      <c r="E102" s="91" t="s">
        <v>794</v>
      </c>
    </row>
    <row r="103" spans="1:5" ht="14">
      <c r="A103" s="95" t="s">
        <v>2541</v>
      </c>
      <c r="B103" s="96">
        <v>40</v>
      </c>
      <c r="C103" s="96">
        <v>5</v>
      </c>
      <c r="D103" s="96">
        <v>3</v>
      </c>
      <c r="E103" s="91" t="s">
        <v>797</v>
      </c>
    </row>
    <row r="104" spans="1:5" ht="14">
      <c r="A104" s="95" t="s">
        <v>3080</v>
      </c>
      <c r="B104" s="96">
        <v>40</v>
      </c>
      <c r="C104" s="96">
        <v>5</v>
      </c>
      <c r="D104" s="96">
        <v>30</v>
      </c>
      <c r="E104" s="91" t="s">
        <v>1616</v>
      </c>
    </row>
    <row r="105" spans="1:5" ht="14">
      <c r="A105" s="95" t="s">
        <v>3081</v>
      </c>
      <c r="B105" s="96">
        <v>40</v>
      </c>
      <c r="C105" s="96">
        <v>5</v>
      </c>
      <c r="D105" s="96">
        <v>89</v>
      </c>
      <c r="E105" s="91" t="s">
        <v>808</v>
      </c>
    </row>
    <row r="106" spans="1:5" ht="14">
      <c r="A106" s="92" t="s">
        <v>2560</v>
      </c>
      <c r="B106" s="93">
        <v>40</v>
      </c>
      <c r="C106" s="93">
        <v>60</v>
      </c>
      <c r="D106" s="100"/>
      <c r="E106" s="91" t="s">
        <v>1619</v>
      </c>
    </row>
    <row r="107" spans="1:5" ht="14">
      <c r="A107" s="95" t="s">
        <v>3082</v>
      </c>
      <c r="B107" s="96">
        <v>40</v>
      </c>
      <c r="C107" s="96">
        <v>60</v>
      </c>
      <c r="D107" s="96">
        <v>13</v>
      </c>
      <c r="E107" s="91" t="s">
        <v>1621</v>
      </c>
    </row>
    <row r="108" spans="1:5" ht="14">
      <c r="A108" s="95" t="s">
        <v>3083</v>
      </c>
      <c r="B108" s="96">
        <v>40</v>
      </c>
      <c r="C108" s="96">
        <v>60</v>
      </c>
      <c r="D108" s="96">
        <v>16</v>
      </c>
      <c r="E108" s="91" t="s">
        <v>1623</v>
      </c>
    </row>
    <row r="109" spans="1:5" ht="14">
      <c r="A109" s="95" t="s">
        <v>3084</v>
      </c>
      <c r="B109" s="96">
        <v>40</v>
      </c>
      <c r="C109" s="96">
        <v>60</v>
      </c>
      <c r="D109" s="96">
        <v>20</v>
      </c>
      <c r="E109" s="91" t="s">
        <v>1626</v>
      </c>
    </row>
    <row r="110" spans="1:5" ht="14">
      <c r="A110" s="95" t="s">
        <v>3085</v>
      </c>
      <c r="B110" s="96">
        <v>40</v>
      </c>
      <c r="C110" s="96">
        <v>60</v>
      </c>
      <c r="D110" s="96">
        <v>25</v>
      </c>
      <c r="E110" s="91" t="s">
        <v>1629</v>
      </c>
    </row>
    <row r="111" spans="1:5" ht="14">
      <c r="A111" s="95" t="s">
        <v>3086</v>
      </c>
      <c r="B111" s="96">
        <v>40</v>
      </c>
      <c r="C111" s="96">
        <v>60</v>
      </c>
      <c r="D111" s="96">
        <v>30</v>
      </c>
      <c r="E111" s="91" t="s">
        <v>1631</v>
      </c>
    </row>
    <row r="112" spans="1:5" ht="14">
      <c r="A112" s="95" t="s">
        <v>3087</v>
      </c>
      <c r="B112" s="96">
        <v>40</v>
      </c>
      <c r="C112" s="96">
        <v>60</v>
      </c>
      <c r="D112" s="96">
        <v>35</v>
      </c>
      <c r="E112" s="91" t="s">
        <v>1634</v>
      </c>
    </row>
    <row r="113" spans="1:5" ht="14">
      <c r="A113" s="95" t="s">
        <v>3088</v>
      </c>
      <c r="B113" s="96">
        <v>40</v>
      </c>
      <c r="C113" s="96">
        <v>60</v>
      </c>
      <c r="D113" s="96">
        <v>88</v>
      </c>
      <c r="E113" s="91" t="s">
        <v>853</v>
      </c>
    </row>
    <row r="114" spans="1:5" ht="14">
      <c r="A114" s="92" t="s">
        <v>2566</v>
      </c>
      <c r="B114" s="93">
        <v>40</v>
      </c>
      <c r="C114" s="93">
        <v>75</v>
      </c>
      <c r="D114" s="100"/>
      <c r="E114" s="91" t="s">
        <v>1637</v>
      </c>
    </row>
    <row r="115" spans="1:5" ht="14">
      <c r="A115" s="95" t="s">
        <v>2570</v>
      </c>
      <c r="B115" s="96">
        <v>40</v>
      </c>
      <c r="C115" s="96">
        <v>75</v>
      </c>
      <c r="D115" s="96">
        <v>15</v>
      </c>
      <c r="E115" s="91" t="s">
        <v>861</v>
      </c>
    </row>
    <row r="116" spans="1:5" ht="14">
      <c r="A116" s="95" t="s">
        <v>3089</v>
      </c>
      <c r="B116" s="96">
        <v>40</v>
      </c>
      <c r="C116" s="96">
        <v>75</v>
      </c>
      <c r="D116" s="96">
        <v>20</v>
      </c>
      <c r="E116" s="91" t="s">
        <v>1641</v>
      </c>
    </row>
    <row r="117" spans="1:5" ht="14">
      <c r="A117" s="95" t="s">
        <v>3090</v>
      </c>
      <c r="B117" s="96">
        <v>40</v>
      </c>
      <c r="C117" s="96">
        <v>75</v>
      </c>
      <c r="D117" s="96">
        <v>25</v>
      </c>
      <c r="E117" s="91" t="s">
        <v>1644</v>
      </c>
    </row>
    <row r="118" spans="1:5" ht="14">
      <c r="A118" s="95" t="s">
        <v>3091</v>
      </c>
      <c r="B118" s="96">
        <v>40</v>
      </c>
      <c r="C118" s="96">
        <v>75</v>
      </c>
      <c r="D118" s="96">
        <v>30</v>
      </c>
      <c r="E118" s="91" t="s">
        <v>1647</v>
      </c>
    </row>
    <row r="119" spans="1:5" ht="14">
      <c r="A119" s="95" t="s">
        <v>3092</v>
      </c>
      <c r="B119" s="96">
        <v>40</v>
      </c>
      <c r="C119" s="96">
        <v>75</v>
      </c>
      <c r="D119" s="96">
        <v>68</v>
      </c>
      <c r="E119" s="91" t="s">
        <v>867</v>
      </c>
    </row>
    <row r="120" spans="1:5" ht="14">
      <c r="A120" s="87" t="s">
        <v>2576</v>
      </c>
      <c r="B120" s="88">
        <v>42</v>
      </c>
      <c r="C120" s="89"/>
      <c r="D120" s="89"/>
      <c r="E120" s="91" t="s">
        <v>1650</v>
      </c>
    </row>
    <row r="121" spans="1:5" ht="14">
      <c r="A121" s="92" t="s">
        <v>2586</v>
      </c>
      <c r="B121" s="93">
        <v>42</v>
      </c>
      <c r="C121" s="93">
        <v>40</v>
      </c>
      <c r="D121" s="101"/>
      <c r="E121" s="91" t="s">
        <v>1652</v>
      </c>
    </row>
    <row r="122" spans="1:5" ht="14">
      <c r="A122" s="95" t="s">
        <v>3093</v>
      </c>
      <c r="B122" s="96">
        <v>42</v>
      </c>
      <c r="C122" s="96">
        <v>40</v>
      </c>
      <c r="D122" s="96">
        <v>10</v>
      </c>
      <c r="E122" s="91" t="s">
        <v>881</v>
      </c>
    </row>
    <row r="123" spans="1:5" ht="14">
      <c r="A123" s="95" t="s">
        <v>3094</v>
      </c>
      <c r="B123" s="96">
        <v>42</v>
      </c>
      <c r="C123" s="96">
        <v>40</v>
      </c>
      <c r="D123" s="96">
        <v>20</v>
      </c>
      <c r="E123" s="91" t="s">
        <v>1656</v>
      </c>
    </row>
    <row r="124" spans="1:5" ht="14">
      <c r="A124" s="95" t="s">
        <v>3095</v>
      </c>
      <c r="B124" s="96">
        <v>42</v>
      </c>
      <c r="C124" s="96">
        <v>40</v>
      </c>
      <c r="D124" s="96">
        <v>40</v>
      </c>
      <c r="E124" s="91" t="s">
        <v>1658</v>
      </c>
    </row>
    <row r="125" spans="1:5" ht="14">
      <c r="A125" s="95" t="s">
        <v>3096</v>
      </c>
      <c r="B125" s="96">
        <v>42</v>
      </c>
      <c r="C125" s="96">
        <v>40</v>
      </c>
      <c r="D125" s="96">
        <v>45</v>
      </c>
      <c r="E125" s="91" t="s">
        <v>1661</v>
      </c>
    </row>
    <row r="126" spans="1:5" ht="14">
      <c r="A126" s="92" t="s">
        <v>3097</v>
      </c>
      <c r="B126" s="93">
        <v>42</v>
      </c>
      <c r="C126" s="93">
        <v>50</v>
      </c>
      <c r="D126" s="101"/>
      <c r="E126" s="91" t="s">
        <v>1663</v>
      </c>
    </row>
    <row r="127" spans="1:5" ht="14">
      <c r="A127" s="95" t="s">
        <v>3098</v>
      </c>
      <c r="B127" s="96">
        <v>42</v>
      </c>
      <c r="C127" s="96">
        <v>50</v>
      </c>
      <c r="D127" s="96">
        <v>10</v>
      </c>
      <c r="E127" s="91" t="s">
        <v>892</v>
      </c>
    </row>
    <row r="128" spans="1:5" ht="14">
      <c r="A128" s="95" t="s">
        <v>3099</v>
      </c>
      <c r="B128" s="96">
        <v>42</v>
      </c>
      <c r="C128" s="96">
        <v>50</v>
      </c>
      <c r="D128" s="96">
        <v>20</v>
      </c>
      <c r="E128" s="91" t="s">
        <v>1667</v>
      </c>
    </row>
    <row r="129" spans="1:5" ht="14">
      <c r="A129" s="95" t="s">
        <v>3100</v>
      </c>
      <c r="B129" s="96">
        <v>42</v>
      </c>
      <c r="C129" s="96">
        <v>50</v>
      </c>
      <c r="D129" s="96">
        <v>30</v>
      </c>
      <c r="E129" s="91" t="s">
        <v>896</v>
      </c>
    </row>
    <row r="130" spans="1:5" ht="14">
      <c r="A130" s="95" t="s">
        <v>3101</v>
      </c>
      <c r="B130" s="96">
        <v>42</v>
      </c>
      <c r="C130" s="96">
        <v>50</v>
      </c>
      <c r="D130" s="96">
        <v>60</v>
      </c>
      <c r="E130" s="91" t="s">
        <v>1670</v>
      </c>
    </row>
    <row r="131" spans="1:5" ht="14">
      <c r="A131" s="95" t="s">
        <v>3102</v>
      </c>
      <c r="B131" s="96">
        <v>42</v>
      </c>
      <c r="C131" s="96">
        <v>50</v>
      </c>
      <c r="D131" s="96">
        <v>70</v>
      </c>
      <c r="E131" s="91" t="s">
        <v>1672</v>
      </c>
    </row>
    <row r="132" spans="1:5" ht="14">
      <c r="A132" s="92" t="s">
        <v>2596</v>
      </c>
      <c r="B132" s="93">
        <v>42</v>
      </c>
      <c r="C132" s="93">
        <v>85</v>
      </c>
      <c r="D132" s="100"/>
      <c r="E132" s="91" t="s">
        <v>1674</v>
      </c>
    </row>
    <row r="133" spans="1:5" ht="14">
      <c r="A133" s="95" t="s">
        <v>3103</v>
      </c>
      <c r="B133" s="96">
        <v>42</v>
      </c>
      <c r="C133" s="96">
        <v>85</v>
      </c>
      <c r="D133" s="96">
        <v>40</v>
      </c>
      <c r="E133" s="91" t="s">
        <v>1676</v>
      </c>
    </row>
    <row r="134" spans="1:5" ht="14">
      <c r="A134" s="95" t="s">
        <v>2598</v>
      </c>
      <c r="B134" s="96">
        <v>42</v>
      </c>
      <c r="C134" s="96">
        <v>85</v>
      </c>
      <c r="D134" s="96">
        <v>60</v>
      </c>
      <c r="E134" s="91" t="s">
        <v>1678</v>
      </c>
    </row>
    <row r="135" spans="1:5" ht="14">
      <c r="A135" s="95" t="s">
        <v>3104</v>
      </c>
      <c r="B135" s="96">
        <v>42</v>
      </c>
      <c r="C135" s="96">
        <v>85</v>
      </c>
      <c r="D135" s="96">
        <v>96</v>
      </c>
      <c r="E135" s="91" t="s">
        <v>1680</v>
      </c>
    </row>
    <row r="136" spans="1:5" ht="14">
      <c r="A136" s="92" t="s">
        <v>2602</v>
      </c>
      <c r="B136" s="93">
        <v>42</v>
      </c>
      <c r="C136" s="93">
        <v>90</v>
      </c>
      <c r="D136" s="100"/>
      <c r="E136" s="91" t="s">
        <v>1683</v>
      </c>
    </row>
    <row r="137" spans="1:5" ht="14">
      <c r="A137" s="95" t="s">
        <v>3105</v>
      </c>
      <c r="B137" s="96">
        <v>42</v>
      </c>
      <c r="C137" s="96">
        <v>90</v>
      </c>
      <c r="D137" s="96">
        <v>5</v>
      </c>
      <c r="E137" s="91" t="s">
        <v>1686</v>
      </c>
    </row>
    <row r="138" spans="1:5" ht="14">
      <c r="A138" s="95" t="s">
        <v>3106</v>
      </c>
      <c r="B138" s="96">
        <v>42</v>
      </c>
      <c r="C138" s="96">
        <v>90</v>
      </c>
      <c r="D138" s="96">
        <v>10</v>
      </c>
      <c r="E138" s="91" t="s">
        <v>1689</v>
      </c>
    </row>
    <row r="139" spans="1:5" ht="14">
      <c r="A139" s="87" t="s">
        <v>3107</v>
      </c>
      <c r="B139" s="88">
        <v>45</v>
      </c>
      <c r="C139" s="102"/>
      <c r="D139" s="102"/>
      <c r="E139" s="91" t="s">
        <v>1692</v>
      </c>
    </row>
    <row r="140" spans="1:5" ht="14">
      <c r="A140" s="87" t="s">
        <v>2610</v>
      </c>
      <c r="B140" s="88">
        <v>45</v>
      </c>
      <c r="C140" s="102"/>
      <c r="D140" s="102"/>
      <c r="E140" s="91" t="s">
        <v>1694</v>
      </c>
    </row>
    <row r="141" spans="1:5" ht="14">
      <c r="A141" s="92" t="s">
        <v>2612</v>
      </c>
      <c r="B141" s="93">
        <v>45</v>
      </c>
      <c r="C141" s="93">
        <v>10</v>
      </c>
      <c r="D141" s="100"/>
      <c r="E141" s="91" t="s">
        <v>1696</v>
      </c>
    </row>
    <row r="142" spans="1:5" ht="14">
      <c r="A142" s="95" t="s">
        <v>3108</v>
      </c>
      <c r="B142" s="96">
        <v>45</v>
      </c>
      <c r="C142" s="96">
        <v>10</v>
      </c>
      <c r="D142" s="96">
        <v>15</v>
      </c>
      <c r="E142" s="91" t="s">
        <v>938</v>
      </c>
    </row>
    <row r="143" spans="1:5" ht="14">
      <c r="A143" s="95" t="s">
        <v>3109</v>
      </c>
      <c r="B143" s="96">
        <v>45</v>
      </c>
      <c r="C143" s="96">
        <v>10</v>
      </c>
      <c r="D143" s="96">
        <v>16</v>
      </c>
      <c r="E143" s="91" t="s">
        <v>1700</v>
      </c>
    </row>
    <row r="144" spans="1:5" ht="14">
      <c r="A144" s="95" t="s">
        <v>3110</v>
      </c>
      <c r="B144" s="96">
        <v>45</v>
      </c>
      <c r="C144" s="96">
        <v>10</v>
      </c>
      <c r="D144" s="96">
        <v>17</v>
      </c>
      <c r="E144" s="91" t="s">
        <v>1703</v>
      </c>
    </row>
    <row r="145" spans="1:5" ht="14">
      <c r="A145" s="95" t="s">
        <v>3111</v>
      </c>
      <c r="B145" s="96">
        <v>45</v>
      </c>
      <c r="C145" s="96">
        <v>10</v>
      </c>
      <c r="D145" s="96">
        <v>18</v>
      </c>
      <c r="E145" s="91" t="s">
        <v>1706</v>
      </c>
    </row>
    <row r="146" spans="1:5" ht="14">
      <c r="A146" s="95" t="s">
        <v>3112</v>
      </c>
      <c r="B146" s="96">
        <v>45</v>
      </c>
      <c r="C146" s="96">
        <v>10</v>
      </c>
      <c r="D146" s="96">
        <v>23</v>
      </c>
      <c r="E146" s="91" t="s">
        <v>1709</v>
      </c>
    </row>
    <row r="147" spans="1:5" ht="14">
      <c r="A147" s="95" t="s">
        <v>3113</v>
      </c>
      <c r="B147" s="96">
        <v>45</v>
      </c>
      <c r="C147" s="96">
        <v>10</v>
      </c>
      <c r="D147" s="96">
        <v>24</v>
      </c>
      <c r="E147" s="91" t="s">
        <v>1712</v>
      </c>
    </row>
    <row r="148" spans="1:5" ht="14">
      <c r="A148" s="95" t="s">
        <v>3114</v>
      </c>
      <c r="B148" s="96">
        <v>45</v>
      </c>
      <c r="C148" s="96">
        <v>10</v>
      </c>
      <c r="D148" s="96">
        <v>25</v>
      </c>
      <c r="E148" s="91" t="s">
        <v>1715</v>
      </c>
    </row>
    <row r="149" spans="1:5" ht="14">
      <c r="A149" s="95" t="s">
        <v>3115</v>
      </c>
      <c r="B149" s="96">
        <v>45</v>
      </c>
      <c r="C149" s="96">
        <v>10</v>
      </c>
      <c r="D149" s="96">
        <v>44</v>
      </c>
      <c r="E149" s="91" t="s">
        <v>1718</v>
      </c>
    </row>
    <row r="150" spans="1:5" ht="14">
      <c r="A150" s="95" t="s">
        <v>3116</v>
      </c>
      <c r="B150" s="96">
        <v>45</v>
      </c>
      <c r="C150" s="96">
        <v>10</v>
      </c>
      <c r="D150" s="96">
        <v>45</v>
      </c>
      <c r="E150" s="91" t="s">
        <v>1721</v>
      </c>
    </row>
    <row r="151" spans="1:5" ht="14">
      <c r="A151" s="95" t="s">
        <v>2616</v>
      </c>
      <c r="B151" s="96">
        <v>45</v>
      </c>
      <c r="C151" s="96">
        <v>10</v>
      </c>
      <c r="D151" s="96">
        <v>47</v>
      </c>
      <c r="E151" s="91" t="s">
        <v>1724</v>
      </c>
    </row>
    <row r="152" spans="1:5" ht="14">
      <c r="A152" s="95" t="s">
        <v>3117</v>
      </c>
      <c r="B152" s="96">
        <v>45</v>
      </c>
      <c r="C152" s="96">
        <v>10</v>
      </c>
      <c r="D152" s="96">
        <v>78</v>
      </c>
      <c r="E152" s="91" t="s">
        <v>1726</v>
      </c>
    </row>
    <row r="153" spans="1:5" ht="14">
      <c r="A153" s="87" t="s">
        <v>3118</v>
      </c>
      <c r="B153" s="88">
        <v>47</v>
      </c>
      <c r="C153" s="89"/>
      <c r="D153" s="89"/>
      <c r="E153" s="91" t="s">
        <v>1729</v>
      </c>
    </row>
    <row r="154" spans="1:5" ht="14">
      <c r="A154" s="92" t="s">
        <v>3119</v>
      </c>
      <c r="B154" s="93">
        <v>47</v>
      </c>
      <c r="C154" s="93">
        <v>10</v>
      </c>
      <c r="D154" s="100"/>
      <c r="E154" s="91" t="s">
        <v>1732</v>
      </c>
    </row>
    <row r="155" spans="1:5" ht="14">
      <c r="A155" s="95" t="s">
        <v>3120</v>
      </c>
      <c r="B155" s="96">
        <v>47</v>
      </c>
      <c r="C155" s="96">
        <v>10</v>
      </c>
      <c r="D155" s="96">
        <v>5</v>
      </c>
      <c r="E155" s="91" t="s">
        <v>952</v>
      </c>
    </row>
    <row r="156" spans="1:5" ht="14">
      <c r="A156" s="95" t="s">
        <v>3121</v>
      </c>
      <c r="B156" s="96">
        <v>47</v>
      </c>
      <c r="C156" s="96">
        <v>10</v>
      </c>
      <c r="D156" s="96">
        <v>10</v>
      </c>
      <c r="E156" s="91" t="s">
        <v>1737</v>
      </c>
    </row>
    <row r="157" spans="1:5" ht="14">
      <c r="A157" s="95" t="s">
        <v>3122</v>
      </c>
      <c r="B157" s="96">
        <v>47</v>
      </c>
      <c r="C157" s="96">
        <v>10</v>
      </c>
      <c r="D157" s="96">
        <v>15</v>
      </c>
      <c r="E157" s="91" t="s">
        <v>1740</v>
      </c>
    </row>
    <row r="158" spans="1:5" ht="14">
      <c r="A158" s="95" t="s">
        <v>3123</v>
      </c>
      <c r="B158" s="96">
        <v>47</v>
      </c>
      <c r="C158" s="96">
        <v>10</v>
      </c>
      <c r="D158" s="96">
        <v>20</v>
      </c>
      <c r="E158" s="91" t="s">
        <v>1743</v>
      </c>
    </row>
    <row r="159" spans="1:5" ht="14">
      <c r="A159" s="95" t="s">
        <v>3124</v>
      </c>
      <c r="B159" s="96">
        <v>47</v>
      </c>
      <c r="C159" s="96">
        <v>10</v>
      </c>
      <c r="D159" s="96">
        <v>25</v>
      </c>
      <c r="E159" s="91" t="s">
        <v>966</v>
      </c>
    </row>
    <row r="160" spans="1:5" ht="14">
      <c r="A160" s="95" t="s">
        <v>3125</v>
      </c>
      <c r="B160" s="96">
        <v>47</v>
      </c>
      <c r="C160" s="96">
        <v>10</v>
      </c>
      <c r="D160" s="96">
        <v>30</v>
      </c>
      <c r="E160" s="91" t="s">
        <v>1748</v>
      </c>
    </row>
    <row r="161" spans="1:5" ht="14">
      <c r="A161" s="92" t="s">
        <v>3126</v>
      </c>
      <c r="B161" s="93">
        <v>47</v>
      </c>
      <c r="C161" s="93">
        <v>20</v>
      </c>
      <c r="D161" s="101"/>
      <c r="E161" s="91" t="s">
        <v>1751</v>
      </c>
    </row>
    <row r="162" spans="1:5" ht="14">
      <c r="A162" s="95" t="s">
        <v>3127</v>
      </c>
      <c r="B162" s="96">
        <v>47</v>
      </c>
      <c r="C162" s="96">
        <v>20</v>
      </c>
      <c r="D162" s="96">
        <v>5</v>
      </c>
      <c r="E162" s="91" t="s">
        <v>1754</v>
      </c>
    </row>
    <row r="163" spans="1:5" ht="14">
      <c r="A163" s="95" t="s">
        <v>3128</v>
      </c>
      <c r="B163" s="96">
        <v>47</v>
      </c>
      <c r="C163" s="96">
        <v>20</v>
      </c>
      <c r="D163" s="96">
        <v>10</v>
      </c>
      <c r="E163" s="91" t="s">
        <v>1757</v>
      </c>
    </row>
    <row r="164" spans="1:5" ht="14">
      <c r="A164" s="95" t="s">
        <v>3129</v>
      </c>
      <c r="B164" s="96">
        <v>47</v>
      </c>
      <c r="C164" s="96">
        <v>20</v>
      </c>
      <c r="D164" s="96">
        <v>15</v>
      </c>
      <c r="E164" s="91" t="s">
        <v>1760</v>
      </c>
    </row>
    <row r="165" spans="1:5" ht="14">
      <c r="A165" s="92" t="s">
        <v>3130</v>
      </c>
      <c r="B165" s="93">
        <v>47</v>
      </c>
      <c r="C165" s="93">
        <v>30</v>
      </c>
      <c r="D165" s="100"/>
      <c r="E165" s="91" t="s">
        <v>932</v>
      </c>
    </row>
    <row r="166" spans="1:5" ht="14">
      <c r="A166" s="92" t="s">
        <v>3131</v>
      </c>
      <c r="B166" s="93">
        <v>47</v>
      </c>
      <c r="C166" s="93">
        <v>50</v>
      </c>
      <c r="D166" s="100"/>
      <c r="E166" s="91" t="s">
        <v>1765</v>
      </c>
    </row>
    <row r="167" spans="1:5" ht="14">
      <c r="A167" s="95" t="s">
        <v>3132</v>
      </c>
      <c r="B167" s="96">
        <v>47</v>
      </c>
      <c r="C167" s="96">
        <v>50</v>
      </c>
      <c r="D167" s="96">
        <v>5</v>
      </c>
      <c r="E167" s="91" t="s">
        <v>1768</v>
      </c>
    </row>
    <row r="168" spans="1:5" ht="14">
      <c r="A168" s="95" t="s">
        <v>3133</v>
      </c>
      <c r="B168" s="96">
        <v>47</v>
      </c>
      <c r="C168" s="96">
        <v>50</v>
      </c>
      <c r="D168" s="96">
        <v>10</v>
      </c>
      <c r="E168" s="91" t="s">
        <v>1771</v>
      </c>
    </row>
    <row r="169" spans="1:5" ht="14">
      <c r="A169" s="95" t="s">
        <v>3134</v>
      </c>
      <c r="B169" s="96">
        <v>47</v>
      </c>
      <c r="C169" s="96">
        <v>50</v>
      </c>
      <c r="D169" s="96">
        <v>15</v>
      </c>
      <c r="E169" s="91" t="s">
        <v>1774</v>
      </c>
    </row>
    <row r="170" spans="1:5" ht="14">
      <c r="A170" s="92" t="s">
        <v>3135</v>
      </c>
      <c r="B170" s="93">
        <v>47</v>
      </c>
      <c r="C170" s="93">
        <v>60</v>
      </c>
      <c r="D170" s="101"/>
      <c r="E170" s="91" t="s">
        <v>1777</v>
      </c>
    </row>
    <row r="171" spans="1:5" ht="14">
      <c r="A171" s="95" t="s">
        <v>3136</v>
      </c>
      <c r="B171" s="96">
        <v>47</v>
      </c>
      <c r="C171" s="96">
        <v>60</v>
      </c>
      <c r="D171" s="96">
        <v>5</v>
      </c>
      <c r="E171" s="91" t="s">
        <v>1780</v>
      </c>
    </row>
    <row r="172" spans="1:5" ht="14">
      <c r="A172" s="95" t="s">
        <v>3137</v>
      </c>
      <c r="B172" s="96">
        <v>47</v>
      </c>
      <c r="C172" s="96">
        <v>60</v>
      </c>
      <c r="D172" s="96">
        <v>10</v>
      </c>
      <c r="E172" s="91" t="s">
        <v>1783</v>
      </c>
    </row>
    <row r="173" spans="1:5" ht="14">
      <c r="A173" s="92" t="s">
        <v>3138</v>
      </c>
      <c r="B173" s="93">
        <v>47</v>
      </c>
      <c r="C173" s="93">
        <v>70</v>
      </c>
      <c r="D173" s="100"/>
      <c r="E173" s="91" t="s">
        <v>1786</v>
      </c>
    </row>
    <row r="174" spans="1:5" ht="14">
      <c r="A174" s="95" t="s">
        <v>3139</v>
      </c>
      <c r="B174" s="96">
        <v>47</v>
      </c>
      <c r="C174" s="96">
        <v>70</v>
      </c>
      <c r="D174" s="96">
        <v>5</v>
      </c>
      <c r="E174" s="91" t="s">
        <v>1789</v>
      </c>
    </row>
    <row r="175" spans="1:5" ht="14">
      <c r="A175" s="95" t="s">
        <v>3140</v>
      </c>
      <c r="B175" s="96">
        <v>47</v>
      </c>
      <c r="C175" s="96">
        <v>70</v>
      </c>
      <c r="D175" s="96">
        <v>10</v>
      </c>
      <c r="E175" s="91" t="s">
        <v>1792</v>
      </c>
    </row>
    <row r="176" spans="1:5" ht="14">
      <c r="A176" s="95" t="s">
        <v>3141</v>
      </c>
      <c r="B176" s="96">
        <v>47</v>
      </c>
      <c r="C176" s="96">
        <v>70</v>
      </c>
      <c r="D176" s="96">
        <v>15</v>
      </c>
      <c r="E176" s="91" t="s">
        <v>1795</v>
      </c>
    </row>
    <row r="177" spans="1:5" ht="14">
      <c r="A177" s="87" t="s">
        <v>2622</v>
      </c>
      <c r="B177" s="88">
        <v>50</v>
      </c>
      <c r="C177" s="89"/>
      <c r="D177" s="89"/>
      <c r="E177" s="91" t="s">
        <v>1797</v>
      </c>
    </row>
    <row r="178" spans="1:5" ht="14">
      <c r="A178" s="92" t="s">
        <v>2626</v>
      </c>
      <c r="B178" s="93">
        <v>50</v>
      </c>
      <c r="C178" s="93">
        <v>20</v>
      </c>
      <c r="D178" s="101"/>
      <c r="E178" s="91" t="s">
        <v>1799</v>
      </c>
    </row>
    <row r="179" spans="1:5" ht="14">
      <c r="A179" s="95" t="s">
        <v>2628</v>
      </c>
      <c r="B179" s="96">
        <v>50</v>
      </c>
      <c r="C179" s="96">
        <v>20</v>
      </c>
      <c r="D179" s="96">
        <v>10</v>
      </c>
      <c r="E179" s="91" t="s">
        <v>1801</v>
      </c>
    </row>
    <row r="180" spans="1:5" ht="14">
      <c r="A180" s="95" t="s">
        <v>3142</v>
      </c>
      <c r="B180" s="96">
        <v>50</v>
      </c>
      <c r="C180" s="96">
        <v>20</v>
      </c>
      <c r="D180" s="96">
        <v>20</v>
      </c>
      <c r="E180" s="91" t="s">
        <v>1803</v>
      </c>
    </row>
    <row r="181" spans="1:5" ht="14">
      <c r="A181" s="95" t="s">
        <v>3143</v>
      </c>
      <c r="B181" s="96">
        <v>50</v>
      </c>
      <c r="C181" s="96">
        <v>20</v>
      </c>
      <c r="D181" s="96">
        <v>30</v>
      </c>
      <c r="E181" s="91" t="s">
        <v>1806</v>
      </c>
    </row>
    <row r="182" spans="1:5" ht="14">
      <c r="A182" s="92" t="s">
        <v>2640</v>
      </c>
      <c r="B182" s="93">
        <v>50</v>
      </c>
      <c r="C182" s="93">
        <v>40</v>
      </c>
      <c r="D182" s="101"/>
      <c r="E182" s="91" t="s">
        <v>1808</v>
      </c>
    </row>
    <row r="183" spans="1:5" ht="14">
      <c r="A183" s="95" t="s">
        <v>2642</v>
      </c>
      <c r="B183" s="96">
        <v>50</v>
      </c>
      <c r="C183" s="96">
        <v>40</v>
      </c>
      <c r="D183" s="96">
        <v>10</v>
      </c>
      <c r="E183" s="91" t="s">
        <v>1810</v>
      </c>
    </row>
    <row r="184" spans="1:5" ht="14">
      <c r="A184" s="95" t="s">
        <v>2644</v>
      </c>
      <c r="B184" s="96">
        <v>50</v>
      </c>
      <c r="C184" s="96">
        <v>40</v>
      </c>
      <c r="D184" s="96">
        <v>50</v>
      </c>
      <c r="E184" s="91" t="s">
        <v>1812</v>
      </c>
    </row>
    <row r="185" spans="1:5" ht="14">
      <c r="A185" s="92" t="s">
        <v>2648</v>
      </c>
      <c r="B185" s="93">
        <v>50</v>
      </c>
      <c r="C185" s="93">
        <v>60</v>
      </c>
      <c r="D185" s="101"/>
      <c r="E185" s="91" t="s">
        <v>1814</v>
      </c>
    </row>
    <row r="186" spans="1:5" ht="14">
      <c r="A186" s="95" t="s">
        <v>3144</v>
      </c>
      <c r="B186" s="96">
        <v>50</v>
      </c>
      <c r="C186" s="96">
        <v>60</v>
      </c>
      <c r="D186" s="96">
        <v>40</v>
      </c>
      <c r="E186" s="91" t="s">
        <v>1816</v>
      </c>
    </row>
    <row r="187" spans="1:5" ht="14">
      <c r="A187" s="92" t="s">
        <v>2662</v>
      </c>
      <c r="B187" s="93">
        <v>50</v>
      </c>
      <c r="C187" s="93">
        <v>80</v>
      </c>
      <c r="D187" s="101"/>
      <c r="E187" s="91" t="s">
        <v>1818</v>
      </c>
    </row>
    <row r="188" spans="1:5" ht="14">
      <c r="A188" s="95" t="s">
        <v>2664</v>
      </c>
      <c r="B188" s="96">
        <v>50</v>
      </c>
      <c r="C188" s="96">
        <v>80</v>
      </c>
      <c r="D188" s="96">
        <v>40</v>
      </c>
      <c r="E188" s="91" t="s">
        <v>1820</v>
      </c>
    </row>
    <row r="189" spans="1:5" ht="14">
      <c r="A189" s="95" t="s">
        <v>2666</v>
      </c>
      <c r="B189" s="96">
        <v>50</v>
      </c>
      <c r="C189" s="96">
        <v>80</v>
      </c>
      <c r="D189" s="96">
        <v>70</v>
      </c>
      <c r="E189" s="91" t="s">
        <v>1797</v>
      </c>
    </row>
    <row r="190" spans="1:5" ht="14">
      <c r="A190" s="87" t="s">
        <v>2668</v>
      </c>
      <c r="B190" s="88">
        <v>55</v>
      </c>
      <c r="C190" s="102"/>
      <c r="D190" s="102"/>
      <c r="E190" s="91" t="s">
        <v>1823</v>
      </c>
    </row>
    <row r="191" spans="1:5" ht="14">
      <c r="A191" s="92" t="s">
        <v>2698</v>
      </c>
      <c r="B191" s="93">
        <v>55</v>
      </c>
      <c r="C191" s="93">
        <v>15</v>
      </c>
      <c r="D191" s="101"/>
      <c r="E191" s="91" t="s">
        <v>1825</v>
      </c>
    </row>
    <row r="192" spans="1:5" ht="14">
      <c r="A192" s="95" t="s">
        <v>2700</v>
      </c>
      <c r="B192" s="96">
        <v>55</v>
      </c>
      <c r="C192" s="96">
        <v>15</v>
      </c>
      <c r="D192" s="96">
        <v>10</v>
      </c>
      <c r="E192" s="91" t="s">
        <v>1061</v>
      </c>
    </row>
    <row r="193" spans="1:5" ht="14">
      <c r="A193" s="95" t="s">
        <v>2707</v>
      </c>
      <c r="B193" s="96">
        <v>55</v>
      </c>
      <c r="C193" s="96">
        <v>15</v>
      </c>
      <c r="D193" s="96">
        <v>50</v>
      </c>
      <c r="E193" s="91" t="s">
        <v>1065</v>
      </c>
    </row>
    <row r="194" spans="1:5" ht="14">
      <c r="A194" s="92" t="s">
        <v>2711</v>
      </c>
      <c r="B194" s="93">
        <v>55</v>
      </c>
      <c r="C194" s="93">
        <v>20</v>
      </c>
      <c r="D194" s="100"/>
      <c r="E194" s="91" t="s">
        <v>1079</v>
      </c>
    </row>
    <row r="195" spans="1:5" ht="14">
      <c r="A195" s="95" t="s">
        <v>2713</v>
      </c>
      <c r="B195" s="96">
        <v>55</v>
      </c>
      <c r="C195" s="96">
        <v>20</v>
      </c>
      <c r="D195" s="96">
        <v>50</v>
      </c>
      <c r="E195" s="91" t="s">
        <v>1830</v>
      </c>
    </row>
    <row r="196" spans="1:5" ht="14">
      <c r="A196" s="95" t="s">
        <v>2715</v>
      </c>
      <c r="B196" s="96">
        <v>55</v>
      </c>
      <c r="C196" s="96">
        <v>20</v>
      </c>
      <c r="D196" s="96">
        <v>60</v>
      </c>
      <c r="E196" s="91" t="s">
        <v>1079</v>
      </c>
    </row>
    <row r="197" spans="1:5" ht="14">
      <c r="A197" s="92" t="s">
        <v>2721</v>
      </c>
      <c r="B197" s="93">
        <v>55</v>
      </c>
      <c r="C197" s="93">
        <v>50</v>
      </c>
      <c r="D197" s="100"/>
      <c r="E197" s="91" t="s">
        <v>1083</v>
      </c>
    </row>
    <row r="198" spans="1:5" ht="14">
      <c r="A198" s="95" t="s">
        <v>3145</v>
      </c>
      <c r="B198" s="96">
        <v>55</v>
      </c>
      <c r="C198" s="96">
        <v>50</v>
      </c>
      <c r="D198" s="96">
        <v>10</v>
      </c>
      <c r="E198" s="91" t="s">
        <v>1834</v>
      </c>
    </row>
    <row r="199" spans="1:5" ht="14">
      <c r="A199" s="95" t="s">
        <v>3146</v>
      </c>
      <c r="B199" s="96">
        <v>55</v>
      </c>
      <c r="C199" s="96">
        <v>50</v>
      </c>
      <c r="D199" s="96">
        <v>50</v>
      </c>
      <c r="E199" s="91" t="s">
        <v>1836</v>
      </c>
    </row>
    <row r="200" spans="1:5" ht="14">
      <c r="A200" s="92" t="s">
        <v>2729</v>
      </c>
      <c r="B200" s="93">
        <v>55</v>
      </c>
      <c r="C200" s="93">
        <v>70</v>
      </c>
      <c r="D200" s="101"/>
      <c r="E200" s="91" t="s">
        <v>1838</v>
      </c>
    </row>
    <row r="201" spans="1:5" ht="14">
      <c r="A201" s="95" t="s">
        <v>3147</v>
      </c>
      <c r="B201" s="96">
        <v>55</v>
      </c>
      <c r="C201" s="96">
        <v>70</v>
      </c>
      <c r="D201" s="96">
        <v>20</v>
      </c>
      <c r="E201" s="91" t="s">
        <v>1840</v>
      </c>
    </row>
    <row r="202" spans="1:5" ht="14">
      <c r="A202" s="95" t="s">
        <v>3148</v>
      </c>
      <c r="B202" s="96">
        <v>55</v>
      </c>
      <c r="C202" s="96">
        <v>70</v>
      </c>
      <c r="D202" s="96">
        <v>60</v>
      </c>
      <c r="E202" s="91" t="s">
        <v>1842</v>
      </c>
    </row>
    <row r="203" spans="1:5" ht="14">
      <c r="A203" s="87" t="s">
        <v>2763</v>
      </c>
      <c r="B203" s="88">
        <v>70</v>
      </c>
      <c r="C203" s="89"/>
      <c r="D203" s="89"/>
      <c r="E203" s="91" t="s">
        <v>3149</v>
      </c>
    </row>
    <row r="204" spans="1:5" ht="14">
      <c r="A204" s="92" t="s">
        <v>2765</v>
      </c>
      <c r="B204" s="93">
        <v>70</v>
      </c>
      <c r="C204" s="93">
        <v>10</v>
      </c>
      <c r="D204" s="101"/>
      <c r="E204" s="91" t="s">
        <v>1846</v>
      </c>
    </row>
    <row r="205" spans="1:5" ht="14">
      <c r="A205" s="95" t="s">
        <v>3150</v>
      </c>
      <c r="B205" s="96">
        <v>70</v>
      </c>
      <c r="C205" s="96">
        <v>10</v>
      </c>
      <c r="D205" s="96">
        <v>34</v>
      </c>
      <c r="E205" s="91" t="s">
        <v>1848</v>
      </c>
    </row>
    <row r="206" spans="1:5" ht="14">
      <c r="A206" s="95" t="s">
        <v>3151</v>
      </c>
      <c r="B206" s="96">
        <v>70</v>
      </c>
      <c r="C206" s="96">
        <v>10</v>
      </c>
      <c r="D206" s="96">
        <v>38</v>
      </c>
      <c r="E206" s="91" t="s">
        <v>1850</v>
      </c>
    </row>
    <row r="207" spans="1:5" ht="14">
      <c r="A207" s="95" t="s">
        <v>3152</v>
      </c>
      <c r="B207" s="96">
        <v>70</v>
      </c>
      <c r="C207" s="96">
        <v>10</v>
      </c>
      <c r="D207" s="96">
        <v>50</v>
      </c>
      <c r="E207" s="91" t="s">
        <v>1853</v>
      </c>
    </row>
    <row r="208" spans="1:5" ht="14">
      <c r="A208" s="95" t="s">
        <v>2628</v>
      </c>
      <c r="B208" s="96">
        <v>50</v>
      </c>
      <c r="C208" s="96">
        <v>20</v>
      </c>
      <c r="D208" s="96">
        <v>10</v>
      </c>
      <c r="E208" s="91" t="s">
        <v>1801</v>
      </c>
    </row>
    <row r="209" spans="1:5" ht="14">
      <c r="A209" s="95" t="s">
        <v>3142</v>
      </c>
      <c r="B209" s="96">
        <v>50</v>
      </c>
      <c r="C209" s="96">
        <v>20</v>
      </c>
      <c r="D209" s="96">
        <v>20</v>
      </c>
      <c r="E209" s="91" t="s">
        <v>1803</v>
      </c>
    </row>
    <row r="210" spans="1:5" ht="14">
      <c r="A210" s="95" t="s">
        <v>3143</v>
      </c>
      <c r="B210" s="96">
        <v>50</v>
      </c>
      <c r="C210" s="96">
        <v>20</v>
      </c>
      <c r="D210" s="96">
        <v>30</v>
      </c>
      <c r="E210" s="91" t="s">
        <v>1806</v>
      </c>
    </row>
    <row r="211" spans="1:5" ht="14">
      <c r="A211" s="92" t="s">
        <v>2640</v>
      </c>
      <c r="B211" s="93">
        <v>50</v>
      </c>
      <c r="C211" s="93">
        <v>40</v>
      </c>
      <c r="D211" s="101"/>
      <c r="E211" s="91" t="s">
        <v>1808</v>
      </c>
    </row>
    <row r="212" spans="1:5" ht="14">
      <c r="A212" s="95" t="s">
        <v>2642</v>
      </c>
      <c r="B212" s="96">
        <v>50</v>
      </c>
      <c r="C212" s="96">
        <v>40</v>
      </c>
      <c r="D212" s="96">
        <v>10</v>
      </c>
      <c r="E212" s="91" t="s">
        <v>1810</v>
      </c>
    </row>
    <row r="213" spans="1:5" ht="14">
      <c r="A213" s="95" t="s">
        <v>2644</v>
      </c>
      <c r="B213" s="96">
        <v>50</v>
      </c>
      <c r="C213" s="96">
        <v>40</v>
      </c>
      <c r="D213" s="96">
        <v>50</v>
      </c>
      <c r="E213" s="91" t="s">
        <v>1812</v>
      </c>
    </row>
    <row r="214" spans="1:5" ht="14">
      <c r="A214" s="92" t="s">
        <v>2648</v>
      </c>
      <c r="B214" s="93">
        <v>50</v>
      </c>
      <c r="C214" s="93">
        <v>60</v>
      </c>
      <c r="D214" s="101"/>
      <c r="E214" s="91" t="s">
        <v>1814</v>
      </c>
    </row>
    <row r="215" spans="1:5" ht="14">
      <c r="A215" s="95" t="s">
        <v>3144</v>
      </c>
      <c r="B215" s="96">
        <v>50</v>
      </c>
      <c r="C215" s="96">
        <v>60</v>
      </c>
      <c r="D215" s="96">
        <v>40</v>
      </c>
      <c r="E215" s="91" t="s">
        <v>1816</v>
      </c>
    </row>
    <row r="216" spans="1:5" ht="14">
      <c r="A216" s="92" t="s">
        <v>2662</v>
      </c>
      <c r="B216" s="93">
        <v>50</v>
      </c>
      <c r="C216" s="93">
        <v>80</v>
      </c>
      <c r="D216" s="101"/>
      <c r="E216" s="91" t="s">
        <v>1818</v>
      </c>
    </row>
    <row r="217" spans="1:5" ht="14">
      <c r="A217" s="95" t="s">
        <v>2664</v>
      </c>
      <c r="B217" s="96">
        <v>50</v>
      </c>
      <c r="C217" s="96">
        <v>80</v>
      </c>
      <c r="D217" s="96">
        <v>40</v>
      </c>
      <c r="E217" s="91" t="s">
        <v>1820</v>
      </c>
    </row>
    <row r="218" spans="1:5" ht="14">
      <c r="A218" s="95" t="s">
        <v>2666</v>
      </c>
      <c r="B218" s="96">
        <v>50</v>
      </c>
      <c r="C218" s="96">
        <v>80</v>
      </c>
      <c r="D218" s="96">
        <v>70</v>
      </c>
      <c r="E218" s="91" t="s">
        <v>1797</v>
      </c>
    </row>
    <row r="219" spans="1:5" ht="14">
      <c r="A219" s="87" t="s">
        <v>2668</v>
      </c>
      <c r="B219" s="88">
        <v>55</v>
      </c>
      <c r="C219" s="102"/>
      <c r="D219" s="102"/>
      <c r="E219" s="91" t="s">
        <v>1823</v>
      </c>
    </row>
    <row r="220" spans="1:5" ht="14">
      <c r="A220" s="92" t="s">
        <v>2698</v>
      </c>
      <c r="B220" s="93">
        <v>55</v>
      </c>
      <c r="C220" s="93">
        <v>15</v>
      </c>
      <c r="D220" s="101"/>
      <c r="E220" s="91" t="s">
        <v>1825</v>
      </c>
    </row>
    <row r="221" spans="1:5" ht="14">
      <c r="A221" s="95" t="s">
        <v>2700</v>
      </c>
      <c r="B221" s="96">
        <v>55</v>
      </c>
      <c r="C221" s="96">
        <v>15</v>
      </c>
      <c r="D221" s="96">
        <v>10</v>
      </c>
      <c r="E221" s="91" t="s">
        <v>1061</v>
      </c>
    </row>
    <row r="222" spans="1:5" ht="14">
      <c r="A222" s="95" t="s">
        <v>2707</v>
      </c>
      <c r="B222" s="96">
        <v>55</v>
      </c>
      <c r="C222" s="96">
        <v>15</v>
      </c>
      <c r="D222" s="96">
        <v>50</v>
      </c>
      <c r="E222" s="91" t="s">
        <v>1065</v>
      </c>
    </row>
    <row r="223" spans="1:5" ht="14">
      <c r="A223" s="92" t="s">
        <v>2711</v>
      </c>
      <c r="B223" s="93">
        <v>55</v>
      </c>
      <c r="C223" s="93">
        <v>20</v>
      </c>
      <c r="D223" s="100"/>
      <c r="E223" s="91" t="s">
        <v>1079</v>
      </c>
    </row>
    <row r="224" spans="1:5" ht="14">
      <c r="A224" s="95" t="s">
        <v>2713</v>
      </c>
      <c r="B224" s="96">
        <v>55</v>
      </c>
      <c r="C224" s="96">
        <v>20</v>
      </c>
      <c r="D224" s="96">
        <v>50</v>
      </c>
      <c r="E224" s="91" t="s">
        <v>1830</v>
      </c>
    </row>
    <row r="225" spans="1:5" ht="14">
      <c r="A225" s="95" t="s">
        <v>2715</v>
      </c>
      <c r="B225" s="96">
        <v>55</v>
      </c>
      <c r="C225" s="96">
        <v>20</v>
      </c>
      <c r="D225" s="96">
        <v>60</v>
      </c>
      <c r="E225" s="91" t="s">
        <v>1079</v>
      </c>
    </row>
    <row r="226" spans="1:5" ht="14">
      <c r="A226" s="92" t="s">
        <v>2721</v>
      </c>
      <c r="B226" s="93">
        <v>55</v>
      </c>
      <c r="C226" s="93">
        <v>50</v>
      </c>
      <c r="D226" s="100"/>
      <c r="E226" s="91" t="s">
        <v>1083</v>
      </c>
    </row>
    <row r="227" spans="1:5" ht="14">
      <c r="A227" s="95" t="s">
        <v>3145</v>
      </c>
      <c r="B227" s="96">
        <v>55</v>
      </c>
      <c r="C227" s="96">
        <v>50</v>
      </c>
      <c r="D227" s="96">
        <v>10</v>
      </c>
      <c r="E227" s="91" t="s">
        <v>1834</v>
      </c>
    </row>
    <row r="228" spans="1:5" ht="14">
      <c r="A228" s="95" t="s">
        <v>3146</v>
      </c>
      <c r="B228" s="96">
        <v>55</v>
      </c>
      <c r="C228" s="96">
        <v>50</v>
      </c>
      <c r="D228" s="96">
        <v>50</v>
      </c>
      <c r="E228" s="91" t="s">
        <v>1836</v>
      </c>
    </row>
    <row r="229" spans="1:5" ht="14">
      <c r="A229" s="92" t="s">
        <v>2729</v>
      </c>
      <c r="B229" s="93">
        <v>55</v>
      </c>
      <c r="C229" s="93">
        <v>70</v>
      </c>
      <c r="D229" s="101"/>
      <c r="E229" s="91" t="s">
        <v>1838</v>
      </c>
    </row>
    <row r="230" spans="1:5" ht="14">
      <c r="A230" s="95" t="s">
        <v>3147</v>
      </c>
      <c r="B230" s="96">
        <v>55</v>
      </c>
      <c r="C230" s="96">
        <v>70</v>
      </c>
      <c r="D230" s="96">
        <v>20</v>
      </c>
      <c r="E230" s="91" t="s">
        <v>1840</v>
      </c>
    </row>
    <row r="231" spans="1:5" ht="14">
      <c r="A231" s="95" t="s">
        <v>3148</v>
      </c>
      <c r="B231" s="96">
        <v>55</v>
      </c>
      <c r="C231" s="96">
        <v>70</v>
      </c>
      <c r="D231" s="96">
        <v>60</v>
      </c>
      <c r="E231" s="91" t="s">
        <v>1842</v>
      </c>
    </row>
    <row r="232" spans="1:5" ht="14">
      <c r="A232" s="87" t="s">
        <v>2763</v>
      </c>
      <c r="B232" s="88">
        <v>70</v>
      </c>
      <c r="C232" s="89"/>
      <c r="D232" s="89"/>
      <c r="E232" s="91" t="s">
        <v>3149</v>
      </c>
    </row>
    <row r="233" spans="1:5" ht="14">
      <c r="A233" s="92" t="s">
        <v>2765</v>
      </c>
      <c r="B233" s="93">
        <v>70</v>
      </c>
      <c r="C233" s="93">
        <v>10</v>
      </c>
      <c r="D233" s="101"/>
      <c r="E233" s="91" t="s">
        <v>1846</v>
      </c>
    </row>
    <row r="234" spans="1:5" ht="14">
      <c r="A234" s="95" t="s">
        <v>3150</v>
      </c>
      <c r="B234" s="96">
        <v>70</v>
      </c>
      <c r="C234" s="96">
        <v>10</v>
      </c>
      <c r="D234" s="96">
        <v>34</v>
      </c>
      <c r="E234" s="91" t="s">
        <v>1848</v>
      </c>
    </row>
    <row r="235" spans="1:5" ht="14">
      <c r="A235" s="95" t="s">
        <v>3151</v>
      </c>
      <c r="B235" s="96">
        <v>70</v>
      </c>
      <c r="C235" s="96">
        <v>10</v>
      </c>
      <c r="D235" s="96">
        <v>38</v>
      </c>
      <c r="E235" s="91" t="s">
        <v>1850</v>
      </c>
    </row>
    <row r="236" spans="1:5" ht="14">
      <c r="A236" s="95" t="s">
        <v>3152</v>
      </c>
      <c r="B236" s="96">
        <v>70</v>
      </c>
      <c r="C236" s="96">
        <v>10</v>
      </c>
      <c r="D236" s="96">
        <v>50</v>
      </c>
      <c r="E236" s="91" t="s">
        <v>1853</v>
      </c>
    </row>
    <row r="237" spans="1:5" ht="14">
      <c r="A237" s="95" t="s">
        <v>3153</v>
      </c>
      <c r="B237" s="96">
        <v>70</v>
      </c>
      <c r="C237" s="96">
        <v>10</v>
      </c>
      <c r="D237" s="96">
        <v>60</v>
      </c>
      <c r="E237" s="91" t="s">
        <v>1855</v>
      </c>
    </row>
    <row r="238" spans="1:5" ht="14">
      <c r="A238" s="95" t="s">
        <v>3154</v>
      </c>
      <c r="B238" s="96">
        <v>70</v>
      </c>
      <c r="C238" s="96">
        <v>10</v>
      </c>
      <c r="D238" s="96">
        <v>81</v>
      </c>
      <c r="E238" s="91" t="s">
        <v>1857</v>
      </c>
    </row>
    <row r="239" spans="1:5" ht="14">
      <c r="A239" s="92" t="s">
        <v>2774</v>
      </c>
      <c r="B239" s="93">
        <v>70</v>
      </c>
      <c r="C239" s="93">
        <v>30</v>
      </c>
      <c r="D239" s="101"/>
      <c r="E239" s="91" t="s">
        <v>3155</v>
      </c>
    </row>
    <row r="240" spans="1:5" ht="14">
      <c r="A240" s="95" t="s">
        <v>2779</v>
      </c>
      <c r="B240" s="96">
        <v>70</v>
      </c>
      <c r="C240" s="96">
        <v>30</v>
      </c>
      <c r="D240" s="96">
        <v>35</v>
      </c>
      <c r="E240" s="91" t="s">
        <v>1861</v>
      </c>
    </row>
    <row r="241" spans="1:5" ht="14">
      <c r="A241" s="95" t="s">
        <v>3156</v>
      </c>
      <c r="B241" s="96">
        <v>70</v>
      </c>
      <c r="C241" s="96">
        <v>30</v>
      </c>
      <c r="D241" s="96">
        <v>40</v>
      </c>
      <c r="E241" s="91" t="s">
        <v>1863</v>
      </c>
    </row>
    <row r="242" spans="1:5" ht="14">
      <c r="A242" s="95" t="s">
        <v>2782</v>
      </c>
      <c r="B242" s="96">
        <v>70</v>
      </c>
      <c r="C242" s="96">
        <v>30</v>
      </c>
      <c r="D242" s="96">
        <v>45</v>
      </c>
      <c r="E242" s="91" t="s">
        <v>1865</v>
      </c>
    </row>
    <row r="243" spans="1:5" ht="14">
      <c r="A243" s="95" t="s">
        <v>3157</v>
      </c>
      <c r="B243" s="96">
        <v>70</v>
      </c>
      <c r="C243" s="96">
        <v>30</v>
      </c>
      <c r="D243" s="96">
        <v>50</v>
      </c>
      <c r="E243" s="91" t="s">
        <v>1867</v>
      </c>
    </row>
    <row r="244" spans="1:5" ht="14">
      <c r="A244" s="87" t="s">
        <v>2788</v>
      </c>
      <c r="B244" s="88">
        <v>75</v>
      </c>
      <c r="C244" s="89"/>
      <c r="D244" s="89"/>
      <c r="E244" s="91" t="s">
        <v>1869</v>
      </c>
    </row>
    <row r="245" spans="1:5" ht="14">
      <c r="A245" s="92" t="s">
        <v>2790</v>
      </c>
      <c r="B245" s="93">
        <v>75</v>
      </c>
      <c r="C245" s="93">
        <v>10</v>
      </c>
      <c r="D245" s="101"/>
      <c r="E245" s="91" t="s">
        <v>1871</v>
      </c>
    </row>
    <row r="246" spans="1:5" ht="14">
      <c r="A246" s="95" t="s">
        <v>2792</v>
      </c>
      <c r="B246" s="96">
        <v>75</v>
      </c>
      <c r="C246" s="96">
        <v>10</v>
      </c>
      <c r="D246" s="96">
        <v>10</v>
      </c>
      <c r="E246" s="91" t="s">
        <v>1871</v>
      </c>
    </row>
    <row r="247" spans="1:5" ht="14">
      <c r="A247" s="95" t="s">
        <v>2798</v>
      </c>
      <c r="B247" s="96">
        <v>75</v>
      </c>
      <c r="C247" s="96">
        <v>10</v>
      </c>
      <c r="D247" s="96">
        <v>20</v>
      </c>
      <c r="E247" s="91" t="s">
        <v>1874</v>
      </c>
    </row>
    <row r="248" spans="1:5" ht="14">
      <c r="A248" s="95" t="s">
        <v>3158</v>
      </c>
      <c r="B248" s="96">
        <v>75</v>
      </c>
      <c r="C248" s="96">
        <v>10</v>
      </c>
      <c r="D248" s="96">
        <v>80</v>
      </c>
      <c r="E248" s="91" t="s">
        <v>1876</v>
      </c>
    </row>
    <row r="249" spans="1:5" ht="14">
      <c r="A249" s="95" t="s">
        <v>3159</v>
      </c>
      <c r="B249" s="96">
        <v>75</v>
      </c>
      <c r="C249" s="96">
        <v>10</v>
      </c>
      <c r="D249" s="96">
        <v>90</v>
      </c>
      <c r="E249" s="91" t="s">
        <v>1878</v>
      </c>
    </row>
    <row r="250" spans="1:5" ht="14">
      <c r="A250" s="92" t="s">
        <v>2801</v>
      </c>
      <c r="B250" s="93">
        <v>75</v>
      </c>
      <c r="C250" s="93">
        <v>30</v>
      </c>
      <c r="D250" s="101"/>
      <c r="E250" s="91" t="s">
        <v>1881</v>
      </c>
    </row>
    <row r="251" spans="1:5" ht="14">
      <c r="A251" s="87" t="s">
        <v>2817</v>
      </c>
      <c r="B251" s="88">
        <v>80</v>
      </c>
      <c r="C251" s="102"/>
      <c r="D251" s="102"/>
      <c r="E251" s="91" t="s">
        <v>2819</v>
      </c>
    </row>
    <row r="252" spans="1:5" ht="14">
      <c r="A252" s="92" t="s">
        <v>2820</v>
      </c>
      <c r="B252" s="93">
        <v>80</v>
      </c>
      <c r="C252" s="93">
        <v>5</v>
      </c>
      <c r="D252" s="101"/>
      <c r="E252" s="91" t="s">
        <v>1885</v>
      </c>
    </row>
    <row r="253" spans="1:5" ht="14">
      <c r="A253" s="95" t="s">
        <v>2824</v>
      </c>
      <c r="B253" s="96">
        <v>80</v>
      </c>
      <c r="C253" s="96">
        <v>5</v>
      </c>
      <c r="D253" s="96">
        <v>2</v>
      </c>
      <c r="E253" s="91" t="s">
        <v>1216</v>
      </c>
    </row>
    <row r="254" spans="1:5" ht="14">
      <c r="A254" s="95" t="s">
        <v>3160</v>
      </c>
      <c r="B254" s="96">
        <v>80</v>
      </c>
      <c r="C254" s="96">
        <v>5</v>
      </c>
      <c r="D254" s="96">
        <v>38</v>
      </c>
      <c r="E254" s="91" t="s">
        <v>1219</v>
      </c>
    </row>
    <row r="255" spans="1:5" ht="14">
      <c r="A255" s="103" t="s">
        <v>3161</v>
      </c>
      <c r="B255" s="104">
        <v>80</v>
      </c>
      <c r="C255" s="104">
        <v>5</v>
      </c>
      <c r="D255" s="104">
        <v>40</v>
      </c>
      <c r="E255" s="91" t="s">
        <v>1890</v>
      </c>
    </row>
    <row r="256" spans="1:5" ht="14">
      <c r="A256" s="95" t="s">
        <v>3162</v>
      </c>
      <c r="B256" s="96">
        <v>80</v>
      </c>
      <c r="C256" s="96">
        <v>5</v>
      </c>
      <c r="D256" s="96">
        <v>50</v>
      </c>
      <c r="E256" s="91" t="s">
        <v>1893</v>
      </c>
    </row>
    <row r="257" spans="1:5" ht="14">
      <c r="A257" s="92" t="s">
        <v>2836</v>
      </c>
      <c r="B257" s="93">
        <v>80</v>
      </c>
      <c r="C257" s="93">
        <v>35</v>
      </c>
      <c r="D257" s="101"/>
      <c r="E257" s="91" t="s">
        <v>1895</v>
      </c>
    </row>
    <row r="258" spans="1:5" ht="14">
      <c r="A258" s="95" t="s">
        <v>2840</v>
      </c>
      <c r="B258" s="96">
        <v>80</v>
      </c>
      <c r="C258" s="96">
        <v>35</v>
      </c>
      <c r="D258" s="96">
        <v>7</v>
      </c>
      <c r="E258" s="91" t="s">
        <v>1898</v>
      </c>
    </row>
    <row r="259" spans="1:5" ht="14">
      <c r="A259" s="95" t="s">
        <v>2842</v>
      </c>
      <c r="B259" s="96">
        <v>80</v>
      </c>
      <c r="C259" s="96">
        <v>35</v>
      </c>
      <c r="D259" s="96">
        <v>9</v>
      </c>
      <c r="E259" s="91" t="s">
        <v>1901</v>
      </c>
    </row>
    <row r="260" spans="1:5" ht="14">
      <c r="A260" s="95" t="s">
        <v>3163</v>
      </c>
      <c r="B260" s="96">
        <v>80</v>
      </c>
      <c r="C260" s="96">
        <v>35</v>
      </c>
      <c r="D260" s="96">
        <v>11</v>
      </c>
      <c r="E260" s="91" t="s">
        <v>1904</v>
      </c>
    </row>
    <row r="261" spans="1:5" ht="14">
      <c r="A261" s="95" t="s">
        <v>3164</v>
      </c>
      <c r="B261" s="96">
        <v>80</v>
      </c>
      <c r="C261" s="96">
        <v>35</v>
      </c>
      <c r="D261" s="96">
        <v>20</v>
      </c>
      <c r="E261" s="91" t="s">
        <v>1907</v>
      </c>
    </row>
    <row r="262" spans="1:5" ht="14">
      <c r="A262" s="103" t="s">
        <v>2846</v>
      </c>
      <c r="B262" s="104">
        <v>80</v>
      </c>
      <c r="C262" s="104">
        <v>35</v>
      </c>
      <c r="D262" s="104">
        <v>35</v>
      </c>
      <c r="E262" s="91" t="s">
        <v>1910</v>
      </c>
    </row>
    <row r="263" spans="1:5" ht="14">
      <c r="A263" s="95" t="s">
        <v>3165</v>
      </c>
      <c r="B263" s="96">
        <v>80</v>
      </c>
      <c r="C263" s="96">
        <v>35</v>
      </c>
      <c r="D263" s="96">
        <v>40</v>
      </c>
      <c r="E263" s="91" t="s">
        <v>1913</v>
      </c>
    </row>
    <row r="264" spans="1:5" ht="14">
      <c r="A264" s="95" t="s">
        <v>2860</v>
      </c>
      <c r="B264" s="96">
        <v>80</v>
      </c>
      <c r="C264" s="96">
        <v>35</v>
      </c>
      <c r="D264" s="96">
        <v>88</v>
      </c>
      <c r="E264" s="91" t="s">
        <v>1916</v>
      </c>
    </row>
    <row r="265" spans="1:5" ht="14">
      <c r="A265" s="95" t="s">
        <v>2864</v>
      </c>
      <c r="B265" s="96">
        <v>80</v>
      </c>
      <c r="C265" s="96">
        <v>35</v>
      </c>
      <c r="D265" s="96">
        <v>90</v>
      </c>
      <c r="E265" s="91" t="s">
        <v>1919</v>
      </c>
    </row>
    <row r="266" spans="1:5" ht="14">
      <c r="A266" s="95" t="s">
        <v>3166</v>
      </c>
      <c r="B266" s="96">
        <v>80</v>
      </c>
      <c r="C266" s="96">
        <v>35</v>
      </c>
      <c r="D266" s="96">
        <v>95</v>
      </c>
      <c r="E266" s="91" t="s">
        <v>1922</v>
      </c>
    </row>
    <row r="267" spans="1:5" ht="14">
      <c r="A267" s="92" t="s">
        <v>2866</v>
      </c>
      <c r="B267" s="93">
        <v>80</v>
      </c>
      <c r="C267" s="93">
        <v>40</v>
      </c>
      <c r="D267" s="101"/>
      <c r="E267" s="91" t="s">
        <v>1925</v>
      </c>
    </row>
    <row r="268" spans="1:5" ht="14">
      <c r="A268" s="95" t="s">
        <v>3167</v>
      </c>
      <c r="B268" s="96">
        <v>80</v>
      </c>
      <c r="C268" s="96">
        <v>40</v>
      </c>
      <c r="D268" s="96">
        <v>35</v>
      </c>
      <c r="E268" s="91" t="s">
        <v>1928</v>
      </c>
    </row>
    <row r="269" spans="1:5" ht="14">
      <c r="A269" s="95" t="s">
        <v>3168</v>
      </c>
      <c r="B269" s="96">
        <v>80</v>
      </c>
      <c r="C269" s="96">
        <v>40</v>
      </c>
      <c r="D269" s="96">
        <v>40</v>
      </c>
      <c r="E269" s="91" t="s">
        <v>1931</v>
      </c>
    </row>
    <row r="270" spans="1:5" ht="14">
      <c r="A270" s="92" t="s">
        <v>2900</v>
      </c>
      <c r="B270" s="93">
        <v>80</v>
      </c>
      <c r="C270" s="93">
        <v>50</v>
      </c>
      <c r="D270" s="101"/>
      <c r="E270" s="91" t="s">
        <v>1258</v>
      </c>
    </row>
    <row r="271" spans="1:5" ht="14">
      <c r="A271" s="103" t="s">
        <v>3169</v>
      </c>
      <c r="B271" s="104">
        <v>80</v>
      </c>
      <c r="C271" s="104">
        <v>50</v>
      </c>
      <c r="D271" s="104">
        <v>20</v>
      </c>
      <c r="E271" s="91" t="s">
        <v>1935</v>
      </c>
    </row>
    <row r="272" spans="1:5" ht="14">
      <c r="A272" s="95" t="s">
        <v>3170</v>
      </c>
      <c r="B272" s="96">
        <v>80</v>
      </c>
      <c r="C272" s="96">
        <v>50</v>
      </c>
      <c r="D272" s="96">
        <v>35</v>
      </c>
      <c r="E272" s="91" t="s">
        <v>1937</v>
      </c>
    </row>
    <row r="273" spans="1:5" ht="14">
      <c r="A273" s="103" t="s">
        <v>3171</v>
      </c>
      <c r="B273" s="104">
        <v>80</v>
      </c>
      <c r="C273" s="104">
        <v>50</v>
      </c>
      <c r="D273" s="104">
        <v>40</v>
      </c>
      <c r="E273" s="91" t="s">
        <v>1940</v>
      </c>
    </row>
    <row r="274" spans="1:5" ht="14">
      <c r="A274" s="95" t="s">
        <v>2918</v>
      </c>
      <c r="B274" s="96">
        <v>80</v>
      </c>
      <c r="C274" s="96">
        <v>50</v>
      </c>
      <c r="D274" s="96">
        <v>74</v>
      </c>
      <c r="E274" s="91" t="s">
        <v>1943</v>
      </c>
    </row>
    <row r="275" spans="1:5" ht="14">
      <c r="A275" s="95" t="s">
        <v>3172</v>
      </c>
      <c r="B275" s="96">
        <v>80</v>
      </c>
      <c r="C275" s="96">
        <v>50</v>
      </c>
      <c r="D275" s="96">
        <v>75</v>
      </c>
      <c r="E275" s="91" t="s">
        <v>1946</v>
      </c>
    </row>
    <row r="276" spans="1:5" ht="14">
      <c r="A276" s="92" t="s">
        <v>2940</v>
      </c>
      <c r="B276" s="93">
        <v>80</v>
      </c>
      <c r="C276" s="93">
        <v>70</v>
      </c>
      <c r="D276" s="101"/>
      <c r="E276" s="91" t="s">
        <v>1948</v>
      </c>
    </row>
    <row r="277" spans="1:5" ht="14">
      <c r="A277" s="95" t="s">
        <v>3173</v>
      </c>
      <c r="B277" s="96">
        <v>80</v>
      </c>
      <c r="C277" s="96">
        <v>70</v>
      </c>
      <c r="D277" s="96">
        <v>17</v>
      </c>
      <c r="E277" s="91" t="s">
        <v>1950</v>
      </c>
    </row>
    <row r="278" spans="1:5" ht="14">
      <c r="A278" s="95" t="s">
        <v>3174</v>
      </c>
      <c r="B278" s="96">
        <v>80</v>
      </c>
      <c r="C278" s="96">
        <v>70</v>
      </c>
      <c r="D278" s="96">
        <v>30</v>
      </c>
      <c r="E278" s="91" t="s">
        <v>1314</v>
      </c>
    </row>
    <row r="279" spans="1:5" ht="14">
      <c r="A279" s="95" t="s">
        <v>3175</v>
      </c>
      <c r="B279" s="96">
        <v>80</v>
      </c>
      <c r="C279" s="96">
        <v>70</v>
      </c>
      <c r="D279" s="96">
        <v>36</v>
      </c>
      <c r="E279" s="91" t="s">
        <v>1953</v>
      </c>
    </row>
    <row r="280" spans="1:5" ht="14">
      <c r="A280" s="95" t="s">
        <v>2950</v>
      </c>
      <c r="B280" s="96">
        <v>80</v>
      </c>
      <c r="C280" s="96">
        <v>70</v>
      </c>
      <c r="D280" s="96">
        <v>50</v>
      </c>
      <c r="E280" s="91" t="s">
        <v>1956</v>
      </c>
    </row>
    <row r="281" spans="1:5" ht="14">
      <c r="A281" s="95" t="s">
        <v>3176</v>
      </c>
      <c r="B281" s="96">
        <v>80</v>
      </c>
      <c r="C281" s="96">
        <v>70</v>
      </c>
      <c r="D281" s="96">
        <v>60</v>
      </c>
      <c r="E281" s="91" t="s">
        <v>1959</v>
      </c>
    </row>
    <row r="282" spans="1:5" ht="14">
      <c r="A282" s="103" t="s">
        <v>3177</v>
      </c>
      <c r="B282" s="104">
        <v>80</v>
      </c>
      <c r="C282" s="104">
        <v>70</v>
      </c>
      <c r="D282" s="104">
        <v>70</v>
      </c>
      <c r="E282" s="91" t="s">
        <v>1961</v>
      </c>
    </row>
    <row r="283" spans="1:5" ht="14">
      <c r="A283" s="103" t="s">
        <v>3178</v>
      </c>
      <c r="B283" s="104">
        <v>80</v>
      </c>
      <c r="C283" s="104">
        <v>70</v>
      </c>
      <c r="D283" s="104">
        <v>75</v>
      </c>
      <c r="E283" s="91" t="s">
        <v>1964</v>
      </c>
    </row>
    <row r="284" spans="1:5" ht="14">
      <c r="A284" s="95" t="s">
        <v>3179</v>
      </c>
      <c r="B284" s="96">
        <v>80</v>
      </c>
      <c r="C284" s="96">
        <v>70</v>
      </c>
      <c r="D284" s="96">
        <v>77</v>
      </c>
      <c r="E284" s="91" t="s">
        <v>1966</v>
      </c>
    </row>
    <row r="285" spans="1:5" ht="14">
      <c r="A285" s="87" t="s">
        <v>2977</v>
      </c>
      <c r="B285" s="88">
        <v>90</v>
      </c>
      <c r="C285" s="89"/>
      <c r="D285" s="89"/>
      <c r="E285" s="91" t="s">
        <v>1968</v>
      </c>
    </row>
    <row r="286" spans="1:5" ht="14">
      <c r="A286" s="92" t="s">
        <v>2987</v>
      </c>
      <c r="B286" s="93">
        <v>90</v>
      </c>
      <c r="C286" s="93">
        <v>50</v>
      </c>
      <c r="D286" s="100"/>
      <c r="E286" s="91" t="s">
        <v>1970</v>
      </c>
    </row>
    <row r="287" spans="1:5" ht="14">
      <c r="A287" s="95" t="s">
        <v>2991</v>
      </c>
      <c r="B287" s="96">
        <v>90</v>
      </c>
      <c r="C287" s="96">
        <v>50</v>
      </c>
      <c r="D287" s="96">
        <v>3</v>
      </c>
      <c r="E287" s="91" t="s">
        <v>1972</v>
      </c>
    </row>
    <row r="288" spans="1:5" ht="14">
      <c r="A288" s="95" t="s">
        <v>3180</v>
      </c>
      <c r="B288" s="96">
        <v>90</v>
      </c>
      <c r="C288" s="96">
        <v>50</v>
      </c>
      <c r="D288" s="96">
        <v>7</v>
      </c>
      <c r="E288" s="91" t="s">
        <v>1975</v>
      </c>
    </row>
    <row r="289" spans="1:5" ht="14">
      <c r="A289" s="95" t="s">
        <v>3181</v>
      </c>
      <c r="B289" s="96">
        <v>90</v>
      </c>
      <c r="C289" s="96">
        <v>50</v>
      </c>
      <c r="D289" s="96">
        <v>15</v>
      </c>
      <c r="E289" s="91" t="s">
        <v>1977</v>
      </c>
    </row>
    <row r="290" spans="1:5" ht="14">
      <c r="A290" s="95" t="s">
        <v>3182</v>
      </c>
      <c r="B290" s="96">
        <v>90</v>
      </c>
      <c r="C290" s="96">
        <v>50</v>
      </c>
      <c r="D290" s="96">
        <v>24</v>
      </c>
      <c r="E290" s="91" t="s">
        <v>1979</v>
      </c>
    </row>
    <row r="291" spans="1:5" ht="14">
      <c r="A291" s="95" t="s">
        <v>3183</v>
      </c>
      <c r="B291" s="96">
        <v>90</v>
      </c>
      <c r="C291" s="96">
        <v>50</v>
      </c>
      <c r="D291" s="96">
        <v>34</v>
      </c>
      <c r="E291" s="91" t="s">
        <v>1981</v>
      </c>
    </row>
    <row r="292" spans="1:5" ht="14">
      <c r="A292" s="95" t="s">
        <v>3184</v>
      </c>
      <c r="B292" s="96">
        <v>90</v>
      </c>
      <c r="C292" s="96">
        <v>50</v>
      </c>
      <c r="D292" s="96">
        <v>45</v>
      </c>
      <c r="E292" s="91" t="s">
        <v>1983</v>
      </c>
    </row>
    <row r="293" spans="1:5" ht="14">
      <c r="A293" s="95" t="s">
        <v>2999</v>
      </c>
      <c r="B293" s="96">
        <v>90</v>
      </c>
      <c r="C293" s="96">
        <v>50</v>
      </c>
      <c r="D293" s="96">
        <v>50</v>
      </c>
      <c r="E293" s="91" t="s">
        <v>1986</v>
      </c>
    </row>
    <row r="294" spans="1:5" ht="14">
      <c r="A294" s="95" t="s">
        <v>3185</v>
      </c>
      <c r="B294" s="96">
        <v>90</v>
      </c>
      <c r="C294" s="96">
        <v>50</v>
      </c>
      <c r="D294" s="96">
        <v>60</v>
      </c>
      <c r="E294" s="91" t="s">
        <v>1989</v>
      </c>
    </row>
    <row r="295" spans="1:5" ht="14">
      <c r="A295" s="95" t="s">
        <v>3186</v>
      </c>
      <c r="B295" s="96">
        <v>90</v>
      </c>
      <c r="C295" s="96">
        <v>50</v>
      </c>
      <c r="D295" s="96">
        <v>71</v>
      </c>
      <c r="E295" s="91" t="s">
        <v>1991</v>
      </c>
    </row>
    <row r="296" spans="1:5" ht="14">
      <c r="A296" s="95" t="s">
        <v>3187</v>
      </c>
      <c r="B296" s="96">
        <v>90</v>
      </c>
      <c r="C296" s="96">
        <v>50</v>
      </c>
      <c r="D296" s="96">
        <v>94</v>
      </c>
      <c r="E296" s="91" t="s">
        <v>1993</v>
      </c>
    </row>
    <row r="297" spans="1:5" ht="14">
      <c r="A297" s="95" t="s">
        <v>3188</v>
      </c>
      <c r="B297" s="96">
        <v>90</v>
      </c>
      <c r="C297" s="96">
        <v>50</v>
      </c>
      <c r="D297" s="96">
        <v>95</v>
      </c>
      <c r="E297" s="91" t="s">
        <v>1995</v>
      </c>
    </row>
    <row r="298" spans="1:5" ht="14">
      <c r="A298" s="95" t="s">
        <v>3011</v>
      </c>
      <c r="B298" s="96">
        <v>90</v>
      </c>
      <c r="C298" s="96">
        <v>50</v>
      </c>
      <c r="D298" s="96">
        <v>96</v>
      </c>
      <c r="E298" s="91" t="s">
        <v>1997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L1000"/>
  <sheetViews>
    <sheetView workbookViewId="0">
      <pane ySplit="3" topLeftCell="A4" activePane="bottomLeft" state="frozen"/>
      <selection pane="bottomLeft" activeCell="B5" sqref="B5"/>
    </sheetView>
  </sheetViews>
  <sheetFormatPr defaultColWidth="14.453125" defaultRowHeight="15.75" customHeight="1"/>
  <cols>
    <col min="6" max="6" width="37.08984375" customWidth="1"/>
    <col min="7" max="7" width="41.453125" customWidth="1"/>
    <col min="8" max="8" width="38.81640625" customWidth="1"/>
    <col min="9" max="9" width="12.81640625" customWidth="1"/>
  </cols>
  <sheetData>
    <row r="1" spans="1:12" ht="19.5">
      <c r="A1" s="207" t="s">
        <v>3189</v>
      </c>
      <c r="B1" s="208"/>
      <c r="C1" s="208"/>
      <c r="D1" s="22"/>
      <c r="E1" s="22"/>
      <c r="F1" s="22"/>
      <c r="G1" s="22" t="str">
        <f>"Traduzidos "&amp;COUNTA(I4:I917)&amp;" de "&amp;COUNTA(A4:A917)</f>
        <v>Traduzidos 211 de 914</v>
      </c>
      <c r="I1" s="78"/>
      <c r="J1" s="78"/>
      <c r="K1" s="22"/>
      <c r="L1" s="22"/>
    </row>
    <row r="2" spans="1:12" ht="14.5">
      <c r="A2" s="24"/>
      <c r="B2" s="24"/>
      <c r="C2" s="24"/>
      <c r="D2" s="24"/>
      <c r="E2" s="24"/>
      <c r="F2" s="24"/>
      <c r="G2" s="24"/>
      <c r="H2" s="24"/>
      <c r="I2" s="79"/>
      <c r="J2" s="79"/>
      <c r="K2" s="24"/>
      <c r="L2" s="24"/>
    </row>
    <row r="3" spans="1:12" ht="14.5">
      <c r="A3" s="25" t="s">
        <v>61</v>
      </c>
      <c r="B3" s="25" t="s">
        <v>62</v>
      </c>
      <c r="C3" s="25" t="s">
        <v>63</v>
      </c>
      <c r="D3" s="25" t="s">
        <v>64</v>
      </c>
      <c r="E3" s="25" t="s">
        <v>65</v>
      </c>
      <c r="F3" s="25" t="s">
        <v>66</v>
      </c>
      <c r="G3" s="1" t="s">
        <v>67</v>
      </c>
      <c r="H3" s="25" t="s">
        <v>3190</v>
      </c>
      <c r="I3" s="80" t="s">
        <v>1999</v>
      </c>
      <c r="J3" s="80" t="s">
        <v>3191</v>
      </c>
      <c r="K3" s="25" t="s">
        <v>78</v>
      </c>
      <c r="L3" s="25" t="s">
        <v>79</v>
      </c>
    </row>
    <row r="4" spans="1:12" ht="14.5" hidden="1">
      <c r="A4" s="20" t="s">
        <v>3192</v>
      </c>
      <c r="B4" s="20">
        <v>5</v>
      </c>
      <c r="C4" s="24"/>
      <c r="D4" s="24"/>
      <c r="E4" s="24"/>
      <c r="F4" s="28" t="s">
        <v>3193</v>
      </c>
      <c r="G4" s="24" t="str">
        <f ca="1">IFERROR(__xludf.DUMMYFUNCTION("UPPER(LEFT((GOOGLETRANSLATE(F4,""en"",""pt"")),1))&amp;RIGHT(lower((GOOGLETRANSLATE(F4,""en"",""pt""))),(LEN((GOOGLETRANSLATE(F4,""en"",""pt"")))-1))"),"Atividades de gerenciamento de projetos")</f>
        <v>Atividades de gerenciamento de projetos</v>
      </c>
      <c r="H4" s="20" t="s">
        <v>3194</v>
      </c>
      <c r="I4" s="81" t="s">
        <v>2004</v>
      </c>
      <c r="J4" s="79"/>
      <c r="K4" s="24"/>
      <c r="L4" s="24"/>
    </row>
    <row r="5" spans="1:12" ht="14.5" hidden="1">
      <c r="A5" s="20" t="s">
        <v>3195</v>
      </c>
      <c r="B5" s="20">
        <v>5</v>
      </c>
      <c r="C5" s="20">
        <v>0</v>
      </c>
      <c r="D5" s="24"/>
      <c r="E5" s="24"/>
      <c r="F5" s="20" t="s">
        <v>3196</v>
      </c>
      <c r="G5" s="24" t="str">
        <f ca="1">IFERROR(__xludf.DUMMYFUNCTION("UPPER(LEFT((GOOGLETRANSLATE(F5,""en"",""pt"")),1))&amp;RIGHT(lower((GOOGLETRANSLATE(F5,""en"",""pt""))),(LEN((GOOGLETRANSLATE(F5,""en"",""pt"")))-1))"),"Atividades de estágio de estratégia")</f>
        <v>Atividades de estágio de estratégia</v>
      </c>
      <c r="H5" s="20" t="s">
        <v>3197</v>
      </c>
      <c r="I5" s="81" t="s">
        <v>2004</v>
      </c>
      <c r="J5" s="79"/>
      <c r="K5" s="24"/>
      <c r="L5" s="24"/>
    </row>
    <row r="6" spans="1:12" ht="14.5" hidden="1">
      <c r="A6" s="20" t="s">
        <v>3198</v>
      </c>
      <c r="B6" s="20">
        <v>5</v>
      </c>
      <c r="C6" s="20">
        <v>0</v>
      </c>
      <c r="D6" s="20">
        <v>10</v>
      </c>
      <c r="E6" s="24"/>
      <c r="F6" s="20" t="s">
        <v>3199</v>
      </c>
      <c r="G6" s="24" t="str">
        <f ca="1">IFERROR(__xludf.DUMMYFUNCTION("UPPER(LEFT((GOOGLETRANSLATE(F6,""en"",""pt"")),1))&amp;RIGHT(lower((GOOGLETRANSLATE(F6,""en"",""pt""))),(LEN((GOOGLETRANSLATE(F6,""en"",""pt"")))-1))"),"Desenvolvimento de casos de negócios")</f>
        <v>Desenvolvimento de casos de negócios</v>
      </c>
      <c r="H6" s="20" t="s">
        <v>3200</v>
      </c>
      <c r="I6" s="81" t="s">
        <v>2004</v>
      </c>
      <c r="J6" s="79"/>
      <c r="K6" s="24"/>
      <c r="L6" s="24"/>
    </row>
    <row r="7" spans="1:12" ht="14.5" hidden="1">
      <c r="A7" s="20" t="s">
        <v>3201</v>
      </c>
      <c r="B7" s="20">
        <v>5</v>
      </c>
      <c r="C7" s="20">
        <v>0</v>
      </c>
      <c r="D7" s="20">
        <v>80</v>
      </c>
      <c r="E7" s="24"/>
      <c r="F7" s="20" t="s">
        <v>3202</v>
      </c>
      <c r="G7" s="24" t="str">
        <f ca="1">IFERROR(__xludf.DUMMYFUNCTION("UPPER(LEFT((GOOGLETRANSLATE(F7,""en"",""pt"")),1))&amp;RIGHT(lower((GOOGLETRANSLATE(F7,""en"",""pt""))),(LEN((GOOGLETRANSLATE(F7,""en"",""pt"")))-1))"),"Preparação breve estratégica")</f>
        <v>Preparação breve estratégica</v>
      </c>
      <c r="H7" s="20" t="s">
        <v>3203</v>
      </c>
      <c r="I7" s="81" t="s">
        <v>2004</v>
      </c>
      <c r="J7" s="79"/>
      <c r="K7" s="24"/>
      <c r="L7" s="24"/>
    </row>
    <row r="8" spans="1:12" ht="14.5" hidden="1">
      <c r="A8" s="20" t="s">
        <v>3204</v>
      </c>
      <c r="B8" s="20">
        <v>5</v>
      </c>
      <c r="C8" s="20">
        <v>0</v>
      </c>
      <c r="D8" s="20">
        <v>82</v>
      </c>
      <c r="E8" s="24"/>
      <c r="F8" s="20" t="s">
        <v>3205</v>
      </c>
      <c r="G8" s="24" t="str">
        <f ca="1">IFERROR(__xludf.DUMMYFUNCTION("UPPER(LEFT((GOOGLETRANSLATE(F8,""en"",""pt"")),1))&amp;RIGHT(lower((GOOGLETRANSLATE(F8,""en"",""pt""))),(LEN((GOOGLETRANSLATE(F8,""en"",""pt"")))-1))"),"Submissão breve estratégica")</f>
        <v>Submissão breve estratégica</v>
      </c>
      <c r="H8" s="20" t="s">
        <v>3206</v>
      </c>
      <c r="I8" s="81" t="s">
        <v>2004</v>
      </c>
      <c r="J8" s="105" t="s">
        <v>3207</v>
      </c>
      <c r="K8" s="24"/>
      <c r="L8" s="24"/>
    </row>
    <row r="9" spans="1:12" ht="14.5" hidden="1">
      <c r="A9" s="20" t="s">
        <v>3208</v>
      </c>
      <c r="B9" s="20">
        <v>5</v>
      </c>
      <c r="C9" s="20">
        <v>10</v>
      </c>
      <c r="D9" s="24"/>
      <c r="E9" s="24"/>
      <c r="F9" s="20" t="s">
        <v>3209</v>
      </c>
      <c r="G9" s="24" t="str">
        <f ca="1">IFERROR(__xludf.DUMMYFUNCTION("UPPER(LEFT((GOOGLETRANSLATE(F9,""en"",""pt"")),1))&amp;RIGHT(lower((GOOGLETRANSLATE(F9,""en"",""pt""))),(LEN((GOOGLETRANSLATE(F9,""en"",""pt"")))-1))"),"Atividades de estágio breves")</f>
        <v>Atividades de estágio breves</v>
      </c>
      <c r="H9" s="20" t="s">
        <v>3210</v>
      </c>
      <c r="I9" s="81" t="s">
        <v>2004</v>
      </c>
      <c r="J9" s="79"/>
      <c r="K9" s="24"/>
      <c r="L9" s="24"/>
    </row>
    <row r="10" spans="1:12" ht="14.5" hidden="1">
      <c r="A10" s="20" t="s">
        <v>3211</v>
      </c>
      <c r="B10" s="20">
        <v>5</v>
      </c>
      <c r="C10" s="20">
        <v>10</v>
      </c>
      <c r="D10" s="20">
        <v>15</v>
      </c>
      <c r="E10" s="24"/>
      <c r="F10" s="20" t="s">
        <v>3212</v>
      </c>
      <c r="G10" s="24" t="str">
        <f ca="1">IFERROR(__xludf.DUMMYFUNCTION("UPPER(LEFT((GOOGLETRANSLATE(F10,""en"",""pt"")),1))&amp;RIGHT(lower((GOOGLETRANSLATE(F10,""en"",""pt""))),(LEN((GOOGLETRANSLATE(F10,""en"",""pt"")))-1))"),"Preparação estimativa de custo")</f>
        <v>Preparação estimativa de custo</v>
      </c>
      <c r="H10" s="20" t="s">
        <v>3213</v>
      </c>
      <c r="I10" s="81" t="s">
        <v>2004</v>
      </c>
      <c r="J10" s="79"/>
      <c r="K10" s="24"/>
      <c r="L10" s="24"/>
    </row>
    <row r="11" spans="1:12" ht="14.5" hidden="1">
      <c r="A11" s="20" t="s">
        <v>3214</v>
      </c>
      <c r="B11" s="20">
        <v>5</v>
      </c>
      <c r="C11" s="20">
        <v>10</v>
      </c>
      <c r="D11" s="20">
        <v>17</v>
      </c>
      <c r="E11" s="24"/>
      <c r="F11" s="20" t="s">
        <v>3215</v>
      </c>
      <c r="G11" s="24" t="str">
        <f ca="1">IFERROR(__xludf.DUMMYFUNCTION("UPPER(LEFT((GOOGLETRANSLATE(F11,""en"",""pt"")),1))&amp;RIGHT(lower((GOOGLETRANSLATE(F11,""en"",""pt""))),(LEN((GOOGLETRANSLATE(F11,""en"",""pt"")))-1))"),"Custo submissão estimativa")</f>
        <v>Custo submissão estimativa</v>
      </c>
      <c r="H11" s="20" t="s">
        <v>3216</v>
      </c>
      <c r="I11" s="81" t="s">
        <v>2004</v>
      </c>
      <c r="J11" s="79"/>
      <c r="K11" s="24"/>
      <c r="L11" s="24"/>
    </row>
    <row r="12" spans="1:12" ht="14.5" hidden="1">
      <c r="A12" s="20" t="s">
        <v>3217</v>
      </c>
      <c r="B12" s="20">
        <v>5</v>
      </c>
      <c r="C12" s="20">
        <v>10</v>
      </c>
      <c r="D12" s="20">
        <v>29</v>
      </c>
      <c r="E12" s="24"/>
      <c r="F12" s="20" t="s">
        <v>3218</v>
      </c>
      <c r="G12" s="24" t="str">
        <f ca="1">IFERROR(__xludf.DUMMYFUNCTION("UPPER(LEFT((GOOGLETRANSLATE(F12,""en"",""pt"")),1))&amp;RIGHT(lower((GOOGLETRANSLATE(F12,""en"",""pt""))),(LEN((GOOGLETRANSLATE(F12,""en"",""pt"")))-1))"),"Preparação estudo de viabilidade")</f>
        <v>Preparação estudo de viabilidade</v>
      </c>
      <c r="H12" s="20" t="s">
        <v>3219</v>
      </c>
      <c r="I12" s="81" t="s">
        <v>2004</v>
      </c>
      <c r="J12" s="79"/>
      <c r="K12" s="24"/>
      <c r="L12" s="24"/>
    </row>
    <row r="13" spans="1:12" ht="14.5" hidden="1">
      <c r="A13" s="20" t="s">
        <v>3220</v>
      </c>
      <c r="B13" s="20">
        <v>5</v>
      </c>
      <c r="C13" s="20">
        <v>10</v>
      </c>
      <c r="D13" s="20">
        <v>31</v>
      </c>
      <c r="E13" s="24"/>
      <c r="F13" s="20" t="s">
        <v>3221</v>
      </c>
      <c r="G13" s="24" t="str">
        <f ca="1">IFERROR(__xludf.DUMMYFUNCTION("UPPER(LEFT((GOOGLETRANSLATE(F13,""en"",""pt"")),1))&amp;RIGHT(lower((GOOGLETRANSLATE(F13,""en"",""pt""))),(LEN((GOOGLETRANSLATE(F13,""en"",""pt"")))-1))"),"Submissão estudo de viabilidade")</f>
        <v>Submissão estudo de viabilidade</v>
      </c>
      <c r="H13" s="20" t="s">
        <v>3222</v>
      </c>
      <c r="I13" s="81" t="s">
        <v>2004</v>
      </c>
      <c r="J13" s="79"/>
      <c r="K13" s="24"/>
      <c r="L13" s="24"/>
    </row>
    <row r="14" spans="1:12" ht="14.5" hidden="1">
      <c r="A14" s="20" t="s">
        <v>3223</v>
      </c>
      <c r="B14" s="20">
        <v>5</v>
      </c>
      <c r="C14" s="20">
        <v>10</v>
      </c>
      <c r="D14" s="20">
        <v>61</v>
      </c>
      <c r="E14" s="24"/>
      <c r="F14" s="20" t="s">
        <v>3224</v>
      </c>
      <c r="G14" s="24" t="str">
        <f ca="1">IFERROR(__xludf.DUMMYFUNCTION("UPPER(LEFT((GOOGLETRANSLATE(F14,""en"",""pt"")),1))&amp;RIGHT(lower((GOOGLETRANSLATE(F14,""en"",""pt""))),(LEN((GOOGLETRANSLATE(F14,""en"",""pt"")))-1))"),"Preparação projeto preliminar")</f>
        <v>Preparação projeto preliminar</v>
      </c>
      <c r="H14" s="20" t="s">
        <v>3225</v>
      </c>
      <c r="I14" s="81" t="s">
        <v>2004</v>
      </c>
      <c r="J14" s="79"/>
      <c r="K14" s="24"/>
      <c r="L14" s="24"/>
    </row>
    <row r="15" spans="1:12" ht="14.5" hidden="1">
      <c r="A15" s="20" t="s">
        <v>3226</v>
      </c>
      <c r="B15" s="20">
        <v>5</v>
      </c>
      <c r="C15" s="20">
        <v>10</v>
      </c>
      <c r="D15" s="20">
        <v>63</v>
      </c>
      <c r="E15" s="24"/>
      <c r="F15" s="20" t="s">
        <v>3227</v>
      </c>
      <c r="G15" s="24" t="str">
        <f ca="1">IFERROR(__xludf.DUMMYFUNCTION("UPPER(LEFT((GOOGLETRANSLATE(F15,""en"",""pt"")),1))&amp;RIGHT(lower((GOOGLETRANSLATE(F15,""en"",""pt""))),(LEN((GOOGLETRANSLATE(F15,""en"",""pt"")))-1))"),"Submissão de projeto preliminar")</f>
        <v>Submissão de projeto preliminar</v>
      </c>
      <c r="H15" s="24" t="s">
        <v>3228</v>
      </c>
      <c r="I15" s="81" t="s">
        <v>2004</v>
      </c>
      <c r="J15" s="79"/>
      <c r="K15" s="24"/>
      <c r="L15" s="24"/>
    </row>
    <row r="16" spans="1:12" ht="14.5" hidden="1">
      <c r="A16" s="20" t="s">
        <v>3229</v>
      </c>
      <c r="B16" s="20">
        <v>5</v>
      </c>
      <c r="C16" s="20">
        <v>10</v>
      </c>
      <c r="D16" s="20">
        <v>65</v>
      </c>
      <c r="E16" s="24"/>
      <c r="F16" s="20" t="s">
        <v>3230</v>
      </c>
      <c r="G16" s="24" t="str">
        <f ca="1">IFERROR(__xludf.DUMMYFUNCTION("UPPER(LEFT((GOOGLETRANSLATE(F16,""en"",""pt"")),1))&amp;RIGHT(lower((GOOGLETRANSLATE(F16,""en"",""pt""))),(LEN((GOOGLETRANSLATE(F16,""en"",""pt"")))-1))"),"Breves e objetivos a preparação do projeto")</f>
        <v>Breves e objetivos a preparação do projeto</v>
      </c>
      <c r="H16" s="20" t="s">
        <v>3231</v>
      </c>
      <c r="I16" s="81" t="s">
        <v>2004</v>
      </c>
      <c r="J16" s="79"/>
      <c r="K16" s="24"/>
      <c r="L16" s="24"/>
    </row>
    <row r="17" spans="1:12" ht="14.5" hidden="1">
      <c r="A17" s="20" t="s">
        <v>3232</v>
      </c>
      <c r="B17" s="20">
        <v>5</v>
      </c>
      <c r="C17" s="20">
        <v>10</v>
      </c>
      <c r="D17" s="20">
        <v>67</v>
      </c>
      <c r="E17" s="24"/>
      <c r="F17" s="20" t="s">
        <v>3233</v>
      </c>
      <c r="G17" s="24" t="str">
        <f ca="1">IFERROR(__xludf.DUMMYFUNCTION("UPPER(LEFT((GOOGLETRANSLATE(F17,""en"",""pt"")),1))&amp;RIGHT(lower((GOOGLETRANSLATE(F17,""en"",""pt""))),(LEN((GOOGLETRANSLATE(F17,""en"",""pt"")))-1))"),"Projeto breve e objetivos submissão")</f>
        <v>Projeto breve e objetivos submissão</v>
      </c>
      <c r="H17" s="20" t="s">
        <v>3234</v>
      </c>
      <c r="I17" s="81" t="s">
        <v>2004</v>
      </c>
      <c r="J17" s="79"/>
      <c r="K17" s="24"/>
      <c r="L17" s="24"/>
    </row>
    <row r="18" spans="1:12" ht="14.5" hidden="1">
      <c r="A18" s="20" t="s">
        <v>3235</v>
      </c>
      <c r="B18" s="20">
        <v>5</v>
      </c>
      <c r="C18" s="20">
        <v>20</v>
      </c>
      <c r="D18" s="24"/>
      <c r="E18" s="24"/>
      <c r="F18" s="20" t="s">
        <v>3236</v>
      </c>
      <c r="G18" s="24" t="str">
        <f ca="1">IFERROR(__xludf.DUMMYFUNCTION("UPPER(LEFT((GOOGLETRANSLATE(F18,""en"",""pt"")),1))&amp;RIGHT(lower((GOOGLETRANSLATE(F18,""en"",""pt""))),(LEN((GOOGLETRANSLATE(F18,""en"",""pt"")))-1))"),"Atividades fase de conceito")</f>
        <v>Atividades fase de conceito</v>
      </c>
      <c r="H18" s="20" t="s">
        <v>3237</v>
      </c>
      <c r="I18" s="81" t="s">
        <v>2004</v>
      </c>
      <c r="J18" s="79"/>
      <c r="K18" s="24"/>
      <c r="L18" s="24"/>
    </row>
    <row r="19" spans="1:12" ht="14.5">
      <c r="A19" s="20" t="s">
        <v>3238</v>
      </c>
      <c r="B19" s="20">
        <v>5</v>
      </c>
      <c r="C19" s="20">
        <v>20</v>
      </c>
      <c r="D19" s="20">
        <v>15</v>
      </c>
      <c r="E19" s="24"/>
      <c r="F19" s="20" t="s">
        <v>3239</v>
      </c>
      <c r="G19" s="24" t="str">
        <f ca="1">IFERROR(__xludf.DUMMYFUNCTION("UPPER(LEFT((GOOGLETRANSLATE(F19,""en"",""pt"")),1))&amp;RIGHT(lower((GOOGLETRANSLATE(F19,""en"",""pt""))),(LEN((GOOGLETRANSLATE(F19,""en"",""pt"")))-1))"),"Elaboração de relatórios de custos concept")</f>
        <v>Elaboração de relatórios de custos concept</v>
      </c>
      <c r="H19" s="24"/>
      <c r="I19" s="79"/>
      <c r="J19" s="79"/>
      <c r="K19" s="24"/>
      <c r="L19" s="24"/>
    </row>
    <row r="20" spans="1:12" ht="14.5">
      <c r="A20" s="20" t="s">
        <v>3240</v>
      </c>
      <c r="B20" s="20">
        <v>5</v>
      </c>
      <c r="C20" s="20">
        <v>20</v>
      </c>
      <c r="D20" s="20">
        <v>17</v>
      </c>
      <c r="E20" s="24"/>
      <c r="F20" s="20" t="s">
        <v>3241</v>
      </c>
      <c r="G20" s="24" t="str">
        <f ca="1">IFERROR(__xludf.DUMMYFUNCTION("UPPER(LEFT((GOOGLETRANSLATE(F20,""en"",""pt"")),1))&amp;RIGHT(lower((GOOGLETRANSLATE(F20,""en"",""pt""))),(LEN((GOOGLETRANSLATE(F20,""en"",""pt"")))-1))"),"Conceito submissão relatório de custos")</f>
        <v>Conceito submissão relatório de custos</v>
      </c>
      <c r="H20" s="24"/>
      <c r="I20" s="79"/>
      <c r="J20" s="79"/>
      <c r="K20" s="24"/>
      <c r="L20" s="24"/>
    </row>
    <row r="21" spans="1:12" ht="14.5">
      <c r="A21" s="20" t="s">
        <v>3242</v>
      </c>
      <c r="B21" s="20">
        <v>5</v>
      </c>
      <c r="C21" s="20">
        <v>20</v>
      </c>
      <c r="D21" s="20">
        <v>21</v>
      </c>
      <c r="E21" s="24"/>
      <c r="F21" s="20" t="s">
        <v>3243</v>
      </c>
      <c r="G21" s="24" t="str">
        <f ca="1">IFERROR(__xludf.DUMMYFUNCTION("UPPER(LEFT((GOOGLETRANSLATE(F21,""en"",""pt"")),1))&amp;RIGHT(lower((GOOGLETRANSLATE(F21,""en"",""pt""))),(LEN((GOOGLETRANSLATE(F21,""en"",""pt"")))-1))"),"Desenvolvimento de design concept")</f>
        <v>Desenvolvimento de design concept</v>
      </c>
      <c r="H21" s="24"/>
      <c r="I21" s="79"/>
      <c r="J21" s="79"/>
      <c r="K21" s="24"/>
      <c r="L21" s="24"/>
    </row>
    <row r="22" spans="1:12" ht="14.5">
      <c r="A22" s="20" t="s">
        <v>3244</v>
      </c>
      <c r="B22" s="20">
        <v>5</v>
      </c>
      <c r="C22" s="20">
        <v>20</v>
      </c>
      <c r="D22" s="20">
        <v>23</v>
      </c>
      <c r="E22" s="24"/>
      <c r="F22" s="20" t="s">
        <v>3245</v>
      </c>
      <c r="G22" s="24" t="str">
        <f ca="1">IFERROR(__xludf.DUMMYFUNCTION("UPPER(LEFT((GOOGLETRANSLATE(F22,""en"",""pt"")),1))&amp;RIGHT(lower((GOOGLETRANSLATE(F22,""en"",""pt""))),(LEN((GOOGLETRANSLATE(F22,""en"",""pt"")))-1))"),"Elaboração de relatórios projeto de conceito")</f>
        <v>Elaboração de relatórios projeto de conceito</v>
      </c>
      <c r="H22" s="24"/>
      <c r="I22" s="79"/>
      <c r="J22" s="79"/>
      <c r="K22" s="24"/>
      <c r="L22" s="24"/>
    </row>
    <row r="23" spans="1:12" ht="14.5">
      <c r="A23" s="20" t="s">
        <v>3246</v>
      </c>
      <c r="B23" s="20">
        <v>5</v>
      </c>
      <c r="C23" s="20">
        <v>20</v>
      </c>
      <c r="D23" s="20">
        <v>25</v>
      </c>
      <c r="E23" s="24"/>
      <c r="F23" s="20" t="s">
        <v>3247</v>
      </c>
      <c r="G23" s="24" t="str">
        <f ca="1">IFERROR(__xludf.DUMMYFUNCTION("UPPER(LEFT((GOOGLETRANSLATE(F23,""en"",""pt"")),1))&amp;RIGHT(lower((GOOGLETRANSLATE(F23,""en"",""pt""))),(LEN((GOOGLETRANSLATE(F23,""en"",""pt"")))-1))"),"Conceito submissão relatório de design")</f>
        <v>Conceito submissão relatório de design</v>
      </c>
      <c r="H23" s="24"/>
      <c r="I23" s="79"/>
      <c r="J23" s="79"/>
      <c r="K23" s="24"/>
      <c r="L23" s="24"/>
    </row>
    <row r="24" spans="1:12" ht="14.5">
      <c r="A24" s="20" t="s">
        <v>3248</v>
      </c>
      <c r="B24" s="20">
        <v>5</v>
      </c>
      <c r="C24" s="20">
        <v>30</v>
      </c>
      <c r="D24" s="24"/>
      <c r="E24" s="24"/>
      <c r="F24" s="20" t="s">
        <v>3249</v>
      </c>
      <c r="G24" s="24" t="str">
        <f ca="1">IFERROR(__xludf.DUMMYFUNCTION("UPPER(LEFT((GOOGLETRANSLATE(F24,""en"",""pt"")),1))&amp;RIGHT(lower((GOOGLETRANSLATE(F24,""en"",""pt""))),(LEN((GOOGLETRANSLATE(F24,""en"",""pt"")))-1))"),"Atividades fase de definição")</f>
        <v>Atividades fase de definição</v>
      </c>
      <c r="H24" s="24"/>
      <c r="I24" s="79"/>
      <c r="J24" s="79"/>
      <c r="K24" s="24"/>
      <c r="L24" s="24"/>
    </row>
    <row r="25" spans="1:12" ht="14.5">
      <c r="A25" s="20" t="s">
        <v>3250</v>
      </c>
      <c r="B25" s="20">
        <v>5</v>
      </c>
      <c r="C25" s="20">
        <v>30</v>
      </c>
      <c r="D25" s="20">
        <v>3</v>
      </c>
      <c r="E25" s="24"/>
      <c r="F25" s="20" t="s">
        <v>3251</v>
      </c>
      <c r="G25" s="24" t="str">
        <f ca="1">IFERROR(__xludf.DUMMYFUNCTION("UPPER(LEFT((GOOGLETRANSLATE(F25,""en"",""pt"")),1))&amp;RIGHT(lower((GOOGLETRANSLATE(F25,""en"",""pt""))),(LEN((GOOGLETRANSLATE(F25,""en"",""pt"")))-1))"),"Acordo de negociação")</f>
        <v>Acordo de negociação</v>
      </c>
      <c r="H25" s="24"/>
      <c r="I25" s="79"/>
      <c r="J25" s="79"/>
      <c r="K25" s="24"/>
      <c r="L25" s="24"/>
    </row>
    <row r="26" spans="1:12" ht="14.5" hidden="1">
      <c r="A26" s="20" t="s">
        <v>3252</v>
      </c>
      <c r="B26" s="20">
        <v>5</v>
      </c>
      <c r="C26" s="20">
        <v>30</v>
      </c>
      <c r="D26" s="20">
        <v>10</v>
      </c>
      <c r="E26" s="24"/>
      <c r="F26" s="20" t="s">
        <v>3253</v>
      </c>
      <c r="G26" s="24" t="str">
        <f ca="1">IFERROR(__xludf.DUMMYFUNCTION("UPPER(LEFT((GOOGLETRANSLATE(F26,""en"",""pt"")),1))&amp;RIGHT(lower((GOOGLETRANSLATE(F26,""en"",""pt""))),(LEN((GOOGLETRANSLATE(F26,""en"",""pt"")))-1))"),"Regras de construção avaliar")</f>
        <v>Regras de construção avaliar</v>
      </c>
      <c r="H26" s="20" t="s">
        <v>3254</v>
      </c>
      <c r="I26" s="81" t="s">
        <v>2004</v>
      </c>
      <c r="J26" s="79"/>
      <c r="K26" s="24"/>
      <c r="L26" s="24"/>
    </row>
    <row r="27" spans="1:12" ht="14.5">
      <c r="A27" s="20" t="s">
        <v>3255</v>
      </c>
      <c r="B27" s="20">
        <v>5</v>
      </c>
      <c r="C27" s="20">
        <v>30</v>
      </c>
      <c r="D27" s="20">
        <v>21</v>
      </c>
      <c r="E27" s="24"/>
      <c r="F27" s="20" t="s">
        <v>3256</v>
      </c>
      <c r="G27" s="24" t="str">
        <f ca="1">IFERROR(__xludf.DUMMYFUNCTION("UPPER(LEFT((GOOGLETRANSLATE(F27,""en"",""pt"")),1))&amp;RIGHT(lower((GOOGLETRANSLATE(F27,""en"",""pt""))),(LEN((GOOGLETRANSLATE(F27,""en"",""pt"")))-1))"),"Preparação definição do relatório o custo do projeto")</f>
        <v>Preparação definição do relatório o custo do projeto</v>
      </c>
      <c r="H27" s="24"/>
      <c r="I27" s="79"/>
      <c r="J27" s="79"/>
      <c r="K27" s="24"/>
      <c r="L27" s="24"/>
    </row>
    <row r="28" spans="1:12" ht="14.5">
      <c r="A28" s="20" t="s">
        <v>3257</v>
      </c>
      <c r="B28" s="20">
        <v>5</v>
      </c>
      <c r="C28" s="20">
        <v>30</v>
      </c>
      <c r="D28" s="20">
        <v>23</v>
      </c>
      <c r="E28" s="24"/>
      <c r="F28" s="20" t="s">
        <v>3258</v>
      </c>
      <c r="G28" s="24" t="str">
        <f ca="1">IFERROR(__xludf.DUMMYFUNCTION("UPPER(LEFT((GOOGLETRANSLATE(F28,""en"",""pt"")),1))&amp;RIGHT(lower((GOOGLETRANSLATE(F28,""en"",""pt""))),(LEN((GOOGLETRANSLATE(F28,""en"",""pt"")))-1))"),"Definição submissão relatório de custos de design")</f>
        <v>Definição submissão relatório de custos de design</v>
      </c>
      <c r="H28" s="20"/>
      <c r="I28" s="79"/>
      <c r="J28" s="79"/>
      <c r="K28" s="24"/>
      <c r="L28" s="24"/>
    </row>
    <row r="29" spans="1:12" ht="14.5">
      <c r="A29" s="20" t="s">
        <v>3259</v>
      </c>
      <c r="B29" s="20">
        <v>5</v>
      </c>
      <c r="C29" s="20">
        <v>30</v>
      </c>
      <c r="D29" s="20">
        <v>25</v>
      </c>
      <c r="E29" s="24"/>
      <c r="F29" s="20" t="s">
        <v>3260</v>
      </c>
      <c r="G29" s="24" t="str">
        <f ca="1">IFERROR(__xludf.DUMMYFUNCTION("UPPER(LEFT((GOOGLETRANSLATE(F29,""en"",""pt"")),1))&amp;RIGHT(lower((GOOGLETRANSLATE(F29,""en"",""pt""))),(LEN((GOOGLETRANSLATE(F29,""en"",""pt"")))-1))"),"Desenvolvimento do projeto definição")</f>
        <v>Desenvolvimento do projeto definição</v>
      </c>
      <c r="H29" s="20"/>
      <c r="I29" s="79"/>
      <c r="J29" s="79"/>
      <c r="K29" s="24"/>
      <c r="L29" s="24"/>
    </row>
    <row r="30" spans="1:12" ht="14.5">
      <c r="A30" s="20" t="s">
        <v>3261</v>
      </c>
      <c r="B30" s="20">
        <v>5</v>
      </c>
      <c r="C30" s="20">
        <v>30</v>
      </c>
      <c r="D30" s="20">
        <v>27</v>
      </c>
      <c r="E30" s="24"/>
      <c r="F30" s="20" t="s">
        <v>3262</v>
      </c>
      <c r="G30" s="24" t="str">
        <f ca="1">IFERROR(__xludf.DUMMYFUNCTION("UPPER(LEFT((GOOGLETRANSLATE(F30,""en"",""pt"")),1))&amp;RIGHT(lower((GOOGLETRANSLATE(F30,""en"",""pt""))),(LEN((GOOGLETRANSLATE(F30,""en"",""pt"")))-1))"),"Preparação do relatório design definição")</f>
        <v>Preparação do relatório design definição</v>
      </c>
      <c r="H30" s="24"/>
      <c r="I30" s="79"/>
      <c r="J30" s="79"/>
      <c r="K30" s="24"/>
      <c r="L30" s="24"/>
    </row>
    <row r="31" spans="1:12" ht="14.5">
      <c r="A31" s="20" t="s">
        <v>3263</v>
      </c>
      <c r="B31" s="20">
        <v>5</v>
      </c>
      <c r="C31" s="20">
        <v>30</v>
      </c>
      <c r="D31" s="20">
        <v>28</v>
      </c>
      <c r="E31" s="24"/>
      <c r="F31" s="20" t="s">
        <v>3264</v>
      </c>
      <c r="G31" s="24" t="str">
        <f ca="1">IFERROR(__xludf.DUMMYFUNCTION("UPPER(LEFT((GOOGLETRANSLATE(F31,""en"",""pt"")),1))&amp;RIGHT(lower((GOOGLETRANSLATE(F31,""en"",""pt""))),(LEN((GOOGLETRANSLATE(F31,""en"",""pt"")))-1))"),"Envio do desenho definição")</f>
        <v>Envio do desenho definição</v>
      </c>
      <c r="H31" s="24"/>
      <c r="I31" s="79"/>
      <c r="J31" s="79"/>
      <c r="K31" s="24"/>
      <c r="L31" s="24"/>
    </row>
    <row r="32" spans="1:12" ht="14.5">
      <c r="A32" s="20" t="s">
        <v>3265</v>
      </c>
      <c r="B32" s="20">
        <v>5</v>
      </c>
      <c r="C32" s="20">
        <v>30</v>
      </c>
      <c r="D32" s="20">
        <v>29</v>
      </c>
      <c r="E32" s="24"/>
      <c r="F32" s="20" t="s">
        <v>3266</v>
      </c>
      <c r="G32" s="24" t="str">
        <f ca="1">IFERROR(__xludf.DUMMYFUNCTION("UPPER(LEFT((GOOGLETRANSLATE(F32,""en"",""pt"")),1))&amp;RIGHT(lower((GOOGLETRANSLATE(F32,""en"",""pt""))),(LEN((GOOGLETRANSLATE(F32,""en"",""pt"")))-1))"),"Drenagem adoção concordando")</f>
        <v>Drenagem adoção concordando</v>
      </c>
      <c r="H32" s="24"/>
      <c r="I32" s="79"/>
      <c r="J32" s="79"/>
      <c r="K32" s="24"/>
      <c r="L32" s="24"/>
    </row>
    <row r="33" spans="1:12" ht="14.5">
      <c r="A33" s="20" t="s">
        <v>3267</v>
      </c>
      <c r="B33" s="20">
        <v>5</v>
      </c>
      <c r="C33" s="20">
        <v>30</v>
      </c>
      <c r="D33" s="20">
        <v>37</v>
      </c>
      <c r="E33" s="24"/>
      <c r="F33" s="20" t="s">
        <v>3268</v>
      </c>
      <c r="G33" s="24" t="str">
        <f ca="1">IFERROR(__xludf.DUMMYFUNCTION("UPPER(LEFT((GOOGLETRANSLATE(F33,""en"",""pt"")),1))&amp;RIGHT(lower((GOOGLETRANSLATE(F33,""en"",""pt""))),(LEN((GOOGLETRANSLATE(F33,""en"",""pt"")))-1))"),"Rodovias adoção concordando")</f>
        <v>Rodovias adoção concordando</v>
      </c>
      <c r="H33" s="24"/>
      <c r="I33" s="79"/>
      <c r="J33" s="79"/>
      <c r="K33" s="24"/>
      <c r="L33" s="24"/>
    </row>
    <row r="34" spans="1:12" ht="14.5">
      <c r="A34" s="20" t="s">
        <v>3269</v>
      </c>
      <c r="B34" s="20">
        <v>5</v>
      </c>
      <c r="C34" s="20">
        <v>30</v>
      </c>
      <c r="D34" s="20">
        <v>60</v>
      </c>
      <c r="E34" s="24"/>
      <c r="F34" s="20" t="s">
        <v>3270</v>
      </c>
      <c r="G34" s="24" t="str">
        <f ca="1">IFERROR(__xludf.DUMMYFUNCTION("UPPER(LEFT((GOOGLETRANSLATE(F34,""en"",""pt"")),1))&amp;RIGHT(lower((GOOGLETRANSLATE(F34,""en"",""pt""))),(LEN((GOOGLETRANSLATE(F34,""en"",""pt"")))-1))"),"Avisos de parede acordante")</f>
        <v>Avisos de parede acordante</v>
      </c>
      <c r="H34" s="24"/>
      <c r="I34" s="79"/>
      <c r="J34" s="79"/>
      <c r="K34" s="24"/>
      <c r="L34" s="24"/>
    </row>
    <row r="35" spans="1:12" ht="14.5" hidden="1">
      <c r="A35" s="20" t="s">
        <v>3271</v>
      </c>
      <c r="B35" s="20">
        <v>5</v>
      </c>
      <c r="C35" s="20">
        <v>30</v>
      </c>
      <c r="D35" s="20">
        <v>64</v>
      </c>
      <c r="E35" s="24"/>
      <c r="F35" s="20" t="s">
        <v>3272</v>
      </c>
      <c r="G35" s="24" t="str">
        <f ca="1">IFERROR(__xludf.DUMMYFUNCTION("UPPER(LEFT((GOOGLETRANSLATE(F35,""en"",""pt"")),1))&amp;RIGHT(lower((GOOGLETRANSLATE(F35,""en"",""pt""))),(LEN((GOOGLETRANSLATE(F35,""en"",""pt"")))-1))"),"Preparação de planejamento")</f>
        <v>Preparação de planejamento</v>
      </c>
      <c r="H35" s="20" t="s">
        <v>3273</v>
      </c>
      <c r="I35" s="81" t="s">
        <v>2004</v>
      </c>
      <c r="J35" s="79"/>
      <c r="K35" s="24"/>
      <c r="L35" s="24"/>
    </row>
    <row r="36" spans="1:12" ht="14.5" hidden="1">
      <c r="A36" s="20" t="s">
        <v>3274</v>
      </c>
      <c r="B36" s="20">
        <v>5</v>
      </c>
      <c r="C36" s="20">
        <v>30</v>
      </c>
      <c r="D36" s="20">
        <v>85</v>
      </c>
      <c r="E36" s="24"/>
      <c r="F36" s="20" t="s">
        <v>3275</v>
      </c>
      <c r="G36" s="24" t="str">
        <f ca="1">IFERROR(__xludf.DUMMYFUNCTION("UPPER(LEFT((GOOGLETRANSLATE(F36,""en"",""pt"")),1))&amp;RIGHT(lower((GOOGLETRANSLATE(F36,""en"",""pt""))),(LEN((GOOGLETRANSLATE(F36,""en"",""pt"")))-1))"),"Sustentabilidade avaliar")</f>
        <v>Sustentabilidade avaliar</v>
      </c>
      <c r="H36" s="20" t="s">
        <v>3276</v>
      </c>
      <c r="I36" s="81" t="s">
        <v>2004</v>
      </c>
      <c r="J36" s="79"/>
      <c r="K36" s="24"/>
      <c r="L36" s="24"/>
    </row>
    <row r="37" spans="1:12" ht="14.5" hidden="1">
      <c r="A37" s="20" t="s">
        <v>3277</v>
      </c>
      <c r="B37" s="20">
        <v>5</v>
      </c>
      <c r="C37" s="20">
        <v>40</v>
      </c>
      <c r="D37" s="24"/>
      <c r="E37" s="24"/>
      <c r="F37" s="20" t="s">
        <v>3278</v>
      </c>
      <c r="G37" s="24" t="str">
        <f ca="1">IFERROR(__xludf.DUMMYFUNCTION("UPPER(LEFT((GOOGLETRANSLATE(F37,""en"",""pt"")),1))&amp;RIGHT(lower((GOOGLETRANSLATE(F37,""en"",""pt""))),(LEN((GOOGLETRANSLATE(F37,""en"",""pt"")))-1))"),"Projeto actividades de palco")</f>
        <v>Projeto actividades de palco</v>
      </c>
      <c r="H37" s="20" t="s">
        <v>3279</v>
      </c>
      <c r="I37" s="81" t="s">
        <v>2004</v>
      </c>
      <c r="J37" s="79"/>
      <c r="K37" s="24"/>
      <c r="L37" s="24"/>
    </row>
    <row r="38" spans="1:12" ht="14.5" hidden="1">
      <c r="A38" s="20" t="s">
        <v>3280</v>
      </c>
      <c r="B38" s="20">
        <v>5</v>
      </c>
      <c r="C38" s="20">
        <v>40</v>
      </c>
      <c r="D38" s="20">
        <v>60</v>
      </c>
      <c r="E38" s="24"/>
      <c r="F38" s="20" t="s">
        <v>3281</v>
      </c>
      <c r="G38" s="24" t="str">
        <f ca="1">IFERROR(__xludf.DUMMYFUNCTION("UPPER(LEFT((GOOGLETRANSLATE(F38,""en"",""pt"")),1))&amp;RIGHT(lower((GOOGLETRANSLATE(F38,""en"",""pt""))),(LEN((GOOGLETRANSLATE(F38,""en"",""pt"")))-1))"),"Prototype solicitando")</f>
        <v>Prototype solicitando</v>
      </c>
      <c r="H38" s="20" t="s">
        <v>3282</v>
      </c>
      <c r="I38" s="81" t="s">
        <v>2004</v>
      </c>
      <c r="J38" s="79"/>
      <c r="K38" s="24"/>
      <c r="L38" s="24"/>
    </row>
    <row r="39" spans="1:12" ht="14.5" hidden="1">
      <c r="A39" s="20" t="s">
        <v>3283</v>
      </c>
      <c r="B39" s="20">
        <v>5</v>
      </c>
      <c r="C39" s="20">
        <v>40</v>
      </c>
      <c r="D39" s="20">
        <v>70</v>
      </c>
      <c r="E39" s="24"/>
      <c r="F39" s="20" t="s">
        <v>3284</v>
      </c>
      <c r="G39" s="24" t="str">
        <f ca="1">IFERROR(__xludf.DUMMYFUNCTION("UPPER(LEFT((GOOGLETRANSLATE(F39,""en"",""pt"")),1))&amp;RIGHT(lower((GOOGLETRANSLATE(F39,""en"",""pt""))),(LEN((GOOGLETRANSLATE(F39,""en"",""pt"")))-1))"),"Amostra solicitando")</f>
        <v>Amostra solicitando</v>
      </c>
      <c r="H39" s="20" t="s">
        <v>3285</v>
      </c>
      <c r="I39" s="81" t="s">
        <v>2004</v>
      </c>
      <c r="J39" s="79"/>
      <c r="K39" s="24"/>
      <c r="L39" s="24"/>
    </row>
    <row r="40" spans="1:12" ht="14.5">
      <c r="A40" s="20" t="s">
        <v>3286</v>
      </c>
      <c r="B40" s="20">
        <v>5</v>
      </c>
      <c r="C40" s="20">
        <v>40</v>
      </c>
      <c r="D40" s="20">
        <v>85</v>
      </c>
      <c r="E40" s="24"/>
      <c r="F40" s="20" t="s">
        <v>3287</v>
      </c>
      <c r="G40" s="24" t="str">
        <f ca="1">IFERROR(__xludf.DUMMYFUNCTION("UPPER(LEFT((GOOGLETRANSLATE(F40,""en"",""pt"")),1))&amp;RIGHT(lower((GOOGLETRANSLATE(F40,""en"",""pt""))),(LEN((GOOGLETRANSLATE(F40,""en"",""pt"")))-1))"),"Elaboração de relatórios de custos desenho técnico")</f>
        <v>Elaboração de relatórios de custos desenho técnico</v>
      </c>
      <c r="H40" s="24"/>
      <c r="I40" s="79"/>
      <c r="J40" s="79"/>
      <c r="K40" s="24"/>
      <c r="L40" s="24"/>
    </row>
    <row r="41" spans="1:12" ht="14.5" hidden="1">
      <c r="A41" s="20" t="s">
        <v>3288</v>
      </c>
      <c r="B41" s="20">
        <v>5</v>
      </c>
      <c r="C41" s="20">
        <v>40</v>
      </c>
      <c r="D41" s="20">
        <v>87</v>
      </c>
      <c r="E41" s="24"/>
      <c r="F41" s="20" t="s">
        <v>3289</v>
      </c>
      <c r="G41" s="24" t="str">
        <f ca="1">IFERROR(__xludf.DUMMYFUNCTION("UPPER(LEFT((GOOGLETRANSLATE(F41,""en"",""pt"")),1))&amp;RIGHT(lower((GOOGLETRANSLATE(F41,""en"",""pt""))),(LEN((GOOGLETRANSLATE(F41,""en"",""pt"")))-1))"),"Desenvolvimento desenho técnico")</f>
        <v>Desenvolvimento desenho técnico</v>
      </c>
      <c r="H41" s="20" t="s">
        <v>3290</v>
      </c>
      <c r="I41" s="81" t="s">
        <v>2004</v>
      </c>
      <c r="J41" s="79"/>
      <c r="K41" s="24"/>
      <c r="L41" s="24"/>
    </row>
    <row r="42" spans="1:12" ht="14.5" hidden="1">
      <c r="A42" s="20" t="s">
        <v>3291</v>
      </c>
      <c r="B42" s="20">
        <v>5</v>
      </c>
      <c r="C42" s="20">
        <v>40</v>
      </c>
      <c r="D42" s="20">
        <v>89</v>
      </c>
      <c r="E42" s="24"/>
      <c r="F42" s="20" t="s">
        <v>3292</v>
      </c>
      <c r="G42" s="24" t="str">
        <f ca="1">IFERROR(__xludf.DUMMYFUNCTION("UPPER(LEFT((GOOGLETRANSLATE(F42,""en"",""pt"")),1))&amp;RIGHT(lower((GOOGLETRANSLATE(F42,""en"",""pt""))),(LEN((GOOGLETRANSLATE(F42,""en"",""pt"")))-1))"),"Preparação do relatório desenho técnico")</f>
        <v>Preparação do relatório desenho técnico</v>
      </c>
      <c r="H42" s="20" t="s">
        <v>3293</v>
      </c>
      <c r="I42" s="81" t="s">
        <v>2004</v>
      </c>
      <c r="J42" s="79"/>
      <c r="K42" s="24"/>
      <c r="L42" s="24"/>
    </row>
    <row r="43" spans="1:12" ht="14.5" hidden="1">
      <c r="A43" s="20" t="s">
        <v>3294</v>
      </c>
      <c r="B43" s="20">
        <v>5</v>
      </c>
      <c r="C43" s="20">
        <v>40</v>
      </c>
      <c r="D43" s="20">
        <v>91</v>
      </c>
      <c r="E43" s="24"/>
      <c r="F43" s="20" t="s">
        <v>3295</v>
      </c>
      <c r="G43" s="24" t="str">
        <f ca="1">IFERROR(__xludf.DUMMYFUNCTION("UPPER(LEFT((GOOGLETRANSLATE(F43,""en"",""pt"")),1))&amp;RIGHT(lower((GOOGLETRANSLATE(F43,""en"",""pt""))),(LEN((GOOGLETRANSLATE(F43,""en"",""pt"")))-1))"),"Envio do desenho técnico")</f>
        <v>Envio do desenho técnico</v>
      </c>
      <c r="H43" s="20" t="s">
        <v>3296</v>
      </c>
      <c r="I43" s="81" t="s">
        <v>2004</v>
      </c>
      <c r="J43" s="79"/>
      <c r="K43" s="24"/>
      <c r="L43" s="24"/>
    </row>
    <row r="44" spans="1:12" ht="14.5">
      <c r="A44" s="20" t="s">
        <v>3297</v>
      </c>
      <c r="B44" s="20">
        <v>5</v>
      </c>
      <c r="C44" s="20">
        <v>50</v>
      </c>
      <c r="D44" s="24"/>
      <c r="E44" s="24"/>
      <c r="F44" s="20" t="s">
        <v>3298</v>
      </c>
      <c r="G44" s="24" t="str">
        <f ca="1">IFERROR(__xludf.DUMMYFUNCTION("UPPER(LEFT((GOOGLETRANSLATE(F44,""en"",""pt"")),1))&amp;RIGHT(lower((GOOGLETRANSLATE(F44,""en"",""pt""))),(LEN((GOOGLETRANSLATE(F44,""en"",""pt"")))-1))"),"Atividades de estágio de construção e de comissão")</f>
        <v>Atividades de estágio de construção e de comissão</v>
      </c>
      <c r="H44" s="24"/>
      <c r="I44" s="79"/>
      <c r="J44" s="79"/>
      <c r="K44" s="24"/>
      <c r="L44" s="24"/>
    </row>
    <row r="45" spans="1:12" ht="14.5" hidden="1">
      <c r="A45" s="20" t="s">
        <v>3299</v>
      </c>
      <c r="B45" s="20">
        <v>5</v>
      </c>
      <c r="C45" s="20">
        <v>50</v>
      </c>
      <c r="D45" s="20">
        <v>15</v>
      </c>
      <c r="E45" s="24"/>
      <c r="F45" s="20" t="s">
        <v>3300</v>
      </c>
      <c r="G45" s="24" t="str">
        <f ca="1">IFERROR(__xludf.DUMMYFUNCTION("UPPER(LEFT((GOOGLETRANSLATE(F45,""en"",""pt"")),1))&amp;RIGHT(lower((GOOGLETRANSLATE(F45,""en"",""pt""))),(LEN((GOOGLETRANSLATE(F45,""en"",""pt"")))-1))"),"Mobilizador contratante")</f>
        <v>Mobilizador contratante</v>
      </c>
      <c r="H45" s="20" t="s">
        <v>3301</v>
      </c>
      <c r="I45" s="81" t="s">
        <v>2004</v>
      </c>
      <c r="J45" s="81" t="s">
        <v>2011</v>
      </c>
      <c r="K45" s="24"/>
      <c r="L45" s="24"/>
    </row>
    <row r="46" spans="1:12" ht="14.5" hidden="1">
      <c r="A46" s="20" t="s">
        <v>3302</v>
      </c>
      <c r="B46" s="20">
        <v>5</v>
      </c>
      <c r="C46" s="20">
        <v>50</v>
      </c>
      <c r="D46" s="20">
        <v>41</v>
      </c>
      <c r="E46" s="24"/>
      <c r="F46" s="20" t="s">
        <v>3303</v>
      </c>
      <c r="G46" s="24" t="str">
        <f ca="1">IFERROR(__xludf.DUMMYFUNCTION("UPPER(LEFT((GOOGLETRANSLATE(F46,""en"",""pt"")),1))&amp;RIGHT(lower((GOOGLETRANSLATE(F46,""en"",""pt""))),(LEN((GOOGLETRANSLATE(F46,""en"",""pt"")))-1))"),"Enviar informações")</f>
        <v>Enviar informações</v>
      </c>
      <c r="H46" s="20" t="s">
        <v>3304</v>
      </c>
      <c r="I46" s="81" t="s">
        <v>2004</v>
      </c>
      <c r="J46" s="79"/>
      <c r="K46" s="24"/>
      <c r="L46" s="24"/>
    </row>
    <row r="47" spans="1:12" ht="14.5" hidden="1">
      <c r="A47" s="20" t="s">
        <v>3305</v>
      </c>
      <c r="B47" s="20">
        <v>5</v>
      </c>
      <c r="C47" s="20">
        <v>50</v>
      </c>
      <c r="D47" s="20">
        <v>43</v>
      </c>
      <c r="E47" s="24"/>
      <c r="F47" s="20" t="s">
        <v>3306</v>
      </c>
      <c r="G47" s="24" t="str">
        <f ca="1">IFERROR(__xludf.DUMMYFUNCTION("UPPER(LEFT((GOOGLETRANSLATE(F47,""en"",""pt"")),1))&amp;RIGHT(lower((GOOGLETRANSLATE(F47,""en"",""pt""))),(LEN((GOOGLETRANSLATE(F47,""en"",""pt"")))-1))"),"Inspecionando")</f>
        <v>Inspecionando</v>
      </c>
      <c r="H47" s="20" t="s">
        <v>3307</v>
      </c>
      <c r="I47" s="81" t="s">
        <v>2004</v>
      </c>
      <c r="J47" s="79"/>
      <c r="K47" s="24"/>
      <c r="L47" s="24"/>
    </row>
    <row r="48" spans="1:12" ht="14.5" hidden="1">
      <c r="A48" s="20" t="s">
        <v>3308</v>
      </c>
      <c r="B48" s="20">
        <v>5</v>
      </c>
      <c r="C48" s="20">
        <v>50</v>
      </c>
      <c r="D48" s="20">
        <v>51</v>
      </c>
      <c r="E48" s="24"/>
      <c r="F48" s="20" t="s">
        <v>3309</v>
      </c>
      <c r="G48" s="24" t="str">
        <f ca="1">IFERROR(__xludf.DUMMYFUNCTION("UPPER(LEFT((GOOGLETRANSLATE(F48,""en"",""pt"")),1))&amp;RIGHT(lower((GOOGLETRANSLATE(F48,""en"",""pt""))),(LEN((GOOGLETRANSLATE(F48,""en"",""pt"")))-1))"),"Medindo")</f>
        <v>Medindo</v>
      </c>
      <c r="H48" s="20" t="s">
        <v>3310</v>
      </c>
      <c r="I48" s="81" t="s">
        <v>2004</v>
      </c>
      <c r="J48" s="79"/>
      <c r="K48" s="24"/>
      <c r="L48" s="24"/>
    </row>
    <row r="49" spans="1:12" ht="14.5" hidden="1">
      <c r="A49" s="20" t="s">
        <v>3311</v>
      </c>
      <c r="B49" s="20">
        <v>5</v>
      </c>
      <c r="C49" s="20">
        <v>50</v>
      </c>
      <c r="D49" s="20">
        <v>54</v>
      </c>
      <c r="E49" s="24"/>
      <c r="F49" s="20" t="s">
        <v>3312</v>
      </c>
      <c r="G49" s="24" t="str">
        <f ca="1">IFERROR(__xludf.DUMMYFUNCTION("UPPER(LEFT((GOOGLETRANSLATE(F49,""en"",""pt"")),1))&amp;RIGHT(lower((GOOGLETRANSLATE(F49,""en"",""pt""))),(LEN((GOOGLETRANSLATE(F49,""en"",""pt"")))-1))"),"Monitorização")</f>
        <v>Monitorização</v>
      </c>
      <c r="H49" s="24" t="s">
        <v>3313</v>
      </c>
      <c r="I49" s="81" t="s">
        <v>2004</v>
      </c>
      <c r="J49" s="79"/>
      <c r="K49" s="24"/>
      <c r="L49" s="24"/>
    </row>
    <row r="50" spans="1:12" ht="14.5" hidden="1">
      <c r="A50" s="20" t="s">
        <v>3314</v>
      </c>
      <c r="B50" s="20">
        <v>5</v>
      </c>
      <c r="C50" s="20">
        <v>50</v>
      </c>
      <c r="D50" s="20">
        <v>60</v>
      </c>
      <c r="E50" s="24"/>
      <c r="F50" s="20" t="s">
        <v>3315</v>
      </c>
      <c r="G50" s="24" t="str">
        <f ca="1">IFERROR(__xludf.DUMMYFUNCTION("UPPER(LEFT((GOOGLETRANSLATE(F50,""en"",""pt"")),1))&amp;RIGHT(lower((GOOGLETRANSLATE(F50,""en"",""pt""))),(LEN((GOOGLETRANSLATE(F50,""en"",""pt"")))-1))"),"Submissão prototype")</f>
        <v>Submissão prototype</v>
      </c>
      <c r="H50" s="20" t="s">
        <v>3316</v>
      </c>
      <c r="I50" s="81" t="s">
        <v>2004</v>
      </c>
      <c r="J50" s="79"/>
      <c r="K50" s="24"/>
      <c r="L50" s="24"/>
    </row>
    <row r="51" spans="1:12" ht="14.5" hidden="1">
      <c r="A51" s="20" t="s">
        <v>3317</v>
      </c>
      <c r="B51" s="20">
        <v>5</v>
      </c>
      <c r="C51" s="20">
        <v>50</v>
      </c>
      <c r="D51" s="20">
        <v>70</v>
      </c>
      <c r="E51" s="24"/>
      <c r="F51" s="20" t="s">
        <v>3318</v>
      </c>
      <c r="G51" s="24" t="str">
        <f ca="1">IFERROR(__xludf.DUMMYFUNCTION("UPPER(LEFT((GOOGLETRANSLATE(F51,""en"",""pt"")),1))&amp;RIGHT(lower((GOOGLETRANSLATE(F51,""en"",""pt""))),(LEN((GOOGLETRANSLATE(F51,""en"",""pt"")))-1))"),"Envio de amostras")</f>
        <v>Envio de amostras</v>
      </c>
      <c r="H51" s="24" t="s">
        <v>3319</v>
      </c>
      <c r="I51" s="81" t="s">
        <v>2004</v>
      </c>
      <c r="J51" s="79"/>
      <c r="K51" s="24"/>
      <c r="L51" s="24"/>
    </row>
    <row r="52" spans="1:12" ht="14.5">
      <c r="A52" s="20" t="s">
        <v>3320</v>
      </c>
      <c r="B52" s="20">
        <v>5</v>
      </c>
      <c r="C52" s="20">
        <v>50</v>
      </c>
      <c r="D52" s="20">
        <v>72</v>
      </c>
      <c r="E52" s="24"/>
      <c r="F52" s="20" t="s">
        <v>3321</v>
      </c>
      <c r="G52" s="24" t="str">
        <f ca="1">IFERROR(__xludf.DUMMYFUNCTION("UPPER(LEFT((GOOGLETRANSLATE(F52,""en"",""pt"")),1))&amp;RIGHT(lower((GOOGLETRANSLATE(F52,""en"",""pt""))),(LEN((GOOGLETRANSLATE(F52,""en"",""pt"")))-1))"),"Estabelecendo")</f>
        <v>Estabelecendo</v>
      </c>
      <c r="H52" s="24"/>
      <c r="I52" s="79"/>
      <c r="J52" s="79"/>
      <c r="K52" s="24"/>
      <c r="L52" s="24"/>
    </row>
    <row r="53" spans="1:12" ht="14.5">
      <c r="A53" s="20" t="s">
        <v>3322</v>
      </c>
      <c r="B53" s="20">
        <v>5</v>
      </c>
      <c r="C53" s="20">
        <v>50</v>
      </c>
      <c r="D53" s="20">
        <v>75</v>
      </c>
      <c r="E53" s="24"/>
      <c r="F53" s="20" t="s">
        <v>3323</v>
      </c>
      <c r="G53" s="24" t="str">
        <f ca="1">IFERROR(__xludf.DUMMYFUNCTION("UPPER(LEFT((GOOGLETRANSLATE(F53,""en"",""pt"")),1))&amp;RIGHT(lower((GOOGLETRANSLATE(F53,""en"",""pt""))),(LEN((GOOGLETRANSLATE(F53,""en"",""pt"")))-1))"),"Começando no local")</f>
        <v>Começando no local</v>
      </c>
      <c r="H53" s="24"/>
      <c r="I53" s="79"/>
      <c r="J53" s="79"/>
      <c r="K53" s="24"/>
      <c r="L53" s="24"/>
    </row>
    <row r="54" spans="1:12" ht="14.5" hidden="1">
      <c r="A54" s="20" t="s">
        <v>3324</v>
      </c>
      <c r="B54" s="20">
        <v>5</v>
      </c>
      <c r="C54" s="20">
        <v>50</v>
      </c>
      <c r="D54" s="20">
        <v>85</v>
      </c>
      <c r="E54" s="24"/>
      <c r="F54" s="20" t="s">
        <v>3325</v>
      </c>
      <c r="G54" s="24" t="str">
        <f ca="1">IFERROR(__xludf.DUMMYFUNCTION("UPPER(LEFT((GOOGLETRANSLATE(F54,""en"",""pt"")),1))&amp;RIGHT(lower((GOOGLETRANSLATE(F54,""en"",""pt""))),(LEN((GOOGLETRANSLATE(F54,""en"",""pt"")))-1))"),"Tender análise")</f>
        <v>Tender análise</v>
      </c>
      <c r="H54" s="20" t="s">
        <v>3326</v>
      </c>
      <c r="I54" s="81" t="s">
        <v>2004</v>
      </c>
      <c r="J54" s="79"/>
      <c r="K54" s="24"/>
      <c r="L54" s="24"/>
    </row>
    <row r="55" spans="1:12" ht="14.5" hidden="1">
      <c r="A55" s="20" t="s">
        <v>3327</v>
      </c>
      <c r="B55" s="20">
        <v>5</v>
      </c>
      <c r="C55" s="20">
        <v>50</v>
      </c>
      <c r="D55" s="20">
        <v>87</v>
      </c>
      <c r="E55" s="24"/>
      <c r="F55" s="20" t="s">
        <v>3328</v>
      </c>
      <c r="G55" s="24" t="str">
        <f ca="1">IFERROR(__xludf.DUMMYFUNCTION("UPPER(LEFT((GOOGLETRANSLATE(F55,""en"",""pt"")),1))&amp;RIGHT(lower((GOOGLETRANSLATE(F55,""en"",""pt""))),(LEN((GOOGLETRANSLATE(F55,""en"",""pt"")))-1))"),"Tender negociação")</f>
        <v>Tender negociação</v>
      </c>
      <c r="H55" s="20" t="s">
        <v>3329</v>
      </c>
      <c r="I55" s="81" t="s">
        <v>2004</v>
      </c>
      <c r="J55" s="79"/>
      <c r="K55" s="24"/>
      <c r="L55" s="24"/>
    </row>
    <row r="56" spans="1:12" ht="14.5">
      <c r="A56" s="20" t="s">
        <v>3330</v>
      </c>
      <c r="B56" s="20">
        <v>5</v>
      </c>
      <c r="C56" s="20">
        <v>50</v>
      </c>
      <c r="D56" s="20">
        <v>89</v>
      </c>
      <c r="E56" s="24"/>
      <c r="F56" s="20" t="s">
        <v>3331</v>
      </c>
      <c r="G56" s="24" t="str">
        <f ca="1">IFERROR(__xludf.DUMMYFUNCTION("UPPER(LEFT((GOOGLETRANSLATE(F56,""en"",""pt"")),1))&amp;RIGHT(lower((GOOGLETRANSLATE(F56,""en"",""pt""))),(LEN((GOOGLETRANSLATE(F56,""en"",""pt"")))-1))"),"Tender relatórios recomendação")</f>
        <v>Tender relatórios recomendação</v>
      </c>
      <c r="H56" s="24" t="s">
        <v>3332</v>
      </c>
      <c r="I56" s="79"/>
      <c r="J56" s="79"/>
      <c r="K56" s="24"/>
      <c r="L56" s="24"/>
    </row>
    <row r="57" spans="1:12" ht="14.5" hidden="1">
      <c r="A57" s="20" t="s">
        <v>3333</v>
      </c>
      <c r="B57" s="20">
        <v>5</v>
      </c>
      <c r="C57" s="20">
        <v>50</v>
      </c>
      <c r="D57" s="20">
        <v>91</v>
      </c>
      <c r="E57" s="24"/>
      <c r="F57" s="20" t="s">
        <v>3334</v>
      </c>
      <c r="G57" s="24" t="str">
        <f ca="1">IFERROR(__xludf.DUMMYFUNCTION("UPPER(LEFT((GOOGLETRANSLATE(F57,""en"",""pt"")),1))&amp;RIGHT(lower((GOOGLETRANSLATE(F57,""en"",""pt""))),(LEN((GOOGLETRANSLATE(F57,""en"",""pt"")))-1))"),"Fornecimento de madeira")</f>
        <v>Fornecimento de madeira</v>
      </c>
      <c r="H57" s="82" t="s">
        <v>3335</v>
      </c>
      <c r="I57" s="81" t="s">
        <v>2004</v>
      </c>
      <c r="J57" s="81"/>
      <c r="K57" s="20" t="s">
        <v>3336</v>
      </c>
      <c r="L57" s="24"/>
    </row>
    <row r="58" spans="1:12" ht="14.5" hidden="1">
      <c r="A58" s="20" t="s">
        <v>3337</v>
      </c>
      <c r="B58" s="20">
        <v>5</v>
      </c>
      <c r="C58" s="20">
        <v>50</v>
      </c>
      <c r="D58" s="20">
        <v>97</v>
      </c>
      <c r="E58" s="24"/>
      <c r="F58" s="20" t="s">
        <v>3338</v>
      </c>
      <c r="G58" s="24" t="str">
        <f ca="1">IFERROR(__xludf.DUMMYFUNCTION("UPPER(LEFT((GOOGLETRANSLATE(F58,""en"",""pt"")),1))&amp;RIGHT(lower((GOOGLETRANSLATE(F58,""en"",""pt""))),(LEN((GOOGLETRANSLATE(F58,""en"",""pt"")))-1))"),"Funciona início")</f>
        <v>Funciona início</v>
      </c>
      <c r="H58" s="20" t="s">
        <v>3339</v>
      </c>
      <c r="I58" s="81" t="s">
        <v>2004</v>
      </c>
      <c r="J58" s="79"/>
      <c r="K58" s="24"/>
      <c r="L58" s="24"/>
    </row>
    <row r="59" spans="1:12" ht="14.5">
      <c r="A59" s="20" t="s">
        <v>3340</v>
      </c>
      <c r="B59" s="20">
        <v>5</v>
      </c>
      <c r="C59" s="20">
        <v>60</v>
      </c>
      <c r="D59" s="24"/>
      <c r="E59" s="24"/>
      <c r="F59" s="20" t="s">
        <v>3341</v>
      </c>
      <c r="G59" s="24" t="str">
        <f ca="1">IFERROR(__xludf.DUMMYFUNCTION("UPPER(LEFT((GOOGLETRANSLATE(F59,""en"",""pt"")),1))&amp;RIGHT(lower((GOOGLETRANSLATE(F59,""en"",""pt""))),(LEN((GOOGLETRANSLATE(F59,""en"",""pt"")))-1))"),"Entrega e close-out atividades de estágio")</f>
        <v>Entrega e close-out atividades de estágio</v>
      </c>
      <c r="H59" s="24" t="s">
        <v>3342</v>
      </c>
      <c r="I59" s="79"/>
      <c r="J59" s="79"/>
      <c r="K59" s="24"/>
      <c r="L59" s="24"/>
    </row>
    <row r="60" spans="1:12" ht="14.5" hidden="1">
      <c r="A60" s="20" t="s">
        <v>3343</v>
      </c>
      <c r="B60" s="20">
        <v>5</v>
      </c>
      <c r="C60" s="20">
        <v>60</v>
      </c>
      <c r="D60" s="20">
        <v>10</v>
      </c>
      <c r="E60" s="24"/>
      <c r="F60" s="20" t="s">
        <v>3344</v>
      </c>
      <c r="G60" s="24" t="str">
        <f ca="1">IFERROR(__xludf.DUMMYFUNCTION("UPPER(LEFT((GOOGLETRANSLATE(F60,""en"",""pt"")),1))&amp;RIGHT(lower((GOOGLETRANSLATE(F60,""en"",""pt""))),(LEN((GOOGLETRANSLATE(F60,""en"",""pt"")))-1))"),"Edifício administradora contrato")</f>
        <v>Edifício administradora contrato</v>
      </c>
      <c r="H60" s="20" t="s">
        <v>3345</v>
      </c>
      <c r="I60" s="81" t="s">
        <v>2004</v>
      </c>
      <c r="J60" s="79"/>
      <c r="K60" s="24"/>
      <c r="L60" s="24"/>
    </row>
    <row r="61" spans="1:12" ht="14.5">
      <c r="A61" s="20" t="s">
        <v>3346</v>
      </c>
      <c r="B61" s="20">
        <v>5</v>
      </c>
      <c r="C61" s="20">
        <v>60</v>
      </c>
      <c r="D61" s="20">
        <v>15</v>
      </c>
      <c r="E61" s="24"/>
      <c r="F61" s="20" t="s">
        <v>3347</v>
      </c>
      <c r="G61" s="24" t="str">
        <f ca="1">IFERROR(__xludf.DUMMYFUNCTION("UPPER(LEFT((GOOGLETRANSLATE(F61,""en"",""pt"")),1))&amp;RIGHT(lower((GOOGLETRANSLATE(F61,""en"",""pt""))),(LEN((GOOGLETRANSLATE(F61,""en"",""pt"")))-1))"),"Completando")</f>
        <v>Completando</v>
      </c>
      <c r="H61" s="24"/>
      <c r="I61" s="79"/>
      <c r="J61" s="79"/>
      <c r="K61" s="24"/>
      <c r="L61" s="24"/>
    </row>
    <row r="62" spans="1:12" ht="14.5" hidden="1">
      <c r="A62" s="20" t="s">
        <v>3348</v>
      </c>
      <c r="B62" s="20">
        <v>5</v>
      </c>
      <c r="C62" s="20">
        <v>60</v>
      </c>
      <c r="D62" s="20">
        <v>30</v>
      </c>
      <c r="E62" s="24"/>
      <c r="F62" s="20" t="s">
        <v>3349</v>
      </c>
      <c r="G62" s="24" t="str">
        <f ca="1">IFERROR(__xludf.DUMMYFUNCTION("UPPER(LEFT((GOOGLETRANSLATE(F62,""en"",""pt"")),1))&amp;RIGHT(lower((GOOGLETRANSLATE(F62,""en"",""pt""))),(LEN((GOOGLETRANSLATE(F62,""en"",""pt"")))-1))"),"Limpeza final")</f>
        <v>Limpeza final</v>
      </c>
      <c r="H62" s="24" t="s">
        <v>3350</v>
      </c>
      <c r="I62" s="81" t="s">
        <v>2004</v>
      </c>
      <c r="J62" s="79"/>
      <c r="K62" s="24"/>
      <c r="L62" s="24"/>
    </row>
    <row r="63" spans="1:12" ht="14.5">
      <c r="A63" s="20" t="s">
        <v>3351</v>
      </c>
      <c r="B63" s="20">
        <v>5</v>
      </c>
      <c r="C63" s="20">
        <v>60</v>
      </c>
      <c r="D63" s="20">
        <v>35</v>
      </c>
      <c r="E63" s="24"/>
      <c r="F63" s="20" t="s">
        <v>3352</v>
      </c>
      <c r="G63" s="24" t="str">
        <f ca="1">IFERROR(__xludf.DUMMYFUNCTION("UPPER(LEFT((GOOGLETRANSLATE(F63,""en"",""pt"")),1))&amp;RIGHT(lower((GOOGLETRANSLATE(F63,""en"",""pt""))),(LEN((GOOGLETRANSLATE(F63,""en"",""pt"")))-1))"),"Mais entrega")</f>
        <v>Mais entrega</v>
      </c>
      <c r="H63" s="24"/>
      <c r="I63" s="79"/>
      <c r="J63" s="79"/>
      <c r="K63" s="24"/>
      <c r="L63" s="24"/>
    </row>
    <row r="64" spans="1:12" ht="14.5">
      <c r="A64" s="20" t="s">
        <v>3353</v>
      </c>
      <c r="B64" s="20">
        <v>5</v>
      </c>
      <c r="C64" s="20">
        <v>60</v>
      </c>
      <c r="D64" s="20">
        <v>60</v>
      </c>
      <c r="E64" s="24"/>
      <c r="F64" s="20" t="s">
        <v>3354</v>
      </c>
      <c r="G64" s="24" t="str">
        <f ca="1">IFERROR(__xludf.DUMMYFUNCTION("UPPER(LEFT((GOOGLETRANSLATE(F64,""en"",""pt"")),1))&amp;RIGHT(lower((GOOGLETRANSLATE(F64,""en"",""pt""))),(LEN((GOOGLETRANSLATE(F64,""en"",""pt"")))-1))"),"Sobre entrega parcial")</f>
        <v>Sobre entrega parcial</v>
      </c>
      <c r="H64" s="24"/>
      <c r="I64" s="79"/>
      <c r="J64" s="79"/>
      <c r="K64" s="24"/>
      <c r="L64" s="24"/>
    </row>
    <row r="65" spans="1:12" ht="14.5">
      <c r="A65" s="20" t="s">
        <v>3355</v>
      </c>
      <c r="B65" s="20">
        <v>5</v>
      </c>
      <c r="C65" s="20">
        <v>60</v>
      </c>
      <c r="D65" s="20">
        <v>70</v>
      </c>
      <c r="E65" s="24"/>
      <c r="F65" s="20" t="s">
        <v>3356</v>
      </c>
      <c r="G65" s="24" t="str">
        <f ca="1">IFERROR(__xludf.DUMMYFUNCTION("UPPER(LEFT((GOOGLETRANSLATE(F65,""en"",""pt"")),1))&amp;RIGHT(lower((GOOGLETRANSLATE(F65,""en"",""pt""))),(LEN((GOOGLETRANSLATE(F65,""en"",""pt"")))-1))"),"Retificando itens não-conformes")</f>
        <v>Retificando itens não-conformes</v>
      </c>
      <c r="H65" s="24"/>
      <c r="I65" s="79"/>
      <c r="J65" s="79"/>
      <c r="K65" s="24"/>
      <c r="L65" s="24"/>
    </row>
    <row r="66" spans="1:12" ht="14.5">
      <c r="A66" s="20" t="s">
        <v>3357</v>
      </c>
      <c r="B66" s="20">
        <v>5</v>
      </c>
      <c r="C66" s="20">
        <v>60</v>
      </c>
      <c r="D66" s="20">
        <v>80</v>
      </c>
      <c r="E66" s="24"/>
      <c r="F66" s="20" t="s">
        <v>3358</v>
      </c>
      <c r="G66" s="24" t="str">
        <f ca="1">IFERROR(__xludf.DUMMYFUNCTION("UPPER(LEFT((GOOGLETRANSLATE(F66,""en"",""pt"")),1))&amp;RIGHT(lower((GOOGLETRANSLATE(F66,""en"",""pt""))),(LEN((GOOGLETRANSLATE(F66,""en"",""pt"")))-1))"),"Corte de completar")</f>
        <v>Corte de completar</v>
      </c>
      <c r="H66" s="24"/>
      <c r="I66" s="79"/>
      <c r="J66" s="79"/>
      <c r="K66" s="24"/>
      <c r="L66" s="24"/>
    </row>
    <row r="67" spans="1:12" ht="14.5" hidden="1">
      <c r="A67" s="20" t="s">
        <v>3359</v>
      </c>
      <c r="B67" s="20">
        <v>5</v>
      </c>
      <c r="C67" s="20">
        <v>70</v>
      </c>
      <c r="D67" s="24"/>
      <c r="E67" s="24"/>
      <c r="F67" s="20" t="s">
        <v>3360</v>
      </c>
      <c r="G67" s="24" t="str">
        <f ca="1">IFERROR(__xludf.DUMMYFUNCTION("UPPER(LEFT((GOOGLETRANSLATE(F67,""en"",""pt"")),1))&amp;RIGHT(lower((GOOGLETRANSLATE(F67,""en"",""pt""))),(LEN((GOOGLETRANSLATE(F67,""en"",""pt"")))-1))"),"Operação e fim das atividades de estágio de vida")</f>
        <v>Operação e fim das atividades de estágio de vida</v>
      </c>
      <c r="H67" s="20" t="s">
        <v>3361</v>
      </c>
      <c r="I67" s="81" t="s">
        <v>2004</v>
      </c>
      <c r="J67" s="79"/>
      <c r="K67" s="24"/>
      <c r="L67" s="24"/>
    </row>
    <row r="68" spans="1:12" ht="14.5" hidden="1">
      <c r="A68" s="20" t="s">
        <v>3362</v>
      </c>
      <c r="B68" s="20">
        <v>5</v>
      </c>
      <c r="C68" s="20">
        <v>70</v>
      </c>
      <c r="D68" s="20">
        <v>10</v>
      </c>
      <c r="E68" s="24"/>
      <c r="F68" s="20" t="s">
        <v>3363</v>
      </c>
      <c r="G68" s="24" t="str">
        <f ca="1">IFERROR(__xludf.DUMMYFUNCTION("UPPER(LEFT((GOOGLETRANSLATE(F68,""en"",""pt"")),1))&amp;RIGHT(lower((GOOGLETRANSLATE(F68,""en"",""pt""))),(LEN((GOOGLETRANSLATE(F68,""en"",""pt"")))-1))"),"Construir usuário auxiliando")</f>
        <v>Construir usuário auxiliando</v>
      </c>
      <c r="H68" s="20" t="s">
        <v>3364</v>
      </c>
      <c r="I68" s="81" t="s">
        <v>2004</v>
      </c>
      <c r="J68" s="79"/>
      <c r="K68" s="24"/>
      <c r="L68" s="24"/>
    </row>
    <row r="69" spans="1:12" ht="14.5">
      <c r="A69" s="20" t="s">
        <v>3365</v>
      </c>
      <c r="B69" s="20">
        <v>5</v>
      </c>
      <c r="C69" s="20">
        <v>70</v>
      </c>
      <c r="D69" s="20">
        <v>48</v>
      </c>
      <c r="E69" s="24"/>
      <c r="F69" s="20" t="s">
        <v>3366</v>
      </c>
      <c r="G69" s="24" t="str">
        <f ca="1">IFERROR(__xludf.DUMMYFUNCTION("UPPER(LEFT((GOOGLETRANSLATE(F69,""en"",""pt"")),1))&amp;RIGHT(lower((GOOGLETRANSLATE(F69,""en"",""pt""))),(LEN((GOOGLETRANSLATE(F69,""en"",""pt"")))-1))"),"Logística")</f>
        <v>Logística</v>
      </c>
      <c r="H69" s="24" t="s">
        <v>3367</v>
      </c>
      <c r="I69" s="79"/>
      <c r="J69" s="79"/>
      <c r="K69" s="24"/>
      <c r="L69" s="24"/>
    </row>
    <row r="70" spans="1:12" ht="14.5" hidden="1">
      <c r="A70" s="20" t="s">
        <v>3368</v>
      </c>
      <c r="B70" s="20">
        <v>10</v>
      </c>
      <c r="C70" s="24"/>
      <c r="D70" s="24"/>
      <c r="E70" s="24"/>
      <c r="F70" s="20" t="s">
        <v>3369</v>
      </c>
      <c r="G70" s="24" t="str">
        <f ca="1">IFERROR(__xludf.DUMMYFUNCTION("UPPER(LEFT((GOOGLETRANSLATE(F70,""en"",""pt"")),1))&amp;RIGHT(lower((GOOGLETRANSLATE(F70,""en"",""pt""))),(LEN((GOOGLETRANSLATE(F70,""en"",""pt"")))-1))"),"Preparação, construção e reparação")</f>
        <v>Preparação, construção e reparação</v>
      </c>
      <c r="H70" s="24" t="s">
        <v>3370</v>
      </c>
      <c r="I70" s="81" t="s">
        <v>2004</v>
      </c>
      <c r="J70" s="79"/>
      <c r="K70" s="24"/>
      <c r="L70" s="24"/>
    </row>
    <row r="71" spans="1:12" ht="14.5" hidden="1">
      <c r="A71" s="20" t="s">
        <v>3371</v>
      </c>
      <c r="B71" s="20">
        <v>10</v>
      </c>
      <c r="C71" s="20">
        <v>10</v>
      </c>
      <c r="D71" s="24"/>
      <c r="E71" s="24"/>
      <c r="F71" s="20" t="s">
        <v>3372</v>
      </c>
      <c r="G71" s="24" t="str">
        <f ca="1">IFERROR(__xludf.DUMMYFUNCTION("UPPER(LEFT((GOOGLETRANSLATE(F71,""en"",""pt"")),1))&amp;RIGHT(lower((GOOGLETRANSLATE(F71,""en"",""pt""))),(LEN((GOOGLETRANSLATE(F71,""en"",""pt"")))-1))"),"Desconstrução e demolição")</f>
        <v>Desconstrução e demolição</v>
      </c>
      <c r="H71" s="24" t="s">
        <v>3373</v>
      </c>
      <c r="I71" s="81" t="s">
        <v>2004</v>
      </c>
      <c r="J71" s="79"/>
      <c r="K71" s="24"/>
      <c r="L71" s="24"/>
    </row>
    <row r="72" spans="1:12" ht="14.5" hidden="1">
      <c r="A72" s="20" t="s">
        <v>3374</v>
      </c>
      <c r="B72" s="20">
        <v>10</v>
      </c>
      <c r="C72" s="20">
        <v>10</v>
      </c>
      <c r="D72" s="20">
        <v>20</v>
      </c>
      <c r="E72" s="24"/>
      <c r="F72" s="20" t="s">
        <v>3375</v>
      </c>
      <c r="G72" s="24" t="str">
        <f ca="1">IFERROR(__xludf.DUMMYFUNCTION("UPPER(LEFT((GOOGLETRANSLATE(F72,""en"",""pt"")),1))&amp;RIGHT(lower((GOOGLETRANSLATE(F72,""en"",""pt""))),(LEN((GOOGLETRANSLATE(F72,""en"",""pt"")))-1))"),"Desconstrução")</f>
        <v>Desconstrução</v>
      </c>
      <c r="H72" s="82" t="s">
        <v>3376</v>
      </c>
      <c r="I72" s="81" t="s">
        <v>2004</v>
      </c>
      <c r="J72" s="81"/>
      <c r="K72" s="20" t="s">
        <v>3377</v>
      </c>
      <c r="L72" s="20" t="s">
        <v>3378</v>
      </c>
    </row>
    <row r="73" spans="1:12" ht="14.5" hidden="1">
      <c r="A73" s="20" t="s">
        <v>3379</v>
      </c>
      <c r="B73" s="20">
        <v>10</v>
      </c>
      <c r="C73" s="20">
        <v>10</v>
      </c>
      <c r="D73" s="20">
        <v>25</v>
      </c>
      <c r="E73" s="24"/>
      <c r="F73" s="20" t="s">
        <v>3380</v>
      </c>
      <c r="G73" s="24" t="str">
        <f ca="1">IFERROR(__xludf.DUMMYFUNCTION("UPPER(LEFT((GOOGLETRANSLATE(F73,""en"",""pt"")),1))&amp;RIGHT(lower((GOOGLETRANSLATE(F73,""en"",""pt""))),(LEN((GOOGLETRANSLATE(F73,""en"",""pt"")))-1))"),"Demolição")</f>
        <v>Demolição</v>
      </c>
      <c r="H73" s="82" t="s">
        <v>3381</v>
      </c>
      <c r="I73" s="81" t="s">
        <v>2004</v>
      </c>
      <c r="J73" s="81"/>
      <c r="K73" s="20" t="s">
        <v>3382</v>
      </c>
      <c r="L73" s="20" t="s">
        <v>3383</v>
      </c>
    </row>
    <row r="74" spans="1:12" ht="14.5" hidden="1">
      <c r="A74" s="20" t="s">
        <v>3384</v>
      </c>
      <c r="B74" s="20">
        <v>10</v>
      </c>
      <c r="C74" s="20">
        <v>20</v>
      </c>
      <c r="D74" s="24"/>
      <c r="E74" s="24"/>
      <c r="F74" s="20" t="s">
        <v>3385</v>
      </c>
      <c r="G74" s="24" t="str">
        <f ca="1">IFERROR(__xludf.DUMMYFUNCTION("UPPER(LEFT((GOOGLETRANSLATE(F74,""en"",""pt"")),1))&amp;RIGHT(lower((GOOGLETRANSLATE(F74,""en"",""pt""))),(LEN((GOOGLETRANSLATE(F74,""en"",""pt"")))-1))"),"Descontaminação")</f>
        <v>Descontaminação</v>
      </c>
      <c r="H74" s="24" t="s">
        <v>3386</v>
      </c>
      <c r="I74" s="81" t="s">
        <v>2004</v>
      </c>
      <c r="J74" s="79"/>
      <c r="K74" s="24"/>
      <c r="L74" s="24"/>
    </row>
    <row r="75" spans="1:12" ht="14.5" hidden="1">
      <c r="A75" s="20" t="s">
        <v>3387</v>
      </c>
      <c r="B75" s="20">
        <v>10</v>
      </c>
      <c r="C75" s="20">
        <v>30</v>
      </c>
      <c r="D75" s="24"/>
      <c r="E75" s="24"/>
      <c r="F75" s="20" t="s">
        <v>3388</v>
      </c>
      <c r="G75" s="24" t="str">
        <f ca="1">IFERROR(__xludf.DUMMYFUNCTION("UPPER(LEFT((GOOGLETRANSLATE(F75,""en"",""pt"")),1))&amp;RIGHT(lower((GOOGLETRANSLATE(F75,""en"",""pt""))),(LEN((GOOGLETRANSLATE(F75,""en"",""pt"")))-1))"),"Limpeza do local")</f>
        <v>Limpeza do local</v>
      </c>
      <c r="H75" s="24" t="s">
        <v>3389</v>
      </c>
      <c r="I75" s="81" t="s">
        <v>2004</v>
      </c>
      <c r="J75" s="79"/>
      <c r="K75" s="24"/>
      <c r="L75" s="24"/>
    </row>
    <row r="76" spans="1:12" ht="14.5" hidden="1">
      <c r="A76" s="20" t="s">
        <v>3390</v>
      </c>
      <c r="B76" s="20">
        <v>10</v>
      </c>
      <c r="C76" s="20">
        <v>30</v>
      </c>
      <c r="D76" s="20">
        <v>10</v>
      </c>
      <c r="E76" s="24"/>
      <c r="F76" s="20" t="s">
        <v>3391</v>
      </c>
      <c r="G76" s="24" t="str">
        <f ca="1">IFERROR(__xludf.DUMMYFUNCTION("UPPER(LEFT((GOOGLETRANSLATE(F76,""en"",""pt"")),1))&amp;RIGHT(lower((GOOGLETRANSLATE(F76,""en"",""pt""))),(LEN((GOOGLETRANSLATE(F76,""en"",""pt"")))-1))"),"Bush e remoção matagal")</f>
        <v>Bush e remoção matagal</v>
      </c>
      <c r="H76" s="20" t="s">
        <v>3392</v>
      </c>
      <c r="I76" s="81" t="s">
        <v>2004</v>
      </c>
      <c r="J76" s="81" t="s">
        <v>2011</v>
      </c>
      <c r="K76" s="24"/>
      <c r="L76" s="24"/>
    </row>
    <row r="77" spans="1:12" ht="14.5">
      <c r="A77" s="20" t="s">
        <v>3393</v>
      </c>
      <c r="B77" s="20">
        <v>10</v>
      </c>
      <c r="C77" s="20">
        <v>30</v>
      </c>
      <c r="D77" s="20">
        <v>15</v>
      </c>
      <c r="E77" s="24"/>
      <c r="F77" s="20" t="s">
        <v>3394</v>
      </c>
      <c r="G77" s="24" t="str">
        <f ca="1">IFERROR(__xludf.DUMMYFUNCTION("UPPER(LEFT((GOOGLETRANSLATE(F77,""en"",""pt"")),1))&amp;RIGHT(lower((GOOGLETRANSLATE(F77,""en"",""pt""))),(LEN((GOOGLETRANSLATE(F77,""en"",""pt"")))-1))"),"Apuramento material construído")</f>
        <v>Apuramento material construído</v>
      </c>
      <c r="H77" s="24" t="s">
        <v>3395</v>
      </c>
      <c r="I77" s="79"/>
      <c r="J77" s="79"/>
      <c r="K77" s="24"/>
      <c r="L77" s="24"/>
    </row>
    <row r="78" spans="1:12" ht="14.5" hidden="1">
      <c r="A78" s="20" t="s">
        <v>3396</v>
      </c>
      <c r="B78" s="20">
        <v>10</v>
      </c>
      <c r="C78" s="20">
        <v>30</v>
      </c>
      <c r="D78" s="20">
        <v>80</v>
      </c>
      <c r="E78" s="24"/>
      <c r="F78" s="20" t="s">
        <v>3397</v>
      </c>
      <c r="G78" s="24" t="str">
        <f ca="1">IFERROR(__xludf.DUMMYFUNCTION("UPPER(LEFT((GOOGLETRANSLATE(F78,""en"",""pt"")),1))&amp;RIGHT(lower((GOOGLETRANSLATE(F78,""en"",""pt""))),(LEN((GOOGLETRANSLATE(F78,""en"",""pt"")))-1))"),"Remoção de solo")</f>
        <v>Remoção de solo</v>
      </c>
      <c r="H78" s="20" t="s">
        <v>3398</v>
      </c>
      <c r="I78" s="81" t="s">
        <v>2004</v>
      </c>
      <c r="J78" s="79"/>
      <c r="K78" s="24"/>
      <c r="L78" s="24"/>
    </row>
    <row r="79" spans="1:12" ht="14.5" hidden="1">
      <c r="A79" s="20" t="s">
        <v>3399</v>
      </c>
      <c r="B79" s="20">
        <v>10</v>
      </c>
      <c r="C79" s="20">
        <v>30</v>
      </c>
      <c r="D79" s="20">
        <v>90</v>
      </c>
      <c r="E79" s="24"/>
      <c r="F79" s="20" t="s">
        <v>3400</v>
      </c>
      <c r="G79" s="24" t="str">
        <f ca="1">IFERROR(__xludf.DUMMYFUNCTION("UPPER(LEFT((GOOGLETRANSLATE(F79,""en"",""pt"")),1))&amp;RIGHT(lower((GOOGLETRANSLATE(F79,""en"",""pt""))),(LEN((GOOGLETRANSLATE(F79,""en"",""pt"")))-1))"),"Remoção de árvore")</f>
        <v>Remoção de árvore</v>
      </c>
      <c r="H79" s="20" t="s">
        <v>3401</v>
      </c>
      <c r="I79" s="81" t="s">
        <v>2004</v>
      </c>
      <c r="J79" s="79"/>
      <c r="K79" s="24"/>
      <c r="L79" s="24"/>
    </row>
    <row r="80" spans="1:12" ht="14.5" hidden="1">
      <c r="A80" s="20" t="s">
        <v>3402</v>
      </c>
      <c r="B80" s="20">
        <v>10</v>
      </c>
      <c r="C80" s="20">
        <v>40</v>
      </c>
      <c r="D80" s="24"/>
      <c r="E80" s="24"/>
      <c r="F80" s="20" t="s">
        <v>3403</v>
      </c>
      <c r="G80" s="24" t="str">
        <f ca="1">IFERROR(__xludf.DUMMYFUNCTION("UPPER(LEFT((GOOGLETRANSLATE(F80,""en"",""pt"")),1))&amp;RIGHT(lower((GOOGLETRANSLATE(F80,""en"",""pt""))),(LEN((GOOGLETRANSLATE(F80,""en"",""pt"")))-1))"),"Construção")</f>
        <v>Construção</v>
      </c>
      <c r="H80" s="24" t="s">
        <v>3404</v>
      </c>
      <c r="I80" s="81" t="s">
        <v>2004</v>
      </c>
      <c r="J80" s="79"/>
      <c r="K80" s="24"/>
      <c r="L80" s="24"/>
    </row>
    <row r="81" spans="1:12" ht="14.5" hidden="1">
      <c r="A81" s="20" t="s">
        <v>3405</v>
      </c>
      <c r="B81" s="20">
        <v>10</v>
      </c>
      <c r="C81" s="20">
        <v>40</v>
      </c>
      <c r="D81" s="20">
        <v>8</v>
      </c>
      <c r="E81" s="24"/>
      <c r="F81" s="20" t="s">
        <v>3406</v>
      </c>
      <c r="G81" s="24" t="str">
        <f ca="1">IFERROR(__xludf.DUMMYFUNCTION("UPPER(LEFT((GOOGLETRANSLATE(F81,""en"",""pt"")),1))&amp;RIGHT(lower((GOOGLETRANSLATE(F81,""en"",""pt""))),(LEN((GOOGLETRANSLATE(F81,""en"",""pt"")))-1))"),"Alvenaria")</f>
        <v>Alvenaria</v>
      </c>
      <c r="H81" s="24" t="s">
        <v>3407</v>
      </c>
      <c r="I81" s="81" t="s">
        <v>2004</v>
      </c>
      <c r="J81" s="79"/>
      <c r="K81" s="24"/>
      <c r="L81" s="24"/>
    </row>
    <row r="82" spans="1:12" ht="14.5" hidden="1">
      <c r="A82" s="20" t="s">
        <v>3408</v>
      </c>
      <c r="B82" s="20">
        <v>10</v>
      </c>
      <c r="C82" s="20">
        <v>40</v>
      </c>
      <c r="D82" s="20">
        <v>11</v>
      </c>
      <c r="E82" s="24"/>
      <c r="F82" s="20" t="s">
        <v>3409</v>
      </c>
      <c r="G82" s="24" t="str">
        <f ca="1">IFERROR(__xludf.DUMMYFUNCTION("UPPER(LEFT((GOOGLETRANSLATE(F82,""en"",""pt"")),1))&amp;RIGHT(lower((GOOGLETRANSLATE(F82,""en"",""pt""))),(LEN((GOOGLETRANSLATE(F82,""en"",""pt"")))-1))"),"Carpintaria e marcenaria")</f>
        <v>Carpintaria e marcenaria</v>
      </c>
      <c r="H82" s="24" t="s">
        <v>3410</v>
      </c>
      <c r="I82" s="81" t="s">
        <v>2004</v>
      </c>
      <c r="J82" s="79"/>
      <c r="K82" s="24"/>
      <c r="L82" s="24"/>
    </row>
    <row r="83" spans="1:12" ht="14.5" hidden="1">
      <c r="A83" s="20" t="s">
        <v>3411</v>
      </c>
      <c r="B83" s="20">
        <v>10</v>
      </c>
      <c r="C83" s="20">
        <v>40</v>
      </c>
      <c r="D83" s="20">
        <v>13</v>
      </c>
      <c r="E83" s="24"/>
      <c r="F83" s="20" t="s">
        <v>3412</v>
      </c>
      <c r="G83" s="24" t="str">
        <f ca="1">IFERROR(__xludf.DUMMYFUNCTION("UPPER(LEFT((GOOGLETRANSLATE(F83,""en"",""pt"")),1))&amp;RIGHT(lower((GOOGLETRANSLATE(F83,""en"",""pt""))),(LEN((GOOGLETRANSLATE(F83,""en"",""pt"")))-1))"),"Colocação de alcatifa")</f>
        <v>Colocação de alcatifa</v>
      </c>
      <c r="H83" s="24" t="s">
        <v>3413</v>
      </c>
      <c r="I83" s="81" t="s">
        <v>2004</v>
      </c>
      <c r="J83" s="79"/>
      <c r="K83" s="24"/>
      <c r="L83" s="24"/>
    </row>
    <row r="84" spans="1:12" ht="14.5" hidden="1">
      <c r="A84" s="20" t="s">
        <v>3414</v>
      </c>
      <c r="B84" s="20">
        <v>10</v>
      </c>
      <c r="C84" s="20">
        <v>40</v>
      </c>
      <c r="D84" s="20">
        <v>22</v>
      </c>
      <c r="E84" s="24"/>
      <c r="F84" s="20" t="s">
        <v>3415</v>
      </c>
      <c r="G84" s="24" t="str">
        <f ca="1">IFERROR(__xludf.DUMMYFUNCTION("UPPER(LEFT((GOOGLETRANSLATE(F84,""en"",""pt"")),1))&amp;RIGHT(lower((GOOGLETRANSLATE(F84,""en"",""pt""))),(LEN((GOOGLETRANSLATE(F84,""en"",""pt"")))-1))"),"Perfuração de diamante")</f>
        <v>Perfuração de diamante</v>
      </c>
      <c r="H84" s="20" t="s">
        <v>3416</v>
      </c>
      <c r="I84" s="81" t="s">
        <v>2004</v>
      </c>
      <c r="J84" s="81" t="s">
        <v>2011</v>
      </c>
      <c r="K84" s="24"/>
      <c r="L84" s="24"/>
    </row>
    <row r="85" spans="1:12" ht="14.5" hidden="1">
      <c r="A85" s="20" t="s">
        <v>3417</v>
      </c>
      <c r="B85" s="20">
        <v>10</v>
      </c>
      <c r="C85" s="20">
        <v>40</v>
      </c>
      <c r="D85" s="20">
        <v>25</v>
      </c>
      <c r="E85" s="24"/>
      <c r="F85" s="20" t="s">
        <v>3418</v>
      </c>
      <c r="G85" s="24" t="str">
        <f ca="1">IFERROR(__xludf.DUMMYFUNCTION("UPPER(LEFT((GOOGLETRANSLATE(F85,""en"",""pt"")),1))&amp;RIGHT(lower((GOOGLETRANSLATE(F85,""en"",""pt""))),(LEN((GOOGLETRANSLATE(F85,""en"",""pt"")))-1))"),"Instalação ductwork")</f>
        <v>Instalação ductwork</v>
      </c>
      <c r="H85" s="20" t="s">
        <v>3419</v>
      </c>
      <c r="I85" s="81" t="s">
        <v>2004</v>
      </c>
      <c r="J85" s="79"/>
      <c r="K85" s="24"/>
      <c r="L85" s="24"/>
    </row>
    <row r="86" spans="1:12" ht="14.5" hidden="1">
      <c r="A86" s="20" t="s">
        <v>3420</v>
      </c>
      <c r="B86" s="20">
        <v>10</v>
      </c>
      <c r="C86" s="20">
        <v>40</v>
      </c>
      <c r="D86" s="20">
        <v>27</v>
      </c>
      <c r="E86" s="24"/>
      <c r="F86" s="20" t="s">
        <v>3421</v>
      </c>
      <c r="G86" s="24" t="str">
        <f ca="1">IFERROR(__xludf.DUMMYFUNCTION("UPPER(LEFT((GOOGLETRANSLATE(F86,""en"",""pt"")),1))&amp;RIGHT(lower((GOOGLETRANSLATE(F86,""en"",""pt""))),(LEN((GOOGLETRANSLATE(F86,""en"",""pt"")))-1))"),"Instalação do sistema elétrico")</f>
        <v>Instalação do sistema elétrico</v>
      </c>
      <c r="H86" s="20" t="s">
        <v>3422</v>
      </c>
      <c r="I86" s="81" t="s">
        <v>2004</v>
      </c>
      <c r="J86" s="79"/>
      <c r="K86" s="24"/>
      <c r="L86" s="24"/>
    </row>
    <row r="87" spans="1:12" ht="14.5" hidden="1">
      <c r="A87" s="20" t="s">
        <v>3423</v>
      </c>
      <c r="B87" s="20">
        <v>10</v>
      </c>
      <c r="C87" s="20">
        <v>40</v>
      </c>
      <c r="D87" s="20">
        <v>30</v>
      </c>
      <c r="E87" s="24"/>
      <c r="F87" s="20" t="s">
        <v>3424</v>
      </c>
      <c r="G87" s="24" t="str">
        <f ca="1">IFERROR(__xludf.DUMMYFUNCTION("UPPER(LEFT((GOOGLETRANSLATE(F87,""en"",""pt"")),1))&amp;RIGHT(lower((GOOGLETRANSLATE(F87,""en"",""pt""))),(LEN((GOOGLETRANSLATE(F87,""en"",""pt"")))-1))"),"Instalação de cofragem")</f>
        <v>Instalação de cofragem</v>
      </c>
      <c r="H87" s="20" t="s">
        <v>3425</v>
      </c>
      <c r="I87" s="81" t="s">
        <v>2004</v>
      </c>
      <c r="J87" s="79"/>
      <c r="K87" s="24"/>
      <c r="L87" s="24"/>
    </row>
    <row r="88" spans="1:12" ht="14.5">
      <c r="A88" s="20" t="s">
        <v>3426</v>
      </c>
      <c r="B88" s="20">
        <v>10</v>
      </c>
      <c r="C88" s="20">
        <v>40</v>
      </c>
      <c r="D88" s="20">
        <v>41</v>
      </c>
      <c r="E88" s="24"/>
      <c r="F88" s="20" t="s">
        <v>3427</v>
      </c>
      <c r="G88" s="24" t="str">
        <f ca="1">IFERROR(__xludf.DUMMYFUNCTION("UPPER(LEFT((GOOGLETRANSLATE(F88,""en"",""pt"")),1))&amp;RIGHT(lower((GOOGLETRANSLATE(F88,""en"",""pt""))),(LEN((GOOGLETRANSLATE(F88,""en"",""pt"")))-1))"),"Interno arranjo")</f>
        <v>Interno arranjo</v>
      </c>
      <c r="H88" s="24" t="s">
        <v>3428</v>
      </c>
      <c r="I88" s="79"/>
      <c r="J88" s="79"/>
      <c r="K88" s="24"/>
      <c r="L88" s="24"/>
    </row>
    <row r="89" spans="1:12" ht="14.5" hidden="1">
      <c r="A89" s="20" t="s">
        <v>3429</v>
      </c>
      <c r="B89" s="20">
        <v>10</v>
      </c>
      <c r="C89" s="20">
        <v>40</v>
      </c>
      <c r="D89" s="20">
        <v>60</v>
      </c>
      <c r="E89" s="24"/>
      <c r="F89" s="20" t="s">
        <v>3430</v>
      </c>
      <c r="G89" s="24" t="str">
        <f ca="1">IFERROR(__xludf.DUMMYFUNCTION("UPPER(LEFT((GOOGLETRANSLATE(F89,""en"",""pt"")),1))&amp;RIGHT(lower((GOOGLETRANSLATE(F89,""en"",""pt""))),(LEN((GOOGLETRANSLATE(F89,""en"",""pt"")))-1))"),"Pintura e decoração")</f>
        <v>Pintura e decoração</v>
      </c>
      <c r="H89" s="24" t="s">
        <v>3431</v>
      </c>
      <c r="I89" s="81" t="s">
        <v>2004</v>
      </c>
      <c r="J89" s="79"/>
      <c r="K89" s="24"/>
      <c r="L89" s="24"/>
    </row>
    <row r="90" spans="1:12" ht="14.5">
      <c r="A90" s="20" t="s">
        <v>3432</v>
      </c>
      <c r="B90" s="20">
        <v>10</v>
      </c>
      <c r="C90" s="20">
        <v>40</v>
      </c>
      <c r="D90" s="20">
        <v>63</v>
      </c>
      <c r="E90" s="24"/>
      <c r="F90" s="20" t="s">
        <v>3433</v>
      </c>
      <c r="G90" s="24" t="str">
        <f ca="1">IFERROR(__xludf.DUMMYFUNCTION("UPPER(LEFT((GOOGLETRANSLATE(F90,""en"",""pt"")),1))&amp;RIGHT(lower((GOOGLETRANSLATE(F90,""en"",""pt""))),(LEN((GOOGLETRANSLATE(F90,""en"",""pt"")))-1))"),"Encaixe de tubulação")</f>
        <v>Encaixe de tubulação</v>
      </c>
      <c r="H90" s="20"/>
      <c r="I90" s="81"/>
      <c r="J90" s="79"/>
      <c r="K90" s="24"/>
      <c r="L90" s="24"/>
    </row>
    <row r="91" spans="1:12" ht="14.5">
      <c r="A91" s="20" t="s">
        <v>3434</v>
      </c>
      <c r="B91" s="20">
        <v>10</v>
      </c>
      <c r="C91" s="20">
        <v>40</v>
      </c>
      <c r="D91" s="20">
        <v>65</v>
      </c>
      <c r="E91" s="24"/>
      <c r="F91" s="20" t="s">
        <v>3435</v>
      </c>
      <c r="G91" s="24" t="str">
        <f ca="1">IFERROR(__xludf.DUMMYFUNCTION("UPPER(LEFT((GOOGLETRANSLATE(F91,""en"",""pt"")),1))&amp;RIGHT(lower((GOOGLETRANSLATE(F91,""en"",""pt""))),(LEN((GOOGLETRANSLATE(F91,""en"",""pt"")))-1))"),"Reboco e renderização")</f>
        <v>Reboco e renderização</v>
      </c>
      <c r="H91" s="24"/>
      <c r="I91" s="79"/>
      <c r="J91" s="79"/>
      <c r="K91" s="24"/>
      <c r="L91" s="24"/>
    </row>
    <row r="92" spans="1:12" ht="14.5" hidden="1">
      <c r="A92" s="20" t="s">
        <v>3436</v>
      </c>
      <c r="B92" s="20">
        <v>10</v>
      </c>
      <c r="C92" s="20">
        <v>40</v>
      </c>
      <c r="D92" s="20">
        <v>67</v>
      </c>
      <c r="E92" s="24"/>
      <c r="F92" s="20" t="s">
        <v>3437</v>
      </c>
      <c r="G92" s="24" t="str">
        <f ca="1">IFERROR(__xludf.DUMMYFUNCTION("UPPER(LEFT((GOOGLETRANSLATE(F92,""en"",""pt"")),1))&amp;RIGHT(lower((GOOGLETRANSLATE(F92,""en"",""pt""))),(LEN((GOOGLETRANSLATE(F92,""en"",""pt"")))-1))"),"Encanamento")</f>
        <v>Encanamento</v>
      </c>
      <c r="H92" s="20" t="s">
        <v>3438</v>
      </c>
      <c r="I92" s="81" t="s">
        <v>2004</v>
      </c>
      <c r="J92" s="79"/>
      <c r="K92" s="24"/>
      <c r="L92" s="24"/>
    </row>
    <row r="93" spans="1:12" ht="14.5">
      <c r="A93" s="20" t="s">
        <v>3439</v>
      </c>
      <c r="B93" s="20">
        <v>10</v>
      </c>
      <c r="C93" s="20">
        <v>40</v>
      </c>
      <c r="D93" s="20">
        <v>88</v>
      </c>
      <c r="E93" s="24"/>
      <c r="F93" s="20" t="s">
        <v>3440</v>
      </c>
      <c r="G93" s="24" t="str">
        <f ca="1">IFERROR(__xludf.DUMMYFUNCTION("UPPER(LEFT((GOOGLETRANSLATE(F93,""en"",""pt"")),1))&amp;RIGHT(lower((GOOGLETRANSLATE(F93,""en"",""pt""))),(LEN((GOOGLETRANSLATE(F93,""en"",""pt"")))-1))"),"Revestimento")</f>
        <v>Revestimento</v>
      </c>
      <c r="H93" s="24"/>
      <c r="I93" s="79"/>
      <c r="J93" s="79"/>
      <c r="K93" s="24"/>
      <c r="L93" s="24"/>
    </row>
    <row r="94" spans="1:12" ht="14.5" hidden="1">
      <c r="A94" s="20" t="s">
        <v>3441</v>
      </c>
      <c r="B94" s="20">
        <v>10</v>
      </c>
      <c r="C94" s="20">
        <v>60</v>
      </c>
      <c r="D94" s="24"/>
      <c r="E94" s="24"/>
      <c r="F94" s="20" t="s">
        <v>3442</v>
      </c>
      <c r="G94" s="24" t="str">
        <f ca="1">IFERROR(__xludf.DUMMYFUNCTION("UPPER(LEFT((GOOGLETRANSLATE(F94,""en"",""pt"")),1))&amp;RIGHT(lower((GOOGLETRANSLATE(F94,""en"",""pt""))),(LEN((GOOGLETRANSLATE(F94,""en"",""pt"")))-1))"),"Atividades de proteção")</f>
        <v>Atividades de proteção</v>
      </c>
      <c r="H94" s="24" t="s">
        <v>3443</v>
      </c>
      <c r="I94" s="81" t="s">
        <v>2004</v>
      </c>
      <c r="J94" s="79"/>
      <c r="K94" s="24"/>
      <c r="L94" s="24"/>
    </row>
    <row r="95" spans="1:12" ht="14.5" hidden="1">
      <c r="A95" s="20" t="s">
        <v>3444</v>
      </c>
      <c r="B95" s="20">
        <v>10</v>
      </c>
      <c r="C95" s="20">
        <v>60</v>
      </c>
      <c r="D95" s="20">
        <v>90</v>
      </c>
      <c r="E95" s="24"/>
      <c r="F95" s="20" t="s">
        <v>3445</v>
      </c>
      <c r="G95" s="24" t="str">
        <f ca="1">IFERROR(__xludf.DUMMYFUNCTION("UPPER(LEFT((GOOGLETRANSLATE(F95,""en"",""pt"")),1))&amp;RIGHT(lower((GOOGLETRANSLATE(F95,""en"",""pt""))),(LEN((GOOGLETRANSLATE(F95,""en"",""pt"")))-1))"),"Árvore proteger")</f>
        <v>Árvore proteger</v>
      </c>
      <c r="H95" s="20" t="s">
        <v>3446</v>
      </c>
      <c r="I95" s="81" t="s">
        <v>2004</v>
      </c>
      <c r="J95" s="79"/>
      <c r="K95" s="24"/>
      <c r="L95" s="24"/>
    </row>
    <row r="96" spans="1:12" ht="14.5">
      <c r="A96" s="20" t="s">
        <v>3447</v>
      </c>
      <c r="B96" s="20">
        <v>10</v>
      </c>
      <c r="C96" s="20">
        <v>70</v>
      </c>
      <c r="D96" s="24"/>
      <c r="E96" s="24"/>
      <c r="F96" s="20" t="s">
        <v>3448</v>
      </c>
      <c r="G96" s="24" t="str">
        <f ca="1">IFERROR(__xludf.DUMMYFUNCTION("UPPER(LEFT((GOOGLETRANSLATE(F96,""en"",""pt"")),1))&amp;RIGHT(lower((GOOGLETRANSLATE(F96,""en"",""pt""))),(LEN((GOOGLETRANSLATE(F96,""en"",""pt"")))-1))"),"Remediação, reparação e renovação")</f>
        <v>Remediação, reparação e renovação</v>
      </c>
      <c r="H96" s="24" t="s">
        <v>3449</v>
      </c>
      <c r="I96" s="79"/>
      <c r="J96" s="79"/>
      <c r="K96" s="24"/>
      <c r="L96" s="24"/>
    </row>
    <row r="97" spans="1:12" ht="14.5">
      <c r="A97" s="20" t="s">
        <v>3450</v>
      </c>
      <c r="B97" s="20">
        <v>10</v>
      </c>
      <c r="C97" s="20">
        <v>70</v>
      </c>
      <c r="D97" s="20">
        <v>65</v>
      </c>
      <c r="E97" s="24"/>
      <c r="F97" s="20" t="s">
        <v>3451</v>
      </c>
      <c r="G97" s="24" t="str">
        <f ca="1">IFERROR(__xludf.DUMMYFUNCTION("UPPER(LEFT((GOOGLETRANSLATE(F97,""en"",""pt"")),1))&amp;RIGHT(lower((GOOGLETRANSLATE(F97,""en"",""pt""))),(LEN((GOOGLETRANSLATE(F97,""en"",""pt"")))-1))"),"Remediação")</f>
        <v>Remediação</v>
      </c>
      <c r="H97" s="24" t="s">
        <v>3452</v>
      </c>
      <c r="I97" s="79"/>
      <c r="J97" s="79"/>
      <c r="K97" s="24"/>
      <c r="L97" s="24"/>
    </row>
    <row r="98" spans="1:12" ht="14.5" hidden="1">
      <c r="A98" s="20" t="s">
        <v>3453</v>
      </c>
      <c r="B98" s="20">
        <v>10</v>
      </c>
      <c r="C98" s="20">
        <v>70</v>
      </c>
      <c r="D98" s="20">
        <v>70</v>
      </c>
      <c r="E98" s="24"/>
      <c r="F98" s="20" t="s">
        <v>3454</v>
      </c>
      <c r="G98" s="24" t="str">
        <f ca="1">IFERROR(__xludf.DUMMYFUNCTION("UPPER(LEFT((GOOGLETRANSLATE(F98,""en"",""pt"")),1))&amp;RIGHT(lower((GOOGLETRANSLATE(F98,""en"",""pt""))),(LEN((GOOGLETRANSLATE(F98,""en"",""pt"")))-1))"),"Renovação")</f>
        <v>Renovação</v>
      </c>
      <c r="H98" s="24" t="s">
        <v>3455</v>
      </c>
      <c r="I98" s="81" t="s">
        <v>2004</v>
      </c>
      <c r="J98" s="79"/>
      <c r="K98" s="24"/>
      <c r="L98" s="24"/>
    </row>
    <row r="99" spans="1:12" ht="14.5" hidden="1">
      <c r="A99" s="20" t="s">
        <v>3456</v>
      </c>
      <c r="B99" s="20">
        <v>10</v>
      </c>
      <c r="C99" s="20">
        <v>70</v>
      </c>
      <c r="D99" s="20">
        <v>75</v>
      </c>
      <c r="E99" s="24"/>
      <c r="F99" s="20" t="s">
        <v>3457</v>
      </c>
      <c r="G99" s="24" t="str">
        <f ca="1">IFERROR(__xludf.DUMMYFUNCTION("UPPER(LEFT((GOOGLETRANSLATE(F99,""en"",""pt"")),1))&amp;RIGHT(lower((GOOGLETRANSLATE(F99,""en"",""pt""))),(LEN((GOOGLETRANSLATE(F99,""en"",""pt"")))-1))"),"Reparar")</f>
        <v>Reparar</v>
      </c>
      <c r="H99" s="20" t="s">
        <v>3458</v>
      </c>
      <c r="I99" s="81" t="s">
        <v>2004</v>
      </c>
      <c r="J99" s="79"/>
      <c r="K99" s="24"/>
      <c r="L99" s="24"/>
    </row>
    <row r="100" spans="1:12" ht="14.5" hidden="1">
      <c r="A100" s="20" t="s">
        <v>3459</v>
      </c>
      <c r="B100" s="20">
        <v>10</v>
      </c>
      <c r="C100" s="20">
        <v>80</v>
      </c>
      <c r="D100" s="24"/>
      <c r="E100" s="24"/>
      <c r="F100" s="20" t="s">
        <v>3460</v>
      </c>
      <c r="G100" s="24" t="str">
        <f ca="1">IFERROR(__xludf.DUMMYFUNCTION("UPPER(LEFT((GOOGLETRANSLATE(F100,""en"",""pt"")),1))&amp;RIGHT(lower((GOOGLETRANSLATE(F100,""en"",""pt""))),(LEN((GOOGLETRANSLATE(F100,""en"",""pt"")))-1))"),"Em movimento estrutura")</f>
        <v>Em movimento estrutura</v>
      </c>
      <c r="H100" s="20" t="s">
        <v>3461</v>
      </c>
      <c r="I100" s="81" t="s">
        <v>2004</v>
      </c>
      <c r="J100" s="79"/>
      <c r="K100" s="24"/>
      <c r="L100" s="24"/>
    </row>
    <row r="101" spans="1:12" ht="14.5">
      <c r="A101" s="20" t="s">
        <v>3462</v>
      </c>
      <c r="B101" s="20">
        <v>15</v>
      </c>
      <c r="C101" s="24"/>
      <c r="D101" s="24"/>
      <c r="E101" s="24"/>
      <c r="F101" s="20" t="s">
        <v>3463</v>
      </c>
      <c r="G101" s="24" t="str">
        <f ca="1">IFERROR(__xludf.DUMMYFUNCTION("UPPER(LEFT((GOOGLETRANSLATE(F101,""en"",""pt"")),1))&amp;RIGHT(lower((GOOGLETRANSLATE(F101,""en"",""pt""))),(LEN((GOOGLETRANSLATE(F101,""en"",""pt"")))-1))"),"Atividades de pesquisa")</f>
        <v>Atividades de pesquisa</v>
      </c>
      <c r="H101" s="24"/>
      <c r="I101" s="79"/>
      <c r="J101" s="79"/>
      <c r="K101" s="24"/>
      <c r="L101" s="24"/>
    </row>
    <row r="102" spans="1:12" ht="14.5">
      <c r="A102" s="20" t="s">
        <v>3464</v>
      </c>
      <c r="B102" s="20">
        <v>15</v>
      </c>
      <c r="C102" s="20">
        <v>5</v>
      </c>
      <c r="D102" s="24"/>
      <c r="E102" s="24"/>
      <c r="F102" s="20" t="s">
        <v>3465</v>
      </c>
      <c r="G102" s="24" t="str">
        <f ca="1">IFERROR(__xludf.DUMMYFUNCTION("UPPER(LEFT((GOOGLETRANSLATE(F102,""en"",""pt"")),1))&amp;RIGHT(lower((GOOGLETRANSLATE(F102,""en"",""pt""))),(LEN((GOOGLETRANSLATE(F102,""en"",""pt"")))-1))"),"Levantamento aquatic")</f>
        <v>Levantamento aquatic</v>
      </c>
      <c r="H102" s="24"/>
      <c r="I102" s="79"/>
      <c r="J102" s="79"/>
      <c r="K102" s="24"/>
      <c r="L102" s="24"/>
    </row>
    <row r="103" spans="1:12" ht="14.5">
      <c r="A103" s="20" t="s">
        <v>3466</v>
      </c>
      <c r="B103" s="20">
        <v>15</v>
      </c>
      <c r="C103" s="20">
        <v>5</v>
      </c>
      <c r="D103" s="20">
        <v>11</v>
      </c>
      <c r="E103" s="24"/>
      <c r="F103" s="20" t="s">
        <v>3467</v>
      </c>
      <c r="G103" s="24" t="str">
        <f ca="1">IFERROR(__xludf.DUMMYFUNCTION("UPPER(LEFT((GOOGLETRANSLATE(F103,""en"",""pt"")),1))&amp;RIGHT(lower((GOOGLETRANSLATE(F103,""en"",""pt""))),(LEN((GOOGLETRANSLATE(F103,""en"",""pt"")))-1))"),"Canals levantamento")</f>
        <v>Canals levantamento</v>
      </c>
      <c r="H103" s="24"/>
      <c r="I103" s="79"/>
      <c r="J103" s="79"/>
      <c r="K103" s="24"/>
      <c r="L103" s="24"/>
    </row>
    <row r="104" spans="1:12" ht="14.5">
      <c r="A104" s="20" t="s">
        <v>3468</v>
      </c>
      <c r="B104" s="20">
        <v>15</v>
      </c>
      <c r="C104" s="20">
        <v>5</v>
      </c>
      <c r="D104" s="20">
        <v>15</v>
      </c>
      <c r="E104" s="24"/>
      <c r="F104" s="20" t="s">
        <v>3469</v>
      </c>
      <c r="G104" s="24" t="str">
        <f ca="1">IFERROR(__xludf.DUMMYFUNCTION("UPPER(LEFT((GOOGLETRANSLATE(F104,""en"",""pt"")),1))&amp;RIGHT(lower((GOOGLETRANSLATE(F104,""en"",""pt""))),(LEN((GOOGLETRANSLATE(F104,""en"",""pt"")))-1))"),"Levantamento costeira")</f>
        <v>Levantamento costeira</v>
      </c>
      <c r="H104" s="24"/>
      <c r="I104" s="79"/>
      <c r="J104" s="79"/>
      <c r="K104" s="24"/>
      <c r="L104" s="24"/>
    </row>
    <row r="105" spans="1:12" ht="14.5" hidden="1">
      <c r="A105" s="20" t="s">
        <v>3470</v>
      </c>
      <c r="B105" s="20">
        <v>15</v>
      </c>
      <c r="C105" s="20">
        <v>5</v>
      </c>
      <c r="D105" s="20">
        <v>36</v>
      </c>
      <c r="E105" s="24"/>
      <c r="F105" s="20" t="s">
        <v>3471</v>
      </c>
      <c r="G105" s="24" t="str">
        <f ca="1">IFERROR(__xludf.DUMMYFUNCTION("UPPER(LEFT((GOOGLETRANSLATE(F105,""en"",""pt"")),1))&amp;RIGHT(lower((GOOGLETRANSLATE(F105,""en"",""pt""))),(LEN((GOOGLETRANSLATE(F105,""en"",""pt"")))-1))"),"Levantamento hidrológico")</f>
        <v>Levantamento hidrológico</v>
      </c>
      <c r="H105" s="24" t="s">
        <v>3472</v>
      </c>
      <c r="I105" s="81" t="s">
        <v>2004</v>
      </c>
      <c r="J105" s="79"/>
      <c r="K105" s="24"/>
      <c r="L105" s="24"/>
    </row>
    <row r="106" spans="1:12" ht="14.5">
      <c r="A106" s="20" t="s">
        <v>3473</v>
      </c>
      <c r="B106" s="20">
        <v>15</v>
      </c>
      <c r="C106" s="20">
        <v>5</v>
      </c>
      <c r="D106" s="20">
        <v>46</v>
      </c>
      <c r="E106" s="24"/>
      <c r="F106" s="20" t="s">
        <v>3474</v>
      </c>
      <c r="G106" s="24" t="str">
        <f ca="1">IFERROR(__xludf.DUMMYFUNCTION("UPPER(LEFT((GOOGLETRANSLATE(F106,""en"",""pt"")),1))&amp;RIGHT(lower((GOOGLETRANSLATE(F106,""en"",""pt""))),(LEN((GOOGLETRANSLATE(F106,""en"",""pt"")))-1))"),"Lagos e lagoas levantamento")</f>
        <v>Lagos e lagoas levantamento</v>
      </c>
      <c r="H106" s="24"/>
      <c r="I106" s="79"/>
      <c r="J106" s="79"/>
      <c r="K106" s="24"/>
      <c r="L106" s="24"/>
    </row>
    <row r="107" spans="1:12" ht="14.5">
      <c r="A107" s="20" t="s">
        <v>3475</v>
      </c>
      <c r="B107" s="20">
        <v>15</v>
      </c>
      <c r="C107" s="20">
        <v>5</v>
      </c>
      <c r="D107" s="20">
        <v>70</v>
      </c>
      <c r="E107" s="24"/>
      <c r="F107" s="20" t="s">
        <v>3476</v>
      </c>
      <c r="G107" s="24" t="str">
        <f ca="1">IFERROR(__xludf.DUMMYFUNCTION("UPPER(LEFT((GOOGLETRANSLATE(F107,""en"",""pt"")),1))&amp;RIGHT(lower((GOOGLETRANSLATE(F107,""en"",""pt""))),(LEN((GOOGLETRANSLATE(F107,""en"",""pt"")))-1))"),"Levantamento reservatórios")</f>
        <v>Levantamento reservatórios</v>
      </c>
      <c r="H107" s="24"/>
      <c r="I107" s="79"/>
      <c r="J107" s="79"/>
      <c r="K107" s="24"/>
      <c r="L107" s="24"/>
    </row>
    <row r="108" spans="1:12" ht="14.5">
      <c r="A108" s="20" t="s">
        <v>3477</v>
      </c>
      <c r="B108" s="20">
        <v>15</v>
      </c>
      <c r="C108" s="20">
        <v>5</v>
      </c>
      <c r="D108" s="20">
        <v>72</v>
      </c>
      <c r="E108" s="24"/>
      <c r="F108" s="20" t="s">
        <v>3478</v>
      </c>
      <c r="G108" s="24" t="str">
        <f ca="1">IFERROR(__xludf.DUMMYFUNCTION("UPPER(LEFT((GOOGLETRANSLATE(F108,""en"",""pt"")),1))&amp;RIGHT(lower((GOOGLETRANSLATE(F108,""en"",""pt""))),(LEN((GOOGLETRANSLATE(F108,""en"",""pt"")))-1))"),"Rios e córregos levantamento")</f>
        <v>Rios e córregos levantamento</v>
      </c>
      <c r="H108" s="24"/>
      <c r="I108" s="79"/>
      <c r="J108" s="79"/>
      <c r="K108" s="24"/>
      <c r="L108" s="24"/>
    </row>
    <row r="109" spans="1:12" ht="14.5">
      <c r="A109" s="20" t="s">
        <v>3479</v>
      </c>
      <c r="B109" s="20">
        <v>15</v>
      </c>
      <c r="C109" s="20">
        <v>5</v>
      </c>
      <c r="D109" s="20">
        <v>73</v>
      </c>
      <c r="E109" s="24"/>
      <c r="F109" s="20" t="s">
        <v>3480</v>
      </c>
      <c r="G109" s="24" t="str">
        <f ca="1">IFERROR(__xludf.DUMMYFUNCTION("UPPER(LEFT((GOOGLETRANSLATE(F109,""en"",""pt"")),1))&amp;RIGHT(lower((GOOGLETRANSLATE(F109,""en"",""pt""))),(LEN((GOOGLETRANSLATE(F109,""en"",""pt"")))-1))"),"Estuário do rio levantamento")</f>
        <v>Estuário do rio levantamento</v>
      </c>
      <c r="H109" s="20" t="s">
        <v>3481</v>
      </c>
      <c r="I109" s="79"/>
      <c r="J109" s="79"/>
      <c r="K109" s="24"/>
      <c r="L109" s="24"/>
    </row>
    <row r="110" spans="1:12" ht="14.5">
      <c r="A110" s="20" t="s">
        <v>3482</v>
      </c>
      <c r="B110" s="20">
        <v>15</v>
      </c>
      <c r="C110" s="20">
        <v>10</v>
      </c>
      <c r="D110" s="24"/>
      <c r="E110" s="24"/>
      <c r="F110" s="20" t="s">
        <v>3483</v>
      </c>
      <c r="G110" s="24" t="str">
        <f ca="1">IFERROR(__xludf.DUMMYFUNCTION("UPPER(LEFT((GOOGLETRANSLATE(F110,""en"",""pt"")),1))&amp;RIGHT(lower((GOOGLETRANSLATE(F110,""en"",""pt""))),(LEN((GOOGLETRANSLATE(F110,""en"",""pt"")))-1))"),"Topografia métodos")</f>
        <v>Topografia métodos</v>
      </c>
      <c r="H110" s="82" t="s">
        <v>3484</v>
      </c>
      <c r="I110" s="81"/>
      <c r="J110" s="81"/>
      <c r="K110" s="20" t="s">
        <v>3485</v>
      </c>
      <c r="L110" s="20" t="s">
        <v>3486</v>
      </c>
    </row>
    <row r="111" spans="1:12" ht="14.5">
      <c r="A111" s="20" t="s">
        <v>3487</v>
      </c>
      <c r="B111" s="20">
        <v>15</v>
      </c>
      <c r="C111" s="20">
        <v>10</v>
      </c>
      <c r="D111" s="20">
        <v>1</v>
      </c>
      <c r="E111" s="24"/>
      <c r="F111" s="20" t="s">
        <v>3488</v>
      </c>
      <c r="G111" s="24" t="str">
        <f ca="1">IFERROR(__xludf.DUMMYFUNCTION("UPPER(LEFT((GOOGLETRANSLATE(F111,""en"",""pt"")),1))&amp;RIGHT(lower((GOOGLETRANSLATE(F111,""en"",""pt""))),(LEN((GOOGLETRANSLATE(F111,""en"",""pt"")))-1))"),"Levantamento acústico")</f>
        <v>Levantamento acústico</v>
      </c>
      <c r="H111" s="24"/>
      <c r="I111" s="79"/>
      <c r="J111" s="79"/>
      <c r="K111" s="24"/>
      <c r="L111" s="24"/>
    </row>
    <row r="112" spans="1:12" ht="14.5">
      <c r="A112" s="20" t="s">
        <v>3489</v>
      </c>
      <c r="B112" s="20">
        <v>15</v>
      </c>
      <c r="C112" s="20">
        <v>10</v>
      </c>
      <c r="D112" s="20">
        <v>3</v>
      </c>
      <c r="E112" s="24"/>
      <c r="F112" s="20" t="s">
        <v>3490</v>
      </c>
      <c r="G112" s="24" t="str">
        <f ca="1">IFERROR(__xludf.DUMMYFUNCTION("UPPER(LEFT((GOOGLETRANSLATE(F112,""en"",""pt"")),1))&amp;RIGHT(lower((GOOGLETRANSLATE(F112,""en"",""pt""))),(LEN((GOOGLETRANSLATE(F112,""en"",""pt"")))-1))"),"Levantamentos aéreos")</f>
        <v>Levantamentos aéreos</v>
      </c>
      <c r="H112" s="24"/>
      <c r="I112" s="79"/>
      <c r="J112" s="79"/>
      <c r="K112" s="24"/>
      <c r="L112" s="24"/>
    </row>
    <row r="113" spans="1:12" ht="14.5">
      <c r="A113" s="20" t="s">
        <v>3491</v>
      </c>
      <c r="B113" s="20">
        <v>15</v>
      </c>
      <c r="C113" s="20">
        <v>10</v>
      </c>
      <c r="D113" s="20">
        <v>10</v>
      </c>
      <c r="E113" s="24"/>
      <c r="F113" s="20" t="s">
        <v>3492</v>
      </c>
      <c r="G113" s="24" t="str">
        <f ca="1">IFERROR(__xludf.DUMMYFUNCTION("UPPER(LEFT((GOOGLETRANSLATE(F113,""en"",""pt"")),1))&amp;RIGHT(lower((GOOGLETRANSLATE(F113,""en"",""pt""))),(LEN((GOOGLETRANSLATE(F113,""en"",""pt"")))-1))"),"Furo levantamento")</f>
        <v>Furo levantamento</v>
      </c>
      <c r="H113" s="24"/>
      <c r="I113" s="79"/>
      <c r="J113" s="79"/>
      <c r="K113" s="24"/>
      <c r="L113" s="24"/>
    </row>
    <row r="114" spans="1:12" ht="14.5">
      <c r="A114" s="20" t="s">
        <v>3493</v>
      </c>
      <c r="B114" s="20">
        <v>15</v>
      </c>
      <c r="C114" s="20">
        <v>10</v>
      </c>
      <c r="D114" s="20">
        <v>14</v>
      </c>
      <c r="E114" s="24"/>
      <c r="F114" s="20" t="s">
        <v>3494</v>
      </c>
      <c r="G114" s="24" t="str">
        <f ca="1">IFERROR(__xludf.DUMMYFUNCTION("UPPER(LEFT((GOOGLETRANSLATE(F114,""en"",""pt"")),1))&amp;RIGHT(lower((GOOGLETRANSLATE(F114,""en"",""pt""))),(LEN((GOOGLETRANSLATE(F114,""en"",""pt"")))-1))"),"Levantamento de televisão de circuito fechado")</f>
        <v>Levantamento de televisão de circuito fechado</v>
      </c>
      <c r="H114" s="24"/>
      <c r="I114" s="79"/>
      <c r="J114" s="79"/>
      <c r="K114" s="24"/>
      <c r="L114" s="24"/>
    </row>
    <row r="115" spans="1:12" ht="14.5">
      <c r="A115" s="20" t="s">
        <v>3495</v>
      </c>
      <c r="B115" s="20">
        <v>15</v>
      </c>
      <c r="C115" s="20">
        <v>10</v>
      </c>
      <c r="D115" s="20">
        <v>22</v>
      </c>
      <c r="E115" s="24"/>
      <c r="F115" s="20" t="s">
        <v>3496</v>
      </c>
      <c r="G115" s="24" t="str">
        <f ca="1">IFERROR(__xludf.DUMMYFUNCTION("UPPER(LEFT((GOOGLETRANSLATE(F115,""en"",""pt"")),1))&amp;RIGHT(lower((GOOGLETRANSLATE(F115,""en"",""pt""))),(LEN((GOOGLETRANSLATE(F115,""en"",""pt"")))-1))"),"Desk top estudar")</f>
        <v>Desk top estudar</v>
      </c>
      <c r="H115" s="82"/>
      <c r="I115" s="81"/>
      <c r="J115" s="81"/>
      <c r="K115" s="20" t="s">
        <v>3497</v>
      </c>
      <c r="L115" s="24"/>
    </row>
    <row r="116" spans="1:12" ht="14.5" hidden="1">
      <c r="A116" s="20" t="s">
        <v>3498</v>
      </c>
      <c r="B116" s="20">
        <v>15</v>
      </c>
      <c r="C116" s="20">
        <v>10</v>
      </c>
      <c r="D116" s="20">
        <v>32</v>
      </c>
      <c r="E116" s="24"/>
      <c r="F116" s="20" t="s">
        <v>3499</v>
      </c>
      <c r="G116" s="24" t="str">
        <f ca="1">IFERROR(__xludf.DUMMYFUNCTION("UPPER(LEFT((GOOGLETRANSLATE(F116,""en"",""pt"")),1))&amp;RIGHT(lower((GOOGLETRANSLATE(F116,""en"",""pt""))),(LEN((GOOGLETRANSLATE(F116,""en"",""pt"")))-1))"),"Prospecção geofísica")</f>
        <v>Prospecção geofísica</v>
      </c>
      <c r="H116" s="82" t="s">
        <v>3500</v>
      </c>
      <c r="I116" s="81" t="s">
        <v>2004</v>
      </c>
      <c r="J116" s="81"/>
      <c r="K116" s="20" t="s">
        <v>3501</v>
      </c>
      <c r="L116" s="20" t="s">
        <v>3502</v>
      </c>
    </row>
    <row r="117" spans="1:12" ht="14.5">
      <c r="A117" s="20" t="s">
        <v>3503</v>
      </c>
      <c r="B117" s="20">
        <v>15</v>
      </c>
      <c r="C117" s="20">
        <v>10</v>
      </c>
      <c r="D117" s="20">
        <v>34</v>
      </c>
      <c r="E117" s="24"/>
      <c r="F117" s="20" t="s">
        <v>3504</v>
      </c>
      <c r="G117" s="24" t="str">
        <f ca="1">IFERROR(__xludf.DUMMYFUNCTION("UPPER(LEFT((GOOGLETRANSLATE(F117,""en"",""pt"")),1))&amp;RIGHT(lower((GOOGLETRANSLATE(F117,""en"",""pt""))),(LEN((GOOGLETRANSLATE(F117,""en"",""pt"")))-1))"),"De penetração no solo levantamento radar")</f>
        <v>De penetração no solo levantamento radar</v>
      </c>
      <c r="H117" s="24"/>
      <c r="I117" s="79"/>
      <c r="J117" s="79"/>
      <c r="K117" s="24"/>
      <c r="L117" s="24"/>
    </row>
    <row r="118" spans="1:12" ht="14.5">
      <c r="A118" s="20" t="s">
        <v>3505</v>
      </c>
      <c r="B118" s="20">
        <v>15</v>
      </c>
      <c r="C118" s="20">
        <v>10</v>
      </c>
      <c r="D118" s="20">
        <v>70</v>
      </c>
      <c r="E118" s="24"/>
      <c r="F118" s="20" t="s">
        <v>3506</v>
      </c>
      <c r="G118" s="24" t="str">
        <f ca="1">IFERROR(__xludf.DUMMYFUNCTION("UPPER(LEFT((GOOGLETRANSLATE(F118,""en"",""pt"")),1))&amp;RIGHT(lower((GOOGLETRANSLATE(F118,""en"",""pt""))),(LEN((GOOGLETRANSLATE(F118,""en"",""pt"")))-1))"),"Rádio levantamento localização frequência")</f>
        <v>Rádio levantamento localização frequência</v>
      </c>
      <c r="H118" s="24"/>
      <c r="I118" s="79"/>
      <c r="J118" s="79"/>
      <c r="K118" s="24"/>
      <c r="L118" s="24"/>
    </row>
    <row r="119" spans="1:12" ht="14.5" hidden="1">
      <c r="A119" s="20" t="s">
        <v>3507</v>
      </c>
      <c r="B119" s="20">
        <v>15</v>
      </c>
      <c r="C119" s="20">
        <v>10</v>
      </c>
      <c r="D119" s="20">
        <v>80</v>
      </c>
      <c r="E119" s="24"/>
      <c r="F119" s="20" t="s">
        <v>3508</v>
      </c>
      <c r="G119" s="24" t="str">
        <f ca="1">IFERROR(__xludf.DUMMYFUNCTION("UPPER(LEFT((GOOGLETRANSLATE(F119,""en"",""pt"")),1))&amp;RIGHT(lower((GOOGLETRANSLATE(F119,""en"",""pt""))),(LEN((GOOGLETRANSLATE(F119,""en"",""pt"")))-1))"),"Levantamento por satélite")</f>
        <v>Levantamento por satélite</v>
      </c>
      <c r="H119" s="20" t="s">
        <v>3509</v>
      </c>
      <c r="I119" s="81" t="s">
        <v>2004</v>
      </c>
      <c r="J119" s="79"/>
      <c r="K119" s="24"/>
      <c r="L119" s="24"/>
    </row>
    <row r="120" spans="1:12" ht="14.5">
      <c r="A120" s="20" t="s">
        <v>3510</v>
      </c>
      <c r="B120" s="20">
        <v>15</v>
      </c>
      <c r="C120" s="20">
        <v>10</v>
      </c>
      <c r="D120" s="20">
        <v>90</v>
      </c>
      <c r="E120" s="24"/>
      <c r="F120" s="20" t="s">
        <v>3511</v>
      </c>
      <c r="G120" s="24" t="str">
        <f ca="1">IFERROR(__xludf.DUMMYFUNCTION("UPPER(LEFT((GOOGLETRANSLATE(F120,""en"",""pt"")),1))&amp;RIGHT(lower((GOOGLETRANSLATE(F120,""en"",""pt""))),(LEN((GOOGLETRANSLATE(F120,""en"",""pt"")))-1))"),"Furos de teste de levantamento")</f>
        <v>Furos de teste de levantamento</v>
      </c>
      <c r="H120" s="24"/>
      <c r="I120" s="79"/>
      <c r="J120" s="79"/>
      <c r="K120" s="24"/>
      <c r="L120" s="24"/>
    </row>
    <row r="121" spans="1:12" ht="14.5">
      <c r="A121" s="20" t="s">
        <v>3512</v>
      </c>
      <c r="B121" s="20">
        <v>15</v>
      </c>
      <c r="C121" s="20">
        <v>15</v>
      </c>
      <c r="D121" s="24"/>
      <c r="E121" s="24"/>
      <c r="F121" s="20" t="s">
        <v>3513</v>
      </c>
      <c r="G121" s="24" t="str">
        <f ca="1">IFERROR(__xludf.DUMMYFUNCTION("UPPER(LEFT((GOOGLETRANSLATE(F121,""en"",""pt"")),1))&amp;RIGHT(lower((GOOGLETRANSLATE(F121,""en"",""pt""))),(LEN((GOOGLETRANSLATE(F121,""en"",""pt"")))-1))"),"Serviços de construção condição de levantamento")</f>
        <v>Serviços de construção condição de levantamento</v>
      </c>
      <c r="H121" s="82"/>
      <c r="I121" s="81"/>
      <c r="J121" s="81"/>
      <c r="K121" s="20" t="s">
        <v>3514</v>
      </c>
      <c r="L121" s="20" t="s">
        <v>3515</v>
      </c>
    </row>
    <row r="122" spans="1:12" ht="14.5">
      <c r="A122" s="20" t="s">
        <v>3516</v>
      </c>
      <c r="B122" s="20">
        <v>15</v>
      </c>
      <c r="C122" s="20">
        <v>15</v>
      </c>
      <c r="D122" s="20">
        <v>6</v>
      </c>
      <c r="E122" s="24"/>
      <c r="F122" s="20" t="s">
        <v>3517</v>
      </c>
      <c r="G122" s="24" t="str">
        <f ca="1">IFERROR(__xludf.DUMMYFUNCTION("UPPER(LEFT((GOOGLETRANSLATE(F122,""en"",""pt"")),1))&amp;RIGHT(lower((GOOGLETRANSLATE(F122,""en"",""pt""))),(LEN((GOOGLETRANSLATE(F122,""en"",""pt"")))-1))"),"Abaixo serviços de terra levantamento")</f>
        <v>Abaixo serviços de terra levantamento</v>
      </c>
      <c r="H122" s="24"/>
      <c r="I122" s="79"/>
      <c r="J122" s="79"/>
      <c r="K122" s="24"/>
      <c r="L122" s="24"/>
    </row>
    <row r="123" spans="1:12" ht="14.5">
      <c r="A123" s="20" t="s">
        <v>3518</v>
      </c>
      <c r="B123" s="20">
        <v>15</v>
      </c>
      <c r="C123" s="20">
        <v>15</v>
      </c>
      <c r="D123" s="20">
        <v>8</v>
      </c>
      <c r="E123" s="24"/>
      <c r="F123" s="20" t="s">
        <v>3519</v>
      </c>
      <c r="G123" s="24" t="str">
        <f ca="1">IFERROR(__xludf.DUMMYFUNCTION("UPPER(LEFT((GOOGLETRANSLATE(F123,""en"",""pt"")),1))&amp;RIGHT(lower((GOOGLETRANSLATE(F123,""en"",""pt""))),(LEN((GOOGLETRANSLATE(F123,""en"",""pt"")))-1))"),"Caldeiras, sistemas de aquecimento e de água quente levantamento")</f>
        <v>Caldeiras, sistemas de aquecimento e de água quente levantamento</v>
      </c>
      <c r="H123" s="20" t="s">
        <v>3520</v>
      </c>
      <c r="I123" s="79"/>
      <c r="J123" s="79"/>
      <c r="K123" s="24"/>
      <c r="L123" s="24"/>
    </row>
    <row r="124" spans="1:12" ht="14.5" hidden="1">
      <c r="A124" s="20" t="s">
        <v>3521</v>
      </c>
      <c r="B124" s="20">
        <v>15</v>
      </c>
      <c r="C124" s="20">
        <v>15</v>
      </c>
      <c r="D124" s="20">
        <v>11</v>
      </c>
      <c r="E124" s="24"/>
      <c r="F124" s="20" t="s">
        <v>3522</v>
      </c>
      <c r="G124" s="24" t="str">
        <f ca="1">IFERROR(__xludf.DUMMYFUNCTION("UPPER(LEFT((GOOGLETRANSLATE(F124,""en"",""pt"")),1))&amp;RIGHT(lower((GOOGLETRANSLATE(F124,""en"",""pt""))),(LEN((GOOGLETRANSLATE(F124,""en"",""pt"")))-1))"),"Equipamentos de restauração levantamento")</f>
        <v>Equipamentos de restauração levantamento</v>
      </c>
      <c r="H124" s="20" t="s">
        <v>3523</v>
      </c>
      <c r="I124" s="81" t="s">
        <v>2004</v>
      </c>
      <c r="J124" s="79"/>
      <c r="K124" s="24"/>
      <c r="L124" s="24"/>
    </row>
    <row r="125" spans="1:12" ht="14.5">
      <c r="A125" s="20" t="s">
        <v>3524</v>
      </c>
      <c r="B125" s="20">
        <v>15</v>
      </c>
      <c r="C125" s="20">
        <v>15</v>
      </c>
      <c r="D125" s="20">
        <v>15</v>
      </c>
      <c r="E125" s="24"/>
      <c r="F125" s="20" t="s">
        <v>3525</v>
      </c>
      <c r="G125" s="24" t="str">
        <f ca="1">IFERROR(__xludf.DUMMYFUNCTION("UPPER(LEFT((GOOGLETRANSLATE(F125,""en"",""pt"")),1))&amp;RIGHT(lower((GOOGLETRANSLATE(F125,""en"",""pt""))),(LEN((GOOGLETRANSLATE(F125,""en"",""pt"")))-1))"),"Sistemas de água fria e de tratamento de água de levantamento")</f>
        <v>Sistemas de água fria e de tratamento de água de levantamento</v>
      </c>
      <c r="H125" s="24" t="s">
        <v>3526</v>
      </c>
      <c r="I125" s="79"/>
      <c r="J125" s="79"/>
      <c r="K125" s="24"/>
      <c r="L125" s="24"/>
    </row>
    <row r="126" spans="1:12" ht="14.5">
      <c r="A126" s="20" t="s">
        <v>3527</v>
      </c>
      <c r="B126" s="20">
        <v>15</v>
      </c>
      <c r="C126" s="20">
        <v>15</v>
      </c>
      <c r="D126" s="20">
        <v>16</v>
      </c>
      <c r="E126" s="24"/>
      <c r="F126" s="20" t="s">
        <v>3528</v>
      </c>
      <c r="G126" s="24" t="str">
        <f ca="1">IFERROR(__xludf.DUMMYFUNCTION("UPPER(LEFT((GOOGLETRANSLATE(F126,""en"",""pt"")),1))&amp;RIGHT(lower((GOOGLETRANSLATE(F126,""en"",""pt""))),(LEN((GOOGLETRANSLATE(F126,""en"",""pt"")))-1))"),"Os sistemas de controlo de levantamento")</f>
        <v>Os sistemas de controlo de levantamento</v>
      </c>
      <c r="H126" s="24" t="s">
        <v>3529</v>
      </c>
      <c r="I126" s="79"/>
      <c r="J126" s="79"/>
      <c r="K126" s="24"/>
      <c r="L126" s="24"/>
    </row>
    <row r="127" spans="1:12" ht="14.5">
      <c r="A127" s="20" t="s">
        <v>3530</v>
      </c>
      <c r="B127" s="20">
        <v>15</v>
      </c>
      <c r="C127" s="20">
        <v>15</v>
      </c>
      <c r="D127" s="20">
        <v>28</v>
      </c>
      <c r="E127" s="24"/>
      <c r="F127" s="20" t="s">
        <v>3531</v>
      </c>
      <c r="G127" s="24" t="str">
        <f ca="1">IFERROR(__xludf.DUMMYFUNCTION("UPPER(LEFT((GOOGLETRANSLATE(F127,""en"",""pt"")),1))&amp;RIGHT(lower((GOOGLETRANSLATE(F127,""en"",""pt""))),(LEN((GOOGLETRANSLATE(F127,""en"",""pt"")))-1))"),"Escada rolante e movimento sistemas de pavimento levantamento")</f>
        <v>Escada rolante e movimento sistemas de pavimento levantamento</v>
      </c>
      <c r="H127" s="24" t="s">
        <v>3532</v>
      </c>
      <c r="I127" s="79"/>
      <c r="J127" s="79"/>
      <c r="K127" s="24"/>
      <c r="L127" s="24"/>
    </row>
    <row r="128" spans="1:12" ht="14.5">
      <c r="A128" s="20" t="s">
        <v>3533</v>
      </c>
      <c r="B128" s="20">
        <v>15</v>
      </c>
      <c r="C128" s="20">
        <v>15</v>
      </c>
      <c r="D128" s="20">
        <v>30</v>
      </c>
      <c r="E128" s="24"/>
      <c r="F128" s="20" t="s">
        <v>3534</v>
      </c>
      <c r="G128" s="24" t="str">
        <f ca="1">IFERROR(__xludf.DUMMYFUNCTION("UPPER(LEFT((GOOGLETRANSLATE(F128,""en"",""pt"")),1))&amp;RIGHT(lower((GOOGLETRANSLATE(F128,""en"",""pt""))),(LEN((GOOGLETRANSLATE(F128,""en"",""pt"")))-1))"),"Fogo levantamento sistemas de alarme")</f>
        <v>Fogo levantamento sistemas de alarme</v>
      </c>
      <c r="H128" s="24" t="s">
        <v>3535</v>
      </c>
      <c r="I128" s="79"/>
      <c r="J128" s="79"/>
      <c r="K128" s="24"/>
      <c r="L128" s="24"/>
    </row>
    <row r="129" spans="1:12" ht="14.5">
      <c r="A129" s="20" t="s">
        <v>3536</v>
      </c>
      <c r="B129" s="20">
        <v>15</v>
      </c>
      <c r="C129" s="20">
        <v>15</v>
      </c>
      <c r="D129" s="20">
        <v>34</v>
      </c>
      <c r="E129" s="24"/>
      <c r="F129" s="20" t="s">
        <v>3537</v>
      </c>
      <c r="G129" s="24" t="str">
        <f ca="1">IFERROR(__xludf.DUMMYFUNCTION("UPPER(LEFT((GOOGLETRANSLATE(F129,""en"",""pt"")),1))&amp;RIGHT(lower((GOOGLETRANSLATE(F129,""en"",""pt""))),(LEN((GOOGLETRANSLATE(F129,""en"",""pt"")))-1))"),"Levantamento sistema de geradores")</f>
        <v>Levantamento sistema de geradores</v>
      </c>
      <c r="H129" s="24" t="s">
        <v>3538</v>
      </c>
      <c r="I129" s="79"/>
      <c r="J129" s="79"/>
      <c r="K129" s="24"/>
      <c r="L129" s="24"/>
    </row>
    <row r="130" spans="1:12" ht="14.5">
      <c r="A130" s="20" t="s">
        <v>3539</v>
      </c>
      <c r="B130" s="20">
        <v>15</v>
      </c>
      <c r="C130" s="20">
        <v>15</v>
      </c>
      <c r="D130" s="20">
        <v>47</v>
      </c>
      <c r="E130" s="24"/>
      <c r="F130" s="20" t="s">
        <v>3540</v>
      </c>
      <c r="G130" s="24" t="str">
        <f ca="1">IFERROR(__xludf.DUMMYFUNCTION("UPPER(LEFT((GOOGLETRANSLATE(F130,""en"",""pt"")),1))&amp;RIGHT(lower((GOOGLETRANSLATE(F130,""en"",""pt""))),(LEN((GOOGLETRANSLATE(F130,""en"",""pt"")))-1))"),"Levantamento instalação de elevadores")</f>
        <v>Levantamento instalação de elevadores</v>
      </c>
      <c r="H130" s="24" t="s">
        <v>3541</v>
      </c>
      <c r="I130" s="79"/>
      <c r="J130" s="79"/>
      <c r="K130" s="24"/>
      <c r="L130" s="24"/>
    </row>
    <row r="131" spans="1:12" ht="14.5">
      <c r="A131" s="20" t="s">
        <v>3542</v>
      </c>
      <c r="B131" s="20">
        <v>15</v>
      </c>
      <c r="C131" s="20">
        <v>15</v>
      </c>
      <c r="D131" s="20">
        <v>48</v>
      </c>
      <c r="E131" s="24"/>
      <c r="F131" s="20" t="s">
        <v>3543</v>
      </c>
      <c r="G131" s="24" t="str">
        <f ca="1">IFERROR(__xludf.DUMMYFUNCTION("UPPER(LEFT((GOOGLETRANSLATE(F131,""en"",""pt"")),1))&amp;RIGHT(lower((GOOGLETRANSLATE(F131,""en"",""pt""))),(LEN((GOOGLETRANSLATE(F131,""en"",""pt"")))-1))"),"Baixa tensão poder geral instalações elétricas levantamento")</f>
        <v>Baixa tensão poder geral instalações elétricas levantamento</v>
      </c>
      <c r="H131" s="82" t="s">
        <v>3544</v>
      </c>
      <c r="I131" s="81"/>
      <c r="J131" s="81"/>
      <c r="K131" s="20" t="s">
        <v>3545</v>
      </c>
      <c r="L131" s="20" t="s">
        <v>3546</v>
      </c>
    </row>
    <row r="132" spans="1:12" ht="14.5">
      <c r="A132" s="20" t="s">
        <v>3547</v>
      </c>
      <c r="B132" s="20">
        <v>15</v>
      </c>
      <c r="C132" s="20">
        <v>15</v>
      </c>
      <c r="D132" s="20">
        <v>71</v>
      </c>
      <c r="E132" s="24"/>
      <c r="F132" s="20" t="s">
        <v>3548</v>
      </c>
      <c r="G132" s="24" t="str">
        <f ca="1">IFERROR(__xludf.DUMMYFUNCTION("UPPER(LEFT((GOOGLETRANSLATE(F132,""en"",""pt"")),1))&amp;RIGHT(lower((GOOGLETRANSLATE(F132,""en"",""pt""))),(LEN((GOOGLETRANSLATE(F132,""en"",""pt"")))-1))"),"Levantamento sistemas de refrigeração")</f>
        <v>Levantamento sistemas de refrigeração</v>
      </c>
      <c r="H132" s="24" t="s">
        <v>3549</v>
      </c>
      <c r="I132" s="79"/>
      <c r="J132" s="79"/>
      <c r="K132" s="24"/>
      <c r="L132" s="24"/>
    </row>
    <row r="133" spans="1:12" ht="14.5">
      <c r="A133" s="20" t="s">
        <v>3550</v>
      </c>
      <c r="B133" s="20">
        <v>15</v>
      </c>
      <c r="C133" s="20">
        <v>15</v>
      </c>
      <c r="D133" s="20">
        <v>82</v>
      </c>
      <c r="E133" s="24"/>
      <c r="F133" s="20" t="s">
        <v>3551</v>
      </c>
      <c r="G133" s="24" t="str">
        <f ca="1">IFERROR(__xludf.DUMMYFUNCTION("UPPER(LEFT((GOOGLETRANSLATE(F133,""en"",""pt"")),1))&amp;RIGHT(lower((GOOGLETRANSLATE(F133,""en"",""pt""))),(LEN((GOOGLETRANSLATE(F133,""en"",""pt"")))-1))"),"Sistemas de rega levantamento")</f>
        <v>Sistemas de rega levantamento</v>
      </c>
      <c r="H133" s="24" t="s">
        <v>3552</v>
      </c>
      <c r="I133" s="79"/>
      <c r="J133" s="79"/>
      <c r="K133" s="24"/>
      <c r="L133" s="24"/>
    </row>
    <row r="134" spans="1:12" ht="14.5">
      <c r="A134" s="20" t="s">
        <v>3553</v>
      </c>
      <c r="B134" s="20">
        <v>15</v>
      </c>
      <c r="C134" s="20">
        <v>15</v>
      </c>
      <c r="D134" s="20">
        <v>95</v>
      </c>
      <c r="E134" s="24"/>
      <c r="F134" s="20" t="s">
        <v>3554</v>
      </c>
      <c r="G134" s="24" t="str">
        <f ca="1">IFERROR(__xludf.DUMMYFUNCTION("UPPER(LEFT((GOOGLETRANSLATE(F134,""en"",""pt"")),1))&amp;RIGHT(lower((GOOGLETRANSLATE(F134,""en"",""pt""))),(LEN((GOOGLETRANSLATE(F134,""en"",""pt"")))-1))"),"Os sistemas de ventilação e ar condicionado de levantamento")</f>
        <v>Os sistemas de ventilação e ar condicionado de levantamento</v>
      </c>
      <c r="H134" s="24" t="s">
        <v>3555</v>
      </c>
      <c r="I134" s="79"/>
      <c r="J134" s="79"/>
      <c r="K134" s="24"/>
      <c r="L134" s="24"/>
    </row>
    <row r="135" spans="1:12" ht="14.5">
      <c r="A135" s="20" t="s">
        <v>3556</v>
      </c>
      <c r="B135" s="20">
        <v>15</v>
      </c>
      <c r="C135" s="20">
        <v>20</v>
      </c>
      <c r="D135" s="24"/>
      <c r="E135" s="24"/>
      <c r="F135" s="20" t="s">
        <v>3557</v>
      </c>
      <c r="G135" s="24" t="str">
        <f ca="1">IFERROR(__xludf.DUMMYFUNCTION("UPPER(LEFT((GOOGLETRANSLATE(F135,""en"",""pt"")),1))&amp;RIGHT(lower((GOOGLETRANSLATE(F135,""en"",""pt""))),(LEN((GOOGLETRANSLATE(F135,""en"",""pt"")))-1))"),"Levantamento ecológico e ambiental")</f>
        <v>Levantamento ecológico e ambiental</v>
      </c>
      <c r="H135" s="24" t="s">
        <v>3558</v>
      </c>
      <c r="I135" s="79"/>
      <c r="J135" s="79"/>
      <c r="K135" s="24"/>
      <c r="L135" s="24"/>
    </row>
    <row r="136" spans="1:12" ht="14.5">
      <c r="A136" s="20" t="s">
        <v>3559</v>
      </c>
      <c r="B136" s="20">
        <v>15</v>
      </c>
      <c r="C136" s="20">
        <v>20</v>
      </c>
      <c r="D136" s="20">
        <v>3</v>
      </c>
      <c r="E136" s="24"/>
      <c r="F136" s="20" t="s">
        <v>3560</v>
      </c>
      <c r="G136" s="24" t="str">
        <f ca="1">IFERROR(__xludf.DUMMYFUNCTION("UPPER(LEFT((GOOGLETRANSLATE(F136,""en"",""pt"")),1))&amp;RIGHT(lower((GOOGLETRANSLATE(F136,""en"",""pt""))),(LEN((GOOGLETRANSLATE(F136,""en"",""pt"")))-1))"),"Animal levantamento avaliação conservação")</f>
        <v>Animal levantamento avaliação conservação</v>
      </c>
      <c r="H136" s="82" t="s">
        <v>3561</v>
      </c>
      <c r="I136" s="81"/>
      <c r="J136" s="81"/>
      <c r="K136" s="20" t="s">
        <v>3562</v>
      </c>
      <c r="L136" s="20" t="s">
        <v>3563</v>
      </c>
    </row>
    <row r="137" spans="1:12" ht="14.5">
      <c r="A137" s="20" t="s">
        <v>3564</v>
      </c>
      <c r="B137" s="20">
        <v>15</v>
      </c>
      <c r="C137" s="20">
        <v>20</v>
      </c>
      <c r="D137" s="20">
        <v>5</v>
      </c>
      <c r="E137" s="24"/>
      <c r="F137" s="20" t="s">
        <v>3565</v>
      </c>
      <c r="G137" s="24" t="str">
        <f ca="1">IFERROR(__xludf.DUMMYFUNCTION("UPPER(LEFT((GOOGLETRANSLATE(F137,""en"",""pt"")),1))&amp;RIGHT(lower((GOOGLETRANSLATE(F137,""en"",""pt""))),(LEN((GOOGLETRANSLATE(F137,""en"",""pt"")))-1))"),"Levantamento arboricultura")</f>
        <v>Levantamento arboricultura</v>
      </c>
      <c r="H137" s="82" t="s">
        <v>3566</v>
      </c>
      <c r="I137" s="81"/>
      <c r="J137" s="81"/>
      <c r="K137" s="20" t="s">
        <v>3567</v>
      </c>
      <c r="L137" s="20" t="s">
        <v>3568</v>
      </c>
    </row>
    <row r="138" spans="1:12" ht="14.5">
      <c r="A138" s="20" t="s">
        <v>3569</v>
      </c>
      <c r="B138" s="20">
        <v>15</v>
      </c>
      <c r="C138" s="20">
        <v>20</v>
      </c>
      <c r="D138" s="20">
        <v>8</v>
      </c>
      <c r="E138" s="24"/>
      <c r="F138" s="20" t="s">
        <v>3570</v>
      </c>
      <c r="G138" s="24" t="str">
        <f ca="1">IFERROR(__xludf.DUMMYFUNCTION("UPPER(LEFT((GOOGLETRANSLATE(F138,""en"",""pt"")),1))&amp;RIGHT(lower((GOOGLETRANSLATE(F138,""en"",""pt""))),(LEN((GOOGLETRANSLATE(F138,""en"",""pt"")))-1))"),"Aves e pragas levantamento")</f>
        <v>Aves e pragas levantamento</v>
      </c>
      <c r="H138" s="82" t="s">
        <v>3571</v>
      </c>
      <c r="I138" s="81"/>
      <c r="J138" s="81"/>
      <c r="K138" s="20" t="s">
        <v>3572</v>
      </c>
      <c r="L138" s="20" t="s">
        <v>3573</v>
      </c>
    </row>
    <row r="139" spans="1:12" ht="14.5">
      <c r="A139" s="20" t="s">
        <v>3574</v>
      </c>
      <c r="B139" s="20">
        <v>15</v>
      </c>
      <c r="C139" s="20">
        <v>20</v>
      </c>
      <c r="D139" s="20">
        <v>25</v>
      </c>
      <c r="E139" s="24"/>
      <c r="F139" s="20" t="s">
        <v>3575</v>
      </c>
      <c r="G139" s="24" t="str">
        <f ca="1">IFERROR(__xludf.DUMMYFUNCTION("UPPER(LEFT((GOOGLETRANSLATE(F139,""en"",""pt"")),1))&amp;RIGHT(lower((GOOGLETRANSLATE(F139,""en"",""pt""))),(LEN((GOOGLETRANSLATE(F139,""en"",""pt"")))-1))"),"Levantamento construção ecológica")</f>
        <v>Levantamento construção ecológica</v>
      </c>
      <c r="H139" s="24" t="s">
        <v>3576</v>
      </c>
      <c r="I139" s="79"/>
      <c r="J139" s="79"/>
      <c r="K139" s="24"/>
      <c r="L139" s="24"/>
    </row>
    <row r="140" spans="1:12" ht="14.5">
      <c r="A140" s="20" t="s">
        <v>3577</v>
      </c>
      <c r="B140" s="20">
        <v>15</v>
      </c>
      <c r="C140" s="20">
        <v>20</v>
      </c>
      <c r="D140" s="20">
        <v>27</v>
      </c>
      <c r="E140" s="24"/>
      <c r="F140" s="20" t="s">
        <v>3578</v>
      </c>
      <c r="G140" s="24" t="str">
        <f ca="1">IFERROR(__xludf.DUMMYFUNCTION("UPPER(LEFT((GOOGLETRANSLATE(F140,""en"",""pt"")),1))&amp;RIGHT(lower((GOOGLETRANSLATE(F140,""en"",""pt""))),(LEN((GOOGLETRANSLATE(F140,""en"",""pt"")))-1))"),"Ecológica levantamento local")</f>
        <v>Ecológica levantamento local</v>
      </c>
      <c r="H140" s="82" t="s">
        <v>3579</v>
      </c>
      <c r="I140" s="81"/>
      <c r="J140" s="81"/>
      <c r="K140" s="20" t="s">
        <v>3580</v>
      </c>
      <c r="L140" s="20" t="s">
        <v>3581</v>
      </c>
    </row>
    <row r="141" spans="1:12" ht="14.5">
      <c r="A141" s="20" t="s">
        <v>3582</v>
      </c>
      <c r="B141" s="20">
        <v>15</v>
      </c>
      <c r="C141" s="20">
        <v>20</v>
      </c>
      <c r="D141" s="20">
        <v>28</v>
      </c>
      <c r="E141" s="24"/>
      <c r="F141" s="20" t="s">
        <v>3583</v>
      </c>
      <c r="G141" s="24" t="str">
        <f ca="1">IFERROR(__xludf.DUMMYFUNCTION("UPPER(LEFT((GOOGLETRANSLATE(F141,""en"",""pt"")),1))&amp;RIGHT(lower((GOOGLETRANSLATE(F141,""en"",""pt""))),(LEN((GOOGLETRANSLATE(F141,""en"",""pt"")))-1))"),"Levantamento avaliação de impacto ambiental")</f>
        <v>Levantamento avaliação de impacto ambiental</v>
      </c>
      <c r="H141" s="24" t="s">
        <v>3584</v>
      </c>
      <c r="I141" s="79"/>
      <c r="J141" s="79"/>
      <c r="K141" s="24"/>
      <c r="L141" s="24"/>
    </row>
    <row r="142" spans="1:12" ht="14.5">
      <c r="A142" s="20" t="s">
        <v>3585</v>
      </c>
      <c r="B142" s="20">
        <v>15</v>
      </c>
      <c r="C142" s="20">
        <v>20</v>
      </c>
      <c r="D142" s="20">
        <v>40</v>
      </c>
      <c r="E142" s="24"/>
      <c r="F142" s="20" t="s">
        <v>3586</v>
      </c>
      <c r="G142" s="24" t="str">
        <f ca="1">IFERROR(__xludf.DUMMYFUNCTION("UPPER(LEFT((GOOGLETRANSLATE(F142,""en"",""pt"")),1))&amp;RIGHT(lower((GOOGLETRANSLATE(F142,""en"",""pt""))),(LEN((GOOGLETRANSLATE(F142,""en"",""pt"")))-1))"),"Espécies invasivas levantamento")</f>
        <v>Espécies invasivas levantamento</v>
      </c>
      <c r="H142" s="82" t="s">
        <v>3587</v>
      </c>
      <c r="I142" s="81"/>
      <c r="J142" s="81"/>
      <c r="K142" s="20" t="s">
        <v>3588</v>
      </c>
      <c r="L142" s="20" t="s">
        <v>3581</v>
      </c>
    </row>
    <row r="143" spans="1:12" ht="14.5">
      <c r="A143" s="20" t="s">
        <v>3589</v>
      </c>
      <c r="B143" s="20">
        <v>15</v>
      </c>
      <c r="C143" s="20">
        <v>20</v>
      </c>
      <c r="D143" s="20">
        <v>46</v>
      </c>
      <c r="E143" s="24"/>
      <c r="F143" s="20" t="s">
        <v>3590</v>
      </c>
      <c r="G143" s="24" t="str">
        <f ca="1">IFERROR(__xludf.DUMMYFUNCTION("UPPER(LEFT((GOOGLETRANSLATE(F143,""en"",""pt"")),1))&amp;RIGHT(lower((GOOGLETRANSLATE(F143,""en"",""pt""))),(LEN((GOOGLETRANSLATE(F143,""en"",""pt"")))-1))"),"Carácter da paisagem avaliar")</f>
        <v>Carácter da paisagem avaliar</v>
      </c>
      <c r="H143" s="24" t="s">
        <v>3591</v>
      </c>
      <c r="I143" s="79"/>
      <c r="J143" s="79"/>
      <c r="K143" s="24"/>
      <c r="L143" s="24"/>
    </row>
    <row r="144" spans="1:12" ht="14.5">
      <c r="A144" s="20" t="s">
        <v>3592</v>
      </c>
      <c r="B144" s="20">
        <v>15</v>
      </c>
      <c r="C144" s="20">
        <v>20</v>
      </c>
      <c r="D144" s="20">
        <v>48</v>
      </c>
      <c r="E144" s="24"/>
      <c r="F144" s="20" t="s">
        <v>3593</v>
      </c>
      <c r="G144" s="24" t="str">
        <f ca="1">IFERROR(__xludf.DUMMYFUNCTION("UPPER(LEFT((GOOGLETRANSLATE(F144,""en"",""pt"")),1))&amp;RIGHT(lower((GOOGLETRANSLATE(F144,""en"",""pt""))),(LEN((GOOGLETRANSLATE(F144,""en"",""pt"")))-1))"),"Paisagem visuais avaliar")</f>
        <v>Paisagem visuais avaliar</v>
      </c>
      <c r="H144" s="24" t="s">
        <v>3594</v>
      </c>
      <c r="I144" s="79"/>
      <c r="J144" s="79"/>
      <c r="K144" s="24"/>
      <c r="L144" s="24"/>
    </row>
    <row r="145" spans="1:12" ht="14.5">
      <c r="A145" s="20" t="s">
        <v>3595</v>
      </c>
      <c r="B145" s="20">
        <v>15</v>
      </c>
      <c r="C145" s="20">
        <v>20</v>
      </c>
      <c r="D145" s="20">
        <v>56</v>
      </c>
      <c r="E145" s="24"/>
      <c r="F145" s="20" t="s">
        <v>3596</v>
      </c>
      <c r="G145" s="24" t="str">
        <f ca="1">IFERROR(__xludf.DUMMYFUNCTION("UPPER(LEFT((GOOGLETRANSLATE(F145,""en"",""pt"")),1))&amp;RIGHT(lower((GOOGLETRANSLATE(F145,""en"",""pt""))),(LEN((GOOGLETRANSLATE(F145,""en"",""pt"")))-1))"),"Espécies animais incomodativas levantamento")</f>
        <v>Espécies animais incomodativas levantamento</v>
      </c>
      <c r="H145" s="82" t="s">
        <v>3597</v>
      </c>
      <c r="I145" s="81"/>
      <c r="J145" s="81"/>
      <c r="K145" s="20" t="s">
        <v>3598</v>
      </c>
      <c r="L145" s="20" t="s">
        <v>3573</v>
      </c>
    </row>
    <row r="146" spans="1:12" ht="14.5">
      <c r="A146" s="20" t="s">
        <v>3599</v>
      </c>
      <c r="B146" s="20">
        <v>15</v>
      </c>
      <c r="C146" s="20">
        <v>20</v>
      </c>
      <c r="D146" s="20">
        <v>58</v>
      </c>
      <c r="E146" s="24"/>
      <c r="F146" s="20" t="s">
        <v>3600</v>
      </c>
      <c r="G146" s="24" t="str">
        <f ca="1">IFERROR(__xludf.DUMMYFUNCTION("UPPER(LEFT((GOOGLETRANSLATE(F146,""en"",""pt"")),1))&amp;RIGHT(lower((GOOGLETRANSLATE(F146,""en"",""pt""))),(LEN((GOOGLETRANSLATE(F146,""en"",""pt"")))-1))"),"Levantamento ornitológico")</f>
        <v>Levantamento ornitológico</v>
      </c>
      <c r="H146" s="24" t="s">
        <v>3601</v>
      </c>
      <c r="I146" s="79"/>
      <c r="J146" s="79"/>
      <c r="K146" s="24"/>
      <c r="L146" s="24"/>
    </row>
    <row r="147" spans="1:12" ht="14.5">
      <c r="A147" s="20" t="s">
        <v>3602</v>
      </c>
      <c r="B147" s="20">
        <v>15</v>
      </c>
      <c r="C147" s="20">
        <v>20</v>
      </c>
      <c r="D147" s="20">
        <v>85</v>
      </c>
      <c r="E147" s="24"/>
      <c r="F147" s="20" t="s">
        <v>3603</v>
      </c>
      <c r="G147" s="24" t="str">
        <f ca="1">IFERROR(__xludf.DUMMYFUNCTION("UPPER(LEFT((GOOGLETRANSLATE(F147,""en"",""pt"")),1))&amp;RIGHT(lower((GOOGLETRANSLATE(F147,""en"",""pt""))),(LEN((GOOGLETRANSLATE(F147,""en"",""pt"")))-1))"),"Estratégica ambiental avaliação")</f>
        <v>Estratégica ambiental avaliação</v>
      </c>
      <c r="H147" s="24" t="s">
        <v>3604</v>
      </c>
      <c r="I147" s="79"/>
      <c r="J147" s="79"/>
      <c r="K147" s="24"/>
      <c r="L147" s="24"/>
    </row>
    <row r="148" spans="1:12" ht="14.5">
      <c r="A148" s="20" t="s">
        <v>3605</v>
      </c>
      <c r="B148" s="20">
        <v>15</v>
      </c>
      <c r="C148" s="20">
        <v>30</v>
      </c>
      <c r="D148" s="24"/>
      <c r="E148" s="24"/>
      <c r="F148" s="20" t="s">
        <v>3606</v>
      </c>
      <c r="G148" s="24" t="str">
        <f ca="1">IFERROR(__xludf.DUMMYFUNCTION("UPPER(LEFT((GOOGLETRANSLATE(F148,""en"",""pt"")),1))&amp;RIGHT(lower((GOOGLETRANSLATE(F148,""en"",""pt""))),(LEN((GOOGLETRANSLATE(F148,""en"",""pt"")))-1))"),"Levantamento geométrica")</f>
        <v>Levantamento geométrica</v>
      </c>
      <c r="H148" s="24" t="s">
        <v>3607</v>
      </c>
      <c r="I148" s="79"/>
      <c r="J148" s="79"/>
      <c r="K148" s="24"/>
      <c r="L148" s="24"/>
    </row>
    <row r="149" spans="1:12" ht="14.5">
      <c r="A149" s="20" t="s">
        <v>3608</v>
      </c>
      <c r="B149" s="20">
        <v>15</v>
      </c>
      <c r="C149" s="20">
        <v>30</v>
      </c>
      <c r="D149" s="20">
        <v>50</v>
      </c>
      <c r="E149" s="24"/>
      <c r="F149" s="20" t="s">
        <v>3609</v>
      </c>
      <c r="G149" s="24" t="str">
        <f ca="1">IFERROR(__xludf.DUMMYFUNCTION("UPPER(LEFT((GOOGLETRANSLATE(F149,""en"",""pt"")),1))&amp;RIGHT(lower((GOOGLETRANSLATE(F149,""en"",""pt""))),(LEN((GOOGLETRANSLATE(F149,""en"",""pt"")))-1))"),"Medido e levantamento métrico")</f>
        <v>Medido e levantamento métrico</v>
      </c>
      <c r="H149" s="24" t="s">
        <v>3610</v>
      </c>
      <c r="I149" s="79"/>
      <c r="J149" s="79"/>
      <c r="K149" s="24"/>
      <c r="L149" s="24"/>
    </row>
    <row r="150" spans="1:12" ht="14.5">
      <c r="A150" s="20" t="s">
        <v>3611</v>
      </c>
      <c r="B150" s="20">
        <v>15</v>
      </c>
      <c r="C150" s="20">
        <v>30</v>
      </c>
      <c r="D150" s="20">
        <v>90</v>
      </c>
      <c r="E150" s="24"/>
      <c r="F150" s="20" t="s">
        <v>3612</v>
      </c>
      <c r="G150" s="24" t="str">
        <f ca="1">IFERROR(__xludf.DUMMYFUNCTION("UPPER(LEFT((GOOGLETRANSLATE(F150,""en"",""pt"")),1))&amp;RIGHT(lower((GOOGLETRANSLATE(F150,""en"",""pt""))),(LEN((GOOGLETRANSLATE(F150,""en"",""pt"")))-1))"),"Levantamento topográfico")</f>
        <v>Levantamento topográfico</v>
      </c>
      <c r="H150" s="82" t="s">
        <v>3613</v>
      </c>
      <c r="I150" s="81"/>
      <c r="J150" s="81"/>
      <c r="K150" s="20" t="s">
        <v>3614</v>
      </c>
      <c r="L150" s="20" t="s">
        <v>3568</v>
      </c>
    </row>
    <row r="151" spans="1:12" ht="14.5">
      <c r="A151" s="20" t="s">
        <v>3615</v>
      </c>
      <c r="B151" s="20">
        <v>15</v>
      </c>
      <c r="C151" s="20">
        <v>40</v>
      </c>
      <c r="D151" s="24"/>
      <c r="E151" s="24"/>
      <c r="F151" s="20" t="s">
        <v>3616</v>
      </c>
      <c r="G151" s="24" t="str">
        <f ca="1">IFERROR(__xludf.DUMMYFUNCTION("UPPER(LEFT((GOOGLETRANSLATE(F151,""en"",""pt"")),1))&amp;RIGHT(lower((GOOGLETRANSLATE(F151,""en"",""pt""))),(LEN((GOOGLETRANSLATE(F151,""en"",""pt"")))-1))"),"Levantamento material perigoso")</f>
        <v>Levantamento material perigoso</v>
      </c>
      <c r="H151" s="82" t="s">
        <v>3617</v>
      </c>
      <c r="I151" s="81"/>
      <c r="J151" s="81"/>
      <c r="K151" s="20" t="s">
        <v>3618</v>
      </c>
      <c r="L151" s="20" t="s">
        <v>3486</v>
      </c>
    </row>
    <row r="152" spans="1:12" ht="14.5">
      <c r="A152" s="20" t="s">
        <v>3619</v>
      </c>
      <c r="B152" s="20">
        <v>15</v>
      </c>
      <c r="C152" s="20">
        <v>40</v>
      </c>
      <c r="D152" s="20">
        <v>5</v>
      </c>
      <c r="E152" s="24"/>
      <c r="F152" s="20" t="s">
        <v>3620</v>
      </c>
      <c r="G152" s="24" t="str">
        <f ca="1">IFERROR(__xludf.DUMMYFUNCTION("UPPER(LEFT((GOOGLETRANSLATE(F152,""en"",""pt"")),1))&amp;RIGHT(lower((GOOGLETRANSLATE(F152,""en"",""pt""))),(LEN((GOOGLETRANSLATE(F152,""en"",""pt"")))-1))"),"Levantamento de amianto")</f>
        <v>Levantamento de amianto</v>
      </c>
      <c r="H152" s="24" t="s">
        <v>3621</v>
      </c>
      <c r="I152" s="79"/>
      <c r="J152" s="79"/>
      <c r="K152" s="24"/>
      <c r="L152" s="24"/>
    </row>
    <row r="153" spans="1:12" ht="14.5">
      <c r="A153" s="20" t="s">
        <v>3622</v>
      </c>
      <c r="B153" s="20">
        <v>15</v>
      </c>
      <c r="C153" s="20">
        <v>40</v>
      </c>
      <c r="D153" s="20">
        <v>45</v>
      </c>
      <c r="E153" s="24"/>
      <c r="F153" s="20" t="s">
        <v>3623</v>
      </c>
      <c r="G153" s="24" t="str">
        <f ca="1">IFERROR(__xludf.DUMMYFUNCTION("UPPER(LEFT((GOOGLETRANSLATE(F153,""en"",""pt"")),1))&amp;RIGHT(lower((GOOGLETRANSLATE(F153,""en"",""pt""))),(LEN((GOOGLETRANSLATE(F153,""en"",""pt"")))-1))"),"Levantamento tinta com chumbo")</f>
        <v>Levantamento tinta com chumbo</v>
      </c>
      <c r="H153" s="24" t="s">
        <v>3624</v>
      </c>
      <c r="I153" s="79"/>
      <c r="J153" s="79"/>
      <c r="K153" s="24"/>
      <c r="L153" s="24"/>
    </row>
    <row r="154" spans="1:12" ht="14.5">
      <c r="A154" s="20" t="s">
        <v>3625</v>
      </c>
      <c r="B154" s="20">
        <v>15</v>
      </c>
      <c r="C154" s="20">
        <v>40</v>
      </c>
      <c r="D154" s="20">
        <v>70</v>
      </c>
      <c r="E154" s="24"/>
      <c r="F154" s="20" t="s">
        <v>3626</v>
      </c>
      <c r="G154" s="24" t="str">
        <f ca="1">IFERROR(__xludf.DUMMYFUNCTION("UPPER(LEFT((GOOGLETRANSLATE(F154,""en"",""pt"")),1))&amp;RIGHT(lower((GOOGLETRANSLATE(F154,""en"",""pt""))),(LEN((GOOGLETRANSLATE(F154,""en"",""pt"")))-1))"),"Radão e gases perigosos no solo levantamento")</f>
        <v>Radão e gases perigosos no solo levantamento</v>
      </c>
      <c r="H154" s="24" t="s">
        <v>3627</v>
      </c>
      <c r="I154" s="79"/>
      <c r="J154" s="79"/>
      <c r="K154" s="24"/>
      <c r="L154" s="24"/>
    </row>
    <row r="155" spans="1:12" ht="14.5">
      <c r="A155" s="20" t="s">
        <v>3628</v>
      </c>
      <c r="B155" s="20">
        <v>15</v>
      </c>
      <c r="C155" s="20">
        <v>45</v>
      </c>
      <c r="D155" s="24"/>
      <c r="E155" s="24"/>
      <c r="F155" s="20" t="s">
        <v>3629</v>
      </c>
      <c r="G155" s="24" t="str">
        <f ca="1">IFERROR(__xludf.DUMMYFUNCTION("UPPER(LEFT((GOOGLETRANSLATE(F155,""en"",""pt"")),1))&amp;RIGHT(lower((GOOGLETRANSLATE(F155,""en"",""pt""))),(LEN((GOOGLETRANSLATE(F155,""en"",""pt"")))-1))"),"Edifício histórico e levantamento local")</f>
        <v>Edifício histórico e levantamento local</v>
      </c>
      <c r="H155" s="24" t="s">
        <v>3630</v>
      </c>
      <c r="I155" s="79"/>
      <c r="J155" s="79"/>
      <c r="K155" s="24"/>
      <c r="L155" s="24"/>
    </row>
    <row r="156" spans="1:12" ht="14.5">
      <c r="A156" s="20" t="s">
        <v>3631</v>
      </c>
      <c r="B156" s="20">
        <v>15</v>
      </c>
      <c r="C156" s="20">
        <v>45</v>
      </c>
      <c r="D156" s="20">
        <v>35</v>
      </c>
      <c r="E156" s="24"/>
      <c r="F156" s="20" t="s">
        <v>3632</v>
      </c>
      <c r="G156" s="24" t="str">
        <f ca="1">IFERROR(__xludf.DUMMYFUNCTION("UPPER(LEFT((GOOGLETRANSLATE(F156,""en"",""pt"")),1))&amp;RIGHT(lower((GOOGLETRANSLATE(F156,""en"",""pt""))),(LEN((GOOGLETRANSLATE(F156,""en"",""pt"")))-1))"),"Levantamento edifício histórico")</f>
        <v>Levantamento edifício histórico</v>
      </c>
      <c r="H156" s="24" t="s">
        <v>3633</v>
      </c>
      <c r="I156" s="79"/>
      <c r="J156" s="79"/>
      <c r="K156" s="24"/>
      <c r="L156" s="24"/>
    </row>
    <row r="157" spans="1:12" ht="14.5">
      <c r="A157" s="20" t="s">
        <v>3634</v>
      </c>
      <c r="B157" s="20">
        <v>15</v>
      </c>
      <c r="C157" s="20">
        <v>45</v>
      </c>
      <c r="D157" s="20">
        <v>37</v>
      </c>
      <c r="E157" s="24"/>
      <c r="F157" s="20" t="s">
        <v>3635</v>
      </c>
      <c r="G157" s="24" t="str">
        <f ca="1">IFERROR(__xludf.DUMMYFUNCTION("UPPER(LEFT((GOOGLETRANSLATE(F157,""en"",""pt"")),1))&amp;RIGHT(lower((GOOGLETRANSLATE(F157,""en"",""pt""))),(LEN((GOOGLETRANSLATE(F157,""en"",""pt"")))-1))"),"Historic levantamento local")</f>
        <v>Historic levantamento local</v>
      </c>
      <c r="H157" s="82" t="s">
        <v>3636</v>
      </c>
      <c r="I157" s="81"/>
      <c r="J157" s="81"/>
      <c r="K157" s="20" t="s">
        <v>3637</v>
      </c>
      <c r="L157" s="20" t="s">
        <v>3638</v>
      </c>
    </row>
    <row r="158" spans="1:12" ht="14.5">
      <c r="A158" s="20" t="s">
        <v>3639</v>
      </c>
      <c r="B158" s="20">
        <v>15</v>
      </c>
      <c r="C158" s="20">
        <v>50</v>
      </c>
      <c r="D158" s="24"/>
      <c r="E158" s="24"/>
      <c r="F158" s="20" t="s">
        <v>3640</v>
      </c>
      <c r="G158" s="24" t="str">
        <f ca="1">IFERROR(__xludf.DUMMYFUNCTION("UPPER(LEFT((GOOGLETRANSLATE(F158,""en"",""pt"")),1))&amp;RIGHT(lower((GOOGLETRANSLATE(F158,""en"",""pt""))),(LEN((GOOGLETRANSLATE(F158,""en"",""pt"")))-1))"),"Construção de levantamento de tecido")</f>
        <v>Construção de levantamento de tecido</v>
      </c>
      <c r="H158" s="24" t="s">
        <v>3641</v>
      </c>
      <c r="I158" s="79"/>
      <c r="J158" s="79"/>
      <c r="K158" s="24"/>
      <c r="L158" s="24"/>
    </row>
    <row r="159" spans="1:12" ht="14.5">
      <c r="A159" s="20" t="s">
        <v>3642</v>
      </c>
      <c r="B159" s="20">
        <v>15</v>
      </c>
      <c r="C159" s="20">
        <v>50</v>
      </c>
      <c r="D159" s="20">
        <v>10</v>
      </c>
      <c r="E159" s="24"/>
      <c r="F159" s="20" t="s">
        <v>3643</v>
      </c>
      <c r="G159" s="24" t="str">
        <f ca="1">IFERROR(__xludf.DUMMYFUNCTION("UPPER(LEFT((GOOGLETRANSLATE(F159,""en"",""pt"")),1))&amp;RIGHT(lower((GOOGLETRANSLATE(F159,""en"",""pt""))),(LEN((GOOGLETRANSLATE(F159,""en"",""pt"")))-1))"),"Inspecção de edifícios")</f>
        <v>Inspecção de edifícios</v>
      </c>
      <c r="H159" s="82" t="s">
        <v>3644</v>
      </c>
      <c r="I159" s="81"/>
      <c r="J159" s="81"/>
      <c r="K159" s="20" t="s">
        <v>3645</v>
      </c>
      <c r="L159" s="20" t="s">
        <v>3646</v>
      </c>
    </row>
    <row r="160" spans="1:12" ht="14.5">
      <c r="A160" s="20" t="s">
        <v>3647</v>
      </c>
      <c r="B160" s="20">
        <v>15</v>
      </c>
      <c r="C160" s="20">
        <v>50</v>
      </c>
      <c r="D160" s="20">
        <v>15</v>
      </c>
      <c r="E160" s="24"/>
      <c r="F160" s="20" t="s">
        <v>3648</v>
      </c>
      <c r="G160" s="24" t="str">
        <f ca="1">IFERROR(__xludf.DUMMYFUNCTION("UPPER(LEFT((GOOGLETRANSLATE(F160,""en"",""pt"")),1))&amp;RIGHT(lower((GOOGLETRANSLATE(F160,""en"",""pt""))),(LEN((GOOGLETRANSLATE(F160,""en"",""pt"")))-1))"),"Elementos escondidos levantamento")</f>
        <v>Elementos escondidos levantamento</v>
      </c>
      <c r="H160" s="24" t="s">
        <v>3649</v>
      </c>
      <c r="I160" s="79"/>
      <c r="J160" s="79"/>
      <c r="K160" s="24"/>
      <c r="L160" s="24"/>
    </row>
    <row r="161" spans="1:12" ht="14.5">
      <c r="A161" s="20" t="s">
        <v>3650</v>
      </c>
      <c r="B161" s="20">
        <v>15</v>
      </c>
      <c r="C161" s="20">
        <v>50</v>
      </c>
      <c r="D161" s="20">
        <v>17</v>
      </c>
      <c r="E161" s="24"/>
      <c r="F161" s="20" t="s">
        <v>3651</v>
      </c>
      <c r="G161" s="24" t="str">
        <f ca="1">IFERROR(__xludf.DUMMYFUNCTION("UPPER(LEFT((GOOGLETRANSLATE(F161,""en"",""pt"")),1))&amp;RIGHT(lower((GOOGLETRANSLATE(F161,""en"",""pt""))),(LEN((GOOGLETRANSLATE(F161,""en"",""pt"")))-1))"),"Cobertura de concreto levantamento")</f>
        <v>Cobertura de concreto levantamento</v>
      </c>
      <c r="H161" s="24" t="s">
        <v>3652</v>
      </c>
      <c r="I161" s="79"/>
      <c r="J161" s="79"/>
      <c r="K161" s="24"/>
      <c r="L161" s="24"/>
    </row>
    <row r="162" spans="1:12" ht="14.5">
      <c r="A162" s="20" t="s">
        <v>3653</v>
      </c>
      <c r="B162" s="20">
        <v>15</v>
      </c>
      <c r="C162" s="20">
        <v>50</v>
      </c>
      <c r="D162" s="20">
        <v>20</v>
      </c>
      <c r="E162" s="24"/>
      <c r="F162" s="20" t="s">
        <v>3654</v>
      </c>
      <c r="G162" s="24" t="str">
        <f ca="1">IFERROR(__xludf.DUMMYFUNCTION("UPPER(LEFT((GOOGLETRANSLATE(F162,""en"",""pt"")),1))&amp;RIGHT(lower((GOOGLETRANSLATE(F162,""en"",""pt""))),(LEN((GOOGLETRANSLATE(F162,""en"",""pt"")))-1))"),"Amortecer o ingresso e o excesso de humidade levantamento")</f>
        <v>Amortecer o ingresso e o excesso de humidade levantamento</v>
      </c>
      <c r="H162" s="82" t="s">
        <v>3655</v>
      </c>
      <c r="I162" s="81"/>
      <c r="J162" s="81"/>
      <c r="K162" s="20" t="s">
        <v>3656</v>
      </c>
      <c r="L162" s="20" t="s">
        <v>3486</v>
      </c>
    </row>
    <row r="163" spans="1:12" ht="14.5">
      <c r="A163" s="20" t="s">
        <v>3657</v>
      </c>
      <c r="B163" s="20">
        <v>15</v>
      </c>
      <c r="C163" s="20">
        <v>50</v>
      </c>
      <c r="D163" s="20">
        <v>22</v>
      </c>
      <c r="E163" s="24"/>
      <c r="F163" s="20" t="s">
        <v>3658</v>
      </c>
      <c r="G163" s="24" t="str">
        <f ca="1">IFERROR(__xludf.DUMMYFUNCTION("UPPER(LEFT((GOOGLETRANSLATE(F163,""en"",""pt"")),1))&amp;RIGHT(lower((GOOGLETRANSLATE(F163,""en"",""pt""))),(LEN((GOOGLETRANSLATE(F163,""en"",""pt"")))-1))"),"Dilapidations levantamento")</f>
        <v>Dilapidations levantamento</v>
      </c>
      <c r="H163" s="24" t="s">
        <v>3659</v>
      </c>
      <c r="I163" s="79"/>
      <c r="J163" s="79"/>
      <c r="K163" s="24"/>
      <c r="L163" s="24"/>
    </row>
    <row r="164" spans="1:12" ht="14.5">
      <c r="A164" s="20" t="s">
        <v>3660</v>
      </c>
      <c r="B164" s="20">
        <v>15</v>
      </c>
      <c r="C164" s="20">
        <v>50</v>
      </c>
      <c r="D164" s="20">
        <v>25</v>
      </c>
      <c r="E164" s="24"/>
      <c r="F164" s="20" t="s">
        <v>3661</v>
      </c>
      <c r="G164" s="24" t="str">
        <f ca="1">IFERROR(__xludf.DUMMYFUNCTION("UPPER(LEFT((GOOGLETRANSLATE(F164,""en"",""pt"")),1))&amp;RIGHT(lower((GOOGLETRANSLATE(F164,""en"",""pt""))),(LEN((GOOGLETRANSLATE(F164,""en"",""pt"")))-1))"),"Portas, janelas e vidros levantamento")</f>
        <v>Portas, janelas e vidros levantamento</v>
      </c>
      <c r="H164" s="24" t="s">
        <v>3662</v>
      </c>
      <c r="I164" s="79"/>
      <c r="J164" s="79"/>
      <c r="K164" s="24"/>
      <c r="L164" s="24"/>
    </row>
    <row r="165" spans="1:12" ht="14.5">
      <c r="A165" s="20" t="s">
        <v>3663</v>
      </c>
      <c r="B165" s="20">
        <v>15</v>
      </c>
      <c r="C165" s="20">
        <v>50</v>
      </c>
      <c r="D165" s="20">
        <v>50</v>
      </c>
      <c r="E165" s="24"/>
      <c r="F165" s="20" t="s">
        <v>3664</v>
      </c>
      <c r="G165" s="24" t="str">
        <f ca="1">IFERROR(__xludf.DUMMYFUNCTION("UPPER(LEFT((GOOGLETRANSLATE(F165,""en"",""pt"")),1))&amp;RIGHT(lower((GOOGLETRANSLATE(F165,""en"",""pt""))),(LEN((GOOGLETRANSLATE(F165,""en"",""pt"")))-1))"),"Alvenaria topografia")</f>
        <v>Alvenaria topografia</v>
      </c>
      <c r="H165" s="24" t="s">
        <v>3665</v>
      </c>
      <c r="I165" s="79"/>
      <c r="J165" s="79"/>
      <c r="K165" s="24"/>
      <c r="L165" s="24"/>
    </row>
    <row r="166" spans="1:12" ht="14.5">
      <c r="A166" s="20" t="s">
        <v>3666</v>
      </c>
      <c r="B166" s="20">
        <v>15</v>
      </c>
      <c r="C166" s="20">
        <v>50</v>
      </c>
      <c r="D166" s="20">
        <v>52</v>
      </c>
      <c r="E166" s="24"/>
      <c r="F166" s="20" t="s">
        <v>3667</v>
      </c>
      <c r="G166" s="24" t="str">
        <f ca="1">IFERROR(__xludf.DUMMYFUNCTION("UPPER(LEFT((GOOGLETRANSLATE(F166,""en"",""pt"")),1))&amp;RIGHT(lower((GOOGLETRANSLATE(F166,""en"",""pt""))),(LEN((GOOGLETRANSLATE(F166,""en"",""pt"")))-1))"),"Metalurgia levantamento")</f>
        <v>Metalurgia levantamento</v>
      </c>
      <c r="H166" s="24" t="s">
        <v>3668</v>
      </c>
      <c r="I166" s="79"/>
      <c r="J166" s="79"/>
      <c r="K166" s="24"/>
      <c r="L166" s="24"/>
    </row>
    <row r="167" spans="1:12" ht="14.5">
      <c r="A167" s="20" t="s">
        <v>3669</v>
      </c>
      <c r="B167" s="20">
        <v>15</v>
      </c>
      <c r="C167" s="20">
        <v>50</v>
      </c>
      <c r="D167" s="20">
        <v>73</v>
      </c>
      <c r="E167" s="24"/>
      <c r="F167" s="20" t="s">
        <v>3670</v>
      </c>
      <c r="G167" s="24" t="str">
        <f ca="1">IFERROR(__xludf.DUMMYFUNCTION("UPPER(LEFT((GOOGLETRANSLATE(F167,""en"",""pt"")),1))&amp;RIGHT(lower((GOOGLETRANSLATE(F167,""en"",""pt""))),(LEN((GOOGLETRANSLATE(F167,""en"",""pt"")))-1))"),"Levantamento telhado")</f>
        <v>Levantamento telhado</v>
      </c>
      <c r="H167" s="24" t="s">
        <v>3671</v>
      </c>
      <c r="I167" s="79"/>
      <c r="J167" s="79"/>
      <c r="K167" s="24"/>
      <c r="L167" s="24"/>
    </row>
    <row r="168" spans="1:12" ht="14.5">
      <c r="A168" s="20" t="s">
        <v>3672</v>
      </c>
      <c r="B168" s="20">
        <v>15</v>
      </c>
      <c r="C168" s="20">
        <v>50</v>
      </c>
      <c r="D168" s="20">
        <v>85</v>
      </c>
      <c r="E168" s="24"/>
      <c r="F168" s="20" t="s">
        <v>3673</v>
      </c>
      <c r="G168" s="24" t="str">
        <f ca="1">IFERROR(__xludf.DUMMYFUNCTION("UPPER(LEFT((GOOGLETRANSLATE(F168,""en"",""pt"")),1))&amp;RIGHT(lower((GOOGLETRANSLATE(F168,""en"",""pt""))),(LEN((GOOGLETRANSLATE(F168,""en"",""pt"")))-1))"),"Inspeção estrutural")</f>
        <v>Inspeção estrutural</v>
      </c>
      <c r="H168" s="82" t="s">
        <v>3674</v>
      </c>
      <c r="I168" s="81"/>
      <c r="J168" s="81"/>
      <c r="K168" s="20" t="s">
        <v>3675</v>
      </c>
      <c r="L168" s="20" t="s">
        <v>3515</v>
      </c>
    </row>
    <row r="169" spans="1:12" ht="14.5">
      <c r="A169" s="20" t="s">
        <v>3676</v>
      </c>
      <c r="B169" s="20">
        <v>15</v>
      </c>
      <c r="C169" s="20">
        <v>50</v>
      </c>
      <c r="D169" s="20">
        <v>90</v>
      </c>
      <c r="E169" s="24"/>
      <c r="F169" s="20" t="s">
        <v>3677</v>
      </c>
      <c r="G169" s="24" t="str">
        <f ca="1">IFERROR(__xludf.DUMMYFUNCTION("UPPER(LEFT((GOOGLETRANSLATE(F169,""en"",""pt"")),1))&amp;RIGHT(lower((GOOGLETRANSLATE(F169,""en"",""pt""))),(LEN((GOOGLETRANSLATE(F169,""en"",""pt"")))-1))"),"Levantamento timber")</f>
        <v>Levantamento timber</v>
      </c>
      <c r="H169" s="82" t="s">
        <v>3678</v>
      </c>
      <c r="I169" s="81"/>
      <c r="J169" s="81"/>
      <c r="K169" s="20" t="s">
        <v>3679</v>
      </c>
      <c r="L169" s="20" t="s">
        <v>3680</v>
      </c>
    </row>
    <row r="170" spans="1:12" ht="14.5">
      <c r="A170" s="20" t="s">
        <v>3681</v>
      </c>
      <c r="B170" s="20">
        <v>15</v>
      </c>
      <c r="C170" s="20">
        <v>55</v>
      </c>
      <c r="D170" s="24"/>
      <c r="E170" s="24"/>
      <c r="F170" s="20" t="s">
        <v>3682</v>
      </c>
      <c r="G170" s="24" t="str">
        <f ca="1">IFERROR(__xludf.DUMMYFUNCTION("UPPER(LEFT((GOOGLETRANSLATE(F170,""en"",""pt"")),1))&amp;RIGHT(lower((GOOGLETRANSLATE(F170,""en"",""pt""))),(LEN((GOOGLETRANSLATE(F170,""en"",""pt"")))-1))"),"Levantamento desempenho")</f>
        <v>Levantamento desempenho</v>
      </c>
      <c r="H170" s="24" t="s">
        <v>3683</v>
      </c>
      <c r="I170" s="79"/>
      <c r="J170" s="79"/>
      <c r="K170" s="24"/>
      <c r="L170" s="24"/>
    </row>
    <row r="171" spans="1:12" ht="14.5">
      <c r="A171" s="20" t="s">
        <v>3684</v>
      </c>
      <c r="B171" s="20">
        <v>15</v>
      </c>
      <c r="C171" s="20">
        <v>55</v>
      </c>
      <c r="D171" s="20">
        <v>2</v>
      </c>
      <c r="E171" s="24"/>
      <c r="F171" s="20" t="s">
        <v>3685</v>
      </c>
      <c r="G171" s="24" t="str">
        <f ca="1">IFERROR(__xludf.DUMMYFUNCTION("UPPER(LEFT((GOOGLETRANSLATE(F171,""en"",""pt"")),1))&amp;RIGHT(lower((GOOGLETRANSLATE(F171,""en"",""pt""))),(LEN((GOOGLETRANSLATE(F171,""en"",""pt"")))-1))"),"Auditoria de acesso")</f>
        <v>Auditoria de acesso</v>
      </c>
      <c r="H171" s="82" t="s">
        <v>3686</v>
      </c>
      <c r="I171" s="81"/>
      <c r="J171" s="81"/>
      <c r="K171" s="20" t="s">
        <v>3687</v>
      </c>
      <c r="L171" s="20" t="s">
        <v>3486</v>
      </c>
    </row>
    <row r="172" spans="1:12" ht="14.5">
      <c r="A172" s="20" t="s">
        <v>3688</v>
      </c>
      <c r="B172" s="20">
        <v>15</v>
      </c>
      <c r="C172" s="20">
        <v>55</v>
      </c>
      <c r="D172" s="20">
        <v>4</v>
      </c>
      <c r="E172" s="24"/>
      <c r="F172" s="20" t="s">
        <v>3689</v>
      </c>
      <c r="G172" s="24" t="str">
        <f ca="1">IFERROR(__xludf.DUMMYFUNCTION("UPPER(LEFT((GOOGLETRANSLATE(F172,""en"",""pt"")),1))&amp;RIGHT(lower((GOOGLETRANSLATE(F172,""en"",""pt""))),(LEN((GOOGLETRANSLATE(F172,""en"",""pt"")))-1))"),"Acústica e transferência de ruído levantamento")</f>
        <v>Acústica e transferência de ruído levantamento</v>
      </c>
      <c r="H172" s="82" t="s">
        <v>3690</v>
      </c>
      <c r="I172" s="81"/>
      <c r="J172" s="81"/>
      <c r="K172" s="20" t="s">
        <v>3691</v>
      </c>
      <c r="L172" s="20" t="s">
        <v>3486</v>
      </c>
    </row>
    <row r="173" spans="1:12" ht="14.5">
      <c r="A173" s="20" t="s">
        <v>3692</v>
      </c>
      <c r="B173" s="20">
        <v>15</v>
      </c>
      <c r="C173" s="20">
        <v>55</v>
      </c>
      <c r="D173" s="20">
        <v>6</v>
      </c>
      <c r="E173" s="24"/>
      <c r="F173" s="20" t="s">
        <v>3693</v>
      </c>
      <c r="G173" s="24" t="str">
        <f ca="1">IFERROR(__xludf.DUMMYFUNCTION("UPPER(LEFT((GOOGLETRANSLATE(F173,""en"",""pt"")),1))&amp;RIGHT(lower((GOOGLETRANSLATE(F173,""en"",""pt""))),(LEN((GOOGLETRANSLATE(F173,""en"",""pt"")))-1))"),"Hermeticidade levantamento")</f>
        <v>Hermeticidade levantamento</v>
      </c>
      <c r="H173" s="24" t="s">
        <v>3694</v>
      </c>
      <c r="I173" s="79"/>
      <c r="J173" s="79"/>
      <c r="K173" s="24"/>
      <c r="L173" s="24"/>
    </row>
    <row r="174" spans="1:12" ht="14.5">
      <c r="A174" s="20" t="s">
        <v>3695</v>
      </c>
      <c r="B174" s="20">
        <v>15</v>
      </c>
      <c r="C174" s="20">
        <v>55</v>
      </c>
      <c r="D174" s="20">
        <v>26</v>
      </c>
      <c r="E174" s="24"/>
      <c r="F174" s="20" t="s">
        <v>3696</v>
      </c>
      <c r="G174" s="24" t="str">
        <f ca="1">IFERROR(__xludf.DUMMYFUNCTION("UPPER(LEFT((GOOGLETRANSLATE(F174,""en"",""pt"")),1))&amp;RIGHT(lower((GOOGLETRANSLATE(F174,""en"",""pt""))),(LEN((GOOGLETRANSLATE(F174,""en"",""pt"")))-1))"),"Levantamento avaliação energética")</f>
        <v>Levantamento avaliação energética</v>
      </c>
      <c r="H174" s="82" t="s">
        <v>3697</v>
      </c>
      <c r="I174" s="81"/>
      <c r="J174" s="81"/>
      <c r="K174" s="20" t="s">
        <v>3698</v>
      </c>
      <c r="L174" s="20" t="s">
        <v>3486</v>
      </c>
    </row>
    <row r="175" spans="1:12" ht="14.5">
      <c r="A175" s="20" t="s">
        <v>3699</v>
      </c>
      <c r="B175" s="20">
        <v>15</v>
      </c>
      <c r="C175" s="20">
        <v>55</v>
      </c>
      <c r="D175" s="20">
        <v>30</v>
      </c>
      <c r="E175" s="24"/>
      <c r="F175" s="20" t="s">
        <v>3700</v>
      </c>
      <c r="G175" s="24" t="str">
        <f ca="1">IFERROR(__xludf.DUMMYFUNCTION("UPPER(LEFT((GOOGLETRANSLATE(F175,""en"",""pt"")),1))&amp;RIGHT(lower((GOOGLETRANSLATE(F175,""en"",""pt""))),(LEN((GOOGLETRANSLATE(F175,""en"",""pt"")))-1))"),"Levantamento de proteção contra incêndio")</f>
        <v>Levantamento de proteção contra incêndio</v>
      </c>
      <c r="H175" s="24" t="s">
        <v>3701</v>
      </c>
      <c r="I175" s="79"/>
      <c r="J175" s="79"/>
      <c r="K175" s="24"/>
      <c r="L175" s="24"/>
    </row>
    <row r="176" spans="1:12" ht="14.5">
      <c r="A176" s="20" t="s">
        <v>3702</v>
      </c>
      <c r="B176" s="20">
        <v>15</v>
      </c>
      <c r="C176" s="20">
        <v>55</v>
      </c>
      <c r="D176" s="20">
        <v>75</v>
      </c>
      <c r="E176" s="24"/>
      <c r="F176" s="20" t="s">
        <v>3703</v>
      </c>
      <c r="G176" s="24" t="str">
        <f ca="1">IFERROR(__xludf.DUMMYFUNCTION("UPPER(LEFT((GOOGLETRANSLATE(F176,""en"",""pt"")),1))&amp;RIGHT(lower((GOOGLETRANSLATE(F176,""en"",""pt""))),(LEN((GOOGLETRANSLATE(F176,""en"",""pt"")))-1))"),"A auditoria de segurança")</f>
        <v>A auditoria de segurança</v>
      </c>
      <c r="H176" s="82" t="s">
        <v>3704</v>
      </c>
      <c r="I176" s="81"/>
      <c r="J176" s="81"/>
      <c r="K176" s="20" t="s">
        <v>3705</v>
      </c>
      <c r="L176" s="20" t="s">
        <v>3486</v>
      </c>
    </row>
    <row r="177" spans="1:12" ht="14.5">
      <c r="A177" s="20" t="s">
        <v>3706</v>
      </c>
      <c r="B177" s="20">
        <v>15</v>
      </c>
      <c r="C177" s="20">
        <v>60</v>
      </c>
      <c r="D177" s="24"/>
      <c r="E177" s="24"/>
      <c r="F177" s="20" t="s">
        <v>3707</v>
      </c>
      <c r="G177" s="24" t="str">
        <f ca="1">IFERROR(__xludf.DUMMYFUNCTION("UPPER(LEFT((GOOGLETRANSLATE(F177,""en"",""pt"")),1))&amp;RIGHT(lower((GOOGLETRANSLATE(F177,""en"",""pt""))),(LEN((GOOGLETRANSLATE(F177,""en"",""pt"")))-1))"),"Rail levantamento pista")</f>
        <v>Rail levantamento pista</v>
      </c>
      <c r="H177" s="24" t="s">
        <v>3708</v>
      </c>
      <c r="I177" s="79"/>
      <c r="J177" s="79"/>
      <c r="K177" s="24"/>
      <c r="L177" s="24"/>
    </row>
    <row r="178" spans="1:12" ht="14.5">
      <c r="A178" s="20" t="s">
        <v>3709</v>
      </c>
      <c r="B178" s="20">
        <v>15</v>
      </c>
      <c r="C178" s="20">
        <v>70</v>
      </c>
      <c r="D178" s="24"/>
      <c r="E178" s="24"/>
      <c r="F178" s="20" t="s">
        <v>3710</v>
      </c>
      <c r="G178" s="24" t="str">
        <f ca="1">IFERROR(__xludf.DUMMYFUNCTION("UPPER(LEFT((GOOGLETRANSLATE(F178,""en"",""pt"")),1))&amp;RIGHT(lower((GOOGLETRANSLATE(F178,""en"",""pt""))),(LEN((GOOGLETRANSLATE(F178,""en"",""pt"")))-1))"),"Estrada e ponte de levantamento")</f>
        <v>Estrada e ponte de levantamento</v>
      </c>
      <c r="H178" s="24" t="s">
        <v>3711</v>
      </c>
      <c r="I178" s="79"/>
      <c r="J178" s="79"/>
      <c r="K178" s="24"/>
      <c r="L178" s="24"/>
    </row>
    <row r="179" spans="1:12" ht="14.5" hidden="1">
      <c r="A179" s="20" t="s">
        <v>3712</v>
      </c>
      <c r="B179" s="20">
        <v>15</v>
      </c>
      <c r="C179" s="20">
        <v>70</v>
      </c>
      <c r="D179" s="20">
        <v>70</v>
      </c>
      <c r="E179" s="24"/>
      <c r="F179" s="20" t="s">
        <v>3713</v>
      </c>
      <c r="G179" s="24" t="str">
        <f ca="1">IFERROR(__xludf.DUMMYFUNCTION("UPPER(LEFT((GOOGLETRANSLATE(F179,""en"",""pt"")),1))&amp;RIGHT(lower((GOOGLETRANSLATE(F179,""en"",""pt""))),(LEN((GOOGLETRANSLATE(F179,""en"",""pt"")))-1))"),"Auditoria de segurança rodoviária")</f>
        <v>Auditoria de segurança rodoviária</v>
      </c>
      <c r="H179" s="24" t="s">
        <v>3714</v>
      </c>
      <c r="I179" s="81" t="s">
        <v>2004</v>
      </c>
      <c r="J179" s="79"/>
      <c r="K179" s="24"/>
      <c r="L179" s="24"/>
    </row>
    <row r="180" spans="1:12" ht="14.5">
      <c r="A180" s="20" t="s">
        <v>3715</v>
      </c>
      <c r="B180" s="20">
        <v>15</v>
      </c>
      <c r="C180" s="20">
        <v>70</v>
      </c>
      <c r="D180" s="20">
        <v>90</v>
      </c>
      <c r="E180" s="24"/>
      <c r="F180" s="20" t="s">
        <v>3716</v>
      </c>
      <c r="G180" s="24" t="str">
        <f ca="1">IFERROR(__xludf.DUMMYFUNCTION("UPPER(LEFT((GOOGLETRANSLATE(F180,""en"",""pt"")),1))&amp;RIGHT(lower((GOOGLETRANSLATE(F180,""en"",""pt""))),(LEN((GOOGLETRANSLATE(F180,""en"",""pt"")))-1))"),"Levantamento de tráfego")</f>
        <v>Levantamento de tráfego</v>
      </c>
      <c r="H180" s="24" t="s">
        <v>3717</v>
      </c>
      <c r="I180" s="79"/>
      <c r="J180" s="79"/>
      <c r="K180" s="24"/>
      <c r="L180" s="24"/>
    </row>
    <row r="181" spans="1:12" ht="14.5">
      <c r="A181" s="20" t="s">
        <v>3718</v>
      </c>
      <c r="B181" s="20">
        <v>15</v>
      </c>
      <c r="C181" s="20">
        <v>75</v>
      </c>
      <c r="D181" s="24"/>
      <c r="E181" s="24"/>
      <c r="F181" s="20" t="s">
        <v>3719</v>
      </c>
      <c r="G181" s="24" t="str">
        <f ca="1">IFERROR(__xludf.DUMMYFUNCTION("UPPER(LEFT((GOOGLETRANSLATE(F181,""en"",""pt"")),1))&amp;RIGHT(lower((GOOGLETRANSLATE(F181,""en"",""pt""))),(LEN((GOOGLETRANSLATE(F181,""en"",""pt"")))-1))"),"Chão investigar")</f>
        <v>Chão investigar</v>
      </c>
      <c r="H181" s="24" t="s">
        <v>3720</v>
      </c>
      <c r="I181" s="79"/>
      <c r="J181" s="79"/>
      <c r="K181" s="24"/>
      <c r="L181" s="24"/>
    </row>
    <row r="182" spans="1:12" ht="14.5">
      <c r="A182" s="20" t="s">
        <v>3721</v>
      </c>
      <c r="B182" s="20">
        <v>15</v>
      </c>
      <c r="C182" s="20">
        <v>75</v>
      </c>
      <c r="D182" s="20">
        <v>20</v>
      </c>
      <c r="E182" s="24"/>
      <c r="F182" s="20" t="s">
        <v>3722</v>
      </c>
      <c r="G182" s="24" t="str">
        <f ca="1">IFERROR(__xludf.DUMMYFUNCTION("UPPER(LEFT((GOOGLETRANSLATE(F182,""en"",""pt"")),1))&amp;RIGHT(lower((GOOGLETRANSLATE(F182,""en"",""pt""))),(LEN((GOOGLETRANSLATE(F182,""en"",""pt"")))-1))"),"Levantamento geoquímico")</f>
        <v>Levantamento geoquímico</v>
      </c>
      <c r="H182" s="24" t="s">
        <v>3723</v>
      </c>
      <c r="I182" s="79"/>
      <c r="J182" s="79"/>
      <c r="K182" s="24"/>
      <c r="L182" s="24"/>
    </row>
    <row r="183" spans="1:12" ht="14.5">
      <c r="A183" s="20" t="s">
        <v>3724</v>
      </c>
      <c r="B183" s="20">
        <v>15</v>
      </c>
      <c r="C183" s="20">
        <v>75</v>
      </c>
      <c r="D183" s="20">
        <v>25</v>
      </c>
      <c r="E183" s="24"/>
      <c r="F183" s="20" t="s">
        <v>3725</v>
      </c>
      <c r="G183" s="24" t="str">
        <f ca="1">IFERROR(__xludf.DUMMYFUNCTION("UPPER(LEFT((GOOGLETRANSLATE(F183,""en"",""pt"")),1))&amp;RIGHT(lower((GOOGLETRANSLATE(F183,""en"",""pt""))),(LEN((GOOGLETRANSLATE(F183,""en"",""pt"")))-1))"),"Exploratória geoambiental investigar")</f>
        <v>Exploratória geoambiental investigar</v>
      </c>
      <c r="H183" s="24" t="s">
        <v>3726</v>
      </c>
      <c r="I183" s="79"/>
      <c r="J183" s="79"/>
      <c r="K183" s="24"/>
      <c r="L183" s="24"/>
    </row>
    <row r="184" spans="1:12" ht="14.5">
      <c r="A184" s="20" t="s">
        <v>3727</v>
      </c>
      <c r="B184" s="20">
        <v>15</v>
      </c>
      <c r="C184" s="20">
        <v>75</v>
      </c>
      <c r="D184" s="20">
        <v>30</v>
      </c>
      <c r="E184" s="24"/>
      <c r="F184" s="20" t="s">
        <v>3728</v>
      </c>
      <c r="G184" s="24" t="str">
        <f ca="1">IFERROR(__xludf.DUMMYFUNCTION("UPPER(LEFT((GOOGLETRANSLATE(F184,""en"",""pt"")),1))&amp;RIGHT(lower((GOOGLETRANSLATE(F184,""en"",""pt""))),(LEN((GOOGLETRANSLATE(F184,""en"",""pt"")))-1))"),"Chão geoambiental investigar")</f>
        <v>Chão geoambiental investigar</v>
      </c>
      <c r="H184" s="24" t="s">
        <v>3729</v>
      </c>
      <c r="I184" s="79"/>
      <c r="J184" s="79"/>
      <c r="K184" s="24"/>
      <c r="L184" s="24"/>
    </row>
    <row r="185" spans="1:12" ht="14.5">
      <c r="A185" s="20" t="s">
        <v>3730</v>
      </c>
      <c r="B185" s="20">
        <v>15</v>
      </c>
      <c r="C185" s="20">
        <v>75</v>
      </c>
      <c r="D185" s="20">
        <v>35</v>
      </c>
      <c r="E185" s="24"/>
      <c r="F185" s="20" t="s">
        <v>3731</v>
      </c>
      <c r="G185" s="24" t="str">
        <f ca="1">IFERROR(__xludf.DUMMYFUNCTION("UPPER(LEFT((GOOGLETRANSLATE(F185,""en"",""pt"")),1))&amp;RIGHT(lower((GOOGLETRANSLATE(F185,""en"",""pt""))),(LEN((GOOGLETRANSLATE(F185,""en"",""pt"")))-1))"),"Limites geológicos levantamento")</f>
        <v>Limites geológicos levantamento</v>
      </c>
      <c r="H185" s="24" t="s">
        <v>3732</v>
      </c>
      <c r="I185" s="79"/>
      <c r="J185" s="79"/>
      <c r="K185" s="24"/>
      <c r="L185" s="24"/>
    </row>
    <row r="186" spans="1:12" ht="14.5">
      <c r="A186" s="20" t="s">
        <v>3733</v>
      </c>
      <c r="B186" s="20">
        <v>15</v>
      </c>
      <c r="C186" s="20">
        <v>75</v>
      </c>
      <c r="D186" s="20">
        <v>40</v>
      </c>
      <c r="E186" s="24"/>
      <c r="F186" s="20" t="s">
        <v>3734</v>
      </c>
      <c r="G186" s="24" t="str">
        <f ca="1">IFERROR(__xludf.DUMMYFUNCTION("UPPER(LEFT((GOOGLETRANSLATE(F186,""en"",""pt"")),1))&amp;RIGHT(lower((GOOGLETRANSLATE(F186,""en"",""pt""))),(LEN((GOOGLETRANSLATE(F186,""en"",""pt"")))-1))"),"Falhas geológicas levantamento")</f>
        <v>Falhas geológicas levantamento</v>
      </c>
      <c r="H186" s="24" t="s">
        <v>3735</v>
      </c>
      <c r="I186" s="79"/>
      <c r="J186" s="79"/>
      <c r="K186" s="24"/>
      <c r="L186" s="24"/>
    </row>
    <row r="187" spans="1:12" ht="14.5">
      <c r="A187" s="20" t="s">
        <v>3736</v>
      </c>
      <c r="B187" s="20">
        <v>15</v>
      </c>
      <c r="C187" s="20">
        <v>75</v>
      </c>
      <c r="D187" s="20">
        <v>45</v>
      </c>
      <c r="E187" s="24"/>
      <c r="F187" s="20" t="s">
        <v>3737</v>
      </c>
      <c r="G187" s="24" t="str">
        <f ca="1">IFERROR(__xludf.DUMMYFUNCTION("UPPER(LEFT((GOOGLETRANSLATE(F187,""en"",""pt"")),1))&amp;RIGHT(lower((GOOGLETRANSLATE(F187,""en"",""pt""))),(LEN((GOOGLETRANSLATE(F187,""en"",""pt"")))-1))"),"Geológica")</f>
        <v>Geológica</v>
      </c>
      <c r="H187" s="24" t="s">
        <v>3738</v>
      </c>
      <c r="I187" s="79"/>
      <c r="J187" s="79"/>
      <c r="K187" s="24"/>
      <c r="L187" s="24"/>
    </row>
    <row r="188" spans="1:12" ht="14.5">
      <c r="A188" s="20" t="s">
        <v>3739</v>
      </c>
      <c r="B188" s="20">
        <v>15</v>
      </c>
      <c r="C188" s="20">
        <v>75</v>
      </c>
      <c r="D188" s="20">
        <v>50</v>
      </c>
      <c r="E188" s="24"/>
      <c r="F188" s="20" t="s">
        <v>3740</v>
      </c>
      <c r="G188" s="24" t="str">
        <f ca="1">IFERROR(__xludf.DUMMYFUNCTION("UPPER(LEFT((GOOGLETRANSLATE(F188,""en"",""pt"")),1))&amp;RIGHT(lower((GOOGLETRANSLATE(F188,""en"",""pt""))),(LEN((GOOGLETRANSLATE(F188,""en"",""pt"")))-1))"),"Chão geotécnica investigar")</f>
        <v>Chão geotécnica investigar</v>
      </c>
      <c r="H188" s="82" t="s">
        <v>3741</v>
      </c>
      <c r="I188" s="81"/>
      <c r="J188" s="81"/>
      <c r="K188" s="20" t="s">
        <v>3742</v>
      </c>
      <c r="L188" s="20" t="s">
        <v>3743</v>
      </c>
    </row>
    <row r="189" spans="1:12" ht="14.5">
      <c r="A189" s="20" t="s">
        <v>3744</v>
      </c>
      <c r="B189" s="20">
        <v>15</v>
      </c>
      <c r="C189" s="20">
        <v>75</v>
      </c>
      <c r="D189" s="20">
        <v>55</v>
      </c>
      <c r="E189" s="24"/>
      <c r="F189" s="20" t="s">
        <v>3745</v>
      </c>
      <c r="G189" s="24" t="str">
        <f ca="1">IFERROR(__xludf.DUMMYFUNCTION("UPPER(LEFT((GOOGLETRANSLATE(F189,""en"",""pt"")),1))&amp;RIGHT(lower((GOOGLETRANSLATE(F189,""en"",""pt""))),(LEN((GOOGLETRANSLATE(F189,""en"",""pt"")))-1))"),"Subestrutura geotécnica investigar")</f>
        <v>Subestrutura geotécnica investigar</v>
      </c>
      <c r="H189" s="24" t="s">
        <v>3746</v>
      </c>
      <c r="I189" s="79"/>
      <c r="J189" s="79"/>
      <c r="K189" s="24"/>
      <c r="L189" s="24"/>
    </row>
    <row r="190" spans="1:12" ht="14.5">
      <c r="A190" s="20" t="s">
        <v>3747</v>
      </c>
      <c r="B190" s="20">
        <v>15</v>
      </c>
      <c r="C190" s="20">
        <v>75</v>
      </c>
      <c r="D190" s="20">
        <v>60</v>
      </c>
      <c r="E190" s="24"/>
      <c r="F190" s="20" t="s">
        <v>3748</v>
      </c>
      <c r="G190" s="24" t="str">
        <f ca="1">IFERROR(__xludf.DUMMYFUNCTION("UPPER(LEFT((GOOGLETRANSLATE(F190,""en"",""pt"")),1))&amp;RIGHT(lower((GOOGLETRANSLATE(F190,""en"",""pt""))),(LEN((GOOGLETRANSLATE(F190,""en"",""pt"")))-1))"),"Níveis de solo levantamento")</f>
        <v>Níveis de solo levantamento</v>
      </c>
      <c r="H190" s="24" t="s">
        <v>3749</v>
      </c>
      <c r="I190" s="79"/>
      <c r="J190" s="79"/>
      <c r="K190" s="24"/>
      <c r="L190" s="24"/>
    </row>
    <row r="191" spans="1:12" ht="14.5">
      <c r="A191" s="20" t="s">
        <v>3750</v>
      </c>
      <c r="B191" s="20">
        <v>15</v>
      </c>
      <c r="C191" s="20">
        <v>75</v>
      </c>
      <c r="D191" s="20">
        <v>65</v>
      </c>
      <c r="E191" s="24"/>
      <c r="F191" s="20" t="s">
        <v>3751</v>
      </c>
      <c r="G191" s="24" t="str">
        <f ca="1">IFERROR(__xludf.DUMMYFUNCTION("UPPER(LEFT((GOOGLETRANSLATE(F191,""en"",""pt"")),1))&amp;RIGHT(lower((GOOGLETRANSLATE(F191,""en"",""pt""))),(LEN((GOOGLETRANSLATE(F191,""en"",""pt"")))-1))"),"Solo freático levantamento")</f>
        <v>Solo freático levantamento</v>
      </c>
      <c r="H191" s="24" t="s">
        <v>3752</v>
      </c>
      <c r="I191" s="79"/>
      <c r="J191" s="79"/>
      <c r="K191" s="24"/>
      <c r="L191" s="24"/>
    </row>
    <row r="192" spans="1:12" ht="14.5">
      <c r="A192" s="20" t="s">
        <v>3753</v>
      </c>
      <c r="B192" s="20">
        <v>15</v>
      </c>
      <c r="C192" s="20">
        <v>75</v>
      </c>
      <c r="D192" s="20">
        <v>70</v>
      </c>
      <c r="E192" s="24"/>
      <c r="F192" s="20" t="s">
        <v>3754</v>
      </c>
      <c r="G192" s="24" t="str">
        <f ca="1">IFERROR(__xludf.DUMMYFUNCTION("UPPER(LEFT((GOOGLETRANSLATE(F192,""en"",""pt"")),1))&amp;RIGHT(lower((GOOGLETRANSLATE(F192,""en"",""pt""))),(LEN((GOOGLETRANSLATE(F192,""en"",""pt"")))-1))"),"Local preliminar investigar")</f>
        <v>Local preliminar investigar</v>
      </c>
      <c r="H192" s="82" t="s">
        <v>3755</v>
      </c>
      <c r="I192" s="81"/>
      <c r="J192" s="81"/>
      <c r="K192" s="20" t="s">
        <v>3756</v>
      </c>
      <c r="L192" s="20" t="s">
        <v>3743</v>
      </c>
    </row>
    <row r="193" spans="1:12" ht="14.5">
      <c r="A193" s="20" t="s">
        <v>3757</v>
      </c>
      <c r="B193" s="20">
        <v>15</v>
      </c>
      <c r="C193" s="20">
        <v>75</v>
      </c>
      <c r="D193" s="20">
        <v>80</v>
      </c>
      <c r="E193" s="24"/>
      <c r="F193" s="20" t="s">
        <v>3758</v>
      </c>
      <c r="G193" s="24" t="str">
        <f ca="1">IFERROR(__xludf.DUMMYFUNCTION("UPPER(LEFT((GOOGLETRANSLATE(F193,""en"",""pt"")),1))&amp;RIGHT(lower((GOOGLETRANSLATE(F193,""en"",""pt""))),(LEN((GOOGLETRANSLATE(F193,""en"",""pt"")))-1))"),"Levantamento do solo")</f>
        <v>Levantamento do solo</v>
      </c>
      <c r="H193" s="24" t="s">
        <v>3759</v>
      </c>
      <c r="I193" s="79"/>
      <c r="J193" s="79"/>
      <c r="K193" s="24"/>
      <c r="L193" s="24"/>
    </row>
    <row r="194" spans="1:12" ht="14.5">
      <c r="A194" s="20" t="s">
        <v>3760</v>
      </c>
      <c r="B194" s="20">
        <v>15</v>
      </c>
      <c r="C194" s="20">
        <v>80</v>
      </c>
      <c r="D194" s="24"/>
      <c r="E194" s="24"/>
      <c r="F194" s="20" t="s">
        <v>3761</v>
      </c>
      <c r="G194" s="24" t="str">
        <f ca="1">IFERROR(__xludf.DUMMYFUNCTION("UPPER(LEFT((GOOGLETRANSLATE(F194,""en"",""pt"")),1))&amp;RIGHT(lower((GOOGLETRANSLATE(F194,""en"",""pt""))),(LEN((GOOGLETRANSLATE(F194,""en"",""pt"")))-1))"),"Levantamento do site")</f>
        <v>Levantamento do site</v>
      </c>
      <c r="H194" s="24" t="s">
        <v>3762</v>
      </c>
      <c r="I194" s="79"/>
      <c r="J194" s="79"/>
      <c r="K194" s="24"/>
      <c r="L194" s="24"/>
    </row>
    <row r="195" spans="1:12" ht="14.5">
      <c r="A195" s="20" t="s">
        <v>3763</v>
      </c>
      <c r="B195" s="20">
        <v>15</v>
      </c>
      <c r="C195" s="20">
        <v>80</v>
      </c>
      <c r="D195" s="20">
        <v>65</v>
      </c>
      <c r="E195" s="24"/>
      <c r="F195" s="20" t="s">
        <v>3764</v>
      </c>
      <c r="G195" s="24" t="str">
        <f ca="1">IFERROR(__xludf.DUMMYFUNCTION("UPPER(LEFT((GOOGLETRANSLATE(F195,""en"",""pt"")),1))&amp;RIGHT(lower((GOOGLETRANSLATE(F195,""en"",""pt""))),(LEN((GOOGLETRANSLATE(F195,""en"",""pt"")))-1))"),"Preliminar levantamento local")</f>
        <v>Preliminar levantamento local</v>
      </c>
      <c r="H195" s="82" t="s">
        <v>3765</v>
      </c>
      <c r="I195" s="81"/>
      <c r="J195" s="81"/>
      <c r="K195" s="20" t="s">
        <v>3766</v>
      </c>
      <c r="L195" s="20" t="s">
        <v>3638</v>
      </c>
    </row>
    <row r="196" spans="1:12" ht="14.5">
      <c r="A196" s="20" t="s">
        <v>3767</v>
      </c>
      <c r="B196" s="20">
        <v>15</v>
      </c>
      <c r="C196" s="20">
        <v>80</v>
      </c>
      <c r="D196" s="20">
        <v>92</v>
      </c>
      <c r="E196" s="24"/>
      <c r="F196" s="20" t="s">
        <v>3768</v>
      </c>
      <c r="G196" s="24" t="str">
        <f ca="1">IFERROR(__xludf.DUMMYFUNCTION("UPPER(LEFT((GOOGLETRANSLATE(F196,""en"",""pt"")),1))&amp;RIGHT(lower((GOOGLETRANSLATE(F196,""en"",""pt""))),(LEN((GOOGLETRANSLATE(F196,""en"",""pt"")))-1))"),"Levantamento utilities")</f>
        <v>Levantamento utilities</v>
      </c>
      <c r="H196" s="24" t="s">
        <v>3769</v>
      </c>
      <c r="I196" s="79"/>
      <c r="J196" s="79"/>
      <c r="K196" s="24"/>
      <c r="L196" s="24"/>
    </row>
    <row r="197" spans="1:12" ht="14.5">
      <c r="A197" s="20" t="s">
        <v>3770</v>
      </c>
      <c r="B197" s="20">
        <v>15</v>
      </c>
      <c r="C197" s="20">
        <v>90</v>
      </c>
      <c r="D197" s="24"/>
      <c r="E197" s="24"/>
      <c r="F197" s="20" t="s">
        <v>3771</v>
      </c>
      <c r="G197" s="24" t="str">
        <f ca="1">IFERROR(__xludf.DUMMYFUNCTION("UPPER(LEFT((GOOGLETRANSLATE(F197,""en"",""pt"")),1))&amp;RIGHT(lower((GOOGLETRANSLATE(F197,""en"",""pt""))),(LEN((GOOGLETRANSLATE(F197,""en"",""pt"")))-1))"),"Levantamento de túnel")</f>
        <v>Levantamento de túnel</v>
      </c>
      <c r="H197" s="24" t="s">
        <v>3772</v>
      </c>
      <c r="I197" s="79"/>
      <c r="J197" s="79"/>
      <c r="K197" s="24"/>
      <c r="L197" s="24"/>
    </row>
    <row r="198" spans="1:12" ht="14.5">
      <c r="A198" s="20" t="s">
        <v>3773</v>
      </c>
      <c r="B198" s="20">
        <v>20</v>
      </c>
      <c r="C198" s="24"/>
      <c r="D198" s="24"/>
      <c r="E198" s="24"/>
      <c r="F198" s="20" t="s">
        <v>3774</v>
      </c>
      <c r="G198" s="24" t="str">
        <f ca="1">IFERROR(__xludf.DUMMYFUNCTION("UPPER(LEFT((GOOGLETRANSLATE(F198,""en"",""pt"")),1))&amp;RIGHT(lower((GOOGLETRANSLATE(F198,""en"",""pt""))),(LEN((GOOGLETRANSLATE(F198,""en"",""pt"")))-1))"),"Actividades de serviços administrativos, comerciais e de proteção")</f>
        <v>Actividades de serviços administrativos, comerciais e de proteção</v>
      </c>
      <c r="H198" s="24" t="s">
        <v>3775</v>
      </c>
      <c r="I198" s="79"/>
      <c r="J198" s="79"/>
      <c r="K198" s="24"/>
      <c r="L198" s="24"/>
    </row>
    <row r="199" spans="1:12" ht="14.5">
      <c r="A199" s="20" t="s">
        <v>3776</v>
      </c>
      <c r="B199" s="20">
        <v>20</v>
      </c>
      <c r="C199" s="20">
        <v>10</v>
      </c>
      <c r="D199" s="24"/>
      <c r="E199" s="24"/>
      <c r="F199" s="20" t="s">
        <v>3777</v>
      </c>
      <c r="G199" s="24" t="str">
        <f ca="1">IFERROR(__xludf.DUMMYFUNCTION("UPPER(LEFT((GOOGLETRANSLATE(F199,""en"",""pt"")),1))&amp;RIGHT(lower((GOOGLETRANSLATE(F199,""en"",""pt""))),(LEN((GOOGLETRANSLATE(F199,""en"",""pt"")))-1))"),"Actividades legislativas")</f>
        <v>Actividades legislativas</v>
      </c>
      <c r="H199" s="24" t="s">
        <v>3778</v>
      </c>
      <c r="I199" s="79"/>
      <c r="J199" s="79"/>
      <c r="K199" s="24"/>
      <c r="L199" s="24"/>
    </row>
    <row r="200" spans="1:12" ht="14.5">
      <c r="A200" s="20" t="s">
        <v>3779</v>
      </c>
      <c r="B200" s="20">
        <v>20</v>
      </c>
      <c r="C200" s="20">
        <v>10</v>
      </c>
      <c r="D200" s="20">
        <v>47</v>
      </c>
      <c r="E200" s="24"/>
      <c r="F200" s="20" t="s">
        <v>3780</v>
      </c>
      <c r="G200" s="24" t="str">
        <f ca="1">IFERROR(__xludf.DUMMYFUNCTION("UPPER(LEFT((GOOGLETRANSLATE(F200,""en"",""pt"")),1))&amp;RIGHT(lower((GOOGLETRANSLATE(F200,""en"",""pt""))),(LEN((GOOGLETRANSLATE(F200,""en"",""pt"")))-1))"),"Legislar atividades")</f>
        <v>Legislar atividades</v>
      </c>
      <c r="H200" s="24" t="s">
        <v>3781</v>
      </c>
      <c r="I200" s="79"/>
      <c r="J200" s="79"/>
      <c r="K200" s="24"/>
      <c r="L200" s="24"/>
    </row>
    <row r="201" spans="1:12" ht="14.5">
      <c r="A201" s="20" t="s">
        <v>3782</v>
      </c>
      <c r="B201" s="20">
        <v>20</v>
      </c>
      <c r="C201" s="20">
        <v>10</v>
      </c>
      <c r="D201" s="20">
        <v>66</v>
      </c>
      <c r="E201" s="24"/>
      <c r="F201" s="20" t="s">
        <v>3783</v>
      </c>
      <c r="G201" s="24" t="str">
        <f ca="1">IFERROR(__xludf.DUMMYFUNCTION("UPPER(LEFT((GOOGLETRANSLATE(F201,""en"",""pt"")),1))&amp;RIGHT(lower((GOOGLETRANSLATE(F201,""en"",""pt""))),(LEN((GOOGLETRANSLATE(F201,""en"",""pt"")))-1))"),"Exibição pública das atividades legislando")</f>
        <v>Exibição pública das atividades legislando</v>
      </c>
      <c r="H201" s="24" t="s">
        <v>3784</v>
      </c>
      <c r="I201" s="79"/>
      <c r="J201" s="79"/>
      <c r="K201" s="24"/>
      <c r="L201" s="24"/>
    </row>
    <row r="202" spans="1:12" ht="14.5">
      <c r="A202" s="20" t="s">
        <v>3785</v>
      </c>
      <c r="B202" s="20">
        <v>20</v>
      </c>
      <c r="C202" s="20">
        <v>15</v>
      </c>
      <c r="D202" s="24"/>
      <c r="E202" s="24"/>
      <c r="F202" s="20" t="s">
        <v>3786</v>
      </c>
      <c r="G202" s="24" t="str">
        <f ca="1">IFERROR(__xludf.DUMMYFUNCTION("UPPER(LEFT((GOOGLETRANSLATE(F202,""en"",""pt"")),1))&amp;RIGHT(lower((GOOGLETRANSLATE(F202,""en"",""pt""))),(LEN((GOOGLETRANSLATE(F202,""en"",""pt"")))-1))"),"Atividades de escritório administrativos")</f>
        <v>Atividades de escritório administrativos</v>
      </c>
      <c r="H202" s="24" t="s">
        <v>3787</v>
      </c>
      <c r="I202" s="79"/>
      <c r="J202" s="79"/>
      <c r="K202" s="24"/>
      <c r="L202" s="24"/>
    </row>
    <row r="203" spans="1:12" ht="14.5">
      <c r="A203" s="20" t="s">
        <v>3788</v>
      </c>
      <c r="B203" s="20">
        <v>20</v>
      </c>
      <c r="C203" s="20">
        <v>15</v>
      </c>
      <c r="D203" s="20">
        <v>15</v>
      </c>
      <c r="E203" s="24"/>
      <c r="F203" s="20" t="s">
        <v>3789</v>
      </c>
      <c r="G203" s="24" t="str">
        <f ca="1">IFERROR(__xludf.DUMMYFUNCTION("UPPER(LEFT((GOOGLETRANSLATE(F203,""en"",""pt"")),1))&amp;RIGHT(lower((GOOGLETRANSLATE(F203,""en"",""pt""))),(LEN((GOOGLETRANSLATE(F203,""en"",""pt"")))-1))"),"Serviço de balcão")</f>
        <v>Serviço de balcão</v>
      </c>
      <c r="H203" s="24" t="s">
        <v>3790</v>
      </c>
      <c r="I203" s="79"/>
      <c r="J203" s="79"/>
      <c r="K203" s="24"/>
      <c r="L203" s="24"/>
    </row>
    <row r="204" spans="1:12" ht="14.5">
      <c r="A204" s="20" t="s">
        <v>3791</v>
      </c>
      <c r="B204" s="20">
        <v>20</v>
      </c>
      <c r="C204" s="20">
        <v>15</v>
      </c>
      <c r="D204" s="20">
        <v>22</v>
      </c>
      <c r="E204" s="24"/>
      <c r="F204" s="20" t="s">
        <v>3792</v>
      </c>
      <c r="G204" s="24" t="str">
        <f ca="1">IFERROR(__xludf.DUMMYFUNCTION("UPPER(LEFT((GOOGLETRANSLATE(F204,""en"",""pt"")),1))&amp;RIGHT(lower((GOOGLETRANSLATE(F204,""en"",""pt""))),(LEN((GOOGLETRANSLATE(F204,""en"",""pt"")))-1))"),"Tarefas de escritório com base em documentos")</f>
        <v>Tarefas de escritório com base em documentos</v>
      </c>
      <c r="H204" s="24" t="s">
        <v>3793</v>
      </c>
      <c r="I204" s="79"/>
      <c r="J204" s="79"/>
      <c r="K204" s="24"/>
      <c r="L204" s="24"/>
    </row>
    <row r="205" spans="1:12" ht="14.5">
      <c r="A205" s="20" t="s">
        <v>3794</v>
      </c>
      <c r="B205" s="20">
        <v>20</v>
      </c>
      <c r="C205" s="20">
        <v>15</v>
      </c>
      <c r="D205" s="20">
        <v>50</v>
      </c>
      <c r="E205" s="24"/>
      <c r="F205" s="20" t="s">
        <v>3795</v>
      </c>
      <c r="G205" s="24" t="str">
        <f ca="1">IFERROR(__xludf.DUMMYFUNCTION("UPPER(LEFT((GOOGLETRANSLATE(F205,""en"",""pt"")),1))&amp;RIGHT(lower((GOOGLETRANSLATE(F205,""en"",""pt""))),(LEN((GOOGLETRANSLATE(F205,""en"",""pt"")))-1))"),"Encontros")</f>
        <v>Encontros</v>
      </c>
      <c r="H205" s="24" t="s">
        <v>3796</v>
      </c>
      <c r="I205" s="79"/>
      <c r="J205" s="79"/>
      <c r="K205" s="24"/>
      <c r="L205" s="24"/>
    </row>
    <row r="206" spans="1:12" ht="14.5">
      <c r="A206" s="20" t="s">
        <v>3797</v>
      </c>
      <c r="B206" s="20">
        <v>20</v>
      </c>
      <c r="C206" s="20">
        <v>15</v>
      </c>
      <c r="D206" s="20">
        <v>59</v>
      </c>
      <c r="E206" s="24"/>
      <c r="F206" s="20" t="s">
        <v>3798</v>
      </c>
      <c r="G206" s="24" t="str">
        <f ca="1">IFERROR(__xludf.DUMMYFUNCTION("UPPER(LEFT((GOOGLETRANSLATE(F206,""en"",""pt"")),1))&amp;RIGHT(lower((GOOGLETRANSLATE(F206,""en"",""pt""))),(LEN((GOOGLETRANSLATE(F206,""en"",""pt"")))-1))"),"Tarefas de manutenção de escritório")</f>
        <v>Tarefas de manutenção de escritório</v>
      </c>
      <c r="H206" s="24" t="s">
        <v>3799</v>
      </c>
      <c r="I206" s="79"/>
      <c r="J206" s="79"/>
      <c r="K206" s="24"/>
      <c r="L206" s="24"/>
    </row>
    <row r="207" spans="1:12" ht="14.5">
      <c r="A207" s="20" t="s">
        <v>3800</v>
      </c>
      <c r="B207" s="20">
        <v>20</v>
      </c>
      <c r="C207" s="20">
        <v>15</v>
      </c>
      <c r="D207" s="20">
        <v>71</v>
      </c>
      <c r="E207" s="24"/>
      <c r="F207" s="20" t="s">
        <v>3801</v>
      </c>
      <c r="G207" s="24" t="str">
        <f ca="1">IFERROR(__xludf.DUMMYFUNCTION("UPPER(LEFT((GOOGLETRANSLATE(F207,""en"",""pt"")),1))&amp;RIGHT(lower((GOOGLETRANSLATE(F207,""en"",""pt""))),(LEN((GOOGLETRANSLATE(F207,""en"",""pt"")))-1))"),"Tarefas de recepção")</f>
        <v>Tarefas de recepção</v>
      </c>
      <c r="H207" s="24" t="s">
        <v>3802</v>
      </c>
      <c r="I207" s="79"/>
      <c r="J207" s="79"/>
      <c r="K207" s="24"/>
      <c r="L207" s="24"/>
    </row>
    <row r="208" spans="1:12" ht="14.5">
      <c r="A208" s="20" t="s">
        <v>3803</v>
      </c>
      <c r="B208" s="20">
        <v>20</v>
      </c>
      <c r="C208" s="20">
        <v>45</v>
      </c>
      <c r="D208" s="24"/>
      <c r="E208" s="24"/>
      <c r="F208" s="20" t="s">
        <v>3804</v>
      </c>
      <c r="G208" s="24" t="str">
        <f ca="1">IFERROR(__xludf.DUMMYFUNCTION("UPPER(LEFT((GOOGLETRANSLATE(F208,""en"",""pt"")),1))&amp;RIGHT(lower((GOOGLETRANSLATE(F208,""en"",""pt""))),(LEN((GOOGLETRANSLATE(F208,""en"",""pt"")))-1))"),"Manutenção de veículos automóveis e actividades de abastecimento")</f>
        <v>Manutenção de veículos automóveis e actividades de abastecimento</v>
      </c>
      <c r="H208" s="24" t="s">
        <v>3805</v>
      </c>
      <c r="I208" s="79"/>
      <c r="J208" s="79"/>
      <c r="K208" s="24"/>
      <c r="L208" s="24"/>
    </row>
    <row r="209" spans="1:12" ht="14.5">
      <c r="A209" s="20" t="s">
        <v>3806</v>
      </c>
      <c r="B209" s="20">
        <v>20</v>
      </c>
      <c r="C209" s="20">
        <v>45</v>
      </c>
      <c r="D209" s="20">
        <v>30</v>
      </c>
      <c r="E209" s="24"/>
      <c r="F209" s="20" t="s">
        <v>3807</v>
      </c>
      <c r="G209" s="24" t="str">
        <f ca="1">IFERROR(__xludf.DUMMYFUNCTION("UPPER(LEFT((GOOGLETRANSLATE(F209,""en"",""pt"")),1))&amp;RIGHT(lower((GOOGLETRANSLATE(F209,""en"",""pt""))),(LEN((GOOGLETRANSLATE(F209,""en"",""pt"")))-1))"),"Ar estação de combustível e distribuição de água")</f>
        <v>Ar estação de combustível e distribuição de água</v>
      </c>
      <c r="H209" s="24" t="s">
        <v>3808</v>
      </c>
      <c r="I209" s="79"/>
      <c r="J209" s="79"/>
      <c r="K209" s="24"/>
      <c r="L209" s="24"/>
    </row>
    <row r="210" spans="1:12" ht="14.5">
      <c r="A210" s="20" t="s">
        <v>3809</v>
      </c>
      <c r="B210" s="20">
        <v>20</v>
      </c>
      <c r="C210" s="20">
        <v>45</v>
      </c>
      <c r="D210" s="20">
        <v>31</v>
      </c>
      <c r="E210" s="24"/>
      <c r="F210" s="20" t="s">
        <v>3810</v>
      </c>
      <c r="G210" s="24" t="str">
        <f ca="1">IFERROR(__xludf.DUMMYFUNCTION("UPPER(LEFT((GOOGLETRANSLATE(F210,""en"",""pt"")),1))&amp;RIGHT(lower((GOOGLETRANSLATE(F210,""en"",""pt""))),(LEN((GOOGLETRANSLATE(F210,""en"",""pt"")))-1))"),"Combustível armazenamento posto de combustível")</f>
        <v>Combustível armazenamento posto de combustível</v>
      </c>
      <c r="H210" s="24" t="s">
        <v>3811</v>
      </c>
      <c r="I210" s="79"/>
      <c r="J210" s="79"/>
      <c r="K210" s="24"/>
      <c r="L210" s="24"/>
    </row>
    <row r="211" spans="1:12" ht="14.5">
      <c r="A211" s="20" t="s">
        <v>3812</v>
      </c>
      <c r="B211" s="20">
        <v>20</v>
      </c>
      <c r="C211" s="20">
        <v>45</v>
      </c>
      <c r="D211" s="20">
        <v>51</v>
      </c>
      <c r="E211" s="24"/>
      <c r="F211" s="20" t="s">
        <v>3813</v>
      </c>
      <c r="G211" s="24" t="str">
        <f ca="1">IFERROR(__xludf.DUMMYFUNCTION("UPPER(LEFT((GOOGLETRANSLATE(F211,""en"",""pt"")),1))&amp;RIGHT(lower((GOOGLETRANSLATE(F211,""en"",""pt""))),(LEN((GOOGLETRANSLATE(F211,""en"",""pt"")))-1))"),"Abastecimento de veículos automóveis")</f>
        <v>Abastecimento de veículos automóveis</v>
      </c>
      <c r="H211" s="24" t="s">
        <v>3814</v>
      </c>
      <c r="I211" s="79"/>
      <c r="J211" s="79"/>
      <c r="K211" s="24"/>
      <c r="L211" s="24"/>
    </row>
    <row r="212" spans="1:12" ht="14.5">
      <c r="A212" s="20" t="s">
        <v>3815</v>
      </c>
      <c r="B212" s="20">
        <v>20</v>
      </c>
      <c r="C212" s="20">
        <v>45</v>
      </c>
      <c r="D212" s="20">
        <v>53</v>
      </c>
      <c r="E212" s="24"/>
      <c r="F212" s="20" t="s">
        <v>3816</v>
      </c>
      <c r="G212" s="24" t="str">
        <f ca="1">IFERROR(__xludf.DUMMYFUNCTION("UPPER(LEFT((GOOGLETRANSLATE(F212,""en"",""pt"")),1))&amp;RIGHT(lower((GOOGLETRANSLATE(F212,""en"",""pt""))),(LEN((GOOGLETRANSLATE(F212,""en"",""pt"")))-1))"),"Veículo automóvel de manutenção")</f>
        <v>Veículo automóvel de manutenção</v>
      </c>
      <c r="H212" s="24" t="s">
        <v>3817</v>
      </c>
      <c r="I212" s="79"/>
      <c r="J212" s="79"/>
      <c r="K212" s="24"/>
      <c r="L212" s="24"/>
    </row>
    <row r="213" spans="1:12" ht="14.5">
      <c r="A213" s="20" t="s">
        <v>3818</v>
      </c>
      <c r="B213" s="20">
        <v>20</v>
      </c>
      <c r="C213" s="20">
        <v>50</v>
      </c>
      <c r="D213" s="24"/>
      <c r="E213" s="24"/>
      <c r="F213" s="20" t="s">
        <v>3819</v>
      </c>
      <c r="G213" s="24" t="str">
        <f ca="1">IFERROR(__xludf.DUMMYFUNCTION("UPPER(LEFT((GOOGLETRANSLATE(F213,""en"",""pt"")),1))&amp;RIGHT(lower((GOOGLETRANSLATE(F213,""en"",""pt""))),(LEN((GOOGLETRANSLATE(F213,""en"",""pt"")))-1))"),"Atividades comerciais")</f>
        <v>Atividades comerciais</v>
      </c>
      <c r="H213" s="24" t="s">
        <v>3820</v>
      </c>
      <c r="I213" s="79"/>
      <c r="J213" s="79"/>
      <c r="K213" s="24"/>
      <c r="L213" s="24"/>
    </row>
    <row r="214" spans="1:12" ht="14.5">
      <c r="A214" s="20" t="s">
        <v>3821</v>
      </c>
      <c r="B214" s="20">
        <v>20</v>
      </c>
      <c r="C214" s="20">
        <v>50</v>
      </c>
      <c r="D214" s="20">
        <v>3</v>
      </c>
      <c r="E214" s="24"/>
      <c r="F214" s="20" t="s">
        <v>3822</v>
      </c>
      <c r="G214" s="24" t="str">
        <f ca="1">IFERROR(__xludf.DUMMYFUNCTION("UPPER(LEFT((GOOGLETRANSLATE(F214,""en"",""pt"")),1))&amp;RIGHT(lower((GOOGLETRANSLATE(F214,""en"",""pt""))),(LEN((GOOGLETRANSLATE(F214,""en"",""pt"")))-1))"),"Produtos ambientais de venda por atacado")</f>
        <v>Produtos ambientais de venda por atacado</v>
      </c>
      <c r="H214" s="24" t="s">
        <v>3823</v>
      </c>
      <c r="I214" s="79"/>
      <c r="J214" s="79"/>
      <c r="K214" s="24"/>
      <c r="L214" s="24"/>
    </row>
    <row r="215" spans="1:12" ht="14.5">
      <c r="A215" s="20" t="s">
        <v>3824</v>
      </c>
      <c r="B215" s="20">
        <v>20</v>
      </c>
      <c r="C215" s="20">
        <v>50</v>
      </c>
      <c r="D215" s="20">
        <v>5</v>
      </c>
      <c r="E215" s="24"/>
      <c r="F215" s="20" t="s">
        <v>3825</v>
      </c>
      <c r="G215" s="24" t="str">
        <f ca="1">IFERROR(__xludf.DUMMYFUNCTION("UPPER(LEFT((GOOGLETRANSLATE(F215,""en"",""pt"")),1))&amp;RIGHT(lower((GOOGLETRANSLATE(F215,""en"",""pt""))),(LEN((GOOGLETRANSLATE(F215,""en"",""pt"")))-1))"),"Leilão")</f>
        <v>Leilão</v>
      </c>
      <c r="H215" s="24" t="s">
        <v>3826</v>
      </c>
      <c r="I215" s="79"/>
      <c r="J215" s="79"/>
      <c r="K215" s="24"/>
      <c r="L215" s="24"/>
    </row>
    <row r="216" spans="1:12" ht="14.5">
      <c r="A216" s="20" t="s">
        <v>3827</v>
      </c>
      <c r="B216" s="20">
        <v>20</v>
      </c>
      <c r="C216" s="20">
        <v>50</v>
      </c>
      <c r="D216" s="20">
        <v>12</v>
      </c>
      <c r="E216" s="24"/>
      <c r="F216" s="20" t="s">
        <v>3828</v>
      </c>
      <c r="G216" s="24" t="str">
        <f ca="1">IFERROR(__xludf.DUMMYFUNCTION("UPPER(LEFT((GOOGLETRANSLATE(F216,""en"",""pt"")),1))&amp;RIGHT(lower((GOOGLETRANSLATE(F216,""en"",""pt""))),(LEN((GOOGLETRANSLATE(F216,""en"",""pt"")))-1))"),"Check-out e pagar")</f>
        <v>Check-out e pagar</v>
      </c>
      <c r="H216" s="24" t="s">
        <v>3829</v>
      </c>
      <c r="I216" s="79"/>
      <c r="J216" s="79"/>
      <c r="K216" s="24"/>
      <c r="L216" s="24"/>
    </row>
    <row r="217" spans="1:12" ht="14.5">
      <c r="A217" s="20" t="s">
        <v>3830</v>
      </c>
      <c r="B217" s="20">
        <v>20</v>
      </c>
      <c r="C217" s="20">
        <v>50</v>
      </c>
      <c r="D217" s="20">
        <v>22</v>
      </c>
      <c r="E217" s="24"/>
      <c r="F217" s="20" t="s">
        <v>3831</v>
      </c>
      <c r="G217" s="24" t="str">
        <f ca="1">IFERROR(__xludf.DUMMYFUNCTION("UPPER(LEFT((GOOGLETRANSLATE(F217,""en"",""pt"")),1))&amp;RIGHT(lower((GOOGLETRANSLATE(F217,""en"",""pt""))),(LEN((GOOGLETRANSLATE(F217,""en"",""pt"")))-1))"),"Loja de departamento de venda a retalho")</f>
        <v>Loja de departamento de venda a retalho</v>
      </c>
      <c r="H217" s="24" t="s">
        <v>3832</v>
      </c>
      <c r="I217" s="79"/>
      <c r="J217" s="79"/>
      <c r="K217" s="24"/>
      <c r="L217" s="24"/>
    </row>
    <row r="218" spans="1:12" ht="14.5">
      <c r="A218" s="20" t="s">
        <v>3833</v>
      </c>
      <c r="B218" s="20">
        <v>20</v>
      </c>
      <c r="C218" s="20">
        <v>50</v>
      </c>
      <c r="D218" s="20">
        <v>29</v>
      </c>
      <c r="E218" s="24"/>
      <c r="F218" s="20" t="s">
        <v>3834</v>
      </c>
      <c r="G218" s="24" t="str">
        <f ca="1">IFERROR(__xludf.DUMMYFUNCTION("UPPER(LEFT((GOOGLETRANSLATE(F218,""en"",""pt"")),1))&amp;RIGHT(lower((GOOGLETRANSLATE(F218,""en"",""pt""))),(LEN((GOOGLETRANSLATE(F218,""en"",""pt"")))-1))"),"Actividade de serviços profissionais financeira e")</f>
        <v>Actividade de serviços profissionais financeira e</v>
      </c>
      <c r="H218" s="24" t="s">
        <v>3835</v>
      </c>
      <c r="I218" s="79"/>
      <c r="J218" s="79"/>
      <c r="K218" s="24"/>
      <c r="L218" s="24"/>
    </row>
    <row r="219" spans="1:12" ht="14.5">
      <c r="A219" s="20" t="s">
        <v>3836</v>
      </c>
      <c r="B219" s="20">
        <v>20</v>
      </c>
      <c r="C219" s="20">
        <v>50</v>
      </c>
      <c r="D219" s="20">
        <v>32</v>
      </c>
      <c r="E219" s="24"/>
      <c r="F219" s="20" t="s">
        <v>3837</v>
      </c>
      <c r="G219" s="24" t="str">
        <f ca="1">IFERROR(__xludf.DUMMYFUNCTION("UPPER(LEFT((GOOGLETRANSLATE(F219,""en"",""pt"")),1))&amp;RIGHT(lower((GOOGLETRANSLATE(F219,""en"",""pt""))),(LEN((GOOGLETRANSLATE(F219,""en"",""pt"")))-1))"),"Comida e bebida de venda a retalho")</f>
        <v>Comida e bebida de venda a retalho</v>
      </c>
      <c r="H219" s="24" t="s">
        <v>3838</v>
      </c>
      <c r="I219" s="79"/>
      <c r="J219" s="79"/>
      <c r="K219" s="24"/>
      <c r="L219" s="24"/>
    </row>
    <row r="220" spans="1:12" ht="14.5">
      <c r="A220" s="20" t="s">
        <v>3839</v>
      </c>
      <c r="B220" s="20">
        <v>20</v>
      </c>
      <c r="C220" s="20">
        <v>50</v>
      </c>
      <c r="D220" s="20">
        <v>33</v>
      </c>
      <c r="E220" s="24"/>
      <c r="F220" s="20" t="s">
        <v>3840</v>
      </c>
      <c r="G220" s="24" t="str">
        <f ca="1">IFERROR(__xludf.DUMMYFUNCTION("UPPER(LEFT((GOOGLETRANSLATE(F220,""en"",""pt"")),1))&amp;RIGHT(lower((GOOGLETRANSLATE(F220,""en"",""pt""))),(LEN((GOOGLETRANSLATE(F220,""en"",""pt"")))-1))"),"De venda ao público em geral")</f>
        <v>De venda ao público em geral</v>
      </c>
      <c r="H220" s="24" t="s">
        <v>3841</v>
      </c>
      <c r="I220" s="79"/>
      <c r="J220" s="79"/>
      <c r="K220" s="24"/>
      <c r="L220" s="24"/>
    </row>
    <row r="221" spans="1:12" ht="14.5">
      <c r="A221" s="20" t="s">
        <v>3842</v>
      </c>
      <c r="B221" s="20">
        <v>20</v>
      </c>
      <c r="C221" s="20">
        <v>50</v>
      </c>
      <c r="D221" s="20">
        <v>36</v>
      </c>
      <c r="E221" s="24"/>
      <c r="F221" s="20" t="s">
        <v>3843</v>
      </c>
      <c r="G221" s="24" t="str">
        <f ca="1">IFERROR(__xludf.DUMMYFUNCTION("UPPER(LEFT((GOOGLETRANSLATE(F221,""en"",""pt"")),1))&amp;RIGHT(lower((GOOGLETRANSLATE(F221,""en"",""pt""))),(LEN((GOOGLETRANSLATE(F221,""en"",""pt"")))-1))"),"Cabelo e atividades de tratamento de beleza")</f>
        <v>Cabelo e atividades de tratamento de beleza</v>
      </c>
      <c r="H221" s="24" t="s">
        <v>3844</v>
      </c>
      <c r="I221" s="79"/>
      <c r="J221" s="79"/>
      <c r="K221" s="24"/>
      <c r="L221" s="24"/>
    </row>
    <row r="222" spans="1:12" ht="14.5">
      <c r="A222" s="20" t="s">
        <v>3845</v>
      </c>
      <c r="B222" s="20">
        <v>20</v>
      </c>
      <c r="C222" s="20">
        <v>50</v>
      </c>
      <c r="D222" s="20">
        <v>45</v>
      </c>
      <c r="E222" s="24"/>
      <c r="F222" s="20" t="s">
        <v>3846</v>
      </c>
      <c r="G222" s="24" t="str">
        <f ca="1">IFERROR(__xludf.DUMMYFUNCTION("UPPER(LEFT((GOOGLETRANSLATE(F222,""en"",""pt"")),1))&amp;RIGHT(lower((GOOGLETRANSLATE(F222,""en"",""pt""))),(LEN((GOOGLETRANSLATE(F222,""en"",""pt"")))-1))"),"De venda a retalho kiosk")</f>
        <v>De venda a retalho kiosk</v>
      </c>
      <c r="H222" s="24" t="s">
        <v>3847</v>
      </c>
      <c r="I222" s="79"/>
      <c r="J222" s="79"/>
      <c r="K222" s="24"/>
      <c r="L222" s="24"/>
    </row>
    <row r="223" spans="1:12" ht="14.5">
      <c r="A223" s="20" t="s">
        <v>3848</v>
      </c>
      <c r="B223" s="20">
        <v>20</v>
      </c>
      <c r="C223" s="20">
        <v>50</v>
      </c>
      <c r="D223" s="20">
        <v>47</v>
      </c>
      <c r="E223" s="24"/>
      <c r="F223" s="20" t="s">
        <v>3849</v>
      </c>
      <c r="G223" s="24" t="str">
        <f ca="1">IFERROR(__xludf.DUMMYFUNCTION("UPPER(LEFT((GOOGLETRANSLATE(F223,""en"",""pt"")),1))&amp;RIGHT(lower((GOOGLETRANSLATE(F223,""en"",""pt""))),(LEN((GOOGLETRANSLATE(F223,""en"",""pt"")))-1))"),"Pecuária de venda por atacado")</f>
        <v>Pecuária de venda por atacado</v>
      </c>
      <c r="H223" s="24" t="s">
        <v>3850</v>
      </c>
      <c r="I223" s="79"/>
      <c r="J223" s="79"/>
      <c r="K223" s="24"/>
      <c r="L223" s="24"/>
    </row>
    <row r="224" spans="1:12" ht="14.5" hidden="1">
      <c r="A224" s="20" t="s">
        <v>3851</v>
      </c>
      <c r="B224" s="20">
        <v>20</v>
      </c>
      <c r="C224" s="20">
        <v>50</v>
      </c>
      <c r="D224" s="20">
        <v>50</v>
      </c>
      <c r="E224" s="24"/>
      <c r="F224" s="20" t="s">
        <v>3852</v>
      </c>
      <c r="G224" s="24" t="str">
        <f ca="1">IFERROR(__xludf.DUMMYFUNCTION("UPPER(LEFT((GOOGLETRANSLATE(F224,""en"",""pt"")),1))&amp;RIGHT(lower((GOOGLETRANSLATE(F224,""en"",""pt""))),(LEN((GOOGLETRANSLATE(F224,""en"",""pt"")))-1))"),"Classificação da ordem de correio e expedição")</f>
        <v>Classificação da ordem de correio e expedição</v>
      </c>
      <c r="H224" s="20" t="s">
        <v>3853</v>
      </c>
      <c r="I224" s="81" t="s">
        <v>2004</v>
      </c>
      <c r="J224" s="79"/>
      <c r="K224" s="24"/>
      <c r="L224" s="24"/>
    </row>
    <row r="225" spans="1:12" ht="14.5" hidden="1">
      <c r="A225" s="20" t="s">
        <v>3854</v>
      </c>
      <c r="B225" s="20">
        <v>20</v>
      </c>
      <c r="C225" s="20">
        <v>50</v>
      </c>
      <c r="D225" s="20">
        <v>51</v>
      </c>
      <c r="E225" s="24"/>
      <c r="F225" s="20" t="s">
        <v>3855</v>
      </c>
      <c r="G225" s="24" t="str">
        <f ca="1">IFERROR(__xludf.DUMMYFUNCTION("UPPER(LEFT((GOOGLETRANSLATE(F225,""en"",""pt"")),1))&amp;RIGHT(lower((GOOGLETRANSLATE(F225,""en"",""pt""))),(LEN((GOOGLETRANSLATE(F225,""en"",""pt"")))-1))"),"De venda a retalho mercado")</f>
        <v>De venda a retalho mercado</v>
      </c>
      <c r="H225" s="20" t="s">
        <v>3856</v>
      </c>
      <c r="I225" s="81" t="s">
        <v>2004</v>
      </c>
      <c r="J225" s="79"/>
      <c r="K225" s="24"/>
      <c r="L225" s="24"/>
    </row>
    <row r="226" spans="1:12" ht="14.5" hidden="1">
      <c r="A226" s="20" t="s">
        <v>3857</v>
      </c>
      <c r="B226" s="20">
        <v>20</v>
      </c>
      <c r="C226" s="20">
        <v>50</v>
      </c>
      <c r="D226" s="20">
        <v>55</v>
      </c>
      <c r="E226" s="24"/>
      <c r="F226" s="20" t="s">
        <v>3858</v>
      </c>
      <c r="G226" s="24" t="str">
        <f ca="1">IFERROR(__xludf.DUMMYFUNCTION("UPPER(LEFT((GOOGLETRANSLATE(F226,""en"",""pt"")),1))&amp;RIGHT(lower((GOOGLETRANSLATE(F226,""en"",""pt""))),(LEN((GOOGLETRANSLATE(F226,""en"",""pt"")))-1))"),"Venda de veículos automóveis")</f>
        <v>Venda de veículos automóveis</v>
      </c>
      <c r="H226" s="24" t="s">
        <v>3859</v>
      </c>
      <c r="I226" s="81" t="s">
        <v>2004</v>
      </c>
      <c r="J226" s="79"/>
      <c r="K226" s="24"/>
      <c r="L226" s="24"/>
    </row>
    <row r="227" spans="1:12" ht="14.5" hidden="1">
      <c r="A227" s="20" t="s">
        <v>3860</v>
      </c>
      <c r="B227" s="20">
        <v>20</v>
      </c>
      <c r="C227" s="20">
        <v>50</v>
      </c>
      <c r="D227" s="20">
        <v>70</v>
      </c>
      <c r="E227" s="24"/>
      <c r="F227" s="20" t="s">
        <v>3861</v>
      </c>
      <c r="G227" s="24" t="str">
        <f ca="1">IFERROR(__xludf.DUMMYFUNCTION("UPPER(LEFT((GOOGLETRANSLATE(F227,""en"",""pt"")),1))&amp;RIGHT(lower((GOOGLETRANSLATE(F227,""en"",""pt""))),(LEN((GOOGLETRANSLATE(F227,""en"",""pt"")))-1))"),"Produtos refrigerados venda por atacado")</f>
        <v>Produtos refrigerados venda por atacado</v>
      </c>
      <c r="H227" s="20" t="s">
        <v>3862</v>
      </c>
      <c r="I227" s="81" t="s">
        <v>2004</v>
      </c>
      <c r="J227" s="79"/>
      <c r="K227" s="24"/>
      <c r="L227" s="24"/>
    </row>
    <row r="228" spans="1:12" ht="14.5" hidden="1">
      <c r="A228" s="20" t="s">
        <v>3863</v>
      </c>
      <c r="B228" s="20">
        <v>20</v>
      </c>
      <c r="C228" s="20">
        <v>50</v>
      </c>
      <c r="D228" s="20">
        <v>85</v>
      </c>
      <c r="E228" s="24"/>
      <c r="F228" s="20" t="s">
        <v>3864</v>
      </c>
      <c r="G228" s="24" t="str">
        <f ca="1">IFERROR(__xludf.DUMMYFUNCTION("UPPER(LEFT((GOOGLETRANSLATE(F228,""en"",""pt"")),1))&amp;RIGHT(lower((GOOGLETRANSLATE(F228,""en"",""pt""))),(LEN((GOOGLETRANSLATE(F228,""en"",""pt"")))-1))"),"De venda a retalho de supermercado")</f>
        <v>De venda a retalho de supermercado</v>
      </c>
      <c r="H228" s="20" t="s">
        <v>3865</v>
      </c>
      <c r="I228" s="81" t="s">
        <v>2004</v>
      </c>
      <c r="J228" s="79"/>
      <c r="K228" s="24"/>
      <c r="L228" s="24"/>
    </row>
    <row r="229" spans="1:12" ht="14.5" hidden="1">
      <c r="A229" s="20" t="s">
        <v>3866</v>
      </c>
      <c r="B229" s="20">
        <v>20</v>
      </c>
      <c r="C229" s="20">
        <v>50</v>
      </c>
      <c r="D229" s="20">
        <v>87</v>
      </c>
      <c r="E229" s="24"/>
      <c r="F229" s="20" t="s">
        <v>3867</v>
      </c>
      <c r="G229" s="24" t="str">
        <f ca="1">IFERROR(__xludf.DUMMYFUNCTION("UPPER(LEFT((GOOGLETRANSLATE(F229,""en"",""pt"")),1))&amp;RIGHT(lower((GOOGLETRANSLATE(F229,""en"",""pt""))),(LEN((GOOGLETRANSLATE(F229,""en"",""pt"")))-1))"),"Tatuagem e piercing")</f>
        <v>Tatuagem e piercing</v>
      </c>
      <c r="H229" s="20" t="s">
        <v>3868</v>
      </c>
      <c r="I229" s="81" t="s">
        <v>2004</v>
      </c>
      <c r="J229" s="79"/>
      <c r="K229" s="24"/>
      <c r="L229" s="24"/>
    </row>
    <row r="230" spans="1:12" ht="14.5">
      <c r="A230" s="20" t="s">
        <v>3869</v>
      </c>
      <c r="B230" s="20">
        <v>20</v>
      </c>
      <c r="C230" s="20">
        <v>50</v>
      </c>
      <c r="D230" s="20">
        <v>90</v>
      </c>
      <c r="E230" s="24"/>
      <c r="F230" s="20" t="s">
        <v>3870</v>
      </c>
      <c r="G230" s="24" t="str">
        <f ca="1">IFERROR(__xludf.DUMMYFUNCTION("UPPER(LEFT((GOOGLETRANSLATE(F230,""en"",""pt"")),1))&amp;RIGHT(lower((GOOGLETRANSLATE(F230,""en"",""pt""))),(LEN((GOOGLETRANSLATE(F230,""en"",""pt"")))-1))"),"Tentando para fora bens")</f>
        <v>Tentando para fora bens</v>
      </c>
      <c r="H230" s="24"/>
      <c r="I230" s="79"/>
      <c r="J230" s="79"/>
      <c r="K230" s="24"/>
      <c r="L230" s="24"/>
    </row>
    <row r="231" spans="1:12" ht="14.5" hidden="1">
      <c r="A231" s="20" t="s">
        <v>3871</v>
      </c>
      <c r="B231" s="20">
        <v>20</v>
      </c>
      <c r="C231" s="20">
        <v>50</v>
      </c>
      <c r="D231" s="20">
        <v>96</v>
      </c>
      <c r="E231" s="24"/>
      <c r="F231" s="20" t="s">
        <v>3872</v>
      </c>
      <c r="G231" s="24" t="str">
        <f ca="1">IFERROR(__xludf.DUMMYFUNCTION("UPPER(LEFT((GOOGLETRANSLATE(F231,""en"",""pt"")),1))&amp;RIGHT(lower((GOOGLETRANSLATE(F231,""en"",""pt""))),(LEN((GOOGLETRANSLATE(F231,""en"",""pt"")))-1))"),"Desperdícios e resíduos de venda por atacado")</f>
        <v>Desperdícios e resíduos de venda por atacado</v>
      </c>
      <c r="H231" s="20" t="s">
        <v>3873</v>
      </c>
      <c r="I231" s="81" t="s">
        <v>2004</v>
      </c>
      <c r="J231" s="79"/>
      <c r="K231" s="24"/>
      <c r="L231" s="24"/>
    </row>
    <row r="232" spans="1:12" ht="14.5">
      <c r="A232" s="20" t="s">
        <v>3874</v>
      </c>
      <c r="B232" s="20">
        <v>20</v>
      </c>
      <c r="C232" s="20">
        <v>55</v>
      </c>
      <c r="D232" s="24"/>
      <c r="E232" s="24"/>
      <c r="F232" s="20" t="s">
        <v>3875</v>
      </c>
      <c r="G232" s="24" t="str">
        <f ca="1">IFERROR(__xludf.DUMMYFUNCTION("UPPER(LEFT((GOOGLETRANSLATE(F232,""en"",""pt"")),1))&amp;RIGHT(lower((GOOGLETRANSLATE(F232,""en"",""pt""))),(LEN((GOOGLETRANSLATE(F232,""en"",""pt"")))-1))"),"Atividades de comunicações postais")</f>
        <v>Atividades de comunicações postais</v>
      </c>
      <c r="H232" s="24" t="s">
        <v>3876</v>
      </c>
      <c r="I232" s="79"/>
      <c r="J232" s="79"/>
      <c r="K232" s="24"/>
      <c r="L232" s="24"/>
    </row>
    <row r="233" spans="1:12" ht="14.5">
      <c r="A233" s="20" t="s">
        <v>3877</v>
      </c>
      <c r="B233" s="20">
        <v>20</v>
      </c>
      <c r="C233" s="20">
        <v>55</v>
      </c>
      <c r="D233" s="20">
        <v>45</v>
      </c>
      <c r="E233" s="24"/>
      <c r="F233" s="20" t="s">
        <v>3878</v>
      </c>
      <c r="G233" s="24" t="str">
        <f ca="1">IFERROR(__xludf.DUMMYFUNCTION("UPPER(LEFT((GOOGLETRANSLATE(F233,""en"",""pt"")),1))&amp;RIGHT(lower((GOOGLETRANSLATE(F233,""en"",""pt""))),(LEN((GOOGLETRANSLATE(F233,""en"",""pt"")))-1))"),"Classificação carta")</f>
        <v>Classificação carta</v>
      </c>
      <c r="H233" s="24" t="s">
        <v>3879</v>
      </c>
      <c r="I233" s="79"/>
      <c r="J233" s="79"/>
      <c r="K233" s="24"/>
      <c r="L233" s="24"/>
    </row>
    <row r="234" spans="1:12" ht="14.5">
      <c r="A234" s="20" t="s">
        <v>3880</v>
      </c>
      <c r="B234" s="20">
        <v>20</v>
      </c>
      <c r="C234" s="20">
        <v>55</v>
      </c>
      <c r="D234" s="20">
        <v>60</v>
      </c>
      <c r="E234" s="24"/>
      <c r="F234" s="20" t="s">
        <v>3881</v>
      </c>
      <c r="G234" s="24" t="str">
        <f ca="1">IFERROR(__xludf.DUMMYFUNCTION("UPPER(LEFT((GOOGLETRANSLATE(F234,""en"",""pt"")),1))&amp;RIGHT(lower((GOOGLETRANSLATE(F234,""en"",""pt""))),(LEN((GOOGLETRANSLATE(F234,""en"",""pt"")))-1))"),"Parcel classificação")</f>
        <v>Parcel classificação</v>
      </c>
      <c r="H234" s="24" t="s">
        <v>3882</v>
      </c>
      <c r="I234" s="79"/>
      <c r="J234" s="79"/>
      <c r="K234" s="24"/>
      <c r="L234" s="24"/>
    </row>
    <row r="235" spans="1:12" ht="14.5">
      <c r="A235" s="20" t="s">
        <v>3883</v>
      </c>
      <c r="B235" s="20">
        <v>20</v>
      </c>
      <c r="C235" s="20">
        <v>60</v>
      </c>
      <c r="D235" s="24"/>
      <c r="E235" s="24"/>
      <c r="F235" s="20" t="s">
        <v>3884</v>
      </c>
      <c r="G235" s="24" t="str">
        <f ca="1">IFERROR(__xludf.DUMMYFUNCTION("UPPER(LEFT((GOOGLETRANSLATE(F235,""en"",""pt"")),1))&amp;RIGHT(lower((GOOGLETRANSLATE(F235,""en"",""pt""))),(LEN((GOOGLETRANSLATE(F235,""en"",""pt"")))-1))"),"Actividades de protecção militares")</f>
        <v>Actividades de protecção militares</v>
      </c>
      <c r="H235" s="24" t="s">
        <v>3885</v>
      </c>
      <c r="I235" s="79"/>
      <c r="J235" s="79"/>
      <c r="K235" s="24"/>
      <c r="L235" s="24"/>
    </row>
    <row r="236" spans="1:12" ht="14.5">
      <c r="A236" s="20" t="s">
        <v>3886</v>
      </c>
      <c r="B236" s="20">
        <v>20</v>
      </c>
      <c r="C236" s="20">
        <v>60</v>
      </c>
      <c r="D236" s="20">
        <v>8</v>
      </c>
      <c r="E236" s="24"/>
      <c r="F236" s="20" t="s">
        <v>3887</v>
      </c>
      <c r="G236" s="24" t="str">
        <f ca="1">IFERROR(__xludf.DUMMYFUNCTION("UPPER(LEFT((GOOGLETRANSLATE(F236,""en"",""pt"")),1))&amp;RIGHT(lower((GOOGLETRANSLATE(F236,""en"",""pt""))),(LEN((GOOGLETRANSLATE(F236,""en"",""pt"")))-1))"),"Bombardeio abrigamento")</f>
        <v>Bombardeio abrigamento</v>
      </c>
      <c r="H236" s="24" t="s">
        <v>3888</v>
      </c>
      <c r="I236" s="79"/>
      <c r="J236" s="79"/>
      <c r="K236" s="24"/>
      <c r="L236" s="24"/>
    </row>
    <row r="237" spans="1:12" ht="14.5">
      <c r="A237" s="20" t="s">
        <v>3889</v>
      </c>
      <c r="B237" s="20">
        <v>20</v>
      </c>
      <c r="C237" s="20">
        <v>60</v>
      </c>
      <c r="D237" s="20">
        <v>70</v>
      </c>
      <c r="E237" s="24"/>
      <c r="F237" s="20" t="s">
        <v>3890</v>
      </c>
      <c r="G237" s="24" t="str">
        <f ca="1">IFERROR(__xludf.DUMMYFUNCTION("UPPER(LEFT((GOOGLETRANSLATE(F237,""en"",""pt"")),1))&amp;RIGHT(lower((GOOGLETRANSLATE(F237,""en"",""pt""))),(LEN((GOOGLETRANSLATE(F237,""en"",""pt"")))-1))"),"Abrigar-se precipitação radioativa")</f>
        <v>Abrigar-se precipitação radioativa</v>
      </c>
      <c r="H237" s="24" t="s">
        <v>3891</v>
      </c>
      <c r="I237" s="79"/>
      <c r="J237" s="79"/>
      <c r="K237" s="24"/>
      <c r="L237" s="24"/>
    </row>
    <row r="238" spans="1:12" ht="14.5">
      <c r="A238" s="20" t="s">
        <v>3892</v>
      </c>
      <c r="B238" s="20">
        <v>20</v>
      </c>
      <c r="C238" s="20">
        <v>62</v>
      </c>
      <c r="D238" s="24"/>
      <c r="E238" s="24"/>
      <c r="F238" s="20" t="s">
        <v>3893</v>
      </c>
      <c r="G238" s="24" t="str">
        <f ca="1">IFERROR(__xludf.DUMMYFUNCTION("UPPER(LEFT((GOOGLETRANSLATE(F238,""en"",""pt"")),1))&amp;RIGHT(lower((GOOGLETRANSLATE(F238,""en"",""pt""))),(LEN((GOOGLETRANSLATE(F238,""en"",""pt"")))-1))"),"Atividades parade")</f>
        <v>Atividades parade</v>
      </c>
      <c r="H238" s="24" t="s">
        <v>3894</v>
      </c>
      <c r="I238" s="79"/>
      <c r="J238" s="79"/>
      <c r="K238" s="24"/>
      <c r="L238" s="24"/>
    </row>
    <row r="239" spans="1:12" ht="14.5">
      <c r="A239" s="20" t="s">
        <v>3895</v>
      </c>
      <c r="B239" s="20">
        <v>20</v>
      </c>
      <c r="C239" s="20">
        <v>62</v>
      </c>
      <c r="D239" s="20">
        <v>65</v>
      </c>
      <c r="E239" s="24"/>
      <c r="F239" s="20" t="s">
        <v>3896</v>
      </c>
      <c r="G239" s="24" t="str">
        <f ca="1">IFERROR(__xludf.DUMMYFUNCTION("UPPER(LEFT((GOOGLETRANSLATE(F239,""en"",""pt"")),1))&amp;RIGHT(lower((GOOGLETRANSLATE(F239,""en"",""pt""))),(LEN((GOOGLETRANSLATE(F239,""en"",""pt"")))-1))"),"Desfilando")</f>
        <v>Desfilando</v>
      </c>
      <c r="H239" s="24" t="s">
        <v>3897</v>
      </c>
      <c r="I239" s="79"/>
      <c r="J239" s="79"/>
      <c r="K239" s="24"/>
      <c r="L239" s="24"/>
    </row>
    <row r="240" spans="1:12" ht="14.5">
      <c r="A240" s="20" t="s">
        <v>3898</v>
      </c>
      <c r="B240" s="20">
        <v>20</v>
      </c>
      <c r="C240" s="20">
        <v>65</v>
      </c>
      <c r="D240" s="24"/>
      <c r="E240" s="24"/>
      <c r="F240" s="20" t="s">
        <v>3899</v>
      </c>
      <c r="G240" s="24" t="str">
        <f ca="1">IFERROR(__xludf.DUMMYFUNCTION("UPPER(LEFT((GOOGLETRANSLATE(F240,""en"",""pt"")),1))&amp;RIGHT(lower((GOOGLETRANSLATE(F240,""en"",""pt""))),(LEN((GOOGLETRANSLATE(F240,""en"",""pt"")))-1))"),"Atividades de aplicação da lei")</f>
        <v>Atividades de aplicação da lei</v>
      </c>
      <c r="H240" s="24" t="s">
        <v>3900</v>
      </c>
      <c r="I240" s="79"/>
      <c r="J240" s="79"/>
      <c r="K240" s="24"/>
      <c r="L240" s="24"/>
    </row>
    <row r="241" spans="1:12" ht="14.5">
      <c r="A241" s="20" t="s">
        <v>3901</v>
      </c>
      <c r="B241" s="20">
        <v>20</v>
      </c>
      <c r="C241" s="20">
        <v>65</v>
      </c>
      <c r="D241" s="20">
        <v>8</v>
      </c>
      <c r="E241" s="24"/>
      <c r="F241" s="20" t="s">
        <v>3902</v>
      </c>
      <c r="G241" s="24" t="str">
        <f ca="1">IFERROR(__xludf.DUMMYFUNCTION("UPPER(LEFT((GOOGLETRANSLATE(F241,""en"",""pt"")),1))&amp;RIGHT(lower((GOOGLETRANSLATE(F241,""en"",""pt""))),(LEN((GOOGLETRANSLATE(F241,""en"",""pt"")))-1))"),"Breathalyzing")</f>
        <v>Breathalyzing</v>
      </c>
      <c r="H241" s="24" t="s">
        <v>3902</v>
      </c>
      <c r="I241" s="79"/>
      <c r="J241" s="79"/>
      <c r="K241" s="24"/>
      <c r="L241" s="24"/>
    </row>
    <row r="242" spans="1:12" ht="14.5" hidden="1">
      <c r="A242" s="20" t="s">
        <v>3903</v>
      </c>
      <c r="B242" s="20">
        <v>20</v>
      </c>
      <c r="C242" s="20">
        <v>65</v>
      </c>
      <c r="D242" s="20">
        <v>15</v>
      </c>
      <c r="E242" s="24"/>
      <c r="F242" s="20" t="s">
        <v>3904</v>
      </c>
      <c r="G242" s="24" t="str">
        <f ca="1">IFERROR(__xludf.DUMMYFUNCTION("UPPER(LEFT((GOOGLETRANSLATE(F242,""en"",""pt"")),1))&amp;RIGHT(lower((GOOGLETRANSLATE(F242,""en"",""pt""))),(LEN((GOOGLETRANSLATE(F242,""en"",""pt"")))-1))"),"Atividades de combate ao terrorismo")</f>
        <v>Atividades de combate ao terrorismo</v>
      </c>
      <c r="H242" s="24" t="s">
        <v>3905</v>
      </c>
      <c r="I242" s="81" t="s">
        <v>2004</v>
      </c>
      <c r="J242" s="79"/>
      <c r="K242" s="24"/>
      <c r="L242" s="24"/>
    </row>
    <row r="243" spans="1:12" ht="14.5">
      <c r="A243" s="20" t="s">
        <v>3906</v>
      </c>
      <c r="B243" s="20">
        <v>20</v>
      </c>
      <c r="C243" s="20">
        <v>65</v>
      </c>
      <c r="D243" s="20">
        <v>19</v>
      </c>
      <c r="E243" s="24"/>
      <c r="F243" s="20" t="s">
        <v>3907</v>
      </c>
      <c r="G243" s="24" t="str">
        <f ca="1">IFERROR(__xludf.DUMMYFUNCTION("UPPER(LEFT((GOOGLETRANSLATE(F243,""en"",""pt"")),1))&amp;RIGHT(lower((GOOGLETRANSLATE(F243,""en"",""pt""))),(LEN((GOOGLETRANSLATE(F243,""en"",""pt"")))-1))"),"Atividades de custódia")</f>
        <v>Atividades de custódia</v>
      </c>
      <c r="H243" s="24" t="s">
        <v>3908</v>
      </c>
      <c r="I243" s="79"/>
      <c r="J243" s="79"/>
      <c r="K243" s="24"/>
      <c r="L243" s="24"/>
    </row>
    <row r="244" spans="1:12" ht="14.5">
      <c r="A244" s="20" t="s">
        <v>3909</v>
      </c>
      <c r="B244" s="20">
        <v>20</v>
      </c>
      <c r="C244" s="20">
        <v>65</v>
      </c>
      <c r="D244" s="20">
        <v>40</v>
      </c>
      <c r="E244" s="24"/>
      <c r="F244" s="20" t="s">
        <v>3910</v>
      </c>
      <c r="G244" s="24" t="str">
        <f ca="1">IFERROR(__xludf.DUMMYFUNCTION("UPPER(LEFT((GOOGLETRANSLATE(F244,""en"",""pt"")),1))&amp;RIGHT(lower((GOOGLETRANSLATE(F244,""en"",""pt""))),(LEN((GOOGLETRANSLATE(F244,""en"",""pt"")))-1))"),"Desfile de identificação")</f>
        <v>Desfile de identificação</v>
      </c>
      <c r="H244" s="24" t="s">
        <v>3911</v>
      </c>
      <c r="I244" s="79"/>
      <c r="J244" s="79"/>
      <c r="K244" s="24"/>
      <c r="L244" s="24"/>
    </row>
    <row r="245" spans="1:12" ht="14.5">
      <c r="A245" s="20" t="s">
        <v>3912</v>
      </c>
      <c r="B245" s="20">
        <v>20</v>
      </c>
      <c r="C245" s="20">
        <v>65</v>
      </c>
      <c r="D245" s="20">
        <v>59</v>
      </c>
      <c r="E245" s="24"/>
      <c r="F245" s="20" t="s">
        <v>3913</v>
      </c>
      <c r="G245" s="24" t="str">
        <f ca="1">IFERROR(__xludf.DUMMYFUNCTION("UPPER(LEFT((GOOGLETRANSLATE(F245,""en"",""pt"")),1))&amp;RIGHT(lower((GOOGLETRANSLATE(F245,""en"",""pt""))),(LEN((GOOGLETRANSLATE(F245,""en"",""pt"")))-1))"),"Atividades operacionais")</f>
        <v>Atividades operacionais</v>
      </c>
      <c r="H245" s="24" t="s">
        <v>3914</v>
      </c>
      <c r="I245" s="79"/>
      <c r="J245" s="79"/>
      <c r="K245" s="24"/>
      <c r="L245" s="24"/>
    </row>
    <row r="246" spans="1:12" ht="14.5">
      <c r="A246" s="20" t="s">
        <v>3915</v>
      </c>
      <c r="B246" s="20">
        <v>20</v>
      </c>
      <c r="C246" s="20">
        <v>65</v>
      </c>
      <c r="D246" s="20">
        <v>65</v>
      </c>
      <c r="E246" s="24"/>
      <c r="F246" s="20" t="s">
        <v>3916</v>
      </c>
      <c r="G246" s="24" t="str">
        <f ca="1">IFERROR(__xludf.DUMMYFUNCTION("UPPER(LEFT((GOOGLETRANSLATE(F246,""en"",""pt"")),1))&amp;RIGHT(lower((GOOGLETRANSLATE(F246,""en"",""pt""))),(LEN((GOOGLETRANSLATE(F246,""en"",""pt"")))-1))"),"Detenção da polícia")</f>
        <v>Detenção da polícia</v>
      </c>
      <c r="H246" s="24" t="s">
        <v>3917</v>
      </c>
      <c r="I246" s="79"/>
      <c r="J246" s="79"/>
      <c r="K246" s="24"/>
      <c r="L246" s="24"/>
    </row>
    <row r="247" spans="1:12" ht="14.5">
      <c r="A247" s="20" t="s">
        <v>3918</v>
      </c>
      <c r="B247" s="20">
        <v>20</v>
      </c>
      <c r="C247" s="20">
        <v>65</v>
      </c>
      <c r="D247" s="20">
        <v>87</v>
      </c>
      <c r="E247" s="24"/>
      <c r="F247" s="20" t="s">
        <v>3919</v>
      </c>
      <c r="G247" s="24" t="str">
        <f ca="1">IFERROR(__xludf.DUMMYFUNCTION("UPPER(LEFT((GOOGLETRANSLATE(F247,""en"",""pt"")),1))&amp;RIGHT(lower((GOOGLETRANSLATE(F247,""en"",""pt""))),(LEN((GOOGLETRANSLATE(F247,""en"",""pt"")))-1))"),"Testes para substâncias ilegais")</f>
        <v>Testes para substâncias ilegais</v>
      </c>
      <c r="H247" s="24" t="s">
        <v>3920</v>
      </c>
      <c r="I247" s="79"/>
      <c r="J247" s="79"/>
      <c r="K247" s="24"/>
      <c r="L247" s="24"/>
    </row>
    <row r="248" spans="1:12" ht="14.5">
      <c r="A248" s="20" t="s">
        <v>3921</v>
      </c>
      <c r="B248" s="20">
        <v>20</v>
      </c>
      <c r="C248" s="20">
        <v>65</v>
      </c>
      <c r="D248" s="20">
        <v>94</v>
      </c>
      <c r="E248" s="24"/>
      <c r="F248" s="20" t="s">
        <v>3922</v>
      </c>
      <c r="G248" s="24" t="str">
        <f ca="1">IFERROR(__xludf.DUMMYFUNCTION("UPPER(LEFT((GOOGLETRANSLATE(F248,""en"",""pt"")),1))&amp;RIGHT(lower((GOOGLETRANSLATE(F248,""en"",""pt""))),(LEN((GOOGLETRANSLATE(F248,""en"",""pt"")))-1))"),"Vítima examinando")</f>
        <v>Vítima examinando</v>
      </c>
      <c r="H248" s="24" t="s">
        <v>3923</v>
      </c>
      <c r="I248" s="79"/>
      <c r="J248" s="79"/>
      <c r="K248" s="24"/>
      <c r="L248" s="24"/>
    </row>
    <row r="249" spans="1:12" ht="14.5" hidden="1">
      <c r="A249" s="20" t="s">
        <v>3924</v>
      </c>
      <c r="B249" s="20">
        <v>20</v>
      </c>
      <c r="C249" s="20">
        <v>70</v>
      </c>
      <c r="D249" s="24"/>
      <c r="E249" s="24"/>
      <c r="F249" s="20" t="s">
        <v>3925</v>
      </c>
      <c r="G249" s="24" t="str">
        <f ca="1">IFERROR(__xludf.DUMMYFUNCTION("UPPER(LEFT((GOOGLETRANSLATE(F249,""en"",""pt"")),1))&amp;RIGHT(lower((GOOGLETRANSLATE(F249,""en"",""pt""))),(LEN((GOOGLETRANSLATE(F249,""en"",""pt"")))-1))"),"Atividades judiciais")</f>
        <v>Atividades judiciais</v>
      </c>
      <c r="H249" s="24" t="s">
        <v>3926</v>
      </c>
      <c r="I249" s="81" t="s">
        <v>2004</v>
      </c>
      <c r="J249" s="79"/>
      <c r="K249" s="24"/>
      <c r="L249" s="24"/>
    </row>
    <row r="250" spans="1:12" ht="14.5">
      <c r="A250" s="20" t="s">
        <v>3927</v>
      </c>
      <c r="B250" s="20">
        <v>20</v>
      </c>
      <c r="C250" s="20">
        <v>70</v>
      </c>
      <c r="D250" s="20">
        <v>15</v>
      </c>
      <c r="E250" s="24"/>
      <c r="F250" s="20" t="s">
        <v>3928</v>
      </c>
      <c r="G250" s="24" t="str">
        <f ca="1">IFERROR(__xludf.DUMMYFUNCTION("UPPER(LEFT((GOOGLETRANSLATE(F250,""en"",""pt"")),1))&amp;RIGHT(lower((GOOGLETRANSLATE(F250,""en"",""pt""))),(LEN((GOOGLETRANSLATE(F250,""en"",""pt"")))-1))"),"Realização de ensaios e audiências")</f>
        <v>Realização de ensaios e audiências</v>
      </c>
      <c r="H250" s="24" t="s">
        <v>3929</v>
      </c>
      <c r="I250" s="79"/>
      <c r="J250" s="79"/>
      <c r="K250" s="24"/>
      <c r="L250" s="24"/>
    </row>
    <row r="251" spans="1:12" ht="14.5">
      <c r="A251" s="20" t="s">
        <v>3930</v>
      </c>
      <c r="B251" s="20">
        <v>20</v>
      </c>
      <c r="C251" s="20">
        <v>70</v>
      </c>
      <c r="D251" s="20">
        <v>23</v>
      </c>
      <c r="E251" s="24"/>
      <c r="F251" s="20" t="s">
        <v>3931</v>
      </c>
      <c r="G251" s="24" t="str">
        <f ca="1">IFERROR(__xludf.DUMMYFUNCTION("UPPER(LEFT((GOOGLETRANSLATE(F251,""en"",""pt"")),1))&amp;RIGHT(lower((GOOGLETRANSLATE(F251,""en"",""pt""))),(LEN((GOOGLETRANSLATE(F251,""en"",""pt"")))-1))"),"Estar réu")</f>
        <v>Estar réu</v>
      </c>
      <c r="H251" s="24" t="s">
        <v>3932</v>
      </c>
      <c r="I251" s="79"/>
      <c r="J251" s="79"/>
      <c r="K251" s="24"/>
      <c r="L251" s="24"/>
    </row>
    <row r="252" spans="1:12" ht="14.5">
      <c r="A252" s="20" t="s">
        <v>3933</v>
      </c>
      <c r="B252" s="20">
        <v>20</v>
      </c>
      <c r="C252" s="20">
        <v>70</v>
      </c>
      <c r="D252" s="20">
        <v>27</v>
      </c>
      <c r="E252" s="24"/>
      <c r="F252" s="20" t="s">
        <v>3934</v>
      </c>
      <c r="G252" s="24" t="str">
        <f ca="1">IFERROR(__xludf.DUMMYFUNCTION("UPPER(LEFT((GOOGLETRANSLATE(F252,""en"",""pt"")),1))&amp;RIGHT(lower((GOOGLETRANSLATE(F252,""en"",""pt""))),(LEN((GOOGLETRANSLATE(F252,""en"",""pt"")))-1))"),"Secagem evidence")</f>
        <v>Secagem evidence</v>
      </c>
      <c r="H252" s="24" t="s">
        <v>3935</v>
      </c>
      <c r="I252" s="79"/>
      <c r="J252" s="79"/>
      <c r="K252" s="24"/>
      <c r="L252" s="24"/>
    </row>
    <row r="253" spans="1:12" ht="14.5">
      <c r="A253" s="20" t="s">
        <v>3936</v>
      </c>
      <c r="B253" s="20">
        <v>20</v>
      </c>
      <c r="C253" s="20">
        <v>70</v>
      </c>
      <c r="D253" s="20">
        <v>41</v>
      </c>
      <c r="E253" s="24"/>
      <c r="F253" s="20" t="s">
        <v>3937</v>
      </c>
      <c r="G253" s="24" t="str">
        <f ca="1">IFERROR(__xludf.DUMMYFUNCTION("UPPER(LEFT((GOOGLETRANSLATE(F253,""en"",""pt"")),1))&amp;RIGHT(lower((GOOGLETRANSLATE(F253,""en"",""pt""))),(LEN((GOOGLETRANSLATE(F253,""en"",""pt"")))-1))"),"Estar judicial")</f>
        <v>Estar judicial</v>
      </c>
      <c r="H253" s="24" t="s">
        <v>3938</v>
      </c>
      <c r="I253" s="79"/>
      <c r="J253" s="79"/>
      <c r="K253" s="24"/>
      <c r="L253" s="24"/>
    </row>
    <row r="254" spans="1:12" ht="14.5">
      <c r="A254" s="20" t="s">
        <v>3939</v>
      </c>
      <c r="B254" s="20">
        <v>20</v>
      </c>
      <c r="C254" s="20">
        <v>70</v>
      </c>
      <c r="D254" s="20">
        <v>44</v>
      </c>
      <c r="E254" s="24"/>
      <c r="F254" s="20" t="s">
        <v>3940</v>
      </c>
      <c r="G254" s="24" t="str">
        <f ca="1">IFERROR(__xludf.DUMMYFUNCTION("UPPER(LEFT((GOOGLETRANSLATE(F254,""en"",""pt"")),1))&amp;RIGHT(lower((GOOGLETRANSLATE(F254,""en"",""pt""))),(LEN((GOOGLETRANSLATE(F254,""en"",""pt"")))-1))"),"Estar júri")</f>
        <v>Estar júri</v>
      </c>
      <c r="H254" s="24" t="s">
        <v>3941</v>
      </c>
      <c r="I254" s="79"/>
      <c r="J254" s="79"/>
      <c r="K254" s="24"/>
      <c r="L254" s="24"/>
    </row>
    <row r="255" spans="1:12" ht="14.5">
      <c r="A255" s="20" t="s">
        <v>3942</v>
      </c>
      <c r="B255" s="20">
        <v>20</v>
      </c>
      <c r="C255" s="20">
        <v>70</v>
      </c>
      <c r="D255" s="20">
        <v>68</v>
      </c>
      <c r="E255" s="24"/>
      <c r="F255" s="20" t="s">
        <v>3943</v>
      </c>
      <c r="G255" s="24" t="str">
        <f ca="1">IFERROR(__xludf.DUMMYFUNCTION("UPPER(LEFT((GOOGLETRANSLATE(F255,""en"",""pt"")),1))&amp;RIGHT(lower((GOOGLETRANSLATE(F255,""en"",""pt""))),(LEN((GOOGLETRANSLATE(F255,""en"",""pt"")))-1))"),"Visualização galeria pública")</f>
        <v>Visualização galeria pública</v>
      </c>
      <c r="H255" s="24" t="s">
        <v>3944</v>
      </c>
      <c r="I255" s="79"/>
      <c r="J255" s="79"/>
      <c r="K255" s="24"/>
      <c r="L255" s="24"/>
    </row>
    <row r="256" spans="1:12" ht="14.5" hidden="1">
      <c r="A256" s="20" t="s">
        <v>3945</v>
      </c>
      <c r="B256" s="20">
        <v>20</v>
      </c>
      <c r="C256" s="20">
        <v>70</v>
      </c>
      <c r="D256" s="20">
        <v>93</v>
      </c>
      <c r="E256" s="24"/>
      <c r="F256" s="20" t="s">
        <v>3946</v>
      </c>
      <c r="G256" s="24" t="str">
        <f ca="1">IFERROR(__xludf.DUMMYFUNCTION("UPPER(LEFT((GOOGLETRANSLATE(F256,""en"",""pt"")),1))&amp;RIGHT(lower((GOOGLETRANSLATE(F256,""en"",""pt""))),(LEN((GOOGLETRANSLATE(F256,""en"",""pt"")))-1))"),"Vítima de apoio")</f>
        <v>Vítima de apoio</v>
      </c>
      <c r="H256" s="20" t="s">
        <v>3947</v>
      </c>
      <c r="I256" s="81" t="s">
        <v>2004</v>
      </c>
      <c r="J256" s="79"/>
      <c r="K256" s="24"/>
      <c r="L256" s="24"/>
    </row>
    <row r="257" spans="1:12" ht="14.5" hidden="1">
      <c r="A257" s="20" t="s">
        <v>3948</v>
      </c>
      <c r="B257" s="20">
        <v>20</v>
      </c>
      <c r="C257" s="20">
        <v>70</v>
      </c>
      <c r="D257" s="20">
        <v>94</v>
      </c>
      <c r="E257" s="24"/>
      <c r="F257" s="20" t="s">
        <v>3949</v>
      </c>
      <c r="G257" s="24" t="str">
        <f ca="1">IFERROR(__xludf.DUMMYFUNCTION("UPPER(LEFT((GOOGLETRANSLATE(F257,""en"",""pt"")),1))&amp;RIGHT(lower((GOOGLETRANSLATE(F257,""en"",""pt""))),(LEN((GOOGLETRANSLATE(F257,""en"",""pt"")))-1))"),"Vítima vulnerável apoiar")</f>
        <v>Vítima vulnerável apoiar</v>
      </c>
      <c r="H257" s="20" t="s">
        <v>3950</v>
      </c>
      <c r="I257" s="81" t="s">
        <v>2004</v>
      </c>
      <c r="J257" s="79"/>
      <c r="K257" s="24"/>
      <c r="L257" s="24"/>
    </row>
    <row r="258" spans="1:12" ht="14.5" hidden="1">
      <c r="A258" s="20" t="s">
        <v>3951</v>
      </c>
      <c r="B258" s="20">
        <v>20</v>
      </c>
      <c r="C258" s="20">
        <v>70</v>
      </c>
      <c r="D258" s="20">
        <v>95</v>
      </c>
      <c r="E258" s="24"/>
      <c r="F258" s="20" t="s">
        <v>3952</v>
      </c>
      <c r="G258" s="24" t="str">
        <f ca="1">IFERROR(__xludf.DUMMYFUNCTION("UPPER(LEFT((GOOGLETRANSLATE(F258,""en"",""pt"")),1))&amp;RIGHT(lower((GOOGLETRANSLATE(F258,""en"",""pt""))),(LEN((GOOGLETRANSLATE(F258,""en"",""pt"")))-1))"),"Testemunha vulnerável apoiar")</f>
        <v>Testemunha vulnerável apoiar</v>
      </c>
      <c r="H258" s="20" t="s">
        <v>3953</v>
      </c>
      <c r="I258" s="81" t="s">
        <v>2004</v>
      </c>
      <c r="J258" s="79"/>
      <c r="K258" s="24"/>
      <c r="L258" s="24"/>
    </row>
    <row r="259" spans="1:12" ht="14.5">
      <c r="A259" s="20" t="s">
        <v>3954</v>
      </c>
      <c r="B259" s="20">
        <v>20</v>
      </c>
      <c r="C259" s="20">
        <v>70</v>
      </c>
      <c r="D259" s="20">
        <v>97</v>
      </c>
      <c r="E259" s="24"/>
      <c r="F259" s="20" t="s">
        <v>3955</v>
      </c>
      <c r="G259" s="24" t="str">
        <f ca="1">IFERROR(__xludf.DUMMYFUNCTION("UPPER(LEFT((GOOGLETRANSLATE(F259,""en"",""pt"")),1))&amp;RIGHT(lower((GOOGLETRANSLATE(F259,""en"",""pt""))),(LEN((GOOGLETRANSLATE(F259,""en"",""pt"")))-1))"),"Testemunha pé")</f>
        <v>Testemunha pé</v>
      </c>
      <c r="H259" s="24" t="s">
        <v>3956</v>
      </c>
      <c r="I259" s="79"/>
      <c r="J259" s="79"/>
      <c r="K259" s="24"/>
      <c r="L259" s="24"/>
    </row>
    <row r="260" spans="1:12" ht="14.5">
      <c r="A260" s="20" t="s">
        <v>3957</v>
      </c>
      <c r="B260" s="20">
        <v>20</v>
      </c>
      <c r="C260" s="20">
        <v>70</v>
      </c>
      <c r="D260" s="20">
        <v>98</v>
      </c>
      <c r="E260" s="24"/>
      <c r="F260" s="20" t="s">
        <v>3958</v>
      </c>
      <c r="G260" s="24" t="str">
        <f ca="1">IFERROR(__xludf.DUMMYFUNCTION("UPPER(LEFT((GOOGLETRANSLATE(F260,""en"",""pt"")),1))&amp;RIGHT(lower((GOOGLETRANSLATE(F260,""en"",""pt""))),(LEN((GOOGLETRANSLATE(F260,""en"",""pt"")))-1))"),"Testemunha apoio")</f>
        <v>Testemunha apoio</v>
      </c>
      <c r="H260" s="24" t="s">
        <v>3959</v>
      </c>
      <c r="I260" s="79"/>
      <c r="J260" s="79"/>
      <c r="K260" s="24"/>
      <c r="L260" s="24"/>
    </row>
    <row r="261" spans="1:12" ht="14.5">
      <c r="A261" s="20" t="s">
        <v>3960</v>
      </c>
      <c r="B261" s="20">
        <v>20</v>
      </c>
      <c r="C261" s="20">
        <v>75</v>
      </c>
      <c r="D261" s="24"/>
      <c r="E261" s="24"/>
      <c r="F261" s="20" t="s">
        <v>3961</v>
      </c>
      <c r="G261" s="24" t="str">
        <f ca="1">IFERROR(__xludf.DUMMYFUNCTION("UPPER(LEFT((GOOGLETRANSLATE(F261,""en"",""pt"")),1))&amp;RIGHT(lower((GOOGLETRANSLATE(F261,""en"",""pt""))),(LEN((GOOGLETRANSLATE(F261,""en"",""pt"")))-1))"),"Atividades de detenção")</f>
        <v>Atividades de detenção</v>
      </c>
      <c r="H261" s="24" t="s">
        <v>3962</v>
      </c>
      <c r="I261" s="79"/>
      <c r="J261" s="79"/>
      <c r="K261" s="24"/>
      <c r="L261" s="24"/>
    </row>
    <row r="262" spans="1:12" ht="14.5">
      <c r="A262" s="20" t="s">
        <v>3963</v>
      </c>
      <c r="B262" s="20">
        <v>20</v>
      </c>
      <c r="C262" s="20">
        <v>75</v>
      </c>
      <c r="D262" s="20">
        <v>12</v>
      </c>
      <c r="E262" s="24"/>
      <c r="F262" s="20" t="s">
        <v>3964</v>
      </c>
      <c r="G262" s="24" t="str">
        <f ca="1">IFERROR(__xludf.DUMMYFUNCTION("UPPER(LEFT((GOOGLETRANSLATE(F262,""en"",""pt"")),1))&amp;RIGHT(lower((GOOGLETRANSLATE(F262,""en"",""pt""))),(LEN((GOOGLETRANSLATE(F262,""en"",""pt"")))-1))"),"Fechar supervisão")</f>
        <v>Fechar supervisão</v>
      </c>
      <c r="H262" s="24" t="s">
        <v>3965</v>
      </c>
      <c r="I262" s="79"/>
      <c r="J262" s="79"/>
      <c r="K262" s="24"/>
      <c r="L262" s="24"/>
    </row>
    <row r="263" spans="1:12" ht="14.5">
      <c r="A263" s="20" t="s">
        <v>3966</v>
      </c>
      <c r="B263" s="20">
        <v>20</v>
      </c>
      <c r="C263" s="20">
        <v>75</v>
      </c>
      <c r="D263" s="20">
        <v>15</v>
      </c>
      <c r="E263" s="24"/>
      <c r="F263" s="20" t="s">
        <v>3967</v>
      </c>
      <c r="G263" s="24" t="str">
        <f ca="1">IFERROR(__xludf.DUMMYFUNCTION("UPPER(LEFT((GOOGLETRANSLATE(F263,""en"",""pt"")),1))&amp;RIGHT(lower((GOOGLETRANSLATE(F263,""en"",""pt""))),(LEN((GOOGLETRANSLATE(F263,""en"",""pt"")))-1))"),"Atividades do dia presos comunal")</f>
        <v>Atividades do dia presos comunal</v>
      </c>
      <c r="H263" s="24" t="s">
        <v>3968</v>
      </c>
      <c r="I263" s="79"/>
      <c r="J263" s="79"/>
      <c r="K263" s="24"/>
      <c r="L263" s="24"/>
    </row>
    <row r="264" spans="1:12" ht="14.5">
      <c r="A264" s="20" t="s">
        <v>3969</v>
      </c>
      <c r="B264" s="20">
        <v>20</v>
      </c>
      <c r="C264" s="20">
        <v>75</v>
      </c>
      <c r="D264" s="20">
        <v>20</v>
      </c>
      <c r="E264" s="24"/>
      <c r="F264" s="20" t="s">
        <v>3970</v>
      </c>
      <c r="G264" s="24" t="str">
        <f ca="1">IFERROR(__xludf.DUMMYFUNCTION("UPPER(LEFT((GOOGLETRANSLATE(F264,""en"",""pt"")),1))&amp;RIGHT(lower((GOOGLETRANSLATE(F264,""en"",""pt""))),(LEN((GOOGLETRANSLATE(F264,""en"",""pt"")))-1))"),"Detido exercício")</f>
        <v>Detido exercício</v>
      </c>
      <c r="H264" s="24" t="s">
        <v>3971</v>
      </c>
      <c r="I264" s="79"/>
      <c r="J264" s="79"/>
      <c r="K264" s="24"/>
      <c r="L264" s="24"/>
    </row>
    <row r="265" spans="1:12" ht="14.5">
      <c r="A265" s="20" t="s">
        <v>3972</v>
      </c>
      <c r="B265" s="20">
        <v>20</v>
      </c>
      <c r="C265" s="20">
        <v>75</v>
      </c>
      <c r="D265" s="20">
        <v>22</v>
      </c>
      <c r="E265" s="24"/>
      <c r="F265" s="20" t="s">
        <v>3973</v>
      </c>
      <c r="G265" s="24" t="str">
        <f ca="1">IFERROR(__xludf.DUMMYFUNCTION("UPPER(LEFT((GOOGLETRANSLATE(F265,""en"",""pt"")),1))&amp;RIGHT(lower((GOOGLETRANSLATE(F265,""en"",""pt""))),(LEN((GOOGLETRANSLATE(F265,""en"",""pt"")))-1))"),"Processamento detido")</f>
        <v>Processamento detido</v>
      </c>
      <c r="H265" s="24" t="s">
        <v>3974</v>
      </c>
      <c r="I265" s="79"/>
      <c r="J265" s="79"/>
      <c r="K265" s="24"/>
      <c r="L265" s="24"/>
    </row>
    <row r="266" spans="1:12" ht="14.5">
      <c r="A266" s="20" t="s">
        <v>3975</v>
      </c>
      <c r="B266" s="20">
        <v>20</v>
      </c>
      <c r="C266" s="20">
        <v>75</v>
      </c>
      <c r="D266" s="20">
        <v>35</v>
      </c>
      <c r="E266" s="24"/>
      <c r="F266" s="20" t="s">
        <v>3976</v>
      </c>
      <c r="G266" s="24" t="str">
        <f ca="1">IFERROR(__xludf.DUMMYFUNCTION("UPPER(LEFT((GOOGLETRANSLATE(F266,""en"",""pt"")),1))&amp;RIGHT(lower((GOOGLETRANSLATE(F266,""en"",""pt""))),(LEN((GOOGLETRANSLATE(F266,""en"",""pt"")))-1))"),"Guardando detidos")</f>
        <v>Guardando detidos</v>
      </c>
      <c r="H266" s="24" t="s">
        <v>3977</v>
      </c>
      <c r="I266" s="79"/>
      <c r="J266" s="79"/>
      <c r="K266" s="24"/>
      <c r="L266" s="24"/>
    </row>
    <row r="267" spans="1:12" ht="14.5">
      <c r="A267" s="20" t="s">
        <v>3978</v>
      </c>
      <c r="B267" s="20">
        <v>20</v>
      </c>
      <c r="C267" s="20">
        <v>75</v>
      </c>
      <c r="D267" s="20">
        <v>38</v>
      </c>
      <c r="E267" s="24"/>
      <c r="F267" s="20" t="s">
        <v>3979</v>
      </c>
      <c r="G267" s="24" t="str">
        <f ca="1">IFERROR(__xludf.DUMMYFUNCTION("UPPER(LEFT((GOOGLETRANSLATE(F267,""en"",""pt"")),1))&amp;RIGHT(lower((GOOGLETRANSLATE(F267,""en"",""pt""))),(LEN((GOOGLETRANSLATE(F267,""en"",""pt"")))-1))"),"Segurando de prisioneiros")</f>
        <v>Segurando de prisioneiros</v>
      </c>
      <c r="H267" s="24" t="s">
        <v>3980</v>
      </c>
      <c r="I267" s="79"/>
      <c r="J267" s="79"/>
      <c r="K267" s="24"/>
      <c r="L267" s="24"/>
    </row>
    <row r="268" spans="1:12" ht="14.5">
      <c r="A268" s="20" t="s">
        <v>3981</v>
      </c>
      <c r="B268" s="20">
        <v>20</v>
      </c>
      <c r="C268" s="20">
        <v>75</v>
      </c>
      <c r="D268" s="20">
        <v>41</v>
      </c>
      <c r="E268" s="24"/>
      <c r="F268" s="20" t="s">
        <v>3982</v>
      </c>
      <c r="G268" s="24" t="str">
        <f ca="1">IFERROR(__xludf.DUMMYFUNCTION("UPPER(LEFT((GOOGLETRANSLATE(F268,""en"",""pt"")),1))&amp;RIGHT(lower((GOOGLETRANSLATE(F268,""en"",""pt""))),(LEN((GOOGLETRANSLATE(F268,""en"",""pt"")))-1))"),"Detento exercício")</f>
        <v>Detento exercício</v>
      </c>
      <c r="H268" s="24" t="s">
        <v>3983</v>
      </c>
      <c r="I268" s="79"/>
      <c r="J268" s="79"/>
      <c r="K268" s="24"/>
      <c r="L268" s="24"/>
    </row>
    <row r="269" spans="1:12" ht="14.5">
      <c r="A269" s="20" t="s">
        <v>3984</v>
      </c>
      <c r="B269" s="20">
        <v>20</v>
      </c>
      <c r="C269" s="20">
        <v>75</v>
      </c>
      <c r="D269" s="20">
        <v>44</v>
      </c>
      <c r="E269" s="24"/>
      <c r="F269" s="20" t="s">
        <v>3985</v>
      </c>
      <c r="G269" s="24" t="str">
        <f ca="1">IFERROR(__xludf.DUMMYFUNCTION("UPPER(LEFT((GOOGLETRANSLATE(F269,""en"",""pt"")),1))&amp;RIGHT(lower((GOOGLETRANSLATE(F269,""en"",""pt""))),(LEN((GOOGLETRANSLATE(F269,""en"",""pt"")))-1))"),"Detenção juvenil")</f>
        <v>Detenção juvenil</v>
      </c>
      <c r="H269" s="24" t="s">
        <v>3986</v>
      </c>
      <c r="I269" s="79"/>
      <c r="J269" s="79"/>
      <c r="K269" s="24"/>
      <c r="L269" s="24"/>
    </row>
    <row r="270" spans="1:12" ht="14.5">
      <c r="A270" s="20" t="s">
        <v>3987</v>
      </c>
      <c r="B270" s="20">
        <v>20</v>
      </c>
      <c r="C270" s="20">
        <v>75</v>
      </c>
      <c r="D270" s="20">
        <v>67</v>
      </c>
      <c r="E270" s="24"/>
      <c r="F270" s="20" t="s">
        <v>3988</v>
      </c>
      <c r="G270" s="24" t="str">
        <f ca="1">IFERROR(__xludf.DUMMYFUNCTION("UPPER(LEFT((GOOGLETRANSLATE(F270,""en"",""pt"")),1))&amp;RIGHT(lower((GOOGLETRANSLATE(F270,""en"",""pt""))),(LEN((GOOGLETRANSLATE(F270,""en"",""pt"")))-1))"),"Detenção prisão")</f>
        <v>Detenção prisão</v>
      </c>
      <c r="H270" s="24" t="s">
        <v>3989</v>
      </c>
      <c r="I270" s="79"/>
      <c r="J270" s="79"/>
      <c r="K270" s="24"/>
      <c r="L270" s="24"/>
    </row>
    <row r="271" spans="1:12" ht="14.5">
      <c r="A271" s="20" t="s">
        <v>3990</v>
      </c>
      <c r="B271" s="20">
        <v>20</v>
      </c>
      <c r="C271" s="20">
        <v>75</v>
      </c>
      <c r="D271" s="20">
        <v>75</v>
      </c>
      <c r="E271" s="24"/>
      <c r="F271" s="20" t="s">
        <v>3991</v>
      </c>
      <c r="G271" s="24" t="str">
        <f ca="1">IFERROR(__xludf.DUMMYFUNCTION("UPPER(LEFT((GOOGLETRANSLATE(F271,""en"",""pt"")),1))&amp;RIGHT(lower((GOOGLETRANSLATE(F271,""en"",""pt""))),(LEN((GOOGLETRANSLATE(F271,""en"",""pt"")))-1))"),"Garantir que entram e saem")</f>
        <v>Garantir que entram e saem</v>
      </c>
      <c r="H271" s="24" t="s">
        <v>3992</v>
      </c>
      <c r="I271" s="79"/>
      <c r="J271" s="79"/>
      <c r="K271" s="24"/>
      <c r="L271" s="24"/>
    </row>
    <row r="272" spans="1:12" ht="14.5">
      <c r="A272" s="20" t="s">
        <v>3993</v>
      </c>
      <c r="B272" s="20">
        <v>20</v>
      </c>
      <c r="C272" s="20">
        <v>75</v>
      </c>
      <c r="D272" s="20">
        <v>77</v>
      </c>
      <c r="E272" s="24"/>
      <c r="F272" s="20" t="s">
        <v>3994</v>
      </c>
      <c r="G272" s="24" t="str">
        <f ca="1">IFERROR(__xludf.DUMMYFUNCTION("UPPER(LEFT((GOOGLETRANSLATE(F272,""en"",""pt"")),1))&amp;RIGHT(lower((GOOGLETRANSLATE(F272,""en"",""pt""))),(LEN((GOOGLETRANSLATE(F272,""en"",""pt"")))-1))"),"Garantir visita")</f>
        <v>Garantir visita</v>
      </c>
      <c r="H272" s="24" t="s">
        <v>3995</v>
      </c>
      <c r="I272" s="79"/>
      <c r="J272" s="79"/>
      <c r="K272" s="24"/>
      <c r="L272" s="24"/>
    </row>
    <row r="273" spans="1:12" ht="14.5">
      <c r="A273" s="20" t="s">
        <v>3996</v>
      </c>
      <c r="B273" s="20">
        <v>20</v>
      </c>
      <c r="C273" s="20">
        <v>75</v>
      </c>
      <c r="D273" s="20">
        <v>95</v>
      </c>
      <c r="E273" s="24"/>
      <c r="F273" s="20" t="s">
        <v>3997</v>
      </c>
      <c r="G273" s="24" t="str">
        <f ca="1">IFERROR(__xludf.DUMMYFUNCTION("UPPER(LEFT((GOOGLETRANSLATE(F273,""en"",""pt"")),1))&amp;RIGHT(lower((GOOGLETRANSLATE(F273,""en"",""pt""))),(LEN((GOOGLETRANSLATE(F273,""en"",""pt"")))-1))"),"Apreensão do veículo")</f>
        <v>Apreensão do veículo</v>
      </c>
      <c r="H273" s="24" t="s">
        <v>3998</v>
      </c>
      <c r="I273" s="79"/>
      <c r="J273" s="79"/>
      <c r="K273" s="24"/>
      <c r="L273" s="24"/>
    </row>
    <row r="274" spans="1:12" ht="14.5">
      <c r="A274" s="20" t="s">
        <v>3999</v>
      </c>
      <c r="B274" s="20">
        <v>20</v>
      </c>
      <c r="C274" s="20">
        <v>80</v>
      </c>
      <c r="D274" s="24"/>
      <c r="E274" s="24"/>
      <c r="F274" s="20" t="s">
        <v>4000</v>
      </c>
      <c r="G274" s="24" t="str">
        <f ca="1">IFERROR(__xludf.DUMMYFUNCTION("UPPER(LEFT((GOOGLETRANSLATE(F274,""en"",""pt"")),1))&amp;RIGHT(lower((GOOGLETRANSLATE(F274,""en"",""pt""))),(LEN((GOOGLETRANSLATE(F274,""en"",""pt"")))-1))"),"Atividades armas de treinamento")</f>
        <v>Atividades armas de treinamento</v>
      </c>
      <c r="H274" s="24" t="s">
        <v>4001</v>
      </c>
      <c r="I274" s="79"/>
      <c r="J274" s="79"/>
      <c r="K274" s="24"/>
      <c r="L274" s="24"/>
    </row>
    <row r="275" spans="1:12" ht="14.5">
      <c r="A275" s="20" t="s">
        <v>4002</v>
      </c>
      <c r="B275" s="20">
        <v>20</v>
      </c>
      <c r="C275" s="20">
        <v>80</v>
      </c>
      <c r="D275" s="20">
        <v>29</v>
      </c>
      <c r="E275" s="24"/>
      <c r="F275" s="20" t="s">
        <v>4003</v>
      </c>
      <c r="G275" s="24" t="str">
        <f ca="1">IFERROR(__xludf.DUMMYFUNCTION("UPPER(LEFT((GOOGLETRANSLATE(F275,""en"",""pt"")),1))&amp;RIGHT(lower((GOOGLETRANSLATE(F275,""en"",""pt""))),(LEN((GOOGLETRANSLATE(F275,""en"",""pt"")))-1))"),"Treinamento de armas de fogo")</f>
        <v>Treinamento de armas de fogo</v>
      </c>
      <c r="H275" s="24" t="s">
        <v>4004</v>
      </c>
      <c r="I275" s="79"/>
      <c r="J275" s="79"/>
      <c r="K275" s="24"/>
      <c r="L275" s="24"/>
    </row>
    <row r="276" spans="1:12" ht="14.5">
      <c r="A276" s="20" t="s">
        <v>4005</v>
      </c>
      <c r="B276" s="20">
        <v>20</v>
      </c>
      <c r="C276" s="20">
        <v>80</v>
      </c>
      <c r="D276" s="20">
        <v>31</v>
      </c>
      <c r="E276" s="24"/>
      <c r="F276" s="20" t="s">
        <v>4006</v>
      </c>
      <c r="G276" s="24" t="str">
        <f ca="1">IFERROR(__xludf.DUMMYFUNCTION("UPPER(LEFT((GOOGLETRANSLATE(F276,""en"",""pt"")),1))&amp;RIGHT(lower((GOOGLETRANSLATE(F276,""en"",""pt""))),(LEN((GOOGLETRANSLATE(F276,""en"",""pt"")))-1))"),"Disparo de armas")</f>
        <v>Disparo de armas</v>
      </c>
      <c r="H276" s="24" t="s">
        <v>4007</v>
      </c>
      <c r="I276" s="79"/>
      <c r="J276" s="79"/>
      <c r="K276" s="24"/>
      <c r="L276" s="24"/>
    </row>
    <row r="277" spans="1:12" ht="14.5">
      <c r="A277" s="20" t="s">
        <v>4008</v>
      </c>
      <c r="B277" s="20">
        <v>20</v>
      </c>
      <c r="C277" s="20">
        <v>85</v>
      </c>
      <c r="D277" s="24"/>
      <c r="E277" s="24"/>
      <c r="F277" s="20" t="s">
        <v>4009</v>
      </c>
      <c r="G277" s="24" t="str">
        <f ca="1">IFERROR(__xludf.DUMMYFUNCTION("UPPER(LEFT((GOOGLETRANSLATE(F277,""en"",""pt"")),1))&amp;RIGHT(lower((GOOGLETRANSLATE(F277,""en"",""pt""))),(LEN((GOOGLETRANSLATE(F277,""en"",""pt"")))-1))"),"Atividades de segurança")</f>
        <v>Atividades de segurança</v>
      </c>
      <c r="H277" s="24" t="s">
        <v>4010</v>
      </c>
      <c r="I277" s="79"/>
      <c r="J277" s="79"/>
      <c r="K277" s="24"/>
      <c r="L277" s="24"/>
    </row>
    <row r="278" spans="1:12" ht="14.5">
      <c r="A278" s="20" t="s">
        <v>4011</v>
      </c>
      <c r="B278" s="20">
        <v>20</v>
      </c>
      <c r="C278" s="20">
        <v>85</v>
      </c>
      <c r="D278" s="20">
        <v>8</v>
      </c>
      <c r="E278" s="24"/>
      <c r="F278" s="20" t="s">
        <v>4012</v>
      </c>
      <c r="G278" s="24" t="str">
        <f ca="1">IFERROR(__xludf.DUMMYFUNCTION("UPPER(LEFT((GOOGLETRANSLATE(F278,""en"",""pt"")),1))&amp;RIGHT(lower((GOOGLETRANSLATE(F278,""en"",""pt""))),(LEN((GOOGLETRANSLATE(F278,""en"",""pt"")))-1))"),"Biométrico de identificação")</f>
        <v>Biométrico de identificação</v>
      </c>
      <c r="H278" s="24" t="s">
        <v>4013</v>
      </c>
      <c r="I278" s="79"/>
      <c r="J278" s="79"/>
      <c r="K278" s="24"/>
      <c r="L278" s="24"/>
    </row>
    <row r="279" spans="1:12" ht="14.5">
      <c r="A279" s="20" t="s">
        <v>4014</v>
      </c>
      <c r="B279" s="20">
        <v>20</v>
      </c>
      <c r="C279" s="20">
        <v>85</v>
      </c>
      <c r="D279" s="20">
        <v>63</v>
      </c>
      <c r="E279" s="24"/>
      <c r="F279" s="20" t="s">
        <v>4015</v>
      </c>
      <c r="G279" s="24" t="str">
        <f ca="1">IFERROR(__xludf.DUMMYFUNCTION("UPPER(LEFT((GOOGLETRANSLATE(F279,""en"",""pt"")),1))&amp;RIGHT(lower((GOOGLETRANSLATE(F279,""en"",""pt""))),(LEN((GOOGLETRANSLATE(F279,""en"",""pt"")))-1))"),"Verificação de segurança de pedestres")</f>
        <v>Verificação de segurança de pedestres</v>
      </c>
      <c r="H279" s="24" t="s">
        <v>4016</v>
      </c>
      <c r="I279" s="79"/>
      <c r="J279" s="79"/>
      <c r="K279" s="24"/>
      <c r="L279" s="24"/>
    </row>
    <row r="280" spans="1:12" ht="14.5">
      <c r="A280" s="20" t="s">
        <v>4017</v>
      </c>
      <c r="B280" s="20">
        <v>20</v>
      </c>
      <c r="C280" s="20">
        <v>85</v>
      </c>
      <c r="D280" s="20">
        <v>77</v>
      </c>
      <c r="E280" s="24"/>
      <c r="F280" s="20" t="s">
        <v>4018</v>
      </c>
      <c r="G280" s="24" t="str">
        <f ca="1">IFERROR(__xludf.DUMMYFUNCTION("UPPER(LEFT((GOOGLETRANSLATE(F280,""en"",""pt"")),1))&amp;RIGHT(lower((GOOGLETRANSLATE(F280,""en"",""pt""))),(LEN((GOOGLETRANSLATE(F280,""en"",""pt"")))-1))"),"Atividades de seguros")</f>
        <v>Atividades de seguros</v>
      </c>
      <c r="H280" s="24" t="s">
        <v>4019</v>
      </c>
      <c r="I280" s="79"/>
      <c r="J280" s="79"/>
      <c r="K280" s="24"/>
      <c r="L280" s="24"/>
    </row>
    <row r="281" spans="1:12" ht="14.5">
      <c r="A281" s="20" t="s">
        <v>4020</v>
      </c>
      <c r="B281" s="20">
        <v>20</v>
      </c>
      <c r="C281" s="20">
        <v>85</v>
      </c>
      <c r="D281" s="20">
        <v>79</v>
      </c>
      <c r="E281" s="24"/>
      <c r="F281" s="20" t="s">
        <v>4021</v>
      </c>
      <c r="G281" s="24" t="str">
        <f ca="1">IFERROR(__xludf.DUMMYFUNCTION("UPPER(LEFT((GOOGLETRANSLATE(F281,""en"",""pt"")),1))&amp;RIGHT(lower((GOOGLETRANSLATE(F281,""en"",""pt""))),(LEN((GOOGLETRANSLATE(F281,""en"",""pt"")))-1))"),"Actividades sensíveis")</f>
        <v>Actividades sensíveis</v>
      </c>
      <c r="H281" s="24" t="s">
        <v>4022</v>
      </c>
      <c r="I281" s="79"/>
      <c r="J281" s="79"/>
      <c r="K281" s="24"/>
      <c r="L281" s="24"/>
    </row>
    <row r="282" spans="1:12" ht="14.5">
      <c r="A282" s="20" t="s">
        <v>4023</v>
      </c>
      <c r="B282" s="20">
        <v>20</v>
      </c>
      <c r="C282" s="20">
        <v>85</v>
      </c>
      <c r="D282" s="20">
        <v>95</v>
      </c>
      <c r="E282" s="24"/>
      <c r="F282" s="20" t="s">
        <v>4024</v>
      </c>
      <c r="G282" s="24" t="str">
        <f ca="1">IFERROR(__xludf.DUMMYFUNCTION("UPPER(LEFT((GOOGLETRANSLATE(F282,""en"",""pt"")),1))&amp;RIGHT(lower((GOOGLETRANSLATE(F282,""en"",""pt""))),(LEN((GOOGLETRANSLATE(F282,""en"",""pt"")))-1))"),"Verificação de segurança veicular")</f>
        <v>Verificação de segurança veicular</v>
      </c>
      <c r="H282" s="24" t="s">
        <v>4025</v>
      </c>
      <c r="I282" s="79"/>
      <c r="J282" s="79"/>
      <c r="K282" s="24"/>
      <c r="L282" s="24"/>
    </row>
    <row r="283" spans="1:12" ht="14.5">
      <c r="A283" s="20" t="s">
        <v>4026</v>
      </c>
      <c r="B283" s="20">
        <v>20</v>
      </c>
      <c r="C283" s="20">
        <v>90</v>
      </c>
      <c r="D283" s="24"/>
      <c r="E283" s="24"/>
      <c r="F283" s="20" t="s">
        <v>4027</v>
      </c>
      <c r="G283" s="24" t="str">
        <f ca="1">IFERROR(__xludf.DUMMYFUNCTION("UPPER(LEFT((GOOGLETRANSLATE(F283,""en"",""pt"")),1))&amp;RIGHT(lower((GOOGLETRANSLATE(F283,""en"",""pt""))),(LEN((GOOGLETRANSLATE(F283,""en"",""pt"")))-1))"),"Atividades de apoio incidentes")</f>
        <v>Atividades de apoio incidentes</v>
      </c>
      <c r="H283" s="24" t="s">
        <v>4028</v>
      </c>
      <c r="I283" s="79"/>
      <c r="J283" s="79"/>
      <c r="K283" s="24"/>
      <c r="L283" s="24"/>
    </row>
    <row r="284" spans="1:12" ht="14.5">
      <c r="A284" s="20" t="s">
        <v>4029</v>
      </c>
      <c r="B284" s="20">
        <v>20</v>
      </c>
      <c r="C284" s="20">
        <v>90</v>
      </c>
      <c r="D284" s="20">
        <v>31</v>
      </c>
      <c r="E284" s="24"/>
      <c r="F284" s="20" t="s">
        <v>4030</v>
      </c>
      <c r="G284" s="24" t="str">
        <f ca="1">IFERROR(__xludf.DUMMYFUNCTION("UPPER(LEFT((GOOGLETRANSLATE(F284,""en"",""pt"")),1))&amp;RIGHT(lower((GOOGLETRANSLATE(F284,""en"",""pt""))),(LEN((GOOGLETRANSLATE(F284,""en"",""pt"")))-1))"),"Treinamento de incêndio")</f>
        <v>Treinamento de incêndio</v>
      </c>
      <c r="H284" s="24" t="s">
        <v>4031</v>
      </c>
      <c r="I284" s="79"/>
      <c r="J284" s="79"/>
      <c r="K284" s="24"/>
      <c r="L284" s="24"/>
    </row>
    <row r="285" spans="1:12" ht="14.5">
      <c r="A285" s="20" t="s">
        <v>4032</v>
      </c>
      <c r="B285" s="20">
        <v>20</v>
      </c>
      <c r="C285" s="20">
        <v>90</v>
      </c>
      <c r="D285" s="20">
        <v>41</v>
      </c>
      <c r="E285" s="24"/>
      <c r="F285" s="20" t="s">
        <v>4033</v>
      </c>
      <c r="G285" s="24" t="str">
        <f ca="1">IFERROR(__xludf.DUMMYFUNCTION("UPPER(LEFT((GOOGLETRANSLATE(F285,""en"",""pt"")),1))&amp;RIGHT(lower((GOOGLETRANSLATE(F285,""en"",""pt""))),(LEN((GOOGLETRANSLATE(F285,""en"",""pt"")))-1))"),"Prevenção de incidentes")</f>
        <v>Prevenção de incidentes</v>
      </c>
      <c r="H285" s="24" t="s">
        <v>4034</v>
      </c>
      <c r="I285" s="79"/>
      <c r="J285" s="79"/>
      <c r="K285" s="24"/>
      <c r="L285" s="24"/>
    </row>
    <row r="286" spans="1:12" ht="14.5">
      <c r="A286" s="20" t="s">
        <v>4035</v>
      </c>
      <c r="B286" s="20">
        <v>20</v>
      </c>
      <c r="C286" s="20">
        <v>90</v>
      </c>
      <c r="D286" s="20">
        <v>42</v>
      </c>
      <c r="E286" s="24"/>
      <c r="F286" s="20" t="s">
        <v>4036</v>
      </c>
      <c r="G286" s="24" t="str">
        <f ca="1">IFERROR(__xludf.DUMMYFUNCTION("UPPER(LEFT((GOOGLETRANSLATE(F286,""en"",""pt"")),1))&amp;RIGHT(lower((GOOGLETRANSLATE(F286,""en"",""pt""))),(LEN((GOOGLETRANSLATE(F286,""en"",""pt"")))-1))"),"Apoio incidente")</f>
        <v>Apoio incidente</v>
      </c>
      <c r="H286" s="24" t="s">
        <v>4037</v>
      </c>
      <c r="I286" s="79"/>
      <c r="J286" s="79"/>
      <c r="K286" s="24"/>
      <c r="L286" s="24"/>
    </row>
    <row r="287" spans="1:12" ht="14.5">
      <c r="A287" s="20" t="s">
        <v>4038</v>
      </c>
      <c r="B287" s="20">
        <v>20</v>
      </c>
      <c r="C287" s="20">
        <v>90</v>
      </c>
      <c r="D287" s="20">
        <v>78</v>
      </c>
      <c r="E287" s="24"/>
      <c r="F287" s="20" t="s">
        <v>4039</v>
      </c>
      <c r="G287" s="24" t="str">
        <f ca="1">IFERROR(__xludf.DUMMYFUNCTION("UPPER(LEFT((GOOGLETRANSLATE(F287,""en"",""pt"")),1))&amp;RIGHT(lower((GOOGLETRANSLATE(F287,""en"",""pt""))),(LEN((GOOGLETRANSLATE(F287,""en"",""pt"")))-1))"),"Protegendo do fogo")</f>
        <v>Protegendo do fogo</v>
      </c>
      <c r="H287" s="24" t="s">
        <v>4040</v>
      </c>
      <c r="I287" s="79"/>
      <c r="J287" s="79"/>
      <c r="K287" s="24"/>
      <c r="L287" s="24"/>
    </row>
    <row r="288" spans="1:12" ht="14.5">
      <c r="A288" s="20" t="s">
        <v>4041</v>
      </c>
      <c r="B288" s="20">
        <v>25</v>
      </c>
      <c r="C288" s="24"/>
      <c r="D288" s="24"/>
      <c r="E288" s="24"/>
      <c r="F288" s="20" t="s">
        <v>4042</v>
      </c>
      <c r="G288" s="24" t="str">
        <f ca="1">IFERROR(__xludf.DUMMYFUNCTION("UPPER(LEFT((GOOGLETRANSLATE(F288,""en"",""pt"")),1))&amp;RIGHT(lower((GOOGLETRANSLATE(F288,""en"",""pt""))),(LEN((GOOGLETRANSLATE(F288,""en"",""pt"")))-1))"),"Culturais, educacionais, científicos e de informação actividades")</f>
        <v>Culturais, educacionais, científicos e de informação actividades</v>
      </c>
      <c r="H288" s="24" t="s">
        <v>4043</v>
      </c>
      <c r="I288" s="79"/>
      <c r="J288" s="79"/>
      <c r="K288" s="24"/>
      <c r="L288" s="24"/>
    </row>
    <row r="289" spans="1:12" ht="14.5">
      <c r="A289" s="20" t="s">
        <v>4044</v>
      </c>
      <c r="B289" s="20">
        <v>25</v>
      </c>
      <c r="C289" s="20">
        <v>5</v>
      </c>
      <c r="D289" s="24"/>
      <c r="E289" s="24"/>
      <c r="F289" s="20" t="s">
        <v>4045</v>
      </c>
      <c r="G289" s="24" t="str">
        <f ca="1">IFERROR(__xludf.DUMMYFUNCTION("UPPER(LEFT((GOOGLETRANSLATE(F289,""en"",""pt"")),1))&amp;RIGHT(lower((GOOGLETRANSLATE(F289,""en"",""pt""))),(LEN((GOOGLETRANSLATE(F289,""en"",""pt"")))-1))"),"Atividades de comemoração")</f>
        <v>Atividades de comemoração</v>
      </c>
      <c r="H289" s="24" t="s">
        <v>4046</v>
      </c>
      <c r="I289" s="79"/>
      <c r="J289" s="79"/>
      <c r="K289" s="24"/>
      <c r="L289" s="24"/>
    </row>
    <row r="290" spans="1:12" ht="14.5">
      <c r="A290" s="20" t="s">
        <v>4047</v>
      </c>
      <c r="B290" s="20">
        <v>25</v>
      </c>
      <c r="C290" s="20">
        <v>5</v>
      </c>
      <c r="D290" s="20">
        <v>15</v>
      </c>
      <c r="E290" s="24"/>
      <c r="F290" s="20" t="s">
        <v>4048</v>
      </c>
      <c r="G290" s="24" t="str">
        <f ca="1">IFERROR(__xludf.DUMMYFUNCTION("UPPER(LEFT((GOOGLETRANSLATE(F290,""en"",""pt"")),1))&amp;RIGHT(lower((GOOGLETRANSLATE(F290,""en"",""pt""))),(LEN((GOOGLETRANSLATE(F290,""en"",""pt"")))-1))"),"Eventos de comemoração")</f>
        <v>Eventos de comemoração</v>
      </c>
      <c r="H290" s="24" t="s">
        <v>4049</v>
      </c>
      <c r="I290" s="79"/>
      <c r="J290" s="79"/>
      <c r="K290" s="24"/>
      <c r="L290" s="24"/>
    </row>
    <row r="291" spans="1:12" ht="14.5">
      <c r="A291" s="20" t="s">
        <v>4050</v>
      </c>
      <c r="B291" s="20">
        <v>25</v>
      </c>
      <c r="C291" s="20">
        <v>10</v>
      </c>
      <c r="D291" s="24"/>
      <c r="E291" s="24"/>
      <c r="F291" s="20" t="s">
        <v>4051</v>
      </c>
      <c r="G291" s="24" t="str">
        <f ca="1">IFERROR(__xludf.DUMMYFUNCTION("UPPER(LEFT((GOOGLETRANSLATE(F291,""en"",""pt"")),1))&amp;RIGHT(lower((GOOGLETRANSLATE(F291,""en"",""pt""))),(LEN((GOOGLETRANSLATE(F291,""en"",""pt"")))-1))"),"Atividades educacionais")</f>
        <v>Atividades educacionais</v>
      </c>
      <c r="H291" s="24" t="s">
        <v>4052</v>
      </c>
      <c r="I291" s="79"/>
      <c r="J291" s="79"/>
      <c r="K291" s="24"/>
      <c r="L291" s="24"/>
    </row>
    <row r="292" spans="1:12" ht="14.5">
      <c r="A292" s="20" t="s">
        <v>4053</v>
      </c>
      <c r="B292" s="20">
        <v>25</v>
      </c>
      <c r="C292" s="20">
        <v>10</v>
      </c>
      <c r="D292" s="20">
        <v>5</v>
      </c>
      <c r="E292" s="24"/>
      <c r="F292" s="20" t="s">
        <v>4054</v>
      </c>
      <c r="G292" s="24" t="str">
        <f ca="1">IFERROR(__xludf.DUMMYFUNCTION("UPPER(LEFT((GOOGLETRANSLATE(F292,""en"",""pt"")),1))&amp;RIGHT(lower((GOOGLETRANSLATE(F292,""en"",""pt""))),(LEN((GOOGLETRANSLATE(F292,""en"",""pt"")))-1))"),"Montagem")</f>
        <v>Montagem</v>
      </c>
      <c r="H292" s="24" t="s">
        <v>4055</v>
      </c>
      <c r="I292" s="79"/>
      <c r="J292" s="79"/>
      <c r="K292" s="24"/>
      <c r="L292" s="24"/>
    </row>
    <row r="293" spans="1:12" ht="14.5">
      <c r="A293" s="20" t="s">
        <v>4056</v>
      </c>
      <c r="B293" s="20">
        <v>25</v>
      </c>
      <c r="C293" s="20">
        <v>10</v>
      </c>
      <c r="D293" s="20">
        <v>15</v>
      </c>
      <c r="E293" s="24"/>
      <c r="F293" s="20" t="s">
        <v>4057</v>
      </c>
      <c r="G293" s="24" t="str">
        <f ca="1">IFERROR(__xludf.DUMMYFUNCTION("UPPER(LEFT((GOOGLETRANSLATE(F293,""en"",""pt"")),1))&amp;RIGHT(lower((GOOGLETRANSLATE(F293,""en"",""pt""))),(LEN((GOOGLETRANSLATE(F293,""en"",""pt"")))-1))"),"Atividades educacionais comuns")</f>
        <v>Atividades educacionais comuns</v>
      </c>
      <c r="H293" s="24" t="s">
        <v>4058</v>
      </c>
      <c r="I293" s="79"/>
      <c r="J293" s="79"/>
      <c r="K293" s="24"/>
      <c r="L293" s="24"/>
    </row>
    <row r="294" spans="1:12" ht="14.5">
      <c r="A294" s="20" t="s">
        <v>4059</v>
      </c>
      <c r="B294" s="20">
        <v>25</v>
      </c>
      <c r="C294" s="20">
        <v>10</v>
      </c>
      <c r="D294" s="20">
        <v>26</v>
      </c>
      <c r="E294" s="24"/>
      <c r="F294" s="20" t="s">
        <v>4060</v>
      </c>
      <c r="G294" s="24" t="str">
        <f ca="1">IFERROR(__xludf.DUMMYFUNCTION("UPPER(LEFT((GOOGLETRANSLATE(F294,""en"",""pt"")),1))&amp;RIGHT(lower((GOOGLETRANSLATE(F294,""en"",""pt""))),(LEN((GOOGLETRANSLATE(F294,""en"",""pt"")))-1))"),"Propinas condução")</f>
        <v>Propinas condução</v>
      </c>
      <c r="H294" s="24" t="s">
        <v>4061</v>
      </c>
      <c r="I294" s="79"/>
      <c r="J294" s="79"/>
      <c r="K294" s="24"/>
      <c r="L294" s="24"/>
    </row>
    <row r="295" spans="1:12" ht="14.5">
      <c r="A295" s="20" t="s">
        <v>4062</v>
      </c>
      <c r="B295" s="20">
        <v>25</v>
      </c>
      <c r="C295" s="20">
        <v>10</v>
      </c>
      <c r="D295" s="20">
        <v>35</v>
      </c>
      <c r="E295" s="24"/>
      <c r="F295" s="20" t="s">
        <v>4063</v>
      </c>
      <c r="G295" s="24" t="str">
        <f ca="1">IFERROR(__xludf.DUMMYFUNCTION("UPPER(LEFT((GOOGLETRANSLATE(F295,""en"",""pt"")),1))&amp;RIGHT(lower((GOOGLETRANSLATE(F295,""en"",""pt""))),(LEN((GOOGLETRANSLATE(F295,""en"",""pt"")))-1))"),"Trabalho em equipe")</f>
        <v>Trabalho em equipe</v>
      </c>
      <c r="H295" s="24" t="s">
        <v>4064</v>
      </c>
      <c r="I295" s="79"/>
      <c r="J295" s="79"/>
      <c r="K295" s="24"/>
      <c r="L295" s="24"/>
    </row>
    <row r="296" spans="1:12" ht="14.5">
      <c r="A296" s="20" t="s">
        <v>4065</v>
      </c>
      <c r="B296" s="20">
        <v>25</v>
      </c>
      <c r="C296" s="20">
        <v>10</v>
      </c>
      <c r="D296" s="20">
        <v>47</v>
      </c>
      <c r="E296" s="24"/>
      <c r="F296" s="20" t="s">
        <v>4066</v>
      </c>
      <c r="G296" s="24" t="str">
        <f ca="1">IFERROR(__xludf.DUMMYFUNCTION("UPPER(LEFT((GOOGLETRANSLATE(F296,""en"",""pt"")),1))&amp;RIGHT(lower((GOOGLETRANSLATE(F296,""en"",""pt""))),(LEN((GOOGLETRANSLATE(F296,""en"",""pt"")))-1))"),"Palestras")</f>
        <v>Palestras</v>
      </c>
      <c r="H296" s="24" t="s">
        <v>4067</v>
      </c>
      <c r="I296" s="79"/>
      <c r="J296" s="79"/>
      <c r="K296" s="24"/>
      <c r="L296" s="24"/>
    </row>
    <row r="297" spans="1:12" ht="14.5">
      <c r="A297" s="20" t="s">
        <v>4068</v>
      </c>
      <c r="B297" s="20">
        <v>25</v>
      </c>
      <c r="C297" s="20">
        <v>10</v>
      </c>
      <c r="D297" s="20">
        <v>71</v>
      </c>
      <c r="E297" s="24"/>
      <c r="F297" s="20" t="s">
        <v>4069</v>
      </c>
      <c r="G297" s="24" t="str">
        <f ca="1">IFERROR(__xludf.DUMMYFUNCTION("UPPER(LEFT((GOOGLETRANSLATE(F297,""en"",""pt"")),1))&amp;RIGHT(lower((GOOGLETRANSLATE(F297,""en"",""pt""))),(LEN((GOOGLETRANSLATE(F297,""en"",""pt"")))-1))"),"Pesquisando")</f>
        <v>Pesquisando</v>
      </c>
      <c r="H297" s="24" t="s">
        <v>4070</v>
      </c>
      <c r="I297" s="79"/>
      <c r="J297" s="79"/>
      <c r="K297" s="24"/>
      <c r="L297" s="24"/>
    </row>
    <row r="298" spans="1:12" ht="14.5">
      <c r="A298" s="20" t="s">
        <v>4071</v>
      </c>
      <c r="B298" s="20">
        <v>25</v>
      </c>
      <c r="C298" s="20">
        <v>10</v>
      </c>
      <c r="D298" s="20">
        <v>78</v>
      </c>
      <c r="E298" s="24"/>
      <c r="F298" s="20" t="s">
        <v>4072</v>
      </c>
      <c r="G298" s="24" t="str">
        <f ca="1">IFERROR(__xludf.DUMMYFUNCTION("UPPER(LEFT((GOOGLETRANSLATE(F298,""en"",""pt"")),1))&amp;RIGHT(lower((GOOGLETRANSLATE(F298,""en"",""pt""))),(LEN((GOOGLETRANSLATE(F298,""en"",""pt"")))-1))"),"Atividades de seminário")</f>
        <v>Atividades de seminário</v>
      </c>
      <c r="H298" s="24" t="s">
        <v>4073</v>
      </c>
      <c r="I298" s="79"/>
      <c r="J298" s="79"/>
      <c r="K298" s="24"/>
      <c r="L298" s="24"/>
    </row>
    <row r="299" spans="1:12" ht="14.5">
      <c r="A299" s="20" t="s">
        <v>4074</v>
      </c>
      <c r="B299" s="20">
        <v>25</v>
      </c>
      <c r="C299" s="20">
        <v>10</v>
      </c>
      <c r="D299" s="20">
        <v>84</v>
      </c>
      <c r="E299" s="24"/>
      <c r="F299" s="20" t="s">
        <v>4075</v>
      </c>
      <c r="G299" s="24" t="str">
        <f ca="1">IFERROR(__xludf.DUMMYFUNCTION("UPPER(LEFT((GOOGLETRANSLATE(F299,""en"",""pt"")),1))&amp;RIGHT(lower((GOOGLETRANSLATE(F299,""en"",""pt""))),(LEN((GOOGLETRANSLATE(F299,""en"",""pt"")))-1))"),"Estudando")</f>
        <v>Estudando</v>
      </c>
      <c r="H299" s="24" t="s">
        <v>4076</v>
      </c>
      <c r="I299" s="79"/>
      <c r="J299" s="79"/>
      <c r="K299" s="24"/>
      <c r="L299" s="24"/>
    </row>
    <row r="300" spans="1:12" ht="14.5">
      <c r="A300" s="20" t="s">
        <v>4077</v>
      </c>
      <c r="B300" s="20">
        <v>25</v>
      </c>
      <c r="C300" s="20">
        <v>10</v>
      </c>
      <c r="D300" s="20">
        <v>88</v>
      </c>
      <c r="E300" s="24"/>
      <c r="F300" s="20" t="s">
        <v>4078</v>
      </c>
      <c r="G300" s="24" t="str">
        <f ca="1">IFERROR(__xludf.DUMMYFUNCTION("UPPER(LEFT((GOOGLETRANSLATE(F300,""en"",""pt"")),1))&amp;RIGHT(lower((GOOGLETRANSLATE(F300,""en"",""pt""))),(LEN((GOOGLETRANSLATE(F300,""en"",""pt"")))-1))"),"Ensino")</f>
        <v>Ensino</v>
      </c>
      <c r="H300" s="24" t="s">
        <v>4079</v>
      </c>
      <c r="I300" s="79"/>
      <c r="J300" s="79"/>
      <c r="K300" s="24"/>
      <c r="L300" s="24"/>
    </row>
    <row r="301" spans="1:12" ht="14.5">
      <c r="A301" s="20" t="s">
        <v>4080</v>
      </c>
      <c r="B301" s="20">
        <v>25</v>
      </c>
      <c r="C301" s="20">
        <v>20</v>
      </c>
      <c r="D301" s="24"/>
      <c r="E301" s="24"/>
      <c r="F301" s="20" t="s">
        <v>4081</v>
      </c>
      <c r="G301" s="24" t="str">
        <f ca="1">IFERROR(__xludf.DUMMYFUNCTION("UPPER(LEFT((GOOGLETRANSLATE(F301,""en"",""pt"")),1))&amp;RIGHT(lower((GOOGLETRANSLATE(F301,""en"",""pt""))),(LEN((GOOGLETRANSLATE(F301,""en"",""pt"")))-1))"),"Atividades de design e artesanato")</f>
        <v>Atividades de design e artesanato</v>
      </c>
      <c r="H301" s="24" t="s">
        <v>4082</v>
      </c>
      <c r="I301" s="79"/>
      <c r="J301" s="79"/>
      <c r="K301" s="24"/>
      <c r="L301" s="24"/>
    </row>
    <row r="302" spans="1:12" ht="14.5">
      <c r="A302" s="20" t="s">
        <v>4083</v>
      </c>
      <c r="B302" s="20">
        <v>25</v>
      </c>
      <c r="C302" s="20">
        <v>20</v>
      </c>
      <c r="D302" s="20">
        <v>13</v>
      </c>
      <c r="E302" s="24"/>
      <c r="F302" s="20" t="s">
        <v>4084</v>
      </c>
      <c r="G302" s="24" t="str">
        <f ca="1">IFERROR(__xludf.DUMMYFUNCTION("UPPER(LEFT((GOOGLETRANSLATE(F302,""en"",""pt"")),1))&amp;RIGHT(lower((GOOGLETRANSLATE(F302,""en"",""pt""))),(LEN((GOOGLETRANSLATE(F302,""en"",""pt"")))-1))"),"Tomada de cerâmica")</f>
        <v>Tomada de cerâmica</v>
      </c>
      <c r="H302" s="24" t="s">
        <v>4085</v>
      </c>
      <c r="I302" s="79"/>
      <c r="J302" s="79"/>
      <c r="K302" s="24"/>
      <c r="L302" s="24"/>
    </row>
    <row r="303" spans="1:12" ht="14.5">
      <c r="A303" s="20" t="s">
        <v>4086</v>
      </c>
      <c r="B303" s="20">
        <v>25</v>
      </c>
      <c r="C303" s="20">
        <v>20</v>
      </c>
      <c r="D303" s="20">
        <v>15</v>
      </c>
      <c r="E303" s="24"/>
      <c r="F303" s="20" t="s">
        <v>4087</v>
      </c>
      <c r="G303" s="24" t="str">
        <f ca="1">IFERROR(__xludf.DUMMYFUNCTION("UPPER(LEFT((GOOGLETRANSLATE(F303,""en"",""pt"")),1))&amp;RIGHT(lower((GOOGLETRANSLATE(F303,""en"",""pt""))),(LEN((GOOGLETRANSLATE(F303,""en"",""pt"")))-1))"),"Actividades artesanais")</f>
        <v>Actividades artesanais</v>
      </c>
      <c r="H303" s="24" t="s">
        <v>4088</v>
      </c>
      <c r="I303" s="79"/>
      <c r="J303" s="79"/>
      <c r="K303" s="24"/>
      <c r="L303" s="24"/>
    </row>
    <row r="304" spans="1:12" ht="14.5">
      <c r="A304" s="20" t="s">
        <v>4089</v>
      </c>
      <c r="B304" s="20">
        <v>25</v>
      </c>
      <c r="C304" s="20">
        <v>20</v>
      </c>
      <c r="D304" s="20">
        <v>21</v>
      </c>
      <c r="E304" s="24"/>
      <c r="F304" s="20" t="s">
        <v>4090</v>
      </c>
      <c r="G304" s="24" t="str">
        <f ca="1">IFERROR(__xludf.DUMMYFUNCTION("UPPER(LEFT((GOOGLETRANSLATE(F304,""en"",""pt"")),1))&amp;RIGHT(lower((GOOGLETRANSLATE(F304,""en"",""pt""))),(LEN((GOOGLETRANSLATE(F304,""en"",""pt"")))-1))"),"Desenho")</f>
        <v>Desenho</v>
      </c>
      <c r="H304" s="24" t="s">
        <v>4091</v>
      </c>
      <c r="I304" s="79"/>
      <c r="J304" s="79"/>
      <c r="K304" s="24"/>
      <c r="L304" s="24"/>
    </row>
    <row r="305" spans="1:12" ht="14.5">
      <c r="A305" s="20" t="s">
        <v>4092</v>
      </c>
      <c r="B305" s="20">
        <v>25</v>
      </c>
      <c r="C305" s="20">
        <v>20</v>
      </c>
      <c r="D305" s="20">
        <v>24</v>
      </c>
      <c r="E305" s="24"/>
      <c r="F305" s="20" t="s">
        <v>4093</v>
      </c>
      <c r="G305" s="24" t="str">
        <f ca="1">IFERROR(__xludf.DUMMYFUNCTION("UPPER(LEFT((GOOGLETRANSLATE(F305,""en"",""pt"")),1))&amp;RIGHT(lower((GOOGLETRANSLATE(F305,""en"",""pt""))),(LEN((GOOGLETRANSLATE(F305,""en"",""pt"")))-1))"),"Desenhando")</f>
        <v>Desenhando</v>
      </c>
      <c r="H305" s="24" t="s">
        <v>4094</v>
      </c>
      <c r="I305" s="79"/>
      <c r="J305" s="79"/>
      <c r="K305" s="24"/>
      <c r="L305" s="24"/>
    </row>
    <row r="306" spans="1:12" ht="14.5">
      <c r="A306" s="20" t="s">
        <v>4095</v>
      </c>
      <c r="B306" s="20">
        <v>25</v>
      </c>
      <c r="C306" s="20">
        <v>20</v>
      </c>
      <c r="D306" s="20">
        <v>60</v>
      </c>
      <c r="E306" s="24"/>
      <c r="F306" s="20" t="s">
        <v>4096</v>
      </c>
      <c r="G306" s="24" t="str">
        <f ca="1">IFERROR(__xludf.DUMMYFUNCTION("UPPER(LEFT((GOOGLETRANSLATE(F306,""en"",""pt"")),1))&amp;RIGHT(lower((GOOGLETRANSLATE(F306,""en"",""pt""))),(LEN((GOOGLETRANSLATE(F306,""en"",""pt"")))-1))"),"Pintura")</f>
        <v>Pintura</v>
      </c>
      <c r="H306" s="24" t="s">
        <v>4097</v>
      </c>
      <c r="I306" s="79"/>
      <c r="J306" s="79"/>
      <c r="K306" s="24"/>
      <c r="L306" s="24"/>
    </row>
    <row r="307" spans="1:12" ht="14.5" hidden="1">
      <c r="A307" s="20" t="s">
        <v>4098</v>
      </c>
      <c r="B307" s="20">
        <v>25</v>
      </c>
      <c r="C307" s="20">
        <v>20</v>
      </c>
      <c r="D307" s="20">
        <v>88</v>
      </c>
      <c r="E307" s="24"/>
      <c r="F307" s="20" t="s">
        <v>4099</v>
      </c>
      <c r="G307" s="24" t="str">
        <f ca="1">IFERROR(__xludf.DUMMYFUNCTION("UPPER(LEFT((GOOGLETRANSLATE(F307,""en"",""pt"")),1))&amp;RIGHT(lower((GOOGLETRANSLATE(F307,""en"",""pt""))),(LEN((GOOGLETRANSLATE(F307,""en"",""pt"")))-1))"),"Desenho técnico")</f>
        <v>Desenho técnico</v>
      </c>
      <c r="H307" s="24" t="s">
        <v>4100</v>
      </c>
      <c r="I307" s="81" t="s">
        <v>2004</v>
      </c>
      <c r="J307" s="79"/>
      <c r="K307" s="24"/>
      <c r="L307" s="24"/>
    </row>
    <row r="308" spans="1:12" ht="14.5" hidden="1">
      <c r="A308" s="20" t="s">
        <v>4101</v>
      </c>
      <c r="B308" s="20">
        <v>25</v>
      </c>
      <c r="C308" s="20">
        <v>30</v>
      </c>
      <c r="D308" s="24"/>
      <c r="E308" s="24"/>
      <c r="F308" s="20" t="s">
        <v>4102</v>
      </c>
      <c r="G308" s="24" t="str">
        <f ca="1">IFERROR(__xludf.DUMMYFUNCTION("UPPER(LEFT((GOOGLETRANSLATE(F308,""en"",""pt"")),1))&amp;RIGHT(lower((GOOGLETRANSLATE(F308,""en"",""pt""))),(LEN((GOOGLETRANSLATE(F308,""en"",""pt"")))-1))"),"Atividades científicas e laboratoriais")</f>
        <v>Atividades científicas e laboratoriais</v>
      </c>
      <c r="H308" s="24" t="s">
        <v>4103</v>
      </c>
      <c r="I308" s="81" t="s">
        <v>2004</v>
      </c>
      <c r="J308" s="79"/>
      <c r="K308" s="24"/>
      <c r="L308" s="24"/>
    </row>
    <row r="309" spans="1:12" ht="14.5">
      <c r="A309" s="20" t="s">
        <v>4104</v>
      </c>
      <c r="B309" s="20">
        <v>25</v>
      </c>
      <c r="C309" s="20">
        <v>30</v>
      </c>
      <c r="D309" s="20">
        <v>2</v>
      </c>
      <c r="E309" s="24"/>
      <c r="F309" s="20" t="s">
        <v>4105</v>
      </c>
      <c r="G309" s="24" t="str">
        <f ca="1">IFERROR(__xludf.DUMMYFUNCTION("UPPER(LEFT((GOOGLETRANSLATE(F309,""en"",""pt"")),1))&amp;RIGHT(lower((GOOGLETRANSLATE(F309,""en"",""pt""))),(LEN((GOOGLETRANSLATE(F309,""en"",""pt"")))-1))"),"Actividades câmara anecóica")</f>
        <v>Actividades câmara anecóica</v>
      </c>
      <c r="H309" s="24" t="s">
        <v>4106</v>
      </c>
      <c r="I309" s="79"/>
      <c r="J309" s="79"/>
      <c r="K309" s="24"/>
      <c r="L309" s="24"/>
    </row>
    <row r="310" spans="1:12" ht="14.5" hidden="1">
      <c r="A310" s="20" t="s">
        <v>4107</v>
      </c>
      <c r="B310" s="20">
        <v>25</v>
      </c>
      <c r="C310" s="20">
        <v>30</v>
      </c>
      <c r="D310" s="20">
        <v>4</v>
      </c>
      <c r="E310" s="24"/>
      <c r="F310" s="20" t="s">
        <v>4108</v>
      </c>
      <c r="G310" s="24" t="str">
        <f ca="1">IFERROR(__xludf.DUMMYFUNCTION("UPPER(LEFT((GOOGLETRANSLATE(F310,""en"",""pt"")),1))&amp;RIGHT(lower((GOOGLETRANSLATE(F310,""en"",""pt""))),(LEN((GOOGLETRANSLATE(F310,""en"",""pt"")))-1))"),"Atividades de astronomia")</f>
        <v>Atividades de astronomia</v>
      </c>
      <c r="H310" s="24" t="s">
        <v>4109</v>
      </c>
      <c r="I310" s="81" t="s">
        <v>2004</v>
      </c>
      <c r="J310" s="79"/>
      <c r="K310" s="24"/>
      <c r="L310" s="24"/>
    </row>
    <row r="311" spans="1:12" ht="14.5" hidden="1">
      <c r="A311" s="20" t="s">
        <v>4110</v>
      </c>
      <c r="B311" s="20">
        <v>25</v>
      </c>
      <c r="C311" s="20">
        <v>30</v>
      </c>
      <c r="D311" s="20">
        <v>7</v>
      </c>
      <c r="E311" s="24"/>
      <c r="F311" s="20" t="s">
        <v>4111</v>
      </c>
      <c r="G311" s="24" t="str">
        <f ca="1">IFERROR(__xludf.DUMMYFUNCTION("UPPER(LEFT((GOOGLETRANSLATE(F311,""en"",""pt"")),1))&amp;RIGHT(lower((GOOGLETRANSLATE(F311,""en"",""pt""))),(LEN((GOOGLETRANSLATE(F311,""en"",""pt"")))-1))"),"Atividades de biologia")</f>
        <v>Atividades de biologia</v>
      </c>
      <c r="H311" s="24" t="s">
        <v>4112</v>
      </c>
      <c r="I311" s="81" t="s">
        <v>2004</v>
      </c>
      <c r="J311" s="79"/>
      <c r="K311" s="24"/>
      <c r="L311" s="24"/>
    </row>
    <row r="312" spans="1:12" ht="14.5" hidden="1">
      <c r="A312" s="20" t="s">
        <v>4113</v>
      </c>
      <c r="B312" s="20">
        <v>25</v>
      </c>
      <c r="C312" s="20">
        <v>30</v>
      </c>
      <c r="D312" s="20">
        <v>10</v>
      </c>
      <c r="E312" s="24"/>
      <c r="F312" s="20" t="s">
        <v>4114</v>
      </c>
      <c r="G312" s="24" t="str">
        <f ca="1">IFERROR(__xludf.DUMMYFUNCTION("UPPER(LEFT((GOOGLETRANSLATE(F312,""en"",""pt"")),1))&amp;RIGHT(lower((GOOGLETRANSLATE(F312,""en"",""pt""))),(LEN((GOOGLETRANSLATE(F312,""en"",""pt"")))-1))"),"Atividades bioscience")</f>
        <v>Atividades bioscience</v>
      </c>
      <c r="H312" s="20" t="s">
        <v>4115</v>
      </c>
      <c r="I312" s="81" t="s">
        <v>2004</v>
      </c>
      <c r="J312" s="79"/>
      <c r="K312" s="24"/>
      <c r="L312" s="24"/>
    </row>
    <row r="313" spans="1:12" ht="14.5" hidden="1">
      <c r="A313" s="20" t="s">
        <v>4116</v>
      </c>
      <c r="B313" s="20">
        <v>25</v>
      </c>
      <c r="C313" s="20">
        <v>30</v>
      </c>
      <c r="D313" s="20">
        <v>13</v>
      </c>
      <c r="E313" s="24"/>
      <c r="F313" s="20" t="s">
        <v>4117</v>
      </c>
      <c r="G313" s="24" t="str">
        <f ca="1">IFERROR(__xludf.DUMMYFUNCTION("UPPER(LEFT((GOOGLETRANSLATE(F313,""en"",""pt"")),1))&amp;RIGHT(lower((GOOGLETRANSLATE(F313,""en"",""pt""))),(LEN((GOOGLETRANSLATE(F313,""en"",""pt"")))-1))"),"Atividades de química")</f>
        <v>Atividades de química</v>
      </c>
      <c r="H313" s="24" t="s">
        <v>4118</v>
      </c>
      <c r="I313" s="81" t="s">
        <v>2004</v>
      </c>
      <c r="J313" s="79"/>
      <c r="K313" s="24"/>
      <c r="L313" s="24"/>
    </row>
    <row r="314" spans="1:12" ht="14.5" hidden="1">
      <c r="A314" s="20" t="s">
        <v>4119</v>
      </c>
      <c r="B314" s="20">
        <v>25</v>
      </c>
      <c r="C314" s="20">
        <v>30</v>
      </c>
      <c r="D314" s="20">
        <v>15</v>
      </c>
      <c r="E314" s="24"/>
      <c r="F314" s="20" t="s">
        <v>4120</v>
      </c>
      <c r="G314" s="24" t="str">
        <f ca="1">IFERROR(__xludf.DUMMYFUNCTION("UPPER(LEFT((GOOGLETRANSLATE(F314,""en"",""pt"")),1))&amp;RIGHT(lower((GOOGLETRANSLATE(F314,""en"",""pt""))),(LEN((GOOGLETRANSLATE(F314,""en"",""pt"")))-1))"),"Actividades bioquímicas")</f>
        <v>Actividades bioquímicas</v>
      </c>
      <c r="H314" s="20" t="s">
        <v>4121</v>
      </c>
      <c r="I314" s="81" t="s">
        <v>2004</v>
      </c>
      <c r="J314" s="79"/>
      <c r="K314" s="24"/>
      <c r="L314" s="24"/>
    </row>
    <row r="315" spans="1:12" ht="14.5" hidden="1">
      <c r="A315" s="20" t="s">
        <v>4122</v>
      </c>
      <c r="B315" s="20">
        <v>25</v>
      </c>
      <c r="C315" s="20">
        <v>30</v>
      </c>
      <c r="D315" s="20">
        <v>16</v>
      </c>
      <c r="E315" s="24"/>
      <c r="F315" s="20" t="s">
        <v>4123</v>
      </c>
      <c r="G315" s="24" t="str">
        <f ca="1">IFERROR(__xludf.DUMMYFUNCTION("UPPER(LEFT((GOOGLETRANSLATE(F315,""en"",""pt"")),1))&amp;RIGHT(lower((GOOGLETRANSLATE(F315,""en"",""pt""))),(LEN((GOOGLETRANSLATE(F315,""en"",""pt"")))-1))"),"Actividades de microbiologia clínica")</f>
        <v>Actividades de microbiologia clínica</v>
      </c>
      <c r="H315" s="24" t="s">
        <v>4124</v>
      </c>
      <c r="I315" s="81" t="s">
        <v>2004</v>
      </c>
      <c r="J315" s="79"/>
      <c r="K315" s="24"/>
      <c r="L315" s="24"/>
    </row>
    <row r="316" spans="1:12" ht="14.5" hidden="1">
      <c r="A316" s="20" t="s">
        <v>4125</v>
      </c>
      <c r="B316" s="20">
        <v>25</v>
      </c>
      <c r="C316" s="20">
        <v>30</v>
      </c>
      <c r="D316" s="20">
        <v>17</v>
      </c>
      <c r="E316" s="24"/>
      <c r="F316" s="20" t="s">
        <v>4126</v>
      </c>
      <c r="G316" s="24" t="str">
        <f ca="1">IFERROR(__xludf.DUMMYFUNCTION("UPPER(LEFT((GOOGLETRANSLATE(F316,""en"",""pt"")),1))&amp;RIGHT(lower((GOOGLETRANSLATE(F316,""en"",""pt""))),(LEN((GOOGLETRANSLATE(F316,""en"",""pt"")))-1))"),"Actividades de patologia clínica")</f>
        <v>Actividades de patologia clínica</v>
      </c>
      <c r="H316" s="24" t="s">
        <v>4127</v>
      </c>
      <c r="I316" s="81" t="s">
        <v>2004</v>
      </c>
      <c r="J316" s="79"/>
      <c r="K316" s="24"/>
      <c r="L316" s="24"/>
    </row>
    <row r="317" spans="1:12" ht="14.5">
      <c r="A317" s="20" t="s">
        <v>4128</v>
      </c>
      <c r="B317" s="20">
        <v>25</v>
      </c>
      <c r="C317" s="20">
        <v>30</v>
      </c>
      <c r="D317" s="20">
        <v>19</v>
      </c>
      <c r="E317" s="24"/>
      <c r="F317" s="20" t="s">
        <v>4129</v>
      </c>
      <c r="G317" s="24" t="str">
        <f ca="1">IFERROR(__xludf.DUMMYFUNCTION("UPPER(LEFT((GOOGLETRANSLATE(F317,""en"",""pt"")),1))&amp;RIGHT(lower((GOOGLETRANSLATE(F317,""en"",""pt""))),(LEN((GOOGLETRANSLATE(F317,""en"",""pt"")))-1))"),"Atividades de contenção")</f>
        <v>Atividades de contenção</v>
      </c>
      <c r="H317" s="24" t="s">
        <v>4130</v>
      </c>
      <c r="I317" s="79"/>
      <c r="J317" s="79"/>
      <c r="K317" s="24"/>
      <c r="L317" s="24"/>
    </row>
    <row r="318" spans="1:12" ht="14.5">
      <c r="A318" s="20" t="s">
        <v>4131</v>
      </c>
      <c r="B318" s="20">
        <v>25</v>
      </c>
      <c r="C318" s="20">
        <v>30</v>
      </c>
      <c r="D318" s="20">
        <v>21</v>
      </c>
      <c r="E318" s="24"/>
      <c r="F318" s="20" t="s">
        <v>4132</v>
      </c>
      <c r="G318" s="24" t="str">
        <f ca="1">IFERROR(__xludf.DUMMYFUNCTION("UPPER(LEFT((GOOGLETRANSLATE(F318,""en"",""pt"")),1))&amp;RIGHT(lower((GOOGLETRANSLATE(F318,""en"",""pt""))),(LEN((GOOGLETRANSLATE(F318,""en"",""pt"")))-1))"),"Atividades quarto escuro")</f>
        <v>Atividades quarto escuro</v>
      </c>
      <c r="H318" s="24" t="s">
        <v>4133</v>
      </c>
      <c r="I318" s="79"/>
      <c r="J318" s="79"/>
      <c r="K318" s="24"/>
      <c r="L318" s="24"/>
    </row>
    <row r="319" spans="1:12" ht="14.5" hidden="1">
      <c r="A319" s="20" t="s">
        <v>4134</v>
      </c>
      <c r="B319" s="20">
        <v>25</v>
      </c>
      <c r="C319" s="20">
        <v>30</v>
      </c>
      <c r="D319" s="20">
        <v>22</v>
      </c>
      <c r="E319" s="24"/>
      <c r="F319" s="20" t="s">
        <v>4135</v>
      </c>
      <c r="G319" s="24" t="str">
        <f ca="1">IFERROR(__xludf.DUMMYFUNCTION("UPPER(LEFT((GOOGLETRANSLATE(F319,""en"",""pt"")),1))&amp;RIGHT(lower((GOOGLETRANSLATE(F319,""en"",""pt""))),(LEN((GOOGLETRANSLATE(F319,""en"",""pt"")))-1))"),"Atividades de laboratório de prótese dentária")</f>
        <v>Atividades de laboratório de prótese dentária</v>
      </c>
      <c r="H319" s="20" t="s">
        <v>4136</v>
      </c>
      <c r="I319" s="81" t="s">
        <v>2004</v>
      </c>
      <c r="J319" s="79"/>
      <c r="K319" s="24"/>
      <c r="L319" s="24"/>
    </row>
    <row r="320" spans="1:12" ht="14.5">
      <c r="A320" s="20" t="s">
        <v>4137</v>
      </c>
      <c r="B320" s="20">
        <v>25</v>
      </c>
      <c r="C320" s="20">
        <v>30</v>
      </c>
      <c r="D320" s="20">
        <v>23</v>
      </c>
      <c r="E320" s="24"/>
      <c r="F320" s="20" t="s">
        <v>4138</v>
      </c>
      <c r="G320" s="24" t="str">
        <f ca="1">IFERROR(__xludf.DUMMYFUNCTION("UPPER(LEFT((GOOGLETRANSLATE(F320,""en"",""pt"")),1))&amp;RIGHT(lower((GOOGLETRANSLATE(F320,""en"",""pt""))),(LEN((GOOGLETRANSLATE(F320,""en"",""pt"")))-1))"),"Dissecação")</f>
        <v>Dissecação</v>
      </c>
      <c r="H320" s="24" t="s">
        <v>4139</v>
      </c>
      <c r="I320" s="79"/>
      <c r="J320" s="79"/>
      <c r="K320" s="24"/>
      <c r="L320" s="24"/>
    </row>
    <row r="321" spans="1:12" ht="14.5" hidden="1">
      <c r="A321" s="20" t="s">
        <v>4140</v>
      </c>
      <c r="B321" s="20">
        <v>25</v>
      </c>
      <c r="C321" s="20">
        <v>30</v>
      </c>
      <c r="D321" s="20">
        <v>26</v>
      </c>
      <c r="E321" s="24"/>
      <c r="F321" s="20" t="s">
        <v>4141</v>
      </c>
      <c r="G321" s="24" t="str">
        <f ca="1">IFERROR(__xludf.DUMMYFUNCTION("UPPER(LEFT((GOOGLETRANSLATE(F321,""en"",""pt"")),1))&amp;RIGHT(lower((GOOGLETRANSLATE(F321,""en"",""pt""))),(LEN((GOOGLETRANSLATE(F321,""en"",""pt"")))-1))"),"Atividades de ciências da terra")</f>
        <v>Atividades de ciências da terra</v>
      </c>
      <c r="H321" s="24" t="s">
        <v>4142</v>
      </c>
      <c r="I321" s="81" t="s">
        <v>2004</v>
      </c>
      <c r="J321" s="79"/>
      <c r="K321" s="24"/>
      <c r="L321" s="24"/>
    </row>
    <row r="322" spans="1:12" ht="14.5" hidden="1">
      <c r="A322" s="20" t="s">
        <v>4143</v>
      </c>
      <c r="B322" s="20">
        <v>25</v>
      </c>
      <c r="C322" s="20">
        <v>30</v>
      </c>
      <c r="D322" s="20">
        <v>27</v>
      </c>
      <c r="E322" s="24"/>
      <c r="F322" s="20" t="s">
        <v>4144</v>
      </c>
      <c r="G322" s="24" t="str">
        <f ca="1">IFERROR(__xludf.DUMMYFUNCTION("UPPER(LEFT((GOOGLETRANSLATE(F322,""en"",""pt"")),1))&amp;RIGHT(lower((GOOGLETRANSLATE(F322,""en"",""pt""))),(LEN((GOOGLETRANSLATE(F322,""en"",""pt"")))-1))"),"Atividades de engenharia")</f>
        <v>Atividades de engenharia</v>
      </c>
      <c r="H322" s="24" t="s">
        <v>4145</v>
      </c>
      <c r="I322" s="81" t="s">
        <v>2004</v>
      </c>
      <c r="J322" s="79"/>
      <c r="K322" s="24"/>
      <c r="L322" s="24"/>
    </row>
    <row r="323" spans="1:12" ht="14.5">
      <c r="A323" s="20" t="s">
        <v>4146</v>
      </c>
      <c r="B323" s="20">
        <v>25</v>
      </c>
      <c r="C323" s="20">
        <v>30</v>
      </c>
      <c r="D323" s="20">
        <v>28</v>
      </c>
      <c r="E323" s="24"/>
      <c r="F323" s="20" t="s">
        <v>4147</v>
      </c>
      <c r="G323" s="24" t="str">
        <f ca="1">IFERROR(__xludf.DUMMYFUNCTION("UPPER(LEFT((GOOGLETRANSLATE(F323,""en"",""pt"")),1))&amp;RIGHT(lower((GOOGLETRANSLATE(F323,""en"",""pt""))),(LEN((GOOGLETRANSLATE(F323,""en"",""pt"")))-1))"),"Controle experiment")</f>
        <v>Controle experiment</v>
      </c>
      <c r="H323" s="20" t="s">
        <v>4148</v>
      </c>
      <c r="I323" s="79"/>
      <c r="J323" s="79"/>
      <c r="K323" s="24"/>
      <c r="L323" s="24"/>
    </row>
    <row r="324" spans="1:12" ht="14.5">
      <c r="A324" s="20" t="s">
        <v>4149</v>
      </c>
      <c r="B324" s="20">
        <v>25</v>
      </c>
      <c r="C324" s="20">
        <v>30</v>
      </c>
      <c r="D324" s="20">
        <v>29</v>
      </c>
      <c r="E324" s="24"/>
      <c r="F324" s="20" t="s">
        <v>4150</v>
      </c>
      <c r="G324" s="24" t="str">
        <f ca="1">IFERROR(__xludf.DUMMYFUNCTION("UPPER(LEFT((GOOGLETRANSLATE(F324,""en"",""pt"")),1))&amp;RIGHT(lower((GOOGLETRANSLATE(F324,""en"",""pt""))),(LEN((GOOGLETRANSLATE(F324,""en"",""pt"")))-1))"),"Atividades de citometria de fluxo")</f>
        <v>Atividades de citometria de fluxo</v>
      </c>
      <c r="H324" s="24" t="s">
        <v>4151</v>
      </c>
      <c r="I324" s="79"/>
      <c r="J324" s="79"/>
      <c r="K324" s="24"/>
      <c r="L324" s="24"/>
    </row>
    <row r="325" spans="1:12" ht="14.5" hidden="1">
      <c r="A325" s="20" t="s">
        <v>4152</v>
      </c>
      <c r="B325" s="20">
        <v>25</v>
      </c>
      <c r="C325" s="20">
        <v>30</v>
      </c>
      <c r="D325" s="20">
        <v>30</v>
      </c>
      <c r="E325" s="24"/>
      <c r="F325" s="20" t="s">
        <v>4153</v>
      </c>
      <c r="G325" s="24" t="str">
        <f ca="1">IFERROR(__xludf.DUMMYFUNCTION("UPPER(LEFT((GOOGLETRANSLATE(F325,""en"",""pt"")),1))&amp;RIGHT(lower((GOOGLETRANSLATE(F325,""en"",""pt""))),(LEN((GOOGLETRANSLATE(F325,""en"",""pt"")))-1))"),"Análise de alimentos")</f>
        <v>Análise de alimentos</v>
      </c>
      <c r="H325" s="24" t="s">
        <v>4154</v>
      </c>
      <c r="I325" s="81" t="s">
        <v>2004</v>
      </c>
      <c r="J325" s="79"/>
      <c r="K325" s="24"/>
      <c r="L325" s="24"/>
    </row>
    <row r="326" spans="1:12" ht="14.5" hidden="1">
      <c r="A326" s="20" t="s">
        <v>4155</v>
      </c>
      <c r="B326" s="20">
        <v>25</v>
      </c>
      <c r="C326" s="20">
        <v>30</v>
      </c>
      <c r="D326" s="20">
        <v>31</v>
      </c>
      <c r="E326" s="24"/>
      <c r="F326" s="20" t="s">
        <v>4156</v>
      </c>
      <c r="G326" s="24" t="str">
        <f ca="1">IFERROR(__xludf.DUMMYFUNCTION("UPPER(LEFT((GOOGLETRANSLATE(F326,""en"",""pt"")),1))&amp;RIGHT(lower((GOOGLETRANSLATE(F326,""en"",""pt""))),(LEN((GOOGLETRANSLATE(F326,""en"",""pt"")))-1))"),"Atividades de ciência forense")</f>
        <v>Atividades de ciência forense</v>
      </c>
      <c r="H326" s="24" t="s">
        <v>4157</v>
      </c>
      <c r="I326" s="81" t="s">
        <v>2004</v>
      </c>
      <c r="J326" s="79"/>
      <c r="K326" s="24"/>
      <c r="L326" s="24"/>
    </row>
    <row r="327" spans="1:12" ht="14.5" hidden="1">
      <c r="A327" s="20" t="s">
        <v>4158</v>
      </c>
      <c r="B327" s="20">
        <v>25</v>
      </c>
      <c r="C327" s="20">
        <v>30</v>
      </c>
      <c r="D327" s="20">
        <v>33</v>
      </c>
      <c r="E327" s="24"/>
      <c r="F327" s="20" t="s">
        <v>4159</v>
      </c>
      <c r="G327" s="24" t="str">
        <f ca="1">IFERROR(__xludf.DUMMYFUNCTION("UPPER(LEFT((GOOGLETRANSLATE(F327,""en"",""pt"")),1))&amp;RIGHT(lower((GOOGLETRANSLATE(F327,""en"",""pt""))),(LEN((GOOGLETRANSLATE(F327,""en"",""pt"")))-1))"),"Atividades de geologia")</f>
        <v>Atividades de geologia</v>
      </c>
      <c r="H327" s="24" t="s">
        <v>4160</v>
      </c>
      <c r="I327" s="81" t="s">
        <v>2004</v>
      </c>
      <c r="J327" s="79"/>
      <c r="K327" s="24"/>
      <c r="L327" s="24"/>
    </row>
    <row r="328" spans="1:12" ht="14.5" hidden="1">
      <c r="A328" s="20" t="s">
        <v>4161</v>
      </c>
      <c r="B328" s="20">
        <v>25</v>
      </c>
      <c r="C328" s="20">
        <v>30</v>
      </c>
      <c r="D328" s="20">
        <v>36</v>
      </c>
      <c r="E328" s="24"/>
      <c r="F328" s="20" t="s">
        <v>4162</v>
      </c>
      <c r="G328" s="24" t="str">
        <f ca="1">IFERROR(__xludf.DUMMYFUNCTION("UPPER(LEFT((GOOGLETRANSLATE(F328,""en"",""pt"")),1))&amp;RIGHT(lower((GOOGLETRANSLATE(F328,""en"",""pt""))),(LEN((GOOGLETRANSLATE(F328,""en"",""pt"")))-1))"),"Actividades câmara hiperbárica")</f>
        <v>Actividades câmara hiperbárica</v>
      </c>
      <c r="H328" s="20" t="s">
        <v>4163</v>
      </c>
      <c r="I328" s="81" t="s">
        <v>2004</v>
      </c>
      <c r="J328" s="79"/>
      <c r="K328" s="24"/>
      <c r="L328" s="24"/>
    </row>
    <row r="329" spans="1:12" ht="14.5">
      <c r="A329" s="20" t="s">
        <v>4164</v>
      </c>
      <c r="B329" s="20">
        <v>25</v>
      </c>
      <c r="C329" s="20">
        <v>30</v>
      </c>
      <c r="D329" s="20">
        <v>46</v>
      </c>
      <c r="E329" s="24"/>
      <c r="F329" s="20" t="s">
        <v>4165</v>
      </c>
      <c r="G329" s="24" t="str">
        <f ca="1">IFERROR(__xludf.DUMMYFUNCTION("UPPER(LEFT((GOOGLETRANSLATE(F329,""en"",""pt"")),1))&amp;RIGHT(lower((GOOGLETRANSLATE(F329,""en"",""pt""))),(LEN((GOOGLETRANSLATE(F329,""en"",""pt"")))-1))"),"Actividades frio laboratoriais")</f>
        <v>Actividades frio laboratoriais</v>
      </c>
      <c r="H329" s="24" t="s">
        <v>4166</v>
      </c>
      <c r="I329" s="79"/>
      <c r="J329" s="79"/>
      <c r="K329" s="24"/>
      <c r="L329" s="24"/>
    </row>
    <row r="330" spans="1:12" ht="14.5">
      <c r="A330" s="20" t="s">
        <v>4167</v>
      </c>
      <c r="B330" s="20">
        <v>25</v>
      </c>
      <c r="C330" s="20">
        <v>30</v>
      </c>
      <c r="D330" s="20">
        <v>47</v>
      </c>
      <c r="E330" s="24"/>
      <c r="F330" s="20" t="s">
        <v>4168</v>
      </c>
      <c r="G330" s="24" t="str">
        <f ca="1">IFERROR(__xludf.DUMMYFUNCTION("UPPER(LEFT((GOOGLETRANSLATE(F330,""en"",""pt"")),1))&amp;RIGHT(lower((GOOGLETRANSLATE(F330,""en"",""pt""))),(LEN((GOOGLETRANSLATE(F330,""en"",""pt"")))-1))"),"Actividades quentes laboratoriais")</f>
        <v>Actividades quentes laboratoriais</v>
      </c>
      <c r="H330" s="24" t="s">
        <v>4169</v>
      </c>
      <c r="I330" s="79"/>
      <c r="J330" s="79"/>
      <c r="K330" s="24"/>
      <c r="L330" s="24"/>
    </row>
    <row r="331" spans="1:12" ht="14.5" hidden="1">
      <c r="A331" s="20" t="s">
        <v>4170</v>
      </c>
      <c r="B331" s="20">
        <v>25</v>
      </c>
      <c r="C331" s="20">
        <v>30</v>
      </c>
      <c r="D331" s="20">
        <v>50</v>
      </c>
      <c r="E331" s="24"/>
      <c r="F331" s="20" t="s">
        <v>4171</v>
      </c>
      <c r="G331" s="24" t="str">
        <f ca="1">IFERROR(__xludf.DUMMYFUNCTION("UPPER(LEFT((GOOGLETRANSLATE(F331,""en"",""pt"")),1))&amp;RIGHT(lower((GOOGLETRANSLATE(F331,""en"",""pt""))),(LEN((GOOGLETRANSLATE(F331,""en"",""pt"")))-1))"),"Teste de materiais")</f>
        <v>Teste de materiais</v>
      </c>
      <c r="H331" s="24" t="s">
        <v>4172</v>
      </c>
      <c r="I331" s="81" t="s">
        <v>2004</v>
      </c>
      <c r="J331" s="79"/>
      <c r="K331" s="24"/>
      <c r="L331" s="24"/>
    </row>
    <row r="332" spans="1:12" ht="14.5" hidden="1">
      <c r="A332" s="20" t="s">
        <v>4173</v>
      </c>
      <c r="B332" s="20">
        <v>25</v>
      </c>
      <c r="C332" s="20">
        <v>30</v>
      </c>
      <c r="D332" s="20">
        <v>66</v>
      </c>
      <c r="E332" s="24"/>
      <c r="F332" s="20" t="s">
        <v>4174</v>
      </c>
      <c r="G332" s="24" t="str">
        <f ca="1">IFERROR(__xludf.DUMMYFUNCTION("UPPER(LEFT((GOOGLETRANSLATE(F332,""en"",""pt"")),1))&amp;RIGHT(lower((GOOGLETRANSLATE(F332,""en"",""pt""))),(LEN((GOOGLETRANSLATE(F332,""en"",""pt"")))-1))"),"Actividades de física")</f>
        <v>Actividades de física</v>
      </c>
      <c r="H332" s="24" t="s">
        <v>4175</v>
      </c>
      <c r="I332" s="81" t="s">
        <v>2004</v>
      </c>
      <c r="J332" s="79"/>
      <c r="K332" s="24"/>
      <c r="L332" s="24"/>
    </row>
    <row r="333" spans="1:12" ht="14.5" hidden="1">
      <c r="A333" s="20" t="s">
        <v>4176</v>
      </c>
      <c r="B333" s="20">
        <v>25</v>
      </c>
      <c r="C333" s="20">
        <v>30</v>
      </c>
      <c r="D333" s="20">
        <v>68</v>
      </c>
      <c r="E333" s="24"/>
      <c r="F333" s="20" t="s">
        <v>4177</v>
      </c>
      <c r="G333" s="24" t="str">
        <f ca="1">IFERROR(__xludf.DUMMYFUNCTION("UPPER(LEFT((GOOGLETRANSLATE(F333,""en"",""pt"")),1))&amp;RIGHT(lower((GOOGLETRANSLATE(F333,""en"",""pt""))),(LEN((GOOGLETRANSLATE(F333,""en"",""pt"")))-1))"),"Atividades de psicologia")</f>
        <v>Atividades de psicologia</v>
      </c>
      <c r="H333" s="24" t="s">
        <v>4178</v>
      </c>
      <c r="I333" s="81" t="s">
        <v>2004</v>
      </c>
      <c r="J333" s="79"/>
      <c r="K333" s="24"/>
      <c r="L333" s="24"/>
    </row>
    <row r="334" spans="1:12" ht="14.5">
      <c r="A334" s="20" t="s">
        <v>4179</v>
      </c>
      <c r="B334" s="20">
        <v>25</v>
      </c>
      <c r="C334" s="20">
        <v>30</v>
      </c>
      <c r="D334" s="20">
        <v>70</v>
      </c>
      <c r="E334" s="24"/>
      <c r="F334" s="20" t="s">
        <v>4180</v>
      </c>
      <c r="G334" s="24" t="str">
        <f ca="1">IFERROR(__xludf.DUMMYFUNCTION("UPPER(LEFT((GOOGLETRANSLATE(F334,""en"",""pt"")),1))&amp;RIGHT(lower((GOOGLETRANSLATE(F334,""en"",""pt""))),(LEN((GOOGLETRANSLATE(F334,""en"",""pt"")))-1))"),"Radiação blindado atividades")</f>
        <v>Radiação blindado atividades</v>
      </c>
      <c r="H334" s="24" t="s">
        <v>4181</v>
      </c>
      <c r="I334" s="79"/>
      <c r="J334" s="79"/>
      <c r="K334" s="24"/>
      <c r="L334" s="24"/>
    </row>
    <row r="335" spans="1:12" ht="14.5" hidden="1">
      <c r="A335" s="20" t="s">
        <v>4182</v>
      </c>
      <c r="B335" s="20">
        <v>25</v>
      </c>
      <c r="C335" s="20">
        <v>30</v>
      </c>
      <c r="D335" s="20">
        <v>72</v>
      </c>
      <c r="E335" s="24"/>
      <c r="F335" s="20" t="s">
        <v>4183</v>
      </c>
      <c r="G335" s="24" t="str">
        <f ca="1">IFERROR(__xludf.DUMMYFUNCTION("UPPER(LEFT((GOOGLETRANSLATE(F335,""en"",""pt"")),1))&amp;RIGHT(lower((GOOGLETRANSLATE(F335,""en"",""pt""))),(LEN((GOOGLETRANSLATE(F335,""en"",""pt"")))-1))"),"Interpretação de resultados")</f>
        <v>Interpretação de resultados</v>
      </c>
      <c r="H335" s="24" t="s">
        <v>4184</v>
      </c>
      <c r="I335" s="81" t="s">
        <v>2004</v>
      </c>
      <c r="J335" s="79"/>
      <c r="K335" s="24"/>
      <c r="L335" s="24"/>
    </row>
    <row r="336" spans="1:12" ht="14.5">
      <c r="A336" s="20" t="s">
        <v>4185</v>
      </c>
      <c r="B336" s="20">
        <v>25</v>
      </c>
      <c r="C336" s="20">
        <v>30</v>
      </c>
      <c r="D336" s="20">
        <v>76</v>
      </c>
      <c r="E336" s="24"/>
      <c r="F336" s="20" t="s">
        <v>4186</v>
      </c>
      <c r="G336" s="24" t="str">
        <f ca="1">IFERROR(__xludf.DUMMYFUNCTION("UPPER(LEFT((GOOGLETRANSLATE(F336,""en"",""pt"")),1))&amp;RIGHT(lower((GOOGLETRANSLATE(F336,""en"",""pt""))),(LEN((GOOGLETRANSLATE(F336,""en"",""pt"")))-1))"),"Atividades científicas instrumento")</f>
        <v>Atividades científicas instrumento</v>
      </c>
      <c r="H336" s="24" t="s">
        <v>4187</v>
      </c>
      <c r="I336" s="79"/>
      <c r="J336" s="79"/>
      <c r="K336" s="24"/>
      <c r="L336" s="24"/>
    </row>
    <row r="337" spans="1:12" ht="14.5" hidden="1">
      <c r="A337" s="20" t="s">
        <v>4188</v>
      </c>
      <c r="B337" s="20">
        <v>25</v>
      </c>
      <c r="C337" s="20">
        <v>30</v>
      </c>
      <c r="D337" s="20">
        <v>78</v>
      </c>
      <c r="E337" s="24"/>
      <c r="F337" s="20" t="s">
        <v>4189</v>
      </c>
      <c r="G337" s="24" t="str">
        <f ca="1">IFERROR(__xludf.DUMMYFUNCTION("UPPER(LEFT((GOOGLETRANSLATE(F337,""en"",""pt"")),1))&amp;RIGHT(lower((GOOGLETRANSLATE(F337,""en"",""pt""))),(LEN((GOOGLETRANSLATE(F337,""en"",""pt"")))-1))"),"Atividades sismográficas")</f>
        <v>Atividades sismográficas</v>
      </c>
      <c r="H337" s="24" t="s">
        <v>4190</v>
      </c>
      <c r="I337" s="81" t="s">
        <v>2004</v>
      </c>
      <c r="J337" s="79"/>
      <c r="K337" s="24"/>
      <c r="L337" s="24"/>
    </row>
    <row r="338" spans="1:12" ht="14.5">
      <c r="A338" s="20" t="s">
        <v>4191</v>
      </c>
      <c r="B338" s="20">
        <v>25</v>
      </c>
      <c r="C338" s="20">
        <v>30</v>
      </c>
      <c r="D338" s="20">
        <v>85</v>
      </c>
      <c r="E338" s="24"/>
      <c r="F338" s="20" t="s">
        <v>4192</v>
      </c>
      <c r="G338" s="24" t="str">
        <f ca="1">IFERROR(__xludf.DUMMYFUNCTION("UPPER(LEFT((GOOGLETRANSLATE(F338,""en"",""pt"")),1))&amp;RIGHT(lower((GOOGLETRANSLATE(F338,""en"",""pt""))),(LEN((GOOGLETRANSLATE(F338,""en"",""pt"")))-1))"),"Esterilização atividades")</f>
        <v>Esterilização atividades</v>
      </c>
      <c r="H338" s="24" t="s">
        <v>4193</v>
      </c>
      <c r="I338" s="79"/>
      <c r="J338" s="79"/>
      <c r="K338" s="24"/>
      <c r="L338" s="24"/>
    </row>
    <row r="339" spans="1:12" ht="14.5">
      <c r="A339" s="20" t="s">
        <v>4194</v>
      </c>
      <c r="B339" s="20">
        <v>25</v>
      </c>
      <c r="C339" s="20">
        <v>30</v>
      </c>
      <c r="D339" s="20">
        <v>89</v>
      </c>
      <c r="E339" s="24"/>
      <c r="F339" s="20" t="s">
        <v>4195</v>
      </c>
      <c r="G339" s="24" t="str">
        <f ca="1">IFERROR(__xludf.DUMMYFUNCTION("UPPER(LEFT((GOOGLETRANSLATE(F339,""en"",""pt"")),1))&amp;RIGHT(lower((GOOGLETRANSLATE(F339,""en"",""pt""))),(LEN((GOOGLETRANSLATE(F339,""en"",""pt"")))-1))"),"Cultura de tecidos")</f>
        <v>Cultura de tecidos</v>
      </c>
      <c r="H339" s="24" t="s">
        <v>4196</v>
      </c>
      <c r="I339" s="79"/>
      <c r="J339" s="79"/>
      <c r="K339" s="24"/>
      <c r="L339" s="24"/>
    </row>
    <row r="340" spans="1:12" ht="14.5">
      <c r="A340" s="20" t="s">
        <v>4197</v>
      </c>
      <c r="B340" s="20">
        <v>25</v>
      </c>
      <c r="C340" s="20">
        <v>30</v>
      </c>
      <c r="D340" s="20">
        <v>90</v>
      </c>
      <c r="E340" s="24"/>
      <c r="F340" s="20" t="s">
        <v>4198</v>
      </c>
      <c r="G340" s="24" t="str">
        <f ca="1">IFERROR(__xludf.DUMMYFUNCTION("UPPER(LEFT((GOOGLETRANSLATE(F340,""en"",""pt"")),1))&amp;RIGHT(lower((GOOGLETRANSLATE(F340,""en"",""pt""))),(LEN((GOOGLETRANSLATE(F340,""en"",""pt"")))-1))"),"Atividades de toxicologia")</f>
        <v>Atividades de toxicologia</v>
      </c>
      <c r="H340" s="24" t="s">
        <v>4199</v>
      </c>
      <c r="I340" s="79"/>
      <c r="J340" s="79"/>
      <c r="K340" s="24"/>
      <c r="L340" s="24"/>
    </row>
    <row r="341" spans="1:12" ht="14.5">
      <c r="A341" s="20" t="s">
        <v>4200</v>
      </c>
      <c r="B341" s="20">
        <v>25</v>
      </c>
      <c r="C341" s="20">
        <v>50</v>
      </c>
      <c r="D341" s="24"/>
      <c r="E341" s="24"/>
      <c r="F341" s="20" t="s">
        <v>4201</v>
      </c>
      <c r="G341" s="24" t="str">
        <f ca="1">IFERROR(__xludf.DUMMYFUNCTION("UPPER(LEFT((GOOGLETRANSLATE(F341,""en"",""pt"")),1))&amp;RIGHT(lower((GOOGLETRANSLATE(F341,""en"",""pt""))),(LEN((GOOGLETRANSLATE(F341,""en"",""pt"")))-1))"),"Atividades de exposições")</f>
        <v>Atividades de exposições</v>
      </c>
      <c r="H341" s="106" t="s">
        <v>4202</v>
      </c>
      <c r="I341" s="79"/>
      <c r="J341" s="79"/>
      <c r="K341" s="24"/>
      <c r="L341" s="24"/>
    </row>
    <row r="342" spans="1:12" ht="14.5">
      <c r="A342" s="20" t="s">
        <v>4203</v>
      </c>
      <c r="B342" s="20">
        <v>25</v>
      </c>
      <c r="C342" s="20">
        <v>50</v>
      </c>
      <c r="D342" s="20">
        <v>4</v>
      </c>
      <c r="E342" s="24"/>
      <c r="F342" s="20" t="s">
        <v>4204</v>
      </c>
      <c r="G342" s="24" t="str">
        <f ca="1">IFERROR(__xludf.DUMMYFUNCTION("UPPER(LEFT((GOOGLETRANSLATE(F342,""en"",""pt"")),1))&amp;RIGHT(lower((GOOGLETRANSLATE(F342,""en"",""pt""))),(LEN((GOOGLETRANSLATE(F342,""en"",""pt"")))-1))"),"Expor arte")</f>
        <v>Expor arte</v>
      </c>
      <c r="H342" s="20" t="s">
        <v>4205</v>
      </c>
      <c r="I342" s="81" t="s">
        <v>2004</v>
      </c>
      <c r="J342" s="79"/>
      <c r="K342" s="24"/>
      <c r="L342" s="24"/>
    </row>
    <row r="343" spans="1:12" ht="14.5">
      <c r="A343" s="20" t="s">
        <v>4206</v>
      </c>
      <c r="B343" s="20">
        <v>25</v>
      </c>
      <c r="C343" s="20">
        <v>50</v>
      </c>
      <c r="D343" s="20">
        <v>15</v>
      </c>
      <c r="E343" s="24"/>
      <c r="F343" s="20" t="s">
        <v>4207</v>
      </c>
      <c r="G343" s="24" t="str">
        <f ca="1">IFERROR(__xludf.DUMMYFUNCTION("UPPER(LEFT((GOOGLETRANSLATE(F343,""en"",""pt"")),1))&amp;RIGHT(lower((GOOGLETRANSLATE(F343,""en"",""pt""))),(LEN((GOOGLETRANSLATE(F343,""en"",""pt"")))-1))"),"Exibindo coleção")</f>
        <v>Exibindo coleção</v>
      </c>
      <c r="H343" s="20" t="s">
        <v>4208</v>
      </c>
      <c r="I343" s="81" t="s">
        <v>2004</v>
      </c>
      <c r="J343" s="79"/>
      <c r="K343" s="24"/>
      <c r="L343" s="24"/>
    </row>
    <row r="344" spans="1:12" ht="14.5">
      <c r="A344" s="20" t="s">
        <v>4209</v>
      </c>
      <c r="B344" s="20">
        <v>25</v>
      </c>
      <c r="C344" s="20">
        <v>50</v>
      </c>
      <c r="D344" s="20">
        <v>16</v>
      </c>
      <c r="E344" s="24"/>
      <c r="F344" s="20" t="s">
        <v>4210</v>
      </c>
      <c r="G344" s="24" t="str">
        <f ca="1">IFERROR(__xludf.DUMMYFUNCTION("UPPER(LEFT((GOOGLETRANSLATE(F344,""en"",""pt"")),1))&amp;RIGHT(lower((GOOGLETRANSLATE(F344,""en"",""pt""))),(LEN((GOOGLETRANSLATE(F344,""en"",""pt"")))-1))"),"Conservação de arte e artefatos")</f>
        <v>Conservação de arte e artefatos</v>
      </c>
      <c r="H344" s="24" t="s">
        <v>4211</v>
      </c>
      <c r="I344" s="81" t="s">
        <v>2004</v>
      </c>
      <c r="J344" s="79"/>
      <c r="K344" s="24"/>
      <c r="L344" s="24"/>
    </row>
    <row r="345" spans="1:12" ht="14.5">
      <c r="A345" s="20" t="s">
        <v>4212</v>
      </c>
      <c r="B345" s="20">
        <v>25</v>
      </c>
      <c r="C345" s="20">
        <v>50</v>
      </c>
      <c r="D345" s="20">
        <v>21</v>
      </c>
      <c r="E345" s="24"/>
      <c r="F345" s="20" t="s">
        <v>4213</v>
      </c>
      <c r="G345" s="24" t="str">
        <f ca="1">IFERROR(__xludf.DUMMYFUNCTION("UPPER(LEFT((GOOGLETRANSLATE(F345,""en"",""pt"")),1))&amp;RIGHT(lower((GOOGLETRANSLATE(F345,""en"",""pt""))),(LEN((GOOGLETRANSLATE(F345,""en"",""pt"")))-1))"),"Diorama exibindo")</f>
        <v>Diorama exibindo</v>
      </c>
      <c r="H345" s="107" t="s">
        <v>4214</v>
      </c>
      <c r="I345" s="81" t="s">
        <v>2004</v>
      </c>
      <c r="J345" s="79"/>
      <c r="K345" s="24"/>
      <c r="L345" s="24"/>
    </row>
    <row r="346" spans="1:12" ht="14.5">
      <c r="A346" s="20" t="s">
        <v>4215</v>
      </c>
      <c r="B346" s="20">
        <v>25</v>
      </c>
      <c r="C346" s="20">
        <v>50</v>
      </c>
      <c r="D346" s="20">
        <v>29</v>
      </c>
      <c r="E346" s="24"/>
      <c r="F346" s="20" t="s">
        <v>4216</v>
      </c>
      <c r="G346" s="24" t="str">
        <f ca="1">IFERROR(__xludf.DUMMYFUNCTION("UPPER(LEFT((GOOGLETRANSLATE(F346,""en"",""pt"")),1))&amp;RIGHT(lower((GOOGLETRANSLATE(F346,""en"",""pt""))),(LEN((GOOGLETRANSLATE(F346,""en"",""pt"")))-1))"),"Fauna exibindo")</f>
        <v>Fauna exibindo</v>
      </c>
      <c r="H346" s="20" t="s">
        <v>4217</v>
      </c>
      <c r="I346" s="81" t="s">
        <v>2004</v>
      </c>
      <c r="J346" s="79"/>
      <c r="K346" s="24"/>
      <c r="L346" s="24"/>
    </row>
    <row r="347" spans="1:12" ht="14.5">
      <c r="A347" s="20" t="s">
        <v>4218</v>
      </c>
      <c r="B347" s="20">
        <v>25</v>
      </c>
      <c r="C347" s="20">
        <v>50</v>
      </c>
      <c r="D347" s="20">
        <v>31</v>
      </c>
      <c r="E347" s="24"/>
      <c r="F347" s="20" t="s">
        <v>4219</v>
      </c>
      <c r="G347" s="24" t="str">
        <f ca="1">IFERROR(__xludf.DUMMYFUNCTION("UPPER(LEFT((GOOGLETRANSLATE(F347,""en"",""pt"")),1))&amp;RIGHT(lower((GOOGLETRANSLATE(F347,""en"",""pt""))),(LEN((GOOGLETRANSLATE(F347,""en"",""pt"")))-1))"),"Flora exibindo")</f>
        <v>Flora exibindo</v>
      </c>
      <c r="H347" s="20" t="s">
        <v>4220</v>
      </c>
      <c r="I347" s="81" t="s">
        <v>2004</v>
      </c>
      <c r="J347" s="79"/>
      <c r="K347" s="24"/>
      <c r="L347" s="24"/>
    </row>
    <row r="348" spans="1:12" ht="14.5">
      <c r="A348" s="20" t="s">
        <v>4221</v>
      </c>
      <c r="B348" s="20">
        <v>25</v>
      </c>
      <c r="C348" s="20">
        <v>50</v>
      </c>
      <c r="D348" s="20">
        <v>65</v>
      </c>
      <c r="E348" s="24"/>
      <c r="F348" s="20" t="s">
        <v>4222</v>
      </c>
      <c r="G348" s="24" t="str">
        <f ca="1">IFERROR(__xludf.DUMMYFUNCTION("UPPER(LEFT((GOOGLETRANSLATE(F348,""en"",""pt"")),1))&amp;RIGHT(lower((GOOGLETRANSLATE(F348,""en"",""pt""))),(LEN((GOOGLETRANSLATE(F348,""en"",""pt"")))-1))"),"Projetando representações do céu noturno")</f>
        <v>Projetando representações do céu noturno</v>
      </c>
      <c r="H348" s="24"/>
      <c r="I348" s="79"/>
      <c r="J348" s="79"/>
      <c r="K348" s="24"/>
      <c r="L348" s="24"/>
    </row>
    <row r="349" spans="1:12" ht="14.5">
      <c r="A349" s="20" t="s">
        <v>4223</v>
      </c>
      <c r="B349" s="20">
        <v>25</v>
      </c>
      <c r="C349" s="20">
        <v>50</v>
      </c>
      <c r="D349" s="20">
        <v>73</v>
      </c>
      <c r="E349" s="24"/>
      <c r="F349" s="20" t="s">
        <v>4224</v>
      </c>
      <c r="G349" s="24" t="str">
        <f ca="1">IFERROR(__xludf.DUMMYFUNCTION("UPPER(LEFT((GOOGLETRANSLATE(F349,""en"",""pt"")),1))&amp;RIGHT(lower((GOOGLETRANSLATE(F349,""en"",""pt""))),(LEN((GOOGLETRANSLATE(F349,""en"",""pt"")))-1))"),"Expositoras escultura")</f>
        <v>Expositoras escultura</v>
      </c>
      <c r="H349" s="20" t="s">
        <v>4225</v>
      </c>
      <c r="I349" s="81" t="s">
        <v>2004</v>
      </c>
      <c r="J349" s="79"/>
      <c r="K349" s="24"/>
      <c r="L349" s="24"/>
    </row>
    <row r="350" spans="1:12" ht="14.5">
      <c r="A350" s="20" t="s">
        <v>4226</v>
      </c>
      <c r="B350" s="20">
        <v>25</v>
      </c>
      <c r="C350" s="20">
        <v>50</v>
      </c>
      <c r="D350" s="20">
        <v>94</v>
      </c>
      <c r="E350" s="24"/>
      <c r="F350" s="20" t="s">
        <v>4227</v>
      </c>
      <c r="G350" s="24" t="str">
        <f ca="1">IFERROR(__xludf.DUMMYFUNCTION("UPPER(LEFT((GOOGLETRANSLATE(F350,""en"",""pt"")),1))&amp;RIGHT(lower((GOOGLETRANSLATE(F350,""en"",""pt""))),(LEN((GOOGLETRANSLATE(F350,""en"",""pt"")))-1))"),"Visualizando atividades")</f>
        <v>Visualizando atividades</v>
      </c>
      <c r="H350" s="24" t="s">
        <v>4228</v>
      </c>
      <c r="I350" s="79"/>
      <c r="J350" s="79"/>
      <c r="K350" s="24"/>
      <c r="L350" s="24"/>
    </row>
    <row r="351" spans="1:12" ht="14.5">
      <c r="A351" s="20" t="s">
        <v>4229</v>
      </c>
      <c r="B351" s="20">
        <v>25</v>
      </c>
      <c r="C351" s="20">
        <v>70</v>
      </c>
      <c r="D351" s="24"/>
      <c r="E351" s="24"/>
      <c r="F351" s="20" t="s">
        <v>4230</v>
      </c>
      <c r="G351" s="24" t="str">
        <f ca="1">IFERROR(__xludf.DUMMYFUNCTION("UPPER(LEFT((GOOGLETRANSLATE(F351,""en"",""pt"")),1))&amp;RIGHT(lower((GOOGLETRANSLATE(F351,""en"",""pt""))),(LEN((GOOGLETRANSLATE(F351,""en"",""pt"")))-1))"),"Actividades de informação")</f>
        <v>Actividades de informação</v>
      </c>
      <c r="H351" s="24" t="s">
        <v>4231</v>
      </c>
      <c r="I351" s="79"/>
      <c r="J351" s="79"/>
      <c r="K351" s="24"/>
      <c r="L351" s="24"/>
    </row>
    <row r="352" spans="1:12" ht="14.5">
      <c r="A352" s="20" t="s">
        <v>4232</v>
      </c>
      <c r="B352" s="20">
        <v>25</v>
      </c>
      <c r="C352" s="20">
        <v>70</v>
      </c>
      <c r="D352" s="20">
        <v>4</v>
      </c>
      <c r="E352" s="24"/>
      <c r="F352" s="20" t="s">
        <v>4233</v>
      </c>
      <c r="G352" s="24" t="str">
        <f ca="1">IFERROR(__xludf.DUMMYFUNCTION("UPPER(LEFT((GOOGLETRANSLATE(F352,""en"",""pt"")),1))&amp;RIGHT(lower((GOOGLETRANSLATE(F352,""en"",""pt""))),(LEN((GOOGLETRANSLATE(F352,""en"",""pt"")))-1))"),"Arquivar")</f>
        <v>Arquivar</v>
      </c>
      <c r="H352" s="24" t="s">
        <v>4234</v>
      </c>
      <c r="I352" s="81" t="s">
        <v>2004</v>
      </c>
      <c r="J352" s="79"/>
      <c r="K352" s="24"/>
      <c r="L352" s="24"/>
    </row>
    <row r="353" spans="1:12" ht="14.5">
      <c r="A353" s="20" t="s">
        <v>4235</v>
      </c>
      <c r="B353" s="20">
        <v>25</v>
      </c>
      <c r="C353" s="20">
        <v>70</v>
      </c>
      <c r="D353" s="20">
        <v>5</v>
      </c>
      <c r="E353" s="24"/>
      <c r="F353" s="20" t="s">
        <v>4236</v>
      </c>
      <c r="G353" s="24" t="str">
        <f ca="1">IFERROR(__xludf.DUMMYFUNCTION("UPPER(LEFT((GOOGLETRANSLATE(F353,""en"",""pt"")),1))&amp;RIGHT(lower((GOOGLETRANSLATE(F353,""en"",""pt""))),(LEN((GOOGLETRANSLATE(F353,""en"",""pt"")))-1))"),"Áudio-visual estudando")</f>
        <v>Áudio-visual estudando</v>
      </c>
      <c r="H353" s="24" t="s">
        <v>4237</v>
      </c>
      <c r="I353" s="79"/>
      <c r="J353" s="79"/>
      <c r="K353" s="24"/>
      <c r="L353" s="24"/>
    </row>
    <row r="354" spans="1:12" ht="14.5">
      <c r="A354" s="20" t="s">
        <v>4238</v>
      </c>
      <c r="B354" s="20">
        <v>25</v>
      </c>
      <c r="C354" s="20">
        <v>70</v>
      </c>
      <c r="D354" s="20">
        <v>11</v>
      </c>
      <c r="E354" s="24"/>
      <c r="F354" s="20" t="s">
        <v>4239</v>
      </c>
      <c r="G354" s="24" t="str">
        <f ca="1">IFERROR(__xludf.DUMMYFUNCTION("UPPER(LEFT((GOOGLETRANSLATE(F354,""en"",""pt"")),1))&amp;RIGHT(lower((GOOGLETRANSLATE(F354,""en"",""pt""))),(LEN((GOOGLETRANSLATE(F354,""en"",""pt"")))-1))"),"Catalogação")</f>
        <v>Catalogação</v>
      </c>
      <c r="H354" s="24" t="s">
        <v>4240</v>
      </c>
      <c r="I354" s="81" t="s">
        <v>2004</v>
      </c>
      <c r="J354" s="79"/>
      <c r="K354" s="24"/>
      <c r="L354" s="24"/>
    </row>
    <row r="355" spans="1:12" ht="14.5">
      <c r="A355" s="20" t="s">
        <v>4241</v>
      </c>
      <c r="B355" s="20">
        <v>25</v>
      </c>
      <c r="C355" s="20">
        <v>70</v>
      </c>
      <c r="D355" s="20">
        <v>23</v>
      </c>
      <c r="E355" s="24"/>
      <c r="F355" s="20" t="s">
        <v>4242</v>
      </c>
      <c r="G355" s="24" t="str">
        <f ca="1">IFERROR(__xludf.DUMMYFUNCTION("UPPER(LEFT((GOOGLETRANSLATE(F355,""en"",""pt"")),1))&amp;RIGHT(lower((GOOGLETRANSLATE(F355,""en"",""pt""))),(LEN((GOOGLETRANSLATE(F355,""en"",""pt"")))-1))"),"Armazenamento livro doméstica e leitura")</f>
        <v>Armazenamento livro doméstica e leitura</v>
      </c>
      <c r="H355" s="24" t="s">
        <v>4243</v>
      </c>
      <c r="I355" s="79"/>
      <c r="J355" s="79"/>
      <c r="K355" s="24"/>
      <c r="L355" s="24"/>
    </row>
    <row r="356" spans="1:12" ht="14.5">
      <c r="A356" s="20" t="s">
        <v>4244</v>
      </c>
      <c r="B356" s="20">
        <v>25</v>
      </c>
      <c r="C356" s="20">
        <v>70</v>
      </c>
      <c r="D356" s="20">
        <v>30</v>
      </c>
      <c r="E356" s="24"/>
      <c r="F356" s="20" t="s">
        <v>4245</v>
      </c>
      <c r="G356" s="24" t="str">
        <f ca="1">IFERROR(__xludf.DUMMYFUNCTION("UPPER(LEFT((GOOGLETRANSLATE(F356,""en"",""pt"")),1))&amp;RIGHT(lower((GOOGLETRANSLATE(F356,""en"",""pt""))),(LEN((GOOGLETRANSLATE(F356,""en"",""pt"")))-1))"),"Armazenamento film")</f>
        <v>Armazenamento film</v>
      </c>
      <c r="H356" s="20" t="s">
        <v>4246</v>
      </c>
      <c r="I356" s="79"/>
      <c r="J356" s="79"/>
      <c r="K356" s="24"/>
      <c r="L356" s="24"/>
    </row>
    <row r="357" spans="1:12" ht="14.5">
      <c r="A357" s="20" t="s">
        <v>4247</v>
      </c>
      <c r="B357" s="20">
        <v>25</v>
      </c>
      <c r="C357" s="20">
        <v>70</v>
      </c>
      <c r="D357" s="20">
        <v>47</v>
      </c>
      <c r="E357" s="24"/>
      <c r="F357" s="20" t="s">
        <v>4248</v>
      </c>
      <c r="G357" s="24" t="str">
        <f ca="1">IFERROR(__xludf.DUMMYFUNCTION("UPPER(LEFT((GOOGLETRANSLATE(F357,""en"",""pt"")),1))&amp;RIGHT(lower((GOOGLETRANSLATE(F357,""en"",""pt""))),(LEN((GOOGLETRANSLATE(F357,""en"",""pt"")))-1))"),"Armazenamento biblioteca")</f>
        <v>Armazenamento biblioteca</v>
      </c>
      <c r="H357" s="24"/>
      <c r="I357" s="79"/>
      <c r="J357" s="79"/>
      <c r="K357" s="24"/>
      <c r="L357" s="24"/>
    </row>
    <row r="358" spans="1:12" ht="14.5">
      <c r="A358" s="20" t="s">
        <v>4249</v>
      </c>
      <c r="B358" s="20">
        <v>25</v>
      </c>
      <c r="C358" s="20">
        <v>70</v>
      </c>
      <c r="D358" s="20">
        <v>71</v>
      </c>
      <c r="E358" s="24"/>
      <c r="F358" s="20" t="s">
        <v>4250</v>
      </c>
      <c r="G358" s="24" t="str">
        <f ca="1">IFERROR(__xludf.DUMMYFUNCTION("UPPER(LEFT((GOOGLETRANSLATE(F358,""en"",""pt"")),1))&amp;RIGHT(lower((GOOGLETRANSLATE(F358,""en"",""pt""))),(LEN((GOOGLETRANSLATE(F358,""en"",""pt"")))-1))"),"Lendo")</f>
        <v>Lendo</v>
      </c>
      <c r="H358" s="24" t="s">
        <v>4251</v>
      </c>
      <c r="I358" s="81" t="s">
        <v>2004</v>
      </c>
      <c r="J358" s="79"/>
      <c r="K358" s="24"/>
      <c r="L358" s="24"/>
    </row>
    <row r="359" spans="1:12" ht="14.5">
      <c r="A359" s="20" t="s">
        <v>4252</v>
      </c>
      <c r="B359" s="20">
        <v>25</v>
      </c>
      <c r="C359" s="20">
        <v>70</v>
      </c>
      <c r="D359" s="20">
        <v>72</v>
      </c>
      <c r="E359" s="24"/>
      <c r="F359" s="20" t="s">
        <v>4253</v>
      </c>
      <c r="G359" s="24" t="str">
        <f ca="1">IFERROR(__xludf.DUMMYFUNCTION("UPPER(LEFT((GOOGLETRANSLATE(F359,""en"",""pt"")),1))&amp;RIGHT(lower((GOOGLETRANSLATE(F359,""en"",""pt""))),(LEN((GOOGLETRANSLATE(F359,""en"",""pt"")))-1))"),"Registros de armazenamento")</f>
        <v>Registros de armazenamento</v>
      </c>
      <c r="H359" s="24" t="s">
        <v>4254</v>
      </c>
      <c r="I359" s="79"/>
      <c r="J359" s="79"/>
      <c r="K359" s="24"/>
      <c r="L359" s="24"/>
    </row>
    <row r="360" spans="1:12" ht="14.5">
      <c r="A360" s="20" t="s">
        <v>4255</v>
      </c>
      <c r="B360" s="20">
        <v>25</v>
      </c>
      <c r="C360" s="20">
        <v>70</v>
      </c>
      <c r="D360" s="20">
        <v>76</v>
      </c>
      <c r="E360" s="24"/>
      <c r="F360" s="20" t="s">
        <v>4256</v>
      </c>
      <c r="G360" s="24" t="str">
        <f ca="1">IFERROR(__xludf.DUMMYFUNCTION("UPPER(LEFT((GOOGLETRANSLATE(F360,""en"",""pt"")),1))&amp;RIGHT(lower((GOOGLETRANSLATE(F360,""en"",""pt""))),(LEN((GOOGLETRANSLATE(F360,""en"",""pt"")))-1))"),"Exploração")</f>
        <v>Exploração</v>
      </c>
      <c r="H360" s="24" t="s">
        <v>4257</v>
      </c>
      <c r="I360" s="79"/>
      <c r="J360" s="79"/>
      <c r="K360" s="24"/>
      <c r="L360" s="24"/>
    </row>
    <row r="361" spans="1:12" ht="14.5">
      <c r="A361" s="20" t="s">
        <v>4258</v>
      </c>
      <c r="B361" s="20">
        <v>25</v>
      </c>
      <c r="C361" s="20">
        <v>90</v>
      </c>
      <c r="D361" s="24"/>
      <c r="E361" s="24"/>
      <c r="F361" s="20" t="s">
        <v>4259</v>
      </c>
      <c r="G361" s="24" t="str">
        <f ca="1">IFERROR(__xludf.DUMMYFUNCTION("UPPER(LEFT((GOOGLETRANSLATE(F361,""en"",""pt"")),1))&amp;RIGHT(lower((GOOGLETRANSLATE(F361,""en"",""pt""))),(LEN((GOOGLETRANSLATE(F361,""en"",""pt"")))-1))"),"Atividades de adoração")</f>
        <v>Atividades de adoração</v>
      </c>
      <c r="H361" s="24" t="s">
        <v>4260</v>
      </c>
      <c r="I361" s="79"/>
      <c r="J361" s="79"/>
      <c r="K361" s="24"/>
      <c r="L361" s="24"/>
    </row>
    <row r="362" spans="1:12" ht="14.5">
      <c r="A362" s="20" t="s">
        <v>4261</v>
      </c>
      <c r="B362" s="20">
        <v>25</v>
      </c>
      <c r="C362" s="20">
        <v>90</v>
      </c>
      <c r="D362" s="20">
        <v>12</v>
      </c>
      <c r="E362" s="24"/>
      <c r="F362" s="20" t="s">
        <v>4262</v>
      </c>
      <c r="G362" s="24" t="str">
        <f ca="1">IFERROR(__xludf.DUMMYFUNCTION("UPPER(LEFT((GOOGLETRANSLATE(F362,""en"",""pt"")),1))&amp;RIGHT(lower((GOOGLETRANSLATE(F362,""en"",""pt""))),(LEN((GOOGLETRANSLATE(F362,""en"",""pt"")))-1))"),"Atividades de adoração cerimonial")</f>
        <v>Atividades de adoração cerimonial</v>
      </c>
      <c r="H362" s="24" t="s">
        <v>4263</v>
      </c>
      <c r="I362" s="79"/>
      <c r="J362" s="79"/>
      <c r="K362" s="24"/>
      <c r="L362" s="24"/>
    </row>
    <row r="363" spans="1:12" ht="14.5">
      <c r="A363" s="20" t="s">
        <v>4264</v>
      </c>
      <c r="B363" s="20">
        <v>25</v>
      </c>
      <c r="C363" s="20">
        <v>90</v>
      </c>
      <c r="D363" s="20">
        <v>15</v>
      </c>
      <c r="E363" s="24"/>
      <c r="F363" s="20" t="s">
        <v>4265</v>
      </c>
      <c r="G363" s="24" t="str">
        <f ca="1">IFERROR(__xludf.DUMMYFUNCTION("UPPER(LEFT((GOOGLETRANSLATE(F363,""en"",""pt"")),1))&amp;RIGHT(lower((GOOGLETRANSLATE(F363,""en"",""pt""))),(LEN((GOOGLETRANSLATE(F363,""en"",""pt"")))-1))"),"Realização de atos de adoração")</f>
        <v>Realização de atos de adoração</v>
      </c>
      <c r="H363" s="24" t="s">
        <v>4266</v>
      </c>
      <c r="I363" s="79"/>
      <c r="J363" s="79"/>
      <c r="K363" s="24"/>
      <c r="L363" s="24"/>
    </row>
    <row r="364" spans="1:12" ht="14.5">
      <c r="A364" s="20" t="s">
        <v>4267</v>
      </c>
      <c r="B364" s="20">
        <v>25</v>
      </c>
      <c r="C364" s="20">
        <v>90</v>
      </c>
      <c r="D364" s="20">
        <v>60</v>
      </c>
      <c r="E364" s="24"/>
      <c r="F364" s="20" t="s">
        <v>4268</v>
      </c>
      <c r="G364" s="24" t="str">
        <f ca="1">IFERROR(__xludf.DUMMYFUNCTION("UPPER(LEFT((GOOGLETRANSLATE(F364,""en"",""pt"")),1))&amp;RIGHT(lower((GOOGLETRANSLATE(F364,""en"",""pt""))),(LEN((GOOGLETRANSLATE(F364,""en"",""pt"")))-1))"),"Pastoral")</f>
        <v>Pastoral</v>
      </c>
      <c r="H364" s="24" t="s">
        <v>4269</v>
      </c>
      <c r="I364" s="79"/>
      <c r="J364" s="79"/>
      <c r="K364" s="24"/>
      <c r="L364" s="24"/>
    </row>
    <row r="365" spans="1:12" ht="14.5">
      <c r="A365" s="20" t="s">
        <v>4270</v>
      </c>
      <c r="B365" s="20">
        <v>25</v>
      </c>
      <c r="C365" s="20">
        <v>90</v>
      </c>
      <c r="D365" s="20">
        <v>67</v>
      </c>
      <c r="E365" s="24"/>
      <c r="F365" s="20" t="s">
        <v>4271</v>
      </c>
      <c r="G365" s="24" t="str">
        <f ca="1">IFERROR(__xludf.DUMMYFUNCTION("UPPER(LEFT((GOOGLETRANSLATE(F365,""en"",""pt"")),1))&amp;RIGHT(lower((GOOGLETRANSLATE(F365,""en"",""pt""))),(LEN((GOOGLETRANSLATE(F365,""en"",""pt"")))-1))"),"Preparação para actos de culto")</f>
        <v>Preparação para actos de culto</v>
      </c>
      <c r="H365" s="24" t="s">
        <v>4272</v>
      </c>
      <c r="I365" s="79"/>
      <c r="J365" s="79"/>
      <c r="K365" s="24"/>
      <c r="L365" s="24"/>
    </row>
    <row r="366" spans="1:12" ht="14.5">
      <c r="A366" s="20" t="s">
        <v>4273</v>
      </c>
      <c r="B366" s="20">
        <v>30</v>
      </c>
      <c r="C366" s="24"/>
      <c r="D366" s="24"/>
      <c r="E366" s="24"/>
      <c r="F366" s="20" t="s">
        <v>4274</v>
      </c>
      <c r="G366" s="24" t="str">
        <f ca="1">IFERROR(__xludf.DUMMYFUNCTION("UPPER(LEFT((GOOGLETRANSLATE(F366,""en"",""pt"")),1))&amp;RIGHT(lower((GOOGLETRANSLATE(F366,""en"",""pt""))),(LEN((GOOGLETRANSLATE(F366,""en"",""pt"")))-1))"),"As atividades industriais")</f>
        <v>As atividades industriais</v>
      </c>
      <c r="H366" s="24" t="s">
        <v>4275</v>
      </c>
      <c r="I366" s="79"/>
      <c r="J366" s="79"/>
      <c r="K366" s="24"/>
      <c r="L366" s="24"/>
    </row>
    <row r="367" spans="1:12" ht="14.5">
      <c r="A367" s="20" t="s">
        <v>4276</v>
      </c>
      <c r="B367" s="20">
        <v>30</v>
      </c>
      <c r="C367" s="20">
        <v>10</v>
      </c>
      <c r="D367" s="24"/>
      <c r="E367" s="24"/>
      <c r="F367" s="20" t="s">
        <v>4277</v>
      </c>
      <c r="G367" s="24" t="str">
        <f ca="1">IFERROR(__xludf.DUMMYFUNCTION("UPPER(LEFT((GOOGLETRANSLATE(F367,""en"",""pt"")),1))&amp;RIGHT(lower((GOOGLETRANSLATE(F367,""en"",""pt""))),(LEN((GOOGLETRANSLATE(F367,""en"",""pt"")))-1))"),"Atividades de extração de minerais")</f>
        <v>Atividades de extração de minerais</v>
      </c>
      <c r="H367" s="24" t="s">
        <v>4278</v>
      </c>
      <c r="I367" s="79"/>
      <c r="J367" s="79"/>
      <c r="K367" s="24"/>
      <c r="L367" s="24"/>
    </row>
    <row r="368" spans="1:12" ht="14.5">
      <c r="A368" s="20" t="s">
        <v>4279</v>
      </c>
      <c r="B368" s="20">
        <v>30</v>
      </c>
      <c r="C368" s="20">
        <v>10</v>
      </c>
      <c r="D368" s="20">
        <v>57</v>
      </c>
      <c r="E368" s="24"/>
      <c r="F368" s="20" t="s">
        <v>4280</v>
      </c>
      <c r="G368" s="24" t="str">
        <f ca="1">IFERROR(__xludf.DUMMYFUNCTION("UPPER(LEFT((GOOGLETRANSLATE(F368,""en"",""pt"")),1))&amp;RIGHT(lower((GOOGLETRANSLATE(F368,""en"",""pt""))),(LEN((GOOGLETRANSLATE(F368,""en"",""pt"")))-1))"),"Offshore de petróleo e exploração de gás")</f>
        <v>Offshore de petróleo e exploração de gás</v>
      </c>
      <c r="H368" s="24" t="s">
        <v>4281</v>
      </c>
      <c r="I368" s="79"/>
      <c r="J368" s="79"/>
      <c r="K368" s="24"/>
      <c r="L368" s="24"/>
    </row>
    <row r="369" spans="1:12" ht="14.5">
      <c r="A369" s="20" t="s">
        <v>4282</v>
      </c>
      <c r="B369" s="20">
        <v>30</v>
      </c>
      <c r="C369" s="20">
        <v>10</v>
      </c>
      <c r="D369" s="20">
        <v>59</v>
      </c>
      <c r="E369" s="24"/>
      <c r="F369" s="20" t="s">
        <v>4283</v>
      </c>
      <c r="G369" s="24" t="str">
        <f ca="1">IFERROR(__xludf.DUMMYFUNCTION("UPPER(LEFT((GOOGLETRANSLATE(F369,""en"",""pt"")),1))&amp;RIGHT(lower((GOOGLETRANSLATE(F369,""en"",""pt""))),(LEN((GOOGLETRANSLATE(F369,""en"",""pt"")))-1))"),"Perfuração de petróleo e de gás em terra")</f>
        <v>Perfuração de petróleo e de gás em terra</v>
      </c>
      <c r="H369" s="24" t="s">
        <v>4284</v>
      </c>
      <c r="I369" s="79"/>
      <c r="J369" s="79"/>
      <c r="K369" s="24"/>
      <c r="L369" s="24"/>
    </row>
    <row r="370" spans="1:12" ht="14.5">
      <c r="A370" s="20" t="s">
        <v>4285</v>
      </c>
      <c r="B370" s="20">
        <v>30</v>
      </c>
      <c r="C370" s="20">
        <v>10</v>
      </c>
      <c r="D370" s="20">
        <v>60</v>
      </c>
      <c r="E370" s="24"/>
      <c r="F370" s="20" t="s">
        <v>4286</v>
      </c>
      <c r="G370" s="24" t="str">
        <f ca="1">IFERROR(__xludf.DUMMYFUNCTION("UPPER(LEFT((GOOGLETRANSLATE(F370,""en"",""pt"")),1))&amp;RIGHT(lower((GOOGLETRANSLATE(F370,""en"",""pt""))),(LEN((GOOGLETRANSLATE(F370,""en"",""pt"")))-1))"),"Mineração a céu aberto")</f>
        <v>Mineração a céu aberto</v>
      </c>
      <c r="H370" s="24" t="s">
        <v>4287</v>
      </c>
      <c r="I370" s="79"/>
      <c r="J370" s="79"/>
      <c r="K370" s="24"/>
      <c r="L370" s="24"/>
    </row>
    <row r="371" spans="1:12" ht="14.5">
      <c r="A371" s="20" t="s">
        <v>4288</v>
      </c>
      <c r="B371" s="20">
        <v>30</v>
      </c>
      <c r="C371" s="20">
        <v>10</v>
      </c>
      <c r="D371" s="20">
        <v>69</v>
      </c>
      <c r="E371" s="24"/>
      <c r="F371" s="20" t="s">
        <v>4289</v>
      </c>
      <c r="G371" s="24" t="str">
        <f ca="1">IFERROR(__xludf.DUMMYFUNCTION("UPPER(LEFT((GOOGLETRANSLATE(F371,""en"",""pt"")),1))&amp;RIGHT(lower((GOOGLETRANSLATE(F371,""en"",""pt""))),(LEN((GOOGLETRANSLATE(F371,""en"",""pt"")))-1))"),"Pedreiras")</f>
        <v>Pedreiras</v>
      </c>
      <c r="H371" s="24" t="s">
        <v>404</v>
      </c>
      <c r="I371" s="79"/>
      <c r="J371" s="79"/>
      <c r="K371" s="24"/>
      <c r="L371" s="24"/>
    </row>
    <row r="372" spans="1:12" ht="14.5">
      <c r="A372" s="20" t="s">
        <v>4290</v>
      </c>
      <c r="B372" s="20">
        <v>30</v>
      </c>
      <c r="C372" s="20">
        <v>10</v>
      </c>
      <c r="D372" s="20">
        <v>91</v>
      </c>
      <c r="E372" s="24"/>
      <c r="F372" s="20" t="s">
        <v>4291</v>
      </c>
      <c r="G372" s="24" t="str">
        <f ca="1">IFERROR(__xludf.DUMMYFUNCTION("UPPER(LEFT((GOOGLETRANSLATE(F372,""en"",""pt"")),1))&amp;RIGHT(lower((GOOGLETRANSLATE(F372,""en"",""pt""))),(LEN((GOOGLETRANSLATE(F372,""en"",""pt"")))-1))"),"Mineração subterrânea")</f>
        <v>Mineração subterrânea</v>
      </c>
      <c r="H372" s="24" t="s">
        <v>4292</v>
      </c>
      <c r="I372" s="79"/>
      <c r="J372" s="79"/>
      <c r="K372" s="24"/>
      <c r="L372" s="24"/>
    </row>
    <row r="373" spans="1:12" ht="14.5">
      <c r="A373" s="20" t="s">
        <v>4293</v>
      </c>
      <c r="B373" s="20">
        <v>30</v>
      </c>
      <c r="C373" s="20">
        <v>10</v>
      </c>
      <c r="D373" s="20">
        <v>93</v>
      </c>
      <c r="E373" s="24"/>
      <c r="F373" s="20" t="s">
        <v>4294</v>
      </c>
      <c r="G373" s="24" t="str">
        <f ca="1">IFERROR(__xludf.DUMMYFUNCTION("UPPER(LEFT((GOOGLETRANSLATE(F373,""en"",""pt"")),1))&amp;RIGHT(lower((GOOGLETRANSLATE(F373,""en"",""pt""))),(LEN((GOOGLETRANSLATE(F373,""en"",""pt"")))-1))"),"Acessando mina subterrânea")</f>
        <v>Acessando mina subterrânea</v>
      </c>
      <c r="H373" s="24" t="s">
        <v>4295</v>
      </c>
      <c r="I373" s="79"/>
      <c r="J373" s="79"/>
      <c r="K373" s="24"/>
      <c r="L373" s="24"/>
    </row>
    <row r="374" spans="1:12" ht="14.5">
      <c r="A374" s="20" t="s">
        <v>4296</v>
      </c>
      <c r="B374" s="20">
        <v>30</v>
      </c>
      <c r="C374" s="20">
        <v>10</v>
      </c>
      <c r="D374" s="20">
        <v>94</v>
      </c>
      <c r="E374" s="24"/>
      <c r="F374" s="20" t="s">
        <v>4297</v>
      </c>
      <c r="G374" s="24" t="str">
        <f ca="1">IFERROR(__xludf.DUMMYFUNCTION("UPPER(LEFT((GOOGLETRANSLATE(F374,""en"",""pt"")),1))&amp;RIGHT(lower((GOOGLETRANSLATE(F374,""en"",""pt""))),(LEN((GOOGLETRANSLATE(F374,""en"",""pt"")))-1))"),"Tunneling mina subterrânea")</f>
        <v>Tunneling mina subterrânea</v>
      </c>
      <c r="H374" s="24" t="s">
        <v>4298</v>
      </c>
      <c r="I374" s="79"/>
      <c r="J374" s="79"/>
      <c r="K374" s="24"/>
      <c r="L374" s="24"/>
    </row>
    <row r="375" spans="1:12" ht="14.5">
      <c r="A375" s="20" t="s">
        <v>4299</v>
      </c>
      <c r="B375" s="20">
        <v>30</v>
      </c>
      <c r="C375" s="20">
        <v>20</v>
      </c>
      <c r="D375" s="24"/>
      <c r="E375" s="24"/>
      <c r="F375" s="20" t="s">
        <v>4300</v>
      </c>
      <c r="G375" s="24" t="str">
        <f ca="1">IFERROR(__xludf.DUMMYFUNCTION("UPPER(LEFT((GOOGLETRANSLATE(F375,""en"",""pt"")),1))&amp;RIGHT(lower((GOOGLETRANSLATE(F375,""en"",""pt""))),(LEN((GOOGLETRANSLATE(F375,""en"",""pt"")))-1))"),"Atividades de gestão de químicos nuclear e")</f>
        <v>Atividades de gestão de químicos nuclear e</v>
      </c>
      <c r="H375" s="24" t="s">
        <v>4301</v>
      </c>
      <c r="I375" s="79"/>
      <c r="J375" s="79"/>
      <c r="K375" s="24"/>
      <c r="L375" s="24"/>
    </row>
    <row r="376" spans="1:12" ht="14.5">
      <c r="A376" s="20" t="s">
        <v>4302</v>
      </c>
      <c r="B376" s="20">
        <v>30</v>
      </c>
      <c r="C376" s="20">
        <v>20</v>
      </c>
      <c r="D376" s="20">
        <v>30</v>
      </c>
      <c r="E376" s="24"/>
      <c r="F376" s="20" t="s">
        <v>4303</v>
      </c>
      <c r="G376" s="24" t="str">
        <f ca="1">IFERROR(__xludf.DUMMYFUNCTION("UPPER(LEFT((GOOGLETRANSLATE(F376,""en"",""pt"")),1))&amp;RIGHT(lower((GOOGLETRANSLATE(F376,""en"",""pt""))),(LEN((GOOGLETRANSLATE(F376,""en"",""pt"")))-1))"),"Calor elevado urânio altamente enriquecido gestão dos resíduos radioactivos")</f>
        <v>Calor elevado urânio altamente enriquecido gestão dos resíduos radioactivos</v>
      </c>
      <c r="H376" s="24" t="s">
        <v>4304</v>
      </c>
      <c r="I376" s="79"/>
      <c r="J376" s="79"/>
      <c r="K376" s="24"/>
      <c r="L376" s="24"/>
    </row>
    <row r="377" spans="1:12" ht="14.5">
      <c r="A377" s="20" t="s">
        <v>4305</v>
      </c>
      <c r="B377" s="20">
        <v>30</v>
      </c>
      <c r="C377" s="20">
        <v>20</v>
      </c>
      <c r="D377" s="20">
        <v>35</v>
      </c>
      <c r="E377" s="24"/>
      <c r="F377" s="20" t="s">
        <v>4306</v>
      </c>
      <c r="G377" s="24" t="str">
        <f ca="1">IFERROR(__xludf.DUMMYFUNCTION("UPPER(LEFT((GOOGLETRANSLATE(F377,""en"",""pt"")),1))&amp;RIGHT(lower((GOOGLETRANSLATE(F377,""en"",""pt""))),(LEN((GOOGLETRANSLATE(F377,""en"",""pt"")))-1))"),"Calor elevado de combustível de óxido misto gestão dos resíduos radioactivos")</f>
        <v>Calor elevado de combustível de óxido misto gestão dos resíduos radioactivos</v>
      </c>
      <c r="H377" s="24" t="s">
        <v>4307</v>
      </c>
      <c r="I377" s="79"/>
      <c r="J377" s="79"/>
      <c r="K377" s="24"/>
      <c r="L377" s="24"/>
    </row>
    <row r="378" spans="1:12" ht="14.5">
      <c r="A378" s="20" t="s">
        <v>4308</v>
      </c>
      <c r="B378" s="20">
        <v>30</v>
      </c>
      <c r="C378" s="20">
        <v>20</v>
      </c>
      <c r="D378" s="20">
        <v>40</v>
      </c>
      <c r="E378" s="24"/>
      <c r="F378" s="20" t="s">
        <v>4309</v>
      </c>
      <c r="G378" s="24" t="str">
        <f ca="1">IFERROR(__xludf.DUMMYFUNCTION("UPPER(LEFT((GOOGLETRANSLATE(F378,""en"",""pt"")),1))&amp;RIGHT(lower((GOOGLETRANSLATE(F378,""en"",""pt""))),(LEN((GOOGLETRANSLATE(F378,""en"",""pt"")))-1))"),"Calor elevado plutônio gestão dos resíduos radioactivos")</f>
        <v>Calor elevado plutônio gestão dos resíduos radioactivos</v>
      </c>
      <c r="H378" s="24" t="s">
        <v>4310</v>
      </c>
      <c r="I378" s="79"/>
      <c r="J378" s="79"/>
      <c r="K378" s="24"/>
      <c r="L378" s="24"/>
    </row>
    <row r="379" spans="1:12" ht="14.5">
      <c r="A379" s="20" t="s">
        <v>4311</v>
      </c>
      <c r="B379" s="20">
        <v>30</v>
      </c>
      <c r="C379" s="20">
        <v>20</v>
      </c>
      <c r="D379" s="20">
        <v>45</v>
      </c>
      <c r="E379" s="24"/>
      <c r="F379" s="20" t="s">
        <v>4312</v>
      </c>
      <c r="G379" s="24" t="str">
        <f ca="1">IFERROR(__xludf.DUMMYFUNCTION("UPPER(LEFT((GOOGLETRANSLATE(F379,""en"",""pt"")),1))&amp;RIGHT(lower((GOOGLETRANSLATE(F379,""en"",""pt""))),(LEN((GOOGLETRANSLATE(F379,""en"",""pt"")))-1))"),"Gestão dos resíduos radioactivos calor elevado")</f>
        <v>Gestão dos resíduos radioactivos calor elevado</v>
      </c>
      <c r="H379" s="24" t="s">
        <v>4313</v>
      </c>
      <c r="I379" s="79"/>
      <c r="J379" s="79"/>
      <c r="K379" s="24"/>
      <c r="L379" s="24"/>
    </row>
    <row r="380" spans="1:12" ht="14.5">
      <c r="A380" s="20" t="s">
        <v>4314</v>
      </c>
      <c r="B380" s="20">
        <v>30</v>
      </c>
      <c r="C380" s="20">
        <v>20</v>
      </c>
      <c r="D380" s="20">
        <v>50</v>
      </c>
      <c r="E380" s="24"/>
      <c r="F380" s="20" t="s">
        <v>4315</v>
      </c>
      <c r="G380" s="24" t="str">
        <f ca="1">IFERROR(__xludf.DUMMYFUNCTION("UPPER(LEFT((GOOGLETRANSLATE(F380,""en"",""pt"")),1))&amp;RIGHT(lower((GOOGLETRANSLATE(F380,""en"",""pt""))),(LEN((GOOGLETRANSLATE(F380,""en"",""pt"")))-1))"),"Calor elevado de combustível gasto no gerenciamento de resíduos radioactivos")</f>
        <v>Calor elevado de combustível gasto no gerenciamento de resíduos radioactivos</v>
      </c>
      <c r="H380" s="24" t="s">
        <v>4316</v>
      </c>
      <c r="I380" s="79"/>
      <c r="J380" s="79"/>
      <c r="K380" s="24"/>
      <c r="L380" s="24"/>
    </row>
    <row r="381" spans="1:12" ht="14.5">
      <c r="A381" s="20" t="s">
        <v>4317</v>
      </c>
      <c r="B381" s="20">
        <v>30</v>
      </c>
      <c r="C381" s="20">
        <v>20</v>
      </c>
      <c r="D381" s="20">
        <v>60</v>
      </c>
      <c r="E381" s="24"/>
      <c r="F381" s="20" t="s">
        <v>4318</v>
      </c>
      <c r="G381" s="24" t="str">
        <f ca="1">IFERROR(__xludf.DUMMYFUNCTION("UPPER(LEFT((GOOGLETRANSLATE(F381,""en"",""pt"")),1))&amp;RIGHT(lower((GOOGLETRANSLATE(F381,""en"",""pt""))),(LEN((GOOGLETRANSLATE(F381,""en"",""pt"")))-1))"),"Baixo calor esgotado baixo gestão de enriquecimento de urânio natural")</f>
        <v>Baixo calor esgotado baixo gestão de enriquecimento de urânio natural</v>
      </c>
      <c r="H381" s="24" t="s">
        <v>4319</v>
      </c>
      <c r="I381" s="79"/>
      <c r="J381" s="79"/>
      <c r="K381" s="24"/>
      <c r="L381" s="24"/>
    </row>
    <row r="382" spans="1:12" ht="14.5">
      <c r="A382" s="20" t="s">
        <v>4320</v>
      </c>
      <c r="B382" s="20">
        <v>30</v>
      </c>
      <c r="C382" s="20">
        <v>20</v>
      </c>
      <c r="D382" s="20">
        <v>65</v>
      </c>
      <c r="E382" s="24"/>
      <c r="F382" s="20" t="s">
        <v>4321</v>
      </c>
      <c r="G382" s="24" t="str">
        <f ca="1">IFERROR(__xludf.DUMMYFUNCTION("UPPER(LEFT((GOOGLETRANSLATE(F382,""en"",""pt"")),1))&amp;RIGHT(lower((GOOGLETRANSLATE(F382,""en"",""pt""))),(LEN((GOOGLETRANSLATE(F382,""en"",""pt"")))-1))"),"Baixo calor robusta blindado gestão dos resíduos radioactivos")</f>
        <v>Baixo calor robusta blindado gestão dos resíduos radioactivos</v>
      </c>
      <c r="H382" s="24" t="s">
        <v>4322</v>
      </c>
      <c r="I382" s="79"/>
      <c r="J382" s="79"/>
      <c r="K382" s="24"/>
      <c r="L382" s="24"/>
    </row>
    <row r="383" spans="1:12" ht="14.5">
      <c r="A383" s="20" t="s">
        <v>4323</v>
      </c>
      <c r="B383" s="20">
        <v>30</v>
      </c>
      <c r="C383" s="20">
        <v>20</v>
      </c>
      <c r="D383" s="20">
        <v>70</v>
      </c>
      <c r="E383" s="24"/>
      <c r="F383" s="20" t="s">
        <v>4324</v>
      </c>
      <c r="G383" s="24" t="str">
        <f ca="1">IFERROR(__xludf.DUMMYFUNCTION("UPPER(LEFT((GOOGLETRANSLATE(F383,""en"",""pt"")),1))&amp;RIGHT(lower((GOOGLETRANSLATE(F383,""en"",""pt""))),(LEN((GOOGLETRANSLATE(F383,""en"",""pt"")))-1))"),"Baixo calor blindado gestão dos resíduos radioactivos")</f>
        <v>Baixo calor blindado gestão dos resíduos radioactivos</v>
      </c>
      <c r="H383" s="24" t="s">
        <v>4325</v>
      </c>
      <c r="I383" s="79"/>
      <c r="J383" s="79"/>
      <c r="K383" s="24"/>
      <c r="L383" s="24"/>
    </row>
    <row r="384" spans="1:12" ht="14.5">
      <c r="A384" s="20" t="s">
        <v>4326</v>
      </c>
      <c r="B384" s="20">
        <v>30</v>
      </c>
      <c r="C384" s="20">
        <v>20</v>
      </c>
      <c r="D384" s="20">
        <v>75</v>
      </c>
      <c r="E384" s="24"/>
      <c r="F384" s="20" t="s">
        <v>4327</v>
      </c>
      <c r="G384" s="24" t="str">
        <f ca="1">IFERROR(__xludf.DUMMYFUNCTION("UPPER(LEFT((GOOGLETRANSLATE(F384,""en"",""pt"")),1))&amp;RIGHT(lower((GOOGLETRANSLATE(F384,""en"",""pt""))),(LEN((GOOGLETRANSLATE(F384,""en"",""pt"")))-1))"),"Lume brando sem blindagem gestão dos resíduos radioactivos")</f>
        <v>Lume brando sem blindagem gestão dos resíduos radioactivos</v>
      </c>
      <c r="H384" s="24" t="s">
        <v>4328</v>
      </c>
      <c r="I384" s="79"/>
      <c r="J384" s="79"/>
      <c r="K384" s="24"/>
      <c r="L384" s="24"/>
    </row>
    <row r="385" spans="1:12" ht="14.5">
      <c r="A385" s="20" t="s">
        <v>4329</v>
      </c>
      <c r="B385" s="20">
        <v>30</v>
      </c>
      <c r="C385" s="20">
        <v>30</v>
      </c>
      <c r="D385" s="24"/>
      <c r="E385" s="24"/>
      <c r="F385" s="20" t="s">
        <v>4330</v>
      </c>
      <c r="G385" s="24" t="str">
        <f ca="1">IFERROR(__xludf.DUMMYFUNCTION("UPPER(LEFT((GOOGLETRANSLATE(F385,""en"",""pt"")),1))&amp;RIGHT(lower((GOOGLETRANSLATE(F385,""en"",""pt""))),(LEN((GOOGLETRANSLATE(F385,""en"",""pt"")))-1))"),"Atividades de processamento de minerais")</f>
        <v>Atividades de processamento de minerais</v>
      </c>
      <c r="H385" s="24" t="s">
        <v>4331</v>
      </c>
      <c r="I385" s="79"/>
      <c r="J385" s="79"/>
      <c r="K385" s="24"/>
      <c r="L385" s="24"/>
    </row>
    <row r="386" spans="1:12" ht="14.5">
      <c r="A386" s="20" t="s">
        <v>4332</v>
      </c>
      <c r="B386" s="20">
        <v>30</v>
      </c>
      <c r="C386" s="20">
        <v>30</v>
      </c>
      <c r="D386" s="20">
        <v>33</v>
      </c>
      <c r="E386" s="24"/>
      <c r="F386" s="20" t="s">
        <v>4333</v>
      </c>
      <c r="G386" s="24" t="str">
        <f ca="1">IFERROR(__xludf.DUMMYFUNCTION("UPPER(LEFT((GOOGLETRANSLATE(F386,""en"",""pt"")),1))&amp;RIGHT(lower((GOOGLETRANSLATE(F386,""en"",""pt""))),(LEN((GOOGLETRANSLATE(F386,""en"",""pt"")))-1))"),"Processamento de gás")</f>
        <v>Processamento de gás</v>
      </c>
      <c r="H386" s="24" t="s">
        <v>4334</v>
      </c>
      <c r="I386" s="81" t="s">
        <v>2004</v>
      </c>
      <c r="J386" s="79"/>
      <c r="K386" s="24"/>
      <c r="L386" s="24"/>
    </row>
    <row r="387" spans="1:12" ht="14.5">
      <c r="A387" s="20" t="s">
        <v>4335</v>
      </c>
      <c r="B387" s="20">
        <v>30</v>
      </c>
      <c r="C387" s="20">
        <v>30</v>
      </c>
      <c r="D387" s="20">
        <v>58</v>
      </c>
      <c r="E387" s="24"/>
      <c r="F387" s="20" t="s">
        <v>4336</v>
      </c>
      <c r="G387" s="24" t="str">
        <f ca="1">IFERROR(__xludf.DUMMYFUNCTION("UPPER(LEFT((GOOGLETRANSLATE(F387,""en"",""pt"")),1))&amp;RIGHT(lower((GOOGLETRANSLATE(F387,""en"",""pt""))),(LEN((GOOGLETRANSLATE(F387,""en"",""pt"")))-1))"),"Processamento de petróleo")</f>
        <v>Processamento de petróleo</v>
      </c>
      <c r="H387" s="24" t="s">
        <v>4337</v>
      </c>
      <c r="I387" s="81" t="s">
        <v>2004</v>
      </c>
      <c r="J387" s="79"/>
      <c r="K387" s="24"/>
      <c r="L387" s="24"/>
    </row>
    <row r="388" spans="1:12" ht="14.5">
      <c r="A388" s="20" t="s">
        <v>4338</v>
      </c>
      <c r="B388" s="20">
        <v>30</v>
      </c>
      <c r="C388" s="20">
        <v>30</v>
      </c>
      <c r="D388" s="20">
        <v>59</v>
      </c>
      <c r="E388" s="24"/>
      <c r="F388" s="20" t="s">
        <v>4339</v>
      </c>
      <c r="G388" s="24" t="str">
        <f ca="1">IFERROR(__xludf.DUMMYFUNCTION("UPPER(LEFT((GOOGLETRANSLATE(F388,""en"",""pt"")),1))&amp;RIGHT(lower((GOOGLETRANSLATE(F388,""en"",""pt""))),(LEN((GOOGLETRANSLATE(F388,""en"",""pt"")))-1))"),"Processamento de minério")</f>
        <v>Processamento de minério</v>
      </c>
      <c r="H388" s="24" t="s">
        <v>4340</v>
      </c>
      <c r="I388" s="81" t="s">
        <v>2004</v>
      </c>
      <c r="J388" s="79"/>
      <c r="K388" s="24"/>
      <c r="L388" s="24"/>
    </row>
    <row r="389" spans="1:12" ht="14.5">
      <c r="A389" s="20" t="s">
        <v>4341</v>
      </c>
      <c r="B389" s="20">
        <v>30</v>
      </c>
      <c r="C389" s="20">
        <v>40</v>
      </c>
      <c r="D389" s="24"/>
      <c r="E389" s="24"/>
      <c r="F389" s="20" t="s">
        <v>4342</v>
      </c>
      <c r="G389" s="24" t="str">
        <f ca="1">IFERROR(__xludf.DUMMYFUNCTION("UPPER(LEFT((GOOGLETRANSLATE(F389,""en"",""pt"")),1))&amp;RIGHT(lower((GOOGLETRANSLATE(F389,""en"",""pt""))),(LEN((GOOGLETRANSLATE(F389,""en"",""pt"")))-1))"),"Animais e plantas de processamento de produtos atividades")</f>
        <v>Animais e plantas de processamento de produtos atividades</v>
      </c>
      <c r="H389" s="24" t="s">
        <v>4343</v>
      </c>
      <c r="I389" s="79"/>
      <c r="J389" s="79"/>
      <c r="K389" s="24"/>
      <c r="L389" s="24"/>
    </row>
    <row r="390" spans="1:12" ht="14.5">
      <c r="A390" s="20" t="s">
        <v>4344</v>
      </c>
      <c r="B390" s="20">
        <v>30</v>
      </c>
      <c r="C390" s="20">
        <v>40</v>
      </c>
      <c r="D390" s="20">
        <v>6</v>
      </c>
      <c r="E390" s="24"/>
      <c r="F390" s="20" t="s">
        <v>4345</v>
      </c>
      <c r="G390" s="24" t="str">
        <f ca="1">IFERROR(__xludf.DUMMYFUNCTION("UPPER(LEFT((GOOGLETRANSLATE(F390,""en"",""pt"")),1))&amp;RIGHT(lower((GOOGLETRANSLATE(F390,""en"",""pt""))),(LEN((GOOGLETRANSLATE(F390,""en"",""pt"")))-1))"),"Cozimento")</f>
        <v>Cozimento</v>
      </c>
      <c r="H390" s="24"/>
      <c r="I390" s="79"/>
      <c r="J390" s="79"/>
      <c r="K390" s="24"/>
      <c r="L390" s="24"/>
    </row>
    <row r="391" spans="1:12" ht="14.5">
      <c r="A391" s="20" t="s">
        <v>4346</v>
      </c>
      <c r="B391" s="20">
        <v>30</v>
      </c>
      <c r="C391" s="20">
        <v>40</v>
      </c>
      <c r="D391" s="20">
        <v>7</v>
      </c>
      <c r="E391" s="24"/>
      <c r="F391" s="20" t="s">
        <v>4347</v>
      </c>
      <c r="G391" s="24" t="str">
        <f ca="1">IFERROR(__xludf.DUMMYFUNCTION("UPPER(LEFT((GOOGLETRANSLATE(F391,""en"",""pt"")),1))&amp;RIGHT(lower((GOOGLETRANSLATE(F391,""en"",""pt""))),(LEN((GOOGLETRANSLATE(F391,""en"",""pt"")))-1))"),"Engarrafamento")</f>
        <v>Engarrafamento</v>
      </c>
      <c r="H391" s="24" t="s">
        <v>4348</v>
      </c>
      <c r="I391" s="81" t="s">
        <v>2004</v>
      </c>
      <c r="J391" s="79"/>
      <c r="K391" s="24"/>
      <c r="L391" s="24"/>
    </row>
    <row r="392" spans="1:12" ht="14.5">
      <c r="A392" s="20" t="s">
        <v>4349</v>
      </c>
      <c r="B392" s="20">
        <v>30</v>
      </c>
      <c r="C392" s="20">
        <v>40</v>
      </c>
      <c r="D392" s="20">
        <v>9</v>
      </c>
      <c r="E392" s="24"/>
      <c r="F392" s="20" t="s">
        <v>4350</v>
      </c>
      <c r="G392" s="24" t="str">
        <f ca="1">IFERROR(__xludf.DUMMYFUNCTION("UPPER(LEFT((GOOGLETRANSLATE(F392,""en"",""pt"")),1))&amp;RIGHT(lower((GOOGLETRANSLATE(F392,""en"",""pt""))),(LEN((GOOGLETRANSLATE(F392,""en"",""pt"")))-1))"),"Fermentação")</f>
        <v>Fermentação</v>
      </c>
      <c r="H392" s="24" t="s">
        <v>4351</v>
      </c>
      <c r="I392" s="79"/>
      <c r="J392" s="79"/>
      <c r="K392" s="24"/>
      <c r="L392" s="24"/>
    </row>
    <row r="393" spans="1:12" ht="14.5">
      <c r="A393" s="20" t="s">
        <v>4352</v>
      </c>
      <c r="B393" s="20">
        <v>30</v>
      </c>
      <c r="C393" s="20">
        <v>40</v>
      </c>
      <c r="D393" s="20">
        <v>10</v>
      </c>
      <c r="E393" s="24"/>
      <c r="F393" s="20" t="s">
        <v>4353</v>
      </c>
      <c r="G393" s="24" t="str">
        <f ca="1">IFERROR(__xludf.DUMMYFUNCTION("UPPER(LEFT((GOOGLETRANSLATE(F393,""en"",""pt"")),1))&amp;RIGHT(lower((GOOGLETRANSLATE(F393,""en"",""pt""))),(LEN((GOOGLETRANSLATE(F393,""en"",""pt"")))-1))"),"De produção de manteiga")</f>
        <v>De produção de manteiga</v>
      </c>
      <c r="H393" s="24" t="s">
        <v>4354</v>
      </c>
      <c r="I393" s="79"/>
      <c r="J393" s="79"/>
      <c r="K393" s="24"/>
      <c r="L393" s="24"/>
    </row>
    <row r="394" spans="1:12" ht="14.5">
      <c r="A394" s="20" t="s">
        <v>4355</v>
      </c>
      <c r="B394" s="20">
        <v>30</v>
      </c>
      <c r="C394" s="20">
        <v>40</v>
      </c>
      <c r="D394" s="20">
        <v>11</v>
      </c>
      <c r="E394" s="24"/>
      <c r="F394" s="20" t="s">
        <v>4356</v>
      </c>
      <c r="G394" s="24" t="str">
        <f ca="1">IFERROR(__xludf.DUMMYFUNCTION("UPPER(LEFT((GOOGLETRANSLATE(F394,""en"",""pt"")),1))&amp;RIGHT(lower((GOOGLETRANSLATE(F394,""en"",""pt""))),(LEN((GOOGLETRANSLATE(F394,""en"",""pt"")))-1))"),"Enlatamento")</f>
        <v>Enlatamento</v>
      </c>
      <c r="H394" s="24" t="s">
        <v>4357</v>
      </c>
      <c r="I394" s="79"/>
      <c r="J394" s="79"/>
      <c r="K394" s="24"/>
      <c r="L394" s="24"/>
    </row>
    <row r="395" spans="1:12" ht="14.5">
      <c r="A395" s="20" t="s">
        <v>4358</v>
      </c>
      <c r="B395" s="20">
        <v>30</v>
      </c>
      <c r="C395" s="20">
        <v>40</v>
      </c>
      <c r="D395" s="20">
        <v>18</v>
      </c>
      <c r="E395" s="24"/>
      <c r="F395" s="20" t="s">
        <v>4359</v>
      </c>
      <c r="G395" s="24" t="str">
        <f ca="1">IFERROR(__xludf.DUMMYFUNCTION("UPPER(LEFT((GOOGLETRANSLATE(F395,""en"",""pt"")),1))&amp;RIGHT(lower((GOOGLETRANSLATE(F395,""en"",""pt""))),(LEN((GOOGLETRANSLATE(F395,""en"",""pt"")))-1))"),"Fabrico de queijo")</f>
        <v>Fabrico de queijo</v>
      </c>
      <c r="H395" s="24" t="s">
        <v>4360</v>
      </c>
      <c r="I395" s="81" t="s">
        <v>2004</v>
      </c>
      <c r="J395" s="79"/>
      <c r="K395" s="24"/>
      <c r="L395" s="24"/>
    </row>
    <row r="396" spans="1:12" ht="14.5">
      <c r="A396" s="20" t="s">
        <v>4361</v>
      </c>
      <c r="B396" s="20">
        <v>30</v>
      </c>
      <c r="C396" s="20">
        <v>40</v>
      </c>
      <c r="D396" s="20">
        <v>22</v>
      </c>
      <c r="E396" s="24"/>
      <c r="F396" s="20" t="s">
        <v>4362</v>
      </c>
      <c r="G396" s="24" t="str">
        <f ca="1">IFERROR(__xludf.DUMMYFUNCTION("UPPER(LEFT((GOOGLETRANSLATE(F396,""en"",""pt"")),1))&amp;RIGHT(lower((GOOGLETRANSLATE(F396,""en"",""pt""))),(LEN((GOOGLETRANSLATE(F396,""en"",""pt"")))-1))"),"Destilando")</f>
        <v>Destilando</v>
      </c>
      <c r="H396" s="24" t="s">
        <v>4362</v>
      </c>
      <c r="I396" s="79"/>
      <c r="J396" s="79"/>
      <c r="K396" s="24"/>
      <c r="L396" s="24"/>
    </row>
    <row r="397" spans="1:12" ht="14.5">
      <c r="A397" s="20" t="s">
        <v>4363</v>
      </c>
      <c r="B397" s="20">
        <v>30</v>
      </c>
      <c r="C397" s="20">
        <v>40</v>
      </c>
      <c r="D397" s="20">
        <v>30</v>
      </c>
      <c r="E397" s="24"/>
      <c r="F397" s="20" t="s">
        <v>4364</v>
      </c>
      <c r="G397" s="24" t="str">
        <f ca="1">IFERROR(__xludf.DUMMYFUNCTION("UPPER(LEFT((GOOGLETRANSLATE(F397,""en"",""pt"")),1))&amp;RIGHT(lower((GOOGLETRANSLATE(F397,""en"",""pt""))),(LEN((GOOGLETRANSLATE(F397,""en"",""pt"")))-1))"),"Processamento de peixe")</f>
        <v>Processamento de peixe</v>
      </c>
      <c r="H397" s="24" t="s">
        <v>4365</v>
      </c>
      <c r="I397" s="79"/>
      <c r="J397" s="79"/>
      <c r="K397" s="24"/>
      <c r="L397" s="24"/>
    </row>
    <row r="398" spans="1:12" ht="14.5">
      <c r="A398" s="20" t="s">
        <v>4366</v>
      </c>
      <c r="B398" s="20">
        <v>30</v>
      </c>
      <c r="C398" s="20">
        <v>40</v>
      </c>
      <c r="D398" s="20">
        <v>32</v>
      </c>
      <c r="E398" s="24"/>
      <c r="F398" s="20" t="s">
        <v>4367</v>
      </c>
      <c r="G398" s="24" t="str">
        <f ca="1">IFERROR(__xludf.DUMMYFUNCTION("UPPER(LEFT((GOOGLETRANSLATE(F398,""en"",""pt"")),1))&amp;RIGHT(lower((GOOGLETRANSLATE(F398,""en"",""pt""))),(LEN((GOOGLETRANSLATE(F398,""en"",""pt"")))-1))"),"Frutas frescas e embalagem vegetal")</f>
        <v>Frutas frescas e embalagem vegetal</v>
      </c>
      <c r="H398" s="24" t="s">
        <v>4368</v>
      </c>
      <c r="I398" s="79"/>
      <c r="J398" s="79"/>
      <c r="K398" s="24"/>
      <c r="L398" s="24"/>
    </row>
    <row r="399" spans="1:12" ht="14.5">
      <c r="A399" s="20" t="s">
        <v>4369</v>
      </c>
      <c r="B399" s="20">
        <v>30</v>
      </c>
      <c r="C399" s="20">
        <v>40</v>
      </c>
      <c r="D399" s="20">
        <v>44</v>
      </c>
      <c r="E399" s="24"/>
      <c r="F399" s="20" t="s">
        <v>4370</v>
      </c>
      <c r="G399" s="24" t="str">
        <f ca="1">IFERROR(__xludf.DUMMYFUNCTION("UPPER(LEFT((GOOGLETRANSLATE(F399,""en"",""pt"")),1))&amp;RIGHT(lower((GOOGLETRANSLATE(F399,""en"",""pt""))),(LEN((GOOGLETRANSLATE(F399,""en"",""pt"")))-1))"),"Juicing")</f>
        <v>Juicing</v>
      </c>
      <c r="H399" s="24" t="s">
        <v>4370</v>
      </c>
      <c r="I399" s="79"/>
      <c r="J399" s="79"/>
      <c r="K399" s="24"/>
      <c r="L399" s="24"/>
    </row>
    <row r="400" spans="1:12" ht="14.5">
      <c r="A400" s="20" t="s">
        <v>4371</v>
      </c>
      <c r="B400" s="20">
        <v>30</v>
      </c>
      <c r="C400" s="20">
        <v>40</v>
      </c>
      <c r="D400" s="20">
        <v>52</v>
      </c>
      <c r="E400" s="24"/>
      <c r="F400" s="20" t="s">
        <v>4372</v>
      </c>
      <c r="G400" s="24" t="str">
        <f ca="1">IFERROR(__xludf.DUMMYFUNCTION("UPPER(LEFT((GOOGLETRANSLATE(F400,""en"",""pt"")),1))&amp;RIGHT(lower((GOOGLETRANSLATE(F400,""en"",""pt""))),(LEN((GOOGLETRANSLATE(F400,""en"",""pt"")))-1))"),"Processamento de carne")</f>
        <v>Processamento de carne</v>
      </c>
      <c r="H400" s="24" t="s">
        <v>4373</v>
      </c>
      <c r="I400" s="81" t="s">
        <v>2004</v>
      </c>
      <c r="J400" s="79"/>
      <c r="K400" s="24"/>
      <c r="L400" s="24"/>
    </row>
    <row r="401" spans="1:12" ht="14.5">
      <c r="A401" s="20" t="s">
        <v>4374</v>
      </c>
      <c r="B401" s="20">
        <v>30</v>
      </c>
      <c r="C401" s="20">
        <v>40</v>
      </c>
      <c r="D401" s="20">
        <v>54</v>
      </c>
      <c r="E401" s="24"/>
      <c r="F401" s="20" t="s">
        <v>4375</v>
      </c>
      <c r="G401" s="24" t="str">
        <f ca="1">IFERROR(__xludf.DUMMYFUNCTION("UPPER(LEFT((GOOGLETRANSLATE(F401,""en"",""pt"")),1))&amp;RIGHT(lower((GOOGLETRANSLATE(F401,""en"",""pt""))),(LEN((GOOGLETRANSLATE(F401,""en"",""pt"")))-1))"),"Processamento de leite")</f>
        <v>Processamento de leite</v>
      </c>
      <c r="H401" s="24" t="s">
        <v>4376</v>
      </c>
      <c r="I401" s="81" t="s">
        <v>2004</v>
      </c>
      <c r="J401" s="79"/>
      <c r="K401" s="24"/>
      <c r="L401" s="24"/>
    </row>
    <row r="402" spans="1:12" ht="14.5">
      <c r="A402" s="20" t="s">
        <v>4377</v>
      </c>
      <c r="B402" s="20">
        <v>30</v>
      </c>
      <c r="C402" s="20">
        <v>40</v>
      </c>
      <c r="D402" s="20">
        <v>55</v>
      </c>
      <c r="E402" s="24"/>
      <c r="F402" s="20" t="s">
        <v>4378</v>
      </c>
      <c r="G402" s="24" t="str">
        <f ca="1">IFERROR(__xludf.DUMMYFUNCTION("UPPER(LEFT((GOOGLETRANSLATE(F402,""en"",""pt"")),1))&amp;RIGHT(lower((GOOGLETRANSLATE(F402,""en"",""pt""))),(LEN((GOOGLETRANSLATE(F402,""en"",""pt"")))-1))"),"Moagem")</f>
        <v>Moagem</v>
      </c>
      <c r="H402" s="24" t="s">
        <v>4379</v>
      </c>
      <c r="I402" s="81" t="s">
        <v>2004</v>
      </c>
      <c r="J402" s="79"/>
      <c r="K402" s="24"/>
      <c r="L402" s="24"/>
    </row>
    <row r="403" spans="1:12" ht="14.5">
      <c r="A403" s="20" t="s">
        <v>4380</v>
      </c>
      <c r="B403" s="20">
        <v>30</v>
      </c>
      <c r="C403" s="20">
        <v>40</v>
      </c>
      <c r="D403" s="20">
        <v>63</v>
      </c>
      <c r="E403" s="24"/>
      <c r="F403" s="20" t="s">
        <v>4381</v>
      </c>
      <c r="G403" s="24" t="str">
        <f ca="1">IFERROR(__xludf.DUMMYFUNCTION("UPPER(LEFT((GOOGLETRANSLATE(F403,""en"",""pt"")),1))&amp;RIGHT(lower((GOOGLETRANSLATE(F403,""en"",""pt""))),(LEN((GOOGLETRANSLATE(F403,""en"",""pt"")))-1))"),"Triagem fibra vegetal")</f>
        <v>Triagem fibra vegetal</v>
      </c>
      <c r="H403" s="24" t="s">
        <v>4382</v>
      </c>
      <c r="I403" s="79"/>
      <c r="J403" s="79"/>
      <c r="K403" s="24"/>
      <c r="L403" s="24"/>
    </row>
    <row r="404" spans="1:12" ht="14.5">
      <c r="A404" s="20" t="s">
        <v>4383</v>
      </c>
      <c r="B404" s="20">
        <v>30</v>
      </c>
      <c r="C404" s="20">
        <v>40</v>
      </c>
      <c r="D404" s="20">
        <v>65</v>
      </c>
      <c r="E404" s="24"/>
      <c r="F404" s="20" t="s">
        <v>4384</v>
      </c>
      <c r="G404" s="24" t="str">
        <f ca="1">IFERROR(__xludf.DUMMYFUNCTION("UPPER(LEFT((GOOGLETRANSLATE(F404,""en"",""pt"")),1))&amp;RIGHT(lower((GOOGLETRANSLATE(F404,""en"",""pt""))),(LEN((GOOGLETRANSLATE(F404,""en"",""pt"")))-1))"),"Processamento de aves")</f>
        <v>Processamento de aves</v>
      </c>
      <c r="H404" s="24" t="s">
        <v>4385</v>
      </c>
      <c r="I404" s="81" t="s">
        <v>2004</v>
      </c>
      <c r="J404" s="79"/>
      <c r="K404" s="24"/>
      <c r="L404" s="24"/>
    </row>
    <row r="405" spans="1:12" ht="14.5">
      <c r="A405" s="20" t="s">
        <v>4386</v>
      </c>
      <c r="B405" s="20">
        <v>30</v>
      </c>
      <c r="C405" s="20">
        <v>40</v>
      </c>
      <c r="D405" s="20">
        <v>80</v>
      </c>
      <c r="E405" s="24"/>
      <c r="F405" s="20" t="s">
        <v>4387</v>
      </c>
      <c r="G405" s="24" t="str">
        <f ca="1">IFERROR(__xludf.DUMMYFUNCTION("UPPER(LEFT((GOOGLETRANSLATE(F405,""en"",""pt"")),1))&amp;RIGHT(lower((GOOGLETRANSLATE(F405,""en"",""pt""))),(LEN((GOOGLETRANSLATE(F405,""en"",""pt"")))-1))"),"Abate")</f>
        <v>Abate</v>
      </c>
      <c r="H405" s="24" t="s">
        <v>4388</v>
      </c>
      <c r="I405" s="81" t="s">
        <v>2004</v>
      </c>
      <c r="J405" s="79"/>
      <c r="K405" s="24"/>
      <c r="L405" s="24"/>
    </row>
    <row r="406" spans="1:12" ht="14.5">
      <c r="A406" s="20" t="s">
        <v>4389</v>
      </c>
      <c r="B406" s="20">
        <v>30</v>
      </c>
      <c r="C406" s="20">
        <v>40</v>
      </c>
      <c r="D406" s="20">
        <v>87</v>
      </c>
      <c r="E406" s="24"/>
      <c r="F406" s="20" t="s">
        <v>4390</v>
      </c>
      <c r="G406" s="24" t="str">
        <f ca="1">IFERROR(__xludf.DUMMYFUNCTION("UPPER(LEFT((GOOGLETRANSLATE(F406,""en"",""pt"")),1))&amp;RIGHT(lower((GOOGLETRANSLATE(F406,""en"",""pt""))),(LEN((GOOGLETRANSLATE(F406,""en"",""pt"")))-1))"),"Bronzeamento")</f>
        <v>Bronzeamento</v>
      </c>
      <c r="H406" s="24" t="s">
        <v>4390</v>
      </c>
      <c r="I406" s="79"/>
      <c r="J406" s="79"/>
      <c r="K406" s="24"/>
      <c r="L406" s="24"/>
    </row>
    <row r="407" spans="1:12" ht="14.5">
      <c r="A407" s="20" t="s">
        <v>4391</v>
      </c>
      <c r="B407" s="20">
        <v>30</v>
      </c>
      <c r="C407" s="20">
        <v>40</v>
      </c>
      <c r="D407" s="20">
        <v>88</v>
      </c>
      <c r="E407" s="24"/>
      <c r="F407" s="20" t="s">
        <v>4392</v>
      </c>
      <c r="G407" s="24" t="str">
        <f ca="1">IFERROR(__xludf.DUMMYFUNCTION("UPPER(LEFT((GOOGLETRANSLATE(F407,""en"",""pt"")),1))&amp;RIGHT(lower((GOOGLETRANSLATE(F407,""en"",""pt""))),(LEN((GOOGLETRANSLATE(F407,""en"",""pt"")))-1))"),"Debulha")</f>
        <v>Debulha</v>
      </c>
      <c r="H407" s="24" t="s">
        <v>4393</v>
      </c>
      <c r="I407" s="79"/>
      <c r="J407" s="79"/>
      <c r="K407" s="24"/>
      <c r="L407" s="24"/>
    </row>
    <row r="408" spans="1:12" ht="14.5">
      <c r="A408" s="20" t="s">
        <v>4394</v>
      </c>
      <c r="B408" s="20">
        <v>30</v>
      </c>
      <c r="C408" s="20">
        <v>40</v>
      </c>
      <c r="D408" s="20">
        <v>89</v>
      </c>
      <c r="E408" s="24"/>
      <c r="F408" s="20" t="s">
        <v>4395</v>
      </c>
      <c r="G408" s="24" t="str">
        <f ca="1">IFERROR(__xludf.DUMMYFUNCTION("UPPER(LEFT((GOOGLETRANSLATE(F408,""en"",""pt"")),1))&amp;RIGHT(lower((GOOGLETRANSLATE(F408,""en"",""pt""))),(LEN((GOOGLETRANSLATE(F408,""en"",""pt"")))-1))"),"Serragem de madeira")</f>
        <v>Serragem de madeira</v>
      </c>
      <c r="H408" s="24" t="s">
        <v>4396</v>
      </c>
      <c r="I408" s="81" t="s">
        <v>2004</v>
      </c>
      <c r="J408" s="79"/>
      <c r="K408" s="24"/>
      <c r="L408" s="24"/>
    </row>
    <row r="409" spans="1:12" ht="14.5">
      <c r="A409" s="20" t="s">
        <v>4397</v>
      </c>
      <c r="B409" s="20">
        <v>30</v>
      </c>
      <c r="C409" s="20">
        <v>40</v>
      </c>
      <c r="D409" s="20">
        <v>90</v>
      </c>
      <c r="E409" s="24"/>
      <c r="F409" s="20" t="s">
        <v>4398</v>
      </c>
      <c r="G409" s="24" t="str">
        <f ca="1">IFERROR(__xludf.DUMMYFUNCTION("UPPER(LEFT((GOOGLETRANSLATE(F409,""en"",""pt"")),1))&amp;RIGHT(lower((GOOGLETRANSLATE(F409,""en"",""pt""))),(LEN((GOOGLETRANSLATE(F409,""en"",""pt"")))-1))"),"Secagem do tabaco")</f>
        <v>Secagem do tabaco</v>
      </c>
      <c r="H409" s="20" t="s">
        <v>4399</v>
      </c>
      <c r="I409" s="81" t="s">
        <v>2004</v>
      </c>
      <c r="J409" s="79"/>
      <c r="K409" s="24"/>
      <c r="L409" s="24"/>
    </row>
    <row r="410" spans="1:12" ht="14.5">
      <c r="A410" s="20" t="s">
        <v>4400</v>
      </c>
      <c r="B410" s="20">
        <v>30</v>
      </c>
      <c r="C410" s="20">
        <v>40</v>
      </c>
      <c r="D410" s="20">
        <v>96</v>
      </c>
      <c r="E410" s="24"/>
      <c r="F410" s="20" t="s">
        <v>4401</v>
      </c>
      <c r="G410" s="24" t="str">
        <f ca="1">IFERROR(__xludf.DUMMYFUNCTION("UPPER(LEFT((GOOGLETRANSLATE(F410,""en"",""pt"")),1))&amp;RIGHT(lower((GOOGLETRANSLATE(F410,""en"",""pt""))),(LEN((GOOGLETRANSLATE(F410,""en"",""pt"")))-1))"),"Vinificação")</f>
        <v>Vinificação</v>
      </c>
      <c r="H410" s="24" t="s">
        <v>4402</v>
      </c>
      <c r="I410" s="81" t="s">
        <v>2004</v>
      </c>
      <c r="J410" s="79"/>
      <c r="K410" s="24"/>
      <c r="L410" s="24"/>
    </row>
    <row r="411" spans="1:12" ht="14.5">
      <c r="A411" s="20" t="s">
        <v>4403</v>
      </c>
      <c r="B411" s="20">
        <v>30</v>
      </c>
      <c r="C411" s="20">
        <v>40</v>
      </c>
      <c r="D411" s="20">
        <v>98</v>
      </c>
      <c r="E411" s="24"/>
      <c r="F411" s="20" t="s">
        <v>4404</v>
      </c>
      <c r="G411" s="24" t="str">
        <f ca="1">IFERROR(__xludf.DUMMYFUNCTION("UPPER(LEFT((GOOGLETRANSLATE(F411,""en"",""pt"")),1))&amp;RIGHT(lower((GOOGLETRANSLATE(F411,""en"",""pt""))),(LEN((GOOGLETRANSLATE(F411,""en"",""pt"")))-1))"),"Classificação lã")</f>
        <v>Classificação lã</v>
      </c>
      <c r="H411" s="20" t="s">
        <v>4405</v>
      </c>
      <c r="I411" s="81" t="s">
        <v>2004</v>
      </c>
      <c r="J411" s="79"/>
      <c r="K411" s="24"/>
      <c r="L411" s="24"/>
    </row>
    <row r="412" spans="1:12" ht="14.5">
      <c r="A412" s="20" t="s">
        <v>4406</v>
      </c>
      <c r="B412" s="20">
        <v>30</v>
      </c>
      <c r="C412" s="20">
        <v>50</v>
      </c>
      <c r="D412" s="24"/>
      <c r="E412" s="24"/>
      <c r="F412" s="20" t="s">
        <v>4407</v>
      </c>
      <c r="G412" s="24" t="str">
        <f ca="1">IFERROR(__xludf.DUMMYFUNCTION("UPPER(LEFT((GOOGLETRANSLATE(F412,""en"",""pt"")),1))&amp;RIGHT(lower((GOOGLETRANSLATE(F412,""en"",""pt""))),(LEN((GOOGLETRANSLATE(F412,""en"",""pt"")))-1))"),"Atividades de fabricação")</f>
        <v>Atividades de fabricação</v>
      </c>
      <c r="H412" s="24" t="s">
        <v>4408</v>
      </c>
      <c r="I412" s="79"/>
      <c r="J412" s="79"/>
      <c r="K412" s="24"/>
      <c r="L412" s="24"/>
    </row>
    <row r="413" spans="1:12" ht="14.5">
      <c r="A413" s="20" t="s">
        <v>4409</v>
      </c>
      <c r="B413" s="20">
        <v>30</v>
      </c>
      <c r="C413" s="20">
        <v>50</v>
      </c>
      <c r="D413" s="20">
        <v>27</v>
      </c>
      <c r="E413" s="24"/>
      <c r="F413" s="20" t="s">
        <v>4410</v>
      </c>
      <c r="G413" s="24" t="str">
        <f ca="1">IFERROR(__xludf.DUMMYFUNCTION("UPPER(LEFT((GOOGLETRANSLATE(F413,""en"",""pt"")),1))&amp;RIGHT(lower((GOOGLETRANSLATE(F413,""en"",""pt""))),(LEN((GOOGLETRANSLATE(F413,""en"",""pt"")))-1))"),"Eletrônica atividades limpas")</f>
        <v>Eletrônica atividades limpas</v>
      </c>
      <c r="H413" s="24" t="s">
        <v>4411</v>
      </c>
      <c r="I413" s="79"/>
      <c r="J413" s="79"/>
      <c r="K413" s="24"/>
      <c r="L413" s="24"/>
    </row>
    <row r="414" spans="1:12" ht="14.5">
      <c r="A414" s="20" t="s">
        <v>4412</v>
      </c>
      <c r="B414" s="20">
        <v>30</v>
      </c>
      <c r="C414" s="20">
        <v>50</v>
      </c>
      <c r="D414" s="20">
        <v>30</v>
      </c>
      <c r="E414" s="24"/>
      <c r="F414" s="20" t="s">
        <v>4413</v>
      </c>
      <c r="G414" s="24" t="str">
        <f ca="1">IFERROR(__xludf.DUMMYFUNCTION("UPPER(LEFT((GOOGLETRANSLATE(F414,""en"",""pt"")),1))&amp;RIGHT(lower((GOOGLETRANSLATE(F414,""en"",""pt""))),(LEN((GOOGLETRANSLATE(F414,""en"",""pt"")))-1))"),"Atividades industriais pesados")</f>
        <v>Atividades industriais pesados</v>
      </c>
      <c r="H414" s="20" t="s">
        <v>4414</v>
      </c>
      <c r="I414" s="81" t="s">
        <v>2004</v>
      </c>
      <c r="J414" s="79"/>
      <c r="K414" s="24"/>
      <c r="L414" s="24"/>
    </row>
    <row r="415" spans="1:12" ht="14.5">
      <c r="A415" s="20" t="s">
        <v>4415</v>
      </c>
      <c r="B415" s="20">
        <v>30</v>
      </c>
      <c r="C415" s="20">
        <v>50</v>
      </c>
      <c r="D415" s="20">
        <v>53</v>
      </c>
      <c r="E415" s="24"/>
      <c r="F415" s="20" t="s">
        <v>4416</v>
      </c>
      <c r="G415" s="24" t="str">
        <f ca="1">IFERROR(__xludf.DUMMYFUNCTION("UPPER(LEFT((GOOGLETRANSLATE(F415,""en"",""pt"")),1))&amp;RIGHT(lower((GOOGLETRANSLATE(F415,""en"",""pt""))),(LEN((GOOGLETRANSLATE(F415,""en"",""pt"")))-1))"),"Atividades industriais leves")</f>
        <v>Atividades industriais leves</v>
      </c>
      <c r="H415" s="20" t="s">
        <v>4417</v>
      </c>
      <c r="I415" s="81" t="s">
        <v>2004</v>
      </c>
      <c r="J415" s="79"/>
      <c r="K415" s="24"/>
      <c r="L415" s="24"/>
    </row>
    <row r="416" spans="1:12" ht="14.5">
      <c r="A416" s="20" t="s">
        <v>4418</v>
      </c>
      <c r="B416" s="20">
        <v>30</v>
      </c>
      <c r="C416" s="20">
        <v>50</v>
      </c>
      <c r="D416" s="20">
        <v>60</v>
      </c>
      <c r="E416" s="24"/>
      <c r="F416" s="20" t="s">
        <v>4419</v>
      </c>
      <c r="G416" s="24" t="str">
        <f ca="1">IFERROR(__xludf.DUMMYFUNCTION("UPPER(LEFT((GOOGLETRANSLATE(F416,""en"",""pt"")),1))&amp;RIGHT(lower((GOOGLETRANSLATE(F416,""en"",""pt""))),(LEN((GOOGLETRANSLATE(F416,""en"",""pt"")))-1))"),"Embalagem")</f>
        <v>Embalagem</v>
      </c>
      <c r="H416" s="24" t="s">
        <v>4420</v>
      </c>
      <c r="I416" s="81" t="s">
        <v>2004</v>
      </c>
      <c r="J416" s="79"/>
      <c r="K416" s="24"/>
      <c r="L416" s="24"/>
    </row>
    <row r="417" spans="1:12" ht="14.5">
      <c r="A417" s="20" t="s">
        <v>4421</v>
      </c>
      <c r="B417" s="20">
        <v>30</v>
      </c>
      <c r="C417" s="20">
        <v>50</v>
      </c>
      <c r="D417" s="20">
        <v>61</v>
      </c>
      <c r="E417" s="24"/>
      <c r="F417" s="20" t="s">
        <v>4422</v>
      </c>
      <c r="G417" s="24" t="str">
        <f ca="1">IFERROR(__xludf.DUMMYFUNCTION("UPPER(LEFT((GOOGLETRANSLATE(F417,""en"",""pt"")),1))&amp;RIGHT(lower((GOOGLETRANSLATE(F417,""en"",""pt""))),(LEN((GOOGLETRANSLATE(F417,""en"",""pt"")))-1))"),"Pintura por pulverização")</f>
        <v>Pintura por pulverização</v>
      </c>
      <c r="H417" s="24" t="s">
        <v>4423</v>
      </c>
      <c r="I417" s="81" t="s">
        <v>2004</v>
      </c>
      <c r="J417" s="79"/>
      <c r="K417" s="24"/>
      <c r="L417" s="24"/>
    </row>
    <row r="418" spans="1:12" ht="14.5">
      <c r="A418" s="20" t="s">
        <v>4424</v>
      </c>
      <c r="B418" s="20">
        <v>30</v>
      </c>
      <c r="C418" s="20">
        <v>50</v>
      </c>
      <c r="D418" s="20">
        <v>64</v>
      </c>
      <c r="E418" s="24"/>
      <c r="F418" s="20" t="s">
        <v>4425</v>
      </c>
      <c r="G418" s="24" t="str">
        <f ca="1">IFERROR(__xludf.DUMMYFUNCTION("UPPER(LEFT((GOOGLETRANSLATE(F418,""en"",""pt"")),1))&amp;RIGHT(lower((GOOGLETRANSLATE(F418,""en"",""pt""))),(LEN((GOOGLETRANSLATE(F418,""en"",""pt"")))-1))"),"Impressão")</f>
        <v>Impressão</v>
      </c>
      <c r="H418" s="24" t="s">
        <v>4426</v>
      </c>
      <c r="I418" s="81" t="s">
        <v>2004</v>
      </c>
      <c r="J418" s="79"/>
      <c r="K418" s="24"/>
      <c r="L418" s="24"/>
    </row>
    <row r="419" spans="1:12" ht="14.5">
      <c r="A419" s="20" t="s">
        <v>4427</v>
      </c>
      <c r="B419" s="20">
        <v>30</v>
      </c>
      <c r="C419" s="20">
        <v>60</v>
      </c>
      <c r="D419" s="24"/>
      <c r="E419" s="24"/>
      <c r="F419" s="20" t="s">
        <v>4428</v>
      </c>
      <c r="G419" s="24" t="str">
        <f ca="1">IFERROR(__xludf.DUMMYFUNCTION("UPPER(LEFT((GOOGLETRANSLATE(F419,""en"",""pt"")),1))&amp;RIGHT(lower((GOOGLETRANSLATE(F419,""en"",""pt""))),(LEN((GOOGLETRANSLATE(F419,""en"",""pt"")))-1))"),"Atividades de limpeza e manutenção")</f>
        <v>Atividades de limpeza e manutenção</v>
      </c>
      <c r="H419" s="24" t="s">
        <v>4429</v>
      </c>
      <c r="I419" s="81" t="s">
        <v>2004</v>
      </c>
      <c r="J419" s="79"/>
      <c r="K419" s="24"/>
      <c r="L419" s="24"/>
    </row>
    <row r="420" spans="1:12" ht="14.5">
      <c r="A420" s="20" t="s">
        <v>4430</v>
      </c>
      <c r="B420" s="20">
        <v>30</v>
      </c>
      <c r="C420" s="20">
        <v>60</v>
      </c>
      <c r="D420" s="20">
        <v>12</v>
      </c>
      <c r="E420" s="24"/>
      <c r="F420" s="20" t="s">
        <v>4431</v>
      </c>
      <c r="G420" s="24" t="str">
        <f ca="1">IFERROR(__xludf.DUMMYFUNCTION("UPPER(LEFT((GOOGLETRANSLATE(F420,""en"",""pt"")),1))&amp;RIGHT(lower((GOOGLETRANSLATE(F420,""en"",""pt""))),(LEN((GOOGLETRANSLATE(F420,""en"",""pt"")))-1))"),"Limpeza")</f>
        <v>Limpeza</v>
      </c>
      <c r="H420" s="24" t="s">
        <v>4432</v>
      </c>
      <c r="I420" s="81" t="s">
        <v>2004</v>
      </c>
      <c r="J420" s="79"/>
      <c r="K420" s="24"/>
      <c r="L420" s="24"/>
    </row>
    <row r="421" spans="1:12" ht="14.5">
      <c r="A421" s="20" t="s">
        <v>4433</v>
      </c>
      <c r="B421" s="20">
        <v>30</v>
      </c>
      <c r="C421" s="20">
        <v>60</v>
      </c>
      <c r="D421" s="20">
        <v>13</v>
      </c>
      <c r="E421" s="24"/>
      <c r="F421" s="20" t="s">
        <v>4434</v>
      </c>
      <c r="G421" s="24" t="str">
        <f ca="1">IFERROR(__xludf.DUMMYFUNCTION("UPPER(LEFT((GOOGLETRANSLATE(F421,""en"",""pt"")),1))&amp;RIGHT(lower((GOOGLETRANSLATE(F421,""en"",""pt""))),(LEN((GOOGLETRANSLATE(F421,""en"",""pt"")))-1))"),"Roupa de secagem e arejamento")</f>
        <v>Roupa de secagem e arejamento</v>
      </c>
      <c r="H421" s="20" t="s">
        <v>4435</v>
      </c>
      <c r="I421" s="81" t="s">
        <v>2004</v>
      </c>
      <c r="J421" s="79"/>
      <c r="K421" s="24"/>
      <c r="L421" s="24"/>
    </row>
    <row r="422" spans="1:12" ht="14.5">
      <c r="A422" s="20" t="s">
        <v>4436</v>
      </c>
      <c r="B422" s="20">
        <v>30</v>
      </c>
      <c r="C422" s="20">
        <v>60</v>
      </c>
      <c r="D422" s="20">
        <v>15</v>
      </c>
      <c r="E422" s="24"/>
      <c r="F422" s="20" t="s">
        <v>4437</v>
      </c>
      <c r="G422" s="24" t="str">
        <f ca="1">IFERROR(__xludf.DUMMYFUNCTION("UPPER(LEFT((GOOGLETRANSLATE(F422,""en"",""pt"")),1))&amp;RIGHT(lower((GOOGLETRANSLATE(F422,""en"",""pt""))),(LEN((GOOGLETRANSLATE(F422,""en"",""pt"")))-1))"),"Lavagem comercial")</f>
        <v>Lavagem comercial</v>
      </c>
      <c r="H422" s="24" t="s">
        <v>4438</v>
      </c>
      <c r="I422" s="81" t="s">
        <v>2004</v>
      </c>
      <c r="J422" s="79"/>
      <c r="K422" s="24"/>
      <c r="L422" s="24"/>
    </row>
    <row r="423" spans="1:12" ht="14.5">
      <c r="A423" s="20" t="s">
        <v>4439</v>
      </c>
      <c r="B423" s="20">
        <v>30</v>
      </c>
      <c r="C423" s="20">
        <v>60</v>
      </c>
      <c r="D423" s="20">
        <v>22</v>
      </c>
      <c r="E423" s="24"/>
      <c r="F423" s="20" t="s">
        <v>4440</v>
      </c>
      <c r="G423" s="24" t="str">
        <f ca="1">IFERROR(__xludf.DUMMYFUNCTION("UPPER(LEFT((GOOGLETRANSLATE(F423,""en"",""pt"")),1))&amp;RIGHT(lower((GOOGLETRANSLATE(F423,""en"",""pt""))),(LEN((GOOGLETRANSLATE(F423,""en"",""pt"")))-1))"),"Descontaminar")</f>
        <v>Descontaminar</v>
      </c>
      <c r="H423" s="20" t="s">
        <v>3386</v>
      </c>
      <c r="I423" s="81" t="s">
        <v>2004</v>
      </c>
      <c r="J423" s="79"/>
      <c r="K423" s="24"/>
      <c r="L423" s="24"/>
    </row>
    <row r="424" spans="1:12" ht="14.5">
      <c r="A424" s="20" t="s">
        <v>4441</v>
      </c>
      <c r="B424" s="20">
        <v>30</v>
      </c>
      <c r="C424" s="20">
        <v>60</v>
      </c>
      <c r="D424" s="20">
        <v>23</v>
      </c>
      <c r="E424" s="24"/>
      <c r="F424" s="20" t="s">
        <v>4442</v>
      </c>
      <c r="G424" s="24" t="str">
        <f ca="1">IFERROR(__xludf.DUMMYFUNCTION("UPPER(LEFT((GOOGLETRANSLATE(F424,""en"",""pt"")),1))&amp;RIGHT(lower((GOOGLETRANSLATE(F424,""en"",""pt""))),(LEN((GOOGLETRANSLATE(F424,""en"",""pt"")))-1))"),"Lavagem doméstica")</f>
        <v>Lavagem doméstica</v>
      </c>
      <c r="H424" s="20" t="s">
        <v>4443</v>
      </c>
      <c r="I424" s="81" t="s">
        <v>2004</v>
      </c>
      <c r="J424" s="79"/>
      <c r="K424" s="24"/>
      <c r="L424" s="24"/>
    </row>
    <row r="425" spans="1:12" ht="14.5">
      <c r="A425" s="20" t="s">
        <v>4444</v>
      </c>
      <c r="B425" s="20">
        <v>30</v>
      </c>
      <c r="C425" s="20">
        <v>60</v>
      </c>
      <c r="D425" s="20">
        <v>24</v>
      </c>
      <c r="E425" s="24"/>
      <c r="F425" s="20" t="s">
        <v>4445</v>
      </c>
      <c r="G425" s="24" t="str">
        <f ca="1">IFERROR(__xludf.DUMMYFUNCTION("UPPER(LEFT((GOOGLETRANSLATE(F425,""en"",""pt"")),1))&amp;RIGHT(lower((GOOGLETRANSLATE(F425,""en"",""pt""))),(LEN((GOOGLETRANSLATE(F425,""en"",""pt"")))-1))"),"Limpeza à seco")</f>
        <v>Limpeza à seco</v>
      </c>
      <c r="H425" s="20" t="s">
        <v>4446</v>
      </c>
      <c r="I425" s="81" t="s">
        <v>2004</v>
      </c>
      <c r="J425" s="79"/>
      <c r="K425" s="24"/>
      <c r="L425" s="24"/>
    </row>
    <row r="426" spans="1:12" ht="14.5">
      <c r="A426" s="20" t="s">
        <v>4447</v>
      </c>
      <c r="B426" s="20">
        <v>30</v>
      </c>
      <c r="C426" s="20">
        <v>60</v>
      </c>
      <c r="D426" s="20">
        <v>42</v>
      </c>
      <c r="E426" s="24"/>
      <c r="F426" s="20" t="s">
        <v>4448</v>
      </c>
      <c r="G426" s="24" t="str">
        <f ca="1">IFERROR(__xludf.DUMMYFUNCTION("UPPER(LEFT((GOOGLETRANSLATE(F426,""en"",""pt"")),1))&amp;RIGHT(lower((GOOGLETRANSLATE(F426,""en"",""pt""))),(LEN((GOOGLETRANSLATE(F426,""en"",""pt"")))-1))"),"Passar roupa")</f>
        <v>Passar roupa</v>
      </c>
      <c r="H426" s="20" t="s">
        <v>4449</v>
      </c>
      <c r="I426" s="81" t="s">
        <v>2004</v>
      </c>
      <c r="J426" s="79"/>
      <c r="K426" s="24"/>
      <c r="L426" s="24"/>
    </row>
    <row r="427" spans="1:12" ht="14.5">
      <c r="A427" s="20" t="s">
        <v>4450</v>
      </c>
      <c r="B427" s="20">
        <v>30</v>
      </c>
      <c r="C427" s="20">
        <v>60</v>
      </c>
      <c r="D427" s="20">
        <v>47</v>
      </c>
      <c r="E427" s="24"/>
      <c r="F427" s="20" t="s">
        <v>4451</v>
      </c>
      <c r="G427" s="24" t="str">
        <f ca="1">IFERROR(__xludf.DUMMYFUNCTION("UPPER(LEFT((GOOGLETRANSLATE(F427,""en"",""pt"")),1))&amp;RIGHT(lower((GOOGLETRANSLATE(F427,""en"",""pt""))),(LEN((GOOGLETRANSLATE(F427,""en"",""pt"")))-1))"),"Lavagem")</f>
        <v>Lavagem</v>
      </c>
      <c r="H427" s="20" t="s">
        <v>4452</v>
      </c>
      <c r="I427" s="81" t="s">
        <v>2004</v>
      </c>
      <c r="J427" s="79"/>
      <c r="K427" s="24"/>
      <c r="L427" s="24"/>
    </row>
    <row r="428" spans="1:12" ht="14.5">
      <c r="A428" s="20" t="s">
        <v>4453</v>
      </c>
      <c r="B428" s="20">
        <v>30</v>
      </c>
      <c r="C428" s="20">
        <v>60</v>
      </c>
      <c r="D428" s="20">
        <v>75</v>
      </c>
      <c r="E428" s="24"/>
      <c r="F428" s="20" t="s">
        <v>4454</v>
      </c>
      <c r="G428" s="24" t="str">
        <f ca="1">IFERROR(__xludf.DUMMYFUNCTION("UPPER(LEFT((GOOGLETRANSLATE(F428,""en"",""pt"")),1))&amp;RIGHT(lower((GOOGLETRANSLATE(F428,""en"",""pt""))),(LEN((GOOGLETRANSLATE(F428,""en"",""pt"")))-1))"),"Lavagem de serviço")</f>
        <v>Lavagem de serviço</v>
      </c>
      <c r="H428" s="20" t="s">
        <v>4455</v>
      </c>
      <c r="I428" s="81" t="s">
        <v>2004</v>
      </c>
      <c r="J428" s="79"/>
      <c r="K428" s="24"/>
      <c r="L428" s="24"/>
    </row>
    <row r="429" spans="1:12" ht="14.5">
      <c r="A429" s="20" t="s">
        <v>4456</v>
      </c>
      <c r="B429" s="20">
        <v>30</v>
      </c>
      <c r="C429" s="20">
        <v>60</v>
      </c>
      <c r="D429" s="20">
        <v>94</v>
      </c>
      <c r="E429" s="24"/>
      <c r="F429" s="20" t="s">
        <v>4457</v>
      </c>
      <c r="G429" s="24" t="str">
        <f ca="1">IFERROR(__xludf.DUMMYFUNCTION("UPPER(LEFT((GOOGLETRANSLATE(F429,""en"",""pt"")),1))&amp;RIGHT(lower((GOOGLETRANSLATE(F429,""en"",""pt""))),(LEN((GOOGLETRANSLATE(F429,""en"",""pt"")))-1))"),"Lavagem de veículos")</f>
        <v>Lavagem de veículos</v>
      </c>
      <c r="H429" s="24" t="s">
        <v>4458</v>
      </c>
      <c r="I429" s="81" t="s">
        <v>2004</v>
      </c>
      <c r="J429" s="79"/>
      <c r="K429" s="24"/>
      <c r="L429" s="24"/>
    </row>
    <row r="430" spans="1:12" ht="14.5">
      <c r="A430" s="20" t="s">
        <v>4459</v>
      </c>
      <c r="B430" s="20">
        <v>30</v>
      </c>
      <c r="C430" s="20">
        <v>60</v>
      </c>
      <c r="D430" s="20">
        <v>96</v>
      </c>
      <c r="E430" s="24"/>
      <c r="F430" s="20" t="s">
        <v>4460</v>
      </c>
      <c r="G430" s="24" t="str">
        <f ca="1">IFERROR(__xludf.DUMMYFUNCTION("UPPER(LEFT((GOOGLETRANSLATE(F430,""en"",""pt"")),1))&amp;RIGHT(lower((GOOGLETRANSLATE(F430,""en"",""pt""))),(LEN((GOOGLETRANSLATE(F430,""en"",""pt"")))-1))"),"Lavando")</f>
        <v>Lavando</v>
      </c>
      <c r="H430" s="20" t="s">
        <v>4461</v>
      </c>
      <c r="I430" s="81" t="s">
        <v>2004</v>
      </c>
      <c r="J430" s="79"/>
      <c r="K430" s="24"/>
      <c r="L430" s="24"/>
    </row>
    <row r="431" spans="1:12" ht="14.5">
      <c r="A431" s="20" t="s">
        <v>4462</v>
      </c>
      <c r="B431" s="20">
        <v>30</v>
      </c>
      <c r="C431" s="20">
        <v>80</v>
      </c>
      <c r="D431" s="24"/>
      <c r="E431" s="24"/>
      <c r="F431" s="20" t="s">
        <v>4463</v>
      </c>
      <c r="G431" s="24" t="str">
        <f ca="1">IFERROR(__xludf.DUMMYFUNCTION("UPPER(LEFT((GOOGLETRANSLATE(F431,""en"",""pt"")),1))&amp;RIGHT(lower((GOOGLETRANSLATE(F431,""en"",""pt""))),(LEN((GOOGLETRANSLATE(F431,""en"",""pt"")))-1))"),"Geração de energia cinética")</f>
        <v>Geração de energia cinética</v>
      </c>
      <c r="H431" s="20" t="s">
        <v>4464</v>
      </c>
      <c r="I431" s="81" t="s">
        <v>2004</v>
      </c>
      <c r="J431" s="81" t="s">
        <v>4465</v>
      </c>
      <c r="K431" s="24"/>
      <c r="L431" s="24"/>
    </row>
    <row r="432" spans="1:12" ht="14.5">
      <c r="A432" s="20" t="s">
        <v>4466</v>
      </c>
      <c r="B432" s="20">
        <v>30</v>
      </c>
      <c r="C432" s="20">
        <v>85</v>
      </c>
      <c r="D432" s="24"/>
      <c r="E432" s="24"/>
      <c r="F432" s="20" t="s">
        <v>4467</v>
      </c>
      <c r="G432" s="24" t="str">
        <f ca="1">IFERROR(__xludf.DUMMYFUNCTION("UPPER(LEFT((GOOGLETRANSLATE(F432,""en"",""pt"")),1))&amp;RIGHT(lower((GOOGLETRANSLATE(F432,""en"",""pt""))),(LEN((GOOGLETRANSLATE(F432,""en"",""pt"")))-1))"),"Actividades marinhos e de armazenagem de água e de manutenção")</f>
        <v>Actividades marinhos e de armazenagem de água e de manutenção</v>
      </c>
      <c r="H432" s="19" t="s">
        <v>4468</v>
      </c>
      <c r="I432" s="81" t="s">
        <v>2004</v>
      </c>
      <c r="J432" s="79"/>
      <c r="K432" s="24"/>
      <c r="L432" s="24"/>
    </row>
    <row r="433" spans="1:12" ht="14.5">
      <c r="A433" s="20" t="s">
        <v>4469</v>
      </c>
      <c r="B433" s="20">
        <v>30</v>
      </c>
      <c r="C433" s="20">
        <v>85</v>
      </c>
      <c r="D433" s="20">
        <v>8</v>
      </c>
      <c r="E433" s="24"/>
      <c r="F433" s="20" t="s">
        <v>4470</v>
      </c>
      <c r="G433" s="24" t="str">
        <f ca="1">IFERROR(__xludf.DUMMYFUNCTION("UPPER(LEFT((GOOGLETRANSLATE(F433,""en"",""pt"")),1))&amp;RIGHT(lower((GOOGLETRANSLATE(F433,""en"",""pt""))),(LEN((GOOGLETRANSLATE(F433,""en"",""pt"")))-1))"),"Reparação de barco")</f>
        <v>Reparação de barco</v>
      </c>
      <c r="H433" s="20" t="s">
        <v>4471</v>
      </c>
      <c r="I433" s="81" t="s">
        <v>2004</v>
      </c>
      <c r="J433" s="79"/>
      <c r="K433" s="24"/>
      <c r="L433" s="24"/>
    </row>
    <row r="434" spans="1:12" ht="14.5">
      <c r="A434" s="20" t="s">
        <v>4472</v>
      </c>
      <c r="B434" s="20">
        <v>30</v>
      </c>
      <c r="C434" s="20">
        <v>85</v>
      </c>
      <c r="D434" s="20">
        <v>24</v>
      </c>
      <c r="E434" s="24"/>
      <c r="F434" s="20" t="s">
        <v>4473</v>
      </c>
      <c r="G434" s="24" t="str">
        <f ca="1">IFERROR(__xludf.DUMMYFUNCTION("UPPER(LEFT((GOOGLETRANSLATE(F434,""en"",""pt"")),1))&amp;RIGHT(lower((GOOGLETRANSLATE(F434,""en"",""pt""))),(LEN((GOOGLETRANSLATE(F434,""en"",""pt"")))-1))"),"Doca seca navio reparação")</f>
        <v>Doca seca navio reparação</v>
      </c>
      <c r="H434" s="20" t="s">
        <v>4474</v>
      </c>
      <c r="I434" s="81" t="s">
        <v>2004</v>
      </c>
      <c r="J434" s="79"/>
      <c r="K434" s="24"/>
      <c r="L434" s="24"/>
    </row>
    <row r="435" spans="1:12" ht="14.5">
      <c r="A435" s="20" t="s">
        <v>4475</v>
      </c>
      <c r="B435" s="20">
        <v>30</v>
      </c>
      <c r="C435" s="20">
        <v>85</v>
      </c>
      <c r="D435" s="20">
        <v>30</v>
      </c>
      <c r="E435" s="24"/>
      <c r="F435" s="20" t="s">
        <v>4476</v>
      </c>
      <c r="G435" s="24" t="str">
        <f ca="1">IFERROR(__xludf.DUMMYFUNCTION("UPPER(LEFT((GOOGLETRANSLATE(F435,""en"",""pt"")),1))&amp;RIGHT(lower((GOOGLETRANSLATE(F435,""en"",""pt""))),(LEN((GOOGLETRANSLATE(F435,""en"",""pt"")))-1))"),"Flutuante reparação naval doca")</f>
        <v>Flutuante reparação naval doca</v>
      </c>
      <c r="H435" s="20" t="s">
        <v>4477</v>
      </c>
      <c r="I435" s="81" t="s">
        <v>2004</v>
      </c>
      <c r="J435" s="79"/>
      <c r="K435" s="24"/>
      <c r="L435" s="24"/>
    </row>
    <row r="436" spans="1:12" ht="14.5">
      <c r="A436" s="20" t="s">
        <v>4478</v>
      </c>
      <c r="B436" s="20">
        <v>30</v>
      </c>
      <c r="C436" s="20">
        <v>85</v>
      </c>
      <c r="D436" s="20">
        <v>97</v>
      </c>
      <c r="E436" s="24"/>
      <c r="F436" s="20" t="s">
        <v>4479</v>
      </c>
      <c r="G436" s="24" t="str">
        <f ca="1">IFERROR(__xludf.DUMMYFUNCTION("UPPER(LEFT((GOOGLETRANSLATE(F436,""en"",""pt"")),1))&amp;RIGHT(lower((GOOGLETRANSLATE(F436,""en"",""pt""))),(LEN((GOOGLETRANSLATE(F436,""en"",""pt"")))-1))"),"Wet doca do navio de reparação")</f>
        <v>Wet doca do navio de reparação</v>
      </c>
      <c r="H436" s="20" t="s">
        <v>4480</v>
      </c>
      <c r="I436" s="81" t="s">
        <v>2004</v>
      </c>
      <c r="J436" s="81" t="s">
        <v>4481</v>
      </c>
      <c r="K436" s="24"/>
      <c r="L436" s="24"/>
    </row>
    <row r="437" spans="1:12" ht="14.5">
      <c r="A437" s="20" t="s">
        <v>4482</v>
      </c>
      <c r="B437" s="20">
        <v>30</v>
      </c>
      <c r="C437" s="20">
        <v>90</v>
      </c>
      <c r="D437" s="24"/>
      <c r="E437" s="24"/>
      <c r="F437" s="20" t="s">
        <v>4483</v>
      </c>
      <c r="G437" s="24" t="str">
        <f ca="1">IFERROR(__xludf.DUMMYFUNCTION("UPPER(LEFT((GOOGLETRANSLATE(F437,""en"",""pt"")),1))&amp;RIGHT(lower((GOOGLETRANSLATE(F437,""en"",""pt""))),(LEN((GOOGLETRANSLATE(F437,""en"",""pt"")))-1))"),"Atividades de armazenagem e distribuição")</f>
        <v>Atividades de armazenagem e distribuição</v>
      </c>
      <c r="H437" s="24" t="s">
        <v>4484</v>
      </c>
      <c r="I437" s="81" t="s">
        <v>2004</v>
      </c>
      <c r="J437" s="79"/>
      <c r="K437" s="24"/>
      <c r="L437" s="24"/>
    </row>
    <row r="438" spans="1:12" ht="14.5">
      <c r="A438" s="20" t="s">
        <v>4485</v>
      </c>
      <c r="B438" s="20">
        <v>30</v>
      </c>
      <c r="C438" s="20">
        <v>90</v>
      </c>
      <c r="D438" s="20">
        <v>33</v>
      </c>
      <c r="E438" s="24"/>
      <c r="F438" s="20" t="s">
        <v>4486</v>
      </c>
      <c r="G438" s="24" t="str">
        <f ca="1">IFERROR(__xludf.DUMMYFUNCTION("UPPER(LEFT((GOOGLETRANSLATE(F438,""en"",""pt"")),1))&amp;RIGHT(lower((GOOGLETRANSLATE(F438,""en"",""pt""))),(LEN((GOOGLETRANSLATE(F438,""en"",""pt"")))-1))"),"Entrega de mercadorias")</f>
        <v>Entrega de mercadorias</v>
      </c>
      <c r="H438" s="24" t="s">
        <v>4487</v>
      </c>
      <c r="I438" s="81" t="s">
        <v>2004</v>
      </c>
      <c r="J438" s="79"/>
      <c r="K438" s="24"/>
      <c r="L438" s="24"/>
    </row>
    <row r="439" spans="1:12" ht="14.5">
      <c r="A439" s="20" t="s">
        <v>4488</v>
      </c>
      <c r="B439" s="20">
        <v>30</v>
      </c>
      <c r="C439" s="20">
        <v>90</v>
      </c>
      <c r="D439" s="20">
        <v>48</v>
      </c>
      <c r="E439" s="24"/>
      <c r="F439" s="20" t="s">
        <v>4489</v>
      </c>
      <c r="G439" s="24" t="str">
        <f ca="1">IFERROR(__xludf.DUMMYFUNCTION("UPPER(LEFT((GOOGLETRANSLATE(F439,""en"",""pt"")),1))&amp;RIGHT(lower((GOOGLETRANSLATE(F439,""en"",""pt""))),(LEN((GOOGLETRANSLATE(F439,""en"",""pt"")))-1))"),"Carregando e descarregando")</f>
        <v>Carregando e descarregando</v>
      </c>
      <c r="H439" s="20" t="s">
        <v>4490</v>
      </c>
      <c r="I439" s="81" t="s">
        <v>2004</v>
      </c>
      <c r="J439" s="79"/>
      <c r="K439" s="24"/>
      <c r="L439" s="24"/>
    </row>
    <row r="440" spans="1:12" ht="14.5">
      <c r="A440" s="20" t="s">
        <v>4491</v>
      </c>
      <c r="B440" s="20">
        <v>30</v>
      </c>
      <c r="C440" s="20">
        <v>90</v>
      </c>
      <c r="D440" s="20">
        <v>80</v>
      </c>
      <c r="E440" s="24"/>
      <c r="F440" s="20" t="s">
        <v>4492</v>
      </c>
      <c r="G440" s="24" t="str">
        <f ca="1">IFERROR(__xludf.DUMMYFUNCTION("UPPER(LEFT((GOOGLETRANSLATE(F440,""en"",""pt"")),1))&amp;RIGHT(lower((GOOGLETRANSLATE(F440,""en"",""pt""))),(LEN((GOOGLETRANSLATE(F440,""en"",""pt"")))-1))"),"Triagem e distribuição")</f>
        <v>Triagem e distribuição</v>
      </c>
      <c r="H440" s="24" t="s">
        <v>4493</v>
      </c>
      <c r="I440" s="81" t="s">
        <v>2004</v>
      </c>
      <c r="J440" s="79"/>
      <c r="K440" s="24"/>
      <c r="L440" s="24"/>
    </row>
    <row r="441" spans="1:12" ht="14.5">
      <c r="A441" s="20" t="s">
        <v>4494</v>
      </c>
      <c r="B441" s="20">
        <v>30</v>
      </c>
      <c r="C441" s="20">
        <v>90</v>
      </c>
      <c r="D441" s="20">
        <v>96</v>
      </c>
      <c r="E441" s="24"/>
      <c r="F441" s="20" t="s">
        <v>4495</v>
      </c>
      <c r="G441" s="24" t="str">
        <f ca="1">IFERROR(__xludf.DUMMYFUNCTION("UPPER(LEFT((GOOGLETRANSLATE(F441,""en"",""pt"")),1))&amp;RIGHT(lower((GOOGLETRANSLATE(F441,""en"",""pt""))),(LEN((GOOGLETRANSLATE(F441,""en"",""pt"")))-1))"),"Armazenagem")</f>
        <v>Armazenagem</v>
      </c>
      <c r="H441" s="24" t="s">
        <v>4496</v>
      </c>
      <c r="I441" s="81" t="s">
        <v>2004</v>
      </c>
      <c r="J441" s="79"/>
      <c r="K441" s="24"/>
      <c r="L441" s="24"/>
    </row>
    <row r="442" spans="1:12" ht="14.5">
      <c r="A442" s="20" t="s">
        <v>4497</v>
      </c>
      <c r="B442" s="20">
        <v>32</v>
      </c>
      <c r="C442" s="24"/>
      <c r="D442" s="24"/>
      <c r="E442" s="24"/>
      <c r="F442" s="20" t="s">
        <v>4498</v>
      </c>
      <c r="G442" s="24" t="str">
        <f ca="1">IFERROR(__xludf.DUMMYFUNCTION("UPPER(LEFT((GOOGLETRANSLATE(F442,""en"",""pt"")),1))&amp;RIGHT(lower((GOOGLETRANSLATE(F442,""en"",""pt""))),(LEN((GOOGLETRANSLATE(F442,""en"",""pt"")))-1))"),"Atividades de água e gestão de terras")</f>
        <v>Atividades de água e gestão de terras</v>
      </c>
      <c r="H442" s="20" t="s">
        <v>4499</v>
      </c>
      <c r="I442" s="81" t="s">
        <v>2004</v>
      </c>
      <c r="J442" s="81" t="s">
        <v>4500</v>
      </c>
      <c r="K442" s="24"/>
      <c r="L442" s="24"/>
    </row>
    <row r="443" spans="1:12" ht="14.5">
      <c r="A443" s="20" t="s">
        <v>4501</v>
      </c>
      <c r="B443" s="20">
        <v>32</v>
      </c>
      <c r="C443" s="20">
        <v>10</v>
      </c>
      <c r="D443" s="24"/>
      <c r="E443" s="24"/>
      <c r="F443" s="20" t="s">
        <v>4502</v>
      </c>
      <c r="G443" s="24" t="str">
        <f ca="1">IFERROR(__xludf.DUMMYFUNCTION("UPPER(LEFT((GOOGLETRANSLATE(F443,""en"",""pt"")),1))&amp;RIGHT(lower((GOOGLETRANSLATE(F443,""en"",""pt""))),(LEN((GOOGLETRANSLATE(F443,""en"",""pt"")))-1))"),"Agrícola e actividades hortícolas")</f>
        <v>Agrícola e actividades hortícolas</v>
      </c>
      <c r="H443" s="24" t="s">
        <v>4503</v>
      </c>
      <c r="I443" s="81" t="s">
        <v>2004</v>
      </c>
      <c r="J443" s="79"/>
      <c r="K443" s="24"/>
      <c r="L443" s="24"/>
    </row>
    <row r="444" spans="1:12" ht="14.5">
      <c r="A444" s="20" t="s">
        <v>4504</v>
      </c>
      <c r="B444" s="20">
        <v>32</v>
      </c>
      <c r="C444" s="20">
        <v>10</v>
      </c>
      <c r="D444" s="20">
        <v>2</v>
      </c>
      <c r="E444" s="24"/>
      <c r="F444" s="20" t="s">
        <v>4505</v>
      </c>
      <c r="G444" s="24" t="str">
        <f ca="1">IFERROR(__xludf.DUMMYFUNCTION("UPPER(LEFT((GOOGLETRANSLATE(F444,""en"",""pt"")),1))&amp;RIGHT(lower((GOOGLETRANSLATE(F444,""en"",""pt""))),(LEN((GOOGLETRANSLATE(F444,""en"",""pt"")))-1))"),"Manutenção agrícola")</f>
        <v>Manutenção agrícola</v>
      </c>
      <c r="H444" s="24" t="s">
        <v>4506</v>
      </c>
      <c r="I444" s="81" t="s">
        <v>2004</v>
      </c>
      <c r="J444" s="79"/>
      <c r="K444" s="24"/>
      <c r="L444" s="24"/>
    </row>
    <row r="445" spans="1:12" ht="14.5">
      <c r="A445" s="20" t="s">
        <v>4507</v>
      </c>
      <c r="B445" s="20">
        <v>32</v>
      </c>
      <c r="C445" s="20">
        <v>10</v>
      </c>
      <c r="D445" s="20">
        <v>26</v>
      </c>
      <c r="E445" s="24"/>
      <c r="F445" s="20" t="s">
        <v>4508</v>
      </c>
      <c r="G445" s="24" t="str">
        <f ca="1">IFERROR(__xludf.DUMMYFUNCTION("UPPER(LEFT((GOOGLETRANSLATE(F445,""en"",""pt"")),1))&amp;RIGHT(lower((GOOGLETRANSLATE(F445,""en"",""pt""))),(LEN((GOOGLETRANSLATE(F445,""en"",""pt"")))-1))"),"Atividades jarda de exploração agrícola")</f>
        <v>Atividades jarda de exploração agrícola</v>
      </c>
      <c r="H445" s="24" t="s">
        <v>4509</v>
      </c>
      <c r="I445" s="79"/>
      <c r="J445" s="79"/>
      <c r="K445" s="24"/>
      <c r="L445" s="24"/>
    </row>
    <row r="446" spans="1:12" ht="14.5">
      <c r="A446" s="20" t="s">
        <v>4510</v>
      </c>
      <c r="B446" s="20">
        <v>32</v>
      </c>
      <c r="C446" s="20">
        <v>10</v>
      </c>
      <c r="D446" s="20">
        <v>27</v>
      </c>
      <c r="E446" s="24"/>
      <c r="F446" s="20" t="s">
        <v>4511</v>
      </c>
      <c r="G446" s="24" t="str">
        <f ca="1">IFERROR(__xludf.DUMMYFUNCTION("UPPER(LEFT((GOOGLETRANSLATE(F446,""en"",""pt"")),1))&amp;RIGHT(lower((GOOGLETRANSLATE(F446,""en"",""pt""))),(LEN((GOOGLETRANSLATE(F446,""en"",""pt"")))-1))"),"Fertilizante")</f>
        <v>Fertilizante</v>
      </c>
      <c r="H446" s="24" t="s">
        <v>4512</v>
      </c>
      <c r="I446" s="81" t="s">
        <v>2004</v>
      </c>
      <c r="J446" s="79"/>
      <c r="K446" s="24"/>
      <c r="L446" s="24"/>
    </row>
    <row r="447" spans="1:12" ht="14.5">
      <c r="A447" s="20" t="s">
        <v>4513</v>
      </c>
      <c r="B447" s="20">
        <v>32</v>
      </c>
      <c r="C447" s="20">
        <v>10</v>
      </c>
      <c r="D447" s="20">
        <v>29</v>
      </c>
      <c r="E447" s="24"/>
      <c r="F447" s="20" t="s">
        <v>4514</v>
      </c>
      <c r="G447" s="24" t="str">
        <f ca="1">IFERROR(__xludf.DUMMYFUNCTION("UPPER(LEFT((GOOGLETRANSLATE(F447,""en"",""pt"")),1))&amp;RIGHT(lower((GOOGLETRANSLATE(F447,""en"",""pt""))),(LEN((GOOGLETRANSLATE(F447,""en"",""pt"")))-1))"),"Cultivo de peixes")</f>
        <v>Cultivo de peixes</v>
      </c>
      <c r="H447" s="20" t="s">
        <v>4515</v>
      </c>
      <c r="I447" s="81" t="s">
        <v>2004</v>
      </c>
      <c r="J447" s="79"/>
      <c r="K447" s="24"/>
      <c r="L447" s="24"/>
    </row>
    <row r="448" spans="1:12" ht="14.5">
      <c r="A448" s="20" t="s">
        <v>4516</v>
      </c>
      <c r="B448" s="20">
        <v>32</v>
      </c>
      <c r="C448" s="20">
        <v>10</v>
      </c>
      <c r="D448" s="20">
        <v>34</v>
      </c>
      <c r="E448" s="24"/>
      <c r="F448" s="20" t="s">
        <v>4517</v>
      </c>
      <c r="G448" s="24" t="str">
        <f ca="1">IFERROR(__xludf.DUMMYFUNCTION("UPPER(LEFT((GOOGLETRANSLATE(F448,""en"",""pt"")),1))&amp;RIGHT(lower((GOOGLETRANSLATE(F448,""en"",""pt""))),(LEN((GOOGLETRANSLATE(F448,""en"",""pt"")))-1))"),"Glasshouse crescente")</f>
        <v>Glasshouse crescente</v>
      </c>
      <c r="H448" s="24" t="s">
        <v>4518</v>
      </c>
      <c r="I448" s="79"/>
      <c r="J448" s="79"/>
      <c r="K448" s="24"/>
      <c r="L448" s="24"/>
    </row>
    <row r="449" spans="1:12" ht="14.5">
      <c r="A449" s="20" t="s">
        <v>4519</v>
      </c>
      <c r="B449" s="20">
        <v>32</v>
      </c>
      <c r="C449" s="20">
        <v>10</v>
      </c>
      <c r="D449" s="20">
        <v>35</v>
      </c>
      <c r="E449" s="24"/>
      <c r="F449" s="20" t="s">
        <v>4520</v>
      </c>
      <c r="G449" s="24" t="str">
        <f ca="1">IFERROR(__xludf.DUMMYFUNCTION("UPPER(LEFT((GOOGLETRANSLATE(F449,""en"",""pt"")),1))&amp;RIGHT(lower((GOOGLETRANSLATE(F449,""en"",""pt""))),(LEN((GOOGLETRANSLATE(F449,""en"",""pt"")))-1))"),"Colheita")</f>
        <v>Colheita</v>
      </c>
      <c r="H449" s="24" t="s">
        <v>4521</v>
      </c>
      <c r="I449" s="81" t="s">
        <v>2004</v>
      </c>
      <c r="J449" s="79"/>
      <c r="K449" s="24"/>
      <c r="L449" s="24"/>
    </row>
    <row r="450" spans="1:12" ht="14.5">
      <c r="A450" s="20" t="s">
        <v>4522</v>
      </c>
      <c r="B450" s="20">
        <v>32</v>
      </c>
      <c r="C450" s="20">
        <v>10</v>
      </c>
      <c r="D450" s="20">
        <v>36</v>
      </c>
      <c r="E450" s="24"/>
      <c r="F450" s="20" t="s">
        <v>4523</v>
      </c>
      <c r="G450" s="24" t="str">
        <f ca="1">IFERROR(__xludf.DUMMYFUNCTION("UPPER(LEFT((GOOGLETRANSLATE(F450,""en"",""pt"")),1))&amp;RIGHT(lower((GOOGLETRANSLATE(F450,""en"",""pt""))),(LEN((GOOGLETRANSLATE(F450,""en"",""pt"")))-1))"),"Hedge, que")</f>
        <v>Hedge, que</v>
      </c>
      <c r="H450" s="20" t="s">
        <v>4524</v>
      </c>
      <c r="I450" s="81" t="s">
        <v>2004</v>
      </c>
      <c r="J450" s="79"/>
      <c r="K450" s="24"/>
      <c r="L450" s="24"/>
    </row>
    <row r="451" spans="1:12" ht="14.5">
      <c r="A451" s="20" t="s">
        <v>4525</v>
      </c>
      <c r="B451" s="20">
        <v>32</v>
      </c>
      <c r="C451" s="20">
        <v>10</v>
      </c>
      <c r="D451" s="20">
        <v>38</v>
      </c>
      <c r="E451" s="24"/>
      <c r="F451" s="20" t="s">
        <v>4526</v>
      </c>
      <c r="G451" s="24" t="str">
        <f ca="1">IFERROR(__xludf.DUMMYFUNCTION("UPPER(LEFT((GOOGLETRANSLATE(F451,""en"",""pt"")),1))&amp;RIGHT(lower((GOOGLETRANSLATE(F451,""en"",""pt""))),(LEN((GOOGLETRANSLATE(F451,""en"",""pt"")))-1))"),"Atividades hortícolas")</f>
        <v>Atividades hortícolas</v>
      </c>
      <c r="H451" s="24" t="s">
        <v>4527</v>
      </c>
      <c r="I451" s="81" t="s">
        <v>2004</v>
      </c>
      <c r="J451" s="79"/>
      <c r="K451" s="24"/>
      <c r="L451" s="24"/>
    </row>
    <row r="452" spans="1:12" ht="14.5">
      <c r="A452" s="20" t="s">
        <v>4528</v>
      </c>
      <c r="B452" s="20">
        <v>32</v>
      </c>
      <c r="C452" s="20">
        <v>10</v>
      </c>
      <c r="D452" s="20">
        <v>42</v>
      </c>
      <c r="E452" s="24"/>
      <c r="F452" s="20" t="s">
        <v>4529</v>
      </c>
      <c r="G452" s="24" t="str">
        <f ca="1">IFERROR(__xludf.DUMMYFUNCTION("UPPER(LEFT((GOOGLETRANSLATE(F452,""en"",""pt"")),1))&amp;RIGHT(lower((GOOGLETRANSLATE(F452,""en"",""pt""))),(LEN((GOOGLETRANSLATE(F452,""en"",""pt"")))-1))"),"Irrigando")</f>
        <v>Irrigando</v>
      </c>
      <c r="H452" s="20" t="s">
        <v>4530</v>
      </c>
      <c r="I452" s="81" t="s">
        <v>2004</v>
      </c>
      <c r="J452" s="79"/>
      <c r="K452" s="24"/>
      <c r="L452" s="24"/>
    </row>
    <row r="453" spans="1:12" ht="14.5">
      <c r="A453" s="20" t="s">
        <v>4531</v>
      </c>
      <c r="B453" s="20">
        <v>32</v>
      </c>
      <c r="C453" s="20">
        <v>10</v>
      </c>
      <c r="D453" s="20">
        <v>47</v>
      </c>
      <c r="E453" s="24"/>
      <c r="F453" s="20" t="s">
        <v>4532</v>
      </c>
      <c r="G453" s="24" t="str">
        <f ca="1">IFERROR(__xludf.DUMMYFUNCTION("UPPER(LEFT((GOOGLETRANSLATE(F453,""en"",""pt"")),1))&amp;RIGHT(lower((GOOGLETRANSLATE(F453,""en"",""pt""))),(LEN((GOOGLETRANSLATE(F453,""en"",""pt"")))-1))"),"Actividades pecuárias")</f>
        <v>Actividades pecuárias</v>
      </c>
      <c r="H453" s="24" t="s">
        <v>4533</v>
      </c>
      <c r="I453" s="81" t="s">
        <v>2004</v>
      </c>
      <c r="J453" s="79"/>
      <c r="K453" s="24"/>
      <c r="L453" s="24"/>
    </row>
    <row r="454" spans="1:12" ht="14.5">
      <c r="A454" s="20" t="s">
        <v>4534</v>
      </c>
      <c r="B454" s="20">
        <v>32</v>
      </c>
      <c r="C454" s="20">
        <v>10</v>
      </c>
      <c r="D454" s="20">
        <v>52</v>
      </c>
      <c r="E454" s="24"/>
      <c r="F454" s="20" t="s">
        <v>4535</v>
      </c>
      <c r="G454" s="24" t="str">
        <f ca="1">IFERROR(__xludf.DUMMYFUNCTION("UPPER(LEFT((GOOGLETRANSLATE(F454,""en"",""pt"")),1))&amp;RIGHT(lower((GOOGLETRANSLATE(F454,""en"",""pt""))),(LEN((GOOGLETRANSLATE(F454,""en"",""pt"")))-1))"),"Ordenha")</f>
        <v>Ordenha</v>
      </c>
      <c r="H454" s="24" t="s">
        <v>4536</v>
      </c>
      <c r="I454" s="81" t="s">
        <v>2004</v>
      </c>
      <c r="J454" s="79"/>
      <c r="K454" s="24"/>
      <c r="L454" s="24"/>
    </row>
    <row r="455" spans="1:12" ht="14.5">
      <c r="A455" s="20" t="s">
        <v>4537</v>
      </c>
      <c r="B455" s="20">
        <v>32</v>
      </c>
      <c r="C455" s="20">
        <v>10</v>
      </c>
      <c r="D455" s="20">
        <v>55</v>
      </c>
      <c r="E455" s="24"/>
      <c r="F455" s="20" t="s">
        <v>4538</v>
      </c>
      <c r="G455" s="24" t="str">
        <f ca="1">IFERROR(__xludf.DUMMYFUNCTION("UPPER(LEFT((GOOGLETRANSLATE(F455,""en"",""pt"")),1))&amp;RIGHT(lower((GOOGLETRANSLATE(F455,""en"",""pt""))),(LEN((GOOGLETRANSLATE(F455,""en"",""pt"")))-1))"),"Mushroom cultivo")</f>
        <v>Mushroom cultivo</v>
      </c>
      <c r="H455" s="24" t="s">
        <v>4539</v>
      </c>
      <c r="I455" s="81" t="s">
        <v>2004</v>
      </c>
      <c r="J455" s="79"/>
      <c r="K455" s="24"/>
      <c r="L455" s="24"/>
    </row>
    <row r="456" spans="1:12" ht="14.5">
      <c r="A456" s="20" t="s">
        <v>4540</v>
      </c>
      <c r="B456" s="20">
        <v>32</v>
      </c>
      <c r="C456" s="20">
        <v>10</v>
      </c>
      <c r="D456" s="20">
        <v>61</v>
      </c>
      <c r="E456" s="24"/>
      <c r="F456" s="20" t="s">
        <v>4541</v>
      </c>
      <c r="G456" s="24" t="str">
        <f ca="1">IFERROR(__xludf.DUMMYFUNCTION("UPPER(LEFT((GOOGLETRANSLATE(F456,""en"",""pt"")),1))&amp;RIGHT(lower((GOOGLETRANSLATE(F456,""en"",""pt""))),(LEN((GOOGLETRANSLATE(F456,""en"",""pt"")))-1))"),"Manejo de pragas")</f>
        <v>Manejo de pragas</v>
      </c>
      <c r="H456" s="20" t="s">
        <v>4542</v>
      </c>
      <c r="I456" s="81" t="s">
        <v>2004</v>
      </c>
      <c r="J456" s="79"/>
      <c r="K456" s="24"/>
      <c r="L456" s="24"/>
    </row>
    <row r="457" spans="1:12" ht="14.5">
      <c r="A457" s="20" t="s">
        <v>4543</v>
      </c>
      <c r="B457" s="20">
        <v>32</v>
      </c>
      <c r="C457" s="20">
        <v>10</v>
      </c>
      <c r="D457" s="20">
        <v>64</v>
      </c>
      <c r="E457" s="24"/>
      <c r="F457" s="20" t="s">
        <v>4544</v>
      </c>
      <c r="G457" s="24" t="str">
        <f ca="1">IFERROR(__xludf.DUMMYFUNCTION("UPPER(LEFT((GOOGLETRANSLATE(F457,""en"",""pt"")),1))&amp;RIGHT(lower((GOOGLETRANSLATE(F457,""en"",""pt""))),(LEN((GOOGLETRANSLATE(F457,""en"",""pt"")))-1))"),"Aração")</f>
        <v>Aração</v>
      </c>
      <c r="H457" s="24" t="s">
        <v>4545</v>
      </c>
      <c r="I457" s="81" t="s">
        <v>2004</v>
      </c>
      <c r="J457" s="79"/>
      <c r="K457" s="24"/>
      <c r="L457" s="24"/>
    </row>
    <row r="458" spans="1:12" ht="14.5">
      <c r="A458" s="20" t="s">
        <v>4546</v>
      </c>
      <c r="B458" s="20">
        <v>32</v>
      </c>
      <c r="C458" s="20">
        <v>10</v>
      </c>
      <c r="D458" s="20">
        <v>66</v>
      </c>
      <c r="E458" s="24"/>
      <c r="F458" s="20" t="s">
        <v>4547</v>
      </c>
      <c r="G458" s="24" t="str">
        <f ca="1">IFERROR(__xludf.DUMMYFUNCTION("UPPER(LEFT((GOOGLETRANSLATE(F458,""en"",""pt"")),1))&amp;RIGHT(lower((GOOGLETRANSLATE(F458,""en"",""pt""))),(LEN((GOOGLETRANSLATE(F458,""en"",""pt"")))-1))"),"Poultry criação")</f>
        <v>Poultry criação</v>
      </c>
      <c r="H458" s="24" t="s">
        <v>4548</v>
      </c>
      <c r="I458" s="79"/>
      <c r="J458" s="79"/>
      <c r="K458" s="24"/>
      <c r="L458" s="24"/>
    </row>
    <row r="459" spans="1:12" ht="14.5">
      <c r="A459" s="20" t="s">
        <v>4549</v>
      </c>
      <c r="B459" s="20">
        <v>32</v>
      </c>
      <c r="C459" s="20">
        <v>10</v>
      </c>
      <c r="D459" s="20">
        <v>68</v>
      </c>
      <c r="E459" s="24"/>
      <c r="F459" s="20" t="s">
        <v>4550</v>
      </c>
      <c r="G459" s="24" t="str">
        <f ca="1">IFERROR(__xludf.DUMMYFUNCTION("UPPER(LEFT((GOOGLETRANSLATE(F459,""en"",""pt"")),1))&amp;RIGHT(lower((GOOGLETRANSLATE(F459,""en"",""pt""))),(LEN((GOOGLETRANSLATE(F459,""en"",""pt"")))-1))"),"Propagação")</f>
        <v>Propagação</v>
      </c>
      <c r="H459" s="24" t="s">
        <v>4551</v>
      </c>
      <c r="I459" s="79"/>
      <c r="J459" s="79"/>
      <c r="K459" s="24"/>
      <c r="L459" s="24"/>
    </row>
    <row r="460" spans="1:12" ht="14.5">
      <c r="A460" s="20" t="s">
        <v>4552</v>
      </c>
      <c r="B460" s="20">
        <v>32</v>
      </c>
      <c r="C460" s="20">
        <v>10</v>
      </c>
      <c r="D460" s="20">
        <v>70</v>
      </c>
      <c r="E460" s="24"/>
      <c r="F460" s="20" t="s">
        <v>4553</v>
      </c>
      <c r="G460" s="24" t="str">
        <f ca="1">IFERROR(__xludf.DUMMYFUNCTION("UPPER(LEFT((GOOGLETRANSLATE(F460,""en"",""pt"")),1))&amp;RIGHT(lower((GOOGLETRANSLATE(F460,""en"",""pt""))),(LEN((GOOGLETRANSLATE(F460,""en"",""pt"")))-1))"),"Poda")</f>
        <v>Poda</v>
      </c>
      <c r="H460" s="24" t="s">
        <v>4554</v>
      </c>
      <c r="I460" s="81" t="s">
        <v>2004</v>
      </c>
      <c r="J460" s="79"/>
      <c r="K460" s="24"/>
      <c r="L460" s="24"/>
    </row>
    <row r="461" spans="1:12" ht="14.5">
      <c r="A461" s="20" t="s">
        <v>4555</v>
      </c>
      <c r="B461" s="20">
        <v>32</v>
      </c>
      <c r="C461" s="20">
        <v>10</v>
      </c>
      <c r="D461" s="20">
        <v>77</v>
      </c>
      <c r="E461" s="24"/>
      <c r="F461" s="20" t="s">
        <v>4556</v>
      </c>
      <c r="G461" s="24" t="str">
        <f ca="1">IFERROR(__xludf.DUMMYFUNCTION("UPPER(LEFT((GOOGLETRANSLATE(F461,""en"",""pt"")),1))&amp;RIGHT(lower((GOOGLETRANSLATE(F461,""en"",""pt""))),(LEN((GOOGLETRANSLATE(F461,""en"",""pt"")))-1))"),"Tosquia de ovelhas")</f>
        <v>Tosquia de ovelhas</v>
      </c>
      <c r="H461" s="24" t="s">
        <v>4557</v>
      </c>
      <c r="I461" s="81" t="s">
        <v>2004</v>
      </c>
      <c r="J461" s="79"/>
      <c r="K461" s="24"/>
      <c r="L461" s="24"/>
    </row>
    <row r="462" spans="1:12" ht="14.5">
      <c r="A462" s="20" t="s">
        <v>4558</v>
      </c>
      <c r="B462" s="20">
        <v>32</v>
      </c>
      <c r="C462" s="20">
        <v>10</v>
      </c>
      <c r="D462" s="20">
        <v>78</v>
      </c>
      <c r="E462" s="24"/>
      <c r="F462" s="20" t="s">
        <v>4559</v>
      </c>
      <c r="G462" s="24" t="str">
        <f ca="1">IFERROR(__xludf.DUMMYFUNCTION("UPPER(LEFT((GOOGLETRANSLATE(F462,""en"",""pt"")),1))&amp;RIGHT(lower((GOOGLETRANSLATE(F462,""en"",""pt""))),(LEN((GOOGLETRANSLATE(F462,""en"",""pt"")))-1))"),"Dipping sheep")</f>
        <v>Dipping sheep</v>
      </c>
      <c r="H462" s="24" t="s">
        <v>4560</v>
      </c>
      <c r="I462" s="79"/>
      <c r="J462" s="79"/>
      <c r="K462" s="24"/>
      <c r="L462" s="24"/>
    </row>
    <row r="463" spans="1:12" ht="14.5">
      <c r="A463" s="20" t="s">
        <v>4561</v>
      </c>
      <c r="B463" s="20">
        <v>32</v>
      </c>
      <c r="C463" s="20">
        <v>10</v>
      </c>
      <c r="D463" s="20">
        <v>79</v>
      </c>
      <c r="E463" s="24"/>
      <c r="F463" s="20" t="s">
        <v>4562</v>
      </c>
      <c r="G463" s="24" t="str">
        <f ca="1">IFERROR(__xludf.DUMMYFUNCTION("UPPER(LEFT((GOOGLETRANSLATE(F463,""en"",""pt"")),1))&amp;RIGHT(lower((GOOGLETRANSLATE(F463,""en"",""pt""))),(LEN((GOOGLETRANSLATE(F463,""en"",""pt"")))-1))"),"Silvicultura")</f>
        <v>Silvicultura</v>
      </c>
      <c r="H463" s="24" t="s">
        <v>4563</v>
      </c>
      <c r="I463" s="81" t="s">
        <v>2004</v>
      </c>
      <c r="J463" s="79"/>
      <c r="K463" s="24"/>
      <c r="L463" s="24"/>
    </row>
    <row r="464" spans="1:12" ht="14.5">
      <c r="A464" s="20" t="s">
        <v>4564</v>
      </c>
      <c r="B464" s="20">
        <v>32</v>
      </c>
      <c r="C464" s="20">
        <v>10</v>
      </c>
      <c r="D464" s="20">
        <v>80</v>
      </c>
      <c r="E464" s="24"/>
      <c r="F464" s="20" t="s">
        <v>4565</v>
      </c>
      <c r="G464" s="24" t="str">
        <f ca="1">IFERROR(__xludf.DUMMYFUNCTION("UPPER(LEFT((GOOGLETRANSLATE(F464,""en"",""pt"")),1))&amp;RIGHT(lower((GOOGLETRANSLATE(F464,""en"",""pt""))),(LEN((GOOGLETRANSLATE(F464,""en"",""pt"")))-1))"),"Semeadura")</f>
        <v>Semeadura</v>
      </c>
      <c r="H464" s="24" t="s">
        <v>4566</v>
      </c>
      <c r="I464" s="81"/>
      <c r="J464" s="81" t="s">
        <v>2011</v>
      </c>
      <c r="K464" s="24"/>
      <c r="L464" s="24"/>
    </row>
    <row r="465" spans="1:12" ht="14.5">
      <c r="A465" s="20" t="s">
        <v>4567</v>
      </c>
      <c r="B465" s="20">
        <v>32</v>
      </c>
      <c r="C465" s="20">
        <v>10</v>
      </c>
      <c r="D465" s="20">
        <v>94</v>
      </c>
      <c r="E465" s="24"/>
      <c r="F465" s="20" t="s">
        <v>4568</v>
      </c>
      <c r="G465" s="24" t="str">
        <f ca="1">IFERROR(__xludf.DUMMYFUNCTION("UPPER(LEFT((GOOGLETRANSLATE(F465,""en"",""pt"")),1))&amp;RIGHT(lower((GOOGLETRANSLATE(F465,""en"",""pt""))),(LEN((GOOGLETRANSLATE(F465,""en"",""pt"")))-1))"),"Viticultura")</f>
        <v>Viticultura</v>
      </c>
      <c r="H465" s="24" t="s">
        <v>4569</v>
      </c>
      <c r="I465" s="81" t="s">
        <v>2004</v>
      </c>
      <c r="J465" s="79"/>
      <c r="K465" s="24"/>
      <c r="L465" s="24"/>
    </row>
    <row r="466" spans="1:12" ht="14.5">
      <c r="A466" s="20" t="s">
        <v>4570</v>
      </c>
      <c r="B466" s="20">
        <v>32</v>
      </c>
      <c r="C466" s="20">
        <v>10</v>
      </c>
      <c r="D466" s="20">
        <v>96</v>
      </c>
      <c r="E466" s="24"/>
      <c r="F466" s="20" t="s">
        <v>4571</v>
      </c>
      <c r="G466" s="24" t="str">
        <f ca="1">IFERROR(__xludf.DUMMYFUNCTION("UPPER(LEFT((GOOGLETRANSLATE(F466,""en"",""pt"")),1))&amp;RIGHT(lower((GOOGLETRANSLATE(F466,""en"",""pt""))),(LEN((GOOGLETRANSLATE(F466,""en"",""pt"")))-1))"),"Manejo de plantas daninhas")</f>
        <v>Manejo de plantas daninhas</v>
      </c>
      <c r="H466" s="20" t="s">
        <v>4572</v>
      </c>
      <c r="I466" s="81" t="s">
        <v>2004</v>
      </c>
      <c r="J466" s="79"/>
      <c r="K466" s="24"/>
      <c r="L466" s="24"/>
    </row>
    <row r="467" spans="1:12" ht="14.5">
      <c r="A467" s="20" t="s">
        <v>4573</v>
      </c>
      <c r="B467" s="20">
        <v>32</v>
      </c>
      <c r="C467" s="20">
        <v>50</v>
      </c>
      <c r="D467" s="24"/>
      <c r="E467" s="24"/>
      <c r="F467" s="20" t="s">
        <v>4574</v>
      </c>
      <c r="G467" s="24" t="str">
        <f ca="1">IFERROR(__xludf.DUMMYFUNCTION("UPPER(LEFT((GOOGLETRANSLATE(F467,""en"",""pt"")),1))&amp;RIGHT(lower((GOOGLETRANSLATE(F467,""en"",""pt""))),(LEN((GOOGLETRANSLATE(F467,""en"",""pt"")))-1))"),"Actividades marinhos e de água")</f>
        <v>Actividades marinhos e de água</v>
      </c>
      <c r="H467" s="24" t="s">
        <v>4575</v>
      </c>
      <c r="I467" s="79"/>
      <c r="J467" s="79"/>
      <c r="K467" s="24"/>
      <c r="L467" s="24"/>
    </row>
    <row r="468" spans="1:12" ht="14.5">
      <c r="A468" s="20" t="s">
        <v>4576</v>
      </c>
      <c r="B468" s="20">
        <v>32</v>
      </c>
      <c r="C468" s="20">
        <v>50</v>
      </c>
      <c r="D468" s="20">
        <v>30</v>
      </c>
      <c r="E468" s="24"/>
      <c r="F468" s="20" t="s">
        <v>4577</v>
      </c>
      <c r="G468" s="24" t="str">
        <f ca="1">IFERROR(__xludf.DUMMYFUNCTION("UPPER(LEFT((GOOGLETRANSLATE(F468,""en"",""pt"")),1))&amp;RIGHT(lower((GOOGLETRANSLATE(F468,""en"",""pt""))),(LEN((GOOGLETRANSLATE(F468,""en"",""pt"")))-1))"),"Flood defender")</f>
        <v>Flood defender</v>
      </c>
      <c r="H468" s="24" t="s">
        <v>4578</v>
      </c>
      <c r="I468" s="79"/>
      <c r="J468" s="79"/>
      <c r="K468" s="24"/>
      <c r="L468" s="24"/>
    </row>
    <row r="469" spans="1:12" ht="14.5">
      <c r="A469" s="20" t="s">
        <v>4579</v>
      </c>
      <c r="B469" s="20">
        <v>32</v>
      </c>
      <c r="C469" s="20">
        <v>50</v>
      </c>
      <c r="D469" s="20">
        <v>38</v>
      </c>
      <c r="E469" s="24"/>
      <c r="F469" s="20" t="s">
        <v>4580</v>
      </c>
      <c r="G469" s="24" t="str">
        <f ca="1">IFERROR(__xludf.DUMMYFUNCTION("UPPER(LEFT((GOOGLETRANSLATE(F469,""en"",""pt"")),1))&amp;RIGHT(lower((GOOGLETRANSLATE(F469,""en"",""pt""))),(LEN((GOOGLETRANSLATE(F469,""en"",""pt"")))-1))"),"Proteger harbour")</f>
        <v>Proteger harbour</v>
      </c>
      <c r="H469" s="24" t="s">
        <v>4581</v>
      </c>
      <c r="I469" s="79"/>
      <c r="J469" s="79"/>
      <c r="K469" s="24"/>
      <c r="L469" s="24"/>
    </row>
    <row r="470" spans="1:12" ht="14.5">
      <c r="A470" s="20" t="s">
        <v>4582</v>
      </c>
      <c r="B470" s="20">
        <v>32</v>
      </c>
      <c r="C470" s="20">
        <v>50</v>
      </c>
      <c r="D470" s="20">
        <v>94</v>
      </c>
      <c r="E470" s="24"/>
      <c r="F470" s="20" t="s">
        <v>4583</v>
      </c>
      <c r="G470" s="24" t="str">
        <f ca="1">IFERROR(__xludf.DUMMYFUNCTION("UPPER(LEFT((GOOGLETRANSLATE(F470,""en"",""pt"")),1))&amp;RIGHT(lower((GOOGLETRANSLATE(F470,""en"",""pt""))),(LEN((GOOGLETRANSLATE(F470,""en"",""pt"")))-1))"),"Atracação navio")</f>
        <v>Atracação navio</v>
      </c>
      <c r="H470" s="24" t="s">
        <v>4584</v>
      </c>
      <c r="I470" s="79"/>
      <c r="J470" s="79"/>
      <c r="K470" s="24"/>
      <c r="L470" s="24"/>
    </row>
    <row r="471" spans="1:12" ht="14.5">
      <c r="A471" s="20" t="s">
        <v>4585</v>
      </c>
      <c r="B471" s="20">
        <v>32</v>
      </c>
      <c r="C471" s="20">
        <v>50</v>
      </c>
      <c r="D471" s="20">
        <v>95</v>
      </c>
      <c r="E471" s="24"/>
      <c r="F471" s="20" t="s">
        <v>4586</v>
      </c>
      <c r="G471" s="24" t="str">
        <f ca="1">IFERROR(__xludf.DUMMYFUNCTION("UPPER(LEFT((GOOGLETRANSLATE(F471,""en"",""pt"")),1))&amp;RIGHT(lower((GOOGLETRANSLATE(F471,""en"",""pt""))),(LEN((GOOGLETRANSLATE(F471,""en"",""pt"")))-1))"),"Lançamento navio")</f>
        <v>Lançamento navio</v>
      </c>
      <c r="H471" s="24" t="s">
        <v>4587</v>
      </c>
      <c r="I471" s="79"/>
      <c r="J471" s="79"/>
      <c r="K471" s="24"/>
      <c r="L471" s="24"/>
    </row>
    <row r="472" spans="1:12" ht="14.5">
      <c r="A472" s="20" t="s">
        <v>4588</v>
      </c>
      <c r="B472" s="20">
        <v>32</v>
      </c>
      <c r="C472" s="20">
        <v>60</v>
      </c>
      <c r="D472" s="24"/>
      <c r="E472" s="24"/>
      <c r="F472" s="20" t="s">
        <v>4589</v>
      </c>
      <c r="G472" s="24" t="str">
        <f ca="1">IFERROR(__xludf.DUMMYFUNCTION("UPPER(LEFT((GOOGLETRANSLATE(F472,""en"",""pt"")),1))&amp;RIGHT(lower((GOOGLETRANSLATE(F472,""en"",""pt""))),(LEN((GOOGLETRANSLATE(F472,""en"",""pt"")))-1))"),"Atividades espaços naturais")</f>
        <v>Atividades espaços naturais</v>
      </c>
      <c r="H472" s="24" t="s">
        <v>4590</v>
      </c>
      <c r="I472" s="79"/>
      <c r="J472" s="79"/>
      <c r="K472" s="24"/>
      <c r="L472" s="24"/>
    </row>
    <row r="473" spans="1:12" ht="14.5">
      <c r="A473" s="20" t="s">
        <v>4591</v>
      </c>
      <c r="B473" s="20">
        <v>32</v>
      </c>
      <c r="C473" s="20">
        <v>60</v>
      </c>
      <c r="D473" s="20">
        <v>27</v>
      </c>
      <c r="E473" s="24"/>
      <c r="F473" s="20" t="s">
        <v>4592</v>
      </c>
      <c r="G473" s="24" t="str">
        <f ca="1">IFERROR(__xludf.DUMMYFUNCTION("UPPER(LEFT((GOOGLETRANSLATE(F473,""en"",""pt"")),1))&amp;RIGHT(lower((GOOGLETRANSLATE(F473,""en"",""pt""))),(LEN((GOOGLETRANSLATE(F473,""en"",""pt"")))-1))"),"Erosão")</f>
        <v>Erosão</v>
      </c>
      <c r="H473" s="24" t="s">
        <v>4593</v>
      </c>
      <c r="I473" s="81" t="s">
        <v>2004</v>
      </c>
      <c r="J473" s="79"/>
      <c r="K473" s="24"/>
      <c r="L473" s="24"/>
    </row>
    <row r="474" spans="1:12" ht="14.5">
      <c r="A474" s="20" t="s">
        <v>4594</v>
      </c>
      <c r="B474" s="20">
        <v>32</v>
      </c>
      <c r="C474" s="20">
        <v>60</v>
      </c>
      <c r="D474" s="20">
        <v>30</v>
      </c>
      <c r="E474" s="24"/>
      <c r="F474" s="20" t="s">
        <v>4595</v>
      </c>
      <c r="G474" s="24" t="str">
        <f ca="1">IFERROR(__xludf.DUMMYFUNCTION("UPPER(LEFT((GOOGLETRANSLATE(F474,""en"",""pt"")),1))&amp;RIGHT(lower((GOOGLETRANSLATE(F474,""en"",""pt""))),(LEN((GOOGLETRANSLATE(F474,""en"",""pt"")))-1))"),"Inundação")</f>
        <v>Inundação</v>
      </c>
      <c r="H474" s="24" t="s">
        <v>4596</v>
      </c>
      <c r="I474" s="81" t="s">
        <v>2004</v>
      </c>
      <c r="J474" s="79"/>
      <c r="K474" s="24"/>
      <c r="L474" s="24"/>
    </row>
    <row r="475" spans="1:12" ht="14.5">
      <c r="A475" s="20" t="s">
        <v>4597</v>
      </c>
      <c r="B475" s="20">
        <v>35</v>
      </c>
      <c r="C475" s="24"/>
      <c r="D475" s="24"/>
      <c r="E475" s="24"/>
      <c r="F475" s="20" t="s">
        <v>4598</v>
      </c>
      <c r="G475" s="24" t="str">
        <f ca="1">IFERROR(__xludf.DUMMYFUNCTION("UPPER(LEFT((GOOGLETRANSLATE(F475,""en"",""pt"")),1))&amp;RIGHT(lower((GOOGLETRANSLATE(F475,""en"",""pt""))),(LEN((GOOGLETRANSLATE(F475,""en"",""pt"")))-1))"),"Médico, saúde, bem-estar e actividades sanitárias")</f>
        <v>Médico, saúde, bem-estar e actividades sanitárias</v>
      </c>
      <c r="H475" s="24" t="s">
        <v>4599</v>
      </c>
      <c r="I475" s="79"/>
      <c r="J475" s="79"/>
      <c r="K475" s="24"/>
      <c r="L475" s="24"/>
    </row>
    <row r="476" spans="1:12" ht="14.5">
      <c r="A476" s="20" t="s">
        <v>4600</v>
      </c>
      <c r="B476" s="20">
        <v>35</v>
      </c>
      <c r="C476" s="20">
        <v>10</v>
      </c>
      <c r="D476" s="24"/>
      <c r="E476" s="24"/>
      <c r="F476" s="20" t="s">
        <v>4601</v>
      </c>
      <c r="G476" s="24" t="str">
        <f ca="1">IFERROR(__xludf.DUMMYFUNCTION("UPPER(LEFT((GOOGLETRANSLATE(F476,""en"",""pt"")),1))&amp;RIGHT(lower((GOOGLETRANSLATE(F476,""en"",""pt""))),(LEN((GOOGLETRANSLATE(F476,""en"",""pt"")))-1))"),"Atividades médicas")</f>
        <v>Atividades médicas</v>
      </c>
      <c r="H476" s="24" t="s">
        <v>4602</v>
      </c>
      <c r="I476" s="81" t="s">
        <v>2004</v>
      </c>
      <c r="J476" s="79"/>
      <c r="K476" s="24"/>
      <c r="L476" s="24"/>
    </row>
    <row r="477" spans="1:12" ht="14.5">
      <c r="A477" s="20" t="s">
        <v>4603</v>
      </c>
      <c r="B477" s="20">
        <v>35</v>
      </c>
      <c r="C477" s="20">
        <v>10</v>
      </c>
      <c r="D477" s="20">
        <v>8</v>
      </c>
      <c r="E477" s="24"/>
      <c r="F477" s="20" t="s">
        <v>4604</v>
      </c>
      <c r="G477" s="24" t="str">
        <f ca="1">IFERROR(__xludf.DUMMYFUNCTION("UPPER(LEFT((GOOGLETRANSLATE(F477,""en"",""pt"")),1))&amp;RIGHT(lower((GOOGLETRANSLATE(F477,""en"",""pt""))),(LEN((GOOGLETRANSLATE(F477,""en"",""pt"")))-1))"),"Nascimento")</f>
        <v>Nascimento</v>
      </c>
      <c r="H477" s="24" t="s">
        <v>4605</v>
      </c>
      <c r="I477" s="81" t="s">
        <v>2004</v>
      </c>
      <c r="J477" s="79"/>
      <c r="K477" s="24"/>
      <c r="L477" s="24"/>
    </row>
    <row r="478" spans="1:12" ht="14.5">
      <c r="A478" s="20" t="s">
        <v>4606</v>
      </c>
      <c r="B478" s="20">
        <v>35</v>
      </c>
      <c r="C478" s="20">
        <v>10</v>
      </c>
      <c r="D478" s="20">
        <v>10</v>
      </c>
      <c r="E478" s="24"/>
      <c r="F478" s="20" t="s">
        <v>4607</v>
      </c>
      <c r="G478" s="24" t="str">
        <f ca="1">IFERROR(__xludf.DUMMYFUNCTION("UPPER(LEFT((GOOGLETRANSLATE(F478,""en"",""pt"")),1))&amp;RIGHT(lower((GOOGLETRANSLATE(F478,""en"",""pt""))),(LEN((GOOGLETRANSLATE(F478,""en"",""pt"")))-1))"),"Queimaduras tratar")</f>
        <v>Queimaduras tratar</v>
      </c>
      <c r="H478" s="20" t="s">
        <v>4608</v>
      </c>
      <c r="I478" s="81" t="s">
        <v>2004</v>
      </c>
      <c r="J478" s="79"/>
      <c r="K478" s="24"/>
      <c r="L478" s="24"/>
    </row>
    <row r="479" spans="1:12" ht="14.5">
      <c r="A479" s="20" t="s">
        <v>4609</v>
      </c>
      <c r="B479" s="20">
        <v>35</v>
      </c>
      <c r="C479" s="20">
        <v>10</v>
      </c>
      <c r="D479" s="20">
        <v>15</v>
      </c>
      <c r="E479" s="24"/>
      <c r="F479" s="20" t="s">
        <v>4610</v>
      </c>
      <c r="G479" s="24" t="str">
        <f ca="1">IFERROR(__xludf.DUMMYFUNCTION("UPPER(LEFT((GOOGLETRANSLATE(F479,""en"",""pt"")),1))&amp;RIGHT(lower((GOOGLETRANSLATE(F479,""en"",""pt""))),(LEN((GOOGLETRANSLATE(F479,""en"",""pt"")))-1))"),"Consultando")</f>
        <v>Consultando</v>
      </c>
      <c r="H479" s="24" t="s">
        <v>4611</v>
      </c>
      <c r="I479" s="79"/>
      <c r="J479" s="79"/>
      <c r="K479" s="24"/>
      <c r="L479" s="24"/>
    </row>
    <row r="480" spans="1:12" ht="14.5">
      <c r="A480" s="20" t="s">
        <v>4612</v>
      </c>
      <c r="B480" s="20">
        <v>35</v>
      </c>
      <c r="C480" s="20">
        <v>10</v>
      </c>
      <c r="D480" s="20">
        <v>31</v>
      </c>
      <c r="E480" s="24"/>
      <c r="F480" s="20" t="s">
        <v>4613</v>
      </c>
      <c r="G480" s="24" t="str">
        <f ca="1">IFERROR(__xludf.DUMMYFUNCTION("UPPER(LEFT((GOOGLETRANSLATE(F480,""en"",""pt"")),1))&amp;RIGHT(lower((GOOGLETRANSLATE(F480,""en"",""pt""))),(LEN((GOOGLETRANSLATE(F480,""en"",""pt"")))-1))"),"Primeiro o auxílio")</f>
        <v>Primeiro o auxílio</v>
      </c>
      <c r="H480" s="20" t="s">
        <v>4614</v>
      </c>
      <c r="I480" s="81" t="s">
        <v>2004</v>
      </c>
      <c r="J480" s="79"/>
      <c r="K480" s="24"/>
      <c r="L480" s="24"/>
    </row>
    <row r="481" spans="1:12" ht="14.5">
      <c r="A481" s="20" t="s">
        <v>4615</v>
      </c>
      <c r="B481" s="20">
        <v>35</v>
      </c>
      <c r="C481" s="20">
        <v>10</v>
      </c>
      <c r="D481" s="20">
        <v>36</v>
      </c>
      <c r="E481" s="24"/>
      <c r="F481" s="20" t="s">
        <v>4616</v>
      </c>
      <c r="G481" s="24" t="str">
        <f ca="1">IFERROR(__xludf.DUMMYFUNCTION("UPPER(LEFT((GOOGLETRANSLATE(F481,""en"",""pt"")),1))&amp;RIGHT(lower((GOOGLETRANSLATE(F481,""en"",""pt""))),(LEN((GOOGLETRANSLATE(F481,""en"",""pt"")))-1))"),"Testes de audição")</f>
        <v>Testes de audição</v>
      </c>
      <c r="H481" s="24" t="s">
        <v>4617</v>
      </c>
      <c r="I481" s="81" t="s">
        <v>2004</v>
      </c>
      <c r="J481" s="79"/>
      <c r="K481" s="24"/>
      <c r="L481" s="24"/>
    </row>
    <row r="482" spans="1:12" ht="14.5">
      <c r="A482" s="20" t="s">
        <v>4618</v>
      </c>
      <c r="B482" s="20">
        <v>35</v>
      </c>
      <c r="C482" s="20">
        <v>10</v>
      </c>
      <c r="D482" s="20">
        <v>39</v>
      </c>
      <c r="E482" s="24"/>
      <c r="F482" s="20" t="s">
        <v>4619</v>
      </c>
      <c r="G482" s="24" t="str">
        <f ca="1">IFERROR(__xludf.DUMMYFUNCTION("UPPER(LEFT((GOOGLETRANSLATE(F482,""en"",""pt"")),1))&amp;RIGHT(lower((GOOGLETRANSLATE(F482,""en"",""pt""))),(LEN((GOOGLETRANSLATE(F482,""en"",""pt"")))-1))"),"Hidroterapia")</f>
        <v>Hidroterapia</v>
      </c>
      <c r="H482" s="24" t="s">
        <v>4620</v>
      </c>
      <c r="I482" s="81" t="s">
        <v>2004</v>
      </c>
      <c r="J482" s="79"/>
      <c r="K482" s="24"/>
      <c r="L482" s="24"/>
    </row>
    <row r="483" spans="1:12" ht="14.5">
      <c r="A483" s="20" t="s">
        <v>4621</v>
      </c>
      <c r="B483" s="20">
        <v>35</v>
      </c>
      <c r="C483" s="20">
        <v>10</v>
      </c>
      <c r="D483" s="20">
        <v>42</v>
      </c>
      <c r="E483" s="24"/>
      <c r="F483" s="20" t="s">
        <v>4622</v>
      </c>
      <c r="G483" s="24" t="str">
        <f ca="1">IFERROR(__xludf.DUMMYFUNCTION("UPPER(LEFT((GOOGLETRANSLATE(F483,""en"",""pt"")),1))&amp;RIGHT(lower((GOOGLETRANSLATE(F483,""en"",""pt""))),(LEN((GOOGLETRANSLATE(F483,""en"",""pt"")))-1))"),"Cuidar intensivo")</f>
        <v>Cuidar intensivo</v>
      </c>
      <c r="H483" s="20" t="s">
        <v>4623</v>
      </c>
      <c r="I483" s="81" t="s">
        <v>2004</v>
      </c>
      <c r="J483" s="79"/>
      <c r="K483" s="24"/>
      <c r="L483" s="24"/>
    </row>
    <row r="484" spans="1:12" ht="14.5">
      <c r="A484" s="20" t="s">
        <v>4624</v>
      </c>
      <c r="B484" s="20">
        <v>35</v>
      </c>
      <c r="C484" s="20">
        <v>10</v>
      </c>
      <c r="D484" s="20">
        <v>43</v>
      </c>
      <c r="E484" s="24"/>
      <c r="F484" s="20" t="s">
        <v>4625</v>
      </c>
      <c r="G484" s="24" t="str">
        <f ca="1">IFERROR(__xludf.DUMMYFUNCTION("UPPER(LEFT((GOOGLETRANSLATE(F484,""en"",""pt"")),1))&amp;RIGHT(lower((GOOGLETRANSLATE(F484,""en"",""pt""))),(LEN((GOOGLETRANSLATE(F484,""en"",""pt"")))-1))"),"Isolamento carinho")</f>
        <v>Isolamento carinho</v>
      </c>
      <c r="H484" s="24"/>
      <c r="I484" s="79"/>
      <c r="J484" s="79"/>
      <c r="K484" s="24"/>
      <c r="L484" s="24"/>
    </row>
    <row r="485" spans="1:12" ht="14.5">
      <c r="A485" s="20" t="s">
        <v>4626</v>
      </c>
      <c r="B485" s="20">
        <v>35</v>
      </c>
      <c r="C485" s="20">
        <v>10</v>
      </c>
      <c r="D485" s="20">
        <v>51</v>
      </c>
      <c r="E485" s="24"/>
      <c r="F485" s="20" t="s">
        <v>4627</v>
      </c>
      <c r="G485" s="24" t="str">
        <f ca="1">IFERROR(__xludf.DUMMYFUNCTION("UPPER(LEFT((GOOGLETRANSLATE(F485,""en"",""pt"")),1))&amp;RIGHT(lower((GOOGLETRANSLATE(F485,""en"",""pt""))),(LEN((GOOGLETRANSLATE(F485,""en"",""pt"")))-1))"),"Digitalização médica")</f>
        <v>Digitalização médica</v>
      </c>
      <c r="H485" s="24" t="s">
        <v>4628</v>
      </c>
      <c r="I485" s="79"/>
      <c r="J485" s="79"/>
      <c r="K485" s="24"/>
      <c r="L485" s="24"/>
    </row>
    <row r="486" spans="1:12" ht="14.5">
      <c r="A486" s="20" t="s">
        <v>4629</v>
      </c>
      <c r="B486" s="20">
        <v>35</v>
      </c>
      <c r="C486" s="20">
        <v>10</v>
      </c>
      <c r="D486" s="20">
        <v>53</v>
      </c>
      <c r="E486" s="24"/>
      <c r="F486" s="20" t="s">
        <v>4630</v>
      </c>
      <c r="G486" s="24" t="str">
        <f ca="1">IFERROR(__xludf.DUMMYFUNCTION("UPPER(LEFT((GOOGLETRANSLATE(F486,""en"",""pt"")),1))&amp;RIGHT(lower((GOOGLETRANSLATE(F486,""en"",""pt""))),(LEN((GOOGLETRANSLATE(F486,""en"",""pt"")))-1))"),"Obstetrícia")</f>
        <v>Obstetrícia</v>
      </c>
      <c r="H486" s="24" t="s">
        <v>4631</v>
      </c>
      <c r="I486" s="81" t="s">
        <v>2004</v>
      </c>
      <c r="J486" s="79"/>
      <c r="K486" s="24"/>
      <c r="L486" s="24"/>
    </row>
    <row r="487" spans="1:12" ht="14.5">
      <c r="A487" s="20" t="s">
        <v>4632</v>
      </c>
      <c r="B487" s="20">
        <v>35</v>
      </c>
      <c r="C487" s="20">
        <v>10</v>
      </c>
      <c r="D487" s="20">
        <v>57</v>
      </c>
      <c r="E487" s="24"/>
      <c r="F487" s="20" t="s">
        <v>4633</v>
      </c>
      <c r="G487" s="24" t="str">
        <f ca="1">IFERROR(__xludf.DUMMYFUNCTION("UPPER(LEFT((GOOGLETRANSLATE(F487,""en"",""pt"")),1))&amp;RIGHT(lower((GOOGLETRANSLATE(F487,""en"",""pt""))),(LEN((GOOGLETRANSLATE(F487,""en"",""pt"")))-1))"),"Enfermagem")</f>
        <v>Enfermagem</v>
      </c>
      <c r="H487" s="24" t="s">
        <v>4634</v>
      </c>
      <c r="I487" s="81" t="s">
        <v>2004</v>
      </c>
      <c r="J487" s="79"/>
      <c r="K487" s="24"/>
      <c r="L487" s="24"/>
    </row>
    <row r="488" spans="1:12" ht="14.5">
      <c r="A488" s="20" t="s">
        <v>4635</v>
      </c>
      <c r="B488" s="20">
        <v>35</v>
      </c>
      <c r="C488" s="20">
        <v>10</v>
      </c>
      <c r="D488" s="20">
        <v>58</v>
      </c>
      <c r="E488" s="24"/>
      <c r="F488" s="20" t="s">
        <v>4636</v>
      </c>
      <c r="G488" s="24" t="str">
        <f ca="1">IFERROR(__xludf.DUMMYFUNCTION("UPPER(LEFT((GOOGLETRANSLATE(F488,""en"",""pt"")),1))&amp;RIGHT(lower((GOOGLETRANSLATE(F488,""en"",""pt""))),(LEN((GOOGLETRANSLATE(F488,""en"",""pt"")))-1))"),"Terapia ocupacional")</f>
        <v>Terapia ocupacional</v>
      </c>
      <c r="H488" s="24" t="s">
        <v>4637</v>
      </c>
      <c r="I488" s="81" t="s">
        <v>2004</v>
      </c>
      <c r="J488" s="79"/>
      <c r="K488" s="24"/>
      <c r="L488" s="24"/>
    </row>
    <row r="489" spans="1:12" ht="14.5">
      <c r="A489" s="20" t="s">
        <v>4638</v>
      </c>
      <c r="B489" s="20">
        <v>35</v>
      </c>
      <c r="C489" s="20">
        <v>10</v>
      </c>
      <c r="D489" s="20">
        <v>61</v>
      </c>
      <c r="E489" s="24"/>
      <c r="F489" s="20" t="s">
        <v>4639</v>
      </c>
      <c r="G489" s="24" t="str">
        <f ca="1">IFERROR(__xludf.DUMMYFUNCTION("UPPER(LEFT((GOOGLETRANSLATE(F489,""en"",""pt"")),1))&amp;RIGHT(lower((GOOGLETRANSLATE(F489,""en"",""pt""))),(LEN((GOOGLETRANSLATE(F489,""en"",""pt"")))-1))"),"Paciente que examinam")</f>
        <v>Paciente que examinam</v>
      </c>
      <c r="H489" s="20" t="s">
        <v>4640</v>
      </c>
      <c r="I489" s="81" t="s">
        <v>2004</v>
      </c>
      <c r="J489" s="79"/>
      <c r="K489" s="24"/>
      <c r="L489" s="24"/>
    </row>
    <row r="490" spans="1:12" ht="14.5">
      <c r="A490" s="20" t="s">
        <v>4641</v>
      </c>
      <c r="B490" s="20">
        <v>35</v>
      </c>
      <c r="C490" s="20">
        <v>10</v>
      </c>
      <c r="D490" s="20">
        <v>62</v>
      </c>
      <c r="E490" s="24"/>
      <c r="F490" s="20" t="s">
        <v>4642</v>
      </c>
      <c r="G490" s="24" t="str">
        <f ca="1">IFERROR(__xludf.DUMMYFUNCTION("UPPER(LEFT((GOOGLETRANSLATE(F490,""en"",""pt"")),1))&amp;RIGHT(lower((GOOGLETRANSLATE(F490,""en"",""pt""))),(LEN((GOOGLETRANSLATE(F490,""en"",""pt"")))-1))"),"Triagem de pacientes")</f>
        <v>Triagem de pacientes</v>
      </c>
      <c r="H490" s="24" t="s">
        <v>4643</v>
      </c>
      <c r="I490" s="81" t="s">
        <v>2004</v>
      </c>
      <c r="J490" s="79"/>
      <c r="K490" s="24"/>
      <c r="L490" s="24"/>
    </row>
    <row r="491" spans="1:12" ht="14.5">
      <c r="A491" s="20" t="s">
        <v>4644</v>
      </c>
      <c r="B491" s="20">
        <v>35</v>
      </c>
      <c r="C491" s="20">
        <v>10</v>
      </c>
      <c r="D491" s="20">
        <v>64</v>
      </c>
      <c r="E491" s="24"/>
      <c r="F491" s="20" t="s">
        <v>4645</v>
      </c>
      <c r="G491" s="24" t="str">
        <f ca="1">IFERROR(__xludf.DUMMYFUNCTION("UPPER(LEFT((GOOGLETRANSLATE(F491,""en"",""pt"")),1))&amp;RIGHT(lower((GOOGLETRANSLATE(F491,""en"",""pt""))),(LEN((GOOGLETRANSLATE(F491,""en"",""pt"")))-1))"),"Dispensação farmacêutica")</f>
        <v>Dispensação farmacêutica</v>
      </c>
      <c r="H491" s="20" t="s">
        <v>4646</v>
      </c>
      <c r="I491" s="81" t="s">
        <v>2004</v>
      </c>
      <c r="J491" s="79"/>
      <c r="K491" s="24"/>
      <c r="L491" s="24"/>
    </row>
    <row r="492" spans="1:12" ht="14.5">
      <c r="A492" s="20" t="s">
        <v>4647</v>
      </c>
      <c r="B492" s="20">
        <v>35</v>
      </c>
      <c r="C492" s="20">
        <v>10</v>
      </c>
      <c r="D492" s="20">
        <v>65</v>
      </c>
      <c r="E492" s="24"/>
      <c r="F492" s="20" t="s">
        <v>4648</v>
      </c>
      <c r="G492" s="24" t="str">
        <f ca="1">IFERROR(__xludf.DUMMYFUNCTION("UPPER(LEFT((GOOGLETRANSLATE(F492,""en"",""pt"")),1))&amp;RIGHT(lower((GOOGLETRANSLATE(F492,""en"",""pt""))),(LEN((GOOGLETRANSLATE(F492,""en"",""pt"")))-1))"),"Fototerapia")</f>
        <v>Fototerapia</v>
      </c>
      <c r="H492" s="24" t="s">
        <v>4649</v>
      </c>
      <c r="I492" s="81" t="s">
        <v>2004</v>
      </c>
      <c r="J492" s="79"/>
      <c r="K492" s="24"/>
      <c r="L492" s="24"/>
    </row>
    <row r="493" spans="1:12" ht="14.5">
      <c r="A493" s="20" t="s">
        <v>4650</v>
      </c>
      <c r="B493" s="20">
        <v>35</v>
      </c>
      <c r="C493" s="20">
        <v>10</v>
      </c>
      <c r="D493" s="20">
        <v>66</v>
      </c>
      <c r="E493" s="24"/>
      <c r="F493" s="20" t="s">
        <v>4651</v>
      </c>
      <c r="G493" s="24" t="str">
        <f ca="1">IFERROR(__xludf.DUMMYFUNCTION("UPPER(LEFT((GOOGLETRANSLATE(F493,""en"",""pt"")),1))&amp;RIGHT(lower((GOOGLETRANSLATE(F493,""en"",""pt""))),(LEN((GOOGLETRANSLATE(F493,""en"",""pt"")))-1))"),"Fisioterapia")</f>
        <v>Fisioterapia</v>
      </c>
      <c r="H493" s="24" t="s">
        <v>4652</v>
      </c>
      <c r="I493" s="81" t="s">
        <v>2004</v>
      </c>
      <c r="J493" s="79"/>
      <c r="K493" s="24"/>
      <c r="L493" s="24"/>
    </row>
    <row r="494" spans="1:12" ht="14.5">
      <c r="A494" s="20" t="s">
        <v>4653</v>
      </c>
      <c r="B494" s="20">
        <v>35</v>
      </c>
      <c r="C494" s="20">
        <v>10</v>
      </c>
      <c r="D494" s="20">
        <v>70</v>
      </c>
      <c r="E494" s="24"/>
      <c r="F494" s="20" t="s">
        <v>4654</v>
      </c>
      <c r="G494" s="24" t="str">
        <f ca="1">IFERROR(__xludf.DUMMYFUNCTION("UPPER(LEFT((GOOGLETRANSLATE(F494,""en"",""pt"")),1))&amp;RIGHT(lower((GOOGLETRANSLATE(F494,""en"",""pt""))),(LEN((GOOGLETRANSLATE(F494,""en"",""pt"")))-1))"),"Radiografia")</f>
        <v>Radiografia</v>
      </c>
      <c r="H494" s="24" t="s">
        <v>4655</v>
      </c>
      <c r="I494" s="81" t="s">
        <v>2004</v>
      </c>
      <c r="J494" s="79"/>
      <c r="K494" s="24"/>
      <c r="L494" s="24"/>
    </row>
    <row r="495" spans="1:12" ht="14.5">
      <c r="A495" s="20" t="s">
        <v>4656</v>
      </c>
      <c r="B495" s="20">
        <v>35</v>
      </c>
      <c r="C495" s="20">
        <v>10</v>
      </c>
      <c r="D495" s="20">
        <v>71</v>
      </c>
      <c r="E495" s="24"/>
      <c r="F495" s="20" t="s">
        <v>4657</v>
      </c>
      <c r="G495" s="24" t="str">
        <f ca="1">IFERROR(__xludf.DUMMYFUNCTION("UPPER(LEFT((GOOGLETRANSLATE(F495,""en"",""pt"")),1))&amp;RIGHT(lower((GOOGLETRANSLATE(F495,""en"",""pt""))),(LEN((GOOGLETRANSLATE(F495,""en"",""pt"")))-1))"),"Radioterapia")</f>
        <v>Radioterapia</v>
      </c>
      <c r="H495" s="24" t="s">
        <v>4658</v>
      </c>
      <c r="I495" s="81" t="s">
        <v>2004</v>
      </c>
      <c r="J495" s="79"/>
      <c r="K495" s="24"/>
      <c r="L495" s="24"/>
    </row>
    <row r="496" spans="1:12" ht="14.5">
      <c r="A496" s="20" t="s">
        <v>4659</v>
      </c>
      <c r="B496" s="20">
        <v>35</v>
      </c>
      <c r="C496" s="20">
        <v>10</v>
      </c>
      <c r="D496" s="20">
        <v>74</v>
      </c>
      <c r="E496" s="24"/>
      <c r="F496" s="20" t="s">
        <v>4660</v>
      </c>
      <c r="G496" s="24" t="str">
        <f ca="1">IFERROR(__xludf.DUMMYFUNCTION("UPPER(LEFT((GOOGLETRANSLATE(F496,""en"",""pt"")),1))&amp;RIGHT(lower((GOOGLETRANSLATE(F496,""en"",""pt""))),(LEN((GOOGLETRANSLATE(F496,""en"",""pt"")))-1))"),"Reabilitar")</f>
        <v>Reabilitar</v>
      </c>
      <c r="H496" s="20" t="s">
        <v>4661</v>
      </c>
      <c r="I496" s="81" t="s">
        <v>2004</v>
      </c>
      <c r="J496" s="79"/>
      <c r="K496" s="24"/>
      <c r="L496" s="24"/>
    </row>
    <row r="497" spans="1:12" ht="14.5">
      <c r="A497" s="20" t="s">
        <v>4662</v>
      </c>
      <c r="B497" s="20">
        <v>35</v>
      </c>
      <c r="C497" s="20">
        <v>10</v>
      </c>
      <c r="D497" s="20">
        <v>85</v>
      </c>
      <c r="E497" s="24"/>
      <c r="F497" s="20" t="s">
        <v>4663</v>
      </c>
      <c r="G497" s="24" t="str">
        <f ca="1">IFERROR(__xludf.DUMMYFUNCTION("UPPER(LEFT((GOOGLETRANSLATE(F497,""en"",""pt"")),1))&amp;RIGHT(lower((GOOGLETRANSLATE(F497,""en"",""pt""))),(LEN((GOOGLETRANSLATE(F497,""en"",""pt"")))-1))"),"Operação cirúrgica")</f>
        <v>Operação cirúrgica</v>
      </c>
      <c r="H497" s="20" t="s">
        <v>4664</v>
      </c>
      <c r="I497" s="81" t="s">
        <v>2004</v>
      </c>
      <c r="J497" s="79"/>
      <c r="K497" s="24"/>
      <c r="L497" s="24"/>
    </row>
    <row r="498" spans="1:12" ht="14.5">
      <c r="A498" s="20" t="s">
        <v>4665</v>
      </c>
      <c r="B498" s="20">
        <v>35</v>
      </c>
      <c r="C498" s="20">
        <v>50</v>
      </c>
      <c r="D498" s="24"/>
      <c r="E498" s="24"/>
      <c r="F498" s="20" t="s">
        <v>4666</v>
      </c>
      <c r="G498" s="24" t="str">
        <f ca="1">IFERROR(__xludf.DUMMYFUNCTION("UPPER(LEFT((GOOGLETRANSLATE(F498,""en"",""pt"")),1))&amp;RIGHT(lower((GOOGLETRANSLATE(F498,""en"",""pt""))),(LEN((GOOGLETRANSLATE(F498,""en"",""pt"")))-1))"),"Atividades de bem-estar")</f>
        <v>Atividades de bem-estar</v>
      </c>
      <c r="H498" s="24" t="s">
        <v>4667</v>
      </c>
      <c r="I498" s="81" t="s">
        <v>2004</v>
      </c>
      <c r="J498" s="79"/>
      <c r="K498" s="24"/>
      <c r="L498" s="24"/>
    </row>
    <row r="499" spans="1:12" ht="14.5">
      <c r="A499" s="20" t="s">
        <v>4668</v>
      </c>
      <c r="B499" s="20">
        <v>35</v>
      </c>
      <c r="C499" s="20">
        <v>50</v>
      </c>
      <c r="D499" s="20">
        <v>21</v>
      </c>
      <c r="E499" s="24"/>
      <c r="F499" s="20" t="s">
        <v>4669</v>
      </c>
      <c r="G499" s="24" t="str">
        <f ca="1">IFERROR(__xludf.DUMMYFUNCTION("UPPER(LEFT((GOOGLETRANSLATE(F499,""en"",""pt"")),1))&amp;RIGHT(lower((GOOGLETRANSLATE(F499,""en"",""pt""))),(LEN((GOOGLETRANSLATE(F499,""en"",""pt"")))-1))"),"Creche")</f>
        <v>Creche</v>
      </c>
      <c r="H499" s="24" t="s">
        <v>4670</v>
      </c>
      <c r="I499" s="81" t="s">
        <v>2004</v>
      </c>
      <c r="J499" s="79"/>
      <c r="K499" s="24"/>
      <c r="L499" s="24"/>
    </row>
    <row r="500" spans="1:12" ht="14.5">
      <c r="A500" s="20" t="s">
        <v>4671</v>
      </c>
      <c r="B500" s="20">
        <v>35</v>
      </c>
      <c r="C500" s="20">
        <v>50</v>
      </c>
      <c r="D500" s="20">
        <v>42</v>
      </c>
      <c r="E500" s="24"/>
      <c r="F500" s="20" t="s">
        <v>4672</v>
      </c>
      <c r="G500" s="24" t="str">
        <f ca="1">IFERROR(__xludf.DUMMYFUNCTION("UPPER(LEFT((GOOGLETRANSLATE(F500,""en"",""pt"")),1))&amp;RIGHT(lower((GOOGLETRANSLATE(F500,""en"",""pt""))),(LEN((GOOGLETRANSLATE(F500,""en"",""pt"")))-1))"),"Cuidar infantil")</f>
        <v>Cuidar infantil</v>
      </c>
      <c r="H500" s="20" t="s">
        <v>4673</v>
      </c>
      <c r="I500" s="81" t="s">
        <v>2004</v>
      </c>
      <c r="J500" s="79"/>
      <c r="K500" s="24"/>
      <c r="L500" s="24"/>
    </row>
    <row r="501" spans="1:12" ht="14.5">
      <c r="A501" s="20" t="s">
        <v>4674</v>
      </c>
      <c r="B501" s="20">
        <v>35</v>
      </c>
      <c r="C501" s="20">
        <v>60</v>
      </c>
      <c r="D501" s="24"/>
      <c r="E501" s="24"/>
      <c r="F501" s="20" t="s">
        <v>4675</v>
      </c>
      <c r="G501" s="24" t="str">
        <f ca="1">IFERROR(__xludf.DUMMYFUNCTION("UPPER(LEFT((GOOGLETRANSLATE(F501,""en"",""pt"")),1))&amp;RIGHT(lower((GOOGLETRANSLATE(F501,""en"",""pt""))),(LEN((GOOGLETRANSLATE(F501,""en"",""pt"")))-1))"),"Actividades de gestão de alimentos")</f>
        <v>Actividades de gestão de alimentos</v>
      </c>
      <c r="H501" s="24" t="s">
        <v>4676</v>
      </c>
      <c r="I501" s="81" t="s">
        <v>2004</v>
      </c>
      <c r="J501" s="79"/>
      <c r="K501" s="24"/>
      <c r="L501" s="24"/>
    </row>
    <row r="502" spans="1:12" ht="14.5">
      <c r="A502" s="20" t="s">
        <v>4677</v>
      </c>
      <c r="B502" s="20">
        <v>35</v>
      </c>
      <c r="C502" s="20">
        <v>60</v>
      </c>
      <c r="D502" s="20">
        <v>16</v>
      </c>
      <c r="E502" s="24"/>
      <c r="F502" s="20" t="s">
        <v>4678</v>
      </c>
      <c r="G502" s="24" t="str">
        <f ca="1">IFERROR(__xludf.DUMMYFUNCTION("UPPER(LEFT((GOOGLETRANSLATE(F502,""en"",""pt"")),1))&amp;RIGHT(lower((GOOGLETRANSLATE(F502,""en"",""pt""))),(LEN((GOOGLETRANSLATE(F502,""en"",""pt"")))-1))"),"Cozinhando")</f>
        <v>Cozinhando</v>
      </c>
      <c r="H502" s="20" t="s">
        <v>4679</v>
      </c>
      <c r="I502" s="81" t="s">
        <v>2004</v>
      </c>
      <c r="J502" s="79"/>
      <c r="K502" s="24"/>
      <c r="L502" s="24"/>
    </row>
    <row r="503" spans="1:12" ht="14.5">
      <c r="A503" s="20" t="s">
        <v>4680</v>
      </c>
      <c r="B503" s="20">
        <v>35</v>
      </c>
      <c r="C503" s="20">
        <v>60</v>
      </c>
      <c r="D503" s="20">
        <v>30</v>
      </c>
      <c r="E503" s="24"/>
      <c r="F503" s="20" t="s">
        <v>4681</v>
      </c>
      <c r="G503" s="24" t="str">
        <f ca="1">IFERROR(__xludf.DUMMYFUNCTION("UPPER(LEFT((GOOGLETRANSLATE(F503,""en"",""pt"")),1))&amp;RIGHT(lower((GOOGLETRANSLATE(F503,""en"",""pt""))),(LEN((GOOGLETRANSLATE(F503,""en"",""pt"")))-1))"),"Preparo da comida")</f>
        <v>Preparo da comida</v>
      </c>
      <c r="H503" s="20" t="s">
        <v>4682</v>
      </c>
      <c r="I503" s="81" t="s">
        <v>2004</v>
      </c>
      <c r="J503" s="79"/>
      <c r="K503" s="24"/>
      <c r="L503" s="24"/>
    </row>
    <row r="504" spans="1:12" ht="14.5">
      <c r="A504" s="20" t="s">
        <v>4683</v>
      </c>
      <c r="B504" s="20">
        <v>35</v>
      </c>
      <c r="C504" s="20">
        <v>60</v>
      </c>
      <c r="D504" s="20">
        <v>31</v>
      </c>
      <c r="E504" s="24"/>
      <c r="F504" s="20" t="s">
        <v>4684</v>
      </c>
      <c r="G504" s="24" t="str">
        <f ca="1">IFERROR(__xludf.DUMMYFUNCTION("UPPER(LEFT((GOOGLETRANSLATE(F504,""en"",""pt"")),1))&amp;RIGHT(lower((GOOGLETRANSLATE(F504,""en"",""pt""))),(LEN((GOOGLETRANSLATE(F504,""en"",""pt"")))-1))"),"Servir comida")</f>
        <v>Servir comida</v>
      </c>
      <c r="H504" s="24" t="s">
        <v>4685</v>
      </c>
      <c r="I504" s="79"/>
      <c r="J504" s="79"/>
      <c r="K504" s="24"/>
      <c r="L504" s="24"/>
    </row>
    <row r="505" spans="1:12" ht="14.5">
      <c r="A505" s="20" t="s">
        <v>4686</v>
      </c>
      <c r="B505" s="20">
        <v>35</v>
      </c>
      <c r="C505" s="20">
        <v>70</v>
      </c>
      <c r="D505" s="24"/>
      <c r="E505" s="24"/>
      <c r="F505" s="20" t="s">
        <v>4687</v>
      </c>
      <c r="G505" s="24" t="str">
        <f ca="1">IFERROR(__xludf.DUMMYFUNCTION("UPPER(LEFT((GOOGLETRANSLATE(F505,""en"",""pt"")),1))&amp;RIGHT(lower((GOOGLETRANSLATE(F505,""en"",""pt""))),(LEN((GOOGLETRANSLATE(F505,""en"",""pt"")))-1))"),"Atividades funerárias")</f>
        <v>Atividades funerárias</v>
      </c>
      <c r="H505" s="24" t="s">
        <v>4688</v>
      </c>
      <c r="I505" s="81" t="s">
        <v>2004</v>
      </c>
      <c r="J505" s="79"/>
      <c r="K505" s="24"/>
      <c r="L505" s="24"/>
    </row>
    <row r="506" spans="1:12" ht="14.5">
      <c r="A506" s="20" t="s">
        <v>4689</v>
      </c>
      <c r="B506" s="20">
        <v>35</v>
      </c>
      <c r="C506" s="20">
        <v>70</v>
      </c>
      <c r="D506" s="20">
        <v>4</v>
      </c>
      <c r="E506" s="24"/>
      <c r="F506" s="20" t="s">
        <v>4690</v>
      </c>
      <c r="G506" s="24" t="str">
        <f ca="1">IFERROR(__xludf.DUMMYFUNCTION("UPPER(LEFT((GOOGLETRANSLATE(F506,""en"",""pt"")),1))&amp;RIGHT(lower((GOOGLETRANSLATE(F506,""en"",""pt""))),(LEN((GOOGLETRANSLATE(F506,""en"",""pt"")))-1))"),"Ash urna armazenamento")</f>
        <v>Ash urna armazenamento</v>
      </c>
      <c r="H506" s="20" t="s">
        <v>4691</v>
      </c>
      <c r="I506" s="81" t="s">
        <v>2004</v>
      </c>
      <c r="J506" s="79"/>
      <c r="K506" s="24"/>
      <c r="L506" s="24"/>
    </row>
    <row r="507" spans="1:12" ht="14.5">
      <c r="A507" s="20" t="s">
        <v>4692</v>
      </c>
      <c r="B507" s="20">
        <v>35</v>
      </c>
      <c r="C507" s="20">
        <v>70</v>
      </c>
      <c r="D507" s="20">
        <v>10</v>
      </c>
      <c r="E507" s="24"/>
      <c r="F507" s="20" t="s">
        <v>4693</v>
      </c>
      <c r="G507" s="24" t="str">
        <f ca="1">IFERROR(__xludf.DUMMYFUNCTION("UPPER(LEFT((GOOGLETRANSLATE(F507,""en"",""pt"")),1))&amp;RIGHT(lower((GOOGLETRANSLATE(F507,""en"",""pt""))),(LEN((GOOGLETRANSLATE(F507,""en"",""pt"")))-1))"),"Enterro")</f>
        <v>Enterro</v>
      </c>
      <c r="H507" s="24" t="s">
        <v>4694</v>
      </c>
      <c r="I507" s="81" t="s">
        <v>2004</v>
      </c>
      <c r="J507" s="79"/>
      <c r="K507" s="24"/>
      <c r="L507" s="24"/>
    </row>
    <row r="508" spans="1:12" ht="14.5">
      <c r="A508" s="20" t="s">
        <v>4695</v>
      </c>
      <c r="B508" s="20">
        <v>35</v>
      </c>
      <c r="C508" s="20">
        <v>70</v>
      </c>
      <c r="D508" s="20">
        <v>18</v>
      </c>
      <c r="E508" s="24"/>
      <c r="F508" s="20" t="s">
        <v>4696</v>
      </c>
      <c r="G508" s="24" t="str">
        <f ca="1">IFERROR(__xludf.DUMMYFUNCTION("UPPER(LEFT((GOOGLETRANSLATE(F508,""en"",""pt"")),1))&amp;RIGHT(lower((GOOGLETRANSLATE(F508,""en"",""pt""))),(LEN((GOOGLETRANSLATE(F508,""en"",""pt"")))-1))"),"Cremar")</f>
        <v>Cremar</v>
      </c>
      <c r="H508" s="20" t="s">
        <v>4697</v>
      </c>
      <c r="I508" s="81" t="s">
        <v>2004</v>
      </c>
      <c r="J508" s="79"/>
      <c r="K508" s="24"/>
      <c r="L508" s="24"/>
    </row>
    <row r="509" spans="1:12" ht="14.5">
      <c r="A509" s="20" t="s">
        <v>4698</v>
      </c>
      <c r="B509" s="20">
        <v>35</v>
      </c>
      <c r="C509" s="20">
        <v>70</v>
      </c>
      <c r="D509" s="20">
        <v>42</v>
      </c>
      <c r="E509" s="24"/>
      <c r="F509" s="20" t="s">
        <v>4699</v>
      </c>
      <c r="G509" s="24" t="str">
        <f ca="1">IFERROR(__xludf.DUMMYFUNCTION("UPPER(LEFT((GOOGLETRANSLATE(F509,""en"",""pt"")),1))&amp;RIGHT(lower((GOOGLETRANSLATE(F509,""en"",""pt""))),(LEN((GOOGLETRANSLATE(F509,""en"",""pt"")))-1))"),"Enterro em um cofre ou túmulo")</f>
        <v>Enterro em um cofre ou túmulo</v>
      </c>
      <c r="H509" s="24" t="s">
        <v>4700</v>
      </c>
      <c r="I509" s="79"/>
      <c r="J509" s="79"/>
      <c r="K509" s="24"/>
      <c r="L509" s="24"/>
    </row>
    <row r="510" spans="1:12" ht="14.5">
      <c r="A510" s="20" t="s">
        <v>4701</v>
      </c>
      <c r="B510" s="20">
        <v>35</v>
      </c>
      <c r="C510" s="20">
        <v>80</v>
      </c>
      <c r="D510" s="24"/>
      <c r="E510" s="24"/>
      <c r="F510" s="20" t="s">
        <v>4702</v>
      </c>
      <c r="G510" s="24" t="str">
        <f ca="1">IFERROR(__xludf.DUMMYFUNCTION("UPPER(LEFT((GOOGLETRANSLATE(F510,""en"",""pt"")),1))&amp;RIGHT(lower((GOOGLETRANSLATE(F510,""en"",""pt""))),(LEN((GOOGLETRANSLATE(F510,""en"",""pt"")))-1))"),"Atividades sanitárias")</f>
        <v>Atividades sanitárias</v>
      </c>
      <c r="H510" s="24" t="s">
        <v>4703</v>
      </c>
      <c r="I510" s="81" t="s">
        <v>2004</v>
      </c>
      <c r="J510" s="79"/>
      <c r="K510" s="24"/>
      <c r="L510" s="24"/>
    </row>
    <row r="511" spans="1:12" ht="14.5">
      <c r="A511" s="20" t="s">
        <v>4704</v>
      </c>
      <c r="B511" s="20">
        <v>35</v>
      </c>
      <c r="C511" s="20">
        <v>80</v>
      </c>
      <c r="D511" s="20">
        <v>6</v>
      </c>
      <c r="E511" s="24"/>
      <c r="F511" s="20" t="s">
        <v>4705</v>
      </c>
      <c r="G511" s="24" t="str">
        <f ca="1">IFERROR(__xludf.DUMMYFUNCTION("UPPER(LEFT((GOOGLETRANSLATE(F511,""en"",""pt"")),1))&amp;RIGHT(lower((GOOGLETRANSLATE(F511,""en"",""pt""))),(LEN((GOOGLETRANSLATE(F511,""en"",""pt"")))-1))"),"Mudança do bebê")</f>
        <v>Mudança do bebê</v>
      </c>
      <c r="H511" s="24"/>
      <c r="I511" s="79"/>
      <c r="J511" s="79"/>
      <c r="K511" s="24"/>
      <c r="L511" s="24"/>
    </row>
    <row r="512" spans="1:12" ht="14.5">
      <c r="A512" s="20" t="s">
        <v>4706</v>
      </c>
      <c r="B512" s="20">
        <v>35</v>
      </c>
      <c r="C512" s="20">
        <v>80</v>
      </c>
      <c r="D512" s="20">
        <v>7</v>
      </c>
      <c r="E512" s="24"/>
      <c r="F512" s="20" t="s">
        <v>4707</v>
      </c>
      <c r="G512" s="24" t="str">
        <f ca="1">IFERROR(__xludf.DUMMYFUNCTION("UPPER(LEFT((GOOGLETRANSLATE(F512,""en"",""pt"")),1))&amp;RIGHT(lower((GOOGLETRANSLATE(F512,""en"",""pt""))),(LEN((GOOGLETRANSLATE(F512,""en"",""pt"")))-1))"),"Tomando banho")</f>
        <v>Tomando banho</v>
      </c>
      <c r="H512" s="20" t="s">
        <v>4708</v>
      </c>
      <c r="I512" s="81" t="s">
        <v>2004</v>
      </c>
      <c r="J512" s="79"/>
      <c r="K512" s="24"/>
      <c r="L512" s="24"/>
    </row>
    <row r="513" spans="1:12" ht="14.5">
      <c r="A513" s="20" t="s">
        <v>4709</v>
      </c>
      <c r="B513" s="20">
        <v>35</v>
      </c>
      <c r="C513" s="20">
        <v>80</v>
      </c>
      <c r="D513" s="20">
        <v>80</v>
      </c>
      <c r="E513" s="24"/>
      <c r="F513" s="20" t="s">
        <v>4710</v>
      </c>
      <c r="G513" s="24" t="str">
        <f ca="1">IFERROR(__xludf.DUMMYFUNCTION("UPPER(LEFT((GOOGLETRANSLATE(F513,""en"",""pt"")),1))&amp;RIGHT(lower((GOOGLETRANSLATE(F513,""en"",""pt""))),(LEN((GOOGLETRANSLATE(F513,""en"",""pt"")))-1))"),"Showering")</f>
        <v>Showering</v>
      </c>
      <c r="H513" s="24" t="s">
        <v>4711</v>
      </c>
      <c r="I513" s="79"/>
      <c r="J513" s="79"/>
      <c r="K513" s="24"/>
      <c r="L513" s="24"/>
    </row>
    <row r="514" spans="1:12" ht="14.5">
      <c r="A514" s="20" t="s">
        <v>4712</v>
      </c>
      <c r="B514" s="20">
        <v>35</v>
      </c>
      <c r="C514" s="20">
        <v>85</v>
      </c>
      <c r="D514" s="24"/>
      <c r="E514" s="24"/>
      <c r="F514" s="20" t="s">
        <v>4713</v>
      </c>
      <c r="G514" s="24" t="str">
        <f ca="1">IFERROR(__xludf.DUMMYFUNCTION("UPPER(LEFT((GOOGLETRANSLATE(F514,""en"",""pt"")),1))&amp;RIGHT(lower((GOOGLETRANSLATE(F514,""en"",""pt""))),(LEN((GOOGLETRANSLATE(F514,""en"",""pt"")))-1))"),"Atividades animais")</f>
        <v>Atividades animais</v>
      </c>
      <c r="H514" s="24" t="s">
        <v>4714</v>
      </c>
      <c r="I514" s="81" t="s">
        <v>2004</v>
      </c>
      <c r="J514" s="79"/>
      <c r="K514" s="24"/>
      <c r="L514" s="24"/>
    </row>
    <row r="515" spans="1:12" ht="14.5">
      <c r="A515" s="20" t="s">
        <v>4715</v>
      </c>
      <c r="B515" s="20">
        <v>35</v>
      </c>
      <c r="C515" s="20">
        <v>85</v>
      </c>
      <c r="D515" s="20">
        <v>2</v>
      </c>
      <c r="E515" s="24"/>
      <c r="F515" s="20" t="s">
        <v>4716</v>
      </c>
      <c r="G515" s="24" t="str">
        <f ca="1">IFERROR(__xludf.DUMMYFUNCTION("UPPER(LEFT((GOOGLETRANSLATE(F515,""en"",""pt"")),1))&amp;RIGHT(lower((GOOGLETRANSLATE(F515,""en"",""pt""))),(LEN((GOOGLETRANSLATE(F515,""en"",""pt"")))-1))"),"Cuidados com os animais")</f>
        <v>Cuidados com os animais</v>
      </c>
      <c r="H515" s="24" t="s">
        <v>4717</v>
      </c>
      <c r="I515" s="79"/>
      <c r="J515" s="79"/>
      <c r="K515" s="24"/>
      <c r="L515" s="24"/>
    </row>
    <row r="516" spans="1:12" ht="14.5">
      <c r="A516" s="20" t="s">
        <v>4718</v>
      </c>
      <c r="B516" s="20">
        <v>35</v>
      </c>
      <c r="C516" s="20">
        <v>85</v>
      </c>
      <c r="D516" s="20">
        <v>4</v>
      </c>
      <c r="E516" s="24"/>
      <c r="F516" s="20" t="s">
        <v>4719</v>
      </c>
      <c r="G516" s="24" t="str">
        <f ca="1">IFERROR(__xludf.DUMMYFUNCTION("UPPER(LEFT((GOOGLETRANSLATE(F516,""en"",""pt"")),1))&amp;RIGHT(lower((GOOGLETRANSLATE(F516,""en"",""pt""))),(LEN((GOOGLETRANSLATE(F516,""en"",""pt"")))-1))"),"Animal exercício")</f>
        <v>Animal exercício</v>
      </c>
      <c r="H516" s="24" t="s">
        <v>4720</v>
      </c>
      <c r="I516" s="79"/>
      <c r="J516" s="79"/>
      <c r="K516" s="24"/>
      <c r="L516" s="24"/>
    </row>
    <row r="517" spans="1:12" ht="14.5">
      <c r="A517" s="20" t="s">
        <v>4721</v>
      </c>
      <c r="B517" s="20">
        <v>35</v>
      </c>
      <c r="C517" s="20">
        <v>85</v>
      </c>
      <c r="D517" s="20">
        <v>88</v>
      </c>
      <c r="E517" s="24"/>
      <c r="F517" s="20" t="s">
        <v>4722</v>
      </c>
      <c r="G517" s="24" t="str">
        <f ca="1">IFERROR(__xludf.DUMMYFUNCTION("UPPER(LEFT((GOOGLETRANSLATE(F517,""en"",""pt"")),1))&amp;RIGHT(lower((GOOGLETRANSLATE(F517,""en"",""pt""))),(LEN((GOOGLETRANSLATE(F517,""en"",""pt"")))-1))"),"Tack manutenção")</f>
        <v>Tack manutenção</v>
      </c>
      <c r="H517" s="81" t="s">
        <v>4723</v>
      </c>
      <c r="I517" s="3" t="s">
        <v>2004</v>
      </c>
      <c r="J517" s="79"/>
      <c r="K517" s="24"/>
      <c r="L517" s="24"/>
    </row>
    <row r="518" spans="1:12" ht="14.5">
      <c r="A518" s="20" t="s">
        <v>4724</v>
      </c>
      <c r="B518" s="20">
        <v>35</v>
      </c>
      <c r="C518" s="20">
        <v>90</v>
      </c>
      <c r="D518" s="24"/>
      <c r="E518" s="24"/>
      <c r="F518" s="20" t="s">
        <v>4725</v>
      </c>
      <c r="G518" s="24" t="str">
        <f ca="1">IFERROR(__xludf.DUMMYFUNCTION("UPPER(LEFT((GOOGLETRANSLATE(F518,""en"",""pt"")),1))&amp;RIGHT(lower((GOOGLETRANSLATE(F518,""en"",""pt""))),(LEN((GOOGLETRANSLATE(F518,""en"",""pt"")))-1))"),"Animal médico, saúde, bem-estar, funerário e atividades sanitárias")</f>
        <v>Animal médico, saúde, bem-estar, funerário e atividades sanitárias</v>
      </c>
      <c r="H518" s="24" t="s">
        <v>4726</v>
      </c>
      <c r="I518" s="79"/>
      <c r="J518" s="79"/>
      <c r="K518" s="24"/>
      <c r="L518" s="24"/>
    </row>
    <row r="519" spans="1:12" ht="14.5">
      <c r="A519" s="20" t="s">
        <v>4727</v>
      </c>
      <c r="B519" s="20">
        <v>35</v>
      </c>
      <c r="C519" s="20">
        <v>90</v>
      </c>
      <c r="D519" s="20">
        <v>25</v>
      </c>
      <c r="E519" s="24"/>
      <c r="F519" s="20" t="s">
        <v>4728</v>
      </c>
      <c r="G519" s="24" t="str">
        <f ca="1">IFERROR(__xludf.DUMMYFUNCTION("UPPER(LEFT((GOOGLETRANSLATE(F519,""en"",""pt"")),1))&amp;RIGHT(lower((GOOGLETRANSLATE(F519,""en"",""pt""))),(LEN((GOOGLETRANSLATE(F519,""en"",""pt"")))-1))"),"Distribuição de drogas animais")</f>
        <v>Distribuição de drogas animais</v>
      </c>
      <c r="H519" s="24" t="s">
        <v>4729</v>
      </c>
      <c r="I519" s="79"/>
      <c r="J519" s="79"/>
      <c r="K519" s="24"/>
      <c r="L519" s="24"/>
    </row>
    <row r="520" spans="1:12" ht="14.5">
      <c r="A520" s="20" t="s">
        <v>4730</v>
      </c>
      <c r="B520" s="20">
        <v>35</v>
      </c>
      <c r="C520" s="20">
        <v>90</v>
      </c>
      <c r="D520" s="20">
        <v>32</v>
      </c>
      <c r="E520" s="24"/>
      <c r="F520" s="20" t="s">
        <v>4731</v>
      </c>
      <c r="G520" s="24" t="str">
        <f ca="1">IFERROR(__xludf.DUMMYFUNCTION("UPPER(LEFT((GOOGLETRANSLATE(F520,""en"",""pt"")),1))&amp;RIGHT(lower((GOOGLETRANSLATE(F520,""en"",""pt""))),(LEN((GOOGLETRANSLATE(F520,""en"",""pt"")))-1))"),"Atividades funerárias animal")</f>
        <v>Atividades funerárias animal</v>
      </c>
      <c r="H520" s="24" t="s">
        <v>4732</v>
      </c>
      <c r="I520" s="79"/>
      <c r="J520" s="79"/>
      <c r="K520" s="24"/>
      <c r="L520" s="24"/>
    </row>
    <row r="521" spans="1:12" ht="14.5">
      <c r="A521" s="20" t="s">
        <v>4733</v>
      </c>
      <c r="B521" s="20">
        <v>35</v>
      </c>
      <c r="C521" s="20">
        <v>90</v>
      </c>
      <c r="D521" s="20">
        <v>34</v>
      </c>
      <c r="E521" s="24"/>
      <c r="F521" s="20" t="s">
        <v>4734</v>
      </c>
      <c r="G521" s="24" t="str">
        <f ca="1">IFERROR(__xludf.DUMMYFUNCTION("UPPER(LEFT((GOOGLETRANSLATE(F521,""en"",""pt"")),1))&amp;RIGHT(lower((GOOGLETRANSLATE(F521,""en"",""pt""))),(LEN((GOOGLETRANSLATE(F521,""en"",""pt"")))-1))"),"Preparação animal")</f>
        <v>Preparação animal</v>
      </c>
      <c r="H521" s="24" t="s">
        <v>4735</v>
      </c>
      <c r="I521" s="79"/>
      <c r="J521" s="79"/>
      <c r="K521" s="24"/>
      <c r="L521" s="24"/>
    </row>
    <row r="522" spans="1:12" ht="14.5">
      <c r="A522" s="20" t="s">
        <v>4736</v>
      </c>
      <c r="B522" s="20">
        <v>35</v>
      </c>
      <c r="C522" s="20">
        <v>90</v>
      </c>
      <c r="D522" s="20">
        <v>39</v>
      </c>
      <c r="E522" s="24"/>
      <c r="F522" s="20" t="s">
        <v>4737</v>
      </c>
      <c r="G522" s="24" t="str">
        <f ca="1">IFERROR(__xludf.DUMMYFUNCTION("UPPER(LEFT((GOOGLETRANSLATE(F522,""en"",""pt"")),1))&amp;RIGHT(lower((GOOGLETRANSLATE(F522,""en"",""pt""))),(LEN((GOOGLETRANSLATE(F522,""en"",""pt"")))-1))"),"Hidroterapia animal")</f>
        <v>Hidroterapia animal</v>
      </c>
      <c r="H522" s="24" t="s">
        <v>4738</v>
      </c>
      <c r="I522" s="79"/>
      <c r="J522" s="79"/>
      <c r="K522" s="24"/>
      <c r="L522" s="24"/>
    </row>
    <row r="523" spans="1:12" ht="14.5">
      <c r="A523" s="20" t="s">
        <v>4739</v>
      </c>
      <c r="B523" s="20">
        <v>35</v>
      </c>
      <c r="C523" s="20">
        <v>90</v>
      </c>
      <c r="D523" s="20">
        <v>59</v>
      </c>
      <c r="E523" s="24"/>
      <c r="F523" s="20" t="s">
        <v>4740</v>
      </c>
      <c r="G523" s="24" t="str">
        <f ca="1">IFERROR(__xludf.DUMMYFUNCTION("UPPER(LEFT((GOOGLETRANSLATE(F523,""en"",""pt"")),1))&amp;RIGHT(lower((GOOGLETRANSLATE(F523,""en"",""pt""))),(LEN((GOOGLETRANSLATE(F523,""en"",""pt"")))-1))"),"Cuidar veterinária")</f>
        <v>Cuidar veterinária</v>
      </c>
      <c r="H523" s="24" t="s">
        <v>4741</v>
      </c>
      <c r="I523" s="79"/>
      <c r="J523" s="79"/>
      <c r="K523" s="24"/>
      <c r="L523" s="24"/>
    </row>
    <row r="524" spans="1:12" ht="14.5">
      <c r="A524" s="20" t="s">
        <v>4742</v>
      </c>
      <c r="B524" s="20">
        <v>40</v>
      </c>
      <c r="C524" s="24"/>
      <c r="D524" s="24"/>
      <c r="E524" s="24"/>
      <c r="F524" s="20" t="s">
        <v>4743</v>
      </c>
      <c r="G524" s="24" t="str">
        <f ca="1">IFERROR(__xludf.DUMMYFUNCTION("UPPER(LEFT((GOOGLETRANSLATE(F524,""en"",""pt"")),1))&amp;RIGHT(lower((GOOGLETRANSLATE(F524,""en"",""pt""))),(LEN((GOOGLETRANSLATE(F524,""en"",""pt"")))-1))"),"Atividades recreativas")</f>
        <v>Atividades recreativas</v>
      </c>
      <c r="H524" s="24" t="s">
        <v>4744</v>
      </c>
      <c r="I524" s="81" t="s">
        <v>2004</v>
      </c>
      <c r="J524" s="79"/>
      <c r="K524" s="24"/>
      <c r="L524" s="24"/>
    </row>
    <row r="525" spans="1:12" ht="14.5">
      <c r="A525" s="20" t="s">
        <v>4745</v>
      </c>
      <c r="B525" s="20">
        <v>40</v>
      </c>
      <c r="C525" s="20">
        <v>5</v>
      </c>
      <c r="D525" s="24"/>
      <c r="E525" s="24"/>
      <c r="F525" s="20" t="s">
        <v>4746</v>
      </c>
      <c r="G525" s="24" t="str">
        <f ca="1">IFERROR(__xludf.DUMMYFUNCTION("UPPER(LEFT((GOOGLETRANSLATE(F525,""en"",""pt"")),1))&amp;RIGHT(lower((GOOGLETRANSLATE(F525,""en"",""pt""))),(LEN((GOOGLETRANSLATE(F525,""en"",""pt"")))-1))"),"Actividades de diversão")</f>
        <v>Actividades de diversão</v>
      </c>
      <c r="H525" s="24" t="s">
        <v>4747</v>
      </c>
      <c r="I525" s="79"/>
      <c r="J525" s="79"/>
      <c r="K525" s="24"/>
      <c r="L525" s="24"/>
    </row>
    <row r="526" spans="1:12" ht="14.5">
      <c r="A526" s="20" t="s">
        <v>4748</v>
      </c>
      <c r="B526" s="20">
        <v>40</v>
      </c>
      <c r="C526" s="20">
        <v>5</v>
      </c>
      <c r="D526" s="20">
        <v>3</v>
      </c>
      <c r="E526" s="24"/>
      <c r="F526" s="20" t="s">
        <v>4749</v>
      </c>
      <c r="G526" s="24" t="str">
        <f ca="1">IFERROR(__xludf.DUMMYFUNCTION("UPPER(LEFT((GOOGLETRANSLATE(F526,""en"",""pt"")),1))&amp;RIGHT(lower((GOOGLETRANSLATE(F526,""en"",""pt""))),(LEN((GOOGLETRANSLATE(F526,""en"",""pt"")))-1))"),"Atividades de diversões arcada")</f>
        <v>Atividades de diversões arcada</v>
      </c>
      <c r="H526" s="24" t="s">
        <v>4750</v>
      </c>
      <c r="I526" s="79"/>
      <c r="J526" s="79"/>
      <c r="K526" s="24"/>
      <c r="L526" s="24"/>
    </row>
    <row r="527" spans="1:12" ht="14.5">
      <c r="A527" s="20" t="s">
        <v>4751</v>
      </c>
      <c r="B527" s="20">
        <v>40</v>
      </c>
      <c r="C527" s="20">
        <v>5</v>
      </c>
      <c r="D527" s="20">
        <v>33</v>
      </c>
      <c r="E527" s="24"/>
      <c r="F527" s="20" t="s">
        <v>4752</v>
      </c>
      <c r="G527" s="24" t="str">
        <f ca="1">IFERROR(__xludf.DUMMYFUNCTION("UPPER(LEFT((GOOGLETRANSLATE(F527,""en"",""pt"")),1))&amp;RIGHT(lower((GOOGLETRANSLATE(F527,""en"",""pt""))),(LEN((GOOGLETRANSLATE(F527,""en"",""pt"")))-1))"),"Jogos de azar")</f>
        <v>Jogos de azar</v>
      </c>
      <c r="H527" s="24" t="s">
        <v>4753</v>
      </c>
      <c r="I527" s="79"/>
      <c r="J527" s="79"/>
      <c r="K527" s="24"/>
      <c r="L527" s="24"/>
    </row>
    <row r="528" spans="1:12" ht="14.5">
      <c r="A528" s="20" t="s">
        <v>4754</v>
      </c>
      <c r="B528" s="20">
        <v>40</v>
      </c>
      <c r="C528" s="20">
        <v>5</v>
      </c>
      <c r="D528" s="20">
        <v>42</v>
      </c>
      <c r="E528" s="24"/>
      <c r="F528" s="20" t="s">
        <v>4755</v>
      </c>
      <c r="G528" s="24" t="str">
        <f ca="1">IFERROR(__xludf.DUMMYFUNCTION("UPPER(LEFT((GOOGLETRANSLATE(F528,""en"",""pt"")),1))&amp;RIGHT(lower((GOOGLETRANSLATE(F528,""en"",""pt""))),(LEN((GOOGLETRANSLATE(F528,""en"",""pt"")))-1))"),"Passeios recinto interior")</f>
        <v>Passeios recinto interior</v>
      </c>
      <c r="H528" s="24" t="s">
        <v>4756</v>
      </c>
      <c r="I528" s="79"/>
      <c r="J528" s="79"/>
      <c r="K528" s="24"/>
      <c r="L528" s="24"/>
    </row>
    <row r="529" spans="1:12" ht="14.5">
      <c r="A529" s="20" t="s">
        <v>4757</v>
      </c>
      <c r="B529" s="20">
        <v>40</v>
      </c>
      <c r="C529" s="20">
        <v>5</v>
      </c>
      <c r="D529" s="20">
        <v>58</v>
      </c>
      <c r="E529" s="24"/>
      <c r="F529" s="20" t="s">
        <v>4758</v>
      </c>
      <c r="G529" s="24" t="str">
        <f ca="1">IFERROR(__xludf.DUMMYFUNCTION("UPPER(LEFT((GOOGLETRANSLATE(F529,""en"",""pt"")),1))&amp;RIGHT(lower((GOOGLETRANSLATE(F529,""en"",""pt""))),(LEN((GOOGLETRANSLATE(F529,""en"",""pt"")))-1))"),"Observando")</f>
        <v>Observando</v>
      </c>
      <c r="H529" s="24" t="s">
        <v>4759</v>
      </c>
      <c r="I529" s="79"/>
      <c r="J529" s="79"/>
      <c r="K529" s="24"/>
      <c r="L529" s="24"/>
    </row>
    <row r="530" spans="1:12" ht="14.5">
      <c r="A530" s="20" t="s">
        <v>4760</v>
      </c>
      <c r="B530" s="20">
        <v>40</v>
      </c>
      <c r="C530" s="20">
        <v>5</v>
      </c>
      <c r="D530" s="20">
        <v>59</v>
      </c>
      <c r="E530" s="24"/>
      <c r="F530" s="20" t="s">
        <v>4761</v>
      </c>
      <c r="G530" s="24" t="str">
        <f ca="1">IFERROR(__xludf.DUMMYFUNCTION("UPPER(LEFT((GOOGLETRANSLATE(F530,""en"",""pt"")),1))&amp;RIGHT(lower((GOOGLETRANSLATE(F530,""en"",""pt""))),(LEN((GOOGLETRANSLATE(F530,""en"",""pt"")))-1))"),"Atividades ao ar livre")</f>
        <v>Atividades ao ar livre</v>
      </c>
      <c r="H530" s="24" t="s">
        <v>4762</v>
      </c>
      <c r="I530" s="81" t="s">
        <v>2004</v>
      </c>
      <c r="J530" s="79"/>
      <c r="K530" s="24"/>
      <c r="L530" s="24"/>
    </row>
    <row r="531" spans="1:12" ht="14.5">
      <c r="A531" s="20" t="s">
        <v>4763</v>
      </c>
      <c r="B531" s="20">
        <v>40</v>
      </c>
      <c r="C531" s="20">
        <v>5</v>
      </c>
      <c r="D531" s="20">
        <v>60</v>
      </c>
      <c r="E531" s="24"/>
      <c r="F531" s="20" t="s">
        <v>4764</v>
      </c>
      <c r="G531" s="24" t="str">
        <f ca="1">IFERROR(__xludf.DUMMYFUNCTION("UPPER(LEFT((GOOGLETRANSLATE(F531,""en"",""pt"")),1))&amp;RIGHT(lower((GOOGLETRANSLATE(F531,""en"",""pt""))),(LEN((GOOGLETRANSLATE(F531,""en"",""pt"")))-1))"),"Passeios recinto ao ar livre")</f>
        <v>Passeios recinto ao ar livre</v>
      </c>
      <c r="H531" s="24"/>
      <c r="I531" s="79"/>
      <c r="J531" s="79"/>
      <c r="K531" s="24"/>
      <c r="L531" s="24"/>
    </row>
    <row r="532" spans="1:12" ht="14.5">
      <c r="A532" s="20" t="s">
        <v>4765</v>
      </c>
      <c r="B532" s="20">
        <v>40</v>
      </c>
      <c r="C532" s="20">
        <v>5</v>
      </c>
      <c r="D532" s="20">
        <v>63</v>
      </c>
      <c r="E532" s="24"/>
      <c r="F532" s="20" t="s">
        <v>4766</v>
      </c>
      <c r="G532" s="24" t="str">
        <f ca="1">IFERROR(__xludf.DUMMYFUNCTION("UPPER(LEFT((GOOGLETRANSLATE(F532,""en"",""pt"")),1))&amp;RIGHT(lower((GOOGLETRANSLATE(F532,""en"",""pt""))),(LEN((GOOGLETRANSLATE(F532,""en"",""pt"")))-1))"),"Jogando")</f>
        <v>Jogando</v>
      </c>
      <c r="H532" s="20" t="s">
        <v>4767</v>
      </c>
      <c r="I532" s="81" t="s">
        <v>2004</v>
      </c>
      <c r="J532" s="79"/>
      <c r="K532" s="24"/>
      <c r="L532" s="24"/>
    </row>
    <row r="533" spans="1:12" ht="14.5">
      <c r="A533" s="20" t="s">
        <v>4768</v>
      </c>
      <c r="B533" s="20">
        <v>40</v>
      </c>
      <c r="C533" s="20">
        <v>5</v>
      </c>
      <c r="D533" s="20">
        <v>89</v>
      </c>
      <c r="E533" s="24"/>
      <c r="F533" s="20" t="s">
        <v>4769</v>
      </c>
      <c r="G533" s="24" t="str">
        <f ca="1">IFERROR(__xludf.DUMMYFUNCTION("UPPER(LEFT((GOOGLETRANSLATE(F533,""en"",""pt"")),1))&amp;RIGHT(lower((GOOGLETRANSLATE(F533,""en"",""pt""))),(LEN((GOOGLETRANSLATE(F533,""en"",""pt"")))-1))"),"Atividades do parque temático")</f>
        <v>Atividades do parque temático</v>
      </c>
      <c r="H533" s="24" t="s">
        <v>4770</v>
      </c>
      <c r="I533" s="79"/>
      <c r="J533" s="79"/>
      <c r="K533" s="24"/>
      <c r="L533" s="24"/>
    </row>
    <row r="534" spans="1:12" ht="14.5">
      <c r="A534" s="20" t="s">
        <v>4771</v>
      </c>
      <c r="B534" s="20">
        <v>40</v>
      </c>
      <c r="C534" s="20">
        <v>20</v>
      </c>
      <c r="D534" s="24"/>
      <c r="E534" s="24"/>
      <c r="F534" s="20" t="s">
        <v>4772</v>
      </c>
      <c r="G534" s="24" t="str">
        <f ca="1">IFERROR(__xludf.DUMMYFUNCTION("UPPER(LEFT((GOOGLETRANSLATE(F534,""en"",""pt"")),1))&amp;RIGHT(lower((GOOGLETRANSLATE(F534,""en"",""pt""))),(LEN((GOOGLETRANSLATE(F534,""en"",""pt"")))-1))"),"Atividades jantar")</f>
        <v>Atividades jantar</v>
      </c>
      <c r="H534" s="24" t="s">
        <v>4773</v>
      </c>
      <c r="I534" s="79"/>
      <c r="J534" s="79"/>
      <c r="K534" s="24"/>
      <c r="L534" s="24"/>
    </row>
    <row r="535" spans="1:12" ht="14.5">
      <c r="A535" s="20" t="s">
        <v>4774</v>
      </c>
      <c r="B535" s="20">
        <v>40</v>
      </c>
      <c r="C535" s="20">
        <v>20</v>
      </c>
      <c r="D535" s="20">
        <v>9</v>
      </c>
      <c r="E535" s="24"/>
      <c r="F535" s="20" t="s">
        <v>4775</v>
      </c>
      <c r="G535" s="24" t="str">
        <f ca="1">IFERROR(__xludf.DUMMYFUNCTION("UPPER(LEFT((GOOGLETRANSLATE(F535,""en"",""pt"")),1))&amp;RIGHT(lower((GOOGLETRANSLATE(F535,""en"",""pt""))),(LEN((GOOGLETRANSLATE(F535,""en"",""pt"")))-1))"),"Distribuição de bebidas")</f>
        <v>Distribuição de bebidas</v>
      </c>
      <c r="H535" s="24" t="s">
        <v>4776</v>
      </c>
      <c r="I535" s="79"/>
      <c r="J535" s="79"/>
      <c r="K535" s="24"/>
      <c r="L535" s="24"/>
    </row>
    <row r="536" spans="1:12" ht="14.5">
      <c r="A536" s="20" t="s">
        <v>4777</v>
      </c>
      <c r="B536" s="20">
        <v>40</v>
      </c>
      <c r="C536" s="20">
        <v>20</v>
      </c>
      <c r="D536" s="20">
        <v>27</v>
      </c>
      <c r="E536" s="24"/>
      <c r="F536" s="20" t="s">
        <v>4778</v>
      </c>
      <c r="G536" s="24" t="str">
        <f ca="1">IFERROR(__xludf.DUMMYFUNCTION("UPPER(LEFT((GOOGLETRANSLATE(F536,""en"",""pt"")),1))&amp;RIGHT(lower((GOOGLETRANSLATE(F536,""en"",""pt""))),(LEN((GOOGLETRANSLATE(F536,""en"",""pt"")))-1))"),"Jantar fechado")</f>
        <v>Jantar fechado</v>
      </c>
      <c r="H536" s="24" t="s">
        <v>4779</v>
      </c>
      <c r="I536" s="79"/>
      <c r="J536" s="79"/>
      <c r="K536" s="24"/>
      <c r="L536" s="24"/>
    </row>
    <row r="537" spans="1:12" ht="14.5">
      <c r="A537" s="20" t="s">
        <v>4780</v>
      </c>
      <c r="B537" s="20">
        <v>40</v>
      </c>
      <c r="C537" s="20">
        <v>20</v>
      </c>
      <c r="D537" s="20">
        <v>28</v>
      </c>
      <c r="E537" s="24"/>
      <c r="F537" s="20" t="s">
        <v>4781</v>
      </c>
      <c r="G537" s="24" t="str">
        <f ca="1">IFERROR(__xludf.DUMMYFUNCTION("UPPER(LEFT((GOOGLETRANSLATE(F537,""en"",""pt"")),1))&amp;RIGHT(lower((GOOGLETRANSLATE(F537,""en"",""pt""))),(LEN((GOOGLETRANSLATE(F537,""en"",""pt"")))-1))"),"Distribuição de alimentos")</f>
        <v>Distribuição de alimentos</v>
      </c>
      <c r="H537" s="24" t="s">
        <v>4782</v>
      </c>
      <c r="I537" s="79"/>
      <c r="J537" s="79"/>
      <c r="K537" s="24"/>
      <c r="L537" s="24"/>
    </row>
    <row r="538" spans="1:12" ht="14.5">
      <c r="A538" s="20" t="s">
        <v>4783</v>
      </c>
      <c r="B538" s="20">
        <v>40</v>
      </c>
      <c r="C538" s="20">
        <v>20</v>
      </c>
      <c r="D538" s="20">
        <v>59</v>
      </c>
      <c r="E538" s="24"/>
      <c r="F538" s="20" t="s">
        <v>4784</v>
      </c>
      <c r="G538" s="24" t="str">
        <f ca="1">IFERROR(__xludf.DUMMYFUNCTION("UPPER(LEFT((GOOGLETRANSLATE(F538,""en"",""pt"")),1))&amp;RIGHT(lower((GOOGLETRANSLATE(F538,""en"",""pt""))),(LEN((GOOGLETRANSLATE(F538,""en"",""pt"")))-1))"),"Refeições ao ar livre")</f>
        <v>Refeições ao ar livre</v>
      </c>
      <c r="H538" s="24" t="s">
        <v>4785</v>
      </c>
      <c r="I538" s="79"/>
      <c r="J538" s="79"/>
      <c r="K538" s="24"/>
      <c r="L538" s="24"/>
    </row>
    <row r="539" spans="1:12" ht="14.5">
      <c r="A539" s="20" t="s">
        <v>4786</v>
      </c>
      <c r="B539" s="20">
        <v>40</v>
      </c>
      <c r="C539" s="20">
        <v>35</v>
      </c>
      <c r="D539" s="24"/>
      <c r="E539" s="24"/>
      <c r="F539" s="20" t="s">
        <v>4787</v>
      </c>
      <c r="G539" s="24" t="str">
        <f ca="1">IFERROR(__xludf.DUMMYFUNCTION("UPPER(LEFT((GOOGLETRANSLATE(F539,""en"",""pt"")),1))&amp;RIGHT(lower((GOOGLETRANSLATE(F539,""en"",""pt""))),(LEN((GOOGLETRANSLATE(F539,""en"",""pt"")))-1))"),"Atividades recreativas históricos")</f>
        <v>Atividades recreativas históricos</v>
      </c>
      <c r="H539" s="24" t="s">
        <v>4788</v>
      </c>
      <c r="I539" s="79"/>
      <c r="J539" s="79"/>
      <c r="K539" s="24"/>
      <c r="L539" s="24"/>
    </row>
    <row r="540" spans="1:12" ht="14.5">
      <c r="A540" s="20" t="s">
        <v>4789</v>
      </c>
      <c r="B540" s="20">
        <v>40</v>
      </c>
      <c r="C540" s="20">
        <v>35</v>
      </c>
      <c r="D540" s="20">
        <v>37</v>
      </c>
      <c r="E540" s="24"/>
      <c r="F540" s="20" t="s">
        <v>4790</v>
      </c>
      <c r="G540" s="24" t="str">
        <f ca="1">IFERROR(__xludf.DUMMYFUNCTION("UPPER(LEFT((GOOGLETRANSLATE(F540,""en"",""pt"")),1))&amp;RIGHT(lower((GOOGLETRANSLATE(F540,""en"",""pt""))),(LEN((GOOGLETRANSLATE(F540,""en"",""pt"")))-1))"),"Terraplenagem históricos explorando")</f>
        <v>Terraplenagem históricos explorando</v>
      </c>
      <c r="H540" s="24" t="s">
        <v>4791</v>
      </c>
      <c r="I540" s="79"/>
      <c r="J540" s="79"/>
      <c r="K540" s="24"/>
      <c r="L540" s="24"/>
    </row>
    <row r="541" spans="1:12" ht="14.5">
      <c r="A541" s="20" t="s">
        <v>4792</v>
      </c>
      <c r="B541" s="20">
        <v>40</v>
      </c>
      <c r="C541" s="20">
        <v>35</v>
      </c>
      <c r="D541" s="20">
        <v>38</v>
      </c>
      <c r="E541" s="24"/>
      <c r="F541" s="20" t="s">
        <v>4793</v>
      </c>
      <c r="G541" s="24" t="str">
        <f ca="1">IFERROR(__xludf.DUMMYFUNCTION("UPPER(LEFT((GOOGLETRANSLATE(F541,""en"",""pt"")),1))&amp;RIGHT(lower((GOOGLETRANSLATE(F541,""en"",""pt""))),(LEN((GOOGLETRANSLATE(F541,""en"",""pt"")))-1))"),"Ruínas históricas explorando")</f>
        <v>Ruínas históricas explorando</v>
      </c>
      <c r="H541" s="24" t="s">
        <v>4794</v>
      </c>
      <c r="I541" s="79"/>
      <c r="J541" s="79"/>
      <c r="K541" s="24"/>
      <c r="L541" s="24"/>
    </row>
    <row r="542" spans="1:12" ht="14.5">
      <c r="A542" s="20" t="s">
        <v>4795</v>
      </c>
      <c r="B542" s="20">
        <v>40</v>
      </c>
      <c r="C542" s="20">
        <v>35</v>
      </c>
      <c r="D542" s="20">
        <v>39</v>
      </c>
      <c r="E542" s="24"/>
      <c r="F542" s="20" t="s">
        <v>4796</v>
      </c>
      <c r="G542" s="24" t="str">
        <f ca="1">IFERROR(__xludf.DUMMYFUNCTION("UPPER(LEFT((GOOGLETRANSLATE(F542,""en"",""pt"")),1))&amp;RIGHT(lower((GOOGLETRANSLATE(F542,""en"",""pt""))),(LEN((GOOGLETRANSLATE(F542,""en"",""pt"")))-1))"),"Locais históricos explorando")</f>
        <v>Locais históricos explorando</v>
      </c>
      <c r="H542" s="24" t="s">
        <v>4797</v>
      </c>
      <c r="I542" s="79"/>
      <c r="J542" s="79"/>
      <c r="K542" s="24"/>
      <c r="L542" s="24"/>
    </row>
    <row r="543" spans="1:12" ht="14.5">
      <c r="A543" s="20" t="s">
        <v>4798</v>
      </c>
      <c r="B543" s="20">
        <v>40</v>
      </c>
      <c r="C543" s="20">
        <v>60</v>
      </c>
      <c r="D543" s="24"/>
      <c r="E543" s="24"/>
      <c r="F543" s="20" t="s">
        <v>4799</v>
      </c>
      <c r="G543" s="24" t="str">
        <f ca="1">IFERROR(__xludf.DUMMYFUNCTION("UPPER(LEFT((GOOGLETRANSLATE(F543,""en"",""pt"")),1))&amp;RIGHT(lower((GOOGLETRANSLATE(F543,""en"",""pt""))),(LEN((GOOGLETRANSLATE(F543,""en"",""pt"")))-1))"),"Realizar atividades de desempenho de artes")</f>
        <v>Realizar atividades de desempenho de artes</v>
      </c>
      <c r="H543" s="24" t="s">
        <v>4800</v>
      </c>
      <c r="I543" s="79"/>
      <c r="J543" s="79"/>
      <c r="K543" s="24"/>
      <c r="L543" s="24"/>
    </row>
    <row r="544" spans="1:12" ht="14.5">
      <c r="A544" s="20" t="s">
        <v>4801</v>
      </c>
      <c r="B544" s="20">
        <v>40</v>
      </c>
      <c r="C544" s="20">
        <v>60</v>
      </c>
      <c r="D544" s="20">
        <v>13</v>
      </c>
      <c r="E544" s="24"/>
      <c r="F544" s="20" t="s">
        <v>4802</v>
      </c>
      <c r="G544" s="24" t="str">
        <f ca="1">IFERROR(__xludf.DUMMYFUNCTION("UPPER(LEFT((GOOGLETRANSLATE(F544,""en"",""pt"")),1))&amp;RIGHT(lower((GOOGLETRANSLATE(F544,""en"",""pt""))),(LEN((GOOGLETRANSLATE(F544,""en"",""pt"")))-1))"),"Desempenho circus")</f>
        <v>Desempenho circus</v>
      </c>
      <c r="H544" s="24" t="s">
        <v>4803</v>
      </c>
      <c r="I544" s="79"/>
      <c r="J544" s="79"/>
      <c r="K544" s="24"/>
      <c r="L544" s="24"/>
    </row>
    <row r="545" spans="1:12" ht="14.5">
      <c r="A545" s="20" t="s">
        <v>4804</v>
      </c>
      <c r="B545" s="20">
        <v>40</v>
      </c>
      <c r="C545" s="20">
        <v>60</v>
      </c>
      <c r="D545" s="20">
        <v>21</v>
      </c>
      <c r="E545" s="24"/>
      <c r="F545" s="20" t="s">
        <v>4805</v>
      </c>
      <c r="G545" s="24" t="str">
        <f ca="1">IFERROR(__xludf.DUMMYFUNCTION("UPPER(LEFT((GOOGLETRANSLATE(F545,""en"",""pt"")),1))&amp;RIGHT(lower((GOOGLETRANSLATE(F545,""en"",""pt""))),(LEN((GOOGLETRANSLATE(F545,""en"",""pt"")))-1))"),"Dançando")</f>
        <v>Dançando</v>
      </c>
      <c r="H545" s="24" t="s">
        <v>4806</v>
      </c>
      <c r="I545" s="79"/>
      <c r="J545" s="79"/>
      <c r="K545" s="24"/>
      <c r="L545" s="24"/>
    </row>
    <row r="546" spans="1:12" ht="14.5">
      <c r="A546" s="20" t="s">
        <v>4807</v>
      </c>
      <c r="B546" s="20">
        <v>40</v>
      </c>
      <c r="C546" s="20">
        <v>60</v>
      </c>
      <c r="D546" s="20">
        <v>29</v>
      </c>
      <c r="E546" s="24"/>
      <c r="F546" s="20" t="s">
        <v>4808</v>
      </c>
      <c r="G546" s="24" t="str">
        <f ca="1">IFERROR(__xludf.DUMMYFUNCTION("UPPER(LEFT((GOOGLETRANSLATE(F546,""en"",""pt"")),1))&amp;RIGHT(lower((GOOGLETRANSLATE(F546,""en"",""pt""))),(LEN((GOOGLETRANSLATE(F546,""en"",""pt"")))-1))"),"De forma que mostra")</f>
        <v>De forma que mostra</v>
      </c>
      <c r="H546" s="24" t="s">
        <v>4809</v>
      </c>
      <c r="I546" s="79"/>
      <c r="J546" s="79"/>
      <c r="K546" s="24"/>
      <c r="L546" s="24"/>
    </row>
    <row r="547" spans="1:12" ht="14.5">
      <c r="A547" s="20" t="s">
        <v>4810</v>
      </c>
      <c r="B547" s="20">
        <v>40</v>
      </c>
      <c r="C547" s="20">
        <v>60</v>
      </c>
      <c r="D547" s="20">
        <v>30</v>
      </c>
      <c r="E547" s="24"/>
      <c r="F547" s="20" t="s">
        <v>4811</v>
      </c>
      <c r="G547" s="24" t="str">
        <f ca="1">IFERROR(__xludf.DUMMYFUNCTION("UPPER(LEFT((GOOGLETRANSLATE(F547,""en"",""pt"")),1))&amp;RIGHT(lower((GOOGLETRANSLATE(F547,""en"",""pt""))),(LEN((GOOGLETRANSLATE(F547,""en"",""pt"")))-1))"),"Filmando")</f>
        <v>Filmando</v>
      </c>
      <c r="H547" s="24" t="s">
        <v>4812</v>
      </c>
      <c r="I547" s="79"/>
      <c r="J547" s="79"/>
      <c r="K547" s="24"/>
      <c r="L547" s="24"/>
    </row>
    <row r="548" spans="1:12" ht="14.5">
      <c r="A548" s="20" t="s">
        <v>4813</v>
      </c>
      <c r="B548" s="20">
        <v>40</v>
      </c>
      <c r="C548" s="20">
        <v>60</v>
      </c>
      <c r="D548" s="20">
        <v>31</v>
      </c>
      <c r="E548" s="24"/>
      <c r="F548" s="20" t="s">
        <v>4814</v>
      </c>
      <c r="G548" s="24" t="str">
        <f ca="1">IFERROR(__xludf.DUMMYFUNCTION("UPPER(LEFT((GOOGLETRANSLATE(F548,""en"",""pt"")),1))&amp;RIGHT(lower((GOOGLETRANSLATE(F548,""en"",""pt""))),(LEN((GOOGLETRANSLATE(F548,""en"",""pt"")))-1))"),"Apresentação de filme")</f>
        <v>Apresentação de filme</v>
      </c>
      <c r="H548" s="24" t="s">
        <v>4815</v>
      </c>
      <c r="I548" s="79"/>
      <c r="J548" s="79"/>
      <c r="K548" s="24"/>
      <c r="L548" s="24"/>
    </row>
    <row r="549" spans="1:12" ht="14.5">
      <c r="A549" s="20" t="s">
        <v>4816</v>
      </c>
      <c r="B549" s="20">
        <v>40</v>
      </c>
      <c r="C549" s="20">
        <v>60</v>
      </c>
      <c r="D549" s="20">
        <v>38</v>
      </c>
      <c r="E549" s="24"/>
      <c r="F549" s="20" t="s">
        <v>4817</v>
      </c>
      <c r="G549" s="24" t="str">
        <f ca="1">IFERROR(__xludf.DUMMYFUNCTION("UPPER(LEFT((GOOGLETRANSLATE(F549,""en"",""pt"")),1))&amp;RIGHT(lower((GOOGLETRANSLATE(F549,""en"",""pt""))),(LEN((GOOGLETRANSLATE(F549,""en"",""pt"")))-1))"),"Executar a música indoor")</f>
        <v>Executar a música indoor</v>
      </c>
      <c r="H549" s="24" t="s">
        <v>4818</v>
      </c>
      <c r="I549" s="79"/>
      <c r="J549" s="79"/>
      <c r="K549" s="24"/>
      <c r="L549" s="24"/>
    </row>
    <row r="550" spans="1:12" ht="14.5">
      <c r="A550" s="20" t="s">
        <v>4819</v>
      </c>
      <c r="B550" s="20">
        <v>40</v>
      </c>
      <c r="C550" s="20">
        <v>60</v>
      </c>
      <c r="D550" s="20">
        <v>40</v>
      </c>
      <c r="E550" s="24"/>
      <c r="F550" s="20" t="s">
        <v>4820</v>
      </c>
      <c r="G550" s="24" t="str">
        <f ca="1">IFERROR(__xludf.DUMMYFUNCTION("UPPER(LEFT((GOOGLETRANSLATE(F550,""en"",""pt"")),1))&amp;RIGHT(lower((GOOGLETRANSLATE(F550,""en"",""pt""))),(LEN((GOOGLETRANSLATE(F550,""en"",""pt"")))-1))"),"Atividades de teatro interior")</f>
        <v>Atividades de teatro interior</v>
      </c>
      <c r="H550" s="24" t="s">
        <v>4821</v>
      </c>
      <c r="I550" s="79"/>
      <c r="J550" s="79"/>
      <c r="K550" s="24"/>
      <c r="L550" s="24"/>
    </row>
    <row r="551" spans="1:12" ht="14.5">
      <c r="A551" s="20" t="s">
        <v>4822</v>
      </c>
      <c r="B551" s="20">
        <v>40</v>
      </c>
      <c r="C551" s="20">
        <v>60</v>
      </c>
      <c r="D551" s="20">
        <v>55</v>
      </c>
      <c r="E551" s="24"/>
      <c r="F551" s="20" t="s">
        <v>4823</v>
      </c>
      <c r="G551" s="24" t="str">
        <f ca="1">IFERROR(__xludf.DUMMYFUNCTION("UPPER(LEFT((GOOGLETRANSLATE(F551,""en"",""pt"")),1))&amp;RIGHT(lower((GOOGLETRANSLATE(F551,""en"",""pt""))),(LEN((GOOGLETRANSLATE(F551,""en"",""pt"")))-1))"),"Gravação de música")</f>
        <v>Gravação de música</v>
      </c>
      <c r="H551" s="24" t="s">
        <v>4824</v>
      </c>
      <c r="I551" s="79"/>
      <c r="J551" s="79"/>
      <c r="K551" s="24"/>
      <c r="L551" s="24"/>
    </row>
    <row r="552" spans="1:12" ht="14.5">
      <c r="A552" s="20" t="s">
        <v>4825</v>
      </c>
      <c r="B552" s="20">
        <v>40</v>
      </c>
      <c r="C552" s="20">
        <v>60</v>
      </c>
      <c r="D552" s="20">
        <v>58</v>
      </c>
      <c r="E552" s="24"/>
      <c r="F552" s="20" t="s">
        <v>4826</v>
      </c>
      <c r="G552" s="24" t="str">
        <f ca="1">IFERROR(__xludf.DUMMYFUNCTION("UPPER(LEFT((GOOGLETRANSLATE(F552,""en"",""pt"")),1))&amp;RIGHT(lower((GOOGLETRANSLATE(F552,""en"",""pt""))),(LEN((GOOGLETRANSLATE(F552,""en"",""pt"")))-1))"),"Executar a música ao ar livre")</f>
        <v>Executar a música ao ar livre</v>
      </c>
      <c r="H552" s="24" t="s">
        <v>4827</v>
      </c>
      <c r="I552" s="79"/>
      <c r="J552" s="79"/>
      <c r="K552" s="24"/>
      <c r="L552" s="24"/>
    </row>
    <row r="553" spans="1:12" ht="14.5">
      <c r="A553" s="20" t="s">
        <v>4828</v>
      </c>
      <c r="B553" s="20">
        <v>40</v>
      </c>
      <c r="C553" s="20">
        <v>60</v>
      </c>
      <c r="D553" s="20">
        <v>59</v>
      </c>
      <c r="E553" s="24"/>
      <c r="F553" s="20" t="s">
        <v>4829</v>
      </c>
      <c r="G553" s="24" t="str">
        <f ca="1">IFERROR(__xludf.DUMMYFUNCTION("UPPER(LEFT((GOOGLETRANSLATE(F553,""en"",""pt"")),1))&amp;RIGHT(lower((GOOGLETRANSLATE(F553,""en"",""pt""))),(LEN((GOOGLETRANSLATE(F553,""en"",""pt"")))-1))"),"Atividades de teatro ao ar livre")</f>
        <v>Atividades de teatro ao ar livre</v>
      </c>
      <c r="H553" s="24" t="s">
        <v>4830</v>
      </c>
      <c r="I553" s="79"/>
      <c r="J553" s="79"/>
      <c r="K553" s="24"/>
      <c r="L553" s="24"/>
    </row>
    <row r="554" spans="1:12" ht="14.5">
      <c r="A554" s="20" t="s">
        <v>4831</v>
      </c>
      <c r="B554" s="20">
        <v>40</v>
      </c>
      <c r="C554" s="20">
        <v>65</v>
      </c>
      <c r="D554" s="24"/>
      <c r="E554" s="24"/>
      <c r="F554" s="20" t="s">
        <v>4832</v>
      </c>
      <c r="G554" s="24" t="str">
        <f ca="1">IFERROR(__xludf.DUMMYFUNCTION("UPPER(LEFT((GOOGLETRANSLATE(F554,""en"",""pt"")),1))&amp;RIGHT(lower((GOOGLETRANSLATE(F554,""en"",""pt""))),(LEN((GOOGLETRANSLATE(F554,""en"",""pt"")))-1))"),"Artes actividades auxiliares")</f>
        <v>Artes actividades auxiliares</v>
      </c>
      <c r="H554" s="24" t="s">
        <v>4833</v>
      </c>
      <c r="I554" s="79"/>
      <c r="J554" s="79"/>
      <c r="K554" s="24"/>
      <c r="L554" s="24"/>
    </row>
    <row r="555" spans="1:12" ht="14.5">
      <c r="A555" s="20" t="s">
        <v>4834</v>
      </c>
      <c r="B555" s="20">
        <v>40</v>
      </c>
      <c r="C555" s="20">
        <v>65</v>
      </c>
      <c r="D555" s="20">
        <v>2</v>
      </c>
      <c r="E555" s="24"/>
      <c r="F555" s="20" t="s">
        <v>4835</v>
      </c>
      <c r="G555" s="24" t="str">
        <f ca="1">IFERROR(__xludf.DUMMYFUNCTION("UPPER(LEFT((GOOGLETRANSLATE(F555,""en"",""pt"")),1))&amp;RIGHT(lower((GOOGLETRANSLATE(F555,""en"",""pt""))),(LEN((GOOGLETRANSLATE(F555,""en"",""pt"")))-1))"),"Estar amphitheater")</f>
        <v>Estar amphitheater</v>
      </c>
      <c r="H555" s="24" t="s">
        <v>4836</v>
      </c>
      <c r="I555" s="79"/>
      <c r="J555" s="79"/>
      <c r="K555" s="24"/>
      <c r="L555" s="24"/>
    </row>
    <row r="556" spans="1:12" ht="14.5">
      <c r="A556" s="20" t="s">
        <v>4837</v>
      </c>
      <c r="B556" s="20">
        <v>40</v>
      </c>
      <c r="C556" s="20">
        <v>65</v>
      </c>
      <c r="D556" s="20">
        <v>3</v>
      </c>
      <c r="E556" s="24"/>
      <c r="F556" s="20" t="s">
        <v>4838</v>
      </c>
      <c r="G556" s="24" t="str">
        <f ca="1">IFERROR(__xludf.DUMMYFUNCTION("UPPER(LEFT((GOOGLETRANSLATE(F556,""en"",""pt"")),1))&amp;RIGHT(lower((GOOGLETRANSLATE(F556,""en"",""pt""))),(LEN((GOOGLETRANSLATE(F556,""en"",""pt"")))-1))"),"Artiste mudando e atividades make-up")</f>
        <v>Artiste mudando e atividades make-up</v>
      </c>
      <c r="H556" s="24" t="s">
        <v>4839</v>
      </c>
      <c r="I556" s="79"/>
      <c r="J556" s="79"/>
      <c r="K556" s="24"/>
      <c r="L556" s="24"/>
    </row>
    <row r="557" spans="1:12" ht="14.5">
      <c r="A557" s="20" t="s">
        <v>4840</v>
      </c>
      <c r="B557" s="20">
        <v>40</v>
      </c>
      <c r="C557" s="20">
        <v>65</v>
      </c>
      <c r="D557" s="20">
        <v>4</v>
      </c>
      <c r="E557" s="24"/>
      <c r="F557" s="20" t="s">
        <v>4841</v>
      </c>
      <c r="G557" s="24" t="str">
        <f ca="1">IFERROR(__xludf.DUMMYFUNCTION("UPPER(LEFT((GOOGLETRANSLATE(F557,""en"",""pt"")),1))&amp;RIGHT(lower((GOOGLETRANSLATE(F557,""en"",""pt""))),(LEN((GOOGLETRANSLATE(F557,""en"",""pt"")))-1))"),"Audiência sair")</f>
        <v>Audiência sair</v>
      </c>
      <c r="H557" s="24" t="s">
        <v>4842</v>
      </c>
      <c r="I557" s="79"/>
      <c r="J557" s="79"/>
      <c r="K557" s="24"/>
      <c r="L557" s="24"/>
    </row>
    <row r="558" spans="1:12" ht="14.5">
      <c r="A558" s="20" t="s">
        <v>4843</v>
      </c>
      <c r="B558" s="20">
        <v>40</v>
      </c>
      <c r="C558" s="20">
        <v>65</v>
      </c>
      <c r="D558" s="20">
        <v>5</v>
      </c>
      <c r="E558" s="24"/>
      <c r="F558" s="20" t="s">
        <v>4844</v>
      </c>
      <c r="G558" s="24" t="str">
        <f ca="1">IFERROR(__xludf.DUMMYFUNCTION("UPPER(LEFT((GOOGLETRANSLATE(F558,""en"",""pt"")),1))&amp;RIGHT(lower((GOOGLETRANSLATE(F558,""en"",""pt""))),(LEN((GOOGLETRANSLATE(F558,""en"",""pt"")))-1))"),"Audiência assentos")</f>
        <v>Audiência assentos</v>
      </c>
      <c r="H558" s="24" t="s">
        <v>4845</v>
      </c>
      <c r="I558" s="79"/>
      <c r="J558" s="79"/>
      <c r="K558" s="24"/>
      <c r="L558" s="24"/>
    </row>
    <row r="559" spans="1:12" ht="14.5">
      <c r="A559" s="20" t="s">
        <v>4846</v>
      </c>
      <c r="B559" s="20">
        <v>40</v>
      </c>
      <c r="C559" s="20">
        <v>65</v>
      </c>
      <c r="D559" s="20">
        <v>6</v>
      </c>
      <c r="E559" s="24"/>
      <c r="F559" s="20" t="s">
        <v>4847</v>
      </c>
      <c r="G559" s="24" t="str">
        <f ca="1">IFERROR(__xludf.DUMMYFUNCTION("UPPER(LEFT((GOOGLETRANSLATE(F559,""en"",""pt"")),1))&amp;RIGHT(lower((GOOGLETRANSLATE(F559,""en"",""pt""))),(LEN((GOOGLETRANSLATE(F559,""en"",""pt"")))-1))"),"Atividades de bastidores")</f>
        <v>Atividades de bastidores</v>
      </c>
      <c r="H559" s="24" t="s">
        <v>4848</v>
      </c>
      <c r="I559" s="79"/>
      <c r="J559" s="79"/>
      <c r="K559" s="24"/>
      <c r="L559" s="24"/>
    </row>
    <row r="560" spans="1:12" ht="14.5">
      <c r="A560" s="20" t="s">
        <v>4849</v>
      </c>
      <c r="B560" s="20">
        <v>40</v>
      </c>
      <c r="C560" s="20">
        <v>65</v>
      </c>
      <c r="D560" s="20">
        <v>55</v>
      </c>
      <c r="E560" s="24"/>
      <c r="F560" s="20" t="s">
        <v>4850</v>
      </c>
      <c r="G560" s="24" t="str">
        <f ca="1">IFERROR(__xludf.DUMMYFUNCTION("UPPER(LEFT((GOOGLETRANSLATE(F560,""en"",""pt"")),1))&amp;RIGHT(lower((GOOGLETRANSLATE(F560,""en"",""pt""))),(LEN((GOOGLETRANSLATE(F560,""en"",""pt"")))-1))"),"Controle de gravação de música")</f>
        <v>Controle de gravação de música</v>
      </c>
      <c r="H560" s="24" t="s">
        <v>4851</v>
      </c>
      <c r="I560" s="79"/>
      <c r="J560" s="79"/>
      <c r="K560" s="24"/>
      <c r="L560" s="24"/>
    </row>
    <row r="561" spans="1:12" ht="14.5">
      <c r="A561" s="20" t="s">
        <v>4852</v>
      </c>
      <c r="B561" s="20">
        <v>40</v>
      </c>
      <c r="C561" s="20">
        <v>65</v>
      </c>
      <c r="D561" s="20">
        <v>59</v>
      </c>
      <c r="E561" s="24"/>
      <c r="F561" s="20" t="s">
        <v>4853</v>
      </c>
      <c r="G561" s="24" t="str">
        <f ca="1">IFERROR(__xludf.DUMMYFUNCTION("UPPER(LEFT((GOOGLETRANSLATE(F561,""en"",""pt"")),1))&amp;RIGHT(lower((GOOGLETRANSLATE(F561,""en"",""pt""))),(LEN((GOOGLETRANSLATE(F561,""en"",""pt"")))-1))"),"Armazenamento cenário overhead")</f>
        <v>Armazenamento cenário overhead</v>
      </c>
      <c r="H561" s="24" t="s">
        <v>4854</v>
      </c>
      <c r="I561" s="79"/>
      <c r="J561" s="79"/>
      <c r="K561" s="24"/>
      <c r="L561" s="24"/>
    </row>
    <row r="562" spans="1:12" ht="14.5">
      <c r="A562" s="20" t="s">
        <v>4855</v>
      </c>
      <c r="B562" s="20">
        <v>40</v>
      </c>
      <c r="C562" s="20">
        <v>65</v>
      </c>
      <c r="D562" s="20">
        <v>76</v>
      </c>
      <c r="E562" s="24"/>
      <c r="F562" s="20" t="s">
        <v>4856</v>
      </c>
      <c r="G562" s="24" t="str">
        <f ca="1">IFERROR(__xludf.DUMMYFUNCTION("UPPER(LEFT((GOOGLETRANSLATE(F562,""en"",""pt"")),1))&amp;RIGHT(lower((GOOGLETRANSLATE(F562,""en"",""pt""))),(LEN((GOOGLETRANSLATE(F562,""en"",""pt"")))-1))"),"Controladora cenário")</f>
        <v>Controladora cenário</v>
      </c>
      <c r="H562" s="24" t="s">
        <v>4857</v>
      </c>
      <c r="I562" s="79"/>
      <c r="J562" s="79"/>
      <c r="K562" s="24"/>
      <c r="L562" s="24"/>
    </row>
    <row r="563" spans="1:12" ht="14.5">
      <c r="A563" s="20" t="s">
        <v>4858</v>
      </c>
      <c r="B563" s="20">
        <v>40</v>
      </c>
      <c r="C563" s="20">
        <v>65</v>
      </c>
      <c r="D563" s="20">
        <v>79</v>
      </c>
      <c r="E563" s="24"/>
      <c r="F563" s="20" t="s">
        <v>4859</v>
      </c>
      <c r="G563" s="24" t="str">
        <f ca="1">IFERROR(__xludf.DUMMYFUNCTION("UPPER(LEFT((GOOGLETRANSLATE(F563,""en"",""pt"")),1))&amp;RIGHT(lower((GOOGLETRANSLATE(F563,""en"",""pt""))),(LEN((GOOGLETRANSLATE(F563,""en"",""pt"")))-1))"),"Controle de som")</f>
        <v>Controle de som</v>
      </c>
      <c r="H563" s="24" t="s">
        <v>4860</v>
      </c>
      <c r="I563" s="79"/>
      <c r="J563" s="79"/>
      <c r="K563" s="24"/>
      <c r="L563" s="24"/>
    </row>
    <row r="564" spans="1:12" ht="14.5">
      <c r="A564" s="20" t="s">
        <v>4861</v>
      </c>
      <c r="B564" s="20">
        <v>40</v>
      </c>
      <c r="C564" s="20">
        <v>65</v>
      </c>
      <c r="D564" s="20">
        <v>80</v>
      </c>
      <c r="E564" s="24"/>
      <c r="F564" s="20" t="s">
        <v>4862</v>
      </c>
      <c r="G564" s="24" t="str">
        <f ca="1">IFERROR(__xludf.DUMMYFUNCTION("UPPER(LEFT((GOOGLETRANSLATE(F564,""en"",""pt"")),1))&amp;RIGHT(lower((GOOGLETRANSLATE(F564,""en"",""pt""))),(LEN((GOOGLETRANSLATE(F564,""en"",""pt"")))-1))"),"Som excluindo")</f>
        <v>Som excluindo</v>
      </c>
      <c r="H564" s="24" t="s">
        <v>4863</v>
      </c>
      <c r="I564" s="79"/>
      <c r="J564" s="79"/>
      <c r="K564" s="24"/>
      <c r="L564" s="24"/>
    </row>
    <row r="565" spans="1:12" ht="14.5">
      <c r="A565" s="20" t="s">
        <v>4864</v>
      </c>
      <c r="B565" s="20">
        <v>40</v>
      </c>
      <c r="C565" s="20">
        <v>65</v>
      </c>
      <c r="D565" s="20">
        <v>88</v>
      </c>
      <c r="E565" s="24"/>
      <c r="F565" s="20" t="s">
        <v>4865</v>
      </c>
      <c r="G565" s="24" t="str">
        <f ca="1">IFERROR(__xludf.DUMMYFUNCTION("UPPER(LEFT((GOOGLETRANSLATE(F565,""en"",""pt"")),1))&amp;RIGHT(lower((GOOGLETRANSLATE(F565,""en"",""pt""))),(LEN((GOOGLETRANSLATE(F565,""en"",""pt"")))-1))"),"Controle de iluminação teatral")</f>
        <v>Controle de iluminação teatral</v>
      </c>
      <c r="H565" s="24" t="s">
        <v>4866</v>
      </c>
      <c r="I565" s="79"/>
      <c r="J565" s="79"/>
      <c r="K565" s="24"/>
      <c r="L565" s="24"/>
    </row>
    <row r="566" spans="1:12" ht="14.5">
      <c r="A566" s="20" t="s">
        <v>4867</v>
      </c>
      <c r="B566" s="20">
        <v>40</v>
      </c>
      <c r="C566" s="20">
        <v>65</v>
      </c>
      <c r="D566" s="20">
        <v>89</v>
      </c>
      <c r="E566" s="24"/>
      <c r="F566" s="20" t="s">
        <v>4868</v>
      </c>
      <c r="G566" s="24" t="str">
        <f ca="1">IFERROR(__xludf.DUMMYFUNCTION("UPPER(LEFT((GOOGLETRANSLATE(F566,""en"",""pt"")),1))&amp;RIGHT(lower((GOOGLETRANSLATE(F566,""en"",""pt""))),(LEN((GOOGLETRANSLATE(F566,""en"",""pt"")))-1))"),"Ensaiando teatral")</f>
        <v>Ensaiando teatral</v>
      </c>
      <c r="H566" s="24" t="s">
        <v>4869</v>
      </c>
      <c r="I566" s="79"/>
      <c r="J566" s="79"/>
      <c r="K566" s="24"/>
      <c r="L566" s="24"/>
    </row>
    <row r="567" spans="1:12" ht="14.5">
      <c r="A567" s="20" t="s">
        <v>4870</v>
      </c>
      <c r="B567" s="20">
        <v>42</v>
      </c>
      <c r="C567" s="24"/>
      <c r="D567" s="24"/>
      <c r="E567" s="24"/>
      <c r="F567" s="20" t="s">
        <v>4871</v>
      </c>
      <c r="G567" s="24" t="str">
        <f ca="1">IFERROR(__xludf.DUMMYFUNCTION("UPPER(LEFT((GOOGLETRANSLATE(F567,""en"",""pt"")),1))&amp;RIGHT(lower((GOOGLETRANSLATE(F567,""en"",""pt""))),(LEN((GOOGLETRANSLATE(F567,""en"",""pt"")))-1))"),"Atividades esportivas")</f>
        <v>Atividades esportivas</v>
      </c>
      <c r="H567" s="24" t="s">
        <v>4872</v>
      </c>
      <c r="I567" s="79"/>
      <c r="J567" s="79"/>
      <c r="K567" s="24"/>
      <c r="L567" s="24"/>
    </row>
    <row r="568" spans="1:12" ht="14.5">
      <c r="A568" s="20" t="s">
        <v>4873</v>
      </c>
      <c r="B568" s="20">
        <v>42</v>
      </c>
      <c r="C568" s="20">
        <v>15</v>
      </c>
      <c r="D568" s="24"/>
      <c r="E568" s="24"/>
      <c r="F568" s="20" t="s">
        <v>4874</v>
      </c>
      <c r="G568" s="24" t="str">
        <f ca="1">IFERROR(__xludf.DUMMYFUNCTION("UPPER(LEFT((GOOGLETRANSLATE(F568,""en"",""pt"")),1))&amp;RIGHT(lower((GOOGLETRANSLATE(F568,""en"",""pt""))),(LEN((GOOGLETRANSLATE(F568,""en"",""pt"")))-1))"),"Actividades desportivas tribunal, pitch e de campo")</f>
        <v>Actividades desportivas tribunal, pitch e de campo</v>
      </c>
      <c r="H568" s="24" t="s">
        <v>4875</v>
      </c>
      <c r="I568" s="79"/>
      <c r="J568" s="79"/>
      <c r="K568" s="24"/>
      <c r="L568" s="24"/>
    </row>
    <row r="569" spans="1:12" ht="14.5">
      <c r="A569" s="20" t="s">
        <v>4876</v>
      </c>
      <c r="B569" s="20">
        <v>42</v>
      </c>
      <c r="C569" s="20">
        <v>15</v>
      </c>
      <c r="D569" s="20">
        <v>30</v>
      </c>
      <c r="E569" s="24"/>
      <c r="F569" s="20" t="s">
        <v>4877</v>
      </c>
      <c r="G569" s="24" t="str">
        <f ca="1">IFERROR(__xludf.DUMMYFUNCTION("UPPER(LEFT((GOOGLETRANSLATE(F569,""en"",""pt"")),1))&amp;RIGHT(lower((GOOGLETRANSLATE(F569,""en"",""pt""))),(LEN((GOOGLETRANSLATE(F569,""en"",""pt"")))-1))"),"Atletismo")</f>
        <v>Atletismo</v>
      </c>
      <c r="H569" s="24" t="s">
        <v>4878</v>
      </c>
      <c r="I569" s="79"/>
      <c r="J569" s="79"/>
      <c r="K569" s="24"/>
      <c r="L569" s="24"/>
    </row>
    <row r="570" spans="1:12" ht="14.5">
      <c r="A570" s="20" t="s">
        <v>4879</v>
      </c>
      <c r="B570" s="20">
        <v>42</v>
      </c>
      <c r="C570" s="20">
        <v>15</v>
      </c>
      <c r="D570" s="20">
        <v>42</v>
      </c>
      <c r="E570" s="24"/>
      <c r="F570" s="20" t="s">
        <v>4880</v>
      </c>
      <c r="G570" s="24" t="str">
        <f ca="1">IFERROR(__xludf.DUMMYFUNCTION("UPPER(LEFT((GOOGLETRANSLATE(F570,""en"",""pt"")),1))&amp;RIGHT(lower((GOOGLETRANSLATE(F570,""en"",""pt""))),(LEN((GOOGLETRANSLATE(F570,""en"",""pt"")))-1))"),"Esportes de quadra coberta")</f>
        <v>Esportes de quadra coberta</v>
      </c>
      <c r="H570" s="24" t="s">
        <v>4881</v>
      </c>
      <c r="I570" s="79"/>
      <c r="J570" s="79"/>
      <c r="K570" s="24"/>
      <c r="L570" s="24"/>
    </row>
    <row r="571" spans="1:12" ht="14.5">
      <c r="A571" s="20" t="s">
        <v>4882</v>
      </c>
      <c r="B571" s="20">
        <v>42</v>
      </c>
      <c r="C571" s="20">
        <v>15</v>
      </c>
      <c r="D571" s="20">
        <v>58</v>
      </c>
      <c r="E571" s="24"/>
      <c r="F571" s="20" t="s">
        <v>4883</v>
      </c>
      <c r="G571" s="24" t="str">
        <f ca="1">IFERROR(__xludf.DUMMYFUNCTION("UPPER(LEFT((GOOGLETRANSLATE(F571,""en"",""pt"")),1))&amp;RIGHT(lower((GOOGLETRANSLATE(F571,""en"",""pt""))),(LEN((GOOGLETRANSLATE(F571,""en"",""pt"")))-1))"),"Esportes de quadra ao ar livre")</f>
        <v>Esportes de quadra ao ar livre</v>
      </c>
      <c r="H571" s="24" t="s">
        <v>4884</v>
      </c>
      <c r="I571" s="79"/>
      <c r="J571" s="79"/>
      <c r="K571" s="24"/>
      <c r="L571" s="24"/>
    </row>
    <row r="572" spans="1:12" ht="14.5">
      <c r="A572" s="20" t="s">
        <v>4885</v>
      </c>
      <c r="B572" s="20">
        <v>42</v>
      </c>
      <c r="C572" s="20">
        <v>15</v>
      </c>
      <c r="D572" s="20">
        <v>59</v>
      </c>
      <c r="E572" s="24"/>
      <c r="F572" s="20" t="s">
        <v>4886</v>
      </c>
      <c r="G572" s="24" t="str">
        <f ca="1">IFERROR(__xludf.DUMMYFUNCTION("UPPER(LEFT((GOOGLETRANSLATE(F572,""en"",""pt"")),1))&amp;RIGHT(lower((GOOGLETRANSLATE(F572,""en"",""pt""))),(LEN((GOOGLETRANSLATE(F572,""en"",""pt"")))-1))"),"Campo desportivo ao ar livre")</f>
        <v>Campo desportivo ao ar livre</v>
      </c>
      <c r="H572" s="24" t="s">
        <v>4887</v>
      </c>
      <c r="I572" s="79"/>
      <c r="J572" s="79"/>
      <c r="K572" s="24"/>
      <c r="L572" s="24"/>
    </row>
    <row r="573" spans="1:12" ht="14.5">
      <c r="A573" s="20" t="s">
        <v>4888</v>
      </c>
      <c r="B573" s="20">
        <v>42</v>
      </c>
      <c r="C573" s="20">
        <v>15</v>
      </c>
      <c r="D573" s="20">
        <v>90</v>
      </c>
      <c r="E573" s="24"/>
      <c r="F573" s="20" t="s">
        <v>4889</v>
      </c>
      <c r="G573" s="24" t="str">
        <f ca="1">IFERROR(__xludf.DUMMYFUNCTION("UPPER(LEFT((GOOGLETRANSLATE(F573,""en"",""pt"")),1))&amp;RIGHT(lower((GOOGLETRANSLATE(F573,""en"",""pt""))),(LEN((GOOGLETRANSLATE(F573,""en"",""pt"")))-1))"),"Pista de atletismo")</f>
        <v>Pista de atletismo</v>
      </c>
      <c r="H573" s="24" t="s">
        <v>4890</v>
      </c>
      <c r="I573" s="79"/>
      <c r="J573" s="79"/>
      <c r="K573" s="24"/>
      <c r="L573" s="24"/>
    </row>
    <row r="574" spans="1:12" ht="14.5">
      <c r="A574" s="20" t="s">
        <v>4891</v>
      </c>
      <c r="B574" s="20">
        <v>42</v>
      </c>
      <c r="C574" s="20">
        <v>40</v>
      </c>
      <c r="D574" s="24"/>
      <c r="E574" s="24"/>
      <c r="F574" s="20" t="s">
        <v>4892</v>
      </c>
      <c r="G574" s="24" t="str">
        <f ca="1">IFERROR(__xludf.DUMMYFUNCTION("UPPER(LEFT((GOOGLETRANSLATE(F574,""en"",""pt"")),1))&amp;RIGHT(lower((GOOGLETRANSLATE(F574,""en"",""pt""))),(LEN((GOOGLETRANSLATE(F574,""en"",""pt"")))-1))"),"Atividades esportivas internas")</f>
        <v>Atividades esportivas internas</v>
      </c>
      <c r="H574" s="24" t="s">
        <v>4893</v>
      </c>
      <c r="I574" s="79"/>
      <c r="J574" s="79"/>
      <c r="K574" s="24"/>
      <c r="L574" s="24"/>
    </row>
    <row r="575" spans="1:12" ht="14.5">
      <c r="A575" s="20" t="s">
        <v>4894</v>
      </c>
      <c r="B575" s="20">
        <v>42</v>
      </c>
      <c r="C575" s="20">
        <v>40</v>
      </c>
      <c r="D575" s="20">
        <v>9</v>
      </c>
      <c r="E575" s="24"/>
      <c r="F575" s="20" t="s">
        <v>4895</v>
      </c>
      <c r="G575" s="24" t="str">
        <f ca="1">IFERROR(__xludf.DUMMYFUNCTION("UPPER(LEFT((GOOGLETRANSLATE(F575,""en"",""pt"")),1))&amp;RIGHT(lower((GOOGLETRANSLATE(F575,""en"",""pt""))),(LEN((GOOGLETRANSLATE(F575,""en"",""pt"")))-1))"),"Bouldering")</f>
        <v>Bouldering</v>
      </c>
      <c r="H575" s="24" t="s">
        <v>4895</v>
      </c>
      <c r="I575" s="79"/>
      <c r="J575" s="79"/>
      <c r="K575" s="24"/>
      <c r="L575" s="24"/>
    </row>
    <row r="576" spans="1:12" ht="14.5">
      <c r="A576" s="20" t="s">
        <v>4896</v>
      </c>
      <c r="B576" s="20">
        <v>42</v>
      </c>
      <c r="C576" s="20">
        <v>40</v>
      </c>
      <c r="D576" s="20">
        <v>14</v>
      </c>
      <c r="E576" s="24"/>
      <c r="F576" s="20" t="s">
        <v>4897</v>
      </c>
      <c r="G576" s="24" t="str">
        <f ca="1">IFERROR(__xludf.DUMMYFUNCTION("UPPER(LEFT((GOOGLETRANSLATE(F576,""en"",""pt"")),1))&amp;RIGHT(lower((GOOGLETRANSLATE(F576,""en"",""pt""))),(LEN((GOOGLETRANSLATE(F576,""en"",""pt"")))-1))"),"Escalada actividades de parede")</f>
        <v>Escalada actividades de parede</v>
      </c>
      <c r="H576" s="24" t="s">
        <v>4898</v>
      </c>
      <c r="I576" s="79"/>
      <c r="J576" s="79"/>
      <c r="K576" s="24"/>
      <c r="L576" s="24"/>
    </row>
    <row r="577" spans="1:12" ht="14.5">
      <c r="A577" s="20" t="s">
        <v>4899</v>
      </c>
      <c r="B577" s="20">
        <v>42</v>
      </c>
      <c r="C577" s="20">
        <v>40</v>
      </c>
      <c r="D577" s="20">
        <v>28</v>
      </c>
      <c r="E577" s="24"/>
      <c r="F577" s="20" t="s">
        <v>4900</v>
      </c>
      <c r="G577" s="24" t="str">
        <f ca="1">IFERROR(__xludf.DUMMYFUNCTION("UPPER(LEFT((GOOGLETRANSLATE(F577,""en"",""pt"")),1))&amp;RIGHT(lower((GOOGLETRANSLATE(F577,""en"",""pt""))),(LEN((GOOGLETRANSLATE(F577,""en"",""pt"")))-1))"),"Exercício")</f>
        <v>Exercício</v>
      </c>
      <c r="H577" s="24" t="s">
        <v>4901</v>
      </c>
      <c r="I577" s="79"/>
      <c r="J577" s="79"/>
      <c r="K577" s="24"/>
      <c r="L577" s="24"/>
    </row>
    <row r="578" spans="1:12" ht="14.5">
      <c r="A578" s="20" t="s">
        <v>4902</v>
      </c>
      <c r="B578" s="20">
        <v>42</v>
      </c>
      <c r="C578" s="20">
        <v>40</v>
      </c>
      <c r="D578" s="20">
        <v>37</v>
      </c>
      <c r="E578" s="24"/>
      <c r="F578" s="20" t="s">
        <v>4903</v>
      </c>
      <c r="G578" s="24" t="str">
        <f ca="1">IFERROR(__xludf.DUMMYFUNCTION("UPPER(LEFT((GOOGLETRANSLATE(F578,""en"",""pt"")),1))&amp;RIGHT(lower((GOOGLETRANSLATE(F578,""en"",""pt""))),(LEN((GOOGLETRANSLATE(F578,""en"",""pt"")))-1))"),"Ginástica")</f>
        <v>Ginástica</v>
      </c>
      <c r="H578" s="24" t="s">
        <v>4904</v>
      </c>
      <c r="I578" s="79"/>
      <c r="J578" s="79"/>
      <c r="K578" s="24"/>
      <c r="L578" s="24"/>
    </row>
    <row r="579" spans="1:12" ht="14.5">
      <c r="A579" s="20" t="s">
        <v>4905</v>
      </c>
      <c r="B579" s="20">
        <v>42</v>
      </c>
      <c r="C579" s="20">
        <v>40</v>
      </c>
      <c r="D579" s="20">
        <v>79</v>
      </c>
      <c r="E579" s="24"/>
      <c r="F579" s="20" t="s">
        <v>4906</v>
      </c>
      <c r="G579" s="24" t="str">
        <f ca="1">IFERROR(__xludf.DUMMYFUNCTION("UPPER(LEFT((GOOGLETRANSLATE(F579,""en"",""pt"")),1))&amp;RIGHT(lower((GOOGLETRANSLATE(F579,""en"",""pt""))),(LEN((GOOGLETRANSLATE(F579,""en"",""pt"")))-1))"),"Snooker, bilhar e piscina")</f>
        <v>Snooker, bilhar e piscina</v>
      </c>
      <c r="H579" s="24" t="s">
        <v>4907</v>
      </c>
      <c r="I579" s="79"/>
      <c r="J579" s="79"/>
      <c r="K579" s="24"/>
      <c r="L579" s="24"/>
    </row>
    <row r="580" spans="1:12" ht="14.5">
      <c r="A580" s="20" t="s">
        <v>4908</v>
      </c>
      <c r="B580" s="20">
        <v>42</v>
      </c>
      <c r="C580" s="20">
        <v>40</v>
      </c>
      <c r="D580" s="20">
        <v>90</v>
      </c>
      <c r="E580" s="24"/>
      <c r="F580" s="20" t="s">
        <v>4909</v>
      </c>
      <c r="G580" s="24" t="str">
        <f ca="1">IFERROR(__xludf.DUMMYFUNCTION("UPPER(LEFT((GOOGLETRANSLATE(F580,""en"",""pt"")),1))&amp;RIGHT(lower((GOOGLETRANSLATE(F580,""en"",""pt""))),(LEN((GOOGLETRANSLATE(F580,""en"",""pt"")))-1))"),"Do pino de dez")</f>
        <v>Do pino de dez</v>
      </c>
      <c r="H580" s="24" t="s">
        <v>4910</v>
      </c>
      <c r="I580" s="79"/>
      <c r="J580" s="79"/>
      <c r="K580" s="24"/>
      <c r="L580" s="24"/>
    </row>
    <row r="581" spans="1:12" ht="14.5">
      <c r="A581" s="20" t="s">
        <v>4911</v>
      </c>
      <c r="B581" s="20">
        <v>42</v>
      </c>
      <c r="C581" s="20">
        <v>40</v>
      </c>
      <c r="D581" s="20">
        <v>92</v>
      </c>
      <c r="E581" s="24"/>
      <c r="F581" s="20" t="s">
        <v>4912</v>
      </c>
      <c r="G581" s="24" t="str">
        <f ca="1">IFERROR(__xludf.DUMMYFUNCTION("UPPER(LEFT((GOOGLETRANSLATE(F581,""en"",""pt"")),1))&amp;RIGHT(lower((GOOGLETRANSLATE(F581,""en"",""pt""))),(LEN((GOOGLETRANSLATE(F581,""en"",""pt"")))-1))"),"Ciclismo de pista")</f>
        <v>Ciclismo de pista</v>
      </c>
      <c r="H581" s="24" t="s">
        <v>4913</v>
      </c>
      <c r="I581" s="79"/>
      <c r="J581" s="79"/>
      <c r="K581" s="24"/>
      <c r="L581" s="24"/>
    </row>
    <row r="582" spans="1:12" ht="14.5">
      <c r="A582" s="20" t="s">
        <v>4914</v>
      </c>
      <c r="B582" s="20">
        <v>42</v>
      </c>
      <c r="C582" s="20">
        <v>55</v>
      </c>
      <c r="D582" s="24"/>
      <c r="E582" s="24"/>
      <c r="F582" s="20" t="s">
        <v>4915</v>
      </c>
      <c r="G582" s="24" t="str">
        <f ca="1">IFERROR(__xludf.DUMMYFUNCTION("UPPER(LEFT((GOOGLETRANSLATE(F582,""en"",""pt"")),1))&amp;RIGHT(lower((GOOGLETRANSLATE(F582,""en"",""pt""))),(LEN((GOOGLETRANSLATE(F582,""en"",""pt"")))-1))"),"Actividades desportivas ao ar livre")</f>
        <v>Actividades desportivas ao ar livre</v>
      </c>
      <c r="H582" s="24" t="s">
        <v>4916</v>
      </c>
      <c r="I582" s="79"/>
      <c r="J582" s="79"/>
      <c r="K582" s="24"/>
      <c r="L582" s="24"/>
    </row>
    <row r="583" spans="1:12" ht="14.5">
      <c r="A583" s="20" t="s">
        <v>4917</v>
      </c>
      <c r="B583" s="20">
        <v>42</v>
      </c>
      <c r="C583" s="20">
        <v>55</v>
      </c>
      <c r="D583" s="20">
        <v>1</v>
      </c>
      <c r="E583" s="24"/>
      <c r="F583" s="20" t="s">
        <v>4918</v>
      </c>
      <c r="G583" s="24" t="str">
        <f ca="1">IFERROR(__xludf.DUMMYFUNCTION("UPPER(LEFT((GOOGLETRANSLATE(F583,""en"",""pt"")),1))&amp;RIGHT(lower((GOOGLETRANSLATE(F583,""en"",""pt""))),(LEN((GOOGLETRANSLATE(F583,""en"",""pt"")))-1))"),"Tiro com arco")</f>
        <v>Tiro com arco</v>
      </c>
      <c r="H583" s="24" t="s">
        <v>4919</v>
      </c>
      <c r="I583" s="79"/>
      <c r="J583" s="79"/>
      <c r="K583" s="24"/>
      <c r="L583" s="24"/>
    </row>
    <row r="584" spans="1:12" ht="14.5">
      <c r="A584" s="20" t="s">
        <v>4920</v>
      </c>
      <c r="B584" s="20">
        <v>42</v>
      </c>
      <c r="C584" s="20">
        <v>55</v>
      </c>
      <c r="D584" s="20">
        <v>7</v>
      </c>
      <c r="E584" s="24"/>
      <c r="F584" s="20" t="s">
        <v>4921</v>
      </c>
      <c r="G584" s="24" t="str">
        <f ca="1">IFERROR(__xludf.DUMMYFUNCTION("UPPER(LEFT((GOOGLETRANSLATE(F584,""en"",""pt"")),1))&amp;RIGHT(lower((GOOGLETRANSLATE(F584,""en"",""pt""))),(LEN((GOOGLETRANSLATE(F584,""en"",""pt"")))-1))"),"Ciclismo bmx")</f>
        <v>Ciclismo bmx</v>
      </c>
      <c r="H584" s="24" t="s">
        <v>4922</v>
      </c>
      <c r="I584" s="79"/>
      <c r="J584" s="79"/>
      <c r="K584" s="24"/>
      <c r="L584" s="24"/>
    </row>
    <row r="585" spans="1:12" ht="14.5">
      <c r="A585" s="20" t="s">
        <v>4923</v>
      </c>
      <c r="B585" s="20">
        <v>42</v>
      </c>
      <c r="C585" s="20">
        <v>55</v>
      </c>
      <c r="D585" s="20">
        <v>8</v>
      </c>
      <c r="E585" s="24"/>
      <c r="F585" s="20" t="s">
        <v>4910</v>
      </c>
      <c r="G585" s="24" t="str">
        <f ca="1">IFERROR(__xludf.DUMMYFUNCTION("UPPER(LEFT((GOOGLETRANSLATE(F585,""en"",""pt"")),1))&amp;RIGHT(lower((GOOGLETRANSLATE(F585,""en"",""pt""))),(LEN((GOOGLETRANSLATE(F585,""en"",""pt"")))-1))"),"Boliche")</f>
        <v>Boliche</v>
      </c>
      <c r="H585" s="24" t="s">
        <v>4924</v>
      </c>
      <c r="I585" s="79"/>
      <c r="J585" s="79"/>
      <c r="K585" s="24"/>
      <c r="L585" s="24"/>
    </row>
    <row r="586" spans="1:12" ht="14.5">
      <c r="A586" s="20" t="s">
        <v>4925</v>
      </c>
      <c r="B586" s="20">
        <v>42</v>
      </c>
      <c r="C586" s="20">
        <v>55</v>
      </c>
      <c r="D586" s="20">
        <v>18</v>
      </c>
      <c r="E586" s="24"/>
      <c r="F586" s="20" t="s">
        <v>4926</v>
      </c>
      <c r="G586" s="24" t="str">
        <f ca="1">IFERROR(__xludf.DUMMYFUNCTION("UPPER(LEFT((GOOGLETRANSLATE(F586,""en"",""pt"")),1))&amp;RIGHT(lower((GOOGLETRANSLATE(F586,""en"",""pt""))),(LEN((GOOGLETRANSLATE(F586,""en"",""pt"")))-1))"),"Ciclismo cross-country")</f>
        <v>Ciclismo cross-country</v>
      </c>
      <c r="H586" s="24" t="s">
        <v>4927</v>
      </c>
      <c r="I586" s="79"/>
      <c r="J586" s="79"/>
      <c r="K586" s="24"/>
      <c r="L586" s="24"/>
    </row>
    <row r="587" spans="1:12" ht="14.5">
      <c r="A587" s="20" t="s">
        <v>4928</v>
      </c>
      <c r="B587" s="20">
        <v>42</v>
      </c>
      <c r="C587" s="20">
        <v>55</v>
      </c>
      <c r="D587" s="20">
        <v>19</v>
      </c>
      <c r="E587" s="24"/>
      <c r="F587" s="20" t="s">
        <v>4929</v>
      </c>
      <c r="G587" s="24" t="str">
        <f ca="1">IFERROR(__xludf.DUMMYFUNCTION("UPPER(LEFT((GOOGLETRANSLATE(F587,""en"",""pt"")),1))&amp;RIGHT(lower((GOOGLETRANSLATE(F587,""en"",""pt""))),(LEN((GOOGLETRANSLATE(F587,""en"",""pt"")))-1))"),"Rali cross-country")</f>
        <v>Rali cross-country</v>
      </c>
      <c r="H587" s="24" t="s">
        <v>4930</v>
      </c>
      <c r="I587" s="79"/>
      <c r="J587" s="79"/>
      <c r="K587" s="24"/>
      <c r="L587" s="24"/>
    </row>
    <row r="588" spans="1:12" ht="14.5">
      <c r="A588" s="20" t="s">
        <v>4931</v>
      </c>
      <c r="B588" s="20">
        <v>42</v>
      </c>
      <c r="C588" s="20">
        <v>55</v>
      </c>
      <c r="D588" s="20">
        <v>20</v>
      </c>
      <c r="E588" s="24"/>
      <c r="F588" s="20" t="s">
        <v>4932</v>
      </c>
      <c r="G588" s="24" t="str">
        <f ca="1">IFERROR(__xludf.DUMMYFUNCTION("UPPER(LEFT((GOOGLETRANSLATE(F588,""en"",""pt"")),1))&amp;RIGHT(lower((GOOGLETRANSLATE(F588,""en"",""pt""))),(LEN((GOOGLETRANSLATE(F588,""en"",""pt"")))-1))"),"Cruzando o país correndo")</f>
        <v>Cruzando o país correndo</v>
      </c>
      <c r="H588" s="24" t="s">
        <v>4933</v>
      </c>
      <c r="I588" s="79"/>
      <c r="J588" s="79"/>
      <c r="K588" s="24"/>
      <c r="L588" s="24"/>
    </row>
    <row r="589" spans="1:12" ht="14.5">
      <c r="A589" s="20" t="s">
        <v>4934</v>
      </c>
      <c r="B589" s="20">
        <v>42</v>
      </c>
      <c r="C589" s="20">
        <v>55</v>
      </c>
      <c r="D589" s="20">
        <v>23</v>
      </c>
      <c r="E589" s="24"/>
      <c r="F589" s="20" t="s">
        <v>4935</v>
      </c>
      <c r="G589" s="24" t="str">
        <f ca="1">IFERROR(__xludf.DUMMYFUNCTION("UPPER(LEFT((GOOGLETRANSLATE(F589,""en"",""pt"")),1))&amp;RIGHT(lower((GOOGLETRANSLATE(F589,""en"",""pt""))),(LEN((GOOGLETRANSLATE(F589,""en"",""pt"")))-1))"),"Corridas de cães")</f>
        <v>Corridas de cães</v>
      </c>
      <c r="H589" s="24" t="s">
        <v>4936</v>
      </c>
      <c r="I589" s="79"/>
      <c r="J589" s="79"/>
      <c r="K589" s="24"/>
      <c r="L589" s="24"/>
    </row>
    <row r="590" spans="1:12" ht="14.5">
      <c r="A590" s="20" t="s">
        <v>4937</v>
      </c>
      <c r="B590" s="20">
        <v>42</v>
      </c>
      <c r="C590" s="20">
        <v>55</v>
      </c>
      <c r="D590" s="20">
        <v>26</v>
      </c>
      <c r="E590" s="24"/>
      <c r="F590" s="20" t="s">
        <v>4938</v>
      </c>
      <c r="G590" s="24" t="str">
        <f ca="1">IFERROR(__xludf.DUMMYFUNCTION("UPPER(LEFT((GOOGLETRANSLATE(F590,""en"",""pt"")),1))&amp;RIGHT(lower((GOOGLETRANSLATE(F590,""en"",""pt""))),(LEN((GOOGLETRANSLATE(F590,""en"",""pt"")))-1))"),"Dressage equestre")</f>
        <v>Dressage equestre</v>
      </c>
      <c r="H590" s="24" t="s">
        <v>4939</v>
      </c>
      <c r="I590" s="79"/>
      <c r="J590" s="79"/>
      <c r="K590" s="24"/>
      <c r="L590" s="24"/>
    </row>
    <row r="591" spans="1:12" ht="14.5">
      <c r="A591" s="20" t="s">
        <v>4940</v>
      </c>
      <c r="B591" s="20">
        <v>42</v>
      </c>
      <c r="C591" s="20">
        <v>55</v>
      </c>
      <c r="D591" s="20">
        <v>27</v>
      </c>
      <c r="E591" s="24"/>
      <c r="F591" s="20" t="s">
        <v>4941</v>
      </c>
      <c r="G591" s="24" t="str">
        <f ca="1">IFERROR(__xludf.DUMMYFUNCTION("UPPER(LEFT((GOOGLETRANSLATE(F591,""en"",""pt"")),1))&amp;RIGHT(lower((GOOGLETRANSLATE(F591,""en"",""pt""))),(LEN((GOOGLETRANSLATE(F591,""en"",""pt"")))-1))"),"Eventing cross country equestrian")</f>
        <v>Eventing cross country equestrian</v>
      </c>
      <c r="H591" s="24" t="s">
        <v>4942</v>
      </c>
      <c r="I591" s="79"/>
      <c r="J591" s="79"/>
      <c r="K591" s="24"/>
      <c r="L591" s="24"/>
    </row>
    <row r="592" spans="1:12" ht="14.5">
      <c r="A592" s="20" t="s">
        <v>4943</v>
      </c>
      <c r="B592" s="20">
        <v>42</v>
      </c>
      <c r="C592" s="20">
        <v>55</v>
      </c>
      <c r="D592" s="20">
        <v>28</v>
      </c>
      <c r="E592" s="24"/>
      <c r="F592" s="20" t="s">
        <v>4944</v>
      </c>
      <c r="G592" s="24" t="str">
        <f ca="1">IFERROR(__xludf.DUMMYFUNCTION("UPPER(LEFT((GOOGLETRANSLATE(F592,""en"",""pt"")),1))&amp;RIGHT(lower((GOOGLETRANSLATE(F592,""en"",""pt""))),(LEN((GOOGLETRANSLATE(F592,""en"",""pt"")))-1))"),"Equestrian show jumping")</f>
        <v>Equestrian show jumping</v>
      </c>
      <c r="H592" s="24" t="s">
        <v>4944</v>
      </c>
      <c r="I592" s="79"/>
      <c r="J592" s="79"/>
      <c r="K592" s="24"/>
      <c r="L592" s="24"/>
    </row>
    <row r="593" spans="1:12" ht="14.5">
      <c r="A593" s="20" t="s">
        <v>4945</v>
      </c>
      <c r="B593" s="20">
        <v>42</v>
      </c>
      <c r="C593" s="20">
        <v>55</v>
      </c>
      <c r="D593" s="20">
        <v>30</v>
      </c>
      <c r="E593" s="24"/>
      <c r="F593" s="20" t="s">
        <v>4946</v>
      </c>
      <c r="G593" s="24" t="str">
        <f ca="1">IFERROR(__xludf.DUMMYFUNCTION("UPPER(LEFT((GOOGLETRANSLATE(F593,""en"",""pt"")),1))&amp;RIGHT(lower((GOOGLETRANSLATE(F593,""en"",""pt""))),(LEN((GOOGLETRANSLATE(F593,""en"",""pt"")))-1))"),"Pescaria")</f>
        <v>Pescaria</v>
      </c>
      <c r="H593" s="24" t="s">
        <v>4947</v>
      </c>
      <c r="I593" s="79"/>
      <c r="J593" s="79"/>
      <c r="K593" s="24"/>
      <c r="L593" s="24"/>
    </row>
    <row r="594" spans="1:12" ht="14.5">
      <c r="A594" s="20" t="s">
        <v>4948</v>
      </c>
      <c r="B594" s="20">
        <v>42</v>
      </c>
      <c r="C594" s="20">
        <v>55</v>
      </c>
      <c r="D594" s="20">
        <v>34</v>
      </c>
      <c r="E594" s="24"/>
      <c r="F594" s="20" t="s">
        <v>4949</v>
      </c>
      <c r="G594" s="24" t="str">
        <f ca="1">IFERROR(__xludf.DUMMYFUNCTION("UPPER(LEFT((GOOGLETRANSLATE(F594,""en"",""pt"")),1))&amp;RIGHT(lower((GOOGLETRANSLATE(F594,""en"",""pt""))),(LEN((GOOGLETRANSLATE(F594,""en"",""pt"")))-1))"),"Golfe")</f>
        <v>Golfe</v>
      </c>
      <c r="H594" s="24" t="s">
        <v>4950</v>
      </c>
      <c r="I594" s="79"/>
      <c r="J594" s="79"/>
      <c r="K594" s="24"/>
      <c r="L594" s="24"/>
    </row>
    <row r="595" spans="1:12" ht="14.5">
      <c r="A595" s="20" t="s">
        <v>4951</v>
      </c>
      <c r="B595" s="20">
        <v>42</v>
      </c>
      <c r="C595" s="20">
        <v>55</v>
      </c>
      <c r="D595" s="20">
        <v>39</v>
      </c>
      <c r="E595" s="24"/>
      <c r="F595" s="20" t="s">
        <v>4952</v>
      </c>
      <c r="G595" s="24" t="str">
        <f ca="1">IFERROR(__xludf.DUMMYFUNCTION("UPPER(LEFT((GOOGLETRANSLATE(F595,""en"",""pt"")),1))&amp;RIGHT(lower((GOOGLETRANSLATE(F595,""en"",""pt""))),(LEN((GOOGLETRANSLATE(F595,""en"",""pt"")))-1))"),"Corrida de cavalo")</f>
        <v>Corrida de cavalo</v>
      </c>
      <c r="H595" s="24" t="s">
        <v>4953</v>
      </c>
      <c r="I595" s="79"/>
      <c r="J595" s="79"/>
      <c r="K595" s="24"/>
      <c r="L595" s="24"/>
    </row>
    <row r="596" spans="1:12" ht="14.5">
      <c r="A596" s="20" t="s">
        <v>4954</v>
      </c>
      <c r="B596" s="20">
        <v>42</v>
      </c>
      <c r="C596" s="20">
        <v>55</v>
      </c>
      <c r="D596" s="20">
        <v>40</v>
      </c>
      <c r="E596" s="24"/>
      <c r="F596" s="20" t="s">
        <v>4955</v>
      </c>
      <c r="G596" s="24" t="str">
        <f ca="1">IFERROR(__xludf.DUMMYFUNCTION("UPPER(LEFT((GOOGLETRANSLATE(F596,""en"",""pt"")),1))&amp;RIGHT(lower((GOOGLETRANSLATE(F596,""en"",""pt""))),(LEN((GOOGLETRANSLATE(F596,""en"",""pt"")))-1))"),"Caçando")</f>
        <v>Caçando</v>
      </c>
      <c r="H596" s="24" t="s">
        <v>4956</v>
      </c>
      <c r="I596" s="79"/>
      <c r="J596" s="79"/>
      <c r="K596" s="24"/>
      <c r="L596" s="24"/>
    </row>
    <row r="597" spans="1:12" ht="14.5">
      <c r="A597" s="20" t="s">
        <v>4957</v>
      </c>
      <c r="B597" s="20">
        <v>42</v>
      </c>
      <c r="C597" s="20">
        <v>55</v>
      </c>
      <c r="D597" s="20">
        <v>53</v>
      </c>
      <c r="E597" s="24"/>
      <c r="F597" s="20" t="s">
        <v>4958</v>
      </c>
      <c r="G597" s="24" t="str">
        <f ca="1">IFERROR(__xludf.DUMMYFUNCTION("UPPER(LEFT((GOOGLETRANSLATE(F597,""en"",""pt"")),1))&amp;RIGHT(lower((GOOGLETRANSLATE(F597,""en"",""pt""))),(LEN((GOOGLETRANSLATE(F597,""en"",""pt"")))-1))"),"Corrida de motos")</f>
        <v>Corrida de motos</v>
      </c>
      <c r="H597" s="24" t="s">
        <v>4959</v>
      </c>
      <c r="I597" s="79"/>
      <c r="J597" s="79"/>
      <c r="K597" s="24"/>
      <c r="L597" s="24"/>
    </row>
    <row r="598" spans="1:12" ht="14.5">
      <c r="A598" s="20" t="s">
        <v>4960</v>
      </c>
      <c r="B598" s="20">
        <v>42</v>
      </c>
      <c r="C598" s="20">
        <v>55</v>
      </c>
      <c r="D598" s="20">
        <v>58</v>
      </c>
      <c r="E598" s="24"/>
      <c r="F598" s="20" t="s">
        <v>4961</v>
      </c>
      <c r="G598" s="24" t="str">
        <f ca="1">IFERROR(__xludf.DUMMYFUNCTION("UPPER(LEFT((GOOGLETRANSLATE(F598,""en"",""pt"")),1))&amp;RIGHT(lower((GOOGLETRANSLATE(F598,""en"",""pt""))),(LEN((GOOGLETRANSLATE(F598,""en"",""pt"")))-1))"),"Orientação")</f>
        <v>Orientação</v>
      </c>
      <c r="H598" s="24" t="s">
        <v>4962</v>
      </c>
      <c r="I598" s="79"/>
      <c r="J598" s="79"/>
      <c r="K598" s="24"/>
      <c r="L598" s="24"/>
    </row>
    <row r="599" spans="1:12" ht="14.5">
      <c r="A599" s="20" t="s">
        <v>4963</v>
      </c>
      <c r="B599" s="20">
        <v>42</v>
      </c>
      <c r="C599" s="20">
        <v>55</v>
      </c>
      <c r="D599" s="20">
        <v>60</v>
      </c>
      <c r="E599" s="24"/>
      <c r="F599" s="20" t="s">
        <v>4964</v>
      </c>
      <c r="G599" s="24" t="str">
        <f ca="1">IFERROR(__xludf.DUMMYFUNCTION("UPPER(LEFT((GOOGLETRANSLATE(F599,""en"",""pt"")),1))&amp;RIGHT(lower((GOOGLETRANSLATE(F599,""en"",""pt""))),(LEN((GOOGLETRANSLATE(F599,""en"",""pt"")))-1))"),"Parkour")</f>
        <v>Parkour</v>
      </c>
      <c r="H599" s="24" t="s">
        <v>4964</v>
      </c>
      <c r="I599" s="79"/>
      <c r="J599" s="79"/>
      <c r="K599" s="24"/>
      <c r="L599" s="24"/>
    </row>
    <row r="600" spans="1:12" ht="14.5">
      <c r="A600" s="20" t="s">
        <v>4965</v>
      </c>
      <c r="B600" s="20">
        <v>42</v>
      </c>
      <c r="C600" s="20">
        <v>55</v>
      </c>
      <c r="D600" s="20">
        <v>70</v>
      </c>
      <c r="E600" s="24"/>
      <c r="F600" s="20" t="s">
        <v>4966</v>
      </c>
      <c r="G600" s="24" t="str">
        <f ca="1">IFERROR(__xludf.DUMMYFUNCTION("UPPER(LEFT((GOOGLETRANSLATE(F600,""en"",""pt"")),1))&amp;RIGHT(lower((GOOGLETRANSLATE(F600,""en"",""pt""))),(LEN((GOOGLETRANSLATE(F600,""en"",""pt"")))-1))"),"Ciclismo recreativo")</f>
        <v>Ciclismo recreativo</v>
      </c>
      <c r="H600" s="24" t="s">
        <v>4967</v>
      </c>
      <c r="I600" s="79"/>
      <c r="J600" s="79"/>
      <c r="K600" s="24"/>
      <c r="L600" s="24"/>
    </row>
    <row r="601" spans="1:12" ht="14.5">
      <c r="A601" s="20" t="s">
        <v>4968</v>
      </c>
      <c r="B601" s="20">
        <v>42</v>
      </c>
      <c r="C601" s="20">
        <v>55</v>
      </c>
      <c r="D601" s="20">
        <v>71</v>
      </c>
      <c r="E601" s="24"/>
      <c r="F601" s="20" t="s">
        <v>4969</v>
      </c>
      <c r="G601" s="24" t="str">
        <f ca="1">IFERROR(__xludf.DUMMYFUNCTION("UPPER(LEFT((GOOGLETRANSLATE(F601,""en"",""pt"")),1))&amp;RIGHT(lower((GOOGLETRANSLATE(F601,""en"",""pt""))),(LEN((GOOGLETRANSLATE(F601,""en"",""pt"")))-1))"),"Passeio pedestre")</f>
        <v>Passeio pedestre</v>
      </c>
      <c r="H601" s="24" t="s">
        <v>4970</v>
      </c>
      <c r="I601" s="79"/>
      <c r="J601" s="79"/>
      <c r="K601" s="24"/>
      <c r="L601" s="24"/>
    </row>
    <row r="602" spans="1:12" ht="14.5">
      <c r="A602" s="20" t="s">
        <v>4971</v>
      </c>
      <c r="B602" s="20">
        <v>42</v>
      </c>
      <c r="C602" s="20">
        <v>55</v>
      </c>
      <c r="D602" s="20">
        <v>72</v>
      </c>
      <c r="E602" s="24"/>
      <c r="F602" s="20" t="s">
        <v>4972</v>
      </c>
      <c r="G602" s="24" t="str">
        <f ca="1">IFERROR(__xludf.DUMMYFUNCTION("UPPER(LEFT((GOOGLETRANSLATE(F602,""en"",""pt"")),1))&amp;RIGHT(lower((GOOGLETRANSLATE(F602,""en"",""pt""))),(LEN((GOOGLETRANSLATE(F602,""en"",""pt"")))-1))"),"Equitação")</f>
        <v>Equitação</v>
      </c>
      <c r="H602" s="24" t="s">
        <v>4973</v>
      </c>
      <c r="I602" s="79"/>
      <c r="J602" s="79"/>
      <c r="K602" s="24"/>
      <c r="L602" s="24"/>
    </row>
    <row r="603" spans="1:12" ht="14.5">
      <c r="A603" s="20" t="s">
        <v>4974</v>
      </c>
      <c r="B603" s="20">
        <v>42</v>
      </c>
      <c r="C603" s="20">
        <v>55</v>
      </c>
      <c r="D603" s="20">
        <v>74</v>
      </c>
      <c r="E603" s="24"/>
      <c r="F603" s="20" t="s">
        <v>4975</v>
      </c>
      <c r="G603" s="24" t="str">
        <f ca="1">IFERROR(__xludf.DUMMYFUNCTION("UPPER(LEFT((GOOGLETRANSLATE(F603,""en"",""pt"")),1))&amp;RIGHT(lower((GOOGLETRANSLATE(F603,""en"",""pt""))),(LEN((GOOGLETRANSLATE(F603,""en"",""pt"")))-1))"),"Corrida")</f>
        <v>Corrida</v>
      </c>
      <c r="H603" s="24" t="s">
        <v>4976</v>
      </c>
      <c r="I603" s="79"/>
      <c r="J603" s="79"/>
      <c r="K603" s="24"/>
      <c r="L603" s="24"/>
    </row>
    <row r="604" spans="1:12" ht="14.5">
      <c r="A604" s="20" t="s">
        <v>4977</v>
      </c>
      <c r="B604" s="20">
        <v>42</v>
      </c>
      <c r="C604" s="20">
        <v>55</v>
      </c>
      <c r="D604" s="20">
        <v>76</v>
      </c>
      <c r="E604" s="24"/>
      <c r="F604" s="20" t="s">
        <v>4978</v>
      </c>
      <c r="G604" s="24" t="str">
        <f ca="1">IFERROR(__xludf.DUMMYFUNCTION("UPPER(LEFT((GOOGLETRANSLATE(F604,""en"",""pt"")),1))&amp;RIGHT(lower((GOOGLETRANSLATE(F604,""en"",""pt""))),(LEN((GOOGLETRANSLATE(F604,""en"",""pt"")))-1))"),"Skate")</f>
        <v>Skate</v>
      </c>
      <c r="H604" s="24" t="s">
        <v>4979</v>
      </c>
      <c r="I604" s="79"/>
      <c r="J604" s="79"/>
      <c r="K604" s="24"/>
      <c r="L604" s="24"/>
    </row>
    <row r="605" spans="1:12" ht="14.5">
      <c r="A605" s="20" t="s">
        <v>4980</v>
      </c>
      <c r="B605" s="20">
        <v>42</v>
      </c>
      <c r="C605" s="20">
        <v>55</v>
      </c>
      <c r="D605" s="20">
        <v>82</v>
      </c>
      <c r="E605" s="24"/>
      <c r="F605" s="20" t="s">
        <v>4981</v>
      </c>
      <c r="G605" s="24" t="str">
        <f ca="1">IFERROR(__xludf.DUMMYFUNCTION("UPPER(LEFT((GOOGLETRANSLATE(F605,""en"",""pt"")),1))&amp;RIGHT(lower((GOOGLETRANSLATE(F605,""en"",""pt""))),(LEN((GOOGLETRANSLATE(F605,""en"",""pt"")))-1))"),"Corridas de speedway")</f>
        <v>Corridas de speedway</v>
      </c>
      <c r="H605" s="24" t="s">
        <v>4982</v>
      </c>
      <c r="I605" s="79"/>
      <c r="J605" s="79"/>
      <c r="K605" s="24"/>
      <c r="L605" s="24"/>
    </row>
    <row r="606" spans="1:12" ht="14.5">
      <c r="A606" s="20" t="s">
        <v>4983</v>
      </c>
      <c r="B606" s="20">
        <v>42</v>
      </c>
      <c r="C606" s="20">
        <v>80</v>
      </c>
      <c r="D606" s="24"/>
      <c r="E606" s="24"/>
      <c r="F606" s="20" t="s">
        <v>4984</v>
      </c>
      <c r="G606" s="24" t="str">
        <f ca="1">IFERROR(__xludf.DUMMYFUNCTION("UPPER(LEFT((GOOGLETRANSLATE(F606,""en"",""pt"")),1))&amp;RIGHT(lower((GOOGLETRANSLATE(F606,""en"",""pt""))),(LEN((GOOGLETRANSLATE(F606,""en"",""pt"")))-1))"),"Esportes actividades auxiliares")</f>
        <v>Esportes actividades auxiliares</v>
      </c>
      <c r="H606" s="24" t="s">
        <v>4985</v>
      </c>
      <c r="I606" s="79"/>
      <c r="J606" s="79"/>
      <c r="K606" s="24"/>
      <c r="L606" s="24"/>
    </row>
    <row r="607" spans="1:12" ht="14.5">
      <c r="A607" s="20" t="s">
        <v>4986</v>
      </c>
      <c r="B607" s="20">
        <v>42</v>
      </c>
      <c r="C607" s="20">
        <v>80</v>
      </c>
      <c r="D607" s="20">
        <v>15</v>
      </c>
      <c r="E607" s="24"/>
      <c r="F607" s="20" t="s">
        <v>4987</v>
      </c>
      <c r="G607" s="24" t="str">
        <f ca="1">IFERROR(__xludf.DUMMYFUNCTION("UPPER(LEFT((GOOGLETRANSLATE(F607,""en"",""pt"")),1))&amp;RIGHT(lower((GOOGLETRANSLATE(F607,""en"",""pt""))),(LEN((GOOGLETRANSLATE(F607,""en"",""pt"")))-1))"),"Spectating corporativa e vip")</f>
        <v>Spectating corporativa e vip</v>
      </c>
      <c r="H607" s="24" t="s">
        <v>4988</v>
      </c>
      <c r="I607" s="79"/>
      <c r="J607" s="79"/>
      <c r="K607" s="24"/>
      <c r="L607" s="24"/>
    </row>
    <row r="608" spans="1:12" ht="14.5">
      <c r="A608" s="20" t="s">
        <v>4989</v>
      </c>
      <c r="B608" s="20">
        <v>42</v>
      </c>
      <c r="C608" s="20">
        <v>80</v>
      </c>
      <c r="D608" s="20">
        <v>50</v>
      </c>
      <c r="E608" s="24"/>
      <c r="F608" s="20" t="s">
        <v>4990</v>
      </c>
      <c r="G608" s="24" t="str">
        <f ca="1">IFERROR(__xludf.DUMMYFUNCTION("UPPER(LEFT((GOOGLETRANSLATE(F608,""en"",""pt"")),1))&amp;RIGHT(lower((GOOGLETRANSLATE(F608,""en"",""pt""))),(LEN((GOOGLETRANSLATE(F608,""en"",""pt"")))-1))"),"Estar gerente e treinador")</f>
        <v>Estar gerente e treinador</v>
      </c>
      <c r="H608" s="24" t="s">
        <v>4991</v>
      </c>
      <c r="I608" s="79"/>
      <c r="J608" s="79"/>
      <c r="K608" s="24"/>
      <c r="L608" s="24"/>
    </row>
    <row r="609" spans="1:12" ht="14.5">
      <c r="A609" s="20" t="s">
        <v>4992</v>
      </c>
      <c r="B609" s="20">
        <v>42</v>
      </c>
      <c r="C609" s="20">
        <v>80</v>
      </c>
      <c r="D609" s="20">
        <v>65</v>
      </c>
      <c r="E609" s="24"/>
      <c r="F609" s="20" t="s">
        <v>4993</v>
      </c>
      <c r="G609" s="24" t="str">
        <f ca="1">IFERROR(__xludf.DUMMYFUNCTION("UPPER(LEFT((GOOGLETRANSLATE(F609,""en"",""pt"")),1))&amp;RIGHT(lower((GOOGLETRANSLATE(F609,""en"",""pt""))),(LEN((GOOGLETRANSLATE(F609,""en"",""pt"")))-1))"),"Imprensa spectating")</f>
        <v>Imprensa spectating</v>
      </c>
      <c r="H609" s="24" t="s">
        <v>4994</v>
      </c>
      <c r="I609" s="79"/>
      <c r="J609" s="79"/>
      <c r="K609" s="24"/>
      <c r="L609" s="24"/>
    </row>
    <row r="610" spans="1:12" ht="14.5">
      <c r="A610" s="20" t="s">
        <v>4995</v>
      </c>
      <c r="B610" s="20">
        <v>42</v>
      </c>
      <c r="C610" s="20">
        <v>80</v>
      </c>
      <c r="D610" s="20">
        <v>72</v>
      </c>
      <c r="E610" s="24"/>
      <c r="F610" s="20" t="s">
        <v>4996</v>
      </c>
      <c r="G610" s="24" t="str">
        <f ca="1">IFERROR(__xludf.DUMMYFUNCTION("UPPER(LEFT((GOOGLETRANSLATE(F610,""en"",""pt"")),1))&amp;RIGHT(lower((GOOGLETRANSLATE(F610,""en"",""pt""))),(LEN((GOOGLETRANSLATE(F610,""en"",""pt"")))-1))"),"Reservas de estar")</f>
        <v>Reservas de estar</v>
      </c>
      <c r="H610" s="24" t="s">
        <v>4997</v>
      </c>
      <c r="I610" s="79"/>
      <c r="J610" s="79"/>
      <c r="K610" s="24"/>
      <c r="L610" s="24"/>
    </row>
    <row r="611" spans="1:12" ht="14.5">
      <c r="A611" s="20" t="s">
        <v>4998</v>
      </c>
      <c r="B611" s="20">
        <v>42</v>
      </c>
      <c r="C611" s="20">
        <v>85</v>
      </c>
      <c r="D611" s="24"/>
      <c r="E611" s="24"/>
      <c r="F611" s="20" t="s">
        <v>4999</v>
      </c>
      <c r="G611" s="24" t="str">
        <f ca="1">IFERROR(__xludf.DUMMYFUNCTION("UPPER(LEFT((GOOGLETRANSLATE(F611,""en"",""pt"")),1))&amp;RIGHT(lower((GOOGLETRANSLATE(F611,""en"",""pt""))),(LEN((GOOGLETRANSLATE(F611,""en"",""pt"")))-1))"),"Atividades de natação")</f>
        <v>Atividades de natação</v>
      </c>
      <c r="H611" s="24" t="s">
        <v>5000</v>
      </c>
      <c r="I611" s="79"/>
      <c r="J611" s="79"/>
      <c r="K611" s="24"/>
      <c r="L611" s="24"/>
    </row>
    <row r="612" spans="1:12" ht="14.5">
      <c r="A612" s="20" t="s">
        <v>5001</v>
      </c>
      <c r="B612" s="20">
        <v>42</v>
      </c>
      <c r="C612" s="20">
        <v>85</v>
      </c>
      <c r="D612" s="20">
        <v>15</v>
      </c>
      <c r="E612" s="24"/>
      <c r="F612" s="20" t="s">
        <v>5002</v>
      </c>
      <c r="G612" s="24" t="str">
        <f ca="1">IFERROR(__xludf.DUMMYFUNCTION("UPPER(LEFT((GOOGLETRANSLATE(F612,""en"",""pt"")),1))&amp;RIGHT(lower((GOOGLETRANSLATE(F612,""en"",""pt""))),(LEN((GOOGLETRANSLATE(F612,""en"",""pt"")))-1))"),"Competição de natação")</f>
        <v>Competição de natação</v>
      </c>
      <c r="H612" s="24" t="s">
        <v>5003</v>
      </c>
      <c r="I612" s="79"/>
      <c r="J612" s="79"/>
      <c r="K612" s="24"/>
      <c r="L612" s="24"/>
    </row>
    <row r="613" spans="1:12" ht="14.5">
      <c r="A613" s="20" t="s">
        <v>5004</v>
      </c>
      <c r="B613" s="20">
        <v>42</v>
      </c>
      <c r="C613" s="20">
        <v>85</v>
      </c>
      <c r="D613" s="20">
        <v>22</v>
      </c>
      <c r="E613" s="24"/>
      <c r="F613" s="20" t="s">
        <v>5005</v>
      </c>
      <c r="G613" s="24" t="str">
        <f ca="1">IFERROR(__xludf.DUMMYFUNCTION("UPPER(LEFT((GOOGLETRANSLATE(F613,""en"",""pt"")),1))&amp;RIGHT(lower((GOOGLETRANSLATE(F613,""en"",""pt""))),(LEN((GOOGLETRANSLATE(F613,""en"",""pt"")))-1))"),"Mergulho")</f>
        <v>Mergulho</v>
      </c>
      <c r="H613" s="24" t="s">
        <v>5006</v>
      </c>
      <c r="I613" s="79"/>
      <c r="J613" s="79"/>
      <c r="K613" s="24"/>
      <c r="L613" s="24"/>
    </row>
    <row r="614" spans="1:12" ht="14.5">
      <c r="A614" s="20" t="s">
        <v>5007</v>
      </c>
      <c r="B614" s="20">
        <v>42</v>
      </c>
      <c r="C614" s="20">
        <v>85</v>
      </c>
      <c r="D614" s="20">
        <v>71</v>
      </c>
      <c r="E614" s="24"/>
      <c r="F614" s="20" t="s">
        <v>5008</v>
      </c>
      <c r="G614" s="24" t="str">
        <f ca="1">IFERROR(__xludf.DUMMYFUNCTION("UPPER(LEFT((GOOGLETRANSLATE(F614,""en"",""pt"")),1))&amp;RIGHT(lower((GOOGLETRANSLATE(F614,""en"",""pt""))),(LEN((GOOGLETRANSLATE(F614,""en"",""pt"")))-1))"),"Natação recreativa")</f>
        <v>Natação recreativa</v>
      </c>
      <c r="H614" s="24" t="s">
        <v>5009</v>
      </c>
      <c r="I614" s="79"/>
      <c r="J614" s="79"/>
      <c r="K614" s="24"/>
      <c r="L614" s="24"/>
    </row>
    <row r="615" spans="1:12" ht="14.5">
      <c r="A615" s="20" t="s">
        <v>5010</v>
      </c>
      <c r="B615" s="20">
        <v>42</v>
      </c>
      <c r="C615" s="20">
        <v>85</v>
      </c>
      <c r="D615" s="20">
        <v>80</v>
      </c>
      <c r="E615" s="24"/>
      <c r="F615" s="20" t="s">
        <v>5011</v>
      </c>
      <c r="G615" s="24" t="str">
        <f ca="1">IFERROR(__xludf.DUMMYFUNCTION("UPPER(LEFT((GOOGLETRANSLATE(F615,""en"",""pt"")),1))&amp;RIGHT(lower((GOOGLETRANSLATE(F615,""en"",""pt""))),(LEN((GOOGLETRANSLATE(F615,""en"",""pt"")))-1))"),"Atividades de spa")</f>
        <v>Atividades de spa</v>
      </c>
      <c r="H615" s="24" t="s">
        <v>5012</v>
      </c>
      <c r="I615" s="79"/>
      <c r="J615" s="79"/>
      <c r="K615" s="24"/>
      <c r="L615" s="24"/>
    </row>
    <row r="616" spans="1:12" ht="14.5">
      <c r="A616" s="20" t="s">
        <v>5013</v>
      </c>
      <c r="B616" s="20">
        <v>42</v>
      </c>
      <c r="C616" s="20">
        <v>85</v>
      </c>
      <c r="D616" s="20">
        <v>92</v>
      </c>
      <c r="E616" s="24"/>
      <c r="F616" s="20" t="s">
        <v>5014</v>
      </c>
      <c r="G616" s="24" t="str">
        <f ca="1">IFERROR(__xludf.DUMMYFUNCTION("UPPER(LEFT((GOOGLETRANSLATE(F616,""en"",""pt"")),1))&amp;RIGHT(lower((GOOGLETRANSLATE(F616,""en"",""pt""))),(LEN((GOOGLETRANSLATE(F616,""en"",""pt"")))-1))"),"Observação subaquática")</f>
        <v>Observação subaquática</v>
      </c>
      <c r="H616" s="24" t="s">
        <v>5015</v>
      </c>
      <c r="I616" s="79"/>
      <c r="J616" s="79"/>
      <c r="K616" s="24"/>
      <c r="L616" s="24"/>
    </row>
    <row r="617" spans="1:12" ht="14.5">
      <c r="A617" s="20" t="s">
        <v>5016</v>
      </c>
      <c r="B617" s="20">
        <v>42</v>
      </c>
      <c r="C617" s="20">
        <v>85</v>
      </c>
      <c r="D617" s="20">
        <v>94</v>
      </c>
      <c r="E617" s="24"/>
      <c r="F617" s="20" t="s">
        <v>5017</v>
      </c>
      <c r="G617" s="24" t="str">
        <f ca="1">IFERROR(__xludf.DUMMYFUNCTION("UPPER(LEFT((GOOGLETRANSLATE(F617,""en"",""pt"")),1))&amp;RIGHT(lower((GOOGLETRANSLATE(F617,""en"",""pt""))),(LEN((GOOGLETRANSLATE(F617,""en"",""pt"")))-1))"),"Caleira de água, escorrega e passeios tubo")</f>
        <v>Caleira de água, escorrega e passeios tubo</v>
      </c>
      <c r="H617" s="24" t="s">
        <v>5018</v>
      </c>
      <c r="I617" s="79"/>
      <c r="J617" s="79"/>
      <c r="K617" s="24"/>
      <c r="L617" s="24"/>
    </row>
    <row r="618" spans="1:12" ht="14.5">
      <c r="A618" s="20" t="s">
        <v>5019</v>
      </c>
      <c r="B618" s="20">
        <v>42</v>
      </c>
      <c r="C618" s="20">
        <v>85</v>
      </c>
      <c r="D618" s="20">
        <v>95</v>
      </c>
      <c r="E618" s="24"/>
      <c r="F618" s="20" t="s">
        <v>5020</v>
      </c>
      <c r="G618" s="24" t="str">
        <f ca="1">IFERROR(__xludf.DUMMYFUNCTION("UPPER(LEFT((GOOGLETRANSLATE(F618,""en"",""pt"")),1))&amp;RIGHT(lower((GOOGLETRANSLATE(F618,""en"",""pt""))),(LEN((GOOGLETRANSLATE(F618,""en"",""pt"")))-1))"),"Pólo aquático")</f>
        <v>Pólo aquático</v>
      </c>
      <c r="H618" s="24" t="s">
        <v>5021</v>
      </c>
      <c r="I618" s="79"/>
      <c r="J618" s="79"/>
      <c r="K618" s="24"/>
      <c r="L618" s="24"/>
    </row>
    <row r="619" spans="1:12" ht="14.5">
      <c r="A619" s="20" t="s">
        <v>5022</v>
      </c>
      <c r="B619" s="20">
        <v>42</v>
      </c>
      <c r="C619" s="20">
        <v>85</v>
      </c>
      <c r="D619" s="20">
        <v>97</v>
      </c>
      <c r="E619" s="24"/>
      <c r="F619" s="20" t="s">
        <v>5023</v>
      </c>
      <c r="G619" s="24" t="str">
        <f ca="1">IFERROR(__xludf.DUMMYFUNCTION("UPPER(LEFT((GOOGLETRANSLATE(F619,""en"",""pt"")),1))&amp;RIGHT(lower((GOOGLETRANSLATE(F619,""en"",""pt""))),(LEN((GOOGLETRANSLATE(F619,""en"",""pt"")))-1))"),"Wave riding")</f>
        <v>Wave riding</v>
      </c>
      <c r="H619" s="24" t="s">
        <v>5023</v>
      </c>
      <c r="I619" s="79"/>
      <c r="J619" s="79"/>
      <c r="K619" s="24"/>
      <c r="L619" s="24"/>
    </row>
    <row r="620" spans="1:12" ht="14.5">
      <c r="A620" s="20" t="s">
        <v>5024</v>
      </c>
      <c r="B620" s="20">
        <v>42</v>
      </c>
      <c r="C620" s="20">
        <v>85</v>
      </c>
      <c r="D620" s="20">
        <v>98</v>
      </c>
      <c r="E620" s="24"/>
      <c r="F620" s="20" t="s">
        <v>5025</v>
      </c>
      <c r="G620" s="24" t="str">
        <f ca="1">IFERROR(__xludf.DUMMYFUNCTION("UPPER(LEFT((GOOGLETRANSLATE(F620,""en"",""pt"")),1))&amp;RIGHT(lower((GOOGLETRANSLATE(F620,""en"",""pt""))),(LEN((GOOGLETRANSLATE(F620,""en"",""pt"")))-1))"),"Atividades banheira de hidromassagem")</f>
        <v>Atividades banheira de hidromassagem</v>
      </c>
      <c r="H620" s="24" t="s">
        <v>5026</v>
      </c>
      <c r="I620" s="79"/>
      <c r="J620" s="79"/>
      <c r="K620" s="24"/>
      <c r="L620" s="24"/>
    </row>
    <row r="621" spans="1:12" ht="14.5">
      <c r="A621" s="20" t="s">
        <v>5027</v>
      </c>
      <c r="B621" s="20">
        <v>42</v>
      </c>
      <c r="C621" s="20">
        <v>90</v>
      </c>
      <c r="D621" s="24"/>
      <c r="E621" s="24"/>
      <c r="F621" s="20" t="s">
        <v>5028</v>
      </c>
      <c r="G621" s="24" t="str">
        <f ca="1">IFERROR(__xludf.DUMMYFUNCTION("UPPER(LEFT((GOOGLETRANSLATE(F621,""en"",""pt"")),1))&amp;RIGHT(lower((GOOGLETRANSLATE(F621,""en"",""pt""))),(LEN((GOOGLETRANSLATE(F621,""en"",""pt"")))-1))"),"Atividades aquáticas")</f>
        <v>Atividades aquáticas</v>
      </c>
      <c r="H621" s="24" t="s">
        <v>5029</v>
      </c>
      <c r="I621" s="79"/>
      <c r="J621" s="79"/>
      <c r="K621" s="24"/>
      <c r="L621" s="24"/>
    </row>
    <row r="622" spans="1:12" ht="14.5">
      <c r="A622" s="20" t="s">
        <v>5030</v>
      </c>
      <c r="B622" s="20">
        <v>42</v>
      </c>
      <c r="C622" s="20">
        <v>90</v>
      </c>
      <c r="D622" s="20">
        <v>11</v>
      </c>
      <c r="E622" s="24"/>
      <c r="F622" s="20" t="s">
        <v>5031</v>
      </c>
      <c r="G622" s="24" t="str">
        <f ca="1">IFERROR(__xludf.DUMMYFUNCTION("UPPER(LEFT((GOOGLETRANSLATE(F622,""en"",""pt"")),1))&amp;RIGHT(lower((GOOGLETRANSLATE(F622,""en"",""pt""))),(LEN((GOOGLETRANSLATE(F622,""en"",""pt"")))-1))"),"Canoa slalom")</f>
        <v>Canoa slalom</v>
      </c>
      <c r="H622" s="24" t="s">
        <v>5032</v>
      </c>
      <c r="I622" s="79"/>
      <c r="J622" s="79"/>
      <c r="K622" s="24"/>
      <c r="L622" s="24"/>
    </row>
    <row r="623" spans="1:12" ht="14.5">
      <c r="A623" s="20" t="s">
        <v>5033</v>
      </c>
      <c r="B623" s="20">
        <v>42</v>
      </c>
      <c r="C623" s="20">
        <v>90</v>
      </c>
      <c r="D623" s="20">
        <v>12</v>
      </c>
      <c r="E623" s="24"/>
      <c r="F623" s="20" t="s">
        <v>5034</v>
      </c>
      <c r="G623" s="24" t="str">
        <f ca="1">IFERROR(__xludf.DUMMYFUNCTION("UPPER(LEFT((GOOGLETRANSLATE(F623,""en"",""pt"")),1))&amp;RIGHT(lower((GOOGLETRANSLATE(F623,""en"",""pt""))),(LEN((GOOGLETRANSLATE(F623,""en"",""pt"")))-1))"),"Canoa sprint")</f>
        <v>Canoa sprint</v>
      </c>
      <c r="H623" s="24" t="s">
        <v>5035</v>
      </c>
      <c r="I623" s="79"/>
      <c r="J623" s="79"/>
      <c r="K623" s="24"/>
      <c r="L623" s="24"/>
    </row>
    <row r="624" spans="1:12" ht="14.5">
      <c r="A624" s="20" t="s">
        <v>5036</v>
      </c>
      <c r="B624" s="20">
        <v>42</v>
      </c>
      <c r="C624" s="20">
        <v>90</v>
      </c>
      <c r="D624" s="20">
        <v>50</v>
      </c>
      <c r="E624" s="24"/>
      <c r="F624" s="20" t="s">
        <v>5037</v>
      </c>
      <c r="G624" s="24" t="str">
        <f ca="1">IFERROR(__xludf.DUMMYFUNCTION("UPPER(LEFT((GOOGLETRANSLATE(F624,""en"",""pt"")),1))&amp;RIGHT(lower((GOOGLETRANSLATE(F624,""en"",""pt""))),(LEN((GOOGLETRANSLATE(F624,""en"",""pt"")))-1))"),"Barco a motor")</f>
        <v>Barco a motor</v>
      </c>
      <c r="H624" s="24" t="s">
        <v>5038</v>
      </c>
      <c r="I624" s="79"/>
      <c r="J624" s="79"/>
      <c r="K624" s="24"/>
      <c r="L624" s="24"/>
    </row>
    <row r="625" spans="1:12" ht="14.5">
      <c r="A625" s="20" t="s">
        <v>5039</v>
      </c>
      <c r="B625" s="20">
        <v>42</v>
      </c>
      <c r="C625" s="20">
        <v>90</v>
      </c>
      <c r="D625" s="20">
        <v>73</v>
      </c>
      <c r="E625" s="24"/>
      <c r="F625" s="20" t="s">
        <v>5040</v>
      </c>
      <c r="G625" s="24" t="str">
        <f ca="1">IFERROR(__xludf.DUMMYFUNCTION("UPPER(LEFT((GOOGLETRANSLATE(F625,""en"",""pt"")),1))&amp;RIGHT(lower((GOOGLETRANSLATE(F625,""en"",""pt""))),(LEN((GOOGLETRANSLATE(F625,""en"",""pt"")))-1))"),"Remo")</f>
        <v>Remo</v>
      </c>
      <c r="H625" s="24" t="s">
        <v>5041</v>
      </c>
      <c r="I625" s="79"/>
      <c r="J625" s="79"/>
      <c r="K625" s="24"/>
      <c r="L625" s="24"/>
    </row>
    <row r="626" spans="1:12" ht="14.5">
      <c r="A626" s="20" t="s">
        <v>5042</v>
      </c>
      <c r="B626" s="20">
        <v>42</v>
      </c>
      <c r="C626" s="20">
        <v>90</v>
      </c>
      <c r="D626" s="20">
        <v>75</v>
      </c>
      <c r="E626" s="24"/>
      <c r="F626" s="20" t="s">
        <v>5043</v>
      </c>
      <c r="G626" s="24" t="str">
        <f ca="1">IFERROR(__xludf.DUMMYFUNCTION("UPPER(LEFT((GOOGLETRANSLATE(F626,""en"",""pt"")),1))&amp;RIGHT(lower((GOOGLETRANSLATE(F626,""en"",""pt""))),(LEN((GOOGLETRANSLATE(F626,""en"",""pt"")))-1))"),"Navegando")</f>
        <v>Navegando</v>
      </c>
      <c r="H626" s="24" t="s">
        <v>5044</v>
      </c>
      <c r="I626" s="79"/>
      <c r="J626" s="79"/>
      <c r="K626" s="24"/>
      <c r="L626" s="24"/>
    </row>
    <row r="627" spans="1:12" ht="14.5">
      <c r="A627" s="20" t="s">
        <v>5045</v>
      </c>
      <c r="B627" s="20">
        <v>42</v>
      </c>
      <c r="C627" s="20">
        <v>90</v>
      </c>
      <c r="D627" s="20">
        <v>97</v>
      </c>
      <c r="E627" s="24"/>
      <c r="F627" s="20" t="s">
        <v>5046</v>
      </c>
      <c r="G627" s="24" t="str">
        <f ca="1">IFERROR(__xludf.DUMMYFUNCTION("UPPER(LEFT((GOOGLETRANSLATE(F627,""en"",""pt"")),1))&amp;RIGHT(lower((GOOGLETRANSLATE(F627,""en"",""pt""))),(LEN((GOOGLETRANSLATE(F627,""en"",""pt"")))-1))"),"Esqui aquático")</f>
        <v>Esqui aquático</v>
      </c>
      <c r="H627" s="24" t="s">
        <v>5047</v>
      </c>
      <c r="I627" s="79"/>
      <c r="J627" s="79"/>
      <c r="K627" s="24"/>
      <c r="L627" s="24"/>
    </row>
    <row r="628" spans="1:12" ht="14.5">
      <c r="A628" s="20" t="s">
        <v>5048</v>
      </c>
      <c r="B628" s="20">
        <v>42</v>
      </c>
      <c r="C628" s="20">
        <v>90</v>
      </c>
      <c r="D628" s="20">
        <v>98</v>
      </c>
      <c r="E628" s="24"/>
      <c r="F628" s="20" t="s">
        <v>5049</v>
      </c>
      <c r="G628" s="24" t="str">
        <f ca="1">IFERROR(__xludf.DUMMYFUNCTION("UPPER(LEFT((GOOGLETRANSLATE(F628,""en"",""pt"")),1))&amp;RIGHT(lower((GOOGLETRANSLATE(F628,""en"",""pt""))),(LEN((GOOGLETRANSLATE(F628,""en"",""pt"")))-1))"),"Canoagem em águas brancas")</f>
        <v>Canoagem em águas brancas</v>
      </c>
      <c r="H628" s="24" t="s">
        <v>5050</v>
      </c>
      <c r="I628" s="79"/>
      <c r="J628" s="79"/>
      <c r="K628" s="24"/>
      <c r="L628" s="24"/>
    </row>
    <row r="629" spans="1:12" ht="14.5">
      <c r="A629" s="20" t="s">
        <v>5051</v>
      </c>
      <c r="B629" s="20">
        <v>42</v>
      </c>
      <c r="C629" s="20">
        <v>95</v>
      </c>
      <c r="D629" s="24"/>
      <c r="E629" s="24"/>
      <c r="F629" s="20" t="s">
        <v>5052</v>
      </c>
      <c r="G629" s="24" t="str">
        <f ca="1">IFERROR(__xludf.DUMMYFUNCTION("UPPER(LEFT((GOOGLETRANSLATE(F629,""en"",""pt"")),1))&amp;RIGHT(lower((GOOGLETRANSLATE(F629,""en"",""pt""))),(LEN((GOOGLETRANSLATE(F629,""en"",""pt"")))-1))"),"Desportos de inverno")</f>
        <v>Desportos de inverno</v>
      </c>
      <c r="H629" s="24" t="s">
        <v>5053</v>
      </c>
      <c r="I629" s="79"/>
      <c r="J629" s="79"/>
      <c r="K629" s="24"/>
      <c r="L629" s="24"/>
    </row>
    <row r="630" spans="1:12" ht="14.5">
      <c r="A630" s="20" t="s">
        <v>5054</v>
      </c>
      <c r="B630" s="20">
        <v>42</v>
      </c>
      <c r="C630" s="20">
        <v>95</v>
      </c>
      <c r="D630" s="20">
        <v>2</v>
      </c>
      <c r="E630" s="24"/>
      <c r="F630" s="20" t="s">
        <v>5055</v>
      </c>
      <c r="G630" s="24" t="str">
        <f ca="1">IFERROR(__xludf.DUMMYFUNCTION("UPPER(LEFT((GOOGLETRANSLATE(F630,""en"",""pt"")),1))&amp;RIGHT(lower((GOOGLETRANSLATE(F630,""en"",""pt""))),(LEN((GOOGLETRANSLATE(F630,""en"",""pt"")))-1))"),"Esqui alpino")</f>
        <v>Esqui alpino</v>
      </c>
      <c r="H630" s="24" t="s">
        <v>5056</v>
      </c>
      <c r="I630" s="79"/>
      <c r="J630" s="79"/>
      <c r="K630" s="24"/>
      <c r="L630" s="24"/>
    </row>
    <row r="631" spans="1:12" ht="14.5">
      <c r="A631" s="20" t="s">
        <v>5057</v>
      </c>
      <c r="B631" s="20">
        <v>42</v>
      </c>
      <c r="C631" s="20">
        <v>95</v>
      </c>
      <c r="D631" s="20">
        <v>8</v>
      </c>
      <c r="E631" s="24"/>
      <c r="F631" s="20" t="s">
        <v>5058</v>
      </c>
      <c r="G631" s="24" t="str">
        <f ca="1">IFERROR(__xludf.DUMMYFUNCTION("UPPER(LEFT((GOOGLETRANSLATE(F631,""en"",""pt"")),1))&amp;RIGHT(lower((GOOGLETRANSLATE(F631,""en"",""pt""))),(LEN((GOOGLETRANSLATE(F631,""en"",""pt"")))-1))"),"Bobsleighing")</f>
        <v>Bobsleighing</v>
      </c>
      <c r="H631" s="24" t="s">
        <v>5058</v>
      </c>
      <c r="I631" s="79"/>
      <c r="J631" s="79"/>
      <c r="K631" s="24"/>
      <c r="L631" s="24"/>
    </row>
    <row r="632" spans="1:12" ht="14.5">
      <c r="A632" s="20" t="s">
        <v>5059</v>
      </c>
      <c r="B632" s="20">
        <v>42</v>
      </c>
      <c r="C632" s="20">
        <v>95</v>
      </c>
      <c r="D632" s="20">
        <v>19</v>
      </c>
      <c r="E632" s="24"/>
      <c r="F632" s="20" t="s">
        <v>5060</v>
      </c>
      <c r="G632" s="24" t="str">
        <f ca="1">IFERROR(__xludf.DUMMYFUNCTION("UPPER(LEFT((GOOGLETRANSLATE(F632,""en"",""pt"")),1))&amp;RIGHT(lower((GOOGLETRANSLATE(F632,""en"",""pt""))),(LEN((GOOGLETRANSLATE(F632,""en"",""pt"")))-1))"),"Esqui cross-country")</f>
        <v>Esqui cross-country</v>
      </c>
      <c r="H632" s="24" t="s">
        <v>5061</v>
      </c>
      <c r="I632" s="79"/>
      <c r="J632" s="79"/>
      <c r="K632" s="24"/>
      <c r="L632" s="24"/>
    </row>
    <row r="633" spans="1:12" ht="14.5">
      <c r="A633" s="20" t="s">
        <v>5062</v>
      </c>
      <c r="B633" s="20">
        <v>42</v>
      </c>
      <c r="C633" s="20">
        <v>95</v>
      </c>
      <c r="D633" s="20">
        <v>20</v>
      </c>
      <c r="E633" s="24"/>
      <c r="F633" s="20" t="s">
        <v>5063</v>
      </c>
      <c r="G633" s="24" t="str">
        <f ca="1">IFERROR(__xludf.DUMMYFUNCTION("UPPER(LEFT((GOOGLETRANSLATE(F633,""en"",""pt"")),1))&amp;RIGHT(lower((GOOGLETRANSLATE(F633,""en"",""pt""))),(LEN((GOOGLETRANSLATE(F633,""en"",""pt"")))-1))"),"Ondulação")</f>
        <v>Ondulação</v>
      </c>
      <c r="H633" s="24" t="s">
        <v>5064</v>
      </c>
      <c r="I633" s="79"/>
      <c r="J633" s="79"/>
      <c r="K633" s="24"/>
      <c r="L633" s="24"/>
    </row>
    <row r="634" spans="1:12" ht="14.5">
      <c r="A634" s="20" t="s">
        <v>5065</v>
      </c>
      <c r="B634" s="20">
        <v>42</v>
      </c>
      <c r="C634" s="20">
        <v>95</v>
      </c>
      <c r="D634" s="20">
        <v>32</v>
      </c>
      <c r="E634" s="24"/>
      <c r="F634" s="20" t="s">
        <v>5066</v>
      </c>
      <c r="G634" s="24" t="str">
        <f ca="1">IFERROR(__xludf.DUMMYFUNCTION("UPPER(LEFT((GOOGLETRANSLATE(F634,""en"",""pt"")),1))&amp;RIGHT(lower((GOOGLETRANSLATE(F634,""en"",""pt""))),(LEN((GOOGLETRANSLATE(F634,""en"",""pt"")))-1))"),"Esquiando em estilo livre")</f>
        <v>Esquiando em estilo livre</v>
      </c>
      <c r="H634" s="24" t="s">
        <v>5067</v>
      </c>
      <c r="I634" s="79"/>
      <c r="J634" s="79"/>
      <c r="K634" s="24"/>
      <c r="L634" s="24"/>
    </row>
    <row r="635" spans="1:12" ht="14.5">
      <c r="A635" s="20" t="s">
        <v>5068</v>
      </c>
      <c r="B635" s="20">
        <v>42</v>
      </c>
      <c r="C635" s="20">
        <v>95</v>
      </c>
      <c r="D635" s="20">
        <v>40</v>
      </c>
      <c r="E635" s="24"/>
      <c r="F635" s="20" t="s">
        <v>5069</v>
      </c>
      <c r="G635" s="24" t="str">
        <f ca="1">IFERROR(__xludf.DUMMYFUNCTION("UPPER(LEFT((GOOGLETRANSLATE(F635,""en"",""pt"")),1))&amp;RIGHT(lower((GOOGLETRANSLATE(F635,""en"",""pt""))),(LEN((GOOGLETRANSLATE(F635,""en"",""pt"")))-1))"),"Patinagem no gelo")</f>
        <v>Patinagem no gelo</v>
      </c>
      <c r="H635" s="24" t="s">
        <v>5070</v>
      </c>
      <c r="I635" s="79"/>
      <c r="J635" s="79"/>
      <c r="K635" s="24"/>
      <c r="L635" s="24"/>
    </row>
    <row r="636" spans="1:12" ht="14.5">
      <c r="A636" s="20" t="s">
        <v>5071</v>
      </c>
      <c r="B636" s="20">
        <v>42</v>
      </c>
      <c r="C636" s="20">
        <v>95</v>
      </c>
      <c r="D636" s="20">
        <v>41</v>
      </c>
      <c r="E636" s="24"/>
      <c r="F636" s="20" t="s">
        <v>5072</v>
      </c>
      <c r="G636" s="24" t="str">
        <f ca="1">IFERROR(__xludf.DUMMYFUNCTION("UPPER(LEFT((GOOGLETRANSLATE(F636,""en"",""pt"")),1))&amp;RIGHT(lower((GOOGLETRANSLATE(F636,""en"",""pt""))),(LEN((GOOGLETRANSLATE(F636,""en"",""pt"")))-1))"),"Hockey no gelo")</f>
        <v>Hockey no gelo</v>
      </c>
      <c r="H636" s="24" t="s">
        <v>5073</v>
      </c>
      <c r="I636" s="79"/>
      <c r="J636" s="79"/>
      <c r="K636" s="24"/>
      <c r="L636" s="24"/>
    </row>
    <row r="637" spans="1:12" ht="14.5">
      <c r="A637" s="20" t="s">
        <v>5074</v>
      </c>
      <c r="B637" s="20">
        <v>42</v>
      </c>
      <c r="C637" s="20">
        <v>95</v>
      </c>
      <c r="D637" s="20">
        <v>49</v>
      </c>
      <c r="E637" s="24"/>
      <c r="F637" s="20" t="s">
        <v>5075</v>
      </c>
      <c r="G637" s="24" t="str">
        <f ca="1">IFERROR(__xludf.DUMMYFUNCTION("UPPER(LEFT((GOOGLETRANSLATE(F637,""en"",""pt"")),1))&amp;RIGHT(lower((GOOGLETRANSLATE(F637,""en"",""pt""))),(LEN((GOOGLETRANSLATE(F637,""en"",""pt"")))-1))"),"Luge")</f>
        <v>Luge</v>
      </c>
      <c r="H637" s="24" t="s">
        <v>5075</v>
      </c>
      <c r="I637" s="79"/>
      <c r="J637" s="79"/>
      <c r="K637" s="24"/>
      <c r="L637" s="24"/>
    </row>
    <row r="638" spans="1:12" ht="14.5">
      <c r="A638" s="20" t="s">
        <v>5076</v>
      </c>
      <c r="B638" s="20">
        <v>42</v>
      </c>
      <c r="C638" s="20">
        <v>95</v>
      </c>
      <c r="D638" s="20">
        <v>76</v>
      </c>
      <c r="E638" s="24"/>
      <c r="F638" s="20" t="s">
        <v>5077</v>
      </c>
      <c r="G638" s="24" t="str">
        <f ca="1">IFERROR(__xludf.DUMMYFUNCTION("UPPER(LEFT((GOOGLETRANSLATE(F638,""en"",""pt"")),1))&amp;RIGHT(lower((GOOGLETRANSLATE(F638,""en"",""pt""))),(LEN((GOOGLETRANSLATE(F638,""en"",""pt"")))-1))"),"Patinação de velocidade em pista curta")</f>
        <v>Patinação de velocidade em pista curta</v>
      </c>
      <c r="H638" s="24" t="s">
        <v>5078</v>
      </c>
      <c r="I638" s="79"/>
      <c r="J638" s="79"/>
      <c r="K638" s="24"/>
      <c r="L638" s="24"/>
    </row>
    <row r="639" spans="1:12" ht="14.5">
      <c r="A639" s="20" t="s">
        <v>5079</v>
      </c>
      <c r="B639" s="20">
        <v>42</v>
      </c>
      <c r="C639" s="20">
        <v>95</v>
      </c>
      <c r="D639" s="20">
        <v>77</v>
      </c>
      <c r="E639" s="24"/>
      <c r="F639" s="20" t="s">
        <v>5080</v>
      </c>
      <c r="G639" s="24" t="str">
        <f ca="1">IFERROR(__xludf.DUMMYFUNCTION("UPPER(LEFT((GOOGLETRANSLATE(F639,""en"",""pt"")),1))&amp;RIGHT(lower((GOOGLETRANSLATE(F639,""en"",""pt""))),(LEN((GOOGLETRANSLATE(F639,""en"",""pt"")))-1))"),"Esqueleto trenó")</f>
        <v>Esqueleto trenó</v>
      </c>
      <c r="H639" s="24" t="s">
        <v>5081</v>
      </c>
      <c r="I639" s="79"/>
      <c r="J639" s="79"/>
      <c r="K639" s="24"/>
      <c r="L639" s="24"/>
    </row>
    <row r="640" spans="1:12" ht="14.5">
      <c r="A640" s="20" t="s">
        <v>5082</v>
      </c>
      <c r="B640" s="20">
        <v>42</v>
      </c>
      <c r="C640" s="20">
        <v>95</v>
      </c>
      <c r="D640" s="20">
        <v>78</v>
      </c>
      <c r="E640" s="24"/>
      <c r="F640" s="20" t="s">
        <v>5083</v>
      </c>
      <c r="G640" s="24" t="str">
        <f ca="1">IFERROR(__xludf.DUMMYFUNCTION("UPPER(LEFT((GOOGLETRANSLATE(F640,""en"",""pt"")),1))&amp;RIGHT(lower((GOOGLETRANSLATE(F640,""en"",""pt""))),(LEN((GOOGLETRANSLATE(F640,""en"",""pt"")))-1))"),"Esquiar")</f>
        <v>Esquiar</v>
      </c>
      <c r="H640" s="24" t="s">
        <v>5084</v>
      </c>
      <c r="I640" s="79"/>
      <c r="J640" s="79"/>
      <c r="K640" s="24"/>
      <c r="L640" s="24"/>
    </row>
    <row r="641" spans="1:12" ht="14.5">
      <c r="A641" s="20" t="s">
        <v>5085</v>
      </c>
      <c r="B641" s="20">
        <v>42</v>
      </c>
      <c r="C641" s="20">
        <v>95</v>
      </c>
      <c r="D641" s="20">
        <v>79</v>
      </c>
      <c r="E641" s="24"/>
      <c r="F641" s="20" t="s">
        <v>5086</v>
      </c>
      <c r="G641" s="24" t="str">
        <f ca="1">IFERROR(__xludf.DUMMYFUNCTION("UPPER(LEFT((GOOGLETRANSLATE(F641,""en"",""pt"")),1))&amp;RIGHT(lower((GOOGLETRANSLATE(F641,""en"",""pt""))),(LEN((GOOGLETRANSLATE(F641,""en"",""pt"")))-1))"),"Salto de esqui")</f>
        <v>Salto de esqui</v>
      </c>
      <c r="H641" s="24" t="s">
        <v>5087</v>
      </c>
      <c r="I641" s="79"/>
      <c r="J641" s="79"/>
      <c r="K641" s="24"/>
      <c r="L641" s="24"/>
    </row>
    <row r="642" spans="1:12" ht="14.5">
      <c r="A642" s="20" t="s">
        <v>5088</v>
      </c>
      <c r="B642" s="20">
        <v>42</v>
      </c>
      <c r="C642" s="20">
        <v>95</v>
      </c>
      <c r="D642" s="20">
        <v>80</v>
      </c>
      <c r="E642" s="24"/>
      <c r="F642" s="20" t="s">
        <v>5089</v>
      </c>
      <c r="G642" s="24" t="str">
        <f ca="1">IFERROR(__xludf.DUMMYFUNCTION("UPPER(LEFT((GOOGLETRANSLATE(F642,""en"",""pt"")),1))&amp;RIGHT(lower((GOOGLETRANSLATE(F642,""en"",""pt""))),(LEN((GOOGLETRANSLATE(F642,""en"",""pt"")))-1))"),"Snowboarding")</f>
        <v>Snowboarding</v>
      </c>
      <c r="H642" s="24" t="s">
        <v>5089</v>
      </c>
      <c r="I642" s="79"/>
      <c r="J642" s="79"/>
      <c r="K642" s="24"/>
      <c r="L642" s="24"/>
    </row>
    <row r="643" spans="1:12" ht="14.5">
      <c r="A643" s="20" t="s">
        <v>5090</v>
      </c>
      <c r="B643" s="20">
        <v>42</v>
      </c>
      <c r="C643" s="20">
        <v>95</v>
      </c>
      <c r="D643" s="20">
        <v>83</v>
      </c>
      <c r="E643" s="24"/>
      <c r="F643" s="20" t="s">
        <v>5091</v>
      </c>
      <c r="G643" s="24" t="str">
        <f ca="1">IFERROR(__xludf.DUMMYFUNCTION("UPPER(LEFT((GOOGLETRANSLATE(F643,""en"",""pt"")),1))&amp;RIGHT(lower((GOOGLETRANSLATE(F643,""en"",""pt""))),(LEN((GOOGLETRANSLATE(F643,""en"",""pt"")))-1))"),"Patinação de velocidade")</f>
        <v>Patinação de velocidade</v>
      </c>
      <c r="H643" s="24" t="s">
        <v>5092</v>
      </c>
      <c r="I643" s="79"/>
      <c r="J643" s="79"/>
      <c r="K643" s="24"/>
      <c r="L643" s="24"/>
    </row>
    <row r="644" spans="1:12" ht="14.5">
      <c r="A644" s="20" t="s">
        <v>5093</v>
      </c>
      <c r="B644" s="20">
        <v>45</v>
      </c>
      <c r="C644" s="24"/>
      <c r="D644" s="24"/>
      <c r="E644" s="24"/>
      <c r="F644" s="20" t="s">
        <v>5094</v>
      </c>
      <c r="G644" s="24" t="str">
        <f ca="1">IFERROR(__xludf.DUMMYFUNCTION("UPPER(LEFT((GOOGLETRANSLATE(F644,""en"",""pt"")),1))&amp;RIGHT(lower((GOOGLETRANSLATE(F644,""en"",""pt""))),(LEN((GOOGLETRANSLATE(F644,""en"",""pt"")))-1))"),"Atividades residenciais")</f>
        <v>Atividades residenciais</v>
      </c>
      <c r="H644" s="24" t="s">
        <v>5095</v>
      </c>
      <c r="I644" s="79"/>
      <c r="J644" s="79"/>
      <c r="K644" s="24"/>
      <c r="L644" s="24"/>
    </row>
    <row r="645" spans="1:12" ht="14.5">
      <c r="A645" s="20" t="s">
        <v>5096</v>
      </c>
      <c r="B645" s="20">
        <v>45</v>
      </c>
      <c r="C645" s="20">
        <v>30</v>
      </c>
      <c r="D645" s="24"/>
      <c r="E645" s="24"/>
      <c r="F645" s="20" t="s">
        <v>5097</v>
      </c>
      <c r="G645" s="24" t="str">
        <f ca="1">IFERROR(__xludf.DUMMYFUNCTION("UPPER(LEFT((GOOGLETRANSLATE(F645,""en"",""pt"")),1))&amp;RIGHT(lower((GOOGLETRANSLATE(F645,""en"",""pt""))),(LEN((GOOGLETRANSLATE(F645,""en"",""pt"")))-1))"),"Atividades de vida externos")</f>
        <v>Atividades de vida externos</v>
      </c>
      <c r="H645" s="24" t="s">
        <v>5098</v>
      </c>
      <c r="I645" s="79"/>
      <c r="J645" s="79"/>
      <c r="K645" s="24"/>
      <c r="L645" s="24"/>
    </row>
    <row r="646" spans="1:12" ht="14.5">
      <c r="A646" s="20" t="s">
        <v>5099</v>
      </c>
      <c r="B646" s="20">
        <v>45</v>
      </c>
      <c r="C646" s="20">
        <v>30</v>
      </c>
      <c r="D646" s="20">
        <v>11</v>
      </c>
      <c r="E646" s="24"/>
      <c r="F646" s="20" t="s">
        <v>5100</v>
      </c>
      <c r="G646" s="24" t="str">
        <f ca="1">IFERROR(__xludf.DUMMYFUNCTION("UPPER(LEFT((GOOGLETRANSLATE(F646,""en"",""pt"")),1))&amp;RIGHT(lower((GOOGLETRANSLATE(F646,""en"",""pt""))),(LEN((GOOGLETRANSLATE(F646,""en"",""pt"")))-1))"),"Acampamento")</f>
        <v>Acampamento</v>
      </c>
      <c r="H646" s="24" t="s">
        <v>5101</v>
      </c>
      <c r="I646" s="79"/>
      <c r="J646" s="79"/>
      <c r="K646" s="24"/>
      <c r="L646" s="24"/>
    </row>
    <row r="647" spans="1:12" ht="14.5">
      <c r="A647" s="20" t="s">
        <v>5102</v>
      </c>
      <c r="B647" s="20">
        <v>45</v>
      </c>
      <c r="C647" s="20">
        <v>30</v>
      </c>
      <c r="D647" s="20">
        <v>12</v>
      </c>
      <c r="E647" s="24"/>
      <c r="F647" s="20" t="s">
        <v>5103</v>
      </c>
      <c r="G647" s="24" t="str">
        <f ca="1">IFERROR(__xludf.DUMMYFUNCTION("UPPER(LEFT((GOOGLETRANSLATE(F647,""en"",""pt"")),1))&amp;RIGHT(lower((GOOGLETRANSLATE(F647,""en"",""pt""))),(LEN((GOOGLETRANSLATE(F647,""en"",""pt"")))-1))"),"Caravanismo")</f>
        <v>Caravanismo</v>
      </c>
      <c r="H647" s="24" t="s">
        <v>5104</v>
      </c>
      <c r="I647" s="79"/>
      <c r="J647" s="79"/>
      <c r="K647" s="24"/>
      <c r="L647" s="24"/>
    </row>
    <row r="648" spans="1:12" ht="14.5">
      <c r="A648" s="20" t="s">
        <v>5105</v>
      </c>
      <c r="B648" s="20">
        <v>45</v>
      </c>
      <c r="C648" s="20">
        <v>30</v>
      </c>
      <c r="D648" s="20">
        <v>33</v>
      </c>
      <c r="E648" s="24"/>
      <c r="F648" s="20" t="s">
        <v>5106</v>
      </c>
      <c r="G648" s="24" t="str">
        <f ca="1">IFERROR(__xludf.DUMMYFUNCTION("UPPER(LEFT((GOOGLETRANSLATE(F648,""en"",""pt"")),1))&amp;RIGHT(lower((GOOGLETRANSLATE(F648,""en"",""pt""))),(LEN((GOOGLETRANSLATE(F648,""en"",""pt"")))-1))"),"Jardinagem")</f>
        <v>Jardinagem</v>
      </c>
      <c r="H648" s="24" t="s">
        <v>5107</v>
      </c>
      <c r="I648" s="79"/>
      <c r="J648" s="79"/>
      <c r="K648" s="24"/>
      <c r="L648" s="24"/>
    </row>
    <row r="649" spans="1:12" ht="14.5">
      <c r="A649" s="20" t="s">
        <v>5108</v>
      </c>
      <c r="B649" s="20">
        <v>45</v>
      </c>
      <c r="C649" s="20">
        <v>45</v>
      </c>
      <c r="D649" s="24"/>
      <c r="E649" s="24"/>
      <c r="F649" s="20" t="s">
        <v>5109</v>
      </c>
      <c r="G649" s="24" t="str">
        <f ca="1">IFERROR(__xludf.DUMMYFUNCTION("UPPER(LEFT((GOOGLETRANSLATE(F649,""en"",""pt"")),1))&amp;RIGHT(lower((GOOGLETRANSLATE(F649,""en"",""pt""))),(LEN((GOOGLETRANSLATE(F649,""en"",""pt"")))-1))"),"Atividades de vida")</f>
        <v>Atividades de vida</v>
      </c>
      <c r="H649" s="24" t="s">
        <v>5110</v>
      </c>
      <c r="I649" s="79"/>
      <c r="J649" s="79"/>
      <c r="K649" s="24"/>
      <c r="L649" s="24"/>
    </row>
    <row r="650" spans="1:12" ht="14.5">
      <c r="A650" s="20" t="s">
        <v>5111</v>
      </c>
      <c r="B650" s="20">
        <v>45</v>
      </c>
      <c r="C650" s="20">
        <v>45</v>
      </c>
      <c r="D650" s="20">
        <v>14</v>
      </c>
      <c r="E650" s="24"/>
      <c r="F650" s="20" t="s">
        <v>5112</v>
      </c>
      <c r="G650" s="24" t="str">
        <f ca="1">IFERROR(__xludf.DUMMYFUNCTION("UPPER(LEFT((GOOGLETRANSLATE(F650,""en"",""pt"")),1))&amp;RIGHT(lower((GOOGLETRANSLATE(F650,""en"",""pt""))),(LEN((GOOGLETRANSLATE(F650,""en"",""pt"")))-1))"),"Socialização comunitária")</f>
        <v>Socialização comunitária</v>
      </c>
      <c r="H650" s="24" t="s">
        <v>5113</v>
      </c>
      <c r="I650" s="79"/>
      <c r="J650" s="79"/>
      <c r="K650" s="24"/>
      <c r="L650" s="24"/>
    </row>
    <row r="651" spans="1:12" ht="14.5">
      <c r="A651" s="20" t="s">
        <v>5114</v>
      </c>
      <c r="B651" s="20">
        <v>45</v>
      </c>
      <c r="C651" s="20">
        <v>45</v>
      </c>
      <c r="D651" s="20">
        <v>22</v>
      </c>
      <c r="E651" s="24"/>
      <c r="F651" s="20" t="s">
        <v>5115</v>
      </c>
      <c r="G651" s="24" t="str">
        <f ca="1">IFERROR(__xludf.DUMMYFUNCTION("UPPER(LEFT((GOOGLETRANSLATE(F651,""en"",""pt"")),1))&amp;RIGHT(lower((GOOGLETRANSLATE(F651,""en"",""pt""))),(LEN((GOOGLETRANSLATE(F651,""en"",""pt"")))-1))"),"Jantar")</f>
        <v>Jantar</v>
      </c>
      <c r="H651" s="24" t="s">
        <v>5116</v>
      </c>
      <c r="I651" s="79"/>
      <c r="J651" s="79"/>
      <c r="K651" s="24"/>
      <c r="L651" s="24"/>
    </row>
    <row r="652" spans="1:12" ht="14.5">
      <c r="A652" s="20" t="s">
        <v>5117</v>
      </c>
      <c r="B652" s="20">
        <v>45</v>
      </c>
      <c r="C652" s="20">
        <v>45</v>
      </c>
      <c r="D652" s="20">
        <v>79</v>
      </c>
      <c r="E652" s="24"/>
      <c r="F652" s="20" t="s">
        <v>5118</v>
      </c>
      <c r="G652" s="24" t="str">
        <f ca="1">IFERROR(__xludf.DUMMYFUNCTION("UPPER(LEFT((GOOGLETRANSLATE(F652,""en"",""pt"")),1))&amp;RIGHT(lower((GOOGLETRANSLATE(F652,""en"",""pt""))),(LEN((GOOGLETRANSLATE(F652,""en"",""pt"")))-1))"),"Adormecido")</f>
        <v>Adormecido</v>
      </c>
      <c r="H652" s="24" t="s">
        <v>5119</v>
      </c>
      <c r="I652" s="79"/>
      <c r="J652" s="79"/>
      <c r="K652" s="24"/>
      <c r="L652" s="24"/>
    </row>
    <row r="653" spans="1:12" ht="14.5">
      <c r="A653" s="20" t="s">
        <v>5120</v>
      </c>
      <c r="B653" s="20">
        <v>45</v>
      </c>
      <c r="C653" s="20">
        <v>70</v>
      </c>
      <c r="D653" s="24"/>
      <c r="E653" s="24"/>
      <c r="F653" s="20" t="s">
        <v>5121</v>
      </c>
      <c r="G653" s="24" t="str">
        <f ca="1">IFERROR(__xludf.DUMMYFUNCTION("UPPER(LEFT((GOOGLETRANSLATE(F653,""en"",""pt"")),1))&amp;RIGHT(lower((GOOGLETRANSLATE(F653,""en"",""pt""))),(LEN((GOOGLETRANSLATE(F653,""en"",""pt"")))-1))"),"Atividades de apoio residenciais")</f>
        <v>Atividades de apoio residenciais</v>
      </c>
      <c r="H653" s="24" t="s">
        <v>5122</v>
      </c>
      <c r="I653" s="79"/>
      <c r="J653" s="79"/>
      <c r="K653" s="24"/>
      <c r="L653" s="24"/>
    </row>
    <row r="654" spans="1:12" ht="14.5">
      <c r="A654" s="20" t="s">
        <v>5123</v>
      </c>
      <c r="B654" s="20">
        <v>45</v>
      </c>
      <c r="C654" s="20">
        <v>70</v>
      </c>
      <c r="D654" s="20">
        <v>16</v>
      </c>
      <c r="E654" s="24"/>
      <c r="F654" s="20" t="s">
        <v>5124</v>
      </c>
      <c r="G654" s="24" t="str">
        <f ca="1">IFERROR(__xludf.DUMMYFUNCTION("UPPER(LEFT((GOOGLETRANSLATE(F654,""en"",""pt"")),1))&amp;RIGHT(lower((GOOGLETRANSLATE(F654,""en"",""pt""))),(LEN((GOOGLETRANSLATE(F654,""en"",""pt"")))-1))"),"Serviço concierge")</f>
        <v>Serviço concierge</v>
      </c>
      <c r="H654" s="24" t="s">
        <v>5125</v>
      </c>
      <c r="I654" s="79"/>
      <c r="J654" s="79"/>
      <c r="K654" s="24"/>
      <c r="L654" s="24"/>
    </row>
    <row r="655" spans="1:12" ht="14.5">
      <c r="A655" s="20" t="s">
        <v>5126</v>
      </c>
      <c r="B655" s="20">
        <v>45</v>
      </c>
      <c r="C655" s="20">
        <v>70</v>
      </c>
      <c r="D655" s="20">
        <v>93</v>
      </c>
      <c r="E655" s="24"/>
      <c r="F655" s="20" t="s">
        <v>5127</v>
      </c>
      <c r="G655" s="24" t="str">
        <f ca="1">IFERROR(__xludf.DUMMYFUNCTION("UPPER(LEFT((GOOGLETRANSLATE(F655,""en"",""pt"")),1))&amp;RIGHT(lower((GOOGLETRANSLATE(F655,""en"",""pt""))),(LEN((GOOGLETRANSLATE(F655,""en"",""pt"")))-1))"),"Atividades de utilidade pública")</f>
        <v>Atividades de utilidade pública</v>
      </c>
      <c r="H655" s="24" t="s">
        <v>5128</v>
      </c>
      <c r="I655" s="79"/>
      <c r="J655" s="79"/>
      <c r="K655" s="24"/>
      <c r="L655" s="24"/>
    </row>
    <row r="656" spans="1:12" ht="14.5">
      <c r="A656" s="20" t="s">
        <v>5129</v>
      </c>
      <c r="B656" s="20">
        <v>50</v>
      </c>
      <c r="C656" s="24"/>
      <c r="D656" s="24"/>
      <c r="E656" s="24"/>
      <c r="F656" s="20" t="s">
        <v>5130</v>
      </c>
      <c r="G656" s="24" t="str">
        <f ca="1">IFERROR(__xludf.DUMMYFUNCTION("UPPER(LEFT((GOOGLETRANSLATE(F656,""en"",""pt"")),1))&amp;RIGHT(lower((GOOGLETRANSLATE(F656,""en"",""pt""))),(LEN((GOOGLETRANSLATE(F656,""en"",""pt"")))-1))"),"Resíduos de actividades de eliminação")</f>
        <v>Resíduos de actividades de eliminação</v>
      </c>
      <c r="H656" s="24" t="s">
        <v>5131</v>
      </c>
      <c r="I656" s="79"/>
      <c r="J656" s="79"/>
      <c r="K656" s="24"/>
      <c r="L656" s="24"/>
    </row>
    <row r="657" spans="1:12" ht="14.5">
      <c r="A657" s="20" t="s">
        <v>5132</v>
      </c>
      <c r="B657" s="20">
        <v>50</v>
      </c>
      <c r="C657" s="20">
        <v>40</v>
      </c>
      <c r="D657" s="24"/>
      <c r="E657" s="24"/>
      <c r="F657" s="20" t="s">
        <v>5133</v>
      </c>
      <c r="G657" s="24" t="str">
        <f ca="1">IFERROR(__xludf.DUMMYFUNCTION("UPPER(LEFT((GOOGLETRANSLATE(F657,""en"",""pt"")),1))&amp;RIGHT(lower((GOOGLETRANSLATE(F657,""en"",""pt""))),(LEN((GOOGLETRANSLATE(F657,""en"",""pt"")))-1))"),"Coleta de lixo seco")</f>
        <v>Coleta de lixo seco</v>
      </c>
      <c r="H657" s="24" t="s">
        <v>5134</v>
      </c>
      <c r="I657" s="79"/>
      <c r="J657" s="79"/>
      <c r="K657" s="24"/>
      <c r="L657" s="24"/>
    </row>
    <row r="658" spans="1:12" ht="14.5">
      <c r="A658" s="20" t="s">
        <v>5135</v>
      </c>
      <c r="B658" s="20">
        <v>50</v>
      </c>
      <c r="C658" s="20">
        <v>40</v>
      </c>
      <c r="D658" s="20">
        <v>72</v>
      </c>
      <c r="E658" s="24"/>
      <c r="F658" s="20" t="s">
        <v>5136</v>
      </c>
      <c r="G658" s="24" t="str">
        <f ca="1">IFERROR(__xludf.DUMMYFUNCTION("UPPER(LEFT((GOOGLETRANSLATE(F658,""en"",""pt"")),1))&amp;RIGHT(lower((GOOGLETRANSLATE(F658,""en"",""pt""))),(LEN((GOOGLETRANSLATE(F658,""en"",""pt"")))-1))"),"Armazenamento de lixo")</f>
        <v>Armazenamento de lixo</v>
      </c>
      <c r="H658" s="24" t="s">
        <v>5137</v>
      </c>
      <c r="I658" s="79"/>
      <c r="J658" s="79"/>
      <c r="K658" s="24"/>
      <c r="L658" s="24"/>
    </row>
    <row r="659" spans="1:12" ht="14.5">
      <c r="A659" s="20" t="s">
        <v>5138</v>
      </c>
      <c r="B659" s="20">
        <v>50</v>
      </c>
      <c r="C659" s="20">
        <v>40</v>
      </c>
      <c r="D659" s="20">
        <v>78</v>
      </c>
      <c r="E659" s="24"/>
      <c r="F659" s="20" t="s">
        <v>5139</v>
      </c>
      <c r="G659" s="24" t="str">
        <f ca="1">IFERROR(__xludf.DUMMYFUNCTION("UPPER(LEFT((GOOGLETRANSLATE(F659,""en"",""pt"")),1))&amp;RIGHT(lower((GOOGLETRANSLATE(F659,""en"",""pt""))),(LEN((GOOGLETRANSLATE(F659,""en"",""pt"")))-1))"),"Demolição")</f>
        <v>Demolição</v>
      </c>
      <c r="H659" s="24" t="s">
        <v>3381</v>
      </c>
      <c r="I659" s="79"/>
      <c r="J659" s="79"/>
      <c r="K659" s="24"/>
      <c r="L659" s="24"/>
    </row>
    <row r="660" spans="1:12" ht="14.5">
      <c r="A660" s="20" t="s">
        <v>5140</v>
      </c>
      <c r="B660" s="20">
        <v>55</v>
      </c>
      <c r="C660" s="24"/>
      <c r="D660" s="24"/>
      <c r="E660" s="24"/>
      <c r="F660" s="20" t="s">
        <v>5141</v>
      </c>
      <c r="G660" s="24" t="str">
        <f ca="1">IFERROR(__xludf.DUMMYFUNCTION("UPPER(LEFT((GOOGLETRANSLATE(F660,""en"",""pt"")),1))&amp;RIGHT(lower((GOOGLETRANSLATE(F660,""en"",""pt""))),(LEN((GOOGLETRANSLATE(F660,""en"",""pt"")))-1))"),"Atividades de abastecimento canalizado")</f>
        <v>Atividades de abastecimento canalizado</v>
      </c>
      <c r="H660" s="24" t="s">
        <v>5142</v>
      </c>
      <c r="I660" s="79"/>
      <c r="J660" s="79"/>
      <c r="K660" s="24"/>
      <c r="L660" s="24"/>
    </row>
    <row r="661" spans="1:12" ht="14.5">
      <c r="A661" s="20" t="s">
        <v>5143</v>
      </c>
      <c r="B661" s="20">
        <v>55</v>
      </c>
      <c r="C661" s="20">
        <v>60</v>
      </c>
      <c r="D661" s="24"/>
      <c r="E661" s="24"/>
      <c r="F661" s="20" t="s">
        <v>5144</v>
      </c>
      <c r="G661" s="24" t="str">
        <f ca="1">IFERROR(__xludf.DUMMYFUNCTION("UPPER(LEFT((GOOGLETRANSLATE(F661,""en"",""pt"")),1))&amp;RIGHT(lower((GOOGLETRANSLATE(F661,""en"",""pt""))),(LEN((GOOGLETRANSLATE(F661,""en"",""pt"")))-1))"),"Canalizado testes de instalações de abastecimento")</f>
        <v>Canalizado testes de instalações de abastecimento</v>
      </c>
      <c r="H661" s="24" t="s">
        <v>5145</v>
      </c>
      <c r="I661" s="79"/>
      <c r="J661" s="79"/>
      <c r="K661" s="24"/>
      <c r="L661" s="24"/>
    </row>
    <row r="662" spans="1:12" ht="14.5">
      <c r="A662" s="20" t="s">
        <v>5146</v>
      </c>
      <c r="B662" s="20">
        <v>55</v>
      </c>
      <c r="C662" s="20">
        <v>60</v>
      </c>
      <c r="D662" s="20">
        <v>30</v>
      </c>
      <c r="E662" s="24"/>
      <c r="F662" s="20" t="s">
        <v>5147</v>
      </c>
      <c r="G662" s="24" t="str">
        <f ca="1">IFERROR(__xludf.DUMMYFUNCTION("UPPER(LEFT((GOOGLETRANSLATE(F662,""en"",""pt"")),1))&amp;RIGHT(lower((GOOGLETRANSLATE(F662,""en"",""pt""))),(LEN((GOOGLETRANSLATE(F662,""en"",""pt"")))-1))"),"Testes de instalação de extinção de incêndio")</f>
        <v>Testes de instalação de extinção de incêndio</v>
      </c>
      <c r="H662" s="24" t="s">
        <v>5148</v>
      </c>
      <c r="I662" s="79"/>
      <c r="J662" s="79"/>
      <c r="K662" s="24"/>
      <c r="L662" s="24"/>
    </row>
    <row r="663" spans="1:12" ht="14.5">
      <c r="A663" s="20" t="s">
        <v>5149</v>
      </c>
      <c r="B663" s="20">
        <v>55</v>
      </c>
      <c r="C663" s="20">
        <v>60</v>
      </c>
      <c r="D663" s="20">
        <v>68</v>
      </c>
      <c r="E663" s="24"/>
      <c r="F663" s="20" t="s">
        <v>5150</v>
      </c>
      <c r="G663" s="24" t="str">
        <f ca="1">IFERROR(__xludf.DUMMYFUNCTION("UPPER(LEFT((GOOGLETRANSLATE(F663,""en"",""pt"")),1))&amp;RIGHT(lower((GOOGLETRANSLATE(F663,""en"",""pt""))),(LEN((GOOGLETRANSLATE(F663,""en"",""pt"")))-1))"),"Teste da instalação de saúde pública")</f>
        <v>Teste da instalação de saúde pública</v>
      </c>
      <c r="H663" s="24" t="s">
        <v>5151</v>
      </c>
      <c r="I663" s="79"/>
      <c r="J663" s="79"/>
      <c r="K663" s="24"/>
      <c r="L663" s="24"/>
    </row>
    <row r="664" spans="1:12" ht="14.5">
      <c r="A664" s="20" t="s">
        <v>5152</v>
      </c>
      <c r="B664" s="20">
        <v>55</v>
      </c>
      <c r="C664" s="20">
        <v>60</v>
      </c>
      <c r="D664" s="20">
        <v>96</v>
      </c>
      <c r="E664" s="24"/>
      <c r="F664" s="20" t="s">
        <v>5153</v>
      </c>
      <c r="G664" s="24" t="str">
        <f ca="1">IFERROR(__xludf.DUMMYFUNCTION("UPPER(LEFT((GOOGLETRANSLATE(F664,""en"",""pt"")),1))&amp;RIGHT(lower((GOOGLETRANSLATE(F664,""en"",""pt""))),(LEN((GOOGLETRANSLATE(F664,""en"",""pt"")))-1))"),"Teste da instalação de abastecimento de água")</f>
        <v>Teste da instalação de abastecimento de água</v>
      </c>
      <c r="H664" s="24" t="s">
        <v>5154</v>
      </c>
      <c r="I664" s="79"/>
      <c r="J664" s="79"/>
      <c r="K664" s="24"/>
      <c r="L664" s="24"/>
    </row>
    <row r="665" spans="1:12" ht="14.5">
      <c r="A665" s="20" t="s">
        <v>5155</v>
      </c>
      <c r="B665" s="20">
        <v>55</v>
      </c>
      <c r="C665" s="20">
        <v>65</v>
      </c>
      <c r="D665" s="24"/>
      <c r="E665" s="24"/>
      <c r="F665" s="20" t="s">
        <v>5156</v>
      </c>
      <c r="G665" s="24" t="str">
        <f ca="1">IFERROR(__xludf.DUMMYFUNCTION("UPPER(LEFT((GOOGLETRANSLATE(F665,""en"",""pt"")),1))&amp;RIGHT(lower((GOOGLETRANSLATE(F665,""en"",""pt""))),(LEN((GOOGLETRANSLATE(F665,""en"",""pt"")))-1))"),"Sistemas de abastecimento canalizado de comissionamento")</f>
        <v>Sistemas de abastecimento canalizado de comissionamento</v>
      </c>
      <c r="H665" s="24" t="s">
        <v>5157</v>
      </c>
      <c r="I665" s="79"/>
      <c r="J665" s="79"/>
      <c r="K665" s="24"/>
      <c r="L665" s="24"/>
    </row>
    <row r="666" spans="1:12" ht="14.5">
      <c r="A666" s="20" t="s">
        <v>5158</v>
      </c>
      <c r="B666" s="20">
        <v>55</v>
      </c>
      <c r="C666" s="20">
        <v>65</v>
      </c>
      <c r="D666" s="20">
        <v>31</v>
      </c>
      <c r="E666" s="24"/>
      <c r="F666" s="20" t="s">
        <v>5159</v>
      </c>
      <c r="G666" s="24" t="str">
        <f ca="1">IFERROR(__xludf.DUMMYFUNCTION("UPPER(LEFT((GOOGLETRANSLATE(F666,""en"",""pt"")),1))&amp;RIGHT(lower((GOOGLETRANSLATE(F666,""en"",""pt""))),(LEN((GOOGLETRANSLATE(F666,""en"",""pt"")))-1))"),"Sistemas de extinção de incêndios de comissionamento")</f>
        <v>Sistemas de extinção de incêndios de comissionamento</v>
      </c>
      <c r="H666" s="24" t="s">
        <v>5160</v>
      </c>
      <c r="I666" s="79"/>
      <c r="J666" s="79"/>
      <c r="K666" s="24"/>
      <c r="L666" s="24"/>
    </row>
    <row r="667" spans="1:12" ht="14.5">
      <c r="A667" s="20" t="s">
        <v>5161</v>
      </c>
      <c r="B667" s="20">
        <v>55</v>
      </c>
      <c r="C667" s="20">
        <v>65</v>
      </c>
      <c r="D667" s="20">
        <v>96</v>
      </c>
      <c r="E667" s="24"/>
      <c r="F667" s="20" t="s">
        <v>5162</v>
      </c>
      <c r="G667" s="24" t="str">
        <f ca="1">IFERROR(__xludf.DUMMYFUNCTION("UPPER(LEFT((GOOGLETRANSLATE(F667,""en"",""pt"")),1))&amp;RIGHT(lower((GOOGLETRANSLATE(F667,""en"",""pt""))),(LEN((GOOGLETRANSLATE(F667,""en"",""pt"")))-1))"),"Sistemas de abastecimento de água de comissionamento")</f>
        <v>Sistemas de abastecimento de água de comissionamento</v>
      </c>
      <c r="H667" s="24" t="s">
        <v>5163</v>
      </c>
      <c r="I667" s="79"/>
      <c r="J667" s="79"/>
      <c r="K667" s="24"/>
      <c r="L667" s="24"/>
    </row>
    <row r="668" spans="1:12" ht="14.5">
      <c r="A668" s="20" t="s">
        <v>5164</v>
      </c>
      <c r="B668" s="20">
        <v>60</v>
      </c>
      <c r="C668" s="24"/>
      <c r="D668" s="24"/>
      <c r="E668" s="24"/>
      <c r="F668" s="20" t="s">
        <v>5165</v>
      </c>
      <c r="G668" s="24" t="str">
        <f ca="1">IFERROR(__xludf.DUMMYFUNCTION("UPPER(LEFT((GOOGLETRANSLATE(F668,""en"",""pt"")),1))&amp;RIGHT(lower((GOOGLETRANSLATE(F668,""en"",""pt""))),(LEN((GOOGLETRANSLATE(F668,""en"",""pt"")))-1))"),"Aquecimento, actividades de refrigeração de arrefecimento e")</f>
        <v>Aquecimento, actividades de refrigeração de arrefecimento e</v>
      </c>
      <c r="H668" s="24" t="s">
        <v>5166</v>
      </c>
      <c r="I668" s="79"/>
      <c r="J668" s="79"/>
      <c r="K668" s="24"/>
      <c r="L668" s="24"/>
    </row>
    <row r="669" spans="1:12" ht="14.5">
      <c r="A669" s="20" t="s">
        <v>5167</v>
      </c>
      <c r="B669" s="20">
        <v>60</v>
      </c>
      <c r="C669" s="20">
        <v>60</v>
      </c>
      <c r="D669" s="24"/>
      <c r="E669" s="24"/>
      <c r="F669" s="20" t="s">
        <v>5168</v>
      </c>
      <c r="G669" s="24" t="str">
        <f ca="1">IFERROR(__xludf.DUMMYFUNCTION("UPPER(LEFT((GOOGLETRANSLATE(F669,""en"",""pt"")),1))&amp;RIGHT(lower((GOOGLETRANSLATE(F669,""en"",""pt""))),(LEN((GOOGLETRANSLATE(F669,""en"",""pt"")))-1))"),"Aquecimento e instalações de água gelada testar")</f>
        <v>Aquecimento e instalações de água gelada testar</v>
      </c>
      <c r="H669" s="24" t="s">
        <v>5169</v>
      </c>
      <c r="I669" s="79"/>
      <c r="J669" s="79"/>
      <c r="K669" s="24"/>
      <c r="L669" s="24"/>
    </row>
    <row r="670" spans="1:12" ht="14.5">
      <c r="A670" s="20" t="s">
        <v>5170</v>
      </c>
      <c r="B670" s="20">
        <v>60</v>
      </c>
      <c r="C670" s="20">
        <v>60</v>
      </c>
      <c r="D670" s="20">
        <v>13</v>
      </c>
      <c r="E670" s="24"/>
      <c r="F670" s="20" t="s">
        <v>5171</v>
      </c>
      <c r="G670" s="24" t="str">
        <f ca="1">IFERROR(__xludf.DUMMYFUNCTION("UPPER(LEFT((GOOGLETRANSLATE(F670,""en"",""pt"")),1))&amp;RIGHT(lower((GOOGLETRANSLATE(F670,""en"",""pt""))),(LEN((GOOGLETRANSLATE(F670,""en"",""pt"")))-1))"),"Refrigeradas testes instalações de água")</f>
        <v>Refrigeradas testes instalações de água</v>
      </c>
      <c r="H670" s="24" t="s">
        <v>5172</v>
      </c>
      <c r="I670" s="79"/>
      <c r="J670" s="79"/>
      <c r="K670" s="24"/>
      <c r="L670" s="24"/>
    </row>
    <row r="671" spans="1:12" ht="14.5">
      <c r="A671" s="20" t="s">
        <v>5173</v>
      </c>
      <c r="B671" s="20">
        <v>60</v>
      </c>
      <c r="C671" s="20">
        <v>60</v>
      </c>
      <c r="D671" s="20">
        <v>36</v>
      </c>
      <c r="E671" s="24"/>
      <c r="F671" s="20" t="s">
        <v>5174</v>
      </c>
      <c r="G671" s="24" t="str">
        <f ca="1">IFERROR(__xludf.DUMMYFUNCTION("UPPER(LEFT((GOOGLETRANSLATE(F671,""en"",""pt"")),1))&amp;RIGHT(lower((GOOGLETRANSLATE(F671,""en"",""pt""))),(LEN((GOOGLETRANSLATE(F671,""en"",""pt"")))-1))"),"Aquecimento instalações de teste")</f>
        <v>Aquecimento instalações de teste</v>
      </c>
      <c r="H671" s="24" t="s">
        <v>5175</v>
      </c>
      <c r="I671" s="79"/>
      <c r="J671" s="79"/>
      <c r="K671" s="24"/>
      <c r="L671" s="24"/>
    </row>
    <row r="672" spans="1:12" ht="14.5">
      <c r="A672" s="20" t="s">
        <v>5176</v>
      </c>
      <c r="B672" s="20">
        <v>60</v>
      </c>
      <c r="C672" s="20">
        <v>60</v>
      </c>
      <c r="D672" s="20">
        <v>63</v>
      </c>
      <c r="E672" s="24"/>
      <c r="F672" s="20" t="s">
        <v>5177</v>
      </c>
      <c r="G672" s="24" t="str">
        <f ca="1">IFERROR(__xludf.DUMMYFUNCTION("UPPER(LEFT((GOOGLETRANSLATE(F672,""en"",""pt"")),1))&amp;RIGHT(lower((GOOGLETRANSLATE(F672,""en"",""pt""))),(LEN((GOOGLETRANSLATE(F672,""en"",""pt"")))-1))"),"Aquecimento e arrefecimento ensaio de instalações e equipamento")</f>
        <v>Aquecimento e arrefecimento ensaio de instalações e equipamento</v>
      </c>
      <c r="H672" s="24" t="s">
        <v>5178</v>
      </c>
      <c r="I672" s="79"/>
      <c r="J672" s="79"/>
      <c r="K672" s="24"/>
      <c r="L672" s="24"/>
    </row>
    <row r="673" spans="1:12" ht="14.5">
      <c r="A673" s="20" t="s">
        <v>5179</v>
      </c>
      <c r="B673" s="20">
        <v>60</v>
      </c>
      <c r="C673" s="20">
        <v>60</v>
      </c>
      <c r="D673" s="20">
        <v>65</v>
      </c>
      <c r="E673" s="24"/>
      <c r="F673" s="20" t="s">
        <v>5180</v>
      </c>
      <c r="G673" s="24" t="str">
        <f ca="1">IFERROR(__xludf.DUMMYFUNCTION("UPPER(LEFT((GOOGLETRANSLATE(F673,""en"",""pt"")),1))&amp;RIGHT(lower((GOOGLETRANSLATE(F673,""en"",""pt""))),(LEN((GOOGLETRANSLATE(F673,""en"",""pt"")))-1))"),"Teste de pressão tubagem")</f>
        <v>Teste de pressão tubagem</v>
      </c>
      <c r="H673" s="24" t="s">
        <v>5181</v>
      </c>
      <c r="I673" s="79"/>
      <c r="J673" s="79"/>
      <c r="K673" s="24"/>
      <c r="L673" s="24"/>
    </row>
    <row r="674" spans="1:12" ht="14.5">
      <c r="A674" s="20" t="s">
        <v>5182</v>
      </c>
      <c r="B674" s="20">
        <v>60</v>
      </c>
      <c r="C674" s="20">
        <v>65</v>
      </c>
      <c r="D674" s="24"/>
      <c r="E674" s="24"/>
      <c r="F674" s="20" t="s">
        <v>5183</v>
      </c>
      <c r="G674" s="24" t="str">
        <f ca="1">IFERROR(__xludf.DUMMYFUNCTION("UPPER(LEFT((GOOGLETRANSLATE(F674,""en"",""pt"")),1))&amp;RIGHT(lower((GOOGLETRANSLATE(F674,""en"",""pt""))),(LEN((GOOGLETRANSLATE(F674,""en"",""pt"")))-1))"),"Aquecimento e sistemas de arrefecimento e planta comissionamento")</f>
        <v>Aquecimento e sistemas de arrefecimento e planta comissionamento</v>
      </c>
      <c r="H674" s="24" t="s">
        <v>5184</v>
      </c>
      <c r="I674" s="79"/>
      <c r="J674" s="79"/>
      <c r="K674" s="24"/>
      <c r="L674" s="24"/>
    </row>
    <row r="675" spans="1:12" ht="14.5">
      <c r="A675" s="20" t="s">
        <v>5185</v>
      </c>
      <c r="B675" s="20">
        <v>60</v>
      </c>
      <c r="C675" s="20">
        <v>65</v>
      </c>
      <c r="D675" s="20">
        <v>6</v>
      </c>
      <c r="E675" s="24"/>
      <c r="F675" s="20" t="s">
        <v>5186</v>
      </c>
      <c r="G675" s="24" t="str">
        <f ca="1">IFERROR(__xludf.DUMMYFUNCTION("UPPER(LEFT((GOOGLETRANSLATE(F675,""en"",""pt"")),1))&amp;RIGHT(lower((GOOGLETRANSLATE(F675,""en"",""pt""))),(LEN((GOOGLETRANSLATE(F675,""en"",""pt"")))-1))"),"Caldeiras de comissionamento")</f>
        <v>Caldeiras de comissionamento</v>
      </c>
      <c r="H675" s="24" t="s">
        <v>5187</v>
      </c>
      <c r="I675" s="79"/>
      <c r="J675" s="79"/>
      <c r="K675" s="24"/>
      <c r="L675" s="24"/>
    </row>
    <row r="676" spans="1:12" ht="14.5">
      <c r="A676" s="20" t="s">
        <v>5188</v>
      </c>
      <c r="B676" s="20">
        <v>60</v>
      </c>
      <c r="C676" s="20">
        <v>65</v>
      </c>
      <c r="D676" s="20">
        <v>13</v>
      </c>
      <c r="E676" s="24"/>
      <c r="F676" s="20" t="s">
        <v>5189</v>
      </c>
      <c r="G676" s="24" t="str">
        <f ca="1">IFERROR(__xludf.DUMMYFUNCTION("UPPER(LEFT((GOOGLETRANSLATE(F676,""en"",""pt"")),1))&amp;RIGHT(lower((GOOGLETRANSLATE(F676,""en"",""pt""))),(LEN((GOOGLETRANSLATE(F676,""en"",""pt"")))-1))"),"Sistemas de água gelada comissionamento")</f>
        <v>Sistemas de água gelada comissionamento</v>
      </c>
      <c r="H676" s="24" t="s">
        <v>5190</v>
      </c>
      <c r="I676" s="79"/>
      <c r="J676" s="79"/>
      <c r="K676" s="24"/>
      <c r="L676" s="24"/>
    </row>
    <row r="677" spans="1:12" ht="14.5">
      <c r="A677" s="20" t="s">
        <v>5191</v>
      </c>
      <c r="B677" s="20">
        <v>60</v>
      </c>
      <c r="C677" s="20">
        <v>65</v>
      </c>
      <c r="D677" s="20">
        <v>36</v>
      </c>
      <c r="E677" s="24"/>
      <c r="F677" s="20" t="s">
        <v>5192</v>
      </c>
      <c r="G677" s="24" t="str">
        <f ca="1">IFERROR(__xludf.DUMMYFUNCTION("UPPER(LEFT((GOOGLETRANSLATE(F677,""en"",""pt"")),1))&amp;RIGHT(lower((GOOGLETRANSLATE(F677,""en"",""pt""))),(LEN((GOOGLETRANSLATE(F677,""en"",""pt"")))-1))"),"Sistemas de aquecimento de comissionamento")</f>
        <v>Sistemas de aquecimento de comissionamento</v>
      </c>
      <c r="H677" s="24" t="s">
        <v>5193</v>
      </c>
      <c r="I677" s="79"/>
      <c r="J677" s="79"/>
      <c r="K677" s="24"/>
      <c r="L677" s="24"/>
    </row>
    <row r="678" spans="1:12" ht="14.5">
      <c r="A678" s="20" t="s">
        <v>5194</v>
      </c>
      <c r="B678" s="20">
        <v>60</v>
      </c>
      <c r="C678" s="20">
        <v>65</v>
      </c>
      <c r="D678" s="20">
        <v>70</v>
      </c>
      <c r="E678" s="24"/>
      <c r="F678" s="20" t="s">
        <v>5195</v>
      </c>
      <c r="G678" s="24" t="str">
        <f ca="1">IFERROR(__xludf.DUMMYFUNCTION("UPPER(LEFT((GOOGLETRANSLATE(F678,""en"",""pt"")),1))&amp;RIGHT(lower((GOOGLETRANSLATE(F678,""en"",""pt""))),(LEN((GOOGLETRANSLATE(F678,""en"",""pt"")))-1))"),"Instalações de refrigeração e equipamentos de comissionamento")</f>
        <v>Instalações de refrigeração e equipamentos de comissionamento</v>
      </c>
      <c r="H678" s="24" t="s">
        <v>5196</v>
      </c>
      <c r="I678" s="79"/>
      <c r="J678" s="79"/>
      <c r="K678" s="24"/>
      <c r="L678" s="24"/>
    </row>
    <row r="679" spans="1:12" ht="14.5">
      <c r="A679" s="20" t="s">
        <v>5197</v>
      </c>
      <c r="B679" s="20">
        <v>65</v>
      </c>
      <c r="C679" s="24"/>
      <c r="D679" s="24"/>
      <c r="E679" s="24"/>
      <c r="F679" s="20" t="s">
        <v>5198</v>
      </c>
      <c r="G679" s="24" t="str">
        <f ca="1">IFERROR(__xludf.DUMMYFUNCTION("UPPER(LEFT((GOOGLETRANSLATE(F679,""en"",""pt"")),1))&amp;RIGHT(lower((GOOGLETRANSLATE(F679,""en"",""pt""))),(LEN((GOOGLETRANSLATE(F679,""en"",""pt"")))-1))"),"Actividades de ventilação e de ar condicionado")</f>
        <v>Actividades de ventilação e de ar condicionado</v>
      </c>
      <c r="H679" s="24" t="s">
        <v>5199</v>
      </c>
      <c r="I679" s="79"/>
      <c r="J679" s="79"/>
      <c r="K679" s="24"/>
      <c r="L679" s="24"/>
    </row>
    <row r="680" spans="1:12" ht="14.5">
      <c r="A680" s="20" t="s">
        <v>5200</v>
      </c>
      <c r="B680" s="20">
        <v>65</v>
      </c>
      <c r="C680" s="20">
        <v>60</v>
      </c>
      <c r="D680" s="24"/>
      <c r="E680" s="24"/>
      <c r="F680" s="20" t="s">
        <v>5201</v>
      </c>
      <c r="G680" s="24" t="str">
        <f ca="1">IFERROR(__xludf.DUMMYFUNCTION("UPPER(LEFT((GOOGLETRANSLATE(F680,""en"",""pt"")),1))&amp;RIGHT(lower((GOOGLETRANSLATE(F680,""en"",""pt""))),(LEN((GOOGLETRANSLATE(F680,""en"",""pt"")))-1))"),"Os testes de instalação de ventilação e ar condicionado")</f>
        <v>Os testes de instalação de ventilação e ar condicionado</v>
      </c>
      <c r="H680" s="24" t="s">
        <v>5202</v>
      </c>
      <c r="I680" s="79"/>
      <c r="J680" s="79"/>
      <c r="K680" s="24"/>
      <c r="L680" s="24"/>
    </row>
    <row r="681" spans="1:12" ht="14.5">
      <c r="A681" s="20" t="s">
        <v>5203</v>
      </c>
      <c r="B681" s="20">
        <v>65</v>
      </c>
      <c r="C681" s="20">
        <v>60</v>
      </c>
      <c r="D681" s="20">
        <v>1</v>
      </c>
      <c r="E681" s="24"/>
      <c r="F681" s="20" t="s">
        <v>5204</v>
      </c>
      <c r="G681" s="24" t="str">
        <f ca="1">IFERROR(__xludf.DUMMYFUNCTION("UPPER(LEFT((GOOGLETRANSLATE(F681,""en"",""pt"")),1))&amp;RIGHT(lower((GOOGLETRANSLATE(F681,""en"",""pt""))),(LEN((GOOGLETRANSLATE(F681,""en"",""pt"")))-1))"),"Ar condicionado planta e equipamento de testes")</f>
        <v>Ar condicionado planta e equipamento de testes</v>
      </c>
      <c r="H681" s="24" t="s">
        <v>5205</v>
      </c>
      <c r="I681" s="79"/>
      <c r="J681" s="79"/>
      <c r="K681" s="24"/>
      <c r="L681" s="24"/>
    </row>
    <row r="682" spans="1:12" ht="14.5">
      <c r="A682" s="20" t="s">
        <v>5206</v>
      </c>
      <c r="B682" s="20">
        <v>65</v>
      </c>
      <c r="C682" s="20">
        <v>60</v>
      </c>
      <c r="D682" s="20">
        <v>2</v>
      </c>
      <c r="E682" s="24"/>
      <c r="F682" s="20" t="s">
        <v>5207</v>
      </c>
      <c r="G682" s="24" t="str">
        <f ca="1">IFERROR(__xludf.DUMMYFUNCTION("UPPER(LEFT((GOOGLETRANSLATE(F682,""en"",""pt"")),1))&amp;RIGHT(lower((GOOGLETRANSLATE(F682,""en"",""pt""))),(LEN((GOOGLETRANSLATE(F682,""en"",""pt"")))-1))"),"Air testes de instalações de abastecimento")</f>
        <v>Air testes de instalações de abastecimento</v>
      </c>
      <c r="H682" s="24" t="s">
        <v>5208</v>
      </c>
      <c r="I682" s="79"/>
      <c r="J682" s="79"/>
      <c r="K682" s="24"/>
      <c r="L682" s="24"/>
    </row>
    <row r="683" spans="1:12" ht="14.5">
      <c r="A683" s="20" t="s">
        <v>5209</v>
      </c>
      <c r="B683" s="20">
        <v>65</v>
      </c>
      <c r="C683" s="20">
        <v>60</v>
      </c>
      <c r="D683" s="20">
        <v>63</v>
      </c>
      <c r="E683" s="24"/>
      <c r="F683" s="20" t="s">
        <v>5210</v>
      </c>
      <c r="G683" s="24" t="str">
        <f ca="1">IFERROR(__xludf.DUMMYFUNCTION("UPPER(LEFT((GOOGLETRANSLATE(F683,""en"",""pt"")),1))&amp;RIGHT(lower((GOOGLETRANSLATE(F683,""en"",""pt""))),(LEN((GOOGLETRANSLATE(F683,""en"",""pt"")))-1))"),"Planta ventilação e equipamento de testes")</f>
        <v>Planta ventilação e equipamento de testes</v>
      </c>
      <c r="H683" s="24" t="s">
        <v>5211</v>
      </c>
      <c r="I683" s="79"/>
      <c r="J683" s="79"/>
      <c r="K683" s="24"/>
      <c r="L683" s="24"/>
    </row>
    <row r="684" spans="1:12" ht="14.5">
      <c r="A684" s="20" t="s">
        <v>5212</v>
      </c>
      <c r="B684" s="20">
        <v>65</v>
      </c>
      <c r="C684" s="20">
        <v>65</v>
      </c>
      <c r="D684" s="24"/>
      <c r="E684" s="24"/>
      <c r="F684" s="20" t="s">
        <v>5213</v>
      </c>
      <c r="G684" s="24" t="str">
        <f ca="1">IFERROR(__xludf.DUMMYFUNCTION("UPPER(LEFT((GOOGLETRANSLATE(F684,""en"",""pt"")),1))&amp;RIGHT(lower((GOOGLETRANSLATE(F684,""en"",""pt""))),(LEN((GOOGLETRANSLATE(F684,""en"",""pt"")))-1))"),"Os sistemas de ventilação e ar condicionado de comissionamento")</f>
        <v>Os sistemas de ventilação e ar condicionado de comissionamento</v>
      </c>
      <c r="H684" s="24" t="s">
        <v>5214</v>
      </c>
      <c r="I684" s="79"/>
      <c r="J684" s="79"/>
      <c r="K684" s="24"/>
      <c r="L684" s="24"/>
    </row>
    <row r="685" spans="1:12" ht="14.5">
      <c r="A685" s="20" t="s">
        <v>5215</v>
      </c>
      <c r="B685" s="20">
        <v>65</v>
      </c>
      <c r="C685" s="20">
        <v>65</v>
      </c>
      <c r="D685" s="20">
        <v>2</v>
      </c>
      <c r="E685" s="24"/>
      <c r="F685" s="20" t="s">
        <v>5216</v>
      </c>
      <c r="G685" s="24" t="str">
        <f ca="1">IFERROR(__xludf.DUMMYFUNCTION("UPPER(LEFT((GOOGLETRANSLATE(F685,""en"",""pt"")),1))&amp;RIGHT(lower((GOOGLETRANSLATE(F685,""en"",""pt""))),(LEN((GOOGLETRANSLATE(F685,""en"",""pt"")))-1))"),"Sistemas de ar comissionamento")</f>
        <v>Sistemas de ar comissionamento</v>
      </c>
      <c r="H685" s="24" t="s">
        <v>5217</v>
      </c>
      <c r="I685" s="79"/>
      <c r="J685" s="79"/>
      <c r="K685" s="24"/>
      <c r="L685" s="24"/>
    </row>
    <row r="686" spans="1:12" ht="14.5">
      <c r="A686" s="20" t="s">
        <v>5218</v>
      </c>
      <c r="B686" s="20">
        <v>70</v>
      </c>
      <c r="C686" s="24"/>
      <c r="D686" s="24"/>
      <c r="E686" s="24"/>
      <c r="F686" s="20" t="s">
        <v>5219</v>
      </c>
      <c r="G686" s="24" t="str">
        <f ca="1">IFERROR(__xludf.DUMMYFUNCTION("UPPER(LEFT((GOOGLETRANSLATE(F686,""en"",""pt"")),1))&amp;RIGHT(lower((GOOGLETRANSLATE(F686,""en"",""pt""))),(LEN((GOOGLETRANSLATE(F686,""en"",""pt"")))-1))"),"Atividades elétricas")</f>
        <v>Atividades elétricas</v>
      </c>
      <c r="H686" s="24" t="s">
        <v>5220</v>
      </c>
      <c r="I686" s="79"/>
      <c r="J686" s="79"/>
      <c r="K686" s="24"/>
      <c r="L686" s="24"/>
    </row>
    <row r="687" spans="1:12" ht="14.5">
      <c r="A687" s="20" t="s">
        <v>5221</v>
      </c>
      <c r="B687" s="20">
        <v>70</v>
      </c>
      <c r="C687" s="20">
        <v>60</v>
      </c>
      <c r="D687" s="24"/>
      <c r="E687" s="24"/>
      <c r="F687" s="20" t="s">
        <v>5222</v>
      </c>
      <c r="G687" s="24" t="str">
        <f ca="1">IFERROR(__xludf.DUMMYFUNCTION("UPPER(LEFT((GOOGLETRANSLATE(F687,""en"",""pt"")),1))&amp;RIGHT(lower((GOOGLETRANSLATE(F687,""en"",""pt""))),(LEN((GOOGLETRANSLATE(F687,""en"",""pt"")))-1))"),"Instalações eléctricas de teste")</f>
        <v>Instalações eléctricas de teste</v>
      </c>
      <c r="H687" s="24" t="s">
        <v>5223</v>
      </c>
      <c r="I687" s="79"/>
      <c r="J687" s="79"/>
      <c r="K687" s="24"/>
      <c r="L687" s="24"/>
    </row>
    <row r="688" spans="1:12" ht="14.5">
      <c r="A688" s="20" t="s">
        <v>5224</v>
      </c>
      <c r="B688" s="20">
        <v>70</v>
      </c>
      <c r="C688" s="20">
        <v>60</v>
      </c>
      <c r="D688" s="20">
        <v>28</v>
      </c>
      <c r="E688" s="24"/>
      <c r="F688" s="20" t="s">
        <v>5225</v>
      </c>
      <c r="G688" s="24" t="str">
        <f ca="1">IFERROR(__xludf.DUMMYFUNCTION("UPPER(LEFT((GOOGLETRANSLATE(F688,""en"",""pt"")),1))&amp;RIGHT(lower((GOOGLETRANSLATE(F688,""en"",""pt""))),(LEN((GOOGLETRANSLATE(F688,""en"",""pt"")))-1))"),"Testes de instalações de iluminação de emergência")</f>
        <v>Testes de instalações de iluminação de emergência</v>
      </c>
      <c r="H688" s="24" t="s">
        <v>5226</v>
      </c>
      <c r="I688" s="79"/>
      <c r="J688" s="79"/>
      <c r="K688" s="24"/>
      <c r="L688" s="24"/>
    </row>
    <row r="689" spans="1:12" ht="14.5">
      <c r="A689" s="20" t="s">
        <v>5227</v>
      </c>
      <c r="B689" s="20">
        <v>70</v>
      </c>
      <c r="C689" s="20">
        <v>60</v>
      </c>
      <c r="D689" s="20">
        <v>37</v>
      </c>
      <c r="E689" s="24"/>
      <c r="F689" s="20" t="s">
        <v>5228</v>
      </c>
      <c r="G689" s="24" t="str">
        <f ca="1">IFERROR(__xludf.DUMMYFUNCTION("UPPER(LEFT((GOOGLETRANSLATE(F689,""en"",""pt"")),1))&amp;RIGHT(lower((GOOGLETRANSLATE(F689,""en"",""pt""))),(LEN((GOOGLETRANSLATE(F689,""en"",""pt"")))-1))"),"Alta tensão testes instalações eléctricas")</f>
        <v>Alta tensão testes instalações eléctricas</v>
      </c>
      <c r="H689" s="24" t="s">
        <v>5229</v>
      </c>
      <c r="I689" s="79"/>
      <c r="J689" s="79"/>
      <c r="K689" s="24"/>
      <c r="L689" s="24"/>
    </row>
    <row r="690" spans="1:12" ht="14.5">
      <c r="A690" s="20" t="s">
        <v>5230</v>
      </c>
      <c r="B690" s="20">
        <v>70</v>
      </c>
      <c r="C690" s="20">
        <v>60</v>
      </c>
      <c r="D690" s="20">
        <v>46</v>
      </c>
      <c r="E690" s="24"/>
      <c r="F690" s="20" t="s">
        <v>5231</v>
      </c>
      <c r="G690" s="24" t="str">
        <f ca="1">IFERROR(__xludf.DUMMYFUNCTION("UPPER(LEFT((GOOGLETRANSLATE(F690,""en"",""pt"")),1))&amp;RIGHT(lower((GOOGLETRANSLATE(F690,""en"",""pt""))),(LEN((GOOGLETRANSLATE(F690,""en"",""pt"")))-1))"),"As instalações de iluminação teste")</f>
        <v>As instalações de iluminação teste</v>
      </c>
      <c r="H690" s="24" t="s">
        <v>5232</v>
      </c>
      <c r="I690" s="79"/>
      <c r="J690" s="79"/>
      <c r="K690" s="24"/>
      <c r="L690" s="24"/>
    </row>
    <row r="691" spans="1:12" ht="14.5">
      <c r="A691" s="20" t="s">
        <v>5233</v>
      </c>
      <c r="B691" s="20">
        <v>70</v>
      </c>
      <c r="C691" s="20">
        <v>60</v>
      </c>
      <c r="D691" s="20">
        <v>47</v>
      </c>
      <c r="E691" s="24"/>
      <c r="F691" s="20" t="s">
        <v>5234</v>
      </c>
      <c r="G691" s="24" t="str">
        <f ca="1">IFERROR(__xludf.DUMMYFUNCTION("UPPER(LEFT((GOOGLETRANSLATE(F691,""en"",""pt"")),1))&amp;RIGHT(lower((GOOGLETRANSLATE(F691,""en"",""pt""))),(LEN((GOOGLETRANSLATE(F691,""en"",""pt"")))-1))"),"Relâmpago testes de instalações de proteção")</f>
        <v>Relâmpago testes de instalações de proteção</v>
      </c>
      <c r="H691" s="24" t="s">
        <v>5235</v>
      </c>
      <c r="I691" s="79"/>
      <c r="J691" s="79"/>
      <c r="K691" s="24"/>
      <c r="L691" s="24"/>
    </row>
    <row r="692" spans="1:12" ht="14.5">
      <c r="A692" s="20" t="s">
        <v>5236</v>
      </c>
      <c r="B692" s="20">
        <v>70</v>
      </c>
      <c r="C692" s="20">
        <v>60</v>
      </c>
      <c r="D692" s="20">
        <v>49</v>
      </c>
      <c r="E692" s="24"/>
      <c r="F692" s="20" t="s">
        <v>5237</v>
      </c>
      <c r="G692" s="24" t="str">
        <f ca="1">IFERROR(__xludf.DUMMYFUNCTION("UPPER(LEFT((GOOGLETRANSLATE(F692,""en"",""pt"")),1))&amp;RIGHT(lower((GOOGLETRANSLATE(F692,""en"",""pt""))),(LEN((GOOGLETRANSLATE(F692,""en"",""pt"")))-1))"),"Baixa tensão de testes de instalação eléctrica e inspeco")</f>
        <v>Baixa tensão de testes de instalação eléctrica e inspeco</v>
      </c>
      <c r="H692" s="82" t="s">
        <v>5238</v>
      </c>
      <c r="I692" s="81"/>
      <c r="J692" s="81"/>
      <c r="K692" s="20" t="s">
        <v>5239</v>
      </c>
      <c r="L692" s="20" t="s">
        <v>5240</v>
      </c>
    </row>
    <row r="693" spans="1:12" ht="14.5">
      <c r="A693" s="20" t="s">
        <v>5241</v>
      </c>
      <c r="B693" s="20">
        <v>70</v>
      </c>
      <c r="C693" s="20">
        <v>65</v>
      </c>
      <c r="D693" s="24"/>
      <c r="E693" s="24"/>
      <c r="F693" s="20" t="s">
        <v>5242</v>
      </c>
      <c r="G693" s="24" t="str">
        <f ca="1">IFERROR(__xludf.DUMMYFUNCTION("UPPER(LEFT((GOOGLETRANSLATE(F693,""en"",""pt"")),1))&amp;RIGHT(lower((GOOGLETRANSLATE(F693,""en"",""pt""))),(LEN((GOOGLETRANSLATE(F693,""en"",""pt"")))-1))"),"Sistemas elétricos de comissionamento")</f>
        <v>Sistemas elétricos de comissionamento</v>
      </c>
      <c r="H693" s="24" t="s">
        <v>5243</v>
      </c>
      <c r="I693" s="79"/>
      <c r="J693" s="79"/>
      <c r="K693" s="24"/>
      <c r="L693" s="24"/>
    </row>
    <row r="694" spans="1:12" ht="14.5">
      <c r="A694" s="20" t="s">
        <v>5244</v>
      </c>
      <c r="B694" s="20">
        <v>70</v>
      </c>
      <c r="C694" s="20">
        <v>65</v>
      </c>
      <c r="D694" s="20">
        <v>46</v>
      </c>
      <c r="E694" s="24"/>
      <c r="F694" s="20" t="s">
        <v>5245</v>
      </c>
      <c r="G694" s="24" t="str">
        <f ca="1">IFERROR(__xludf.DUMMYFUNCTION("UPPER(LEFT((GOOGLETRANSLATE(F694,""en"",""pt"")),1))&amp;RIGHT(lower((GOOGLETRANSLATE(F694,""en"",""pt""))),(LEN((GOOGLETRANSLATE(F694,""en"",""pt"")))-1))"),"Sistemas de iluminação de comissionamento")</f>
        <v>Sistemas de iluminação de comissionamento</v>
      </c>
      <c r="H694" s="24" t="s">
        <v>5246</v>
      </c>
      <c r="I694" s="79"/>
      <c r="J694" s="79"/>
      <c r="K694" s="24"/>
      <c r="L694" s="24"/>
    </row>
    <row r="695" spans="1:12" ht="14.5">
      <c r="A695" s="20" t="s">
        <v>5247</v>
      </c>
      <c r="B695" s="20">
        <v>75</v>
      </c>
      <c r="C695" s="24"/>
      <c r="D695" s="24"/>
      <c r="E695" s="24"/>
      <c r="F695" s="20" t="s">
        <v>5248</v>
      </c>
      <c r="G695" s="24" t="str">
        <f ca="1">IFERROR(__xludf.DUMMYFUNCTION("UPPER(LEFT((GOOGLETRANSLATE(F695,""en"",""pt"")),1))&amp;RIGHT(lower((GOOGLETRANSLATE(F695,""en"",""pt""))),(LEN((GOOGLETRANSLATE(F695,""en"",""pt"")))-1))"),"Comunicações, segurança, segurança e atividades de proteção")</f>
        <v>Comunicações, segurança, segurança e atividades de proteção</v>
      </c>
      <c r="H695" s="24" t="s">
        <v>5249</v>
      </c>
      <c r="I695" s="79"/>
      <c r="J695" s="79"/>
      <c r="K695" s="24"/>
      <c r="L695" s="24"/>
    </row>
    <row r="696" spans="1:12" ht="14.5">
      <c r="A696" s="20" t="s">
        <v>5250</v>
      </c>
      <c r="B696" s="20">
        <v>75</v>
      </c>
      <c r="C696" s="20">
        <v>60</v>
      </c>
      <c r="D696" s="24"/>
      <c r="E696" s="24"/>
      <c r="F696" s="20" t="s">
        <v>5251</v>
      </c>
      <c r="G696" s="24" t="str">
        <f ca="1">IFERROR(__xludf.DUMMYFUNCTION("UPPER(LEFT((GOOGLETRANSLATE(F696,""en"",""pt"")),1))&amp;RIGHT(lower((GOOGLETRANSLATE(F696,""en"",""pt""))),(LEN((GOOGLETRANSLATE(F696,""en"",""pt"")))-1))"),"Instalações de comunicação, de segurança, de segurança e protecção de teste")</f>
        <v>Instalações de comunicação, de segurança, de segurança e protecção de teste</v>
      </c>
      <c r="H696" s="24" t="s">
        <v>5252</v>
      </c>
      <c r="I696" s="79"/>
      <c r="J696" s="79"/>
      <c r="K696" s="24"/>
      <c r="L696" s="24"/>
    </row>
    <row r="697" spans="1:12" ht="14.5">
      <c r="A697" s="20" t="s">
        <v>5253</v>
      </c>
      <c r="B697" s="20">
        <v>75</v>
      </c>
      <c r="C697" s="20">
        <v>60</v>
      </c>
      <c r="D697" s="20">
        <v>1</v>
      </c>
      <c r="E697" s="24"/>
      <c r="F697" s="20" t="s">
        <v>5254</v>
      </c>
      <c r="G697" s="24" t="str">
        <f ca="1">IFERROR(__xludf.DUMMYFUNCTION("UPPER(LEFT((GOOGLETRANSLATE(F697,""en"",""pt"")),1))&amp;RIGHT(lower((GOOGLETRANSLATE(F697,""en"",""pt""))),(LEN((GOOGLETRANSLATE(F697,""en"",""pt"")))-1))"),"Sistemas de controle de acesso de teste")</f>
        <v>Sistemas de controle de acesso de teste</v>
      </c>
      <c r="H697" s="24" t="s">
        <v>5255</v>
      </c>
      <c r="I697" s="79"/>
      <c r="J697" s="79"/>
      <c r="K697" s="24"/>
      <c r="L697" s="24"/>
    </row>
    <row r="698" spans="1:12" ht="14.5">
      <c r="A698" s="20" t="s">
        <v>5256</v>
      </c>
      <c r="B698" s="20">
        <v>75</v>
      </c>
      <c r="C698" s="20">
        <v>60</v>
      </c>
      <c r="D698" s="20">
        <v>4</v>
      </c>
      <c r="E698" s="24"/>
      <c r="F698" s="20" t="s">
        <v>5257</v>
      </c>
      <c r="G698" s="24" t="str">
        <f ca="1">IFERROR(__xludf.DUMMYFUNCTION("UPPER(LEFT((GOOGLETRANSLATE(F698,""en"",""pt"")),1))&amp;RIGHT(lower((GOOGLETRANSLATE(F698,""en"",""pt""))),(LEN((GOOGLETRANSLATE(F698,""en"",""pt"")))-1))"),"Sistemas audiovisuais de testes")</f>
        <v>Sistemas audiovisuais de testes</v>
      </c>
      <c r="H698" s="24" t="s">
        <v>5258</v>
      </c>
      <c r="I698" s="79"/>
      <c r="J698" s="79"/>
      <c r="K698" s="24"/>
      <c r="L698" s="24"/>
    </row>
    <row r="699" spans="1:12" ht="14.5">
      <c r="A699" s="20" t="s">
        <v>5259</v>
      </c>
      <c r="B699" s="20">
        <v>75</v>
      </c>
      <c r="C699" s="20">
        <v>60</v>
      </c>
      <c r="D699" s="20">
        <v>15</v>
      </c>
      <c r="E699" s="24"/>
      <c r="F699" s="20" t="s">
        <v>5260</v>
      </c>
      <c r="G699" s="24" t="str">
        <f ca="1">IFERROR(__xludf.DUMMYFUNCTION("UPPER(LEFT((GOOGLETRANSLATE(F699,""en"",""pt"")),1))&amp;RIGHT(lower((GOOGLETRANSLATE(F699,""en"",""pt""))),(LEN((GOOGLETRANSLATE(F699,""en"",""pt"")))-1))"),"Os sistemas de controlo de teste")</f>
        <v>Os sistemas de controlo de teste</v>
      </c>
      <c r="H699" s="24" t="s">
        <v>5261</v>
      </c>
      <c r="I699" s="79"/>
      <c r="J699" s="79"/>
      <c r="K699" s="24"/>
      <c r="L699" s="24"/>
    </row>
    <row r="700" spans="1:12" ht="14.5">
      <c r="A700" s="20" t="s">
        <v>5262</v>
      </c>
      <c r="B700" s="20">
        <v>75</v>
      </c>
      <c r="C700" s="20">
        <v>60</v>
      </c>
      <c r="D700" s="20">
        <v>30</v>
      </c>
      <c r="E700" s="24"/>
      <c r="F700" s="20" t="s">
        <v>5263</v>
      </c>
      <c r="G700" s="24" t="str">
        <f ca="1">IFERROR(__xludf.DUMMYFUNCTION("UPPER(LEFT((GOOGLETRANSLATE(F700,""en"",""pt"")),1))&amp;RIGHT(lower((GOOGLETRANSLATE(F700,""en"",""pt""))),(LEN((GOOGLETRANSLATE(F700,""en"",""pt"")))-1))"),"Testes de instalação de protecção contra incêndios")</f>
        <v>Testes de instalação de protecção contra incêndios</v>
      </c>
      <c r="H700" s="24" t="s">
        <v>5264</v>
      </c>
      <c r="I700" s="79"/>
      <c r="J700" s="79"/>
      <c r="K700" s="24"/>
      <c r="L700" s="24"/>
    </row>
    <row r="701" spans="1:12" ht="14.5">
      <c r="A701" s="20" t="s">
        <v>5265</v>
      </c>
      <c r="B701" s="20">
        <v>75</v>
      </c>
      <c r="C701" s="20">
        <v>60</v>
      </c>
      <c r="D701" s="20">
        <v>42</v>
      </c>
      <c r="E701" s="24"/>
      <c r="F701" s="20" t="s">
        <v>5266</v>
      </c>
      <c r="G701" s="24" t="str">
        <f ca="1">IFERROR(__xludf.DUMMYFUNCTION("UPPER(LEFT((GOOGLETRANSLATE(F701,""en"",""pt"")),1))&amp;RIGHT(lower((GOOGLETRANSLATE(F701,""en"",""pt""))),(LEN((GOOGLETRANSLATE(F701,""en"",""pt"")))-1))"),"Intruder testes de sistemas de alarme")</f>
        <v>Intruder testes de sistemas de alarme</v>
      </c>
      <c r="H701" s="24" t="s">
        <v>5267</v>
      </c>
      <c r="I701" s="79"/>
      <c r="J701" s="79"/>
      <c r="K701" s="24"/>
      <c r="L701" s="24"/>
    </row>
    <row r="702" spans="1:12" ht="14.5">
      <c r="A702" s="20" t="s">
        <v>5268</v>
      </c>
      <c r="B702" s="20">
        <v>75</v>
      </c>
      <c r="C702" s="20">
        <v>60</v>
      </c>
      <c r="D702" s="20">
        <v>47</v>
      </c>
      <c r="E702" s="24"/>
      <c r="F702" s="20" t="s">
        <v>5269</v>
      </c>
      <c r="G702" s="24" t="str">
        <f ca="1">IFERROR(__xludf.DUMMYFUNCTION("UPPER(LEFT((GOOGLETRANSLATE(F702,""en"",""pt"")),1))&amp;RIGHT(lower((GOOGLETRANSLATE(F702,""en"",""pt""))),(LEN((GOOGLETRANSLATE(F702,""en"",""pt"")))-1))"),"Testes de elevadores")</f>
        <v>Testes de elevadores</v>
      </c>
      <c r="H702" s="24" t="s">
        <v>5270</v>
      </c>
      <c r="I702" s="79"/>
      <c r="J702" s="79"/>
      <c r="K702" s="24"/>
      <c r="L702" s="24"/>
    </row>
    <row r="703" spans="1:12" ht="14.5">
      <c r="A703" s="20" t="s">
        <v>5271</v>
      </c>
      <c r="B703" s="20">
        <v>75</v>
      </c>
      <c r="C703" s="20">
        <v>60</v>
      </c>
      <c r="D703" s="20">
        <v>80</v>
      </c>
      <c r="E703" s="24"/>
      <c r="F703" s="20" t="s">
        <v>5272</v>
      </c>
      <c r="G703" s="24" t="str">
        <f ca="1">IFERROR(__xludf.DUMMYFUNCTION("UPPER(LEFT((GOOGLETRANSLATE(F703,""en"",""pt"")),1))&amp;RIGHT(lower((GOOGLETRANSLATE(F703,""en"",""pt""))),(LEN((GOOGLETRANSLATE(F703,""en"",""pt"")))-1))"),"Sistemas de segurança de teste")</f>
        <v>Sistemas de segurança de teste</v>
      </c>
      <c r="H703" s="24" t="s">
        <v>5273</v>
      </c>
      <c r="I703" s="79"/>
      <c r="J703" s="79"/>
      <c r="K703" s="24"/>
      <c r="L703" s="24"/>
    </row>
    <row r="704" spans="1:12" ht="14.5">
      <c r="A704" s="20" t="s">
        <v>5274</v>
      </c>
      <c r="B704" s="20">
        <v>75</v>
      </c>
      <c r="C704" s="20">
        <v>60</v>
      </c>
      <c r="D704" s="20">
        <v>85</v>
      </c>
      <c r="E704" s="24"/>
      <c r="F704" s="20" t="s">
        <v>5275</v>
      </c>
      <c r="G704" s="24" t="str">
        <f ca="1">IFERROR(__xludf.DUMMYFUNCTION("UPPER(LEFT((GOOGLETRANSLATE(F704,""en"",""pt"")),1))&amp;RIGHT(lower((GOOGLETRANSLATE(F704,""en"",""pt""))),(LEN((GOOGLETRANSLATE(F704,""en"",""pt"")))-1))"),"Vigilância testes de instalações de equipamentos")</f>
        <v>Vigilância testes de instalações de equipamentos</v>
      </c>
      <c r="H704" s="24" t="s">
        <v>5276</v>
      </c>
      <c r="I704" s="79"/>
      <c r="J704" s="79"/>
      <c r="K704" s="24"/>
      <c r="L704" s="24"/>
    </row>
    <row r="705" spans="1:12" ht="14.5">
      <c r="A705" s="20" t="s">
        <v>5277</v>
      </c>
      <c r="B705" s="20">
        <v>75</v>
      </c>
      <c r="C705" s="20">
        <v>60</v>
      </c>
      <c r="D705" s="20">
        <v>92</v>
      </c>
      <c r="E705" s="24"/>
      <c r="F705" s="20" t="s">
        <v>5278</v>
      </c>
      <c r="G705" s="24" t="str">
        <f ca="1">IFERROR(__xludf.DUMMYFUNCTION("UPPER(LEFT((GOOGLETRANSLATE(F705,""en"",""pt"")),1))&amp;RIGHT(lower((GOOGLETRANSLATE(F705,""en"",""pt""))),(LEN((GOOGLETRANSLATE(F705,""en"",""pt"")))-1))"),"Os sistemas de telecomunicações de teste")</f>
        <v>Os sistemas de telecomunicações de teste</v>
      </c>
      <c r="H705" s="24" t="s">
        <v>5279</v>
      </c>
      <c r="I705" s="79"/>
      <c r="J705" s="79"/>
      <c r="K705" s="24"/>
      <c r="L705" s="24"/>
    </row>
    <row r="706" spans="1:12" ht="14.5">
      <c r="A706" s="20" t="s">
        <v>5280</v>
      </c>
      <c r="B706" s="20">
        <v>75</v>
      </c>
      <c r="C706" s="20">
        <v>65</v>
      </c>
      <c r="D706" s="24"/>
      <c r="E706" s="24"/>
      <c r="F706" s="20" t="s">
        <v>5281</v>
      </c>
      <c r="G706" s="24" t="str">
        <f ca="1">IFERROR(__xludf.DUMMYFUNCTION("UPPER(LEFT((GOOGLETRANSLATE(F706,""en"",""pt"")),1))&amp;RIGHT(lower((GOOGLETRANSLATE(F706,""en"",""pt""))),(LEN((GOOGLETRANSLATE(F706,""en"",""pt"")))-1))"),"Sistemas de protecção comunicações, segurança e comissionamento")</f>
        <v>Sistemas de protecção comunicações, segurança e comissionamento</v>
      </c>
      <c r="H706" s="24" t="s">
        <v>5282</v>
      </c>
      <c r="I706" s="79"/>
      <c r="J706" s="79"/>
      <c r="K706" s="24"/>
      <c r="L706" s="24"/>
    </row>
    <row r="707" spans="1:12" ht="14.5">
      <c r="A707" s="20" t="s">
        <v>5283</v>
      </c>
      <c r="B707" s="20">
        <v>75</v>
      </c>
      <c r="C707" s="20">
        <v>65</v>
      </c>
      <c r="D707" s="20">
        <v>1</v>
      </c>
      <c r="E707" s="24"/>
      <c r="F707" s="20" t="s">
        <v>5284</v>
      </c>
      <c r="G707" s="24" t="str">
        <f ca="1">IFERROR(__xludf.DUMMYFUNCTION("UPPER(LEFT((GOOGLETRANSLATE(F707,""en"",""pt"")),1))&amp;RIGHT(lower((GOOGLETRANSLATE(F707,""en"",""pt""))),(LEN((GOOGLETRANSLATE(F707,""en"",""pt"")))-1))"),"Sistemas de controle de acesso de comissionamento")</f>
        <v>Sistemas de controle de acesso de comissionamento</v>
      </c>
      <c r="H707" s="24" t="s">
        <v>5285</v>
      </c>
      <c r="I707" s="79"/>
      <c r="J707" s="79"/>
      <c r="K707" s="24"/>
      <c r="L707" s="24"/>
    </row>
    <row r="708" spans="1:12" ht="14.5">
      <c r="A708" s="20" t="s">
        <v>5286</v>
      </c>
      <c r="B708" s="20">
        <v>75</v>
      </c>
      <c r="C708" s="20">
        <v>65</v>
      </c>
      <c r="D708" s="20">
        <v>4</v>
      </c>
      <c r="E708" s="24"/>
      <c r="F708" s="20" t="s">
        <v>5287</v>
      </c>
      <c r="G708" s="24" t="str">
        <f ca="1">IFERROR(__xludf.DUMMYFUNCTION("UPPER(LEFT((GOOGLETRANSLATE(F708,""en"",""pt"")),1))&amp;RIGHT(lower((GOOGLETRANSLATE(F708,""en"",""pt""))),(LEN((GOOGLETRANSLATE(F708,""en"",""pt"")))-1))"),"Sistemas audiovisuais de comissionamento")</f>
        <v>Sistemas audiovisuais de comissionamento</v>
      </c>
      <c r="H708" s="24" t="s">
        <v>5288</v>
      </c>
      <c r="I708" s="79"/>
      <c r="J708" s="79"/>
      <c r="K708" s="24"/>
      <c r="L708" s="24"/>
    </row>
    <row r="709" spans="1:12" ht="14.5">
      <c r="A709" s="20" t="s">
        <v>5289</v>
      </c>
      <c r="B709" s="20">
        <v>75</v>
      </c>
      <c r="C709" s="20">
        <v>65</v>
      </c>
      <c r="D709" s="20">
        <v>15</v>
      </c>
      <c r="E709" s="24"/>
      <c r="F709" s="20" t="s">
        <v>5290</v>
      </c>
      <c r="G709" s="24" t="str">
        <f ca="1">IFERROR(__xludf.DUMMYFUNCTION("UPPER(LEFT((GOOGLETRANSLATE(F709,""en"",""pt"")),1))&amp;RIGHT(lower((GOOGLETRANSLATE(F709,""en"",""pt""))),(LEN((GOOGLETRANSLATE(F709,""en"",""pt"")))-1))"),"Os sistemas de controlo de comissionamento")</f>
        <v>Os sistemas de controlo de comissionamento</v>
      </c>
      <c r="H709" s="24" t="s">
        <v>5291</v>
      </c>
      <c r="I709" s="79"/>
      <c r="J709" s="79"/>
      <c r="K709" s="24"/>
      <c r="L709" s="24"/>
    </row>
    <row r="710" spans="1:12" ht="14.5">
      <c r="A710" s="20" t="s">
        <v>5292</v>
      </c>
      <c r="B710" s="20">
        <v>75</v>
      </c>
      <c r="C710" s="20">
        <v>65</v>
      </c>
      <c r="D710" s="20">
        <v>30</v>
      </c>
      <c r="E710" s="24"/>
      <c r="F710" s="20" t="s">
        <v>5293</v>
      </c>
      <c r="G710" s="24" t="str">
        <f ca="1">IFERROR(__xludf.DUMMYFUNCTION("UPPER(LEFT((GOOGLETRANSLATE(F710,""en"",""pt"")),1))&amp;RIGHT(lower((GOOGLETRANSLATE(F710,""en"",""pt""))),(LEN((GOOGLETRANSLATE(F710,""en"",""pt"")))-1))"),"Sistemas de alarme de incêndio de comissionamento")</f>
        <v>Sistemas de alarme de incêndio de comissionamento</v>
      </c>
      <c r="H710" s="24" t="s">
        <v>5294</v>
      </c>
      <c r="I710" s="79"/>
      <c r="J710" s="79"/>
      <c r="K710" s="24"/>
      <c r="L710" s="24"/>
    </row>
    <row r="711" spans="1:12" ht="14.5">
      <c r="A711" s="20" t="s">
        <v>5295</v>
      </c>
      <c r="B711" s="20">
        <v>75</v>
      </c>
      <c r="C711" s="20">
        <v>65</v>
      </c>
      <c r="D711" s="20">
        <v>42</v>
      </c>
      <c r="E711" s="24"/>
      <c r="F711" s="20" t="s">
        <v>5296</v>
      </c>
      <c r="G711" s="24" t="str">
        <f ca="1">IFERROR(__xludf.DUMMYFUNCTION("UPPER(LEFT((GOOGLETRANSLATE(F711,""en"",""pt"")),1))&amp;RIGHT(lower((GOOGLETRANSLATE(F711,""en"",""pt""))),(LEN((GOOGLETRANSLATE(F711,""en"",""pt"")))-1))"),"Intruder sistemas de alarme de comissionamento")</f>
        <v>Intruder sistemas de alarme de comissionamento</v>
      </c>
      <c r="H711" s="24" t="s">
        <v>5297</v>
      </c>
      <c r="I711" s="79"/>
      <c r="J711" s="79"/>
      <c r="K711" s="24"/>
      <c r="L711" s="24"/>
    </row>
    <row r="712" spans="1:12" ht="14.5">
      <c r="A712" s="20" t="s">
        <v>5298</v>
      </c>
      <c r="B712" s="20">
        <v>75</v>
      </c>
      <c r="C712" s="20">
        <v>65</v>
      </c>
      <c r="D712" s="20">
        <v>47</v>
      </c>
      <c r="E712" s="24"/>
      <c r="F712" s="20" t="s">
        <v>5299</v>
      </c>
      <c r="G712" s="24" t="str">
        <f ca="1">IFERROR(__xludf.DUMMYFUNCTION("UPPER(LEFT((GOOGLETRANSLATE(F712,""en"",""pt"")),1))&amp;RIGHT(lower((GOOGLETRANSLATE(F712,""en"",""pt""))),(LEN((GOOGLETRANSLATE(F712,""en"",""pt"")))-1))"),"Elevadores de comissionamento")</f>
        <v>Elevadores de comissionamento</v>
      </c>
      <c r="H712" s="24" t="s">
        <v>5300</v>
      </c>
      <c r="I712" s="79"/>
      <c r="J712" s="79"/>
      <c r="K712" s="24"/>
      <c r="L712" s="24"/>
    </row>
    <row r="713" spans="1:12" ht="14.5">
      <c r="A713" s="20" t="s">
        <v>5301</v>
      </c>
      <c r="B713" s="20">
        <v>75</v>
      </c>
      <c r="C713" s="20">
        <v>65</v>
      </c>
      <c r="D713" s="20">
        <v>80</v>
      </c>
      <c r="E713" s="24"/>
      <c r="F713" s="20" t="s">
        <v>5302</v>
      </c>
      <c r="G713" s="24" t="str">
        <f ca="1">IFERROR(__xludf.DUMMYFUNCTION("UPPER(LEFT((GOOGLETRANSLATE(F713,""en"",""pt"")),1))&amp;RIGHT(lower((GOOGLETRANSLATE(F713,""en"",""pt""))),(LEN((GOOGLETRANSLATE(F713,""en"",""pt"")))-1))"),"Sistemas de segurança de comissionamento")</f>
        <v>Sistemas de segurança de comissionamento</v>
      </c>
      <c r="H713" s="24" t="s">
        <v>5303</v>
      </c>
      <c r="I713" s="79"/>
      <c r="J713" s="79"/>
      <c r="K713" s="24"/>
      <c r="L713" s="24"/>
    </row>
    <row r="714" spans="1:12" ht="14.5">
      <c r="A714" s="20" t="s">
        <v>5304</v>
      </c>
      <c r="B714" s="20">
        <v>75</v>
      </c>
      <c r="C714" s="20">
        <v>65</v>
      </c>
      <c r="D714" s="20">
        <v>85</v>
      </c>
      <c r="E714" s="24"/>
      <c r="F714" s="20" t="s">
        <v>5305</v>
      </c>
      <c r="G714" s="24" t="str">
        <f ca="1">IFERROR(__xludf.DUMMYFUNCTION("UPPER(LEFT((GOOGLETRANSLATE(F714,""en"",""pt"")),1))&amp;RIGHT(lower((GOOGLETRANSLATE(F714,""en"",""pt""))),(LEN((GOOGLETRANSLATE(F714,""en"",""pt"")))-1))"),"Os sistemas de vigilância de comissionamento")</f>
        <v>Os sistemas de vigilância de comissionamento</v>
      </c>
      <c r="H714" s="24" t="s">
        <v>5306</v>
      </c>
      <c r="I714" s="79"/>
      <c r="J714" s="79"/>
      <c r="K714" s="24"/>
      <c r="L714" s="24"/>
    </row>
    <row r="715" spans="1:12" ht="14.5">
      <c r="A715" s="20" t="s">
        <v>5307</v>
      </c>
      <c r="B715" s="20">
        <v>75</v>
      </c>
      <c r="C715" s="20">
        <v>65</v>
      </c>
      <c r="D715" s="20">
        <v>92</v>
      </c>
      <c r="E715" s="24"/>
      <c r="F715" s="20" t="s">
        <v>5308</v>
      </c>
      <c r="G715" s="24" t="str">
        <f ca="1">IFERROR(__xludf.DUMMYFUNCTION("UPPER(LEFT((GOOGLETRANSLATE(F715,""en"",""pt"")),1))&amp;RIGHT(lower((GOOGLETRANSLATE(F715,""en"",""pt""))),(LEN((GOOGLETRANSLATE(F715,""en"",""pt"")))-1))"),"Sistemas de telecomunicações de comissionamento")</f>
        <v>Sistemas de telecomunicações de comissionamento</v>
      </c>
      <c r="H715" s="24" t="s">
        <v>5309</v>
      </c>
      <c r="I715" s="79"/>
      <c r="J715" s="79"/>
      <c r="K715" s="24"/>
      <c r="L715" s="24"/>
    </row>
    <row r="716" spans="1:12" ht="14.5">
      <c r="A716" s="20" t="s">
        <v>5310</v>
      </c>
      <c r="B716" s="20">
        <v>80</v>
      </c>
      <c r="C716" s="24"/>
      <c r="D716" s="24"/>
      <c r="E716" s="24"/>
      <c r="F716" s="20" t="s">
        <v>5311</v>
      </c>
      <c r="G716" s="24" t="str">
        <f ca="1">IFERROR(__xludf.DUMMYFUNCTION("UPPER(LEFT((GOOGLETRANSLATE(F716,""en"",""pt"")),1))&amp;RIGHT(lower((GOOGLETRANSLATE(F716,""en"",""pt""))),(LEN((GOOGLETRANSLATE(F716,""en"",""pt"")))-1))"),"Actividades de transporte")</f>
        <v>Actividades de transporte</v>
      </c>
      <c r="H716" s="24" t="s">
        <v>5312</v>
      </c>
      <c r="I716" s="79"/>
      <c r="J716" s="79"/>
      <c r="K716" s="24"/>
      <c r="L716" s="24"/>
    </row>
    <row r="717" spans="1:12" ht="14.5">
      <c r="A717" s="20" t="s">
        <v>5313</v>
      </c>
      <c r="B717" s="20">
        <v>80</v>
      </c>
      <c r="C717" s="20">
        <v>0</v>
      </c>
      <c r="D717" s="24"/>
      <c r="E717" s="24"/>
      <c r="F717" s="20" t="s">
        <v>5314</v>
      </c>
      <c r="G717" s="24" t="str">
        <f ca="1">IFERROR(__xludf.DUMMYFUNCTION("UPPER(LEFT((GOOGLETRANSLATE(F717,""en"",""pt"")),1))&amp;RIGHT(lower((GOOGLETRANSLATE(F717,""en"",""pt""))),(LEN((GOOGLETRANSLATE(F717,""en"",""pt"")))-1))"),"Alojamento actividades funciona")</f>
        <v>Alojamento actividades funciona</v>
      </c>
      <c r="H717" s="24" t="s">
        <v>5315</v>
      </c>
      <c r="I717" s="79"/>
      <c r="J717" s="79"/>
      <c r="K717" s="24"/>
      <c r="L717" s="24"/>
    </row>
    <row r="718" spans="1:12" ht="14.5">
      <c r="A718" s="20" t="s">
        <v>5316</v>
      </c>
      <c r="B718" s="20">
        <v>80</v>
      </c>
      <c r="C718" s="20">
        <v>5</v>
      </c>
      <c r="D718" s="24"/>
      <c r="E718" s="24"/>
      <c r="F718" s="20" t="s">
        <v>5317</v>
      </c>
      <c r="G718" s="24" t="str">
        <f ca="1">IFERROR(__xludf.DUMMYFUNCTION("UPPER(LEFT((GOOGLETRANSLATE(F718,""en"",""pt"")),1))&amp;RIGHT(lower((GOOGLETRANSLATE(F718,""en"",""pt""))),(LEN((GOOGLETRANSLATE(F718,""en"",""pt"")))-1))"),"Atividades terrestres aeroespaciais")</f>
        <v>Atividades terrestres aeroespaciais</v>
      </c>
      <c r="H718" s="24" t="s">
        <v>5318</v>
      </c>
      <c r="I718" s="79"/>
      <c r="J718" s="79"/>
      <c r="K718" s="24"/>
      <c r="L718" s="24"/>
    </row>
    <row r="719" spans="1:12" ht="14.5">
      <c r="A719" s="20" t="s">
        <v>5319</v>
      </c>
      <c r="B719" s="20">
        <v>80</v>
      </c>
      <c r="C719" s="20">
        <v>5</v>
      </c>
      <c r="D719" s="20">
        <v>2</v>
      </c>
      <c r="E719" s="24"/>
      <c r="F719" s="20" t="s">
        <v>5320</v>
      </c>
      <c r="G719" s="24" t="str">
        <f ca="1">IFERROR(__xludf.DUMMYFUNCTION("UPPER(LEFT((GOOGLETRANSLATE(F719,""en"",""pt"")),1))&amp;RIGHT(lower((GOOGLETRANSLATE(F719,""en"",""pt""))),(LEN((GOOGLETRANSLATE(F719,""en"",""pt"")))-1))"),"Aterragem de avião")</f>
        <v>Aterragem de avião</v>
      </c>
      <c r="H719" s="24" t="s">
        <v>5321</v>
      </c>
      <c r="I719" s="79"/>
      <c r="J719" s="79"/>
      <c r="K719" s="24"/>
      <c r="L719" s="24"/>
    </row>
    <row r="720" spans="1:12" ht="14.5">
      <c r="A720" s="20" t="s">
        <v>5322</v>
      </c>
      <c r="B720" s="20">
        <v>80</v>
      </c>
      <c r="C720" s="20">
        <v>5</v>
      </c>
      <c r="D720" s="20">
        <v>3</v>
      </c>
      <c r="E720" s="24"/>
      <c r="F720" s="20" t="s">
        <v>5323</v>
      </c>
      <c r="G720" s="24" t="str">
        <f ca="1">IFERROR(__xludf.DUMMYFUNCTION("UPPER(LEFT((GOOGLETRANSLATE(F720,""en"",""pt"")),1))&amp;RIGHT(lower((GOOGLETRANSLATE(F720,""en"",""pt""))),(LEN((GOOGLETRANSLATE(F720,""en"",""pt"")))-1))"),"Avião de decolagem")</f>
        <v>Avião de decolagem</v>
      </c>
      <c r="H720" s="24" t="s">
        <v>5324</v>
      </c>
      <c r="I720" s="79"/>
      <c r="J720" s="79"/>
      <c r="K720" s="24"/>
      <c r="L720" s="24"/>
    </row>
    <row r="721" spans="1:12" ht="14.5">
      <c r="A721" s="20" t="s">
        <v>5325</v>
      </c>
      <c r="B721" s="20">
        <v>80</v>
      </c>
      <c r="C721" s="20">
        <v>5</v>
      </c>
      <c r="D721" s="20">
        <v>5</v>
      </c>
      <c r="E721" s="24"/>
      <c r="F721" s="20" t="s">
        <v>5326</v>
      </c>
      <c r="G721" s="24" t="str">
        <f ca="1">IFERROR(__xludf.DUMMYFUNCTION("UPPER(LEFT((GOOGLETRANSLATE(F721,""en"",""pt"")),1))&amp;RIGHT(lower((GOOGLETRANSLATE(F721,""en"",""pt""))),(LEN((GOOGLETRANSLATE(F721,""en"",""pt"")))-1))"),"Manobras de aeronaves")</f>
        <v>Manobras de aeronaves</v>
      </c>
      <c r="H721" s="24" t="s">
        <v>5327</v>
      </c>
      <c r="I721" s="79"/>
      <c r="J721" s="79"/>
      <c r="K721" s="24"/>
      <c r="L721" s="24"/>
    </row>
    <row r="722" spans="1:12" ht="14.5">
      <c r="A722" s="20" t="s">
        <v>5328</v>
      </c>
      <c r="B722" s="20">
        <v>80</v>
      </c>
      <c r="C722" s="20">
        <v>5</v>
      </c>
      <c r="D722" s="20">
        <v>6</v>
      </c>
      <c r="E722" s="24"/>
      <c r="F722" s="20" t="s">
        <v>5329</v>
      </c>
      <c r="G722" s="24" t="str">
        <f ca="1">IFERROR(__xludf.DUMMYFUNCTION("UPPER(LEFT((GOOGLETRANSLATE(F722,""en"",""pt"")),1))&amp;RIGHT(lower((GOOGLETRANSLATE(F722,""en"",""pt""))),(LEN((GOOGLETRANSLATE(F722,""en"",""pt"")))-1))"),"Aircraft buffer manobrando")</f>
        <v>Aircraft buffer manobrando</v>
      </c>
      <c r="H722" s="24" t="s">
        <v>5330</v>
      </c>
      <c r="I722" s="79"/>
      <c r="J722" s="79"/>
      <c r="K722" s="24"/>
      <c r="L722" s="24"/>
    </row>
    <row r="723" spans="1:12" ht="14.5">
      <c r="A723" s="20" t="s">
        <v>5331</v>
      </c>
      <c r="B723" s="20">
        <v>80</v>
      </c>
      <c r="C723" s="20">
        <v>5</v>
      </c>
      <c r="D723" s="20">
        <v>7</v>
      </c>
      <c r="E723" s="24"/>
      <c r="F723" s="20" t="s">
        <v>5332</v>
      </c>
      <c r="G723" s="24" t="str">
        <f ca="1">IFERROR(__xludf.DUMMYFUNCTION("UPPER(LEFT((GOOGLETRANSLATE(F723,""en"",""pt"")),1))&amp;RIGHT(lower((GOOGLETRANSLATE(F723,""en"",""pt""))),(LEN((GOOGLETRANSLATE(F723,""en"",""pt"")))-1))"),"Aviões de pé")</f>
        <v>Aviões de pé</v>
      </c>
      <c r="H723" s="24" t="s">
        <v>5333</v>
      </c>
      <c r="I723" s="79"/>
      <c r="J723" s="79"/>
      <c r="K723" s="24"/>
      <c r="L723" s="24"/>
    </row>
    <row r="724" spans="1:12" ht="14.5">
      <c r="A724" s="20" t="s">
        <v>5334</v>
      </c>
      <c r="B724" s="20">
        <v>80</v>
      </c>
      <c r="C724" s="20">
        <v>5</v>
      </c>
      <c r="D724" s="20">
        <v>9</v>
      </c>
      <c r="E724" s="24"/>
      <c r="F724" s="20" t="s">
        <v>5335</v>
      </c>
      <c r="G724" s="24" t="str">
        <f ca="1">IFERROR(__xludf.DUMMYFUNCTION("UPPER(LEFT((GOOGLETRANSLATE(F724,""en"",""pt"")),1))&amp;RIGHT(lower((GOOGLETRANSLATE(F724,""en"",""pt""))),(LEN((GOOGLETRANSLATE(F724,""en"",""pt"")))-1))"),"Controladora aeroporto")</f>
        <v>Controladora aeroporto</v>
      </c>
      <c r="H724" s="24" t="s">
        <v>5336</v>
      </c>
      <c r="I724" s="79"/>
      <c r="J724" s="79"/>
      <c r="K724" s="24"/>
      <c r="L724" s="24"/>
    </row>
    <row r="725" spans="1:12" ht="14.5">
      <c r="A725" s="20" t="s">
        <v>5337</v>
      </c>
      <c r="B725" s="20">
        <v>80</v>
      </c>
      <c r="C725" s="20">
        <v>5</v>
      </c>
      <c r="D725" s="20">
        <v>33</v>
      </c>
      <c r="E725" s="24"/>
      <c r="F725" s="20" t="s">
        <v>5338</v>
      </c>
      <c r="G725" s="24" t="str">
        <f ca="1">IFERROR(__xludf.DUMMYFUNCTION("UPPER(LEFT((GOOGLETRANSLATE(F725,""en"",""pt"")),1))&amp;RIGHT(lower((GOOGLETRANSLATE(F725,""en"",""pt""))),(LEN((GOOGLETRANSLATE(F725,""en"",""pt"")))-1))"),"Glider pouso")</f>
        <v>Glider pouso</v>
      </c>
      <c r="H725" s="24" t="s">
        <v>5339</v>
      </c>
      <c r="I725" s="79"/>
      <c r="J725" s="79"/>
      <c r="K725" s="24"/>
      <c r="L725" s="24"/>
    </row>
    <row r="726" spans="1:12" ht="14.5">
      <c r="A726" s="20" t="s">
        <v>5340</v>
      </c>
      <c r="B726" s="20">
        <v>80</v>
      </c>
      <c r="C726" s="20">
        <v>5</v>
      </c>
      <c r="D726" s="20">
        <v>34</v>
      </c>
      <c r="E726" s="24"/>
      <c r="F726" s="20" t="s">
        <v>5341</v>
      </c>
      <c r="G726" s="24" t="str">
        <f ca="1">IFERROR(__xludf.DUMMYFUNCTION("UPPER(LEFT((GOOGLETRANSLATE(F726,""en"",""pt"")),1))&amp;RIGHT(lower((GOOGLETRANSLATE(F726,""en"",""pt""))),(LEN((GOOGLETRANSLATE(F726,""en"",""pt"")))-1))"),"Glider take-off")</f>
        <v>Glider take-off</v>
      </c>
      <c r="H726" s="24" t="s">
        <v>5341</v>
      </c>
      <c r="I726" s="79"/>
      <c r="J726" s="79"/>
      <c r="K726" s="24"/>
      <c r="L726" s="24"/>
    </row>
    <row r="727" spans="1:12" ht="14.5">
      <c r="A727" s="20" t="s">
        <v>5342</v>
      </c>
      <c r="B727" s="20">
        <v>80</v>
      </c>
      <c r="C727" s="20">
        <v>5</v>
      </c>
      <c r="D727" s="20">
        <v>36</v>
      </c>
      <c r="E727" s="24"/>
      <c r="F727" s="20" t="s">
        <v>5343</v>
      </c>
      <c r="G727" s="24" t="str">
        <f ca="1">IFERROR(__xludf.DUMMYFUNCTION("UPPER(LEFT((GOOGLETRANSLATE(F727,""en"",""pt"")),1))&amp;RIGHT(lower((GOOGLETRANSLATE(F727,""en"",""pt""))),(LEN((GOOGLETRANSLATE(F727,""en"",""pt"")))-1))"),"Pendure pouso planando")</f>
        <v>Pendure pouso planando</v>
      </c>
      <c r="H727" s="24" t="s">
        <v>5344</v>
      </c>
      <c r="I727" s="79"/>
      <c r="J727" s="79"/>
      <c r="K727" s="24"/>
      <c r="L727" s="24"/>
    </row>
    <row r="728" spans="1:12" ht="14.5">
      <c r="A728" s="20" t="s">
        <v>5345</v>
      </c>
      <c r="B728" s="20">
        <v>80</v>
      </c>
      <c r="C728" s="20">
        <v>5</v>
      </c>
      <c r="D728" s="20">
        <v>37</v>
      </c>
      <c r="E728" s="24"/>
      <c r="F728" s="20" t="s">
        <v>5346</v>
      </c>
      <c r="G728" s="24" t="str">
        <f ca="1">IFERROR(__xludf.DUMMYFUNCTION("UPPER(LEFT((GOOGLETRANSLATE(F728,""en"",""pt"")),1))&amp;RIGHT(lower((GOOGLETRANSLATE(F728,""en"",""pt""))),(LEN((GOOGLETRANSLATE(F728,""en"",""pt"")))-1))"),"Asa delta take-off")</f>
        <v>Asa delta take-off</v>
      </c>
      <c r="H728" s="24" t="s">
        <v>5347</v>
      </c>
      <c r="I728" s="79"/>
      <c r="J728" s="79"/>
      <c r="K728" s="24"/>
      <c r="L728" s="24"/>
    </row>
    <row r="729" spans="1:12" ht="14.5">
      <c r="A729" s="20" t="s">
        <v>5348</v>
      </c>
      <c r="B729" s="20">
        <v>80</v>
      </c>
      <c r="C729" s="20">
        <v>5</v>
      </c>
      <c r="D729" s="20">
        <v>38</v>
      </c>
      <c r="E729" s="24"/>
      <c r="F729" s="20" t="s">
        <v>5349</v>
      </c>
      <c r="G729" s="24" t="str">
        <f ca="1">IFERROR(__xludf.DUMMYFUNCTION("UPPER(LEFT((GOOGLETRANSLATE(F729,""en"",""pt"")),1))&amp;RIGHT(lower((GOOGLETRANSLATE(F729,""en"",""pt""))),(LEN((GOOGLETRANSLATE(F729,""en"",""pt"")))-1))"),"Aterragem do helicóptero")</f>
        <v>Aterragem do helicóptero</v>
      </c>
      <c r="H729" s="24" t="s">
        <v>5350</v>
      </c>
      <c r="I729" s="79"/>
      <c r="J729" s="79"/>
      <c r="K729" s="24"/>
      <c r="L729" s="24"/>
    </row>
    <row r="730" spans="1:12" ht="14.5">
      <c r="A730" s="20" t="s">
        <v>5351</v>
      </c>
      <c r="B730" s="20">
        <v>80</v>
      </c>
      <c r="C730" s="20">
        <v>5</v>
      </c>
      <c r="D730" s="20">
        <v>39</v>
      </c>
      <c r="E730" s="24"/>
      <c r="F730" s="20" t="s">
        <v>5352</v>
      </c>
      <c r="G730" s="24" t="str">
        <f ca="1">IFERROR(__xludf.DUMMYFUNCTION("UPPER(LEFT((GOOGLETRANSLATE(F730,""en"",""pt"")),1))&amp;RIGHT(lower((GOOGLETRANSLATE(F730,""en"",""pt""))),(LEN((GOOGLETRANSLATE(F730,""en"",""pt"")))-1))"),"Helicóptero take-off")</f>
        <v>Helicóptero take-off</v>
      </c>
      <c r="H730" s="24" t="s">
        <v>5353</v>
      </c>
      <c r="I730" s="79"/>
      <c r="J730" s="79"/>
      <c r="K730" s="24"/>
      <c r="L730" s="24"/>
    </row>
    <row r="731" spans="1:12" ht="14.5">
      <c r="A731" s="20" t="s">
        <v>5354</v>
      </c>
      <c r="B731" s="20">
        <v>80</v>
      </c>
      <c r="C731" s="20">
        <v>5</v>
      </c>
      <c r="D731" s="20">
        <v>82</v>
      </c>
      <c r="E731" s="24"/>
      <c r="F731" s="20" t="s">
        <v>5355</v>
      </c>
      <c r="G731" s="24" t="str">
        <f ca="1">IFERROR(__xludf.DUMMYFUNCTION("UPPER(LEFT((GOOGLETRANSLATE(F731,""en"",""pt"")),1))&amp;RIGHT(lower((GOOGLETRANSLATE(F731,""en"",""pt""))),(LEN((GOOGLETRANSLATE(F731,""en"",""pt"")))-1))"),"Pouso nave espacial")</f>
        <v>Pouso nave espacial</v>
      </c>
      <c r="H731" s="24" t="s">
        <v>5356</v>
      </c>
      <c r="I731" s="79"/>
      <c r="J731" s="79"/>
      <c r="K731" s="24"/>
      <c r="L731" s="24"/>
    </row>
    <row r="732" spans="1:12" ht="14.5">
      <c r="A732" s="20" t="s">
        <v>5357</v>
      </c>
      <c r="B732" s="20">
        <v>80</v>
      </c>
      <c r="C732" s="20">
        <v>5</v>
      </c>
      <c r="D732" s="20">
        <v>84</v>
      </c>
      <c r="E732" s="24"/>
      <c r="F732" s="20" t="s">
        <v>5358</v>
      </c>
      <c r="G732" s="24" t="str">
        <f ca="1">IFERROR(__xludf.DUMMYFUNCTION("UPPER(LEFT((GOOGLETRANSLATE(F732,""en"",""pt"")),1))&amp;RIGHT(lower((GOOGLETRANSLATE(F732,""en"",""pt""))),(LEN((GOOGLETRANSLATE(F732,""en"",""pt"")))-1))"),"Espaçonave take-off")</f>
        <v>Espaçonave take-off</v>
      </c>
      <c r="H732" s="24" t="s">
        <v>5359</v>
      </c>
      <c r="I732" s="79"/>
      <c r="J732" s="79"/>
      <c r="K732" s="24"/>
      <c r="L732" s="24"/>
    </row>
    <row r="733" spans="1:12" ht="14.5">
      <c r="A733" s="20" t="s">
        <v>5360</v>
      </c>
      <c r="B733" s="20">
        <v>80</v>
      </c>
      <c r="C733" s="20">
        <v>10</v>
      </c>
      <c r="D733" s="24"/>
      <c r="E733" s="24"/>
      <c r="F733" s="20" t="s">
        <v>5361</v>
      </c>
      <c r="G733" s="24" t="str">
        <f ca="1">IFERROR(__xludf.DUMMYFUNCTION("UPPER(LEFT((GOOGLETRANSLATE(F733,""en"",""pt"")),1))&amp;RIGHT(lower((GOOGLETRANSLATE(F733,""en"",""pt""))),(LEN((GOOGLETRANSLATE(F733,""en"",""pt"")))-1))"),"Atividades de carga e embarque")</f>
        <v>Atividades de carga e embarque</v>
      </c>
      <c r="H733" s="24" t="s">
        <v>5362</v>
      </c>
      <c r="I733" s="79"/>
      <c r="J733" s="79"/>
      <c r="K733" s="24"/>
      <c r="L733" s="24"/>
    </row>
    <row r="734" spans="1:12" ht="14.5">
      <c r="A734" s="20" t="s">
        <v>5363</v>
      </c>
      <c r="B734" s="20">
        <v>80</v>
      </c>
      <c r="C734" s="20">
        <v>10</v>
      </c>
      <c r="D734" s="20">
        <v>4</v>
      </c>
      <c r="E734" s="24"/>
      <c r="F734" s="20" t="s">
        <v>5364</v>
      </c>
      <c r="G734" s="24" t="str">
        <f ca="1">IFERROR(__xludf.DUMMYFUNCTION("UPPER(LEFT((GOOGLETRANSLATE(F734,""en"",""pt"")),1))&amp;RIGHT(lower((GOOGLETRANSLATE(F734,""en"",""pt""))),(LEN((GOOGLETRANSLATE(F734,""en"",""pt"")))-1))"),"Abastecimento de aeronaves")</f>
        <v>Abastecimento de aeronaves</v>
      </c>
      <c r="H734" s="24" t="s">
        <v>5365</v>
      </c>
      <c r="I734" s="79"/>
      <c r="J734" s="79"/>
      <c r="K734" s="24"/>
      <c r="L734" s="24"/>
    </row>
    <row r="735" spans="1:12" ht="14.5">
      <c r="A735" s="20" t="s">
        <v>5366</v>
      </c>
      <c r="B735" s="20">
        <v>80</v>
      </c>
      <c r="C735" s="20">
        <v>10</v>
      </c>
      <c r="D735" s="20">
        <v>6</v>
      </c>
      <c r="E735" s="24"/>
      <c r="F735" s="20" t="s">
        <v>5367</v>
      </c>
      <c r="G735" s="24" t="str">
        <f ca="1">IFERROR(__xludf.DUMMYFUNCTION("UPPER(LEFT((GOOGLETRANSLATE(F735,""en"",""pt"")),1))&amp;RIGHT(lower((GOOGLETRANSLATE(F735,""en"",""pt""))),(LEN((GOOGLETRANSLATE(F735,""en"",""pt"")))-1))"),"Bagagem reivindicando")</f>
        <v>Bagagem reivindicando</v>
      </c>
      <c r="H735" s="24" t="s">
        <v>5368</v>
      </c>
      <c r="I735" s="79"/>
      <c r="J735" s="79"/>
      <c r="K735" s="24"/>
      <c r="L735" s="24"/>
    </row>
    <row r="736" spans="1:12" ht="14.5">
      <c r="A736" s="20" t="s">
        <v>5369</v>
      </c>
      <c r="B736" s="20">
        <v>80</v>
      </c>
      <c r="C736" s="20">
        <v>10</v>
      </c>
      <c r="D736" s="20">
        <v>7</v>
      </c>
      <c r="E736" s="24"/>
      <c r="F736" s="20" t="s">
        <v>5370</v>
      </c>
      <c r="G736" s="24" t="str">
        <f ca="1">IFERROR(__xludf.DUMMYFUNCTION("UPPER(LEFT((GOOGLETRANSLATE(F736,""en"",""pt"")),1))&amp;RIGHT(lower((GOOGLETRANSLATE(F736,""en"",""pt""))),(LEN((GOOGLETRANSLATE(F736,""en"",""pt"")))-1))"),"Manuseio de bagagem")</f>
        <v>Manuseio de bagagem</v>
      </c>
      <c r="H736" s="24" t="s">
        <v>5371</v>
      </c>
      <c r="I736" s="79"/>
      <c r="J736" s="79"/>
      <c r="K736" s="24"/>
      <c r="L736" s="24"/>
    </row>
    <row r="737" spans="1:12" ht="14.5">
      <c r="A737" s="20" t="s">
        <v>5372</v>
      </c>
      <c r="B737" s="20">
        <v>80</v>
      </c>
      <c r="C737" s="20">
        <v>10</v>
      </c>
      <c r="D737" s="20">
        <v>8</v>
      </c>
      <c r="E737" s="24"/>
      <c r="F737" s="20" t="s">
        <v>5373</v>
      </c>
      <c r="G737" s="24" t="str">
        <f ca="1">IFERROR(__xludf.DUMMYFUNCTION("UPPER(LEFT((GOOGLETRANSLATE(F737,""en"",""pt"")),1))&amp;RIGHT(lower((GOOGLETRANSLATE(F737,""en"",""pt""))),(LEN((GOOGLETRANSLATE(F737,""en"",""pt"")))-1))"),"Carregamento de bagagens")</f>
        <v>Carregamento de bagagens</v>
      </c>
      <c r="H737" s="24" t="s">
        <v>5374</v>
      </c>
      <c r="I737" s="79"/>
      <c r="J737" s="79"/>
      <c r="K737" s="24"/>
      <c r="L737" s="24"/>
    </row>
    <row r="738" spans="1:12" ht="14.5">
      <c r="A738" s="20" t="s">
        <v>5375</v>
      </c>
      <c r="B738" s="20">
        <v>80</v>
      </c>
      <c r="C738" s="20">
        <v>10</v>
      </c>
      <c r="D738" s="20">
        <v>12</v>
      </c>
      <c r="E738" s="24"/>
      <c r="F738" s="20" t="s">
        <v>5376</v>
      </c>
      <c r="G738" s="24" t="str">
        <f ca="1">IFERROR(__xludf.DUMMYFUNCTION("UPPER(LEFT((GOOGLETRANSLATE(F738,""en"",""pt"")),1))&amp;RIGHT(lower((GOOGLETRANSLATE(F738,""en"",""pt""))),(LEN((GOOGLETRANSLATE(F738,""en"",""pt"")))-1))"),"Movimentação de carga")</f>
        <v>Movimentação de carga</v>
      </c>
      <c r="H738" s="24" t="s">
        <v>5377</v>
      </c>
      <c r="I738" s="79"/>
      <c r="J738" s="79"/>
      <c r="K738" s="24"/>
      <c r="L738" s="24"/>
    </row>
    <row r="739" spans="1:12" ht="14.5">
      <c r="A739" s="20" t="s">
        <v>5378</v>
      </c>
      <c r="B739" s="20">
        <v>80</v>
      </c>
      <c r="C739" s="20">
        <v>10</v>
      </c>
      <c r="D739" s="20">
        <v>13</v>
      </c>
      <c r="E739" s="24"/>
      <c r="F739" s="20" t="s">
        <v>5379</v>
      </c>
      <c r="G739" s="24" t="str">
        <f ca="1">IFERROR(__xludf.DUMMYFUNCTION("UPPER(LEFT((GOOGLETRANSLATE(F739,""en"",""pt"")),1))&amp;RIGHT(lower((GOOGLETRANSLATE(F739,""en"",""pt""))),(LEN((GOOGLETRANSLATE(F739,""en"",""pt"")))-1))"),"Carregamento da carga")</f>
        <v>Carregamento da carga</v>
      </c>
      <c r="H739" s="24" t="s">
        <v>5380</v>
      </c>
      <c r="I739" s="79"/>
      <c r="J739" s="79"/>
      <c r="K739" s="24"/>
      <c r="L739" s="24"/>
    </row>
    <row r="740" spans="1:12" ht="14.5">
      <c r="A740" s="20" t="s">
        <v>5381</v>
      </c>
      <c r="B740" s="20">
        <v>80</v>
      </c>
      <c r="C740" s="20">
        <v>10</v>
      </c>
      <c r="D740" s="20">
        <v>20</v>
      </c>
      <c r="E740" s="24"/>
      <c r="F740" s="20" t="s">
        <v>5382</v>
      </c>
      <c r="G740" s="24" t="str">
        <f ca="1">IFERROR(__xludf.DUMMYFUNCTION("UPPER(LEFT((GOOGLETRANSLATE(F740,""en"",""pt"")),1))&amp;RIGHT(lower((GOOGLETRANSLATE(F740,""en"",""pt""))),(LEN((GOOGLETRANSLATE(F740,""en"",""pt"")))-1))"),"Controle costumes")</f>
        <v>Controle costumes</v>
      </c>
      <c r="H740" s="24" t="s">
        <v>5383</v>
      </c>
      <c r="I740" s="79"/>
      <c r="J740" s="79"/>
      <c r="K740" s="24"/>
      <c r="L740" s="24"/>
    </row>
    <row r="741" spans="1:12" ht="14.5">
      <c r="A741" s="20" t="s">
        <v>5384</v>
      </c>
      <c r="B741" s="20">
        <v>80</v>
      </c>
      <c r="C741" s="20">
        <v>10</v>
      </c>
      <c r="D741" s="20">
        <v>60</v>
      </c>
      <c r="E741" s="24"/>
      <c r="F741" s="20" t="s">
        <v>5385</v>
      </c>
      <c r="G741" s="24" t="str">
        <f ca="1">IFERROR(__xludf.DUMMYFUNCTION("UPPER(LEFT((GOOGLETRANSLATE(F741,""en"",""pt"")),1))&amp;RIGHT(lower((GOOGLETRANSLATE(F741,""en"",""pt""))),(LEN((GOOGLETRANSLATE(F741,""en"",""pt"")))-1))"),"Passageiro que chega")</f>
        <v>Passageiro que chega</v>
      </c>
      <c r="H741" s="24" t="s">
        <v>5386</v>
      </c>
      <c r="I741" s="79"/>
      <c r="J741" s="79"/>
      <c r="K741" s="24"/>
      <c r="L741" s="24"/>
    </row>
    <row r="742" spans="1:12" ht="14.5">
      <c r="A742" s="20" t="s">
        <v>5387</v>
      </c>
      <c r="B742" s="20">
        <v>80</v>
      </c>
      <c r="C742" s="20">
        <v>10</v>
      </c>
      <c r="D742" s="20">
        <v>61</v>
      </c>
      <c r="E742" s="24"/>
      <c r="F742" s="20" t="s">
        <v>5388</v>
      </c>
      <c r="G742" s="24" t="str">
        <f ca="1">IFERROR(__xludf.DUMMYFUNCTION("UPPER(LEFT((GOOGLETRANSLATE(F742,""en"",""pt"")),1))&amp;RIGHT(lower((GOOGLETRANSLATE(F742,""en"",""pt""))),(LEN((GOOGLETRANSLATE(F742,""en"",""pt"")))-1))"),"Passageiro embarcado")</f>
        <v>Passageiro embarcado</v>
      </c>
      <c r="H742" s="24" t="s">
        <v>5389</v>
      </c>
      <c r="I742" s="79"/>
      <c r="J742" s="79"/>
      <c r="K742" s="24"/>
      <c r="L742" s="24"/>
    </row>
    <row r="743" spans="1:12" ht="14.5">
      <c r="A743" s="20" t="s">
        <v>5390</v>
      </c>
      <c r="B743" s="20">
        <v>80</v>
      </c>
      <c r="C743" s="20">
        <v>10</v>
      </c>
      <c r="D743" s="20">
        <v>62</v>
      </c>
      <c r="E743" s="24"/>
      <c r="F743" s="20" t="s">
        <v>5391</v>
      </c>
      <c r="G743" s="24" t="str">
        <f ca="1">IFERROR(__xludf.DUMMYFUNCTION("UPPER(LEFT((GOOGLETRANSLATE(F743,""en"",""pt"")),1))&amp;RIGHT(lower((GOOGLETRANSLATE(F743,""en"",""pt""))),(LEN((GOOGLETRANSLATE(F743,""en"",""pt"")))-1))"),"Desembarque de passageiros")</f>
        <v>Desembarque de passageiros</v>
      </c>
      <c r="H743" s="24" t="s">
        <v>5392</v>
      </c>
      <c r="I743" s="79"/>
      <c r="J743" s="79"/>
      <c r="K743" s="24"/>
      <c r="L743" s="24"/>
    </row>
    <row r="744" spans="1:12" ht="14.5">
      <c r="A744" s="20" t="s">
        <v>5393</v>
      </c>
      <c r="B744" s="20">
        <v>80</v>
      </c>
      <c r="C744" s="20">
        <v>10</v>
      </c>
      <c r="D744" s="20">
        <v>63</v>
      </c>
      <c r="E744" s="24"/>
      <c r="F744" s="20" t="s">
        <v>5394</v>
      </c>
      <c r="G744" s="24" t="str">
        <f ca="1">IFERROR(__xludf.DUMMYFUNCTION("UPPER(LEFT((GOOGLETRANSLATE(F744,""en"",""pt"")),1))&amp;RIGHT(lower((GOOGLETRANSLATE(F744,""en"",""pt""))),(LEN((GOOGLETRANSLATE(F744,""en"",""pt"")))-1))"),"Embarque de passageiros")</f>
        <v>Embarque de passageiros</v>
      </c>
      <c r="H744" s="24" t="s">
        <v>5395</v>
      </c>
      <c r="I744" s="79"/>
      <c r="J744" s="79"/>
      <c r="K744" s="24"/>
      <c r="L744" s="24"/>
    </row>
    <row r="745" spans="1:12" ht="14.5">
      <c r="A745" s="20" t="s">
        <v>5396</v>
      </c>
      <c r="B745" s="20">
        <v>80</v>
      </c>
      <c r="C745" s="20">
        <v>10</v>
      </c>
      <c r="D745" s="20">
        <v>64</v>
      </c>
      <c r="E745" s="24"/>
      <c r="F745" s="20" t="s">
        <v>5397</v>
      </c>
      <c r="G745" s="24" t="str">
        <f ca="1">IFERROR(__xludf.DUMMYFUNCTION("UPPER(LEFT((GOOGLETRANSLATE(F745,""en"",""pt"")),1))&amp;RIGHT(lower((GOOGLETRANSLATE(F745,""en"",""pt""))),(LEN((GOOGLETRANSLATE(F745,""en"",""pt"")))-1))"),"Coleta de passageiros")</f>
        <v>Coleta de passageiros</v>
      </c>
      <c r="H745" s="24" t="s">
        <v>5398</v>
      </c>
      <c r="I745" s="79"/>
      <c r="J745" s="79"/>
      <c r="K745" s="24"/>
      <c r="L745" s="24"/>
    </row>
    <row r="746" spans="1:12" ht="14.5">
      <c r="A746" s="20" t="s">
        <v>5399</v>
      </c>
      <c r="B746" s="20">
        <v>80</v>
      </c>
      <c r="C746" s="20">
        <v>10</v>
      </c>
      <c r="D746" s="20">
        <v>65</v>
      </c>
      <c r="E746" s="24"/>
      <c r="F746" s="20" t="s">
        <v>5400</v>
      </c>
      <c r="G746" s="24" t="str">
        <f ca="1">IFERROR(__xludf.DUMMYFUNCTION("UPPER(LEFT((GOOGLETRANSLATE(F746,""en"",""pt"")),1))&amp;RIGHT(lower((GOOGLETRANSLATE(F746,""en"",""pt""))),(LEN((GOOGLETRANSLATE(F746,""en"",""pt"")))-1))"),"Passaporte controle")</f>
        <v>Passaporte controle</v>
      </c>
      <c r="H746" s="24" t="s">
        <v>5401</v>
      </c>
      <c r="I746" s="79"/>
      <c r="J746" s="79"/>
      <c r="K746" s="24"/>
      <c r="L746" s="24"/>
    </row>
    <row r="747" spans="1:12" ht="14.5">
      <c r="A747" s="20" t="s">
        <v>5402</v>
      </c>
      <c r="B747" s="20">
        <v>80</v>
      </c>
      <c r="C747" s="20">
        <v>10</v>
      </c>
      <c r="D747" s="20">
        <v>86</v>
      </c>
      <c r="E747" s="24"/>
      <c r="F747" s="20" t="s">
        <v>5403</v>
      </c>
      <c r="G747" s="24" t="str">
        <f ca="1">IFERROR(__xludf.DUMMYFUNCTION("UPPER(LEFT((GOOGLETRANSLATE(F747,""en"",""pt"")),1))&amp;RIGHT(lower((GOOGLETRANSLATE(F747,""en"",""pt""))),(LEN((GOOGLETRANSLATE(F747,""en"",""pt"")))-1))"),"Ticketing")</f>
        <v>Ticketing</v>
      </c>
      <c r="H747" s="24" t="s">
        <v>5403</v>
      </c>
      <c r="I747" s="79"/>
      <c r="J747" s="79"/>
      <c r="K747" s="24"/>
      <c r="L747" s="24"/>
    </row>
    <row r="748" spans="1:12" ht="14.5">
      <c r="A748" s="20" t="s">
        <v>5404</v>
      </c>
      <c r="B748" s="20">
        <v>80</v>
      </c>
      <c r="C748" s="20">
        <v>15</v>
      </c>
      <c r="D748" s="24"/>
      <c r="E748" s="24"/>
      <c r="F748" s="20" t="s">
        <v>5405</v>
      </c>
      <c r="G748" s="24" t="str">
        <f ca="1">IFERROR(__xludf.DUMMYFUNCTION("UPPER(LEFT((GOOGLETRANSLATE(F748,""en"",""pt"")),1))&amp;RIGHT(lower((GOOGLETRANSLATE(F748,""en"",""pt""))),(LEN((GOOGLETRANSLATE(F748,""en"",""pt"")))-1))"),"Atividades de manutenção aeroespaciais")</f>
        <v>Atividades de manutenção aeroespaciais</v>
      </c>
      <c r="H748" s="24" t="s">
        <v>5406</v>
      </c>
      <c r="I748" s="79"/>
      <c r="J748" s="79"/>
      <c r="K748" s="24"/>
      <c r="L748" s="24"/>
    </row>
    <row r="749" spans="1:12" ht="14.5">
      <c r="A749" s="20" t="s">
        <v>5407</v>
      </c>
      <c r="B749" s="20">
        <v>80</v>
      </c>
      <c r="C749" s="20">
        <v>15</v>
      </c>
      <c r="D749" s="20">
        <v>1</v>
      </c>
      <c r="E749" s="24"/>
      <c r="F749" s="20" t="s">
        <v>5408</v>
      </c>
      <c r="G749" s="24" t="str">
        <f ca="1">IFERROR(__xludf.DUMMYFUNCTION("UPPER(LEFT((GOOGLETRANSLATE(F749,""en"",""pt"")),1))&amp;RIGHT(lower((GOOGLETRANSLATE(F749,""en"",""pt""))),(LEN((GOOGLETRANSLATE(F749,""en"",""pt"")))-1))"),"Limpeza de aeronaves")</f>
        <v>Limpeza de aeronaves</v>
      </c>
      <c r="H749" s="24" t="s">
        <v>5409</v>
      </c>
      <c r="I749" s="79"/>
      <c r="J749" s="79"/>
      <c r="K749" s="24"/>
      <c r="L749" s="24"/>
    </row>
    <row r="750" spans="1:12" ht="14.5">
      <c r="A750" s="20" t="s">
        <v>5410</v>
      </c>
      <c r="B750" s="20">
        <v>80</v>
      </c>
      <c r="C750" s="20">
        <v>15</v>
      </c>
      <c r="D750" s="20">
        <v>2</v>
      </c>
      <c r="E750" s="24"/>
      <c r="F750" s="20" t="s">
        <v>5411</v>
      </c>
      <c r="G750" s="24" t="str">
        <f ca="1">IFERROR(__xludf.DUMMYFUNCTION("UPPER(LEFT((GOOGLETRANSLATE(F750,""en"",""pt"")),1))&amp;RIGHT(lower((GOOGLETRANSLATE(F750,""en"",""pt""))),(LEN((GOOGLETRANSLATE(F750,""en"",""pt"")))-1))"),"Aircraft manutenção")</f>
        <v>Aircraft manutenção</v>
      </c>
      <c r="H750" s="24" t="s">
        <v>5412</v>
      </c>
      <c r="I750" s="79"/>
      <c r="J750" s="79"/>
      <c r="K750" s="24"/>
      <c r="L750" s="24"/>
    </row>
    <row r="751" spans="1:12" ht="14.5">
      <c r="A751" s="20" t="s">
        <v>5413</v>
      </c>
      <c r="B751" s="20">
        <v>80</v>
      </c>
      <c r="C751" s="20">
        <v>15</v>
      </c>
      <c r="D751" s="20">
        <v>4</v>
      </c>
      <c r="E751" s="24"/>
      <c r="F751" s="20" t="s">
        <v>5414</v>
      </c>
      <c r="G751" s="24" t="str">
        <f ca="1">IFERROR(__xludf.DUMMYFUNCTION("UPPER(LEFT((GOOGLETRANSLATE(F751,""en"",""pt"")),1))&amp;RIGHT(lower((GOOGLETRANSLATE(F751,""en"",""pt""))),(LEN((GOOGLETRANSLATE(F751,""en"",""pt"")))-1))"),"Reparação de aeronaves")</f>
        <v>Reparação de aeronaves</v>
      </c>
      <c r="H751" s="24" t="s">
        <v>5415</v>
      </c>
      <c r="I751" s="79"/>
      <c r="J751" s="79"/>
      <c r="K751" s="24"/>
      <c r="L751" s="24"/>
    </row>
    <row r="752" spans="1:12" ht="14.5">
      <c r="A752" s="20" t="s">
        <v>5416</v>
      </c>
      <c r="B752" s="20">
        <v>80</v>
      </c>
      <c r="C752" s="20">
        <v>15</v>
      </c>
      <c r="D752" s="20">
        <v>79</v>
      </c>
      <c r="E752" s="24"/>
      <c r="F752" s="20" t="s">
        <v>5417</v>
      </c>
      <c r="G752" s="24" t="str">
        <f ca="1">IFERROR(__xludf.DUMMYFUNCTION("UPPER(LEFT((GOOGLETRANSLATE(F752,""en"",""pt"")),1))&amp;RIGHT(lower((GOOGLETRANSLATE(F752,""en"",""pt""))),(LEN((GOOGLETRANSLATE(F752,""en"",""pt"")))-1))"),"Limpeza nave espacial")</f>
        <v>Limpeza nave espacial</v>
      </c>
      <c r="H752" s="24" t="s">
        <v>5418</v>
      </c>
      <c r="I752" s="79"/>
      <c r="J752" s="79"/>
      <c r="K752" s="24"/>
      <c r="L752" s="24"/>
    </row>
    <row r="753" spans="1:12" ht="14.5">
      <c r="A753" s="20" t="s">
        <v>5419</v>
      </c>
      <c r="B753" s="20">
        <v>80</v>
      </c>
      <c r="C753" s="20">
        <v>15</v>
      </c>
      <c r="D753" s="20">
        <v>80</v>
      </c>
      <c r="E753" s="24"/>
      <c r="F753" s="20" t="s">
        <v>5420</v>
      </c>
      <c r="G753" s="24" t="str">
        <f ca="1">IFERROR(__xludf.DUMMYFUNCTION("UPPER(LEFT((GOOGLETRANSLATE(F753,""en"",""pt"")),1))&amp;RIGHT(lower((GOOGLETRANSLATE(F753,""en"",""pt""))),(LEN((GOOGLETRANSLATE(F753,""en"",""pt"")))-1))"),"Espaçonave manutenção")</f>
        <v>Espaçonave manutenção</v>
      </c>
      <c r="H753" s="24" t="s">
        <v>5421</v>
      </c>
      <c r="I753" s="79"/>
      <c r="J753" s="79"/>
      <c r="K753" s="24"/>
      <c r="L753" s="24"/>
    </row>
    <row r="754" spans="1:12" ht="14.5">
      <c r="A754" s="20" t="s">
        <v>5422</v>
      </c>
      <c r="B754" s="20">
        <v>80</v>
      </c>
      <c r="C754" s="20">
        <v>15</v>
      </c>
      <c r="D754" s="20">
        <v>81</v>
      </c>
      <c r="E754" s="24"/>
      <c r="F754" s="20" t="s">
        <v>5423</v>
      </c>
      <c r="G754" s="24" t="str">
        <f ca="1">IFERROR(__xludf.DUMMYFUNCTION("UPPER(LEFT((GOOGLETRANSLATE(F754,""en"",""pt"")),1))&amp;RIGHT(lower((GOOGLETRANSLATE(F754,""en"",""pt""))),(LEN((GOOGLETRANSLATE(F754,""en"",""pt"")))-1))"),"Espaçonave preparando")</f>
        <v>Espaçonave preparando</v>
      </c>
      <c r="H754" s="24" t="s">
        <v>5424</v>
      </c>
      <c r="I754" s="79"/>
      <c r="J754" s="79"/>
      <c r="K754" s="24"/>
      <c r="L754" s="24"/>
    </row>
    <row r="755" spans="1:12" ht="14.5">
      <c r="A755" s="20" t="s">
        <v>5425</v>
      </c>
      <c r="B755" s="20">
        <v>80</v>
      </c>
      <c r="C755" s="20">
        <v>15</v>
      </c>
      <c r="D755" s="20">
        <v>82</v>
      </c>
      <c r="E755" s="24"/>
      <c r="F755" s="20" t="s">
        <v>5426</v>
      </c>
      <c r="G755" s="24" t="str">
        <f ca="1">IFERROR(__xludf.DUMMYFUNCTION("UPPER(LEFT((GOOGLETRANSLATE(F755,""en"",""pt"")),1))&amp;RIGHT(lower((GOOGLETRANSLATE(F755,""en"",""pt""))),(LEN((GOOGLETRANSLATE(F755,""en"",""pt"")))-1))"),"Reparação nave espacial")</f>
        <v>Reparação nave espacial</v>
      </c>
      <c r="H755" s="24" t="s">
        <v>5427</v>
      </c>
      <c r="I755" s="79"/>
      <c r="J755" s="79"/>
      <c r="K755" s="24"/>
      <c r="L755" s="24"/>
    </row>
    <row r="756" spans="1:12" ht="14.5">
      <c r="A756" s="20" t="s">
        <v>5428</v>
      </c>
      <c r="B756" s="20">
        <v>80</v>
      </c>
      <c r="C756" s="20">
        <v>20</v>
      </c>
      <c r="D756" s="24"/>
      <c r="E756" s="24"/>
      <c r="F756" s="20" t="s">
        <v>5429</v>
      </c>
      <c r="G756" s="24" t="str">
        <f ca="1">IFERROR(__xludf.DUMMYFUNCTION("UPPER(LEFT((GOOGLETRANSLATE(F756,""en"",""pt"")),1))&amp;RIGHT(lower((GOOGLETRANSLATE(F756,""en"",""pt""))),(LEN((GOOGLETRANSLATE(F756,""en"",""pt"")))-1))"),"Atividades maneira de cabo")</f>
        <v>Atividades maneira de cabo</v>
      </c>
      <c r="H756" s="24" t="s">
        <v>5430</v>
      </c>
      <c r="I756" s="79"/>
      <c r="J756" s="79"/>
      <c r="K756" s="24"/>
      <c r="L756" s="24"/>
    </row>
    <row r="757" spans="1:12" ht="14.5">
      <c r="A757" s="20" t="s">
        <v>5431</v>
      </c>
      <c r="B757" s="20">
        <v>80</v>
      </c>
      <c r="C757" s="20">
        <v>20</v>
      </c>
      <c r="D757" s="20">
        <v>13</v>
      </c>
      <c r="E757" s="24"/>
      <c r="F757" s="20" t="s">
        <v>5432</v>
      </c>
      <c r="G757" s="24" t="str">
        <f ca="1">IFERROR(__xludf.DUMMYFUNCTION("UPPER(LEFT((GOOGLETRANSLATE(F757,""en"",""pt"")),1))&amp;RIGHT(lower((GOOGLETRANSLATE(F757,""en"",""pt""))),(LEN((GOOGLETRANSLATE(F757,""en"",""pt"")))-1))"),"Teleférico viagem")</f>
        <v>Teleférico viagem</v>
      </c>
      <c r="H757" s="24" t="s">
        <v>5433</v>
      </c>
      <c r="I757" s="79"/>
      <c r="J757" s="79"/>
      <c r="K757" s="24"/>
      <c r="L757" s="24"/>
    </row>
    <row r="758" spans="1:12" ht="14.5">
      <c r="A758" s="20" t="s">
        <v>5434</v>
      </c>
      <c r="B758" s="20">
        <v>80</v>
      </c>
      <c r="C758" s="20">
        <v>30</v>
      </c>
      <c r="D758" s="24"/>
      <c r="E758" s="24"/>
      <c r="F758" s="20" t="s">
        <v>5435</v>
      </c>
      <c r="G758" s="24" t="str">
        <f ca="1">IFERROR(__xludf.DUMMYFUNCTION("UPPER(LEFT((GOOGLETRANSLATE(F758,""en"",""pt"")),1))&amp;RIGHT(lower((GOOGLETRANSLATE(F758,""en"",""pt""))),(LEN((GOOGLETRANSLATE(F758,""en"",""pt"")))-1))"),"Atividades de armazenamento de transporte por cabo e de manutenção")</f>
        <v>Atividades de armazenamento de transporte por cabo e de manutenção</v>
      </c>
      <c r="H758" s="24" t="s">
        <v>5436</v>
      </c>
      <c r="I758" s="79"/>
      <c r="J758" s="79"/>
      <c r="K758" s="24"/>
      <c r="L758" s="24"/>
    </row>
    <row r="759" spans="1:12" ht="14.5">
      <c r="A759" s="20" t="s">
        <v>5437</v>
      </c>
      <c r="B759" s="20">
        <v>80</v>
      </c>
      <c r="C759" s="20">
        <v>30</v>
      </c>
      <c r="D759" s="20">
        <v>34</v>
      </c>
      <c r="E759" s="24"/>
      <c r="F759" s="20" t="s">
        <v>5438</v>
      </c>
      <c r="G759" s="24" t="str">
        <f ca="1">IFERROR(__xludf.DUMMYFUNCTION("UPPER(LEFT((GOOGLETRANSLATE(F759,""en"",""pt"")),1))&amp;RIGHT(lower((GOOGLETRANSLATE(F759,""en"",""pt""))),(LEN((GOOGLETRANSLATE(F759,""en"",""pt"")))-1))"),"Reparação e limpeza gôndola")</f>
        <v>Reparação e limpeza gôndola</v>
      </c>
      <c r="H759" s="24" t="s">
        <v>5439</v>
      </c>
      <c r="I759" s="79"/>
      <c r="J759" s="79"/>
      <c r="K759" s="24"/>
      <c r="L759" s="24"/>
    </row>
    <row r="760" spans="1:12" ht="14.5">
      <c r="A760" s="20" t="s">
        <v>5440</v>
      </c>
      <c r="B760" s="20">
        <v>80</v>
      </c>
      <c r="C760" s="20">
        <v>30</v>
      </c>
      <c r="D760" s="20">
        <v>35</v>
      </c>
      <c r="E760" s="24"/>
      <c r="F760" s="20" t="s">
        <v>5441</v>
      </c>
      <c r="G760" s="24" t="str">
        <f ca="1">IFERROR(__xludf.DUMMYFUNCTION("UPPER(LEFT((GOOGLETRANSLATE(F760,""en"",""pt"")),1))&amp;RIGHT(lower((GOOGLETRANSLATE(F760,""en"",""pt""))),(LEN((GOOGLETRANSLATE(F760,""en"",""pt"")))-1))"),"Gondola armazenamento")</f>
        <v>Gondola armazenamento</v>
      </c>
      <c r="H760" s="24" t="s">
        <v>5442</v>
      </c>
      <c r="I760" s="79"/>
      <c r="J760" s="79"/>
      <c r="K760" s="24"/>
      <c r="L760" s="24"/>
    </row>
    <row r="761" spans="1:12" ht="14.5">
      <c r="A761" s="20" t="s">
        <v>5443</v>
      </c>
      <c r="B761" s="20">
        <v>80</v>
      </c>
      <c r="C761" s="20">
        <v>35</v>
      </c>
      <c r="D761" s="24"/>
      <c r="E761" s="24"/>
      <c r="F761" s="20" t="s">
        <v>5444</v>
      </c>
      <c r="G761" s="24" t="str">
        <f ca="1">IFERROR(__xludf.DUMMYFUNCTION("UPPER(LEFT((GOOGLETRANSLATE(F761,""en"",""pt"")),1))&amp;RIGHT(lower((GOOGLETRANSLATE(F761,""en"",""pt""))),(LEN((GOOGLETRANSLATE(F761,""en"",""pt"")))-1))"),"Atividades de rodovias")</f>
        <v>Atividades de rodovias</v>
      </c>
      <c r="H761" s="24" t="s">
        <v>5445</v>
      </c>
      <c r="I761" s="79"/>
      <c r="J761" s="79"/>
      <c r="K761" s="24"/>
      <c r="L761" s="24"/>
    </row>
    <row r="762" spans="1:12" ht="14.5">
      <c r="A762" s="20" t="s">
        <v>5446</v>
      </c>
      <c r="B762" s="20">
        <v>80</v>
      </c>
      <c r="C762" s="20">
        <v>35</v>
      </c>
      <c r="D762" s="20">
        <v>8</v>
      </c>
      <c r="E762" s="24"/>
      <c r="F762" s="20" t="s">
        <v>5447</v>
      </c>
      <c r="G762" s="24" t="str">
        <f ca="1">IFERROR(__xludf.DUMMYFUNCTION("UPPER(LEFT((GOOGLETRANSLATE(F762,""en"",""pt"")),1))&amp;RIGHT(lower((GOOGLETRANSLATE(F762,""en"",""pt""))),(LEN((GOOGLETRANSLATE(F762,""en"",""pt"")))-1))"),"Manobras bus")</f>
        <v>Manobras bus</v>
      </c>
      <c r="H762" s="24" t="s">
        <v>5448</v>
      </c>
      <c r="I762" s="79"/>
      <c r="J762" s="79"/>
      <c r="K762" s="24"/>
      <c r="L762" s="24"/>
    </row>
    <row r="763" spans="1:12" ht="14.5">
      <c r="A763" s="20" t="s">
        <v>5449</v>
      </c>
      <c r="B763" s="20">
        <v>80</v>
      </c>
      <c r="C763" s="20">
        <v>35</v>
      </c>
      <c r="D763" s="20">
        <v>12</v>
      </c>
      <c r="E763" s="24"/>
      <c r="F763" s="20" t="s">
        <v>5450</v>
      </c>
      <c r="G763" s="24" t="str">
        <f ca="1">IFERROR(__xludf.DUMMYFUNCTION("UPPER(LEFT((GOOGLETRANSLATE(F763,""en"",""pt"")),1))&amp;RIGHT(lower((GOOGLETRANSLATE(F763,""en"",""pt""))),(LEN((GOOGLETRANSLATE(F763,""en"",""pt"")))-1))"),"Manobra de carro")</f>
        <v>Manobra de carro</v>
      </c>
      <c r="H763" s="24" t="s">
        <v>5451</v>
      </c>
      <c r="I763" s="79"/>
      <c r="J763" s="79"/>
      <c r="K763" s="24"/>
      <c r="L763" s="24"/>
    </row>
    <row r="764" spans="1:12" ht="14.5">
      <c r="A764" s="20" t="s">
        <v>5452</v>
      </c>
      <c r="B764" s="20">
        <v>80</v>
      </c>
      <c r="C764" s="20">
        <v>35</v>
      </c>
      <c r="D764" s="20">
        <v>16</v>
      </c>
      <c r="E764" s="24"/>
      <c r="F764" s="20" t="s">
        <v>5453</v>
      </c>
      <c r="G764" s="24" t="str">
        <f ca="1">IFERROR(__xludf.DUMMYFUNCTION("UPPER(LEFT((GOOGLETRANSLATE(F764,""en"",""pt"")),1))&amp;RIGHT(lower((GOOGLETRANSLATE(F764,""en"",""pt""))),(LEN((GOOGLETRANSLATE(F764,""en"",""pt"")))-1))"),"Carriageway separação")</f>
        <v>Carriageway separação</v>
      </c>
      <c r="H764" s="24" t="s">
        <v>5454</v>
      </c>
      <c r="I764" s="79"/>
      <c r="J764" s="79"/>
      <c r="K764" s="24"/>
      <c r="L764" s="24"/>
    </row>
    <row r="765" spans="1:12" ht="14.5">
      <c r="A765" s="20" t="s">
        <v>5455</v>
      </c>
      <c r="B765" s="20">
        <v>80</v>
      </c>
      <c r="C765" s="20">
        <v>35</v>
      </c>
      <c r="D765" s="20">
        <v>24</v>
      </c>
      <c r="E765" s="24"/>
      <c r="F765" s="20" t="s">
        <v>5456</v>
      </c>
      <c r="G765" s="24" t="str">
        <f ca="1">IFERROR(__xludf.DUMMYFUNCTION("UPPER(LEFT((GOOGLETRANSLATE(F765,""en"",""pt"")),1))&amp;RIGHT(lower((GOOGLETRANSLATE(F765,""en"",""pt""))),(LEN((GOOGLETRANSLATE(F765,""en"",""pt"")))-1))"),"Dirigindo")</f>
        <v>Dirigindo</v>
      </c>
      <c r="H765" s="24" t="s">
        <v>5457</v>
      </c>
      <c r="I765" s="79"/>
      <c r="J765" s="79"/>
      <c r="K765" s="24"/>
      <c r="L765" s="24"/>
    </row>
    <row r="766" spans="1:12" ht="14.5">
      <c r="A766" s="20" t="s">
        <v>5458</v>
      </c>
      <c r="B766" s="20">
        <v>80</v>
      </c>
      <c r="C766" s="20">
        <v>35</v>
      </c>
      <c r="D766" s="20">
        <v>46</v>
      </c>
      <c r="E766" s="24"/>
      <c r="F766" s="20" t="s">
        <v>5459</v>
      </c>
      <c r="G766" s="24" t="str">
        <f ca="1">IFERROR(__xludf.DUMMYFUNCTION("UPPER(LEFT((GOOGLETRANSLATE(F766,""en"",""pt"")),1))&amp;RIGHT(lower((GOOGLETRANSLATE(F766,""en"",""pt""))),(LEN((GOOGLETRANSLATE(F766,""en"",""pt"")))-1))"),"Deitado-a e passando")</f>
        <v>Deitado-a e passando</v>
      </c>
      <c r="H766" s="24" t="s">
        <v>5460</v>
      </c>
      <c r="I766" s="79"/>
      <c r="J766" s="79"/>
      <c r="K766" s="24"/>
      <c r="L766" s="24"/>
    </row>
    <row r="767" spans="1:12" ht="14.5">
      <c r="A767" s="20" t="s">
        <v>5461</v>
      </c>
      <c r="B767" s="20">
        <v>80</v>
      </c>
      <c r="C767" s="20">
        <v>35</v>
      </c>
      <c r="D767" s="20">
        <v>63</v>
      </c>
      <c r="E767" s="24"/>
      <c r="F767" s="20" t="s">
        <v>5462</v>
      </c>
      <c r="G767" s="24" t="str">
        <f ca="1">IFERROR(__xludf.DUMMYFUNCTION("UPPER(LEFT((GOOGLETRANSLATE(F767,""en"",""pt"")),1))&amp;RIGHT(lower((GOOGLETRANSLATE(F767,""en"",""pt""))),(LEN((GOOGLETRANSLATE(F767,""en"",""pt"")))-1))"),"Faixa de pedestre")</f>
        <v>Faixa de pedestre</v>
      </c>
      <c r="H767" s="24" t="s">
        <v>5463</v>
      </c>
      <c r="I767" s="79"/>
      <c r="J767" s="79"/>
      <c r="K767" s="24"/>
      <c r="L767" s="24"/>
    </row>
    <row r="768" spans="1:12" ht="14.5">
      <c r="A768" s="20" t="s">
        <v>5464</v>
      </c>
      <c r="B768" s="20">
        <v>80</v>
      </c>
      <c r="C768" s="20">
        <v>35</v>
      </c>
      <c r="D768" s="20">
        <v>64</v>
      </c>
      <c r="E768" s="24"/>
      <c r="F768" s="20" t="s">
        <v>5465</v>
      </c>
      <c r="G768" s="24" t="str">
        <f ca="1">IFERROR(__xludf.DUMMYFUNCTION("UPPER(LEFT((GOOGLETRANSLATE(F768,""en"",""pt"")),1))&amp;RIGHT(lower((GOOGLETRANSLATE(F768,""en"",""pt""))),(LEN((GOOGLETRANSLATE(F768,""en"",""pt"")))-1))"),"Pedestre pé")</f>
        <v>Pedestre pé</v>
      </c>
      <c r="H768" s="24" t="s">
        <v>5466</v>
      </c>
      <c r="I768" s="79"/>
      <c r="J768" s="79"/>
      <c r="K768" s="24"/>
      <c r="L768" s="24"/>
    </row>
    <row r="769" spans="1:12" ht="14.5">
      <c r="A769" s="20" t="s">
        <v>5467</v>
      </c>
      <c r="B769" s="20">
        <v>80</v>
      </c>
      <c r="C769" s="20">
        <v>35</v>
      </c>
      <c r="D769" s="20">
        <v>70</v>
      </c>
      <c r="E769" s="24"/>
      <c r="F769" s="20" t="s">
        <v>5468</v>
      </c>
      <c r="G769" s="24" t="str">
        <f ca="1">IFERROR(__xludf.DUMMYFUNCTION("UPPER(LEFT((GOOGLETRANSLATE(F769,""en"",""pt"")),1))&amp;RIGHT(lower((GOOGLETRANSLATE(F769,""en"",""pt""))),(LEN((GOOGLETRANSLATE(F769,""en"",""pt"")))-1))"),"Cruzamento railway")</f>
        <v>Cruzamento railway</v>
      </c>
      <c r="H769" s="24" t="s">
        <v>5469</v>
      </c>
      <c r="I769" s="79"/>
      <c r="J769" s="79"/>
      <c r="K769" s="24"/>
      <c r="L769" s="24"/>
    </row>
    <row r="770" spans="1:12" ht="14.5">
      <c r="A770" s="20" t="s">
        <v>5470</v>
      </c>
      <c r="B770" s="20">
        <v>80</v>
      </c>
      <c r="C770" s="20">
        <v>35</v>
      </c>
      <c r="D770" s="20">
        <v>73</v>
      </c>
      <c r="E770" s="24"/>
      <c r="F770" s="20" t="s">
        <v>5471</v>
      </c>
      <c r="G770" s="24" t="str">
        <f ca="1">IFERROR(__xludf.DUMMYFUNCTION("UPPER(LEFT((GOOGLETRANSLATE(F770,""en"",""pt"")),1))&amp;RIGHT(lower((GOOGLETRANSLATE(F770,""en"",""pt""))),(LEN((GOOGLETRANSLATE(F770,""en"",""pt"")))-1))"),"Buffer estrada")</f>
        <v>Buffer estrada</v>
      </c>
      <c r="H770" s="24" t="s">
        <v>5472</v>
      </c>
      <c r="I770" s="79"/>
      <c r="J770" s="79"/>
      <c r="K770" s="24"/>
      <c r="L770" s="24"/>
    </row>
    <row r="771" spans="1:12" ht="14.5">
      <c r="A771" s="20" t="s">
        <v>5473</v>
      </c>
      <c r="B771" s="20">
        <v>80</v>
      </c>
      <c r="C771" s="20">
        <v>35</v>
      </c>
      <c r="D771" s="20">
        <v>90</v>
      </c>
      <c r="E771" s="24"/>
      <c r="F771" s="20" t="s">
        <v>5474</v>
      </c>
      <c r="G771" s="24" t="str">
        <f ca="1">IFERROR(__xludf.DUMMYFUNCTION("UPPER(LEFT((GOOGLETRANSLATE(F771,""en"",""pt"")),1))&amp;RIGHT(lower((GOOGLETRANSLATE(F771,""en"",""pt""))),(LEN((GOOGLETRANSLATE(F771,""en"",""pt"")))-1))"),"Truck manobras")</f>
        <v>Truck manobras</v>
      </c>
      <c r="H771" s="24" t="s">
        <v>5475</v>
      </c>
      <c r="I771" s="79"/>
      <c r="J771" s="79"/>
      <c r="K771" s="24"/>
      <c r="L771" s="24"/>
    </row>
    <row r="772" spans="1:12" ht="14.5">
      <c r="A772" s="20" t="s">
        <v>5476</v>
      </c>
      <c r="B772" s="20">
        <v>80</v>
      </c>
      <c r="C772" s="20">
        <v>35</v>
      </c>
      <c r="D772" s="20">
        <v>95</v>
      </c>
      <c r="E772" s="24"/>
      <c r="F772" s="20" t="s">
        <v>5477</v>
      </c>
      <c r="G772" s="24" t="str">
        <f ca="1">IFERROR(__xludf.DUMMYFUNCTION("UPPER(LEFT((GOOGLETRANSLATE(F772,""en"",""pt"")),1))&amp;RIGHT(lower((GOOGLETRANSLATE(F772,""en"",""pt""))),(LEN((GOOGLETRANSLATE(F772,""en"",""pt"")))-1))"),"Manobrar veículo")</f>
        <v>Manobrar veículo</v>
      </c>
      <c r="H772" s="24" t="s">
        <v>5478</v>
      </c>
      <c r="I772" s="79"/>
      <c r="J772" s="79"/>
      <c r="K772" s="24"/>
      <c r="L772" s="24"/>
    </row>
    <row r="773" spans="1:12" ht="14.5">
      <c r="A773" s="20" t="s">
        <v>5479</v>
      </c>
      <c r="B773" s="20">
        <v>80</v>
      </c>
      <c r="C773" s="20">
        <v>45</v>
      </c>
      <c r="D773" s="24"/>
      <c r="E773" s="24"/>
      <c r="F773" s="20" t="s">
        <v>5480</v>
      </c>
      <c r="G773" s="24" t="str">
        <f ca="1">IFERROR(__xludf.DUMMYFUNCTION("UPPER(LEFT((GOOGLETRANSLATE(F773,""en"",""pt"")),1))&amp;RIGHT(lower((GOOGLETRANSLATE(F773,""en"",""pt""))),(LEN((GOOGLETRANSLATE(F773,""en"",""pt"")))-1))"),"Atividades de armazenamento e manutenção das rodovias")</f>
        <v>Atividades de armazenamento e manutenção das rodovias</v>
      </c>
      <c r="H773" s="24" t="s">
        <v>5481</v>
      </c>
      <c r="I773" s="79"/>
      <c r="J773" s="79"/>
      <c r="K773" s="24"/>
      <c r="L773" s="24"/>
    </row>
    <row r="774" spans="1:12" ht="14.5">
      <c r="A774" s="20" t="s">
        <v>5482</v>
      </c>
      <c r="B774" s="20">
        <v>80</v>
      </c>
      <c r="C774" s="20">
        <v>45</v>
      </c>
      <c r="D774" s="20">
        <v>9</v>
      </c>
      <c r="E774" s="24"/>
      <c r="F774" s="20" t="s">
        <v>5483</v>
      </c>
      <c r="G774" s="24" t="str">
        <f ca="1">IFERROR(__xludf.DUMMYFUNCTION("UPPER(LEFT((GOOGLETRANSLATE(F774,""en"",""pt"")),1))&amp;RIGHT(lower((GOOGLETRANSLATE(F774,""en"",""pt""))),(LEN((GOOGLETRANSLATE(F774,""en"",""pt"")))-1))"),"Bus pé")</f>
        <v>Bus pé</v>
      </c>
      <c r="H774" s="24" t="s">
        <v>5484</v>
      </c>
      <c r="I774" s="79"/>
      <c r="J774" s="79"/>
      <c r="K774" s="24"/>
      <c r="L774" s="24"/>
    </row>
    <row r="775" spans="1:12" ht="14.5">
      <c r="A775" s="20" t="s">
        <v>5485</v>
      </c>
      <c r="B775" s="20">
        <v>80</v>
      </c>
      <c r="C775" s="20">
        <v>45</v>
      </c>
      <c r="D775" s="20">
        <v>40</v>
      </c>
      <c r="E775" s="24"/>
      <c r="F775" s="20" t="s">
        <v>5486</v>
      </c>
      <c r="G775" s="24" t="str">
        <f ca="1">IFERROR(__xludf.DUMMYFUNCTION("UPPER(LEFT((GOOGLETRANSLATE(F775,""en"",""pt"")),1))&amp;RIGHT(lower((GOOGLETRANSLATE(F775,""en"",""pt""))),(LEN((GOOGLETRANSLATE(F775,""en"",""pt"")))-1))"),"Estacionamento de veículos indoor")</f>
        <v>Estacionamento de veículos indoor</v>
      </c>
      <c r="H775" s="24" t="s">
        <v>5487</v>
      </c>
      <c r="I775" s="79"/>
      <c r="J775" s="79"/>
      <c r="K775" s="24"/>
      <c r="L775" s="24"/>
    </row>
    <row r="776" spans="1:12" ht="14.5">
      <c r="A776" s="20" t="s">
        <v>5488</v>
      </c>
      <c r="B776" s="20">
        <v>80</v>
      </c>
      <c r="C776" s="20">
        <v>45</v>
      </c>
      <c r="D776" s="20">
        <v>59</v>
      </c>
      <c r="E776" s="24"/>
      <c r="F776" s="20" t="s">
        <v>5489</v>
      </c>
      <c r="G776" s="24" t="str">
        <f ca="1">IFERROR(__xludf.DUMMYFUNCTION("UPPER(LEFT((GOOGLETRANSLATE(F776,""en"",""pt"")),1))&amp;RIGHT(lower((GOOGLETRANSLATE(F776,""en"",""pt""))),(LEN((GOOGLETRANSLATE(F776,""en"",""pt"")))-1))"),"Estacionamento de veículos ao ar livre")</f>
        <v>Estacionamento de veículos ao ar livre</v>
      </c>
      <c r="H776" s="24" t="s">
        <v>5490</v>
      </c>
      <c r="I776" s="79"/>
      <c r="J776" s="79"/>
      <c r="K776" s="24"/>
      <c r="L776" s="24"/>
    </row>
    <row r="777" spans="1:12" ht="14.5">
      <c r="A777" s="20" t="s">
        <v>5491</v>
      </c>
      <c r="B777" s="20">
        <v>80</v>
      </c>
      <c r="C777" s="20">
        <v>45</v>
      </c>
      <c r="D777" s="20">
        <v>91</v>
      </c>
      <c r="E777" s="24"/>
      <c r="F777" s="20" t="s">
        <v>5492</v>
      </c>
      <c r="G777" s="24" t="str">
        <f ca="1">IFERROR(__xludf.DUMMYFUNCTION("UPPER(LEFT((GOOGLETRANSLATE(F777,""en"",""pt"")),1))&amp;RIGHT(lower((GOOGLETRANSLATE(F777,""en"",""pt""))),(LEN((GOOGLETRANSLATE(F777,""en"",""pt"")))-1))"),"Truck pé")</f>
        <v>Truck pé</v>
      </c>
      <c r="H777" s="24" t="s">
        <v>5493</v>
      </c>
      <c r="I777" s="79"/>
      <c r="J777" s="79"/>
      <c r="K777" s="24"/>
      <c r="L777" s="24"/>
    </row>
    <row r="778" spans="1:12" ht="14.5">
      <c r="A778" s="20" t="s">
        <v>5494</v>
      </c>
      <c r="B778" s="20">
        <v>80</v>
      </c>
      <c r="C778" s="20">
        <v>45</v>
      </c>
      <c r="D778" s="20">
        <v>94</v>
      </c>
      <c r="E778" s="24"/>
      <c r="F778" s="20" t="s">
        <v>5495</v>
      </c>
      <c r="G778" s="24" t="str">
        <f ca="1">IFERROR(__xludf.DUMMYFUNCTION("UPPER(LEFT((GOOGLETRANSLATE(F778,""en"",""pt"")),1))&amp;RIGHT(lower((GOOGLETRANSLATE(F778,""en"",""pt""))),(LEN((GOOGLETRANSLATE(F778,""en"",""pt"")))-1))"),"Veículo abastecimento e carregamento")</f>
        <v>Veículo abastecimento e carregamento</v>
      </c>
      <c r="H778" s="24" t="s">
        <v>5496</v>
      </c>
      <c r="I778" s="79"/>
      <c r="J778" s="79"/>
      <c r="K778" s="24"/>
      <c r="L778" s="24"/>
    </row>
    <row r="779" spans="1:12" ht="14.5">
      <c r="A779" s="20" t="s">
        <v>5497</v>
      </c>
      <c r="B779" s="20">
        <v>80</v>
      </c>
      <c r="C779" s="20">
        <v>45</v>
      </c>
      <c r="D779" s="20">
        <v>95</v>
      </c>
      <c r="E779" s="24"/>
      <c r="F779" s="20" t="s">
        <v>5498</v>
      </c>
      <c r="G779" s="24" t="str">
        <f ca="1">IFERROR(__xludf.DUMMYFUNCTION("UPPER(LEFT((GOOGLETRANSLATE(F779,""en"",""pt"")),1))&amp;RIGHT(lower((GOOGLETRANSLATE(F779,""en"",""pt""))),(LEN((GOOGLETRANSLATE(F779,""en"",""pt"")))-1))"),"Inspeção de veículos")</f>
        <v>Inspeção de veículos</v>
      </c>
      <c r="H779" s="24" t="s">
        <v>5499</v>
      </c>
      <c r="I779" s="79"/>
      <c r="J779" s="79"/>
      <c r="K779" s="24"/>
      <c r="L779" s="24"/>
    </row>
    <row r="780" spans="1:12" ht="14.5">
      <c r="A780" s="20" t="s">
        <v>5500</v>
      </c>
      <c r="B780" s="20">
        <v>80</v>
      </c>
      <c r="C780" s="20">
        <v>45</v>
      </c>
      <c r="D780" s="20">
        <v>96</v>
      </c>
      <c r="E780" s="24"/>
      <c r="F780" s="20" t="s">
        <v>5501</v>
      </c>
      <c r="G780" s="24" t="str">
        <f ca="1">IFERROR(__xludf.DUMMYFUNCTION("UPPER(LEFT((GOOGLETRANSLATE(F780,""en"",""pt"")),1))&amp;RIGHT(lower((GOOGLETRANSLATE(F780,""en"",""pt""))),(LEN((GOOGLETRANSLATE(F780,""en"",""pt"")))-1))"),"Manutenção do veículo")</f>
        <v>Manutenção do veículo</v>
      </c>
      <c r="H780" s="24" t="s">
        <v>5502</v>
      </c>
      <c r="I780" s="79"/>
      <c r="J780" s="79"/>
      <c r="K780" s="24"/>
      <c r="L780" s="24"/>
    </row>
    <row r="781" spans="1:12" ht="14.5">
      <c r="A781" s="20" t="s">
        <v>5503</v>
      </c>
      <c r="B781" s="20">
        <v>80</v>
      </c>
      <c r="C781" s="20">
        <v>50</v>
      </c>
      <c r="D781" s="24"/>
      <c r="E781" s="24"/>
      <c r="F781" s="20" t="s">
        <v>5504</v>
      </c>
      <c r="G781" s="24" t="str">
        <f ca="1">IFERROR(__xludf.DUMMYFUNCTION("UPPER(LEFT((GOOGLETRANSLATE(F781,""en"",""pt"")),1))&amp;RIGHT(lower((GOOGLETRANSLATE(F781,""en"",""pt""))),(LEN((GOOGLETRANSLATE(F781,""en"",""pt"")))-1))"),"Atividades ferroviárias")</f>
        <v>Atividades ferroviárias</v>
      </c>
      <c r="H781" s="24" t="s">
        <v>5505</v>
      </c>
      <c r="I781" s="79"/>
      <c r="J781" s="79"/>
      <c r="K781" s="24"/>
      <c r="L781" s="24"/>
    </row>
    <row r="782" spans="1:12" ht="14.5">
      <c r="A782" s="20" t="s">
        <v>5506</v>
      </c>
      <c r="B782" s="20">
        <v>80</v>
      </c>
      <c r="C782" s="20">
        <v>50</v>
      </c>
      <c r="D782" s="20">
        <v>50</v>
      </c>
      <c r="E782" s="24"/>
      <c r="F782" s="20" t="s">
        <v>5507</v>
      </c>
      <c r="G782" s="24" t="str">
        <f ca="1">IFERROR(__xludf.DUMMYFUNCTION("UPPER(LEFT((GOOGLETRANSLATE(F782,""en"",""pt"")),1))&amp;RIGHT(lower((GOOGLETRANSLATE(F782,""en"",""pt""))),(LEN((GOOGLETRANSLATE(F782,""en"",""pt"")))-1))"),"Marshalling")</f>
        <v>Marshalling</v>
      </c>
      <c r="H782" s="24" t="s">
        <v>5507</v>
      </c>
      <c r="I782" s="79"/>
      <c r="J782" s="79"/>
      <c r="K782" s="24"/>
      <c r="L782" s="24"/>
    </row>
    <row r="783" spans="1:12" ht="14.5">
      <c r="A783" s="20" t="s">
        <v>5508</v>
      </c>
      <c r="B783" s="20">
        <v>80</v>
      </c>
      <c r="C783" s="20">
        <v>50</v>
      </c>
      <c r="D783" s="20">
        <v>70</v>
      </c>
      <c r="E783" s="24"/>
      <c r="F783" s="20" t="s">
        <v>5509</v>
      </c>
      <c r="G783" s="24" t="str">
        <f ca="1">IFERROR(__xludf.DUMMYFUNCTION("UPPER(LEFT((GOOGLETRANSLATE(F783,""en"",""pt"")),1))&amp;RIGHT(lower((GOOGLETRANSLATE(F783,""en"",""pt""))),(LEN((GOOGLETRANSLATE(F783,""en"",""pt"")))-1))"),"Rail sobre passagem")</f>
        <v>Rail sobre passagem</v>
      </c>
      <c r="H783" s="24" t="s">
        <v>5510</v>
      </c>
      <c r="I783" s="79"/>
      <c r="J783" s="79"/>
      <c r="K783" s="24"/>
      <c r="L783" s="24"/>
    </row>
    <row r="784" spans="1:12" ht="14.5">
      <c r="A784" s="20" t="s">
        <v>5511</v>
      </c>
      <c r="B784" s="20">
        <v>80</v>
      </c>
      <c r="C784" s="20">
        <v>50</v>
      </c>
      <c r="D784" s="20">
        <v>71</v>
      </c>
      <c r="E784" s="24"/>
      <c r="F784" s="20" t="s">
        <v>5512</v>
      </c>
      <c r="G784" s="24" t="str">
        <f ca="1">IFERROR(__xludf.DUMMYFUNCTION("UPPER(LEFT((GOOGLETRANSLATE(F784,""en"",""pt"")),1))&amp;RIGHT(lower((GOOGLETRANSLATE(F784,""en"",""pt""))),(LEN((GOOGLETRANSLATE(F784,""en"",""pt"")))-1))"),"Sinal de controle ferroviário")</f>
        <v>Sinal de controle ferroviário</v>
      </c>
      <c r="H784" s="24" t="s">
        <v>5513</v>
      </c>
      <c r="I784" s="79"/>
      <c r="J784" s="79"/>
      <c r="K784" s="24"/>
      <c r="L784" s="24"/>
    </row>
    <row r="785" spans="1:12" ht="14.5">
      <c r="A785" s="20" t="s">
        <v>5514</v>
      </c>
      <c r="B785" s="20">
        <v>80</v>
      </c>
      <c r="C785" s="20">
        <v>50</v>
      </c>
      <c r="D785" s="20">
        <v>73</v>
      </c>
      <c r="E785" s="24"/>
      <c r="F785" s="20" t="s">
        <v>5515</v>
      </c>
      <c r="G785" s="24" t="str">
        <f ca="1">IFERROR(__xludf.DUMMYFUNCTION("UPPER(LEFT((GOOGLETRANSLATE(F785,""en"",""pt"")),1))&amp;RIGHT(lower((GOOGLETRANSLATE(F785,""en"",""pt""))),(LEN((GOOGLETRANSLATE(F785,""en"",""pt"")))-1))"),"Railway buffer de pista")</f>
        <v>Railway buffer de pista</v>
      </c>
      <c r="H785" s="24" t="s">
        <v>5516</v>
      </c>
      <c r="I785" s="79"/>
      <c r="J785" s="79"/>
      <c r="K785" s="24"/>
      <c r="L785" s="24"/>
    </row>
    <row r="786" spans="1:12" ht="14.5">
      <c r="A786" s="20" t="s">
        <v>5517</v>
      </c>
      <c r="B786" s="20">
        <v>80</v>
      </c>
      <c r="C786" s="20">
        <v>50</v>
      </c>
      <c r="D786" s="20">
        <v>75</v>
      </c>
      <c r="E786" s="24"/>
      <c r="F786" s="20" t="s">
        <v>5518</v>
      </c>
      <c r="G786" s="24" t="str">
        <f ca="1">IFERROR(__xludf.DUMMYFUNCTION("UPPER(LEFT((GOOGLETRANSLATE(F786,""en"",""pt"")),1))&amp;RIGHT(lower((GOOGLETRANSLATE(F786,""en"",""pt""))),(LEN((GOOGLETRANSLATE(F786,""en"",""pt"")))-1))"),"Curso railway")</f>
        <v>Curso railway</v>
      </c>
      <c r="H786" s="24" t="s">
        <v>5519</v>
      </c>
      <c r="I786" s="79"/>
      <c r="J786" s="79"/>
      <c r="K786" s="24"/>
      <c r="L786" s="24"/>
    </row>
    <row r="787" spans="1:12" ht="14.5">
      <c r="A787" s="20" t="s">
        <v>5520</v>
      </c>
      <c r="B787" s="20">
        <v>80</v>
      </c>
      <c r="C787" s="20">
        <v>50</v>
      </c>
      <c r="D787" s="20">
        <v>76</v>
      </c>
      <c r="E787" s="24"/>
      <c r="F787" s="20" t="s">
        <v>5521</v>
      </c>
      <c r="G787" s="24" t="str">
        <f ca="1">IFERROR(__xludf.DUMMYFUNCTION("UPPER(LEFT((GOOGLETRANSLATE(F787,""en"",""pt"")),1))&amp;RIGHT(lower((GOOGLETRANSLATE(F787,""en"",""pt""))),(LEN((GOOGLETRANSLATE(F787,""en"",""pt"")))-1))"),"Rail sob passagem")</f>
        <v>Rail sob passagem</v>
      </c>
      <c r="H787" s="24" t="s">
        <v>5522</v>
      </c>
      <c r="I787" s="79"/>
      <c r="J787" s="79"/>
      <c r="K787" s="24"/>
      <c r="L787" s="24"/>
    </row>
    <row r="788" spans="1:12" ht="14.5">
      <c r="A788" s="20" t="s">
        <v>5523</v>
      </c>
      <c r="B788" s="20">
        <v>80</v>
      </c>
      <c r="C788" s="20">
        <v>50</v>
      </c>
      <c r="D788" s="20">
        <v>90</v>
      </c>
      <c r="E788" s="24"/>
      <c r="F788" s="20" t="s">
        <v>5524</v>
      </c>
      <c r="G788" s="24" t="str">
        <f ca="1">IFERROR(__xludf.DUMMYFUNCTION("UPPER(LEFT((GOOGLETRANSLATE(F788,""en"",""pt"")),1))&amp;RIGHT(lower((GOOGLETRANSLATE(F788,""en"",""pt""))),(LEN((GOOGLETRANSLATE(F788,""en"",""pt"")))-1))"),"Parada de trem")</f>
        <v>Parada de trem</v>
      </c>
      <c r="H788" s="24" t="s">
        <v>5525</v>
      </c>
      <c r="I788" s="79"/>
      <c r="J788" s="79"/>
      <c r="K788" s="24"/>
      <c r="L788" s="24"/>
    </row>
    <row r="789" spans="1:12" ht="14.5">
      <c r="A789" s="20" t="s">
        <v>5526</v>
      </c>
      <c r="B789" s="20">
        <v>80</v>
      </c>
      <c r="C789" s="20">
        <v>60</v>
      </c>
      <c r="D789" s="24"/>
      <c r="E789" s="24"/>
      <c r="F789" s="20" t="s">
        <v>5527</v>
      </c>
      <c r="G789" s="24" t="str">
        <f ca="1">IFERROR(__xludf.DUMMYFUNCTION("UPPER(LEFT((GOOGLETRANSLATE(F789,""en"",""pt"")),1))&amp;RIGHT(lower((GOOGLETRANSLATE(F789,""en"",""pt""))),(LEN((GOOGLETRANSLATE(F789,""en"",""pt"")))-1))"),"Atividades de armazenamento ferroviário e manutenção")</f>
        <v>Atividades de armazenamento ferroviário e manutenção</v>
      </c>
      <c r="H789" s="24" t="s">
        <v>5528</v>
      </c>
      <c r="I789" s="79"/>
      <c r="J789" s="79"/>
      <c r="K789" s="24"/>
      <c r="L789" s="24"/>
    </row>
    <row r="790" spans="1:12" ht="14.5">
      <c r="A790" s="20" t="s">
        <v>5529</v>
      </c>
      <c r="B790" s="20">
        <v>80</v>
      </c>
      <c r="C790" s="20">
        <v>60</v>
      </c>
      <c r="D790" s="20">
        <v>11</v>
      </c>
      <c r="E790" s="24"/>
      <c r="F790" s="20" t="s">
        <v>5530</v>
      </c>
      <c r="G790" s="24" t="str">
        <f ca="1">IFERROR(__xludf.DUMMYFUNCTION("UPPER(LEFT((GOOGLETRANSLATE(F790,""en"",""pt"")),1))&amp;RIGHT(lower((GOOGLETRANSLATE(F790,""en"",""pt""))),(LEN((GOOGLETRANSLATE(F790,""en"",""pt"")))-1))"),"Limpeza carriage")</f>
        <v>Limpeza carriage</v>
      </c>
      <c r="H790" s="24" t="s">
        <v>5531</v>
      </c>
      <c r="I790" s="79"/>
      <c r="J790" s="79"/>
      <c r="K790" s="24"/>
      <c r="L790" s="24"/>
    </row>
    <row r="791" spans="1:12" ht="14.5">
      <c r="A791" s="20" t="s">
        <v>5532</v>
      </c>
      <c r="B791" s="20">
        <v>80</v>
      </c>
      <c r="C791" s="20">
        <v>60</v>
      </c>
      <c r="D791" s="20">
        <v>26</v>
      </c>
      <c r="E791" s="24"/>
      <c r="F791" s="20" t="s">
        <v>5533</v>
      </c>
      <c r="G791" s="24" t="str">
        <f ca="1">IFERROR(__xludf.DUMMYFUNCTION("UPPER(LEFT((GOOGLETRANSLATE(F791,""en"",""pt"")),1))&amp;RIGHT(lower((GOOGLETRANSLATE(F791,""en"",""pt""))),(LEN((GOOGLETRANSLATE(F791,""en"",""pt"")))-1))"),"Abastecimento de combustível do motor")</f>
        <v>Abastecimento de combustível do motor</v>
      </c>
      <c r="H791" s="24" t="s">
        <v>5534</v>
      </c>
      <c r="I791" s="79"/>
      <c r="J791" s="79"/>
      <c r="K791" s="24"/>
      <c r="L791" s="24"/>
    </row>
    <row r="792" spans="1:12" ht="14.5">
      <c r="A792" s="20" t="s">
        <v>5535</v>
      </c>
      <c r="B792" s="20">
        <v>80</v>
      </c>
      <c r="C792" s="20">
        <v>60</v>
      </c>
      <c r="D792" s="20">
        <v>27</v>
      </c>
      <c r="E792" s="24"/>
      <c r="F792" s="20" t="s">
        <v>5536</v>
      </c>
      <c r="G792" s="24" t="str">
        <f ca="1">IFERROR(__xludf.DUMMYFUNCTION("UPPER(LEFT((GOOGLETRANSLATE(F792,""en"",""pt"")),1))&amp;RIGHT(lower((GOOGLETRANSLATE(F792,""en"",""pt""))),(LEN((GOOGLETRANSLATE(F792,""en"",""pt"")))-1))"),"Inspeção do motor")</f>
        <v>Inspeção do motor</v>
      </c>
      <c r="H792" s="24" t="s">
        <v>5537</v>
      </c>
      <c r="I792" s="79"/>
      <c r="J792" s="79"/>
      <c r="K792" s="24"/>
      <c r="L792" s="24"/>
    </row>
    <row r="793" spans="1:12" ht="14.5">
      <c r="A793" s="20" t="s">
        <v>5538</v>
      </c>
      <c r="B793" s="20">
        <v>80</v>
      </c>
      <c r="C793" s="20">
        <v>60</v>
      </c>
      <c r="D793" s="20">
        <v>28</v>
      </c>
      <c r="E793" s="24"/>
      <c r="F793" s="20" t="s">
        <v>5539</v>
      </c>
      <c r="G793" s="24" t="str">
        <f ca="1">IFERROR(__xludf.DUMMYFUNCTION("UPPER(LEFT((GOOGLETRANSLATE(F793,""en"",""pt"")),1))&amp;RIGHT(lower((GOOGLETRANSLATE(F793,""en"",""pt""))),(LEN((GOOGLETRANSLATE(F793,""en"",""pt"")))-1))"),"Manutenção do motor")</f>
        <v>Manutenção do motor</v>
      </c>
      <c r="H793" s="24" t="s">
        <v>5540</v>
      </c>
      <c r="I793" s="79"/>
      <c r="J793" s="79"/>
      <c r="K793" s="24"/>
      <c r="L793" s="24"/>
    </row>
    <row r="794" spans="1:12" ht="14.5">
      <c r="A794" s="20" t="s">
        <v>5541</v>
      </c>
      <c r="B794" s="20">
        <v>80</v>
      </c>
      <c r="C794" s="20">
        <v>60</v>
      </c>
      <c r="D794" s="20">
        <v>29</v>
      </c>
      <c r="E794" s="24"/>
      <c r="F794" s="20" t="s">
        <v>5542</v>
      </c>
      <c r="G794" s="24" t="str">
        <f ca="1">IFERROR(__xludf.DUMMYFUNCTION("UPPER(LEFT((GOOGLETRANSLATE(F794,""en"",""pt"")),1))&amp;RIGHT(lower((GOOGLETRANSLATE(F794,""en"",""pt""))),(LEN((GOOGLETRANSLATE(F794,""en"",""pt"")))-1))"),"Lavagem do motor")</f>
        <v>Lavagem do motor</v>
      </c>
      <c r="H794" s="24" t="s">
        <v>5543</v>
      </c>
      <c r="I794" s="79"/>
      <c r="J794" s="79"/>
      <c r="K794" s="24"/>
      <c r="L794" s="24"/>
    </row>
    <row r="795" spans="1:12" ht="14.5">
      <c r="A795" s="20" t="s">
        <v>5544</v>
      </c>
      <c r="B795" s="20">
        <v>80</v>
      </c>
      <c r="C795" s="20">
        <v>60</v>
      </c>
      <c r="D795" s="20">
        <v>70</v>
      </c>
      <c r="E795" s="24"/>
      <c r="F795" s="20" t="s">
        <v>5545</v>
      </c>
      <c r="G795" s="24" t="str">
        <f ca="1">IFERROR(__xludf.DUMMYFUNCTION("UPPER(LEFT((GOOGLETRANSLATE(F795,""en"",""pt"")),1))&amp;RIGHT(lower((GOOGLETRANSLATE(F795,""en"",""pt""))),(LEN((GOOGLETRANSLATE(F795,""en"",""pt"")))-1))"),"Rail reparação")</f>
        <v>Rail reparação</v>
      </c>
      <c r="H795" s="24" t="s">
        <v>5546</v>
      </c>
      <c r="I795" s="79"/>
      <c r="J795" s="79"/>
      <c r="K795" s="24"/>
      <c r="L795" s="24"/>
    </row>
    <row r="796" spans="1:12" ht="14.5">
      <c r="A796" s="20" t="s">
        <v>5547</v>
      </c>
      <c r="B796" s="20">
        <v>80</v>
      </c>
      <c r="C796" s="20">
        <v>70</v>
      </c>
      <c r="D796" s="24"/>
      <c r="E796" s="24"/>
      <c r="F796" s="20" t="s">
        <v>5548</v>
      </c>
      <c r="G796" s="24" t="str">
        <f ca="1">IFERROR(__xludf.DUMMYFUNCTION("UPPER(LEFT((GOOGLETRANSLATE(F796,""en"",""pt"")),1))&amp;RIGHT(lower((GOOGLETRANSLATE(F796,""en"",""pt""))),(LEN((GOOGLETRANSLATE(F796,""en"",""pt"")))-1))"),"Maneira marinha e atividades de navegação")</f>
        <v>Maneira marinha e atividades de navegação</v>
      </c>
      <c r="H796" s="24" t="s">
        <v>5549</v>
      </c>
      <c r="I796" s="79"/>
      <c r="J796" s="79"/>
      <c r="K796" s="24"/>
      <c r="L796" s="24"/>
    </row>
    <row r="797" spans="1:12" ht="14.5">
      <c r="A797" s="20" t="s">
        <v>5550</v>
      </c>
      <c r="B797" s="20">
        <v>80</v>
      </c>
      <c r="C797" s="20">
        <v>70</v>
      </c>
      <c r="D797" s="20">
        <v>11</v>
      </c>
      <c r="E797" s="24"/>
      <c r="F797" s="20" t="s">
        <v>5551</v>
      </c>
      <c r="G797" s="24" t="str">
        <f ca="1">IFERROR(__xludf.DUMMYFUNCTION("UPPER(LEFT((GOOGLETRANSLATE(F797,""en"",""pt"")),1))&amp;RIGHT(lower((GOOGLETRANSLATE(F797,""en"",""pt""))),(LEN((GOOGLETRANSLATE(F797,""en"",""pt"")))-1))"),"Canal mudança de nível")</f>
        <v>Canal mudança de nível</v>
      </c>
      <c r="H797" s="24" t="s">
        <v>5552</v>
      </c>
      <c r="I797" s="79"/>
      <c r="J797" s="79"/>
      <c r="K797" s="24"/>
      <c r="L797" s="24"/>
    </row>
    <row r="798" spans="1:12" ht="14.5">
      <c r="A798" s="20" t="s">
        <v>5553</v>
      </c>
      <c r="B798" s="20">
        <v>80</v>
      </c>
      <c r="C798" s="20">
        <v>70</v>
      </c>
      <c r="D798" s="20">
        <v>12</v>
      </c>
      <c r="E798" s="24"/>
      <c r="F798" s="20" t="s">
        <v>5554</v>
      </c>
      <c r="G798" s="24" t="str">
        <f ca="1">IFERROR(__xludf.DUMMYFUNCTION("UPPER(LEFT((GOOGLETRANSLATE(F798,""en"",""pt"")),1))&amp;RIGHT(lower((GOOGLETRANSLATE(F798,""en"",""pt""))),(LEN((GOOGLETRANSLATE(F798,""en"",""pt"")))-1))"),"Canal viagem")</f>
        <v>Canal viagem</v>
      </c>
      <c r="H798" s="24" t="s">
        <v>5555</v>
      </c>
      <c r="I798" s="79"/>
      <c r="J798" s="79"/>
      <c r="K798" s="24"/>
      <c r="L798" s="24"/>
    </row>
    <row r="799" spans="1:12" ht="14.5">
      <c r="A799" s="20" t="s">
        <v>5556</v>
      </c>
      <c r="B799" s="20">
        <v>80</v>
      </c>
      <c r="C799" s="20">
        <v>70</v>
      </c>
      <c r="D799" s="20">
        <v>37</v>
      </c>
      <c r="E799" s="24"/>
      <c r="F799" s="20" t="s">
        <v>5557</v>
      </c>
      <c r="G799" s="24" t="str">
        <f ca="1">IFERROR(__xludf.DUMMYFUNCTION("UPPER(LEFT((GOOGLETRANSLATE(F799,""en"",""pt"")),1))&amp;RIGHT(lower((GOOGLETRANSLATE(F799,""en"",""pt""))),(LEN((GOOGLETRANSLATE(F799,""en"",""pt"")))-1))"),"Porto de mudança de nível")</f>
        <v>Porto de mudança de nível</v>
      </c>
      <c r="H799" s="24" t="s">
        <v>5558</v>
      </c>
      <c r="I799" s="79"/>
      <c r="J799" s="79"/>
      <c r="K799" s="24"/>
      <c r="L799" s="24"/>
    </row>
    <row r="800" spans="1:12" ht="14.5">
      <c r="A800" s="20" t="s">
        <v>5559</v>
      </c>
      <c r="B800" s="20">
        <v>80</v>
      </c>
      <c r="C800" s="20">
        <v>94</v>
      </c>
      <c r="D800" s="24"/>
      <c r="E800" s="24"/>
      <c r="F800" s="20" t="s">
        <v>5560</v>
      </c>
      <c r="G800" s="24" t="str">
        <f ca="1">IFERROR(__xludf.DUMMYFUNCTION("UPPER(LEFT((GOOGLETRANSLATE(F800,""en"",""pt"")),1))&amp;RIGHT(lower((GOOGLETRANSLATE(F800,""en"",""pt""))),(LEN((GOOGLETRANSLATE(F800,""en"",""pt"")))-1))"),"Função de ponte")</f>
        <v>Função de ponte</v>
      </c>
      <c r="H800" s="24" t="s">
        <v>5561</v>
      </c>
      <c r="I800" s="79"/>
      <c r="J800" s="79"/>
      <c r="K800" s="24"/>
      <c r="L800" s="24"/>
    </row>
    <row r="801" spans="1:12" ht="14.5">
      <c r="A801" s="20" t="s">
        <v>5562</v>
      </c>
      <c r="B801" s="20">
        <v>80</v>
      </c>
      <c r="C801" s="20">
        <v>94</v>
      </c>
      <c r="D801" s="20">
        <v>41</v>
      </c>
      <c r="E801" s="24"/>
      <c r="F801" s="20" t="s">
        <v>5563</v>
      </c>
      <c r="G801" s="24" t="str">
        <f ca="1">IFERROR(__xludf.DUMMYFUNCTION("UPPER(LEFT((GOOGLETRANSLATE(F801,""en"",""pt"")),1))&amp;RIGHT(lower((GOOGLETRANSLATE(F801,""en"",""pt""))),(LEN((GOOGLETRANSLATE(F801,""en"",""pt"")))-1))"),"Ponte inspeção")</f>
        <v>Ponte inspeção</v>
      </c>
      <c r="H801" s="24" t="s">
        <v>5564</v>
      </c>
      <c r="I801" s="79"/>
      <c r="J801" s="79"/>
      <c r="K801" s="24"/>
      <c r="L801" s="24"/>
    </row>
    <row r="802" spans="1:12" ht="14.5">
      <c r="A802" s="20" t="s">
        <v>5565</v>
      </c>
      <c r="B802" s="20">
        <v>80</v>
      </c>
      <c r="C802" s="20">
        <v>94</v>
      </c>
      <c r="D802" s="20">
        <v>60</v>
      </c>
      <c r="E802" s="24"/>
      <c r="F802" s="20" t="s">
        <v>5566</v>
      </c>
      <c r="G802" s="24" t="str">
        <f ca="1">IFERROR(__xludf.DUMMYFUNCTION("UPPER(LEFT((GOOGLETRANSLATE(F802,""en"",""pt"")),1))&amp;RIGHT(lower((GOOGLETRANSLATE(F802,""en"",""pt""))),(LEN((GOOGLETRANSLATE(F802,""en"",""pt"")))-1))"),"Passando através de uma ponte")</f>
        <v>Passando através de uma ponte</v>
      </c>
      <c r="H802" s="24" t="s">
        <v>5567</v>
      </c>
      <c r="I802" s="79"/>
      <c r="J802" s="79"/>
      <c r="K802" s="24"/>
      <c r="L802" s="24"/>
    </row>
    <row r="803" spans="1:12" ht="14.5">
      <c r="A803" s="20" t="s">
        <v>5568</v>
      </c>
      <c r="B803" s="20">
        <v>80</v>
      </c>
      <c r="C803" s="20">
        <v>94</v>
      </c>
      <c r="D803" s="20">
        <v>90</v>
      </c>
      <c r="E803" s="24"/>
      <c r="F803" s="20" t="s">
        <v>5569</v>
      </c>
      <c r="G803" s="24" t="str">
        <f ca="1">IFERROR(__xludf.DUMMYFUNCTION("UPPER(LEFT((GOOGLETRANSLATE(F803,""en"",""pt"")),1))&amp;RIGHT(lower((GOOGLETRANSLATE(F803,""en"",""pt""))),(LEN((GOOGLETRANSLATE(F803,""en"",""pt"")))-1))"),"Que passa sob uma ponte")</f>
        <v>Que passa sob uma ponte</v>
      </c>
      <c r="H803" s="24" t="s">
        <v>5570</v>
      </c>
      <c r="I803" s="79"/>
      <c r="J803" s="79"/>
      <c r="K803" s="24"/>
      <c r="L803" s="24"/>
    </row>
    <row r="804" spans="1:12" ht="14.5">
      <c r="A804" s="20" t="s">
        <v>5571</v>
      </c>
      <c r="B804" s="20">
        <v>85</v>
      </c>
      <c r="C804" s="24"/>
      <c r="D804" s="24"/>
      <c r="E804" s="24"/>
      <c r="F804" s="20" t="s">
        <v>5572</v>
      </c>
      <c r="G804" s="24" t="str">
        <f ca="1">IFERROR(__xludf.DUMMYFUNCTION("UPPER(LEFT((GOOGLETRANSLATE(F804,""en"",""pt"")),1))&amp;RIGHT(lower((GOOGLETRANSLATE(F804,""en"",""pt""))),(LEN((GOOGLETRANSLATE(F804,""en"",""pt"")))-1))"),"Atividades de operação e manutenção")</f>
        <v>Atividades de operação e manutenção</v>
      </c>
      <c r="H804" s="24" t="s">
        <v>5573</v>
      </c>
      <c r="I804" s="79"/>
      <c r="J804" s="79"/>
      <c r="K804" s="24"/>
      <c r="L804" s="24"/>
    </row>
    <row r="805" spans="1:12" ht="14.5">
      <c r="A805" s="20" t="s">
        <v>5574</v>
      </c>
      <c r="B805" s="20">
        <v>85</v>
      </c>
      <c r="C805" s="20">
        <v>10</v>
      </c>
      <c r="D805" s="24"/>
      <c r="E805" s="24"/>
      <c r="F805" s="20" t="s">
        <v>5575</v>
      </c>
      <c r="G805" s="24" t="str">
        <f ca="1">IFERROR(__xludf.DUMMYFUNCTION("UPPER(LEFT((GOOGLETRANSLATE(F805,""en"",""pt"")),1))&amp;RIGHT(lower((GOOGLETRANSLATE(F805,""en"",""pt""))),(LEN((GOOGLETRANSLATE(F805,""en"",""pt"")))-1))"),"Atividades de barreira e manutenção da cerca")</f>
        <v>Atividades de barreira e manutenção da cerca</v>
      </c>
      <c r="H805" s="24" t="s">
        <v>5576</v>
      </c>
      <c r="I805" s="79"/>
      <c r="J805" s="79"/>
      <c r="K805" s="24"/>
      <c r="L805" s="24"/>
    </row>
    <row r="806" spans="1:12" ht="14.5">
      <c r="A806" s="20" t="s">
        <v>5577</v>
      </c>
      <c r="B806" s="20">
        <v>85</v>
      </c>
      <c r="C806" s="20">
        <v>10</v>
      </c>
      <c r="D806" s="20">
        <v>6</v>
      </c>
      <c r="E806" s="24"/>
      <c r="F806" s="20" t="s">
        <v>5578</v>
      </c>
      <c r="G806" s="24" t="str">
        <f ca="1">IFERROR(__xludf.DUMMYFUNCTION("UPPER(LEFT((GOOGLETRANSLATE(F806,""en"",""pt"")),1))&amp;RIGHT(lower((GOOGLETRANSLATE(F806,""en"",""pt""))),(LEN((GOOGLETRANSLATE(F806,""en"",""pt"")))-1))"),"Manutenção barreira")</f>
        <v>Manutenção barreira</v>
      </c>
      <c r="H806" s="82" t="s">
        <v>5579</v>
      </c>
      <c r="I806" s="81"/>
      <c r="J806" s="81"/>
      <c r="K806" s="20" t="s">
        <v>5580</v>
      </c>
      <c r="L806" s="20" t="s">
        <v>5581</v>
      </c>
    </row>
    <row r="807" spans="1:12" ht="14.5">
      <c r="A807" s="20" t="s">
        <v>5582</v>
      </c>
      <c r="B807" s="20">
        <v>85</v>
      </c>
      <c r="C807" s="20">
        <v>10</v>
      </c>
      <c r="D807" s="20">
        <v>30</v>
      </c>
      <c r="E807" s="24"/>
      <c r="F807" s="20" t="s">
        <v>5583</v>
      </c>
      <c r="G807" s="24" t="str">
        <f ca="1">IFERROR(__xludf.DUMMYFUNCTION("UPPER(LEFT((GOOGLETRANSLATE(F807,""en"",""pt"")),1))&amp;RIGHT(lower((GOOGLETRANSLATE(F807,""en"",""pt""))),(LEN((GOOGLETRANSLATE(F807,""en"",""pt"")))-1))"),"Manutenção esgrima")</f>
        <v>Manutenção esgrima</v>
      </c>
      <c r="H807" s="82" t="s">
        <v>5584</v>
      </c>
      <c r="I807" s="81"/>
      <c r="J807" s="81"/>
      <c r="K807" s="20" t="s">
        <v>5585</v>
      </c>
      <c r="L807" s="20" t="s">
        <v>5586</v>
      </c>
    </row>
    <row r="808" spans="1:12" ht="14.5">
      <c r="A808" s="20" t="s">
        <v>5587</v>
      </c>
      <c r="B808" s="20">
        <v>85</v>
      </c>
      <c r="C808" s="20">
        <v>10</v>
      </c>
      <c r="D808" s="20">
        <v>45</v>
      </c>
      <c r="E808" s="24"/>
      <c r="F808" s="20" t="s">
        <v>5588</v>
      </c>
      <c r="G808" s="24" t="str">
        <f ca="1">IFERROR(__xludf.DUMMYFUNCTION("UPPER(LEFT((GOOGLETRANSLATE(F808,""en"",""pt"")),1))&amp;RIGHT(lower((GOOGLETRANSLATE(F808,""en"",""pt""))),(LEN((GOOGLETRANSLATE(F808,""en"",""pt"")))-1))"),"Lancis e canais de manutenção")</f>
        <v>Lancis e canais de manutenção</v>
      </c>
      <c r="H808" s="82" t="s">
        <v>5589</v>
      </c>
      <c r="I808" s="81"/>
      <c r="J808" s="81"/>
      <c r="K808" s="20" t="s">
        <v>5590</v>
      </c>
      <c r="L808" s="20" t="s">
        <v>5591</v>
      </c>
    </row>
    <row r="809" spans="1:12" ht="14.5">
      <c r="A809" s="20" t="s">
        <v>5592</v>
      </c>
      <c r="B809" s="20">
        <v>85</v>
      </c>
      <c r="C809" s="20">
        <v>10</v>
      </c>
      <c r="D809" s="20">
        <v>95</v>
      </c>
      <c r="E809" s="24"/>
      <c r="F809" s="20" t="s">
        <v>5593</v>
      </c>
      <c r="G809" s="24" t="str">
        <f ca="1">IFERROR(__xludf.DUMMYFUNCTION("UPPER(LEFT((GOOGLETRANSLATE(F809,""en"",""pt"")),1))&amp;RIGHT(lower((GOOGLETRANSLATE(F809,""en"",""pt""))),(LEN((GOOGLETRANSLATE(F809,""en"",""pt"")))-1))"),"Manutenção de sistemas de retenção do veículo")</f>
        <v>Manutenção de sistemas de retenção do veículo</v>
      </c>
      <c r="H809" s="82" t="s">
        <v>5594</v>
      </c>
      <c r="I809" s="81"/>
      <c r="J809" s="81"/>
      <c r="K809" s="20" t="s">
        <v>5595</v>
      </c>
      <c r="L809" s="20" t="s">
        <v>5596</v>
      </c>
    </row>
    <row r="810" spans="1:12" ht="14.5">
      <c r="A810" s="20" t="s">
        <v>5597</v>
      </c>
      <c r="B810" s="20">
        <v>85</v>
      </c>
      <c r="C810" s="20">
        <v>30</v>
      </c>
      <c r="D810" s="24"/>
      <c r="E810" s="24"/>
      <c r="F810" s="20" t="s">
        <v>5598</v>
      </c>
      <c r="G810" s="24" t="str">
        <f ca="1">IFERROR(__xludf.DUMMYFUNCTION("UPPER(LEFT((GOOGLETRANSLATE(F810,""en"",""pt"")),1))&amp;RIGHT(lower((GOOGLETRANSLATE(F810,""en"",""pt""))),(LEN((GOOGLETRANSLATE(F810,""en"",""pt"")))-1))"),"Atividades de manutenção flora")</f>
        <v>Atividades de manutenção flora</v>
      </c>
      <c r="H810" s="24" t="s">
        <v>5599</v>
      </c>
      <c r="I810" s="79"/>
      <c r="J810" s="79"/>
      <c r="K810" s="24"/>
      <c r="L810" s="24"/>
    </row>
    <row r="811" spans="1:12" ht="14.5">
      <c r="A811" s="20" t="s">
        <v>5600</v>
      </c>
      <c r="B811" s="20">
        <v>85</v>
      </c>
      <c r="C811" s="20">
        <v>30</v>
      </c>
      <c r="D811" s="20">
        <v>1</v>
      </c>
      <c r="E811" s="24"/>
      <c r="F811" s="20" t="s">
        <v>5601</v>
      </c>
      <c r="G811" s="24" t="str">
        <f ca="1">IFERROR(__xludf.DUMMYFUNCTION("UPPER(LEFT((GOOGLETRANSLATE(F811,""en"",""pt"")),1))&amp;RIGHT(lower((GOOGLETRANSLATE(F811,""en"",""pt""))),(LEN((GOOGLETRANSLATE(F811,""en"",""pt"")))-1))"),"Manutenção grama amenity")</f>
        <v>Manutenção grama amenity</v>
      </c>
      <c r="H811" s="82" t="s">
        <v>5602</v>
      </c>
      <c r="I811" s="81"/>
      <c r="J811" s="81"/>
      <c r="K811" s="20" t="s">
        <v>5603</v>
      </c>
      <c r="L811" s="20" t="s">
        <v>5604</v>
      </c>
    </row>
    <row r="812" spans="1:12" ht="14.5">
      <c r="A812" s="20" t="s">
        <v>5605</v>
      </c>
      <c r="B812" s="20">
        <v>85</v>
      </c>
      <c r="C812" s="20">
        <v>30</v>
      </c>
      <c r="D812" s="20">
        <v>2</v>
      </c>
      <c r="E812" s="24"/>
      <c r="F812" s="20" t="s">
        <v>5606</v>
      </c>
      <c r="G812" s="24" t="str">
        <f ca="1">IFERROR(__xludf.DUMMYFUNCTION("UPPER(LEFT((GOOGLETRANSLATE(F812,""en"",""pt"")),1))&amp;RIGHT(lower((GOOGLETRANSLATE(F812,""en"",""pt""))),(LEN((GOOGLETRANSLATE(F812,""en"",""pt"")))-1))"),"Amenity manutenção plantio")</f>
        <v>Amenity manutenção plantio</v>
      </c>
      <c r="H812" s="82" t="s">
        <v>5607</v>
      </c>
      <c r="I812" s="81"/>
      <c r="J812" s="81"/>
      <c r="K812" s="20" t="s">
        <v>5608</v>
      </c>
      <c r="L812" s="20" t="s">
        <v>5609</v>
      </c>
    </row>
    <row r="813" spans="1:12" ht="14.5">
      <c r="A813" s="20" t="s">
        <v>5610</v>
      </c>
      <c r="B813" s="20">
        <v>85</v>
      </c>
      <c r="C813" s="20">
        <v>30</v>
      </c>
      <c r="D813" s="20">
        <v>4</v>
      </c>
      <c r="E813" s="24"/>
      <c r="F813" s="20" t="s">
        <v>5611</v>
      </c>
      <c r="G813" s="24" t="str">
        <f ca="1">IFERROR(__xludf.DUMMYFUNCTION("UPPER(LEFT((GOOGLETRANSLATE(F813,""en"",""pt"")),1))&amp;RIGHT(lower((GOOGLETRANSLATE(F813,""en"",""pt""))),(LEN((GOOGLETRANSLATE(F813,""en"",""pt"")))-1))"),"Aquático e manutenção plantio de zonas húmidas")</f>
        <v>Aquático e manutenção plantio de zonas húmidas</v>
      </c>
      <c r="H813" s="82" t="s">
        <v>5612</v>
      </c>
      <c r="I813" s="81"/>
      <c r="J813" s="81"/>
      <c r="K813" s="20" t="s">
        <v>5613</v>
      </c>
      <c r="L813" s="20" t="s">
        <v>5609</v>
      </c>
    </row>
    <row r="814" spans="1:12" ht="14.5">
      <c r="A814" s="20" t="s">
        <v>5614</v>
      </c>
      <c r="B814" s="20">
        <v>85</v>
      </c>
      <c r="C814" s="20">
        <v>30</v>
      </c>
      <c r="D814" s="20">
        <v>28</v>
      </c>
      <c r="E814" s="24"/>
      <c r="F814" s="20" t="s">
        <v>5615</v>
      </c>
      <c r="G814" s="24" t="str">
        <f ca="1">IFERROR(__xludf.DUMMYFUNCTION("UPPER(LEFT((GOOGLETRANSLATE(F814,""en"",""pt"")),1))&amp;RIGHT(lower((GOOGLETRANSLATE(F814,""en"",""pt""))),(LEN((GOOGLETRANSLATE(F814,""en"",""pt"")))-1))"),"Manutenção plantação recipiente externo")</f>
        <v>Manutenção plantação recipiente externo</v>
      </c>
      <c r="H814" s="82" t="s">
        <v>5616</v>
      </c>
      <c r="I814" s="81"/>
      <c r="J814" s="81"/>
      <c r="K814" s="20" t="s">
        <v>5617</v>
      </c>
      <c r="L814" s="20" t="s">
        <v>5618</v>
      </c>
    </row>
    <row r="815" spans="1:12" ht="14.5">
      <c r="A815" s="20" t="s">
        <v>5619</v>
      </c>
      <c r="B815" s="20">
        <v>85</v>
      </c>
      <c r="C815" s="20">
        <v>30</v>
      </c>
      <c r="D815" s="20">
        <v>30</v>
      </c>
      <c r="E815" s="24"/>
      <c r="F815" s="20" t="s">
        <v>5620</v>
      </c>
      <c r="G815" s="24" t="str">
        <f ca="1">IFERROR(__xludf.DUMMYFUNCTION("UPPER(LEFT((GOOGLETRANSLATE(F815,""en"",""pt"")),1))&amp;RIGHT(lower((GOOGLETRANSLATE(F815,""en"",""pt""))),(LEN((GOOGLETRANSLATE(F815,""en"",""pt"")))-1))"),"Manutenção florestal")</f>
        <v>Manutenção florestal</v>
      </c>
      <c r="H815" s="82" t="s">
        <v>5621</v>
      </c>
      <c r="I815" s="81"/>
      <c r="J815" s="81"/>
      <c r="K815" s="20" t="s">
        <v>5622</v>
      </c>
      <c r="L815" s="20" t="s">
        <v>5609</v>
      </c>
    </row>
    <row r="816" spans="1:12" ht="14.5">
      <c r="A816" s="20" t="s">
        <v>5623</v>
      </c>
      <c r="B816" s="20">
        <v>85</v>
      </c>
      <c r="C816" s="20">
        <v>30</v>
      </c>
      <c r="D816" s="20">
        <v>37</v>
      </c>
      <c r="E816" s="24"/>
      <c r="F816" s="20" t="s">
        <v>5624</v>
      </c>
      <c r="G816" s="24" t="str">
        <f ca="1">IFERROR(__xludf.DUMMYFUNCTION("UPPER(LEFT((GOOGLETRANSLATE(F816,""en"",""pt"")),1))&amp;RIGHT(lower((GOOGLETRANSLATE(F816,""en"",""pt""))),(LEN((GOOGLETRANSLATE(F816,""en"",""pt"")))-1))"),"Manutenção hedgerow")</f>
        <v>Manutenção hedgerow</v>
      </c>
      <c r="H816" s="82" t="s">
        <v>5625</v>
      </c>
      <c r="I816" s="81"/>
      <c r="J816" s="81"/>
      <c r="K816" s="20" t="s">
        <v>5626</v>
      </c>
      <c r="L816" s="20" t="s">
        <v>5609</v>
      </c>
    </row>
    <row r="817" spans="1:12" ht="14.5">
      <c r="A817" s="20" t="s">
        <v>5627</v>
      </c>
      <c r="B817" s="20">
        <v>85</v>
      </c>
      <c r="C817" s="20">
        <v>30</v>
      </c>
      <c r="D817" s="20">
        <v>40</v>
      </c>
      <c r="E817" s="24"/>
      <c r="F817" s="20" t="s">
        <v>5628</v>
      </c>
      <c r="G817" s="24" t="str">
        <f ca="1">IFERROR(__xludf.DUMMYFUNCTION("UPPER(LEFT((GOOGLETRANSLATE(F817,""en"",""pt"")),1))&amp;RIGHT(lower((GOOGLETRANSLATE(F817,""en"",""pt""))),(LEN((GOOGLETRANSLATE(F817,""en"",""pt"")))-1))"),"Manutenção plantio recipiente interno")</f>
        <v>Manutenção plantio recipiente interno</v>
      </c>
      <c r="H817" s="82" t="s">
        <v>5629</v>
      </c>
      <c r="I817" s="81"/>
      <c r="J817" s="81"/>
      <c r="K817" s="20" t="s">
        <v>5630</v>
      </c>
      <c r="L817" s="20" t="s">
        <v>5631</v>
      </c>
    </row>
    <row r="818" spans="1:12" ht="14.5">
      <c r="A818" s="20" t="s">
        <v>5632</v>
      </c>
      <c r="B818" s="20">
        <v>85</v>
      </c>
      <c r="C818" s="20">
        <v>30</v>
      </c>
      <c r="D818" s="20">
        <v>47</v>
      </c>
      <c r="E818" s="24"/>
      <c r="F818" s="20" t="s">
        <v>5633</v>
      </c>
      <c r="G818" s="24" t="str">
        <f ca="1">IFERROR(__xludf.DUMMYFUNCTION("UPPER(LEFT((GOOGLETRANSLATE(F818,""en"",""pt"")),1))&amp;RIGHT(lower((GOOGLETRANSLATE(F818,""en"",""pt""))),(LEN((GOOGLETRANSLATE(F818,""en"",""pt"")))-1))"),"Vivendo manutenção telhado")</f>
        <v>Vivendo manutenção telhado</v>
      </c>
      <c r="H818" s="82" t="s">
        <v>5634</v>
      </c>
      <c r="I818" s="81"/>
      <c r="J818" s="81"/>
      <c r="K818" s="20" t="s">
        <v>5635</v>
      </c>
      <c r="L818" s="20" t="s">
        <v>5636</v>
      </c>
    </row>
    <row r="819" spans="1:12" ht="14.5">
      <c r="A819" s="20" t="s">
        <v>5637</v>
      </c>
      <c r="B819" s="20">
        <v>85</v>
      </c>
      <c r="C819" s="20">
        <v>30</v>
      </c>
      <c r="D819" s="20">
        <v>50</v>
      </c>
      <c r="E819" s="24"/>
      <c r="F819" s="20" t="s">
        <v>5638</v>
      </c>
      <c r="G819" s="24" t="str">
        <f ca="1">IFERROR(__xludf.DUMMYFUNCTION("UPPER(LEFT((GOOGLETRANSLATE(F819,""en"",""pt"")),1))&amp;RIGHT(lower((GOOGLETRANSLATE(F819,""en"",""pt""))),(LEN((GOOGLETRANSLATE(F819,""en"",""pt"")))-1))"),"Manutenção da grama de prado")</f>
        <v>Manutenção da grama de prado</v>
      </c>
      <c r="H819" s="82" t="s">
        <v>5639</v>
      </c>
      <c r="I819" s="81"/>
      <c r="J819" s="81"/>
      <c r="K819" s="20" t="s">
        <v>5640</v>
      </c>
      <c r="L819" s="20" t="s">
        <v>5604</v>
      </c>
    </row>
    <row r="820" spans="1:12" ht="14.5">
      <c r="A820" s="20" t="s">
        <v>5641</v>
      </c>
      <c r="B820" s="20">
        <v>85</v>
      </c>
      <c r="C820" s="20">
        <v>30</v>
      </c>
      <c r="D820" s="20">
        <v>80</v>
      </c>
      <c r="E820" s="24"/>
      <c r="F820" s="20" t="s">
        <v>5642</v>
      </c>
      <c r="G820" s="24" t="str">
        <f ca="1">IFERROR(__xludf.DUMMYFUNCTION("UPPER(LEFT((GOOGLETRANSLATE(F820,""en"",""pt"")),1))&amp;RIGHT(lower((GOOGLETRANSLATE(F820,""en"",""pt""))),(LEN((GOOGLETRANSLATE(F820,""en"",""pt"")))-1))"),"Sports manutenção do relvado")</f>
        <v>Sports manutenção do relvado</v>
      </c>
      <c r="H820" s="82" t="s">
        <v>5643</v>
      </c>
      <c r="I820" s="81"/>
      <c r="J820" s="81"/>
      <c r="K820" s="20" t="s">
        <v>5644</v>
      </c>
      <c r="L820" s="20" t="s">
        <v>5604</v>
      </c>
    </row>
    <row r="821" spans="1:12" ht="14.5">
      <c r="A821" s="20" t="s">
        <v>5645</v>
      </c>
      <c r="B821" s="20">
        <v>85</v>
      </c>
      <c r="C821" s="20">
        <v>30</v>
      </c>
      <c r="D821" s="20">
        <v>95</v>
      </c>
      <c r="E821" s="24"/>
      <c r="F821" s="20" t="s">
        <v>5646</v>
      </c>
      <c r="G821" s="24" t="str">
        <f ca="1">IFERROR(__xludf.DUMMYFUNCTION("UPPER(LEFT((GOOGLETRANSLATE(F821,""en"",""pt"")),1))&amp;RIGHT(lower((GOOGLETRANSLATE(F821,""en"",""pt""))),(LEN((GOOGLETRANSLATE(F821,""en"",""pt"")))-1))"),"Manutenção controlo da vegetação")</f>
        <v>Manutenção controlo da vegetação</v>
      </c>
      <c r="H821" s="82" t="s">
        <v>5647</v>
      </c>
      <c r="I821" s="81"/>
      <c r="J821" s="81"/>
      <c r="K821" s="20" t="s">
        <v>5648</v>
      </c>
      <c r="L821" s="20" t="s">
        <v>5649</v>
      </c>
    </row>
    <row r="822" spans="1:12" ht="14.5">
      <c r="A822" s="20" t="s">
        <v>5650</v>
      </c>
      <c r="B822" s="20">
        <v>85</v>
      </c>
      <c r="C822" s="20">
        <v>30</v>
      </c>
      <c r="D822" s="20">
        <v>97</v>
      </c>
      <c r="E822" s="24"/>
      <c r="F822" s="20" t="s">
        <v>5651</v>
      </c>
      <c r="G822" s="24" t="str">
        <f ca="1">IFERROR(__xludf.DUMMYFUNCTION("UPPER(LEFT((GOOGLETRANSLATE(F822,""en"",""pt"")),1))&amp;RIGHT(lower((GOOGLETRANSLATE(F822,""en"",""pt""))),(LEN((GOOGLETRANSLATE(F822,""en"",""pt"")))-1))"),"Manutenção flores silvestres prado")</f>
        <v>Manutenção flores silvestres prado</v>
      </c>
      <c r="H822" s="24" t="s">
        <v>5652</v>
      </c>
      <c r="I822" s="79"/>
      <c r="J822" s="79"/>
      <c r="K822" s="24"/>
      <c r="L822" s="24"/>
    </row>
    <row r="823" spans="1:12" ht="14.5">
      <c r="A823" s="20" t="s">
        <v>5653</v>
      </c>
      <c r="B823" s="20">
        <v>85</v>
      </c>
      <c r="C823" s="20">
        <v>50</v>
      </c>
      <c r="D823" s="24"/>
      <c r="E823" s="24"/>
      <c r="F823" s="20" t="s">
        <v>5654</v>
      </c>
      <c r="G823" s="24" t="str">
        <f ca="1">IFERROR(__xludf.DUMMYFUNCTION("UPPER(LEFT((GOOGLETRANSLATE(F823,""en"",""pt"")),1))&amp;RIGHT(lower((GOOGLETRANSLATE(F823,""en"",""pt""))),(LEN((GOOGLETRANSLATE(F823,""en"",""pt"")))-1))"),"Actividades de manutenção marinhos")</f>
        <v>Actividades de manutenção marinhos</v>
      </c>
      <c r="H823" s="24" t="s">
        <v>5655</v>
      </c>
      <c r="I823" s="79"/>
      <c r="J823" s="79"/>
      <c r="K823" s="24"/>
      <c r="L823" s="24"/>
    </row>
    <row r="824" spans="1:12" ht="14.5">
      <c r="A824" s="20" t="s">
        <v>5656</v>
      </c>
      <c r="B824" s="20">
        <v>85</v>
      </c>
      <c r="C824" s="20">
        <v>50</v>
      </c>
      <c r="D824" s="20">
        <v>24</v>
      </c>
      <c r="E824" s="24"/>
      <c r="F824" s="20" t="s">
        <v>5657</v>
      </c>
      <c r="G824" s="24" t="str">
        <f ca="1">IFERROR(__xludf.DUMMYFUNCTION("UPPER(LEFT((GOOGLETRANSLATE(F824,""en"",""pt"")),1))&amp;RIGHT(lower((GOOGLETRANSLATE(F824,""en"",""pt""))),(LEN((GOOGLETRANSLATE(F824,""en"",""pt"")))-1))"),"Dragagem")</f>
        <v>Dragagem</v>
      </c>
      <c r="H824" s="24" t="s">
        <v>5658</v>
      </c>
      <c r="I824" s="79"/>
      <c r="J824" s="79"/>
      <c r="K824" s="24"/>
      <c r="L824" s="24"/>
    </row>
    <row r="825" spans="1:12" ht="14.5">
      <c r="A825" s="20" t="s">
        <v>5659</v>
      </c>
      <c r="B825" s="20">
        <v>85</v>
      </c>
      <c r="C825" s="20">
        <v>60</v>
      </c>
      <c r="D825" s="24"/>
      <c r="E825" s="24"/>
      <c r="F825" s="20" t="s">
        <v>5660</v>
      </c>
      <c r="G825" s="24" t="str">
        <f ca="1">IFERROR(__xludf.DUMMYFUNCTION("UPPER(LEFT((GOOGLETRANSLATE(F825,""en"",""pt"")),1))&amp;RIGHT(lower((GOOGLETRANSLATE(F825,""en"",""pt""))),(LEN((GOOGLETRANSLATE(F825,""en"",""pt"")))-1))"),"Pavimentação atividades de manutenção")</f>
        <v>Pavimentação atividades de manutenção</v>
      </c>
      <c r="H825" s="24" t="s">
        <v>5661</v>
      </c>
      <c r="I825" s="79"/>
      <c r="J825" s="79"/>
      <c r="K825" s="24"/>
      <c r="L825" s="24"/>
    </row>
    <row r="826" spans="1:12" ht="14.5">
      <c r="A826" s="20" t="s">
        <v>5662</v>
      </c>
      <c r="B826" s="20">
        <v>85</v>
      </c>
      <c r="C826" s="20">
        <v>60</v>
      </c>
      <c r="D826" s="20">
        <v>2</v>
      </c>
      <c r="E826" s="24"/>
      <c r="F826" s="20" t="s">
        <v>5663</v>
      </c>
      <c r="G826" s="24" t="str">
        <f ca="1">IFERROR(__xludf.DUMMYFUNCTION("UPPER(LEFT((GOOGLETRANSLATE(F826,""en"",""pt"")),1))&amp;RIGHT(lower((GOOGLETRANSLATE(F826,""en"",""pt""))),(LEN((GOOGLETRANSLATE(F826,""en"",""pt"")))-1))"),"Manutenção pavimentação asfáltica")</f>
        <v>Manutenção pavimentação asfáltica</v>
      </c>
      <c r="H826" s="82" t="s">
        <v>5664</v>
      </c>
      <c r="I826" s="81"/>
      <c r="J826" s="81"/>
      <c r="K826" s="20" t="s">
        <v>5665</v>
      </c>
      <c r="L826" s="20" t="s">
        <v>5666</v>
      </c>
    </row>
    <row r="827" spans="1:12" ht="14.5">
      <c r="A827" s="20" t="s">
        <v>5667</v>
      </c>
      <c r="B827" s="20">
        <v>85</v>
      </c>
      <c r="C827" s="20">
        <v>60</v>
      </c>
      <c r="D827" s="20">
        <v>4</v>
      </c>
      <c r="E827" s="24"/>
      <c r="F827" s="20" t="s">
        <v>5668</v>
      </c>
      <c r="G827" s="24" t="str">
        <f ca="1">IFERROR(__xludf.DUMMYFUNCTION("UPPER(LEFT((GOOGLETRANSLATE(F827,""en"",""pt"")),1))&amp;RIGHT(lower((GOOGLETRANSLATE(F827,""en"",""pt""))),(LEN((GOOGLETRANSLATE(F827,""en"",""pt"")))-1))"),"Esportes pavimentação asfáltica manutenção")</f>
        <v>Esportes pavimentação asfáltica manutenção</v>
      </c>
      <c r="H827" s="82" t="s">
        <v>5669</v>
      </c>
      <c r="I827" s="81"/>
      <c r="J827" s="81"/>
      <c r="K827" s="20" t="s">
        <v>5670</v>
      </c>
      <c r="L827" s="20" t="s">
        <v>5671</v>
      </c>
    </row>
    <row r="828" spans="1:12" ht="14.5">
      <c r="A828" s="20" t="s">
        <v>5672</v>
      </c>
      <c r="B828" s="20">
        <v>85</v>
      </c>
      <c r="C828" s="20">
        <v>60</v>
      </c>
      <c r="D828" s="20">
        <v>10</v>
      </c>
      <c r="E828" s="24"/>
      <c r="F828" s="20" t="s">
        <v>5673</v>
      </c>
      <c r="G828" s="24" t="str">
        <f ca="1">IFERROR(__xludf.DUMMYFUNCTION("UPPER(LEFT((GOOGLETRANSLATE(F828,""en"",""pt"")),1))&amp;RIGHT(lower((GOOGLETRANSLATE(F828,""en"",""pt""))),(LEN((GOOGLETRANSLATE(F828,""en"",""pt"")))-1))"),"Manutenção pavimentação agregada aglutinada")</f>
        <v>Manutenção pavimentação agregada aglutinada</v>
      </c>
      <c r="H828" s="82" t="s">
        <v>5674</v>
      </c>
      <c r="I828" s="81"/>
      <c r="J828" s="81"/>
      <c r="K828" s="20" t="s">
        <v>5675</v>
      </c>
      <c r="L828" s="20" t="s">
        <v>5676</v>
      </c>
    </row>
    <row r="829" spans="1:12" ht="14.5">
      <c r="A829" s="20" t="s">
        <v>5677</v>
      </c>
      <c r="B829" s="20">
        <v>85</v>
      </c>
      <c r="C829" s="20">
        <v>60</v>
      </c>
      <c r="D829" s="20">
        <v>50</v>
      </c>
      <c r="E829" s="24"/>
      <c r="F829" s="20" t="s">
        <v>5678</v>
      </c>
      <c r="G829" s="24" t="str">
        <f ca="1">IFERROR(__xludf.DUMMYFUNCTION("UPPER(LEFT((GOOGLETRANSLATE(F829,""en"",""pt"")),1))&amp;RIGHT(lower((GOOGLETRANSLATE(F829,""en"",""pt""))),(LEN((GOOGLETRANSLATE(F829,""en"",""pt"")))-1))"),"Manutenção esteira e pavimentação folha")</f>
        <v>Manutenção esteira e pavimentação folha</v>
      </c>
      <c r="H829" s="82" t="s">
        <v>5679</v>
      </c>
      <c r="I829" s="81"/>
      <c r="J829" s="81"/>
      <c r="K829" s="20" t="s">
        <v>5680</v>
      </c>
      <c r="L829" s="20" t="s">
        <v>5671</v>
      </c>
    </row>
    <row r="830" spans="1:12" ht="14.5">
      <c r="A830" s="20" t="s">
        <v>5681</v>
      </c>
      <c r="B830" s="20">
        <v>85</v>
      </c>
      <c r="C830" s="20">
        <v>60</v>
      </c>
      <c r="D830" s="20">
        <v>80</v>
      </c>
      <c r="E830" s="24"/>
      <c r="F830" s="20" t="s">
        <v>5682</v>
      </c>
      <c r="G830" s="24" t="str">
        <f ca="1">IFERROR(__xludf.DUMMYFUNCTION("UPPER(LEFT((GOOGLETRANSLATE(F830,""en"",""pt"")),1))&amp;RIGHT(lower((GOOGLETRANSLATE(F830,""en"",""pt""))),(LEN((GOOGLETRANSLATE(F830,""en"",""pt"")))-1))"),"Esporte ou manutenção jogo pavimentação")</f>
        <v>Esporte ou manutenção jogo pavimentação</v>
      </c>
      <c r="H830" s="82" t="s">
        <v>5683</v>
      </c>
      <c r="I830" s="81"/>
      <c r="J830" s="81"/>
      <c r="K830" s="20" t="s">
        <v>5684</v>
      </c>
      <c r="L830" s="20" t="s">
        <v>5671</v>
      </c>
    </row>
    <row r="831" spans="1:12" ht="14.5">
      <c r="A831" s="20" t="s">
        <v>5685</v>
      </c>
      <c r="B831" s="20">
        <v>85</v>
      </c>
      <c r="C831" s="20">
        <v>60</v>
      </c>
      <c r="D831" s="20">
        <v>82</v>
      </c>
      <c r="E831" s="24"/>
      <c r="F831" s="20" t="s">
        <v>5686</v>
      </c>
      <c r="G831" s="24" t="str">
        <f ca="1">IFERROR(__xludf.DUMMYFUNCTION("UPPER(LEFT((GOOGLETRANSLATE(F831,""en"",""pt"")),1))&amp;RIGHT(lower((GOOGLETRANSLATE(F831,""en"",""pt""))),(LEN((GOOGLETRANSLATE(F831,""en"",""pt"")))-1))"),"Esporte ou jogo manutenção pavimentação desacoplado")</f>
        <v>Esporte ou jogo manutenção pavimentação desacoplado</v>
      </c>
      <c r="H831" s="82" t="s">
        <v>5687</v>
      </c>
      <c r="I831" s="81"/>
      <c r="J831" s="81"/>
      <c r="K831" s="20" t="s">
        <v>5688</v>
      </c>
      <c r="L831" s="20" t="s">
        <v>5689</v>
      </c>
    </row>
    <row r="832" spans="1:12" ht="14.5">
      <c r="A832" s="20" t="s">
        <v>5690</v>
      </c>
      <c r="B832" s="20">
        <v>85</v>
      </c>
      <c r="C832" s="20">
        <v>60</v>
      </c>
      <c r="D832" s="20">
        <v>92</v>
      </c>
      <c r="E832" s="24"/>
      <c r="F832" s="20" t="s">
        <v>5691</v>
      </c>
      <c r="G832" s="24" t="str">
        <f ca="1">IFERROR(__xludf.DUMMYFUNCTION("UPPER(LEFT((GOOGLETRANSLATE(F832,""en"",""pt"")),1))&amp;RIGHT(lower((GOOGLETRANSLATE(F832,""en"",""pt""))),(LEN((GOOGLETRANSLATE(F832,""en"",""pt"")))-1))"),"Manutenção pavimentação unbound")</f>
        <v>Manutenção pavimentação unbound</v>
      </c>
      <c r="H832" s="82" t="s">
        <v>5692</v>
      </c>
      <c r="I832" s="81"/>
      <c r="J832" s="81"/>
      <c r="K832" s="20" t="s">
        <v>5693</v>
      </c>
      <c r="L832" s="20" t="s">
        <v>5694</v>
      </c>
    </row>
    <row r="833" spans="1:12" ht="14.5">
      <c r="A833" s="20" t="s">
        <v>5695</v>
      </c>
      <c r="B833" s="20">
        <v>85</v>
      </c>
      <c r="C833" s="20">
        <v>60</v>
      </c>
      <c r="D833" s="20">
        <v>93</v>
      </c>
      <c r="E833" s="24"/>
      <c r="F833" s="20" t="s">
        <v>5696</v>
      </c>
      <c r="G833" s="24" t="str">
        <f ca="1">IFERROR(__xludf.DUMMYFUNCTION("UPPER(LEFT((GOOGLETRANSLATE(F833,""en"",""pt"")),1))&amp;RIGHT(lower((GOOGLETRANSLATE(F833,""en"",""pt""))),(LEN((GOOGLETRANSLATE(F833,""en"",""pt"")))-1))"),"Manutenção pavimentação unidade")</f>
        <v>Manutenção pavimentação unidade</v>
      </c>
      <c r="H833" s="82" t="s">
        <v>5697</v>
      </c>
      <c r="I833" s="81"/>
      <c r="J833" s="81"/>
      <c r="K833" s="20" t="s">
        <v>5698</v>
      </c>
      <c r="L833" s="20" t="s">
        <v>5699</v>
      </c>
    </row>
    <row r="834" spans="1:12" ht="14.5">
      <c r="A834" s="20" t="s">
        <v>5700</v>
      </c>
      <c r="B834" s="20">
        <v>85</v>
      </c>
      <c r="C834" s="20">
        <v>65</v>
      </c>
      <c r="D834" s="24"/>
      <c r="E834" s="24"/>
      <c r="F834" s="20" t="s">
        <v>5701</v>
      </c>
      <c r="G834" s="24" t="str">
        <f ca="1">IFERROR(__xludf.DUMMYFUNCTION("UPPER(LEFT((GOOGLETRANSLATE(F834,""en"",""pt"")),1))&amp;RIGHT(lower((GOOGLETRANSLATE(F834,""en"",""pt""))),(LEN((GOOGLETRANSLATE(F834,""en"",""pt"")))-1))"),"Planta e controles de operação")</f>
        <v>Planta e controles de operação</v>
      </c>
      <c r="H834" s="24" t="s">
        <v>5702</v>
      </c>
      <c r="I834" s="79"/>
      <c r="J834" s="79"/>
      <c r="K834" s="24"/>
      <c r="L834" s="24"/>
    </row>
    <row r="835" spans="1:12" ht="14.5">
      <c r="A835" s="20" t="s">
        <v>5703</v>
      </c>
      <c r="B835" s="20">
        <v>85</v>
      </c>
      <c r="C835" s="20">
        <v>65</v>
      </c>
      <c r="D835" s="20">
        <v>8</v>
      </c>
      <c r="E835" s="24"/>
      <c r="F835" s="20" t="s">
        <v>5704</v>
      </c>
      <c r="G835" s="24" t="str">
        <f ca="1">IFERROR(__xludf.DUMMYFUNCTION("UPPER(LEFT((GOOGLETRANSLATE(F835,""en"",""pt"")),1))&amp;RIGHT(lower((GOOGLETRANSLATE(F835,""en"",""pt""))),(LEN((GOOGLETRANSLATE(F835,""en"",""pt"")))-1))"),"Operacional da caldeira")</f>
        <v>Operacional da caldeira</v>
      </c>
      <c r="H835" s="24" t="s">
        <v>5705</v>
      </c>
      <c r="I835" s="79"/>
      <c r="J835" s="79"/>
      <c r="K835" s="24"/>
      <c r="L835" s="24"/>
    </row>
    <row r="836" spans="1:12" ht="14.5">
      <c r="A836" s="20" t="s">
        <v>5706</v>
      </c>
      <c r="B836" s="20">
        <v>85</v>
      </c>
      <c r="C836" s="20">
        <v>65</v>
      </c>
      <c r="D836" s="20">
        <v>15</v>
      </c>
      <c r="E836" s="24"/>
      <c r="F836" s="20" t="s">
        <v>5707</v>
      </c>
      <c r="G836" s="24" t="str">
        <f ca="1">IFERROR(__xludf.DUMMYFUNCTION("UPPER(LEFT((GOOGLETRANSLATE(F836,""en"",""pt"")),1))&amp;RIGHT(lower((GOOGLETRANSLATE(F836,""en"",""pt""))),(LEN((GOOGLETRANSLATE(F836,""en"",""pt"")))-1))"),"Controlador")</f>
        <v>Controlador</v>
      </c>
      <c r="H836" s="24" t="s">
        <v>5708</v>
      </c>
      <c r="I836" s="79"/>
      <c r="J836" s="79"/>
      <c r="K836" s="24"/>
      <c r="L836" s="24"/>
    </row>
    <row r="837" spans="1:12" ht="14.5">
      <c r="A837" s="20" t="s">
        <v>5709</v>
      </c>
      <c r="B837" s="20">
        <v>85</v>
      </c>
      <c r="C837" s="20">
        <v>65</v>
      </c>
      <c r="D837" s="20">
        <v>26</v>
      </c>
      <c r="E837" s="24"/>
      <c r="F837" s="20" t="s">
        <v>5710</v>
      </c>
      <c r="G837" s="24" t="str">
        <f ca="1">IFERROR(__xludf.DUMMYFUNCTION("UPPER(LEFT((GOOGLETRANSLATE(F837,""en"",""pt"")),1))&amp;RIGHT(lower((GOOGLETRANSLATE(F837,""en"",""pt""))),(LEN((GOOGLETRANSLATE(F837,""en"",""pt"")))-1))"),"Comutação elétrica")</f>
        <v>Comutação elétrica</v>
      </c>
      <c r="H837" s="24" t="s">
        <v>5711</v>
      </c>
      <c r="I837" s="79"/>
      <c r="J837" s="79"/>
      <c r="K837" s="24"/>
      <c r="L837" s="24"/>
    </row>
    <row r="838" spans="1:12" ht="14.5">
      <c r="A838" s="20" t="s">
        <v>5712</v>
      </c>
      <c r="B838" s="20">
        <v>85</v>
      </c>
      <c r="C838" s="20">
        <v>65</v>
      </c>
      <c r="D838" s="20">
        <v>27</v>
      </c>
      <c r="E838" s="24"/>
      <c r="F838" s="20" t="s">
        <v>5713</v>
      </c>
      <c r="G838" s="24" t="str">
        <f ca="1">IFERROR(__xludf.DUMMYFUNCTION("UPPER(LEFT((GOOGLETRANSLATE(F838,""en"",""pt"")),1))&amp;RIGHT(lower((GOOGLETRANSLATE(F838,""en"",""pt""))),(LEN((GOOGLETRANSLATE(F838,""en"",""pt"")))-1))"),"Operacional equipamentos")</f>
        <v>Operacional equipamentos</v>
      </c>
      <c r="H838" s="24" t="s">
        <v>5714</v>
      </c>
      <c r="I838" s="79"/>
      <c r="J838" s="79"/>
      <c r="K838" s="24"/>
      <c r="L838" s="24"/>
    </row>
    <row r="839" spans="1:12" ht="14.5">
      <c r="A839" s="20" t="s">
        <v>5715</v>
      </c>
      <c r="B839" s="20">
        <v>85</v>
      </c>
      <c r="C839" s="20">
        <v>65</v>
      </c>
      <c r="D839" s="20">
        <v>32</v>
      </c>
      <c r="E839" s="24"/>
      <c r="F839" s="20" t="s">
        <v>5716</v>
      </c>
      <c r="G839" s="24" t="str">
        <f ca="1">IFERROR(__xludf.DUMMYFUNCTION("UPPER(LEFT((GOOGLETRANSLATE(F839,""en"",""pt"")),1))&amp;RIGHT(lower((GOOGLETRANSLATE(F839,""en"",""pt""))),(LEN((GOOGLETRANSLATE(F839,""en"",""pt"")))-1))"),"Operacional furnace")</f>
        <v>Operacional furnace</v>
      </c>
      <c r="H839" s="24" t="s">
        <v>5717</v>
      </c>
      <c r="I839" s="79"/>
      <c r="J839" s="79"/>
      <c r="K839" s="24"/>
      <c r="L839" s="24"/>
    </row>
    <row r="840" spans="1:12" ht="14.5">
      <c r="A840" s="20" t="s">
        <v>5718</v>
      </c>
      <c r="B840" s="20">
        <v>85</v>
      </c>
      <c r="C840" s="20">
        <v>65</v>
      </c>
      <c r="D840" s="20">
        <v>42</v>
      </c>
      <c r="E840" s="24"/>
      <c r="F840" s="20" t="s">
        <v>5719</v>
      </c>
      <c r="G840" s="24" t="str">
        <f ca="1">IFERROR(__xludf.DUMMYFUNCTION("UPPER(LEFT((GOOGLETRANSLATE(F840,""en"",""pt"")),1))&amp;RIGHT(lower((GOOGLETRANSLATE(F840,""en"",""pt""))),(LEN((GOOGLETRANSLATE(F840,""en"",""pt"")))-1))"),"Incinerando")</f>
        <v>Incinerando</v>
      </c>
      <c r="H840" s="24" t="s">
        <v>5720</v>
      </c>
      <c r="I840" s="79"/>
      <c r="J840" s="79"/>
      <c r="K840" s="24"/>
      <c r="L840" s="24"/>
    </row>
    <row r="841" spans="1:12" ht="14.5">
      <c r="A841" s="20" t="s">
        <v>5721</v>
      </c>
      <c r="B841" s="20">
        <v>85</v>
      </c>
      <c r="C841" s="20">
        <v>65</v>
      </c>
      <c r="D841" s="20">
        <v>48</v>
      </c>
      <c r="E841" s="24"/>
      <c r="F841" s="20" t="s">
        <v>5722</v>
      </c>
      <c r="G841" s="24" t="str">
        <f ca="1">IFERROR(__xludf.DUMMYFUNCTION("UPPER(LEFT((GOOGLETRANSLATE(F841,""en"",""pt"")),1))&amp;RIGHT(lower((GOOGLETRANSLATE(F841,""en"",""pt""))),(LEN((GOOGLETRANSLATE(F841,""en"",""pt"")))-1))"),"De operação da máquina de elevação")</f>
        <v>De operação da máquina de elevação</v>
      </c>
      <c r="H841" s="24" t="s">
        <v>5723</v>
      </c>
      <c r="I841" s="79"/>
      <c r="J841" s="79"/>
      <c r="K841" s="24"/>
      <c r="L841" s="24"/>
    </row>
    <row r="842" spans="1:12" ht="14.5">
      <c r="A842" s="20" t="s">
        <v>5724</v>
      </c>
      <c r="B842" s="20">
        <v>85</v>
      </c>
      <c r="C842" s="20">
        <v>65</v>
      </c>
      <c r="D842" s="20">
        <v>50</v>
      </c>
      <c r="E842" s="24"/>
      <c r="F842" s="20" t="s">
        <v>5725</v>
      </c>
      <c r="G842" s="24" t="str">
        <f ca="1">IFERROR(__xludf.DUMMYFUNCTION("UPPER(LEFT((GOOGLETRANSLATE(F842,""en"",""pt"")),1))&amp;RIGHT(lower((GOOGLETRANSLATE(F842,""en"",""pt""))),(LEN((GOOGLETRANSLATE(F842,""en"",""pt"")))-1))"),"Verificação do medidor")</f>
        <v>Verificação do medidor</v>
      </c>
      <c r="H842" s="24" t="s">
        <v>5726</v>
      </c>
      <c r="I842" s="79"/>
      <c r="J842" s="79"/>
      <c r="K842" s="24"/>
      <c r="L842" s="24"/>
    </row>
    <row r="843" spans="1:12" ht="14.5">
      <c r="A843" s="20" t="s">
        <v>5727</v>
      </c>
      <c r="B843" s="20">
        <v>85</v>
      </c>
      <c r="C843" s="20">
        <v>65</v>
      </c>
      <c r="D843" s="20">
        <v>64</v>
      </c>
      <c r="E843" s="24"/>
      <c r="F843" s="20" t="s">
        <v>5728</v>
      </c>
      <c r="G843" s="24" t="str">
        <f ca="1">IFERROR(__xludf.DUMMYFUNCTION("UPPER(LEFT((GOOGLETRANSLATE(F843,""en"",""pt"")),1))&amp;RIGHT(lower((GOOGLETRANSLATE(F843,""en"",""pt""))),(LEN((GOOGLETRANSLATE(F843,""en"",""pt"")))-1))"),"Operacional planta")</f>
        <v>Operacional planta</v>
      </c>
      <c r="H843" s="24" t="s">
        <v>5729</v>
      </c>
      <c r="I843" s="79"/>
      <c r="J843" s="79"/>
      <c r="K843" s="24"/>
      <c r="L843" s="24"/>
    </row>
    <row r="844" spans="1:12" ht="14.5">
      <c r="A844" s="20" t="s">
        <v>5730</v>
      </c>
      <c r="B844" s="20">
        <v>85</v>
      </c>
      <c r="C844" s="20">
        <v>65</v>
      </c>
      <c r="D844" s="20">
        <v>77</v>
      </c>
      <c r="E844" s="24"/>
      <c r="F844" s="20" t="s">
        <v>5731</v>
      </c>
      <c r="G844" s="24" t="str">
        <f ca="1">IFERROR(__xludf.DUMMYFUNCTION("UPPER(LEFT((GOOGLETRANSLATE(F844,""en"",""pt"")),1))&amp;RIGHT(lower((GOOGLETRANSLATE(F844,""en"",""pt""))),(LEN((GOOGLETRANSLATE(F844,""en"",""pt"")))-1))"),"Operativo de servidor")</f>
        <v>Operativo de servidor</v>
      </c>
      <c r="H844" s="24" t="s">
        <v>5732</v>
      </c>
      <c r="I844" s="79"/>
      <c r="J844" s="79"/>
      <c r="K844" s="24"/>
      <c r="L844" s="24"/>
    </row>
    <row r="845" spans="1:12" ht="14.5">
      <c r="A845" s="20" t="s">
        <v>5733</v>
      </c>
      <c r="B845" s="20">
        <v>85</v>
      </c>
      <c r="C845" s="20">
        <v>65</v>
      </c>
      <c r="D845" s="20">
        <v>90</v>
      </c>
      <c r="E845" s="24"/>
      <c r="F845" s="20" t="s">
        <v>5734</v>
      </c>
      <c r="G845" s="24" t="str">
        <f ca="1">IFERROR(__xludf.DUMMYFUNCTION("UPPER(LEFT((GOOGLETRANSLATE(F845,""en"",""pt"")),1))&amp;RIGHT(lower((GOOGLETRANSLATE(F845,""en"",""pt""))),(LEN((GOOGLETRANSLATE(F845,""en"",""pt"")))-1))"),"Operacional transformer")</f>
        <v>Operacional transformer</v>
      </c>
      <c r="H845" s="24" t="s">
        <v>5735</v>
      </c>
      <c r="I845" s="79"/>
      <c r="J845" s="79"/>
      <c r="K845" s="24"/>
      <c r="L845" s="24"/>
    </row>
    <row r="846" spans="1:12" ht="14.5">
      <c r="A846" s="20" t="s">
        <v>5736</v>
      </c>
      <c r="B846" s="20">
        <v>85</v>
      </c>
      <c r="C846" s="20">
        <v>70</v>
      </c>
      <c r="D846" s="24"/>
      <c r="E846" s="24"/>
      <c r="F846" s="20" t="s">
        <v>5737</v>
      </c>
      <c r="G846" s="24" t="str">
        <f ca="1">IFERROR(__xludf.DUMMYFUNCTION("UPPER(LEFT((GOOGLETRANSLATE(F846,""en"",""pt"")),1))&amp;RIGHT(lower((GOOGLETRANSLATE(F846,""en"",""pt""))),(LEN((GOOGLETRANSLATE(F846,""en"",""pt"")))-1))"),"Atividades de aplicação retrospectiva")</f>
        <v>Atividades de aplicação retrospectiva</v>
      </c>
      <c r="H846" s="24" t="s">
        <v>5738</v>
      </c>
      <c r="I846" s="79"/>
      <c r="J846" s="79"/>
      <c r="K846" s="24"/>
      <c r="L846" s="24"/>
    </row>
    <row r="847" spans="1:12" ht="14.5">
      <c r="A847" s="20" t="s">
        <v>5739</v>
      </c>
      <c r="B847" s="20">
        <v>85</v>
      </c>
      <c r="C847" s="20">
        <v>70</v>
      </c>
      <c r="D847" s="20">
        <v>40</v>
      </c>
      <c r="E847" s="24"/>
      <c r="F847" s="20" t="s">
        <v>5740</v>
      </c>
      <c r="G847" s="24" t="str">
        <f ca="1">IFERROR(__xludf.DUMMYFUNCTION("UPPER(LEFT((GOOGLETRANSLATE(F847,""en"",""pt"")),1))&amp;RIGHT(lower((GOOGLETRANSLATE(F847,""en"",""pt""))),(LEN((GOOGLETRANSLATE(F847,""en"",""pt"")))-1))"),"Isolamento e impermeabilização de telhados vivos adaptados")</f>
        <v>Isolamento e impermeabilização de telhados vivos adaptados</v>
      </c>
      <c r="H847" s="82" t="s">
        <v>5741</v>
      </c>
      <c r="I847" s="81"/>
      <c r="J847" s="81"/>
      <c r="K847" s="20" t="s">
        <v>5742</v>
      </c>
      <c r="L847" s="20" t="s">
        <v>5636</v>
      </c>
    </row>
    <row r="848" spans="1:12" ht="14.5">
      <c r="A848" s="20" t="s">
        <v>5743</v>
      </c>
      <c r="B848" s="20">
        <v>85</v>
      </c>
      <c r="C848" s="20">
        <v>70</v>
      </c>
      <c r="D848" s="20">
        <v>70</v>
      </c>
      <c r="E848" s="24"/>
      <c r="F848" s="20" t="s">
        <v>5744</v>
      </c>
      <c r="G848" s="24" t="str">
        <f ca="1">IFERROR(__xludf.DUMMYFUNCTION("UPPER(LEFT((GOOGLETRANSLATE(F848,""en"",""pt"")),1))&amp;RIGHT(lower((GOOGLETRANSLATE(F848,""en"",""pt""))),(LEN((GOOGLETRANSLATE(F848,""en"",""pt"")))-1))"),"Retrospectiva da aplicação do tratamento retardador de fogo")</f>
        <v>Retrospectiva da aplicação do tratamento retardador de fogo</v>
      </c>
      <c r="H848" s="24" t="s">
        <v>5745</v>
      </c>
      <c r="I848" s="79"/>
      <c r="J848" s="79"/>
      <c r="K848" s="24"/>
      <c r="L848" s="24"/>
    </row>
    <row r="849" spans="1:12" ht="14.5">
      <c r="A849" s="20" t="s">
        <v>5746</v>
      </c>
      <c r="B849" s="20">
        <v>85</v>
      </c>
      <c r="C849" s="20">
        <v>70</v>
      </c>
      <c r="D849" s="20">
        <v>75</v>
      </c>
      <c r="E849" s="24"/>
      <c r="F849" s="20" t="s">
        <v>5747</v>
      </c>
      <c r="G849" s="24" t="str">
        <f ca="1">IFERROR(__xludf.DUMMYFUNCTION("UPPER(LEFT((GOOGLETRANSLATE(F849,""en"",""pt"")),1))&amp;RIGHT(lower((GOOGLETRANSLATE(F849,""en"",""pt""))),(LEN((GOOGLETRANSLATE(F849,""en"",""pt"")))-1))"),"Retrospectiva aplicação de tratamento conservante")</f>
        <v>Retrospectiva aplicação de tratamento conservante</v>
      </c>
      <c r="H849" s="24" t="s">
        <v>5748</v>
      </c>
      <c r="I849" s="79"/>
      <c r="J849" s="79"/>
      <c r="K849" s="24"/>
      <c r="L849" s="24"/>
    </row>
    <row r="850" spans="1:12" ht="14.5">
      <c r="A850" s="20" t="s">
        <v>5749</v>
      </c>
      <c r="B850" s="20">
        <v>90</v>
      </c>
      <c r="C850" s="24"/>
      <c r="D850" s="24"/>
      <c r="E850" s="24"/>
      <c r="F850" s="20" t="s">
        <v>5750</v>
      </c>
      <c r="G850" s="24" t="str">
        <f ca="1">IFERROR(__xludf.DUMMYFUNCTION("UPPER(LEFT((GOOGLETRANSLATE(F850,""en"",""pt"")),1))&amp;RIGHT(lower((GOOGLETRANSLATE(F850,""en"",""pt""))),(LEN((GOOGLETRANSLATE(F850,""en"",""pt"")))-1))"),"Atividades de circulação e de plantas")</f>
        <v>Atividades de circulação e de plantas</v>
      </c>
      <c r="H850" s="24" t="s">
        <v>5751</v>
      </c>
      <c r="I850" s="79"/>
      <c r="J850" s="79"/>
      <c r="K850" s="24"/>
      <c r="L850" s="24"/>
    </row>
    <row r="851" spans="1:12" ht="14.5">
      <c r="A851" s="20" t="s">
        <v>5752</v>
      </c>
      <c r="B851" s="20">
        <v>90</v>
      </c>
      <c r="C851" s="20">
        <v>10</v>
      </c>
      <c r="D851" s="24"/>
      <c r="E851" s="24"/>
      <c r="F851" s="20" t="s">
        <v>5753</v>
      </c>
      <c r="G851" s="24" t="str">
        <f ca="1">IFERROR(__xludf.DUMMYFUNCTION("UPPER(LEFT((GOOGLETRANSLATE(F851,""en"",""pt"")),1))&amp;RIGHT(lower((GOOGLETRANSLATE(F851,""en"",""pt""))),(LEN((GOOGLETRANSLATE(F851,""en"",""pt"")))-1))"),"Atividades de circulação")</f>
        <v>Atividades de circulação</v>
      </c>
      <c r="H851" s="24" t="s">
        <v>5754</v>
      </c>
      <c r="I851" s="79"/>
      <c r="J851" s="79"/>
      <c r="K851" s="24"/>
      <c r="L851" s="24"/>
    </row>
    <row r="852" spans="1:12" ht="14.5">
      <c r="A852" s="20" t="s">
        <v>5755</v>
      </c>
      <c r="B852" s="20">
        <v>90</v>
      </c>
      <c r="C852" s="20">
        <v>10</v>
      </c>
      <c r="D852" s="20">
        <v>2</v>
      </c>
      <c r="E852" s="24"/>
      <c r="F852" s="20" t="s">
        <v>5756</v>
      </c>
      <c r="G852" s="24" t="str">
        <f ca="1">IFERROR(__xludf.DUMMYFUNCTION("UPPER(LEFT((GOOGLETRANSLATE(F852,""en"",""pt"")),1))&amp;RIGHT(lower((GOOGLETRANSLATE(F852,""en"",""pt""))),(LEN((GOOGLETRANSLATE(F852,""en"",""pt"")))-1))"),"Bloqueio air")</f>
        <v>Bloqueio air</v>
      </c>
      <c r="H852" s="24" t="s">
        <v>5757</v>
      </c>
      <c r="I852" s="79"/>
      <c r="J852" s="79"/>
      <c r="K852" s="24"/>
      <c r="L852" s="24"/>
    </row>
    <row r="853" spans="1:12" ht="14.5">
      <c r="A853" s="20" t="s">
        <v>5758</v>
      </c>
      <c r="B853" s="20">
        <v>90</v>
      </c>
      <c r="C853" s="20">
        <v>10</v>
      </c>
      <c r="D853" s="20">
        <v>14</v>
      </c>
      <c r="E853" s="24"/>
      <c r="F853" s="20" t="s">
        <v>5759</v>
      </c>
      <c r="G853" s="24" t="str">
        <f ca="1">IFERROR(__xludf.DUMMYFUNCTION("UPPER(LEFT((GOOGLETRANSLATE(F853,""en"",""pt"")),1))&amp;RIGHT(lower((GOOGLETRANSLATE(F853,""en"",""pt""))),(LEN((GOOGLETRANSLATE(F853,""en"",""pt"")))-1))"),"Circulando entre quartos")</f>
        <v>Circulando entre quartos</v>
      </c>
      <c r="H853" s="24" t="s">
        <v>5760</v>
      </c>
      <c r="I853" s="79"/>
      <c r="J853" s="79"/>
      <c r="K853" s="24"/>
      <c r="L853" s="24"/>
    </row>
    <row r="854" spans="1:12" ht="14.5">
      <c r="A854" s="20" t="s">
        <v>5761</v>
      </c>
      <c r="B854" s="20">
        <v>90</v>
      </c>
      <c r="C854" s="20">
        <v>10</v>
      </c>
      <c r="D854" s="20">
        <v>16</v>
      </c>
      <c r="E854" s="24"/>
      <c r="F854" s="20" t="s">
        <v>5762</v>
      </c>
      <c r="G854" s="24" t="str">
        <f ca="1">IFERROR(__xludf.DUMMYFUNCTION("UPPER(LEFT((GOOGLETRANSLATE(F854,""en"",""pt"")),1))&amp;RIGHT(lower((GOOGLETRANSLATE(F854,""en"",""pt""))),(LEN((GOOGLETRANSLATE(F854,""en"",""pt"")))-1))"),"Curta coberta")</f>
        <v>Curta coberta</v>
      </c>
      <c r="H854" s="24" t="s">
        <v>5763</v>
      </c>
      <c r="I854" s="79"/>
      <c r="J854" s="79"/>
      <c r="K854" s="24"/>
      <c r="L854" s="24"/>
    </row>
    <row r="855" spans="1:12" ht="14.5">
      <c r="A855" s="20" t="s">
        <v>5764</v>
      </c>
      <c r="B855" s="20">
        <v>90</v>
      </c>
      <c r="C855" s="20">
        <v>10</v>
      </c>
      <c r="D855" s="20">
        <v>24</v>
      </c>
      <c r="E855" s="24"/>
      <c r="F855" s="20" t="s">
        <v>5765</v>
      </c>
      <c r="G855" s="24" t="str">
        <f ca="1">IFERROR(__xludf.DUMMYFUNCTION("UPPER(LEFT((GOOGLETRANSLATE(F855,""en"",""pt"")),1))&amp;RIGHT(lower((GOOGLETRANSLATE(F855,""en"",""pt""))),(LEN((GOOGLETRANSLATE(F855,""en"",""pt"")))-1))"),"Soltando-off e recolhendo")</f>
        <v>Soltando-off e recolhendo</v>
      </c>
      <c r="H855" s="24" t="s">
        <v>5766</v>
      </c>
      <c r="I855" s="79"/>
      <c r="J855" s="79"/>
      <c r="K855" s="24"/>
      <c r="L855" s="24"/>
    </row>
    <row r="856" spans="1:12" ht="14.5">
      <c r="A856" s="20" t="s">
        <v>5767</v>
      </c>
      <c r="B856" s="20">
        <v>90</v>
      </c>
      <c r="C856" s="20">
        <v>10</v>
      </c>
      <c r="D856" s="20">
        <v>27</v>
      </c>
      <c r="E856" s="24"/>
      <c r="F856" s="20" t="s">
        <v>5768</v>
      </c>
      <c r="G856" s="24" t="str">
        <f ca="1">IFERROR(__xludf.DUMMYFUNCTION("UPPER(LEFT((GOOGLETRANSLATE(F856,""en"",""pt"")),1))&amp;RIGHT(lower((GOOGLETRANSLATE(F856,""en"",""pt""))),(LEN((GOOGLETRANSLATE(F856,""en"",""pt"")))-1))"),"Entrar e sair")</f>
        <v>Entrar e sair</v>
      </c>
      <c r="H856" s="24" t="s">
        <v>5769</v>
      </c>
      <c r="I856" s="79"/>
      <c r="J856" s="79"/>
      <c r="K856" s="24"/>
      <c r="L856" s="24"/>
    </row>
    <row r="857" spans="1:12" ht="14.5">
      <c r="A857" s="20" t="s">
        <v>5770</v>
      </c>
      <c r="B857" s="20">
        <v>90</v>
      </c>
      <c r="C857" s="20">
        <v>10</v>
      </c>
      <c r="D857" s="20">
        <v>34</v>
      </c>
      <c r="E857" s="24"/>
      <c r="F857" s="20" t="s">
        <v>5771</v>
      </c>
      <c r="G857" s="24" t="str">
        <f ca="1">IFERROR(__xludf.DUMMYFUNCTION("UPPER(LEFT((GOOGLETRANSLATE(F857,""en"",""pt"")),1))&amp;RIGHT(lower((GOOGLETRANSLATE(F857,""en"",""pt""))),(LEN((GOOGLETRANSLATE(F857,""en"",""pt"")))-1))"),"Produtos de transporte")</f>
        <v>Produtos de transporte</v>
      </c>
      <c r="H857" s="24" t="s">
        <v>5772</v>
      </c>
      <c r="I857" s="79"/>
      <c r="J857" s="79"/>
      <c r="K857" s="24"/>
      <c r="L857" s="24"/>
    </row>
    <row r="858" spans="1:12" ht="14.5">
      <c r="A858" s="20" t="s">
        <v>5773</v>
      </c>
      <c r="B858" s="20">
        <v>90</v>
      </c>
      <c r="C858" s="20">
        <v>10</v>
      </c>
      <c r="D858" s="20">
        <v>49</v>
      </c>
      <c r="E858" s="24"/>
      <c r="F858" s="20" t="s">
        <v>5774</v>
      </c>
      <c r="G858" s="24" t="str">
        <f ca="1">IFERROR(__xludf.DUMMYFUNCTION("UPPER(LEFT((GOOGLETRANSLATE(F858,""en"",""pt"")),1))&amp;RIGHT(lower((GOOGLETRANSLATE(F858,""en"",""pt""))),(LEN((GOOGLETRANSLATE(F858,""en"",""pt"")))-1))"),"Elevador parar e chamar")</f>
        <v>Elevador parar e chamar</v>
      </c>
      <c r="H858" s="24" t="s">
        <v>5775</v>
      </c>
      <c r="I858" s="79"/>
      <c r="J858" s="79"/>
      <c r="K858" s="24"/>
      <c r="L858" s="24"/>
    </row>
    <row r="859" spans="1:12" ht="14.5">
      <c r="A859" s="20" t="s">
        <v>5776</v>
      </c>
      <c r="B859" s="20">
        <v>90</v>
      </c>
      <c r="C859" s="20">
        <v>10</v>
      </c>
      <c r="D859" s="20">
        <v>50</v>
      </c>
      <c r="E859" s="24"/>
      <c r="F859" s="20" t="s">
        <v>5777</v>
      </c>
      <c r="G859" s="24" t="str">
        <f ca="1">IFERROR(__xludf.DUMMYFUNCTION("UPPER(LEFT((GOOGLETRANSLATE(F859,""en"",""pt"")),1))&amp;RIGHT(lower((GOOGLETRANSLATE(F859,""en"",""pt""))),(LEN((GOOGLETRANSLATE(F859,""en"",""pt"")))-1))"),"Elevador de viagem")</f>
        <v>Elevador de viagem</v>
      </c>
      <c r="H859" s="24" t="s">
        <v>5778</v>
      </c>
      <c r="I859" s="79"/>
      <c r="J859" s="79"/>
      <c r="K859" s="24"/>
      <c r="L859" s="24"/>
    </row>
    <row r="860" spans="1:12" ht="14.5">
      <c r="A860" s="20" t="s">
        <v>5779</v>
      </c>
      <c r="B860" s="20">
        <v>90</v>
      </c>
      <c r="C860" s="20">
        <v>10</v>
      </c>
      <c r="D860" s="20">
        <v>77</v>
      </c>
      <c r="E860" s="24"/>
      <c r="F860" s="20" t="s">
        <v>5780</v>
      </c>
      <c r="G860" s="24" t="str">
        <f ca="1">IFERROR(__xludf.DUMMYFUNCTION("UPPER(LEFT((GOOGLETRANSLATE(F860,""en"",""pt"")),1))&amp;RIGHT(lower((GOOGLETRANSLATE(F860,""en"",""pt""))),(LEN((GOOGLETRANSLATE(F860,""en"",""pt"")))-1))"),"Abrigando")</f>
        <v>Abrigando</v>
      </c>
      <c r="H860" s="24" t="s">
        <v>5781</v>
      </c>
      <c r="I860" s="79"/>
      <c r="J860" s="79"/>
      <c r="K860" s="24"/>
      <c r="L860" s="24"/>
    </row>
    <row r="861" spans="1:12" ht="14.5">
      <c r="A861" s="20" t="s">
        <v>5782</v>
      </c>
      <c r="B861" s="20">
        <v>90</v>
      </c>
      <c r="C861" s="20">
        <v>10</v>
      </c>
      <c r="D861" s="20">
        <v>78</v>
      </c>
      <c r="E861" s="24"/>
      <c r="F861" s="20" t="s">
        <v>5783</v>
      </c>
      <c r="G861" s="24" t="str">
        <f ca="1">IFERROR(__xludf.DUMMYFUNCTION("UPPER(LEFT((GOOGLETRANSLATE(F861,""en"",""pt"")),1))&amp;RIGHT(lower((GOOGLETRANSLATE(F861,""en"",""pt""))),(LEN((GOOGLETRANSLATE(F861,""en"",""pt"")))-1))"),"Os clientes móveis e circulação")</f>
        <v>Os clientes móveis e circulação</v>
      </c>
      <c r="H861" s="24" t="s">
        <v>5784</v>
      </c>
      <c r="I861" s="79"/>
      <c r="J861" s="79"/>
      <c r="K861" s="24"/>
      <c r="L861" s="24"/>
    </row>
    <row r="862" spans="1:12" ht="14.5">
      <c r="A862" s="20" t="s">
        <v>5785</v>
      </c>
      <c r="B862" s="20">
        <v>90</v>
      </c>
      <c r="C862" s="20">
        <v>10</v>
      </c>
      <c r="D862" s="20">
        <v>93</v>
      </c>
      <c r="E862" s="24"/>
      <c r="F862" s="20" t="s">
        <v>5786</v>
      </c>
      <c r="G862" s="24" t="str">
        <f ca="1">IFERROR(__xludf.DUMMYFUNCTION("UPPER(LEFT((GOOGLETRANSLATE(F862,""en"",""pt"")),1))&amp;RIGHT(lower((GOOGLETRANSLATE(F862,""en"",""pt""))),(LEN((GOOGLETRANSLATE(F862,""en"",""pt"")))-1))"),"Curta uncovered")</f>
        <v>Curta uncovered</v>
      </c>
      <c r="H862" s="24" t="s">
        <v>5787</v>
      </c>
      <c r="I862" s="79"/>
      <c r="J862" s="79"/>
      <c r="K862" s="24"/>
      <c r="L862" s="24"/>
    </row>
    <row r="863" spans="1:12" ht="14.5">
      <c r="A863" s="20" t="s">
        <v>5788</v>
      </c>
      <c r="B863" s="20">
        <v>90</v>
      </c>
      <c r="C863" s="20">
        <v>10</v>
      </c>
      <c r="D863" s="20">
        <v>96</v>
      </c>
      <c r="E863" s="24"/>
      <c r="F863" s="20" t="s">
        <v>5789</v>
      </c>
      <c r="G863" s="24" t="str">
        <f ca="1">IFERROR(__xludf.DUMMYFUNCTION("UPPER(LEFT((GOOGLETRANSLATE(F863,""en"",""pt"")),1))&amp;RIGHT(lower((GOOGLETRANSLATE(F863,""en"",""pt""))),(LEN((GOOGLETRANSLATE(F863,""en"",""pt"")))-1))"),"Viajar para cadeira de rodas")</f>
        <v>Viajar para cadeira de rodas</v>
      </c>
      <c r="H863" s="24" t="s">
        <v>5790</v>
      </c>
      <c r="I863" s="79"/>
      <c r="J863" s="79"/>
      <c r="K863" s="24"/>
      <c r="L863" s="24"/>
    </row>
    <row r="864" spans="1:12" ht="14.5">
      <c r="A864" s="20" t="s">
        <v>5791</v>
      </c>
      <c r="B864" s="20">
        <v>90</v>
      </c>
      <c r="C864" s="20">
        <v>20</v>
      </c>
      <c r="D864" s="24"/>
      <c r="E864" s="24"/>
      <c r="F864" s="20" t="s">
        <v>5792</v>
      </c>
      <c r="G864" s="24" t="str">
        <f ca="1">IFERROR(__xludf.DUMMYFUNCTION("UPPER(LEFT((GOOGLETRANSLATE(F864,""en"",""pt"")),1))&amp;RIGHT(lower((GOOGLETRANSLATE(F864,""en"",""pt""))),(LEN((GOOGLETRANSLATE(F864,""en"",""pt"")))-1))"),"Atividades comuns")</f>
        <v>Atividades comuns</v>
      </c>
      <c r="H864" s="24" t="s">
        <v>5793</v>
      </c>
      <c r="I864" s="79"/>
      <c r="J864" s="79"/>
      <c r="K864" s="24"/>
      <c r="L864" s="24"/>
    </row>
    <row r="865" spans="1:12" ht="14.5">
      <c r="A865" s="20" t="s">
        <v>5794</v>
      </c>
      <c r="B865" s="20">
        <v>90</v>
      </c>
      <c r="C865" s="20">
        <v>20</v>
      </c>
      <c r="D865" s="20">
        <v>9</v>
      </c>
      <c r="E865" s="24"/>
      <c r="F865" s="20" t="s">
        <v>5795</v>
      </c>
      <c r="G865" s="24" t="str">
        <f ca="1">IFERROR(__xludf.DUMMYFUNCTION("UPPER(LEFT((GOOGLETRANSLATE(F865,""en"",""pt"")),1))&amp;RIGHT(lower((GOOGLETRANSLATE(F865,""en"",""pt""))),(LEN((GOOGLETRANSLATE(F865,""en"",""pt"")))-1))"),"Instruções")</f>
        <v>Instruções</v>
      </c>
      <c r="H865" s="24" t="s">
        <v>5796</v>
      </c>
      <c r="I865" s="79"/>
      <c r="J865" s="79"/>
      <c r="K865" s="24"/>
      <c r="L865" s="24"/>
    </row>
    <row r="866" spans="1:12" ht="14.5">
      <c r="A866" s="20" t="s">
        <v>5797</v>
      </c>
      <c r="B866" s="20">
        <v>90</v>
      </c>
      <c r="C866" s="20">
        <v>20</v>
      </c>
      <c r="D866" s="20">
        <v>13</v>
      </c>
      <c r="E866" s="24"/>
      <c r="F866" s="20" t="s">
        <v>5798</v>
      </c>
      <c r="G866" s="24" t="str">
        <f ca="1">IFERROR(__xludf.DUMMYFUNCTION("UPPER(LEFT((GOOGLETRANSLATE(F866,""en"",""pt"")),1))&amp;RIGHT(lower((GOOGLETRANSLATE(F866,""en"",""pt""))),(LEN((GOOGLETRANSLATE(F866,""en"",""pt"")))-1))"),"Alterar")</f>
        <v>Alterar</v>
      </c>
      <c r="H866" s="24" t="s">
        <v>5799</v>
      </c>
      <c r="I866" s="79"/>
      <c r="J866" s="79"/>
      <c r="K866" s="24"/>
      <c r="L866" s="24"/>
    </row>
    <row r="867" spans="1:12" ht="14.5">
      <c r="A867" s="20" t="s">
        <v>5800</v>
      </c>
      <c r="B867" s="20">
        <v>90</v>
      </c>
      <c r="C867" s="20">
        <v>20</v>
      </c>
      <c r="D867" s="20">
        <v>42</v>
      </c>
      <c r="E867" s="24"/>
      <c r="F867" s="20" t="s">
        <v>5801</v>
      </c>
      <c r="G867" s="24" t="str">
        <f ca="1">IFERROR(__xludf.DUMMYFUNCTION("UPPER(LEFT((GOOGLETRANSLATE(F867,""en"",""pt"")),1))&amp;RIGHT(lower((GOOGLETRANSLATE(F867,""en"",""pt""))),(LEN((GOOGLETRANSLATE(F867,""en"",""pt"")))-1))"),"Entrevistar")</f>
        <v>Entrevistar</v>
      </c>
      <c r="H867" s="24" t="s">
        <v>5802</v>
      </c>
      <c r="I867" s="79"/>
      <c r="J867" s="79"/>
      <c r="K867" s="24"/>
      <c r="L867" s="24"/>
    </row>
    <row r="868" spans="1:12" ht="14.5">
      <c r="A868" s="20" t="s">
        <v>5803</v>
      </c>
      <c r="B868" s="20">
        <v>90</v>
      </c>
      <c r="C868" s="20">
        <v>20</v>
      </c>
      <c r="D868" s="20">
        <v>69</v>
      </c>
      <c r="E868" s="24"/>
      <c r="F868" s="20" t="s">
        <v>5804</v>
      </c>
      <c r="G868" s="24" t="str">
        <f ca="1">IFERROR(__xludf.DUMMYFUNCTION("UPPER(LEFT((GOOGLETRANSLATE(F868,""en"",""pt"")),1))&amp;RIGHT(lower((GOOGLETRANSLATE(F868,""en"",""pt""))),(LEN((GOOGLETRANSLATE(F868,""en"",""pt"")))-1))"),"Queuing")</f>
        <v>Queuing</v>
      </c>
      <c r="H868" s="24" t="s">
        <v>5805</v>
      </c>
      <c r="I868" s="79"/>
      <c r="J868" s="79"/>
      <c r="K868" s="24"/>
      <c r="L868" s="24"/>
    </row>
    <row r="869" spans="1:12" ht="14.5">
      <c r="A869" s="20" t="s">
        <v>5806</v>
      </c>
      <c r="B869" s="20">
        <v>90</v>
      </c>
      <c r="C869" s="20">
        <v>20</v>
      </c>
      <c r="D869" s="20">
        <v>72</v>
      </c>
      <c r="E869" s="24"/>
      <c r="F869" s="20" t="s">
        <v>5807</v>
      </c>
      <c r="G869" s="24" t="str">
        <f ca="1">IFERROR(__xludf.DUMMYFUNCTION("UPPER(LEFT((GOOGLETRANSLATE(F869,""en"",""pt"")),1))&amp;RIGHT(lower((GOOGLETRANSLATE(F869,""en"",""pt""))),(LEN((GOOGLETRANSLATE(F869,""en"",""pt"")))-1))"),"Em repouso")</f>
        <v>Em repouso</v>
      </c>
      <c r="H869" s="24" t="s">
        <v>5808</v>
      </c>
      <c r="I869" s="79"/>
      <c r="J869" s="79"/>
      <c r="K869" s="24"/>
      <c r="L869" s="24"/>
    </row>
    <row r="870" spans="1:12" ht="14.5">
      <c r="A870" s="20" t="s">
        <v>5809</v>
      </c>
      <c r="B870" s="20">
        <v>90</v>
      </c>
      <c r="C870" s="20">
        <v>20</v>
      </c>
      <c r="D870" s="20">
        <v>82</v>
      </c>
      <c r="E870" s="24"/>
      <c r="F870" s="20" t="s">
        <v>5810</v>
      </c>
      <c r="G870" s="24" t="str">
        <f ca="1">IFERROR(__xludf.DUMMYFUNCTION("UPPER(LEFT((GOOGLETRANSLATE(F870,""en"",""pt"")),1))&amp;RIGHT(lower((GOOGLETRANSLATE(F870,""en"",""pt""))),(LEN((GOOGLETRANSLATE(F870,""en"",""pt"")))-1))"),"Estar spectator")</f>
        <v>Estar spectator</v>
      </c>
      <c r="H870" s="24" t="s">
        <v>5811</v>
      </c>
      <c r="I870" s="79"/>
      <c r="J870" s="79"/>
      <c r="K870" s="24"/>
      <c r="L870" s="24"/>
    </row>
    <row r="871" spans="1:12" ht="14.5">
      <c r="A871" s="20" t="s">
        <v>5812</v>
      </c>
      <c r="B871" s="20">
        <v>90</v>
      </c>
      <c r="C871" s="20">
        <v>20</v>
      </c>
      <c r="D871" s="20">
        <v>83</v>
      </c>
      <c r="E871" s="24"/>
      <c r="F871" s="20" t="s">
        <v>5813</v>
      </c>
      <c r="G871" s="24" t="str">
        <f ca="1">IFERROR(__xludf.DUMMYFUNCTION("UPPER(LEFT((GOOGLETRANSLATE(F871,""en"",""pt"")),1))&amp;RIGHT(lower((GOOGLETRANSLATE(F871,""en"",""pt""))),(LEN((GOOGLETRANSLATE(F871,""en"",""pt"")))-1))"),"Espectador pé")</f>
        <v>Espectador pé</v>
      </c>
      <c r="H871" s="24" t="s">
        <v>5814</v>
      </c>
      <c r="I871" s="79"/>
      <c r="J871" s="79"/>
      <c r="K871" s="24"/>
      <c r="L871" s="24"/>
    </row>
    <row r="872" spans="1:12" ht="14.5">
      <c r="A872" s="20" t="s">
        <v>5815</v>
      </c>
      <c r="B872" s="20">
        <v>90</v>
      </c>
      <c r="C872" s="20">
        <v>20</v>
      </c>
      <c r="D872" s="20">
        <v>96</v>
      </c>
      <c r="E872" s="24"/>
      <c r="F872" s="20" t="s">
        <v>5816</v>
      </c>
      <c r="G872" s="24" t="str">
        <f ca="1">IFERROR(__xludf.DUMMYFUNCTION("UPPER(LEFT((GOOGLETRANSLATE(F872,""en"",""pt"")),1))&amp;RIGHT(lower((GOOGLETRANSLATE(F872,""en"",""pt""))),(LEN((GOOGLETRANSLATE(F872,""en"",""pt"")))-1))"),"Esperando")</f>
        <v>Esperando</v>
      </c>
      <c r="H872" s="24" t="s">
        <v>5817</v>
      </c>
      <c r="I872" s="79"/>
      <c r="J872" s="79"/>
      <c r="K872" s="24"/>
      <c r="L872" s="24"/>
    </row>
    <row r="873" spans="1:12" ht="14.5">
      <c r="A873" s="20" t="s">
        <v>5818</v>
      </c>
      <c r="B873" s="20">
        <v>90</v>
      </c>
      <c r="C873" s="20">
        <v>50</v>
      </c>
      <c r="D873" s="24"/>
      <c r="E873" s="24"/>
      <c r="F873" s="20" t="s">
        <v>5819</v>
      </c>
      <c r="G873" s="24" t="str">
        <f ca="1">IFERROR(__xludf.DUMMYFUNCTION("UPPER(LEFT((GOOGLETRANSLATE(F873,""en"",""pt"")),1))&amp;RIGHT(lower((GOOGLETRANSLATE(F873,""en"",""pt""))),(LEN((GOOGLETRANSLATE(F873,""en"",""pt"")))-1))"),"Armazenando atividades")</f>
        <v>Armazenando atividades</v>
      </c>
      <c r="H873" s="24" t="s">
        <v>5820</v>
      </c>
      <c r="I873" s="79"/>
      <c r="J873" s="79"/>
      <c r="K873" s="24"/>
      <c r="L873" s="24"/>
    </row>
    <row r="874" spans="1:12" ht="14.5">
      <c r="A874" s="20" t="s">
        <v>5821</v>
      </c>
      <c r="B874" s="20">
        <v>90</v>
      </c>
      <c r="C874" s="20">
        <v>50</v>
      </c>
      <c r="D874" s="20">
        <v>2</v>
      </c>
      <c r="E874" s="24"/>
      <c r="F874" s="20" t="s">
        <v>5822</v>
      </c>
      <c r="G874" s="24" t="str">
        <f ca="1">IFERROR(__xludf.DUMMYFUNCTION("UPPER(LEFT((GOOGLETRANSLATE(F874,""en"",""pt"")),1))&amp;RIGHT(lower((GOOGLETRANSLATE(F874,""en"",""pt""))),(LEN((GOOGLETRANSLATE(F874,""en"",""pt"")))-1))"),"Armazenamento aeronaves")</f>
        <v>Armazenamento aeronaves</v>
      </c>
      <c r="H874" s="24" t="s">
        <v>5823</v>
      </c>
      <c r="I874" s="79"/>
      <c r="J874" s="79"/>
      <c r="K874" s="24"/>
      <c r="L874" s="24"/>
    </row>
    <row r="875" spans="1:12" ht="14.5">
      <c r="A875" s="20" t="s">
        <v>5824</v>
      </c>
      <c r="B875" s="20">
        <v>90</v>
      </c>
      <c r="C875" s="20">
        <v>50</v>
      </c>
      <c r="D875" s="20">
        <v>4</v>
      </c>
      <c r="E875" s="24"/>
      <c r="F875" s="20" t="s">
        <v>5825</v>
      </c>
      <c r="G875" s="24" t="str">
        <f ca="1">IFERROR(__xludf.DUMMYFUNCTION("UPPER(LEFT((GOOGLETRANSLATE(F875,""en"",""pt"")),1))&amp;RIGHT(lower((GOOGLETRANSLATE(F875,""en"",""pt""))),(LEN((GOOGLETRANSLATE(F875,""en"",""pt"")))-1))"),"Braços armazenamento")</f>
        <v>Braços armazenamento</v>
      </c>
      <c r="H875" s="24" t="s">
        <v>5826</v>
      </c>
      <c r="I875" s="79"/>
      <c r="J875" s="79"/>
      <c r="K875" s="24"/>
      <c r="L875" s="24"/>
    </row>
    <row r="876" spans="1:12" ht="14.5">
      <c r="A876" s="20" t="s">
        <v>5827</v>
      </c>
      <c r="B876" s="20">
        <v>90</v>
      </c>
      <c r="C876" s="20">
        <v>50</v>
      </c>
      <c r="D876" s="20">
        <v>6</v>
      </c>
      <c r="E876" s="24"/>
      <c r="F876" s="20" t="s">
        <v>5828</v>
      </c>
      <c r="G876" s="24" t="str">
        <f ca="1">IFERROR(__xludf.DUMMYFUNCTION("UPPER(LEFT((GOOGLETRANSLATE(F876,""en"",""pt"")),1))&amp;RIGHT(lower((GOOGLETRANSLATE(F876,""en"",""pt""))),(LEN((GOOGLETRANSLATE(F876,""en"",""pt"")))-1))"),"Armazenamento de bagagem")</f>
        <v>Armazenamento de bagagem</v>
      </c>
      <c r="H876" s="24" t="s">
        <v>5829</v>
      </c>
      <c r="I876" s="79"/>
      <c r="J876" s="79"/>
      <c r="K876" s="24"/>
      <c r="L876" s="24"/>
    </row>
    <row r="877" spans="1:12" ht="14.5">
      <c r="A877" s="20" t="s">
        <v>5830</v>
      </c>
      <c r="B877" s="20">
        <v>90</v>
      </c>
      <c r="C877" s="20">
        <v>50</v>
      </c>
      <c r="D877" s="20">
        <v>7</v>
      </c>
      <c r="E877" s="24"/>
      <c r="F877" s="20" t="s">
        <v>5831</v>
      </c>
      <c r="G877" s="24" t="str">
        <f ca="1">IFERROR(__xludf.DUMMYFUNCTION("UPPER(LEFT((GOOGLETRANSLATE(F877,""en"",""pt"")),1))&amp;RIGHT(lower((GOOGLETRANSLATE(F877,""en"",""pt""))),(LEN((GOOGLETRANSLATE(F877,""en"",""pt"")))-1))"),"Armazenamento de cerveja")</f>
        <v>Armazenamento de cerveja</v>
      </c>
      <c r="H877" s="24" t="s">
        <v>5832</v>
      </c>
      <c r="I877" s="79"/>
      <c r="J877" s="79"/>
      <c r="K877" s="24"/>
      <c r="L877" s="24"/>
    </row>
    <row r="878" spans="1:12" ht="14.5">
      <c r="A878" s="20" t="s">
        <v>5833</v>
      </c>
      <c r="B878" s="20">
        <v>90</v>
      </c>
      <c r="C878" s="20">
        <v>50</v>
      </c>
      <c r="D878" s="20">
        <v>9</v>
      </c>
      <c r="E878" s="24"/>
      <c r="F878" s="20" t="s">
        <v>5834</v>
      </c>
      <c r="G878" s="24" t="str">
        <f ca="1">IFERROR(__xludf.DUMMYFUNCTION("UPPER(LEFT((GOOGLETRANSLATE(F878,""en"",""pt"")),1))&amp;RIGHT(lower((GOOGLETRANSLATE(F878,""en"",""pt""))),(LEN((GOOGLETRANSLATE(F878,""en"",""pt"")))-1))"),"Armazenar sangue")</f>
        <v>Armazenar sangue</v>
      </c>
      <c r="H878" s="24" t="s">
        <v>5835</v>
      </c>
      <c r="I878" s="79"/>
      <c r="J878" s="79"/>
      <c r="K878" s="24"/>
      <c r="L878" s="24"/>
    </row>
    <row r="879" spans="1:12" ht="14.5">
      <c r="A879" s="20" t="s">
        <v>5836</v>
      </c>
      <c r="B879" s="20">
        <v>90</v>
      </c>
      <c r="C879" s="20">
        <v>50</v>
      </c>
      <c r="D879" s="20">
        <v>10</v>
      </c>
      <c r="E879" s="24"/>
      <c r="F879" s="20" t="s">
        <v>5837</v>
      </c>
      <c r="G879" s="24" t="str">
        <f ca="1">IFERROR(__xludf.DUMMYFUNCTION("UPPER(LEFT((GOOGLETRANSLATE(F879,""en"",""pt"")),1))&amp;RIGHT(lower((GOOGLETRANSLATE(F879,""en"",""pt""))),(LEN((GOOGLETRANSLATE(F879,""en"",""pt"")))-1))"),"Armazenamento barco")</f>
        <v>Armazenamento barco</v>
      </c>
      <c r="H879" s="24" t="s">
        <v>5838</v>
      </c>
      <c r="I879" s="79"/>
      <c r="J879" s="79"/>
      <c r="K879" s="24"/>
      <c r="L879" s="24"/>
    </row>
    <row r="880" spans="1:12" ht="14.5">
      <c r="A880" s="20" t="s">
        <v>5839</v>
      </c>
      <c r="B880" s="20">
        <v>90</v>
      </c>
      <c r="C880" s="20">
        <v>50</v>
      </c>
      <c r="D880" s="20">
        <v>11</v>
      </c>
      <c r="E880" s="24"/>
      <c r="F880" s="20" t="s">
        <v>5840</v>
      </c>
      <c r="G880" s="24" t="str">
        <f ca="1">IFERROR(__xludf.DUMMYFUNCTION("UPPER(LEFT((GOOGLETRANSLATE(F880,""en"",""pt"")),1))&amp;RIGHT(lower((GOOGLETRANSLATE(F880,""en"",""pt""))),(LEN((GOOGLETRANSLATE(F880,""en"",""pt"")))-1))"),"Armazenamento de cargas")</f>
        <v>Armazenamento de cargas</v>
      </c>
      <c r="H880" s="24" t="s">
        <v>5841</v>
      </c>
      <c r="I880" s="79"/>
      <c r="J880" s="79"/>
      <c r="K880" s="24"/>
      <c r="L880" s="24"/>
    </row>
    <row r="881" spans="1:12" ht="14.5">
      <c r="A881" s="20" t="s">
        <v>5842</v>
      </c>
      <c r="B881" s="20">
        <v>90</v>
      </c>
      <c r="C881" s="20">
        <v>50</v>
      </c>
      <c r="D881" s="20">
        <v>13</v>
      </c>
      <c r="E881" s="24"/>
      <c r="F881" s="20" t="s">
        <v>5843</v>
      </c>
      <c r="G881" s="24" t="str">
        <f ca="1">IFERROR(__xludf.DUMMYFUNCTION("UPPER(LEFT((GOOGLETRANSLATE(F881,""en"",""pt"")),1))&amp;RIGHT(lower((GOOGLETRANSLATE(F881,""en"",""pt""))),(LEN((GOOGLETRANSLATE(F881,""en"",""pt"")))-1))"),"Chemicals armazenamento")</f>
        <v>Chemicals armazenamento</v>
      </c>
      <c r="H881" s="24" t="s">
        <v>5844</v>
      </c>
      <c r="I881" s="79"/>
      <c r="J881" s="79"/>
      <c r="K881" s="24"/>
      <c r="L881" s="24"/>
    </row>
    <row r="882" spans="1:12" ht="14.5">
      <c r="A882" s="20" t="s">
        <v>5845</v>
      </c>
      <c r="B882" s="20">
        <v>90</v>
      </c>
      <c r="C882" s="20">
        <v>50</v>
      </c>
      <c r="D882" s="20">
        <v>14</v>
      </c>
      <c r="E882" s="24"/>
      <c r="F882" s="20" t="s">
        <v>5846</v>
      </c>
      <c r="G882" s="24" t="str">
        <f ca="1">IFERROR(__xludf.DUMMYFUNCTION("UPPER(LEFT((GOOGLETRANSLATE(F882,""en"",""pt"")),1))&amp;RIGHT(lower((GOOGLETRANSLATE(F882,""en"",""pt""))),(LEN((GOOGLETRANSLATE(F882,""en"",""pt"")))-1))"),"Roupas armazenamento")</f>
        <v>Roupas armazenamento</v>
      </c>
      <c r="H882" s="24" t="s">
        <v>5847</v>
      </c>
      <c r="I882" s="79"/>
      <c r="J882" s="79"/>
      <c r="K882" s="24"/>
      <c r="L882" s="24"/>
    </row>
    <row r="883" spans="1:12" ht="14.5">
      <c r="A883" s="20" t="s">
        <v>5848</v>
      </c>
      <c r="B883" s="20">
        <v>90</v>
      </c>
      <c r="C883" s="20">
        <v>50</v>
      </c>
      <c r="D883" s="20">
        <v>15</v>
      </c>
      <c r="E883" s="24"/>
      <c r="F883" s="20" t="s">
        <v>5849</v>
      </c>
      <c r="G883" s="24" t="str">
        <f ca="1">IFERROR(__xludf.DUMMYFUNCTION("UPPER(LEFT((GOOGLETRANSLATE(F883,""en"",""pt"")),1))&amp;RIGHT(lower((GOOGLETRANSLATE(F883,""en"",""pt""))),(LEN((GOOGLETRANSLATE(F883,""en"",""pt"")))-1))"),"Armazenamento frio")</f>
        <v>Armazenamento frio</v>
      </c>
      <c r="H883" s="24" t="s">
        <v>5850</v>
      </c>
      <c r="I883" s="79"/>
      <c r="J883" s="79"/>
      <c r="K883" s="24"/>
      <c r="L883" s="24"/>
    </row>
    <row r="884" spans="1:12" ht="14.5">
      <c r="A884" s="20" t="s">
        <v>5851</v>
      </c>
      <c r="B884" s="20">
        <v>90</v>
      </c>
      <c r="C884" s="20">
        <v>50</v>
      </c>
      <c r="D884" s="20">
        <v>24</v>
      </c>
      <c r="E884" s="24"/>
      <c r="F884" s="20" t="s">
        <v>5852</v>
      </c>
      <c r="G884" s="24" t="str">
        <f ca="1">IFERROR(__xludf.DUMMYFUNCTION("UPPER(LEFT((GOOGLETRANSLATE(F884,""en"",""pt"")),1))&amp;RIGHT(lower((GOOGLETRANSLATE(F884,""en"",""pt""))),(LEN((GOOGLETRANSLATE(F884,""en"",""pt"")))-1))"),"Armazenamento de resíduos secos")</f>
        <v>Armazenamento de resíduos secos</v>
      </c>
      <c r="H884" s="24" t="s">
        <v>5853</v>
      </c>
      <c r="I884" s="79"/>
      <c r="J884" s="79"/>
      <c r="K884" s="24"/>
      <c r="L884" s="24"/>
    </row>
    <row r="885" spans="1:12" ht="14.5">
      <c r="A885" s="20" t="s">
        <v>5854</v>
      </c>
      <c r="B885" s="20">
        <v>90</v>
      </c>
      <c r="C885" s="20">
        <v>50</v>
      </c>
      <c r="D885" s="20">
        <v>25</v>
      </c>
      <c r="E885" s="24"/>
      <c r="F885" s="20" t="s">
        <v>5855</v>
      </c>
      <c r="G885" s="24" t="str">
        <f ca="1">IFERROR(__xludf.DUMMYFUNCTION("UPPER(LEFT((GOOGLETRANSLATE(F885,""en"",""pt"")),1))&amp;RIGHT(lower((GOOGLETRANSLATE(F885,""en"",""pt""))),(LEN((GOOGLETRANSLATE(F885,""en"",""pt"")))-1))"),"Armazenamento evidence")</f>
        <v>Armazenamento evidence</v>
      </c>
      <c r="H885" s="24" t="s">
        <v>5856</v>
      </c>
      <c r="I885" s="79"/>
      <c r="J885" s="79"/>
      <c r="K885" s="24"/>
      <c r="L885" s="24"/>
    </row>
    <row r="886" spans="1:12" ht="14.5">
      <c r="A886" s="20" t="s">
        <v>5857</v>
      </c>
      <c r="B886" s="20">
        <v>90</v>
      </c>
      <c r="C886" s="20">
        <v>50</v>
      </c>
      <c r="D886" s="20">
        <v>26</v>
      </c>
      <c r="E886" s="24"/>
      <c r="F886" s="20" t="s">
        <v>5858</v>
      </c>
      <c r="G886" s="24" t="str">
        <f ca="1">IFERROR(__xludf.DUMMYFUNCTION("UPPER(LEFT((GOOGLETRANSLATE(F886,""en"",""pt"")),1))&amp;RIGHT(lower((GOOGLETRANSLATE(F886,""en"",""pt""))),(LEN((GOOGLETRANSLATE(F886,""en"",""pt"")))-1))"),"Explosivos armazenamento")</f>
        <v>Explosivos armazenamento</v>
      </c>
      <c r="H886" s="24" t="s">
        <v>5859</v>
      </c>
      <c r="I886" s="79"/>
      <c r="J886" s="79"/>
      <c r="K886" s="24"/>
      <c r="L886" s="24"/>
    </row>
    <row r="887" spans="1:12" ht="14.5">
      <c r="A887" s="20" t="s">
        <v>5860</v>
      </c>
      <c r="B887" s="20">
        <v>90</v>
      </c>
      <c r="C887" s="20">
        <v>50</v>
      </c>
      <c r="D887" s="20">
        <v>28</v>
      </c>
      <c r="E887" s="24"/>
      <c r="F887" s="20" t="s">
        <v>5861</v>
      </c>
      <c r="G887" s="24" t="str">
        <f ca="1">IFERROR(__xludf.DUMMYFUNCTION("UPPER(LEFT((GOOGLETRANSLATE(F887,""en"",""pt"")),1))&amp;RIGHT(lower((GOOGLETRANSLATE(F887,""en"",""pt""))),(LEN((GOOGLETRANSLATE(F887,""en"",""pt"")))-1))"),"Armazenamento de alimentação")</f>
        <v>Armazenamento de alimentação</v>
      </c>
      <c r="H887" s="24" t="s">
        <v>5862</v>
      </c>
      <c r="I887" s="79"/>
      <c r="J887" s="79"/>
      <c r="K887" s="24"/>
      <c r="L887" s="24"/>
    </row>
    <row r="888" spans="1:12" ht="14.5">
      <c r="A888" s="20" t="s">
        <v>5863</v>
      </c>
      <c r="B888" s="20">
        <v>90</v>
      </c>
      <c r="C888" s="20">
        <v>50</v>
      </c>
      <c r="D888" s="20">
        <v>29</v>
      </c>
      <c r="E888" s="24"/>
      <c r="F888" s="20" t="s">
        <v>5864</v>
      </c>
      <c r="G888" s="24" t="str">
        <f ca="1">IFERROR(__xludf.DUMMYFUNCTION("UPPER(LEFT((GOOGLETRANSLATE(F888,""en"",""pt"")),1))&amp;RIGHT(lower((GOOGLETRANSLATE(F888,""en"",""pt""))),(LEN((GOOGLETRANSLATE(F888,""en"",""pt"")))-1))"),"Produtos químicos inflamáveis ​​armazenamento")</f>
        <v>Produtos químicos inflamáveis ​​armazenamento</v>
      </c>
      <c r="H888" s="24" t="s">
        <v>5865</v>
      </c>
      <c r="I888" s="79"/>
      <c r="J888" s="79"/>
      <c r="K888" s="24"/>
      <c r="L888" s="24"/>
    </row>
    <row r="889" spans="1:12" ht="14.5">
      <c r="A889" s="20" t="s">
        <v>5866</v>
      </c>
      <c r="B889" s="20">
        <v>90</v>
      </c>
      <c r="C889" s="20">
        <v>50</v>
      </c>
      <c r="D889" s="20">
        <v>30</v>
      </c>
      <c r="E889" s="24"/>
      <c r="F889" s="20" t="s">
        <v>5867</v>
      </c>
      <c r="G889" s="24" t="str">
        <f ca="1">IFERROR(__xludf.DUMMYFUNCTION("UPPER(LEFT((GOOGLETRANSLATE(F889,""en"",""pt"")),1))&amp;RIGHT(lower((GOOGLETRANSLATE(F889,""en"",""pt""))),(LEN((GOOGLETRANSLATE(F889,""en"",""pt"")))-1))"),"Armazenar alimentos")</f>
        <v>Armazenar alimentos</v>
      </c>
      <c r="H889" s="24" t="s">
        <v>5868</v>
      </c>
      <c r="I889" s="79"/>
      <c r="J889" s="79"/>
      <c r="K889" s="24"/>
      <c r="L889" s="24"/>
    </row>
    <row r="890" spans="1:12" ht="14.5">
      <c r="A890" s="20" t="s">
        <v>5869</v>
      </c>
      <c r="B890" s="20">
        <v>90</v>
      </c>
      <c r="C890" s="20">
        <v>50</v>
      </c>
      <c r="D890" s="20">
        <v>32</v>
      </c>
      <c r="E890" s="24"/>
      <c r="F890" s="20" t="s">
        <v>5870</v>
      </c>
      <c r="G890" s="24" t="str">
        <f ca="1">IFERROR(__xludf.DUMMYFUNCTION("UPPER(LEFT((GOOGLETRANSLATE(F890,""en"",""pt"")),1))&amp;RIGHT(lower((GOOGLETRANSLATE(F890,""en"",""pt""))),(LEN((GOOGLETRANSLATE(F890,""en"",""pt"")))-1))"),"Armazenamento de combustível")</f>
        <v>Armazenamento de combustível</v>
      </c>
      <c r="H890" s="24" t="s">
        <v>5871</v>
      </c>
      <c r="I890" s="79"/>
      <c r="J890" s="79"/>
      <c r="K890" s="24"/>
      <c r="L890" s="24"/>
    </row>
    <row r="891" spans="1:12" ht="14.5">
      <c r="A891" s="20" t="s">
        <v>5872</v>
      </c>
      <c r="B891" s="20">
        <v>90</v>
      </c>
      <c r="C891" s="20">
        <v>50</v>
      </c>
      <c r="D891" s="20">
        <v>34</v>
      </c>
      <c r="E891" s="24"/>
      <c r="F891" s="20" t="s">
        <v>5873</v>
      </c>
      <c r="G891" s="24" t="str">
        <f ca="1">IFERROR(__xludf.DUMMYFUNCTION("UPPER(LEFT((GOOGLETRANSLATE(F891,""en"",""pt"")),1))&amp;RIGHT(lower((GOOGLETRANSLATE(F891,""en"",""pt""))),(LEN((GOOGLETRANSLATE(F891,""en"",""pt"")))-1))"),"Armazenamento de gás")</f>
        <v>Armazenamento de gás</v>
      </c>
      <c r="H891" s="24" t="s">
        <v>5874</v>
      </c>
      <c r="I891" s="79"/>
      <c r="J891" s="79"/>
      <c r="K891" s="24"/>
      <c r="L891" s="24"/>
    </row>
    <row r="892" spans="1:12" ht="14.5">
      <c r="A892" s="20" t="s">
        <v>5875</v>
      </c>
      <c r="B892" s="20">
        <v>90</v>
      </c>
      <c r="C892" s="20">
        <v>50</v>
      </c>
      <c r="D892" s="20">
        <v>35</v>
      </c>
      <c r="E892" s="24"/>
      <c r="F892" s="20" t="s">
        <v>5876</v>
      </c>
      <c r="G892" s="24" t="str">
        <f ca="1">IFERROR(__xludf.DUMMYFUNCTION("UPPER(LEFT((GOOGLETRANSLATE(F892,""en"",""pt"")),1))&amp;RIGHT(lower((GOOGLETRANSLATE(F892,""en"",""pt""))),(LEN((GOOGLETRANSLATE(F892,""en"",""pt"")))-1))"),"Armazenamento geral")</f>
        <v>Armazenamento geral</v>
      </c>
      <c r="H892" s="24" t="s">
        <v>5877</v>
      </c>
      <c r="I892" s="79"/>
      <c r="J892" s="79"/>
      <c r="K892" s="24"/>
      <c r="L892" s="24"/>
    </row>
    <row r="893" spans="1:12" ht="14.5">
      <c r="A893" s="20" t="s">
        <v>5878</v>
      </c>
      <c r="B893" s="20">
        <v>90</v>
      </c>
      <c r="C893" s="20">
        <v>50</v>
      </c>
      <c r="D893" s="20">
        <v>36</v>
      </c>
      <c r="E893" s="24"/>
      <c r="F893" s="20" t="s">
        <v>5879</v>
      </c>
      <c r="G893" s="24" t="str">
        <f ca="1">IFERROR(__xludf.DUMMYFUNCTION("UPPER(LEFT((GOOGLETRANSLATE(F893,""en"",""pt"")),1))&amp;RIGHT(lower((GOOGLETRANSLATE(F893,""en"",""pt""))),(LEN((GOOGLETRANSLATE(F893,""en"",""pt"")))-1))"),"Glider armazenamento")</f>
        <v>Glider armazenamento</v>
      </c>
      <c r="H893" s="24" t="s">
        <v>5880</v>
      </c>
      <c r="I893" s="79"/>
      <c r="J893" s="79"/>
      <c r="K893" s="24"/>
      <c r="L893" s="24"/>
    </row>
    <row r="894" spans="1:12" ht="14.5">
      <c r="A894" s="20" t="s">
        <v>5881</v>
      </c>
      <c r="B894" s="20">
        <v>90</v>
      </c>
      <c r="C894" s="20">
        <v>50</v>
      </c>
      <c r="D894" s="20">
        <v>37</v>
      </c>
      <c r="E894" s="24"/>
      <c r="F894" s="20" t="s">
        <v>5882</v>
      </c>
      <c r="G894" s="24" t="str">
        <f ca="1">IFERROR(__xludf.DUMMYFUNCTION("UPPER(LEFT((GOOGLETRANSLATE(F894,""en"",""pt"")),1))&amp;RIGHT(lower((GOOGLETRANSLATE(F894,""en"",""pt""))),(LEN((GOOGLETRANSLATE(F894,""en"",""pt"")))-1))"),"Armazenamento de mercadorias")</f>
        <v>Armazenamento de mercadorias</v>
      </c>
      <c r="H894" s="24" t="s">
        <v>5883</v>
      </c>
      <c r="I894" s="79"/>
      <c r="J894" s="79"/>
      <c r="K894" s="24"/>
      <c r="L894" s="24"/>
    </row>
    <row r="895" spans="1:12" ht="14.5">
      <c r="A895" s="20" t="s">
        <v>5884</v>
      </c>
      <c r="B895" s="20">
        <v>90</v>
      </c>
      <c r="C895" s="20">
        <v>50</v>
      </c>
      <c r="D895" s="20">
        <v>39</v>
      </c>
      <c r="E895" s="24"/>
      <c r="F895" s="20" t="s">
        <v>5885</v>
      </c>
      <c r="G895" s="24" t="str">
        <f ca="1">IFERROR(__xludf.DUMMYFUNCTION("UPPER(LEFT((GOOGLETRANSLATE(F895,""en"",""pt"")),1))&amp;RIGHT(lower((GOOGLETRANSLATE(F895,""en"",""pt""))),(LEN((GOOGLETRANSLATE(F895,""en"",""pt"")))-1))"),"Armazenamento de grãos")</f>
        <v>Armazenamento de grãos</v>
      </c>
      <c r="H895" s="24" t="s">
        <v>5886</v>
      </c>
      <c r="I895" s="79"/>
      <c r="J895" s="79"/>
      <c r="K895" s="24"/>
      <c r="L895" s="24"/>
    </row>
    <row r="896" spans="1:12" ht="14.5">
      <c r="A896" s="20" t="s">
        <v>5887</v>
      </c>
      <c r="B896" s="20">
        <v>90</v>
      </c>
      <c r="C896" s="20">
        <v>50</v>
      </c>
      <c r="D896" s="20">
        <v>41</v>
      </c>
      <c r="E896" s="24"/>
      <c r="F896" s="20" t="s">
        <v>5888</v>
      </c>
      <c r="G896" s="24" t="str">
        <f ca="1">IFERROR(__xludf.DUMMYFUNCTION("UPPER(LEFT((GOOGLETRANSLATE(F896,""en"",""pt"")),1))&amp;RIGHT(lower((GOOGLETRANSLATE(F896,""en"",""pt""))),(LEN((GOOGLETRANSLATE(F896,""en"",""pt"")))-1))"),"Pendure armazenamento planador")</f>
        <v>Pendure armazenamento planador</v>
      </c>
      <c r="H896" s="24" t="s">
        <v>5889</v>
      </c>
      <c r="I896" s="79"/>
      <c r="J896" s="79"/>
      <c r="K896" s="24"/>
      <c r="L896" s="24"/>
    </row>
    <row r="897" spans="1:12" ht="14.5">
      <c r="A897" s="20" t="s">
        <v>5890</v>
      </c>
      <c r="B897" s="20">
        <v>90</v>
      </c>
      <c r="C897" s="20">
        <v>50</v>
      </c>
      <c r="D897" s="20">
        <v>42</v>
      </c>
      <c r="E897" s="24"/>
      <c r="F897" s="20" t="s">
        <v>5891</v>
      </c>
      <c r="G897" s="24" t="str">
        <f ca="1">IFERROR(__xludf.DUMMYFUNCTION("UPPER(LEFT((GOOGLETRANSLATE(F897,""en"",""pt"")),1))&amp;RIGHT(lower((GOOGLETRANSLATE(F897,""en"",""pt""))),(LEN((GOOGLETRANSLATE(F897,""en"",""pt"")))-1))"),"Armazenamento de resíduos perigosos")</f>
        <v>Armazenamento de resíduos perigosos</v>
      </c>
      <c r="H897" s="24" t="s">
        <v>5892</v>
      </c>
      <c r="I897" s="79"/>
      <c r="J897" s="79"/>
      <c r="K897" s="24"/>
      <c r="L897" s="24"/>
    </row>
    <row r="898" spans="1:12" ht="14.5">
      <c r="A898" s="20" t="s">
        <v>5893</v>
      </c>
      <c r="B898" s="20">
        <v>90</v>
      </c>
      <c r="C898" s="20">
        <v>50</v>
      </c>
      <c r="D898" s="20">
        <v>44</v>
      </c>
      <c r="E898" s="24"/>
      <c r="F898" s="20" t="s">
        <v>5894</v>
      </c>
      <c r="G898" s="24" t="str">
        <f ca="1">IFERROR(__xludf.DUMMYFUNCTION("UPPER(LEFT((GOOGLETRANSLATE(F898,""en"",""pt"")),1))&amp;RIGHT(lower((GOOGLETRANSLATE(F898,""en"",""pt""))),(LEN((GOOGLETRANSLATE(F898,""en"",""pt"")))-1))"),"Helicoptor armazenamento")</f>
        <v>Helicoptor armazenamento</v>
      </c>
      <c r="H898" s="24" t="s">
        <v>5895</v>
      </c>
      <c r="I898" s="79"/>
      <c r="J898" s="79"/>
      <c r="K898" s="24"/>
      <c r="L898" s="24"/>
    </row>
    <row r="899" spans="1:12" ht="14.5">
      <c r="A899" s="20" t="s">
        <v>5896</v>
      </c>
      <c r="B899" s="20">
        <v>90</v>
      </c>
      <c r="C899" s="20">
        <v>50</v>
      </c>
      <c r="D899" s="20">
        <v>47</v>
      </c>
      <c r="E899" s="24"/>
      <c r="F899" s="20" t="s">
        <v>5897</v>
      </c>
      <c r="G899" s="24" t="str">
        <f ca="1">IFERROR(__xludf.DUMMYFUNCTION("UPPER(LEFT((GOOGLETRANSLATE(F899,""en"",""pt"")),1))&amp;RIGHT(lower((GOOGLETRANSLATE(F899,""en"",""pt""))),(LEN((GOOGLETRANSLATE(F899,""en"",""pt"")))-1))"),"Armazenamento de bagagem")</f>
        <v>Armazenamento de bagagem</v>
      </c>
      <c r="H899" s="24" t="s">
        <v>5898</v>
      </c>
      <c r="I899" s="79"/>
      <c r="J899" s="79"/>
      <c r="K899" s="24"/>
      <c r="L899" s="24"/>
    </row>
    <row r="900" spans="1:12" ht="14.5">
      <c r="A900" s="20" t="s">
        <v>5899</v>
      </c>
      <c r="B900" s="20">
        <v>90</v>
      </c>
      <c r="C900" s="20">
        <v>50</v>
      </c>
      <c r="D900" s="20">
        <v>52</v>
      </c>
      <c r="E900" s="24"/>
      <c r="F900" s="20" t="s">
        <v>5900</v>
      </c>
      <c r="G900" s="24" t="str">
        <f ca="1">IFERROR(__xludf.DUMMYFUNCTION("UPPER(LEFT((GOOGLETRANSLATE(F900,""en"",""pt"")),1))&amp;RIGHT(lower((GOOGLETRANSLATE(F900,""en"",""pt""))),(LEN((GOOGLETRANSLATE(F900,""en"",""pt"")))-1))"),"Os registros médicos de armazenamento")</f>
        <v>Os registros médicos de armazenamento</v>
      </c>
      <c r="H900" s="24" t="s">
        <v>5901</v>
      </c>
      <c r="I900" s="79"/>
      <c r="J900" s="79"/>
      <c r="K900" s="24"/>
      <c r="L900" s="24"/>
    </row>
    <row r="901" spans="1:12" ht="14.5">
      <c r="A901" s="20" t="s">
        <v>5902</v>
      </c>
      <c r="B901" s="20">
        <v>90</v>
      </c>
      <c r="C901" s="20">
        <v>50</v>
      </c>
      <c r="D901" s="20">
        <v>53</v>
      </c>
      <c r="E901" s="24"/>
      <c r="F901" s="20" t="s">
        <v>5903</v>
      </c>
      <c r="G901" s="24" t="str">
        <f ca="1">IFERROR(__xludf.DUMMYFUNCTION("UPPER(LEFT((GOOGLETRANSLATE(F901,""en"",""pt"")),1))&amp;RIGHT(lower((GOOGLETRANSLATE(F901,""en"",""pt""))),(LEN((GOOGLETRANSLATE(F901,""en"",""pt"")))-1))"),"Armazenamento mineral")</f>
        <v>Armazenamento mineral</v>
      </c>
      <c r="H901" s="24" t="s">
        <v>5904</v>
      </c>
      <c r="I901" s="79"/>
      <c r="J901" s="79"/>
      <c r="K901" s="24"/>
      <c r="L901" s="24"/>
    </row>
    <row r="902" spans="1:12" ht="14.5">
      <c r="A902" s="20" t="s">
        <v>5905</v>
      </c>
      <c r="B902" s="20">
        <v>90</v>
      </c>
      <c r="C902" s="20">
        <v>50</v>
      </c>
      <c r="D902" s="20">
        <v>58</v>
      </c>
      <c r="E902" s="24"/>
      <c r="F902" s="20" t="s">
        <v>5906</v>
      </c>
      <c r="G902" s="24" t="str">
        <f ca="1">IFERROR(__xludf.DUMMYFUNCTION("UPPER(LEFT((GOOGLETRANSLATE(F902,""en"",""pt"")),1))&amp;RIGHT(lower((GOOGLETRANSLATE(F902,""en"",""pt""))),(LEN((GOOGLETRANSLATE(F902,""en"",""pt"")))-1))"),"Armazenamento de petróleo")</f>
        <v>Armazenamento de petróleo</v>
      </c>
      <c r="H902" s="24" t="s">
        <v>5907</v>
      </c>
      <c r="I902" s="79"/>
      <c r="J902" s="79"/>
      <c r="K902" s="24"/>
      <c r="L902" s="24"/>
    </row>
    <row r="903" spans="1:12" ht="14.5">
      <c r="A903" s="20" t="s">
        <v>5908</v>
      </c>
      <c r="B903" s="20">
        <v>90</v>
      </c>
      <c r="C903" s="20">
        <v>50</v>
      </c>
      <c r="D903" s="20">
        <v>59</v>
      </c>
      <c r="E903" s="24"/>
      <c r="F903" s="20" t="s">
        <v>5909</v>
      </c>
      <c r="G903" s="24" t="str">
        <f ca="1">IFERROR(__xludf.DUMMYFUNCTION("UPPER(LEFT((GOOGLETRANSLATE(F903,""en"",""pt"")),1))&amp;RIGHT(lower((GOOGLETRANSLATE(F903,""en"",""pt""))),(LEN((GOOGLETRANSLATE(F903,""en"",""pt"")))-1))"),"Armazenamento ao ar livre")</f>
        <v>Armazenamento ao ar livre</v>
      </c>
      <c r="H903" s="24" t="s">
        <v>5910</v>
      </c>
      <c r="I903" s="79"/>
      <c r="J903" s="79"/>
      <c r="K903" s="24"/>
      <c r="L903" s="24"/>
    </row>
    <row r="904" spans="1:12" ht="14.5">
      <c r="A904" s="20" t="s">
        <v>5911</v>
      </c>
      <c r="B904" s="20">
        <v>90</v>
      </c>
      <c r="C904" s="20">
        <v>50</v>
      </c>
      <c r="D904" s="20">
        <v>65</v>
      </c>
      <c r="E904" s="24"/>
      <c r="F904" s="20" t="s">
        <v>5912</v>
      </c>
      <c r="G904" s="24" t="str">
        <f ca="1">IFERROR(__xludf.DUMMYFUNCTION("UPPER(LEFT((GOOGLETRANSLATE(F904,""en"",""pt"")),1))&amp;RIGHT(lower((GOOGLETRANSLATE(F904,""en"",""pt""))),(LEN((GOOGLETRANSLATE(F904,""en"",""pt"")))-1))"),"Farmácia armazenamento")</f>
        <v>Farmácia armazenamento</v>
      </c>
      <c r="H904" s="24" t="s">
        <v>5913</v>
      </c>
      <c r="I904" s="79"/>
      <c r="J904" s="79"/>
      <c r="K904" s="24"/>
      <c r="L904" s="24"/>
    </row>
    <row r="905" spans="1:12" ht="14.5">
      <c r="A905" s="20" t="s">
        <v>5914</v>
      </c>
      <c r="B905" s="20">
        <v>90</v>
      </c>
      <c r="C905" s="20">
        <v>50</v>
      </c>
      <c r="D905" s="20">
        <v>70</v>
      </c>
      <c r="E905" s="24"/>
      <c r="F905" s="20" t="s">
        <v>5915</v>
      </c>
      <c r="G905" s="24" t="str">
        <f ca="1">IFERROR(__xludf.DUMMYFUNCTION("UPPER(LEFT((GOOGLETRANSLATE(F905,""en"",""pt"")),1))&amp;RIGHT(lower((GOOGLETRANSLATE(F905,""en"",""pt""))),(LEN((GOOGLETRANSLATE(F905,""en"",""pt"")))-1))"),"As matérias-primas que armazenam")</f>
        <v>As matérias-primas que armazenam</v>
      </c>
      <c r="H905" s="24" t="s">
        <v>5916</v>
      </c>
      <c r="I905" s="79"/>
      <c r="J905" s="79"/>
      <c r="K905" s="24"/>
      <c r="L905" s="24"/>
    </row>
    <row r="906" spans="1:12" ht="14.5">
      <c r="A906" s="20" t="s">
        <v>5917</v>
      </c>
      <c r="B906" s="20">
        <v>90</v>
      </c>
      <c r="C906" s="20">
        <v>50</v>
      </c>
      <c r="D906" s="20">
        <v>75</v>
      </c>
      <c r="E906" s="24"/>
      <c r="F906" s="20" t="s">
        <v>5918</v>
      </c>
      <c r="G906" s="24" t="str">
        <f ca="1">IFERROR(__xludf.DUMMYFUNCTION("UPPER(LEFT((GOOGLETRANSLATE(F906,""en"",""pt"")),1))&amp;RIGHT(lower((GOOGLETRANSLATE(F906,""en"",""pt""))),(LEN((GOOGLETRANSLATE(F906,""en"",""pt"")))-1))"),"Armazenamento equipamento científico")</f>
        <v>Armazenamento equipamento científico</v>
      </c>
      <c r="H906" s="24" t="s">
        <v>5919</v>
      </c>
      <c r="I906" s="79"/>
      <c r="J906" s="79"/>
      <c r="K906" s="24"/>
      <c r="L906" s="24"/>
    </row>
    <row r="907" spans="1:12" ht="14.5">
      <c r="A907" s="20" t="s">
        <v>5920</v>
      </c>
      <c r="B907" s="20">
        <v>90</v>
      </c>
      <c r="C907" s="20">
        <v>50</v>
      </c>
      <c r="D907" s="20">
        <v>77</v>
      </c>
      <c r="E907" s="24"/>
      <c r="F907" s="20" t="s">
        <v>5921</v>
      </c>
      <c r="G907" s="24" t="str">
        <f ca="1">IFERROR(__xludf.DUMMYFUNCTION("UPPER(LEFT((GOOGLETRANSLATE(F907,""en"",""pt"")),1))&amp;RIGHT(lower((GOOGLETRANSLATE(F907,""en"",""pt""))),(LEN((GOOGLETRANSLATE(F907,""en"",""pt"")))-1))"),"Seguro de armazenamento")</f>
        <v>Seguro de armazenamento</v>
      </c>
      <c r="H907" s="24" t="s">
        <v>5922</v>
      </c>
      <c r="I907" s="79"/>
      <c r="J907" s="79"/>
      <c r="K907" s="24"/>
      <c r="L907" s="24"/>
    </row>
    <row r="908" spans="1:12" ht="14.5">
      <c r="A908" s="20" t="s">
        <v>5923</v>
      </c>
      <c r="B908" s="20">
        <v>90</v>
      </c>
      <c r="C908" s="20">
        <v>50</v>
      </c>
      <c r="D908" s="20">
        <v>80</v>
      </c>
      <c r="E908" s="24"/>
      <c r="F908" s="20" t="s">
        <v>5924</v>
      </c>
      <c r="G908" s="24" t="str">
        <f ca="1">IFERROR(__xludf.DUMMYFUNCTION("UPPER(LEFT((GOOGLETRANSLATE(F908,""en"",""pt"")),1))&amp;RIGHT(lower((GOOGLETRANSLATE(F908,""en"",""pt""))),(LEN((GOOGLETRANSLATE(F908,""en"",""pt"")))-1))"),"Armazenamento combustível sólido")</f>
        <v>Armazenamento combustível sólido</v>
      </c>
      <c r="H908" s="24" t="s">
        <v>5925</v>
      </c>
      <c r="I908" s="79"/>
      <c r="J908" s="79"/>
      <c r="K908" s="24"/>
      <c r="L908" s="24"/>
    </row>
    <row r="909" spans="1:12" ht="14.5">
      <c r="A909" s="20" t="s">
        <v>5926</v>
      </c>
      <c r="B909" s="20">
        <v>90</v>
      </c>
      <c r="C909" s="20">
        <v>50</v>
      </c>
      <c r="D909" s="20">
        <v>84</v>
      </c>
      <c r="E909" s="24"/>
      <c r="F909" s="20" t="s">
        <v>5927</v>
      </c>
      <c r="G909" s="24" t="str">
        <f ca="1">IFERROR(__xludf.DUMMYFUNCTION("UPPER(LEFT((GOOGLETRANSLATE(F909,""en"",""pt"")),1))&amp;RIGHT(lower((GOOGLETRANSLATE(F909,""en"",""pt""))),(LEN((GOOGLETRANSLATE(F909,""en"",""pt"")))-1))"),"Armazenamento de restos humanos")</f>
        <v>Armazenamento de restos humanos</v>
      </c>
      <c r="H909" s="24" t="s">
        <v>5928</v>
      </c>
      <c r="I909" s="79"/>
      <c r="J909" s="79"/>
      <c r="K909" s="24"/>
      <c r="L909" s="24"/>
    </row>
    <row r="910" spans="1:12" ht="14.5">
      <c r="A910" s="20" t="s">
        <v>5929</v>
      </c>
      <c r="B910" s="20">
        <v>90</v>
      </c>
      <c r="C910" s="20">
        <v>50</v>
      </c>
      <c r="D910" s="20">
        <v>91</v>
      </c>
      <c r="E910" s="24"/>
      <c r="F910" s="20" t="s">
        <v>5930</v>
      </c>
      <c r="G910" s="24" t="str">
        <f ca="1">IFERROR(__xludf.DUMMYFUNCTION("UPPER(LEFT((GOOGLETRANSLATE(F910,""en"",""pt"")),1))&amp;RIGHT(lower((GOOGLETRANSLATE(F910,""en"",""pt""))),(LEN((GOOGLETRANSLATE(F910,""en"",""pt"")))-1))"),"Armazenamento veículo")</f>
        <v>Armazenamento veículo</v>
      </c>
      <c r="H910" s="24" t="s">
        <v>5931</v>
      </c>
      <c r="I910" s="79"/>
      <c r="J910" s="79"/>
      <c r="K910" s="24"/>
      <c r="L910" s="24"/>
    </row>
    <row r="911" spans="1:12" ht="14.5">
      <c r="A911" s="20" t="s">
        <v>5932</v>
      </c>
      <c r="B911" s="20">
        <v>90</v>
      </c>
      <c r="C911" s="20">
        <v>50</v>
      </c>
      <c r="D911" s="20">
        <v>92</v>
      </c>
      <c r="E911" s="24"/>
      <c r="F911" s="20" t="s">
        <v>5933</v>
      </c>
      <c r="G911" s="24" t="str">
        <f ca="1">IFERROR(__xludf.DUMMYFUNCTION("UPPER(LEFT((GOOGLETRANSLATE(F911,""en"",""pt"")),1))&amp;RIGHT(lower((GOOGLETRANSLATE(F911,""en"",""pt""))),(LEN((GOOGLETRANSLATE(F911,""en"",""pt"")))-1))"),"Walk-in roupa de armazenamento")</f>
        <v>Walk-in roupa de armazenamento</v>
      </c>
      <c r="H911" s="24" t="s">
        <v>5934</v>
      </c>
      <c r="I911" s="79"/>
      <c r="J911" s="79"/>
      <c r="K911" s="24"/>
      <c r="L911" s="24"/>
    </row>
    <row r="912" spans="1:12" ht="14.5">
      <c r="A912" s="20" t="s">
        <v>5935</v>
      </c>
      <c r="B912" s="20">
        <v>90</v>
      </c>
      <c r="C912" s="20">
        <v>50</v>
      </c>
      <c r="D912" s="20">
        <v>93</v>
      </c>
      <c r="E912" s="24"/>
      <c r="F912" s="20" t="s">
        <v>5936</v>
      </c>
      <c r="G912" s="24" t="str">
        <f ca="1">IFERROR(__xludf.DUMMYFUNCTION("UPPER(LEFT((GOOGLETRANSLATE(F912,""en"",""pt"")),1))&amp;RIGHT(lower((GOOGLETRANSLATE(F912,""en"",""pt""))),(LEN((GOOGLETRANSLATE(F912,""en"",""pt"")))-1))"),"Armazenamento de gás residual")</f>
        <v>Armazenamento de gás residual</v>
      </c>
      <c r="H912" s="24" t="s">
        <v>5937</v>
      </c>
      <c r="I912" s="79"/>
      <c r="J912" s="79"/>
      <c r="K912" s="24"/>
      <c r="L912" s="24"/>
    </row>
    <row r="913" spans="1:12" ht="14.5">
      <c r="A913" s="20" t="s">
        <v>5938</v>
      </c>
      <c r="B913" s="20">
        <v>90</v>
      </c>
      <c r="C913" s="20">
        <v>50</v>
      </c>
      <c r="D913" s="20">
        <v>94</v>
      </c>
      <c r="E913" s="24"/>
      <c r="F913" s="20" t="s">
        <v>5939</v>
      </c>
      <c r="G913" s="24" t="str">
        <f ca="1">IFERROR(__xludf.DUMMYFUNCTION("UPPER(LEFT((GOOGLETRANSLATE(F913,""en"",""pt"")),1))&amp;RIGHT(lower((GOOGLETRANSLATE(F913,""en"",""pt""))),(LEN((GOOGLETRANSLATE(F913,""en"",""pt"")))-1))"),"Armazenamento de líquidos residuais")</f>
        <v>Armazenamento de líquidos residuais</v>
      </c>
      <c r="H913" s="24" t="s">
        <v>5940</v>
      </c>
      <c r="I913" s="79"/>
      <c r="J913" s="79"/>
      <c r="K913" s="24"/>
      <c r="L913" s="24"/>
    </row>
    <row r="914" spans="1:12" ht="14.5">
      <c r="A914" s="20" t="s">
        <v>5941</v>
      </c>
      <c r="B914" s="20">
        <v>90</v>
      </c>
      <c r="C914" s="20">
        <v>50</v>
      </c>
      <c r="D914" s="20">
        <v>95</v>
      </c>
      <c r="E914" s="24"/>
      <c r="F914" s="20" t="s">
        <v>5942</v>
      </c>
      <c r="G914" s="24" t="str">
        <f ca="1">IFERROR(__xludf.DUMMYFUNCTION("UPPER(LEFT((GOOGLETRANSLATE(F914,""en"",""pt"")),1))&amp;RIGHT(lower((GOOGLETRANSLATE(F914,""en"",""pt""))),(LEN((GOOGLETRANSLATE(F914,""en"",""pt"")))-1))"),"Os resíduos sólidos que armazenam")</f>
        <v>Os resíduos sólidos que armazenam</v>
      </c>
      <c r="H914" s="24" t="s">
        <v>5943</v>
      </c>
      <c r="I914" s="79"/>
      <c r="J914" s="79"/>
      <c r="K914" s="24"/>
      <c r="L914" s="24"/>
    </row>
    <row r="915" spans="1:12" ht="14.5">
      <c r="A915" s="20" t="s">
        <v>5944</v>
      </c>
      <c r="B915" s="20">
        <v>90</v>
      </c>
      <c r="C915" s="20">
        <v>50</v>
      </c>
      <c r="D915" s="20">
        <v>96</v>
      </c>
      <c r="E915" s="24"/>
      <c r="F915" s="20" t="s">
        <v>5945</v>
      </c>
      <c r="G915" s="24" t="str">
        <f ca="1">IFERROR(__xludf.DUMMYFUNCTION("UPPER(LEFT((GOOGLETRANSLATE(F915,""en"",""pt"")),1))&amp;RIGHT(lower((GOOGLETRANSLATE(F915,""en"",""pt""))),(LEN((GOOGLETRANSLATE(F915,""en"",""pt"")))-1))"),"Armazenar água")</f>
        <v>Armazenar água</v>
      </c>
      <c r="H915" s="24" t="s">
        <v>5946</v>
      </c>
      <c r="I915" s="79"/>
      <c r="J915" s="79"/>
      <c r="K915" s="24"/>
      <c r="L915" s="24"/>
    </row>
    <row r="916" spans="1:12" ht="14.5">
      <c r="A916" s="20" t="s">
        <v>5947</v>
      </c>
      <c r="B916" s="20">
        <v>90</v>
      </c>
      <c r="C916" s="20">
        <v>50</v>
      </c>
      <c r="D916" s="20">
        <v>97</v>
      </c>
      <c r="E916" s="24"/>
      <c r="F916" s="20" t="s">
        <v>5948</v>
      </c>
      <c r="G916" s="24" t="str">
        <f ca="1">IFERROR(__xludf.DUMMYFUNCTION("UPPER(LEFT((GOOGLETRANSLATE(F916,""en"",""pt"")),1))&amp;RIGHT(lower((GOOGLETRANSLATE(F916,""en"",""pt""))),(LEN((GOOGLETRANSLATE(F916,""en"",""pt"")))-1))"),"Armazenamento de resíduos wet")</f>
        <v>Armazenamento de resíduos wet</v>
      </c>
      <c r="H916" s="24" t="s">
        <v>5949</v>
      </c>
      <c r="I916" s="79"/>
      <c r="J916" s="79"/>
      <c r="K916" s="24"/>
      <c r="L916" s="24"/>
    </row>
    <row r="917" spans="1:12" ht="14.5" hidden="1">
      <c r="A917" s="20" t="s">
        <v>5950</v>
      </c>
      <c r="B917" s="20">
        <v>90</v>
      </c>
      <c r="C917" s="20">
        <v>50</v>
      </c>
      <c r="D917" s="20">
        <v>98</v>
      </c>
      <c r="E917" s="24"/>
      <c r="F917" s="20" t="s">
        <v>5951</v>
      </c>
      <c r="G917" s="24" t="str">
        <f ca="1">IFERROR(__xludf.DUMMYFUNCTION("UPPER(LEFT((GOOGLETRANSLATE(F917,""en"",""pt"")),1))&amp;RIGHT(lower((GOOGLETRANSLATE(F917,""en"",""pt""))),(LEN((GOOGLETRANSLATE(F917,""en"",""pt"")))-1))"),"Armazenar o vinho")</f>
        <v>Armazenar o vinho</v>
      </c>
      <c r="H917" s="20" t="s">
        <v>5952</v>
      </c>
      <c r="I917" s="81" t="s">
        <v>2004</v>
      </c>
      <c r="J917" s="79"/>
      <c r="K917" s="24"/>
      <c r="L917" s="24"/>
    </row>
    <row r="918" spans="1:12" ht="12.5">
      <c r="I918" s="83"/>
      <c r="J918" s="83"/>
    </row>
    <row r="919" spans="1:12" ht="12.5">
      <c r="I919" s="83"/>
      <c r="J919" s="83"/>
    </row>
    <row r="920" spans="1:12" ht="12.5">
      <c r="I920" s="83"/>
      <c r="J920" s="83"/>
    </row>
    <row r="921" spans="1:12" ht="12.5">
      <c r="I921" s="83"/>
      <c r="J921" s="83"/>
    </row>
    <row r="922" spans="1:12" ht="12.5">
      <c r="I922" s="83"/>
      <c r="J922" s="83"/>
    </row>
    <row r="923" spans="1:12" ht="12.5">
      <c r="I923" s="83"/>
      <c r="J923" s="83"/>
    </row>
    <row r="924" spans="1:12" ht="12.5">
      <c r="I924" s="83"/>
      <c r="J924" s="83"/>
    </row>
    <row r="925" spans="1:12" ht="12.5">
      <c r="I925" s="83"/>
      <c r="J925" s="83"/>
    </row>
    <row r="926" spans="1:12" ht="12.5">
      <c r="I926" s="83"/>
      <c r="J926" s="83"/>
    </row>
    <row r="927" spans="1:12" ht="12.5">
      <c r="I927" s="83"/>
      <c r="J927" s="83"/>
    </row>
    <row r="928" spans="1:12" ht="12.5">
      <c r="I928" s="83"/>
      <c r="J928" s="83"/>
    </row>
    <row r="929" spans="9:10" ht="12.5">
      <c r="I929" s="83"/>
      <c r="J929" s="83"/>
    </row>
    <row r="930" spans="9:10" ht="12.5">
      <c r="I930" s="83"/>
      <c r="J930" s="83"/>
    </row>
    <row r="931" spans="9:10" ht="12.5">
      <c r="I931" s="83"/>
      <c r="J931" s="83"/>
    </row>
    <row r="932" spans="9:10" ht="12.5">
      <c r="I932" s="83"/>
      <c r="J932" s="83"/>
    </row>
    <row r="933" spans="9:10" ht="12.5">
      <c r="I933" s="83"/>
      <c r="J933" s="83"/>
    </row>
    <row r="934" spans="9:10" ht="12.5">
      <c r="I934" s="83"/>
      <c r="J934" s="83"/>
    </row>
    <row r="935" spans="9:10" ht="12.5">
      <c r="I935" s="83"/>
      <c r="J935" s="83"/>
    </row>
    <row r="936" spans="9:10" ht="12.5">
      <c r="I936" s="83"/>
      <c r="J936" s="83"/>
    </row>
    <row r="937" spans="9:10" ht="12.5">
      <c r="I937" s="83"/>
      <c r="J937" s="83"/>
    </row>
    <row r="938" spans="9:10" ht="12.5">
      <c r="I938" s="83"/>
      <c r="J938" s="83"/>
    </row>
    <row r="939" spans="9:10" ht="12.5">
      <c r="I939" s="83"/>
      <c r="J939" s="83"/>
    </row>
    <row r="940" spans="9:10" ht="12.5">
      <c r="I940" s="83"/>
      <c r="J940" s="83"/>
    </row>
    <row r="941" spans="9:10" ht="12.5">
      <c r="I941" s="83"/>
      <c r="J941" s="83"/>
    </row>
    <row r="942" spans="9:10" ht="12.5">
      <c r="I942" s="83"/>
      <c r="J942" s="83"/>
    </row>
    <row r="943" spans="9:10" ht="12.5">
      <c r="I943" s="83"/>
      <c r="J943" s="83"/>
    </row>
    <row r="944" spans="9:10" ht="12.5">
      <c r="I944" s="83"/>
      <c r="J944" s="83"/>
    </row>
    <row r="945" spans="9:10" ht="12.5">
      <c r="I945" s="83"/>
      <c r="J945" s="83"/>
    </row>
    <row r="946" spans="9:10" ht="12.5">
      <c r="I946" s="83"/>
      <c r="J946" s="83"/>
    </row>
    <row r="947" spans="9:10" ht="12.5">
      <c r="I947" s="83"/>
      <c r="J947" s="83"/>
    </row>
    <row r="948" spans="9:10" ht="12.5">
      <c r="I948" s="83"/>
      <c r="J948" s="83"/>
    </row>
    <row r="949" spans="9:10" ht="12.5">
      <c r="I949" s="83"/>
      <c r="J949" s="83"/>
    </row>
    <row r="950" spans="9:10" ht="12.5">
      <c r="I950" s="83"/>
      <c r="J950" s="83"/>
    </row>
    <row r="951" spans="9:10" ht="12.5">
      <c r="I951" s="83"/>
      <c r="J951" s="83"/>
    </row>
    <row r="952" spans="9:10" ht="12.5">
      <c r="I952" s="83"/>
      <c r="J952" s="83"/>
    </row>
    <row r="953" spans="9:10" ht="12.5">
      <c r="I953" s="83"/>
      <c r="J953" s="83"/>
    </row>
    <row r="954" spans="9:10" ht="12.5">
      <c r="I954" s="83"/>
      <c r="J954" s="83"/>
    </row>
    <row r="955" spans="9:10" ht="12.5">
      <c r="I955" s="83"/>
      <c r="J955" s="83"/>
    </row>
    <row r="956" spans="9:10" ht="12.5">
      <c r="I956" s="83"/>
      <c r="J956" s="83"/>
    </row>
    <row r="957" spans="9:10" ht="12.5">
      <c r="I957" s="83"/>
      <c r="J957" s="83"/>
    </row>
    <row r="958" spans="9:10" ht="12.5">
      <c r="I958" s="83"/>
      <c r="J958" s="83"/>
    </row>
    <row r="959" spans="9:10" ht="12.5">
      <c r="I959" s="83"/>
      <c r="J959" s="83"/>
    </row>
    <row r="960" spans="9:10" ht="12.5">
      <c r="I960" s="83"/>
      <c r="J960" s="83"/>
    </row>
    <row r="961" spans="9:10" ht="12.5">
      <c r="I961" s="83"/>
      <c r="J961" s="83"/>
    </row>
    <row r="962" spans="9:10" ht="12.5">
      <c r="I962" s="83"/>
      <c r="J962" s="83"/>
    </row>
    <row r="963" spans="9:10" ht="12.5">
      <c r="I963" s="83"/>
      <c r="J963" s="83"/>
    </row>
    <row r="964" spans="9:10" ht="12.5">
      <c r="I964" s="83"/>
      <c r="J964" s="83"/>
    </row>
    <row r="965" spans="9:10" ht="12.5">
      <c r="I965" s="83"/>
      <c r="J965" s="83"/>
    </row>
    <row r="966" spans="9:10" ht="12.5">
      <c r="I966" s="83"/>
      <c r="J966" s="83"/>
    </row>
    <row r="967" spans="9:10" ht="12.5">
      <c r="I967" s="83"/>
      <c r="J967" s="83"/>
    </row>
    <row r="968" spans="9:10" ht="12.5">
      <c r="I968" s="83"/>
      <c r="J968" s="83"/>
    </row>
    <row r="969" spans="9:10" ht="12.5">
      <c r="I969" s="83"/>
      <c r="J969" s="83"/>
    </row>
    <row r="970" spans="9:10" ht="12.5">
      <c r="I970" s="83"/>
      <c r="J970" s="83"/>
    </row>
    <row r="971" spans="9:10" ht="12.5">
      <c r="I971" s="83"/>
      <c r="J971" s="83"/>
    </row>
    <row r="972" spans="9:10" ht="12.5">
      <c r="I972" s="83"/>
      <c r="J972" s="83"/>
    </row>
    <row r="973" spans="9:10" ht="12.5">
      <c r="I973" s="83"/>
      <c r="J973" s="83"/>
    </row>
    <row r="974" spans="9:10" ht="12.5">
      <c r="I974" s="83"/>
      <c r="J974" s="83"/>
    </row>
    <row r="975" spans="9:10" ht="12.5">
      <c r="I975" s="83"/>
      <c r="J975" s="83"/>
    </row>
    <row r="976" spans="9:10" ht="12.5">
      <c r="I976" s="83"/>
      <c r="J976" s="83"/>
    </row>
    <row r="977" spans="9:10" ht="12.5">
      <c r="I977" s="83"/>
      <c r="J977" s="83"/>
    </row>
    <row r="978" spans="9:10" ht="12.5">
      <c r="I978" s="83"/>
      <c r="J978" s="83"/>
    </row>
    <row r="979" spans="9:10" ht="12.5">
      <c r="I979" s="83"/>
      <c r="J979" s="83"/>
    </row>
    <row r="980" spans="9:10" ht="12.5">
      <c r="I980" s="83"/>
      <c r="J980" s="83"/>
    </row>
    <row r="981" spans="9:10" ht="12.5">
      <c r="I981" s="83"/>
      <c r="J981" s="83"/>
    </row>
    <row r="982" spans="9:10" ht="12.5">
      <c r="I982" s="83"/>
      <c r="J982" s="83"/>
    </row>
    <row r="983" spans="9:10" ht="12.5">
      <c r="I983" s="83"/>
      <c r="J983" s="83"/>
    </row>
    <row r="984" spans="9:10" ht="12.5">
      <c r="I984" s="83"/>
      <c r="J984" s="83"/>
    </row>
    <row r="985" spans="9:10" ht="12.5">
      <c r="I985" s="83"/>
      <c r="J985" s="83"/>
    </row>
    <row r="986" spans="9:10" ht="12.5">
      <c r="I986" s="83"/>
      <c r="J986" s="83"/>
    </row>
    <row r="987" spans="9:10" ht="12.5">
      <c r="I987" s="83"/>
      <c r="J987" s="83"/>
    </row>
    <row r="988" spans="9:10" ht="12.5">
      <c r="I988" s="83"/>
      <c r="J988" s="83"/>
    </row>
    <row r="989" spans="9:10" ht="12.5">
      <c r="I989" s="83"/>
      <c r="J989" s="83"/>
    </row>
    <row r="990" spans="9:10" ht="12.5">
      <c r="I990" s="83"/>
      <c r="J990" s="83"/>
    </row>
    <row r="991" spans="9:10" ht="12.5">
      <c r="I991" s="83"/>
      <c r="J991" s="83"/>
    </row>
    <row r="992" spans="9:10" ht="12.5">
      <c r="I992" s="83"/>
      <c r="J992" s="83"/>
    </row>
    <row r="993" spans="9:10" ht="12.5">
      <c r="I993" s="83"/>
      <c r="J993" s="83"/>
    </row>
    <row r="994" spans="9:10" ht="12.5">
      <c r="I994" s="83"/>
      <c r="J994" s="83"/>
    </row>
    <row r="995" spans="9:10" ht="12.5">
      <c r="I995" s="83"/>
      <c r="J995" s="83"/>
    </row>
    <row r="996" spans="9:10" ht="12.5">
      <c r="I996" s="83"/>
      <c r="J996" s="83"/>
    </row>
    <row r="997" spans="9:10" ht="12.5">
      <c r="I997" s="83"/>
      <c r="J997" s="83"/>
    </row>
    <row r="998" spans="9:10" ht="12.5">
      <c r="I998" s="83"/>
      <c r="J998" s="83"/>
    </row>
    <row r="999" spans="9:10" ht="12.5">
      <c r="I999" s="83"/>
      <c r="J999" s="83"/>
    </row>
    <row r="1000" spans="9:10" ht="12.5">
      <c r="I1000" s="83"/>
      <c r="J1000" s="83"/>
    </row>
  </sheetData>
  <autoFilter ref="A3:L917" xr:uid="{00000000-0009-0000-0000-000006000000}">
    <filterColumn colId="8">
      <filters blank="1"/>
    </filterColumn>
  </autoFilter>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K1000"/>
  <sheetViews>
    <sheetView workbookViewId="0">
      <pane ySplit="3" topLeftCell="A4" activePane="bottomLeft" state="frozen"/>
      <selection pane="bottomLeft" activeCell="B5" sqref="B5"/>
    </sheetView>
  </sheetViews>
  <sheetFormatPr defaultColWidth="14.453125" defaultRowHeight="15.75" customHeight="1"/>
  <cols>
    <col min="1" max="1" width="49" customWidth="1"/>
    <col min="2" max="2" width="6.453125" customWidth="1"/>
    <col min="3" max="3" width="9.7265625" customWidth="1"/>
    <col min="4" max="4" width="7.453125" customWidth="1"/>
    <col min="5" max="5" width="6.7265625" customWidth="1"/>
    <col min="6" max="6" width="36" customWidth="1"/>
    <col min="7" max="7" width="58.7265625" customWidth="1"/>
    <col min="9" max="9" width="24.81640625" customWidth="1"/>
    <col min="10" max="10" width="9.453125" customWidth="1"/>
    <col min="11" max="11" width="5.453125" customWidth="1"/>
  </cols>
  <sheetData>
    <row r="1" spans="1:11" ht="15.75" customHeight="1">
      <c r="A1" s="207" t="s">
        <v>5953</v>
      </c>
      <c r="B1" s="208"/>
      <c r="C1" s="208"/>
      <c r="D1" s="208"/>
      <c r="E1" s="78"/>
      <c r="F1" s="22"/>
      <c r="G1" s="22"/>
      <c r="H1" s="22"/>
      <c r="I1" s="22"/>
      <c r="J1" s="22"/>
      <c r="K1" s="22"/>
    </row>
    <row r="2" spans="1:11" ht="15.75" customHeight="1">
      <c r="A2" s="24"/>
      <c r="B2" s="79"/>
      <c r="C2" s="79"/>
      <c r="D2" s="79"/>
      <c r="E2" s="79"/>
      <c r="F2" s="24"/>
      <c r="G2" s="24"/>
      <c r="H2" s="24"/>
      <c r="I2" s="24"/>
      <c r="J2" s="24"/>
      <c r="K2" s="24"/>
    </row>
    <row r="3" spans="1:11" ht="15.75" customHeight="1">
      <c r="A3" s="25" t="s">
        <v>61</v>
      </c>
      <c r="B3" s="80" t="s">
        <v>62</v>
      </c>
      <c r="C3" s="80" t="s">
        <v>63</v>
      </c>
      <c r="D3" s="80" t="s">
        <v>64</v>
      </c>
      <c r="E3" s="80" t="s">
        <v>65</v>
      </c>
      <c r="F3" s="25" t="s">
        <v>66</v>
      </c>
      <c r="G3" s="1" t="s">
        <v>67</v>
      </c>
      <c r="H3" s="25" t="s">
        <v>3190</v>
      </c>
      <c r="I3" s="25" t="s">
        <v>2000</v>
      </c>
      <c r="J3" s="25" t="s">
        <v>78</v>
      </c>
      <c r="K3" s="25" t="s">
        <v>79</v>
      </c>
    </row>
    <row r="4" spans="1:11" ht="15.75" customHeight="1">
      <c r="A4" s="20" t="s">
        <v>5954</v>
      </c>
      <c r="B4" s="81">
        <v>20</v>
      </c>
      <c r="C4" s="79"/>
      <c r="D4" s="79"/>
      <c r="E4" s="79"/>
      <c r="F4" s="28" t="s">
        <v>5955</v>
      </c>
      <c r="G4" s="24" t="str">
        <f ca="1">IFERROR(__xludf.DUMMYFUNCTION("GOOGLETRANSLATE(F4,""en"",""pt"")"),"espaços de serviço administrativas, comerciais e de proteção")</f>
        <v>espaços de serviço administrativas, comerciais e de proteção</v>
      </c>
      <c r="H4" s="24"/>
      <c r="I4" s="24"/>
      <c r="J4" s="24"/>
      <c r="K4" s="24"/>
    </row>
    <row r="5" spans="1:11" ht="15.75" customHeight="1">
      <c r="A5" s="20" t="s">
        <v>5956</v>
      </c>
      <c r="B5" s="81">
        <v>20</v>
      </c>
      <c r="C5" s="81">
        <v>10</v>
      </c>
      <c r="D5" s="79"/>
      <c r="E5" s="79"/>
      <c r="F5" s="20" t="s">
        <v>5957</v>
      </c>
      <c r="G5" s="24" t="str">
        <f ca="1">IFERROR(__xludf.DUMMYFUNCTION("GOOGLETRANSLATE(F5,""en"",""pt"")"),"espaços legislativos")</f>
        <v>espaços legislativos</v>
      </c>
      <c r="H5" s="24"/>
      <c r="I5" s="24"/>
      <c r="J5" s="24"/>
      <c r="K5" s="24"/>
    </row>
    <row r="6" spans="1:11" ht="15.75" customHeight="1">
      <c r="A6" s="20" t="s">
        <v>5958</v>
      </c>
      <c r="B6" s="81">
        <v>20</v>
      </c>
      <c r="C6" s="81">
        <v>10</v>
      </c>
      <c r="D6" s="81">
        <v>47</v>
      </c>
      <c r="E6" s="79"/>
      <c r="F6" s="20" t="s">
        <v>5959</v>
      </c>
      <c r="G6" s="24" t="str">
        <f ca="1">IFERROR(__xludf.DUMMYFUNCTION("GOOGLETRANSLATE(F6,""en"",""pt"")"),"câmaras legislativas")</f>
        <v>câmaras legislativas</v>
      </c>
      <c r="H6" s="24"/>
      <c r="I6" s="24"/>
      <c r="J6" s="24"/>
      <c r="K6" s="24"/>
    </row>
    <row r="7" spans="1:11" ht="15.75" customHeight="1">
      <c r="A7" s="20" t="s">
        <v>5960</v>
      </c>
      <c r="B7" s="81">
        <v>20</v>
      </c>
      <c r="C7" s="81">
        <v>10</v>
      </c>
      <c r="D7" s="81">
        <v>49</v>
      </c>
      <c r="E7" s="79"/>
      <c r="F7" s="20" t="s">
        <v>5961</v>
      </c>
      <c r="G7" s="24" t="str">
        <f ca="1">IFERROR(__xludf.DUMMYFUNCTION("GOOGLETRANSLATE(F7,""en"",""pt"")"),"galerias legislativas câmara de visionamento")</f>
        <v>galerias legislativas câmara de visionamento</v>
      </c>
      <c r="H7" s="24"/>
      <c r="I7" s="24"/>
      <c r="J7" s="24"/>
      <c r="K7" s="24"/>
    </row>
    <row r="8" spans="1:11" ht="15.75" customHeight="1">
      <c r="A8" s="20" t="s">
        <v>5962</v>
      </c>
      <c r="B8" s="81">
        <v>20</v>
      </c>
      <c r="C8" s="81">
        <v>15</v>
      </c>
      <c r="D8" s="79"/>
      <c r="E8" s="79"/>
      <c r="F8" s="20" t="s">
        <v>5963</v>
      </c>
      <c r="G8" s="24" t="str">
        <f ca="1">IFERROR(__xludf.DUMMYFUNCTION("GOOGLETRANSLATE(F8,""en"",""pt"")"),"espaços administrativos")</f>
        <v>espaços administrativos</v>
      </c>
      <c r="H8" s="24"/>
      <c r="I8" s="24"/>
      <c r="J8" s="24"/>
      <c r="K8" s="24"/>
    </row>
    <row r="9" spans="1:11" ht="15.75" customHeight="1">
      <c r="A9" s="20" t="s">
        <v>5964</v>
      </c>
      <c r="B9" s="81">
        <v>20</v>
      </c>
      <c r="C9" s="81">
        <v>15</v>
      </c>
      <c r="D9" s="81">
        <v>27</v>
      </c>
      <c r="E9" s="79"/>
      <c r="F9" s="20" t="s">
        <v>5965</v>
      </c>
      <c r="G9" s="24" t="str">
        <f ca="1">IFERROR(__xludf.DUMMYFUNCTION("GOOGLETRANSLATE(F9,""en"",""pt"")"),"escritórios fechados")</f>
        <v>escritórios fechados</v>
      </c>
      <c r="H9" s="24"/>
      <c r="I9" s="24"/>
      <c r="J9" s="24"/>
      <c r="K9" s="24"/>
    </row>
    <row r="10" spans="1:11" ht="15.75" customHeight="1">
      <c r="A10" s="20" t="s">
        <v>5966</v>
      </c>
      <c r="B10" s="81">
        <v>20</v>
      </c>
      <c r="C10" s="81">
        <v>15</v>
      </c>
      <c r="D10" s="81">
        <v>50</v>
      </c>
      <c r="E10" s="79"/>
      <c r="F10" s="20" t="s">
        <v>5967</v>
      </c>
      <c r="G10" s="24" t="str">
        <f ca="1">IFERROR(__xludf.DUMMYFUNCTION("GOOGLETRANSLATE(F10,""en"",""pt"")"),"Sala de reuniões")</f>
        <v>Sala de reuniões</v>
      </c>
      <c r="H10" s="24"/>
      <c r="I10" s="24"/>
      <c r="J10" s="24"/>
      <c r="K10" s="24"/>
    </row>
    <row r="11" spans="1:11" ht="15.75" customHeight="1">
      <c r="A11" s="20" t="s">
        <v>5968</v>
      </c>
      <c r="B11" s="81">
        <v>20</v>
      </c>
      <c r="C11" s="81">
        <v>15</v>
      </c>
      <c r="D11" s="81">
        <v>59</v>
      </c>
      <c r="E11" s="79"/>
      <c r="F11" s="20" t="s">
        <v>5969</v>
      </c>
      <c r="G11" s="24" t="str">
        <f ca="1">IFERROR(__xludf.DUMMYFUNCTION("GOOGLETRANSLATE(F11,""en"",""pt"")"),"escritórios")</f>
        <v>escritórios</v>
      </c>
      <c r="H11" s="24"/>
      <c r="I11" s="24"/>
      <c r="J11" s="24"/>
      <c r="K11" s="24"/>
    </row>
    <row r="12" spans="1:11" ht="15.75" customHeight="1">
      <c r="A12" s="20" t="s">
        <v>5970</v>
      </c>
      <c r="B12" s="81">
        <v>20</v>
      </c>
      <c r="C12" s="81">
        <v>15</v>
      </c>
      <c r="D12" s="81">
        <v>61</v>
      </c>
      <c r="E12" s="79"/>
      <c r="F12" s="20" t="s">
        <v>5971</v>
      </c>
      <c r="G12" s="24" t="str">
        <f ca="1">IFERROR(__xludf.DUMMYFUNCTION("GOOGLETRANSLATE(F12,""en"",""pt"")"),"escritórios de plano aberto")</f>
        <v>escritórios de plano aberto</v>
      </c>
      <c r="H12" s="24"/>
      <c r="I12" s="24"/>
      <c r="J12" s="24"/>
      <c r="K12" s="24"/>
    </row>
    <row r="13" spans="1:11" ht="15.75" customHeight="1">
      <c r="A13" s="20" t="s">
        <v>5972</v>
      </c>
      <c r="B13" s="81">
        <v>20</v>
      </c>
      <c r="C13" s="81">
        <v>15</v>
      </c>
      <c r="D13" s="81">
        <v>71</v>
      </c>
      <c r="E13" s="79"/>
      <c r="F13" s="20" t="s">
        <v>5973</v>
      </c>
      <c r="G13" s="24" t="str">
        <f ca="1">IFERROR(__xludf.DUMMYFUNCTION("GOOGLETRANSLATE(F13,""en"",""pt"")"),"áreas de recepção")</f>
        <v>áreas de recepção</v>
      </c>
      <c r="H13" s="24"/>
      <c r="I13" s="24"/>
      <c r="J13" s="24"/>
      <c r="K13" s="24"/>
    </row>
    <row r="14" spans="1:11" ht="15.75" customHeight="1">
      <c r="A14" s="20" t="s">
        <v>5974</v>
      </c>
      <c r="B14" s="81">
        <v>20</v>
      </c>
      <c r="C14" s="81">
        <v>45</v>
      </c>
      <c r="D14" s="79"/>
      <c r="E14" s="79"/>
      <c r="F14" s="20" t="s">
        <v>5975</v>
      </c>
      <c r="G14" s="24" t="str">
        <f ca="1">IFERROR(__xludf.DUMMYFUNCTION("GOOGLETRANSLATE(F14,""en"",""pt"")"),"manutenção de veículos automóveis e espaços de abastecimento")</f>
        <v>manutenção de veículos automóveis e espaços de abastecimento</v>
      </c>
      <c r="H14" s="24"/>
      <c r="I14" s="24"/>
      <c r="J14" s="24"/>
      <c r="K14" s="24"/>
    </row>
    <row r="15" spans="1:11" ht="15.75" customHeight="1">
      <c r="A15" s="20" t="s">
        <v>5976</v>
      </c>
      <c r="B15" s="81">
        <v>20</v>
      </c>
      <c r="C15" s="81">
        <v>45</v>
      </c>
      <c r="D15" s="81">
        <v>27</v>
      </c>
      <c r="E15" s="79"/>
      <c r="F15" s="20" t="s">
        <v>5977</v>
      </c>
      <c r="G15" s="24" t="str">
        <f ca="1">IFERROR(__xludf.DUMMYFUNCTION("GOOGLETRANSLATE(F15,""en"",""pt"")"),"veículo a motor elétrico que carrega pontos")</f>
        <v>veículo a motor elétrico que carrega pontos</v>
      </c>
      <c r="H15" s="24"/>
      <c r="I15" s="24"/>
      <c r="J15" s="24"/>
      <c r="K15" s="24"/>
    </row>
    <row r="16" spans="1:11" ht="15.75" customHeight="1">
      <c r="A16" s="20" t="s">
        <v>5978</v>
      </c>
      <c r="B16" s="81">
        <v>20</v>
      </c>
      <c r="C16" s="81">
        <v>45</v>
      </c>
      <c r="D16" s="81">
        <v>29</v>
      </c>
      <c r="E16" s="79"/>
      <c r="F16" s="20" t="s">
        <v>5979</v>
      </c>
      <c r="G16" s="24" t="str">
        <f ca="1">IFERROR(__xludf.DUMMYFUNCTION("GOOGLETRANSLATE(F16,""en"",""pt"")"),"Os pontos de abastecimento de combustível de ar e de água estação")</f>
        <v>Os pontos de abastecimento de combustível de ar e de água estação</v>
      </c>
      <c r="H16" s="24"/>
      <c r="I16" s="24"/>
      <c r="J16" s="24"/>
      <c r="K16" s="24"/>
    </row>
    <row r="17" spans="1:11" ht="15.75" customHeight="1">
      <c r="A17" s="20" t="s">
        <v>5980</v>
      </c>
      <c r="B17" s="81">
        <v>20</v>
      </c>
      <c r="C17" s="81">
        <v>45</v>
      </c>
      <c r="D17" s="81">
        <v>30</v>
      </c>
      <c r="E17" s="79"/>
      <c r="F17" s="20" t="s">
        <v>5981</v>
      </c>
      <c r="G17" s="24" t="str">
        <f ca="1">IFERROR(__xludf.DUMMYFUNCTION("GOOGLETRANSLATE(F17,""en"",""pt"")"),"Combustível forecourts posto de gasolina")</f>
        <v>Combustível forecourts posto de gasolina</v>
      </c>
      <c r="H17" s="24"/>
      <c r="I17" s="24"/>
      <c r="J17" s="24"/>
      <c r="K17" s="24"/>
    </row>
    <row r="18" spans="1:11" ht="15.75" customHeight="1">
      <c r="A18" s="20" t="s">
        <v>5982</v>
      </c>
      <c r="B18" s="81">
        <v>20</v>
      </c>
      <c r="C18" s="81">
        <v>45</v>
      </c>
      <c r="D18" s="81">
        <v>31</v>
      </c>
      <c r="E18" s="79"/>
      <c r="F18" s="20" t="s">
        <v>5983</v>
      </c>
      <c r="G18" s="24" t="str">
        <f ca="1">IFERROR(__xludf.DUMMYFUNCTION("GOOGLETRANSLATE(F18,""en"",""pt"")"),"áreas de tanques de combustível da estação de enchimento")</f>
        <v>áreas de tanques de combustível da estação de enchimento</v>
      </c>
      <c r="H18" s="24"/>
      <c r="I18" s="24"/>
      <c r="J18" s="24"/>
      <c r="K18" s="24"/>
    </row>
    <row r="19" spans="1:11" ht="15.75" customHeight="1">
      <c r="A19" s="20" t="s">
        <v>5984</v>
      </c>
      <c r="B19" s="81">
        <v>20</v>
      </c>
      <c r="C19" s="81">
        <v>45</v>
      </c>
      <c r="D19" s="81">
        <v>53</v>
      </c>
      <c r="E19" s="79"/>
      <c r="F19" s="20" t="s">
        <v>5985</v>
      </c>
      <c r="G19" s="24" t="str">
        <f ca="1">IFERROR(__xludf.DUMMYFUNCTION("GOOGLETRANSLATE(F19,""en"",""pt"")"),"áreas de manutenção de veículos a motor")</f>
        <v>áreas de manutenção de veículos a motor</v>
      </c>
      <c r="H19" s="24"/>
      <c r="I19" s="24"/>
      <c r="J19" s="24"/>
      <c r="K19" s="24"/>
    </row>
    <row r="20" spans="1:11" ht="15.75" customHeight="1">
      <c r="A20" s="20" t="s">
        <v>5986</v>
      </c>
      <c r="B20" s="81">
        <v>20</v>
      </c>
      <c r="C20" s="81">
        <v>45</v>
      </c>
      <c r="D20" s="81">
        <v>95</v>
      </c>
      <c r="E20" s="79"/>
      <c r="F20" s="20" t="s">
        <v>5987</v>
      </c>
      <c r="G20" s="24" t="str">
        <f ca="1">IFERROR(__xludf.DUMMYFUNCTION("GOOGLETRANSLATE(F20,""en"",""pt"")"),"poços de inspecção de veículos")</f>
        <v>poços de inspecção de veículos</v>
      </c>
      <c r="H20" s="24"/>
      <c r="I20" s="24"/>
      <c r="J20" s="24"/>
      <c r="K20" s="24"/>
    </row>
    <row r="21" spans="1:11" ht="15.75" customHeight="1">
      <c r="A21" s="20" t="s">
        <v>5988</v>
      </c>
      <c r="B21" s="81">
        <v>20</v>
      </c>
      <c r="C21" s="81">
        <v>45</v>
      </c>
      <c r="D21" s="81">
        <v>96</v>
      </c>
      <c r="E21" s="79"/>
      <c r="F21" s="20" t="s">
        <v>5989</v>
      </c>
      <c r="G21" s="24" t="str">
        <f ca="1">IFERROR(__xludf.DUMMYFUNCTION("GOOGLETRANSLATE(F21,""en"",""pt"")"),"áreas de veículos manutenção")</f>
        <v>áreas de veículos manutenção</v>
      </c>
      <c r="H21" s="24"/>
      <c r="I21" s="24"/>
      <c r="J21" s="24"/>
      <c r="K21" s="24"/>
    </row>
    <row r="22" spans="1:11" ht="15.75" customHeight="1">
      <c r="A22" s="20" t="s">
        <v>5990</v>
      </c>
      <c r="B22" s="81">
        <v>20</v>
      </c>
      <c r="C22" s="81">
        <v>50</v>
      </c>
      <c r="D22" s="79"/>
      <c r="E22" s="79"/>
      <c r="F22" s="20" t="s">
        <v>5991</v>
      </c>
      <c r="G22" s="24" t="str">
        <f ca="1">IFERROR(__xludf.DUMMYFUNCTION("GOOGLETRANSLATE(F22,""en"",""pt"")"),"espaços comerciais")</f>
        <v>espaços comerciais</v>
      </c>
      <c r="H22" s="24"/>
      <c r="I22" s="24"/>
      <c r="J22" s="24"/>
      <c r="K22" s="24"/>
    </row>
    <row r="23" spans="1:11" ht="15.75" customHeight="1">
      <c r="A23" s="20" t="s">
        <v>5992</v>
      </c>
      <c r="B23" s="81">
        <v>20</v>
      </c>
      <c r="C23" s="81">
        <v>50</v>
      </c>
      <c r="D23" s="81">
        <v>3</v>
      </c>
      <c r="E23" s="79"/>
      <c r="F23" s="20" t="s">
        <v>5993</v>
      </c>
      <c r="G23" s="24" t="str">
        <f ca="1">IFERROR(__xludf.DUMMYFUNCTION("GOOGLETRANSLATE(F23,""en"",""pt"")"),"espaços atacado ambiente")</f>
        <v>espaços atacado ambiente</v>
      </c>
      <c r="H23" s="24"/>
      <c r="I23" s="24"/>
      <c r="J23" s="24"/>
      <c r="K23" s="24"/>
    </row>
    <row r="24" spans="1:11" ht="15.75" customHeight="1">
      <c r="A24" s="20" t="s">
        <v>5994</v>
      </c>
      <c r="B24" s="81">
        <v>20</v>
      </c>
      <c r="C24" s="81">
        <v>50</v>
      </c>
      <c r="D24" s="81">
        <v>5</v>
      </c>
      <c r="E24" s="79"/>
      <c r="F24" s="20" t="s">
        <v>5995</v>
      </c>
      <c r="G24" s="24" t="str">
        <f ca="1">IFERROR(__xludf.DUMMYFUNCTION("GOOGLETRANSLATE(F24,""en"",""pt"")"),"salas de leilão")</f>
        <v>salas de leilão</v>
      </c>
      <c r="H24" s="24"/>
      <c r="I24" s="24"/>
      <c r="J24" s="24"/>
      <c r="K24" s="24"/>
    </row>
    <row r="25" spans="1:11" ht="15.75" customHeight="1">
      <c r="A25" s="20" t="s">
        <v>5996</v>
      </c>
      <c r="B25" s="81">
        <v>20</v>
      </c>
      <c r="C25" s="81">
        <v>50</v>
      </c>
      <c r="D25" s="81">
        <v>10</v>
      </c>
      <c r="E25" s="79"/>
      <c r="F25" s="20" t="s">
        <v>5997</v>
      </c>
      <c r="G25" s="24" t="str">
        <f ca="1">IFERROR(__xludf.DUMMYFUNCTION("GOOGLETRANSLATE(F25,""en"",""pt"")"),"salões de beleza")</f>
        <v>salões de beleza</v>
      </c>
      <c r="H25" s="24"/>
      <c r="I25" s="24"/>
      <c r="J25" s="24"/>
      <c r="K25" s="24"/>
    </row>
    <row r="26" spans="1:11" ht="15.75" customHeight="1">
      <c r="A26" s="20" t="s">
        <v>5998</v>
      </c>
      <c r="B26" s="81">
        <v>20</v>
      </c>
      <c r="C26" s="81">
        <v>50</v>
      </c>
      <c r="D26" s="81">
        <v>12</v>
      </c>
      <c r="E26" s="79"/>
      <c r="F26" s="20" t="s">
        <v>5999</v>
      </c>
      <c r="G26" s="24" t="str">
        <f ca="1">IFERROR(__xludf.DUMMYFUNCTION("GOOGLETRANSLATE(F26,""en"",""pt"")"),"pontos de verificação geral")</f>
        <v>pontos de verificação geral</v>
      </c>
      <c r="H26" s="24"/>
      <c r="I26" s="24"/>
      <c r="J26" s="24"/>
      <c r="K26" s="24"/>
    </row>
    <row r="27" spans="1:11" ht="15.75" customHeight="1">
      <c r="A27" s="20" t="s">
        <v>6000</v>
      </c>
      <c r="B27" s="81">
        <v>20</v>
      </c>
      <c r="C27" s="81">
        <v>50</v>
      </c>
      <c r="D27" s="81">
        <v>22</v>
      </c>
      <c r="E27" s="79"/>
      <c r="F27" s="20" t="s">
        <v>6001</v>
      </c>
      <c r="G27" s="24" t="str">
        <f ca="1">IFERROR(__xludf.DUMMYFUNCTION("GOOGLETRANSLATE(F27,""en"",""pt"")"),"Departamento de pisos loja de loja")</f>
        <v>Departamento de pisos loja de loja</v>
      </c>
      <c r="H27" s="24"/>
      <c r="I27" s="24"/>
      <c r="J27" s="24"/>
      <c r="K27" s="24"/>
    </row>
    <row r="28" spans="1:11" ht="15.75" customHeight="1">
      <c r="A28" s="20" t="s">
        <v>6002</v>
      </c>
      <c r="B28" s="81">
        <v>20</v>
      </c>
      <c r="C28" s="81">
        <v>50</v>
      </c>
      <c r="D28" s="81">
        <v>29</v>
      </c>
      <c r="E28" s="79"/>
      <c r="F28" s="20" t="s">
        <v>6003</v>
      </c>
      <c r="G28" s="24" t="str">
        <f ca="1">IFERROR(__xludf.DUMMYFUNCTION("GOOGLETRANSLATE(F28,""en"",""pt"")"),"tomadas de serviços financeiros e profissionais")</f>
        <v>tomadas de serviços financeiros e profissionais</v>
      </c>
      <c r="H28" s="24"/>
      <c r="I28" s="24"/>
      <c r="J28" s="24"/>
      <c r="K28" s="24"/>
    </row>
    <row r="29" spans="1:11" ht="15.75" customHeight="1">
      <c r="A29" s="20" t="s">
        <v>6004</v>
      </c>
      <c r="B29" s="81">
        <v>20</v>
      </c>
      <c r="C29" s="81">
        <v>50</v>
      </c>
      <c r="D29" s="81">
        <v>30</v>
      </c>
      <c r="E29" s="79"/>
      <c r="F29" s="20" t="s">
        <v>6005</v>
      </c>
      <c r="G29" s="24" t="str">
        <f ca="1">IFERROR(__xludf.DUMMYFUNCTION("GOOGLETRANSLATE(F29,""en"",""pt"")"),"Provadores")</f>
        <v>Provadores</v>
      </c>
      <c r="H29" s="24"/>
      <c r="I29" s="24"/>
      <c r="J29" s="24"/>
      <c r="K29" s="24"/>
    </row>
    <row r="30" spans="1:11" ht="15.75" customHeight="1">
      <c r="A30" s="20" t="s">
        <v>6006</v>
      </c>
      <c r="B30" s="81">
        <v>20</v>
      </c>
      <c r="C30" s="81">
        <v>50</v>
      </c>
      <c r="D30" s="81">
        <v>32</v>
      </c>
      <c r="E30" s="79"/>
      <c r="F30" s="20" t="s">
        <v>6007</v>
      </c>
      <c r="G30" s="24" t="str">
        <f ca="1">IFERROR(__xludf.DUMMYFUNCTION("GOOGLETRANSLATE(F30,""en"",""pt"")"),"estabelecimentos de comida e bebida")</f>
        <v>estabelecimentos de comida e bebida</v>
      </c>
      <c r="H30" s="24"/>
      <c r="I30" s="24"/>
      <c r="J30" s="24"/>
      <c r="K30" s="24"/>
    </row>
    <row r="31" spans="1:11" ht="15.75" customHeight="1">
      <c r="A31" s="20" t="s">
        <v>6008</v>
      </c>
      <c r="B31" s="81">
        <v>20</v>
      </c>
      <c r="C31" s="81">
        <v>50</v>
      </c>
      <c r="D31" s="81">
        <v>36</v>
      </c>
      <c r="E31" s="79"/>
      <c r="F31" s="20" t="s">
        <v>6009</v>
      </c>
      <c r="G31" s="24" t="str">
        <f ca="1">IFERROR(__xludf.DUMMYFUNCTION("GOOGLETRANSLATE(F31,""en"",""pt"")"),"Cabelo e salões de beleza")</f>
        <v>Cabelo e salões de beleza</v>
      </c>
      <c r="H31" s="24"/>
      <c r="I31" s="24"/>
      <c r="J31" s="24"/>
      <c r="K31" s="24"/>
    </row>
    <row r="32" spans="1:11" ht="15.75" customHeight="1">
      <c r="A32" s="20" t="s">
        <v>6010</v>
      </c>
      <c r="B32" s="81">
        <v>20</v>
      </c>
      <c r="C32" s="81">
        <v>50</v>
      </c>
      <c r="D32" s="81">
        <v>37</v>
      </c>
      <c r="E32" s="79"/>
      <c r="F32" s="20" t="s">
        <v>6011</v>
      </c>
      <c r="G32" s="24" t="str">
        <f ca="1">IFERROR(__xludf.DUMMYFUNCTION("GOOGLETRANSLATE(F32,""en"",""pt"")"),"Os cabeleireiros")</f>
        <v>Os cabeleireiros</v>
      </c>
      <c r="H32" s="24"/>
      <c r="I32" s="24"/>
      <c r="J32" s="24"/>
      <c r="K32" s="24"/>
    </row>
    <row r="33" spans="1:11" ht="15.75" customHeight="1">
      <c r="A33" s="20" t="s">
        <v>6012</v>
      </c>
      <c r="B33" s="81">
        <v>20</v>
      </c>
      <c r="C33" s="81">
        <v>50</v>
      </c>
      <c r="D33" s="81">
        <v>47</v>
      </c>
      <c r="E33" s="79"/>
      <c r="F33" s="20" t="s">
        <v>6013</v>
      </c>
      <c r="G33" s="24" t="str">
        <f ca="1">IFERROR(__xludf.DUMMYFUNCTION("GOOGLETRANSLATE(F33,""en"",""pt"")"),"salas de leilão de gado")</f>
        <v>salas de leilão de gado</v>
      </c>
      <c r="H33" s="24"/>
      <c r="I33" s="24"/>
      <c r="J33" s="24"/>
      <c r="K33" s="24"/>
    </row>
    <row r="34" spans="1:11" ht="15.75" customHeight="1">
      <c r="A34" s="20" t="s">
        <v>6014</v>
      </c>
      <c r="B34" s="81">
        <v>20</v>
      </c>
      <c r="C34" s="81">
        <v>50</v>
      </c>
      <c r="D34" s="81">
        <v>51</v>
      </c>
      <c r="E34" s="79"/>
      <c r="F34" s="20" t="s">
        <v>6015</v>
      </c>
      <c r="G34" s="24" t="str">
        <f ca="1">IFERROR(__xludf.DUMMYFUNCTION("GOOGLETRANSLATE(F34,""en"",""pt"")"),"bancas do mercado")</f>
        <v>bancas do mercado</v>
      </c>
      <c r="H34" s="24"/>
      <c r="I34" s="24"/>
      <c r="J34" s="24"/>
      <c r="K34" s="24"/>
    </row>
    <row r="35" spans="1:11" ht="15.75" customHeight="1">
      <c r="A35" s="20" t="s">
        <v>6016</v>
      </c>
      <c r="B35" s="81">
        <v>20</v>
      </c>
      <c r="C35" s="81">
        <v>50</v>
      </c>
      <c r="D35" s="81">
        <v>55</v>
      </c>
      <c r="E35" s="79"/>
      <c r="F35" s="20" t="s">
        <v>6017</v>
      </c>
      <c r="G35" s="24" t="str">
        <f ca="1">IFERROR(__xludf.DUMMYFUNCTION("GOOGLETRANSLATE(F35,""en"",""pt"")"),"showrooms de veículos a motor")</f>
        <v>showrooms de veículos a motor</v>
      </c>
      <c r="H35" s="24"/>
      <c r="I35" s="24"/>
      <c r="J35" s="24"/>
      <c r="K35" s="24"/>
    </row>
    <row r="36" spans="1:11" ht="15.75" customHeight="1">
      <c r="A36" s="20" t="s">
        <v>6018</v>
      </c>
      <c r="B36" s="81">
        <v>20</v>
      </c>
      <c r="C36" s="81">
        <v>50</v>
      </c>
      <c r="D36" s="81">
        <v>70</v>
      </c>
      <c r="E36" s="79"/>
      <c r="F36" s="20" t="s">
        <v>6019</v>
      </c>
      <c r="G36" s="24" t="str">
        <f ca="1">IFERROR(__xludf.DUMMYFUNCTION("GOOGLETRANSLATE(F36,""en"",""pt"")"),"espaços atacado refrigerados")</f>
        <v>espaços atacado refrigerados</v>
      </c>
      <c r="H36" s="24"/>
      <c r="I36" s="24"/>
      <c r="J36" s="24"/>
      <c r="K36" s="24"/>
    </row>
    <row r="37" spans="1:11" ht="15.75" customHeight="1">
      <c r="A37" s="20" t="s">
        <v>6020</v>
      </c>
      <c r="B37" s="81">
        <v>20</v>
      </c>
      <c r="C37" s="81">
        <v>50</v>
      </c>
      <c r="D37" s="81">
        <v>72</v>
      </c>
      <c r="E37" s="79"/>
      <c r="F37" s="20" t="s">
        <v>6021</v>
      </c>
      <c r="G37" s="24" t="str">
        <f ca="1">IFERROR(__xludf.DUMMYFUNCTION("GOOGLETRANSLATE(F37,""en"",""pt"")"),"quiosques de varejo")</f>
        <v>quiosques de varejo</v>
      </c>
      <c r="H37" s="24"/>
      <c r="I37" s="24"/>
      <c r="J37" s="24"/>
      <c r="K37" s="24"/>
    </row>
    <row r="38" spans="1:11" ht="15.75" customHeight="1">
      <c r="A38" s="20" t="s">
        <v>6022</v>
      </c>
      <c r="B38" s="81">
        <v>20</v>
      </c>
      <c r="C38" s="81">
        <v>50</v>
      </c>
      <c r="D38" s="81">
        <v>85</v>
      </c>
      <c r="E38" s="79"/>
      <c r="F38" s="20" t="s">
        <v>6023</v>
      </c>
      <c r="G38" s="24" t="str">
        <f ca="1">IFERROR(__xludf.DUMMYFUNCTION("GOOGLETRANSLATE(F38,""en"",""pt"")"),"Supermercado pisos de loja")</f>
        <v>Supermercado pisos de loja</v>
      </c>
      <c r="H38" s="24"/>
      <c r="I38" s="24"/>
      <c r="J38" s="24"/>
      <c r="K38" s="24"/>
    </row>
    <row r="39" spans="1:11" ht="14.5">
      <c r="A39" s="20" t="s">
        <v>6024</v>
      </c>
      <c r="B39" s="81">
        <v>20</v>
      </c>
      <c r="C39" s="81">
        <v>50</v>
      </c>
      <c r="D39" s="81">
        <v>86</v>
      </c>
      <c r="E39" s="79"/>
      <c r="F39" s="20" t="s">
        <v>6025</v>
      </c>
      <c r="G39" s="24" t="str">
        <f ca="1">IFERROR(__xludf.DUMMYFUNCTION("GOOGLETRANSLATE(F39,""en"",""pt"")"),"Tan das cabines de pulverizador")</f>
        <v>Tan das cabines de pulverizador</v>
      </c>
      <c r="H39" s="24"/>
      <c r="I39" s="24"/>
      <c r="J39" s="24"/>
      <c r="K39" s="24"/>
    </row>
    <row r="40" spans="1:11" ht="14.5">
      <c r="A40" s="20" t="s">
        <v>6026</v>
      </c>
      <c r="B40" s="81">
        <v>20</v>
      </c>
      <c r="C40" s="81">
        <v>50</v>
      </c>
      <c r="D40" s="81">
        <v>87</v>
      </c>
      <c r="E40" s="79"/>
      <c r="F40" s="20" t="s">
        <v>6027</v>
      </c>
      <c r="G40" s="24" t="str">
        <f ca="1">IFERROR(__xludf.DUMMYFUNCTION("GOOGLETRANSLATE(F40,""en"",""pt"")"),"Tatuagem e piercing salões")</f>
        <v>Tatuagem e piercing salões</v>
      </c>
      <c r="H40" s="24"/>
      <c r="I40" s="24"/>
      <c r="J40" s="24"/>
      <c r="K40" s="24"/>
    </row>
    <row r="41" spans="1:11" ht="14.5">
      <c r="A41" s="20" t="s">
        <v>6028</v>
      </c>
      <c r="B41" s="81">
        <v>20</v>
      </c>
      <c r="C41" s="81">
        <v>50</v>
      </c>
      <c r="D41" s="81">
        <v>96</v>
      </c>
      <c r="E41" s="79"/>
      <c r="F41" s="20" t="s">
        <v>6029</v>
      </c>
      <c r="G41" s="24" t="str">
        <f ca="1">IFERROR(__xludf.DUMMYFUNCTION("GOOGLETRANSLATE(F41,""en"",""pt"")"),"Desperdícios e resíduos jardas")</f>
        <v>Desperdícios e resíduos jardas</v>
      </c>
      <c r="H41" s="24"/>
      <c r="I41" s="24"/>
      <c r="J41" s="24"/>
      <c r="K41" s="24"/>
    </row>
    <row r="42" spans="1:11" ht="14.5">
      <c r="A42" s="20" t="s">
        <v>6030</v>
      </c>
      <c r="B42" s="81">
        <v>20</v>
      </c>
      <c r="C42" s="81">
        <v>55</v>
      </c>
      <c r="D42" s="79"/>
      <c r="E42" s="79"/>
      <c r="F42" s="20" t="s">
        <v>6031</v>
      </c>
      <c r="G42" s="24" t="str">
        <f ca="1">IFERROR(__xludf.DUMMYFUNCTION("GOOGLETRANSLATE(F42,""en"",""pt"")"),"espaços comunicações postais")</f>
        <v>espaços comunicações postais</v>
      </c>
      <c r="H42" s="24"/>
      <c r="I42" s="24"/>
      <c r="J42" s="24"/>
      <c r="K42" s="24"/>
    </row>
    <row r="43" spans="1:11" ht="14.5">
      <c r="A43" s="20" t="s">
        <v>6032</v>
      </c>
      <c r="B43" s="81">
        <v>20</v>
      </c>
      <c r="C43" s="81">
        <v>55</v>
      </c>
      <c r="D43" s="81">
        <v>45</v>
      </c>
      <c r="E43" s="79"/>
      <c r="F43" s="20" t="s">
        <v>6033</v>
      </c>
      <c r="G43" s="24" t="str">
        <f ca="1">IFERROR(__xludf.DUMMYFUNCTION("GOOGLETRANSLATE(F43,""en"",""pt"")"),"escritórios carta de classificação")</f>
        <v>escritórios carta de classificação</v>
      </c>
      <c r="H43" s="24"/>
      <c r="I43" s="24"/>
      <c r="J43" s="24"/>
      <c r="K43" s="24"/>
    </row>
    <row r="44" spans="1:11" ht="14.5">
      <c r="A44" s="20" t="s">
        <v>6034</v>
      </c>
      <c r="B44" s="81">
        <v>20</v>
      </c>
      <c r="C44" s="81">
        <v>55</v>
      </c>
      <c r="D44" s="81">
        <v>50</v>
      </c>
      <c r="E44" s="79"/>
      <c r="F44" s="20" t="s">
        <v>6035</v>
      </c>
      <c r="G44" s="24" t="str">
        <f ca="1">IFERROR(__xludf.DUMMYFUNCTION("GOOGLETRANSLATE(F44,""en"",""pt"")"),"classificação da ordem de correio e as instalações de despacho")</f>
        <v>classificação da ordem de correio e as instalações de despacho</v>
      </c>
      <c r="H44" s="24"/>
      <c r="I44" s="24"/>
      <c r="J44" s="24"/>
      <c r="K44" s="24"/>
    </row>
    <row r="45" spans="1:11" ht="14.5">
      <c r="A45" s="20" t="s">
        <v>6036</v>
      </c>
      <c r="B45" s="81">
        <v>20</v>
      </c>
      <c r="C45" s="81">
        <v>55</v>
      </c>
      <c r="D45" s="81">
        <v>60</v>
      </c>
      <c r="E45" s="79"/>
      <c r="F45" s="20" t="s">
        <v>6037</v>
      </c>
      <c r="G45" s="24" t="str">
        <f ca="1">IFERROR(__xludf.DUMMYFUNCTION("GOOGLETRANSLATE(F45,""en"",""pt"")"),"escritórios de encomendas classificação")</f>
        <v>escritórios de encomendas classificação</v>
      </c>
      <c r="H45" s="24"/>
      <c r="I45" s="24"/>
      <c r="J45" s="24"/>
      <c r="K45" s="24"/>
    </row>
    <row r="46" spans="1:11" ht="14.5">
      <c r="A46" s="20" t="s">
        <v>6038</v>
      </c>
      <c r="B46" s="81">
        <v>20</v>
      </c>
      <c r="C46" s="81">
        <v>55</v>
      </c>
      <c r="D46" s="81">
        <v>65</v>
      </c>
      <c r="E46" s="79"/>
      <c r="F46" s="20" t="s">
        <v>6039</v>
      </c>
      <c r="G46" s="24" t="str">
        <f ca="1">IFERROR(__xludf.DUMMYFUNCTION("GOOGLETRANSLATE(F46,""en"",""pt"")"),"salas de pós")</f>
        <v>salas de pós</v>
      </c>
      <c r="H46" s="24"/>
      <c r="I46" s="24"/>
      <c r="J46" s="24"/>
      <c r="K46" s="24"/>
    </row>
    <row r="47" spans="1:11" ht="14.5">
      <c r="A47" s="20" t="s">
        <v>6040</v>
      </c>
      <c r="B47" s="81">
        <v>20</v>
      </c>
      <c r="C47" s="81">
        <v>60</v>
      </c>
      <c r="D47" s="79"/>
      <c r="E47" s="79"/>
      <c r="F47" s="20" t="s">
        <v>6041</v>
      </c>
      <c r="G47" s="24" t="str">
        <f ca="1">IFERROR(__xludf.DUMMYFUNCTION("GOOGLETRANSLATE(F47,""en"",""pt"")"),"espaços de proteção militares")</f>
        <v>espaços de proteção militares</v>
      </c>
      <c r="H47" s="24"/>
      <c r="I47" s="24"/>
      <c r="J47" s="24"/>
      <c r="K47" s="24"/>
    </row>
    <row r="48" spans="1:11" ht="14.5">
      <c r="A48" s="20" t="s">
        <v>6042</v>
      </c>
      <c r="B48" s="81">
        <v>20</v>
      </c>
      <c r="C48" s="81">
        <v>60</v>
      </c>
      <c r="D48" s="81">
        <v>8</v>
      </c>
      <c r="E48" s="79"/>
      <c r="F48" s="20" t="s">
        <v>6043</v>
      </c>
      <c r="G48" s="24" t="str">
        <f ca="1">IFERROR(__xludf.DUMMYFUNCTION("GOOGLETRANSLATE(F48,""en"",""pt"")"),"abrigos bombardeio")</f>
        <v>abrigos bombardeio</v>
      </c>
      <c r="H48" s="24"/>
      <c r="I48" s="24"/>
      <c r="J48" s="24"/>
      <c r="K48" s="24"/>
    </row>
    <row r="49" spans="1:11" ht="14.5">
      <c r="A49" s="20" t="s">
        <v>6044</v>
      </c>
      <c r="B49" s="81">
        <v>20</v>
      </c>
      <c r="C49" s="81">
        <v>60</v>
      </c>
      <c r="D49" s="81">
        <v>27</v>
      </c>
      <c r="E49" s="79"/>
      <c r="F49" s="20" t="s">
        <v>6045</v>
      </c>
      <c r="G49" s="24" t="str">
        <f ca="1">IFERROR(__xludf.DUMMYFUNCTION("GOOGLETRANSLATE(F49,""en"",""pt"")"),"abrigos de emergência")</f>
        <v>abrigos de emergência</v>
      </c>
      <c r="H49" s="24"/>
      <c r="I49" s="24"/>
      <c r="J49" s="24"/>
      <c r="K49" s="24"/>
    </row>
    <row r="50" spans="1:11" ht="14.5">
      <c r="A50" s="20" t="s">
        <v>6046</v>
      </c>
      <c r="B50" s="81">
        <v>20</v>
      </c>
      <c r="C50" s="81">
        <v>60</v>
      </c>
      <c r="D50" s="81">
        <v>70</v>
      </c>
      <c r="E50" s="79"/>
      <c r="F50" s="20" t="s">
        <v>6047</v>
      </c>
      <c r="G50" s="24" t="str">
        <f ca="1">IFERROR(__xludf.DUMMYFUNCTION("GOOGLETRANSLATE(F50,""en"",""pt"")"),"abrigos de proteção de radiação")</f>
        <v>abrigos de proteção de radiação</v>
      </c>
      <c r="H50" s="24"/>
      <c r="I50" s="24"/>
      <c r="J50" s="24"/>
      <c r="K50" s="24"/>
    </row>
    <row r="51" spans="1:11" ht="14.5">
      <c r="A51" s="20" t="s">
        <v>6048</v>
      </c>
      <c r="B51" s="81">
        <v>20</v>
      </c>
      <c r="C51" s="81">
        <v>60</v>
      </c>
      <c r="D51" s="81">
        <v>98</v>
      </c>
      <c r="E51" s="79"/>
      <c r="F51" s="20" t="s">
        <v>6049</v>
      </c>
      <c r="G51" s="24" t="str">
        <f ca="1">IFERROR(__xludf.DUMMYFUNCTION("GOOGLETRANSLATE(F51,""en"",""pt"")"),"centros de emergência de guerra")</f>
        <v>centros de emergência de guerra</v>
      </c>
      <c r="H51" s="24"/>
      <c r="I51" s="24"/>
      <c r="J51" s="24"/>
      <c r="K51" s="24"/>
    </row>
    <row r="52" spans="1:11" ht="14.5">
      <c r="A52" s="20" t="s">
        <v>6050</v>
      </c>
      <c r="B52" s="81">
        <v>20</v>
      </c>
      <c r="C52" s="81">
        <v>62</v>
      </c>
      <c r="D52" s="79"/>
      <c r="E52" s="79"/>
      <c r="F52" s="20" t="s">
        <v>6051</v>
      </c>
      <c r="G52" s="24" t="str">
        <f ca="1">IFERROR(__xludf.DUMMYFUNCTION("GOOGLETRANSLATE(F52,""en"",""pt"")"),"espaços Parade")</f>
        <v>espaços Parade</v>
      </c>
      <c r="H52" s="24"/>
      <c r="I52" s="24"/>
      <c r="J52" s="24"/>
      <c r="K52" s="24"/>
    </row>
    <row r="53" spans="1:11" ht="14.5">
      <c r="A53" s="20" t="s">
        <v>6052</v>
      </c>
      <c r="B53" s="81">
        <v>20</v>
      </c>
      <c r="C53" s="81">
        <v>62</v>
      </c>
      <c r="D53" s="81">
        <v>65</v>
      </c>
      <c r="E53" s="79"/>
      <c r="F53" s="20" t="s">
        <v>6053</v>
      </c>
      <c r="G53" s="24" t="str">
        <f ca="1">IFERROR(__xludf.DUMMYFUNCTION("GOOGLETRANSLATE(F53,""en"",""pt"")"),"terras de parada")</f>
        <v>terras de parada</v>
      </c>
      <c r="H53" s="24"/>
      <c r="I53" s="24"/>
      <c r="J53" s="24"/>
      <c r="K53" s="24"/>
    </row>
    <row r="54" spans="1:11" ht="14.5">
      <c r="A54" s="20" t="s">
        <v>6054</v>
      </c>
      <c r="B54" s="81">
        <v>20</v>
      </c>
      <c r="C54" s="81">
        <v>65</v>
      </c>
      <c r="D54" s="79"/>
      <c r="E54" s="79"/>
      <c r="F54" s="20" t="s">
        <v>6055</v>
      </c>
      <c r="G54" s="24" t="str">
        <f ca="1">IFERROR(__xludf.DUMMYFUNCTION("GOOGLETRANSLATE(F54,""en"",""pt"")"),"espaços aplicação da lei")</f>
        <v>espaços aplicação da lei</v>
      </c>
      <c r="H54" s="24"/>
      <c r="I54" s="24"/>
      <c r="J54" s="24"/>
      <c r="K54" s="24"/>
    </row>
    <row r="55" spans="1:11" ht="14.5">
      <c r="A55" s="20" t="s">
        <v>6056</v>
      </c>
      <c r="B55" s="81">
        <v>20</v>
      </c>
      <c r="C55" s="81">
        <v>65</v>
      </c>
      <c r="D55" s="81">
        <v>15</v>
      </c>
      <c r="E55" s="79"/>
      <c r="F55" s="20" t="s">
        <v>6057</v>
      </c>
      <c r="G55" s="24" t="str">
        <f ca="1">IFERROR(__xludf.DUMMYFUNCTION("GOOGLETRANSLATE(F55,""en"",""pt"")"),"espaços de comando e controle")</f>
        <v>espaços de comando e controle</v>
      </c>
      <c r="H55" s="24"/>
      <c r="I55" s="24"/>
      <c r="J55" s="24"/>
      <c r="K55" s="24"/>
    </row>
    <row r="56" spans="1:11" ht="14.5">
      <c r="A56" s="20" t="s">
        <v>6058</v>
      </c>
      <c r="B56" s="81">
        <v>20</v>
      </c>
      <c r="C56" s="81">
        <v>65</v>
      </c>
      <c r="D56" s="81">
        <v>28</v>
      </c>
      <c r="E56" s="79"/>
      <c r="F56" s="20" t="s">
        <v>6059</v>
      </c>
      <c r="G56" s="24" t="str">
        <f ca="1">IFERROR(__xludf.DUMMYFUNCTION("GOOGLETRANSLATE(F56,""en"",""pt"")"),"salas de exame")</f>
        <v>salas de exame</v>
      </c>
      <c r="H56" s="24"/>
      <c r="I56" s="24"/>
      <c r="J56" s="24"/>
      <c r="K56" s="24"/>
    </row>
    <row r="57" spans="1:11" ht="14.5">
      <c r="A57" s="20" t="s">
        <v>6060</v>
      </c>
      <c r="B57" s="81">
        <v>20</v>
      </c>
      <c r="C57" s="81">
        <v>65</v>
      </c>
      <c r="D57" s="81">
        <v>39</v>
      </c>
      <c r="E57" s="79"/>
      <c r="F57" s="20" t="s">
        <v>6061</v>
      </c>
      <c r="G57" s="24" t="str">
        <f ca="1">IFERROR(__xludf.DUMMYFUNCTION("GOOGLETRANSLATE(F57,""en"",""pt"")"),"salas de controle de identificação")</f>
        <v>salas de controle de identificação</v>
      </c>
      <c r="H57" s="24"/>
      <c r="I57" s="24"/>
      <c r="J57" s="24"/>
      <c r="K57" s="24"/>
    </row>
    <row r="58" spans="1:11" ht="14.5">
      <c r="A58" s="20" t="s">
        <v>6062</v>
      </c>
      <c r="B58" s="81">
        <v>20</v>
      </c>
      <c r="C58" s="81">
        <v>65</v>
      </c>
      <c r="D58" s="81">
        <v>40</v>
      </c>
      <c r="E58" s="79"/>
      <c r="F58" s="20" t="s">
        <v>6063</v>
      </c>
      <c r="G58" s="24" t="str">
        <f ca="1">IFERROR(__xludf.DUMMYFUNCTION("GOOGLETRANSLATE(F58,""en"",""pt"")"),"suites de identificação")</f>
        <v>suites de identificação</v>
      </c>
      <c r="H58" s="24"/>
      <c r="I58" s="24"/>
      <c r="J58" s="24"/>
      <c r="K58" s="24"/>
    </row>
    <row r="59" spans="1:11" ht="14.5">
      <c r="A59" s="20" t="s">
        <v>6064</v>
      </c>
      <c r="B59" s="81">
        <v>20</v>
      </c>
      <c r="C59" s="81">
        <v>65</v>
      </c>
      <c r="D59" s="81">
        <v>41</v>
      </c>
      <c r="E59" s="79"/>
      <c r="F59" s="20" t="s">
        <v>6065</v>
      </c>
      <c r="G59" s="24" t="str">
        <f ca="1">IFERROR(__xludf.DUMMYFUNCTION("GOOGLETRANSLATE(F59,""en"",""pt"")"),"quartos de monitoramento entrevista")</f>
        <v>quartos de monitoramento entrevista</v>
      </c>
      <c r="H59" s="24"/>
      <c r="I59" s="24"/>
      <c r="J59" s="24"/>
      <c r="K59" s="24"/>
    </row>
    <row r="60" spans="1:11" ht="14.5">
      <c r="A60" s="20" t="s">
        <v>6066</v>
      </c>
      <c r="B60" s="81">
        <v>20</v>
      </c>
      <c r="C60" s="81">
        <v>65</v>
      </c>
      <c r="D60" s="81">
        <v>42</v>
      </c>
      <c r="E60" s="79"/>
      <c r="F60" s="20" t="s">
        <v>6067</v>
      </c>
      <c r="G60" s="24" t="str">
        <f ca="1">IFERROR(__xludf.DUMMYFUNCTION("GOOGLETRANSLATE(F60,""en"",""pt"")"),"salas de entrevista")</f>
        <v>salas de entrevista</v>
      </c>
      <c r="H60" s="24"/>
      <c r="I60" s="24"/>
      <c r="J60" s="24"/>
      <c r="K60" s="24"/>
    </row>
    <row r="61" spans="1:11" ht="14.5">
      <c r="A61" s="20" t="s">
        <v>6068</v>
      </c>
      <c r="B61" s="81">
        <v>20</v>
      </c>
      <c r="C61" s="81">
        <v>65</v>
      </c>
      <c r="D61" s="81">
        <v>65</v>
      </c>
      <c r="E61" s="79"/>
      <c r="F61" s="20" t="s">
        <v>6069</v>
      </c>
      <c r="G61" s="24" t="str">
        <f ca="1">IFERROR(__xludf.DUMMYFUNCTION("GOOGLETRANSLATE(F61,""en"",""pt"")"),"caixas de polícia")</f>
        <v>caixas de polícia</v>
      </c>
      <c r="H61" s="24"/>
      <c r="I61" s="24"/>
      <c r="J61" s="24"/>
      <c r="K61" s="24"/>
    </row>
    <row r="62" spans="1:11" ht="14.5">
      <c r="A62" s="20" t="s">
        <v>6070</v>
      </c>
      <c r="B62" s="81">
        <v>20</v>
      </c>
      <c r="C62" s="81">
        <v>70</v>
      </c>
      <c r="D62" s="79"/>
      <c r="E62" s="79"/>
      <c r="F62" s="20" t="s">
        <v>6071</v>
      </c>
      <c r="G62" s="24" t="str">
        <f ca="1">IFERROR(__xludf.DUMMYFUNCTION("GOOGLETRANSLATE(F62,""en"",""pt"")"),"espaços judiciais")</f>
        <v>espaços judiciais</v>
      </c>
      <c r="H62" s="24"/>
      <c r="I62" s="24"/>
      <c r="J62" s="24"/>
      <c r="K62" s="24"/>
    </row>
    <row r="63" spans="1:11" ht="14.5">
      <c r="A63" s="20" t="s">
        <v>6072</v>
      </c>
      <c r="B63" s="81">
        <v>20</v>
      </c>
      <c r="C63" s="81">
        <v>70</v>
      </c>
      <c r="D63" s="81">
        <v>15</v>
      </c>
      <c r="E63" s="79"/>
      <c r="F63" s="20" t="s">
        <v>6073</v>
      </c>
      <c r="G63" s="24" t="str">
        <f ca="1">IFERROR(__xludf.DUMMYFUNCTION("GOOGLETRANSLATE(F63,""en"",""pt"")"),"salas de audiência")</f>
        <v>salas de audiência</v>
      </c>
      <c r="H63" s="24"/>
      <c r="I63" s="24"/>
      <c r="J63" s="24"/>
      <c r="K63" s="24"/>
    </row>
    <row r="64" spans="1:11" ht="14.5">
      <c r="A64" s="20" t="s">
        <v>6074</v>
      </c>
      <c r="B64" s="81">
        <v>20</v>
      </c>
      <c r="C64" s="81">
        <v>70</v>
      </c>
      <c r="D64" s="81">
        <v>18</v>
      </c>
      <c r="E64" s="79"/>
      <c r="F64" s="20" t="s">
        <v>6075</v>
      </c>
      <c r="G64" s="24" t="str">
        <f ca="1">IFERROR(__xludf.DUMMYFUNCTION("GOOGLETRANSLATE(F64,""en"",""pt"")"),"galerias de visualização sala do tribunal")</f>
        <v>galerias de visualização sala do tribunal</v>
      </c>
      <c r="H64" s="24"/>
      <c r="I64" s="24"/>
      <c r="J64" s="24"/>
      <c r="K64" s="24"/>
    </row>
    <row r="65" spans="1:11" ht="14.5">
      <c r="A65" s="20" t="s">
        <v>6076</v>
      </c>
      <c r="B65" s="81">
        <v>20</v>
      </c>
      <c r="C65" s="81">
        <v>70</v>
      </c>
      <c r="D65" s="81">
        <v>23</v>
      </c>
      <c r="E65" s="79"/>
      <c r="F65" s="20" t="s">
        <v>6077</v>
      </c>
      <c r="G65" s="24" t="str">
        <f ca="1">IFERROR(__xludf.DUMMYFUNCTION("GOOGLETRANSLATE(F65,""en"",""pt"")"),"docas réu")</f>
        <v>docas réu</v>
      </c>
      <c r="H65" s="24"/>
      <c r="I65" s="24"/>
      <c r="J65" s="24"/>
      <c r="K65" s="24"/>
    </row>
    <row r="66" spans="1:11" ht="14.5">
      <c r="A66" s="20" t="s">
        <v>6078</v>
      </c>
      <c r="B66" s="81">
        <v>20</v>
      </c>
      <c r="C66" s="81">
        <v>70</v>
      </c>
      <c r="D66" s="81">
        <v>28</v>
      </c>
      <c r="E66" s="79"/>
      <c r="F66" s="20" t="s">
        <v>6079</v>
      </c>
      <c r="G66" s="24" t="str">
        <f ca="1">IFERROR(__xludf.DUMMYFUNCTION("GOOGLETRANSLATE(F66,""en"",""pt"")"),"salas de provas")</f>
        <v>salas de provas</v>
      </c>
      <c r="H66" s="24"/>
      <c r="I66" s="24"/>
      <c r="J66" s="24"/>
      <c r="K66" s="24"/>
    </row>
    <row r="67" spans="1:11" ht="14.5">
      <c r="A67" s="20" t="s">
        <v>6080</v>
      </c>
      <c r="B67" s="81">
        <v>20</v>
      </c>
      <c r="C67" s="81">
        <v>70</v>
      </c>
      <c r="D67" s="81">
        <v>41</v>
      </c>
      <c r="E67" s="79"/>
      <c r="F67" s="20" t="s">
        <v>6081</v>
      </c>
      <c r="G67" s="24" t="str">
        <f ca="1">IFERROR(__xludf.DUMMYFUNCTION("GOOGLETRANSLATE(F67,""en"",""pt"")"),"bancos judiciais")</f>
        <v>bancos judiciais</v>
      </c>
      <c r="H67" s="24"/>
      <c r="I67" s="24"/>
      <c r="J67" s="24"/>
      <c r="K67" s="24"/>
    </row>
    <row r="68" spans="1:11" ht="14.5">
      <c r="A68" s="20" t="s">
        <v>6082</v>
      </c>
      <c r="B68" s="81">
        <v>20</v>
      </c>
      <c r="C68" s="81">
        <v>70</v>
      </c>
      <c r="D68" s="81">
        <v>44</v>
      </c>
      <c r="E68" s="79"/>
      <c r="F68" s="20" t="s">
        <v>6083</v>
      </c>
      <c r="G68" s="24" t="str">
        <f ca="1">IFERROR(__xludf.DUMMYFUNCTION("GOOGLETRANSLATE(F68,""en"",""pt"")"),"caixas de júri")</f>
        <v>caixas de júri</v>
      </c>
      <c r="H68" s="24"/>
      <c r="I68" s="24"/>
      <c r="J68" s="24"/>
      <c r="K68" s="24"/>
    </row>
    <row r="69" spans="1:11" ht="14.5">
      <c r="A69" s="20" t="s">
        <v>6084</v>
      </c>
      <c r="B69" s="81">
        <v>20</v>
      </c>
      <c r="C69" s="81">
        <v>70</v>
      </c>
      <c r="D69" s="81">
        <v>97</v>
      </c>
      <c r="E69" s="79"/>
      <c r="F69" s="20" t="s">
        <v>6085</v>
      </c>
      <c r="G69" s="24" t="str">
        <f ca="1">IFERROR(__xludf.DUMMYFUNCTION("GOOGLETRANSLATE(F69,""en"",""pt"")"),"testemunha está")</f>
        <v>testemunha está</v>
      </c>
      <c r="H69" s="24"/>
      <c r="I69" s="24"/>
      <c r="J69" s="24"/>
      <c r="K69" s="24"/>
    </row>
    <row r="70" spans="1:11" ht="14.5">
      <c r="A70" s="20" t="s">
        <v>6086</v>
      </c>
      <c r="B70" s="81">
        <v>20</v>
      </c>
      <c r="C70" s="81">
        <v>75</v>
      </c>
      <c r="D70" s="79"/>
      <c r="E70" s="79"/>
      <c r="F70" s="20" t="s">
        <v>6087</v>
      </c>
      <c r="G70" s="24" t="str">
        <f ca="1">IFERROR(__xludf.DUMMYFUNCTION("GOOGLETRANSLATE(F70,""en"",""pt"")"),"espaços de detenção")</f>
        <v>espaços de detenção</v>
      </c>
      <c r="H70" s="24"/>
      <c r="I70" s="24"/>
      <c r="J70" s="24"/>
      <c r="K70" s="24"/>
    </row>
    <row r="71" spans="1:11" ht="14.5">
      <c r="A71" s="20" t="s">
        <v>6088</v>
      </c>
      <c r="B71" s="81">
        <v>20</v>
      </c>
      <c r="C71" s="81">
        <v>75</v>
      </c>
      <c r="D71" s="81">
        <v>13</v>
      </c>
      <c r="E71" s="79"/>
      <c r="F71" s="20" t="s">
        <v>6089</v>
      </c>
      <c r="G71" s="24" t="str">
        <f ca="1">IFERROR(__xludf.DUMMYFUNCTION("GOOGLETRANSLATE(F71,""en"",""pt"")"),"áreas de carga")</f>
        <v>áreas de carga</v>
      </c>
      <c r="H71" s="24"/>
      <c r="I71" s="24"/>
      <c r="J71" s="24"/>
      <c r="K71" s="24"/>
    </row>
    <row r="72" spans="1:11" ht="14.5">
      <c r="A72" s="20" t="s">
        <v>6090</v>
      </c>
      <c r="B72" s="81">
        <v>20</v>
      </c>
      <c r="C72" s="81">
        <v>75</v>
      </c>
      <c r="D72" s="81">
        <v>15</v>
      </c>
      <c r="E72" s="79"/>
      <c r="F72" s="20" t="s">
        <v>6091</v>
      </c>
      <c r="G72" s="24" t="str">
        <f ca="1">IFERROR(__xludf.DUMMYFUNCTION("GOOGLETRANSLATE(F72,""en"",""pt"")"),"dayrooms presos comuns")</f>
        <v>dayrooms presos comuns</v>
      </c>
      <c r="H72" s="24"/>
      <c r="I72" s="24"/>
      <c r="J72" s="24"/>
      <c r="K72" s="24"/>
    </row>
    <row r="73" spans="1:11" ht="14.5">
      <c r="A73" s="20" t="s">
        <v>6092</v>
      </c>
      <c r="B73" s="81">
        <v>20</v>
      </c>
      <c r="C73" s="81">
        <v>75</v>
      </c>
      <c r="D73" s="81">
        <v>22</v>
      </c>
      <c r="E73" s="79"/>
      <c r="F73" s="20" t="s">
        <v>6093</v>
      </c>
      <c r="G73" s="24" t="str">
        <f ca="1">IFERROR(__xludf.DUMMYFUNCTION("GOOGLETRANSLATE(F73,""en"",""pt"")"),"celas de detenção")</f>
        <v>celas de detenção</v>
      </c>
      <c r="H73" s="24"/>
      <c r="I73" s="24"/>
      <c r="J73" s="24"/>
      <c r="K73" s="24"/>
    </row>
    <row r="74" spans="1:11" ht="14.5">
      <c r="A74" s="20" t="s">
        <v>6094</v>
      </c>
      <c r="B74" s="81">
        <v>20</v>
      </c>
      <c r="C74" s="81">
        <v>75</v>
      </c>
      <c r="D74" s="81">
        <v>28</v>
      </c>
      <c r="E74" s="79"/>
      <c r="F74" s="20" t="s">
        <v>6095</v>
      </c>
      <c r="G74" s="24" t="str">
        <f ca="1">IFERROR(__xludf.DUMMYFUNCTION("GOOGLETRANSLATE(F74,""en"",""pt"")"),"os pátios de recreio")</f>
        <v>os pátios de recreio</v>
      </c>
      <c r="H74" s="24"/>
      <c r="I74" s="24"/>
      <c r="J74" s="24"/>
      <c r="K74" s="24"/>
    </row>
    <row r="75" spans="1:11" ht="14.5">
      <c r="A75" s="20" t="s">
        <v>6096</v>
      </c>
      <c r="B75" s="81">
        <v>20</v>
      </c>
      <c r="C75" s="81">
        <v>75</v>
      </c>
      <c r="D75" s="81">
        <v>35</v>
      </c>
      <c r="E75" s="79"/>
      <c r="F75" s="20" t="s">
        <v>6097</v>
      </c>
      <c r="G75" s="24" t="str">
        <f ca="1">IFERROR(__xludf.DUMMYFUNCTION("GOOGLETRANSLATE(F75,""en"",""pt"")"),"postos de guardas")</f>
        <v>postos de guardas</v>
      </c>
      <c r="H75" s="24"/>
      <c r="I75" s="24"/>
      <c r="J75" s="24"/>
      <c r="K75" s="24"/>
    </row>
    <row r="76" spans="1:11" ht="14.5">
      <c r="A76" s="20" t="s">
        <v>6098</v>
      </c>
      <c r="B76" s="81">
        <v>20</v>
      </c>
      <c r="C76" s="81">
        <v>75</v>
      </c>
      <c r="D76" s="81">
        <v>38</v>
      </c>
      <c r="E76" s="79"/>
      <c r="F76" s="20" t="s">
        <v>6099</v>
      </c>
      <c r="G76" s="24" t="str">
        <f ca="1">IFERROR(__xludf.DUMMYFUNCTION("GOOGLETRANSLATE(F76,""en"",""pt"")"),"células segurando")</f>
        <v>células segurando</v>
      </c>
      <c r="H76" s="24"/>
      <c r="I76" s="24"/>
      <c r="J76" s="24"/>
      <c r="K76" s="24"/>
    </row>
    <row r="77" spans="1:11" ht="14.5">
      <c r="A77" s="20" t="s">
        <v>6100</v>
      </c>
      <c r="B77" s="81">
        <v>20</v>
      </c>
      <c r="C77" s="81">
        <v>75</v>
      </c>
      <c r="D77" s="81">
        <v>75</v>
      </c>
      <c r="E77" s="79"/>
      <c r="F77" s="20" t="s">
        <v>6101</v>
      </c>
      <c r="G77" s="24" t="str">
        <f ca="1">IFERROR(__xludf.DUMMYFUNCTION("GOOGLETRANSLATE(F77,""en"",""pt"")"),"portas Sally")</f>
        <v>portas Sally</v>
      </c>
      <c r="H77" s="24"/>
      <c r="I77" s="24"/>
      <c r="J77" s="24"/>
      <c r="K77" s="24"/>
    </row>
    <row r="78" spans="1:11" ht="14.5">
      <c r="A78" s="20" t="s">
        <v>6102</v>
      </c>
      <c r="B78" s="81">
        <v>20</v>
      </c>
      <c r="C78" s="81">
        <v>75</v>
      </c>
      <c r="D78" s="81">
        <v>77</v>
      </c>
      <c r="E78" s="79"/>
      <c r="F78" s="20" t="s">
        <v>6103</v>
      </c>
      <c r="G78" s="24" t="str">
        <f ca="1">IFERROR(__xludf.DUMMYFUNCTION("GOOGLETRANSLATE(F78,""en"",""pt"")"),"Garantir salas de visitas")</f>
        <v>Garantir salas de visitas</v>
      </c>
      <c r="H78" s="24"/>
      <c r="I78" s="24"/>
      <c r="J78" s="24"/>
      <c r="K78" s="24"/>
    </row>
    <row r="79" spans="1:11" ht="14.5">
      <c r="A79" s="20" t="s">
        <v>6104</v>
      </c>
      <c r="B79" s="81">
        <v>20</v>
      </c>
      <c r="C79" s="81">
        <v>75</v>
      </c>
      <c r="D79" s="81">
        <v>95</v>
      </c>
      <c r="E79" s="79"/>
      <c r="F79" s="20" t="s">
        <v>6105</v>
      </c>
      <c r="G79" s="24" t="str">
        <f ca="1">IFERROR(__xludf.DUMMYFUNCTION("GOOGLETRANSLATE(F79,""en"",""pt"")"),"jardas impound veículo")</f>
        <v>jardas impound veículo</v>
      </c>
      <c r="H79" s="24"/>
      <c r="I79" s="24"/>
      <c r="J79" s="24"/>
      <c r="K79" s="24"/>
    </row>
    <row r="80" spans="1:11" ht="14.5">
      <c r="A80" s="20" t="s">
        <v>6106</v>
      </c>
      <c r="B80" s="81">
        <v>20</v>
      </c>
      <c r="C80" s="81">
        <v>80</v>
      </c>
      <c r="D80" s="79"/>
      <c r="E80" s="79"/>
      <c r="F80" s="20" t="s">
        <v>6107</v>
      </c>
      <c r="G80" s="24" t="str">
        <f ca="1">IFERROR(__xludf.DUMMYFUNCTION("GOOGLETRANSLATE(F80,""en"",""pt"")"),"espaços armas de treinamento")</f>
        <v>espaços armas de treinamento</v>
      </c>
      <c r="H80" s="24"/>
      <c r="I80" s="24"/>
      <c r="J80" s="24"/>
      <c r="K80" s="24"/>
    </row>
    <row r="81" spans="1:11" ht="14.5">
      <c r="A81" s="20" t="s">
        <v>6108</v>
      </c>
      <c r="B81" s="81">
        <v>20</v>
      </c>
      <c r="C81" s="81">
        <v>80</v>
      </c>
      <c r="D81" s="81">
        <v>3</v>
      </c>
      <c r="E81" s="79"/>
      <c r="F81" s="20" t="s">
        <v>6109</v>
      </c>
      <c r="G81" s="24" t="str">
        <f ca="1">IFERROR(__xludf.DUMMYFUNCTION("GOOGLETRANSLATE(F81,""en"",""pt"")"),"gamas de tiro de artilharia")</f>
        <v>gamas de tiro de artilharia</v>
      </c>
      <c r="H81" s="24"/>
      <c r="I81" s="24"/>
      <c r="J81" s="24"/>
      <c r="K81" s="24"/>
    </row>
    <row r="82" spans="1:11" ht="14.5">
      <c r="A82" s="20" t="s">
        <v>6110</v>
      </c>
      <c r="B82" s="81">
        <v>20</v>
      </c>
      <c r="C82" s="81">
        <v>80</v>
      </c>
      <c r="D82" s="81">
        <v>30</v>
      </c>
      <c r="E82" s="79"/>
      <c r="F82" s="20" t="s">
        <v>6111</v>
      </c>
      <c r="G82" s="24" t="str">
        <f ca="1">IFERROR(__xludf.DUMMYFUNCTION("GOOGLETRANSLATE(F82,""en"",""pt"")"),"Firing gamas")</f>
        <v>Firing gamas</v>
      </c>
      <c r="H82" s="24"/>
      <c r="I82" s="24"/>
      <c r="J82" s="24"/>
      <c r="K82" s="24"/>
    </row>
    <row r="83" spans="1:11" ht="14.5">
      <c r="A83" s="20" t="s">
        <v>6112</v>
      </c>
      <c r="B83" s="81">
        <v>20</v>
      </c>
      <c r="C83" s="81">
        <v>80</v>
      </c>
      <c r="D83" s="81">
        <v>63</v>
      </c>
      <c r="E83" s="79"/>
      <c r="F83" s="20" t="s">
        <v>6113</v>
      </c>
      <c r="G83" s="24" t="str">
        <f ca="1">IFERROR(__xludf.DUMMYFUNCTION("GOOGLETRANSLATE(F83,""en"",""pt"")"),"campos de tiro de pistola")</f>
        <v>campos de tiro de pistola</v>
      </c>
      <c r="H83" s="24"/>
      <c r="I83" s="24"/>
      <c r="J83" s="24"/>
      <c r="K83" s="24"/>
    </row>
    <row r="84" spans="1:11" ht="14.5">
      <c r="A84" s="20" t="s">
        <v>6114</v>
      </c>
      <c r="B84" s="81">
        <v>20</v>
      </c>
      <c r="C84" s="81">
        <v>80</v>
      </c>
      <c r="D84" s="81">
        <v>72</v>
      </c>
      <c r="E84" s="79"/>
      <c r="F84" s="20" t="s">
        <v>6115</v>
      </c>
      <c r="G84" s="24" t="str">
        <f ca="1">IFERROR(__xludf.DUMMYFUNCTION("GOOGLETRANSLATE(F84,""en"",""pt"")"),"campos de tiro de rifle")</f>
        <v>campos de tiro de rifle</v>
      </c>
      <c r="H84" s="24"/>
      <c r="I84" s="24"/>
      <c r="J84" s="24"/>
      <c r="K84" s="24"/>
    </row>
    <row r="85" spans="1:11" ht="14.5">
      <c r="A85" s="20" t="s">
        <v>6116</v>
      </c>
      <c r="B85" s="81">
        <v>20</v>
      </c>
      <c r="C85" s="81">
        <v>85</v>
      </c>
      <c r="D85" s="79"/>
      <c r="E85" s="79"/>
      <c r="F85" s="20" t="s">
        <v>6117</v>
      </c>
      <c r="G85" s="24" t="str">
        <f ca="1">IFERROR(__xludf.DUMMYFUNCTION("GOOGLETRANSLATE(F85,""en"",""pt"")"),"espaços de segurança")</f>
        <v>espaços de segurança</v>
      </c>
      <c r="H85" s="24"/>
      <c r="I85" s="24"/>
      <c r="J85" s="24"/>
      <c r="K85" s="24"/>
    </row>
    <row r="86" spans="1:11" ht="14.5">
      <c r="A86" s="20" t="s">
        <v>6118</v>
      </c>
      <c r="B86" s="81">
        <v>20</v>
      </c>
      <c r="C86" s="81">
        <v>85</v>
      </c>
      <c r="D86" s="81">
        <v>63</v>
      </c>
      <c r="E86" s="79"/>
      <c r="F86" s="20" t="s">
        <v>6119</v>
      </c>
      <c r="G86" s="24" t="str">
        <f ca="1">IFERROR(__xludf.DUMMYFUNCTION("GOOGLETRANSLATE(F86,""en"",""pt"")"),"pontos de verificação de segurança de pedestres")</f>
        <v>pontos de verificação de segurança de pedestres</v>
      </c>
      <c r="H86" s="24"/>
      <c r="I86" s="24"/>
      <c r="J86" s="24"/>
      <c r="K86" s="24"/>
    </row>
    <row r="87" spans="1:11" ht="14.5">
      <c r="A87" s="20" t="s">
        <v>6120</v>
      </c>
      <c r="B87" s="81">
        <v>20</v>
      </c>
      <c r="C87" s="81">
        <v>85</v>
      </c>
      <c r="D87" s="81">
        <v>75</v>
      </c>
      <c r="E87" s="79"/>
      <c r="F87" s="20" t="s">
        <v>6121</v>
      </c>
      <c r="G87" s="24" t="str">
        <f ca="1">IFERROR(__xludf.DUMMYFUNCTION("GOOGLETRANSLATE(F87,""en"",""pt"")"),"espaços de controle de segurança")</f>
        <v>espaços de controle de segurança</v>
      </c>
      <c r="H87" s="24"/>
      <c r="I87" s="24"/>
      <c r="J87" s="24"/>
      <c r="K87" s="24"/>
    </row>
    <row r="88" spans="1:11" ht="14.5">
      <c r="A88" s="20" t="s">
        <v>6122</v>
      </c>
      <c r="B88" s="81">
        <v>20</v>
      </c>
      <c r="C88" s="81">
        <v>85</v>
      </c>
      <c r="D88" s="81">
        <v>80</v>
      </c>
      <c r="E88" s="79"/>
      <c r="F88" s="20" t="s">
        <v>6123</v>
      </c>
      <c r="G88" s="24" t="str">
        <f ca="1">IFERROR(__xludf.DUMMYFUNCTION("GOOGLETRANSLATE(F88,""en"",""pt"")"),"escritórios de segurança")</f>
        <v>escritórios de segurança</v>
      </c>
      <c r="H88" s="24"/>
      <c r="I88" s="24"/>
      <c r="J88" s="24"/>
      <c r="K88" s="24"/>
    </row>
    <row r="89" spans="1:11" ht="14.5">
      <c r="A89" s="20" t="s">
        <v>6124</v>
      </c>
      <c r="B89" s="81">
        <v>20</v>
      </c>
      <c r="C89" s="81">
        <v>85</v>
      </c>
      <c r="D89" s="81">
        <v>95</v>
      </c>
      <c r="E89" s="79"/>
      <c r="F89" s="20" t="s">
        <v>6125</v>
      </c>
      <c r="G89" s="24" t="str">
        <f ca="1">IFERROR(__xludf.DUMMYFUNCTION("GOOGLETRANSLATE(F89,""en"",""pt"")"),"pontos de verificação de segurança veicular")</f>
        <v>pontos de verificação de segurança veicular</v>
      </c>
      <c r="H89" s="24"/>
      <c r="I89" s="24"/>
      <c r="J89" s="24"/>
      <c r="K89" s="24"/>
    </row>
    <row r="90" spans="1:11" ht="14.5">
      <c r="A90" s="20" t="s">
        <v>6126</v>
      </c>
      <c r="B90" s="81">
        <v>20</v>
      </c>
      <c r="C90" s="81">
        <v>90</v>
      </c>
      <c r="D90" s="79"/>
      <c r="E90" s="79"/>
      <c r="F90" s="20" t="s">
        <v>6127</v>
      </c>
      <c r="G90" s="24" t="str">
        <f ca="1">IFERROR(__xludf.DUMMYFUNCTION("GOOGLETRANSLATE(F90,""en"",""pt"")"),"espaços de apoio de fogo e incidentes")</f>
        <v>espaços de apoio de fogo e incidentes</v>
      </c>
      <c r="H90" s="24"/>
      <c r="I90" s="24"/>
      <c r="J90" s="24"/>
      <c r="K90" s="24"/>
    </row>
    <row r="91" spans="1:11" ht="14.5">
      <c r="A91" s="20" t="s">
        <v>6128</v>
      </c>
      <c r="B91" s="81">
        <v>20</v>
      </c>
      <c r="C91" s="81">
        <v>90</v>
      </c>
      <c r="D91" s="81">
        <v>25</v>
      </c>
      <c r="E91" s="79"/>
      <c r="F91" s="20" t="s">
        <v>6129</v>
      </c>
      <c r="G91" s="24" t="str">
        <f ca="1">IFERROR(__xludf.DUMMYFUNCTION("GOOGLETRANSLATE(F91,""en"",""pt"")"),"escadas de escape")</f>
        <v>escadas de escape</v>
      </c>
      <c r="H91" s="24"/>
      <c r="I91" s="24"/>
      <c r="J91" s="24"/>
      <c r="K91" s="24"/>
    </row>
    <row r="92" spans="1:11" ht="14.5">
      <c r="A92" s="20" t="s">
        <v>6130</v>
      </c>
      <c r="B92" s="81">
        <v>20</v>
      </c>
      <c r="C92" s="81">
        <v>90</v>
      </c>
      <c r="D92" s="81">
        <v>28</v>
      </c>
      <c r="E92" s="79"/>
      <c r="F92" s="20" t="s">
        <v>6131</v>
      </c>
      <c r="G92" s="24" t="str">
        <f ca="1">IFERROR(__xludf.DUMMYFUNCTION("GOOGLETRANSLATE(F92,""en"",""pt"")"),"escadas de combate a incêndios")</f>
        <v>escadas de combate a incêndios</v>
      </c>
      <c r="H92" s="24"/>
      <c r="I92" s="24"/>
      <c r="J92" s="24"/>
      <c r="K92" s="24"/>
    </row>
    <row r="93" spans="1:11" ht="14.5">
      <c r="A93" s="20" t="s">
        <v>6132</v>
      </c>
      <c r="B93" s="81">
        <v>20</v>
      </c>
      <c r="C93" s="81">
        <v>90</v>
      </c>
      <c r="D93" s="81">
        <v>30</v>
      </c>
      <c r="E93" s="79"/>
      <c r="F93" s="20" t="s">
        <v>6133</v>
      </c>
      <c r="G93" s="24" t="str">
        <f ca="1">IFERROR(__xludf.DUMMYFUNCTION("GOOGLETRANSLATE(F93,""en"",""pt"")"),"espaços de refúgio de incêndio")</f>
        <v>espaços de refúgio de incêndio</v>
      </c>
      <c r="H93" s="24"/>
      <c r="I93" s="24"/>
      <c r="J93" s="24"/>
      <c r="K93" s="24"/>
    </row>
    <row r="94" spans="1:11" ht="14.5">
      <c r="A94" s="20" t="s">
        <v>6134</v>
      </c>
      <c r="B94" s="81">
        <v>20</v>
      </c>
      <c r="C94" s="81">
        <v>90</v>
      </c>
      <c r="D94" s="81">
        <v>31</v>
      </c>
      <c r="E94" s="79"/>
      <c r="F94" s="20" t="s">
        <v>6135</v>
      </c>
      <c r="G94" s="24" t="str">
        <f ca="1">IFERROR(__xludf.DUMMYFUNCTION("GOOGLETRANSLATE(F94,""en"",""pt"")"),"espaços de formação do incêndio")</f>
        <v>espaços de formação do incêndio</v>
      </c>
      <c r="H94" s="24"/>
      <c r="I94" s="24"/>
      <c r="J94" s="24"/>
      <c r="K94" s="24"/>
    </row>
    <row r="95" spans="1:11" ht="14.5">
      <c r="A95" s="20" t="s">
        <v>6136</v>
      </c>
      <c r="B95" s="81">
        <v>20</v>
      </c>
      <c r="C95" s="81">
        <v>90</v>
      </c>
      <c r="D95" s="81">
        <v>60</v>
      </c>
      <c r="E95" s="79"/>
      <c r="F95" s="20" t="s">
        <v>6137</v>
      </c>
      <c r="G95" s="24" t="str">
        <f ca="1">IFERROR(__xludf.DUMMYFUNCTION("GOOGLETRANSLATE(F95,""en"",""pt"")"),"corredores de evacuação protegidos")</f>
        <v>corredores de evacuação protegidos</v>
      </c>
      <c r="H95" s="24"/>
      <c r="I95" s="24"/>
      <c r="J95" s="24"/>
      <c r="K95" s="24"/>
    </row>
    <row r="96" spans="1:11" ht="14.5">
      <c r="A96" s="20" t="s">
        <v>6138</v>
      </c>
      <c r="B96" s="81">
        <v>20</v>
      </c>
      <c r="C96" s="81">
        <v>95</v>
      </c>
      <c r="D96" s="79"/>
      <c r="E96" s="79"/>
      <c r="F96" s="20" t="s">
        <v>6139</v>
      </c>
      <c r="G96" s="24" t="str">
        <f ca="1">IFERROR(__xludf.DUMMYFUNCTION("GOOGLETRANSLATE(F96,""en"",""pt"")"),"zonas protegidas")</f>
        <v>zonas protegidas</v>
      </c>
      <c r="H96" s="24"/>
      <c r="I96" s="24"/>
      <c r="J96" s="24"/>
      <c r="K96" s="24"/>
    </row>
    <row r="97" spans="1:11" ht="14.5">
      <c r="A97" s="20" t="s">
        <v>6140</v>
      </c>
      <c r="B97" s="81">
        <v>20</v>
      </c>
      <c r="C97" s="81">
        <v>95</v>
      </c>
      <c r="D97" s="81">
        <v>20</v>
      </c>
      <c r="E97" s="79"/>
      <c r="F97" s="20" t="s">
        <v>6141</v>
      </c>
      <c r="G97" s="24" t="str">
        <f ca="1">IFERROR(__xludf.DUMMYFUNCTION("GOOGLETRANSLATE(F97,""en"",""pt"")"),"zonas de detecção")</f>
        <v>zonas de detecção</v>
      </c>
      <c r="H97" s="24"/>
      <c r="I97" s="24"/>
      <c r="J97" s="24"/>
      <c r="K97" s="24"/>
    </row>
    <row r="98" spans="1:11" ht="14.5">
      <c r="A98" s="20" t="s">
        <v>6142</v>
      </c>
      <c r="B98" s="81">
        <v>20</v>
      </c>
      <c r="C98" s="81">
        <v>95</v>
      </c>
      <c r="D98" s="81">
        <v>28</v>
      </c>
      <c r="E98" s="79"/>
      <c r="F98" s="20" t="s">
        <v>6143</v>
      </c>
      <c r="G98" s="24" t="str">
        <f ca="1">IFERROR(__xludf.DUMMYFUNCTION("GOOGLETRANSLATE(F98,""en"",""pt"")"),"zonas de evacuação")</f>
        <v>zonas de evacuação</v>
      </c>
      <c r="H98" s="24"/>
      <c r="I98" s="24"/>
      <c r="J98" s="24"/>
      <c r="K98" s="24"/>
    </row>
    <row r="99" spans="1:11" ht="14.5">
      <c r="A99" s="20" t="s">
        <v>6144</v>
      </c>
      <c r="B99" s="81">
        <v>20</v>
      </c>
      <c r="C99" s="81">
        <v>95</v>
      </c>
      <c r="D99" s="81">
        <v>30</v>
      </c>
      <c r="E99" s="79"/>
      <c r="F99" s="20" t="s">
        <v>6145</v>
      </c>
      <c r="G99" s="24" t="str">
        <f ca="1">IFERROR(__xludf.DUMMYFUNCTION("GOOGLETRANSLATE(F99,""en"",""pt"")"),"compartimentos de incêndio")</f>
        <v>compartimentos de incêndio</v>
      </c>
      <c r="H99" s="24"/>
      <c r="I99" s="24"/>
      <c r="J99" s="24"/>
      <c r="K99" s="24"/>
    </row>
    <row r="100" spans="1:11" ht="14.5">
      <c r="A100" s="20" t="s">
        <v>6146</v>
      </c>
      <c r="B100" s="81">
        <v>20</v>
      </c>
      <c r="C100" s="81">
        <v>95</v>
      </c>
      <c r="D100" s="81">
        <v>32</v>
      </c>
      <c r="E100" s="79"/>
      <c r="F100" s="20" t="s">
        <v>6147</v>
      </c>
      <c r="G100" s="24" t="str">
        <f ca="1">IFERROR(__xludf.DUMMYFUNCTION("GOOGLETRANSLATE(F100,""en"",""pt"")"),"zonas de supressão de incêndio")</f>
        <v>zonas de supressão de incêndio</v>
      </c>
      <c r="H100" s="24"/>
      <c r="I100" s="24"/>
      <c r="J100" s="24"/>
      <c r="K100" s="24"/>
    </row>
    <row r="101" spans="1:11" ht="14.5">
      <c r="A101" s="20" t="s">
        <v>6148</v>
      </c>
      <c r="B101" s="81">
        <v>20</v>
      </c>
      <c r="C101" s="81">
        <v>95</v>
      </c>
      <c r="D101" s="81">
        <v>80</v>
      </c>
      <c r="E101" s="79"/>
      <c r="F101" s="20" t="s">
        <v>6149</v>
      </c>
      <c r="G101" s="24" t="str">
        <f ca="1">IFERROR(__xludf.DUMMYFUNCTION("GOOGLETRANSLATE(F101,""en"",""pt"")"),"zonas de controle de fumaça")</f>
        <v>zonas de controle de fumaça</v>
      </c>
      <c r="H101" s="24"/>
      <c r="I101" s="24"/>
      <c r="J101" s="24"/>
      <c r="K101" s="24"/>
    </row>
    <row r="102" spans="1:11" ht="14.5">
      <c r="A102" s="20" t="s">
        <v>6150</v>
      </c>
      <c r="B102" s="81">
        <v>25</v>
      </c>
      <c r="C102" s="79"/>
      <c r="D102" s="79"/>
      <c r="E102" s="79"/>
      <c r="F102" s="20" t="s">
        <v>6151</v>
      </c>
      <c r="G102" s="24" t="str">
        <f ca="1">IFERROR(__xludf.DUMMYFUNCTION("GOOGLETRANSLATE(F102,""en"",""pt"")"),"Culturais, educacionais, espaços científicos e informação")</f>
        <v>Culturais, educacionais, espaços científicos e informação</v>
      </c>
      <c r="H102" s="24"/>
      <c r="I102" s="24"/>
      <c r="J102" s="24"/>
      <c r="K102" s="24"/>
    </row>
    <row r="103" spans="1:11" ht="14.5">
      <c r="A103" s="20" t="s">
        <v>6152</v>
      </c>
      <c r="B103" s="81">
        <v>25</v>
      </c>
      <c r="C103" s="81">
        <v>5</v>
      </c>
      <c r="D103" s="79"/>
      <c r="E103" s="79"/>
      <c r="F103" s="20" t="s">
        <v>6153</v>
      </c>
      <c r="G103" s="24" t="str">
        <f ca="1">IFERROR(__xludf.DUMMYFUNCTION("GOOGLETRANSLATE(F103,""en"",""pt"")"),"espaços de comemoração")</f>
        <v>espaços de comemoração</v>
      </c>
      <c r="H103" s="24"/>
      <c r="I103" s="24"/>
      <c r="J103" s="24"/>
      <c r="K103" s="24"/>
    </row>
    <row r="104" spans="1:11" ht="14.5">
      <c r="A104" s="20" t="s">
        <v>6154</v>
      </c>
      <c r="B104" s="81">
        <v>25</v>
      </c>
      <c r="C104" s="81">
        <v>5</v>
      </c>
      <c r="D104" s="81">
        <v>72</v>
      </c>
      <c r="E104" s="79"/>
      <c r="F104" s="20" t="s">
        <v>6155</v>
      </c>
      <c r="G104" s="24" t="str">
        <f ca="1">IFERROR(__xludf.DUMMYFUNCTION("GOOGLETRANSLATE(F104,""en"",""pt"")"),"locais de comemoração")</f>
        <v>locais de comemoração</v>
      </c>
      <c r="H104" s="24"/>
      <c r="I104" s="24"/>
      <c r="J104" s="24"/>
      <c r="K104" s="24"/>
    </row>
    <row r="105" spans="1:11" ht="14.5">
      <c r="A105" s="20" t="s">
        <v>6156</v>
      </c>
      <c r="B105" s="81">
        <v>25</v>
      </c>
      <c r="C105" s="81">
        <v>10</v>
      </c>
      <c r="D105" s="79"/>
      <c r="E105" s="79"/>
      <c r="F105" s="20" t="s">
        <v>6157</v>
      </c>
      <c r="G105" s="24" t="str">
        <f ca="1">IFERROR(__xludf.DUMMYFUNCTION("GOOGLETRANSLATE(F105,""en"",""pt"")"),"espaços educativos")</f>
        <v>espaços educativos</v>
      </c>
      <c r="H105" s="24"/>
      <c r="I105" s="24"/>
      <c r="J105" s="24"/>
      <c r="K105" s="24"/>
    </row>
    <row r="106" spans="1:11" ht="14.5">
      <c r="A106" s="20" t="s">
        <v>6158</v>
      </c>
      <c r="B106" s="81">
        <v>25</v>
      </c>
      <c r="C106" s="81">
        <v>10</v>
      </c>
      <c r="D106" s="81">
        <v>4</v>
      </c>
      <c r="E106" s="79"/>
      <c r="F106" s="20" t="s">
        <v>6159</v>
      </c>
      <c r="G106" s="24" t="str">
        <f ca="1">IFERROR(__xludf.DUMMYFUNCTION("GOOGLETRANSLATE(F106,""en"",""pt"")"),"salas de aula de arte")</f>
        <v>salas de aula de arte</v>
      </c>
      <c r="H106" s="24"/>
      <c r="I106" s="24"/>
      <c r="J106" s="24"/>
      <c r="K106" s="24"/>
    </row>
    <row r="107" spans="1:11" ht="14.5">
      <c r="A107" s="20" t="s">
        <v>6160</v>
      </c>
      <c r="B107" s="81">
        <v>25</v>
      </c>
      <c r="C107" s="81">
        <v>10</v>
      </c>
      <c r="D107" s="81">
        <v>5</v>
      </c>
      <c r="E107" s="79"/>
      <c r="F107" s="20" t="s">
        <v>6161</v>
      </c>
      <c r="G107" s="24" t="str">
        <f ca="1">IFERROR(__xludf.DUMMYFUNCTION("GOOGLETRANSLATE(F107,""en"",""pt"")"),"salas de montagem")</f>
        <v>salas de montagem</v>
      </c>
      <c r="H107" s="24"/>
      <c r="I107" s="24"/>
      <c r="J107" s="24"/>
      <c r="K107" s="24"/>
    </row>
    <row r="108" spans="1:11" ht="14.5">
      <c r="A108" s="20" t="s">
        <v>6162</v>
      </c>
      <c r="B108" s="81">
        <v>25</v>
      </c>
      <c r="C108" s="81">
        <v>10</v>
      </c>
      <c r="D108" s="81">
        <v>8</v>
      </c>
      <c r="E108" s="79"/>
      <c r="F108" s="20" t="s">
        <v>6163</v>
      </c>
      <c r="G108" s="24" t="str">
        <f ca="1">IFERROR(__xludf.DUMMYFUNCTION("GOOGLETRANSLATE(F108,""en"",""pt"")"),"laboratórios de ensino Biologia")</f>
        <v>laboratórios de ensino Biologia</v>
      </c>
      <c r="H108" s="24"/>
      <c r="I108" s="24"/>
      <c r="J108" s="24"/>
      <c r="K108" s="24"/>
    </row>
    <row r="109" spans="1:11" ht="14.5">
      <c r="A109" s="20" t="s">
        <v>6164</v>
      </c>
      <c r="B109" s="81">
        <v>25</v>
      </c>
      <c r="C109" s="81">
        <v>10</v>
      </c>
      <c r="D109" s="81">
        <v>13</v>
      </c>
      <c r="E109" s="79"/>
      <c r="F109" s="20" t="s">
        <v>6165</v>
      </c>
      <c r="G109" s="24" t="str">
        <f ca="1">IFERROR(__xludf.DUMMYFUNCTION("GOOGLETRANSLATE(F109,""en"",""pt"")"),"laboratórios de ensino de química")</f>
        <v>laboratórios de ensino de química</v>
      </c>
      <c r="H109" s="24"/>
      <c r="I109" s="24"/>
      <c r="J109" s="24"/>
      <c r="K109" s="24"/>
    </row>
    <row r="110" spans="1:11" ht="14.5">
      <c r="A110" s="20" t="s">
        <v>6166</v>
      </c>
      <c r="B110" s="81">
        <v>25</v>
      </c>
      <c r="C110" s="81">
        <v>10</v>
      </c>
      <c r="D110" s="81">
        <v>14</v>
      </c>
      <c r="E110" s="79"/>
      <c r="F110" s="20" t="s">
        <v>6167</v>
      </c>
      <c r="G110" s="24" t="str">
        <f ca="1">IFERROR(__xludf.DUMMYFUNCTION("GOOGLETRANSLATE(F110,""en"",""pt"")"),"salas de aula")</f>
        <v>salas de aula</v>
      </c>
      <c r="H110" s="24"/>
      <c r="I110" s="24"/>
      <c r="J110" s="24"/>
      <c r="K110" s="24"/>
    </row>
    <row r="111" spans="1:11" ht="14.5">
      <c r="A111" s="20" t="s">
        <v>6168</v>
      </c>
      <c r="B111" s="81">
        <v>25</v>
      </c>
      <c r="C111" s="81">
        <v>10</v>
      </c>
      <c r="D111" s="81">
        <v>15</v>
      </c>
      <c r="E111" s="79"/>
      <c r="F111" s="20" t="s">
        <v>6169</v>
      </c>
      <c r="G111" s="24" t="str">
        <f ca="1">IFERROR(__xludf.DUMMYFUNCTION("GOOGLETRANSLATE(F111,""en"",""pt"")"),"salas comuns")</f>
        <v>salas comuns</v>
      </c>
      <c r="H111" s="24"/>
      <c r="I111" s="24"/>
      <c r="J111" s="24"/>
      <c r="K111" s="24"/>
    </row>
    <row r="112" spans="1:11" ht="14.5">
      <c r="A112" s="20" t="s">
        <v>6170</v>
      </c>
      <c r="B112" s="81">
        <v>25</v>
      </c>
      <c r="C112" s="81">
        <v>10</v>
      </c>
      <c r="D112" s="81">
        <v>17</v>
      </c>
      <c r="E112" s="79"/>
      <c r="F112" s="20" t="s">
        <v>6171</v>
      </c>
      <c r="G112" s="24" t="str">
        <f ca="1">IFERROR(__xludf.DUMMYFUNCTION("GOOGLETRANSLATE(F112,""en"",""pt"")"),"salas de aula de artesanato")</f>
        <v>salas de aula de artesanato</v>
      </c>
      <c r="H112" s="24"/>
      <c r="I112" s="24"/>
      <c r="J112" s="24"/>
      <c r="K112" s="24"/>
    </row>
    <row r="113" spans="1:11" ht="14.5">
      <c r="A113" s="20" t="s">
        <v>6172</v>
      </c>
      <c r="B113" s="81">
        <v>25</v>
      </c>
      <c r="C113" s="81">
        <v>10</v>
      </c>
      <c r="D113" s="81">
        <v>21</v>
      </c>
      <c r="E113" s="79"/>
      <c r="F113" s="20" t="s">
        <v>6173</v>
      </c>
      <c r="G113" s="24" t="str">
        <f ca="1">IFERROR(__xludf.DUMMYFUNCTION("GOOGLETRANSLATE(F113,""en"",""pt"")"),"estúdios de dança")</f>
        <v>estúdios de dança</v>
      </c>
      <c r="H113" s="24"/>
      <c r="I113" s="24"/>
      <c r="J113" s="24"/>
      <c r="K113" s="24"/>
    </row>
    <row r="114" spans="1:11" ht="14.5">
      <c r="A114" s="20" t="s">
        <v>6174</v>
      </c>
      <c r="B114" s="81">
        <v>25</v>
      </c>
      <c r="C114" s="81">
        <v>10</v>
      </c>
      <c r="D114" s="81">
        <v>22</v>
      </c>
      <c r="E114" s="79"/>
      <c r="F114" s="20" t="s">
        <v>6175</v>
      </c>
      <c r="G114" s="24" t="str">
        <f ca="1">IFERROR(__xludf.DUMMYFUNCTION("GOOGLETRANSLATE(F114,""en"",""pt"")"),"teatros de dissecação")</f>
        <v>teatros de dissecação</v>
      </c>
      <c r="H114" s="24"/>
      <c r="I114" s="24"/>
      <c r="J114" s="24"/>
      <c r="K114" s="24"/>
    </row>
    <row r="115" spans="1:11" ht="14.5">
      <c r="A115" s="20" t="s">
        <v>6176</v>
      </c>
      <c r="B115" s="81">
        <v>25</v>
      </c>
      <c r="C115" s="81">
        <v>10</v>
      </c>
      <c r="D115" s="81">
        <v>24</v>
      </c>
      <c r="E115" s="79"/>
      <c r="F115" s="20" t="s">
        <v>6177</v>
      </c>
      <c r="G115" s="24" t="str">
        <f ca="1">IFERROR(__xludf.DUMMYFUNCTION("GOOGLETRANSLATE(F115,""en"",""pt"")"),"estúdios de teatro")</f>
        <v>estúdios de teatro</v>
      </c>
      <c r="H115" s="24"/>
      <c r="I115" s="24"/>
      <c r="J115" s="24"/>
      <c r="K115" s="24"/>
    </row>
    <row r="116" spans="1:11" ht="14.5">
      <c r="A116" s="20" t="s">
        <v>6178</v>
      </c>
      <c r="B116" s="81">
        <v>25</v>
      </c>
      <c r="C116" s="81">
        <v>10</v>
      </c>
      <c r="D116" s="81">
        <v>25</v>
      </c>
      <c r="E116" s="79"/>
      <c r="F116" s="20" t="s">
        <v>6179</v>
      </c>
      <c r="G116" s="24" t="str">
        <f ca="1">IFERROR(__xludf.DUMMYFUNCTION("GOOGLETRANSLATE(F116,""en"",""pt"")"),"Condução panelas de derrapagem")</f>
        <v>Condução panelas de derrapagem</v>
      </c>
      <c r="H116" s="24"/>
      <c r="I116" s="24"/>
      <c r="J116" s="24"/>
      <c r="K116" s="24"/>
    </row>
    <row r="117" spans="1:11" ht="14.5">
      <c r="A117" s="20" t="s">
        <v>6180</v>
      </c>
      <c r="B117" s="81">
        <v>25</v>
      </c>
      <c r="C117" s="81">
        <v>10</v>
      </c>
      <c r="D117" s="81">
        <v>26</v>
      </c>
      <c r="E117" s="79"/>
      <c r="F117" s="20" t="s">
        <v>6181</v>
      </c>
      <c r="G117" s="24" t="str">
        <f ca="1">IFERROR(__xludf.DUMMYFUNCTION("GOOGLETRANSLATE(F117,""en"",""pt"")"),"Condução espaços de matrícula")</f>
        <v>Condução espaços de matrícula</v>
      </c>
      <c r="H117" s="24"/>
      <c r="I117" s="24"/>
      <c r="J117" s="24"/>
      <c r="K117" s="24"/>
    </row>
    <row r="118" spans="1:11" ht="14.5">
      <c r="A118" s="20" t="s">
        <v>6182</v>
      </c>
      <c r="B118" s="81">
        <v>25</v>
      </c>
      <c r="C118" s="81">
        <v>10</v>
      </c>
      <c r="D118" s="81">
        <v>28</v>
      </c>
      <c r="E118" s="79"/>
      <c r="F118" s="20" t="s">
        <v>6183</v>
      </c>
      <c r="G118" s="24" t="str">
        <f ca="1">IFERROR(__xludf.DUMMYFUNCTION("GOOGLETRANSLATE(F118,""en"",""pt"")"),"oficinas educativas")</f>
        <v>oficinas educativas</v>
      </c>
      <c r="H118" s="24"/>
      <c r="I118" s="24"/>
      <c r="J118" s="24"/>
      <c r="K118" s="24"/>
    </row>
    <row r="119" spans="1:11" ht="14.5">
      <c r="A119" s="20" t="s">
        <v>6184</v>
      </c>
      <c r="B119" s="81">
        <v>25</v>
      </c>
      <c r="C119" s="81">
        <v>10</v>
      </c>
      <c r="D119" s="81">
        <v>30</v>
      </c>
      <c r="E119" s="79"/>
      <c r="F119" s="20" t="s">
        <v>6185</v>
      </c>
      <c r="G119" s="24" t="str">
        <f ca="1">IFERROR(__xludf.DUMMYFUNCTION("GOOGLETRANSLATE(F119,""en"",""pt"")"),"salas de aula de tecnologia de alimentos")</f>
        <v>salas de aula de tecnologia de alimentos</v>
      </c>
      <c r="H119" s="24"/>
      <c r="I119" s="24"/>
      <c r="J119" s="24"/>
      <c r="K119" s="24"/>
    </row>
    <row r="120" spans="1:11" ht="14.5">
      <c r="A120" s="20" t="s">
        <v>6186</v>
      </c>
      <c r="B120" s="81">
        <v>25</v>
      </c>
      <c r="C120" s="81">
        <v>10</v>
      </c>
      <c r="D120" s="81">
        <v>40</v>
      </c>
      <c r="E120" s="79"/>
      <c r="F120" s="20" t="s">
        <v>6187</v>
      </c>
      <c r="G120" s="24" t="str">
        <f ca="1">IFERROR(__xludf.DUMMYFUNCTION("GOOGLETRANSLATE(F120,""en"",""pt"")"),"Informação e comunicação (TIC) laboratórios")</f>
        <v>Informação e comunicação (TIC) laboratórios</v>
      </c>
      <c r="H120" s="24"/>
      <c r="I120" s="24"/>
      <c r="J120" s="24"/>
      <c r="K120" s="24"/>
    </row>
    <row r="121" spans="1:11" ht="14.5">
      <c r="A121" s="20" t="s">
        <v>6188</v>
      </c>
      <c r="B121" s="81">
        <v>25</v>
      </c>
      <c r="C121" s="81">
        <v>10</v>
      </c>
      <c r="D121" s="81">
        <v>46</v>
      </c>
      <c r="E121" s="79"/>
      <c r="F121" s="20" t="s">
        <v>6189</v>
      </c>
      <c r="G121" s="24" t="str">
        <f ca="1">IFERROR(__xludf.DUMMYFUNCTION("GOOGLETRANSLATE(F121,""en"",""pt"")"),"laboratórios de línguas")</f>
        <v>laboratórios de línguas</v>
      </c>
      <c r="H121" s="24"/>
      <c r="I121" s="24"/>
      <c r="J121" s="24"/>
      <c r="K121" s="24"/>
    </row>
    <row r="122" spans="1:11" ht="14.5">
      <c r="A122" s="20" t="s">
        <v>6190</v>
      </c>
      <c r="B122" s="81">
        <v>25</v>
      </c>
      <c r="C122" s="81">
        <v>10</v>
      </c>
      <c r="D122" s="81">
        <v>47</v>
      </c>
      <c r="E122" s="79"/>
      <c r="F122" s="20" t="s">
        <v>6191</v>
      </c>
      <c r="G122" s="24" t="str">
        <f ca="1">IFERROR(__xludf.DUMMYFUNCTION("GOOGLETRANSLATE(F122,""en"",""pt"")"),"anfiteatros")</f>
        <v>anfiteatros</v>
      </c>
      <c r="H122" s="24"/>
      <c r="I122" s="24"/>
      <c r="J122" s="24"/>
      <c r="K122" s="24"/>
    </row>
    <row r="123" spans="1:11" ht="14.5">
      <c r="A123" s="20" t="s">
        <v>6192</v>
      </c>
      <c r="B123" s="81">
        <v>25</v>
      </c>
      <c r="C123" s="81">
        <v>10</v>
      </c>
      <c r="D123" s="81">
        <v>55</v>
      </c>
      <c r="E123" s="79"/>
      <c r="F123" s="20" t="s">
        <v>6193</v>
      </c>
      <c r="G123" s="24" t="str">
        <f ca="1">IFERROR(__xludf.DUMMYFUNCTION("GOOGLETRANSLATE(F123,""en"",""pt"")"),"salas de aula de música")</f>
        <v>salas de aula de música</v>
      </c>
      <c r="H123" s="24"/>
      <c r="I123" s="24"/>
      <c r="J123" s="24"/>
      <c r="K123" s="24"/>
    </row>
    <row r="124" spans="1:11" ht="14.5">
      <c r="A124" s="20" t="s">
        <v>6194</v>
      </c>
      <c r="B124" s="81">
        <v>25</v>
      </c>
      <c r="C124" s="81">
        <v>10</v>
      </c>
      <c r="D124" s="81">
        <v>66</v>
      </c>
      <c r="E124" s="79"/>
      <c r="F124" s="20" t="s">
        <v>6195</v>
      </c>
      <c r="G124" s="24" t="str">
        <f ca="1">IFERROR(__xludf.DUMMYFUNCTION("GOOGLETRANSLATE(F124,""en"",""pt"")"),"laboratórios de ensino de física")</f>
        <v>laboratórios de ensino de física</v>
      </c>
      <c r="H124" s="24"/>
      <c r="I124" s="24"/>
      <c r="J124" s="24"/>
      <c r="K124" s="24"/>
    </row>
    <row r="125" spans="1:11" ht="14.5">
      <c r="A125" s="20" t="s">
        <v>6196</v>
      </c>
      <c r="B125" s="81">
        <v>25</v>
      </c>
      <c r="C125" s="81">
        <v>10</v>
      </c>
      <c r="D125" s="81">
        <v>78</v>
      </c>
      <c r="E125" s="79"/>
      <c r="F125" s="20" t="s">
        <v>6197</v>
      </c>
      <c r="G125" s="24" t="str">
        <f ca="1">IFERROR(__xludf.DUMMYFUNCTION("GOOGLETRANSLATE(F125,""en"",""pt"")"),"salas para seminários")</f>
        <v>salas para seminários</v>
      </c>
      <c r="H125" s="24"/>
      <c r="I125" s="24"/>
      <c r="J125" s="24"/>
      <c r="K125" s="24"/>
    </row>
    <row r="126" spans="1:11" ht="14.5">
      <c r="A126" s="20" t="s">
        <v>6198</v>
      </c>
      <c r="B126" s="81">
        <v>25</v>
      </c>
      <c r="C126" s="81">
        <v>10</v>
      </c>
      <c r="D126" s="81">
        <v>84</v>
      </c>
      <c r="E126" s="79"/>
      <c r="F126" s="20" t="s">
        <v>6199</v>
      </c>
      <c r="G126" s="24" t="str">
        <f ca="1">IFERROR(__xludf.DUMMYFUNCTION("GOOGLETRANSLATE(F126,""en"",""pt"")"),"salas de estudo")</f>
        <v>salas de estudo</v>
      </c>
      <c r="H126" s="24"/>
      <c r="I126" s="24"/>
      <c r="J126" s="24"/>
      <c r="K126" s="24"/>
    </row>
    <row r="127" spans="1:11" ht="14.5">
      <c r="A127" s="20" t="s">
        <v>6200</v>
      </c>
      <c r="B127" s="81">
        <v>25</v>
      </c>
      <c r="C127" s="81">
        <v>20</v>
      </c>
      <c r="D127" s="79"/>
      <c r="E127" s="79"/>
      <c r="F127" s="20" t="s">
        <v>6201</v>
      </c>
      <c r="G127" s="24" t="str">
        <f ca="1">IFERROR(__xludf.DUMMYFUNCTION("GOOGLETRANSLATE(F127,""en"",""pt"")"),"espaços de design")</f>
        <v>espaços de design</v>
      </c>
      <c r="H127" s="24"/>
      <c r="I127" s="24"/>
      <c r="J127" s="24"/>
      <c r="K127" s="24"/>
    </row>
    <row r="128" spans="1:11" ht="14.5">
      <c r="A128" s="20" t="s">
        <v>6202</v>
      </c>
      <c r="B128" s="81">
        <v>25</v>
      </c>
      <c r="C128" s="81">
        <v>20</v>
      </c>
      <c r="D128" s="81">
        <v>4</v>
      </c>
      <c r="E128" s="79"/>
      <c r="F128" s="20" t="s">
        <v>6203</v>
      </c>
      <c r="G128" s="24" t="str">
        <f ca="1">IFERROR(__xludf.DUMMYFUNCTION("GOOGLETRANSLATE(F128,""en"",""pt"")"),"estúdios de artistas")</f>
        <v>estúdios de artistas</v>
      </c>
      <c r="H128" s="24"/>
      <c r="I128" s="24"/>
      <c r="J128" s="24"/>
      <c r="K128" s="24"/>
    </row>
    <row r="129" spans="1:11" ht="14.5">
      <c r="A129" s="20" t="s">
        <v>6204</v>
      </c>
      <c r="B129" s="81">
        <v>25</v>
      </c>
      <c r="C129" s="81">
        <v>20</v>
      </c>
      <c r="D129" s="81">
        <v>18</v>
      </c>
      <c r="E129" s="79"/>
      <c r="F129" s="20" t="s">
        <v>6205</v>
      </c>
      <c r="G129" s="24" t="str">
        <f ca="1">IFERROR(__xludf.DUMMYFUNCTION("GOOGLETRANSLATE(F129,""en"",""pt"")"),"estúdios de arte criativas")</f>
        <v>estúdios de arte criativas</v>
      </c>
      <c r="H129" s="24"/>
      <c r="I129" s="24"/>
      <c r="J129" s="24"/>
      <c r="K129" s="24"/>
    </row>
    <row r="130" spans="1:11" ht="14.5">
      <c r="A130" s="20" t="s">
        <v>6206</v>
      </c>
      <c r="B130" s="81">
        <v>25</v>
      </c>
      <c r="C130" s="81">
        <v>20</v>
      </c>
      <c r="D130" s="81">
        <v>23</v>
      </c>
      <c r="E130" s="79"/>
      <c r="F130" s="20" t="s">
        <v>6207</v>
      </c>
      <c r="G130" s="24" t="str">
        <f ca="1">IFERROR(__xludf.DUMMYFUNCTION("GOOGLETRANSLATE(F130,""en"",""pt"")"),"estúdios de designers")</f>
        <v>estúdios de designers</v>
      </c>
      <c r="H130" s="24"/>
      <c r="I130" s="24"/>
      <c r="J130" s="24"/>
      <c r="K130" s="24"/>
    </row>
    <row r="131" spans="1:11" ht="14.5">
      <c r="A131" s="20" t="s">
        <v>6208</v>
      </c>
      <c r="B131" s="81">
        <v>25</v>
      </c>
      <c r="C131" s="81">
        <v>30</v>
      </c>
      <c r="D131" s="79"/>
      <c r="E131" s="79"/>
      <c r="F131" s="20" t="s">
        <v>6209</v>
      </c>
      <c r="G131" s="24" t="str">
        <f ca="1">IFERROR(__xludf.DUMMYFUNCTION("GOOGLETRANSLATE(F131,""en"",""pt"")"),"espaços científicos e de laboratório")</f>
        <v>espaços científicos e de laboratório</v>
      </c>
      <c r="H131" s="24"/>
      <c r="I131" s="24"/>
      <c r="J131" s="24"/>
      <c r="K131" s="24"/>
    </row>
    <row r="132" spans="1:11" ht="14.5">
      <c r="A132" s="20" t="s">
        <v>6210</v>
      </c>
      <c r="B132" s="81">
        <v>25</v>
      </c>
      <c r="C132" s="81">
        <v>30</v>
      </c>
      <c r="D132" s="81">
        <v>2</v>
      </c>
      <c r="E132" s="79"/>
      <c r="F132" s="20" t="s">
        <v>6211</v>
      </c>
      <c r="G132" s="24" t="str">
        <f ca="1">IFERROR(__xludf.DUMMYFUNCTION("GOOGLETRANSLATE(F132,""en"",""pt"")"),"câmaras anecóicas")</f>
        <v>câmaras anecóicas</v>
      </c>
      <c r="H132" s="24"/>
      <c r="I132" s="24"/>
      <c r="J132" s="24"/>
      <c r="K132" s="24"/>
    </row>
    <row r="133" spans="1:11" ht="14.5">
      <c r="A133" s="20" t="s">
        <v>6212</v>
      </c>
      <c r="B133" s="81">
        <v>25</v>
      </c>
      <c r="C133" s="81">
        <v>30</v>
      </c>
      <c r="D133" s="81">
        <v>4</v>
      </c>
      <c r="E133" s="79"/>
      <c r="F133" s="20" t="s">
        <v>6213</v>
      </c>
      <c r="G133" s="24" t="str">
        <f ca="1">IFERROR(__xludf.DUMMYFUNCTION("GOOGLETRANSLATE(F133,""en"",""pt"")"),"observatórios astronômicos")</f>
        <v>observatórios astronômicos</v>
      </c>
      <c r="H133" s="24"/>
      <c r="I133" s="24"/>
      <c r="J133" s="24"/>
      <c r="K133" s="24"/>
    </row>
    <row r="134" spans="1:11" ht="14.5">
      <c r="A134" s="20" t="s">
        <v>6214</v>
      </c>
      <c r="B134" s="81">
        <v>25</v>
      </c>
      <c r="C134" s="81">
        <v>30</v>
      </c>
      <c r="D134" s="81">
        <v>5</v>
      </c>
      <c r="E134" s="79"/>
      <c r="F134" s="20" t="s">
        <v>6215</v>
      </c>
      <c r="G134" s="24" t="str">
        <f ca="1">IFERROR(__xludf.DUMMYFUNCTION("GOOGLETRANSLATE(F134,""en"",""pt"")"),"quartos de autoclave")</f>
        <v>quartos de autoclave</v>
      </c>
      <c r="H134" s="24"/>
      <c r="I134" s="24"/>
      <c r="J134" s="24"/>
      <c r="K134" s="24"/>
    </row>
    <row r="135" spans="1:11" ht="14.5">
      <c r="A135" s="20" t="s">
        <v>6216</v>
      </c>
      <c r="B135" s="81">
        <v>25</v>
      </c>
      <c r="C135" s="81">
        <v>30</v>
      </c>
      <c r="D135" s="81">
        <v>7</v>
      </c>
      <c r="E135" s="79"/>
      <c r="F135" s="20" t="s">
        <v>6217</v>
      </c>
      <c r="G135" s="24" t="str">
        <f ca="1">IFERROR(__xludf.DUMMYFUNCTION("GOOGLETRANSLATE(F135,""en"",""pt"")"),"laboratórios biológicos")</f>
        <v>laboratórios biológicos</v>
      </c>
      <c r="H135" s="24"/>
      <c r="I135" s="24"/>
      <c r="J135" s="24"/>
      <c r="K135" s="24"/>
    </row>
    <row r="136" spans="1:11" ht="14.5">
      <c r="A136" s="20" t="s">
        <v>6218</v>
      </c>
      <c r="B136" s="81">
        <v>25</v>
      </c>
      <c r="C136" s="81">
        <v>30</v>
      </c>
      <c r="D136" s="81">
        <v>10</v>
      </c>
      <c r="E136" s="79"/>
      <c r="F136" s="20" t="s">
        <v>6219</v>
      </c>
      <c r="G136" s="24" t="str">
        <f ca="1">IFERROR(__xludf.DUMMYFUNCTION("GOOGLETRANSLATE(F136,""en"",""pt"")"),"laboratórios de biociências")</f>
        <v>laboratórios de biociências</v>
      </c>
      <c r="H136" s="24"/>
      <c r="I136" s="24"/>
      <c r="J136" s="24"/>
      <c r="K136" s="24"/>
    </row>
    <row r="137" spans="1:11" ht="14.5">
      <c r="A137" s="20" t="s">
        <v>6220</v>
      </c>
      <c r="B137" s="81">
        <v>25</v>
      </c>
      <c r="C137" s="81">
        <v>30</v>
      </c>
      <c r="D137" s="81">
        <v>13</v>
      </c>
      <c r="E137" s="79"/>
      <c r="F137" s="20" t="s">
        <v>6221</v>
      </c>
      <c r="G137" s="24" t="str">
        <f ca="1">IFERROR(__xludf.DUMMYFUNCTION("GOOGLETRANSLATE(F137,""en"",""pt"")"),"laboratórios de química")</f>
        <v>laboratórios de química</v>
      </c>
      <c r="H137" s="24"/>
      <c r="I137" s="24"/>
      <c r="J137" s="24"/>
      <c r="K137" s="24"/>
    </row>
    <row r="138" spans="1:11" ht="14.5">
      <c r="A138" s="20" t="s">
        <v>6222</v>
      </c>
      <c r="B138" s="81">
        <v>25</v>
      </c>
      <c r="C138" s="81">
        <v>30</v>
      </c>
      <c r="D138" s="81">
        <v>14</v>
      </c>
      <c r="E138" s="79"/>
      <c r="F138" s="20" t="s">
        <v>6223</v>
      </c>
      <c r="G138" s="24" t="str">
        <f ca="1">IFERROR(__xludf.DUMMYFUNCTION("GOOGLETRANSLATE(F138,""en"",""pt"")"),"quartos limpos")</f>
        <v>quartos limpos</v>
      </c>
      <c r="H138" s="24"/>
      <c r="I138" s="24"/>
      <c r="J138" s="24"/>
      <c r="K138" s="24"/>
    </row>
    <row r="139" spans="1:11" ht="14.5">
      <c r="A139" s="20" t="s">
        <v>6224</v>
      </c>
      <c r="B139" s="81">
        <v>25</v>
      </c>
      <c r="C139" s="81">
        <v>30</v>
      </c>
      <c r="D139" s="81">
        <v>15</v>
      </c>
      <c r="E139" s="79"/>
      <c r="F139" s="20" t="s">
        <v>6225</v>
      </c>
      <c r="G139" s="24" t="str">
        <f ca="1">IFERROR(__xludf.DUMMYFUNCTION("GOOGLETRANSLATE(F139,""en"",""pt"")"),"laboratórios bioquímicas")</f>
        <v>laboratórios bioquímicas</v>
      </c>
      <c r="H139" s="24"/>
      <c r="I139" s="24"/>
      <c r="J139" s="24"/>
      <c r="K139" s="24"/>
    </row>
    <row r="140" spans="1:11" ht="14.5">
      <c r="A140" s="20" t="s">
        <v>6226</v>
      </c>
      <c r="B140" s="81">
        <v>25</v>
      </c>
      <c r="C140" s="81">
        <v>30</v>
      </c>
      <c r="D140" s="81">
        <v>16</v>
      </c>
      <c r="E140" s="79"/>
      <c r="F140" s="20" t="s">
        <v>6227</v>
      </c>
      <c r="G140" s="24" t="str">
        <f ca="1">IFERROR(__xludf.DUMMYFUNCTION("GOOGLETRANSLATE(F140,""en"",""pt"")"),"laboratórios de microbiologia clínica")</f>
        <v>laboratórios de microbiologia clínica</v>
      </c>
      <c r="H140" s="24"/>
      <c r="I140" s="24"/>
      <c r="J140" s="24"/>
      <c r="K140" s="24"/>
    </row>
    <row r="141" spans="1:11" ht="14.5">
      <c r="A141" s="20" t="s">
        <v>6228</v>
      </c>
      <c r="B141" s="81">
        <v>25</v>
      </c>
      <c r="C141" s="81">
        <v>30</v>
      </c>
      <c r="D141" s="81">
        <v>17</v>
      </c>
      <c r="E141" s="79"/>
      <c r="F141" s="20" t="s">
        <v>6229</v>
      </c>
      <c r="G141" s="24" t="str">
        <f ca="1">IFERROR(__xludf.DUMMYFUNCTION("GOOGLETRANSLATE(F141,""en"",""pt"")"),"laboratórios de patologia clínica")</f>
        <v>laboratórios de patologia clínica</v>
      </c>
      <c r="H141" s="24"/>
      <c r="I141" s="24"/>
      <c r="J141" s="24"/>
      <c r="K141" s="24"/>
    </row>
    <row r="142" spans="1:11" ht="14.5">
      <c r="A142" s="20" t="s">
        <v>6230</v>
      </c>
      <c r="B142" s="81">
        <v>25</v>
      </c>
      <c r="C142" s="81">
        <v>30</v>
      </c>
      <c r="D142" s="81">
        <v>19</v>
      </c>
      <c r="E142" s="79"/>
      <c r="F142" s="20" t="s">
        <v>6231</v>
      </c>
      <c r="G142" s="24" t="str">
        <f ca="1">IFERROR(__xludf.DUMMYFUNCTION("GOOGLETRANSLATE(F142,""en"",""pt"")"),"laboratórios de contenção")</f>
        <v>laboratórios de contenção</v>
      </c>
      <c r="H142" s="24"/>
      <c r="I142" s="24"/>
      <c r="J142" s="24"/>
      <c r="K142" s="24"/>
    </row>
    <row r="143" spans="1:11" ht="14.5">
      <c r="A143" s="20" t="s">
        <v>6232</v>
      </c>
      <c r="B143" s="81">
        <v>25</v>
      </c>
      <c r="C143" s="81">
        <v>30</v>
      </c>
      <c r="D143" s="81">
        <v>21</v>
      </c>
      <c r="E143" s="79"/>
      <c r="F143" s="20" t="s">
        <v>6233</v>
      </c>
      <c r="G143" s="24" t="str">
        <f ca="1">IFERROR(__xludf.DUMMYFUNCTION("GOOGLETRANSLATE(F143,""en"",""pt"")"),"salas escuras")</f>
        <v>salas escuras</v>
      </c>
      <c r="H143" s="24"/>
      <c r="I143" s="24"/>
      <c r="J143" s="24"/>
      <c r="K143" s="24"/>
    </row>
    <row r="144" spans="1:11" ht="14.5">
      <c r="A144" s="20" t="s">
        <v>6234</v>
      </c>
      <c r="B144" s="81">
        <v>25</v>
      </c>
      <c r="C144" s="81">
        <v>30</v>
      </c>
      <c r="D144" s="81">
        <v>22</v>
      </c>
      <c r="E144" s="79"/>
      <c r="F144" s="20" t="s">
        <v>6235</v>
      </c>
      <c r="G144" s="24" t="str">
        <f ca="1">IFERROR(__xludf.DUMMYFUNCTION("GOOGLETRANSLATE(F144,""en"",""pt"")"),"laboratórios de prótese dentária")</f>
        <v>laboratórios de prótese dentária</v>
      </c>
      <c r="H144" s="24"/>
      <c r="I144" s="24"/>
      <c r="J144" s="24"/>
      <c r="K144" s="24"/>
    </row>
    <row r="145" spans="1:11" ht="14.5">
      <c r="A145" s="20" t="s">
        <v>6236</v>
      </c>
      <c r="B145" s="81">
        <v>25</v>
      </c>
      <c r="C145" s="81">
        <v>30</v>
      </c>
      <c r="D145" s="81">
        <v>23</v>
      </c>
      <c r="E145" s="79"/>
      <c r="F145" s="20" t="s">
        <v>6237</v>
      </c>
      <c r="G145" s="24" t="str">
        <f ca="1">IFERROR(__xludf.DUMMYFUNCTION("GOOGLETRANSLATE(F145,""en"",""pt"")"),"salas de dissecação")</f>
        <v>salas de dissecação</v>
      </c>
      <c r="H145" s="24"/>
      <c r="I145" s="24"/>
      <c r="J145" s="24"/>
      <c r="K145" s="24"/>
    </row>
    <row r="146" spans="1:11" ht="14.5">
      <c r="A146" s="20" t="s">
        <v>6238</v>
      </c>
      <c r="B146" s="81">
        <v>25</v>
      </c>
      <c r="C146" s="81">
        <v>30</v>
      </c>
      <c r="D146" s="81">
        <v>26</v>
      </c>
      <c r="E146" s="79"/>
      <c r="F146" s="20" t="s">
        <v>6239</v>
      </c>
      <c r="G146" s="24" t="str">
        <f ca="1">IFERROR(__xludf.DUMMYFUNCTION("GOOGLETRANSLATE(F146,""en"",""pt"")"),"laboratórios de ciências da terra")</f>
        <v>laboratórios de ciências da terra</v>
      </c>
      <c r="H146" s="24"/>
      <c r="I146" s="24"/>
      <c r="J146" s="24"/>
      <c r="K146" s="24"/>
    </row>
    <row r="147" spans="1:11" ht="14.5">
      <c r="A147" s="20" t="s">
        <v>6240</v>
      </c>
      <c r="B147" s="81">
        <v>25</v>
      </c>
      <c r="C147" s="81">
        <v>30</v>
      </c>
      <c r="D147" s="81">
        <v>27</v>
      </c>
      <c r="E147" s="79"/>
      <c r="F147" s="20" t="s">
        <v>6241</v>
      </c>
      <c r="G147" s="24" t="str">
        <f ca="1">IFERROR(__xludf.DUMMYFUNCTION("GOOGLETRANSLATE(F147,""en"",""pt"")"),"laboratórios de engenharia")</f>
        <v>laboratórios de engenharia</v>
      </c>
      <c r="H147" s="24"/>
      <c r="I147" s="24"/>
      <c r="J147" s="24"/>
      <c r="K147" s="24"/>
    </row>
    <row r="148" spans="1:11" ht="14.5">
      <c r="A148" s="20" t="s">
        <v>6242</v>
      </c>
      <c r="B148" s="81">
        <v>25</v>
      </c>
      <c r="C148" s="81">
        <v>30</v>
      </c>
      <c r="D148" s="81">
        <v>28</v>
      </c>
      <c r="E148" s="79"/>
      <c r="F148" s="20" t="s">
        <v>6243</v>
      </c>
      <c r="G148" s="24" t="str">
        <f ca="1">IFERROR(__xludf.DUMMYFUNCTION("GOOGLETRANSLATE(F148,""en"",""pt"")"),"salas de controle Experiment")</f>
        <v>salas de controle Experiment</v>
      </c>
      <c r="H148" s="24"/>
      <c r="I148" s="24"/>
      <c r="J148" s="24"/>
      <c r="K148" s="24"/>
    </row>
    <row r="149" spans="1:11" ht="14.5">
      <c r="A149" s="20" t="s">
        <v>6244</v>
      </c>
      <c r="B149" s="81">
        <v>25</v>
      </c>
      <c r="C149" s="81">
        <v>30</v>
      </c>
      <c r="D149" s="81">
        <v>29</v>
      </c>
      <c r="E149" s="79"/>
      <c r="F149" s="20" t="s">
        <v>6245</v>
      </c>
      <c r="G149" s="24" t="str">
        <f ca="1">IFERROR(__xludf.DUMMYFUNCTION("GOOGLETRANSLATE(F149,""en"",""pt"")"),"salas de citometria de fluxo")</f>
        <v>salas de citometria de fluxo</v>
      </c>
      <c r="H149" s="24"/>
      <c r="I149" s="24"/>
      <c r="J149" s="24"/>
      <c r="K149" s="24"/>
    </row>
    <row r="150" spans="1:11" ht="14.5">
      <c r="A150" s="20" t="s">
        <v>6246</v>
      </c>
      <c r="B150" s="81">
        <v>25</v>
      </c>
      <c r="C150" s="81">
        <v>30</v>
      </c>
      <c r="D150" s="81">
        <v>30</v>
      </c>
      <c r="E150" s="79"/>
      <c r="F150" s="20" t="s">
        <v>6247</v>
      </c>
      <c r="G150" s="24" t="str">
        <f ca="1">IFERROR(__xludf.DUMMYFUNCTION("GOOGLETRANSLATE(F150,""en"",""pt"")"),"laboratórios de teste de alimentos")</f>
        <v>laboratórios de teste de alimentos</v>
      </c>
      <c r="H150" s="24"/>
      <c r="I150" s="24"/>
      <c r="J150" s="24"/>
      <c r="K150" s="24"/>
    </row>
    <row r="151" spans="1:11" ht="14.5">
      <c r="A151" s="20" t="s">
        <v>6248</v>
      </c>
      <c r="B151" s="81">
        <v>25</v>
      </c>
      <c r="C151" s="81">
        <v>30</v>
      </c>
      <c r="D151" s="81">
        <v>31</v>
      </c>
      <c r="E151" s="79"/>
      <c r="F151" s="20" t="s">
        <v>6249</v>
      </c>
      <c r="G151" s="24" t="str">
        <f ca="1">IFERROR(__xludf.DUMMYFUNCTION("GOOGLETRANSLATE(F151,""en"",""pt"")"),"laboratórios forenses")</f>
        <v>laboratórios forenses</v>
      </c>
      <c r="H151" s="24"/>
      <c r="I151" s="24"/>
      <c r="J151" s="24"/>
      <c r="K151" s="24"/>
    </row>
    <row r="152" spans="1:11" ht="14.5">
      <c r="A152" s="20" t="s">
        <v>6250</v>
      </c>
      <c r="B152" s="81">
        <v>25</v>
      </c>
      <c r="C152" s="81">
        <v>30</v>
      </c>
      <c r="D152" s="81">
        <v>32</v>
      </c>
      <c r="E152" s="79"/>
      <c r="F152" s="20" t="s">
        <v>6251</v>
      </c>
      <c r="G152" s="24" t="str">
        <f ca="1">IFERROR(__xludf.DUMMYFUNCTION("GOOGLETRANSLATE(F152,""en"",""pt"")"),"salas de apoio científicos forenses")</f>
        <v>salas de apoio científicos forenses</v>
      </c>
      <c r="H152" s="24"/>
      <c r="I152" s="24"/>
      <c r="J152" s="24"/>
      <c r="K152" s="24"/>
    </row>
    <row r="153" spans="1:11" ht="14.5">
      <c r="A153" s="20" t="s">
        <v>6252</v>
      </c>
      <c r="B153" s="81">
        <v>25</v>
      </c>
      <c r="C153" s="81">
        <v>30</v>
      </c>
      <c r="D153" s="81">
        <v>33</v>
      </c>
      <c r="E153" s="79"/>
      <c r="F153" s="20" t="s">
        <v>6253</v>
      </c>
      <c r="G153" s="24" t="str">
        <f ca="1">IFERROR(__xludf.DUMMYFUNCTION("GOOGLETRANSLATE(F153,""en"",""pt"")"),"laboratórios de geologia")</f>
        <v>laboratórios de geologia</v>
      </c>
      <c r="H153" s="24"/>
      <c r="I153" s="24"/>
      <c r="J153" s="24"/>
      <c r="K153" s="24"/>
    </row>
    <row r="154" spans="1:11" ht="14.5">
      <c r="A154" s="20" t="s">
        <v>6254</v>
      </c>
      <c r="B154" s="81">
        <v>25</v>
      </c>
      <c r="C154" s="81">
        <v>30</v>
      </c>
      <c r="D154" s="81">
        <v>42</v>
      </c>
      <c r="E154" s="79"/>
      <c r="F154" s="20" t="s">
        <v>6255</v>
      </c>
      <c r="G154" s="24" t="str">
        <f ca="1">IFERROR(__xludf.DUMMYFUNCTION("GOOGLETRANSLATE(F154,""en"",""pt"")"),"quartos de instrumentos")</f>
        <v>quartos de instrumentos</v>
      </c>
      <c r="H154" s="24"/>
      <c r="I154" s="24"/>
      <c r="J154" s="24"/>
      <c r="K154" s="24"/>
    </row>
    <row r="155" spans="1:11" ht="14.5">
      <c r="A155" s="20" t="s">
        <v>6256</v>
      </c>
      <c r="B155" s="81">
        <v>25</v>
      </c>
      <c r="C155" s="81">
        <v>30</v>
      </c>
      <c r="D155" s="81">
        <v>46</v>
      </c>
      <c r="E155" s="79"/>
      <c r="F155" s="20" t="s">
        <v>6257</v>
      </c>
      <c r="G155" s="24" t="str">
        <f ca="1">IFERROR(__xludf.DUMMYFUNCTION("GOOGLETRANSLATE(F155,""en"",""pt"")"),"câmaras frigoríficas de laboratório")</f>
        <v>câmaras frigoríficas de laboratório</v>
      </c>
      <c r="H155" s="24"/>
      <c r="I155" s="24"/>
      <c r="J155" s="24"/>
      <c r="K155" s="24"/>
    </row>
    <row r="156" spans="1:11" ht="14.5">
      <c r="A156" s="20" t="s">
        <v>6258</v>
      </c>
      <c r="B156" s="81">
        <v>25</v>
      </c>
      <c r="C156" s="81">
        <v>30</v>
      </c>
      <c r="D156" s="81">
        <v>47</v>
      </c>
      <c r="E156" s="79"/>
      <c r="F156" s="20" t="s">
        <v>6259</v>
      </c>
      <c r="G156" s="24" t="str">
        <f ca="1">IFERROR(__xludf.DUMMYFUNCTION("GOOGLETRANSLATE(F156,""en"",""pt"")"),"salas quentes de laboratório")</f>
        <v>salas quentes de laboratório</v>
      </c>
      <c r="H156" s="24"/>
      <c r="I156" s="24"/>
      <c r="J156" s="24"/>
      <c r="K156" s="24"/>
    </row>
    <row r="157" spans="1:11" ht="14.5">
      <c r="A157" s="20" t="s">
        <v>6260</v>
      </c>
      <c r="B157" s="81">
        <v>25</v>
      </c>
      <c r="C157" s="81">
        <v>30</v>
      </c>
      <c r="D157" s="81">
        <v>50</v>
      </c>
      <c r="E157" s="79"/>
      <c r="F157" s="20" t="s">
        <v>6261</v>
      </c>
      <c r="G157" s="24" t="str">
        <f ca="1">IFERROR(__xludf.DUMMYFUNCTION("GOOGLETRANSLATE(F157,""en"",""pt"")"),"laboratórios de ensaio de materiais")</f>
        <v>laboratórios de ensaio de materiais</v>
      </c>
      <c r="H157" s="24"/>
      <c r="I157" s="24"/>
      <c r="J157" s="24"/>
      <c r="K157" s="24"/>
    </row>
    <row r="158" spans="1:11" ht="14.5">
      <c r="A158" s="20" t="s">
        <v>6262</v>
      </c>
      <c r="B158" s="81">
        <v>25</v>
      </c>
      <c r="C158" s="81">
        <v>30</v>
      </c>
      <c r="D158" s="81">
        <v>66</v>
      </c>
      <c r="E158" s="79"/>
      <c r="F158" s="20" t="s">
        <v>6263</v>
      </c>
      <c r="G158" s="24" t="str">
        <f ca="1">IFERROR(__xludf.DUMMYFUNCTION("GOOGLETRANSLATE(F158,""en"",""pt"")"),"laboratórios de física")</f>
        <v>laboratórios de física</v>
      </c>
      <c r="H158" s="24"/>
      <c r="I158" s="24"/>
      <c r="J158" s="24"/>
      <c r="K158" s="24"/>
    </row>
    <row r="159" spans="1:11" ht="14.5">
      <c r="A159" s="20" t="s">
        <v>6264</v>
      </c>
      <c r="B159" s="81">
        <v>25</v>
      </c>
      <c r="C159" s="81">
        <v>30</v>
      </c>
      <c r="D159" s="81">
        <v>68</v>
      </c>
      <c r="E159" s="79"/>
      <c r="F159" s="20" t="s">
        <v>6265</v>
      </c>
      <c r="G159" s="24" t="str">
        <f ca="1">IFERROR(__xludf.DUMMYFUNCTION("GOOGLETRANSLATE(F159,""en"",""pt"")"),"laboratórios de psicologia")</f>
        <v>laboratórios de psicologia</v>
      </c>
      <c r="H159" s="24"/>
      <c r="I159" s="24"/>
      <c r="J159" s="24"/>
      <c r="K159" s="24"/>
    </row>
    <row r="160" spans="1:11" ht="14.5">
      <c r="A160" s="20" t="s">
        <v>6266</v>
      </c>
      <c r="B160" s="81">
        <v>25</v>
      </c>
      <c r="C160" s="81">
        <v>30</v>
      </c>
      <c r="D160" s="81">
        <v>70</v>
      </c>
      <c r="E160" s="79"/>
      <c r="F160" s="20" t="s">
        <v>6267</v>
      </c>
      <c r="G160" s="24" t="str">
        <f ca="1">IFERROR(__xludf.DUMMYFUNCTION("GOOGLETRANSLATE(F160,""en"",""pt"")"),"Radiação blindado quartos")</f>
        <v>Radiação blindado quartos</v>
      </c>
      <c r="H160" s="24"/>
      <c r="I160" s="24"/>
      <c r="J160" s="24"/>
      <c r="K160" s="24"/>
    </row>
    <row r="161" spans="1:11" ht="14.5">
      <c r="A161" s="20" t="s">
        <v>6268</v>
      </c>
      <c r="B161" s="81">
        <v>25</v>
      </c>
      <c r="C161" s="81">
        <v>30</v>
      </c>
      <c r="D161" s="81">
        <v>76</v>
      </c>
      <c r="E161" s="79"/>
      <c r="F161" s="20" t="s">
        <v>6269</v>
      </c>
      <c r="G161" s="24" t="str">
        <f ca="1">IFERROR(__xludf.DUMMYFUNCTION("GOOGLETRANSLATE(F161,""en"",""pt"")"),"salas de equipamentos científicos")</f>
        <v>salas de equipamentos científicos</v>
      </c>
      <c r="H161" s="24"/>
      <c r="I161" s="24"/>
      <c r="J161" s="24"/>
      <c r="K161" s="24"/>
    </row>
    <row r="162" spans="1:11" ht="14.5">
      <c r="A162" s="20" t="s">
        <v>6270</v>
      </c>
      <c r="B162" s="81">
        <v>25</v>
      </c>
      <c r="C162" s="81">
        <v>30</v>
      </c>
      <c r="D162" s="81">
        <v>78</v>
      </c>
      <c r="E162" s="79"/>
      <c r="F162" s="20" t="s">
        <v>6271</v>
      </c>
      <c r="G162" s="24" t="str">
        <f ca="1">IFERROR(__xludf.DUMMYFUNCTION("GOOGLETRANSLATE(F162,""en"",""pt"")"),"quartos sismográficas")</f>
        <v>quartos sismográficas</v>
      </c>
      <c r="H162" s="24"/>
      <c r="I162" s="24"/>
      <c r="J162" s="24"/>
      <c r="K162" s="24"/>
    </row>
    <row r="163" spans="1:11" ht="14.5">
      <c r="A163" s="20" t="s">
        <v>6272</v>
      </c>
      <c r="B163" s="81">
        <v>25</v>
      </c>
      <c r="C163" s="81">
        <v>30</v>
      </c>
      <c r="D163" s="81">
        <v>88</v>
      </c>
      <c r="E163" s="79"/>
      <c r="F163" s="20" t="s">
        <v>6273</v>
      </c>
      <c r="G163" s="24" t="str">
        <f ca="1">IFERROR(__xludf.DUMMYFUNCTION("GOOGLETRANSLATE(F163,""en"",""pt"")"),"quartos de testes")</f>
        <v>quartos de testes</v>
      </c>
      <c r="H163" s="24"/>
      <c r="I163" s="24"/>
      <c r="J163" s="24"/>
      <c r="K163" s="24"/>
    </row>
    <row r="164" spans="1:11" ht="14.5">
      <c r="A164" s="20" t="s">
        <v>6274</v>
      </c>
      <c r="B164" s="81">
        <v>25</v>
      </c>
      <c r="C164" s="81">
        <v>50</v>
      </c>
      <c r="D164" s="79"/>
      <c r="E164" s="79"/>
      <c r="F164" s="20" t="s">
        <v>6275</v>
      </c>
      <c r="G164" s="24" t="str">
        <f ca="1">IFERROR(__xludf.DUMMYFUNCTION("GOOGLETRANSLATE(F164,""en"",""pt"")"),"espaços de exposição")</f>
        <v>espaços de exposição</v>
      </c>
      <c r="H164" s="24"/>
      <c r="I164" s="24"/>
      <c r="J164" s="24"/>
      <c r="K164" s="24"/>
    </row>
    <row r="165" spans="1:11" ht="14.5">
      <c r="A165" s="20" t="s">
        <v>6276</v>
      </c>
      <c r="B165" s="81">
        <v>25</v>
      </c>
      <c r="C165" s="81">
        <v>50</v>
      </c>
      <c r="D165" s="81">
        <v>15</v>
      </c>
      <c r="E165" s="79"/>
      <c r="F165" s="20" t="s">
        <v>6277</v>
      </c>
      <c r="G165" s="24" t="str">
        <f ca="1">IFERROR(__xludf.DUMMYFUNCTION("GOOGLETRANSLATE(F165,""en"",""pt"")"),"espaços de exposição Coleção")</f>
        <v>espaços de exposição Coleção</v>
      </c>
      <c r="H165" s="24"/>
      <c r="I165" s="24"/>
      <c r="J165" s="24"/>
      <c r="K165" s="24"/>
    </row>
    <row r="166" spans="1:11" ht="14.5">
      <c r="A166" s="20" t="s">
        <v>6278</v>
      </c>
      <c r="B166" s="81">
        <v>25</v>
      </c>
      <c r="C166" s="81">
        <v>50</v>
      </c>
      <c r="D166" s="81">
        <v>16</v>
      </c>
      <c r="E166" s="79"/>
      <c r="F166" s="20" t="s">
        <v>6279</v>
      </c>
      <c r="G166" s="24" t="str">
        <f ca="1">IFERROR(__xludf.DUMMYFUNCTION("GOOGLETRANSLATE(F166,""en"",""pt"")"),"quartos de conservação")</f>
        <v>quartos de conservação</v>
      </c>
      <c r="H166" s="24"/>
      <c r="I166" s="24"/>
      <c r="J166" s="24"/>
      <c r="K166" s="24"/>
    </row>
    <row r="167" spans="1:11" ht="14.5">
      <c r="A167" s="20" t="s">
        <v>6280</v>
      </c>
      <c r="B167" s="81">
        <v>25</v>
      </c>
      <c r="C167" s="81">
        <v>50</v>
      </c>
      <c r="D167" s="81">
        <v>21</v>
      </c>
      <c r="E167" s="79"/>
      <c r="F167" s="20" t="s">
        <v>6281</v>
      </c>
      <c r="G167" s="24" t="str">
        <f ca="1">IFERROR(__xludf.DUMMYFUNCTION("GOOGLETRANSLATE(F167,""en"",""pt"")"),"quartos diorama")</f>
        <v>quartos diorama</v>
      </c>
      <c r="H167" s="24"/>
      <c r="I167" s="24"/>
      <c r="J167" s="24"/>
      <c r="K167" s="24"/>
    </row>
    <row r="168" spans="1:11" ht="14.5">
      <c r="A168" s="20" t="s">
        <v>6282</v>
      </c>
      <c r="B168" s="81">
        <v>25</v>
      </c>
      <c r="C168" s="81">
        <v>50</v>
      </c>
      <c r="D168" s="81">
        <v>26</v>
      </c>
      <c r="E168" s="79"/>
      <c r="F168" s="20" t="s">
        <v>6283</v>
      </c>
      <c r="G168" s="24" t="str">
        <f ca="1">IFERROR(__xludf.DUMMYFUNCTION("GOOGLETRANSLATE(F168,""en"",""pt"")"),"galerias externas")</f>
        <v>galerias externas</v>
      </c>
      <c r="H168" s="24"/>
      <c r="I168" s="24"/>
      <c r="J168" s="24"/>
      <c r="K168" s="24"/>
    </row>
    <row r="169" spans="1:11" ht="14.5">
      <c r="A169" s="20" t="s">
        <v>6284</v>
      </c>
      <c r="B169" s="81">
        <v>25</v>
      </c>
      <c r="C169" s="81">
        <v>50</v>
      </c>
      <c r="D169" s="81">
        <v>29</v>
      </c>
      <c r="E169" s="79"/>
      <c r="F169" s="20" t="s">
        <v>6285</v>
      </c>
      <c r="G169" s="24" t="str">
        <f ca="1">IFERROR(__xludf.DUMMYFUNCTION("GOOGLETRANSLATE(F169,""en"",""pt"")"),"espaços de exposição fauna")</f>
        <v>espaços de exposição fauna</v>
      </c>
      <c r="H169" s="24"/>
      <c r="I169" s="24"/>
      <c r="J169" s="24"/>
      <c r="K169" s="24"/>
    </row>
    <row r="170" spans="1:11" ht="14.5">
      <c r="A170" s="20" t="s">
        <v>6286</v>
      </c>
      <c r="B170" s="81">
        <v>25</v>
      </c>
      <c r="C170" s="81">
        <v>50</v>
      </c>
      <c r="D170" s="81">
        <v>31</v>
      </c>
      <c r="E170" s="79"/>
      <c r="F170" s="20" t="s">
        <v>6287</v>
      </c>
      <c r="G170" s="24" t="str">
        <f ca="1">IFERROR(__xludf.DUMMYFUNCTION("GOOGLETRANSLATE(F170,""en"",""pt"")"),"espaços de exposição Flora")</f>
        <v>espaços de exposição Flora</v>
      </c>
      <c r="H170" s="24"/>
      <c r="I170" s="24"/>
      <c r="J170" s="24"/>
      <c r="K170" s="24"/>
    </row>
    <row r="171" spans="1:11" ht="14.5">
      <c r="A171" s="20" t="s">
        <v>6288</v>
      </c>
      <c r="B171" s="81">
        <v>25</v>
      </c>
      <c r="C171" s="81">
        <v>50</v>
      </c>
      <c r="D171" s="81">
        <v>42</v>
      </c>
      <c r="E171" s="79"/>
      <c r="F171" s="20" t="s">
        <v>6289</v>
      </c>
      <c r="G171" s="24" t="str">
        <f ca="1">IFERROR(__xludf.DUMMYFUNCTION("GOOGLETRANSLATE(F171,""en"",""pt"")"),"galerias internas")</f>
        <v>galerias internas</v>
      </c>
      <c r="H171" s="24"/>
      <c r="I171" s="24"/>
      <c r="J171" s="24"/>
      <c r="K171" s="24"/>
    </row>
    <row r="172" spans="1:11" ht="14.5">
      <c r="A172" s="20" t="s">
        <v>6290</v>
      </c>
      <c r="B172" s="81">
        <v>25</v>
      </c>
      <c r="C172" s="81">
        <v>50</v>
      </c>
      <c r="D172" s="81">
        <v>63</v>
      </c>
      <c r="E172" s="79"/>
      <c r="F172" s="20" t="s">
        <v>6291</v>
      </c>
      <c r="G172" s="24" t="str">
        <f ca="1">IFERROR(__xludf.DUMMYFUNCTION("GOOGLETRANSLATE(F172,""en"",""pt"")"),"Planetários")</f>
        <v>Planetários</v>
      </c>
      <c r="H172" s="24"/>
      <c r="I172" s="24"/>
      <c r="J172" s="24"/>
      <c r="K172" s="24"/>
    </row>
    <row r="173" spans="1:11" ht="14.5">
      <c r="A173" s="20" t="s">
        <v>6292</v>
      </c>
      <c r="B173" s="81">
        <v>25</v>
      </c>
      <c r="C173" s="81">
        <v>50</v>
      </c>
      <c r="D173" s="81">
        <v>94</v>
      </c>
      <c r="E173" s="79"/>
      <c r="F173" s="20" t="s">
        <v>6293</v>
      </c>
      <c r="G173" s="24" t="str">
        <f ca="1">IFERROR(__xludf.DUMMYFUNCTION("GOOGLETRANSLATE(F173,""en"",""pt"")"),"Visualizando espaços")</f>
        <v>Visualizando espaços</v>
      </c>
      <c r="H173" s="24"/>
      <c r="I173" s="24"/>
      <c r="J173" s="24"/>
      <c r="K173" s="24"/>
    </row>
    <row r="174" spans="1:11" ht="14.5">
      <c r="A174" s="20" t="s">
        <v>6294</v>
      </c>
      <c r="B174" s="81">
        <v>25</v>
      </c>
      <c r="C174" s="81">
        <v>70</v>
      </c>
      <c r="D174" s="79"/>
      <c r="E174" s="79"/>
      <c r="F174" s="20" t="s">
        <v>6295</v>
      </c>
      <c r="G174" s="24" t="str">
        <f ca="1">IFERROR(__xludf.DUMMYFUNCTION("GOOGLETRANSLATE(F174,""en"",""pt"")"),"espaços de informação")</f>
        <v>espaços de informação</v>
      </c>
      <c r="H174" s="24"/>
      <c r="I174" s="24"/>
      <c r="J174" s="24"/>
      <c r="K174" s="24"/>
    </row>
    <row r="175" spans="1:11" ht="14.5">
      <c r="A175" s="20" t="s">
        <v>6296</v>
      </c>
      <c r="B175" s="81">
        <v>25</v>
      </c>
      <c r="C175" s="81">
        <v>70</v>
      </c>
      <c r="D175" s="81">
        <v>2</v>
      </c>
      <c r="E175" s="79"/>
      <c r="F175" s="20" t="s">
        <v>6297</v>
      </c>
      <c r="G175" s="24" t="str">
        <f ca="1">IFERROR(__xludf.DUMMYFUNCTION("GOOGLETRANSLATE(F175,""en"",""pt"")"),"arquivo")</f>
        <v>arquivo</v>
      </c>
      <c r="H175" s="24"/>
      <c r="I175" s="24"/>
      <c r="J175" s="24"/>
      <c r="K175" s="24"/>
    </row>
    <row r="176" spans="1:11" ht="14.5">
      <c r="A176" s="20" t="s">
        <v>6298</v>
      </c>
      <c r="B176" s="81">
        <v>25</v>
      </c>
      <c r="C176" s="81">
        <v>70</v>
      </c>
      <c r="D176" s="81">
        <v>4</v>
      </c>
      <c r="E176" s="79"/>
      <c r="F176" s="20" t="s">
        <v>6299</v>
      </c>
      <c r="G176" s="24" t="str">
        <f ca="1">IFERROR(__xludf.DUMMYFUNCTION("GOOGLETRANSLATE(F176,""en"",""pt"")"),"arquivos de áudio-visuais")</f>
        <v>arquivos de áudio-visuais</v>
      </c>
      <c r="H176" s="24"/>
      <c r="I176" s="24"/>
      <c r="J176" s="24"/>
      <c r="K176" s="24"/>
    </row>
    <row r="177" spans="1:11" ht="14.5">
      <c r="A177" s="20" t="s">
        <v>6300</v>
      </c>
      <c r="B177" s="81">
        <v>25</v>
      </c>
      <c r="C177" s="81">
        <v>70</v>
      </c>
      <c r="D177" s="81">
        <v>5</v>
      </c>
      <c r="E177" s="79"/>
      <c r="F177" s="20" t="s">
        <v>6301</v>
      </c>
      <c r="G177" s="24" t="str">
        <f ca="1">IFERROR(__xludf.DUMMYFUNCTION("GOOGLETRANSLATE(F177,""en"",""pt"")"),"salas de estudo áudio-visuais")</f>
        <v>salas de estudo áudio-visuais</v>
      </c>
      <c r="H177" s="24"/>
      <c r="I177" s="24"/>
      <c r="J177" s="24"/>
      <c r="K177" s="24"/>
    </row>
    <row r="178" spans="1:11" ht="14.5">
      <c r="A178" s="20" t="s">
        <v>6302</v>
      </c>
      <c r="B178" s="81">
        <v>25</v>
      </c>
      <c r="C178" s="81">
        <v>70</v>
      </c>
      <c r="D178" s="81">
        <v>13</v>
      </c>
      <c r="E178" s="79"/>
      <c r="F178" s="20" t="s">
        <v>6303</v>
      </c>
      <c r="G178" s="24" t="str">
        <f ca="1">IFERROR(__xludf.DUMMYFUNCTION("GOOGLETRANSLATE(F178,""en"",""pt"")"),"Salas de conferencia")</f>
        <v>Salas de conferencia</v>
      </c>
      <c r="H178" s="24"/>
      <c r="I178" s="24"/>
      <c r="J178" s="24"/>
      <c r="K178" s="24"/>
    </row>
    <row r="179" spans="1:11" ht="14.5">
      <c r="A179" s="20" t="s">
        <v>6304</v>
      </c>
      <c r="B179" s="81">
        <v>25</v>
      </c>
      <c r="C179" s="81">
        <v>70</v>
      </c>
      <c r="D179" s="81">
        <v>47</v>
      </c>
      <c r="E179" s="79"/>
      <c r="F179" s="20" t="s">
        <v>6305</v>
      </c>
      <c r="G179" s="24" t="str">
        <f ca="1">IFERROR(__xludf.DUMMYFUNCTION("GOOGLETRANSLATE(F179,""en"",""pt"")"),"salas de biblioteca")</f>
        <v>salas de biblioteca</v>
      </c>
      <c r="H179" s="24"/>
      <c r="I179" s="24"/>
      <c r="J179" s="24"/>
      <c r="K179" s="24"/>
    </row>
    <row r="180" spans="1:11" ht="14.5">
      <c r="A180" s="20" t="s">
        <v>6306</v>
      </c>
      <c r="B180" s="81">
        <v>25</v>
      </c>
      <c r="C180" s="81">
        <v>70</v>
      </c>
      <c r="D180" s="81">
        <v>72</v>
      </c>
      <c r="E180" s="79"/>
      <c r="F180" s="20" t="s">
        <v>6307</v>
      </c>
      <c r="G180" s="24" t="str">
        <f ca="1">IFERROR(__xludf.DUMMYFUNCTION("GOOGLETRANSLATE(F180,""en"",""pt"")"),"salas de leitura")</f>
        <v>salas de leitura</v>
      </c>
      <c r="H180" s="24"/>
      <c r="I180" s="24"/>
      <c r="J180" s="24"/>
      <c r="K180" s="24"/>
    </row>
    <row r="181" spans="1:11" ht="14.5">
      <c r="A181" s="20" t="s">
        <v>6308</v>
      </c>
      <c r="B181" s="81">
        <v>25</v>
      </c>
      <c r="C181" s="81">
        <v>70</v>
      </c>
      <c r="D181" s="81">
        <v>73</v>
      </c>
      <c r="E181" s="79"/>
      <c r="F181" s="20" t="s">
        <v>6309</v>
      </c>
      <c r="G181" s="24" t="str">
        <f ca="1">IFERROR(__xludf.DUMMYFUNCTION("GOOGLETRANSLATE(F181,""en"",""pt"")"),"registros lojas")</f>
        <v>registros lojas</v>
      </c>
      <c r="H181" s="24"/>
      <c r="I181" s="24"/>
      <c r="J181" s="24"/>
      <c r="K181" s="24"/>
    </row>
    <row r="182" spans="1:11" ht="14.5">
      <c r="A182" s="20" t="s">
        <v>6310</v>
      </c>
      <c r="B182" s="81">
        <v>25</v>
      </c>
      <c r="C182" s="81">
        <v>90</v>
      </c>
      <c r="D182" s="79"/>
      <c r="E182" s="79"/>
      <c r="F182" s="20" t="s">
        <v>6311</v>
      </c>
      <c r="G182" s="24" t="str">
        <f ca="1">IFERROR(__xludf.DUMMYFUNCTION("GOOGLETRANSLATE(F182,""en"",""pt"")"),"espaços de culto")</f>
        <v>espaços de culto</v>
      </c>
      <c r="H182" s="24"/>
      <c r="I182" s="24"/>
      <c r="J182" s="24"/>
      <c r="K182" s="24"/>
    </row>
    <row r="183" spans="1:11" ht="14.5">
      <c r="A183" s="20" t="s">
        <v>6312</v>
      </c>
      <c r="B183" s="81">
        <v>25</v>
      </c>
      <c r="C183" s="81">
        <v>90</v>
      </c>
      <c r="D183" s="81">
        <v>30</v>
      </c>
      <c r="E183" s="79"/>
      <c r="F183" s="20" t="s">
        <v>6313</v>
      </c>
      <c r="G183" s="24" t="str">
        <f ca="1">IFERROR(__xludf.DUMMYFUNCTION("GOOGLETRANSLATE(F183,""en"",""pt"")"),"espaços fé")</f>
        <v>espaços fé</v>
      </c>
      <c r="H183" s="24"/>
      <c r="I183" s="24"/>
      <c r="J183" s="24"/>
      <c r="K183" s="24"/>
    </row>
    <row r="184" spans="1:11" ht="14.5">
      <c r="A184" s="20" t="s">
        <v>6314</v>
      </c>
      <c r="B184" s="81">
        <v>25</v>
      </c>
      <c r="C184" s="81">
        <v>90</v>
      </c>
      <c r="D184" s="81">
        <v>65</v>
      </c>
      <c r="E184" s="79"/>
      <c r="F184" s="20" t="s">
        <v>6315</v>
      </c>
      <c r="G184" s="24" t="str">
        <f ca="1">IFERROR(__xludf.DUMMYFUNCTION("GOOGLETRANSLATE(F184,""en"",""pt"")"),"salas de oração")</f>
        <v>salas de oração</v>
      </c>
      <c r="H184" s="24"/>
      <c r="I184" s="24"/>
      <c r="J184" s="24"/>
      <c r="K184" s="24"/>
    </row>
    <row r="185" spans="1:11" ht="14.5">
      <c r="A185" s="20" t="s">
        <v>6316</v>
      </c>
      <c r="B185" s="81">
        <v>25</v>
      </c>
      <c r="C185" s="81">
        <v>90</v>
      </c>
      <c r="D185" s="81">
        <v>78</v>
      </c>
      <c r="E185" s="79"/>
      <c r="F185" s="20" t="s">
        <v>6317</v>
      </c>
      <c r="G185" s="24" t="str">
        <f ca="1">IFERROR(__xludf.DUMMYFUNCTION("GOOGLETRANSLATE(F185,""en"",""pt"")"),"santuários")</f>
        <v>santuários</v>
      </c>
      <c r="H185" s="24"/>
      <c r="I185" s="24"/>
      <c r="J185" s="24"/>
      <c r="K185" s="24"/>
    </row>
    <row r="186" spans="1:11" ht="14.5">
      <c r="A186" s="20" t="s">
        <v>6318</v>
      </c>
      <c r="B186" s="81">
        <v>30</v>
      </c>
      <c r="C186" s="79"/>
      <c r="D186" s="79"/>
      <c r="E186" s="79"/>
      <c r="F186" s="20" t="s">
        <v>6319</v>
      </c>
      <c r="G186" s="24" t="str">
        <f ca="1">IFERROR(__xludf.DUMMYFUNCTION("GOOGLETRANSLATE(F186,""en"",""pt"")"),"espaços industriais")</f>
        <v>espaços industriais</v>
      </c>
      <c r="H186" s="24"/>
      <c r="I186" s="24"/>
      <c r="J186" s="24"/>
      <c r="K186" s="24"/>
    </row>
    <row r="187" spans="1:11" ht="14.5">
      <c r="A187" s="20" t="s">
        <v>6320</v>
      </c>
      <c r="B187" s="81">
        <v>30</v>
      </c>
      <c r="C187" s="81">
        <v>10</v>
      </c>
      <c r="D187" s="79"/>
      <c r="E187" s="79"/>
      <c r="F187" s="20" t="s">
        <v>6321</v>
      </c>
      <c r="G187" s="24" t="str">
        <f ca="1">IFERROR(__xludf.DUMMYFUNCTION("GOOGLETRANSLATE(F187,""en"",""pt"")"),"espaços de extração de minerais")</f>
        <v>espaços de extração de minerais</v>
      </c>
      <c r="H187" s="24"/>
      <c r="I187" s="24"/>
      <c r="J187" s="24"/>
      <c r="K187" s="24"/>
    </row>
    <row r="188" spans="1:11" ht="14.5">
      <c r="A188" s="20" t="s">
        <v>6322</v>
      </c>
      <c r="B188" s="81">
        <v>30</v>
      </c>
      <c r="C188" s="81">
        <v>10</v>
      </c>
      <c r="D188" s="81">
        <v>57</v>
      </c>
      <c r="E188" s="79"/>
      <c r="F188" s="20" t="s">
        <v>6323</v>
      </c>
      <c r="G188" s="24" t="str">
        <f ca="1">IFERROR(__xludf.DUMMYFUNCTION("GOOGLETRANSLATE(F188,""en"",""pt"")"),"espaços de perfuração de petróleo e gás")</f>
        <v>espaços de perfuração de petróleo e gás</v>
      </c>
      <c r="H188" s="24"/>
      <c r="I188" s="24"/>
      <c r="J188" s="24"/>
      <c r="K188" s="24"/>
    </row>
    <row r="189" spans="1:11" ht="14.5">
      <c r="A189" s="20" t="s">
        <v>6324</v>
      </c>
      <c r="B189" s="81">
        <v>30</v>
      </c>
      <c r="C189" s="81">
        <v>10</v>
      </c>
      <c r="D189" s="81">
        <v>59</v>
      </c>
      <c r="E189" s="79"/>
      <c r="F189" s="20" t="s">
        <v>6325</v>
      </c>
      <c r="G189" s="24" t="str">
        <f ca="1">IFERROR(__xludf.DUMMYFUNCTION("GOOGLETRANSLATE(F189,""en"",""pt"")"),"espaços de perfuração de petróleo e gás onshore")</f>
        <v>espaços de perfuração de petróleo e gás onshore</v>
      </c>
      <c r="H189" s="24"/>
      <c r="I189" s="24"/>
      <c r="J189" s="24"/>
      <c r="K189" s="24"/>
    </row>
    <row r="190" spans="1:11" ht="14.5">
      <c r="A190" s="20" t="s">
        <v>6326</v>
      </c>
      <c r="B190" s="81">
        <v>30</v>
      </c>
      <c r="C190" s="81">
        <v>10</v>
      </c>
      <c r="D190" s="81">
        <v>69</v>
      </c>
      <c r="E190" s="79"/>
      <c r="F190" s="20" t="s">
        <v>6327</v>
      </c>
      <c r="G190" s="24" t="str">
        <f ca="1">IFERROR(__xludf.DUMMYFUNCTION("GOOGLETRANSLATE(F190,""en"",""pt"")"),"áreas de pedreiras")</f>
        <v>áreas de pedreiras</v>
      </c>
      <c r="H190" s="24"/>
      <c r="I190" s="24"/>
      <c r="J190" s="24"/>
      <c r="K190" s="24"/>
    </row>
    <row r="191" spans="1:11" ht="14.5">
      <c r="A191" s="20" t="s">
        <v>6328</v>
      </c>
      <c r="B191" s="81">
        <v>30</v>
      </c>
      <c r="C191" s="81">
        <v>10</v>
      </c>
      <c r="D191" s="81">
        <v>85</v>
      </c>
      <c r="E191" s="79"/>
      <c r="F191" s="20" t="s">
        <v>6329</v>
      </c>
      <c r="G191" s="24" t="str">
        <f ca="1">IFERROR(__xludf.DUMMYFUNCTION("GOOGLETRANSLATE(F191,""en"",""pt"")"),"mina funcionamento superfície")</f>
        <v>mina funcionamento superfície</v>
      </c>
      <c r="H191" s="24"/>
      <c r="I191" s="24"/>
      <c r="J191" s="24"/>
      <c r="K191" s="24"/>
    </row>
    <row r="192" spans="1:11" ht="14.5">
      <c r="A192" s="20" t="s">
        <v>6330</v>
      </c>
      <c r="B192" s="81">
        <v>30</v>
      </c>
      <c r="C192" s="81">
        <v>10</v>
      </c>
      <c r="D192" s="81">
        <v>91</v>
      </c>
      <c r="E192" s="79"/>
      <c r="F192" s="20" t="s">
        <v>6331</v>
      </c>
      <c r="G192" s="24" t="str">
        <f ca="1">IFERROR(__xludf.DUMMYFUNCTION("GOOGLETRANSLATE(F192,""en"",""pt"")"),"câmaras mina subterrânea")</f>
        <v>câmaras mina subterrânea</v>
      </c>
      <c r="H192" s="24"/>
      <c r="I192" s="24"/>
      <c r="J192" s="24"/>
      <c r="K192" s="24"/>
    </row>
    <row r="193" spans="1:11" ht="14.5">
      <c r="A193" s="20" t="s">
        <v>6332</v>
      </c>
      <c r="B193" s="81">
        <v>30</v>
      </c>
      <c r="C193" s="81">
        <v>10</v>
      </c>
      <c r="D193" s="81">
        <v>93</v>
      </c>
      <c r="E193" s="79"/>
      <c r="F193" s="20" t="s">
        <v>6333</v>
      </c>
      <c r="G193" s="24" t="str">
        <f ca="1">IFERROR(__xludf.DUMMYFUNCTION("GOOGLETRANSLATE(F193,""en"",""pt"")"),"minas subterrâneas")</f>
        <v>minas subterrâneas</v>
      </c>
      <c r="H193" s="24"/>
      <c r="I193" s="24"/>
      <c r="J193" s="24"/>
      <c r="K193" s="24"/>
    </row>
    <row r="194" spans="1:11" ht="14.5">
      <c r="A194" s="20" t="s">
        <v>6334</v>
      </c>
      <c r="B194" s="81">
        <v>30</v>
      </c>
      <c r="C194" s="81">
        <v>10</v>
      </c>
      <c r="D194" s="81">
        <v>94</v>
      </c>
      <c r="E194" s="79"/>
      <c r="F194" s="20" t="s">
        <v>6335</v>
      </c>
      <c r="G194" s="24" t="str">
        <f ca="1">IFERROR(__xludf.DUMMYFUNCTION("GOOGLETRANSLATE(F194,""en"",""pt"")"),"túneis mina subterrânea")</f>
        <v>túneis mina subterrânea</v>
      </c>
      <c r="H194" s="24"/>
      <c r="I194" s="24"/>
      <c r="J194" s="24"/>
      <c r="K194" s="24"/>
    </row>
    <row r="195" spans="1:11" ht="14.5">
      <c r="A195" s="20" t="s">
        <v>6336</v>
      </c>
      <c r="B195" s="81">
        <v>30</v>
      </c>
      <c r="C195" s="81">
        <v>20</v>
      </c>
      <c r="D195" s="79"/>
      <c r="E195" s="79"/>
      <c r="F195" s="20" t="s">
        <v>6337</v>
      </c>
      <c r="G195" s="24" t="str">
        <f ca="1">IFERROR(__xludf.DUMMYFUNCTION("GOOGLETRANSLATE(F195,""en"",""pt"")"),"espaços de gestão químicas nucleares e")</f>
        <v>espaços de gestão químicas nucleares e</v>
      </c>
      <c r="H195" s="24"/>
      <c r="I195" s="24"/>
      <c r="J195" s="24"/>
      <c r="K195" s="24"/>
    </row>
    <row r="196" spans="1:11" ht="14.5">
      <c r="A196" s="20" t="s">
        <v>6338</v>
      </c>
      <c r="B196" s="81">
        <v>30</v>
      </c>
      <c r="C196" s="81">
        <v>20</v>
      </c>
      <c r="D196" s="81">
        <v>70</v>
      </c>
      <c r="E196" s="79"/>
      <c r="F196" s="20" t="s">
        <v>6339</v>
      </c>
      <c r="G196" s="24" t="str">
        <f ca="1">IFERROR(__xludf.DUMMYFUNCTION("GOOGLETRANSLATE(F196,""en"",""pt"")"),"espaços descontaminação radioactiva")</f>
        <v>espaços descontaminação radioactiva</v>
      </c>
      <c r="H196" s="24"/>
      <c r="I196" s="24"/>
      <c r="J196" s="24"/>
      <c r="K196" s="24"/>
    </row>
    <row r="197" spans="1:11" ht="14.5">
      <c r="A197" s="20" t="s">
        <v>6340</v>
      </c>
      <c r="B197" s="81">
        <v>30</v>
      </c>
      <c r="C197" s="81">
        <v>20</v>
      </c>
      <c r="D197" s="81">
        <v>75</v>
      </c>
      <c r="E197" s="79"/>
      <c r="F197" s="20" t="s">
        <v>6341</v>
      </c>
      <c r="G197" s="24" t="str">
        <f ca="1">IFERROR(__xludf.DUMMYFUNCTION("GOOGLETRANSLATE(F197,""en"",""pt"")"),"espaços de transferência de pacote de resíduos radioactivos")</f>
        <v>espaços de transferência de pacote de resíduos radioactivos</v>
      </c>
      <c r="H197" s="24"/>
      <c r="I197" s="24"/>
      <c r="J197" s="24"/>
      <c r="K197" s="24"/>
    </row>
    <row r="198" spans="1:11" ht="14.5">
      <c r="A198" s="20" t="s">
        <v>6342</v>
      </c>
      <c r="B198" s="81">
        <v>30</v>
      </c>
      <c r="C198" s="81">
        <v>30</v>
      </c>
      <c r="D198" s="79"/>
      <c r="E198" s="79"/>
      <c r="F198" s="20" t="s">
        <v>6343</v>
      </c>
      <c r="G198" s="24" t="str">
        <f ca="1">IFERROR(__xludf.DUMMYFUNCTION("GOOGLETRANSLATE(F198,""en"",""pt"")"),"espaços de processamento de minerais")</f>
        <v>espaços de processamento de minerais</v>
      </c>
      <c r="H198" s="24"/>
      <c r="I198" s="24"/>
      <c r="J198" s="24"/>
      <c r="K198" s="24"/>
    </row>
    <row r="199" spans="1:11" ht="14.5">
      <c r="A199" s="20" t="s">
        <v>6344</v>
      </c>
      <c r="B199" s="81">
        <v>30</v>
      </c>
      <c r="C199" s="81">
        <v>30</v>
      </c>
      <c r="D199" s="81">
        <v>33</v>
      </c>
      <c r="E199" s="79"/>
      <c r="F199" s="20" t="s">
        <v>6345</v>
      </c>
      <c r="G199" s="24" t="str">
        <f ca="1">IFERROR(__xludf.DUMMYFUNCTION("GOOGLETRANSLATE(F199,""en"",""pt"")"),"espaços de processamento de gás")</f>
        <v>espaços de processamento de gás</v>
      </c>
      <c r="H199" s="24"/>
      <c r="I199" s="24"/>
      <c r="J199" s="24"/>
      <c r="K199" s="24"/>
    </row>
    <row r="200" spans="1:11" ht="14.5">
      <c r="A200" s="20" t="s">
        <v>6346</v>
      </c>
      <c r="B200" s="81">
        <v>30</v>
      </c>
      <c r="C200" s="81">
        <v>30</v>
      </c>
      <c r="D200" s="81">
        <v>58</v>
      </c>
      <c r="E200" s="79"/>
      <c r="F200" s="20" t="s">
        <v>6347</v>
      </c>
      <c r="G200" s="24" t="str">
        <f ca="1">IFERROR(__xludf.DUMMYFUNCTION("GOOGLETRANSLATE(F200,""en"",""pt"")"),"espaços de processamento de petróleo")</f>
        <v>espaços de processamento de petróleo</v>
      </c>
      <c r="H200" s="24"/>
      <c r="I200" s="24"/>
      <c r="J200" s="24"/>
      <c r="K200" s="24"/>
    </row>
    <row r="201" spans="1:11" ht="14.5">
      <c r="A201" s="20" t="s">
        <v>6348</v>
      </c>
      <c r="B201" s="81">
        <v>30</v>
      </c>
      <c r="C201" s="81">
        <v>30</v>
      </c>
      <c r="D201" s="81">
        <v>59</v>
      </c>
      <c r="E201" s="79"/>
      <c r="F201" s="20" t="s">
        <v>6349</v>
      </c>
      <c r="G201" s="24" t="str">
        <f ca="1">IFERROR(__xludf.DUMMYFUNCTION("GOOGLETRANSLATE(F201,""en"",""pt"")"),"espaços de processamento de minério")</f>
        <v>espaços de processamento de minério</v>
      </c>
      <c r="H201" s="24"/>
      <c r="I201" s="24"/>
      <c r="J201" s="24"/>
      <c r="K201" s="24"/>
    </row>
    <row r="202" spans="1:11" ht="14.5">
      <c r="A202" s="20" t="s">
        <v>6350</v>
      </c>
      <c r="B202" s="81">
        <v>30</v>
      </c>
      <c r="C202" s="81">
        <v>40</v>
      </c>
      <c r="D202" s="79"/>
      <c r="E202" s="79"/>
      <c r="F202" s="20" t="s">
        <v>6351</v>
      </c>
      <c r="G202" s="24" t="str">
        <f ca="1">IFERROR(__xludf.DUMMYFUNCTION("GOOGLETRANSLATE(F202,""en"",""pt"")"),"Animais e plantas de processamento de produtos espaços")</f>
        <v>Animais e plantas de processamento de produtos espaços</v>
      </c>
      <c r="H202" s="24"/>
      <c r="I202" s="24"/>
      <c r="J202" s="24"/>
      <c r="K202" s="24"/>
    </row>
    <row r="203" spans="1:11" ht="14.5">
      <c r="A203" s="20" t="s">
        <v>6352</v>
      </c>
      <c r="B203" s="81">
        <v>30</v>
      </c>
      <c r="C203" s="81">
        <v>40</v>
      </c>
      <c r="D203" s="81">
        <v>7</v>
      </c>
      <c r="E203" s="79"/>
      <c r="F203" s="20" t="s">
        <v>6353</v>
      </c>
      <c r="G203" s="24" t="str">
        <f ca="1">IFERROR(__xludf.DUMMYFUNCTION("GOOGLETRANSLATE(F203,""en"",""pt"")"),"quartos de engarrafamento")</f>
        <v>quartos de engarrafamento</v>
      </c>
      <c r="H203" s="24"/>
      <c r="I203" s="24"/>
      <c r="J203" s="24"/>
      <c r="K203" s="24"/>
    </row>
    <row r="204" spans="1:11" ht="14.5">
      <c r="A204" s="20" t="s">
        <v>6354</v>
      </c>
      <c r="B204" s="81">
        <v>30</v>
      </c>
      <c r="C204" s="81">
        <v>40</v>
      </c>
      <c r="D204" s="81">
        <v>10</v>
      </c>
      <c r="E204" s="79"/>
      <c r="F204" s="20" t="s">
        <v>6355</v>
      </c>
      <c r="G204" s="24" t="str">
        <f ca="1">IFERROR(__xludf.DUMMYFUNCTION("GOOGLETRANSLATE(F204,""en"",""pt"")"),"Manteiga quartos making")</f>
        <v>Manteiga quartos making</v>
      </c>
      <c r="H204" s="24"/>
      <c r="I204" s="24"/>
      <c r="J204" s="24"/>
      <c r="K204" s="24"/>
    </row>
    <row r="205" spans="1:11" ht="14.5">
      <c r="A205" s="20" t="s">
        <v>6356</v>
      </c>
      <c r="B205" s="81">
        <v>30</v>
      </c>
      <c r="C205" s="81">
        <v>40</v>
      </c>
      <c r="D205" s="81">
        <v>18</v>
      </c>
      <c r="E205" s="79"/>
      <c r="F205" s="20" t="s">
        <v>6357</v>
      </c>
      <c r="G205" s="24" t="str">
        <f ca="1">IFERROR(__xludf.DUMMYFUNCTION("GOOGLETRANSLATE(F205,""en"",""pt"")"),"quartos fabrico de queijo")</f>
        <v>quartos fabrico de queijo</v>
      </c>
      <c r="H205" s="24"/>
      <c r="I205" s="24"/>
      <c r="J205" s="24"/>
      <c r="K205" s="24"/>
    </row>
    <row r="206" spans="1:11" ht="14.5">
      <c r="A206" s="20" t="s">
        <v>6358</v>
      </c>
      <c r="B206" s="81">
        <v>30</v>
      </c>
      <c r="C206" s="81">
        <v>40</v>
      </c>
      <c r="D206" s="81">
        <v>30</v>
      </c>
      <c r="E206" s="79"/>
      <c r="F206" s="20" t="s">
        <v>6359</v>
      </c>
      <c r="G206" s="24" t="str">
        <f ca="1">IFERROR(__xludf.DUMMYFUNCTION("GOOGLETRANSLATE(F206,""en"",""pt"")"),"salas de processamento de peixe")</f>
        <v>salas de processamento de peixe</v>
      </c>
      <c r="H206" s="24"/>
      <c r="I206" s="24"/>
      <c r="J206" s="24"/>
      <c r="K206" s="24"/>
    </row>
    <row r="207" spans="1:11" ht="14.5">
      <c r="A207" s="20" t="s">
        <v>6360</v>
      </c>
      <c r="B207" s="81">
        <v>30</v>
      </c>
      <c r="C207" s="81">
        <v>40</v>
      </c>
      <c r="D207" s="81">
        <v>32</v>
      </c>
      <c r="E207" s="79"/>
      <c r="F207" s="20" t="s">
        <v>6361</v>
      </c>
      <c r="G207" s="24" t="str">
        <f ca="1">IFERROR(__xludf.DUMMYFUNCTION("GOOGLETRANSLATE(F207,""en"",""pt"")"),"frutas frescas e quartos de embalagem de produtos hortícolas")</f>
        <v>frutas frescas e quartos de embalagem de produtos hortícolas</v>
      </c>
      <c r="H207" s="24"/>
      <c r="I207" s="24"/>
      <c r="J207" s="24"/>
      <c r="K207" s="24"/>
    </row>
    <row r="208" spans="1:11" ht="14.5">
      <c r="A208" s="20" t="s">
        <v>6362</v>
      </c>
      <c r="B208" s="81">
        <v>30</v>
      </c>
      <c r="C208" s="81">
        <v>40</v>
      </c>
      <c r="D208" s="81">
        <v>44</v>
      </c>
      <c r="E208" s="79"/>
      <c r="F208" s="20" t="s">
        <v>6363</v>
      </c>
      <c r="G208" s="24" t="str">
        <f ca="1">IFERROR(__xludf.DUMMYFUNCTION("GOOGLETRANSLATE(F208,""en"",""pt"")"),"quartos sumo")</f>
        <v>quartos sumo</v>
      </c>
      <c r="H208" s="24"/>
      <c r="I208" s="24"/>
      <c r="J208" s="24"/>
      <c r="K208" s="24"/>
    </row>
    <row r="209" spans="1:11" ht="14.5">
      <c r="A209" s="20" t="s">
        <v>6364</v>
      </c>
      <c r="B209" s="81">
        <v>30</v>
      </c>
      <c r="C209" s="81">
        <v>40</v>
      </c>
      <c r="D209" s="81">
        <v>50</v>
      </c>
      <c r="E209" s="79"/>
      <c r="F209" s="20" t="s">
        <v>6365</v>
      </c>
      <c r="G209" s="24" t="str">
        <f ca="1">IFERROR(__xludf.DUMMYFUNCTION("GOOGLETRANSLATE(F209,""en"",""pt"")"),"salas de processamento de carne")</f>
        <v>salas de processamento de carne</v>
      </c>
      <c r="H209" s="24"/>
      <c r="I209" s="24"/>
      <c r="J209" s="24"/>
      <c r="K209" s="24"/>
    </row>
    <row r="210" spans="1:11" ht="14.5">
      <c r="A210" s="20" t="s">
        <v>6366</v>
      </c>
      <c r="B210" s="81">
        <v>30</v>
      </c>
      <c r="C210" s="81">
        <v>40</v>
      </c>
      <c r="D210" s="81">
        <v>54</v>
      </c>
      <c r="E210" s="79"/>
      <c r="F210" s="20" t="s">
        <v>6367</v>
      </c>
      <c r="G210" s="24" t="str">
        <f ca="1">IFERROR(__xludf.DUMMYFUNCTION("GOOGLETRANSLATE(F210,""en"",""pt"")"),"salas de processamento de leite")</f>
        <v>salas de processamento de leite</v>
      </c>
      <c r="H210" s="24"/>
      <c r="I210" s="24"/>
      <c r="J210" s="24"/>
      <c r="K210" s="24"/>
    </row>
    <row r="211" spans="1:11" ht="14.5">
      <c r="A211" s="20" t="s">
        <v>6368</v>
      </c>
      <c r="B211" s="81">
        <v>30</v>
      </c>
      <c r="C211" s="81">
        <v>40</v>
      </c>
      <c r="D211" s="81">
        <v>63</v>
      </c>
      <c r="E211" s="79"/>
      <c r="F211" s="20" t="s">
        <v>6369</v>
      </c>
      <c r="G211" s="24" t="str">
        <f ca="1">IFERROR(__xludf.DUMMYFUNCTION("GOOGLETRANSLATE(F211,""en"",""pt"")"),"fibra vegetal classificação quartos")</f>
        <v>fibra vegetal classificação quartos</v>
      </c>
      <c r="H211" s="24"/>
      <c r="I211" s="24"/>
      <c r="J211" s="24"/>
      <c r="K211" s="24"/>
    </row>
    <row r="212" spans="1:11" ht="14.5">
      <c r="A212" s="20" t="s">
        <v>6370</v>
      </c>
      <c r="B212" s="81">
        <v>30</v>
      </c>
      <c r="C212" s="81">
        <v>40</v>
      </c>
      <c r="D212" s="81">
        <v>65</v>
      </c>
      <c r="E212" s="79"/>
      <c r="F212" s="20" t="s">
        <v>6371</v>
      </c>
      <c r="G212" s="24" t="str">
        <f ca="1">IFERROR(__xludf.DUMMYFUNCTION("GOOGLETRANSLATE(F212,""en"",""pt"")"),"salas de processamento de aves e caça")</f>
        <v>salas de processamento de aves e caça</v>
      </c>
      <c r="H212" s="24"/>
      <c r="I212" s="24"/>
      <c r="J212" s="24"/>
      <c r="K212" s="24"/>
    </row>
    <row r="213" spans="1:11" ht="14.5">
      <c r="A213" s="20" t="s">
        <v>6372</v>
      </c>
      <c r="B213" s="81">
        <v>30</v>
      </c>
      <c r="C213" s="81">
        <v>40</v>
      </c>
      <c r="D213" s="81">
        <v>75</v>
      </c>
      <c r="E213" s="79"/>
      <c r="F213" s="20" t="s">
        <v>6373</v>
      </c>
      <c r="G213" s="24" t="str">
        <f ca="1">IFERROR(__xludf.DUMMYFUNCTION("GOOGLETRANSLATE(F213,""en"",""pt"")"),"serrarias")</f>
        <v>serrarias</v>
      </c>
      <c r="H213" s="24"/>
      <c r="I213" s="24"/>
      <c r="J213" s="24"/>
      <c r="K213" s="24"/>
    </row>
    <row r="214" spans="1:11" ht="14.5">
      <c r="A214" s="20" t="s">
        <v>6374</v>
      </c>
      <c r="B214" s="81">
        <v>30</v>
      </c>
      <c r="C214" s="81">
        <v>40</v>
      </c>
      <c r="D214" s="81">
        <v>80</v>
      </c>
      <c r="E214" s="79"/>
      <c r="F214" s="20" t="s">
        <v>6375</v>
      </c>
      <c r="G214" s="24" t="str">
        <f ca="1">IFERROR(__xludf.DUMMYFUNCTION("GOOGLETRANSLATE(F214,""en"",""pt"")"),"salas de produção de seda")</f>
        <v>salas de produção de seda</v>
      </c>
      <c r="H214" s="24"/>
      <c r="I214" s="24"/>
      <c r="J214" s="24"/>
      <c r="K214" s="24"/>
    </row>
    <row r="215" spans="1:11" ht="14.5">
      <c r="A215" s="20" t="s">
        <v>6376</v>
      </c>
      <c r="B215" s="81">
        <v>30</v>
      </c>
      <c r="C215" s="81">
        <v>40</v>
      </c>
      <c r="D215" s="81">
        <v>82</v>
      </c>
      <c r="E215" s="79"/>
      <c r="F215" s="20" t="s">
        <v>6377</v>
      </c>
      <c r="G215" s="24" t="str">
        <f ca="1">IFERROR(__xludf.DUMMYFUNCTION("GOOGLETRANSLATE(F215,""en"",""pt"")"),"salas de fiação")</f>
        <v>salas de fiação</v>
      </c>
      <c r="H215" s="24"/>
      <c r="I215" s="24"/>
      <c r="J215" s="24"/>
      <c r="K215" s="24"/>
    </row>
    <row r="216" spans="1:11" ht="14.5">
      <c r="A216" s="20" t="s">
        <v>6378</v>
      </c>
      <c r="B216" s="81">
        <v>30</v>
      </c>
      <c r="C216" s="81">
        <v>40</v>
      </c>
      <c r="D216" s="81">
        <v>87</v>
      </c>
      <c r="E216" s="79"/>
      <c r="F216" s="20" t="s">
        <v>6379</v>
      </c>
      <c r="G216" s="24" t="str">
        <f ca="1">IFERROR(__xludf.DUMMYFUNCTION("GOOGLETRANSLATE(F216,""en"",""pt"")"),"curtumes")</f>
        <v>curtumes</v>
      </c>
      <c r="H216" s="24"/>
      <c r="I216" s="24"/>
      <c r="J216" s="24"/>
      <c r="K216" s="24"/>
    </row>
    <row r="217" spans="1:11" ht="14.5">
      <c r="A217" s="20" t="s">
        <v>6380</v>
      </c>
      <c r="B217" s="81">
        <v>30</v>
      </c>
      <c r="C217" s="81">
        <v>40</v>
      </c>
      <c r="D217" s="81">
        <v>88</v>
      </c>
      <c r="E217" s="79"/>
      <c r="F217" s="20" t="s">
        <v>6381</v>
      </c>
      <c r="G217" s="24" t="str">
        <f ca="1">IFERROR(__xludf.DUMMYFUNCTION("GOOGLETRANSLATE(F217,""en"",""pt"")"),"quartos debulhando")</f>
        <v>quartos debulhando</v>
      </c>
      <c r="H217" s="24"/>
      <c r="I217" s="24"/>
      <c r="J217" s="24"/>
      <c r="K217" s="24"/>
    </row>
    <row r="218" spans="1:11" ht="14.5">
      <c r="A218" s="20" t="s">
        <v>6382</v>
      </c>
      <c r="B218" s="81">
        <v>30</v>
      </c>
      <c r="C218" s="81">
        <v>40</v>
      </c>
      <c r="D218" s="81">
        <v>90</v>
      </c>
      <c r="E218" s="79"/>
      <c r="F218" s="20" t="s">
        <v>6383</v>
      </c>
      <c r="G218" s="24" t="str">
        <f ca="1">IFERROR(__xludf.DUMMYFUNCTION("GOOGLETRANSLATE(F218,""en"",""pt"")"),"salas de secagem de tabaco")</f>
        <v>salas de secagem de tabaco</v>
      </c>
      <c r="H218" s="24"/>
      <c r="I218" s="24"/>
      <c r="J218" s="24"/>
      <c r="K218" s="24"/>
    </row>
    <row r="219" spans="1:11" ht="14.5">
      <c r="A219" s="20" t="s">
        <v>6384</v>
      </c>
      <c r="B219" s="81">
        <v>30</v>
      </c>
      <c r="C219" s="81">
        <v>40</v>
      </c>
      <c r="D219" s="81">
        <v>96</v>
      </c>
      <c r="E219" s="79"/>
      <c r="F219" s="20" t="s">
        <v>6385</v>
      </c>
      <c r="G219" s="24" t="str">
        <f ca="1">IFERROR(__xludf.DUMMYFUNCTION("GOOGLETRANSLATE(F219,""en"",""pt"")"),"salas de tecelagem")</f>
        <v>salas de tecelagem</v>
      </c>
      <c r="H219" s="24"/>
      <c r="I219" s="24"/>
      <c r="J219" s="24"/>
      <c r="K219" s="24"/>
    </row>
    <row r="220" spans="1:11" ht="14.5">
      <c r="A220" s="20" t="s">
        <v>6386</v>
      </c>
      <c r="B220" s="81">
        <v>30</v>
      </c>
      <c r="C220" s="81">
        <v>40</v>
      </c>
      <c r="D220" s="81">
        <v>98</v>
      </c>
      <c r="E220" s="79"/>
      <c r="F220" s="20" t="s">
        <v>6387</v>
      </c>
      <c r="G220" s="24" t="str">
        <f ca="1">IFERROR(__xludf.DUMMYFUNCTION("GOOGLETRANSLATE(F220,""en"",""pt"")"),"quartos de lã de classificação")</f>
        <v>quartos de lã de classificação</v>
      </c>
      <c r="H220" s="24"/>
      <c r="I220" s="24"/>
      <c r="J220" s="24"/>
      <c r="K220" s="24"/>
    </row>
    <row r="221" spans="1:11" ht="14.5">
      <c r="A221" s="20" t="s">
        <v>6388</v>
      </c>
      <c r="B221" s="81">
        <v>30</v>
      </c>
      <c r="C221" s="81">
        <v>50</v>
      </c>
      <c r="D221" s="79"/>
      <c r="E221" s="79"/>
      <c r="F221" s="20" t="s">
        <v>6389</v>
      </c>
      <c r="G221" s="24" t="str">
        <f ca="1">IFERROR(__xludf.DUMMYFUNCTION("GOOGLETRANSLATE(F221,""en"",""pt"")"),"espaços de fabricação")</f>
        <v>espaços de fabricação</v>
      </c>
      <c r="H221" s="24"/>
      <c r="I221" s="24"/>
      <c r="J221" s="24"/>
      <c r="K221" s="24"/>
    </row>
    <row r="222" spans="1:11" ht="14.5">
      <c r="A222" s="20" t="s">
        <v>6390</v>
      </c>
      <c r="B222" s="81">
        <v>30</v>
      </c>
      <c r="C222" s="81">
        <v>50</v>
      </c>
      <c r="D222" s="81">
        <v>27</v>
      </c>
      <c r="E222" s="79"/>
      <c r="F222" s="20" t="s">
        <v>6391</v>
      </c>
      <c r="G222" s="24" t="str">
        <f ca="1">IFERROR(__xludf.DUMMYFUNCTION("GOOGLETRANSLATE(F222,""en"",""pt"")"),"Eletrônica quartos limpos")</f>
        <v>Eletrônica quartos limpos</v>
      </c>
      <c r="H222" s="24"/>
      <c r="I222" s="24"/>
      <c r="J222" s="24"/>
      <c r="K222" s="24"/>
    </row>
    <row r="223" spans="1:11" ht="14.5">
      <c r="A223" s="20" t="s">
        <v>6392</v>
      </c>
      <c r="B223" s="81">
        <v>30</v>
      </c>
      <c r="C223" s="81">
        <v>50</v>
      </c>
      <c r="D223" s="81">
        <v>30</v>
      </c>
      <c r="E223" s="79"/>
      <c r="F223" s="20" t="s">
        <v>6393</v>
      </c>
      <c r="G223" s="24" t="str">
        <f ca="1">IFERROR(__xludf.DUMMYFUNCTION("GOOGLETRANSLATE(F223,""en"",""pt"")"),"espaços industriais pesados")</f>
        <v>espaços industriais pesados</v>
      </c>
      <c r="H223" s="24"/>
      <c r="I223" s="24"/>
      <c r="J223" s="24"/>
      <c r="K223" s="24"/>
    </row>
    <row r="224" spans="1:11" ht="14.5">
      <c r="A224" s="20" t="s">
        <v>6394</v>
      </c>
      <c r="B224" s="81">
        <v>30</v>
      </c>
      <c r="C224" s="81">
        <v>50</v>
      </c>
      <c r="D224" s="81">
        <v>40</v>
      </c>
      <c r="E224" s="79"/>
      <c r="F224" s="20" t="s">
        <v>6395</v>
      </c>
      <c r="G224" s="24" t="str">
        <f ca="1">IFERROR(__xludf.DUMMYFUNCTION("GOOGLETRANSLATE(F224,""en"",""pt"")"),"quartos kiln")</f>
        <v>quartos kiln</v>
      </c>
      <c r="H224" s="24"/>
      <c r="I224" s="24"/>
      <c r="J224" s="24"/>
      <c r="K224" s="24"/>
    </row>
    <row r="225" spans="1:11" ht="14.5">
      <c r="A225" s="20" t="s">
        <v>6396</v>
      </c>
      <c r="B225" s="81">
        <v>30</v>
      </c>
      <c r="C225" s="81">
        <v>50</v>
      </c>
      <c r="D225" s="81">
        <v>43</v>
      </c>
      <c r="E225" s="79"/>
      <c r="F225" s="20" t="s">
        <v>6397</v>
      </c>
      <c r="G225" s="24" t="str">
        <f ca="1">IFERROR(__xludf.DUMMYFUNCTION("GOOGLETRANSLATE(F225,""en"",""pt"")"),"espaços industriais leves")</f>
        <v>espaços industriais leves</v>
      </c>
      <c r="H225" s="24"/>
      <c r="I225" s="24"/>
      <c r="J225" s="24"/>
      <c r="K225" s="24"/>
    </row>
    <row r="226" spans="1:11" ht="14.5">
      <c r="A226" s="20" t="s">
        <v>6398</v>
      </c>
      <c r="B226" s="81">
        <v>30</v>
      </c>
      <c r="C226" s="81">
        <v>50</v>
      </c>
      <c r="D226" s="81">
        <v>50</v>
      </c>
      <c r="E226" s="79"/>
      <c r="F226" s="20" t="s">
        <v>6399</v>
      </c>
      <c r="G226" s="24" t="str">
        <f ca="1">IFERROR(__xludf.DUMMYFUNCTION("GOOGLETRANSLATE(F226,""en"",""pt"")"),"oficinas de fabricação")</f>
        <v>oficinas de fabricação</v>
      </c>
      <c r="H226" s="24"/>
      <c r="I226" s="24"/>
      <c r="J226" s="24"/>
      <c r="K226" s="24"/>
    </row>
    <row r="227" spans="1:11" ht="14.5">
      <c r="A227" s="20" t="s">
        <v>6400</v>
      </c>
      <c r="B227" s="81">
        <v>30</v>
      </c>
      <c r="C227" s="81">
        <v>50</v>
      </c>
      <c r="D227" s="81">
        <v>60</v>
      </c>
      <c r="E227" s="79"/>
      <c r="F227" s="20" t="s">
        <v>6401</v>
      </c>
      <c r="G227" s="24" t="str">
        <f ca="1">IFERROR(__xludf.DUMMYFUNCTION("GOOGLETRANSLATE(F227,""en"",""pt"")"),"linhas de embalagem")</f>
        <v>linhas de embalagem</v>
      </c>
      <c r="H227" s="24"/>
      <c r="I227" s="24"/>
      <c r="J227" s="24"/>
      <c r="K227" s="24"/>
    </row>
    <row r="228" spans="1:11" ht="14.5">
      <c r="A228" s="20" t="s">
        <v>6402</v>
      </c>
      <c r="B228" s="81">
        <v>30</v>
      </c>
      <c r="C228" s="81">
        <v>50</v>
      </c>
      <c r="D228" s="81">
        <v>61</v>
      </c>
      <c r="E228" s="79"/>
      <c r="F228" s="20" t="s">
        <v>6403</v>
      </c>
      <c r="G228" s="24" t="str">
        <f ca="1">IFERROR(__xludf.DUMMYFUNCTION("GOOGLETRANSLATE(F228,""en"",""pt"")"),"Pinte cabines de pulverização")</f>
        <v>Pinte cabines de pulverização</v>
      </c>
      <c r="H228" s="24"/>
      <c r="I228" s="24"/>
      <c r="J228" s="24"/>
      <c r="K228" s="24"/>
    </row>
    <row r="229" spans="1:11" ht="14.5">
      <c r="A229" s="20" t="s">
        <v>6404</v>
      </c>
      <c r="B229" s="81">
        <v>30</v>
      </c>
      <c r="C229" s="81">
        <v>50</v>
      </c>
      <c r="D229" s="81">
        <v>62</v>
      </c>
      <c r="E229" s="79"/>
      <c r="F229" s="20" t="s">
        <v>6405</v>
      </c>
      <c r="G229" s="24" t="str">
        <f ca="1">IFERROR(__xludf.DUMMYFUNCTION("GOOGLETRANSLATE(F229,""en"",""pt"")"),"Farmacêutica quartos limpos")</f>
        <v>Farmacêutica quartos limpos</v>
      </c>
      <c r="H229" s="24"/>
      <c r="I229" s="24"/>
      <c r="J229" s="24"/>
      <c r="K229" s="24"/>
    </row>
    <row r="230" spans="1:11" ht="14.5">
      <c r="A230" s="20" t="s">
        <v>6406</v>
      </c>
      <c r="B230" s="81">
        <v>30</v>
      </c>
      <c r="C230" s="81">
        <v>50</v>
      </c>
      <c r="D230" s="81">
        <v>64</v>
      </c>
      <c r="E230" s="79"/>
      <c r="F230" s="20" t="s">
        <v>6407</v>
      </c>
      <c r="G230" s="24" t="str">
        <f ca="1">IFERROR(__xludf.DUMMYFUNCTION("GOOGLETRANSLATE(F230,""en"",""pt"")"),"imprimindo espaços")</f>
        <v>imprimindo espaços</v>
      </c>
      <c r="H230" s="24"/>
      <c r="I230" s="24"/>
      <c r="J230" s="24"/>
      <c r="K230" s="24"/>
    </row>
    <row r="231" spans="1:11" ht="14.5">
      <c r="A231" s="20" t="s">
        <v>6408</v>
      </c>
      <c r="B231" s="81">
        <v>30</v>
      </c>
      <c r="C231" s="81">
        <v>60</v>
      </c>
      <c r="D231" s="79"/>
      <c r="E231" s="79"/>
      <c r="F231" s="20" t="s">
        <v>6409</v>
      </c>
      <c r="G231" s="24" t="str">
        <f ca="1">IFERROR(__xludf.DUMMYFUNCTION("GOOGLETRANSLATE(F231,""en"",""pt"")"),"espaços de limpeza e manutenção")</f>
        <v>espaços de limpeza e manutenção</v>
      </c>
      <c r="H231" s="24"/>
      <c r="I231" s="24"/>
      <c r="J231" s="24"/>
      <c r="K231" s="24"/>
    </row>
    <row r="232" spans="1:11" ht="14.5">
      <c r="A232" s="20" t="s">
        <v>6410</v>
      </c>
      <c r="B232" s="81">
        <v>30</v>
      </c>
      <c r="C232" s="81">
        <v>60</v>
      </c>
      <c r="D232" s="81">
        <v>11</v>
      </c>
      <c r="E232" s="79"/>
      <c r="F232" s="20" t="s">
        <v>6411</v>
      </c>
      <c r="G232" s="24" t="str">
        <f ca="1">IFERROR(__xludf.DUMMYFUNCTION("GOOGLETRANSLATE(F232,""en"",""pt"")"),"quartos de caseiro")</f>
        <v>quartos de caseiro</v>
      </c>
      <c r="H232" s="24"/>
      <c r="I232" s="24"/>
      <c r="J232" s="24"/>
      <c r="K232" s="24"/>
    </row>
    <row r="233" spans="1:11" ht="14.5">
      <c r="A233" s="20" t="s">
        <v>6412</v>
      </c>
      <c r="B233" s="81">
        <v>30</v>
      </c>
      <c r="C233" s="81">
        <v>60</v>
      </c>
      <c r="D233" s="81">
        <v>13</v>
      </c>
      <c r="E233" s="79"/>
      <c r="F233" s="20" t="s">
        <v>6413</v>
      </c>
      <c r="G233" s="24" t="str">
        <f ca="1">IFERROR(__xludf.DUMMYFUNCTION("GOOGLETRANSLATE(F233,""en"",""pt"")"),"Secagem de roupa e salas de aeração")</f>
        <v>Secagem de roupa e salas de aeração</v>
      </c>
      <c r="H233" s="24"/>
      <c r="I233" s="24"/>
      <c r="J233" s="24"/>
      <c r="K233" s="24"/>
    </row>
    <row r="234" spans="1:11" ht="14.5">
      <c r="A234" s="20" t="s">
        <v>6414</v>
      </c>
      <c r="B234" s="81">
        <v>30</v>
      </c>
      <c r="C234" s="81">
        <v>60</v>
      </c>
      <c r="D234" s="81">
        <v>22</v>
      </c>
      <c r="E234" s="79"/>
      <c r="F234" s="20" t="s">
        <v>6415</v>
      </c>
      <c r="G234" s="24" t="str">
        <f ca="1">IFERROR(__xludf.DUMMYFUNCTION("GOOGLETRANSLATE(F234,""en"",""pt"")"),"espaços de descontaminação")</f>
        <v>espaços de descontaminação</v>
      </c>
      <c r="H234" s="24"/>
      <c r="I234" s="24"/>
      <c r="J234" s="24"/>
      <c r="K234" s="24"/>
    </row>
    <row r="235" spans="1:11" ht="14.5">
      <c r="A235" s="20" t="s">
        <v>6416</v>
      </c>
      <c r="B235" s="81">
        <v>30</v>
      </c>
      <c r="C235" s="81">
        <v>60</v>
      </c>
      <c r="D235" s="81">
        <v>24</v>
      </c>
      <c r="E235" s="79"/>
      <c r="F235" s="20" t="s">
        <v>6417</v>
      </c>
      <c r="G235" s="24" t="str">
        <f ca="1">IFERROR(__xludf.DUMMYFUNCTION("GOOGLETRANSLATE(F235,""en"",""pt"")"),"espaços de limpeza a seco")</f>
        <v>espaços de limpeza a seco</v>
      </c>
      <c r="H235" s="24"/>
      <c r="I235" s="24"/>
      <c r="J235" s="24"/>
      <c r="K235" s="24"/>
    </row>
    <row r="236" spans="1:11" ht="14.5">
      <c r="A236" s="20" t="s">
        <v>6418</v>
      </c>
      <c r="B236" s="81">
        <v>30</v>
      </c>
      <c r="C236" s="81">
        <v>60</v>
      </c>
      <c r="D236" s="81">
        <v>42</v>
      </c>
      <c r="E236" s="79"/>
      <c r="F236" s="20" t="s">
        <v>6419</v>
      </c>
      <c r="G236" s="24" t="str">
        <f ca="1">IFERROR(__xludf.DUMMYFUNCTION("GOOGLETRANSLATE(F236,""en"",""pt"")"),"quartos de engomar")</f>
        <v>quartos de engomar</v>
      </c>
      <c r="H236" s="24"/>
      <c r="I236" s="24"/>
      <c r="J236" s="24"/>
      <c r="K236" s="24"/>
    </row>
    <row r="237" spans="1:11" ht="14.5">
      <c r="A237" s="20" t="s">
        <v>6420</v>
      </c>
      <c r="B237" s="81">
        <v>30</v>
      </c>
      <c r="C237" s="81">
        <v>60</v>
      </c>
      <c r="D237" s="81">
        <v>46</v>
      </c>
      <c r="E237" s="79"/>
      <c r="F237" s="20" t="s">
        <v>6421</v>
      </c>
      <c r="G237" s="24" t="str">
        <f ca="1">IFERROR(__xludf.DUMMYFUNCTION("GOOGLETRANSLATE(F237,""en"",""pt"")"),"lavandarias")</f>
        <v>lavandarias</v>
      </c>
      <c r="H237" s="24"/>
      <c r="I237" s="24"/>
      <c r="J237" s="24"/>
      <c r="K237" s="24"/>
    </row>
    <row r="238" spans="1:11" ht="14.5">
      <c r="A238" s="20" t="s">
        <v>6422</v>
      </c>
      <c r="B238" s="81">
        <v>30</v>
      </c>
      <c r="C238" s="81">
        <v>60</v>
      </c>
      <c r="D238" s="81">
        <v>47</v>
      </c>
      <c r="E238" s="79"/>
      <c r="F238" s="20" t="s">
        <v>6423</v>
      </c>
      <c r="G238" s="24" t="str">
        <f ca="1">IFERROR(__xludf.DUMMYFUNCTION("GOOGLETRANSLATE(F238,""en"",""pt"")"),"lavanderias")</f>
        <v>lavanderias</v>
      </c>
      <c r="H238" s="24"/>
      <c r="I238" s="24"/>
      <c r="J238" s="24"/>
      <c r="K238" s="24"/>
    </row>
    <row r="239" spans="1:11" ht="14.5">
      <c r="A239" s="20" t="s">
        <v>6424</v>
      </c>
      <c r="B239" s="81">
        <v>30</v>
      </c>
      <c r="C239" s="81">
        <v>60</v>
      </c>
      <c r="D239" s="81">
        <v>50</v>
      </c>
      <c r="E239" s="79"/>
      <c r="F239" s="20" t="s">
        <v>6425</v>
      </c>
      <c r="G239" s="24" t="str">
        <f ca="1">IFERROR(__xludf.DUMMYFUNCTION("GOOGLETRANSLATE(F239,""en"",""pt"")"),"oficinas de manutenção")</f>
        <v>oficinas de manutenção</v>
      </c>
      <c r="H239" s="24"/>
      <c r="I239" s="24"/>
      <c r="J239" s="24"/>
      <c r="K239" s="24"/>
    </row>
    <row r="240" spans="1:11" ht="14.5">
      <c r="A240" s="20" t="s">
        <v>6426</v>
      </c>
      <c r="B240" s="81">
        <v>30</v>
      </c>
      <c r="C240" s="81">
        <v>60</v>
      </c>
      <c r="D240" s="81">
        <v>75</v>
      </c>
      <c r="E240" s="79"/>
      <c r="F240" s="20" t="s">
        <v>6427</v>
      </c>
      <c r="G240" s="24" t="str">
        <f ca="1">IFERROR(__xludf.DUMMYFUNCTION("GOOGLETRANSLATE(F240,""en"",""pt"")"),"lavandarias serviços")</f>
        <v>lavandarias serviços</v>
      </c>
      <c r="H240" s="24"/>
      <c r="I240" s="24"/>
      <c r="J240" s="24"/>
      <c r="K240" s="24"/>
    </row>
    <row r="241" spans="1:11" ht="14.5">
      <c r="A241" s="20" t="s">
        <v>6428</v>
      </c>
      <c r="B241" s="81">
        <v>30</v>
      </c>
      <c r="C241" s="81">
        <v>60</v>
      </c>
      <c r="D241" s="81">
        <v>94</v>
      </c>
      <c r="E241" s="79"/>
      <c r="F241" s="20" t="s">
        <v>6429</v>
      </c>
      <c r="G241" s="24" t="str">
        <f ca="1">IFERROR(__xludf.DUMMYFUNCTION("GOOGLETRANSLATE(F241,""en"",""pt"")"),"lavagens de veículos")</f>
        <v>lavagens de veículos</v>
      </c>
      <c r="H241" s="24"/>
      <c r="I241" s="24"/>
      <c r="J241" s="24"/>
      <c r="K241" s="24"/>
    </row>
    <row r="242" spans="1:11" ht="14.5">
      <c r="A242" s="20" t="s">
        <v>6430</v>
      </c>
      <c r="B242" s="81">
        <v>30</v>
      </c>
      <c r="C242" s="81">
        <v>60</v>
      </c>
      <c r="D242" s="81">
        <v>96</v>
      </c>
      <c r="E242" s="79"/>
      <c r="F242" s="20" t="s">
        <v>6431</v>
      </c>
      <c r="G242" s="24" t="str">
        <f ca="1">IFERROR(__xludf.DUMMYFUNCTION("GOOGLETRANSLATE(F242,""en"",""pt"")"),"Lave-se espaços")</f>
        <v>Lave-se espaços</v>
      </c>
      <c r="H242" s="24"/>
      <c r="I242" s="24"/>
      <c r="J242" s="24"/>
      <c r="K242" s="24"/>
    </row>
    <row r="243" spans="1:11" ht="14.5">
      <c r="A243" s="20" t="s">
        <v>6432</v>
      </c>
      <c r="B243" s="81">
        <v>30</v>
      </c>
      <c r="C243" s="81">
        <v>80</v>
      </c>
      <c r="D243" s="79"/>
      <c r="E243" s="79"/>
      <c r="F243" s="20" t="s">
        <v>6433</v>
      </c>
      <c r="G243" s="24" t="str">
        <f ca="1">IFERROR(__xludf.DUMMYFUNCTION("GOOGLETRANSLATE(F243,""en"",""pt"")"),"espaços cinética de geração de energia")</f>
        <v>espaços cinética de geração de energia</v>
      </c>
      <c r="H243" s="24"/>
      <c r="I243" s="24"/>
      <c r="J243" s="24"/>
      <c r="K243" s="24"/>
    </row>
    <row r="244" spans="1:11" ht="14.5">
      <c r="A244" s="20" t="s">
        <v>6434</v>
      </c>
      <c r="B244" s="81">
        <v>30</v>
      </c>
      <c r="C244" s="81">
        <v>80</v>
      </c>
      <c r="D244" s="81">
        <v>96</v>
      </c>
      <c r="E244" s="79"/>
      <c r="F244" s="20" t="s">
        <v>6435</v>
      </c>
      <c r="G244" s="24" t="str">
        <f ca="1">IFERROR(__xludf.DUMMYFUNCTION("GOOGLETRANSLATE(F244,""en"",""pt"")"),"casas moinho de água")</f>
        <v>casas moinho de água</v>
      </c>
      <c r="H244" s="24"/>
      <c r="I244" s="24"/>
      <c r="J244" s="24"/>
      <c r="K244" s="24"/>
    </row>
    <row r="245" spans="1:11" ht="14.5">
      <c r="A245" s="20" t="s">
        <v>6436</v>
      </c>
      <c r="B245" s="81">
        <v>30</v>
      </c>
      <c r="C245" s="81">
        <v>80</v>
      </c>
      <c r="D245" s="81">
        <v>97</v>
      </c>
      <c r="E245" s="79"/>
      <c r="F245" s="20" t="s">
        <v>6437</v>
      </c>
      <c r="G245" s="24" t="str">
        <f ca="1">IFERROR(__xludf.DUMMYFUNCTION("GOOGLETRANSLATE(F245,""en"",""pt"")"),"casas moinho de vento")</f>
        <v>casas moinho de vento</v>
      </c>
      <c r="H245" s="24"/>
      <c r="I245" s="24"/>
      <c r="J245" s="24"/>
      <c r="K245" s="24"/>
    </row>
    <row r="246" spans="1:11" ht="14.5">
      <c r="A246" s="20" t="s">
        <v>6438</v>
      </c>
      <c r="B246" s="81">
        <v>30</v>
      </c>
      <c r="C246" s="81">
        <v>85</v>
      </c>
      <c r="D246" s="79"/>
      <c r="E246" s="79"/>
      <c r="F246" s="20" t="s">
        <v>6439</v>
      </c>
      <c r="G246" s="24" t="str">
        <f ca="1">IFERROR(__xludf.DUMMYFUNCTION("GOOGLETRANSLATE(F246,""en"",""pt"")"),"espaços marinhos e de água de manutenção")</f>
        <v>espaços marinhos e de água de manutenção</v>
      </c>
      <c r="H246" s="24"/>
      <c r="I246" s="24"/>
      <c r="J246" s="24"/>
      <c r="K246" s="24"/>
    </row>
    <row r="247" spans="1:11" ht="14.5">
      <c r="A247" s="20" t="s">
        <v>6440</v>
      </c>
      <c r="B247" s="81">
        <v>30</v>
      </c>
      <c r="C247" s="81">
        <v>85</v>
      </c>
      <c r="D247" s="81">
        <v>8</v>
      </c>
      <c r="E247" s="79"/>
      <c r="F247" s="20" t="s">
        <v>6441</v>
      </c>
      <c r="G247" s="24" t="str">
        <f ca="1">IFERROR(__xludf.DUMMYFUNCTION("GOOGLETRANSLATE(F247,""en"",""pt"")"),"espaços de reparação de barco")</f>
        <v>espaços de reparação de barco</v>
      </c>
      <c r="H247" s="24"/>
      <c r="I247" s="24"/>
      <c r="J247" s="24"/>
      <c r="K247" s="24"/>
    </row>
    <row r="248" spans="1:11" ht="14.5">
      <c r="A248" s="20" t="s">
        <v>6442</v>
      </c>
      <c r="B248" s="81">
        <v>30</v>
      </c>
      <c r="C248" s="81">
        <v>85</v>
      </c>
      <c r="D248" s="81">
        <v>24</v>
      </c>
      <c r="E248" s="79"/>
      <c r="F248" s="20" t="s">
        <v>6443</v>
      </c>
      <c r="G248" s="24" t="str">
        <f ca="1">IFERROR(__xludf.DUMMYFUNCTION("GOOGLETRANSLATE(F248,""en"",""pt"")"),"câmaras doca seca")</f>
        <v>câmaras doca seca</v>
      </c>
      <c r="H248" s="24"/>
      <c r="I248" s="24"/>
      <c r="J248" s="24"/>
      <c r="K248" s="24"/>
    </row>
    <row r="249" spans="1:11" ht="14.5">
      <c r="A249" s="20" t="s">
        <v>6444</v>
      </c>
      <c r="B249" s="81">
        <v>30</v>
      </c>
      <c r="C249" s="81">
        <v>85</v>
      </c>
      <c r="D249" s="81">
        <v>30</v>
      </c>
      <c r="E249" s="79"/>
      <c r="F249" s="20" t="s">
        <v>6445</v>
      </c>
      <c r="G249" s="24" t="str">
        <f ca="1">IFERROR(__xludf.DUMMYFUNCTION("GOOGLETRANSLATE(F249,""en"",""pt"")"),"docas flutuantes")</f>
        <v>docas flutuantes</v>
      </c>
      <c r="H249" s="24"/>
      <c r="I249" s="24"/>
      <c r="J249" s="24"/>
      <c r="K249" s="24"/>
    </row>
    <row r="250" spans="1:11" ht="14.5">
      <c r="A250" s="20" t="s">
        <v>6446</v>
      </c>
      <c r="B250" s="81">
        <v>30</v>
      </c>
      <c r="C250" s="81">
        <v>85</v>
      </c>
      <c r="D250" s="81">
        <v>97</v>
      </c>
      <c r="E250" s="79"/>
      <c r="F250" s="20" t="s">
        <v>6447</v>
      </c>
      <c r="G250" s="24" t="str">
        <f ca="1">IFERROR(__xludf.DUMMYFUNCTION("GOOGLETRANSLATE(F250,""en"",""pt"")"),"docas molhadas")</f>
        <v>docas molhadas</v>
      </c>
      <c r="H250" s="24"/>
      <c r="I250" s="24"/>
      <c r="J250" s="24"/>
      <c r="K250" s="24"/>
    </row>
    <row r="251" spans="1:11" ht="14.5">
      <c r="A251" s="20" t="s">
        <v>6448</v>
      </c>
      <c r="B251" s="81">
        <v>30</v>
      </c>
      <c r="C251" s="81">
        <v>90</v>
      </c>
      <c r="D251" s="79"/>
      <c r="E251" s="79"/>
      <c r="F251" s="20" t="s">
        <v>6449</v>
      </c>
      <c r="G251" s="24" t="str">
        <f ca="1">IFERROR(__xludf.DUMMYFUNCTION("GOOGLETRANSLATE(F251,""en"",""pt"")"),"espaços de armazenagem e distribuição")</f>
        <v>espaços de armazenagem e distribuição</v>
      </c>
      <c r="H251" s="24"/>
      <c r="I251" s="24"/>
      <c r="J251" s="24"/>
      <c r="K251" s="24"/>
    </row>
    <row r="252" spans="1:11" ht="14.5">
      <c r="A252" s="20" t="s">
        <v>6450</v>
      </c>
      <c r="B252" s="81">
        <v>30</v>
      </c>
      <c r="C252" s="81">
        <v>90</v>
      </c>
      <c r="D252" s="81">
        <v>33</v>
      </c>
      <c r="E252" s="79"/>
      <c r="F252" s="20" t="s">
        <v>6451</v>
      </c>
      <c r="G252" s="24" t="str">
        <f ca="1">IFERROR(__xludf.DUMMYFUNCTION("GOOGLETRANSLATE(F252,""en"",""pt"")"),"Mercadorias baías de entrega")</f>
        <v>Mercadorias baías de entrega</v>
      </c>
      <c r="H252" s="24"/>
      <c r="I252" s="24"/>
      <c r="J252" s="24"/>
      <c r="K252" s="24"/>
    </row>
    <row r="253" spans="1:11" ht="14.5">
      <c r="A253" s="20" t="s">
        <v>6452</v>
      </c>
      <c r="B253" s="81">
        <v>30</v>
      </c>
      <c r="C253" s="81">
        <v>90</v>
      </c>
      <c r="D253" s="81">
        <v>48</v>
      </c>
      <c r="E253" s="79"/>
      <c r="F253" s="20" t="s">
        <v>6453</v>
      </c>
      <c r="G253" s="24" t="str">
        <f ca="1">IFERROR(__xludf.DUMMYFUNCTION("GOOGLETRANSLATE(F253,""en"",""pt"")"),"Docas de carregamento")</f>
        <v>Docas de carregamento</v>
      </c>
      <c r="H253" s="24"/>
      <c r="I253" s="24"/>
      <c r="J253" s="24"/>
      <c r="K253" s="24"/>
    </row>
    <row r="254" spans="1:11" ht="14.5">
      <c r="A254" s="20" t="s">
        <v>6454</v>
      </c>
      <c r="B254" s="81">
        <v>30</v>
      </c>
      <c r="C254" s="81">
        <v>90</v>
      </c>
      <c r="D254" s="81">
        <v>80</v>
      </c>
      <c r="E254" s="79"/>
      <c r="F254" s="20" t="s">
        <v>6455</v>
      </c>
      <c r="G254" s="24" t="str">
        <f ca="1">IFERROR(__xludf.DUMMYFUNCTION("GOOGLETRANSLATE(F254,""en"",""pt"")"),"Triagem e espaços de distribuição")</f>
        <v>Triagem e espaços de distribuição</v>
      </c>
      <c r="H254" s="24"/>
      <c r="I254" s="24"/>
      <c r="J254" s="24"/>
      <c r="K254" s="24"/>
    </row>
    <row r="255" spans="1:11" ht="14.5">
      <c r="A255" s="20" t="s">
        <v>6456</v>
      </c>
      <c r="B255" s="81">
        <v>30</v>
      </c>
      <c r="C255" s="81">
        <v>90</v>
      </c>
      <c r="D255" s="81">
        <v>84</v>
      </c>
      <c r="E255" s="79"/>
      <c r="F255" s="20" t="s">
        <v>6457</v>
      </c>
      <c r="G255" s="24" t="str">
        <f ca="1">IFERROR(__xludf.DUMMYFUNCTION("GOOGLETRANSLATE(F255,""en"",""pt"")"),"pátios de estocagem")</f>
        <v>pátios de estocagem</v>
      </c>
      <c r="H255" s="24"/>
      <c r="I255" s="24"/>
      <c r="J255" s="24"/>
      <c r="K255" s="24"/>
    </row>
    <row r="256" spans="1:11" ht="14.5">
      <c r="A256" s="20" t="s">
        <v>6458</v>
      </c>
      <c r="B256" s="81">
        <v>30</v>
      </c>
      <c r="C256" s="81">
        <v>90</v>
      </c>
      <c r="D256" s="81">
        <v>96</v>
      </c>
      <c r="E256" s="79"/>
      <c r="F256" s="20" t="s">
        <v>6459</v>
      </c>
      <c r="G256" s="24" t="str">
        <f ca="1">IFERROR(__xludf.DUMMYFUNCTION("GOOGLETRANSLATE(F256,""en"",""pt"")"),"espaços de armazém")</f>
        <v>espaços de armazém</v>
      </c>
      <c r="H256" s="24"/>
      <c r="I256" s="24"/>
      <c r="J256" s="24"/>
      <c r="K256" s="24"/>
    </row>
    <row r="257" spans="1:11" ht="14.5">
      <c r="A257" s="20" t="s">
        <v>6460</v>
      </c>
      <c r="B257" s="81">
        <v>32</v>
      </c>
      <c r="C257" s="79"/>
      <c r="D257" s="79"/>
      <c r="E257" s="79"/>
      <c r="F257" s="20" t="s">
        <v>6461</v>
      </c>
      <c r="G257" s="24" t="str">
        <f ca="1">IFERROR(__xludf.DUMMYFUNCTION("GOOGLETRANSLATE(F257,""en"",""pt"")"),"espaços de água e gestão de terras")</f>
        <v>espaços de água e gestão de terras</v>
      </c>
      <c r="H257" s="24"/>
      <c r="I257" s="24"/>
      <c r="J257" s="24"/>
      <c r="K257" s="24"/>
    </row>
    <row r="258" spans="1:11" ht="14.5">
      <c r="A258" s="20" t="s">
        <v>6462</v>
      </c>
      <c r="B258" s="81">
        <v>32</v>
      </c>
      <c r="C258" s="81">
        <v>10</v>
      </c>
      <c r="D258" s="79"/>
      <c r="E258" s="79"/>
      <c r="F258" s="20" t="s">
        <v>6463</v>
      </c>
      <c r="G258" s="24" t="str">
        <f ca="1">IFERROR(__xludf.DUMMYFUNCTION("GOOGLETRANSLATE(F258,""en"",""pt"")"),"Agrícola e espaços hortícolas")</f>
        <v>Agrícola e espaços hortícolas</v>
      </c>
      <c r="H258" s="24"/>
      <c r="I258" s="24"/>
      <c r="J258" s="24"/>
      <c r="K258" s="24"/>
    </row>
    <row r="259" spans="1:11" ht="14.5">
      <c r="A259" s="20" t="s">
        <v>6464</v>
      </c>
      <c r="B259" s="81">
        <v>32</v>
      </c>
      <c r="C259" s="81">
        <v>10</v>
      </c>
      <c r="D259" s="81">
        <v>3</v>
      </c>
      <c r="E259" s="79"/>
      <c r="F259" s="20" t="s">
        <v>6465</v>
      </c>
      <c r="G259" s="24" t="str">
        <f ca="1">IFERROR(__xludf.DUMMYFUNCTION("GOOGLETRANSLATE(F259,""en"",""pt"")"),"campos aráveis")</f>
        <v>campos aráveis</v>
      </c>
      <c r="H259" s="24"/>
      <c r="I259" s="24"/>
      <c r="J259" s="24"/>
      <c r="K259" s="24"/>
    </row>
    <row r="260" spans="1:11" ht="14.5">
      <c r="A260" s="20" t="s">
        <v>6466</v>
      </c>
      <c r="B260" s="81">
        <v>32</v>
      </c>
      <c r="C260" s="81">
        <v>10</v>
      </c>
      <c r="D260" s="81">
        <v>26</v>
      </c>
      <c r="E260" s="79"/>
      <c r="F260" s="20" t="s">
        <v>6467</v>
      </c>
      <c r="G260" s="24" t="str">
        <f ca="1">IFERROR(__xludf.DUMMYFUNCTION("GOOGLETRANSLATE(F260,""en"",""pt"")"),"pátios")</f>
        <v>pátios</v>
      </c>
      <c r="H260" s="24"/>
      <c r="I260" s="24"/>
      <c r="J260" s="24"/>
      <c r="K260" s="24"/>
    </row>
    <row r="261" spans="1:11" ht="14.5">
      <c r="A261" s="20" t="s">
        <v>6468</v>
      </c>
      <c r="B261" s="81">
        <v>32</v>
      </c>
      <c r="C261" s="81">
        <v>10</v>
      </c>
      <c r="D261" s="81">
        <v>28</v>
      </c>
      <c r="E261" s="79"/>
      <c r="F261" s="20" t="s">
        <v>6469</v>
      </c>
      <c r="G261" s="24" t="str">
        <f ca="1">IFERROR(__xludf.DUMMYFUNCTION("GOOGLETRANSLATE(F261,""en"",""pt"")"),"pescas")</f>
        <v>pescas</v>
      </c>
      <c r="H261" s="24"/>
      <c r="I261" s="24"/>
      <c r="J261" s="24"/>
      <c r="K261" s="24"/>
    </row>
    <row r="262" spans="1:11" ht="14.5">
      <c r="A262" s="20" t="s">
        <v>6470</v>
      </c>
      <c r="B262" s="81">
        <v>32</v>
      </c>
      <c r="C262" s="81">
        <v>10</v>
      </c>
      <c r="D262" s="81">
        <v>30</v>
      </c>
      <c r="E262" s="79"/>
      <c r="F262" s="20" t="s">
        <v>6471</v>
      </c>
      <c r="G262" s="24" t="str">
        <f ca="1">IFERROR(__xludf.DUMMYFUNCTION("GOOGLETRANSLATE(F262,""en"",""pt"")"),"tanques de piscicultura")</f>
        <v>tanques de piscicultura</v>
      </c>
      <c r="H262" s="24"/>
      <c r="I262" s="24"/>
      <c r="J262" s="24"/>
      <c r="K262" s="24"/>
    </row>
    <row r="263" spans="1:11" ht="14.5">
      <c r="A263" s="20" t="s">
        <v>6472</v>
      </c>
      <c r="B263" s="81">
        <v>32</v>
      </c>
      <c r="C263" s="81">
        <v>10</v>
      </c>
      <c r="D263" s="81">
        <v>34</v>
      </c>
      <c r="E263" s="79"/>
      <c r="F263" s="20" t="s">
        <v>6473</v>
      </c>
      <c r="G263" s="24" t="str">
        <f ca="1">IFERROR(__xludf.DUMMYFUNCTION("GOOGLETRANSLATE(F263,""en"",""pt"")"),"espaços estufa")</f>
        <v>espaços estufa</v>
      </c>
      <c r="H263" s="24"/>
      <c r="I263" s="24"/>
      <c r="J263" s="24"/>
      <c r="K263" s="24"/>
    </row>
    <row r="264" spans="1:11" ht="14.5">
      <c r="A264" s="20" t="s">
        <v>6474</v>
      </c>
      <c r="B264" s="81">
        <v>32</v>
      </c>
      <c r="C264" s="81">
        <v>10</v>
      </c>
      <c r="D264" s="81">
        <v>39</v>
      </c>
      <c r="E264" s="79"/>
      <c r="F264" s="20" t="s">
        <v>6475</v>
      </c>
      <c r="G264" s="24" t="str">
        <f ca="1">IFERROR(__xludf.DUMMYFUNCTION("GOOGLETRANSLATE(F264,""en"",""pt"")"),"espaços de estufa")</f>
        <v>espaços de estufa</v>
      </c>
      <c r="H264" s="24"/>
      <c r="I264" s="24"/>
      <c r="J264" s="24"/>
      <c r="K264" s="24"/>
    </row>
    <row r="265" spans="1:11" ht="14.5">
      <c r="A265" s="20" t="s">
        <v>6476</v>
      </c>
      <c r="B265" s="81">
        <v>32</v>
      </c>
      <c r="C265" s="81">
        <v>10</v>
      </c>
      <c r="D265" s="81">
        <v>47</v>
      </c>
      <c r="E265" s="79"/>
      <c r="F265" s="20" t="s">
        <v>6477</v>
      </c>
      <c r="G265" s="24" t="str">
        <f ca="1">IFERROR(__xludf.DUMMYFUNCTION("GOOGLETRANSLATE(F265,""en"",""pt"")"),"campos de gado")</f>
        <v>campos de gado</v>
      </c>
      <c r="H265" s="24"/>
      <c r="I265" s="24"/>
      <c r="J265" s="24"/>
      <c r="K265" s="24"/>
    </row>
    <row r="266" spans="1:11" ht="14.5">
      <c r="A266" s="20" t="s">
        <v>6478</v>
      </c>
      <c r="B266" s="81">
        <v>32</v>
      </c>
      <c r="C266" s="81">
        <v>10</v>
      </c>
      <c r="D266" s="81">
        <v>52</v>
      </c>
      <c r="E266" s="79"/>
      <c r="F266" s="20" t="s">
        <v>6479</v>
      </c>
      <c r="G266" s="24" t="str">
        <f ca="1">IFERROR(__xludf.DUMMYFUNCTION("GOOGLETRANSLATE(F266,""en"",""pt"")"),"ordenha salões")</f>
        <v>ordenha salões</v>
      </c>
      <c r="H266" s="24"/>
      <c r="I266" s="24"/>
      <c r="J266" s="24"/>
      <c r="K266" s="24"/>
    </row>
    <row r="267" spans="1:11" ht="14.5">
      <c r="A267" s="20" t="s">
        <v>6480</v>
      </c>
      <c r="B267" s="81">
        <v>32</v>
      </c>
      <c r="C267" s="81">
        <v>10</v>
      </c>
      <c r="D267" s="81">
        <v>55</v>
      </c>
      <c r="E267" s="79"/>
      <c r="F267" s="20" t="s">
        <v>6481</v>
      </c>
      <c r="G267" s="24" t="str">
        <f ca="1">IFERROR(__xludf.DUMMYFUNCTION("GOOGLETRANSLATE(F267,""en"",""pt"")"),"espaços de cultivo de cogumelos")</f>
        <v>espaços de cultivo de cogumelos</v>
      </c>
      <c r="H267" s="24"/>
      <c r="I267" s="24"/>
      <c r="J267" s="24"/>
      <c r="K267" s="24"/>
    </row>
    <row r="268" spans="1:11" ht="14.5">
      <c r="A268" s="20" t="s">
        <v>6482</v>
      </c>
      <c r="B268" s="81">
        <v>32</v>
      </c>
      <c r="C268" s="81">
        <v>10</v>
      </c>
      <c r="D268" s="81">
        <v>60</v>
      </c>
      <c r="E268" s="79"/>
      <c r="F268" s="20" t="s">
        <v>6483</v>
      </c>
      <c r="G268" s="24" t="str">
        <f ca="1">IFERROR(__xludf.DUMMYFUNCTION("GOOGLETRANSLATE(F268,""en"",""pt"")"),"Paddocks")</f>
        <v>Paddocks</v>
      </c>
      <c r="H268" s="24"/>
      <c r="I268" s="24"/>
      <c r="J268" s="24"/>
      <c r="K268" s="24"/>
    </row>
    <row r="269" spans="1:11" ht="14.5">
      <c r="A269" s="20" t="s">
        <v>6484</v>
      </c>
      <c r="B269" s="81">
        <v>32</v>
      </c>
      <c r="C269" s="81">
        <v>10</v>
      </c>
      <c r="D269" s="81">
        <v>65</v>
      </c>
      <c r="E269" s="79"/>
      <c r="F269" s="20" t="s">
        <v>6485</v>
      </c>
      <c r="G269" s="24" t="str">
        <f ca="1">IFERROR(__xludf.DUMMYFUNCTION("GOOGLETRANSLATE(F269,""en"",""pt"")"),"espaços túnel poli")</f>
        <v>espaços túnel poli</v>
      </c>
      <c r="H269" s="24"/>
      <c r="I269" s="24"/>
      <c r="J269" s="24"/>
      <c r="K269" s="24"/>
    </row>
    <row r="270" spans="1:11" ht="14.5">
      <c r="A270" s="20" t="s">
        <v>6486</v>
      </c>
      <c r="B270" s="81">
        <v>32</v>
      </c>
      <c r="C270" s="81">
        <v>10</v>
      </c>
      <c r="D270" s="81">
        <v>66</v>
      </c>
      <c r="E270" s="79"/>
      <c r="F270" s="20" t="s">
        <v>6487</v>
      </c>
      <c r="G270" s="24" t="str">
        <f ca="1">IFERROR(__xludf.DUMMYFUNCTION("GOOGLETRANSLATE(F270,""en"",""pt"")"),"baterias de aves")</f>
        <v>baterias de aves</v>
      </c>
      <c r="H270" s="24"/>
      <c r="I270" s="24"/>
      <c r="J270" s="24"/>
      <c r="K270" s="24"/>
    </row>
    <row r="271" spans="1:11" ht="14.5">
      <c r="A271" s="20" t="s">
        <v>6488</v>
      </c>
      <c r="B271" s="81">
        <v>32</v>
      </c>
      <c r="C271" s="81">
        <v>10</v>
      </c>
      <c r="D271" s="81">
        <v>77</v>
      </c>
      <c r="E271" s="79"/>
      <c r="F271" s="20" t="s">
        <v>6489</v>
      </c>
      <c r="G271" s="24" t="str">
        <f ca="1">IFERROR(__xludf.DUMMYFUNCTION("GOOGLETRANSLATE(F271,""en"",""pt"")"),"tosquia espaços")</f>
        <v>tosquia espaços</v>
      </c>
      <c r="H271" s="24"/>
      <c r="I271" s="24"/>
      <c r="J271" s="24"/>
      <c r="K271" s="24"/>
    </row>
    <row r="272" spans="1:11" ht="14.5">
      <c r="A272" s="20" t="s">
        <v>6490</v>
      </c>
      <c r="B272" s="81">
        <v>32</v>
      </c>
      <c r="C272" s="81">
        <v>10</v>
      </c>
      <c r="D272" s="81">
        <v>78</v>
      </c>
      <c r="E272" s="79"/>
      <c r="F272" s="20" t="s">
        <v>6491</v>
      </c>
      <c r="G272" s="24" t="str">
        <f ca="1">IFERROR(__xludf.DUMMYFUNCTION("GOOGLETRANSLATE(F272,""en"",""pt"")"),"mergulhos ovelhas")</f>
        <v>mergulhos ovelhas</v>
      </c>
      <c r="H272" s="24"/>
      <c r="I272" s="24"/>
      <c r="J272" s="24"/>
      <c r="K272" s="24"/>
    </row>
    <row r="273" spans="1:11" ht="14.5">
      <c r="A273" s="20" t="s">
        <v>6492</v>
      </c>
      <c r="B273" s="81">
        <v>32</v>
      </c>
      <c r="C273" s="81">
        <v>10</v>
      </c>
      <c r="D273" s="81">
        <v>94</v>
      </c>
      <c r="E273" s="79"/>
      <c r="F273" s="20" t="s">
        <v>6493</v>
      </c>
      <c r="G273" s="24" t="str">
        <f ca="1">IFERROR(__xludf.DUMMYFUNCTION("GOOGLETRANSLATE(F273,""en"",""pt"")"),"espaços Vineyard")</f>
        <v>espaços Vineyard</v>
      </c>
      <c r="H273" s="24"/>
      <c r="I273" s="24"/>
      <c r="J273" s="24"/>
      <c r="K273" s="24"/>
    </row>
    <row r="274" spans="1:11" ht="14.5">
      <c r="A274" s="20" t="s">
        <v>6494</v>
      </c>
      <c r="B274" s="81">
        <v>32</v>
      </c>
      <c r="C274" s="81">
        <v>35</v>
      </c>
      <c r="D274" s="79"/>
      <c r="E274" s="79"/>
      <c r="F274" s="20" t="s">
        <v>6495</v>
      </c>
      <c r="G274" s="24" t="str">
        <f ca="1">IFERROR(__xludf.DUMMYFUNCTION("GOOGLETRANSLATE(F274,""en"",""pt"")"),"espaços terrestres")</f>
        <v>espaços terrestres</v>
      </c>
      <c r="H274" s="24"/>
      <c r="I274" s="24"/>
      <c r="J274" s="24"/>
      <c r="K274" s="24"/>
    </row>
    <row r="275" spans="1:11" ht="14.5">
      <c r="A275" s="20" t="s">
        <v>6496</v>
      </c>
      <c r="B275" s="81">
        <v>32</v>
      </c>
      <c r="C275" s="81">
        <v>35</v>
      </c>
      <c r="D275" s="81">
        <v>22</v>
      </c>
      <c r="E275" s="79"/>
      <c r="F275" s="20" t="s">
        <v>6497</v>
      </c>
      <c r="G275" s="24" t="str">
        <f ca="1">IFERROR(__xludf.DUMMYFUNCTION("GOOGLETRANSLATE(F275,""en"",""pt"")"),"áreas de decks")</f>
        <v>áreas de decks</v>
      </c>
      <c r="H275" s="24"/>
      <c r="I275" s="24"/>
      <c r="J275" s="24"/>
      <c r="K275" s="24"/>
    </row>
    <row r="276" spans="1:11" ht="14.5">
      <c r="A276" s="20" t="s">
        <v>6498</v>
      </c>
      <c r="B276" s="81">
        <v>32</v>
      </c>
      <c r="C276" s="81">
        <v>35</v>
      </c>
      <c r="D276" s="81">
        <v>24</v>
      </c>
      <c r="E276" s="79"/>
      <c r="F276" s="20" t="s">
        <v>6499</v>
      </c>
      <c r="G276" s="24" t="str">
        <f ca="1">IFERROR(__xludf.DUMMYFUNCTION("GOOGLETRANSLATE(F276,""en"",""pt"")"),"calçadas")</f>
        <v>calçadas</v>
      </c>
      <c r="H276" s="24"/>
      <c r="I276" s="24"/>
      <c r="J276" s="24"/>
      <c r="K276" s="24"/>
    </row>
    <row r="277" spans="1:11" ht="14.5">
      <c r="A277" s="20" t="s">
        <v>6500</v>
      </c>
      <c r="B277" s="81">
        <v>32</v>
      </c>
      <c r="C277" s="81">
        <v>35</v>
      </c>
      <c r="D277" s="81">
        <v>30</v>
      </c>
      <c r="E277" s="79"/>
      <c r="F277" s="20" t="s">
        <v>6501</v>
      </c>
      <c r="G277" s="24" t="str">
        <f ca="1">IFERROR(__xludf.DUMMYFUNCTION("GOOGLETRANSLATE(F277,""en"",""pt"")"),"canteiros de flores")</f>
        <v>canteiros de flores</v>
      </c>
      <c r="H277" s="24"/>
      <c r="I277" s="24"/>
      <c r="J277" s="24"/>
      <c r="K277" s="24"/>
    </row>
    <row r="278" spans="1:11" ht="14.5">
      <c r="A278" s="20" t="s">
        <v>6502</v>
      </c>
      <c r="B278" s="81">
        <v>32</v>
      </c>
      <c r="C278" s="81">
        <v>35</v>
      </c>
      <c r="D278" s="81">
        <v>46</v>
      </c>
      <c r="E278" s="79"/>
      <c r="F278" s="20" t="s">
        <v>6503</v>
      </c>
      <c r="G278" s="24" t="str">
        <f ca="1">IFERROR(__xludf.DUMMYFUNCTION("GOOGLETRANSLATE(F278,""en"",""pt"")"),"relvados")</f>
        <v>relvados</v>
      </c>
      <c r="H278" s="24"/>
      <c r="I278" s="24"/>
      <c r="J278" s="24"/>
      <c r="K278" s="24"/>
    </row>
    <row r="279" spans="1:11" ht="14.5">
      <c r="A279" s="20" t="s">
        <v>6504</v>
      </c>
      <c r="B279" s="81">
        <v>32</v>
      </c>
      <c r="C279" s="81">
        <v>35</v>
      </c>
      <c r="D279" s="81">
        <v>60</v>
      </c>
      <c r="E279" s="79"/>
      <c r="F279" s="20" t="s">
        <v>6505</v>
      </c>
      <c r="G279" s="24" t="str">
        <f ca="1">IFERROR(__xludf.DUMMYFUNCTION("GOOGLETRANSLATE(F279,""en"",""pt"")"),"pátios")</f>
        <v>pátios</v>
      </c>
      <c r="H279" s="24"/>
      <c r="I279" s="24"/>
      <c r="J279" s="24"/>
      <c r="K279" s="24"/>
    </row>
    <row r="280" spans="1:11" ht="14.5">
      <c r="A280" s="20" t="s">
        <v>6506</v>
      </c>
      <c r="B280" s="81">
        <v>32</v>
      </c>
      <c r="C280" s="81">
        <v>35</v>
      </c>
      <c r="D280" s="81">
        <v>94</v>
      </c>
      <c r="E280" s="79"/>
      <c r="F280" s="20" t="s">
        <v>6507</v>
      </c>
      <c r="G280" s="24" t="str">
        <f ca="1">IFERROR(__xludf.DUMMYFUNCTION("GOOGLETRANSLATE(F280,""en"",""pt"")"),"hortas")</f>
        <v>hortas</v>
      </c>
      <c r="H280" s="24"/>
      <c r="I280" s="24"/>
      <c r="J280" s="24"/>
      <c r="K280" s="24"/>
    </row>
    <row r="281" spans="1:11" ht="14.5">
      <c r="A281" s="20" t="s">
        <v>6508</v>
      </c>
      <c r="B281" s="81">
        <v>32</v>
      </c>
      <c r="C281" s="81">
        <v>40</v>
      </c>
      <c r="D281" s="79"/>
      <c r="E281" s="79"/>
      <c r="F281" s="20" t="s">
        <v>6509</v>
      </c>
      <c r="G281" s="24" t="str">
        <f ca="1">IFERROR(__xludf.DUMMYFUNCTION("GOOGLETRANSLATE(F281,""en"",""pt"")"),"espaços de terra conseguiu")</f>
        <v>espaços de terra conseguiu</v>
      </c>
      <c r="H281" s="24"/>
      <c r="I281" s="24"/>
      <c r="J281" s="24"/>
      <c r="K281" s="24"/>
    </row>
    <row r="282" spans="1:11" ht="14.5">
      <c r="A282" s="20" t="s">
        <v>6510</v>
      </c>
      <c r="B282" s="81">
        <v>32</v>
      </c>
      <c r="C282" s="81">
        <v>40</v>
      </c>
      <c r="D282" s="81">
        <v>90</v>
      </c>
      <c r="E282" s="79"/>
      <c r="F282" s="20" t="s">
        <v>6511</v>
      </c>
      <c r="G282" s="24" t="str">
        <f ca="1">IFERROR(__xludf.DUMMYFUNCTION("GOOGLETRANSLATE(F282,""en"",""pt"")"),"zonas de protecção de árvores")</f>
        <v>zonas de protecção de árvores</v>
      </c>
      <c r="H282" s="24"/>
      <c r="I282" s="24"/>
      <c r="J282" s="24"/>
      <c r="K282" s="24"/>
    </row>
    <row r="283" spans="1:11" ht="14.5">
      <c r="A283" s="20" t="s">
        <v>6512</v>
      </c>
      <c r="B283" s="81">
        <v>32</v>
      </c>
      <c r="C283" s="81">
        <v>50</v>
      </c>
      <c r="D283" s="79"/>
      <c r="E283" s="79"/>
      <c r="F283" s="20" t="s">
        <v>6513</v>
      </c>
      <c r="G283" s="24" t="str">
        <f ca="1">IFERROR(__xludf.DUMMYFUNCTION("GOOGLETRANSLATE(F283,""en"",""pt"")"),"Marinha formas e espaços de navegação")</f>
        <v>Marinha formas e espaços de navegação</v>
      </c>
      <c r="H283" s="24"/>
      <c r="I283" s="24"/>
      <c r="J283" s="24"/>
      <c r="K283" s="24"/>
    </row>
    <row r="284" spans="1:11" ht="14.5">
      <c r="A284" s="20" t="s">
        <v>6514</v>
      </c>
      <c r="B284" s="81">
        <v>32</v>
      </c>
      <c r="C284" s="81">
        <v>50</v>
      </c>
      <c r="D284" s="81">
        <v>6</v>
      </c>
      <c r="E284" s="79"/>
      <c r="F284" s="20" t="s">
        <v>6515</v>
      </c>
      <c r="G284" s="24" t="str">
        <f ca="1">IFERROR(__xludf.DUMMYFUNCTION("GOOGLETRANSLATE(F284,""en"",""pt"")"),"rampas de praia")</f>
        <v>rampas de praia</v>
      </c>
      <c r="H284" s="24"/>
      <c r="I284" s="24"/>
      <c r="J284" s="24"/>
      <c r="K284" s="24"/>
    </row>
    <row r="285" spans="1:11" ht="14.5">
      <c r="A285" s="20" t="s">
        <v>6516</v>
      </c>
      <c r="B285" s="81">
        <v>32</v>
      </c>
      <c r="C285" s="81">
        <v>50</v>
      </c>
      <c r="D285" s="81">
        <v>18</v>
      </c>
      <c r="E285" s="79"/>
      <c r="F285" s="20" t="s">
        <v>6517</v>
      </c>
      <c r="G285" s="24" t="str">
        <f ca="1">IFERROR(__xludf.DUMMYFUNCTION("GOOGLETRANSLATE(F285,""en"",""pt"")"),"ancoradouros profundos")</f>
        <v>ancoradouros profundos</v>
      </c>
      <c r="H285" s="24"/>
      <c r="I285" s="24"/>
      <c r="J285" s="24"/>
      <c r="K285" s="24"/>
    </row>
    <row r="286" spans="1:11" ht="14.5">
      <c r="A286" s="20" t="s">
        <v>6518</v>
      </c>
      <c r="B286" s="81">
        <v>32</v>
      </c>
      <c r="C286" s="81">
        <v>50</v>
      </c>
      <c r="D286" s="81">
        <v>47</v>
      </c>
      <c r="E286" s="79"/>
      <c r="F286" s="20" t="s">
        <v>6519</v>
      </c>
      <c r="G286" s="24" t="str">
        <f ca="1">IFERROR(__xludf.DUMMYFUNCTION("GOOGLETRANSLATE(F286,""en"",""pt"")"),"Lifeboat espaços lançamento navio")</f>
        <v>Lifeboat espaços lançamento navio</v>
      </c>
      <c r="H286" s="24"/>
      <c r="I286" s="24"/>
      <c r="J286" s="24"/>
      <c r="K286" s="24"/>
    </row>
    <row r="287" spans="1:11" ht="14.5">
      <c r="A287" s="20" t="s">
        <v>6520</v>
      </c>
      <c r="B287" s="81">
        <v>32</v>
      </c>
      <c r="C287" s="81">
        <v>50</v>
      </c>
      <c r="D287" s="81">
        <v>79</v>
      </c>
      <c r="E287" s="79"/>
      <c r="F287" s="20" t="s">
        <v>6521</v>
      </c>
      <c r="G287" s="24" t="str">
        <f ca="1">IFERROR(__xludf.DUMMYFUNCTION("GOOGLETRANSLATE(F287,""en"",""pt"")"),"rampas")</f>
        <v>rampas</v>
      </c>
      <c r="H287" s="24"/>
      <c r="I287" s="24"/>
      <c r="J287" s="24"/>
      <c r="K287" s="24"/>
    </row>
    <row r="288" spans="1:11" ht="14.5">
      <c r="A288" s="20" t="s">
        <v>6522</v>
      </c>
      <c r="B288" s="81">
        <v>32</v>
      </c>
      <c r="C288" s="81">
        <v>60</v>
      </c>
      <c r="D288" s="79"/>
      <c r="E288" s="79"/>
      <c r="F288" s="20" t="s">
        <v>6523</v>
      </c>
      <c r="G288" s="24" t="str">
        <f ca="1">IFERROR(__xludf.DUMMYFUNCTION("GOOGLETRANSLATE(F288,""en"",""pt"")"),"Marinha e espaços à beira da água")</f>
        <v>Marinha e espaços à beira da água</v>
      </c>
      <c r="H288" s="24"/>
      <c r="I288" s="24"/>
      <c r="J288" s="24"/>
      <c r="K288" s="24"/>
    </row>
    <row r="289" spans="1:11" ht="14.5">
      <c r="A289" s="20" t="s">
        <v>6524</v>
      </c>
      <c r="B289" s="81">
        <v>32</v>
      </c>
      <c r="C289" s="81">
        <v>60</v>
      </c>
      <c r="D289" s="81">
        <v>6</v>
      </c>
      <c r="E289" s="79"/>
      <c r="F289" s="20" t="s">
        <v>6525</v>
      </c>
      <c r="G289" s="24" t="str">
        <f ca="1">IFERROR(__xludf.DUMMYFUNCTION("GOOGLETRANSLATE(F289,""en"",""pt"")"),"Praias")</f>
        <v>Praias</v>
      </c>
      <c r="H289" s="24"/>
      <c r="I289" s="24"/>
      <c r="J289" s="24"/>
      <c r="K289" s="24"/>
    </row>
    <row r="290" spans="1:11" ht="14.5">
      <c r="A290" s="20" t="s">
        <v>6526</v>
      </c>
      <c r="B290" s="81">
        <v>32</v>
      </c>
      <c r="C290" s="81">
        <v>60</v>
      </c>
      <c r="D290" s="81">
        <v>55</v>
      </c>
      <c r="E290" s="79"/>
      <c r="F290" s="20" t="s">
        <v>6527</v>
      </c>
      <c r="G290" s="24" t="str">
        <f ca="1">IFERROR(__xludf.DUMMYFUNCTION("GOOGLETRANSLATE(F290,""en"",""pt"")"),"lodaçais")</f>
        <v>lodaçais</v>
      </c>
      <c r="H290" s="24"/>
      <c r="I290" s="24"/>
      <c r="J290" s="24"/>
      <c r="K290" s="24"/>
    </row>
    <row r="291" spans="1:11" ht="14.5">
      <c r="A291" s="20" t="s">
        <v>6528</v>
      </c>
      <c r="B291" s="81">
        <v>32</v>
      </c>
      <c r="C291" s="81">
        <v>60</v>
      </c>
      <c r="D291" s="81">
        <v>65</v>
      </c>
      <c r="E291" s="79"/>
      <c r="F291" s="20" t="s">
        <v>6529</v>
      </c>
      <c r="G291" s="24" t="str">
        <f ca="1">IFERROR(__xludf.DUMMYFUNCTION("GOOGLETRANSLATE(F291,""en"",""pt"")"),"pontões")</f>
        <v>pontões</v>
      </c>
      <c r="H291" s="24"/>
      <c r="I291" s="24"/>
      <c r="J291" s="24"/>
      <c r="K291" s="24"/>
    </row>
    <row r="292" spans="1:11" ht="14.5">
      <c r="A292" s="20" t="s">
        <v>6530</v>
      </c>
      <c r="B292" s="81">
        <v>32</v>
      </c>
      <c r="C292" s="81">
        <v>60</v>
      </c>
      <c r="D292" s="81">
        <v>76</v>
      </c>
      <c r="E292" s="79"/>
      <c r="F292" s="20" t="s">
        <v>6531</v>
      </c>
      <c r="G292" s="24" t="str">
        <f ca="1">IFERROR(__xludf.DUMMYFUNCTION("GOOGLETRANSLATE(F292,""en"",""pt"")"),"Dunas de areia")</f>
        <v>Dunas de areia</v>
      </c>
      <c r="H292" s="24"/>
      <c r="I292" s="24"/>
      <c r="J292" s="24"/>
      <c r="K292" s="24"/>
    </row>
    <row r="293" spans="1:11" ht="14.5">
      <c r="A293" s="20" t="s">
        <v>6532</v>
      </c>
      <c r="B293" s="81">
        <v>32</v>
      </c>
      <c r="C293" s="81">
        <v>65</v>
      </c>
      <c r="D293" s="79"/>
      <c r="E293" s="79"/>
      <c r="F293" s="20" t="s">
        <v>6533</v>
      </c>
      <c r="G293" s="24" t="str">
        <f ca="1">IFERROR(__xludf.DUMMYFUNCTION("GOOGLETRANSLATE(F293,""en"",""pt"")"),"espaços naturais")</f>
        <v>espaços naturais</v>
      </c>
      <c r="H293" s="24"/>
      <c r="I293" s="24"/>
      <c r="J293" s="24"/>
      <c r="K293" s="24"/>
    </row>
    <row r="294" spans="1:11" ht="14.5">
      <c r="A294" s="20" t="s">
        <v>6534</v>
      </c>
      <c r="B294" s="81">
        <v>32</v>
      </c>
      <c r="C294" s="81">
        <v>65</v>
      </c>
      <c r="D294" s="81">
        <v>37</v>
      </c>
      <c r="E294" s="79"/>
      <c r="F294" s="20" t="s">
        <v>6535</v>
      </c>
      <c r="G294" s="24" t="str">
        <f ca="1">IFERROR(__xludf.DUMMYFUNCTION("GOOGLETRANSLATE(F294,""en"",""pt"")"),"Heathlands")</f>
        <v>Heathlands</v>
      </c>
      <c r="H294" s="24"/>
      <c r="I294" s="24"/>
      <c r="J294" s="24"/>
      <c r="K294" s="24"/>
    </row>
    <row r="295" spans="1:11" ht="14.5">
      <c r="A295" s="20" t="s">
        <v>6536</v>
      </c>
      <c r="B295" s="81">
        <v>32</v>
      </c>
      <c r="C295" s="81">
        <v>65</v>
      </c>
      <c r="D295" s="81">
        <v>50</v>
      </c>
      <c r="E295" s="79"/>
      <c r="F295" s="20" t="s">
        <v>6537</v>
      </c>
      <c r="G295" s="24" t="str">
        <f ca="1">IFERROR(__xludf.DUMMYFUNCTION("GOOGLETRANSLATE(F295,""en"",""pt"")"),"Pântanos e campos molhados")</f>
        <v>Pântanos e campos molhados</v>
      </c>
      <c r="H295" s="24"/>
      <c r="I295" s="24"/>
      <c r="J295" s="24"/>
      <c r="K295" s="24"/>
    </row>
    <row r="296" spans="1:11" ht="14.5">
      <c r="A296" s="20" t="s">
        <v>6538</v>
      </c>
      <c r="B296" s="81">
        <v>32</v>
      </c>
      <c r="C296" s="81">
        <v>65</v>
      </c>
      <c r="D296" s="81">
        <v>51</v>
      </c>
      <c r="E296" s="79"/>
      <c r="F296" s="20" t="s">
        <v>6539</v>
      </c>
      <c r="G296" s="24" t="str">
        <f ca="1">IFERROR(__xludf.DUMMYFUNCTION("GOOGLETRANSLATE(F296,""en"",""pt"")"),"Meadows")</f>
        <v>Meadows</v>
      </c>
      <c r="H296" s="24"/>
      <c r="I296" s="24"/>
      <c r="J296" s="24"/>
      <c r="K296" s="24"/>
    </row>
    <row r="297" spans="1:11" ht="14.5">
      <c r="A297" s="20" t="s">
        <v>6540</v>
      </c>
      <c r="B297" s="81">
        <v>32</v>
      </c>
      <c r="C297" s="81">
        <v>65</v>
      </c>
      <c r="D297" s="81">
        <v>53</v>
      </c>
      <c r="E297" s="79"/>
      <c r="F297" s="20" t="s">
        <v>6541</v>
      </c>
      <c r="G297" s="24" t="str">
        <f ca="1">IFERROR(__xludf.DUMMYFUNCTION("GOOGLETRANSLATE(F297,""en"",""pt"")"),"Moorlands")</f>
        <v>Moorlands</v>
      </c>
      <c r="H297" s="24"/>
      <c r="I297" s="24"/>
      <c r="J297" s="24"/>
      <c r="K297" s="24"/>
    </row>
    <row r="298" spans="1:11" ht="14.5">
      <c r="A298" s="20" t="s">
        <v>6542</v>
      </c>
      <c r="B298" s="81">
        <v>32</v>
      </c>
      <c r="C298" s="81">
        <v>65</v>
      </c>
      <c r="D298" s="81">
        <v>59</v>
      </c>
      <c r="E298" s="79"/>
      <c r="F298" s="20" t="s">
        <v>6543</v>
      </c>
      <c r="G298" s="24" t="str">
        <f ca="1">IFERROR(__xludf.DUMMYFUNCTION("GOOGLETRANSLATE(F298,""en"",""pt"")"),"campos abertos")</f>
        <v>campos abertos</v>
      </c>
      <c r="H298" s="24"/>
      <c r="I298" s="24"/>
      <c r="J298" s="24"/>
      <c r="K298" s="24"/>
    </row>
    <row r="299" spans="1:11" ht="14.5">
      <c r="A299" s="20" t="s">
        <v>6544</v>
      </c>
      <c r="B299" s="81">
        <v>32</v>
      </c>
      <c r="C299" s="81">
        <v>65</v>
      </c>
      <c r="D299" s="81">
        <v>71</v>
      </c>
      <c r="E299" s="79"/>
      <c r="F299" s="20" t="s">
        <v>6545</v>
      </c>
      <c r="G299" s="24" t="str">
        <f ca="1">IFERROR(__xludf.DUMMYFUNCTION("GOOGLETRANSLATE(F299,""en"",""pt"")"),"leitos de rios")</f>
        <v>leitos de rios</v>
      </c>
      <c r="H299" s="24"/>
      <c r="I299" s="24"/>
      <c r="J299" s="24"/>
      <c r="K299" s="24"/>
    </row>
    <row r="300" spans="1:11" ht="14.5">
      <c r="A300" s="20" t="s">
        <v>6546</v>
      </c>
      <c r="B300" s="81">
        <v>32</v>
      </c>
      <c r="C300" s="81">
        <v>65</v>
      </c>
      <c r="D300" s="81">
        <v>72</v>
      </c>
      <c r="E300" s="79"/>
      <c r="F300" s="20" t="s">
        <v>6547</v>
      </c>
      <c r="G300" s="24" t="str">
        <f ca="1">IFERROR(__xludf.DUMMYFUNCTION("GOOGLETRANSLATE(F300,""en"",""pt"")"),"alcances do rio")</f>
        <v>alcances do rio</v>
      </c>
      <c r="H300" s="24"/>
      <c r="I300" s="24"/>
      <c r="J300" s="24"/>
      <c r="K300" s="24"/>
    </row>
    <row r="301" spans="1:11" ht="14.5">
      <c r="A301" s="20" t="s">
        <v>6548</v>
      </c>
      <c r="B301" s="81">
        <v>32</v>
      </c>
      <c r="C301" s="81">
        <v>65</v>
      </c>
      <c r="D301" s="81">
        <v>73</v>
      </c>
      <c r="E301" s="79"/>
      <c r="F301" s="20" t="s">
        <v>6549</v>
      </c>
      <c r="G301" s="24" t="str">
        <f ca="1">IFERROR(__xludf.DUMMYFUNCTION("GOOGLETRANSLATE(F301,""en"",""pt"")"),"Rochas e screes")</f>
        <v>Rochas e screes</v>
      </c>
      <c r="H301" s="24"/>
      <c r="I301" s="24"/>
      <c r="J301" s="24"/>
      <c r="K301" s="24"/>
    </row>
    <row r="302" spans="1:11" ht="14.5">
      <c r="A302" s="20" t="s">
        <v>6550</v>
      </c>
      <c r="B302" s="81">
        <v>32</v>
      </c>
      <c r="C302" s="81">
        <v>65</v>
      </c>
      <c r="D302" s="81">
        <v>76</v>
      </c>
      <c r="E302" s="79"/>
      <c r="F302" s="20" t="s">
        <v>6551</v>
      </c>
      <c r="G302" s="24" t="str">
        <f ca="1">IFERROR(__xludf.DUMMYFUNCTION("GOOGLETRANSLATE(F302,""en"",""pt"")"),"Esfregar")</f>
        <v>Esfregar</v>
      </c>
      <c r="H302" s="24"/>
      <c r="I302" s="24"/>
      <c r="J302" s="24"/>
      <c r="K302" s="24"/>
    </row>
    <row r="303" spans="1:11" ht="14.5">
      <c r="A303" s="20" t="s">
        <v>6552</v>
      </c>
      <c r="B303" s="81">
        <v>32</v>
      </c>
      <c r="C303" s="81">
        <v>65</v>
      </c>
      <c r="D303" s="81">
        <v>82</v>
      </c>
      <c r="E303" s="79"/>
      <c r="F303" s="20" t="s">
        <v>6553</v>
      </c>
      <c r="G303" s="24" t="str">
        <f ca="1">IFERROR(__xludf.DUMMYFUNCTION("GOOGLETRANSLATE(F303,""en"",""pt"")"),"Espécies ricas pastagens")</f>
        <v>Espécies ricas pastagens</v>
      </c>
      <c r="H303" s="24"/>
      <c r="I303" s="24"/>
      <c r="J303" s="24"/>
      <c r="K303" s="24"/>
    </row>
    <row r="304" spans="1:11" ht="14.5">
      <c r="A304" s="20" t="s">
        <v>6554</v>
      </c>
      <c r="B304" s="81">
        <v>32</v>
      </c>
      <c r="C304" s="81">
        <v>65</v>
      </c>
      <c r="D304" s="81">
        <v>95</v>
      </c>
      <c r="E304" s="79"/>
      <c r="F304" s="20" t="s">
        <v>6555</v>
      </c>
      <c r="G304" s="24" t="str">
        <f ca="1">IFERROR(__xludf.DUMMYFUNCTION("GOOGLETRANSLATE(F304,""en"",""pt"")"),"Washland")</f>
        <v>Washland</v>
      </c>
      <c r="H304" s="24"/>
      <c r="I304" s="24"/>
      <c r="J304" s="24"/>
      <c r="K304" s="24"/>
    </row>
    <row r="305" spans="1:11" ht="14.5">
      <c r="A305" s="20" t="s">
        <v>6556</v>
      </c>
      <c r="B305" s="81">
        <v>32</v>
      </c>
      <c r="C305" s="81">
        <v>80</v>
      </c>
      <c r="D305" s="79"/>
      <c r="E305" s="79"/>
      <c r="F305" s="20" t="s">
        <v>6557</v>
      </c>
      <c r="G305" s="24" t="str">
        <f ca="1">IFERROR(__xludf.DUMMYFUNCTION("GOOGLETRANSLATE(F305,""en"",""pt"")"),"espaços semi-naturais")</f>
        <v>espaços semi-naturais</v>
      </c>
      <c r="H305" s="24"/>
      <c r="I305" s="24"/>
      <c r="J305" s="24"/>
      <c r="K305" s="24"/>
    </row>
    <row r="306" spans="1:11" ht="14.5">
      <c r="A306" s="20" t="s">
        <v>6558</v>
      </c>
      <c r="B306" s="81">
        <v>32</v>
      </c>
      <c r="C306" s="81">
        <v>80</v>
      </c>
      <c r="D306" s="81">
        <v>3</v>
      </c>
      <c r="E306" s="79"/>
      <c r="F306" s="20" t="s">
        <v>6559</v>
      </c>
      <c r="G306" s="24" t="str">
        <f ca="1">IFERROR(__xludf.DUMMYFUNCTION("GOOGLETRANSLATE(F306,""en"",""pt"")"),"áreas de grama Amenity")</f>
        <v>áreas de grama Amenity</v>
      </c>
      <c r="H306" s="24"/>
      <c r="I306" s="24"/>
      <c r="J306" s="24"/>
      <c r="K306" s="24"/>
    </row>
    <row r="307" spans="1:11" ht="14.5">
      <c r="A307" s="20" t="s">
        <v>6560</v>
      </c>
      <c r="B307" s="81">
        <v>32</v>
      </c>
      <c r="C307" s="81">
        <v>80</v>
      </c>
      <c r="D307" s="81">
        <v>8</v>
      </c>
      <c r="E307" s="79"/>
      <c r="F307" s="20" t="s">
        <v>6561</v>
      </c>
      <c r="G307" s="24" t="str">
        <f ca="1">IFERROR(__xludf.DUMMYFUNCTION("GOOGLETRANSLATE(F307,""en"",""pt"")"),"zonas industriais abandonadas")</f>
        <v>zonas industriais abandonadas</v>
      </c>
      <c r="H307" s="24"/>
      <c r="I307" s="24"/>
      <c r="J307" s="24"/>
      <c r="K307" s="24"/>
    </row>
    <row r="308" spans="1:11" ht="14.5">
      <c r="A308" s="20" t="s">
        <v>6562</v>
      </c>
      <c r="B308" s="81">
        <v>32</v>
      </c>
      <c r="C308" s="81">
        <v>80</v>
      </c>
      <c r="D308" s="81">
        <v>23</v>
      </c>
      <c r="E308" s="79"/>
      <c r="F308" s="20" t="s">
        <v>6563</v>
      </c>
      <c r="G308" s="24" t="str">
        <f ca="1">IFERROR(__xludf.DUMMYFUNCTION("GOOGLETRANSLATE(F308,""en"",""pt"")"),"locais de extracção em desuso minerais")</f>
        <v>locais de extracção em desuso minerais</v>
      </c>
      <c r="H308" s="24"/>
      <c r="I308" s="24"/>
      <c r="J308" s="24"/>
      <c r="K308" s="24"/>
    </row>
    <row r="309" spans="1:11" ht="14.5">
      <c r="A309" s="20" t="s">
        <v>6564</v>
      </c>
      <c r="B309" s="81">
        <v>32</v>
      </c>
      <c r="C309" s="81">
        <v>80</v>
      </c>
      <c r="D309" s="81">
        <v>50</v>
      </c>
      <c r="E309" s="79"/>
      <c r="F309" s="20" t="s">
        <v>6565</v>
      </c>
      <c r="G309" s="24" t="str">
        <f ca="1">IFERROR(__xludf.DUMMYFUNCTION("GOOGLETRANSLATE(F309,""en"",""pt"")"),"roçada tiras")</f>
        <v>roçada tiras</v>
      </c>
      <c r="H309" s="24"/>
      <c r="I309" s="24"/>
      <c r="J309" s="24"/>
      <c r="K309" s="24"/>
    </row>
    <row r="310" spans="1:11" ht="14.5">
      <c r="A310" s="20" t="s">
        <v>6566</v>
      </c>
      <c r="B310" s="81">
        <v>32</v>
      </c>
      <c r="C310" s="81">
        <v>80</v>
      </c>
      <c r="D310" s="81">
        <v>89</v>
      </c>
      <c r="E310" s="79"/>
      <c r="F310" s="20" t="s">
        <v>6567</v>
      </c>
      <c r="G310" s="24" t="str">
        <f ca="1">IFERROR(__xludf.DUMMYFUNCTION("GOOGLETRANSLATE(F310,""en"",""pt"")"),"bermas corredor de transporte")</f>
        <v>bermas corredor de transporte</v>
      </c>
      <c r="H310" s="24"/>
      <c r="I310" s="24"/>
      <c r="J310" s="24"/>
      <c r="K310" s="24"/>
    </row>
    <row r="311" spans="1:11" ht="14.5">
      <c r="A311" s="20" t="s">
        <v>6568</v>
      </c>
      <c r="B311" s="81">
        <v>35</v>
      </c>
      <c r="C311" s="79"/>
      <c r="D311" s="79"/>
      <c r="E311" s="79"/>
      <c r="F311" s="20" t="s">
        <v>6569</v>
      </c>
      <c r="G311" s="24" t="str">
        <f ca="1">IFERROR(__xludf.DUMMYFUNCTION("GOOGLETRANSLATE(F311,""en"",""pt"")"),"Médico, saúde, bem-estar e instalações sanitárias")</f>
        <v>Médico, saúde, bem-estar e instalações sanitárias</v>
      </c>
      <c r="H311" s="24"/>
      <c r="I311" s="24"/>
      <c r="J311" s="24"/>
      <c r="K311" s="24"/>
    </row>
    <row r="312" spans="1:11" ht="14.5">
      <c r="A312" s="20" t="s">
        <v>6570</v>
      </c>
      <c r="B312" s="81">
        <v>35</v>
      </c>
      <c r="C312" s="81">
        <v>10</v>
      </c>
      <c r="D312" s="79"/>
      <c r="E312" s="79"/>
      <c r="F312" s="20" t="s">
        <v>6571</v>
      </c>
      <c r="G312" s="24" t="str">
        <f ca="1">IFERROR(__xludf.DUMMYFUNCTION("GOOGLETRANSLATE(F312,""en"",""pt"")"),"espaços médicos")</f>
        <v>espaços médicos</v>
      </c>
      <c r="H312" s="24"/>
      <c r="I312" s="24"/>
      <c r="J312" s="24"/>
      <c r="K312" s="24"/>
    </row>
    <row r="313" spans="1:11" ht="14.5">
      <c r="A313" s="20" t="s">
        <v>6572</v>
      </c>
      <c r="B313" s="81">
        <v>35</v>
      </c>
      <c r="C313" s="81">
        <v>10</v>
      </c>
      <c r="D313" s="81">
        <v>8</v>
      </c>
      <c r="E313" s="79"/>
      <c r="F313" s="20" t="s">
        <v>6573</v>
      </c>
      <c r="G313" s="24" t="str">
        <f ca="1">IFERROR(__xludf.DUMMYFUNCTION("GOOGLETRANSLATE(F313,""en"",""pt"")"),"salas de parto")</f>
        <v>salas de parto</v>
      </c>
      <c r="H313" s="24"/>
      <c r="I313" s="24"/>
      <c r="J313" s="24"/>
      <c r="K313" s="24"/>
    </row>
    <row r="314" spans="1:11" ht="14.5">
      <c r="A314" s="20" t="s">
        <v>6574</v>
      </c>
      <c r="B314" s="81">
        <v>35</v>
      </c>
      <c r="C314" s="81">
        <v>10</v>
      </c>
      <c r="D314" s="81">
        <v>10</v>
      </c>
      <c r="E314" s="79"/>
      <c r="F314" s="20" t="s">
        <v>6575</v>
      </c>
      <c r="G314" s="24" t="str">
        <f ca="1">IFERROR(__xludf.DUMMYFUNCTION("GOOGLETRANSLATE(F314,""en"",""pt"")"),"unidades de Queimados")</f>
        <v>unidades de Queimados</v>
      </c>
      <c r="H314" s="24"/>
      <c r="I314" s="24"/>
      <c r="J314" s="24"/>
      <c r="K314" s="24"/>
    </row>
    <row r="315" spans="1:11" ht="14.5">
      <c r="A315" s="20" t="s">
        <v>6576</v>
      </c>
      <c r="B315" s="81">
        <v>35</v>
      </c>
      <c r="C315" s="81">
        <v>10</v>
      </c>
      <c r="D315" s="81">
        <v>15</v>
      </c>
      <c r="E315" s="79"/>
      <c r="F315" s="20" t="s">
        <v>6577</v>
      </c>
      <c r="G315" s="24" t="str">
        <f ca="1">IFERROR(__xludf.DUMMYFUNCTION("GOOGLETRANSLATE(F315,""en"",""pt"")"),"consultórios")</f>
        <v>consultórios</v>
      </c>
      <c r="H315" s="24"/>
      <c r="I315" s="24"/>
      <c r="J315" s="24"/>
      <c r="K315" s="24"/>
    </row>
    <row r="316" spans="1:11" ht="14.5">
      <c r="A316" s="20" t="s">
        <v>6578</v>
      </c>
      <c r="B316" s="81">
        <v>35</v>
      </c>
      <c r="C316" s="81">
        <v>10</v>
      </c>
      <c r="D316" s="81">
        <v>30</v>
      </c>
      <c r="E316" s="79"/>
      <c r="F316" s="20" t="s">
        <v>6579</v>
      </c>
      <c r="G316" s="24" t="str">
        <f ca="1">IFERROR(__xludf.DUMMYFUNCTION("GOOGLETRANSLATE(F316,""en"",""pt"")"),"mensagens de primeiros socorros")</f>
        <v>mensagens de primeiros socorros</v>
      </c>
      <c r="H316" s="24"/>
      <c r="I316" s="24"/>
      <c r="J316" s="24"/>
      <c r="K316" s="24"/>
    </row>
    <row r="317" spans="1:11" ht="14.5">
      <c r="A317" s="20" t="s">
        <v>6580</v>
      </c>
      <c r="B317" s="81">
        <v>35</v>
      </c>
      <c r="C317" s="81">
        <v>10</v>
      </c>
      <c r="D317" s="81">
        <v>31</v>
      </c>
      <c r="E317" s="79"/>
      <c r="F317" s="20" t="s">
        <v>6581</v>
      </c>
      <c r="G317" s="24" t="str">
        <f ca="1">IFERROR(__xludf.DUMMYFUNCTION("GOOGLETRANSLATE(F317,""en"",""pt"")"),"primeiros socorros")</f>
        <v>primeiros socorros</v>
      </c>
      <c r="H317" s="24"/>
      <c r="I317" s="24"/>
      <c r="J317" s="24"/>
      <c r="K317" s="24"/>
    </row>
    <row r="318" spans="1:11" ht="14.5">
      <c r="A318" s="20" t="s">
        <v>6582</v>
      </c>
      <c r="B318" s="81">
        <v>35</v>
      </c>
      <c r="C318" s="81">
        <v>10</v>
      </c>
      <c r="D318" s="81">
        <v>36</v>
      </c>
      <c r="E318" s="79"/>
      <c r="F318" s="20" t="s">
        <v>6583</v>
      </c>
      <c r="G318" s="24" t="str">
        <f ca="1">IFERROR(__xludf.DUMMYFUNCTION("GOOGLETRANSLATE(F318,""en"",""pt"")"),"Ouvindo salas de ensaio")</f>
        <v>Ouvindo salas de ensaio</v>
      </c>
      <c r="H318" s="24"/>
      <c r="I318" s="24"/>
      <c r="J318" s="24"/>
      <c r="K318" s="24"/>
    </row>
    <row r="319" spans="1:11" ht="14.5">
      <c r="A319" s="20" t="s">
        <v>6584</v>
      </c>
      <c r="B319" s="81">
        <v>35</v>
      </c>
      <c r="C319" s="81">
        <v>10</v>
      </c>
      <c r="D319" s="81">
        <v>39</v>
      </c>
      <c r="E319" s="79"/>
      <c r="F319" s="20" t="s">
        <v>6585</v>
      </c>
      <c r="G319" s="24" t="str">
        <f ca="1">IFERROR(__xludf.DUMMYFUNCTION("GOOGLETRANSLATE(F319,""en"",""pt"")"),"piscinas de hidroterapia")</f>
        <v>piscinas de hidroterapia</v>
      </c>
      <c r="H319" s="24"/>
      <c r="I319" s="24"/>
      <c r="J319" s="24"/>
      <c r="K319" s="24"/>
    </row>
    <row r="320" spans="1:11" ht="14.5">
      <c r="A320" s="20" t="s">
        <v>6586</v>
      </c>
      <c r="B320" s="81">
        <v>35</v>
      </c>
      <c r="C320" s="81">
        <v>10</v>
      </c>
      <c r="D320" s="81">
        <v>42</v>
      </c>
      <c r="E320" s="79"/>
      <c r="F320" s="20" t="s">
        <v>6587</v>
      </c>
      <c r="G320" s="24" t="str">
        <f ca="1">IFERROR(__xludf.DUMMYFUNCTION("GOOGLETRANSLATE(F320,""en"",""pt"")"),"unidades de terapia intensiva")</f>
        <v>unidades de terapia intensiva</v>
      </c>
      <c r="H320" s="24"/>
      <c r="I320" s="24"/>
      <c r="J320" s="24"/>
      <c r="K320" s="24"/>
    </row>
    <row r="321" spans="1:11" ht="14.5">
      <c r="A321" s="20" t="s">
        <v>6588</v>
      </c>
      <c r="B321" s="81">
        <v>35</v>
      </c>
      <c r="C321" s="81">
        <v>10</v>
      </c>
      <c r="D321" s="81">
        <v>43</v>
      </c>
      <c r="E321" s="79"/>
      <c r="F321" s="20" t="s">
        <v>6589</v>
      </c>
      <c r="G321" s="24" t="str">
        <f ca="1">IFERROR(__xludf.DUMMYFUNCTION("GOOGLETRANSLATE(F321,""en"",""pt"")"),"unidades de isolamento")</f>
        <v>unidades de isolamento</v>
      </c>
      <c r="H321" s="24"/>
      <c r="I321" s="24"/>
      <c r="J321" s="24"/>
      <c r="K321" s="24"/>
    </row>
    <row r="322" spans="1:11" ht="14.5">
      <c r="A322" s="20" t="s">
        <v>6590</v>
      </c>
      <c r="B322" s="81">
        <v>35</v>
      </c>
      <c r="C322" s="81">
        <v>10</v>
      </c>
      <c r="D322" s="81">
        <v>51</v>
      </c>
      <c r="E322" s="79"/>
      <c r="F322" s="20" t="s">
        <v>6591</v>
      </c>
      <c r="G322" s="24" t="str">
        <f ca="1">IFERROR(__xludf.DUMMYFUNCTION("GOOGLETRANSLATE(F322,""en"",""pt"")"),"digitalização médica e raios-X quartos")</f>
        <v>digitalização médica e raios-X quartos</v>
      </c>
      <c r="H322" s="24"/>
      <c r="I322" s="24"/>
      <c r="J322" s="24"/>
      <c r="K322" s="24"/>
    </row>
    <row r="323" spans="1:11" ht="14.5">
      <c r="A323" s="20" t="s">
        <v>6592</v>
      </c>
      <c r="B323" s="81">
        <v>35</v>
      </c>
      <c r="C323" s="81">
        <v>10</v>
      </c>
      <c r="D323" s="81">
        <v>53</v>
      </c>
      <c r="E323" s="79"/>
      <c r="F323" s="20" t="s">
        <v>6593</v>
      </c>
      <c r="G323" s="24" t="str">
        <f ca="1">IFERROR(__xludf.DUMMYFUNCTION("GOOGLETRANSLATE(F323,""en"",""pt"")"),"espaços de tratamento médico")</f>
        <v>espaços de tratamento médico</v>
      </c>
      <c r="H323" s="24"/>
      <c r="I323" s="24"/>
      <c r="J323" s="24"/>
      <c r="K323" s="24"/>
    </row>
    <row r="324" spans="1:11" ht="14.5">
      <c r="A324" s="20" t="s">
        <v>6594</v>
      </c>
      <c r="B324" s="81">
        <v>35</v>
      </c>
      <c r="C324" s="81">
        <v>10</v>
      </c>
      <c r="D324" s="81">
        <v>58</v>
      </c>
      <c r="E324" s="79"/>
      <c r="F324" s="20" t="s">
        <v>6595</v>
      </c>
      <c r="G324" s="24" t="str">
        <f ca="1">IFERROR(__xludf.DUMMYFUNCTION("GOOGLETRANSLATE(F324,""en"",""pt"")"),"salas de terapia ocupacional")</f>
        <v>salas de terapia ocupacional</v>
      </c>
      <c r="H324" s="24"/>
      <c r="I324" s="24"/>
      <c r="J324" s="24"/>
      <c r="K324" s="24"/>
    </row>
    <row r="325" spans="1:11" ht="14.5">
      <c r="A325" s="20" t="s">
        <v>6596</v>
      </c>
      <c r="B325" s="81">
        <v>35</v>
      </c>
      <c r="C325" s="81">
        <v>10</v>
      </c>
      <c r="D325" s="81">
        <v>59</v>
      </c>
      <c r="E325" s="79"/>
      <c r="F325" s="20" t="s">
        <v>6597</v>
      </c>
      <c r="G325" s="24" t="str">
        <f ca="1">IFERROR(__xludf.DUMMYFUNCTION("GOOGLETRANSLATE(F325,""en"",""pt"")"),"salas de operação")</f>
        <v>salas de operação</v>
      </c>
      <c r="H325" s="24"/>
      <c r="I325" s="24"/>
      <c r="J325" s="24"/>
      <c r="K325" s="24"/>
    </row>
    <row r="326" spans="1:11" ht="14.5">
      <c r="A326" s="20" t="s">
        <v>6598</v>
      </c>
      <c r="B326" s="81">
        <v>35</v>
      </c>
      <c r="C326" s="81">
        <v>10</v>
      </c>
      <c r="D326" s="81">
        <v>64</v>
      </c>
      <c r="E326" s="79"/>
      <c r="F326" s="20" t="s">
        <v>6599</v>
      </c>
      <c r="G326" s="24" t="str">
        <f ca="1">IFERROR(__xludf.DUMMYFUNCTION("GOOGLETRANSLATE(F326,""en"",""pt"")"),"dispensários farmacêuticos")</f>
        <v>dispensários farmacêuticos</v>
      </c>
      <c r="H326" s="24"/>
      <c r="I326" s="24"/>
      <c r="J326" s="24"/>
      <c r="K326" s="24"/>
    </row>
    <row r="327" spans="1:11" ht="14.5">
      <c r="A327" s="20" t="s">
        <v>6600</v>
      </c>
      <c r="B327" s="81">
        <v>35</v>
      </c>
      <c r="C327" s="81">
        <v>10</v>
      </c>
      <c r="D327" s="81">
        <v>65</v>
      </c>
      <c r="E327" s="79"/>
      <c r="F327" s="20" t="s">
        <v>6601</v>
      </c>
      <c r="G327" s="24" t="str">
        <f ca="1">IFERROR(__xludf.DUMMYFUNCTION("GOOGLETRANSLATE(F327,""en"",""pt"")"),"espaços de fototerapia")</f>
        <v>espaços de fototerapia</v>
      </c>
      <c r="H327" s="24"/>
      <c r="I327" s="24"/>
      <c r="J327" s="24"/>
      <c r="K327" s="24"/>
    </row>
    <row r="328" spans="1:11" ht="14.5">
      <c r="A328" s="20" t="s">
        <v>6602</v>
      </c>
      <c r="B328" s="81">
        <v>35</v>
      </c>
      <c r="C328" s="81">
        <v>10</v>
      </c>
      <c r="D328" s="81">
        <v>66</v>
      </c>
      <c r="E328" s="79"/>
      <c r="F328" s="20" t="s">
        <v>6603</v>
      </c>
      <c r="G328" s="24" t="str">
        <f ca="1">IFERROR(__xludf.DUMMYFUNCTION("GOOGLETRANSLATE(F328,""en"",""pt"")"),"salas de fisioterapia")</f>
        <v>salas de fisioterapia</v>
      </c>
      <c r="H328" s="24"/>
      <c r="I328" s="24"/>
      <c r="J328" s="24"/>
      <c r="K328" s="24"/>
    </row>
    <row r="329" spans="1:11" ht="14.5">
      <c r="A329" s="20" t="s">
        <v>6604</v>
      </c>
      <c r="B329" s="81">
        <v>35</v>
      </c>
      <c r="C329" s="81">
        <v>10</v>
      </c>
      <c r="D329" s="81">
        <v>70</v>
      </c>
      <c r="E329" s="79"/>
      <c r="F329" s="20" t="s">
        <v>6605</v>
      </c>
      <c r="G329" s="24" t="str">
        <f ca="1">IFERROR(__xludf.DUMMYFUNCTION("GOOGLETRANSLATE(F329,""en"",""pt"")"),"salas de radiografia")</f>
        <v>salas de radiografia</v>
      </c>
      <c r="H329" s="24"/>
      <c r="I329" s="24"/>
      <c r="J329" s="24"/>
      <c r="K329" s="24"/>
    </row>
    <row r="330" spans="1:11" ht="14.5">
      <c r="A330" s="20" t="s">
        <v>6606</v>
      </c>
      <c r="B330" s="81">
        <v>35</v>
      </c>
      <c r="C330" s="81">
        <v>10</v>
      </c>
      <c r="D330" s="81">
        <v>71</v>
      </c>
      <c r="E330" s="79"/>
      <c r="F330" s="20" t="s">
        <v>6607</v>
      </c>
      <c r="G330" s="24" t="str">
        <f ca="1">IFERROR(__xludf.DUMMYFUNCTION("GOOGLETRANSLATE(F330,""en"",""pt"")"),"salas de radioterapia")</f>
        <v>salas de radioterapia</v>
      </c>
      <c r="H330" s="24"/>
      <c r="I330" s="24"/>
      <c r="J330" s="24"/>
      <c r="K330" s="24"/>
    </row>
    <row r="331" spans="1:11" ht="14.5">
      <c r="A331" s="20" t="s">
        <v>6608</v>
      </c>
      <c r="B331" s="81">
        <v>35</v>
      </c>
      <c r="C331" s="81">
        <v>10</v>
      </c>
      <c r="D331" s="81">
        <v>73</v>
      </c>
      <c r="E331" s="79"/>
      <c r="F331" s="20" t="s">
        <v>6609</v>
      </c>
      <c r="G331" s="24" t="str">
        <f ca="1">IFERROR(__xludf.DUMMYFUNCTION("GOOGLETRANSLATE(F331,""en"",""pt"")"),"salas de recuperação")</f>
        <v>salas de recuperação</v>
      </c>
      <c r="H331" s="24"/>
      <c r="I331" s="24"/>
      <c r="J331" s="24"/>
      <c r="K331" s="24"/>
    </row>
    <row r="332" spans="1:11" ht="14.5">
      <c r="A332" s="20" t="s">
        <v>6610</v>
      </c>
      <c r="B332" s="81">
        <v>35</v>
      </c>
      <c r="C332" s="81">
        <v>10</v>
      </c>
      <c r="D332" s="81">
        <v>74</v>
      </c>
      <c r="E332" s="79"/>
      <c r="F332" s="20" t="s">
        <v>6611</v>
      </c>
      <c r="G332" s="24" t="str">
        <f ca="1">IFERROR(__xludf.DUMMYFUNCTION("GOOGLETRANSLATE(F332,""en"",""pt"")"),"quartos de reabilitação")</f>
        <v>quartos de reabilitação</v>
      </c>
      <c r="H332" s="24"/>
      <c r="I332" s="24"/>
      <c r="J332" s="24"/>
      <c r="K332" s="24"/>
    </row>
    <row r="333" spans="1:11" ht="14.5">
      <c r="A333" s="20" t="s">
        <v>6612</v>
      </c>
      <c r="B333" s="81">
        <v>35</v>
      </c>
      <c r="C333" s="81">
        <v>10</v>
      </c>
      <c r="D333" s="81">
        <v>96</v>
      </c>
      <c r="E333" s="79"/>
      <c r="F333" s="20" t="s">
        <v>6613</v>
      </c>
      <c r="G333" s="24" t="str">
        <f ca="1">IFERROR(__xludf.DUMMYFUNCTION("GOOGLETRANSLATE(F333,""en"",""pt"")"),"Wards")</f>
        <v>Wards</v>
      </c>
      <c r="H333" s="24"/>
      <c r="I333" s="24"/>
      <c r="J333" s="24"/>
      <c r="K333" s="24"/>
    </row>
    <row r="334" spans="1:11" ht="14.5">
      <c r="A334" s="20" t="s">
        <v>6614</v>
      </c>
      <c r="B334" s="81">
        <v>35</v>
      </c>
      <c r="C334" s="81">
        <v>50</v>
      </c>
      <c r="D334" s="79"/>
      <c r="E334" s="79"/>
      <c r="F334" s="20" t="s">
        <v>6615</v>
      </c>
      <c r="G334" s="24" t="str">
        <f ca="1">IFERROR(__xludf.DUMMYFUNCTION("GOOGLETRANSLATE(F334,""en"",""pt"")"),"espaços de bem-estar")</f>
        <v>espaços de bem-estar</v>
      </c>
      <c r="H334" s="24"/>
      <c r="I334" s="24"/>
      <c r="J334" s="24"/>
      <c r="K334" s="24"/>
    </row>
    <row r="335" spans="1:11" ht="14.5">
      <c r="A335" s="20" t="s">
        <v>6616</v>
      </c>
      <c r="B335" s="81">
        <v>35</v>
      </c>
      <c r="C335" s="81">
        <v>50</v>
      </c>
      <c r="D335" s="81">
        <v>17</v>
      </c>
      <c r="E335" s="79"/>
      <c r="F335" s="20" t="s">
        <v>6617</v>
      </c>
      <c r="G335" s="24" t="str">
        <f ca="1">IFERROR(__xludf.DUMMYFUNCTION("GOOGLETRANSLATE(F335,""en"",""pt"")"),"Creches e infantários")</f>
        <v>Creches e infantários</v>
      </c>
      <c r="H335" s="24"/>
      <c r="I335" s="24"/>
      <c r="J335" s="24"/>
      <c r="K335" s="24"/>
    </row>
    <row r="336" spans="1:11" ht="14.5">
      <c r="A336" s="20" t="s">
        <v>6618</v>
      </c>
      <c r="B336" s="81">
        <v>35</v>
      </c>
      <c r="C336" s="81">
        <v>50</v>
      </c>
      <c r="D336" s="81">
        <v>21</v>
      </c>
      <c r="E336" s="79"/>
      <c r="F336" s="20" t="s">
        <v>6619</v>
      </c>
      <c r="G336" s="24" t="str">
        <f ca="1">IFERROR(__xludf.DUMMYFUNCTION("GOOGLETRANSLATE(F336,""en"",""pt"")"),"espaços creches")</f>
        <v>espaços creches</v>
      </c>
      <c r="H336" s="24"/>
      <c r="I336" s="24"/>
      <c r="J336" s="24"/>
      <c r="K336" s="24"/>
    </row>
    <row r="337" spans="1:11" ht="14.5">
      <c r="A337" s="20" t="s">
        <v>6620</v>
      </c>
      <c r="B337" s="81">
        <v>35</v>
      </c>
      <c r="C337" s="81">
        <v>50</v>
      </c>
      <c r="D337" s="81">
        <v>60</v>
      </c>
      <c r="E337" s="79"/>
      <c r="F337" s="20" t="s">
        <v>6621</v>
      </c>
      <c r="G337" s="24" t="str">
        <f ca="1">IFERROR(__xludf.DUMMYFUNCTION("GOOGLETRANSLATE(F337,""en"",""pt"")"),"salas de pai e bebê")</f>
        <v>salas de pai e bebê</v>
      </c>
      <c r="H337" s="24"/>
      <c r="I337" s="24"/>
      <c r="J337" s="24"/>
      <c r="K337" s="24"/>
    </row>
    <row r="338" spans="1:11" ht="14.5">
      <c r="A338" s="20" t="s">
        <v>6622</v>
      </c>
      <c r="B338" s="81">
        <v>35</v>
      </c>
      <c r="C338" s="81">
        <v>50</v>
      </c>
      <c r="D338" s="81">
        <v>75</v>
      </c>
      <c r="E338" s="79"/>
      <c r="F338" s="20" t="s">
        <v>6623</v>
      </c>
      <c r="G338" s="24" t="str">
        <f ca="1">IFERROR(__xludf.DUMMYFUNCTION("GOOGLETRANSLATE(F338,""en"",""pt"")"),"salas de sauna")</f>
        <v>salas de sauna</v>
      </c>
      <c r="H338" s="24"/>
      <c r="I338" s="24"/>
      <c r="J338" s="24"/>
      <c r="K338" s="24"/>
    </row>
    <row r="339" spans="1:11" ht="14.5">
      <c r="A339" s="20" t="s">
        <v>6624</v>
      </c>
      <c r="B339" s="81">
        <v>35</v>
      </c>
      <c r="C339" s="81">
        <v>50</v>
      </c>
      <c r="D339" s="81">
        <v>90</v>
      </c>
      <c r="E339" s="79"/>
      <c r="F339" s="20" t="s">
        <v>6625</v>
      </c>
      <c r="G339" s="24" t="str">
        <f ca="1">IFERROR(__xludf.DUMMYFUNCTION("GOOGLETRANSLATE(F339,""en"",""pt"")"),"salas de tratamento")</f>
        <v>salas de tratamento</v>
      </c>
      <c r="H339" s="24"/>
      <c r="I339" s="24"/>
      <c r="J339" s="24"/>
      <c r="K339" s="24"/>
    </row>
    <row r="340" spans="1:11" ht="14.5">
      <c r="A340" s="20" t="s">
        <v>6626</v>
      </c>
      <c r="B340" s="81">
        <v>35</v>
      </c>
      <c r="C340" s="81">
        <v>60</v>
      </c>
      <c r="D340" s="79"/>
      <c r="E340" s="79"/>
      <c r="F340" s="20" t="s">
        <v>6627</v>
      </c>
      <c r="G340" s="24" t="str">
        <f ca="1">IFERROR(__xludf.DUMMYFUNCTION("GOOGLETRANSLATE(F340,""en"",""pt"")"),"espaços de gestão de alimentos")</f>
        <v>espaços de gestão de alimentos</v>
      </c>
      <c r="H340" s="24"/>
      <c r="I340" s="24"/>
      <c r="J340" s="24"/>
      <c r="K340" s="24"/>
    </row>
    <row r="341" spans="1:11" ht="14.5">
      <c r="A341" s="20" t="s">
        <v>6628</v>
      </c>
      <c r="B341" s="81">
        <v>35</v>
      </c>
      <c r="C341" s="81">
        <v>60</v>
      </c>
      <c r="D341" s="81">
        <v>14</v>
      </c>
      <c r="E341" s="79"/>
      <c r="F341" s="20" t="s">
        <v>6629</v>
      </c>
      <c r="G341" s="24" t="str">
        <f ca="1">IFERROR(__xludf.DUMMYFUNCTION("GOOGLETRANSLATE(F341,""en"",""pt"")"),"cozinhas comerciais")</f>
        <v>cozinhas comerciais</v>
      </c>
      <c r="H341" s="24"/>
      <c r="I341" s="24"/>
      <c r="J341" s="24"/>
      <c r="K341" s="24"/>
    </row>
    <row r="342" spans="1:11" ht="14.5">
      <c r="A342" s="20" t="s">
        <v>6630</v>
      </c>
      <c r="B342" s="81">
        <v>35</v>
      </c>
      <c r="C342" s="81">
        <v>60</v>
      </c>
      <c r="D342" s="81">
        <v>16</v>
      </c>
      <c r="E342" s="79"/>
      <c r="F342" s="20" t="s">
        <v>6631</v>
      </c>
      <c r="G342" s="24" t="str">
        <f ca="1">IFERROR(__xludf.DUMMYFUNCTION("GOOGLETRANSLATE(F342,""en"",""pt"")"),"cozinhar espaços")</f>
        <v>cozinhar espaços</v>
      </c>
      <c r="H342" s="24"/>
      <c r="I342" s="24"/>
      <c r="J342" s="24"/>
      <c r="K342" s="24"/>
    </row>
    <row r="343" spans="1:11" ht="14.5">
      <c r="A343" s="20" t="s">
        <v>6632</v>
      </c>
      <c r="B343" s="81">
        <v>35</v>
      </c>
      <c r="C343" s="81">
        <v>60</v>
      </c>
      <c r="D343" s="81">
        <v>30</v>
      </c>
      <c r="E343" s="79"/>
      <c r="F343" s="20" t="s">
        <v>6633</v>
      </c>
      <c r="G343" s="24" t="str">
        <f ca="1">IFERROR(__xludf.DUMMYFUNCTION("GOOGLETRANSLATE(F343,""en"",""pt"")"),"áreas de preparação de alimentos")</f>
        <v>áreas de preparação de alimentos</v>
      </c>
      <c r="H343" s="24"/>
      <c r="I343" s="24"/>
      <c r="J343" s="24"/>
      <c r="K343" s="24"/>
    </row>
    <row r="344" spans="1:11" ht="14.5">
      <c r="A344" s="20" t="s">
        <v>6634</v>
      </c>
      <c r="B344" s="81">
        <v>35</v>
      </c>
      <c r="C344" s="81">
        <v>60</v>
      </c>
      <c r="D344" s="81">
        <v>56</v>
      </c>
      <c r="E344" s="79"/>
      <c r="F344" s="20" t="s">
        <v>6635</v>
      </c>
      <c r="G344" s="24" t="str">
        <f ca="1">IFERROR(__xludf.DUMMYFUNCTION("GOOGLETRANSLATE(F344,""en"",""pt"")"),"cozinhas não domésticos")</f>
        <v>cozinhas não domésticos</v>
      </c>
      <c r="H344" s="24"/>
      <c r="I344" s="24"/>
      <c r="J344" s="24"/>
      <c r="K344" s="24"/>
    </row>
    <row r="345" spans="1:11" ht="14.5">
      <c r="A345" s="20" t="s">
        <v>6636</v>
      </c>
      <c r="B345" s="81">
        <v>35</v>
      </c>
      <c r="C345" s="81">
        <v>70</v>
      </c>
      <c r="D345" s="79"/>
      <c r="E345" s="79"/>
      <c r="F345" s="20" t="s">
        <v>6637</v>
      </c>
      <c r="G345" s="24" t="str">
        <f ca="1">IFERROR(__xludf.DUMMYFUNCTION("GOOGLETRANSLATE(F345,""en"",""pt"")"),"espaços funerários")</f>
        <v>espaços funerários</v>
      </c>
      <c r="H345" s="24"/>
      <c r="I345" s="24"/>
      <c r="J345" s="24"/>
      <c r="K345" s="24"/>
    </row>
    <row r="346" spans="1:11" ht="14.5">
      <c r="A346" s="20" t="s">
        <v>6638</v>
      </c>
      <c r="B346" s="81">
        <v>35</v>
      </c>
      <c r="C346" s="81">
        <v>70</v>
      </c>
      <c r="D346" s="81">
        <v>12</v>
      </c>
      <c r="E346" s="79"/>
      <c r="F346" s="20" t="s">
        <v>6639</v>
      </c>
      <c r="G346" s="24" t="str">
        <f ca="1">IFERROR(__xludf.DUMMYFUNCTION("GOOGLETRANSLATE(F346,""en"",""pt"")"),"lotes do cemitério")</f>
        <v>lotes do cemitério</v>
      </c>
      <c r="H346" s="24"/>
      <c r="I346" s="24"/>
      <c r="J346" s="24"/>
      <c r="K346" s="24"/>
    </row>
    <row r="347" spans="1:11" ht="14.5">
      <c r="A347" s="20" t="s">
        <v>6640</v>
      </c>
      <c r="B347" s="81">
        <v>35</v>
      </c>
      <c r="C347" s="81">
        <v>70</v>
      </c>
      <c r="D347" s="81">
        <v>15</v>
      </c>
      <c r="E347" s="79"/>
      <c r="F347" s="20" t="s">
        <v>6641</v>
      </c>
      <c r="G347" s="24" t="str">
        <f ca="1">IFERROR(__xludf.DUMMYFUNCTION("GOOGLETRANSLATE(F347,""en"",""pt"")"),"columbários")</f>
        <v>columbários</v>
      </c>
      <c r="H347" s="24"/>
      <c r="I347" s="24"/>
      <c r="J347" s="24"/>
      <c r="K347" s="24"/>
    </row>
    <row r="348" spans="1:11" ht="14.5">
      <c r="A348" s="20" t="s">
        <v>6642</v>
      </c>
      <c r="B348" s="81">
        <v>35</v>
      </c>
      <c r="C348" s="81">
        <v>70</v>
      </c>
      <c r="D348" s="81">
        <v>18</v>
      </c>
      <c r="E348" s="79"/>
      <c r="F348" s="20" t="s">
        <v>6643</v>
      </c>
      <c r="G348" s="24" t="str">
        <f ca="1">IFERROR(__xludf.DUMMYFUNCTION("GOOGLETRANSLATE(F348,""en"",""pt"")"),"quartos crematório forno")</f>
        <v>quartos crematório forno</v>
      </c>
      <c r="H348" s="24"/>
      <c r="I348" s="24"/>
      <c r="J348" s="24"/>
      <c r="K348" s="24"/>
    </row>
    <row r="349" spans="1:11" ht="14.5">
      <c r="A349" s="20" t="s">
        <v>6644</v>
      </c>
      <c r="B349" s="81">
        <v>35</v>
      </c>
      <c r="C349" s="81">
        <v>70</v>
      </c>
      <c r="D349" s="81">
        <v>32</v>
      </c>
      <c r="E349" s="79"/>
      <c r="F349" s="20" t="s">
        <v>6645</v>
      </c>
      <c r="G349" s="24" t="str">
        <f ca="1">IFERROR(__xludf.DUMMYFUNCTION("GOOGLETRANSLATE(F349,""en"",""pt"")"),"abóbadas funerárias")</f>
        <v>abóbadas funerárias</v>
      </c>
      <c r="H349" s="24"/>
      <c r="I349" s="24"/>
      <c r="J349" s="24"/>
      <c r="K349" s="24"/>
    </row>
    <row r="350" spans="1:11" ht="14.5">
      <c r="A350" s="20" t="s">
        <v>6646</v>
      </c>
      <c r="B350" s="81">
        <v>35</v>
      </c>
      <c r="C350" s="81">
        <v>70</v>
      </c>
      <c r="D350" s="81">
        <v>50</v>
      </c>
      <c r="E350" s="79"/>
      <c r="F350" s="20" t="s">
        <v>6647</v>
      </c>
      <c r="G350" s="24" t="str">
        <f ca="1">IFERROR(__xludf.DUMMYFUNCTION("GOOGLETRANSLATE(F350,""en"",""pt"")"),"mausoléus")</f>
        <v>mausoléus</v>
      </c>
      <c r="H350" s="24"/>
      <c r="I350" s="24"/>
      <c r="J350" s="24"/>
      <c r="K350" s="24"/>
    </row>
    <row r="351" spans="1:11" ht="14.5">
      <c r="A351" s="20" t="s">
        <v>6648</v>
      </c>
      <c r="B351" s="81">
        <v>35</v>
      </c>
      <c r="C351" s="81">
        <v>70</v>
      </c>
      <c r="D351" s="81">
        <v>90</v>
      </c>
      <c r="E351" s="79"/>
      <c r="F351" s="20" t="s">
        <v>6649</v>
      </c>
      <c r="G351" s="24" t="str">
        <f ca="1">IFERROR(__xludf.DUMMYFUNCTION("GOOGLETRANSLATE(F351,""en"",""pt"")"),"Tombs")</f>
        <v>Tombs</v>
      </c>
      <c r="H351" s="24"/>
      <c r="I351" s="24"/>
      <c r="J351" s="24"/>
      <c r="K351" s="24"/>
    </row>
    <row r="352" spans="1:11" ht="14.5">
      <c r="A352" s="20" t="s">
        <v>6650</v>
      </c>
      <c r="B352" s="81">
        <v>35</v>
      </c>
      <c r="C352" s="81">
        <v>80</v>
      </c>
      <c r="D352" s="79"/>
      <c r="E352" s="79"/>
      <c r="F352" s="20" t="s">
        <v>6651</v>
      </c>
      <c r="G352" s="24" t="str">
        <f ca="1">IFERROR(__xludf.DUMMYFUNCTION("GOOGLETRANSLATE(F352,""en"",""pt"")"),"instalações sanitárias")</f>
        <v>instalações sanitárias</v>
      </c>
      <c r="H352" s="24"/>
      <c r="I352" s="24"/>
      <c r="J352" s="24"/>
      <c r="K352" s="24"/>
    </row>
    <row r="353" spans="1:11" ht="14.5">
      <c r="A353" s="20" t="s">
        <v>6652</v>
      </c>
      <c r="B353" s="81">
        <v>35</v>
      </c>
      <c r="C353" s="81">
        <v>80</v>
      </c>
      <c r="D353" s="81">
        <v>6</v>
      </c>
      <c r="E353" s="79"/>
      <c r="F353" s="20" t="s">
        <v>6653</v>
      </c>
      <c r="G353" s="24" t="str">
        <f ca="1">IFERROR(__xludf.DUMMYFUNCTION("GOOGLETRANSLATE(F353,""en"",""pt"")"),"Bebê vestiários")</f>
        <v>Bebê vestiários</v>
      </c>
      <c r="H353" s="24"/>
      <c r="I353" s="24"/>
      <c r="J353" s="24"/>
      <c r="K353" s="24"/>
    </row>
    <row r="354" spans="1:11" ht="14.5">
      <c r="A354" s="20" t="s">
        <v>6654</v>
      </c>
      <c r="B354" s="81">
        <v>35</v>
      </c>
      <c r="C354" s="81">
        <v>80</v>
      </c>
      <c r="D354" s="81">
        <v>8</v>
      </c>
      <c r="E354" s="79"/>
      <c r="F354" s="20" t="s">
        <v>6655</v>
      </c>
      <c r="G354" s="24" t="str">
        <f ca="1">IFERROR(__xludf.DUMMYFUNCTION("GOOGLETRANSLATE(F354,""en"",""pt"")"),"Os banheiros")</f>
        <v>Os banheiros</v>
      </c>
      <c r="H354" s="24"/>
      <c r="I354" s="24"/>
      <c r="J354" s="24"/>
      <c r="K354" s="24"/>
    </row>
    <row r="355" spans="1:11" ht="14.5">
      <c r="A355" s="20" t="s">
        <v>6656</v>
      </c>
      <c r="B355" s="81">
        <v>35</v>
      </c>
      <c r="C355" s="81">
        <v>80</v>
      </c>
      <c r="D355" s="81">
        <v>59</v>
      </c>
      <c r="E355" s="79"/>
      <c r="F355" s="20" t="s">
        <v>6657</v>
      </c>
      <c r="G355" s="24" t="str">
        <f ca="1">IFERROR(__xludf.DUMMYFUNCTION("GOOGLETRANSLATE(F355,""en"",""pt"")"),"chuveiro áreas abertas")</f>
        <v>chuveiro áreas abertas</v>
      </c>
      <c r="H355" s="24"/>
      <c r="I355" s="24"/>
      <c r="J355" s="24"/>
      <c r="K355" s="24"/>
    </row>
    <row r="356" spans="1:11" ht="14.5">
      <c r="A356" s="20" t="s">
        <v>6658</v>
      </c>
      <c r="B356" s="81">
        <v>35</v>
      </c>
      <c r="C356" s="81">
        <v>80</v>
      </c>
      <c r="D356" s="81">
        <v>68</v>
      </c>
      <c r="E356" s="79"/>
      <c r="F356" s="20" t="s">
        <v>6659</v>
      </c>
      <c r="G356" s="24" t="str">
        <f ca="1">IFERROR(__xludf.DUMMYFUNCTION("GOOGLETRANSLATE(F356,""en"",""pt"")"),"Banheiros públicos")</f>
        <v>Banheiros públicos</v>
      </c>
      <c r="H356" s="24"/>
      <c r="I356" s="24"/>
      <c r="J356" s="24"/>
      <c r="K356" s="24"/>
    </row>
    <row r="357" spans="1:11" ht="14.5">
      <c r="A357" s="20" t="s">
        <v>6660</v>
      </c>
      <c r="B357" s="81">
        <v>35</v>
      </c>
      <c r="C357" s="81">
        <v>80</v>
      </c>
      <c r="D357" s="81">
        <v>80</v>
      </c>
      <c r="E357" s="79"/>
      <c r="F357" s="20" t="s">
        <v>6661</v>
      </c>
      <c r="G357" s="24" t="str">
        <f ca="1">IFERROR(__xludf.DUMMYFUNCTION("GOOGLETRANSLATE(F357,""en"",""pt"")"),"Showers")</f>
        <v>Showers</v>
      </c>
      <c r="H357" s="24"/>
      <c r="I357" s="24"/>
      <c r="J357" s="24"/>
      <c r="K357" s="24"/>
    </row>
    <row r="358" spans="1:11" ht="14.5">
      <c r="A358" s="20" t="s">
        <v>6662</v>
      </c>
      <c r="B358" s="81">
        <v>35</v>
      </c>
      <c r="C358" s="81">
        <v>80</v>
      </c>
      <c r="D358" s="81">
        <v>89</v>
      </c>
      <c r="E358" s="79"/>
      <c r="F358" s="20" t="s">
        <v>6663</v>
      </c>
      <c r="G358" s="24" t="str">
        <f ca="1">IFERROR(__xludf.DUMMYFUNCTION("GOOGLETRANSLATE(F358,""en"",""pt"")"),"banheiros")</f>
        <v>banheiros</v>
      </c>
      <c r="H358" s="24"/>
      <c r="I358" s="24"/>
      <c r="J358" s="24"/>
      <c r="K358" s="24"/>
    </row>
    <row r="359" spans="1:11" ht="14.5">
      <c r="A359" s="20" t="s">
        <v>6664</v>
      </c>
      <c r="B359" s="81">
        <v>35</v>
      </c>
      <c r="C359" s="81">
        <v>85</v>
      </c>
      <c r="D359" s="79"/>
      <c r="E359" s="79"/>
      <c r="F359" s="20" t="s">
        <v>6665</v>
      </c>
      <c r="G359" s="24" t="str">
        <f ca="1">IFERROR(__xludf.DUMMYFUNCTION("GOOGLETRANSLATE(F359,""en"",""pt"")"),"espaços animais")</f>
        <v>espaços animais</v>
      </c>
      <c r="H359" s="24"/>
      <c r="I359" s="24"/>
      <c r="J359" s="24"/>
      <c r="K359" s="24"/>
    </row>
    <row r="360" spans="1:11" ht="14.5">
      <c r="A360" s="20" t="s">
        <v>6666</v>
      </c>
      <c r="B360" s="81">
        <v>35</v>
      </c>
      <c r="C360" s="81">
        <v>85</v>
      </c>
      <c r="D360" s="81">
        <v>0</v>
      </c>
      <c r="E360" s="79"/>
      <c r="F360" s="20" t="s">
        <v>6667</v>
      </c>
      <c r="G360" s="24" t="str">
        <f ca="1">IFERROR(__xludf.DUMMYFUNCTION("GOOGLETRANSLATE(F360,""en"",""pt"")"),"arcas animais")</f>
        <v>arcas animais</v>
      </c>
      <c r="H360" s="24"/>
      <c r="I360" s="24"/>
      <c r="J360" s="24"/>
      <c r="K360" s="24"/>
    </row>
    <row r="361" spans="1:11" ht="14.5">
      <c r="A361" s="20" t="s">
        <v>6668</v>
      </c>
      <c r="B361" s="81">
        <v>35</v>
      </c>
      <c r="C361" s="81">
        <v>85</v>
      </c>
      <c r="D361" s="81">
        <v>1</v>
      </c>
      <c r="E361" s="79"/>
      <c r="F361" s="20" t="s">
        <v>6669</v>
      </c>
      <c r="G361" s="24" t="str">
        <f ca="1">IFERROR(__xludf.DUMMYFUNCTION("GOOGLETRANSLATE(F361,""en"",""pt"")"),"jaulas de animais")</f>
        <v>jaulas de animais</v>
      </c>
      <c r="H361" s="24"/>
      <c r="I361" s="24"/>
      <c r="J361" s="24"/>
      <c r="K361" s="24"/>
    </row>
    <row r="362" spans="1:11" ht="14.5">
      <c r="A362" s="20" t="s">
        <v>6670</v>
      </c>
      <c r="B362" s="81">
        <v>35</v>
      </c>
      <c r="C362" s="81">
        <v>85</v>
      </c>
      <c r="D362" s="81">
        <v>3</v>
      </c>
      <c r="E362" s="79"/>
      <c r="F362" s="20" t="s">
        <v>6671</v>
      </c>
      <c r="G362" s="24" t="str">
        <f ca="1">IFERROR(__xludf.DUMMYFUNCTION("GOOGLETRANSLATE(F362,""en"",""pt"")"),"recintos de animais")</f>
        <v>recintos de animais</v>
      </c>
      <c r="H362" s="24"/>
      <c r="I362" s="24"/>
      <c r="J362" s="24"/>
      <c r="K362" s="24"/>
    </row>
    <row r="363" spans="1:11" ht="14.5">
      <c r="A363" s="20" t="s">
        <v>6672</v>
      </c>
      <c r="B363" s="81">
        <v>35</v>
      </c>
      <c r="C363" s="81">
        <v>85</v>
      </c>
      <c r="D363" s="81">
        <v>4</v>
      </c>
      <c r="E363" s="79"/>
      <c r="F363" s="20" t="s">
        <v>6673</v>
      </c>
      <c r="G363" s="24" t="str">
        <f ca="1">IFERROR(__xludf.DUMMYFUNCTION("GOOGLETRANSLATE(F363,""en"",""pt"")"),"arenas de exercício de animais")</f>
        <v>arenas de exercício de animais</v>
      </c>
      <c r="H363" s="24"/>
      <c r="I363" s="24"/>
      <c r="J363" s="24"/>
      <c r="K363" s="24"/>
    </row>
    <row r="364" spans="1:11" ht="14.5">
      <c r="A364" s="20" t="s">
        <v>6674</v>
      </c>
      <c r="B364" s="81">
        <v>35</v>
      </c>
      <c r="C364" s="81">
        <v>85</v>
      </c>
      <c r="D364" s="81">
        <v>5</v>
      </c>
      <c r="E364" s="79"/>
      <c r="F364" s="20" t="s">
        <v>6675</v>
      </c>
      <c r="G364" s="24" t="str">
        <f ca="1">IFERROR(__xludf.DUMMYFUNCTION("GOOGLETRANSLATE(F364,""en"",""pt"")"),"aviários")</f>
        <v>aviários</v>
      </c>
      <c r="H364" s="24"/>
      <c r="I364" s="24"/>
      <c r="J364" s="24"/>
      <c r="K364" s="24"/>
    </row>
    <row r="365" spans="1:11" ht="14.5">
      <c r="A365" s="20" t="s">
        <v>6676</v>
      </c>
      <c r="B365" s="81">
        <v>35</v>
      </c>
      <c r="C365" s="81">
        <v>85</v>
      </c>
      <c r="D365" s="81">
        <v>12</v>
      </c>
      <c r="E365" s="79"/>
      <c r="F365" s="20" t="s">
        <v>6677</v>
      </c>
      <c r="G365" s="24" t="str">
        <f ca="1">IFERROR(__xludf.DUMMYFUNCTION("GOOGLETRANSLATE(F365,""en"",""pt"")"),"gado Byres")</f>
        <v>gado Byres</v>
      </c>
      <c r="H365" s="24"/>
      <c r="I365" s="24"/>
      <c r="J365" s="24"/>
      <c r="K365" s="24"/>
    </row>
    <row r="366" spans="1:11" ht="14.5">
      <c r="A366" s="20" t="s">
        <v>6678</v>
      </c>
      <c r="B366" s="81">
        <v>35</v>
      </c>
      <c r="C366" s="81">
        <v>85</v>
      </c>
      <c r="D366" s="81">
        <v>39</v>
      </c>
      <c r="E366" s="79"/>
      <c r="F366" s="20" t="s">
        <v>6679</v>
      </c>
      <c r="G366" s="24" t="str">
        <f ca="1">IFERROR(__xludf.DUMMYFUNCTION("GOOGLETRANSLATE(F366,""en"",""pt"")"),"Os tanques de peixes")</f>
        <v>Os tanques de peixes</v>
      </c>
      <c r="H366" s="24"/>
      <c r="I366" s="24"/>
      <c r="J366" s="24"/>
      <c r="K366" s="24"/>
    </row>
    <row r="367" spans="1:11" ht="14.5">
      <c r="A367" s="20" t="s">
        <v>6680</v>
      </c>
      <c r="B367" s="81">
        <v>35</v>
      </c>
      <c r="C367" s="81">
        <v>85</v>
      </c>
      <c r="D367" s="81">
        <v>45</v>
      </c>
      <c r="E367" s="79"/>
      <c r="F367" s="20" t="s">
        <v>6681</v>
      </c>
      <c r="G367" s="24" t="str">
        <f ca="1">IFERROR(__xludf.DUMMYFUNCTION("GOOGLETRANSLATE(F367,""en"",""pt"")"),"Kennels")</f>
        <v>Kennels</v>
      </c>
      <c r="H367" s="24"/>
      <c r="I367" s="24"/>
      <c r="J367" s="24"/>
      <c r="K367" s="24"/>
    </row>
    <row r="368" spans="1:11" ht="14.5">
      <c r="A368" s="20" t="s">
        <v>6682</v>
      </c>
      <c r="B368" s="81">
        <v>35</v>
      </c>
      <c r="C368" s="81">
        <v>85</v>
      </c>
      <c r="D368" s="81">
        <v>47</v>
      </c>
      <c r="E368" s="79"/>
      <c r="F368" s="20" t="s">
        <v>6683</v>
      </c>
      <c r="G368" s="24" t="str">
        <f ca="1">IFERROR(__xludf.DUMMYFUNCTION("GOOGLETRANSLATE(F368,""en"",""pt"")"),"caixas soltas")</f>
        <v>caixas soltas</v>
      </c>
      <c r="H368" s="24"/>
      <c r="I368" s="24"/>
      <c r="J368" s="24"/>
      <c r="K368" s="24"/>
    </row>
    <row r="369" spans="1:11" ht="14.5">
      <c r="A369" s="20" t="s">
        <v>6684</v>
      </c>
      <c r="B369" s="81">
        <v>35</v>
      </c>
      <c r="C369" s="81">
        <v>85</v>
      </c>
      <c r="D369" s="81">
        <v>62</v>
      </c>
      <c r="E369" s="79"/>
      <c r="F369" s="20" t="s">
        <v>6685</v>
      </c>
      <c r="G369" s="24" t="str">
        <f ca="1">IFERROR(__xludf.DUMMYFUNCTION("GOOGLETRANSLATE(F369,""en"",""pt"")"),"Canetas")</f>
        <v>Canetas</v>
      </c>
      <c r="H369" s="24"/>
      <c r="I369" s="24"/>
      <c r="J369" s="24"/>
      <c r="K369" s="24"/>
    </row>
    <row r="370" spans="1:11" ht="14.5">
      <c r="A370" s="20" t="s">
        <v>6686</v>
      </c>
      <c r="B370" s="81">
        <v>35</v>
      </c>
      <c r="C370" s="81">
        <v>85</v>
      </c>
      <c r="D370" s="81">
        <v>83</v>
      </c>
      <c r="E370" s="79"/>
      <c r="F370" s="20" t="s">
        <v>6687</v>
      </c>
      <c r="G370" s="24" t="str">
        <f ca="1">IFERROR(__xludf.DUMMYFUNCTION("GOOGLETRANSLATE(F370,""en"",""pt"")"),"Stables")</f>
        <v>Stables</v>
      </c>
      <c r="H370" s="24"/>
      <c r="I370" s="24"/>
      <c r="J370" s="24"/>
      <c r="K370" s="24"/>
    </row>
    <row r="371" spans="1:11" ht="14.5">
      <c r="A371" s="20" t="s">
        <v>6688</v>
      </c>
      <c r="B371" s="81">
        <v>35</v>
      </c>
      <c r="C371" s="81">
        <v>85</v>
      </c>
      <c r="D371" s="81">
        <v>84</v>
      </c>
      <c r="E371" s="79"/>
      <c r="F371" s="20" t="s">
        <v>6689</v>
      </c>
      <c r="G371" s="24" t="str">
        <f ca="1">IFERROR(__xludf.DUMMYFUNCTION("GOOGLETRANSLATE(F371,""en"",""pt"")"),"jardas estáveis")</f>
        <v>jardas estáveis</v>
      </c>
      <c r="H371" s="24"/>
      <c r="I371" s="24"/>
      <c r="J371" s="24"/>
      <c r="K371" s="24"/>
    </row>
    <row r="372" spans="1:11" ht="14.5">
      <c r="A372" s="20" t="s">
        <v>6690</v>
      </c>
      <c r="B372" s="81">
        <v>35</v>
      </c>
      <c r="C372" s="81">
        <v>85</v>
      </c>
      <c r="D372" s="81">
        <v>85</v>
      </c>
      <c r="E372" s="79"/>
      <c r="F372" s="20" t="s">
        <v>6691</v>
      </c>
      <c r="G372" s="24" t="str">
        <f ca="1">IFERROR(__xludf.DUMMYFUNCTION("GOOGLETRANSLATE(F372,""en"",""pt"")"),"estábulos")</f>
        <v>estábulos</v>
      </c>
      <c r="H372" s="24"/>
      <c r="I372" s="24"/>
      <c r="J372" s="24"/>
      <c r="K372" s="24"/>
    </row>
    <row r="373" spans="1:11" ht="14.5">
      <c r="A373" s="20" t="s">
        <v>6692</v>
      </c>
      <c r="B373" s="81">
        <v>35</v>
      </c>
      <c r="C373" s="81">
        <v>85</v>
      </c>
      <c r="D373" s="81">
        <v>86</v>
      </c>
      <c r="E373" s="79"/>
      <c r="F373" s="20" t="s">
        <v>6693</v>
      </c>
      <c r="G373" s="24" t="str">
        <f ca="1">IFERROR(__xludf.DUMMYFUNCTION("GOOGLETRANSLATE(F373,""en"",""pt"")"),"chiqueiros")</f>
        <v>chiqueiros</v>
      </c>
      <c r="H373" s="24"/>
      <c r="I373" s="24"/>
      <c r="J373" s="24"/>
      <c r="K373" s="24"/>
    </row>
    <row r="374" spans="1:11" ht="14.5">
      <c r="A374" s="20" t="s">
        <v>6694</v>
      </c>
      <c r="B374" s="81">
        <v>35</v>
      </c>
      <c r="C374" s="81">
        <v>85</v>
      </c>
      <c r="D374" s="81">
        <v>88</v>
      </c>
      <c r="E374" s="79"/>
      <c r="F374" s="20" t="s">
        <v>6695</v>
      </c>
      <c r="G374" s="24" t="str">
        <f ca="1">IFERROR(__xludf.DUMMYFUNCTION("GOOGLETRANSLATE(F374,""en"",""pt"")"),"salas de aderência")</f>
        <v>salas de aderência</v>
      </c>
      <c r="H374" s="24"/>
      <c r="I374" s="24"/>
      <c r="J374" s="24"/>
      <c r="K374" s="24"/>
    </row>
    <row r="375" spans="1:11" ht="14.5">
      <c r="A375" s="20" t="s">
        <v>6696</v>
      </c>
      <c r="B375" s="81">
        <v>35</v>
      </c>
      <c r="C375" s="81">
        <v>90</v>
      </c>
      <c r="D375" s="79"/>
      <c r="E375" s="79"/>
      <c r="F375" s="20" t="s">
        <v>6697</v>
      </c>
      <c r="G375" s="24" t="str">
        <f ca="1">IFERROR(__xludf.DUMMYFUNCTION("GOOGLETRANSLATE(F375,""en"",""pt"")"),"Animal médico, saúde, bem-estar e espaços funerários")</f>
        <v>Animal médico, saúde, bem-estar e espaços funerários</v>
      </c>
      <c r="H375" s="24"/>
      <c r="I375" s="24"/>
      <c r="J375" s="24"/>
      <c r="K375" s="24"/>
    </row>
    <row r="376" spans="1:11" ht="14.5">
      <c r="A376" s="20" t="s">
        <v>6698</v>
      </c>
      <c r="B376" s="81">
        <v>35</v>
      </c>
      <c r="C376" s="81">
        <v>90</v>
      </c>
      <c r="D376" s="81">
        <v>10</v>
      </c>
      <c r="E376" s="79"/>
      <c r="F376" s="20" t="s">
        <v>6699</v>
      </c>
      <c r="G376" s="24" t="str">
        <f ca="1">IFERROR(__xludf.DUMMYFUNCTION("GOOGLETRANSLATE(F376,""en"",""pt"")"),"túmulos animal")</f>
        <v>túmulos animal</v>
      </c>
      <c r="H376" s="24"/>
      <c r="I376" s="24"/>
      <c r="J376" s="24"/>
      <c r="K376" s="24"/>
    </row>
    <row r="377" spans="1:11" ht="14.5">
      <c r="A377" s="20" t="s">
        <v>6700</v>
      </c>
      <c r="B377" s="81">
        <v>35</v>
      </c>
      <c r="C377" s="81">
        <v>90</v>
      </c>
      <c r="D377" s="81">
        <v>15</v>
      </c>
      <c r="E377" s="79"/>
      <c r="F377" s="20" t="s">
        <v>6701</v>
      </c>
      <c r="G377" s="24" t="str">
        <f ca="1">IFERROR(__xludf.DUMMYFUNCTION("GOOGLETRANSLATE(F377,""en"",""pt"")"),"clínicas de animais")</f>
        <v>clínicas de animais</v>
      </c>
      <c r="H377" s="24"/>
      <c r="I377" s="24"/>
      <c r="J377" s="24"/>
      <c r="K377" s="24"/>
    </row>
    <row r="378" spans="1:11" ht="14.5">
      <c r="A378" s="20" t="s">
        <v>6702</v>
      </c>
      <c r="B378" s="81">
        <v>35</v>
      </c>
      <c r="C378" s="81">
        <v>90</v>
      </c>
      <c r="D378" s="81">
        <v>22</v>
      </c>
      <c r="E378" s="79"/>
      <c r="F378" s="20" t="s">
        <v>6703</v>
      </c>
      <c r="G378" s="24" t="str">
        <f ca="1">IFERROR(__xludf.DUMMYFUNCTION("GOOGLETRANSLATE(F378,""en"",""pt"")"),"dispensários animais")</f>
        <v>dispensários animais</v>
      </c>
      <c r="H378" s="24"/>
      <c r="I378" s="24"/>
      <c r="J378" s="24"/>
      <c r="K378" s="24"/>
    </row>
    <row r="379" spans="1:11" ht="14.5">
      <c r="A379" s="20" t="s">
        <v>6704</v>
      </c>
      <c r="B379" s="81">
        <v>35</v>
      </c>
      <c r="C379" s="81">
        <v>90</v>
      </c>
      <c r="D379" s="81">
        <v>32</v>
      </c>
      <c r="E379" s="79"/>
      <c r="F379" s="20" t="s">
        <v>6705</v>
      </c>
      <c r="G379" s="24" t="str">
        <f ca="1">IFERROR(__xludf.DUMMYFUNCTION("GOOGLETRANSLATE(F379,""en"",""pt"")"),"espaços funerários animal")</f>
        <v>espaços funerários animal</v>
      </c>
      <c r="H379" s="24"/>
      <c r="I379" s="24"/>
      <c r="J379" s="24"/>
      <c r="K379" s="24"/>
    </row>
    <row r="380" spans="1:11" ht="14.5">
      <c r="A380" s="20" t="s">
        <v>6706</v>
      </c>
      <c r="B380" s="81">
        <v>35</v>
      </c>
      <c r="C380" s="81">
        <v>90</v>
      </c>
      <c r="D380" s="81">
        <v>34</v>
      </c>
      <c r="E380" s="79"/>
      <c r="F380" s="20" t="s">
        <v>6707</v>
      </c>
      <c r="G380" s="24" t="str">
        <f ca="1">IFERROR(__xludf.DUMMYFUNCTION("GOOGLETRANSLATE(F380,""en"",""pt"")"),"instalações de cuidar de pêlo")</f>
        <v>instalações de cuidar de pêlo</v>
      </c>
      <c r="H380" s="24"/>
      <c r="I380" s="24"/>
      <c r="J380" s="24"/>
      <c r="K380" s="24"/>
    </row>
    <row r="381" spans="1:11" ht="14.5">
      <c r="A381" s="20" t="s">
        <v>6708</v>
      </c>
      <c r="B381" s="81">
        <v>35</v>
      </c>
      <c r="C381" s="81">
        <v>90</v>
      </c>
      <c r="D381" s="81">
        <v>37</v>
      </c>
      <c r="E381" s="79"/>
      <c r="F381" s="20" t="s">
        <v>6709</v>
      </c>
      <c r="G381" s="24" t="str">
        <f ca="1">IFERROR(__xludf.DUMMYFUNCTION("GOOGLETRANSLATE(F381,""en"",""pt"")"),"piscinas de hidroterapia animal")</f>
        <v>piscinas de hidroterapia animal</v>
      </c>
      <c r="H381" s="24"/>
      <c r="I381" s="24"/>
      <c r="J381" s="24"/>
      <c r="K381" s="24"/>
    </row>
    <row r="382" spans="1:11" ht="14.5">
      <c r="A382" s="20" t="s">
        <v>6710</v>
      </c>
      <c r="B382" s="81">
        <v>35</v>
      </c>
      <c r="C382" s="81">
        <v>90</v>
      </c>
      <c r="D382" s="81">
        <v>59</v>
      </c>
      <c r="E382" s="79"/>
      <c r="F382" s="20" t="s">
        <v>6711</v>
      </c>
      <c r="G382" s="24" t="str">
        <f ca="1">IFERROR(__xludf.DUMMYFUNCTION("GOOGLETRANSLATE(F382,""en"",""pt"")"),"salas de operações animal")</f>
        <v>salas de operações animal</v>
      </c>
      <c r="H382" s="24"/>
      <c r="I382" s="24"/>
      <c r="J382" s="24"/>
      <c r="K382" s="24"/>
    </row>
    <row r="383" spans="1:11" ht="14.5">
      <c r="A383" s="20" t="s">
        <v>6712</v>
      </c>
      <c r="B383" s="81">
        <v>35</v>
      </c>
      <c r="C383" s="81">
        <v>90</v>
      </c>
      <c r="D383" s="81">
        <v>72</v>
      </c>
      <c r="E383" s="79"/>
      <c r="F383" s="20" t="s">
        <v>6713</v>
      </c>
      <c r="G383" s="24" t="str">
        <f ca="1">IFERROR(__xludf.DUMMYFUNCTION("GOOGLETRANSLATE(F383,""en"",""pt"")"),"enfermarias animais")</f>
        <v>enfermarias animais</v>
      </c>
      <c r="H383" s="24"/>
      <c r="I383" s="24"/>
      <c r="J383" s="24"/>
      <c r="K383" s="24"/>
    </row>
    <row r="384" spans="1:11" ht="14.5">
      <c r="A384" s="20" t="s">
        <v>6714</v>
      </c>
      <c r="B384" s="81">
        <v>40</v>
      </c>
      <c r="C384" s="79"/>
      <c r="D384" s="79"/>
      <c r="E384" s="79"/>
      <c r="F384" s="20" t="s">
        <v>6715</v>
      </c>
      <c r="G384" s="24" t="str">
        <f ca="1">IFERROR(__xludf.DUMMYFUNCTION("GOOGLETRANSLATE(F384,""en"",""pt"")"),"espaços de lazer")</f>
        <v>espaços de lazer</v>
      </c>
      <c r="H384" s="24"/>
      <c r="I384" s="24"/>
      <c r="J384" s="24"/>
      <c r="K384" s="24"/>
    </row>
    <row r="385" spans="1:11" ht="14.5">
      <c r="A385" s="20" t="s">
        <v>6716</v>
      </c>
      <c r="B385" s="81">
        <v>40</v>
      </c>
      <c r="C385" s="81">
        <v>5</v>
      </c>
      <c r="D385" s="79"/>
      <c r="E385" s="79"/>
      <c r="F385" s="20" t="s">
        <v>6717</v>
      </c>
      <c r="G385" s="24" t="str">
        <f ca="1">IFERROR(__xludf.DUMMYFUNCTION("GOOGLETRANSLATE(F385,""en"",""pt"")"),"espaços de diversão")</f>
        <v>espaços de diversão</v>
      </c>
      <c r="H385" s="24"/>
      <c r="I385" s="24"/>
      <c r="J385" s="24"/>
      <c r="K385" s="24"/>
    </row>
    <row r="386" spans="1:11" ht="14.5">
      <c r="A386" s="20" t="s">
        <v>6718</v>
      </c>
      <c r="B386" s="81">
        <v>40</v>
      </c>
      <c r="C386" s="81">
        <v>5</v>
      </c>
      <c r="D386" s="81">
        <v>3</v>
      </c>
      <c r="E386" s="79"/>
      <c r="F386" s="20" t="s">
        <v>6719</v>
      </c>
      <c r="G386" s="24" t="str">
        <f ca="1">IFERROR(__xludf.DUMMYFUNCTION("GOOGLETRANSLATE(F386,""en"",""pt"")"),"Salas de jogos")</f>
        <v>Salas de jogos</v>
      </c>
      <c r="H386" s="24"/>
      <c r="I386" s="24"/>
      <c r="J386" s="24"/>
      <c r="K386" s="24"/>
    </row>
    <row r="387" spans="1:11" ht="14.5">
      <c r="A387" s="20" t="s">
        <v>6720</v>
      </c>
      <c r="B387" s="81">
        <v>40</v>
      </c>
      <c r="C387" s="81">
        <v>5</v>
      </c>
      <c r="D387" s="81">
        <v>13</v>
      </c>
      <c r="E387" s="79"/>
      <c r="F387" s="20" t="s">
        <v>6721</v>
      </c>
      <c r="G387" s="24" t="str">
        <f ca="1">IFERROR(__xludf.DUMMYFUNCTION("GOOGLETRANSLATE(F387,""en"",""pt"")"),"pisos casino")</f>
        <v>pisos casino</v>
      </c>
      <c r="H387" s="24"/>
      <c r="I387" s="24"/>
      <c r="J387" s="24"/>
      <c r="K387" s="24"/>
    </row>
    <row r="388" spans="1:11" ht="14.5">
      <c r="A388" s="20" t="s">
        <v>6722</v>
      </c>
      <c r="B388" s="81">
        <v>40</v>
      </c>
      <c r="C388" s="81">
        <v>5</v>
      </c>
      <c r="D388" s="81">
        <v>42</v>
      </c>
      <c r="E388" s="79"/>
      <c r="F388" s="20" t="s">
        <v>6723</v>
      </c>
      <c r="G388" s="24" t="str">
        <f ca="1">IFERROR(__xludf.DUMMYFUNCTION("GOOGLETRANSLATE(F388,""en"",""pt"")"),"espaços interiores e feiras")</f>
        <v>espaços interiores e feiras</v>
      </c>
      <c r="H388" s="24"/>
      <c r="I388" s="24"/>
      <c r="J388" s="24"/>
      <c r="K388" s="24"/>
    </row>
    <row r="389" spans="1:11" ht="14.5">
      <c r="A389" s="20" t="s">
        <v>6724</v>
      </c>
      <c r="B389" s="81">
        <v>40</v>
      </c>
      <c r="C389" s="81">
        <v>5</v>
      </c>
      <c r="D389" s="81">
        <v>43</v>
      </c>
      <c r="E389" s="79"/>
      <c r="F389" s="20" t="s">
        <v>6725</v>
      </c>
      <c r="G389" s="24" t="str">
        <f ca="1">IFERROR(__xludf.DUMMYFUNCTION("GOOGLETRANSLATE(F389,""en"",""pt"")"),"espaços de lazer interiores")</f>
        <v>espaços de lazer interiores</v>
      </c>
      <c r="H389" s="24"/>
      <c r="I389" s="24"/>
      <c r="J389" s="24"/>
      <c r="K389" s="24"/>
    </row>
    <row r="390" spans="1:11" ht="14.5">
      <c r="A390" s="20" t="s">
        <v>6726</v>
      </c>
      <c r="B390" s="81">
        <v>40</v>
      </c>
      <c r="C390" s="81">
        <v>5</v>
      </c>
      <c r="D390" s="81">
        <v>58</v>
      </c>
      <c r="E390" s="79"/>
      <c r="F390" s="20" t="s">
        <v>6727</v>
      </c>
      <c r="G390" s="24" t="str">
        <f ca="1">IFERROR(__xludf.DUMMYFUNCTION("GOOGLETRANSLATE(F390,""en"",""pt"")"),"plataformas de observação")</f>
        <v>plataformas de observação</v>
      </c>
      <c r="H390" s="24"/>
      <c r="I390" s="24"/>
      <c r="J390" s="24"/>
      <c r="K390" s="24"/>
    </row>
    <row r="391" spans="1:11" ht="14.5">
      <c r="A391" s="20" t="s">
        <v>6728</v>
      </c>
      <c r="B391" s="81">
        <v>40</v>
      </c>
      <c r="C391" s="81">
        <v>5</v>
      </c>
      <c r="D391" s="81">
        <v>59</v>
      </c>
      <c r="E391" s="79"/>
      <c r="F391" s="20" t="s">
        <v>6729</v>
      </c>
      <c r="G391" s="24" t="str">
        <f ca="1">IFERROR(__xludf.DUMMYFUNCTION("GOOGLETRANSLATE(F391,""en"",""pt"")"),"áreas de actividade ao ar livre")</f>
        <v>áreas de actividade ao ar livre</v>
      </c>
      <c r="H391" s="24"/>
      <c r="I391" s="24"/>
      <c r="J391" s="24"/>
      <c r="K391" s="24"/>
    </row>
    <row r="392" spans="1:11" ht="14.5">
      <c r="A392" s="20" t="s">
        <v>6730</v>
      </c>
      <c r="B392" s="81">
        <v>40</v>
      </c>
      <c r="C392" s="81">
        <v>5</v>
      </c>
      <c r="D392" s="81">
        <v>60</v>
      </c>
      <c r="E392" s="79"/>
      <c r="F392" s="20" t="s">
        <v>6731</v>
      </c>
      <c r="G392" s="24" t="str">
        <f ca="1">IFERROR(__xludf.DUMMYFUNCTION("GOOGLETRANSLATE(F392,""en"",""pt"")"),"espaços e feiras ao ar livre")</f>
        <v>espaços e feiras ao ar livre</v>
      </c>
      <c r="H392" s="24"/>
      <c r="I392" s="24"/>
      <c r="J392" s="24"/>
      <c r="K392" s="24"/>
    </row>
    <row r="393" spans="1:11" ht="14.5">
      <c r="A393" s="20" t="s">
        <v>6732</v>
      </c>
      <c r="B393" s="81">
        <v>40</v>
      </c>
      <c r="C393" s="81">
        <v>5</v>
      </c>
      <c r="D393" s="81">
        <v>61</v>
      </c>
      <c r="E393" s="79"/>
      <c r="F393" s="20" t="s">
        <v>6733</v>
      </c>
      <c r="G393" s="24" t="str">
        <f ca="1">IFERROR(__xludf.DUMMYFUNCTION("GOOGLETRANSLATE(F393,""en"",""pt"")"),"playgrounds ao ar livre")</f>
        <v>playgrounds ao ar livre</v>
      </c>
      <c r="H393" s="24"/>
      <c r="I393" s="24"/>
      <c r="J393" s="24"/>
      <c r="K393" s="24"/>
    </row>
    <row r="394" spans="1:11" ht="14.5">
      <c r="A394" s="20" t="s">
        <v>6734</v>
      </c>
      <c r="B394" s="81">
        <v>40</v>
      </c>
      <c r="C394" s="81">
        <v>5</v>
      </c>
      <c r="D394" s="81">
        <v>68</v>
      </c>
      <c r="E394" s="79"/>
      <c r="F394" s="20" t="s">
        <v>6735</v>
      </c>
      <c r="G394" s="24" t="str">
        <f ca="1">IFERROR(__xludf.DUMMYFUNCTION("GOOGLETRANSLATE(F394,""en"",""pt"")"),"parques e jardins públicos")</f>
        <v>parques e jardins públicos</v>
      </c>
      <c r="H394" s="24"/>
      <c r="I394" s="24"/>
      <c r="J394" s="24"/>
      <c r="K394" s="24"/>
    </row>
    <row r="395" spans="1:11" ht="14.5">
      <c r="A395" s="20" t="s">
        <v>6736</v>
      </c>
      <c r="B395" s="81">
        <v>40</v>
      </c>
      <c r="C395" s="81">
        <v>20</v>
      </c>
      <c r="D395" s="79"/>
      <c r="E395" s="79"/>
      <c r="F395" s="20" t="s">
        <v>6737</v>
      </c>
      <c r="G395" s="24" t="str">
        <f ca="1">IFERROR(__xludf.DUMMYFUNCTION("GOOGLETRANSLATE(F395,""en"",""pt"")"),"espaços de jantar")</f>
        <v>espaços de jantar</v>
      </c>
      <c r="H395" s="24"/>
      <c r="I395" s="24"/>
      <c r="J395" s="24"/>
      <c r="K395" s="24"/>
    </row>
    <row r="396" spans="1:11" ht="14.5">
      <c r="A396" s="20" t="s">
        <v>6738</v>
      </c>
      <c r="B396" s="81">
        <v>40</v>
      </c>
      <c r="C396" s="81">
        <v>20</v>
      </c>
      <c r="D396" s="81">
        <v>6</v>
      </c>
      <c r="E396" s="79"/>
      <c r="F396" s="20" t="s">
        <v>6739</v>
      </c>
      <c r="G396" s="24" t="str">
        <f ca="1">IFERROR(__xludf.DUMMYFUNCTION("GOOGLETRANSLATE(F396,""en"",""pt"")"),"bares")</f>
        <v>bares</v>
      </c>
      <c r="H396" s="24"/>
      <c r="I396" s="24"/>
      <c r="J396" s="24"/>
      <c r="K396" s="24"/>
    </row>
    <row r="397" spans="1:11" ht="14.5">
      <c r="A397" s="20" t="s">
        <v>6740</v>
      </c>
      <c r="B397" s="81">
        <v>40</v>
      </c>
      <c r="C397" s="81">
        <v>20</v>
      </c>
      <c r="D397" s="81">
        <v>9</v>
      </c>
      <c r="E397" s="79"/>
      <c r="F397" s="20" t="s">
        <v>6741</v>
      </c>
      <c r="G397" s="24" t="str">
        <f ca="1">IFERROR(__xludf.DUMMYFUNCTION("GOOGLETRANSLATE(F397,""en"",""pt"")"),"estações de bebidas")</f>
        <v>estações de bebidas</v>
      </c>
      <c r="H397" s="24"/>
      <c r="I397" s="24"/>
      <c r="J397" s="24"/>
      <c r="K397" s="24"/>
    </row>
    <row r="398" spans="1:11" ht="14.5">
      <c r="A398" s="20" t="s">
        <v>6742</v>
      </c>
      <c r="B398" s="81">
        <v>40</v>
      </c>
      <c r="C398" s="81">
        <v>20</v>
      </c>
      <c r="D398" s="81">
        <v>27</v>
      </c>
      <c r="E398" s="79"/>
      <c r="F398" s="20" t="s">
        <v>6743</v>
      </c>
      <c r="G398" s="24" t="str">
        <f ca="1">IFERROR(__xludf.DUMMYFUNCTION("GOOGLETRANSLATE(F398,""en"",""pt"")"),"áreas de jantar fechado")</f>
        <v>áreas de jantar fechado</v>
      </c>
      <c r="H398" s="24"/>
      <c r="I398" s="24"/>
      <c r="J398" s="24"/>
      <c r="K398" s="24"/>
    </row>
    <row r="399" spans="1:11" ht="14.5">
      <c r="A399" s="20" t="s">
        <v>6744</v>
      </c>
      <c r="B399" s="81">
        <v>40</v>
      </c>
      <c r="C399" s="81">
        <v>20</v>
      </c>
      <c r="D399" s="81">
        <v>28</v>
      </c>
      <c r="E399" s="79"/>
      <c r="F399" s="20" t="s">
        <v>6745</v>
      </c>
      <c r="G399" s="24" t="str">
        <f ca="1">IFERROR(__xludf.DUMMYFUNCTION("GOOGLETRANSLATE(F399,""en"",""pt"")"),"praças de alimentação")</f>
        <v>praças de alimentação</v>
      </c>
      <c r="H399" s="24"/>
      <c r="I399" s="24"/>
      <c r="J399" s="24"/>
      <c r="K399" s="24"/>
    </row>
    <row r="400" spans="1:11" ht="14.5">
      <c r="A400" s="20" t="s">
        <v>6746</v>
      </c>
      <c r="B400" s="81">
        <v>40</v>
      </c>
      <c r="C400" s="81">
        <v>20</v>
      </c>
      <c r="D400" s="81">
        <v>59</v>
      </c>
      <c r="E400" s="79"/>
      <c r="F400" s="20" t="s">
        <v>6747</v>
      </c>
      <c r="G400" s="24" t="str">
        <f ca="1">IFERROR(__xludf.DUMMYFUNCTION("GOOGLETRANSLATE(F400,""en"",""pt"")"),"áreas de jantar ao ar livre")</f>
        <v>áreas de jantar ao ar livre</v>
      </c>
      <c r="H400" s="24"/>
      <c r="I400" s="24"/>
      <c r="J400" s="24"/>
      <c r="K400" s="24"/>
    </row>
    <row r="401" spans="1:11" ht="14.5">
      <c r="A401" s="20" t="s">
        <v>6748</v>
      </c>
      <c r="B401" s="81">
        <v>40</v>
      </c>
      <c r="C401" s="81">
        <v>60</v>
      </c>
      <c r="D401" s="79"/>
      <c r="E401" s="79"/>
      <c r="F401" s="20" t="s">
        <v>6749</v>
      </c>
      <c r="G401" s="24" t="str">
        <f ca="1">IFERROR(__xludf.DUMMYFUNCTION("GOOGLETRANSLATE(F401,""en"",""pt"")"),"Realizando espaços de artes")</f>
        <v>Realizando espaços de artes</v>
      </c>
      <c r="H401" s="24"/>
      <c r="I401" s="24"/>
      <c r="J401" s="24"/>
      <c r="K401" s="24"/>
    </row>
    <row r="402" spans="1:11" ht="14.5">
      <c r="A402" s="20" t="s">
        <v>6750</v>
      </c>
      <c r="B402" s="81">
        <v>40</v>
      </c>
      <c r="C402" s="81">
        <v>60</v>
      </c>
      <c r="D402" s="81">
        <v>5</v>
      </c>
      <c r="E402" s="79"/>
      <c r="F402" s="20" t="s">
        <v>6751</v>
      </c>
      <c r="G402" s="24" t="str">
        <f ca="1">IFERROR(__xludf.DUMMYFUNCTION("GOOGLETRANSLATE(F402,""en"",""pt"")"),"auditórios")</f>
        <v>auditórios</v>
      </c>
      <c r="H402" s="24"/>
      <c r="I402" s="24"/>
      <c r="J402" s="24"/>
      <c r="K402" s="24"/>
    </row>
    <row r="403" spans="1:11" ht="14.5">
      <c r="A403" s="20" t="s">
        <v>6752</v>
      </c>
      <c r="B403" s="81">
        <v>40</v>
      </c>
      <c r="C403" s="81">
        <v>60</v>
      </c>
      <c r="D403" s="81">
        <v>6</v>
      </c>
      <c r="E403" s="79"/>
      <c r="F403" s="20" t="s">
        <v>6753</v>
      </c>
      <c r="G403" s="24" t="str">
        <f ca="1">IFERROR(__xludf.DUMMYFUNCTION("GOOGLETRANSLATE(F403,""en"",""pt"")"),"coretos")</f>
        <v>coretos</v>
      </c>
      <c r="H403" s="24"/>
      <c r="I403" s="24"/>
      <c r="J403" s="24"/>
      <c r="K403" s="24"/>
    </row>
    <row r="404" spans="1:11" ht="14.5">
      <c r="A404" s="20" t="s">
        <v>6754</v>
      </c>
      <c r="B404" s="81">
        <v>40</v>
      </c>
      <c r="C404" s="81">
        <v>60</v>
      </c>
      <c r="D404" s="81">
        <v>11</v>
      </c>
      <c r="E404" s="79"/>
      <c r="F404" s="20" t="s">
        <v>6755</v>
      </c>
      <c r="G404" s="24" t="str">
        <f ca="1">IFERROR(__xludf.DUMMYFUNCTION("GOOGLETRANSLATE(F404,""en"",""pt"")"),"caminhadas de gato")</f>
        <v>caminhadas de gato</v>
      </c>
      <c r="H404" s="24"/>
      <c r="I404" s="24"/>
      <c r="J404" s="24"/>
      <c r="K404" s="24"/>
    </row>
    <row r="405" spans="1:11" ht="14.5">
      <c r="A405" s="20" t="s">
        <v>6756</v>
      </c>
      <c r="B405" s="81">
        <v>40</v>
      </c>
      <c r="C405" s="81">
        <v>60</v>
      </c>
      <c r="D405" s="81">
        <v>13</v>
      </c>
      <c r="E405" s="79"/>
      <c r="F405" s="20" t="s">
        <v>6757</v>
      </c>
      <c r="G405" s="24" t="str">
        <f ca="1">IFERROR(__xludf.DUMMYFUNCTION("GOOGLETRANSLATE(F405,""en"",""pt"")"),"picadeiros")</f>
        <v>picadeiros</v>
      </c>
      <c r="H405" s="24"/>
      <c r="I405" s="24"/>
      <c r="J405" s="24"/>
      <c r="K405" s="24"/>
    </row>
    <row r="406" spans="1:11" ht="14.5">
      <c r="A406" s="20" t="s">
        <v>6758</v>
      </c>
      <c r="B406" s="81">
        <v>40</v>
      </c>
      <c r="C406" s="81">
        <v>60</v>
      </c>
      <c r="D406" s="81">
        <v>21</v>
      </c>
      <c r="E406" s="79"/>
      <c r="F406" s="20" t="s">
        <v>6759</v>
      </c>
      <c r="G406" s="24" t="str">
        <f ca="1">IFERROR(__xludf.DUMMYFUNCTION("GOOGLETRANSLATE(F406,""en"",""pt"")"),"pistas de dança")</f>
        <v>pistas de dança</v>
      </c>
      <c r="H406" s="24"/>
      <c r="I406" s="24"/>
      <c r="J406" s="24"/>
      <c r="K406" s="24"/>
    </row>
    <row r="407" spans="1:11" ht="14.5">
      <c r="A407" s="20" t="s">
        <v>6760</v>
      </c>
      <c r="B407" s="81">
        <v>40</v>
      </c>
      <c r="C407" s="81">
        <v>60</v>
      </c>
      <c r="D407" s="81">
        <v>31</v>
      </c>
      <c r="E407" s="79"/>
      <c r="F407" s="20" t="s">
        <v>6761</v>
      </c>
      <c r="G407" s="24" t="str">
        <f ca="1">IFERROR(__xludf.DUMMYFUNCTION("GOOGLETRANSLATE(F407,""en"",""pt"")"),"fases fixas")</f>
        <v>fases fixas</v>
      </c>
      <c r="H407" s="24"/>
      <c r="I407" s="24"/>
      <c r="J407" s="24"/>
      <c r="K407" s="24"/>
    </row>
    <row r="408" spans="1:11" ht="14.5">
      <c r="A408" s="20" t="s">
        <v>6762</v>
      </c>
      <c r="B408" s="81">
        <v>40</v>
      </c>
      <c r="C408" s="81">
        <v>60</v>
      </c>
      <c r="D408" s="81">
        <v>40</v>
      </c>
      <c r="E408" s="79"/>
      <c r="F408" s="20" t="s">
        <v>6763</v>
      </c>
      <c r="G408" s="24" t="str">
        <f ca="1">IFERROR(__xludf.DUMMYFUNCTION("GOOGLETRANSLATE(F408,""en"",""pt"")"),"espaços de teatro interior")</f>
        <v>espaços de teatro interior</v>
      </c>
      <c r="H408" s="24"/>
      <c r="I408" s="24"/>
      <c r="J408" s="24"/>
      <c r="K408" s="24"/>
    </row>
    <row r="409" spans="1:11" ht="14.5">
      <c r="A409" s="20" t="s">
        <v>6764</v>
      </c>
      <c r="B409" s="81">
        <v>40</v>
      </c>
      <c r="C409" s="81">
        <v>60</v>
      </c>
      <c r="D409" s="81">
        <v>52</v>
      </c>
      <c r="E409" s="79"/>
      <c r="F409" s="20" t="s">
        <v>6765</v>
      </c>
      <c r="G409" s="24" t="str">
        <f ca="1">IFERROR(__xludf.DUMMYFUNCTION("GOOGLETRANSLATE(F409,""en"",""pt"")"),"palcos móveis")</f>
        <v>palcos móveis</v>
      </c>
      <c r="H409" s="24"/>
      <c r="I409" s="24"/>
      <c r="J409" s="24"/>
      <c r="K409" s="24"/>
    </row>
    <row r="410" spans="1:11" ht="14.5">
      <c r="A410" s="20" t="s">
        <v>6766</v>
      </c>
      <c r="B410" s="81">
        <v>40</v>
      </c>
      <c r="C410" s="81">
        <v>60</v>
      </c>
      <c r="D410" s="81">
        <v>58</v>
      </c>
      <c r="E410" s="79"/>
      <c r="F410" s="20" t="s">
        <v>6767</v>
      </c>
      <c r="G410" s="24" t="str">
        <f ca="1">IFERROR(__xludf.DUMMYFUNCTION("GOOGLETRANSLATE(F410,""en"",""pt"")"),"poços de orquestra")</f>
        <v>poços de orquestra</v>
      </c>
      <c r="H410" s="24"/>
      <c r="I410" s="24"/>
      <c r="J410" s="24"/>
      <c r="K410" s="24"/>
    </row>
    <row r="411" spans="1:11" ht="14.5">
      <c r="A411" s="20" t="s">
        <v>6768</v>
      </c>
      <c r="B411" s="81">
        <v>40</v>
      </c>
      <c r="C411" s="81">
        <v>60</v>
      </c>
      <c r="D411" s="81">
        <v>59</v>
      </c>
      <c r="E411" s="79"/>
      <c r="F411" s="20" t="s">
        <v>6769</v>
      </c>
      <c r="G411" s="24" t="str">
        <f ca="1">IFERROR(__xludf.DUMMYFUNCTION("GOOGLETRANSLATE(F411,""en"",""pt"")"),"espaços teatro ao ar livre")</f>
        <v>espaços teatro ao ar livre</v>
      </c>
      <c r="H411" s="24"/>
      <c r="I411" s="24"/>
      <c r="J411" s="24"/>
      <c r="K411" s="24"/>
    </row>
    <row r="412" spans="1:11" ht="14.5">
      <c r="A412" s="20" t="s">
        <v>6770</v>
      </c>
      <c r="B412" s="81">
        <v>40</v>
      </c>
      <c r="C412" s="81">
        <v>60</v>
      </c>
      <c r="D412" s="81">
        <v>78</v>
      </c>
      <c r="E412" s="79"/>
      <c r="F412" s="20" t="s">
        <v>6771</v>
      </c>
      <c r="G412" s="24" t="str">
        <f ca="1">IFERROR(__xludf.DUMMYFUNCTION("GOOGLETRANSLATE(F412,""en"",""pt"")"),"estúdios de gravação de som")</f>
        <v>estúdios de gravação de som</v>
      </c>
      <c r="H412" s="24"/>
      <c r="I412" s="24"/>
      <c r="J412" s="24"/>
      <c r="K412" s="24"/>
    </row>
    <row r="413" spans="1:11" ht="14.5">
      <c r="A413" s="20" t="s">
        <v>6772</v>
      </c>
      <c r="B413" s="81">
        <v>40</v>
      </c>
      <c r="C413" s="81">
        <v>60</v>
      </c>
      <c r="D413" s="81">
        <v>80</v>
      </c>
      <c r="E413" s="79"/>
      <c r="F413" s="20" t="s">
        <v>6773</v>
      </c>
      <c r="G413" s="24" t="str">
        <f ca="1">IFERROR(__xludf.DUMMYFUNCTION("GOOGLETRANSLATE(F413,""en"",""pt"")"),"conchas de som")</f>
        <v>conchas de som</v>
      </c>
      <c r="H413" s="24"/>
      <c r="I413" s="24"/>
      <c r="J413" s="24"/>
      <c r="K413" s="24"/>
    </row>
    <row r="414" spans="1:11" ht="14.5">
      <c r="A414" s="20" t="s">
        <v>6774</v>
      </c>
      <c r="B414" s="81">
        <v>40</v>
      </c>
      <c r="C414" s="81">
        <v>60</v>
      </c>
      <c r="D414" s="81">
        <v>81</v>
      </c>
      <c r="E414" s="79"/>
      <c r="F414" s="20" t="s">
        <v>6775</v>
      </c>
      <c r="G414" s="24" t="str">
        <f ca="1">IFERROR(__xludf.DUMMYFUNCTION("GOOGLETRANSLATE(F414,""en"",""pt"")"),"estúdios de som")</f>
        <v>estúdios de som</v>
      </c>
      <c r="H414" s="24"/>
      <c r="I414" s="24"/>
      <c r="J414" s="24"/>
      <c r="K414" s="24"/>
    </row>
    <row r="415" spans="1:11" ht="14.5">
      <c r="A415" s="20" t="s">
        <v>6776</v>
      </c>
      <c r="B415" s="81">
        <v>40</v>
      </c>
      <c r="C415" s="81">
        <v>65</v>
      </c>
      <c r="D415" s="79"/>
      <c r="E415" s="79"/>
      <c r="F415" s="20" t="s">
        <v>6777</v>
      </c>
      <c r="G415" s="24" t="str">
        <f ca="1">IFERROR(__xludf.DUMMYFUNCTION("GOOGLETRANSLATE(F415,""en"",""pt"")"),"Artes espaços auxiliares")</f>
        <v>Artes espaços auxiliares</v>
      </c>
      <c r="H415" s="24"/>
      <c r="I415" s="24"/>
      <c r="J415" s="24"/>
      <c r="K415" s="24"/>
    </row>
    <row r="416" spans="1:11" ht="14.5">
      <c r="A416" s="20" t="s">
        <v>6778</v>
      </c>
      <c r="B416" s="81">
        <v>40</v>
      </c>
      <c r="C416" s="81">
        <v>65</v>
      </c>
      <c r="D416" s="81">
        <v>4</v>
      </c>
      <c r="E416" s="79"/>
      <c r="F416" s="20" t="s">
        <v>6779</v>
      </c>
      <c r="G416" s="24" t="str">
        <f ca="1">IFERROR(__xludf.DUMMYFUNCTION("GOOGLETRANSLATE(F416,""en"",""pt"")"),"lobbies audiência")</f>
        <v>lobbies audiência</v>
      </c>
      <c r="H416" s="24"/>
      <c r="I416" s="24"/>
      <c r="J416" s="24"/>
      <c r="K416" s="24"/>
    </row>
    <row r="417" spans="1:11" ht="14.5">
      <c r="A417" s="20" t="s">
        <v>6780</v>
      </c>
      <c r="B417" s="81">
        <v>40</v>
      </c>
      <c r="C417" s="81">
        <v>65</v>
      </c>
      <c r="D417" s="81">
        <v>24</v>
      </c>
      <c r="E417" s="79"/>
      <c r="F417" s="20" t="s">
        <v>6781</v>
      </c>
      <c r="G417" s="24" t="str">
        <f ca="1">IFERROR(__xludf.DUMMYFUNCTION("GOOGLETRANSLATE(F417,""en"",""pt"")"),"Vestiários")</f>
        <v>Vestiários</v>
      </c>
      <c r="H417" s="24"/>
      <c r="I417" s="24"/>
      <c r="J417" s="24"/>
      <c r="K417" s="24"/>
    </row>
    <row r="418" spans="1:11" ht="14.5">
      <c r="A418" s="20" t="s">
        <v>6782</v>
      </c>
      <c r="B418" s="81">
        <v>40</v>
      </c>
      <c r="C418" s="81">
        <v>65</v>
      </c>
      <c r="D418" s="81">
        <v>35</v>
      </c>
      <c r="E418" s="79"/>
      <c r="F418" s="20" t="s">
        <v>6783</v>
      </c>
      <c r="G418" s="24" t="str">
        <f ca="1">IFERROR(__xludf.DUMMYFUNCTION("GOOGLETRANSLATE(F418,""en"",""pt"")"),"salas verdes")</f>
        <v>salas verdes</v>
      </c>
      <c r="H418" s="24"/>
      <c r="I418" s="24"/>
      <c r="J418" s="24"/>
      <c r="K418" s="24"/>
    </row>
    <row r="419" spans="1:11" ht="14.5">
      <c r="A419" s="20" t="s">
        <v>6784</v>
      </c>
      <c r="B419" s="81">
        <v>40</v>
      </c>
      <c r="C419" s="81">
        <v>65</v>
      </c>
      <c r="D419" s="81">
        <v>47</v>
      </c>
      <c r="E419" s="79"/>
      <c r="F419" s="20" t="s">
        <v>6785</v>
      </c>
      <c r="G419" s="24" t="str">
        <f ca="1">IFERROR(__xludf.DUMMYFUNCTION("GOOGLETRANSLATE(F419,""en"",""pt"")"),"Iluminação cabines de controle")</f>
        <v>Iluminação cabines de controle</v>
      </c>
      <c r="H419" s="24"/>
      <c r="I419" s="24"/>
      <c r="J419" s="24"/>
      <c r="K419" s="24"/>
    </row>
    <row r="420" spans="1:11" ht="14.5">
      <c r="A420" s="20" t="s">
        <v>6786</v>
      </c>
      <c r="B420" s="81">
        <v>40</v>
      </c>
      <c r="C420" s="81">
        <v>65</v>
      </c>
      <c r="D420" s="81">
        <v>66</v>
      </c>
      <c r="E420" s="79"/>
      <c r="F420" s="20" t="s">
        <v>6787</v>
      </c>
      <c r="G420" s="24" t="str">
        <f ca="1">IFERROR(__xludf.DUMMYFUNCTION("GOOGLETRANSLATE(F420,""en"",""pt"")"),"cabines de projeção")</f>
        <v>cabines de projeção</v>
      </c>
      <c r="H420" s="24"/>
      <c r="I420" s="24"/>
      <c r="J420" s="24"/>
      <c r="K420" s="24"/>
    </row>
    <row r="421" spans="1:11" ht="14.5">
      <c r="A421" s="20" t="s">
        <v>6788</v>
      </c>
      <c r="B421" s="81">
        <v>40</v>
      </c>
      <c r="C421" s="81">
        <v>65</v>
      </c>
      <c r="D421" s="81">
        <v>70</v>
      </c>
      <c r="E421" s="79"/>
      <c r="F421" s="20" t="s">
        <v>6789</v>
      </c>
      <c r="G421" s="24" t="str">
        <f ca="1">IFERROR(__xludf.DUMMYFUNCTION("GOOGLETRANSLATE(F421,""en"",""pt"")"),"Gravação cabines de controlo")</f>
        <v>Gravação cabines de controlo</v>
      </c>
      <c r="H421" s="24"/>
      <c r="I421" s="24"/>
      <c r="J421" s="24"/>
      <c r="K421" s="24"/>
    </row>
    <row r="422" spans="1:11" ht="14.5">
      <c r="A422" s="20" t="s">
        <v>6790</v>
      </c>
      <c r="B422" s="81">
        <v>40</v>
      </c>
      <c r="C422" s="81">
        <v>65</v>
      </c>
      <c r="D422" s="81">
        <v>72</v>
      </c>
      <c r="E422" s="79"/>
      <c r="F422" s="20" t="s">
        <v>6791</v>
      </c>
      <c r="G422" s="24" t="str">
        <f ca="1">IFERROR(__xludf.DUMMYFUNCTION("GOOGLETRANSLATE(F422,""en"",""pt"")"),"salas de ensaio")</f>
        <v>salas de ensaio</v>
      </c>
      <c r="H422" s="24"/>
      <c r="I422" s="24"/>
      <c r="J422" s="24"/>
      <c r="K422" s="24"/>
    </row>
    <row r="423" spans="1:11" ht="14.5">
      <c r="A423" s="20" t="s">
        <v>6792</v>
      </c>
      <c r="B423" s="81">
        <v>40</v>
      </c>
      <c r="C423" s="81">
        <v>65</v>
      </c>
      <c r="D423" s="81">
        <v>76</v>
      </c>
      <c r="E423" s="79"/>
      <c r="F423" s="20" t="s">
        <v>6793</v>
      </c>
      <c r="G423" s="24" t="str">
        <f ca="1">IFERROR(__xludf.DUMMYFUNCTION("GOOGLETRANSLATE(F423,""en"",""pt"")"),"cabines de controlo cenário")</f>
        <v>cabines de controlo cenário</v>
      </c>
      <c r="H423" s="24"/>
      <c r="I423" s="24"/>
      <c r="J423" s="24"/>
      <c r="K423" s="24"/>
    </row>
    <row r="424" spans="1:11" ht="14.5">
      <c r="A424" s="20" t="s">
        <v>6794</v>
      </c>
      <c r="B424" s="81">
        <v>40</v>
      </c>
      <c r="C424" s="81">
        <v>65</v>
      </c>
      <c r="D424" s="81">
        <v>79</v>
      </c>
      <c r="E424" s="79"/>
      <c r="F424" s="20" t="s">
        <v>6795</v>
      </c>
      <c r="G424" s="24" t="str">
        <f ca="1">IFERROR(__xludf.DUMMYFUNCTION("GOOGLETRANSLATE(F424,""en"",""pt"")"),"cabines de controlo de som")</f>
        <v>cabines de controlo de som</v>
      </c>
      <c r="H424" s="24"/>
      <c r="I424" s="24"/>
      <c r="J424" s="24"/>
      <c r="K424" s="24"/>
    </row>
    <row r="425" spans="1:11" ht="14.5">
      <c r="A425" s="20" t="s">
        <v>6796</v>
      </c>
      <c r="B425" s="81">
        <v>40</v>
      </c>
      <c r="C425" s="81">
        <v>65</v>
      </c>
      <c r="D425" s="81">
        <v>80</v>
      </c>
      <c r="E425" s="79"/>
      <c r="F425" s="20" t="s">
        <v>6797</v>
      </c>
      <c r="G425" s="24" t="str">
        <f ca="1">IFERROR(__xludf.DUMMYFUNCTION("GOOGLETRANSLATE(F425,""en"",""pt"")"),"fechaduras de som")</f>
        <v>fechaduras de som</v>
      </c>
      <c r="H425" s="24"/>
      <c r="I425" s="24"/>
      <c r="J425" s="24"/>
      <c r="K425" s="24"/>
    </row>
    <row r="426" spans="1:11" ht="14.5">
      <c r="A426" s="20" t="s">
        <v>6798</v>
      </c>
      <c r="B426" s="81">
        <v>40</v>
      </c>
      <c r="C426" s="81">
        <v>65</v>
      </c>
      <c r="D426" s="81">
        <v>85</v>
      </c>
      <c r="E426" s="79"/>
      <c r="F426" s="20" t="s">
        <v>6799</v>
      </c>
      <c r="G426" s="24" t="str">
        <f ca="1">IFERROR(__xludf.DUMMYFUNCTION("GOOGLETRANSLATE(F426,""en"",""pt"")"),"asas estágio")</f>
        <v>asas estágio</v>
      </c>
      <c r="H426" s="24"/>
      <c r="I426" s="24"/>
      <c r="J426" s="24"/>
      <c r="K426" s="24"/>
    </row>
    <row r="427" spans="1:11" ht="14.5">
      <c r="A427" s="20" t="s">
        <v>6800</v>
      </c>
      <c r="B427" s="81">
        <v>42</v>
      </c>
      <c r="C427" s="79"/>
      <c r="D427" s="79"/>
      <c r="E427" s="79"/>
      <c r="F427" s="20" t="s">
        <v>6801</v>
      </c>
      <c r="G427" s="24" t="str">
        <f ca="1">IFERROR(__xludf.DUMMYFUNCTION("GOOGLETRANSLATE(F427,""en"",""pt"")"),"espaços desporto e da actividade")</f>
        <v>espaços desporto e da actividade</v>
      </c>
      <c r="H427" s="24"/>
      <c r="I427" s="24"/>
      <c r="J427" s="24"/>
      <c r="K427" s="24"/>
    </row>
    <row r="428" spans="1:11" ht="14.5">
      <c r="A428" s="20" t="s">
        <v>6802</v>
      </c>
      <c r="B428" s="81">
        <v>42</v>
      </c>
      <c r="C428" s="81">
        <v>15</v>
      </c>
      <c r="D428" s="79"/>
      <c r="E428" s="79"/>
      <c r="F428" s="20" t="s">
        <v>6803</v>
      </c>
      <c r="G428" s="24" t="str">
        <f ca="1">IFERROR(__xludf.DUMMYFUNCTION("GOOGLETRANSLATE(F428,""en"",""pt"")"),"Tribunais, campos e espaços desportivos de campo")</f>
        <v>Tribunais, campos e espaços desportivos de campo</v>
      </c>
      <c r="H428" s="24"/>
      <c r="I428" s="24"/>
      <c r="J428" s="24"/>
      <c r="K428" s="24"/>
    </row>
    <row r="429" spans="1:11" ht="14.5">
      <c r="A429" s="20" t="s">
        <v>6804</v>
      </c>
      <c r="B429" s="81">
        <v>42</v>
      </c>
      <c r="C429" s="81">
        <v>15</v>
      </c>
      <c r="D429" s="81">
        <v>37</v>
      </c>
      <c r="E429" s="79"/>
      <c r="F429" s="20" t="s">
        <v>6805</v>
      </c>
      <c r="G429" s="24" t="str">
        <f ca="1">IFERROR(__xludf.DUMMYFUNCTION("GOOGLETRANSLATE(F429,""en"",""pt"")"),"áreas de salto alto")</f>
        <v>áreas de salto alto</v>
      </c>
      <c r="H429" s="24"/>
      <c r="I429" s="24"/>
      <c r="J429" s="24"/>
      <c r="K429" s="24"/>
    </row>
    <row r="430" spans="1:11" ht="14.5">
      <c r="A430" s="20" t="s">
        <v>6806</v>
      </c>
      <c r="B430" s="81">
        <v>42</v>
      </c>
      <c r="C430" s="81">
        <v>15</v>
      </c>
      <c r="D430" s="81">
        <v>42</v>
      </c>
      <c r="E430" s="79"/>
      <c r="F430" s="20" t="s">
        <v>6807</v>
      </c>
      <c r="G430" s="24" t="str">
        <f ca="1">IFERROR(__xludf.DUMMYFUNCTION("GOOGLETRANSLATE(F430,""en"",""pt"")"),"tribunais e campos desportivos interiores")</f>
        <v>tribunais e campos desportivos interiores</v>
      </c>
      <c r="H430" s="24"/>
      <c r="I430" s="24"/>
      <c r="J430" s="24"/>
      <c r="K430" s="24"/>
    </row>
    <row r="431" spans="1:11" ht="14.5">
      <c r="A431" s="20" t="s">
        <v>6808</v>
      </c>
      <c r="B431" s="81">
        <v>42</v>
      </c>
      <c r="C431" s="81">
        <v>15</v>
      </c>
      <c r="D431" s="81">
        <v>44</v>
      </c>
      <c r="E431" s="79"/>
      <c r="F431" s="20" t="s">
        <v>6809</v>
      </c>
      <c r="G431" s="24" t="str">
        <f ca="1">IFERROR(__xludf.DUMMYFUNCTION("GOOGLETRANSLATE(F431,""en"",""pt"")"),"áreas de arremesso de dardo")</f>
        <v>áreas de arremesso de dardo</v>
      </c>
      <c r="H431" s="24"/>
      <c r="I431" s="24"/>
      <c r="J431" s="24"/>
      <c r="K431" s="24"/>
    </row>
    <row r="432" spans="1:11" ht="14.5">
      <c r="A432" s="20" t="s">
        <v>6810</v>
      </c>
      <c r="B432" s="81">
        <v>42</v>
      </c>
      <c r="C432" s="81">
        <v>15</v>
      </c>
      <c r="D432" s="81">
        <v>47</v>
      </c>
      <c r="E432" s="79"/>
      <c r="F432" s="20" t="s">
        <v>6811</v>
      </c>
      <c r="G432" s="24" t="str">
        <f ca="1">IFERROR(__xludf.DUMMYFUNCTION("GOOGLETRANSLATE(F432,""en"",""pt"")"),"Longas faixas de salto e poços")</f>
        <v>Longas faixas de salto e poços</v>
      </c>
      <c r="H432" s="24"/>
      <c r="I432" s="24"/>
      <c r="J432" s="24"/>
      <c r="K432" s="24"/>
    </row>
    <row r="433" spans="1:11" ht="14.5">
      <c r="A433" s="20" t="s">
        <v>6812</v>
      </c>
      <c r="B433" s="81">
        <v>42</v>
      </c>
      <c r="C433" s="81">
        <v>15</v>
      </c>
      <c r="D433" s="81">
        <v>59</v>
      </c>
      <c r="E433" s="79"/>
      <c r="F433" s="20" t="s">
        <v>6813</v>
      </c>
      <c r="G433" s="24" t="str">
        <f ca="1">IFERROR(__xludf.DUMMYFUNCTION("GOOGLETRANSLATE(F433,""en"",""pt"")"),"quadras de esportes ao ar livre")</f>
        <v>quadras de esportes ao ar livre</v>
      </c>
      <c r="H433" s="24"/>
      <c r="I433" s="24"/>
      <c r="J433" s="24"/>
      <c r="K433" s="24"/>
    </row>
    <row r="434" spans="1:11" ht="14.5">
      <c r="A434" s="20" t="s">
        <v>6814</v>
      </c>
      <c r="B434" s="81">
        <v>42</v>
      </c>
      <c r="C434" s="81">
        <v>15</v>
      </c>
      <c r="D434" s="81">
        <v>60</v>
      </c>
      <c r="E434" s="79"/>
      <c r="F434" s="20" t="s">
        <v>6815</v>
      </c>
      <c r="G434" s="24" t="str">
        <f ca="1">IFERROR(__xludf.DUMMYFUNCTION("GOOGLETRANSLATE(F434,""en"",""pt"")"),"campos e campos de esportes ao ar livre")</f>
        <v>campos e campos de esportes ao ar livre</v>
      </c>
      <c r="H434" s="24"/>
      <c r="I434" s="24"/>
      <c r="J434" s="24"/>
      <c r="K434" s="24"/>
    </row>
    <row r="435" spans="1:11" ht="14.5">
      <c r="A435" s="20" t="s">
        <v>6816</v>
      </c>
      <c r="B435" s="81">
        <v>42</v>
      </c>
      <c r="C435" s="81">
        <v>15</v>
      </c>
      <c r="D435" s="81">
        <v>65</v>
      </c>
      <c r="E435" s="79"/>
      <c r="F435" s="20" t="s">
        <v>6817</v>
      </c>
      <c r="G435" s="24" t="str">
        <f ca="1">IFERROR(__xludf.DUMMYFUNCTION("GOOGLETRANSLATE(F435,""en"",""pt"")"),"áreas salto com vara")</f>
        <v>áreas salto com vara</v>
      </c>
      <c r="H435" s="24"/>
      <c r="I435" s="24"/>
      <c r="J435" s="24"/>
      <c r="K435" s="24"/>
    </row>
    <row r="436" spans="1:11" ht="14.5">
      <c r="A436" s="20" t="s">
        <v>6818</v>
      </c>
      <c r="B436" s="81">
        <v>42</v>
      </c>
      <c r="C436" s="81">
        <v>15</v>
      </c>
      <c r="D436" s="81">
        <v>74</v>
      </c>
      <c r="E436" s="79"/>
      <c r="F436" s="20" t="s">
        <v>6819</v>
      </c>
      <c r="G436" s="24" t="str">
        <f ca="1">IFERROR(__xludf.DUMMYFUNCTION("GOOGLETRANSLATE(F436,""en"",""pt"")"),"pistas de corrida")</f>
        <v>pistas de corrida</v>
      </c>
      <c r="H436" s="24"/>
      <c r="I436" s="24"/>
      <c r="J436" s="24"/>
      <c r="K436" s="24"/>
    </row>
    <row r="437" spans="1:11" ht="14.5">
      <c r="A437" s="20" t="s">
        <v>6820</v>
      </c>
      <c r="B437" s="81">
        <v>42</v>
      </c>
      <c r="C437" s="81">
        <v>15</v>
      </c>
      <c r="D437" s="81">
        <v>78</v>
      </c>
      <c r="E437" s="79"/>
      <c r="F437" s="20" t="s">
        <v>6821</v>
      </c>
      <c r="G437" s="24" t="str">
        <f ca="1">IFERROR(__xludf.DUMMYFUNCTION("GOOGLETRANSLATE(F437,""en"",""pt"")"),"put tiro e martelo jogando áreas")</f>
        <v>put tiro e martelo jogando áreas</v>
      </c>
      <c r="H437" s="24"/>
      <c r="I437" s="24"/>
      <c r="J437" s="24"/>
      <c r="K437" s="24"/>
    </row>
    <row r="438" spans="1:11" ht="14.5">
      <c r="A438" s="20" t="s">
        <v>6822</v>
      </c>
      <c r="B438" s="81">
        <v>42</v>
      </c>
      <c r="C438" s="81">
        <v>40</v>
      </c>
      <c r="D438" s="79"/>
      <c r="E438" s="79"/>
      <c r="F438" s="20" t="s">
        <v>6823</v>
      </c>
      <c r="G438" s="24" t="str">
        <f ca="1">IFERROR(__xludf.DUMMYFUNCTION("GOOGLETRANSLATE(F438,""en"",""pt"")"),"espaços a atividade interna")</f>
        <v>espaços a atividade interna</v>
      </c>
      <c r="H438" s="24"/>
      <c r="I438" s="24"/>
      <c r="J438" s="24"/>
      <c r="K438" s="24"/>
    </row>
    <row r="439" spans="1:11" ht="14.5">
      <c r="A439" s="20" t="s">
        <v>6824</v>
      </c>
      <c r="B439" s="81">
        <v>42</v>
      </c>
      <c r="C439" s="81">
        <v>40</v>
      </c>
      <c r="D439" s="81">
        <v>9</v>
      </c>
      <c r="E439" s="79"/>
      <c r="F439" s="20" t="s">
        <v>6825</v>
      </c>
      <c r="G439" s="24" t="str">
        <f ca="1">IFERROR(__xludf.DUMMYFUNCTION("GOOGLETRANSLATE(F439,""en"",""pt"")"),"bouldering espaços")</f>
        <v>bouldering espaços</v>
      </c>
      <c r="H439" s="24"/>
      <c r="I439" s="24"/>
      <c r="J439" s="24"/>
      <c r="K439" s="24"/>
    </row>
    <row r="440" spans="1:11" ht="14.5">
      <c r="A440" s="20" t="s">
        <v>6826</v>
      </c>
      <c r="B440" s="81">
        <v>42</v>
      </c>
      <c r="C440" s="81">
        <v>40</v>
      </c>
      <c r="D440" s="81">
        <v>14</v>
      </c>
      <c r="E440" s="79"/>
      <c r="F440" s="20" t="s">
        <v>6827</v>
      </c>
      <c r="G440" s="24" t="str">
        <f ca="1">IFERROR(__xludf.DUMMYFUNCTION("GOOGLETRANSLATE(F440,""en"",""pt"")"),"Escalada áreas de parede")</f>
        <v>Escalada áreas de parede</v>
      </c>
      <c r="H440" s="24"/>
      <c r="I440" s="24"/>
      <c r="J440" s="24"/>
      <c r="K440" s="24"/>
    </row>
    <row r="441" spans="1:11" ht="14.5">
      <c r="A441" s="20" t="s">
        <v>6828</v>
      </c>
      <c r="B441" s="81">
        <v>42</v>
      </c>
      <c r="C441" s="81">
        <v>40</v>
      </c>
      <c r="D441" s="81">
        <v>20</v>
      </c>
      <c r="E441" s="79"/>
      <c r="F441" s="20" t="s">
        <v>6829</v>
      </c>
      <c r="G441" s="24" t="str">
        <f ca="1">IFERROR(__xludf.DUMMYFUNCTION("GOOGLETRANSLATE(F441,""en"",""pt"")"),"ciclovias")</f>
        <v>ciclovias</v>
      </c>
      <c r="H441" s="24"/>
      <c r="I441" s="24"/>
      <c r="J441" s="24"/>
      <c r="K441" s="24"/>
    </row>
    <row r="442" spans="1:11" ht="14.5">
      <c r="A442" s="20" t="s">
        <v>6830</v>
      </c>
      <c r="B442" s="81">
        <v>42</v>
      </c>
      <c r="C442" s="81">
        <v>40</v>
      </c>
      <c r="D442" s="81">
        <v>23</v>
      </c>
      <c r="E442" s="79"/>
      <c r="F442" s="20" t="s">
        <v>6831</v>
      </c>
      <c r="G442" s="24" t="str">
        <f ca="1">IFERROR(__xludf.DUMMYFUNCTION("GOOGLETRANSLATE(F442,""en"",""pt"")"),"dojo")</f>
        <v>dojo</v>
      </c>
      <c r="H442" s="24"/>
      <c r="I442" s="24"/>
      <c r="J442" s="24"/>
      <c r="K442" s="24"/>
    </row>
    <row r="443" spans="1:11" ht="14.5">
      <c r="A443" s="20" t="s">
        <v>6832</v>
      </c>
      <c r="B443" s="81">
        <v>42</v>
      </c>
      <c r="C443" s="81">
        <v>40</v>
      </c>
      <c r="D443" s="81">
        <v>30</v>
      </c>
      <c r="E443" s="79"/>
      <c r="F443" s="20" t="s">
        <v>6833</v>
      </c>
      <c r="G443" s="24" t="str">
        <f ca="1">IFERROR(__xludf.DUMMYFUNCTION("GOOGLETRANSLATE(F443,""en"",""pt"")"),"salas de fitness")</f>
        <v>salas de fitness</v>
      </c>
      <c r="H443" s="24"/>
      <c r="I443" s="24"/>
      <c r="J443" s="24"/>
      <c r="K443" s="24"/>
    </row>
    <row r="444" spans="1:11" ht="14.5">
      <c r="A444" s="20" t="s">
        <v>6834</v>
      </c>
      <c r="B444" s="81">
        <v>42</v>
      </c>
      <c r="C444" s="81">
        <v>40</v>
      </c>
      <c r="D444" s="81">
        <v>35</v>
      </c>
      <c r="E444" s="79"/>
      <c r="F444" s="20" t="s">
        <v>6835</v>
      </c>
      <c r="G444" s="24" t="str">
        <f ca="1">IFERROR(__xludf.DUMMYFUNCTION("GOOGLETRANSLATE(F444,""en"",""pt"")"),"ginásios")</f>
        <v>ginásios</v>
      </c>
      <c r="H444" s="24"/>
      <c r="I444" s="24"/>
      <c r="J444" s="24"/>
      <c r="K444" s="24"/>
    </row>
    <row r="445" spans="1:11" ht="14.5">
      <c r="A445" s="20" t="s">
        <v>6836</v>
      </c>
      <c r="B445" s="81">
        <v>42</v>
      </c>
      <c r="C445" s="81">
        <v>40</v>
      </c>
      <c r="D445" s="81">
        <v>37</v>
      </c>
      <c r="E445" s="79"/>
      <c r="F445" s="20" t="s">
        <v>6837</v>
      </c>
      <c r="G445" s="24" t="str">
        <f ca="1">IFERROR(__xludf.DUMMYFUNCTION("GOOGLETRANSLATE(F445,""en"",""pt"")"),"áreas de ginástica")</f>
        <v>áreas de ginástica</v>
      </c>
      <c r="H445" s="24"/>
      <c r="I445" s="24"/>
      <c r="J445" s="24"/>
      <c r="K445" s="24"/>
    </row>
    <row r="446" spans="1:11" ht="14.5">
      <c r="A446" s="20" t="s">
        <v>6838</v>
      </c>
      <c r="B446" s="81">
        <v>42</v>
      </c>
      <c r="C446" s="81">
        <v>40</v>
      </c>
      <c r="D446" s="81">
        <v>79</v>
      </c>
      <c r="E446" s="79"/>
      <c r="F446" s="20" t="s">
        <v>6839</v>
      </c>
      <c r="G446" s="24" t="str">
        <f ca="1">IFERROR(__xludf.DUMMYFUNCTION("GOOGLETRANSLATE(F446,""en"",""pt"")"),"Snooker, bilhar e salões de bilhar")</f>
        <v>Snooker, bilhar e salões de bilhar</v>
      </c>
      <c r="H446" s="24"/>
      <c r="I446" s="24"/>
      <c r="J446" s="24"/>
      <c r="K446" s="24"/>
    </row>
    <row r="447" spans="1:11" ht="14.5">
      <c r="A447" s="20" t="s">
        <v>6840</v>
      </c>
      <c r="B447" s="81">
        <v>42</v>
      </c>
      <c r="C447" s="81">
        <v>40</v>
      </c>
      <c r="D447" s="81">
        <v>90</v>
      </c>
      <c r="E447" s="79"/>
      <c r="F447" s="20" t="s">
        <v>6841</v>
      </c>
      <c r="G447" s="24" t="str">
        <f ca="1">IFERROR(__xludf.DUMMYFUNCTION("GOOGLETRANSLATE(F447,""en"",""pt"")"),"As pistas de bowling dez pinos")</f>
        <v>As pistas de bowling dez pinos</v>
      </c>
      <c r="H447" s="24"/>
      <c r="I447" s="24"/>
      <c r="J447" s="24"/>
      <c r="K447" s="24"/>
    </row>
    <row r="448" spans="1:11" ht="14.5">
      <c r="A448" s="20" t="s">
        <v>6842</v>
      </c>
      <c r="B448" s="81">
        <v>42</v>
      </c>
      <c r="C448" s="81">
        <v>55</v>
      </c>
      <c r="D448" s="79"/>
      <c r="E448" s="79"/>
      <c r="F448" s="20" t="s">
        <v>6843</v>
      </c>
      <c r="G448" s="24" t="str">
        <f ca="1">IFERROR(__xludf.DUMMYFUNCTION("GOOGLETRANSLATE(F448,""en"",""pt"")"),"espaços atividade ao ar livre")</f>
        <v>espaços atividade ao ar livre</v>
      </c>
      <c r="H448" s="24"/>
      <c r="I448" s="24"/>
      <c r="J448" s="24"/>
      <c r="K448" s="24"/>
    </row>
    <row r="449" spans="1:11" ht="14.5">
      <c r="A449" s="20" t="s">
        <v>6844</v>
      </c>
      <c r="B449" s="81">
        <v>42</v>
      </c>
      <c r="C449" s="81">
        <v>55</v>
      </c>
      <c r="D449" s="81">
        <v>1</v>
      </c>
      <c r="E449" s="79"/>
      <c r="F449" s="20" t="s">
        <v>6845</v>
      </c>
      <c r="G449" s="24" t="str">
        <f ca="1">IFERROR(__xludf.DUMMYFUNCTION("GOOGLETRANSLATE(F449,""en"",""pt"")"),"gamas de tiro ao arco")</f>
        <v>gamas de tiro ao arco</v>
      </c>
      <c r="H449" s="24"/>
      <c r="I449" s="24"/>
      <c r="J449" s="24"/>
      <c r="K449" s="24"/>
    </row>
    <row r="450" spans="1:11" ht="14.5">
      <c r="A450" s="20" t="s">
        <v>6846</v>
      </c>
      <c r="B450" s="81">
        <v>42</v>
      </c>
      <c r="C450" s="81">
        <v>55</v>
      </c>
      <c r="D450" s="81">
        <v>7</v>
      </c>
      <c r="E450" s="79"/>
      <c r="F450" s="20" t="s">
        <v>6847</v>
      </c>
      <c r="G450" s="24" t="str">
        <f ca="1">IFERROR(__xludf.DUMMYFUNCTION("GOOGLETRANSLATE(F450,""en"",""pt"")"),"BMX pistas de ciclismo")</f>
        <v>BMX pistas de ciclismo</v>
      </c>
      <c r="H450" s="24"/>
      <c r="I450" s="24"/>
      <c r="J450" s="24"/>
      <c r="K450" s="24"/>
    </row>
    <row r="451" spans="1:11" ht="14.5">
      <c r="A451" s="20" t="s">
        <v>6848</v>
      </c>
      <c r="B451" s="81">
        <v>42</v>
      </c>
      <c r="C451" s="81">
        <v>55</v>
      </c>
      <c r="D451" s="81">
        <v>8</v>
      </c>
      <c r="E451" s="79"/>
      <c r="F451" s="20" t="s">
        <v>6849</v>
      </c>
      <c r="G451" s="24" t="str">
        <f ca="1">IFERROR(__xludf.DUMMYFUNCTION("GOOGLETRANSLATE(F451,""en"",""pt"")"),"Bowling greens")</f>
        <v>Bowling greens</v>
      </c>
      <c r="H451" s="24"/>
      <c r="I451" s="24"/>
      <c r="J451" s="24"/>
      <c r="K451" s="24"/>
    </row>
    <row r="452" spans="1:11" ht="14.5">
      <c r="A452" s="20" t="s">
        <v>6850</v>
      </c>
      <c r="B452" s="81">
        <v>42</v>
      </c>
      <c r="C452" s="81">
        <v>55</v>
      </c>
      <c r="D452" s="81">
        <v>17</v>
      </c>
      <c r="E452" s="79"/>
      <c r="F452" s="20" t="s">
        <v>6851</v>
      </c>
      <c r="G452" s="24" t="str">
        <f ca="1">IFERROR(__xludf.DUMMYFUNCTION("GOOGLETRANSLATE(F452,""en"",""pt"")"),"cursos de ciclismo cross-country")</f>
        <v>cursos de ciclismo cross-country</v>
      </c>
      <c r="H452" s="24"/>
      <c r="I452" s="24"/>
      <c r="J452" s="24"/>
      <c r="K452" s="24"/>
    </row>
    <row r="453" spans="1:11" ht="14.5">
      <c r="A453" s="20" t="s">
        <v>6852</v>
      </c>
      <c r="B453" s="81">
        <v>42</v>
      </c>
      <c r="C453" s="81">
        <v>55</v>
      </c>
      <c r="D453" s="81">
        <v>18</v>
      </c>
      <c r="E453" s="79"/>
      <c r="F453" s="20" t="s">
        <v>6853</v>
      </c>
      <c r="G453" s="24" t="str">
        <f ca="1">IFERROR(__xludf.DUMMYFUNCTION("GOOGLETRANSLATE(F453,""en"",""pt"")"),"cursos de equitação cross country")</f>
        <v>cursos de equitação cross country</v>
      </c>
      <c r="H453" s="24"/>
      <c r="I453" s="24"/>
      <c r="J453" s="24"/>
      <c r="K453" s="24"/>
    </row>
    <row r="454" spans="1:11" ht="14.5">
      <c r="A454" s="20" t="s">
        <v>6854</v>
      </c>
      <c r="B454" s="81">
        <v>42</v>
      </c>
      <c r="C454" s="81">
        <v>55</v>
      </c>
      <c r="D454" s="81">
        <v>19</v>
      </c>
      <c r="E454" s="79"/>
      <c r="F454" s="20" t="s">
        <v>6855</v>
      </c>
      <c r="G454" s="24" t="str">
        <f ca="1">IFERROR(__xludf.DUMMYFUNCTION("GOOGLETRANSLATE(F454,""en"",""pt"")"),"cursos ralis cross-country")</f>
        <v>cursos ralis cross-country</v>
      </c>
      <c r="H454" s="24"/>
      <c r="I454" s="24"/>
      <c r="J454" s="24"/>
      <c r="K454" s="24"/>
    </row>
    <row r="455" spans="1:11" ht="14.5">
      <c r="A455" s="20" t="s">
        <v>6856</v>
      </c>
      <c r="B455" s="81">
        <v>42</v>
      </c>
      <c r="C455" s="81">
        <v>55</v>
      </c>
      <c r="D455" s="81">
        <v>20</v>
      </c>
      <c r="E455" s="79"/>
      <c r="F455" s="20" t="s">
        <v>6857</v>
      </c>
      <c r="G455" s="24" t="str">
        <f ca="1">IFERROR(__xludf.DUMMYFUNCTION("GOOGLETRANSLATE(F455,""en"",""pt"")"),"Corrida cross-country cursos")</f>
        <v>Corrida cross-country cursos</v>
      </c>
      <c r="H455" s="24"/>
      <c r="I455" s="24"/>
      <c r="J455" s="24"/>
      <c r="K455" s="24"/>
    </row>
    <row r="456" spans="1:11" ht="14.5">
      <c r="A456" s="20" t="s">
        <v>6858</v>
      </c>
      <c r="B456" s="81">
        <v>42</v>
      </c>
      <c r="C456" s="81">
        <v>55</v>
      </c>
      <c r="D456" s="81">
        <v>23</v>
      </c>
      <c r="E456" s="79"/>
      <c r="F456" s="20" t="s">
        <v>6859</v>
      </c>
      <c r="G456" s="24" t="str">
        <f ca="1">IFERROR(__xludf.DUMMYFUNCTION("GOOGLETRANSLATE(F456,""en"",""pt"")"),"Dog pistas de corrida")</f>
        <v>Dog pistas de corrida</v>
      </c>
      <c r="H456" s="24"/>
      <c r="I456" s="24"/>
      <c r="J456" s="24"/>
      <c r="K456" s="24"/>
    </row>
    <row r="457" spans="1:11" ht="14.5">
      <c r="A457" s="20" t="s">
        <v>6860</v>
      </c>
      <c r="B457" s="81">
        <v>42</v>
      </c>
      <c r="C457" s="81">
        <v>55</v>
      </c>
      <c r="D457" s="81">
        <v>26</v>
      </c>
      <c r="E457" s="79"/>
      <c r="F457" s="20" t="s">
        <v>6861</v>
      </c>
      <c r="G457" s="24" t="str">
        <f ca="1">IFERROR(__xludf.DUMMYFUNCTION("GOOGLETRANSLATE(F457,""en"",""pt"")"),"arenas equestres")</f>
        <v>arenas equestres</v>
      </c>
      <c r="H457" s="24"/>
      <c r="I457" s="24"/>
      <c r="J457" s="24"/>
      <c r="K457" s="24"/>
    </row>
    <row r="458" spans="1:11" ht="14.5">
      <c r="A458" s="20" t="s">
        <v>6862</v>
      </c>
      <c r="B458" s="81">
        <v>42</v>
      </c>
      <c r="C458" s="81">
        <v>55</v>
      </c>
      <c r="D458" s="81">
        <v>35</v>
      </c>
      <c r="E458" s="79"/>
      <c r="F458" s="20" t="s">
        <v>6863</v>
      </c>
      <c r="G458" s="24" t="str">
        <f ca="1">IFERROR(__xludf.DUMMYFUNCTION("GOOGLETRANSLATE(F458,""en"",""pt"")"),"fairways de golfe")</f>
        <v>fairways de golfe</v>
      </c>
      <c r="H458" s="24"/>
      <c r="I458" s="24"/>
      <c r="J458" s="24"/>
      <c r="K458" s="24"/>
    </row>
    <row r="459" spans="1:11" ht="14.5">
      <c r="A459" s="20" t="s">
        <v>6864</v>
      </c>
      <c r="B459" s="81">
        <v>42</v>
      </c>
      <c r="C459" s="81">
        <v>55</v>
      </c>
      <c r="D459" s="81">
        <v>39</v>
      </c>
      <c r="E459" s="79"/>
      <c r="F459" s="20" t="s">
        <v>6865</v>
      </c>
      <c r="G459" s="24" t="str">
        <f ca="1">IFERROR(__xludf.DUMMYFUNCTION("GOOGLETRANSLATE(F459,""en"",""pt"")"),"cursos de corrida de cavalos")</f>
        <v>cursos de corrida de cavalos</v>
      </c>
      <c r="H459" s="24"/>
      <c r="I459" s="24"/>
      <c r="J459" s="24"/>
      <c r="K459" s="24"/>
    </row>
    <row r="460" spans="1:11" ht="14.5">
      <c r="A460" s="20" t="s">
        <v>6866</v>
      </c>
      <c r="B460" s="81">
        <v>42</v>
      </c>
      <c r="C460" s="81">
        <v>55</v>
      </c>
      <c r="D460" s="81">
        <v>53</v>
      </c>
      <c r="E460" s="79"/>
      <c r="F460" s="20" t="s">
        <v>6867</v>
      </c>
      <c r="G460" s="24" t="str">
        <f ca="1">IFERROR(__xludf.DUMMYFUNCTION("GOOGLETRANSLATE(F460,""en"",""pt"")"),"pistas de corrida Motor")</f>
        <v>pistas de corrida Motor</v>
      </c>
      <c r="H460" s="24"/>
      <c r="I460" s="24"/>
      <c r="J460" s="24"/>
      <c r="K460" s="24"/>
    </row>
    <row r="461" spans="1:11" ht="14.5">
      <c r="A461" s="20" t="s">
        <v>6868</v>
      </c>
      <c r="B461" s="81">
        <v>42</v>
      </c>
      <c r="C461" s="81">
        <v>55</v>
      </c>
      <c r="D461" s="81">
        <v>60</v>
      </c>
      <c r="E461" s="79"/>
      <c r="F461" s="20" t="s">
        <v>6869</v>
      </c>
      <c r="G461" s="24" t="str">
        <f ca="1">IFERROR(__xludf.DUMMYFUNCTION("GOOGLETRANSLATE(F461,""en"",""pt"")"),"cursos de Parkour")</f>
        <v>cursos de Parkour</v>
      </c>
      <c r="H461" s="24"/>
      <c r="I461" s="24"/>
      <c r="J461" s="24"/>
      <c r="K461" s="24"/>
    </row>
    <row r="462" spans="1:11" ht="14.5">
      <c r="A462" s="20" t="s">
        <v>6870</v>
      </c>
      <c r="B462" s="81">
        <v>42</v>
      </c>
      <c r="C462" s="81">
        <v>55</v>
      </c>
      <c r="D462" s="81">
        <v>65</v>
      </c>
      <c r="E462" s="79"/>
      <c r="F462" s="20" t="s">
        <v>6871</v>
      </c>
      <c r="G462" s="24" t="str">
        <f ca="1">IFERROR(__xludf.DUMMYFUNCTION("GOOGLETRANSLATE(F462,""en"",""pt"")"),"putting greens")</f>
        <v>putting greens</v>
      </c>
      <c r="H462" s="24"/>
      <c r="I462" s="24"/>
      <c r="J462" s="24"/>
      <c r="K462" s="24"/>
    </row>
    <row r="463" spans="1:11" ht="14.5">
      <c r="A463" s="20" t="s">
        <v>6872</v>
      </c>
      <c r="B463" s="81">
        <v>42</v>
      </c>
      <c r="C463" s="81">
        <v>55</v>
      </c>
      <c r="D463" s="81">
        <v>72</v>
      </c>
      <c r="E463" s="79"/>
      <c r="F463" s="20" t="s">
        <v>6873</v>
      </c>
      <c r="G463" s="24" t="str">
        <f ca="1">IFERROR(__xludf.DUMMYFUNCTION("GOOGLETRANSLATE(F463,""en"",""pt"")"),"Estrada que funciona cursos")</f>
        <v>Estrada que funciona cursos</v>
      </c>
      <c r="H463" s="24"/>
      <c r="I463" s="24"/>
      <c r="J463" s="24"/>
      <c r="K463" s="24"/>
    </row>
    <row r="464" spans="1:11" ht="14.5">
      <c r="A464" s="20" t="s">
        <v>6874</v>
      </c>
      <c r="B464" s="81">
        <v>42</v>
      </c>
      <c r="C464" s="81">
        <v>55</v>
      </c>
      <c r="D464" s="81">
        <v>76</v>
      </c>
      <c r="E464" s="79"/>
      <c r="F464" s="20" t="s">
        <v>6875</v>
      </c>
      <c r="G464" s="24" t="str">
        <f ca="1">IFERROR(__xludf.DUMMYFUNCTION("GOOGLETRANSLATE(F464,""en"",""pt"")"),"Skateboarding parques")</f>
        <v>Skateboarding parques</v>
      </c>
      <c r="H464" s="24"/>
      <c r="I464" s="24"/>
      <c r="J464" s="24"/>
      <c r="K464" s="24"/>
    </row>
    <row r="465" spans="1:11" ht="14.5">
      <c r="A465" s="20" t="s">
        <v>6876</v>
      </c>
      <c r="B465" s="81">
        <v>42</v>
      </c>
      <c r="C465" s="81">
        <v>55</v>
      </c>
      <c r="D465" s="81">
        <v>82</v>
      </c>
      <c r="E465" s="79"/>
      <c r="F465" s="20" t="s">
        <v>6877</v>
      </c>
      <c r="G465" s="24" t="str">
        <f ca="1">IFERROR(__xludf.DUMMYFUNCTION("GOOGLETRANSLATE(F465,""en"",""pt"")"),"faixas Speedway")</f>
        <v>faixas Speedway</v>
      </c>
      <c r="H465" s="24"/>
      <c r="I465" s="24"/>
      <c r="J465" s="24"/>
      <c r="K465" s="24"/>
    </row>
    <row r="466" spans="1:11" ht="14.5">
      <c r="A466" s="20" t="s">
        <v>6878</v>
      </c>
      <c r="B466" s="81">
        <v>42</v>
      </c>
      <c r="C466" s="81">
        <v>55</v>
      </c>
      <c r="D466" s="81">
        <v>96</v>
      </c>
      <c r="E466" s="79"/>
      <c r="F466" s="20" t="s">
        <v>6879</v>
      </c>
      <c r="G466" s="24" t="str">
        <f ca="1">IFERROR(__xludf.DUMMYFUNCTION("GOOGLETRANSLATE(F466,""en"",""pt"")"),"Trilhas de caminhada")</f>
        <v>Trilhas de caminhada</v>
      </c>
      <c r="H466" s="24"/>
      <c r="I466" s="24"/>
      <c r="J466" s="24"/>
      <c r="K466" s="24"/>
    </row>
    <row r="467" spans="1:11" ht="14.5">
      <c r="A467" s="20" t="s">
        <v>6880</v>
      </c>
      <c r="B467" s="81">
        <v>42</v>
      </c>
      <c r="C467" s="81">
        <v>80</v>
      </c>
      <c r="D467" s="79"/>
      <c r="E467" s="79"/>
      <c r="F467" s="20" t="s">
        <v>6881</v>
      </c>
      <c r="G467" s="24" t="str">
        <f ca="1">IFERROR(__xludf.DUMMYFUNCTION("GOOGLETRANSLATE(F467,""en"",""pt"")"),"Sports e espaços actividade auxiliar")</f>
        <v>Sports e espaços actividade auxiliar</v>
      </c>
      <c r="H467" s="24"/>
      <c r="I467" s="24"/>
      <c r="J467" s="24"/>
      <c r="K467" s="24"/>
    </row>
    <row r="468" spans="1:11" ht="14.5">
      <c r="A468" s="20" t="s">
        <v>6882</v>
      </c>
      <c r="B468" s="81">
        <v>42</v>
      </c>
      <c r="C468" s="81">
        <v>80</v>
      </c>
      <c r="D468" s="81">
        <v>65</v>
      </c>
      <c r="E468" s="79"/>
      <c r="F468" s="20" t="s">
        <v>6883</v>
      </c>
      <c r="G468" s="24" t="str">
        <f ca="1">IFERROR(__xludf.DUMMYFUNCTION("GOOGLETRANSLATE(F468,""en"",""pt"")"),"cabines de imprensa")</f>
        <v>cabines de imprensa</v>
      </c>
      <c r="H468" s="24"/>
      <c r="I468" s="24"/>
      <c r="J468" s="24"/>
      <c r="K468" s="24"/>
    </row>
    <row r="469" spans="1:11" ht="14.5">
      <c r="A469" s="20" t="s">
        <v>6884</v>
      </c>
      <c r="B469" s="81">
        <v>42</v>
      </c>
      <c r="C469" s="81">
        <v>80</v>
      </c>
      <c r="D469" s="81">
        <v>88</v>
      </c>
      <c r="E469" s="79"/>
      <c r="F469" s="20" t="s">
        <v>6885</v>
      </c>
      <c r="G469" s="24" t="str">
        <f ca="1">IFERROR(__xludf.DUMMYFUNCTION("GOOGLETRANSLATE(F469,""en"",""pt"")"),"áreas técnicas e abrigos")</f>
        <v>áreas técnicas e abrigos</v>
      </c>
      <c r="H469" s="24"/>
      <c r="I469" s="24"/>
      <c r="J469" s="24"/>
      <c r="K469" s="24"/>
    </row>
    <row r="470" spans="1:11" ht="14.5">
      <c r="A470" s="20" t="s">
        <v>6886</v>
      </c>
      <c r="B470" s="81">
        <v>42</v>
      </c>
      <c r="C470" s="81">
        <v>85</v>
      </c>
      <c r="D470" s="79"/>
      <c r="E470" s="79"/>
      <c r="F470" s="20" t="s">
        <v>6887</v>
      </c>
      <c r="G470" s="24" t="str">
        <f ca="1">IFERROR(__xludf.DUMMYFUNCTION("GOOGLETRANSLATE(F470,""en"",""pt"")"),"espaços de natação")</f>
        <v>espaços de natação</v>
      </c>
      <c r="H470" s="24"/>
      <c r="I470" s="24"/>
      <c r="J470" s="24"/>
      <c r="K470" s="24"/>
    </row>
    <row r="471" spans="1:11" ht="14.5">
      <c r="A471" s="20" t="s">
        <v>6888</v>
      </c>
      <c r="B471" s="81">
        <v>42</v>
      </c>
      <c r="C471" s="81">
        <v>85</v>
      </c>
      <c r="D471" s="81">
        <v>23</v>
      </c>
      <c r="E471" s="79"/>
      <c r="F471" s="20" t="s">
        <v>6889</v>
      </c>
      <c r="G471" s="24" t="str">
        <f ca="1">IFERROR(__xludf.DUMMYFUNCTION("GOOGLETRANSLATE(F471,""en"",""pt"")"),"piscinas de mergulho")</f>
        <v>piscinas de mergulho</v>
      </c>
      <c r="H471" s="24"/>
      <c r="I471" s="24"/>
      <c r="J471" s="24"/>
      <c r="K471" s="24"/>
    </row>
    <row r="472" spans="1:11" ht="14.5">
      <c r="A472" s="20" t="s">
        <v>6890</v>
      </c>
      <c r="B472" s="81">
        <v>42</v>
      </c>
      <c r="C472" s="81">
        <v>85</v>
      </c>
      <c r="D472" s="81">
        <v>64</v>
      </c>
      <c r="E472" s="79"/>
      <c r="F472" s="20" t="s">
        <v>6891</v>
      </c>
      <c r="G472" s="24" t="str">
        <f ca="1">IFERROR(__xludf.DUMMYFUNCTION("GOOGLETRANSLATE(F472,""en"",""pt"")"),"piscinas")</f>
        <v>piscinas</v>
      </c>
      <c r="H472" s="24"/>
      <c r="I472" s="24"/>
      <c r="J472" s="24"/>
      <c r="K472" s="24"/>
    </row>
    <row r="473" spans="1:11" ht="14.5">
      <c r="A473" s="20" t="s">
        <v>6892</v>
      </c>
      <c r="B473" s="81">
        <v>42</v>
      </c>
      <c r="C473" s="81">
        <v>85</v>
      </c>
      <c r="D473" s="81">
        <v>80</v>
      </c>
      <c r="E473" s="79"/>
      <c r="F473" s="20" t="s">
        <v>6893</v>
      </c>
      <c r="G473" s="24" t="str">
        <f ca="1">IFERROR(__xludf.DUMMYFUNCTION("GOOGLETRANSLATE(F473,""en"",""pt"")"),"piscinas termais")</f>
        <v>piscinas termais</v>
      </c>
      <c r="H473" s="24"/>
      <c r="I473" s="24"/>
      <c r="J473" s="24"/>
      <c r="K473" s="24"/>
    </row>
    <row r="474" spans="1:11" ht="14.5">
      <c r="A474" s="20" t="s">
        <v>6894</v>
      </c>
      <c r="B474" s="81">
        <v>42</v>
      </c>
      <c r="C474" s="81">
        <v>85</v>
      </c>
      <c r="D474" s="81">
        <v>82</v>
      </c>
      <c r="E474" s="79"/>
      <c r="F474" s="20" t="s">
        <v>6895</v>
      </c>
      <c r="G474" s="24" t="str">
        <f ca="1">IFERROR(__xludf.DUMMYFUNCTION("GOOGLETRANSLATE(F474,""en"",""pt"")"),"piscinas splash")</f>
        <v>piscinas splash</v>
      </c>
      <c r="H474" s="24"/>
      <c r="I474" s="24"/>
      <c r="J474" s="24"/>
      <c r="K474" s="24"/>
    </row>
    <row r="475" spans="1:11" ht="14.5">
      <c r="A475" s="20" t="s">
        <v>6896</v>
      </c>
      <c r="B475" s="81">
        <v>42</v>
      </c>
      <c r="C475" s="81">
        <v>85</v>
      </c>
      <c r="D475" s="81">
        <v>83</v>
      </c>
      <c r="E475" s="79"/>
      <c r="F475" s="20" t="s">
        <v>6897</v>
      </c>
      <c r="G475" s="24" t="str">
        <f ca="1">IFERROR(__xludf.DUMMYFUNCTION("GOOGLETRANSLATE(F475,""en"",""pt"")"),"Piscinas")</f>
        <v>Piscinas</v>
      </c>
      <c r="H475" s="24"/>
      <c r="I475" s="24"/>
      <c r="J475" s="24"/>
      <c r="K475" s="24"/>
    </row>
    <row r="476" spans="1:11" ht="14.5">
      <c r="A476" s="20" t="s">
        <v>6898</v>
      </c>
      <c r="B476" s="81">
        <v>42</v>
      </c>
      <c r="C476" s="81">
        <v>85</v>
      </c>
      <c r="D476" s="81">
        <v>94</v>
      </c>
      <c r="E476" s="79"/>
      <c r="F476" s="20" t="s">
        <v>6899</v>
      </c>
      <c r="G476" s="24" t="str">
        <f ca="1">IFERROR(__xludf.DUMMYFUNCTION("GOOGLETRANSLATE(F476,""en"",""pt"")"),"calhas de água, lâminas e tubos")</f>
        <v>calhas de água, lâminas e tubos</v>
      </c>
      <c r="H476" s="24"/>
      <c r="I476" s="24"/>
      <c r="J476" s="24"/>
      <c r="K476" s="24"/>
    </row>
    <row r="477" spans="1:11" ht="14.5">
      <c r="A477" s="20" t="s">
        <v>6900</v>
      </c>
      <c r="B477" s="81">
        <v>42</v>
      </c>
      <c r="C477" s="81">
        <v>85</v>
      </c>
      <c r="D477" s="81">
        <v>97</v>
      </c>
      <c r="E477" s="79"/>
      <c r="F477" s="20" t="s">
        <v>6901</v>
      </c>
      <c r="G477" s="24" t="str">
        <f ca="1">IFERROR(__xludf.DUMMYFUNCTION("GOOGLETRANSLATE(F477,""en"",""pt"")"),"piscinas de ondas")</f>
        <v>piscinas de ondas</v>
      </c>
      <c r="H477" s="24"/>
      <c r="I477" s="24"/>
      <c r="J477" s="24"/>
      <c r="K477" s="24"/>
    </row>
    <row r="478" spans="1:11" ht="14.5">
      <c r="A478" s="20" t="s">
        <v>6902</v>
      </c>
      <c r="B478" s="81">
        <v>42</v>
      </c>
      <c r="C478" s="81">
        <v>85</v>
      </c>
      <c r="D478" s="81">
        <v>98</v>
      </c>
      <c r="E478" s="79"/>
      <c r="F478" s="20" t="s">
        <v>6903</v>
      </c>
      <c r="G478" s="24" t="str">
        <f ca="1">IFERROR(__xludf.DUMMYFUNCTION("GOOGLETRANSLATE(F478,""en"",""pt"")"),"jacuzzis")</f>
        <v>jacuzzis</v>
      </c>
      <c r="H478" s="24"/>
      <c r="I478" s="24"/>
      <c r="J478" s="24"/>
      <c r="K478" s="24"/>
    </row>
    <row r="479" spans="1:11" ht="14.5">
      <c r="A479" s="20" t="s">
        <v>6904</v>
      </c>
      <c r="B479" s="81">
        <v>42</v>
      </c>
      <c r="C479" s="81">
        <v>90</v>
      </c>
      <c r="D479" s="79"/>
      <c r="E479" s="79"/>
      <c r="F479" s="20" t="s">
        <v>6905</v>
      </c>
      <c r="G479" s="24" t="str">
        <f ca="1">IFERROR(__xludf.DUMMYFUNCTION("GOOGLETRANSLATE(F479,""en"",""pt"")"),"espaços de atividade de água")</f>
        <v>espaços de atividade de água</v>
      </c>
      <c r="H479" s="24"/>
      <c r="I479" s="24"/>
      <c r="J479" s="24"/>
      <c r="K479" s="24"/>
    </row>
    <row r="480" spans="1:11" ht="14.5">
      <c r="A480" s="20" t="s">
        <v>6906</v>
      </c>
      <c r="B480" s="81">
        <v>42</v>
      </c>
      <c r="C480" s="81">
        <v>90</v>
      </c>
      <c r="D480" s="81">
        <v>11</v>
      </c>
      <c r="E480" s="79"/>
      <c r="F480" s="20" t="s">
        <v>6907</v>
      </c>
      <c r="G480" s="24" t="str">
        <f ca="1">IFERROR(__xludf.DUMMYFUNCTION("GOOGLETRANSLATE(F480,""en"",""pt"")"),"cursos de Canoagem Slalom")</f>
        <v>cursos de Canoagem Slalom</v>
      </c>
      <c r="H480" s="24"/>
      <c r="I480" s="24"/>
      <c r="J480" s="24"/>
      <c r="K480" s="24"/>
    </row>
    <row r="481" spans="1:11" ht="14.5">
      <c r="A481" s="20" t="s">
        <v>6908</v>
      </c>
      <c r="B481" s="81">
        <v>42</v>
      </c>
      <c r="C481" s="81">
        <v>90</v>
      </c>
      <c r="D481" s="81">
        <v>12</v>
      </c>
      <c r="E481" s="79"/>
      <c r="F481" s="20" t="s">
        <v>6909</v>
      </c>
      <c r="G481" s="24" t="str">
        <f ca="1">IFERROR(__xludf.DUMMYFUNCTION("GOOGLETRANSLATE(F481,""en"",""pt"")"),"cursos de sprint canoa")</f>
        <v>cursos de sprint canoa</v>
      </c>
      <c r="H481" s="24"/>
      <c r="I481" s="24"/>
      <c r="J481" s="24"/>
      <c r="K481" s="24"/>
    </row>
    <row r="482" spans="1:11" ht="14.5">
      <c r="A482" s="20" t="s">
        <v>6910</v>
      </c>
      <c r="B482" s="81">
        <v>42</v>
      </c>
      <c r="C482" s="81">
        <v>90</v>
      </c>
      <c r="D482" s="81">
        <v>50</v>
      </c>
      <c r="E482" s="79"/>
      <c r="F482" s="20" t="s">
        <v>6911</v>
      </c>
      <c r="G482" s="24" t="str">
        <f ca="1">IFERROR(__xludf.DUMMYFUNCTION("GOOGLETRANSLATE(F482,""en"",""pt"")"),"cursos de barco a motor")</f>
        <v>cursos de barco a motor</v>
      </c>
      <c r="H482" s="24"/>
      <c r="I482" s="24"/>
      <c r="J482" s="24"/>
      <c r="K482" s="24"/>
    </row>
    <row r="483" spans="1:11" ht="14.5">
      <c r="A483" s="20" t="s">
        <v>6912</v>
      </c>
      <c r="B483" s="81">
        <v>42</v>
      </c>
      <c r="C483" s="81">
        <v>90</v>
      </c>
      <c r="D483" s="81">
        <v>73</v>
      </c>
      <c r="E483" s="79"/>
      <c r="F483" s="20" t="s">
        <v>6913</v>
      </c>
      <c r="G483" s="24" t="str">
        <f ca="1">IFERROR(__xludf.DUMMYFUNCTION("GOOGLETRANSLATE(F483,""en"",""pt"")"),"remando cursos")</f>
        <v>remando cursos</v>
      </c>
      <c r="H483" s="24"/>
      <c r="I483" s="24"/>
      <c r="J483" s="24"/>
      <c r="K483" s="24"/>
    </row>
    <row r="484" spans="1:11" ht="14.5">
      <c r="A484" s="20" t="s">
        <v>6914</v>
      </c>
      <c r="B484" s="81">
        <v>42</v>
      </c>
      <c r="C484" s="81">
        <v>90</v>
      </c>
      <c r="D484" s="81">
        <v>75</v>
      </c>
      <c r="E484" s="79"/>
      <c r="F484" s="20" t="s">
        <v>6915</v>
      </c>
      <c r="G484" s="24" t="str">
        <f ca="1">IFERROR(__xludf.DUMMYFUNCTION("GOOGLETRANSLATE(F484,""en"",""pt"")"),"cursos de vela")</f>
        <v>cursos de vela</v>
      </c>
      <c r="H484" s="24"/>
      <c r="I484" s="24"/>
      <c r="J484" s="24"/>
      <c r="K484" s="24"/>
    </row>
    <row r="485" spans="1:11" ht="14.5">
      <c r="A485" s="20" t="s">
        <v>6916</v>
      </c>
      <c r="B485" s="81">
        <v>42</v>
      </c>
      <c r="C485" s="81">
        <v>90</v>
      </c>
      <c r="D485" s="81">
        <v>97</v>
      </c>
      <c r="E485" s="79"/>
      <c r="F485" s="20" t="s">
        <v>6917</v>
      </c>
      <c r="G485" s="24" t="str">
        <f ca="1">IFERROR(__xludf.DUMMYFUNCTION("GOOGLETRANSLATE(F485,""en"",""pt"")"),"cursos de esqui aquático")</f>
        <v>cursos de esqui aquático</v>
      </c>
      <c r="H485" s="24"/>
      <c r="I485" s="24"/>
      <c r="J485" s="24"/>
      <c r="K485" s="24"/>
    </row>
    <row r="486" spans="1:11" ht="14.5">
      <c r="A486" s="20" t="s">
        <v>6918</v>
      </c>
      <c r="B486" s="81">
        <v>42</v>
      </c>
      <c r="C486" s="81">
        <v>90</v>
      </c>
      <c r="D486" s="81">
        <v>98</v>
      </c>
      <c r="E486" s="79"/>
      <c r="F486" s="20" t="s">
        <v>6919</v>
      </c>
      <c r="G486" s="24" t="str">
        <f ca="1">IFERROR(__xludf.DUMMYFUNCTION("GOOGLETRANSLATE(F486,""en"",""pt"")"),"cursos de canoa água brancas")</f>
        <v>cursos de canoa água brancas</v>
      </c>
      <c r="H486" s="24"/>
      <c r="I486" s="24"/>
      <c r="J486" s="24"/>
      <c r="K486" s="24"/>
    </row>
    <row r="487" spans="1:11" ht="14.5">
      <c r="A487" s="20" t="s">
        <v>6920</v>
      </c>
      <c r="B487" s="81">
        <v>42</v>
      </c>
      <c r="C487" s="81">
        <v>95</v>
      </c>
      <c r="D487" s="79"/>
      <c r="E487" s="79"/>
      <c r="F487" s="20" t="s">
        <v>6921</v>
      </c>
      <c r="G487" s="24" t="str">
        <f ca="1">IFERROR(__xludf.DUMMYFUNCTION("GOOGLETRANSLATE(F487,""en"",""pt"")"),"espaços de desportos de Inverno")</f>
        <v>espaços de desportos de Inverno</v>
      </c>
      <c r="H487" s="24"/>
      <c r="I487" s="24"/>
      <c r="J487" s="24"/>
      <c r="K487" s="24"/>
    </row>
    <row r="488" spans="1:11" ht="14.5">
      <c r="A488" s="20" t="s">
        <v>6922</v>
      </c>
      <c r="B488" s="81">
        <v>42</v>
      </c>
      <c r="C488" s="81">
        <v>95</v>
      </c>
      <c r="D488" s="81">
        <v>2</v>
      </c>
      <c r="E488" s="79"/>
      <c r="F488" s="20" t="s">
        <v>6923</v>
      </c>
      <c r="G488" s="24" t="str">
        <f ca="1">IFERROR(__xludf.DUMMYFUNCTION("GOOGLETRANSLATE(F488,""en"",""pt"")"),"cursos de esqui alpino")</f>
        <v>cursos de esqui alpino</v>
      </c>
      <c r="H488" s="24"/>
      <c r="I488" s="24"/>
      <c r="J488" s="24"/>
      <c r="K488" s="24"/>
    </row>
    <row r="489" spans="1:11" ht="14.5">
      <c r="A489" s="20" t="s">
        <v>6924</v>
      </c>
      <c r="B489" s="81">
        <v>42</v>
      </c>
      <c r="C489" s="81">
        <v>95</v>
      </c>
      <c r="D489" s="81">
        <v>4</v>
      </c>
      <c r="E489" s="79"/>
      <c r="F489" s="20" t="s">
        <v>6925</v>
      </c>
      <c r="G489" s="24" t="str">
        <f ca="1">IFERROR(__xludf.DUMMYFUNCTION("GOOGLETRANSLATE(F489,""en"",""pt"")"),"pistas de esqui artificial")</f>
        <v>pistas de esqui artificial</v>
      </c>
      <c r="H489" s="24"/>
      <c r="I489" s="24"/>
      <c r="J489" s="24"/>
      <c r="K489" s="24"/>
    </row>
    <row r="490" spans="1:11" ht="14.5">
      <c r="A490" s="20" t="s">
        <v>6926</v>
      </c>
      <c r="B490" s="81">
        <v>42</v>
      </c>
      <c r="C490" s="81">
        <v>95</v>
      </c>
      <c r="D490" s="81">
        <v>8</v>
      </c>
      <c r="E490" s="79"/>
      <c r="F490" s="20" t="s">
        <v>6927</v>
      </c>
      <c r="G490" s="24" t="str">
        <f ca="1">IFERROR(__xludf.DUMMYFUNCTION("GOOGLETRANSLATE(F490,""en"",""pt"")"),"cursos bobsleigh")</f>
        <v>cursos bobsleigh</v>
      </c>
      <c r="H490" s="24"/>
      <c r="I490" s="24"/>
      <c r="J490" s="24"/>
      <c r="K490" s="24"/>
    </row>
    <row r="491" spans="1:11" ht="14.5">
      <c r="A491" s="20" t="s">
        <v>6928</v>
      </c>
      <c r="B491" s="81">
        <v>42</v>
      </c>
      <c r="C491" s="81">
        <v>95</v>
      </c>
      <c r="D491" s="81">
        <v>19</v>
      </c>
      <c r="E491" s="79"/>
      <c r="F491" s="20" t="s">
        <v>6929</v>
      </c>
      <c r="G491" s="24" t="str">
        <f ca="1">IFERROR(__xludf.DUMMYFUNCTION("GOOGLETRANSLATE(F491,""en"",""pt"")"),"cursos de esqui cross-country")</f>
        <v>cursos de esqui cross-country</v>
      </c>
      <c r="H491" s="24"/>
      <c r="I491" s="24"/>
      <c r="J491" s="24"/>
      <c r="K491" s="24"/>
    </row>
    <row r="492" spans="1:11" ht="14.5">
      <c r="A492" s="20" t="s">
        <v>6930</v>
      </c>
      <c r="B492" s="81">
        <v>42</v>
      </c>
      <c r="C492" s="81">
        <v>95</v>
      </c>
      <c r="D492" s="81">
        <v>20</v>
      </c>
      <c r="E492" s="79"/>
      <c r="F492" s="20" t="s">
        <v>6931</v>
      </c>
      <c r="G492" s="24" t="str">
        <f ca="1">IFERROR(__xludf.DUMMYFUNCTION("GOOGLETRANSLATE(F492,""en"",""pt"")"),"pistas de curling")</f>
        <v>pistas de curling</v>
      </c>
      <c r="H492" s="24"/>
      <c r="I492" s="24"/>
      <c r="J492" s="24"/>
      <c r="K492" s="24"/>
    </row>
    <row r="493" spans="1:11" ht="14.5">
      <c r="A493" s="20" t="s">
        <v>6932</v>
      </c>
      <c r="B493" s="81">
        <v>42</v>
      </c>
      <c r="C493" s="81">
        <v>95</v>
      </c>
      <c r="D493" s="81">
        <v>32</v>
      </c>
      <c r="E493" s="79"/>
      <c r="F493" s="20" t="s">
        <v>6933</v>
      </c>
      <c r="G493" s="24" t="str">
        <f ca="1">IFERROR(__xludf.DUMMYFUNCTION("GOOGLETRANSLATE(F493,""en"",""pt"")"),"cursos de esqui freestyle")</f>
        <v>cursos de esqui freestyle</v>
      </c>
      <c r="H493" s="24"/>
      <c r="I493" s="24"/>
      <c r="J493" s="24"/>
      <c r="K493" s="24"/>
    </row>
    <row r="494" spans="1:11" ht="14.5">
      <c r="A494" s="20" t="s">
        <v>6934</v>
      </c>
      <c r="B494" s="81">
        <v>42</v>
      </c>
      <c r="C494" s="81">
        <v>95</v>
      </c>
      <c r="D494" s="81">
        <v>40</v>
      </c>
      <c r="E494" s="79"/>
      <c r="F494" s="20" t="s">
        <v>6935</v>
      </c>
      <c r="G494" s="24" t="str">
        <f ca="1">IFERROR(__xludf.DUMMYFUNCTION("GOOGLETRANSLATE(F494,""en"",""pt"")"),"pistas de patinação no gelo")</f>
        <v>pistas de patinação no gelo</v>
      </c>
      <c r="H494" s="24"/>
      <c r="I494" s="24"/>
      <c r="J494" s="24"/>
      <c r="K494" s="24"/>
    </row>
    <row r="495" spans="1:11" ht="14.5">
      <c r="A495" s="20" t="s">
        <v>6936</v>
      </c>
      <c r="B495" s="81">
        <v>42</v>
      </c>
      <c r="C495" s="81">
        <v>95</v>
      </c>
      <c r="D495" s="81">
        <v>76</v>
      </c>
      <c r="E495" s="79"/>
      <c r="F495" s="20" t="s">
        <v>6937</v>
      </c>
      <c r="G495" s="24" t="str">
        <f ca="1">IFERROR(__xludf.DUMMYFUNCTION("GOOGLETRANSLATE(F495,""en"",""pt"")"),"pista curta trilhas patinação de velocidade")</f>
        <v>pista curta trilhas patinação de velocidade</v>
      </c>
      <c r="H495" s="24"/>
      <c r="I495" s="24"/>
      <c r="J495" s="24"/>
      <c r="K495" s="24"/>
    </row>
    <row r="496" spans="1:11" ht="14.5">
      <c r="A496" s="20" t="s">
        <v>6938</v>
      </c>
      <c r="B496" s="81">
        <v>42</v>
      </c>
      <c r="C496" s="81">
        <v>95</v>
      </c>
      <c r="D496" s="81">
        <v>79</v>
      </c>
      <c r="E496" s="79"/>
      <c r="F496" s="20" t="s">
        <v>6939</v>
      </c>
      <c r="G496" s="24" t="str">
        <f ca="1">IFERROR(__xludf.DUMMYFUNCTION("GOOGLETRANSLATE(F496,""en"",""pt"")"),"saltos de esqui")</f>
        <v>saltos de esqui</v>
      </c>
      <c r="H496" s="24"/>
      <c r="I496" s="24"/>
      <c r="J496" s="24"/>
      <c r="K496" s="24"/>
    </row>
    <row r="497" spans="1:11" ht="14.5">
      <c r="A497" s="20" t="s">
        <v>6940</v>
      </c>
      <c r="B497" s="81">
        <v>42</v>
      </c>
      <c r="C497" s="81">
        <v>95</v>
      </c>
      <c r="D497" s="81">
        <v>80</v>
      </c>
      <c r="E497" s="79"/>
      <c r="F497" s="20" t="s">
        <v>6941</v>
      </c>
      <c r="G497" s="24" t="str">
        <f ca="1">IFERROR(__xludf.DUMMYFUNCTION("GOOGLETRANSLATE(F497,""en"",""pt"")"),"snowboard cursos")</f>
        <v>snowboard cursos</v>
      </c>
      <c r="H497" s="24"/>
      <c r="I497" s="24"/>
      <c r="J497" s="24"/>
      <c r="K497" s="24"/>
    </row>
    <row r="498" spans="1:11" ht="14.5">
      <c r="A498" s="20" t="s">
        <v>6942</v>
      </c>
      <c r="B498" s="81">
        <v>42</v>
      </c>
      <c r="C498" s="81">
        <v>95</v>
      </c>
      <c r="D498" s="81">
        <v>83</v>
      </c>
      <c r="E498" s="79"/>
      <c r="F498" s="20" t="s">
        <v>6943</v>
      </c>
      <c r="G498" s="24" t="str">
        <f ca="1">IFERROR(__xludf.DUMMYFUNCTION("GOOGLETRANSLATE(F498,""en"",""pt"")"),"cursos de patinação de velocidade")</f>
        <v>cursos de patinação de velocidade</v>
      </c>
      <c r="H498" s="24"/>
      <c r="I498" s="24"/>
      <c r="J498" s="24"/>
      <c r="K498" s="24"/>
    </row>
    <row r="499" spans="1:11" ht="14.5">
      <c r="A499" s="20" t="s">
        <v>6944</v>
      </c>
      <c r="B499" s="81">
        <v>45</v>
      </c>
      <c r="C499" s="79"/>
      <c r="D499" s="79"/>
      <c r="E499" s="79"/>
      <c r="F499" s="20" t="s">
        <v>6945</v>
      </c>
      <c r="G499" s="24" t="str">
        <f ca="1">IFERROR(__xludf.DUMMYFUNCTION("GOOGLETRANSLATE(F499,""en"",""pt"")"),"espaços residenciais")</f>
        <v>espaços residenciais</v>
      </c>
      <c r="H499" s="24"/>
      <c r="I499" s="24"/>
      <c r="J499" s="24"/>
      <c r="K499" s="24"/>
    </row>
    <row r="500" spans="1:11" ht="14.5">
      <c r="A500" s="20" t="s">
        <v>6946</v>
      </c>
      <c r="B500" s="81">
        <v>45</v>
      </c>
      <c r="C500" s="81">
        <v>10</v>
      </c>
      <c r="D500" s="79"/>
      <c r="E500" s="79"/>
      <c r="F500" s="20" t="s">
        <v>6947</v>
      </c>
      <c r="G500" s="24" t="str">
        <f ca="1">IFERROR(__xludf.DUMMYFUNCTION("GOOGLETRANSLATE(F500,""en"",""pt"")"),"Espaços de vida")</f>
        <v>Espaços de vida</v>
      </c>
      <c r="H500" s="24"/>
      <c r="I500" s="24"/>
      <c r="J500" s="24"/>
      <c r="K500" s="24"/>
    </row>
    <row r="501" spans="1:11" ht="14.5">
      <c r="A501" s="20" t="s">
        <v>6948</v>
      </c>
      <c r="B501" s="81">
        <v>45</v>
      </c>
      <c r="C501" s="81">
        <v>10</v>
      </c>
      <c r="D501" s="81">
        <v>6</v>
      </c>
      <c r="E501" s="79"/>
      <c r="F501" s="20" t="s">
        <v>6949</v>
      </c>
      <c r="G501" s="24" t="str">
        <f ca="1">IFERROR(__xludf.DUMMYFUNCTION("GOOGLETRANSLATE(F501,""en"",""pt"")"),"varandas")</f>
        <v>varandas</v>
      </c>
      <c r="H501" s="24"/>
      <c r="I501" s="24"/>
      <c r="J501" s="24"/>
      <c r="K501" s="24"/>
    </row>
    <row r="502" spans="1:11" ht="14.5">
      <c r="A502" s="20" t="s">
        <v>6950</v>
      </c>
      <c r="B502" s="81">
        <v>45</v>
      </c>
      <c r="C502" s="81">
        <v>10</v>
      </c>
      <c r="D502" s="81">
        <v>8</v>
      </c>
      <c r="E502" s="79"/>
      <c r="F502" s="20" t="s">
        <v>6951</v>
      </c>
      <c r="G502" s="24" t="str">
        <f ca="1">IFERROR(__xludf.DUMMYFUNCTION("GOOGLETRANSLATE(F502,""en"",""pt"")"),"Quarto-estudos")</f>
        <v>Quarto-estudos</v>
      </c>
      <c r="H502" s="24"/>
      <c r="I502" s="24"/>
      <c r="J502" s="24"/>
      <c r="K502" s="24"/>
    </row>
    <row r="503" spans="1:11" ht="14.5">
      <c r="A503" s="20" t="s">
        <v>6952</v>
      </c>
      <c r="B503" s="81">
        <v>45</v>
      </c>
      <c r="C503" s="81">
        <v>10</v>
      </c>
      <c r="D503" s="81">
        <v>9</v>
      </c>
      <c r="E503" s="79"/>
      <c r="F503" s="20" t="s">
        <v>6953</v>
      </c>
      <c r="G503" s="24" t="str">
        <f ca="1">IFERROR(__xludf.DUMMYFUNCTION("GOOGLETRANSLATE(F503,""en"",""pt"")"),"Quartos de dormir")</f>
        <v>Quartos de dormir</v>
      </c>
      <c r="H503" s="24"/>
      <c r="I503" s="24"/>
      <c r="J503" s="24"/>
      <c r="K503" s="24"/>
    </row>
    <row r="504" spans="1:11" ht="14.5">
      <c r="A504" s="20" t="s">
        <v>6954</v>
      </c>
      <c r="B504" s="81">
        <v>45</v>
      </c>
      <c r="C504" s="81">
        <v>10</v>
      </c>
      <c r="D504" s="81">
        <v>12</v>
      </c>
      <c r="E504" s="79"/>
      <c r="F504" s="20" t="s">
        <v>6955</v>
      </c>
      <c r="G504" s="24" t="str">
        <f ca="1">IFERROR(__xludf.DUMMYFUNCTION("GOOGLETRANSLATE(F504,""en"",""pt"")"),"arremessos de caravanas")</f>
        <v>arremessos de caravanas</v>
      </c>
      <c r="H504" s="24"/>
      <c r="I504" s="24"/>
      <c r="J504" s="24"/>
      <c r="K504" s="24"/>
    </row>
    <row r="505" spans="1:11" ht="14.5">
      <c r="A505" s="20" t="s">
        <v>6956</v>
      </c>
      <c r="B505" s="81">
        <v>45</v>
      </c>
      <c r="C505" s="81">
        <v>10</v>
      </c>
      <c r="D505" s="81">
        <v>14</v>
      </c>
      <c r="E505" s="79"/>
      <c r="F505" s="20" t="s">
        <v>6957</v>
      </c>
      <c r="G505" s="24" t="str">
        <f ca="1">IFERROR(__xludf.DUMMYFUNCTION("GOOGLETRANSLATE(F505,""en"",""pt"")"),"salas de estar comuns")</f>
        <v>salas de estar comuns</v>
      </c>
      <c r="H505" s="24"/>
      <c r="I505" s="24"/>
      <c r="J505" s="24"/>
      <c r="K505" s="24"/>
    </row>
    <row r="506" spans="1:11" ht="14.5">
      <c r="A506" s="20" t="s">
        <v>6958</v>
      </c>
      <c r="B506" s="81">
        <v>45</v>
      </c>
      <c r="C506" s="81">
        <v>10</v>
      </c>
      <c r="D506" s="81">
        <v>16</v>
      </c>
      <c r="E506" s="79"/>
      <c r="F506" s="20" t="s">
        <v>6959</v>
      </c>
      <c r="G506" s="24" t="str">
        <f ca="1">IFERROR(__xludf.DUMMYFUNCTION("GOOGLETRANSLATE(F506,""en"",""pt"")"),"escritórios de portaria")</f>
        <v>escritórios de portaria</v>
      </c>
      <c r="H506" s="24"/>
      <c r="I506" s="24"/>
      <c r="J506" s="24"/>
      <c r="K506" s="24"/>
    </row>
    <row r="507" spans="1:11" ht="14.5">
      <c r="A507" s="20" t="s">
        <v>6960</v>
      </c>
      <c r="B507" s="81">
        <v>45</v>
      </c>
      <c r="C507" s="81">
        <v>10</v>
      </c>
      <c r="D507" s="81">
        <v>18</v>
      </c>
      <c r="E507" s="79"/>
      <c r="F507" s="20" t="s">
        <v>6961</v>
      </c>
      <c r="G507" s="24" t="str">
        <f ca="1">IFERROR(__xludf.DUMMYFUNCTION("GOOGLETRANSLATE(F507,""en"",""pt"")"),"conservatórios")</f>
        <v>conservatórios</v>
      </c>
      <c r="H507" s="24"/>
      <c r="I507" s="24"/>
      <c r="J507" s="24"/>
      <c r="K507" s="24"/>
    </row>
    <row r="508" spans="1:11" ht="14.5">
      <c r="A508" s="20" t="s">
        <v>6962</v>
      </c>
      <c r="B508" s="81">
        <v>45</v>
      </c>
      <c r="C508" s="81">
        <v>10</v>
      </c>
      <c r="D508" s="81">
        <v>22</v>
      </c>
      <c r="E508" s="79"/>
      <c r="F508" s="20" t="s">
        <v>6963</v>
      </c>
      <c r="G508" s="24" t="str">
        <f ca="1">IFERROR(__xludf.DUMMYFUNCTION("GOOGLETRANSLATE(F508,""en"",""pt"")"),"salas de jantar domésticos")</f>
        <v>salas de jantar domésticos</v>
      </c>
      <c r="H508" s="24"/>
      <c r="I508" s="24"/>
      <c r="J508" s="24"/>
      <c r="K508" s="24"/>
    </row>
    <row r="509" spans="1:11" ht="14.5">
      <c r="A509" s="20" t="s">
        <v>6964</v>
      </c>
      <c r="B509" s="81">
        <v>45</v>
      </c>
      <c r="C509" s="81">
        <v>10</v>
      </c>
      <c r="D509" s="81">
        <v>23</v>
      </c>
      <c r="E509" s="79"/>
      <c r="F509" s="20" t="s">
        <v>6965</v>
      </c>
      <c r="G509" s="24" t="str">
        <f ca="1">IFERROR(__xludf.DUMMYFUNCTION("GOOGLETRANSLATE(F509,""en"",""pt"")"),"cozinhas domésticas")</f>
        <v>cozinhas domésticas</v>
      </c>
      <c r="H509" s="24"/>
      <c r="I509" s="24"/>
      <c r="J509" s="24"/>
      <c r="K509" s="24"/>
    </row>
    <row r="510" spans="1:11" ht="14.5">
      <c r="A510" s="20" t="s">
        <v>6966</v>
      </c>
      <c r="B510" s="81">
        <v>45</v>
      </c>
      <c r="C510" s="81">
        <v>10</v>
      </c>
      <c r="D510" s="81">
        <v>24</v>
      </c>
      <c r="E510" s="79"/>
      <c r="F510" s="20" t="s">
        <v>6967</v>
      </c>
      <c r="G510" s="24" t="str">
        <f ca="1">IFERROR(__xludf.DUMMYFUNCTION("GOOGLETRANSLATE(F510,""en"",""pt"")"),"dormitórios")</f>
        <v>dormitórios</v>
      </c>
      <c r="H510" s="24"/>
      <c r="I510" s="24"/>
      <c r="J510" s="24"/>
      <c r="K510" s="24"/>
    </row>
    <row r="511" spans="1:11" ht="14.5">
      <c r="A511" s="20" t="s">
        <v>6968</v>
      </c>
      <c r="B511" s="81">
        <v>45</v>
      </c>
      <c r="C511" s="81">
        <v>10</v>
      </c>
      <c r="D511" s="81">
        <v>37</v>
      </c>
      <c r="E511" s="79"/>
      <c r="F511" s="20" t="s">
        <v>6969</v>
      </c>
      <c r="G511" s="24" t="str">
        <f ca="1">IFERROR(__xludf.DUMMYFUNCTION("GOOGLETRANSLATE(F511,""en"",""pt"")"),"Quartos de hotel")</f>
        <v>Quartos de hotel</v>
      </c>
      <c r="H511" s="24"/>
      <c r="I511" s="24"/>
      <c r="J511" s="24"/>
      <c r="K511" s="24"/>
    </row>
    <row r="512" spans="1:11" ht="14.5">
      <c r="A512" s="20" t="s">
        <v>6970</v>
      </c>
      <c r="B512" s="81">
        <v>45</v>
      </c>
      <c r="C512" s="81">
        <v>10</v>
      </c>
      <c r="D512" s="81">
        <v>44</v>
      </c>
      <c r="E512" s="79"/>
      <c r="F512" s="20" t="s">
        <v>6971</v>
      </c>
      <c r="G512" s="24" t="str">
        <f ca="1">IFERROR(__xludf.DUMMYFUNCTION("GOOGLETRANSLATE(F512,""en"",""pt"")"),"salas de jantar de cozinha")</f>
        <v>salas de jantar de cozinha</v>
      </c>
      <c r="H512" s="24"/>
      <c r="I512" s="24"/>
      <c r="J512" s="24"/>
      <c r="K512" s="24"/>
    </row>
    <row r="513" spans="1:11" ht="14.5">
      <c r="A513" s="20" t="s">
        <v>6972</v>
      </c>
      <c r="B513" s="81">
        <v>45</v>
      </c>
      <c r="C513" s="81">
        <v>10</v>
      </c>
      <c r="D513" s="81">
        <v>49</v>
      </c>
      <c r="E513" s="79"/>
      <c r="F513" s="20" t="s">
        <v>6973</v>
      </c>
      <c r="G513" s="24" t="str">
        <f ca="1">IFERROR(__xludf.DUMMYFUNCTION("GOOGLETRANSLATE(F513,""en"",""pt"")"),"Salas de estar")</f>
        <v>Salas de estar</v>
      </c>
      <c r="H513" s="24"/>
      <c r="I513" s="24"/>
      <c r="J513" s="24"/>
      <c r="K513" s="24"/>
    </row>
    <row r="514" spans="1:11" ht="14.5">
      <c r="A514" s="20" t="s">
        <v>6974</v>
      </c>
      <c r="B514" s="81">
        <v>45</v>
      </c>
      <c r="C514" s="81">
        <v>10</v>
      </c>
      <c r="D514" s="81">
        <v>57</v>
      </c>
      <c r="E514" s="79"/>
      <c r="F514" s="20" t="s">
        <v>6975</v>
      </c>
      <c r="G514" s="24" t="str">
        <f ca="1">IFERROR(__xludf.DUMMYFUNCTION("GOOGLETRANSLATE(F514,""en"",""pt"")"),"quartos do lar de idosos")</f>
        <v>quartos do lar de idosos</v>
      </c>
      <c r="H514" s="24"/>
      <c r="I514" s="24"/>
      <c r="J514" s="24"/>
      <c r="K514" s="24"/>
    </row>
    <row r="515" spans="1:11" ht="14.5">
      <c r="A515" s="20" t="s">
        <v>6976</v>
      </c>
      <c r="B515" s="81">
        <v>45</v>
      </c>
      <c r="C515" s="81">
        <v>10</v>
      </c>
      <c r="D515" s="81">
        <v>60</v>
      </c>
      <c r="E515" s="79"/>
      <c r="F515" s="20" t="s">
        <v>6977</v>
      </c>
      <c r="G515" s="24" t="str">
        <f ca="1">IFERROR(__xludf.DUMMYFUNCTION("GOOGLETRANSLATE(F515,""en"",""pt"")"),"quartos do pânico")</f>
        <v>quartos do pânico</v>
      </c>
      <c r="H515" s="24"/>
      <c r="I515" s="24"/>
      <c r="J515" s="24"/>
      <c r="K515" s="24"/>
    </row>
    <row r="516" spans="1:11" ht="14.5">
      <c r="A516" s="20" t="s">
        <v>6978</v>
      </c>
      <c r="B516" s="81">
        <v>45</v>
      </c>
      <c r="C516" s="81">
        <v>10</v>
      </c>
      <c r="D516" s="81">
        <v>85</v>
      </c>
      <c r="E516" s="79"/>
      <c r="F516" s="20" t="s">
        <v>6979</v>
      </c>
      <c r="G516" s="24" t="str">
        <f ca="1">IFERROR(__xludf.DUMMYFUNCTION("GOOGLETRANSLATE(F516,""en"",""pt"")"),"estudos")</f>
        <v>estudos</v>
      </c>
      <c r="H516" s="24"/>
      <c r="I516" s="24"/>
      <c r="J516" s="24"/>
      <c r="K516" s="24"/>
    </row>
    <row r="517" spans="1:11" ht="14.5">
      <c r="A517" s="20" t="s">
        <v>6980</v>
      </c>
      <c r="B517" s="81">
        <v>45</v>
      </c>
      <c r="C517" s="81">
        <v>10</v>
      </c>
      <c r="D517" s="81">
        <v>88</v>
      </c>
      <c r="E517" s="79"/>
      <c r="F517" s="20" t="s">
        <v>6981</v>
      </c>
      <c r="G517" s="24" t="str">
        <f ca="1">IFERROR(__xludf.DUMMYFUNCTION("GOOGLETRANSLATE(F517,""en"",""pt"")"),"arremessos de tendas")</f>
        <v>arremessos de tendas</v>
      </c>
      <c r="H517" s="24"/>
      <c r="I517" s="24"/>
      <c r="J517" s="24"/>
      <c r="K517" s="24"/>
    </row>
    <row r="518" spans="1:11" ht="14.5">
      <c r="A518" s="20" t="s">
        <v>6982</v>
      </c>
      <c r="B518" s="81">
        <v>45</v>
      </c>
      <c r="C518" s="81">
        <v>10</v>
      </c>
      <c r="D518" s="81">
        <v>93</v>
      </c>
      <c r="E518" s="79"/>
      <c r="F518" s="20" t="s">
        <v>6983</v>
      </c>
      <c r="G518" s="24" t="str">
        <f ca="1">IFERROR(__xludf.DUMMYFUNCTION("GOOGLETRANSLATE(F518,""en"",""pt"")"),"salas de utilidade")</f>
        <v>salas de utilidade</v>
      </c>
      <c r="H518" s="24"/>
      <c r="I518" s="24"/>
      <c r="J518" s="24"/>
      <c r="K518" s="24"/>
    </row>
    <row r="519" spans="1:11" ht="14.5">
      <c r="A519" s="20" t="s">
        <v>6984</v>
      </c>
      <c r="B519" s="81">
        <v>45</v>
      </c>
      <c r="C519" s="81">
        <v>10</v>
      </c>
      <c r="D519" s="81">
        <v>94</v>
      </c>
      <c r="E519" s="79"/>
      <c r="F519" s="20" t="s">
        <v>6985</v>
      </c>
      <c r="G519" s="24" t="str">
        <f ca="1">IFERROR(__xludf.DUMMYFUNCTION("GOOGLETRANSLATE(F519,""en"",""pt"")"),"varandas")</f>
        <v>varandas</v>
      </c>
      <c r="H519" s="24"/>
      <c r="I519" s="24"/>
      <c r="J519" s="24"/>
      <c r="K519" s="24"/>
    </row>
    <row r="520" spans="1:11" ht="14.5">
      <c r="A520" s="20" t="s">
        <v>6986</v>
      </c>
      <c r="B520" s="81">
        <v>50</v>
      </c>
      <c r="C520" s="79"/>
      <c r="D520" s="79"/>
      <c r="E520" s="79"/>
      <c r="F520" s="20" t="s">
        <v>6987</v>
      </c>
      <c r="G520" s="24" t="str">
        <f ca="1">IFERROR(__xludf.DUMMYFUNCTION("GOOGLETRANSLATE(F520,""en"",""pt"")"),"Resíduos espaços eliminação e locais")</f>
        <v>Resíduos espaços eliminação e locais</v>
      </c>
      <c r="H520" s="24"/>
      <c r="I520" s="24"/>
      <c r="J520" s="24"/>
      <c r="K520" s="24"/>
    </row>
    <row r="521" spans="1:11" ht="14.5">
      <c r="A521" s="20" t="s">
        <v>6988</v>
      </c>
      <c r="B521" s="81">
        <v>50</v>
      </c>
      <c r="C521" s="81">
        <v>10</v>
      </c>
      <c r="D521" s="79"/>
      <c r="E521" s="79"/>
      <c r="F521" s="20" t="s">
        <v>6989</v>
      </c>
      <c r="G521" s="24" t="str">
        <f ca="1">IFERROR(__xludf.DUMMYFUNCTION("GOOGLETRANSLATE(F521,""en"",""pt"")"),"espaços de recolha de resíduos de gás")</f>
        <v>espaços de recolha de resíduos de gás</v>
      </c>
      <c r="H521" s="24"/>
      <c r="I521" s="24"/>
      <c r="J521" s="24"/>
      <c r="K521" s="24"/>
    </row>
    <row r="522" spans="1:11" ht="14.5">
      <c r="A522" s="20" t="s">
        <v>6990</v>
      </c>
      <c r="B522" s="81">
        <v>50</v>
      </c>
      <c r="C522" s="81">
        <v>20</v>
      </c>
      <c r="D522" s="79"/>
      <c r="E522" s="79"/>
      <c r="F522" s="20" t="s">
        <v>6991</v>
      </c>
      <c r="G522" s="24" t="str">
        <f ca="1">IFERROR(__xludf.DUMMYFUNCTION("GOOGLETRANSLATE(F522,""en"",""pt"")"),"espaços de recolha de resíduos molhados")</f>
        <v>espaços de recolha de resíduos molhados</v>
      </c>
      <c r="H522" s="24"/>
      <c r="I522" s="24"/>
      <c r="J522" s="24"/>
      <c r="K522" s="24"/>
    </row>
    <row r="523" spans="1:11" ht="14.5">
      <c r="A523" s="20" t="s">
        <v>6992</v>
      </c>
      <c r="B523" s="81">
        <v>50</v>
      </c>
      <c r="C523" s="81">
        <v>30</v>
      </c>
      <c r="D523" s="79"/>
      <c r="E523" s="79"/>
      <c r="F523" s="20" t="s">
        <v>6993</v>
      </c>
      <c r="G523" s="24" t="str">
        <f ca="1">IFERROR(__xludf.DUMMYFUNCTION("GOOGLETRANSLATE(F523,""en"",""pt"")"),"espaços de recolha de drenagem")</f>
        <v>espaços de recolha de drenagem</v>
      </c>
      <c r="H523" s="24"/>
      <c r="I523" s="24"/>
      <c r="J523" s="24"/>
      <c r="K523" s="24"/>
    </row>
    <row r="524" spans="1:11" ht="14.5">
      <c r="A524" s="20" t="s">
        <v>6994</v>
      </c>
      <c r="B524" s="81">
        <v>50</v>
      </c>
      <c r="C524" s="81">
        <v>35</v>
      </c>
      <c r="D524" s="79"/>
      <c r="E524" s="79"/>
      <c r="F524" s="20" t="s">
        <v>6995</v>
      </c>
      <c r="G524" s="24" t="str">
        <f ca="1">IFERROR(__xludf.DUMMYFUNCTION("GOOGLETRANSLATE(F524,""en"",""pt"")"),"locais de coleta de drenagem")</f>
        <v>locais de coleta de drenagem</v>
      </c>
      <c r="H524" s="24"/>
      <c r="I524" s="24"/>
      <c r="J524" s="24"/>
      <c r="K524" s="24"/>
    </row>
    <row r="525" spans="1:11" ht="14.5">
      <c r="A525" s="20" t="s">
        <v>6996</v>
      </c>
      <c r="B525" s="81">
        <v>50</v>
      </c>
      <c r="C525" s="81">
        <v>35</v>
      </c>
      <c r="D525" s="81">
        <v>36</v>
      </c>
      <c r="E525" s="79"/>
      <c r="F525" s="20" t="s">
        <v>6997</v>
      </c>
      <c r="G525" s="24" t="str">
        <f ca="1">IFERROR(__xludf.DUMMYFUNCTION("GOOGLETRANSLATE(F525,""en"",""pt"")"),"entradas de aderência")</f>
        <v>entradas de aderência</v>
      </c>
      <c r="H525" s="24"/>
      <c r="I525" s="24"/>
      <c r="J525" s="24"/>
      <c r="K525" s="24"/>
    </row>
    <row r="526" spans="1:11" ht="14.5">
      <c r="A526" s="20" t="s">
        <v>6998</v>
      </c>
      <c r="B526" s="81">
        <v>50</v>
      </c>
      <c r="C526" s="81">
        <v>35</v>
      </c>
      <c r="D526" s="81">
        <v>41</v>
      </c>
      <c r="E526" s="79"/>
      <c r="F526" s="20" t="s">
        <v>6999</v>
      </c>
      <c r="G526" s="24" t="str">
        <f ca="1">IFERROR(__xludf.DUMMYFUNCTION("GOOGLETRANSLATE(F526,""en"",""pt"")"),"descarga de entrada")</f>
        <v>descarga de entrada</v>
      </c>
      <c r="H526" s="24"/>
      <c r="I526" s="24"/>
      <c r="J526" s="24"/>
      <c r="K526" s="24"/>
    </row>
    <row r="527" spans="1:11" ht="14.5">
      <c r="A527" s="20" t="s">
        <v>7000</v>
      </c>
      <c r="B527" s="81">
        <v>50</v>
      </c>
      <c r="C527" s="81">
        <v>35</v>
      </c>
      <c r="D527" s="81">
        <v>59</v>
      </c>
      <c r="E527" s="79"/>
      <c r="F527" s="20" t="s">
        <v>7001</v>
      </c>
      <c r="G527" s="24" t="str">
        <f ca="1">IFERROR(__xludf.DUMMYFUNCTION("GOOGLETRANSLATE(F527,""en"",""pt"")"),"descarga de saída")</f>
        <v>descarga de saída</v>
      </c>
      <c r="H527" s="24"/>
      <c r="I527" s="24"/>
      <c r="J527" s="24"/>
      <c r="K527" s="24"/>
    </row>
    <row r="528" spans="1:11" ht="14.5">
      <c r="A528" s="20" t="s">
        <v>7002</v>
      </c>
      <c r="B528" s="81">
        <v>50</v>
      </c>
      <c r="C528" s="81">
        <v>40</v>
      </c>
      <c r="D528" s="79"/>
      <c r="E528" s="79"/>
      <c r="F528" s="20" t="s">
        <v>7003</v>
      </c>
      <c r="G528" s="24" t="str">
        <f ca="1">IFERROR(__xludf.DUMMYFUNCTION("GOOGLETRANSLATE(F528,""en"",""pt"")"),"espaços de recolha de resíduos secos")</f>
        <v>espaços de recolha de resíduos secos</v>
      </c>
      <c r="H528" s="24"/>
      <c r="I528" s="24"/>
      <c r="J528" s="24"/>
      <c r="K528" s="24"/>
    </row>
    <row r="529" spans="1:11" ht="14.5">
      <c r="A529" s="20" t="s">
        <v>7004</v>
      </c>
      <c r="B529" s="81">
        <v>50</v>
      </c>
      <c r="C529" s="81">
        <v>40</v>
      </c>
      <c r="D529" s="81">
        <v>72</v>
      </c>
      <c r="E529" s="79"/>
      <c r="F529" s="20" t="s">
        <v>7005</v>
      </c>
      <c r="G529" s="24" t="str">
        <f ca="1">IFERROR(__xludf.DUMMYFUNCTION("GOOGLETRANSLATE(F529,""en"",""pt"")"),"espaço de armazenamento de lixo")</f>
        <v>espaço de armazenamento de lixo</v>
      </c>
      <c r="H529" s="24"/>
      <c r="I529" s="24"/>
      <c r="J529" s="24"/>
      <c r="K529" s="24"/>
    </row>
    <row r="530" spans="1:11" ht="14.5">
      <c r="A530" s="20" t="s">
        <v>7006</v>
      </c>
      <c r="B530" s="81">
        <v>50</v>
      </c>
      <c r="C530" s="81">
        <v>50</v>
      </c>
      <c r="D530" s="79"/>
      <c r="E530" s="79"/>
      <c r="F530" s="20" t="s">
        <v>7007</v>
      </c>
      <c r="G530" s="24" t="str">
        <f ca="1">IFERROR(__xludf.DUMMYFUNCTION("GOOGLETRANSLATE(F530,""en"",""pt"")"),"espaços de tratamento e eliminação de resíduos de gás")</f>
        <v>espaços de tratamento e eliminação de resíduos de gás</v>
      </c>
      <c r="H530" s="24"/>
      <c r="I530" s="24"/>
      <c r="J530" s="24"/>
      <c r="K530" s="24"/>
    </row>
    <row r="531" spans="1:11" ht="14.5">
      <c r="A531" s="20" t="s">
        <v>7008</v>
      </c>
      <c r="B531" s="81">
        <v>50</v>
      </c>
      <c r="C531" s="81">
        <v>50</v>
      </c>
      <c r="D531" s="81">
        <v>92</v>
      </c>
      <c r="E531" s="79"/>
      <c r="F531" s="20" t="s">
        <v>7009</v>
      </c>
      <c r="G531" s="24" t="str">
        <f ca="1">IFERROR(__xludf.DUMMYFUNCTION("GOOGLETRANSLATE(F531,""en"",""pt"")"),"Resíduos espaços de tratamento de gás")</f>
        <v>Resíduos espaços de tratamento de gás</v>
      </c>
      <c r="H531" s="24"/>
      <c r="I531" s="24"/>
      <c r="J531" s="24"/>
      <c r="K531" s="24"/>
    </row>
    <row r="532" spans="1:11" ht="14.5">
      <c r="A532" s="20" t="s">
        <v>7010</v>
      </c>
      <c r="B532" s="81">
        <v>50</v>
      </c>
      <c r="C532" s="81">
        <v>60</v>
      </c>
      <c r="D532" s="79"/>
      <c r="E532" s="79"/>
      <c r="F532" s="20" t="s">
        <v>7011</v>
      </c>
      <c r="G532" s="24" t="str">
        <f ca="1">IFERROR(__xludf.DUMMYFUNCTION("GOOGLETRANSLATE(F532,""en"",""pt"")"),"espaços de tratamento de resíduos húmidos e eliminação")</f>
        <v>espaços de tratamento de resíduos húmidos e eliminação</v>
      </c>
      <c r="H532" s="24"/>
      <c r="I532" s="24"/>
      <c r="J532" s="24"/>
      <c r="K532" s="24"/>
    </row>
    <row r="533" spans="1:11" ht="14.5">
      <c r="A533" s="20" t="s">
        <v>7012</v>
      </c>
      <c r="B533" s="81">
        <v>50</v>
      </c>
      <c r="C533" s="81">
        <v>60</v>
      </c>
      <c r="D533" s="81">
        <v>28</v>
      </c>
      <c r="E533" s="79"/>
      <c r="F533" s="20" t="s">
        <v>7013</v>
      </c>
      <c r="G533" s="24" t="str">
        <f ca="1">IFERROR(__xludf.DUMMYFUNCTION("GOOGLETRANSLATE(F533,""en"",""pt"")"),"evaporação lagoas")</f>
        <v>evaporação lagoas</v>
      </c>
      <c r="H533" s="24"/>
      <c r="I533" s="24"/>
      <c r="J533" s="24"/>
      <c r="K533" s="24"/>
    </row>
    <row r="534" spans="1:11" ht="14.5">
      <c r="A534" s="20" t="s">
        <v>7014</v>
      </c>
      <c r="B534" s="81">
        <v>50</v>
      </c>
      <c r="C534" s="81">
        <v>60</v>
      </c>
      <c r="D534" s="81">
        <v>94</v>
      </c>
      <c r="E534" s="79"/>
      <c r="F534" s="20" t="s">
        <v>7015</v>
      </c>
      <c r="G534" s="24" t="str">
        <f ca="1">IFERROR(__xludf.DUMMYFUNCTION("GOOGLETRANSLATE(F534,""en"",""pt"")"),"espaços de tratamento de resíduos líquidos")</f>
        <v>espaços de tratamento de resíduos líquidos</v>
      </c>
      <c r="H534" s="24"/>
      <c r="I534" s="24"/>
      <c r="J534" s="24"/>
      <c r="K534" s="24"/>
    </row>
    <row r="535" spans="1:11" ht="14.5">
      <c r="A535" s="20" t="s">
        <v>7016</v>
      </c>
      <c r="B535" s="81">
        <v>50</v>
      </c>
      <c r="C535" s="81">
        <v>70</v>
      </c>
      <c r="D535" s="79"/>
      <c r="E535" s="79"/>
      <c r="F535" s="20" t="s">
        <v>7017</v>
      </c>
      <c r="G535" s="24" t="str">
        <f ca="1">IFERROR(__xludf.DUMMYFUNCTION("GOOGLETRANSLATE(F535,""en"",""pt"")"),"espaços de tratamento de drenagem e eliminação")</f>
        <v>espaços de tratamento de drenagem e eliminação</v>
      </c>
      <c r="H535" s="24"/>
      <c r="I535" s="24"/>
      <c r="J535" s="24"/>
      <c r="K535" s="24"/>
    </row>
    <row r="536" spans="1:11" ht="14.5">
      <c r="A536" s="20" t="s">
        <v>7018</v>
      </c>
      <c r="B536" s="81">
        <v>50</v>
      </c>
      <c r="C536" s="81">
        <v>75</v>
      </c>
      <c r="D536" s="79"/>
      <c r="E536" s="79"/>
      <c r="F536" s="20" t="s">
        <v>7019</v>
      </c>
      <c r="G536" s="24" t="str">
        <f ca="1">IFERROR(__xludf.DUMMYFUNCTION("GOOGLETRANSLATE(F536,""en"",""pt"")"),"espaços de tratamento de águas residuais e eliminação")</f>
        <v>espaços de tratamento de águas residuais e eliminação</v>
      </c>
      <c r="H536" s="24"/>
      <c r="I536" s="24"/>
      <c r="J536" s="24"/>
      <c r="K536" s="24"/>
    </row>
    <row r="537" spans="1:11" ht="14.5">
      <c r="A537" s="20" t="s">
        <v>7020</v>
      </c>
      <c r="B537" s="81">
        <v>50</v>
      </c>
      <c r="C537" s="81">
        <v>75</v>
      </c>
      <c r="D537" s="81">
        <v>40</v>
      </c>
      <c r="E537" s="79"/>
      <c r="F537" s="20" t="s">
        <v>7021</v>
      </c>
      <c r="G537" s="24" t="str">
        <f ca="1">IFERROR(__xludf.DUMMYFUNCTION("GOOGLETRANSLATE(F537,""en"",""pt"")"),"espaços de tratamento de águas residuais")</f>
        <v>espaços de tratamento de águas residuais</v>
      </c>
      <c r="H537" s="24"/>
      <c r="I537" s="24"/>
      <c r="J537" s="24"/>
      <c r="K537" s="24"/>
    </row>
    <row r="538" spans="1:11" ht="14.5">
      <c r="A538" s="20" t="s">
        <v>7022</v>
      </c>
      <c r="B538" s="81">
        <v>50</v>
      </c>
      <c r="C538" s="81">
        <v>75</v>
      </c>
      <c r="D538" s="81">
        <v>70</v>
      </c>
      <c r="E538" s="79"/>
      <c r="F538" s="20" t="s">
        <v>7023</v>
      </c>
      <c r="G538" s="24" t="str">
        <f ca="1">IFERROR(__xludf.DUMMYFUNCTION("GOOGLETRANSLATE(F538,""en"",""pt"")"),"espaços eliminação de águas residuais")</f>
        <v>espaços eliminação de águas residuais</v>
      </c>
      <c r="H538" s="24"/>
      <c r="I538" s="24"/>
      <c r="J538" s="24"/>
      <c r="K538" s="24"/>
    </row>
    <row r="539" spans="1:11" ht="14.5">
      <c r="A539" s="20" t="s">
        <v>7024</v>
      </c>
      <c r="B539" s="81">
        <v>50</v>
      </c>
      <c r="C539" s="81">
        <v>80</v>
      </c>
      <c r="D539" s="79"/>
      <c r="E539" s="79"/>
      <c r="F539" s="20" t="s">
        <v>7025</v>
      </c>
      <c r="G539" s="24" t="str">
        <f ca="1">IFERROR(__xludf.DUMMYFUNCTION("GOOGLETRANSLATE(F539,""en"",""pt"")"),"espaços de tratamento de resíduos secos e eliminação")</f>
        <v>espaços de tratamento de resíduos secos e eliminação</v>
      </c>
      <c r="H539" s="24"/>
      <c r="I539" s="24"/>
      <c r="J539" s="24"/>
      <c r="K539" s="24"/>
    </row>
    <row r="540" spans="1:11" ht="14.5">
      <c r="A540" s="20" t="s">
        <v>7026</v>
      </c>
      <c r="B540" s="81">
        <v>50</v>
      </c>
      <c r="C540" s="81">
        <v>80</v>
      </c>
      <c r="D540" s="81">
        <v>40</v>
      </c>
      <c r="E540" s="79"/>
      <c r="F540" s="20" t="s">
        <v>7027</v>
      </c>
      <c r="G540" s="24" t="str">
        <f ca="1">IFERROR(__xludf.DUMMYFUNCTION("GOOGLETRANSLATE(F540,""en"",""pt"")"),"espaços de tratamento de resíduos secos")</f>
        <v>espaços de tratamento de resíduos secos</v>
      </c>
      <c r="H540" s="24"/>
      <c r="I540" s="24"/>
      <c r="J540" s="24"/>
      <c r="K540" s="24"/>
    </row>
    <row r="541" spans="1:11" ht="14.5">
      <c r="A541" s="20" t="s">
        <v>7028</v>
      </c>
      <c r="B541" s="81">
        <v>50</v>
      </c>
      <c r="C541" s="81">
        <v>80</v>
      </c>
      <c r="D541" s="81">
        <v>70</v>
      </c>
      <c r="E541" s="79"/>
      <c r="F541" s="20" t="s">
        <v>7029</v>
      </c>
      <c r="G541" s="24" t="str">
        <f ca="1">IFERROR(__xludf.DUMMYFUNCTION("GOOGLETRANSLATE(F541,""en"",""pt"")"),"espaços de eliminação de resíduos secos")</f>
        <v>espaços de eliminação de resíduos secos</v>
      </c>
      <c r="H541" s="24"/>
      <c r="I541" s="24"/>
      <c r="J541" s="24"/>
      <c r="K541" s="24"/>
    </row>
    <row r="542" spans="1:11" ht="14.5">
      <c r="A542" s="20" t="s">
        <v>7030</v>
      </c>
      <c r="B542" s="81">
        <v>55</v>
      </c>
      <c r="C542" s="79"/>
      <c r="D542" s="79"/>
      <c r="E542" s="79"/>
      <c r="F542" s="20" t="s">
        <v>7031</v>
      </c>
      <c r="G542" s="24" t="str">
        <f ca="1">IFERROR(__xludf.DUMMYFUNCTION("GOOGLETRANSLATE(F542,""en"",""pt"")"),"espaços de abastecimento canalizado")</f>
        <v>espaços de abastecimento canalizado</v>
      </c>
      <c r="H542" s="24"/>
      <c r="I542" s="24"/>
      <c r="J542" s="24"/>
      <c r="K542" s="24"/>
    </row>
    <row r="543" spans="1:11" ht="14.5">
      <c r="A543" s="20" t="s">
        <v>7032</v>
      </c>
      <c r="B543" s="81">
        <v>55</v>
      </c>
      <c r="C543" s="81">
        <v>5</v>
      </c>
      <c r="D543" s="79"/>
      <c r="E543" s="79"/>
      <c r="F543" s="20" t="s">
        <v>7033</v>
      </c>
      <c r="G543" s="24" t="str">
        <f ca="1">IFERROR(__xludf.DUMMYFUNCTION("GOOGLETRANSLATE(F543,""en"",""pt"")"),"espaços de extracção de gás e de tratamento")</f>
        <v>espaços de extracção de gás e de tratamento</v>
      </c>
      <c r="H543" s="24"/>
      <c r="I543" s="24"/>
      <c r="J543" s="24"/>
      <c r="K543" s="24"/>
    </row>
    <row r="544" spans="1:11" ht="14.5">
      <c r="A544" s="20" t="s">
        <v>7034</v>
      </c>
      <c r="B544" s="81">
        <v>55</v>
      </c>
      <c r="C544" s="81">
        <v>5</v>
      </c>
      <c r="D544" s="81">
        <v>30</v>
      </c>
      <c r="E544" s="79"/>
      <c r="F544" s="20" t="s">
        <v>7035</v>
      </c>
      <c r="G544" s="24" t="str">
        <f ca="1">IFERROR(__xludf.DUMMYFUNCTION("GOOGLETRANSLATE(F544,""en"",""pt"")"),"espaços de extração de gás")</f>
        <v>espaços de extração de gás</v>
      </c>
      <c r="H544" s="24"/>
      <c r="I544" s="24"/>
      <c r="J544" s="24"/>
      <c r="K544" s="24"/>
    </row>
    <row r="545" spans="1:11" ht="14.5">
      <c r="A545" s="20" t="s">
        <v>7036</v>
      </c>
      <c r="B545" s="81">
        <v>55</v>
      </c>
      <c r="C545" s="81">
        <v>5</v>
      </c>
      <c r="D545" s="81">
        <v>70</v>
      </c>
      <c r="E545" s="79"/>
      <c r="F545" s="20" t="s">
        <v>7037</v>
      </c>
      <c r="G545" s="24" t="str">
        <f ca="1">IFERROR(__xludf.DUMMYFUNCTION("GOOGLETRANSLATE(F545,""en"",""pt"")"),"espaços de tratamento de gás")</f>
        <v>espaços de tratamento de gás</v>
      </c>
      <c r="H545" s="24"/>
      <c r="I545" s="24"/>
      <c r="J545" s="24"/>
      <c r="K545" s="24"/>
    </row>
    <row r="546" spans="1:11" ht="14.5">
      <c r="A546" s="20" t="s">
        <v>7038</v>
      </c>
      <c r="B546" s="81">
        <v>55</v>
      </c>
      <c r="C546" s="81">
        <v>10</v>
      </c>
      <c r="D546" s="79"/>
      <c r="E546" s="79"/>
      <c r="F546" s="20" t="s">
        <v>7039</v>
      </c>
      <c r="G546" s="24" t="str">
        <f ca="1">IFERROR(__xludf.DUMMYFUNCTION("GOOGLETRANSLATE(F546,""en"",""pt"")"),"espaços de extração de combustível líquido e de tratamento")</f>
        <v>espaços de extração de combustível líquido e de tratamento</v>
      </c>
      <c r="H546" s="24"/>
      <c r="I546" s="24"/>
      <c r="J546" s="24"/>
      <c r="K546" s="24"/>
    </row>
    <row r="547" spans="1:11" ht="14.5">
      <c r="A547" s="20" t="s">
        <v>7040</v>
      </c>
      <c r="B547" s="81">
        <v>55</v>
      </c>
      <c r="C547" s="81">
        <v>10</v>
      </c>
      <c r="D547" s="81">
        <v>10</v>
      </c>
      <c r="E547" s="79"/>
      <c r="F547" s="20" t="s">
        <v>7041</v>
      </c>
      <c r="G547" s="24" t="str">
        <f ca="1">IFERROR(__xludf.DUMMYFUNCTION("GOOGLETRANSLATE(F547,""en"",""pt"")"),"espaços de extração de petróleo")</f>
        <v>espaços de extração de petróleo</v>
      </c>
      <c r="H547" s="24"/>
      <c r="I547" s="24"/>
      <c r="J547" s="24"/>
      <c r="K547" s="24"/>
    </row>
    <row r="548" spans="1:11" ht="14.5">
      <c r="A548" s="20" t="s">
        <v>7042</v>
      </c>
      <c r="B548" s="81">
        <v>55</v>
      </c>
      <c r="C548" s="81">
        <v>10</v>
      </c>
      <c r="D548" s="81">
        <v>50</v>
      </c>
      <c r="E548" s="79"/>
      <c r="F548" s="20" t="s">
        <v>7043</v>
      </c>
      <c r="G548" s="24" t="str">
        <f ca="1">IFERROR(__xludf.DUMMYFUNCTION("GOOGLETRANSLATE(F548,""en"",""pt"")"),"espaços de tratamento de óleo")</f>
        <v>espaços de tratamento de óleo</v>
      </c>
      <c r="H548" s="24"/>
      <c r="I548" s="24"/>
      <c r="J548" s="24"/>
      <c r="K548" s="24"/>
    </row>
    <row r="549" spans="1:11" ht="14.5">
      <c r="A549" s="20" t="s">
        <v>7044</v>
      </c>
      <c r="B549" s="81">
        <v>55</v>
      </c>
      <c r="C549" s="81">
        <v>15</v>
      </c>
      <c r="D549" s="79"/>
      <c r="E549" s="79"/>
      <c r="F549" s="20" t="s">
        <v>7045</v>
      </c>
      <c r="G549" s="24" t="str">
        <f ca="1">IFERROR(__xludf.DUMMYFUNCTION("GOOGLETRANSLATE(F549,""en"",""pt"")"),"espaços de extracção e de tratamento de águas")</f>
        <v>espaços de extracção e de tratamento de águas</v>
      </c>
      <c r="H549" s="24"/>
      <c r="I549" s="24"/>
      <c r="J549" s="24"/>
      <c r="K549" s="24"/>
    </row>
    <row r="550" spans="1:11" ht="14.5">
      <c r="A550" s="20" t="s">
        <v>7046</v>
      </c>
      <c r="B550" s="81">
        <v>55</v>
      </c>
      <c r="C550" s="81">
        <v>15</v>
      </c>
      <c r="D550" s="81">
        <v>10</v>
      </c>
      <c r="E550" s="79"/>
      <c r="F550" s="20" t="s">
        <v>7047</v>
      </c>
      <c r="G550" s="24" t="str">
        <f ca="1">IFERROR(__xludf.DUMMYFUNCTION("GOOGLETRANSLATE(F550,""en"",""pt"")"),"espaços de extração de água")</f>
        <v>espaços de extração de água</v>
      </c>
      <c r="H550" s="24"/>
      <c r="I550" s="24"/>
      <c r="J550" s="24"/>
      <c r="K550" s="24"/>
    </row>
    <row r="551" spans="1:11" ht="14.5">
      <c r="A551" s="20" t="s">
        <v>7048</v>
      </c>
      <c r="B551" s="81">
        <v>55</v>
      </c>
      <c r="C551" s="81">
        <v>15</v>
      </c>
      <c r="D551" s="81">
        <v>50</v>
      </c>
      <c r="E551" s="79"/>
      <c r="F551" s="20" t="s">
        <v>7049</v>
      </c>
      <c r="G551" s="24" t="str">
        <f ca="1">IFERROR(__xludf.DUMMYFUNCTION("GOOGLETRANSLATE(F551,""en"",""pt"")"),"espaços de tratamento de água")</f>
        <v>espaços de tratamento de água</v>
      </c>
      <c r="H551" s="24"/>
      <c r="I551" s="24"/>
      <c r="J551" s="24"/>
      <c r="K551" s="24"/>
    </row>
    <row r="552" spans="1:11" ht="14.5">
      <c r="A552" s="20" t="s">
        <v>7050</v>
      </c>
      <c r="B552" s="81">
        <v>55</v>
      </c>
      <c r="C552" s="81">
        <v>20</v>
      </c>
      <c r="D552" s="79"/>
      <c r="E552" s="79"/>
      <c r="F552" s="20" t="s">
        <v>7051</v>
      </c>
      <c r="G552" s="24" t="str">
        <f ca="1">IFERROR(__xludf.DUMMYFUNCTION("GOOGLETRANSLATE(F552,""en"",""pt"")"),"espaços de fornecimento de gás")</f>
        <v>espaços de fornecimento de gás</v>
      </c>
      <c r="H552" s="24"/>
      <c r="I552" s="24"/>
      <c r="J552" s="24"/>
      <c r="K552" s="24"/>
    </row>
    <row r="553" spans="1:11" ht="14.5">
      <c r="A553" s="20" t="s">
        <v>7052</v>
      </c>
      <c r="B553" s="81">
        <v>55</v>
      </c>
      <c r="C553" s="81">
        <v>30</v>
      </c>
      <c r="D553" s="79"/>
      <c r="E553" s="79"/>
      <c r="F553" s="20" t="s">
        <v>7053</v>
      </c>
      <c r="G553" s="24" t="str">
        <f ca="1">IFERROR(__xludf.DUMMYFUNCTION("GOOGLETRANSLATE(F553,""en"",""pt"")"),"espaços de abastecimento de extinção de incêndios")</f>
        <v>espaços de abastecimento de extinção de incêndios</v>
      </c>
      <c r="H553" s="24"/>
      <c r="I553" s="24"/>
      <c r="J553" s="24"/>
      <c r="K553" s="24"/>
    </row>
    <row r="554" spans="1:11" ht="14.5">
      <c r="A554" s="20" t="s">
        <v>7054</v>
      </c>
      <c r="B554" s="81">
        <v>55</v>
      </c>
      <c r="C554" s="81">
        <v>40</v>
      </c>
      <c r="D554" s="79"/>
      <c r="E554" s="79"/>
      <c r="F554" s="20" t="s">
        <v>7055</v>
      </c>
      <c r="G554" s="24" t="str">
        <f ca="1">IFERROR(__xludf.DUMMYFUNCTION("GOOGLETRANSLATE(F554,""en"",""pt"")"),"espaços de fornecimento de vapor")</f>
        <v>espaços de fornecimento de vapor</v>
      </c>
      <c r="H554" s="24"/>
      <c r="I554" s="24"/>
      <c r="J554" s="24"/>
      <c r="K554" s="24"/>
    </row>
    <row r="555" spans="1:11" ht="14.5">
      <c r="A555" s="20" t="s">
        <v>7056</v>
      </c>
      <c r="B555" s="81">
        <v>55</v>
      </c>
      <c r="C555" s="81">
        <v>50</v>
      </c>
      <c r="D555" s="79"/>
      <c r="E555" s="79"/>
      <c r="F555" s="20" t="s">
        <v>7057</v>
      </c>
      <c r="G555" s="24" t="str">
        <f ca="1">IFERROR(__xludf.DUMMYFUNCTION("GOOGLETRANSLATE(F555,""en"",""pt"")"),"espaços de abastecimento de combustíveis líquidos")</f>
        <v>espaços de abastecimento de combustíveis líquidos</v>
      </c>
      <c r="H555" s="24"/>
      <c r="I555" s="24"/>
      <c r="J555" s="24"/>
      <c r="K555" s="24"/>
    </row>
    <row r="556" spans="1:11" ht="14.5">
      <c r="A556" s="20" t="s">
        <v>7058</v>
      </c>
      <c r="B556" s="81">
        <v>55</v>
      </c>
      <c r="C556" s="81">
        <v>60</v>
      </c>
      <c r="D556" s="79"/>
      <c r="E556" s="79"/>
      <c r="F556" s="20" t="s">
        <v>7059</v>
      </c>
      <c r="G556" s="24" t="str">
        <f ca="1">IFERROR(__xludf.DUMMYFUNCTION("GOOGLETRANSLATE(F556,""en"",""pt"")"),"Processar os espaços de abastecimento de líquido")</f>
        <v>Processar os espaços de abastecimento de líquido</v>
      </c>
      <c r="H556" s="24"/>
      <c r="I556" s="24"/>
      <c r="J556" s="24"/>
      <c r="K556" s="24"/>
    </row>
    <row r="557" spans="1:11" ht="14.5">
      <c r="A557" s="20" t="s">
        <v>7060</v>
      </c>
      <c r="B557" s="81">
        <v>55</v>
      </c>
      <c r="C557" s="81">
        <v>65</v>
      </c>
      <c r="D557" s="79"/>
      <c r="E557" s="79"/>
      <c r="F557" s="20" t="s">
        <v>7061</v>
      </c>
      <c r="G557" s="24" t="str">
        <f ca="1">IFERROR(__xludf.DUMMYFUNCTION("GOOGLETRANSLATE(F557,""en"",""pt"")"),"espaços de ventilação e de ar condicionado")</f>
        <v>espaços de ventilação e de ar condicionado</v>
      </c>
      <c r="H557" s="24"/>
      <c r="I557" s="24"/>
      <c r="J557" s="24"/>
      <c r="K557" s="24"/>
    </row>
    <row r="558" spans="1:11" ht="14.5">
      <c r="A558" s="20" t="s">
        <v>7062</v>
      </c>
      <c r="B558" s="81">
        <v>55</v>
      </c>
      <c r="C558" s="81">
        <v>70</v>
      </c>
      <c r="D558" s="79"/>
      <c r="E558" s="79"/>
      <c r="F558" s="20" t="s">
        <v>7063</v>
      </c>
      <c r="G558" s="24" t="str">
        <f ca="1">IFERROR(__xludf.DUMMYFUNCTION("GOOGLETRANSLATE(F558,""en"",""pt"")"),"espaços de abastecimento de água")</f>
        <v>espaços de abastecimento de água</v>
      </c>
      <c r="H558" s="24"/>
      <c r="I558" s="24"/>
      <c r="J558" s="24"/>
      <c r="K558" s="24"/>
    </row>
    <row r="559" spans="1:11" ht="14.5">
      <c r="A559" s="20" t="s">
        <v>7064</v>
      </c>
      <c r="B559" s="81">
        <v>55</v>
      </c>
      <c r="C559" s="81">
        <v>70</v>
      </c>
      <c r="D559" s="81">
        <v>65</v>
      </c>
      <c r="E559" s="79"/>
      <c r="F559" s="20" t="s">
        <v>7065</v>
      </c>
      <c r="G559" s="24" t="str">
        <f ca="1">IFERROR(__xludf.DUMMYFUNCTION("GOOGLETRANSLATE(F559,""en"",""pt"")"),"tubos de alimentação privados")</f>
        <v>tubos de alimentação privados</v>
      </c>
      <c r="H559" s="24"/>
      <c r="I559" s="24"/>
      <c r="J559" s="24"/>
      <c r="K559" s="24"/>
    </row>
    <row r="560" spans="1:11" ht="14.5">
      <c r="A560" s="20" t="s">
        <v>7066</v>
      </c>
      <c r="B560" s="81">
        <v>55</v>
      </c>
      <c r="C560" s="81">
        <v>90</v>
      </c>
      <c r="D560" s="79"/>
      <c r="E560" s="79"/>
      <c r="F560" s="20" t="s">
        <v>7067</v>
      </c>
      <c r="G560" s="24" t="str">
        <f ca="1">IFERROR(__xludf.DUMMYFUNCTION("GOOGLETRANSLATE(F560,""en"",""pt"")"),"espaços de abastecimento canalizado sólidos")</f>
        <v>espaços de abastecimento canalizado sólidos</v>
      </c>
      <c r="H560" s="24"/>
      <c r="I560" s="24"/>
      <c r="J560" s="24"/>
      <c r="K560" s="24"/>
    </row>
    <row r="561" spans="1:11" ht="14.5">
      <c r="A561" s="20" t="s">
        <v>7068</v>
      </c>
      <c r="B561" s="81">
        <v>60</v>
      </c>
      <c r="C561" s="79"/>
      <c r="D561" s="79"/>
      <c r="E561" s="79"/>
      <c r="F561" s="20" t="s">
        <v>7069</v>
      </c>
      <c r="G561" s="24" t="str">
        <f ca="1">IFERROR(__xludf.DUMMYFUNCTION("GOOGLETRANSLATE(F561,""en"",""pt"")"),"Aquecimento, refrigeração e espaços de refrigeração")</f>
        <v>Aquecimento, refrigeração e espaços de refrigeração</v>
      </c>
      <c r="H561" s="24"/>
      <c r="I561" s="24"/>
      <c r="J561" s="24"/>
      <c r="K561" s="24"/>
    </row>
    <row r="562" spans="1:11" ht="14.5">
      <c r="A562" s="20" t="s">
        <v>7070</v>
      </c>
      <c r="B562" s="81">
        <v>60</v>
      </c>
      <c r="C562" s="81">
        <v>30</v>
      </c>
      <c r="D562" s="79"/>
      <c r="E562" s="79"/>
      <c r="F562" s="20" t="s">
        <v>7071</v>
      </c>
      <c r="G562" s="24" t="str">
        <f ca="1">IFERROR(__xludf.DUMMYFUNCTION("GOOGLETRANSLATE(F562,""en"",""pt"")"),"Ferroviário e pavimentação espaços de aquecimento")</f>
        <v>Ferroviário e pavimentação espaços de aquecimento</v>
      </c>
      <c r="H562" s="24"/>
      <c r="I562" s="24"/>
      <c r="J562" s="24"/>
      <c r="K562" s="24"/>
    </row>
    <row r="563" spans="1:11" ht="14.5">
      <c r="A563" s="20" t="s">
        <v>7072</v>
      </c>
      <c r="B563" s="81">
        <v>60</v>
      </c>
      <c r="C563" s="81">
        <v>40</v>
      </c>
      <c r="D563" s="79"/>
      <c r="E563" s="79"/>
      <c r="F563" s="20" t="s">
        <v>7073</v>
      </c>
      <c r="G563" s="24" t="str">
        <f ca="1">IFERROR(__xludf.DUMMYFUNCTION("GOOGLETRANSLATE(F563,""en"",""pt"")"),"aquecimento de espaços e espaços de arrefecimento")</f>
        <v>aquecimento de espaços e espaços de arrefecimento</v>
      </c>
      <c r="H563" s="24"/>
      <c r="I563" s="24"/>
      <c r="J563" s="24"/>
      <c r="K563" s="24"/>
    </row>
    <row r="564" spans="1:11" ht="14.5">
      <c r="A564" s="20" t="s">
        <v>7074</v>
      </c>
      <c r="B564" s="81">
        <v>60</v>
      </c>
      <c r="C564" s="81">
        <v>60</v>
      </c>
      <c r="D564" s="79"/>
      <c r="E564" s="79"/>
      <c r="F564" s="20" t="s">
        <v>7075</v>
      </c>
      <c r="G564" s="24" t="str">
        <f ca="1">IFERROR(__xludf.DUMMYFUNCTION("GOOGLETRANSLATE(F564,""en"",""pt"")"),"espaços de refrigeração")</f>
        <v>espaços de refrigeração</v>
      </c>
      <c r="H564" s="24"/>
      <c r="I564" s="24"/>
      <c r="J564" s="24"/>
      <c r="K564" s="24"/>
    </row>
    <row r="565" spans="1:11" ht="14.5">
      <c r="A565" s="20" t="s">
        <v>7076</v>
      </c>
      <c r="B565" s="81">
        <v>60</v>
      </c>
      <c r="C565" s="81">
        <v>80</v>
      </c>
      <c r="D565" s="79"/>
      <c r="E565" s="79"/>
      <c r="F565" s="20" t="s">
        <v>7077</v>
      </c>
      <c r="G565" s="24" t="str">
        <f ca="1">IFERROR(__xludf.DUMMYFUNCTION("GOOGLETRANSLATE(F565,""en"",""pt"")"),"espaços de secagem")</f>
        <v>espaços de secagem</v>
      </c>
      <c r="H565" s="24"/>
      <c r="I565" s="24"/>
      <c r="J565" s="24"/>
      <c r="K565" s="24"/>
    </row>
    <row r="566" spans="1:11" ht="14.5">
      <c r="A566" s="20" t="s">
        <v>7078</v>
      </c>
      <c r="B566" s="81">
        <v>60</v>
      </c>
      <c r="C566" s="81">
        <v>80</v>
      </c>
      <c r="D566" s="81">
        <v>25</v>
      </c>
      <c r="E566" s="79"/>
      <c r="F566" s="20" t="s">
        <v>7079</v>
      </c>
      <c r="G566" s="24" t="str">
        <f ca="1">IFERROR(__xludf.DUMMYFUNCTION("GOOGLETRANSLATE(F566,""en"",""pt"")"),"salas de secagem")</f>
        <v>salas de secagem</v>
      </c>
      <c r="H566" s="24"/>
      <c r="I566" s="24"/>
      <c r="J566" s="24"/>
      <c r="K566" s="24"/>
    </row>
    <row r="567" spans="1:11" ht="14.5">
      <c r="A567" s="20" t="s">
        <v>7080</v>
      </c>
      <c r="B567" s="81">
        <v>70</v>
      </c>
      <c r="C567" s="79"/>
      <c r="D567" s="79"/>
      <c r="E567" s="79"/>
      <c r="F567" s="20" t="s">
        <v>7081</v>
      </c>
      <c r="G567" s="24" t="str">
        <f ca="1">IFERROR(__xludf.DUMMYFUNCTION("GOOGLETRANSLATE(F567,""en"",""pt"")"),"geração de energia elétrica e espaços de iluminação")</f>
        <v>geração de energia elétrica e espaços de iluminação</v>
      </c>
      <c r="H567" s="24"/>
      <c r="I567" s="24"/>
      <c r="J567" s="24"/>
      <c r="K567" s="24"/>
    </row>
    <row r="568" spans="1:11" ht="14.5">
      <c r="A568" s="20" t="s">
        <v>7082</v>
      </c>
      <c r="B568" s="81">
        <v>70</v>
      </c>
      <c r="C568" s="81">
        <v>10</v>
      </c>
      <c r="D568" s="79"/>
      <c r="E568" s="79"/>
      <c r="F568" s="20" t="s">
        <v>7083</v>
      </c>
      <c r="G568" s="24" t="str">
        <f ca="1">IFERROR(__xludf.DUMMYFUNCTION("GOOGLETRANSLATE(F568,""en"",""pt"")"),"espaços de geração de energia elétrica")</f>
        <v>espaços de geração de energia elétrica</v>
      </c>
      <c r="H568" s="24"/>
      <c r="I568" s="24"/>
      <c r="J568" s="24"/>
      <c r="K568" s="24"/>
    </row>
    <row r="569" spans="1:11" ht="14.5">
      <c r="A569" s="20" t="s">
        <v>7084</v>
      </c>
      <c r="B569" s="81">
        <v>70</v>
      </c>
      <c r="C569" s="81">
        <v>10</v>
      </c>
      <c r="D569" s="81">
        <v>91</v>
      </c>
      <c r="E569" s="79"/>
      <c r="F569" s="20" t="s">
        <v>7085</v>
      </c>
      <c r="G569" s="24" t="str">
        <f ca="1">IFERROR(__xludf.DUMMYFUNCTION("GOOGLETRANSLATE(F569,""en"",""pt"")"),"salas de turbinas")</f>
        <v>salas de turbinas</v>
      </c>
      <c r="H569" s="24"/>
      <c r="I569" s="24"/>
      <c r="J569" s="24"/>
      <c r="K569" s="24"/>
    </row>
    <row r="570" spans="1:11" ht="14.5">
      <c r="A570" s="20" t="s">
        <v>7086</v>
      </c>
      <c r="B570" s="81">
        <v>70</v>
      </c>
      <c r="C570" s="81">
        <v>30</v>
      </c>
      <c r="D570" s="79"/>
      <c r="E570" s="79"/>
      <c r="F570" s="20" t="s">
        <v>7087</v>
      </c>
      <c r="G570" s="24" t="str">
        <f ca="1">IFERROR(__xludf.DUMMYFUNCTION("GOOGLETRANSLATE(F570,""en"",""pt"")"),"distribuição de electricidade e espaços de transmissão")</f>
        <v>distribuição de electricidade e espaços de transmissão</v>
      </c>
      <c r="H570" s="24"/>
      <c r="I570" s="24"/>
      <c r="J570" s="24"/>
      <c r="K570" s="24"/>
    </row>
    <row r="571" spans="1:11" ht="14.5">
      <c r="A571" s="20" t="s">
        <v>7088</v>
      </c>
      <c r="B571" s="81">
        <v>70</v>
      </c>
      <c r="C571" s="81">
        <v>30</v>
      </c>
      <c r="D571" s="81">
        <v>35</v>
      </c>
      <c r="E571" s="79"/>
      <c r="F571" s="20" t="s">
        <v>7089</v>
      </c>
      <c r="G571" s="24" t="str">
        <f ca="1">IFERROR(__xludf.DUMMYFUNCTION("GOOGLETRANSLATE(F571,""en"",""pt"")"),"câmaras de eletricidade de subestações de alta tensão")</f>
        <v>câmaras de eletricidade de subestações de alta tensão</v>
      </c>
      <c r="H571" s="24"/>
      <c r="I571" s="24"/>
      <c r="J571" s="24"/>
      <c r="K571" s="24"/>
    </row>
    <row r="572" spans="1:11" ht="14.5">
      <c r="A572" s="20" t="s">
        <v>7090</v>
      </c>
      <c r="B572" s="81">
        <v>70</v>
      </c>
      <c r="C572" s="81">
        <v>30</v>
      </c>
      <c r="D572" s="81">
        <v>45</v>
      </c>
      <c r="E572" s="79"/>
      <c r="F572" s="20" t="s">
        <v>7091</v>
      </c>
      <c r="G572" s="24" t="str">
        <f ca="1">IFERROR(__xludf.DUMMYFUNCTION("GOOGLETRANSLATE(F572,""en"",""pt"")"),"câmaras Subestação Eléctrica de baixa tensão")</f>
        <v>câmaras Subestação Eléctrica de baixa tensão</v>
      </c>
      <c r="H572" s="24"/>
      <c r="I572" s="24"/>
      <c r="J572" s="24"/>
      <c r="K572" s="24"/>
    </row>
    <row r="573" spans="1:11" ht="14.5">
      <c r="A573" s="20" t="s">
        <v>7092</v>
      </c>
      <c r="B573" s="81">
        <v>75</v>
      </c>
      <c r="C573" s="79"/>
      <c r="D573" s="79"/>
      <c r="E573" s="79"/>
      <c r="F573" s="20" t="s">
        <v>7093</v>
      </c>
      <c r="G573" s="24" t="str">
        <f ca="1">IFERROR(__xludf.DUMMYFUNCTION("GOOGLETRANSLATE(F573,""en"",""pt"")"),"Comunicações, espaços de proteção de segurança, de segurança e de")</f>
        <v>Comunicações, espaços de proteção de segurança, de segurança e de</v>
      </c>
      <c r="H573" s="24"/>
      <c r="I573" s="24"/>
      <c r="J573" s="24"/>
      <c r="K573" s="24"/>
    </row>
    <row r="574" spans="1:11" ht="14.5">
      <c r="A574" s="20" t="s">
        <v>7094</v>
      </c>
      <c r="B574" s="81">
        <v>75</v>
      </c>
      <c r="C574" s="81">
        <v>10</v>
      </c>
      <c r="D574" s="79"/>
      <c r="E574" s="79"/>
      <c r="F574" s="20" t="s">
        <v>7095</v>
      </c>
      <c r="G574" s="24" t="str">
        <f ca="1">IFERROR(__xludf.DUMMYFUNCTION("GOOGLETRANSLATE(F574,""en"",""pt"")"),"espaços de comunicação")</f>
        <v>espaços de comunicação</v>
      </c>
      <c r="H574" s="24"/>
      <c r="I574" s="24"/>
      <c r="J574" s="24"/>
      <c r="K574" s="24"/>
    </row>
    <row r="575" spans="1:11" ht="14.5">
      <c r="A575" s="20" t="s">
        <v>7096</v>
      </c>
      <c r="B575" s="81">
        <v>75</v>
      </c>
      <c r="C575" s="81">
        <v>10</v>
      </c>
      <c r="D575" s="81">
        <v>21</v>
      </c>
      <c r="E575" s="79"/>
      <c r="F575" s="20" t="s">
        <v>7097</v>
      </c>
      <c r="G575" s="24" t="str">
        <f ca="1">IFERROR(__xludf.DUMMYFUNCTION("GOOGLETRANSLATE(F575,""en"",""pt"")"),"salas de equipamentos de comunicação")</f>
        <v>salas de equipamentos de comunicação</v>
      </c>
      <c r="H575" s="24"/>
      <c r="I575" s="24"/>
      <c r="J575" s="24"/>
      <c r="K575" s="24"/>
    </row>
    <row r="576" spans="1:11" ht="14.5">
      <c r="A576" s="20" t="s">
        <v>7098</v>
      </c>
      <c r="B576" s="81">
        <v>75</v>
      </c>
      <c r="C576" s="81">
        <v>10</v>
      </c>
      <c r="D576" s="81">
        <v>23</v>
      </c>
      <c r="E576" s="79"/>
      <c r="F576" s="20" t="s">
        <v>7099</v>
      </c>
      <c r="G576" s="24" t="str">
        <f ca="1">IFERROR(__xludf.DUMMYFUNCTION("GOOGLETRANSLATE(F576,""en"",""pt"")"),"redes de transmissão de dados digitais")</f>
        <v>redes de transmissão de dados digitais</v>
      </c>
      <c r="H576" s="24"/>
      <c r="I576" s="24"/>
      <c r="J576" s="24"/>
      <c r="K576" s="24"/>
    </row>
    <row r="577" spans="1:11" ht="14.5">
      <c r="A577" s="20" t="s">
        <v>7100</v>
      </c>
      <c r="B577" s="81">
        <v>75</v>
      </c>
      <c r="C577" s="81">
        <v>10</v>
      </c>
      <c r="D577" s="81">
        <v>70</v>
      </c>
      <c r="E577" s="79"/>
      <c r="F577" s="20" t="s">
        <v>7101</v>
      </c>
      <c r="G577" s="24" t="str">
        <f ca="1">IFERROR(__xludf.DUMMYFUNCTION("GOOGLETRANSLATE(F577,""en"",""pt"")"),"Rádio cabines de controle de transmissão")</f>
        <v>Rádio cabines de controle de transmissão</v>
      </c>
      <c r="H577" s="24"/>
      <c r="I577" s="24"/>
      <c r="J577" s="24"/>
      <c r="K577" s="24"/>
    </row>
    <row r="578" spans="1:11" ht="14.5">
      <c r="A578" s="20" t="s">
        <v>7102</v>
      </c>
      <c r="B578" s="81">
        <v>75</v>
      </c>
      <c r="C578" s="81">
        <v>10</v>
      </c>
      <c r="D578" s="81">
        <v>73</v>
      </c>
      <c r="E578" s="79"/>
      <c r="F578" s="20" t="s">
        <v>7103</v>
      </c>
      <c r="G578" s="24" t="str">
        <f ca="1">IFERROR(__xludf.DUMMYFUNCTION("GOOGLETRANSLATE(F578,""en"",""pt"")"),"estúdios de rádio")</f>
        <v>estúdios de rádio</v>
      </c>
      <c r="H578" s="24"/>
      <c r="I578" s="24"/>
      <c r="J578" s="24"/>
      <c r="K578" s="24"/>
    </row>
    <row r="579" spans="1:11" ht="14.5">
      <c r="A579" s="20" t="s">
        <v>7104</v>
      </c>
      <c r="B579" s="81">
        <v>75</v>
      </c>
      <c r="C579" s="81">
        <v>10</v>
      </c>
      <c r="D579" s="81">
        <v>88</v>
      </c>
      <c r="E579" s="79"/>
      <c r="F579" s="20" t="s">
        <v>7105</v>
      </c>
      <c r="G579" s="24" t="str">
        <f ca="1">IFERROR(__xludf.DUMMYFUNCTION("GOOGLETRANSLATE(F579,""en"",""pt"")"),"espaços de controle de telecomunicações")</f>
        <v>espaços de controle de telecomunicações</v>
      </c>
      <c r="H579" s="24"/>
      <c r="I579" s="24"/>
      <c r="J579" s="24"/>
      <c r="K579" s="24"/>
    </row>
    <row r="580" spans="1:11" ht="14.5">
      <c r="A580" s="20" t="s">
        <v>7106</v>
      </c>
      <c r="B580" s="81">
        <v>75</v>
      </c>
      <c r="C580" s="81">
        <v>10</v>
      </c>
      <c r="D580" s="81">
        <v>89</v>
      </c>
      <c r="E580" s="79"/>
      <c r="F580" s="20" t="s">
        <v>7107</v>
      </c>
      <c r="G580" s="24" t="str">
        <f ca="1">IFERROR(__xludf.DUMMYFUNCTION("GOOGLETRANSLATE(F580,""en"",""pt"")"),"Cabines telefónicas")</f>
        <v>Cabines telefónicas</v>
      </c>
      <c r="H580" s="24"/>
      <c r="I580" s="24"/>
      <c r="J580" s="24"/>
      <c r="K580" s="24"/>
    </row>
    <row r="581" spans="1:11" ht="14.5">
      <c r="A581" s="20" t="s">
        <v>7108</v>
      </c>
      <c r="B581" s="81">
        <v>75</v>
      </c>
      <c r="C581" s="81">
        <v>10</v>
      </c>
      <c r="D581" s="81">
        <v>90</v>
      </c>
      <c r="E581" s="79"/>
      <c r="F581" s="20" t="s">
        <v>7109</v>
      </c>
      <c r="G581" s="24" t="str">
        <f ca="1">IFERROR(__xludf.DUMMYFUNCTION("GOOGLETRANSLATE(F581,""en"",""pt"")"),"espaços de troca de telefone")</f>
        <v>espaços de troca de telefone</v>
      </c>
      <c r="H581" s="24"/>
      <c r="I581" s="24"/>
      <c r="J581" s="24"/>
      <c r="K581" s="24"/>
    </row>
    <row r="582" spans="1:11" ht="14.5">
      <c r="A582" s="20" t="s">
        <v>7110</v>
      </c>
      <c r="B582" s="81">
        <v>75</v>
      </c>
      <c r="C582" s="81">
        <v>10</v>
      </c>
      <c r="D582" s="81">
        <v>91</v>
      </c>
      <c r="E582" s="79"/>
      <c r="F582" s="20" t="s">
        <v>7111</v>
      </c>
      <c r="G582" s="24" t="str">
        <f ca="1">IFERROR(__xludf.DUMMYFUNCTION("GOOGLETRANSLATE(F582,""en"",""pt"")"),"Televisão cabines de controle de transmissão")</f>
        <v>Televisão cabines de controle de transmissão</v>
      </c>
      <c r="H582" s="24"/>
      <c r="I582" s="24"/>
      <c r="J582" s="24"/>
      <c r="K582" s="24"/>
    </row>
    <row r="583" spans="1:11" ht="14.5">
      <c r="A583" s="20" t="s">
        <v>7112</v>
      </c>
      <c r="B583" s="81">
        <v>75</v>
      </c>
      <c r="C583" s="81">
        <v>10</v>
      </c>
      <c r="D583" s="81">
        <v>93</v>
      </c>
      <c r="E583" s="79"/>
      <c r="F583" s="20" t="s">
        <v>7113</v>
      </c>
      <c r="G583" s="24" t="str">
        <f ca="1">IFERROR(__xludf.DUMMYFUNCTION("GOOGLETRANSLATE(F583,""en"",""pt"")"),"estúdios de televisão")</f>
        <v>estúdios de televisão</v>
      </c>
      <c r="H583" s="24"/>
      <c r="I583" s="24"/>
      <c r="J583" s="24"/>
      <c r="K583" s="24"/>
    </row>
    <row r="584" spans="1:11" ht="14.5">
      <c r="A584" s="20" t="s">
        <v>7114</v>
      </c>
      <c r="B584" s="81">
        <v>75</v>
      </c>
      <c r="C584" s="81">
        <v>30</v>
      </c>
      <c r="D584" s="79"/>
      <c r="E584" s="79"/>
      <c r="F584" s="20" t="s">
        <v>7115</v>
      </c>
      <c r="G584" s="24" t="str">
        <f ca="1">IFERROR(__xludf.DUMMYFUNCTION("GOOGLETRANSLATE(F584,""en"",""pt"")"),"sinalização espaços")</f>
        <v>sinalização espaços</v>
      </c>
      <c r="H584" s="24"/>
      <c r="I584" s="24"/>
      <c r="J584" s="24"/>
      <c r="K584" s="24"/>
    </row>
    <row r="585" spans="1:11" ht="14.5">
      <c r="A585" s="20" t="s">
        <v>7116</v>
      </c>
      <c r="B585" s="81">
        <v>75</v>
      </c>
      <c r="C585" s="81">
        <v>30</v>
      </c>
      <c r="D585" s="81">
        <v>80</v>
      </c>
      <c r="E585" s="79"/>
      <c r="F585" s="20" t="s">
        <v>7117</v>
      </c>
      <c r="G585" s="24" t="str">
        <f ca="1">IFERROR(__xludf.DUMMYFUNCTION("GOOGLETRANSLATE(F585,""en"",""pt"")"),"caixas de sinal")</f>
        <v>caixas de sinal</v>
      </c>
      <c r="H585" s="24"/>
      <c r="I585" s="24"/>
      <c r="J585" s="24"/>
      <c r="K585" s="24"/>
    </row>
    <row r="586" spans="1:11" ht="14.5">
      <c r="A586" s="20" t="s">
        <v>7118</v>
      </c>
      <c r="B586" s="81">
        <v>75</v>
      </c>
      <c r="C586" s="81">
        <v>40</v>
      </c>
      <c r="D586" s="79"/>
      <c r="E586" s="79"/>
      <c r="F586" s="20" t="s">
        <v>7119</v>
      </c>
      <c r="G586" s="24" t="str">
        <f ca="1">IFERROR(__xludf.DUMMYFUNCTION("GOOGLETRANSLATE(F586,""en"",""pt"")"),"espaços de segurança eletrônica")</f>
        <v>espaços de segurança eletrônica</v>
      </c>
      <c r="H586" s="24"/>
      <c r="I586" s="24"/>
      <c r="J586" s="24"/>
      <c r="K586" s="24"/>
    </row>
    <row r="587" spans="1:11" ht="14.5">
      <c r="A587" s="20" t="s">
        <v>7120</v>
      </c>
      <c r="B587" s="81">
        <v>75</v>
      </c>
      <c r="C587" s="81">
        <v>40</v>
      </c>
      <c r="D587" s="81">
        <v>28</v>
      </c>
      <c r="E587" s="79"/>
      <c r="F587" s="20" t="s">
        <v>7121</v>
      </c>
      <c r="G587" s="24" t="str">
        <f ca="1">IFERROR(__xludf.DUMMYFUNCTION("GOOGLETRANSLATE(F587,""en"",""pt"")"),"salas de controle de segurança eletrônica")</f>
        <v>salas de controle de segurança eletrônica</v>
      </c>
      <c r="H587" s="24"/>
      <c r="I587" s="24"/>
      <c r="J587" s="24"/>
      <c r="K587" s="24"/>
    </row>
    <row r="588" spans="1:11" ht="14.5">
      <c r="A588" s="20" t="s">
        <v>7122</v>
      </c>
      <c r="B588" s="81">
        <v>75</v>
      </c>
      <c r="C588" s="81">
        <v>50</v>
      </c>
      <c r="D588" s="79"/>
      <c r="E588" s="79"/>
      <c r="F588" s="20" t="s">
        <v>7123</v>
      </c>
      <c r="G588" s="24" t="str">
        <f ca="1">IFERROR(__xludf.DUMMYFUNCTION("GOOGLETRANSLATE(F588,""en"",""pt"")"),"espaços de segurança e protecção")</f>
        <v>espaços de segurança e protecção</v>
      </c>
      <c r="H588" s="24"/>
      <c r="I588" s="24"/>
      <c r="J588" s="24"/>
      <c r="K588" s="24"/>
    </row>
    <row r="589" spans="1:11" ht="14.5">
      <c r="A589" s="20" t="s">
        <v>7124</v>
      </c>
      <c r="B589" s="81">
        <v>75</v>
      </c>
      <c r="C589" s="81">
        <v>60</v>
      </c>
      <c r="D589" s="79"/>
      <c r="E589" s="79"/>
      <c r="F589" s="20" t="s">
        <v>7125</v>
      </c>
      <c r="G589" s="24" t="str">
        <f ca="1">IFERROR(__xludf.DUMMYFUNCTION("GOOGLETRANSLATE(F589,""en"",""pt"")"),"Segurança ambiental")</f>
        <v>Segurança ambiental</v>
      </c>
      <c r="H589" s="24"/>
      <c r="I589" s="24"/>
      <c r="J589" s="24"/>
      <c r="K589" s="24"/>
    </row>
    <row r="590" spans="1:11" ht="14.5">
      <c r="A590" s="20" t="s">
        <v>7126</v>
      </c>
      <c r="B590" s="81">
        <v>75</v>
      </c>
      <c r="C590" s="81">
        <v>70</v>
      </c>
      <c r="D590" s="79"/>
      <c r="E590" s="79"/>
      <c r="F590" s="20" t="s">
        <v>7127</v>
      </c>
      <c r="G590" s="24" t="str">
        <f ca="1">IFERROR(__xludf.DUMMYFUNCTION("GOOGLETRANSLATE(F590,""en"",""pt"")"),"espaços de controle e gestão")</f>
        <v>espaços de controle e gestão</v>
      </c>
      <c r="H590" s="24"/>
      <c r="I590" s="24"/>
      <c r="J590" s="24"/>
      <c r="K590" s="24"/>
    </row>
    <row r="591" spans="1:11" ht="14.5">
      <c r="A591" s="20" t="s">
        <v>7128</v>
      </c>
      <c r="B591" s="81">
        <v>75</v>
      </c>
      <c r="C591" s="81">
        <v>80</v>
      </c>
      <c r="D591" s="79"/>
      <c r="E591" s="79"/>
      <c r="F591" s="20" t="s">
        <v>7129</v>
      </c>
      <c r="G591" s="24" t="str">
        <f ca="1">IFERROR(__xludf.DUMMYFUNCTION("GOOGLETRANSLATE(F591,""en"",""pt"")"),"espaços de proteção")</f>
        <v>espaços de proteção</v>
      </c>
      <c r="H591" s="24"/>
      <c r="I591" s="24"/>
      <c r="J591" s="24"/>
      <c r="K591" s="24"/>
    </row>
    <row r="592" spans="1:11" ht="14.5">
      <c r="A592" s="20" t="s">
        <v>7130</v>
      </c>
      <c r="B592" s="81">
        <v>80</v>
      </c>
      <c r="C592" s="79"/>
      <c r="D592" s="79"/>
      <c r="E592" s="79"/>
      <c r="F592" s="20" t="s">
        <v>7131</v>
      </c>
      <c r="G592" s="24" t="str">
        <f ca="1">IFERROR(__xludf.DUMMYFUNCTION("GOOGLETRANSLATE(F592,""en"",""pt"")"),"espaços de transporte")</f>
        <v>espaços de transporte</v>
      </c>
      <c r="H592" s="24"/>
      <c r="I592" s="24"/>
      <c r="J592" s="24"/>
      <c r="K592" s="24"/>
    </row>
    <row r="593" spans="1:11" ht="14.5">
      <c r="A593" s="20" t="s">
        <v>7132</v>
      </c>
      <c r="B593" s="81">
        <v>80</v>
      </c>
      <c r="C593" s="81">
        <v>5</v>
      </c>
      <c r="D593" s="79"/>
      <c r="E593" s="79"/>
      <c r="F593" s="20" t="s">
        <v>7133</v>
      </c>
      <c r="G593" s="24" t="str">
        <f ca="1">IFERROR(__xludf.DUMMYFUNCTION("GOOGLETRANSLATE(F593,""en"",""pt"")"),"espaços terrestres aeroespaciais")</f>
        <v>espaços terrestres aeroespaciais</v>
      </c>
      <c r="H593" s="24"/>
      <c r="I593" s="24"/>
      <c r="J593" s="24"/>
      <c r="K593" s="24"/>
    </row>
    <row r="594" spans="1:11" ht="14.5">
      <c r="A594" s="20" t="s">
        <v>7134</v>
      </c>
      <c r="B594" s="81">
        <v>80</v>
      </c>
      <c r="C594" s="81">
        <v>5</v>
      </c>
      <c r="D594" s="81">
        <v>2</v>
      </c>
      <c r="E594" s="79"/>
      <c r="F594" s="20" t="s">
        <v>7135</v>
      </c>
      <c r="G594" s="24" t="str">
        <f ca="1">IFERROR(__xludf.DUMMYFUNCTION("GOOGLETRANSLATE(F594,""en"",""pt"")"),"pistas de pouso de avião")</f>
        <v>pistas de pouso de avião</v>
      </c>
      <c r="H594" s="24"/>
      <c r="I594" s="24"/>
      <c r="J594" s="24"/>
      <c r="K594" s="24"/>
    </row>
    <row r="595" spans="1:11" ht="14.5">
      <c r="A595" s="20" t="s">
        <v>7136</v>
      </c>
      <c r="B595" s="81">
        <v>80</v>
      </c>
      <c r="C595" s="81">
        <v>5</v>
      </c>
      <c r="D595" s="81">
        <v>3</v>
      </c>
      <c r="E595" s="79"/>
      <c r="F595" s="20" t="s">
        <v>7137</v>
      </c>
      <c r="G595" s="24" t="str">
        <f ca="1">IFERROR(__xludf.DUMMYFUNCTION("GOOGLETRANSLATE(F595,""en"",""pt"")"),"pistas de avião")</f>
        <v>pistas de avião</v>
      </c>
      <c r="H595" s="24"/>
      <c r="I595" s="24"/>
      <c r="J595" s="24"/>
      <c r="K595" s="24"/>
    </row>
    <row r="596" spans="1:11" ht="14.5">
      <c r="A596" s="20" t="s">
        <v>7138</v>
      </c>
      <c r="B596" s="81">
        <v>80</v>
      </c>
      <c r="C596" s="81">
        <v>5</v>
      </c>
      <c r="D596" s="81">
        <v>4</v>
      </c>
      <c r="E596" s="79"/>
      <c r="F596" s="20" t="s">
        <v>7139</v>
      </c>
      <c r="G596" s="24" t="str">
        <f ca="1">IFERROR(__xludf.DUMMYFUNCTION("GOOGLETRANSLATE(F596,""en"",""pt"")"),"espaços de abastecimento de aeronaves")</f>
        <v>espaços de abastecimento de aeronaves</v>
      </c>
      <c r="H596" s="24"/>
      <c r="I596" s="24"/>
      <c r="J596" s="24"/>
      <c r="K596" s="24"/>
    </row>
    <row r="597" spans="1:11" ht="14.5">
      <c r="A597" s="20" t="s">
        <v>7140</v>
      </c>
      <c r="B597" s="81">
        <v>80</v>
      </c>
      <c r="C597" s="81">
        <v>5</v>
      </c>
      <c r="D597" s="81">
        <v>5</v>
      </c>
      <c r="E597" s="79"/>
      <c r="F597" s="20" t="s">
        <v>7141</v>
      </c>
      <c r="G597" s="24" t="str">
        <f ca="1">IFERROR(__xludf.DUMMYFUNCTION("GOOGLETRANSLATE(F597,""en"",""pt"")"),"Aeronaves áreas de manobra")</f>
        <v>Aeronaves áreas de manobra</v>
      </c>
      <c r="H597" s="24"/>
      <c r="I597" s="24"/>
      <c r="J597" s="24"/>
      <c r="K597" s="24"/>
    </row>
    <row r="598" spans="1:11" ht="14.5">
      <c r="A598" s="20" t="s">
        <v>7142</v>
      </c>
      <c r="B598" s="81">
        <v>80</v>
      </c>
      <c r="C598" s="81">
        <v>5</v>
      </c>
      <c r="D598" s="81">
        <v>6</v>
      </c>
      <c r="E598" s="79"/>
      <c r="F598" s="20" t="s">
        <v>7143</v>
      </c>
      <c r="G598" s="24" t="str">
        <f ca="1">IFERROR(__xludf.DUMMYFUNCTION("GOOGLETRANSLATE(F598,""en"",""pt"")"),"áreas de pé aeronaves")</f>
        <v>áreas de pé aeronaves</v>
      </c>
      <c r="H598" s="24"/>
      <c r="I598" s="24"/>
      <c r="J598" s="24"/>
      <c r="K598" s="24"/>
    </row>
    <row r="599" spans="1:11" ht="14.5">
      <c r="A599" s="20" t="s">
        <v>7144</v>
      </c>
      <c r="B599" s="81">
        <v>80</v>
      </c>
      <c r="C599" s="81">
        <v>5</v>
      </c>
      <c r="D599" s="81">
        <v>7</v>
      </c>
      <c r="E599" s="79"/>
      <c r="F599" s="20" t="s">
        <v>7145</v>
      </c>
      <c r="G599" s="24" t="str">
        <f ca="1">IFERROR(__xludf.DUMMYFUNCTION("GOOGLETRANSLATE(F599,""en"",""pt"")"),"espaços de armazenamento aeronaves")</f>
        <v>espaços de armazenamento aeronaves</v>
      </c>
      <c r="H599" s="24"/>
      <c r="I599" s="24"/>
      <c r="J599" s="24"/>
      <c r="K599" s="24"/>
    </row>
    <row r="600" spans="1:11" ht="14.5">
      <c r="A600" s="20" t="s">
        <v>7146</v>
      </c>
      <c r="B600" s="81">
        <v>80</v>
      </c>
      <c r="C600" s="81">
        <v>5</v>
      </c>
      <c r="D600" s="81">
        <v>33</v>
      </c>
      <c r="E600" s="79"/>
      <c r="F600" s="20" t="s">
        <v>7147</v>
      </c>
      <c r="G600" s="24" t="str">
        <f ca="1">IFERROR(__xludf.DUMMYFUNCTION("GOOGLETRANSLATE(F600,""en"",""pt"")"),"deslizando pistas")</f>
        <v>deslizando pistas</v>
      </c>
      <c r="H600" s="24"/>
      <c r="I600" s="24"/>
      <c r="J600" s="24"/>
      <c r="K600" s="24"/>
    </row>
    <row r="601" spans="1:11" ht="14.5">
      <c r="A601" s="20" t="s">
        <v>7148</v>
      </c>
      <c r="B601" s="81">
        <v>80</v>
      </c>
      <c r="C601" s="81">
        <v>5</v>
      </c>
      <c r="D601" s="81">
        <v>37</v>
      </c>
      <c r="E601" s="79"/>
      <c r="F601" s="20" t="s">
        <v>7149</v>
      </c>
      <c r="G601" s="24" t="str">
        <f ca="1">IFERROR(__xludf.DUMMYFUNCTION("GOOGLETRANSLATE(F601,""en"",""pt"")"),"Asa Delta espaços de lançamento")</f>
        <v>Asa Delta espaços de lançamento</v>
      </c>
      <c r="H601" s="24"/>
      <c r="I601" s="24"/>
      <c r="J601" s="24"/>
      <c r="K601" s="24"/>
    </row>
    <row r="602" spans="1:11" ht="14.5">
      <c r="A602" s="20" t="s">
        <v>7150</v>
      </c>
      <c r="B602" s="81">
        <v>80</v>
      </c>
      <c r="C602" s="81">
        <v>5</v>
      </c>
      <c r="D602" s="81">
        <v>38</v>
      </c>
      <c r="E602" s="79"/>
      <c r="F602" s="20" t="s">
        <v>7151</v>
      </c>
      <c r="G602" s="24" t="str">
        <f ca="1">IFERROR(__xludf.DUMMYFUNCTION("GOOGLETRANSLATE(F602,""en"",""pt"")"),"helipontos")</f>
        <v>helipontos</v>
      </c>
      <c r="H602" s="24"/>
      <c r="I602" s="24"/>
      <c r="J602" s="24"/>
      <c r="K602" s="24"/>
    </row>
    <row r="603" spans="1:11" ht="14.5">
      <c r="A603" s="20" t="s">
        <v>7152</v>
      </c>
      <c r="B603" s="81">
        <v>80</v>
      </c>
      <c r="C603" s="81">
        <v>5</v>
      </c>
      <c r="D603" s="81">
        <v>82</v>
      </c>
      <c r="E603" s="79"/>
      <c r="F603" s="20" t="s">
        <v>7153</v>
      </c>
      <c r="G603" s="24" t="str">
        <f ca="1">IFERROR(__xludf.DUMMYFUNCTION("GOOGLETRANSLATE(F603,""en"",""pt"")"),"tiras nave espacial de pouso")</f>
        <v>tiras nave espacial de pouso</v>
      </c>
      <c r="H603" s="24"/>
      <c r="I603" s="24"/>
      <c r="J603" s="24"/>
      <c r="K603" s="24"/>
    </row>
    <row r="604" spans="1:11" ht="14.5">
      <c r="A604" s="20" t="s">
        <v>7154</v>
      </c>
      <c r="B604" s="81">
        <v>80</v>
      </c>
      <c r="C604" s="81">
        <v>5</v>
      </c>
      <c r="D604" s="81">
        <v>84</v>
      </c>
      <c r="E604" s="79"/>
      <c r="F604" s="20" t="s">
        <v>7155</v>
      </c>
      <c r="G604" s="24" t="str">
        <f ca="1">IFERROR(__xludf.DUMMYFUNCTION("GOOGLETRANSLATE(F604,""en"",""pt"")"),"plataformas de lançamento nave espacial")</f>
        <v>plataformas de lançamento nave espacial</v>
      </c>
      <c r="H604" s="24"/>
      <c r="I604" s="24"/>
      <c r="J604" s="24"/>
      <c r="K604" s="24"/>
    </row>
    <row r="605" spans="1:11" ht="14.5">
      <c r="A605" s="20" t="s">
        <v>7156</v>
      </c>
      <c r="B605" s="81">
        <v>80</v>
      </c>
      <c r="C605" s="81">
        <v>10</v>
      </c>
      <c r="D605" s="79"/>
      <c r="E605" s="79"/>
      <c r="F605" s="20" t="s">
        <v>7157</v>
      </c>
      <c r="G605" s="24" t="str">
        <f ca="1">IFERROR(__xludf.DUMMYFUNCTION("GOOGLETRANSLATE(F605,""en"",""pt"")"),"Carga e embarque espaços")</f>
        <v>Carga e embarque espaços</v>
      </c>
      <c r="H605" s="24"/>
      <c r="I605" s="24"/>
      <c r="J605" s="24"/>
      <c r="K605" s="24"/>
    </row>
    <row r="606" spans="1:11" ht="14.5">
      <c r="A606" s="20" t="s">
        <v>7158</v>
      </c>
      <c r="B606" s="81">
        <v>80</v>
      </c>
      <c r="C606" s="81">
        <v>10</v>
      </c>
      <c r="D606" s="81">
        <v>6</v>
      </c>
      <c r="E606" s="79"/>
      <c r="F606" s="20" t="s">
        <v>7159</v>
      </c>
      <c r="G606" s="24" t="str">
        <f ca="1">IFERROR(__xludf.DUMMYFUNCTION("GOOGLETRANSLATE(F606,""en"",""pt"")"),"áreas de retirada de bagagens")</f>
        <v>áreas de retirada de bagagens</v>
      </c>
      <c r="H606" s="24"/>
      <c r="I606" s="24"/>
      <c r="J606" s="24"/>
      <c r="K606" s="24"/>
    </row>
    <row r="607" spans="1:11" ht="14.5">
      <c r="A607" s="20" t="s">
        <v>7160</v>
      </c>
      <c r="B607" s="81">
        <v>80</v>
      </c>
      <c r="C607" s="81">
        <v>10</v>
      </c>
      <c r="D607" s="81">
        <v>7</v>
      </c>
      <c r="E607" s="79"/>
      <c r="F607" s="20" t="s">
        <v>7161</v>
      </c>
      <c r="G607" s="24" t="str">
        <f ca="1">IFERROR(__xludf.DUMMYFUNCTION("GOOGLETRANSLATE(F607,""en"",""pt"")"),"áreas de manuseio de bagagem")</f>
        <v>áreas de manuseio de bagagem</v>
      </c>
      <c r="H607" s="24"/>
      <c r="I607" s="24"/>
      <c r="J607" s="24"/>
      <c r="K607" s="24"/>
    </row>
    <row r="608" spans="1:11" ht="14.5">
      <c r="A608" s="20" t="s">
        <v>7162</v>
      </c>
      <c r="B608" s="81">
        <v>80</v>
      </c>
      <c r="C608" s="81">
        <v>10</v>
      </c>
      <c r="D608" s="81">
        <v>9</v>
      </c>
      <c r="E608" s="79"/>
      <c r="F608" s="20" t="s">
        <v>7163</v>
      </c>
      <c r="G608" s="24" t="str">
        <f ca="1">IFERROR(__xludf.DUMMYFUNCTION("GOOGLETRANSLATE(F608,""en"",""pt"")"),"áreas de embarque")</f>
        <v>áreas de embarque</v>
      </c>
      <c r="H608" s="24"/>
      <c r="I608" s="24"/>
      <c r="J608" s="24"/>
      <c r="K608" s="24"/>
    </row>
    <row r="609" spans="1:11" ht="14.5">
      <c r="A609" s="20" t="s">
        <v>7164</v>
      </c>
      <c r="B609" s="81">
        <v>80</v>
      </c>
      <c r="C609" s="81">
        <v>10</v>
      </c>
      <c r="D609" s="81">
        <v>10</v>
      </c>
      <c r="E609" s="79"/>
      <c r="F609" s="20" t="s">
        <v>7165</v>
      </c>
      <c r="G609" s="24" t="str">
        <f ca="1">IFERROR(__xludf.DUMMYFUNCTION("GOOGLETRANSLATE(F609,""en"",""pt"")"),"Ponto de ônibus")</f>
        <v>Ponto de ônibus</v>
      </c>
      <c r="H609" s="24"/>
      <c r="I609" s="24"/>
      <c r="J609" s="24"/>
      <c r="K609" s="24"/>
    </row>
    <row r="610" spans="1:11" ht="14.5">
      <c r="A610" s="20" t="s">
        <v>7166</v>
      </c>
      <c r="B610" s="81">
        <v>80</v>
      </c>
      <c r="C610" s="81">
        <v>10</v>
      </c>
      <c r="D610" s="81">
        <v>12</v>
      </c>
      <c r="E610" s="79"/>
      <c r="F610" s="20" t="s">
        <v>7167</v>
      </c>
      <c r="G610" s="24" t="str">
        <f ca="1">IFERROR(__xludf.DUMMYFUNCTION("GOOGLETRANSLATE(F610,""en"",""pt"")"),"áreas de movimentação de carga")</f>
        <v>áreas de movimentação de carga</v>
      </c>
      <c r="H610" s="24"/>
      <c r="I610" s="24"/>
      <c r="J610" s="24"/>
      <c r="K610" s="24"/>
    </row>
    <row r="611" spans="1:11" ht="14.5">
      <c r="A611" s="20" t="s">
        <v>7168</v>
      </c>
      <c r="B611" s="81">
        <v>80</v>
      </c>
      <c r="C611" s="81">
        <v>10</v>
      </c>
      <c r="D611" s="81">
        <v>13</v>
      </c>
      <c r="E611" s="79"/>
      <c r="F611" s="20" t="s">
        <v>7169</v>
      </c>
      <c r="G611" s="24" t="str">
        <f ca="1">IFERROR(__xludf.DUMMYFUNCTION("GOOGLETRANSLATE(F611,""en"",""pt"")"),"áreas de carregamento de carga")</f>
        <v>áreas de carregamento de carga</v>
      </c>
      <c r="H611" s="24"/>
      <c r="I611" s="24"/>
      <c r="J611" s="24"/>
      <c r="K611" s="24"/>
    </row>
    <row r="612" spans="1:11" ht="14.5">
      <c r="A612" s="20" t="s">
        <v>7170</v>
      </c>
      <c r="B612" s="81">
        <v>80</v>
      </c>
      <c r="C612" s="81">
        <v>10</v>
      </c>
      <c r="D612" s="81">
        <v>16</v>
      </c>
      <c r="E612" s="79"/>
      <c r="F612" s="20" t="s">
        <v>7171</v>
      </c>
      <c r="G612" s="24" t="str">
        <f ca="1">IFERROR(__xludf.DUMMYFUNCTION("GOOGLETRANSLATE(F612,""en"",""pt"")"),"concourses")</f>
        <v>concourses</v>
      </c>
      <c r="H612" s="24"/>
      <c r="I612" s="24"/>
      <c r="J612" s="24"/>
      <c r="K612" s="24"/>
    </row>
    <row r="613" spans="1:11" ht="14.5">
      <c r="A613" s="20" t="s">
        <v>7172</v>
      </c>
      <c r="B613" s="81">
        <v>80</v>
      </c>
      <c r="C613" s="81">
        <v>10</v>
      </c>
      <c r="D613" s="81">
        <v>20</v>
      </c>
      <c r="E613" s="79"/>
      <c r="F613" s="20" t="s">
        <v>7173</v>
      </c>
      <c r="G613" s="24" t="str">
        <f ca="1">IFERROR(__xludf.DUMMYFUNCTION("GOOGLETRANSLATE(F613,""en"",""pt"")"),"áreas de controle aduaneiros")</f>
        <v>áreas de controle aduaneiros</v>
      </c>
      <c r="H613" s="24"/>
      <c r="I613" s="24"/>
      <c r="J613" s="24"/>
      <c r="K613" s="24"/>
    </row>
    <row r="614" spans="1:11" ht="14.5">
      <c r="A614" s="20" t="s">
        <v>7174</v>
      </c>
      <c r="B614" s="81">
        <v>80</v>
      </c>
      <c r="C614" s="81">
        <v>10</v>
      </c>
      <c r="D614" s="81">
        <v>22</v>
      </c>
      <c r="E614" s="79"/>
      <c r="F614" s="20" t="s">
        <v>7175</v>
      </c>
      <c r="G614" s="24" t="str">
        <f ca="1">IFERROR(__xludf.DUMMYFUNCTION("GOOGLETRANSLATE(F614,""en"",""pt"")"),"salas de embarque")</f>
        <v>salas de embarque</v>
      </c>
      <c r="H614" s="24"/>
      <c r="I614" s="24"/>
      <c r="J614" s="24"/>
      <c r="K614" s="24"/>
    </row>
    <row r="615" spans="1:11" ht="14.5">
      <c r="A615" s="20" t="s">
        <v>7176</v>
      </c>
      <c r="B615" s="81">
        <v>80</v>
      </c>
      <c r="C615" s="81">
        <v>10</v>
      </c>
      <c r="D615" s="81">
        <v>55</v>
      </c>
      <c r="E615" s="79"/>
      <c r="F615" s="20" t="s">
        <v>7177</v>
      </c>
      <c r="G615" s="24" t="str">
        <f ca="1">IFERROR(__xludf.DUMMYFUNCTION("GOOGLETRANSLATE(F615,""en"",""pt"")"),"portões de passageiros")</f>
        <v>portões de passageiros</v>
      </c>
      <c r="H615" s="24"/>
      <c r="I615" s="24"/>
      <c r="J615" s="24"/>
      <c r="K615" s="24"/>
    </row>
    <row r="616" spans="1:11" ht="14.5">
      <c r="A616" s="20" t="s">
        <v>7178</v>
      </c>
      <c r="B616" s="81">
        <v>80</v>
      </c>
      <c r="C616" s="81">
        <v>10</v>
      </c>
      <c r="D616" s="81">
        <v>60</v>
      </c>
      <c r="E616" s="79"/>
      <c r="F616" s="20" t="s">
        <v>7179</v>
      </c>
      <c r="G616" s="24" t="str">
        <f ca="1">IFERROR(__xludf.DUMMYFUNCTION("GOOGLETRANSLATE(F616,""en"",""pt"")"),"escritórios de controle de passaporte")</f>
        <v>escritórios de controle de passaporte</v>
      </c>
      <c r="H616" s="24"/>
      <c r="I616" s="24"/>
      <c r="J616" s="24"/>
      <c r="K616" s="24"/>
    </row>
    <row r="617" spans="1:11" ht="14.5">
      <c r="A617" s="20" t="s">
        <v>7180</v>
      </c>
      <c r="B617" s="81">
        <v>80</v>
      </c>
      <c r="C617" s="81">
        <v>10</v>
      </c>
      <c r="D617" s="81">
        <v>77</v>
      </c>
      <c r="E617" s="79"/>
      <c r="F617" s="20" t="s">
        <v>7181</v>
      </c>
      <c r="G617" s="24" t="str">
        <f ca="1">IFERROR(__xludf.DUMMYFUNCTION("GOOGLETRANSLATE(F617,""en"",""pt"")"),"áreas de triagem de segurança")</f>
        <v>áreas de triagem de segurança</v>
      </c>
      <c r="H617" s="24"/>
      <c r="I617" s="24"/>
      <c r="J617" s="24"/>
      <c r="K617" s="24"/>
    </row>
    <row r="618" spans="1:11" ht="14.5">
      <c r="A618" s="20" t="s">
        <v>7182</v>
      </c>
      <c r="B618" s="81">
        <v>80</v>
      </c>
      <c r="C618" s="81">
        <v>10</v>
      </c>
      <c r="D618" s="81">
        <v>80</v>
      </c>
      <c r="E618" s="79"/>
      <c r="F618" s="20" t="s">
        <v>7183</v>
      </c>
      <c r="G618" s="24" t="str">
        <f ca="1">IFERROR(__xludf.DUMMYFUNCTION("GOOGLETRANSLATE(F618,""en"",""pt"")"),"passadiços navio")</f>
        <v>passadiços navio</v>
      </c>
      <c r="H618" s="24"/>
      <c r="I618" s="24"/>
      <c r="J618" s="24"/>
      <c r="K618" s="24"/>
    </row>
    <row r="619" spans="1:11" ht="14.5">
      <c r="A619" s="20" t="s">
        <v>7184</v>
      </c>
      <c r="B619" s="81">
        <v>80</v>
      </c>
      <c r="C619" s="81">
        <v>15</v>
      </c>
      <c r="D619" s="79"/>
      <c r="E619" s="79"/>
      <c r="F619" s="20" t="s">
        <v>7185</v>
      </c>
      <c r="G619" s="24" t="str">
        <f ca="1">IFERROR(__xludf.DUMMYFUNCTION("GOOGLETRANSLATE(F619,""en"",""pt"")"),"espaços de manutenção aeroespaciais")</f>
        <v>espaços de manutenção aeroespaciais</v>
      </c>
      <c r="H619" s="24"/>
      <c r="I619" s="24"/>
      <c r="J619" s="24"/>
      <c r="K619" s="24"/>
    </row>
    <row r="620" spans="1:11" ht="14.5">
      <c r="A620" s="20" t="s">
        <v>7186</v>
      </c>
      <c r="B620" s="81">
        <v>80</v>
      </c>
      <c r="C620" s="81">
        <v>15</v>
      </c>
      <c r="D620" s="81">
        <v>1</v>
      </c>
      <c r="E620" s="79"/>
      <c r="F620" s="20" t="s">
        <v>7187</v>
      </c>
      <c r="G620" s="24" t="str">
        <f ca="1">IFERROR(__xludf.DUMMYFUNCTION("GOOGLETRANSLATE(F620,""en"",""pt"")"),"espaços limpeza de aeronaves")</f>
        <v>espaços limpeza de aeronaves</v>
      </c>
      <c r="H620" s="24"/>
      <c r="I620" s="24"/>
      <c r="J620" s="24"/>
      <c r="K620" s="24"/>
    </row>
    <row r="621" spans="1:11" ht="14.5">
      <c r="A621" s="20" t="s">
        <v>7188</v>
      </c>
      <c r="B621" s="81">
        <v>80</v>
      </c>
      <c r="C621" s="81">
        <v>15</v>
      </c>
      <c r="D621" s="81">
        <v>4</v>
      </c>
      <c r="E621" s="79"/>
      <c r="F621" s="20" t="s">
        <v>7189</v>
      </c>
      <c r="G621" s="24" t="str">
        <f ca="1">IFERROR(__xludf.DUMMYFUNCTION("GOOGLETRANSLATE(F621,""en"",""pt"")"),"espaços de reparação de aeronaves")</f>
        <v>espaços de reparação de aeronaves</v>
      </c>
      <c r="H621" s="24"/>
      <c r="I621" s="24"/>
      <c r="J621" s="24"/>
      <c r="K621" s="24"/>
    </row>
    <row r="622" spans="1:11" ht="14.5">
      <c r="A622" s="20" t="s">
        <v>7190</v>
      </c>
      <c r="B622" s="81">
        <v>80</v>
      </c>
      <c r="C622" s="81">
        <v>15</v>
      </c>
      <c r="D622" s="81">
        <v>6</v>
      </c>
      <c r="E622" s="79"/>
      <c r="F622" s="20" t="s">
        <v>7191</v>
      </c>
      <c r="G622" s="24" t="str">
        <f ca="1">IFERROR(__xludf.DUMMYFUNCTION("GOOGLETRANSLATE(F622,""en"",""pt"")"),"espaços de controle do aeroporto")</f>
        <v>espaços de controle do aeroporto</v>
      </c>
      <c r="H622" s="24"/>
      <c r="I622" s="24"/>
      <c r="J622" s="24"/>
      <c r="K622" s="24"/>
    </row>
    <row r="623" spans="1:11" ht="14.5">
      <c r="A623" s="20" t="s">
        <v>7192</v>
      </c>
      <c r="B623" s="81">
        <v>80</v>
      </c>
      <c r="C623" s="81">
        <v>15</v>
      </c>
      <c r="D623" s="81">
        <v>79</v>
      </c>
      <c r="E623" s="79"/>
      <c r="F623" s="20" t="s">
        <v>7193</v>
      </c>
      <c r="G623" s="24" t="str">
        <f ca="1">IFERROR(__xludf.DUMMYFUNCTION("GOOGLETRANSLATE(F623,""en"",""pt"")"),"espaços de limpeza nave espacial")</f>
        <v>espaços de limpeza nave espacial</v>
      </c>
      <c r="H623" s="24"/>
      <c r="I623" s="24"/>
      <c r="J623" s="24"/>
      <c r="K623" s="24"/>
    </row>
    <row r="624" spans="1:11" ht="14.5">
      <c r="A624" s="20" t="s">
        <v>7194</v>
      </c>
      <c r="B624" s="81">
        <v>80</v>
      </c>
      <c r="C624" s="81">
        <v>15</v>
      </c>
      <c r="D624" s="81">
        <v>81</v>
      </c>
      <c r="E624" s="79"/>
      <c r="F624" s="20" t="s">
        <v>7195</v>
      </c>
      <c r="G624" s="24" t="str">
        <f ca="1">IFERROR(__xludf.DUMMYFUNCTION("GOOGLETRANSLATE(F624,""en"",""pt"")"),"espaços de preparação nave espacial")</f>
        <v>espaços de preparação nave espacial</v>
      </c>
      <c r="H624" s="24"/>
      <c r="I624" s="24"/>
      <c r="J624" s="24"/>
      <c r="K624" s="24"/>
    </row>
    <row r="625" spans="1:11" ht="14.5">
      <c r="A625" s="20" t="s">
        <v>7196</v>
      </c>
      <c r="B625" s="81">
        <v>80</v>
      </c>
      <c r="C625" s="81">
        <v>15</v>
      </c>
      <c r="D625" s="81">
        <v>82</v>
      </c>
      <c r="E625" s="79"/>
      <c r="F625" s="20" t="s">
        <v>7197</v>
      </c>
      <c r="G625" s="24" t="str">
        <f ca="1">IFERROR(__xludf.DUMMYFUNCTION("GOOGLETRANSLATE(F625,""en"",""pt"")"),"espaços de reparação nave espacial")</f>
        <v>espaços de reparação nave espacial</v>
      </c>
      <c r="H625" s="24"/>
      <c r="I625" s="24"/>
      <c r="J625" s="24"/>
      <c r="K625" s="24"/>
    </row>
    <row r="626" spans="1:11" ht="14.5">
      <c r="A626" s="20" t="s">
        <v>7198</v>
      </c>
      <c r="B626" s="81">
        <v>80</v>
      </c>
      <c r="C626" s="81">
        <v>20</v>
      </c>
      <c r="D626" s="79"/>
      <c r="E626" s="79"/>
      <c r="F626" s="20" t="s">
        <v>7199</v>
      </c>
      <c r="G626" s="24" t="str">
        <f ca="1">IFERROR(__xludf.DUMMYFUNCTION("GOOGLETRANSLATE(F626,""en"",""pt"")"),"teleféricos")</f>
        <v>teleféricos</v>
      </c>
      <c r="H626" s="24"/>
      <c r="I626" s="24"/>
      <c r="J626" s="24"/>
      <c r="K626" s="24"/>
    </row>
    <row r="627" spans="1:11" ht="14.5">
      <c r="A627" s="20" t="s">
        <v>7200</v>
      </c>
      <c r="B627" s="81">
        <v>80</v>
      </c>
      <c r="C627" s="81">
        <v>20</v>
      </c>
      <c r="D627" s="81">
        <v>13</v>
      </c>
      <c r="E627" s="79"/>
      <c r="F627" s="20" t="s">
        <v>7199</v>
      </c>
      <c r="G627" s="24" t="str">
        <f ca="1">IFERROR(__xludf.DUMMYFUNCTION("GOOGLETRANSLATE(F627,""en"",""pt"")"),"teleféricos")</f>
        <v>teleféricos</v>
      </c>
      <c r="H627" s="24"/>
      <c r="I627" s="24"/>
      <c r="J627" s="24"/>
      <c r="K627" s="24"/>
    </row>
    <row r="628" spans="1:11" ht="14.5">
      <c r="A628" s="20" t="s">
        <v>7201</v>
      </c>
      <c r="B628" s="81">
        <v>80</v>
      </c>
      <c r="C628" s="81">
        <v>30</v>
      </c>
      <c r="D628" s="79"/>
      <c r="E628" s="79"/>
      <c r="F628" s="20" t="s">
        <v>7202</v>
      </c>
      <c r="G628" s="24" t="str">
        <f ca="1">IFERROR(__xludf.DUMMYFUNCTION("GOOGLETRANSLATE(F628,""en"",""pt"")"),"espaços de armazenamento de transporte por cabo e de manutenção")</f>
        <v>espaços de armazenamento de transporte por cabo e de manutenção</v>
      </c>
      <c r="H628" s="24"/>
      <c r="I628" s="24"/>
      <c r="J628" s="24"/>
      <c r="K628" s="24"/>
    </row>
    <row r="629" spans="1:11" ht="14.5">
      <c r="A629" s="20" t="s">
        <v>7203</v>
      </c>
      <c r="B629" s="81">
        <v>80</v>
      </c>
      <c r="C629" s="81">
        <v>30</v>
      </c>
      <c r="D629" s="81">
        <v>34</v>
      </c>
      <c r="E629" s="79"/>
      <c r="F629" s="20" t="s">
        <v>7204</v>
      </c>
      <c r="G629" s="24" t="str">
        <f ca="1">IFERROR(__xludf.DUMMYFUNCTION("GOOGLETRANSLATE(F629,""en"",""pt"")"),"reparação de gôndola e espaços de limpeza")</f>
        <v>reparação de gôndola e espaços de limpeza</v>
      </c>
      <c r="H629" s="24"/>
      <c r="I629" s="24"/>
      <c r="J629" s="24"/>
      <c r="K629" s="24"/>
    </row>
    <row r="630" spans="1:11" ht="14.5">
      <c r="A630" s="20" t="s">
        <v>7205</v>
      </c>
      <c r="B630" s="81">
        <v>80</v>
      </c>
      <c r="C630" s="81">
        <v>30</v>
      </c>
      <c r="D630" s="81">
        <v>35</v>
      </c>
      <c r="E630" s="79"/>
      <c r="F630" s="20" t="s">
        <v>7206</v>
      </c>
      <c r="G630" s="24" t="str">
        <f ca="1">IFERROR(__xludf.DUMMYFUNCTION("GOOGLETRANSLATE(F630,""en"",""pt"")"),"espaços de armazenamento de gôndola")</f>
        <v>espaços de armazenamento de gôndola</v>
      </c>
      <c r="H630" s="24"/>
      <c r="I630" s="24"/>
      <c r="J630" s="24"/>
      <c r="K630" s="24"/>
    </row>
    <row r="631" spans="1:11" ht="14.5">
      <c r="A631" s="20" t="s">
        <v>7207</v>
      </c>
      <c r="B631" s="81">
        <v>80</v>
      </c>
      <c r="C631" s="81">
        <v>35</v>
      </c>
      <c r="D631" s="79"/>
      <c r="E631" s="79"/>
      <c r="F631" s="20" t="s">
        <v>7208</v>
      </c>
      <c r="G631" s="24" t="str">
        <f ca="1">IFERROR(__xludf.DUMMYFUNCTION("GOOGLETRANSLATE(F631,""en"",""pt"")"),"espaços estrada")</f>
        <v>espaços estrada</v>
      </c>
      <c r="H631" s="24"/>
      <c r="I631" s="24"/>
      <c r="J631" s="24"/>
      <c r="K631" s="24"/>
    </row>
    <row r="632" spans="1:11" ht="14.5">
      <c r="A632" s="20" t="s">
        <v>7209</v>
      </c>
      <c r="B632" s="81">
        <v>80</v>
      </c>
      <c r="C632" s="81">
        <v>35</v>
      </c>
      <c r="D632" s="81">
        <v>4</v>
      </c>
      <c r="E632" s="79"/>
      <c r="F632" s="20" t="s">
        <v>7210</v>
      </c>
      <c r="G632" s="24" t="str">
        <f ca="1">IFERROR(__xludf.DUMMYFUNCTION("GOOGLETRANSLATE(F632,""en"",""pt"")"),"camas arrestor")</f>
        <v>camas arrestor</v>
      </c>
      <c r="H632" s="24"/>
      <c r="I632" s="24"/>
      <c r="J632" s="24"/>
      <c r="K632" s="24"/>
    </row>
    <row r="633" spans="1:11" ht="14.5">
      <c r="A633" s="20" t="s">
        <v>7211</v>
      </c>
      <c r="B633" s="81">
        <v>80</v>
      </c>
      <c r="C633" s="81">
        <v>35</v>
      </c>
      <c r="D633" s="81">
        <v>8</v>
      </c>
      <c r="E633" s="79"/>
      <c r="F633" s="20" t="s">
        <v>7212</v>
      </c>
      <c r="G633" s="24" t="str">
        <f ca="1">IFERROR(__xludf.DUMMYFUNCTION("GOOGLETRANSLATE(F633,""en"",""pt"")"),"áreas de manobra de ônibus")</f>
        <v>áreas de manobra de ônibus</v>
      </c>
      <c r="H633" s="24"/>
      <c r="I633" s="24"/>
      <c r="J633" s="24"/>
      <c r="K633" s="24"/>
    </row>
    <row r="634" spans="1:11" ht="14.5">
      <c r="A634" s="20" t="s">
        <v>7213</v>
      </c>
      <c r="B634" s="81">
        <v>80</v>
      </c>
      <c r="C634" s="81">
        <v>35</v>
      </c>
      <c r="D634" s="81">
        <v>11</v>
      </c>
      <c r="E634" s="79"/>
      <c r="F634" s="20" t="s">
        <v>7214</v>
      </c>
      <c r="G634" s="24" t="str">
        <f ca="1">IFERROR(__xludf.DUMMYFUNCTION("GOOGLETRANSLATE(F634,""en"",""pt"")"),"áreas de manobra Car")</f>
        <v>áreas de manobra Car</v>
      </c>
      <c r="H634" s="24"/>
      <c r="I634" s="24"/>
      <c r="J634" s="24"/>
      <c r="K634" s="24"/>
    </row>
    <row r="635" spans="1:11" ht="14.5">
      <c r="A635" s="20" t="s">
        <v>7215</v>
      </c>
      <c r="B635" s="81">
        <v>80</v>
      </c>
      <c r="C635" s="81">
        <v>35</v>
      </c>
      <c r="D635" s="81">
        <v>13</v>
      </c>
      <c r="E635" s="79"/>
      <c r="F635" s="20" t="s">
        <v>7216</v>
      </c>
      <c r="G635" s="24" t="str">
        <f ca="1">IFERROR(__xludf.DUMMYFUNCTION("GOOGLETRANSLATE(F635,""en"",""pt"")"),"carriageways")</f>
        <v>carriageways</v>
      </c>
      <c r="H635" s="24"/>
      <c r="I635" s="24"/>
      <c r="J635" s="24"/>
      <c r="K635" s="24"/>
    </row>
    <row r="636" spans="1:11" ht="14.5">
      <c r="A636" s="20" t="s">
        <v>7217</v>
      </c>
      <c r="B636" s="81">
        <v>80</v>
      </c>
      <c r="C636" s="81">
        <v>35</v>
      </c>
      <c r="D636" s="81">
        <v>16</v>
      </c>
      <c r="E636" s="79"/>
      <c r="F636" s="20" t="s">
        <v>7218</v>
      </c>
      <c r="G636" s="24" t="str">
        <f ca="1">IFERROR(__xludf.DUMMYFUNCTION("GOOGLETRANSLATE(F636,""en"",""pt"")"),"central de reservas")</f>
        <v>central de reservas</v>
      </c>
      <c r="H636" s="24"/>
      <c r="I636" s="24"/>
      <c r="J636" s="24"/>
      <c r="K636" s="24"/>
    </row>
    <row r="637" spans="1:11" ht="14.5">
      <c r="A637" s="20" t="s">
        <v>7219</v>
      </c>
      <c r="B637" s="81">
        <v>80</v>
      </c>
      <c r="C637" s="81">
        <v>35</v>
      </c>
      <c r="D637" s="81">
        <v>18</v>
      </c>
      <c r="E637" s="79"/>
      <c r="F637" s="20" t="s">
        <v>7220</v>
      </c>
      <c r="G637" s="24" t="str">
        <f ca="1">IFERROR(__xludf.DUMMYFUNCTION("GOOGLETRANSLATE(F637,""en"",""pt"")"),"espaços Crossover")</f>
        <v>espaços Crossover</v>
      </c>
      <c r="H637" s="24"/>
      <c r="I637" s="24"/>
      <c r="J637" s="24"/>
      <c r="K637" s="24"/>
    </row>
    <row r="638" spans="1:11" ht="14.5">
      <c r="A638" s="20" t="s">
        <v>7221</v>
      </c>
      <c r="B638" s="81">
        <v>80</v>
      </c>
      <c r="C638" s="81">
        <v>35</v>
      </c>
      <c r="D638" s="81">
        <v>19</v>
      </c>
      <c r="E638" s="79"/>
      <c r="F638" s="20" t="s">
        <v>7222</v>
      </c>
      <c r="G638" s="24" t="str">
        <f ca="1">IFERROR(__xludf.DUMMYFUNCTION("GOOGLETRANSLATE(F638,""en"",""pt"")"),"travessias de ciclo")</f>
        <v>travessias de ciclo</v>
      </c>
      <c r="H638" s="24"/>
      <c r="I638" s="24"/>
      <c r="J638" s="24"/>
      <c r="K638" s="24"/>
    </row>
    <row r="639" spans="1:11" ht="14.5">
      <c r="A639" s="20" t="s">
        <v>7223</v>
      </c>
      <c r="B639" s="81">
        <v>80</v>
      </c>
      <c r="C639" s="81">
        <v>35</v>
      </c>
      <c r="D639" s="81">
        <v>20</v>
      </c>
      <c r="E639" s="79"/>
      <c r="F639" s="20" t="s">
        <v>7224</v>
      </c>
      <c r="G639" s="24" t="str">
        <f ca="1">IFERROR(__xludf.DUMMYFUNCTION("GOOGLETRANSLATE(F639,""en"",""pt"")"),"ciclovias")</f>
        <v>ciclovias</v>
      </c>
      <c r="H639" s="24"/>
      <c r="I639" s="24"/>
      <c r="J639" s="24"/>
      <c r="K639" s="24"/>
    </row>
    <row r="640" spans="1:11" ht="14.5">
      <c r="A640" s="20" t="s">
        <v>7225</v>
      </c>
      <c r="B640" s="81">
        <v>80</v>
      </c>
      <c r="C640" s="81">
        <v>35</v>
      </c>
      <c r="D640" s="81">
        <v>22</v>
      </c>
      <c r="E640" s="79"/>
      <c r="F640" s="20" t="s">
        <v>7226</v>
      </c>
      <c r="G640" s="24" t="str">
        <f ca="1">IFERROR(__xludf.DUMMYFUNCTION("GOOGLETRANSLATE(F640,""en"",""pt"")"),"rotas de desvio")</f>
        <v>rotas de desvio</v>
      </c>
      <c r="H640" s="24"/>
      <c r="I640" s="24"/>
      <c r="J640" s="24"/>
      <c r="K640" s="24"/>
    </row>
    <row r="641" spans="1:11" ht="14.5">
      <c r="A641" s="20" t="s">
        <v>7227</v>
      </c>
      <c r="B641" s="81">
        <v>80</v>
      </c>
      <c r="C641" s="81">
        <v>35</v>
      </c>
      <c r="D641" s="81">
        <v>36</v>
      </c>
      <c r="E641" s="79"/>
      <c r="F641" s="20" t="s">
        <v>7228</v>
      </c>
      <c r="G641" s="24" t="str">
        <f ca="1">IFERROR(__xludf.DUMMYFUNCTION("GOOGLETRANSLATE(F641,""en"",""pt"")"),"bermas")</f>
        <v>bermas</v>
      </c>
      <c r="H641" s="24"/>
      <c r="I641" s="24"/>
      <c r="J641" s="24"/>
      <c r="K641" s="24"/>
    </row>
    <row r="642" spans="1:11" ht="14.5">
      <c r="A642" s="20" t="s">
        <v>7229</v>
      </c>
      <c r="B642" s="81">
        <v>80</v>
      </c>
      <c r="C642" s="81">
        <v>35</v>
      </c>
      <c r="D642" s="81">
        <v>37</v>
      </c>
      <c r="E642" s="79"/>
      <c r="F642" s="20" t="s">
        <v>7230</v>
      </c>
      <c r="G642" s="24" t="str">
        <f ca="1">IFERROR(__xludf.DUMMYFUNCTION("GOOGLETRANSLATE(F642,""en"",""pt"")"),"classificação rígidos")</f>
        <v>classificação rígidos</v>
      </c>
      <c r="H642" s="24"/>
      <c r="I642" s="24"/>
      <c r="J642" s="24"/>
      <c r="K642" s="24"/>
    </row>
    <row r="643" spans="1:11" ht="14.5">
      <c r="A643" s="20" t="s">
        <v>7231</v>
      </c>
      <c r="B643" s="81">
        <v>80</v>
      </c>
      <c r="C643" s="81">
        <v>35</v>
      </c>
      <c r="D643" s="81">
        <v>39</v>
      </c>
      <c r="E643" s="79"/>
      <c r="F643" s="20" t="s">
        <v>7232</v>
      </c>
      <c r="G643" s="24" t="str">
        <f ca="1">IFERROR(__xludf.DUMMYFUNCTION("GOOGLETRANSLATE(F643,""en"",""pt"")"),"Estrada pull-offs")</f>
        <v>Estrada pull-offs</v>
      </c>
      <c r="H643" s="24"/>
      <c r="I643" s="24"/>
      <c r="J643" s="24"/>
      <c r="K643" s="24"/>
    </row>
    <row r="644" spans="1:11" ht="14.5">
      <c r="A644" s="20" t="s">
        <v>7233</v>
      </c>
      <c r="B644" s="81">
        <v>80</v>
      </c>
      <c r="C644" s="81">
        <v>35</v>
      </c>
      <c r="D644" s="81">
        <v>40</v>
      </c>
      <c r="E644" s="79"/>
      <c r="F644" s="20" t="s">
        <v>7234</v>
      </c>
      <c r="G644" s="24" t="str">
        <f ca="1">IFERROR(__xludf.DUMMYFUNCTION("GOOGLETRANSLATE(F644,""en"",""pt"")"),"rotundas estrada")</f>
        <v>rotundas estrada</v>
      </c>
      <c r="H644" s="24"/>
      <c r="I644" s="24"/>
      <c r="J644" s="24"/>
      <c r="K644" s="24"/>
    </row>
    <row r="645" spans="1:11" ht="14.5">
      <c r="A645" s="20" t="s">
        <v>7235</v>
      </c>
      <c r="B645" s="81">
        <v>80</v>
      </c>
      <c r="C645" s="81">
        <v>35</v>
      </c>
      <c r="D645" s="81">
        <v>42</v>
      </c>
      <c r="E645" s="79"/>
      <c r="F645" s="20" t="s">
        <v>7236</v>
      </c>
      <c r="G645" s="24" t="str">
        <f ca="1">IFERROR(__xludf.DUMMYFUNCTION("GOOGLETRANSLATE(F645,""en"",""pt"")"),"interseções")</f>
        <v>interseções</v>
      </c>
      <c r="H645" s="24"/>
      <c r="I645" s="24"/>
      <c r="J645" s="24"/>
      <c r="K645" s="24"/>
    </row>
    <row r="646" spans="1:11" ht="14.5">
      <c r="A646" s="20" t="s">
        <v>7237</v>
      </c>
      <c r="B646" s="81">
        <v>80</v>
      </c>
      <c r="C646" s="81">
        <v>35</v>
      </c>
      <c r="D646" s="81">
        <v>44</v>
      </c>
      <c r="E646" s="79"/>
      <c r="F646" s="20" t="s">
        <v>7238</v>
      </c>
      <c r="G646" s="24" t="str">
        <f ca="1">IFERROR(__xludf.DUMMYFUNCTION("GOOGLETRANSLATE(F646,""en"",""pt"")"),"junções")</f>
        <v>junções</v>
      </c>
      <c r="H646" s="24"/>
      <c r="I646" s="24"/>
      <c r="J646" s="24"/>
      <c r="K646" s="24"/>
    </row>
    <row r="647" spans="1:11" ht="14.5">
      <c r="A647" s="20" t="s">
        <v>7239</v>
      </c>
      <c r="B647" s="81">
        <v>80</v>
      </c>
      <c r="C647" s="81">
        <v>35</v>
      </c>
      <c r="D647" s="81">
        <v>45</v>
      </c>
      <c r="E647" s="79"/>
      <c r="F647" s="20" t="s">
        <v>7240</v>
      </c>
      <c r="G647" s="24" t="str">
        <f ca="1">IFERROR(__xludf.DUMMYFUNCTION("GOOGLETRANSLATE(F647,""en"",""pt"")"),"Lanes")</f>
        <v>Lanes</v>
      </c>
      <c r="H647" s="24"/>
      <c r="I647" s="24"/>
      <c r="J647" s="24"/>
      <c r="K647" s="24"/>
    </row>
    <row r="648" spans="1:11" ht="14.5">
      <c r="A648" s="20" t="s">
        <v>7241</v>
      </c>
      <c r="B648" s="81">
        <v>80</v>
      </c>
      <c r="C648" s="81">
        <v>35</v>
      </c>
      <c r="D648" s="81">
        <v>46</v>
      </c>
      <c r="E648" s="79"/>
      <c r="F648" s="20" t="s">
        <v>7242</v>
      </c>
      <c r="G648" s="24" t="str">
        <f ca="1">IFERROR(__xludf.DUMMYFUNCTION("GOOGLETRANSLATE(F648,""en"",""pt"")"),"Lay-bys e lugares de passagem")</f>
        <v>Lay-bys e lugares de passagem</v>
      </c>
      <c r="H648" s="24"/>
      <c r="I648" s="24"/>
      <c r="J648" s="24"/>
      <c r="K648" s="24"/>
    </row>
    <row r="649" spans="1:11" ht="14.5">
      <c r="A649" s="20" t="s">
        <v>7243</v>
      </c>
      <c r="B649" s="81">
        <v>80</v>
      </c>
      <c r="C649" s="81">
        <v>35</v>
      </c>
      <c r="D649" s="81">
        <v>57</v>
      </c>
      <c r="E649" s="79"/>
      <c r="F649" s="20" t="s">
        <v>7244</v>
      </c>
      <c r="G649" s="24" t="str">
        <f ca="1">IFERROR(__xludf.DUMMYFUNCTION("GOOGLETRANSLATE(F649,""en"",""pt"")"),"Não-motorizados de uso cruzamentos")</f>
        <v>Não-motorizados de uso cruzamentos</v>
      </c>
      <c r="H649" s="24"/>
      <c r="I649" s="24"/>
      <c r="J649" s="24"/>
      <c r="K649" s="24"/>
    </row>
    <row r="650" spans="1:11" ht="14.5">
      <c r="A650" s="20" t="s">
        <v>7245</v>
      </c>
      <c r="B650" s="81">
        <v>80</v>
      </c>
      <c r="C650" s="81">
        <v>35</v>
      </c>
      <c r="D650" s="81">
        <v>59</v>
      </c>
      <c r="E650" s="79"/>
      <c r="F650" s="20" t="s">
        <v>7246</v>
      </c>
      <c r="G650" s="24" t="str">
        <f ca="1">IFERROR(__xludf.DUMMYFUNCTION("GOOGLETRANSLATE(F650,""en"",""pt"")"),"laybys Ox-bow")</f>
        <v>laybys Ox-bow</v>
      </c>
      <c r="H650" s="24"/>
      <c r="I650" s="24"/>
      <c r="J650" s="24"/>
      <c r="K650" s="24"/>
    </row>
    <row r="651" spans="1:11" ht="14.5">
      <c r="A651" s="20" t="s">
        <v>7247</v>
      </c>
      <c r="B651" s="81">
        <v>80</v>
      </c>
      <c r="C651" s="81">
        <v>35</v>
      </c>
      <c r="D651" s="81">
        <v>62</v>
      </c>
      <c r="E651" s="79"/>
      <c r="F651" s="20" t="s">
        <v>7248</v>
      </c>
      <c r="G651" s="24" t="str">
        <f ca="1">IFERROR(__xludf.DUMMYFUNCTION("GOOGLETRANSLATE(F651,""en"",""pt"")"),"travessias de pedestres")</f>
        <v>travessias de pedestres</v>
      </c>
      <c r="H651" s="24"/>
      <c r="I651" s="24"/>
      <c r="J651" s="24"/>
      <c r="K651" s="24"/>
    </row>
    <row r="652" spans="1:11" ht="14.5">
      <c r="A652" s="20" t="s">
        <v>7249</v>
      </c>
      <c r="B652" s="81">
        <v>80</v>
      </c>
      <c r="C652" s="81">
        <v>35</v>
      </c>
      <c r="D652" s="81">
        <v>63</v>
      </c>
      <c r="E652" s="79"/>
      <c r="F652" s="20" t="s">
        <v>7250</v>
      </c>
      <c r="G652" s="24" t="str">
        <f ca="1">IFERROR(__xludf.DUMMYFUNCTION("GOOGLETRANSLATE(F652,""en"",""pt"")"),"percursos pedestres")</f>
        <v>percursos pedestres</v>
      </c>
      <c r="H652" s="24"/>
      <c r="I652" s="24"/>
      <c r="J652" s="24"/>
      <c r="K652" s="24"/>
    </row>
    <row r="653" spans="1:11" ht="14.5">
      <c r="A653" s="20" t="s">
        <v>7251</v>
      </c>
      <c r="B653" s="81">
        <v>80</v>
      </c>
      <c r="C653" s="81">
        <v>35</v>
      </c>
      <c r="D653" s="81">
        <v>64</v>
      </c>
      <c r="E653" s="79"/>
      <c r="F653" s="20" t="s">
        <v>7252</v>
      </c>
      <c r="G653" s="24" t="str">
        <f ca="1">IFERROR(__xludf.DUMMYFUNCTION("GOOGLETRANSLATE(F653,""en"",""pt"")"),"refúgios de pedestres e ilhas")</f>
        <v>refúgios de pedestres e ilhas</v>
      </c>
      <c r="H653" s="24"/>
      <c r="I653" s="24"/>
      <c r="J653" s="24"/>
      <c r="K653" s="24"/>
    </row>
    <row r="654" spans="1:11" ht="14.5">
      <c r="A654" s="20" t="s">
        <v>7253</v>
      </c>
      <c r="B654" s="81">
        <v>80</v>
      </c>
      <c r="C654" s="81">
        <v>35</v>
      </c>
      <c r="D654" s="81">
        <v>66</v>
      </c>
      <c r="E654" s="79"/>
      <c r="F654" s="20" t="s">
        <v>7254</v>
      </c>
      <c r="G654" s="24" t="str">
        <f ca="1">IFERROR(__xludf.DUMMYFUNCTION("GOOGLETRANSLATE(F654,""en"",""pt"")"),"rampas de polícia")</f>
        <v>rampas de polícia</v>
      </c>
      <c r="H654" s="24"/>
      <c r="I654" s="24"/>
      <c r="J654" s="24"/>
      <c r="K654" s="24"/>
    </row>
    <row r="655" spans="1:11" ht="14.5">
      <c r="A655" s="20" t="s">
        <v>7255</v>
      </c>
      <c r="B655" s="81">
        <v>80</v>
      </c>
      <c r="C655" s="81">
        <v>35</v>
      </c>
      <c r="D655" s="81">
        <v>70</v>
      </c>
      <c r="E655" s="79"/>
      <c r="F655" s="20" t="s">
        <v>7256</v>
      </c>
      <c r="G655" s="24" t="str">
        <f ca="1">IFERROR(__xludf.DUMMYFUNCTION("GOOGLETRANSLATE(F655,""en"",""pt"")"),"passagens de nível")</f>
        <v>passagens de nível</v>
      </c>
      <c r="H655" s="24"/>
      <c r="I655" s="24"/>
      <c r="J655" s="24"/>
      <c r="K655" s="24"/>
    </row>
    <row r="656" spans="1:11" ht="14.5">
      <c r="A656" s="20" t="s">
        <v>7257</v>
      </c>
      <c r="B656" s="81">
        <v>80</v>
      </c>
      <c r="C656" s="81">
        <v>35</v>
      </c>
      <c r="D656" s="81">
        <v>71</v>
      </c>
      <c r="E656" s="79"/>
      <c r="F656" s="20" t="s">
        <v>7258</v>
      </c>
      <c r="G656" s="24" t="str">
        <f ca="1">IFERROR(__xludf.DUMMYFUNCTION("GOOGLETRANSLATE(F656,""en"",""pt"")"),"áreas de refúgio")</f>
        <v>áreas de refúgio</v>
      </c>
      <c r="H656" s="24"/>
      <c r="I656" s="24"/>
      <c r="J656" s="24"/>
      <c r="K656" s="24"/>
    </row>
    <row r="657" spans="1:11" ht="14.5">
      <c r="A657" s="20" t="s">
        <v>7259</v>
      </c>
      <c r="B657" s="81">
        <v>80</v>
      </c>
      <c r="C657" s="81">
        <v>35</v>
      </c>
      <c r="D657" s="81">
        <v>72</v>
      </c>
      <c r="E657" s="79"/>
      <c r="F657" s="20" t="s">
        <v>7260</v>
      </c>
      <c r="G657" s="24" t="str">
        <f ca="1">IFERROR(__xludf.DUMMYFUNCTION("GOOGLETRANSLATE(F657,""en"",""pt"")"),"áreas de descanso na estrada")</f>
        <v>áreas de descanso na estrada</v>
      </c>
      <c r="H657" s="24"/>
      <c r="I657" s="24"/>
      <c r="J657" s="24"/>
      <c r="K657" s="24"/>
    </row>
    <row r="658" spans="1:11" ht="14.5">
      <c r="A658" s="20" t="s">
        <v>7261</v>
      </c>
      <c r="B658" s="81">
        <v>80</v>
      </c>
      <c r="C658" s="81">
        <v>35</v>
      </c>
      <c r="D658" s="81">
        <v>74</v>
      </c>
      <c r="E658" s="79"/>
      <c r="F658" s="20" t="s">
        <v>7262</v>
      </c>
      <c r="G658" s="24" t="str">
        <f ca="1">IFERROR(__xludf.DUMMYFUNCTION("GOOGLETRANSLATE(F658,""en"",""pt"")"),"troços de estrada")</f>
        <v>troços de estrada</v>
      </c>
      <c r="H658" s="24"/>
      <c r="I658" s="24"/>
      <c r="J658" s="24"/>
      <c r="K658" s="24"/>
    </row>
    <row r="659" spans="1:11" ht="14.5">
      <c r="A659" s="20" t="s">
        <v>7263</v>
      </c>
      <c r="B659" s="81">
        <v>80</v>
      </c>
      <c r="C659" s="81">
        <v>35</v>
      </c>
      <c r="D659" s="81">
        <v>77</v>
      </c>
      <c r="E659" s="79"/>
      <c r="F659" s="20" t="s">
        <v>7264</v>
      </c>
      <c r="G659" s="24" t="str">
        <f ca="1">IFERROR(__xludf.DUMMYFUNCTION("GOOGLETRANSLATE(F659,""en"",""pt"")"),"reservas laterais")</f>
        <v>reservas laterais</v>
      </c>
      <c r="H659" s="24"/>
      <c r="I659" s="24"/>
      <c r="J659" s="24"/>
      <c r="K659" s="24"/>
    </row>
    <row r="660" spans="1:11" ht="14.5">
      <c r="A660" s="20" t="s">
        <v>7265</v>
      </c>
      <c r="B660" s="81">
        <v>80</v>
      </c>
      <c r="C660" s="81">
        <v>35</v>
      </c>
      <c r="D660" s="81">
        <v>78</v>
      </c>
      <c r="E660" s="79"/>
      <c r="F660" s="20" t="s">
        <v>7266</v>
      </c>
      <c r="G660" s="24" t="str">
        <f ca="1">IFERROR(__xludf.DUMMYFUNCTION("GOOGLETRANSLATE(F660,""en"",""pt"")"),"carriageways estrada lateral")</f>
        <v>carriageways estrada lateral</v>
      </c>
      <c r="H660" s="24"/>
      <c r="I660" s="24"/>
      <c r="J660" s="24"/>
      <c r="K660" s="24"/>
    </row>
    <row r="661" spans="1:11" ht="14.5">
      <c r="A661" s="20" t="s">
        <v>7267</v>
      </c>
      <c r="B661" s="81">
        <v>80</v>
      </c>
      <c r="C661" s="81">
        <v>35</v>
      </c>
      <c r="D661" s="81">
        <v>80</v>
      </c>
      <c r="E661" s="79"/>
      <c r="F661" s="20" t="s">
        <v>7268</v>
      </c>
      <c r="G661" s="24" t="str">
        <f ca="1">IFERROR(__xludf.DUMMYFUNCTION("GOOGLETRANSLATE(F661,""en"",""pt"")"),"carriageways estrada de deslizamento")</f>
        <v>carriageways estrada de deslizamento</v>
      </c>
      <c r="H661" s="24"/>
      <c r="I661" s="24"/>
      <c r="J661" s="24"/>
      <c r="K661" s="24"/>
    </row>
    <row r="662" spans="1:11" ht="14.5">
      <c r="A662" s="20" t="s">
        <v>7269</v>
      </c>
      <c r="B662" s="81">
        <v>80</v>
      </c>
      <c r="C662" s="81">
        <v>35</v>
      </c>
      <c r="D662" s="81">
        <v>81</v>
      </c>
      <c r="E662" s="79"/>
      <c r="F662" s="20" t="s">
        <v>7270</v>
      </c>
      <c r="G662" s="24" t="str">
        <f ca="1">IFERROR(__xludf.DUMMYFUNCTION("GOOGLETRANSLATE(F662,""en"",""pt"")"),"ombros macios")</f>
        <v>ombros macios</v>
      </c>
      <c r="H662" s="24"/>
      <c r="I662" s="24"/>
      <c r="J662" s="24"/>
      <c r="K662" s="24"/>
    </row>
    <row r="663" spans="1:11" ht="14.5">
      <c r="A663" s="20" t="s">
        <v>7271</v>
      </c>
      <c r="B663" s="81">
        <v>80</v>
      </c>
      <c r="C663" s="81">
        <v>35</v>
      </c>
      <c r="D663" s="81">
        <v>87</v>
      </c>
      <c r="E663" s="79"/>
      <c r="F663" s="20" t="s">
        <v>7272</v>
      </c>
      <c r="G663" s="24" t="str">
        <f ca="1">IFERROR(__xludf.DUMMYFUNCTION("GOOGLETRANSLATE(F663,""en"",""pt"")"),"praças de táxis")</f>
        <v>praças de táxis</v>
      </c>
      <c r="H663" s="24"/>
      <c r="I663" s="24"/>
      <c r="J663" s="24"/>
      <c r="K663" s="24"/>
    </row>
    <row r="664" spans="1:11" ht="14.5">
      <c r="A664" s="20" t="s">
        <v>7273</v>
      </c>
      <c r="B664" s="81">
        <v>80</v>
      </c>
      <c r="C664" s="81">
        <v>35</v>
      </c>
      <c r="D664" s="81">
        <v>90</v>
      </c>
      <c r="E664" s="79"/>
      <c r="F664" s="20" t="s">
        <v>7274</v>
      </c>
      <c r="G664" s="24" t="str">
        <f ca="1">IFERROR(__xludf.DUMMYFUNCTION("GOOGLETRANSLATE(F664,""en"",""pt"")"),"áreas de manobra de caminhões")</f>
        <v>áreas de manobra de caminhões</v>
      </c>
      <c r="H664" s="24"/>
      <c r="I664" s="24"/>
      <c r="J664" s="24"/>
      <c r="K664" s="24"/>
    </row>
    <row r="665" spans="1:11" ht="14.5">
      <c r="A665" s="20" t="s">
        <v>7275</v>
      </c>
      <c r="B665" s="81">
        <v>80</v>
      </c>
      <c r="C665" s="81">
        <v>35</v>
      </c>
      <c r="D665" s="81">
        <v>94</v>
      </c>
      <c r="E665" s="79"/>
      <c r="F665" s="20" t="s">
        <v>7276</v>
      </c>
      <c r="G665" s="24" t="str">
        <f ca="1">IFERROR(__xludf.DUMMYFUNCTION("GOOGLETRANSLATE(F665,""en"",""pt"")"),"espaços abobadados")</f>
        <v>espaços abobadados</v>
      </c>
      <c r="H665" s="24"/>
      <c r="I665" s="24"/>
      <c r="J665" s="24"/>
      <c r="K665" s="24"/>
    </row>
    <row r="666" spans="1:11" ht="14.5">
      <c r="A666" s="20" t="s">
        <v>7277</v>
      </c>
      <c r="B666" s="81">
        <v>80</v>
      </c>
      <c r="C666" s="81">
        <v>45</v>
      </c>
      <c r="D666" s="79"/>
      <c r="E666" s="79"/>
      <c r="F666" s="20" t="s">
        <v>7278</v>
      </c>
      <c r="G666" s="24" t="str">
        <f ca="1">IFERROR(__xludf.DUMMYFUNCTION("GOOGLETRANSLATE(F666,""en"",""pt"")"),"espaços de armazenamento de veículos")</f>
        <v>espaços de armazenamento de veículos</v>
      </c>
      <c r="H666" s="24"/>
      <c r="I666" s="24"/>
      <c r="J666" s="24"/>
      <c r="K666" s="24"/>
    </row>
    <row r="667" spans="1:11" ht="14.5">
      <c r="A667" s="20" t="s">
        <v>7279</v>
      </c>
      <c r="B667" s="81">
        <v>80</v>
      </c>
      <c r="C667" s="81">
        <v>45</v>
      </c>
      <c r="D667" s="81">
        <v>9</v>
      </c>
      <c r="E667" s="79"/>
      <c r="F667" s="20" t="s">
        <v>7280</v>
      </c>
      <c r="G667" s="24" t="str">
        <f ca="1">IFERROR(__xludf.DUMMYFUNCTION("GOOGLETRANSLATE(F667,""en"",""pt"")"),"espaços em pé de ônibus")</f>
        <v>espaços em pé de ônibus</v>
      </c>
      <c r="H667" s="24"/>
      <c r="I667" s="24"/>
      <c r="J667" s="24"/>
      <c r="K667" s="24"/>
    </row>
    <row r="668" spans="1:11" ht="14.5">
      <c r="A668" s="20" t="s">
        <v>7281</v>
      </c>
      <c r="B668" s="81">
        <v>80</v>
      </c>
      <c r="C668" s="81">
        <v>45</v>
      </c>
      <c r="D668" s="81">
        <v>11</v>
      </c>
      <c r="E668" s="79"/>
      <c r="F668" s="20" t="s">
        <v>7282</v>
      </c>
      <c r="G668" s="24" t="str">
        <f ca="1">IFERROR(__xludf.DUMMYFUNCTION("GOOGLETRANSLATE(F668,""en"",""pt"")"),"cabines atendente parque de estacionamento")</f>
        <v>cabines atendente parque de estacionamento</v>
      </c>
      <c r="H668" s="24"/>
      <c r="I668" s="24"/>
      <c r="J668" s="24"/>
      <c r="K668" s="24"/>
    </row>
    <row r="669" spans="1:11" ht="14.5">
      <c r="A669" s="20" t="s">
        <v>7283</v>
      </c>
      <c r="B669" s="81">
        <v>80</v>
      </c>
      <c r="C669" s="81">
        <v>45</v>
      </c>
      <c r="D669" s="81">
        <v>13</v>
      </c>
      <c r="E669" s="79"/>
      <c r="F669" s="20" t="s">
        <v>7284</v>
      </c>
      <c r="G669" s="24" t="str">
        <f ca="1">IFERROR(__xludf.DUMMYFUNCTION("GOOGLETRANSLATE(F669,""en"",""pt"")"),"rampas parque de estacionamento")</f>
        <v>rampas parque de estacionamento</v>
      </c>
      <c r="H669" s="24"/>
      <c r="I669" s="24"/>
      <c r="J669" s="24"/>
      <c r="K669" s="24"/>
    </row>
    <row r="670" spans="1:11" ht="14.5">
      <c r="A670" s="20" t="s">
        <v>7285</v>
      </c>
      <c r="B670" s="81">
        <v>80</v>
      </c>
      <c r="C670" s="81">
        <v>45</v>
      </c>
      <c r="D670" s="81">
        <v>15</v>
      </c>
      <c r="E670" s="79"/>
      <c r="F670" s="20" t="s">
        <v>7286</v>
      </c>
      <c r="G670" s="24" t="str">
        <f ca="1">IFERROR(__xludf.DUMMYFUNCTION("GOOGLETRANSLATE(F670,""en"",""pt"")"),"lugares de estacionamento ciclo")</f>
        <v>lugares de estacionamento ciclo</v>
      </c>
      <c r="H670" s="24"/>
      <c r="I670" s="24"/>
      <c r="J670" s="24"/>
      <c r="K670" s="24"/>
    </row>
    <row r="671" spans="1:11" ht="14.5">
      <c r="A671" s="20" t="s">
        <v>7287</v>
      </c>
      <c r="B671" s="81">
        <v>80</v>
      </c>
      <c r="C671" s="81">
        <v>45</v>
      </c>
      <c r="D671" s="81">
        <v>40</v>
      </c>
      <c r="E671" s="79"/>
      <c r="F671" s="20" t="s">
        <v>7288</v>
      </c>
      <c r="G671" s="24" t="str">
        <f ca="1">IFERROR(__xludf.DUMMYFUNCTION("GOOGLETRANSLATE(F671,""en"",""pt"")"),"lugares de estacionamento de veículos Indoor")</f>
        <v>lugares de estacionamento de veículos Indoor</v>
      </c>
      <c r="H671" s="24"/>
      <c r="I671" s="24"/>
      <c r="J671" s="24"/>
      <c r="K671" s="24"/>
    </row>
    <row r="672" spans="1:11" ht="14.5">
      <c r="A672" s="20" t="s">
        <v>7289</v>
      </c>
      <c r="B672" s="81">
        <v>80</v>
      </c>
      <c r="C672" s="81">
        <v>45</v>
      </c>
      <c r="D672" s="81">
        <v>59</v>
      </c>
      <c r="E672" s="79"/>
      <c r="F672" s="20" t="s">
        <v>7290</v>
      </c>
      <c r="G672" s="24" t="str">
        <f ca="1">IFERROR(__xludf.DUMMYFUNCTION("GOOGLETRANSLATE(F672,""en"",""pt"")"),"lugares de estacionamento de veículos ao ar livre")</f>
        <v>lugares de estacionamento de veículos ao ar livre</v>
      </c>
      <c r="H672" s="24"/>
      <c r="I672" s="24"/>
      <c r="J672" s="24"/>
      <c r="K672" s="24"/>
    </row>
    <row r="673" spans="1:11" ht="14.5">
      <c r="A673" s="20" t="s">
        <v>7291</v>
      </c>
      <c r="B673" s="81">
        <v>80</v>
      </c>
      <c r="C673" s="81">
        <v>45</v>
      </c>
      <c r="D673" s="81">
        <v>91</v>
      </c>
      <c r="E673" s="79"/>
      <c r="F673" s="20" t="s">
        <v>7292</v>
      </c>
      <c r="G673" s="24" t="str">
        <f ca="1">IFERROR(__xludf.DUMMYFUNCTION("GOOGLETRANSLATE(F673,""en"",""pt"")"),"espaços permanentes de caminhão")</f>
        <v>espaços permanentes de caminhão</v>
      </c>
      <c r="H673" s="24"/>
      <c r="I673" s="24"/>
      <c r="J673" s="24"/>
      <c r="K673" s="24"/>
    </row>
    <row r="674" spans="1:11" ht="14.5">
      <c r="A674" s="20" t="s">
        <v>7293</v>
      </c>
      <c r="B674" s="81">
        <v>80</v>
      </c>
      <c r="C674" s="81">
        <v>50</v>
      </c>
      <c r="D674" s="79"/>
      <c r="E674" s="79"/>
      <c r="F674" s="20" t="s">
        <v>7294</v>
      </c>
      <c r="G674" s="24" t="str">
        <f ca="1">IFERROR(__xludf.DUMMYFUNCTION("GOOGLETRANSLATE(F674,""en"",""pt"")"),"espaços ferroviários")</f>
        <v>espaços ferroviários</v>
      </c>
      <c r="H674" s="24"/>
      <c r="I674" s="24"/>
      <c r="J674" s="24"/>
      <c r="K674" s="24"/>
    </row>
    <row r="675" spans="1:11" ht="14.5">
      <c r="A675" s="20" t="s">
        <v>7295</v>
      </c>
      <c r="B675" s="81">
        <v>80</v>
      </c>
      <c r="C675" s="81">
        <v>50</v>
      </c>
      <c r="D675" s="81">
        <v>11</v>
      </c>
      <c r="E675" s="79"/>
      <c r="F675" s="20" t="s">
        <v>7296</v>
      </c>
      <c r="G675" s="24" t="str">
        <f ca="1">IFERROR(__xludf.DUMMYFUNCTION("GOOGLETRANSLATE(F675,""en"",""pt"")"),"espaços de limpeza de carro")</f>
        <v>espaços de limpeza de carro</v>
      </c>
      <c r="H675" s="24"/>
      <c r="I675" s="24"/>
      <c r="J675" s="24"/>
      <c r="K675" s="24"/>
    </row>
    <row r="676" spans="1:11" ht="14.5">
      <c r="A676" s="20" t="s">
        <v>7297</v>
      </c>
      <c r="B676" s="81">
        <v>80</v>
      </c>
      <c r="C676" s="81">
        <v>50</v>
      </c>
      <c r="D676" s="81">
        <v>24</v>
      </c>
      <c r="E676" s="79"/>
      <c r="F676" s="20" t="s">
        <v>7298</v>
      </c>
      <c r="G676" s="24" t="str">
        <f ca="1">IFERROR(__xludf.DUMMYFUNCTION("GOOGLETRANSLATE(F676,""en"",""pt"")"),"O dobro tomou partido plataformas")</f>
        <v>O dobro tomou partido plataformas</v>
      </c>
      <c r="H676" s="24"/>
      <c r="I676" s="24"/>
      <c r="J676" s="24"/>
      <c r="K676" s="24"/>
    </row>
    <row r="677" spans="1:11" ht="14.5">
      <c r="A677" s="20" t="s">
        <v>7299</v>
      </c>
      <c r="B677" s="81">
        <v>80</v>
      </c>
      <c r="C677" s="81">
        <v>50</v>
      </c>
      <c r="D677" s="81">
        <v>26</v>
      </c>
      <c r="E677" s="79"/>
      <c r="F677" s="20" t="s">
        <v>7300</v>
      </c>
      <c r="G677" s="24" t="str">
        <f ca="1">IFERROR(__xludf.DUMMYFUNCTION("GOOGLETRANSLATE(F677,""en"",""pt"")"),"áreas de abastecimento do motor")</f>
        <v>áreas de abastecimento do motor</v>
      </c>
      <c r="H677" s="24"/>
      <c r="I677" s="24"/>
      <c r="J677" s="24"/>
      <c r="K677" s="24"/>
    </row>
    <row r="678" spans="1:11" ht="14.5">
      <c r="A678" s="20" t="s">
        <v>7301</v>
      </c>
      <c r="B678" s="81">
        <v>80</v>
      </c>
      <c r="C678" s="81">
        <v>50</v>
      </c>
      <c r="D678" s="81">
        <v>27</v>
      </c>
      <c r="E678" s="79"/>
      <c r="F678" s="20" t="s">
        <v>7302</v>
      </c>
      <c r="G678" s="24" t="str">
        <f ca="1">IFERROR(__xludf.DUMMYFUNCTION("GOOGLETRANSLATE(F678,""en"",""pt"")"),"poços de inspeção do motor")</f>
        <v>poços de inspeção do motor</v>
      </c>
      <c r="H678" s="24"/>
      <c r="I678" s="24"/>
      <c r="J678" s="24"/>
      <c r="K678" s="24"/>
    </row>
    <row r="679" spans="1:11" ht="14.5">
      <c r="A679" s="20" t="s">
        <v>7303</v>
      </c>
      <c r="B679" s="81">
        <v>80</v>
      </c>
      <c r="C679" s="81">
        <v>50</v>
      </c>
      <c r="D679" s="81">
        <v>28</v>
      </c>
      <c r="E679" s="79"/>
      <c r="F679" s="20" t="s">
        <v>7304</v>
      </c>
      <c r="G679" s="24" t="str">
        <f ca="1">IFERROR(__xludf.DUMMYFUNCTION("GOOGLETRANSLATE(F679,""en"",""pt"")"),"áreas de motor manutenção")</f>
        <v>áreas de motor manutenção</v>
      </c>
      <c r="H679" s="24"/>
      <c r="I679" s="24"/>
      <c r="J679" s="24"/>
      <c r="K679" s="24"/>
    </row>
    <row r="680" spans="1:11" ht="14.5">
      <c r="A680" s="20" t="s">
        <v>7305</v>
      </c>
      <c r="B680" s="81">
        <v>80</v>
      </c>
      <c r="C680" s="81">
        <v>50</v>
      </c>
      <c r="D680" s="81">
        <v>29</v>
      </c>
      <c r="E680" s="79"/>
      <c r="F680" s="20" t="s">
        <v>7306</v>
      </c>
      <c r="G680" s="24" t="str">
        <f ca="1">IFERROR(__xludf.DUMMYFUNCTION("GOOGLETRANSLATE(F680,""en"",""pt"")"),"áreas de lavagem de motor")</f>
        <v>áreas de lavagem de motor</v>
      </c>
      <c r="H680" s="24"/>
      <c r="I680" s="24"/>
      <c r="J680" s="24"/>
      <c r="K680" s="24"/>
    </row>
    <row r="681" spans="1:11" ht="14.5">
      <c r="A681" s="20" t="s">
        <v>7307</v>
      </c>
      <c r="B681" s="81">
        <v>80</v>
      </c>
      <c r="C681" s="81">
        <v>50</v>
      </c>
      <c r="D681" s="81">
        <v>47</v>
      </c>
      <c r="E681" s="79"/>
      <c r="F681" s="20" t="s">
        <v>7308</v>
      </c>
      <c r="G681" s="24" t="str">
        <f ca="1">IFERROR(__xludf.DUMMYFUNCTION("GOOGLETRANSLATE(F681,""en"",""pt"")"),"paragens de metro ligeiro")</f>
        <v>paragens de metro ligeiro</v>
      </c>
      <c r="H681" s="24"/>
      <c r="I681" s="24"/>
      <c r="J681" s="24"/>
      <c r="K681" s="24"/>
    </row>
    <row r="682" spans="1:11" ht="14.5">
      <c r="A682" s="20" t="s">
        <v>7309</v>
      </c>
      <c r="B682" s="81">
        <v>80</v>
      </c>
      <c r="C682" s="81">
        <v>50</v>
      </c>
      <c r="D682" s="81">
        <v>50</v>
      </c>
      <c r="E682" s="79"/>
      <c r="F682" s="20" t="s">
        <v>7310</v>
      </c>
      <c r="G682" s="24" t="str">
        <f ca="1">IFERROR(__xludf.DUMMYFUNCTION("GOOGLETRANSLATE(F682,""en"",""pt"")"),"estações de triagem")</f>
        <v>estações de triagem</v>
      </c>
      <c r="H682" s="24"/>
      <c r="I682" s="24"/>
      <c r="J682" s="24"/>
      <c r="K682" s="24"/>
    </row>
    <row r="683" spans="1:11" ht="14.5">
      <c r="A683" s="20" t="s">
        <v>7311</v>
      </c>
      <c r="B683" s="81">
        <v>80</v>
      </c>
      <c r="C683" s="81">
        <v>50</v>
      </c>
      <c r="D683" s="81">
        <v>58</v>
      </c>
      <c r="E683" s="79"/>
      <c r="F683" s="20" t="s">
        <v>7312</v>
      </c>
      <c r="G683" s="24" t="str">
        <f ca="1">IFERROR(__xludf.DUMMYFUNCTION("GOOGLETRANSLATE(F683,""en"",""pt"")"),"viadutos ferroviários")</f>
        <v>viadutos ferroviários</v>
      </c>
      <c r="H683" s="24"/>
      <c r="I683" s="24"/>
      <c r="J683" s="24"/>
      <c r="K683" s="24"/>
    </row>
    <row r="684" spans="1:11" ht="14.5">
      <c r="A684" s="20" t="s">
        <v>7313</v>
      </c>
      <c r="B684" s="81">
        <v>80</v>
      </c>
      <c r="C684" s="81">
        <v>50</v>
      </c>
      <c r="D684" s="81">
        <v>70</v>
      </c>
      <c r="E684" s="79"/>
      <c r="F684" s="20" t="s">
        <v>7314</v>
      </c>
      <c r="G684" s="24" t="str">
        <f ca="1">IFERROR(__xludf.DUMMYFUNCTION("GOOGLETRANSLATE(F684,""en"",""pt"")"),"espaços de reparação ferroviárias")</f>
        <v>espaços de reparação ferroviárias</v>
      </c>
      <c r="H684" s="24"/>
      <c r="I684" s="24"/>
      <c r="J684" s="24"/>
      <c r="K684" s="24"/>
    </row>
    <row r="685" spans="1:11" ht="14.5">
      <c r="A685" s="20" t="s">
        <v>7315</v>
      </c>
      <c r="B685" s="81">
        <v>80</v>
      </c>
      <c r="C685" s="81">
        <v>50</v>
      </c>
      <c r="D685" s="81">
        <v>71</v>
      </c>
      <c r="E685" s="79"/>
      <c r="F685" s="20" t="s">
        <v>7316</v>
      </c>
      <c r="G685" s="24" t="str">
        <f ca="1">IFERROR(__xludf.DUMMYFUNCTION("GOOGLETRANSLATE(F685,""en"",""pt"")"),"reservas laterais ferroviárias")</f>
        <v>reservas laterais ferroviárias</v>
      </c>
      <c r="H685" s="24"/>
      <c r="I685" s="24"/>
      <c r="J685" s="24"/>
      <c r="K685" s="24"/>
    </row>
    <row r="686" spans="1:11" ht="14.5">
      <c r="A686" s="20" t="s">
        <v>7317</v>
      </c>
      <c r="B686" s="81">
        <v>80</v>
      </c>
      <c r="C686" s="81">
        <v>50</v>
      </c>
      <c r="D686" s="81">
        <v>72</v>
      </c>
      <c r="E686" s="79"/>
      <c r="F686" s="20" t="s">
        <v>7318</v>
      </c>
      <c r="G686" s="24" t="str">
        <f ca="1">IFERROR(__xludf.DUMMYFUNCTION("GOOGLETRANSLATE(F686,""en"",""pt"")"),"Linhas ferroviárias")</f>
        <v>Linhas ferroviárias</v>
      </c>
      <c r="H686" s="24"/>
      <c r="I686" s="24"/>
      <c r="J686" s="24"/>
      <c r="K686" s="24"/>
    </row>
    <row r="687" spans="1:11" ht="14.5">
      <c r="A687" s="20" t="s">
        <v>7319</v>
      </c>
      <c r="B687" s="81">
        <v>80</v>
      </c>
      <c r="C687" s="81">
        <v>50</v>
      </c>
      <c r="D687" s="81">
        <v>74</v>
      </c>
      <c r="E687" s="79"/>
      <c r="F687" s="20" t="s">
        <v>7320</v>
      </c>
      <c r="G687" s="24" t="str">
        <f ca="1">IFERROR(__xludf.DUMMYFUNCTION("GOOGLETRANSLATE(F687,""en"",""pt"")"),"troços ferroviários")</f>
        <v>troços ferroviários</v>
      </c>
      <c r="H687" s="24"/>
      <c r="I687" s="24"/>
      <c r="J687" s="24"/>
      <c r="K687" s="24"/>
    </row>
    <row r="688" spans="1:11" ht="14.5">
      <c r="A688" s="20" t="s">
        <v>7321</v>
      </c>
      <c r="B688" s="81">
        <v>80</v>
      </c>
      <c r="C688" s="81">
        <v>50</v>
      </c>
      <c r="D688" s="81">
        <v>77</v>
      </c>
      <c r="E688" s="79"/>
      <c r="F688" s="20" t="s">
        <v>7322</v>
      </c>
      <c r="G688" s="24" t="str">
        <f ca="1">IFERROR(__xludf.DUMMYFUNCTION("GOOGLETRANSLATE(F688,""en"",""pt"")"),"espaços de controle de sinalização ferroviária")</f>
        <v>espaços de controle de sinalização ferroviária</v>
      </c>
      <c r="H688" s="24"/>
      <c r="I688" s="24"/>
      <c r="J688" s="24"/>
      <c r="K688" s="24"/>
    </row>
    <row r="689" spans="1:11" ht="14.5">
      <c r="A689" s="20" t="s">
        <v>7323</v>
      </c>
      <c r="B689" s="81">
        <v>80</v>
      </c>
      <c r="C689" s="81">
        <v>50</v>
      </c>
      <c r="D689" s="81">
        <v>79</v>
      </c>
      <c r="E689" s="79"/>
      <c r="F689" s="20" t="s">
        <v>7324</v>
      </c>
      <c r="G689" s="24" t="str">
        <f ca="1">IFERROR(__xludf.DUMMYFUNCTION("GOOGLETRANSLATE(F689,""en"",""pt"")"),"Sinalização sala de equipamentos")</f>
        <v>Sinalização sala de equipamentos</v>
      </c>
      <c r="H689" s="24"/>
      <c r="I689" s="24"/>
      <c r="J689" s="24"/>
      <c r="K689" s="24"/>
    </row>
    <row r="690" spans="1:11" ht="14.5">
      <c r="A690" s="20" t="s">
        <v>7325</v>
      </c>
      <c r="B690" s="81">
        <v>80</v>
      </c>
      <c r="C690" s="81">
        <v>50</v>
      </c>
      <c r="D690" s="81">
        <v>80</v>
      </c>
      <c r="E690" s="79"/>
      <c r="F690" s="20" t="s">
        <v>7326</v>
      </c>
      <c r="G690" s="24" t="str">
        <f ca="1">IFERROR(__xludf.DUMMYFUNCTION("GOOGLETRANSLATE(F690,""en"",""pt"")"),"Uma cara plataformas")</f>
        <v>Uma cara plataformas</v>
      </c>
      <c r="H690" s="24"/>
      <c r="I690" s="24"/>
      <c r="J690" s="24"/>
      <c r="K690" s="24"/>
    </row>
    <row r="691" spans="1:11" ht="14.5">
      <c r="A691" s="20" t="s">
        <v>7327</v>
      </c>
      <c r="B691" s="81">
        <v>80</v>
      </c>
      <c r="C691" s="81">
        <v>50</v>
      </c>
      <c r="D691" s="81">
        <v>88</v>
      </c>
      <c r="E691" s="79"/>
      <c r="F691" s="20" t="s">
        <v>7328</v>
      </c>
      <c r="G691" s="24" t="str">
        <f ca="1">IFERROR(__xludf.DUMMYFUNCTION("GOOGLETRANSLATE(F691,""en"",""pt"")"),"Acompanhe cabanas de paralelismo")</f>
        <v>Acompanhe cabanas de paralelismo</v>
      </c>
      <c r="H691" s="24"/>
      <c r="I691" s="24"/>
      <c r="J691" s="24"/>
      <c r="K691" s="24"/>
    </row>
    <row r="692" spans="1:11" ht="14.5">
      <c r="A692" s="20" t="s">
        <v>7329</v>
      </c>
      <c r="B692" s="81">
        <v>80</v>
      </c>
      <c r="C692" s="81">
        <v>50</v>
      </c>
      <c r="D692" s="81">
        <v>90</v>
      </c>
      <c r="E692" s="79"/>
      <c r="F692" s="20" t="s">
        <v>7330</v>
      </c>
      <c r="G692" s="24" t="str">
        <f ca="1">IFERROR(__xludf.DUMMYFUNCTION("GOOGLETRANSLATE(F692,""en"",""pt"")"),"trem pára")</f>
        <v>trem pára</v>
      </c>
      <c r="H692" s="24"/>
      <c r="I692" s="24"/>
      <c r="J692" s="24"/>
      <c r="K692" s="24"/>
    </row>
    <row r="693" spans="1:11" ht="14.5">
      <c r="A693" s="20" t="s">
        <v>7331</v>
      </c>
      <c r="B693" s="81">
        <v>80</v>
      </c>
      <c r="C693" s="81">
        <v>50</v>
      </c>
      <c r="D693" s="81">
        <v>92</v>
      </c>
      <c r="E693" s="79"/>
      <c r="F693" s="20" t="s">
        <v>7332</v>
      </c>
      <c r="G693" s="24" t="str">
        <f ca="1">IFERROR(__xludf.DUMMYFUNCTION("GOOGLETRANSLATE(F693,""en"",""pt"")"),"passagens subterrâneas ferroviárias")</f>
        <v>passagens subterrâneas ferroviárias</v>
      </c>
      <c r="H693" s="24"/>
      <c r="I693" s="24"/>
      <c r="J693" s="24"/>
      <c r="K693" s="24"/>
    </row>
    <row r="694" spans="1:11" ht="14.5">
      <c r="A694" s="20" t="s">
        <v>7333</v>
      </c>
      <c r="B694" s="81">
        <v>80</v>
      </c>
      <c r="C694" s="81">
        <v>50</v>
      </c>
      <c r="D694" s="81">
        <v>95</v>
      </c>
      <c r="E694" s="79"/>
      <c r="F694" s="20" t="s">
        <v>7334</v>
      </c>
      <c r="G694" s="24" t="str">
        <f ca="1">IFERROR(__xludf.DUMMYFUNCTION("GOOGLETRANSLATE(F694,""en"",""pt"")"),"espaços de descontaminação vagão")</f>
        <v>espaços de descontaminação vagão</v>
      </c>
      <c r="H694" s="24"/>
      <c r="I694" s="24"/>
      <c r="J694" s="24"/>
      <c r="K694" s="24"/>
    </row>
    <row r="695" spans="1:11" ht="14.5">
      <c r="A695" s="20" t="s">
        <v>7335</v>
      </c>
      <c r="B695" s="81">
        <v>80</v>
      </c>
      <c r="C695" s="81">
        <v>50</v>
      </c>
      <c r="D695" s="81">
        <v>97</v>
      </c>
      <c r="E695" s="79"/>
      <c r="F695" s="20" t="s">
        <v>7336</v>
      </c>
      <c r="G695" s="24" t="str">
        <f ca="1">IFERROR(__xludf.DUMMYFUNCTION("GOOGLETRANSLATE(F695,""en"",""pt"")"),"espaços de manutenção vagão")</f>
        <v>espaços de manutenção vagão</v>
      </c>
      <c r="H695" s="24"/>
      <c r="I695" s="24"/>
      <c r="J695" s="24"/>
      <c r="K695" s="24"/>
    </row>
    <row r="696" spans="1:11" ht="14.5">
      <c r="A696" s="20" t="s">
        <v>7337</v>
      </c>
      <c r="B696" s="81">
        <v>80</v>
      </c>
      <c r="C696" s="81">
        <v>70</v>
      </c>
      <c r="D696" s="79"/>
      <c r="E696" s="79"/>
      <c r="F696" s="20" t="s">
        <v>7338</v>
      </c>
      <c r="G696" s="24" t="str">
        <f ca="1">IFERROR(__xludf.DUMMYFUNCTION("GOOGLETRANSLATE(F696,""en"",""pt"")"),"Marinha e hidrovias espaços de transporte")</f>
        <v>Marinha e hidrovias espaços de transporte</v>
      </c>
      <c r="H696" s="24"/>
      <c r="I696" s="24"/>
      <c r="J696" s="24"/>
      <c r="K696" s="24"/>
    </row>
    <row r="697" spans="1:11" ht="14.5">
      <c r="A697" s="20" t="s">
        <v>7339</v>
      </c>
      <c r="B697" s="81">
        <v>80</v>
      </c>
      <c r="C697" s="81">
        <v>70</v>
      </c>
      <c r="D697" s="81">
        <v>11</v>
      </c>
      <c r="E697" s="79"/>
      <c r="F697" s="20" t="s">
        <v>7340</v>
      </c>
      <c r="G697" s="24" t="str">
        <f ca="1">IFERROR(__xludf.DUMMYFUNCTION("GOOGLETRANSLATE(F697,""en"",""pt"")"),"câmaras de fechamento do canal")</f>
        <v>câmaras de fechamento do canal</v>
      </c>
      <c r="H697" s="24"/>
      <c r="I697" s="24"/>
      <c r="J697" s="24"/>
      <c r="K697" s="24"/>
    </row>
    <row r="698" spans="1:11" ht="14.5">
      <c r="A698" s="20" t="s">
        <v>7341</v>
      </c>
      <c r="B698" s="81">
        <v>80</v>
      </c>
      <c r="C698" s="81">
        <v>70</v>
      </c>
      <c r="D698" s="81">
        <v>37</v>
      </c>
      <c r="E698" s="79"/>
      <c r="F698" s="20" t="s">
        <v>7342</v>
      </c>
      <c r="G698" s="24" t="str">
        <f ca="1">IFERROR(__xludf.DUMMYFUNCTION("GOOGLETRANSLATE(F698,""en"",""pt"")"),"fechaduras Harbour")</f>
        <v>fechaduras Harbour</v>
      </c>
      <c r="H698" s="24"/>
      <c r="I698" s="24"/>
      <c r="J698" s="24"/>
      <c r="K698" s="24"/>
    </row>
    <row r="699" spans="1:11" ht="14.5">
      <c r="A699" s="20" t="s">
        <v>7343</v>
      </c>
      <c r="B699" s="81">
        <v>80</v>
      </c>
      <c r="C699" s="81">
        <v>90</v>
      </c>
      <c r="D699" s="79"/>
      <c r="E699" s="79"/>
      <c r="F699" s="20" t="s">
        <v>7344</v>
      </c>
      <c r="G699" s="24" t="str">
        <f ca="1">IFERROR(__xludf.DUMMYFUNCTION("GOOGLETRANSLATE(F699,""en"",""pt"")"),"centros de transportes")</f>
        <v>centros de transportes</v>
      </c>
      <c r="H699" s="24"/>
      <c r="I699" s="24"/>
      <c r="J699" s="24"/>
      <c r="K699" s="24"/>
    </row>
    <row r="700" spans="1:11" ht="14.5">
      <c r="A700" s="20" t="s">
        <v>7345</v>
      </c>
      <c r="B700" s="81">
        <v>80</v>
      </c>
      <c r="C700" s="81">
        <v>92</v>
      </c>
      <c r="D700" s="79"/>
      <c r="E700" s="79"/>
      <c r="F700" s="20" t="s">
        <v>7346</v>
      </c>
      <c r="G700" s="24" t="str">
        <f ca="1">IFERROR(__xludf.DUMMYFUNCTION("GOOGLETRANSLATE(F700,""en"",""pt"")"),"sistemas de rede")</f>
        <v>sistemas de rede</v>
      </c>
      <c r="H700" s="24"/>
      <c r="I700" s="24"/>
      <c r="J700" s="24"/>
      <c r="K700" s="24"/>
    </row>
    <row r="701" spans="1:11" ht="14.5">
      <c r="A701" s="20" t="s">
        <v>7347</v>
      </c>
      <c r="B701" s="81">
        <v>80</v>
      </c>
      <c r="C701" s="81">
        <v>92</v>
      </c>
      <c r="D701" s="81">
        <v>34</v>
      </c>
      <c r="E701" s="79"/>
      <c r="F701" s="20" t="s">
        <v>7348</v>
      </c>
      <c r="G701" s="24" t="str">
        <f ca="1">IFERROR(__xludf.DUMMYFUNCTION("GOOGLETRANSLATE(F701,""en"",""pt"")"),"grades geoespaciais")</f>
        <v>grades geoespaciais</v>
      </c>
      <c r="H701" s="24"/>
      <c r="I701" s="24"/>
      <c r="J701" s="24"/>
      <c r="K701" s="24"/>
    </row>
    <row r="702" spans="1:11" ht="14.5">
      <c r="A702" s="20" t="s">
        <v>7349</v>
      </c>
      <c r="B702" s="81">
        <v>80</v>
      </c>
      <c r="C702" s="81">
        <v>92</v>
      </c>
      <c r="D702" s="81">
        <v>37</v>
      </c>
      <c r="E702" s="79"/>
      <c r="F702" s="20" t="s">
        <v>7350</v>
      </c>
      <c r="G702" s="24" t="str">
        <f ca="1">IFERROR(__xludf.DUMMYFUNCTION("GOOGLETRANSLATE(F702,""en"",""pt"")"),"grelhas de alinhamento horizontal")</f>
        <v>grelhas de alinhamento horizontal</v>
      </c>
      <c r="H702" s="24"/>
      <c r="I702" s="24"/>
      <c r="J702" s="24"/>
      <c r="K702" s="24"/>
    </row>
    <row r="703" spans="1:11" ht="14.5">
      <c r="A703" s="20" t="s">
        <v>7351</v>
      </c>
      <c r="B703" s="81">
        <v>80</v>
      </c>
      <c r="C703" s="81">
        <v>92</v>
      </c>
      <c r="D703" s="81">
        <v>94</v>
      </c>
      <c r="E703" s="79"/>
      <c r="F703" s="20" t="s">
        <v>7352</v>
      </c>
      <c r="G703" s="24" t="str">
        <f ca="1">IFERROR(__xludf.DUMMYFUNCTION("GOOGLETRANSLATE(F703,""en"",""pt"")"),"grelhas de alinhamento verticais")</f>
        <v>grelhas de alinhamento verticais</v>
      </c>
      <c r="H703" s="24"/>
      <c r="I703" s="24"/>
      <c r="J703" s="24"/>
      <c r="K703" s="24"/>
    </row>
    <row r="704" spans="1:11" ht="14.5">
      <c r="A704" s="20" t="s">
        <v>7353</v>
      </c>
      <c r="B704" s="81">
        <v>80</v>
      </c>
      <c r="C704" s="81">
        <v>94</v>
      </c>
      <c r="D704" s="79"/>
      <c r="E704" s="79"/>
      <c r="F704" s="20" t="s">
        <v>7354</v>
      </c>
      <c r="G704" s="24" t="str">
        <f ca="1">IFERROR(__xludf.DUMMYFUNCTION("GOOGLETRANSLATE(F704,""en"",""pt"")"),"espaços de pontes e estrutura")</f>
        <v>espaços de pontes e estrutura</v>
      </c>
      <c r="H704" s="24"/>
      <c r="I704" s="24"/>
      <c r="J704" s="24"/>
      <c r="K704" s="24"/>
    </row>
    <row r="705" spans="1:11" ht="14.5">
      <c r="A705" s="20" t="s">
        <v>7355</v>
      </c>
      <c r="B705" s="81">
        <v>80</v>
      </c>
      <c r="C705" s="81">
        <v>94</v>
      </c>
      <c r="D705" s="81">
        <v>7</v>
      </c>
      <c r="E705" s="79"/>
      <c r="F705" s="20" t="s">
        <v>7356</v>
      </c>
      <c r="G705" s="24" t="str">
        <f ca="1">IFERROR(__xludf.DUMMYFUNCTION("GOOGLETRANSLATE(F705,""en"",""pt"")"),"prateleiras de rolamento")</f>
        <v>prateleiras de rolamento</v>
      </c>
      <c r="H705" s="24"/>
      <c r="I705" s="24"/>
      <c r="J705" s="24"/>
      <c r="K705" s="24"/>
    </row>
    <row r="706" spans="1:11" ht="14.5">
      <c r="A706" s="20" t="s">
        <v>7357</v>
      </c>
      <c r="B706" s="81">
        <v>80</v>
      </c>
      <c r="C706" s="81">
        <v>94</v>
      </c>
      <c r="D706" s="81">
        <v>9</v>
      </c>
      <c r="E706" s="79"/>
      <c r="F706" s="20" t="s">
        <v>7358</v>
      </c>
      <c r="G706" s="24" t="str">
        <f ca="1">IFERROR(__xludf.DUMMYFUNCTION("GOOGLETRANSLATE(F706,""en"",""pt"")"),"bridge aventais")</f>
        <v>bridge aventais</v>
      </c>
      <c r="H706" s="24"/>
      <c r="I706" s="24"/>
      <c r="J706" s="24"/>
      <c r="K706" s="24"/>
    </row>
    <row r="707" spans="1:11" ht="14.5">
      <c r="A707" s="20" t="s">
        <v>7359</v>
      </c>
      <c r="B707" s="81">
        <v>80</v>
      </c>
      <c r="C707" s="81">
        <v>94</v>
      </c>
      <c r="D707" s="81">
        <v>71</v>
      </c>
      <c r="E707" s="79"/>
      <c r="F707" s="20" t="s">
        <v>7360</v>
      </c>
      <c r="G707" s="24" t="str">
        <f ca="1">IFERROR(__xludf.DUMMYFUNCTION("GOOGLETRANSLATE(F707,""en"",""pt"")"),"Retendo aventais de parede")</f>
        <v>Retendo aventais de parede</v>
      </c>
      <c r="H707" s="24"/>
      <c r="I707" s="24"/>
      <c r="J707" s="24"/>
      <c r="K707" s="24"/>
    </row>
    <row r="708" spans="1:11" ht="14.5">
      <c r="A708" s="20" t="s">
        <v>7361</v>
      </c>
      <c r="B708" s="81">
        <v>80</v>
      </c>
      <c r="C708" s="81">
        <v>96</v>
      </c>
      <c r="D708" s="79"/>
      <c r="E708" s="79"/>
      <c r="F708" s="20" t="s">
        <v>7362</v>
      </c>
      <c r="G708" s="24" t="str">
        <f ca="1">IFERROR(__xludf.DUMMYFUNCTION("GOOGLETRANSLATE(F708,""en"",""pt"")"),"espaços túnel e do eixo")</f>
        <v>espaços túnel e do eixo</v>
      </c>
      <c r="H708" s="24"/>
      <c r="I708" s="24"/>
      <c r="J708" s="24"/>
      <c r="K708" s="24"/>
    </row>
    <row r="709" spans="1:11" ht="14.5">
      <c r="A709" s="20" t="s">
        <v>7363</v>
      </c>
      <c r="B709" s="81">
        <v>80</v>
      </c>
      <c r="C709" s="81">
        <v>96</v>
      </c>
      <c r="D709" s="81">
        <v>15</v>
      </c>
      <c r="E709" s="79"/>
      <c r="F709" s="20" t="s">
        <v>7364</v>
      </c>
      <c r="G709" s="24" t="str">
        <f ca="1">IFERROR(__xludf.DUMMYFUNCTION("GOOGLETRANSLATE(F709,""en"",""pt"")"),"túneis concourse")</f>
        <v>túneis concourse</v>
      </c>
      <c r="H709" s="24"/>
      <c r="I709" s="24"/>
      <c r="J709" s="24"/>
      <c r="K709" s="24"/>
    </row>
    <row r="710" spans="1:11" ht="14.5">
      <c r="A710" s="20" t="s">
        <v>7365</v>
      </c>
      <c r="B710" s="81">
        <v>80</v>
      </c>
      <c r="C710" s="81">
        <v>96</v>
      </c>
      <c r="D710" s="81">
        <v>18</v>
      </c>
      <c r="E710" s="79"/>
      <c r="F710" s="20" t="s">
        <v>7366</v>
      </c>
      <c r="G710" s="24" t="str">
        <f ca="1">IFERROR(__xludf.DUMMYFUNCTION("GOOGLETRANSLATE(F710,""en"",""pt"")"),"túneis Crossover")</f>
        <v>túneis Crossover</v>
      </c>
      <c r="H710" s="24"/>
      <c r="I710" s="24"/>
      <c r="J710" s="24"/>
      <c r="K710" s="24"/>
    </row>
    <row r="711" spans="1:11" ht="14.5">
      <c r="A711" s="20" t="s">
        <v>7367</v>
      </c>
      <c r="B711" s="81">
        <v>80</v>
      </c>
      <c r="C711" s="81">
        <v>96</v>
      </c>
      <c r="D711" s="81">
        <v>20</v>
      </c>
      <c r="E711" s="79"/>
      <c r="F711" s="20" t="s">
        <v>7368</v>
      </c>
      <c r="G711" s="24" t="str">
        <f ca="1">IFERROR(__xludf.DUMMYFUNCTION("GOOGLETRANSLATE(F711,""en"",""pt"")"),"Deriva portais de túnel")</f>
        <v>Deriva portais de túnel</v>
      </c>
      <c r="H711" s="24"/>
      <c r="I711" s="24"/>
      <c r="J711" s="24"/>
      <c r="K711" s="24"/>
    </row>
    <row r="712" spans="1:11" ht="14.5">
      <c r="A712" s="20" t="s">
        <v>7369</v>
      </c>
      <c r="B712" s="81">
        <v>80</v>
      </c>
      <c r="C712" s="81">
        <v>96</v>
      </c>
      <c r="D712" s="81">
        <v>58</v>
      </c>
      <c r="E712" s="79"/>
      <c r="F712" s="20" t="s">
        <v>7370</v>
      </c>
      <c r="G712" s="24" t="str">
        <f ca="1">IFERROR(__xludf.DUMMYFUNCTION("GOOGLETRANSLATE(F712,""en"",""pt"")"),"túneis superação")</f>
        <v>túneis superação</v>
      </c>
      <c r="H712" s="24"/>
      <c r="I712" s="24"/>
      <c r="J712" s="24"/>
      <c r="K712" s="24"/>
    </row>
    <row r="713" spans="1:11" ht="14.5">
      <c r="A713" s="20" t="s">
        <v>7371</v>
      </c>
      <c r="B713" s="81">
        <v>80</v>
      </c>
      <c r="C713" s="81">
        <v>96</v>
      </c>
      <c r="D713" s="81">
        <v>60</v>
      </c>
      <c r="E713" s="79"/>
      <c r="F713" s="20" t="s">
        <v>7372</v>
      </c>
      <c r="G713" s="24" t="str">
        <f ca="1">IFERROR(__xludf.DUMMYFUNCTION("GOOGLETRANSLATE(F713,""en"",""pt"")"),"túneis de passagem")</f>
        <v>túneis de passagem</v>
      </c>
      <c r="H713" s="24"/>
      <c r="I713" s="24"/>
      <c r="J713" s="24"/>
      <c r="K713" s="24"/>
    </row>
    <row r="714" spans="1:11" ht="14.5">
      <c r="A714" s="20" t="s">
        <v>7373</v>
      </c>
      <c r="B714" s="81">
        <v>80</v>
      </c>
      <c r="C714" s="81">
        <v>96</v>
      </c>
      <c r="D714" s="81">
        <v>64</v>
      </c>
      <c r="E714" s="79"/>
      <c r="F714" s="20" t="s">
        <v>7374</v>
      </c>
      <c r="G714" s="24" t="str">
        <f ca="1">IFERROR(__xludf.DUMMYFUNCTION("GOOGLETRANSLATE(F714,""en"",""pt"")"),"túneis de plataforma")</f>
        <v>túneis de plataforma</v>
      </c>
      <c r="H714" s="24"/>
      <c r="I714" s="24"/>
      <c r="J714" s="24"/>
      <c r="K714" s="24"/>
    </row>
    <row r="715" spans="1:11" ht="14.5">
      <c r="A715" s="20" t="s">
        <v>7375</v>
      </c>
      <c r="B715" s="81">
        <v>80</v>
      </c>
      <c r="C715" s="81">
        <v>96</v>
      </c>
      <c r="D715" s="81">
        <v>78</v>
      </c>
      <c r="E715" s="79"/>
      <c r="F715" s="20" t="s">
        <v>7376</v>
      </c>
      <c r="G715" s="24" t="str">
        <f ca="1">IFERROR(__xludf.DUMMYFUNCTION("GOOGLETRANSLATE(F715,""en"",""pt"")"),"ramais túneis")</f>
        <v>ramais túneis</v>
      </c>
      <c r="H715" s="24"/>
      <c r="I715" s="24"/>
      <c r="J715" s="24"/>
      <c r="K715" s="24"/>
    </row>
    <row r="716" spans="1:11" ht="14.5">
      <c r="A716" s="20" t="s">
        <v>7377</v>
      </c>
      <c r="B716" s="81">
        <v>80</v>
      </c>
      <c r="C716" s="81">
        <v>98</v>
      </c>
      <c r="D716" s="79"/>
      <c r="E716" s="79"/>
      <c r="F716" s="20" t="s">
        <v>7378</v>
      </c>
      <c r="G716" s="24" t="str">
        <f ca="1">IFERROR(__xludf.DUMMYFUNCTION("GOOGLETRANSLATE(F716,""en"",""pt"")"),"Transportar envelopes cinemáticas")</f>
        <v>Transportar envelopes cinemáticas</v>
      </c>
      <c r="H716" s="24"/>
      <c r="I716" s="24"/>
      <c r="J716" s="24"/>
      <c r="K716" s="24"/>
    </row>
    <row r="717" spans="1:11" ht="14.5">
      <c r="A717" s="20" t="s">
        <v>7379</v>
      </c>
      <c r="B717" s="81">
        <v>80</v>
      </c>
      <c r="C717" s="81">
        <v>98</v>
      </c>
      <c r="D717" s="81">
        <v>9</v>
      </c>
      <c r="E717" s="79"/>
      <c r="F717" s="20" t="s">
        <v>7380</v>
      </c>
      <c r="G717" s="24" t="str">
        <f ca="1">IFERROR(__xludf.DUMMYFUNCTION("GOOGLETRANSLATE(F717,""en"",""pt"")"),"alturas construtivas ponte")</f>
        <v>alturas construtivas ponte</v>
      </c>
      <c r="H717" s="24"/>
      <c r="I717" s="24"/>
      <c r="J717" s="24"/>
      <c r="K717" s="24"/>
    </row>
    <row r="718" spans="1:11" ht="14.5">
      <c r="A718" s="20" t="s">
        <v>7381</v>
      </c>
      <c r="B718" s="81">
        <v>80</v>
      </c>
      <c r="C718" s="81">
        <v>98</v>
      </c>
      <c r="D718" s="81">
        <v>15</v>
      </c>
      <c r="E718" s="79"/>
      <c r="F718" s="20" t="s">
        <v>7382</v>
      </c>
      <c r="G718" s="24" t="str">
        <f ca="1">IFERROR(__xludf.DUMMYFUNCTION("GOOGLETRANSLATE(F718,""en"",""pt"")"),"raio colapso")</f>
        <v>raio colapso</v>
      </c>
      <c r="H718" s="24"/>
      <c r="I718" s="24"/>
      <c r="J718" s="24"/>
      <c r="K718" s="24"/>
    </row>
    <row r="719" spans="1:11" ht="14.5">
      <c r="A719" s="20" t="s">
        <v>7383</v>
      </c>
      <c r="B719" s="81">
        <v>80</v>
      </c>
      <c r="C719" s="81">
        <v>98</v>
      </c>
      <c r="D719" s="81">
        <v>46</v>
      </c>
      <c r="E719" s="79"/>
      <c r="F719" s="20" t="s">
        <v>7384</v>
      </c>
      <c r="G719" s="24" t="str">
        <f ca="1">IFERROR(__xludf.DUMMYFUNCTION("GOOGLETRANSLATE(F719,""en"",""pt"")"),"zonas de segurança laterais")</f>
        <v>zonas de segurança laterais</v>
      </c>
      <c r="H719" s="24"/>
      <c r="I719" s="24"/>
      <c r="J719" s="24"/>
      <c r="K719" s="24"/>
    </row>
    <row r="720" spans="1:11" ht="14.5">
      <c r="A720" s="20" t="s">
        <v>7385</v>
      </c>
      <c r="B720" s="81">
        <v>80</v>
      </c>
      <c r="C720" s="81">
        <v>98</v>
      </c>
      <c r="D720" s="81">
        <v>48</v>
      </c>
      <c r="E720" s="79"/>
      <c r="F720" s="20" t="s">
        <v>7386</v>
      </c>
      <c r="G720" s="24" t="str">
        <f ca="1">IFERROR(__xludf.DUMMYFUNCTION("GOOGLETRANSLATE(F720,""en"",""pt"")"),"zonas de segurança longitudinais")</f>
        <v>zonas de segurança longitudinais</v>
      </c>
      <c r="H720" s="24"/>
      <c r="I720" s="24"/>
      <c r="J720" s="24"/>
      <c r="K720" s="24"/>
    </row>
    <row r="721" spans="1:11" ht="14.5">
      <c r="A721" s="20" t="s">
        <v>7387</v>
      </c>
      <c r="B721" s="81">
        <v>80</v>
      </c>
      <c r="C721" s="81">
        <v>98</v>
      </c>
      <c r="D721" s="81">
        <v>75</v>
      </c>
      <c r="E721" s="79"/>
      <c r="F721" s="20" t="s">
        <v>7388</v>
      </c>
      <c r="G721" s="24" t="str">
        <f ca="1">IFERROR(__xludf.DUMMYFUNCTION("GOOGLETRANSLATE(F721,""en"",""pt"")"),"zonas distância de segurança")</f>
        <v>zonas distância de segurança</v>
      </c>
      <c r="H721" s="24"/>
      <c r="I721" s="24"/>
      <c r="J721" s="24"/>
      <c r="K721" s="24"/>
    </row>
    <row r="722" spans="1:11" ht="14.5">
      <c r="A722" s="20" t="s">
        <v>7389</v>
      </c>
      <c r="B722" s="81">
        <v>80</v>
      </c>
      <c r="C722" s="81">
        <v>98</v>
      </c>
      <c r="D722" s="81">
        <v>85</v>
      </c>
      <c r="E722" s="79"/>
      <c r="F722" s="20" t="s">
        <v>7390</v>
      </c>
      <c r="G722" s="24" t="str">
        <f ca="1">IFERROR(__xludf.DUMMYFUNCTION("GOOGLETRANSLATE(F722,""en"",""pt"")"),"áreas trajectória varrida")</f>
        <v>áreas trajectória varrida</v>
      </c>
      <c r="H722" s="24"/>
      <c r="I722" s="24"/>
      <c r="J722" s="24"/>
      <c r="K722" s="24"/>
    </row>
    <row r="723" spans="1:11" ht="14.5">
      <c r="A723" s="20" t="s">
        <v>7391</v>
      </c>
      <c r="B723" s="81">
        <v>80</v>
      </c>
      <c r="C723" s="81">
        <v>98</v>
      </c>
      <c r="D723" s="81">
        <v>90</v>
      </c>
      <c r="E723" s="79"/>
      <c r="F723" s="20" t="s">
        <v>7392</v>
      </c>
      <c r="G723" s="24" t="str">
        <f ca="1">IFERROR(__xludf.DUMMYFUNCTION("GOOGLETRANSLATE(F723,""en"",""pt"")"),"alturas construtivas túnel")</f>
        <v>alturas construtivas túnel</v>
      </c>
      <c r="H723" s="24"/>
      <c r="I723" s="24"/>
      <c r="J723" s="24"/>
      <c r="K723" s="24"/>
    </row>
    <row r="724" spans="1:11" ht="14.5">
      <c r="A724" s="20" t="s">
        <v>7393</v>
      </c>
      <c r="B724" s="81">
        <v>80</v>
      </c>
      <c r="C724" s="81">
        <v>98</v>
      </c>
      <c r="D724" s="81">
        <v>97</v>
      </c>
      <c r="E724" s="79"/>
      <c r="F724" s="20" t="s">
        <v>7394</v>
      </c>
      <c r="G724" s="24" t="str">
        <f ca="1">IFERROR(__xludf.DUMMYFUNCTION("GOOGLETRANSLATE(F724,""en"",""pt"")"),"larguras de trabalho")</f>
        <v>larguras de trabalho</v>
      </c>
      <c r="H724" s="24"/>
      <c r="I724" s="24"/>
      <c r="J724" s="24"/>
      <c r="K724" s="24"/>
    </row>
    <row r="725" spans="1:11" ht="14.5">
      <c r="A725" s="20" t="s">
        <v>7395</v>
      </c>
      <c r="B725" s="81">
        <v>90</v>
      </c>
      <c r="C725" s="79"/>
      <c r="D725" s="79"/>
      <c r="E725" s="79"/>
      <c r="F725" s="20" t="s">
        <v>7396</v>
      </c>
      <c r="G725" s="24" t="str">
        <f ca="1">IFERROR(__xludf.DUMMYFUNCTION("GOOGLETRANSLATE(F725,""en"",""pt"")"),"espaços gerais")</f>
        <v>espaços gerais</v>
      </c>
      <c r="H725" s="24"/>
      <c r="I725" s="24"/>
      <c r="J725" s="24"/>
      <c r="K725" s="24"/>
    </row>
    <row r="726" spans="1:11" ht="14.5">
      <c r="A726" s="20" t="s">
        <v>7397</v>
      </c>
      <c r="B726" s="81">
        <v>90</v>
      </c>
      <c r="C726" s="81">
        <v>10</v>
      </c>
      <c r="D726" s="79"/>
      <c r="E726" s="79"/>
      <c r="F726" s="20" t="s">
        <v>7398</v>
      </c>
      <c r="G726" s="24" t="str">
        <f ca="1">IFERROR(__xludf.DUMMYFUNCTION("GOOGLETRANSLATE(F726,""en"",""pt"")"),"espaços de circulação")</f>
        <v>espaços de circulação</v>
      </c>
      <c r="H726" s="24"/>
      <c r="I726" s="24"/>
      <c r="J726" s="24"/>
      <c r="K726" s="24"/>
    </row>
    <row r="727" spans="1:11" ht="14.5">
      <c r="A727" s="20" t="s">
        <v>7399</v>
      </c>
      <c r="B727" s="81">
        <v>90</v>
      </c>
      <c r="C727" s="81">
        <v>10</v>
      </c>
      <c r="D727" s="81">
        <v>2</v>
      </c>
      <c r="E727" s="79"/>
      <c r="F727" s="20" t="s">
        <v>7400</v>
      </c>
      <c r="G727" s="24" t="str">
        <f ca="1">IFERROR(__xludf.DUMMYFUNCTION("GOOGLETRANSLATE(F727,""en"",""pt"")"),"bolhas de ar")</f>
        <v>bolhas de ar</v>
      </c>
      <c r="H727" s="24"/>
      <c r="I727" s="24"/>
      <c r="J727" s="24"/>
      <c r="K727" s="24"/>
    </row>
    <row r="728" spans="1:11" ht="14.5">
      <c r="A728" s="20" t="s">
        <v>7401</v>
      </c>
      <c r="B728" s="81">
        <v>90</v>
      </c>
      <c r="C728" s="81">
        <v>10</v>
      </c>
      <c r="D728" s="81">
        <v>4</v>
      </c>
      <c r="E728" s="79"/>
      <c r="F728" s="20" t="s">
        <v>7402</v>
      </c>
      <c r="G728" s="24" t="str">
        <f ca="1">IFERROR(__xludf.DUMMYFUNCTION("GOOGLETRANSLATE(F728,""en"",""pt"")"),"átrios")</f>
        <v>átrios</v>
      </c>
      <c r="H728" s="24"/>
      <c r="I728" s="24"/>
      <c r="J728" s="24"/>
      <c r="K728" s="24"/>
    </row>
    <row r="729" spans="1:11" ht="14.5">
      <c r="A729" s="20" t="s">
        <v>7403</v>
      </c>
      <c r="B729" s="81">
        <v>90</v>
      </c>
      <c r="C729" s="81">
        <v>10</v>
      </c>
      <c r="D729" s="81">
        <v>8</v>
      </c>
      <c r="E729" s="79"/>
      <c r="F729" s="20" t="s">
        <v>7404</v>
      </c>
      <c r="G729" s="24" t="str">
        <f ca="1">IFERROR(__xludf.DUMMYFUNCTION("GOOGLETRANSLATE(F729,""en"",""pt"")"),"breezeways")</f>
        <v>breezeways</v>
      </c>
      <c r="H729" s="24"/>
      <c r="I729" s="24"/>
      <c r="J729" s="24"/>
      <c r="K729" s="24"/>
    </row>
    <row r="730" spans="1:11" ht="14.5">
      <c r="A730" s="20" t="s">
        <v>7405</v>
      </c>
      <c r="B730" s="81">
        <v>90</v>
      </c>
      <c r="C730" s="81">
        <v>10</v>
      </c>
      <c r="D730" s="81">
        <v>15</v>
      </c>
      <c r="E730" s="79"/>
      <c r="F730" s="20" t="s">
        <v>7406</v>
      </c>
      <c r="G730" s="24" t="str">
        <f ca="1">IFERROR(__xludf.DUMMYFUNCTION("GOOGLETRANSLATE(F730,""en"",""pt"")"),"corredores")</f>
        <v>corredores</v>
      </c>
      <c r="H730" s="24"/>
      <c r="I730" s="24"/>
      <c r="J730" s="24"/>
      <c r="K730" s="24"/>
    </row>
    <row r="731" spans="1:11" ht="14.5">
      <c r="A731" s="20" t="s">
        <v>7407</v>
      </c>
      <c r="B731" s="81">
        <v>90</v>
      </c>
      <c r="C731" s="81">
        <v>10</v>
      </c>
      <c r="D731" s="81">
        <v>16</v>
      </c>
      <c r="E731" s="79"/>
      <c r="F731" s="20" t="s">
        <v>7408</v>
      </c>
      <c r="G731" s="24" t="str">
        <f ca="1">IFERROR(__xludf.DUMMYFUNCTION("GOOGLETRANSLATE(F731,""en"",""pt"")"),"passagens cobertas e pontes internas")</f>
        <v>passagens cobertas e pontes internas</v>
      </c>
      <c r="H731" s="24"/>
      <c r="I731" s="24"/>
      <c r="J731" s="24"/>
      <c r="K731" s="24"/>
    </row>
    <row r="732" spans="1:11" ht="14.5">
      <c r="A732" s="20" t="s">
        <v>7409</v>
      </c>
      <c r="B732" s="81">
        <v>90</v>
      </c>
      <c r="C732" s="81">
        <v>10</v>
      </c>
      <c r="D732" s="81">
        <v>24</v>
      </c>
      <c r="E732" s="79"/>
      <c r="F732" s="20" t="s">
        <v>7410</v>
      </c>
      <c r="G732" s="24" t="str">
        <f ca="1">IFERROR(__xludf.DUMMYFUNCTION("GOOGLETRANSLATE(F732,""en"",""pt"")"),"Drop-off e áreas de coleta")</f>
        <v>Drop-off e áreas de coleta</v>
      </c>
      <c r="H732" s="24"/>
      <c r="I732" s="24"/>
      <c r="J732" s="24"/>
      <c r="K732" s="24"/>
    </row>
    <row r="733" spans="1:11" ht="14.5">
      <c r="A733" s="20" t="s">
        <v>7411</v>
      </c>
      <c r="B733" s="81">
        <v>90</v>
      </c>
      <c r="C733" s="81">
        <v>10</v>
      </c>
      <c r="D733" s="81">
        <v>27</v>
      </c>
      <c r="E733" s="79"/>
      <c r="F733" s="20" t="s">
        <v>7412</v>
      </c>
      <c r="G733" s="24" t="str">
        <f ca="1">IFERROR(__xludf.DUMMYFUNCTION("GOOGLETRANSLATE(F733,""en"",""pt"")"),"halls de entrada")</f>
        <v>halls de entrada</v>
      </c>
      <c r="H733" s="24"/>
      <c r="I733" s="24"/>
      <c r="J733" s="24"/>
      <c r="K733" s="24"/>
    </row>
    <row r="734" spans="1:11" ht="14.5">
      <c r="A734" s="20" t="s">
        <v>7413</v>
      </c>
      <c r="B734" s="81">
        <v>90</v>
      </c>
      <c r="C734" s="81">
        <v>10</v>
      </c>
      <c r="D734" s="81">
        <v>28</v>
      </c>
      <c r="E734" s="79"/>
      <c r="F734" s="20" t="s">
        <v>7414</v>
      </c>
      <c r="G734" s="24" t="str">
        <f ca="1">IFERROR(__xludf.DUMMYFUNCTION("GOOGLETRANSLATE(F734,""en"",""pt"")"),"Escadas rolantes e travellators")</f>
        <v>Escadas rolantes e travellators</v>
      </c>
      <c r="H734" s="24"/>
      <c r="I734" s="24"/>
      <c r="J734" s="24"/>
      <c r="K734" s="24"/>
    </row>
    <row r="735" spans="1:11" ht="14.5">
      <c r="A735" s="20" t="s">
        <v>7415</v>
      </c>
      <c r="B735" s="81">
        <v>90</v>
      </c>
      <c r="C735" s="81">
        <v>10</v>
      </c>
      <c r="D735" s="81">
        <v>34</v>
      </c>
      <c r="E735" s="79"/>
      <c r="F735" s="20" t="s">
        <v>7416</v>
      </c>
      <c r="G735" s="24" t="str">
        <f ca="1">IFERROR(__xludf.DUMMYFUNCTION("GOOGLETRANSLATE(F735,""en"",""pt"")"),"Mercadorias transportadores")</f>
        <v>Mercadorias transportadores</v>
      </c>
      <c r="H735" s="24"/>
      <c r="I735" s="24"/>
      <c r="J735" s="24"/>
      <c r="K735" s="24"/>
    </row>
    <row r="736" spans="1:11" ht="14.5">
      <c r="A736" s="20" t="s">
        <v>7417</v>
      </c>
      <c r="B736" s="81">
        <v>90</v>
      </c>
      <c r="C736" s="81">
        <v>10</v>
      </c>
      <c r="D736" s="81">
        <v>36</v>
      </c>
      <c r="E736" s="79"/>
      <c r="F736" s="20" t="s">
        <v>7418</v>
      </c>
      <c r="G736" s="24" t="str">
        <f ca="1">IFERROR(__xludf.DUMMYFUNCTION("GOOGLETRANSLATE(F736,""en"",""pt"")"),"corredores")</f>
        <v>corredores</v>
      </c>
      <c r="H736" s="24"/>
      <c r="I736" s="24"/>
      <c r="J736" s="24"/>
      <c r="K736" s="24"/>
    </row>
    <row r="737" spans="1:11" ht="14.5">
      <c r="A737" s="20" t="s">
        <v>7419</v>
      </c>
      <c r="B737" s="81">
        <v>90</v>
      </c>
      <c r="C737" s="81">
        <v>10</v>
      </c>
      <c r="D737" s="81">
        <v>46</v>
      </c>
      <c r="E737" s="79"/>
      <c r="F737" s="20" t="s">
        <v>7420</v>
      </c>
      <c r="G737" s="24" t="str">
        <f ca="1">IFERROR(__xludf.DUMMYFUNCTION("GOOGLETRANSLATE(F737,""en"",""pt"")"),"desembarques")</f>
        <v>desembarques</v>
      </c>
      <c r="H737" s="24"/>
      <c r="I737" s="24"/>
      <c r="J737" s="24"/>
      <c r="K737" s="24"/>
    </row>
    <row r="738" spans="1:11" ht="14.5">
      <c r="A738" s="20" t="s">
        <v>7421</v>
      </c>
      <c r="B738" s="81">
        <v>90</v>
      </c>
      <c r="C738" s="81">
        <v>10</v>
      </c>
      <c r="D738" s="81">
        <v>47</v>
      </c>
      <c r="E738" s="79"/>
      <c r="F738" s="20" t="s">
        <v>7422</v>
      </c>
      <c r="G738" s="24" t="str">
        <f ca="1">IFERROR(__xludf.DUMMYFUNCTION("GOOGLETRANSLATE(F738,""en"",""pt"")"),"elevadores")</f>
        <v>elevadores</v>
      </c>
      <c r="H738" s="24"/>
      <c r="I738" s="24"/>
      <c r="J738" s="24"/>
      <c r="K738" s="24"/>
    </row>
    <row r="739" spans="1:11" ht="14.5">
      <c r="A739" s="20" t="s">
        <v>7423</v>
      </c>
      <c r="B739" s="81">
        <v>90</v>
      </c>
      <c r="C739" s="81">
        <v>10</v>
      </c>
      <c r="D739" s="81">
        <v>51</v>
      </c>
      <c r="E739" s="79"/>
      <c r="F739" s="20" t="s">
        <v>7424</v>
      </c>
      <c r="G739" s="24" t="str">
        <f ca="1">IFERROR(__xludf.DUMMYFUNCTION("GOOGLETRANSLATE(F739,""en"",""pt"")"),"lobbies")</f>
        <v>lobbies</v>
      </c>
      <c r="H739" s="24"/>
      <c r="I739" s="24"/>
      <c r="J739" s="24"/>
      <c r="K739" s="24"/>
    </row>
    <row r="740" spans="1:11" ht="14.5">
      <c r="A740" s="20" t="s">
        <v>7425</v>
      </c>
      <c r="B740" s="81">
        <v>90</v>
      </c>
      <c r="C740" s="81">
        <v>10</v>
      </c>
      <c r="D740" s="81">
        <v>64</v>
      </c>
      <c r="E740" s="79"/>
      <c r="F740" s="20" t="s">
        <v>7426</v>
      </c>
      <c r="G740" s="24" t="str">
        <f ca="1">IFERROR(__xludf.DUMMYFUNCTION("GOOGLETRANSLATE(F740,""en"",""pt"")"),"Porches")</f>
        <v>Porches</v>
      </c>
      <c r="H740" s="24"/>
      <c r="I740" s="24"/>
      <c r="J740" s="24"/>
      <c r="K740" s="24"/>
    </row>
    <row r="741" spans="1:11" ht="14.5">
      <c r="A741" s="20" t="s">
        <v>7427</v>
      </c>
      <c r="B741" s="81">
        <v>90</v>
      </c>
      <c r="C741" s="81">
        <v>10</v>
      </c>
      <c r="D741" s="81">
        <v>68</v>
      </c>
      <c r="E741" s="79"/>
      <c r="F741" s="20" t="s">
        <v>7428</v>
      </c>
      <c r="G741" s="24" t="str">
        <f ca="1">IFERROR(__xludf.DUMMYFUNCTION("GOOGLETRANSLATE(F741,""en"",""pt"")"),"praças públicas")</f>
        <v>praças públicas</v>
      </c>
      <c r="H741" s="24"/>
      <c r="I741" s="24"/>
      <c r="J741" s="24"/>
      <c r="K741" s="24"/>
    </row>
    <row r="742" spans="1:11" ht="14.5">
      <c r="A742" s="20" t="s">
        <v>7429</v>
      </c>
      <c r="B742" s="81">
        <v>90</v>
      </c>
      <c r="C742" s="81">
        <v>10</v>
      </c>
      <c r="D742" s="81">
        <v>71</v>
      </c>
      <c r="E742" s="79"/>
      <c r="F742" s="20" t="s">
        <v>7430</v>
      </c>
      <c r="G742" s="24" t="str">
        <f ca="1">IFERROR(__xludf.DUMMYFUNCTION("GOOGLETRANSLATE(F742,""en"",""pt"")"),"espaços de circulação de varejo")</f>
        <v>espaços de circulação de varejo</v>
      </c>
      <c r="H742" s="24"/>
      <c r="I742" s="24"/>
      <c r="J742" s="24"/>
      <c r="K742" s="24"/>
    </row>
    <row r="743" spans="1:11" ht="14.5">
      <c r="A743" s="20" t="s">
        <v>7431</v>
      </c>
      <c r="B743" s="81">
        <v>90</v>
      </c>
      <c r="C743" s="81">
        <v>10</v>
      </c>
      <c r="D743" s="81">
        <v>77</v>
      </c>
      <c r="E743" s="79"/>
      <c r="F743" s="20" t="s">
        <v>7432</v>
      </c>
      <c r="G743" s="24" t="str">
        <f ca="1">IFERROR(__xludf.DUMMYFUNCTION("GOOGLETRANSLATE(F743,""en"",""pt"")"),"abrigos")</f>
        <v>abrigos</v>
      </c>
      <c r="H743" s="24"/>
      <c r="I743" s="24"/>
      <c r="J743" s="24"/>
      <c r="K743" s="24"/>
    </row>
    <row r="744" spans="1:11" ht="14.5">
      <c r="A744" s="20" t="s">
        <v>7433</v>
      </c>
      <c r="B744" s="81">
        <v>90</v>
      </c>
      <c r="C744" s="81">
        <v>10</v>
      </c>
      <c r="D744" s="81">
        <v>87</v>
      </c>
      <c r="E744" s="79"/>
      <c r="F744" s="20" t="s">
        <v>7434</v>
      </c>
      <c r="G744" s="24" t="str">
        <f ca="1">IFERROR(__xludf.DUMMYFUNCTION("GOOGLETRANSLATE(F744,""en"",""pt"")"),"escadas")</f>
        <v>escadas</v>
      </c>
      <c r="H744" s="24"/>
      <c r="I744" s="24"/>
      <c r="J744" s="24"/>
      <c r="K744" s="24"/>
    </row>
    <row r="745" spans="1:11" ht="14.5">
      <c r="A745" s="20" t="s">
        <v>7435</v>
      </c>
      <c r="B745" s="81">
        <v>90</v>
      </c>
      <c r="C745" s="81">
        <v>10</v>
      </c>
      <c r="D745" s="81">
        <v>94</v>
      </c>
      <c r="E745" s="79"/>
      <c r="F745" s="20" t="s">
        <v>7436</v>
      </c>
      <c r="G745" s="24" t="str">
        <f ca="1">IFERROR(__xludf.DUMMYFUNCTION("GOOGLETRANSLATE(F745,""en"",""pt"")"),"antessalas")</f>
        <v>antessalas</v>
      </c>
      <c r="H745" s="24"/>
      <c r="I745" s="24"/>
      <c r="J745" s="24"/>
      <c r="K745" s="24"/>
    </row>
    <row r="746" spans="1:11" ht="14.5">
      <c r="A746" s="20" t="s">
        <v>7437</v>
      </c>
      <c r="B746" s="81">
        <v>90</v>
      </c>
      <c r="C746" s="81">
        <v>10</v>
      </c>
      <c r="D746" s="81">
        <v>95</v>
      </c>
      <c r="E746" s="79"/>
      <c r="F746" s="20" t="s">
        <v>7438</v>
      </c>
      <c r="G746" s="24" t="str">
        <f ca="1">IFERROR(__xludf.DUMMYFUNCTION("GOOGLETRANSLATE(F746,""en"",""pt"")"),"passarelas")</f>
        <v>passarelas</v>
      </c>
      <c r="H746" s="24"/>
      <c r="I746" s="24"/>
      <c r="J746" s="24"/>
      <c r="K746" s="24"/>
    </row>
    <row r="747" spans="1:11" ht="14.5">
      <c r="A747" s="20" t="s">
        <v>7439</v>
      </c>
      <c r="B747" s="81">
        <v>90</v>
      </c>
      <c r="C747" s="81">
        <v>10</v>
      </c>
      <c r="D747" s="81">
        <v>96</v>
      </c>
      <c r="E747" s="79"/>
      <c r="F747" s="20" t="s">
        <v>7440</v>
      </c>
      <c r="G747" s="24" t="str">
        <f ca="1">IFERROR(__xludf.DUMMYFUNCTION("GOOGLETRANSLATE(F747,""en"",""pt"")"),"espaços de circulação para cadeira de rodas")</f>
        <v>espaços de circulação para cadeira de rodas</v>
      </c>
      <c r="H747" s="24"/>
      <c r="I747" s="24"/>
      <c r="J747" s="24"/>
      <c r="K747" s="24"/>
    </row>
    <row r="748" spans="1:11" ht="14.5">
      <c r="A748" s="20" t="s">
        <v>7441</v>
      </c>
      <c r="B748" s="81">
        <v>90</v>
      </c>
      <c r="C748" s="81">
        <v>20</v>
      </c>
      <c r="D748" s="79"/>
      <c r="E748" s="79"/>
      <c r="F748" s="20" t="s">
        <v>7442</v>
      </c>
      <c r="G748" s="24" t="str">
        <f ca="1">IFERROR(__xludf.DUMMYFUNCTION("GOOGLETRANSLATE(F748,""en"",""pt"")"),"espaços comuns")</f>
        <v>espaços comuns</v>
      </c>
      <c r="H748" s="24"/>
      <c r="I748" s="24"/>
      <c r="J748" s="24"/>
      <c r="K748" s="24"/>
    </row>
    <row r="749" spans="1:11" ht="14.5">
      <c r="A749" s="20" t="s">
        <v>7443</v>
      </c>
      <c r="B749" s="81">
        <v>90</v>
      </c>
      <c r="C749" s="81">
        <v>20</v>
      </c>
      <c r="D749" s="81">
        <v>1</v>
      </c>
      <c r="E749" s="79"/>
      <c r="F749" s="20" t="s">
        <v>7444</v>
      </c>
      <c r="G749" s="24" t="str">
        <f ca="1">IFERROR(__xludf.DUMMYFUNCTION("GOOGLETRANSLATE(F749,""en"",""pt"")"),"Acidente e salas de emergência de espera")</f>
        <v>Acidente e salas de emergência de espera</v>
      </c>
      <c r="H749" s="24"/>
      <c r="I749" s="24"/>
      <c r="J749" s="24"/>
      <c r="K749" s="24"/>
    </row>
    <row r="750" spans="1:11" ht="14.5">
      <c r="A750" s="20" t="s">
        <v>7445</v>
      </c>
      <c r="B750" s="81">
        <v>90</v>
      </c>
      <c r="C750" s="81">
        <v>20</v>
      </c>
      <c r="D750" s="81">
        <v>4</v>
      </c>
      <c r="E750" s="79"/>
      <c r="F750" s="20" t="s">
        <v>7446</v>
      </c>
      <c r="G750" s="24" t="str">
        <f ca="1">IFERROR(__xludf.DUMMYFUNCTION("GOOGLETRANSLATE(F750,""en"",""pt"")"),"áreas Audiência assentos")</f>
        <v>áreas Audiência assentos</v>
      </c>
      <c r="H750" s="24"/>
      <c r="I750" s="24"/>
      <c r="J750" s="24"/>
      <c r="K750" s="24"/>
    </row>
    <row r="751" spans="1:11" ht="14.5">
      <c r="A751" s="20" t="s">
        <v>7447</v>
      </c>
      <c r="B751" s="81">
        <v>90</v>
      </c>
      <c r="C751" s="81">
        <v>20</v>
      </c>
      <c r="D751" s="81">
        <v>5</v>
      </c>
      <c r="E751" s="79"/>
      <c r="F751" s="20" t="s">
        <v>7448</v>
      </c>
      <c r="G751" s="24" t="str">
        <f ca="1">IFERROR(__xludf.DUMMYFUNCTION("GOOGLETRANSLATE(F751,""en"",""pt"")"),"áreas platéia de pé")</f>
        <v>áreas platéia de pé</v>
      </c>
      <c r="H751" s="24"/>
      <c r="I751" s="24"/>
      <c r="J751" s="24"/>
      <c r="K751" s="24"/>
    </row>
    <row r="752" spans="1:11" ht="14.5">
      <c r="A752" s="20" t="s">
        <v>7449</v>
      </c>
      <c r="B752" s="81">
        <v>90</v>
      </c>
      <c r="C752" s="81">
        <v>20</v>
      </c>
      <c r="D752" s="81">
        <v>8</v>
      </c>
      <c r="E752" s="79"/>
      <c r="F752" s="20" t="s">
        <v>7450</v>
      </c>
      <c r="G752" s="24" t="str">
        <f ca="1">IFERROR(__xludf.DUMMYFUNCTION("GOOGLETRANSLATE(F752,""en"",""pt"")"),"espaços Breakout")</f>
        <v>espaços Breakout</v>
      </c>
      <c r="H752" s="24"/>
      <c r="I752" s="24"/>
      <c r="J752" s="24"/>
      <c r="K752" s="24"/>
    </row>
    <row r="753" spans="1:11" ht="14.5">
      <c r="A753" s="20" t="s">
        <v>7451</v>
      </c>
      <c r="B753" s="81">
        <v>90</v>
      </c>
      <c r="C753" s="81">
        <v>20</v>
      </c>
      <c r="D753" s="81">
        <v>13</v>
      </c>
      <c r="E753" s="79"/>
      <c r="F753" s="20" t="s">
        <v>7452</v>
      </c>
      <c r="G753" s="24" t="str">
        <f ca="1">IFERROR(__xludf.DUMMYFUNCTION("GOOGLETRANSLATE(F753,""en"",""pt"")"),"Vestiários")</f>
        <v>Vestiários</v>
      </c>
      <c r="H753" s="24"/>
      <c r="I753" s="24"/>
      <c r="J753" s="24"/>
      <c r="K753" s="24"/>
    </row>
    <row r="754" spans="1:11" ht="14.5">
      <c r="A754" s="20" t="s">
        <v>7453</v>
      </c>
      <c r="B754" s="81">
        <v>90</v>
      </c>
      <c r="C754" s="81">
        <v>20</v>
      </c>
      <c r="D754" s="81">
        <v>14</v>
      </c>
      <c r="E754" s="79"/>
      <c r="F754" s="20" t="s">
        <v>7454</v>
      </c>
      <c r="G754" s="24" t="str">
        <f ca="1">IFERROR(__xludf.DUMMYFUNCTION("GOOGLETRANSLATE(F754,""en"",""pt"")"),"vestiários")</f>
        <v>vestiários</v>
      </c>
      <c r="H754" s="24"/>
      <c r="I754" s="24"/>
      <c r="J754" s="24"/>
      <c r="K754" s="24"/>
    </row>
    <row r="755" spans="1:11" ht="14.5">
      <c r="A755" s="20" t="s">
        <v>7455</v>
      </c>
      <c r="B755" s="81">
        <v>90</v>
      </c>
      <c r="C755" s="81">
        <v>20</v>
      </c>
      <c r="D755" s="81">
        <v>15</v>
      </c>
      <c r="E755" s="79"/>
      <c r="F755" s="20" t="s">
        <v>7456</v>
      </c>
      <c r="G755" s="24" t="str">
        <f ca="1">IFERROR(__xludf.DUMMYFUNCTION("GOOGLETRANSLATE(F755,""en"",""pt"")"),"camarotes e assentos VIP")</f>
        <v>camarotes e assentos VIP</v>
      </c>
      <c r="H755" s="24"/>
      <c r="I755" s="24"/>
      <c r="J755" s="24"/>
      <c r="K755" s="24"/>
    </row>
    <row r="756" spans="1:11" ht="14.5">
      <c r="A756" s="20" t="s">
        <v>7457</v>
      </c>
      <c r="B756" s="81">
        <v>90</v>
      </c>
      <c r="C756" s="81">
        <v>20</v>
      </c>
      <c r="D756" s="81">
        <v>16</v>
      </c>
      <c r="E756" s="79"/>
      <c r="F756" s="20" t="s">
        <v>7458</v>
      </c>
      <c r="G756" s="24" t="str">
        <f ca="1">IFERROR(__xludf.DUMMYFUNCTION("GOOGLETRANSLATE(F756,""en"",""pt"")"),"áreas de balcão de serviço ao cliente")</f>
        <v>áreas de balcão de serviço ao cliente</v>
      </c>
      <c r="H756" s="24"/>
      <c r="I756" s="24"/>
      <c r="J756" s="24"/>
      <c r="K756" s="24"/>
    </row>
    <row r="757" spans="1:11" ht="14.5">
      <c r="A757" s="20" t="s">
        <v>7459</v>
      </c>
      <c r="B757" s="81">
        <v>90</v>
      </c>
      <c r="C757" s="81">
        <v>20</v>
      </c>
      <c r="D757" s="81">
        <v>69</v>
      </c>
      <c r="E757" s="79"/>
      <c r="F757" s="20" t="s">
        <v>7460</v>
      </c>
      <c r="G757" s="24" t="str">
        <f ca="1">IFERROR(__xludf.DUMMYFUNCTION("GOOGLETRANSLATE(F757,""en"",""pt"")"),"áreas de enfileiramento")</f>
        <v>áreas de enfileiramento</v>
      </c>
      <c r="H757" s="24"/>
      <c r="I757" s="24"/>
      <c r="J757" s="24"/>
      <c r="K757" s="24"/>
    </row>
    <row r="758" spans="1:11" ht="14.5">
      <c r="A758" s="20" t="s">
        <v>7461</v>
      </c>
      <c r="B758" s="81">
        <v>90</v>
      </c>
      <c r="C758" s="81">
        <v>20</v>
      </c>
      <c r="D758" s="81">
        <v>82</v>
      </c>
      <c r="E758" s="79"/>
      <c r="F758" s="20" t="s">
        <v>7462</v>
      </c>
      <c r="G758" s="24" t="str">
        <f ca="1">IFERROR(__xludf.DUMMYFUNCTION("GOOGLETRANSLATE(F758,""en"",""pt"")"),"áreas espectador assentos")</f>
        <v>áreas espectador assentos</v>
      </c>
      <c r="H758" s="24"/>
      <c r="I758" s="24"/>
      <c r="J758" s="24"/>
      <c r="K758" s="24"/>
    </row>
    <row r="759" spans="1:11" ht="14.5">
      <c r="A759" s="20" t="s">
        <v>7463</v>
      </c>
      <c r="B759" s="81">
        <v>90</v>
      </c>
      <c r="C759" s="81">
        <v>20</v>
      </c>
      <c r="D759" s="81">
        <v>83</v>
      </c>
      <c r="E759" s="79"/>
      <c r="F759" s="20" t="s">
        <v>7464</v>
      </c>
      <c r="G759" s="24" t="str">
        <f ca="1">IFERROR(__xludf.DUMMYFUNCTION("GOOGLETRANSLATE(F759,""en"",""pt"")"),"áreas de pé Espectador")</f>
        <v>áreas de pé Espectador</v>
      </c>
      <c r="H759" s="24"/>
      <c r="I759" s="24"/>
      <c r="J759" s="24"/>
      <c r="K759" s="24"/>
    </row>
    <row r="760" spans="1:11" ht="14.5">
      <c r="A760" s="20" t="s">
        <v>7465</v>
      </c>
      <c r="B760" s="81">
        <v>90</v>
      </c>
      <c r="C760" s="81">
        <v>20</v>
      </c>
      <c r="D760" s="81">
        <v>88</v>
      </c>
      <c r="E760" s="79"/>
      <c r="F760" s="20" t="s">
        <v>7466</v>
      </c>
      <c r="G760" s="24" t="str">
        <f ca="1">IFERROR(__xludf.DUMMYFUNCTION("GOOGLETRANSLATE(F760,""en"",""pt"")"),"áreas de estar temporários")</f>
        <v>áreas de estar temporários</v>
      </c>
      <c r="H760" s="24"/>
      <c r="I760" s="24"/>
      <c r="J760" s="24"/>
      <c r="K760" s="24"/>
    </row>
    <row r="761" spans="1:11" ht="14.5">
      <c r="A761" s="20" t="s">
        <v>7467</v>
      </c>
      <c r="B761" s="81">
        <v>90</v>
      </c>
      <c r="C761" s="81">
        <v>20</v>
      </c>
      <c r="D761" s="81">
        <v>89</v>
      </c>
      <c r="E761" s="79"/>
      <c r="F761" s="20" t="s">
        <v>7468</v>
      </c>
      <c r="G761" s="24" t="str">
        <f ca="1">IFERROR(__xludf.DUMMYFUNCTION("GOOGLETRANSLATE(F761,""en"",""pt"")"),"bilheteiras")</f>
        <v>bilheteiras</v>
      </c>
      <c r="H761" s="24"/>
      <c r="I761" s="24"/>
      <c r="J761" s="24"/>
      <c r="K761" s="24"/>
    </row>
    <row r="762" spans="1:11" ht="14.5">
      <c r="A762" s="20" t="s">
        <v>7469</v>
      </c>
      <c r="B762" s="81">
        <v>90</v>
      </c>
      <c r="C762" s="81">
        <v>20</v>
      </c>
      <c r="D762" s="81">
        <v>96</v>
      </c>
      <c r="E762" s="79"/>
      <c r="F762" s="20" t="s">
        <v>7470</v>
      </c>
      <c r="G762" s="24" t="str">
        <f ca="1">IFERROR(__xludf.DUMMYFUNCTION("GOOGLETRANSLATE(F762,""en"",""pt"")"),"salas de espera")</f>
        <v>salas de espera</v>
      </c>
      <c r="H762" s="24"/>
      <c r="I762" s="24"/>
      <c r="J762" s="24"/>
      <c r="K762" s="24"/>
    </row>
    <row r="763" spans="1:11" ht="14.5">
      <c r="A763" s="20" t="s">
        <v>7471</v>
      </c>
      <c r="B763" s="81">
        <v>90</v>
      </c>
      <c r="C763" s="81">
        <v>20</v>
      </c>
      <c r="D763" s="81">
        <v>98</v>
      </c>
      <c r="E763" s="79"/>
      <c r="F763" s="20" t="s">
        <v>7472</v>
      </c>
      <c r="G763" s="24" t="str">
        <f ca="1">IFERROR(__xludf.DUMMYFUNCTION("GOOGLETRANSLATE(F763,""en"",""pt"")"),"cabines de trabalho")</f>
        <v>cabines de trabalho</v>
      </c>
      <c r="H763" s="24"/>
      <c r="I763" s="24"/>
      <c r="J763" s="24"/>
      <c r="K763" s="24"/>
    </row>
    <row r="764" spans="1:11" ht="14.5">
      <c r="A764" s="20" t="s">
        <v>7473</v>
      </c>
      <c r="B764" s="81">
        <v>90</v>
      </c>
      <c r="C764" s="81">
        <v>30</v>
      </c>
      <c r="D764" s="79"/>
      <c r="E764" s="79"/>
      <c r="F764" s="20" t="s">
        <v>7474</v>
      </c>
      <c r="G764" s="24" t="str">
        <f ca="1">IFERROR(__xludf.DUMMYFUNCTION("GOOGLETRANSLATE(F764,""en"",""pt"")"),"vazios de construção")</f>
        <v>vazios de construção</v>
      </c>
      <c r="H764" s="24"/>
      <c r="I764" s="24"/>
      <c r="J764" s="24"/>
      <c r="K764" s="24"/>
    </row>
    <row r="765" spans="1:11" ht="14.5">
      <c r="A765" s="20" t="s">
        <v>7475</v>
      </c>
      <c r="B765" s="81">
        <v>90</v>
      </c>
      <c r="C765" s="81">
        <v>30</v>
      </c>
      <c r="D765" s="81">
        <v>25</v>
      </c>
      <c r="E765" s="79"/>
      <c r="F765" s="20" t="s">
        <v>7476</v>
      </c>
      <c r="G765" s="24" t="str">
        <f ca="1">IFERROR(__xludf.DUMMYFUNCTION("GOOGLETRANSLATE(F765,""en"",""pt"")"),"volumes de escavação")</f>
        <v>volumes de escavação</v>
      </c>
      <c r="H765" s="24"/>
      <c r="I765" s="24"/>
      <c r="J765" s="24"/>
      <c r="K765" s="24"/>
    </row>
    <row r="766" spans="1:11" ht="14.5">
      <c r="A766" s="20" t="s">
        <v>7477</v>
      </c>
      <c r="B766" s="81">
        <v>90</v>
      </c>
      <c r="C766" s="81">
        <v>30</v>
      </c>
      <c r="D766" s="81">
        <v>30</v>
      </c>
      <c r="E766" s="79"/>
      <c r="F766" s="20" t="s">
        <v>7478</v>
      </c>
      <c r="G766" s="24" t="str">
        <f ca="1">IFERROR(__xludf.DUMMYFUNCTION("GOOGLETRANSLATE(F766,""en"",""pt"")"),"acabamentos subsídios")</f>
        <v>acabamentos subsídios</v>
      </c>
      <c r="H766" s="24"/>
      <c r="I766" s="24"/>
      <c r="J766" s="24"/>
      <c r="K766" s="24"/>
    </row>
    <row r="767" spans="1:11" ht="14.5">
      <c r="A767" s="20" t="s">
        <v>7479</v>
      </c>
      <c r="B767" s="81">
        <v>90</v>
      </c>
      <c r="C767" s="81">
        <v>30</v>
      </c>
      <c r="D767" s="81">
        <v>80</v>
      </c>
      <c r="E767" s="79"/>
      <c r="F767" s="20" t="s">
        <v>7480</v>
      </c>
      <c r="G767" s="24" t="str">
        <f ca="1">IFERROR(__xludf.DUMMYFUNCTION("GOOGLETRANSLATE(F767,""en"",""pt"")"),"envelopes de provas espaço")</f>
        <v>envelopes de provas espaço</v>
      </c>
      <c r="H767" s="24"/>
      <c r="I767" s="24"/>
      <c r="J767" s="24"/>
      <c r="K767" s="24"/>
    </row>
    <row r="768" spans="1:11" ht="14.5">
      <c r="A768" s="20" t="s">
        <v>7481</v>
      </c>
      <c r="B768" s="81">
        <v>90</v>
      </c>
      <c r="C768" s="81">
        <v>30</v>
      </c>
      <c r="D768" s="81">
        <v>90</v>
      </c>
      <c r="E768" s="79"/>
      <c r="F768" s="20" t="s">
        <v>7482</v>
      </c>
      <c r="G768" s="24" t="str">
        <f ca="1">IFERROR(__xludf.DUMMYFUNCTION("GOOGLETRANSLATE(F768,""en"",""pt"")"),"zonas de tolerância")</f>
        <v>zonas de tolerância</v>
      </c>
      <c r="H768" s="24"/>
      <c r="I768" s="24"/>
      <c r="J768" s="24"/>
      <c r="K768" s="24"/>
    </row>
    <row r="769" spans="1:11" ht="14.5">
      <c r="A769" s="20" t="s">
        <v>7483</v>
      </c>
      <c r="B769" s="81">
        <v>90</v>
      </c>
      <c r="C769" s="81">
        <v>40</v>
      </c>
      <c r="D769" s="79"/>
      <c r="E769" s="79"/>
      <c r="F769" s="20" t="s">
        <v>7484</v>
      </c>
      <c r="G769" s="24" t="str">
        <f ca="1">IFERROR(__xludf.DUMMYFUNCTION("GOOGLETRANSLATE(F769,""en"",""pt"")"),"níveis gerais")</f>
        <v>níveis gerais</v>
      </c>
      <c r="H769" s="24"/>
      <c r="I769" s="24"/>
      <c r="J769" s="24"/>
      <c r="K769" s="24"/>
    </row>
    <row r="770" spans="1:11" ht="14.5">
      <c r="A770" s="20" t="s">
        <v>7485</v>
      </c>
      <c r="B770" s="81">
        <v>90</v>
      </c>
      <c r="C770" s="81">
        <v>40</v>
      </c>
      <c r="D770" s="81">
        <v>46</v>
      </c>
      <c r="E770" s="79"/>
      <c r="F770" s="20" t="s">
        <v>7486</v>
      </c>
      <c r="G770" s="24" t="str">
        <f ca="1">IFERROR(__xludf.DUMMYFUNCTION("GOOGLETRANSLATE(F770,""en"",""pt"")"),"níveis")</f>
        <v>níveis</v>
      </c>
      <c r="H770" s="24"/>
      <c r="I770" s="24"/>
      <c r="J770" s="24"/>
      <c r="K770" s="24"/>
    </row>
    <row r="771" spans="1:11" ht="14.5">
      <c r="A771" s="20" t="s">
        <v>7487</v>
      </c>
      <c r="B771" s="81">
        <v>90</v>
      </c>
      <c r="C771" s="81">
        <v>50</v>
      </c>
      <c r="D771" s="79"/>
      <c r="E771" s="79"/>
      <c r="F771" s="20" t="s">
        <v>7488</v>
      </c>
      <c r="G771" s="24" t="str">
        <f ca="1">IFERROR(__xludf.DUMMYFUNCTION("GOOGLETRANSLATE(F771,""en"",""pt"")"),"espaços de armazenamento")</f>
        <v>espaços de armazenamento</v>
      </c>
      <c r="H771" s="24"/>
      <c r="I771" s="24"/>
      <c r="J771" s="24"/>
      <c r="K771" s="24"/>
    </row>
    <row r="772" spans="1:11" ht="14.5">
      <c r="A772" s="20" t="s">
        <v>7489</v>
      </c>
      <c r="B772" s="81">
        <v>90</v>
      </c>
      <c r="C772" s="81">
        <v>50</v>
      </c>
      <c r="D772" s="81">
        <v>4</v>
      </c>
      <c r="E772" s="79"/>
      <c r="F772" s="20" t="s">
        <v>7490</v>
      </c>
      <c r="G772" s="24" t="str">
        <f ca="1">IFERROR(__xludf.DUMMYFUNCTION("GOOGLETRANSLATE(F772,""en"",""pt"")"),"depósitos de armas e arsenais")</f>
        <v>depósitos de armas e arsenais</v>
      </c>
      <c r="H772" s="24"/>
      <c r="I772" s="24"/>
      <c r="J772" s="24"/>
      <c r="K772" s="24"/>
    </row>
    <row r="773" spans="1:11" ht="14.5">
      <c r="A773" s="20" t="s">
        <v>7491</v>
      </c>
      <c r="B773" s="81">
        <v>90</v>
      </c>
      <c r="C773" s="81">
        <v>50</v>
      </c>
      <c r="D773" s="81">
        <v>6</v>
      </c>
      <c r="E773" s="79"/>
      <c r="F773" s="20" t="s">
        <v>7492</v>
      </c>
      <c r="G773" s="24" t="str">
        <f ca="1">IFERROR(__xludf.DUMMYFUNCTION("GOOGLETRANSLATE(F773,""en"",""pt"")"),"áreas de armazenamento de bagagem")</f>
        <v>áreas de armazenamento de bagagem</v>
      </c>
      <c r="H773" s="24"/>
      <c r="I773" s="24"/>
      <c r="J773" s="24"/>
      <c r="K773" s="24"/>
    </row>
    <row r="774" spans="1:11" ht="14.5">
      <c r="A774" s="20" t="s">
        <v>7493</v>
      </c>
      <c r="B774" s="81">
        <v>90</v>
      </c>
      <c r="C774" s="81">
        <v>50</v>
      </c>
      <c r="D774" s="81">
        <v>7</v>
      </c>
      <c r="E774" s="79"/>
      <c r="F774" s="20" t="s">
        <v>7494</v>
      </c>
      <c r="G774" s="24" t="str">
        <f ca="1">IFERROR(__xludf.DUMMYFUNCTION("GOOGLETRANSLATE(F774,""en"",""pt"")"),"bateria armazena")</f>
        <v>bateria armazena</v>
      </c>
      <c r="H774" s="24"/>
      <c r="I774" s="24"/>
      <c r="J774" s="24"/>
      <c r="K774" s="24"/>
    </row>
    <row r="775" spans="1:11" ht="14.5">
      <c r="A775" s="20" t="s">
        <v>7495</v>
      </c>
      <c r="B775" s="81">
        <v>90</v>
      </c>
      <c r="C775" s="81">
        <v>50</v>
      </c>
      <c r="D775" s="81">
        <v>8</v>
      </c>
      <c r="E775" s="79"/>
      <c r="F775" s="20" t="s">
        <v>7496</v>
      </c>
      <c r="G775" s="24" t="str">
        <f ca="1">IFERROR(__xludf.DUMMYFUNCTION("GOOGLETRANSLATE(F775,""en"",""pt"")"),"bancos de sangue")</f>
        <v>bancos de sangue</v>
      </c>
      <c r="H775" s="24"/>
      <c r="I775" s="24"/>
      <c r="J775" s="24"/>
      <c r="K775" s="24"/>
    </row>
    <row r="776" spans="1:11" ht="14.5">
      <c r="A776" s="20" t="s">
        <v>7497</v>
      </c>
      <c r="B776" s="81">
        <v>90</v>
      </c>
      <c r="C776" s="81">
        <v>50</v>
      </c>
      <c r="D776" s="81">
        <v>9</v>
      </c>
      <c r="E776" s="79"/>
      <c r="F776" s="20" t="s">
        <v>7498</v>
      </c>
      <c r="G776" s="24" t="str">
        <f ca="1">IFERROR(__xludf.DUMMYFUNCTION("GOOGLETRANSLATE(F776,""en"",""pt"")"),"espaços de armazenamento de barco")</f>
        <v>espaços de armazenamento de barco</v>
      </c>
      <c r="H776" s="24"/>
      <c r="I776" s="24"/>
      <c r="J776" s="24"/>
      <c r="K776" s="24"/>
    </row>
    <row r="777" spans="1:11" ht="14.5">
      <c r="A777" s="20" t="s">
        <v>7499</v>
      </c>
      <c r="B777" s="81">
        <v>90</v>
      </c>
      <c r="C777" s="81">
        <v>50</v>
      </c>
      <c r="D777" s="81">
        <v>11</v>
      </c>
      <c r="E777" s="79"/>
      <c r="F777" s="20" t="s">
        <v>7500</v>
      </c>
      <c r="G777" s="24" t="str">
        <f ca="1">IFERROR(__xludf.DUMMYFUNCTION("GOOGLETRANSLATE(F777,""en"",""pt"")"),"áreas de armazenamento de carga")</f>
        <v>áreas de armazenamento de carga</v>
      </c>
      <c r="H777" s="24"/>
      <c r="I777" s="24"/>
      <c r="J777" s="24"/>
      <c r="K777" s="24"/>
    </row>
    <row r="778" spans="1:11" ht="14.5">
      <c r="A778" s="20" t="s">
        <v>7501</v>
      </c>
      <c r="B778" s="81">
        <v>90</v>
      </c>
      <c r="C778" s="81">
        <v>50</v>
      </c>
      <c r="D778" s="81">
        <v>12</v>
      </c>
      <c r="E778" s="79"/>
      <c r="F778" s="20" t="s">
        <v>7502</v>
      </c>
      <c r="G778" s="24" t="str">
        <f ca="1">IFERROR(__xludf.DUMMYFUNCTION("GOOGLETRANSLATE(F778,""en"",""pt"")"),"Estacionamento para carros")</f>
        <v>Estacionamento para carros</v>
      </c>
      <c r="H778" s="24"/>
      <c r="I778" s="24"/>
      <c r="J778" s="24"/>
      <c r="K778" s="24"/>
    </row>
    <row r="779" spans="1:11" ht="14.5">
      <c r="A779" s="20" t="s">
        <v>7503</v>
      </c>
      <c r="B779" s="81">
        <v>90</v>
      </c>
      <c r="C779" s="81">
        <v>50</v>
      </c>
      <c r="D779" s="81">
        <v>13</v>
      </c>
      <c r="E779" s="79"/>
      <c r="F779" s="20" t="s">
        <v>7504</v>
      </c>
      <c r="G779" s="24" t="str">
        <f ca="1">IFERROR(__xludf.DUMMYFUNCTION("GOOGLETRANSLATE(F779,""en"",""pt"")"),"Chemicals lojas")</f>
        <v>Chemicals lojas</v>
      </c>
      <c r="H779" s="24"/>
      <c r="I779" s="24"/>
      <c r="J779" s="24"/>
      <c r="K779" s="24"/>
    </row>
    <row r="780" spans="1:11" ht="14.5">
      <c r="A780" s="20" t="s">
        <v>7505</v>
      </c>
      <c r="B780" s="81">
        <v>90</v>
      </c>
      <c r="C780" s="81">
        <v>50</v>
      </c>
      <c r="D780" s="81">
        <v>14</v>
      </c>
      <c r="E780" s="79"/>
      <c r="F780" s="20" t="s">
        <v>7506</v>
      </c>
      <c r="G780" s="24" t="str">
        <f ca="1">IFERROR(__xludf.DUMMYFUNCTION("GOOGLETRANSLATE(F780,""en"",""pt"")"),"lojas de roupas")</f>
        <v>lojas de roupas</v>
      </c>
      <c r="H780" s="24"/>
      <c r="I780" s="24"/>
      <c r="J780" s="24"/>
      <c r="K780" s="24"/>
    </row>
    <row r="781" spans="1:11" ht="14.5">
      <c r="A781" s="20" t="s">
        <v>7507</v>
      </c>
      <c r="B781" s="81">
        <v>90</v>
      </c>
      <c r="C781" s="81">
        <v>50</v>
      </c>
      <c r="D781" s="81">
        <v>15</v>
      </c>
      <c r="E781" s="79"/>
      <c r="F781" s="20" t="s">
        <v>7508</v>
      </c>
      <c r="G781" s="24" t="str">
        <f ca="1">IFERROR(__xludf.DUMMYFUNCTION("GOOGLETRANSLATE(F781,""en"",""pt"")"),"armazéns frigoríficos")</f>
        <v>armazéns frigoríficos</v>
      </c>
      <c r="H781" s="24"/>
      <c r="I781" s="24"/>
      <c r="J781" s="24"/>
      <c r="K781" s="24"/>
    </row>
    <row r="782" spans="1:11" ht="14.5">
      <c r="A782" s="20" t="s">
        <v>7509</v>
      </c>
      <c r="B782" s="81">
        <v>90</v>
      </c>
      <c r="C782" s="81">
        <v>50</v>
      </c>
      <c r="D782" s="81">
        <v>17</v>
      </c>
      <c r="E782" s="79"/>
      <c r="F782" s="20" t="s">
        <v>7510</v>
      </c>
      <c r="G782" s="24" t="str">
        <f ca="1">IFERROR(__xludf.DUMMYFUNCTION("GOOGLETRANSLATE(F782,""en"",""pt"")"),"espaços de armazenamento ciclo")</f>
        <v>espaços de armazenamento ciclo</v>
      </c>
      <c r="H782" s="24"/>
      <c r="I782" s="24"/>
      <c r="J782" s="24"/>
      <c r="K782" s="24"/>
    </row>
    <row r="783" spans="1:11" ht="14.5">
      <c r="A783" s="20" t="s">
        <v>7511</v>
      </c>
      <c r="B783" s="81">
        <v>90</v>
      </c>
      <c r="C783" s="81">
        <v>50</v>
      </c>
      <c r="D783" s="81">
        <v>24</v>
      </c>
      <c r="E783" s="79"/>
      <c r="F783" s="20" t="s">
        <v>7512</v>
      </c>
      <c r="G783" s="24" t="str">
        <f ca="1">IFERROR(__xludf.DUMMYFUNCTION("GOOGLETRANSLATE(F783,""en"",""pt"")"),"espaços de armazenamento de resíduos secos")</f>
        <v>espaços de armazenamento de resíduos secos</v>
      </c>
      <c r="H783" s="24"/>
      <c r="I783" s="24"/>
      <c r="J783" s="24"/>
      <c r="K783" s="24"/>
    </row>
    <row r="784" spans="1:11" ht="14.5">
      <c r="A784" s="20" t="s">
        <v>7513</v>
      </c>
      <c r="B784" s="81">
        <v>90</v>
      </c>
      <c r="C784" s="81">
        <v>50</v>
      </c>
      <c r="D784" s="81">
        <v>25</v>
      </c>
      <c r="E784" s="79"/>
      <c r="F784" s="20" t="s">
        <v>7514</v>
      </c>
      <c r="G784" s="24" t="str">
        <f ca="1">IFERROR(__xludf.DUMMYFUNCTION("GOOGLETRANSLATE(F784,""en"",""pt"")"),"Dungsteads")</f>
        <v>Dungsteads</v>
      </c>
      <c r="H784" s="24"/>
      <c r="I784" s="24"/>
      <c r="J784" s="24"/>
      <c r="K784" s="24"/>
    </row>
    <row r="785" spans="1:11" ht="14.5">
      <c r="A785" s="20" t="s">
        <v>7515</v>
      </c>
      <c r="B785" s="81">
        <v>90</v>
      </c>
      <c r="C785" s="81">
        <v>50</v>
      </c>
      <c r="D785" s="81">
        <v>26</v>
      </c>
      <c r="E785" s="79"/>
      <c r="F785" s="20" t="s">
        <v>7516</v>
      </c>
      <c r="G785" s="24" t="str">
        <f ca="1">IFERROR(__xludf.DUMMYFUNCTION("GOOGLETRANSLATE(F785,""en"",""pt"")"),"tanques de efluentes")</f>
        <v>tanques de efluentes</v>
      </c>
      <c r="H785" s="24"/>
      <c r="I785" s="24"/>
      <c r="J785" s="24"/>
      <c r="K785" s="24"/>
    </row>
    <row r="786" spans="1:11" ht="14.5">
      <c r="A786" s="20" t="s">
        <v>7517</v>
      </c>
      <c r="B786" s="81">
        <v>90</v>
      </c>
      <c r="C786" s="81">
        <v>50</v>
      </c>
      <c r="D786" s="81">
        <v>27</v>
      </c>
      <c r="E786" s="79"/>
      <c r="F786" s="20" t="s">
        <v>7518</v>
      </c>
      <c r="G786" s="24" t="str">
        <f ca="1">IFERROR(__xludf.DUMMYFUNCTION("GOOGLETRANSLATE(F786,""en"",""pt"")"),"lojas de equipamentos")</f>
        <v>lojas de equipamentos</v>
      </c>
      <c r="H786" s="24"/>
      <c r="I786" s="24"/>
      <c r="J786" s="24"/>
      <c r="K786" s="24"/>
    </row>
    <row r="787" spans="1:11" ht="14.5">
      <c r="A787" s="20" t="s">
        <v>7519</v>
      </c>
      <c r="B787" s="81">
        <v>90</v>
      </c>
      <c r="C787" s="81">
        <v>50</v>
      </c>
      <c r="D787" s="81">
        <v>28</v>
      </c>
      <c r="E787" s="79"/>
      <c r="F787" s="20" t="s">
        <v>7520</v>
      </c>
      <c r="G787" s="24" t="str">
        <f ca="1">IFERROR(__xludf.DUMMYFUNCTION("GOOGLETRANSLATE(F787,""en"",""pt"")"),"Explosivos e armazéns munições")</f>
        <v>Explosivos e armazéns munições</v>
      </c>
      <c r="H787" s="24"/>
      <c r="I787" s="24"/>
      <c r="J787" s="24"/>
      <c r="K787" s="24"/>
    </row>
    <row r="788" spans="1:11" ht="14.5">
      <c r="A788" s="20" t="s">
        <v>7521</v>
      </c>
      <c r="B788" s="81">
        <v>90</v>
      </c>
      <c r="C788" s="81">
        <v>50</v>
      </c>
      <c r="D788" s="81">
        <v>30</v>
      </c>
      <c r="E788" s="79"/>
      <c r="F788" s="20" t="s">
        <v>7522</v>
      </c>
      <c r="G788" s="24" t="str">
        <f ca="1">IFERROR(__xludf.DUMMYFUNCTION("GOOGLETRANSLATE(F788,""en"",""pt"")"),"lojas de alimentação")</f>
        <v>lojas de alimentação</v>
      </c>
      <c r="H788" s="24"/>
      <c r="I788" s="24"/>
      <c r="J788" s="24"/>
      <c r="K788" s="24"/>
    </row>
    <row r="789" spans="1:11" ht="14.5">
      <c r="A789" s="20" t="s">
        <v>7523</v>
      </c>
      <c r="B789" s="81">
        <v>90</v>
      </c>
      <c r="C789" s="81">
        <v>50</v>
      </c>
      <c r="D789" s="81">
        <v>31</v>
      </c>
      <c r="E789" s="79"/>
      <c r="F789" s="20" t="s">
        <v>7524</v>
      </c>
      <c r="G789" s="24" t="str">
        <f ca="1">IFERROR(__xludf.DUMMYFUNCTION("GOOGLETRANSLATE(F789,""en"",""pt"")"),"lojas químicos inflamáveis")</f>
        <v>lojas químicos inflamáveis</v>
      </c>
      <c r="H789" s="24"/>
      <c r="I789" s="24"/>
      <c r="J789" s="24"/>
      <c r="K789" s="24"/>
    </row>
    <row r="790" spans="1:11" ht="14.5">
      <c r="A790" s="20" t="s">
        <v>7525</v>
      </c>
      <c r="B790" s="81">
        <v>90</v>
      </c>
      <c r="C790" s="81">
        <v>50</v>
      </c>
      <c r="D790" s="81">
        <v>32</v>
      </c>
      <c r="E790" s="79"/>
      <c r="F790" s="20" t="s">
        <v>7526</v>
      </c>
      <c r="G790" s="24" t="str">
        <f ca="1">IFERROR(__xludf.DUMMYFUNCTION("GOOGLETRANSLATE(F790,""en"",""pt"")"),"áreas de armazenamento de combustível")</f>
        <v>áreas de armazenamento de combustível</v>
      </c>
      <c r="H790" s="24"/>
      <c r="I790" s="24"/>
      <c r="J790" s="24"/>
      <c r="K790" s="24"/>
    </row>
    <row r="791" spans="1:11" ht="14.5">
      <c r="A791" s="20" t="s">
        <v>7527</v>
      </c>
      <c r="B791" s="81">
        <v>90</v>
      </c>
      <c r="C791" s="81">
        <v>50</v>
      </c>
      <c r="D791" s="81">
        <v>33</v>
      </c>
      <c r="E791" s="79"/>
      <c r="F791" s="20" t="s">
        <v>7528</v>
      </c>
      <c r="G791" s="24" t="str">
        <f ca="1">IFERROR(__xludf.DUMMYFUNCTION("GOOGLETRANSLATE(F791,""en"",""pt"")"),"garagens")</f>
        <v>garagens</v>
      </c>
      <c r="H791" s="24"/>
      <c r="I791" s="24"/>
      <c r="J791" s="24"/>
      <c r="K791" s="24"/>
    </row>
    <row r="792" spans="1:11" ht="14.5">
      <c r="A792" s="20" t="s">
        <v>7529</v>
      </c>
      <c r="B792" s="81">
        <v>90</v>
      </c>
      <c r="C792" s="81">
        <v>50</v>
      </c>
      <c r="D792" s="81">
        <v>34</v>
      </c>
      <c r="E792" s="79"/>
      <c r="F792" s="20" t="s">
        <v>7530</v>
      </c>
      <c r="G792" s="24" t="str">
        <f ca="1">IFERROR(__xludf.DUMMYFUNCTION("GOOGLETRANSLATE(F792,""en"",""pt"")"),"espaços de armazenamento de gás")</f>
        <v>espaços de armazenamento de gás</v>
      </c>
      <c r="H792" s="24"/>
      <c r="I792" s="24"/>
      <c r="J792" s="24"/>
      <c r="K792" s="24"/>
    </row>
    <row r="793" spans="1:11" ht="14.5">
      <c r="A793" s="20" t="s">
        <v>7531</v>
      </c>
      <c r="B793" s="81">
        <v>90</v>
      </c>
      <c r="C793" s="81">
        <v>50</v>
      </c>
      <c r="D793" s="81">
        <v>35</v>
      </c>
      <c r="E793" s="79"/>
      <c r="F793" s="20" t="s">
        <v>7532</v>
      </c>
      <c r="G793" s="24" t="str">
        <f ca="1">IFERROR(__xludf.DUMMYFUNCTION("GOOGLETRANSLATE(F793,""en"",""pt"")"),"armazéns gerais")</f>
        <v>armazéns gerais</v>
      </c>
      <c r="H793" s="24"/>
      <c r="I793" s="24"/>
      <c r="J793" s="24"/>
      <c r="K793" s="24"/>
    </row>
    <row r="794" spans="1:11" ht="14.5">
      <c r="A794" s="20" t="s">
        <v>7533</v>
      </c>
      <c r="B794" s="81">
        <v>90</v>
      </c>
      <c r="C794" s="81">
        <v>50</v>
      </c>
      <c r="D794" s="81">
        <v>36</v>
      </c>
      <c r="E794" s="79"/>
      <c r="F794" s="20" t="s">
        <v>7534</v>
      </c>
      <c r="G794" s="24" t="str">
        <f ca="1">IFERROR(__xludf.DUMMYFUNCTION("GOOGLETRANSLATE(F794,""en"",""pt"")"),"Mercadorias lojas")</f>
        <v>Mercadorias lojas</v>
      </c>
      <c r="H794" s="24"/>
      <c r="I794" s="24"/>
      <c r="J794" s="24"/>
      <c r="K794" s="24"/>
    </row>
    <row r="795" spans="1:11" ht="14.5">
      <c r="A795" s="20" t="s">
        <v>7535</v>
      </c>
      <c r="B795" s="81">
        <v>90</v>
      </c>
      <c r="C795" s="81">
        <v>50</v>
      </c>
      <c r="D795" s="81">
        <v>37</v>
      </c>
      <c r="E795" s="79"/>
      <c r="F795" s="20" t="s">
        <v>7536</v>
      </c>
      <c r="G795" s="24" t="str">
        <f ca="1">IFERROR(__xludf.DUMMYFUNCTION("GOOGLETRANSLATE(F795,""en"",""pt"")"),"lojas de grão")</f>
        <v>lojas de grão</v>
      </c>
      <c r="H795" s="24"/>
      <c r="I795" s="24"/>
      <c r="J795" s="24"/>
      <c r="K795" s="24"/>
    </row>
    <row r="796" spans="1:11" ht="14.5">
      <c r="A796" s="20" t="s">
        <v>7537</v>
      </c>
      <c r="B796" s="81">
        <v>90</v>
      </c>
      <c r="C796" s="81">
        <v>50</v>
      </c>
      <c r="D796" s="81">
        <v>38</v>
      </c>
      <c r="E796" s="79"/>
      <c r="F796" s="20" t="s">
        <v>7538</v>
      </c>
      <c r="G796" s="24" t="str">
        <f ca="1">IFERROR(__xludf.DUMMYFUNCTION("GOOGLETRANSLATE(F796,""en"",""pt"")"),"espaços de armazenamento de resíduos perigosos")</f>
        <v>espaços de armazenamento de resíduos perigosos</v>
      </c>
      <c r="H796" s="24"/>
      <c r="I796" s="24"/>
      <c r="J796" s="24"/>
      <c r="K796" s="24"/>
    </row>
    <row r="797" spans="1:11" ht="14.5">
      <c r="A797" s="20" t="s">
        <v>7539</v>
      </c>
      <c r="B797" s="81">
        <v>90</v>
      </c>
      <c r="C797" s="81">
        <v>50</v>
      </c>
      <c r="D797" s="81">
        <v>44</v>
      </c>
      <c r="E797" s="79"/>
      <c r="F797" s="20" t="s">
        <v>7540</v>
      </c>
      <c r="G797" s="24" t="str">
        <f ca="1">IFERROR(__xludf.DUMMYFUNCTION("GOOGLETRANSLATE(F797,""en"",""pt"")"),"lojas de guarda de serviço")</f>
        <v>lojas de guarda de serviço</v>
      </c>
      <c r="H797" s="24"/>
      <c r="I797" s="24"/>
      <c r="J797" s="24"/>
      <c r="K797" s="24"/>
    </row>
    <row r="798" spans="1:11" ht="14.5">
      <c r="A798" s="20" t="s">
        <v>7541</v>
      </c>
      <c r="B798" s="81">
        <v>90</v>
      </c>
      <c r="C798" s="81">
        <v>50</v>
      </c>
      <c r="D798" s="81">
        <v>45</v>
      </c>
      <c r="E798" s="79"/>
      <c r="F798" s="20" t="s">
        <v>7542</v>
      </c>
      <c r="G798" s="24" t="str">
        <f ca="1">IFERROR(__xludf.DUMMYFUNCTION("GOOGLETRANSLATE(F798,""en"",""pt"")"),"lojas barril")</f>
        <v>lojas barril</v>
      </c>
      <c r="H798" s="24"/>
      <c r="I798" s="24"/>
      <c r="J798" s="24"/>
      <c r="K798" s="24"/>
    </row>
    <row r="799" spans="1:11" ht="14.5">
      <c r="A799" s="20" t="s">
        <v>7543</v>
      </c>
      <c r="B799" s="81">
        <v>90</v>
      </c>
      <c r="C799" s="81">
        <v>50</v>
      </c>
      <c r="D799" s="81">
        <v>46</v>
      </c>
      <c r="E799" s="79"/>
      <c r="F799" s="20" t="s">
        <v>7544</v>
      </c>
      <c r="G799" s="24" t="str">
        <f ca="1">IFERROR(__xludf.DUMMYFUNCTION("GOOGLETRANSLATE(F799,""en"",""pt"")"),"Despensas e despensas")</f>
        <v>Despensas e despensas</v>
      </c>
      <c r="H799" s="24"/>
      <c r="I799" s="24"/>
      <c r="J799" s="24"/>
      <c r="K799" s="24"/>
    </row>
    <row r="800" spans="1:11" ht="14.5">
      <c r="A800" s="20" t="s">
        <v>7545</v>
      </c>
      <c r="B800" s="81">
        <v>90</v>
      </c>
      <c r="C800" s="81">
        <v>50</v>
      </c>
      <c r="D800" s="81">
        <v>47</v>
      </c>
      <c r="E800" s="79"/>
      <c r="F800" s="20" t="s">
        <v>7546</v>
      </c>
      <c r="G800" s="24" t="str">
        <f ca="1">IFERROR(__xludf.DUMMYFUNCTION("GOOGLETRANSLATE(F800,""en"",""pt"")"),"lojas de bagagem")</f>
        <v>lojas de bagagem</v>
      </c>
      <c r="H800" s="24"/>
      <c r="I800" s="24"/>
      <c r="J800" s="24"/>
      <c r="K800" s="24"/>
    </row>
    <row r="801" spans="1:11" ht="14.5">
      <c r="A801" s="20" t="s">
        <v>7547</v>
      </c>
      <c r="B801" s="81">
        <v>90</v>
      </c>
      <c r="C801" s="81">
        <v>50</v>
      </c>
      <c r="D801" s="81">
        <v>48</v>
      </c>
      <c r="E801" s="79"/>
      <c r="F801" s="20" t="s">
        <v>7548</v>
      </c>
      <c r="G801" s="24" t="str">
        <f ca="1">IFERROR(__xludf.DUMMYFUNCTION("GOOGLETRANSLATE(F801,""en"",""pt"")"),"vestiários")</f>
        <v>vestiários</v>
      </c>
      <c r="H801" s="24"/>
      <c r="I801" s="24"/>
      <c r="J801" s="24"/>
      <c r="K801" s="24"/>
    </row>
    <row r="802" spans="1:11" ht="14.5">
      <c r="A802" s="20" t="s">
        <v>7549</v>
      </c>
      <c r="B802" s="81">
        <v>90</v>
      </c>
      <c r="C802" s="81">
        <v>50</v>
      </c>
      <c r="D802" s="81">
        <v>52</v>
      </c>
      <c r="E802" s="79"/>
      <c r="F802" s="20" t="s">
        <v>7550</v>
      </c>
      <c r="G802" s="24" t="str">
        <f ca="1">IFERROR(__xludf.DUMMYFUNCTION("GOOGLETRANSLATE(F802,""en"",""pt"")"),"espaços de armazenamento minerais")</f>
        <v>espaços de armazenamento minerais</v>
      </c>
      <c r="H802" s="24"/>
      <c r="I802" s="24"/>
      <c r="J802" s="24"/>
      <c r="K802" s="24"/>
    </row>
    <row r="803" spans="1:11" ht="14.5">
      <c r="A803" s="20" t="s">
        <v>7551</v>
      </c>
      <c r="B803" s="81">
        <v>90</v>
      </c>
      <c r="C803" s="81">
        <v>50</v>
      </c>
      <c r="D803" s="81">
        <v>54</v>
      </c>
      <c r="E803" s="79"/>
      <c r="F803" s="20" t="s">
        <v>7552</v>
      </c>
      <c r="G803" s="24" t="str">
        <f ca="1">IFERROR(__xludf.DUMMYFUNCTION("GOOGLETRANSLATE(F803,""en"",""pt"")"),"necrotérios")</f>
        <v>necrotérios</v>
      </c>
      <c r="H803" s="24"/>
      <c r="I803" s="24"/>
      <c r="J803" s="24"/>
      <c r="K803" s="24"/>
    </row>
    <row r="804" spans="1:11" ht="14.5">
      <c r="A804" s="20" t="s">
        <v>7553</v>
      </c>
      <c r="B804" s="81">
        <v>90</v>
      </c>
      <c r="C804" s="81">
        <v>50</v>
      </c>
      <c r="D804" s="81">
        <v>55</v>
      </c>
      <c r="E804" s="79"/>
      <c r="F804" s="20" t="s">
        <v>7554</v>
      </c>
      <c r="G804" s="24" t="str">
        <f ca="1">IFERROR(__xludf.DUMMYFUNCTION("GOOGLETRANSLATE(F804,""en"",""pt"")"),"Mortuaries")</f>
        <v>Mortuaries</v>
      </c>
      <c r="H804" s="24"/>
      <c r="I804" s="24"/>
      <c r="J804" s="24"/>
      <c r="K804" s="24"/>
    </row>
    <row r="805" spans="1:11" ht="14.5">
      <c r="A805" s="20" t="s">
        <v>7555</v>
      </c>
      <c r="B805" s="81">
        <v>90</v>
      </c>
      <c r="C805" s="81">
        <v>50</v>
      </c>
      <c r="D805" s="81">
        <v>58</v>
      </c>
      <c r="E805" s="79"/>
      <c r="F805" s="20" t="s">
        <v>7556</v>
      </c>
      <c r="G805" s="24" t="str">
        <f ca="1">IFERROR(__xludf.DUMMYFUNCTION("GOOGLETRANSLATE(F805,""en"",""pt"")"),"espaços de armazenamento do petróleo")</f>
        <v>espaços de armazenamento do petróleo</v>
      </c>
      <c r="H805" s="24"/>
      <c r="I805" s="24"/>
      <c r="J805" s="24"/>
      <c r="K805" s="24"/>
    </row>
    <row r="806" spans="1:11" ht="14.5">
      <c r="A806" s="20" t="s">
        <v>7557</v>
      </c>
      <c r="B806" s="81">
        <v>90</v>
      </c>
      <c r="C806" s="81">
        <v>50</v>
      </c>
      <c r="D806" s="81">
        <v>65</v>
      </c>
      <c r="E806" s="79"/>
      <c r="F806" s="20" t="s">
        <v>7558</v>
      </c>
      <c r="G806" s="24" t="str">
        <f ca="1">IFERROR(__xludf.DUMMYFUNCTION("GOOGLETRANSLATE(F806,""en"",""pt"")"),"lojas de farmacêuticas")</f>
        <v>lojas de farmacêuticas</v>
      </c>
      <c r="H806" s="24"/>
      <c r="I806" s="24"/>
      <c r="J806" s="24"/>
      <c r="K806" s="24"/>
    </row>
    <row r="807" spans="1:11" ht="14.5">
      <c r="A807" s="20" t="s">
        <v>7559</v>
      </c>
      <c r="B807" s="81">
        <v>90</v>
      </c>
      <c r="C807" s="81">
        <v>50</v>
      </c>
      <c r="D807" s="81">
        <v>70</v>
      </c>
      <c r="E807" s="79"/>
      <c r="F807" s="20" t="s">
        <v>7560</v>
      </c>
      <c r="G807" s="24" t="str">
        <f ca="1">IFERROR(__xludf.DUMMYFUNCTION("GOOGLETRANSLATE(F807,""en"",""pt"")"),"As matérias-primas silos de armazenamento")</f>
        <v>As matérias-primas silos de armazenamento</v>
      </c>
      <c r="H807" s="24"/>
      <c r="I807" s="24"/>
      <c r="J807" s="24"/>
      <c r="K807" s="24"/>
    </row>
    <row r="808" spans="1:11" ht="14.5">
      <c r="A808" s="20" t="s">
        <v>7561</v>
      </c>
      <c r="B808" s="81">
        <v>90</v>
      </c>
      <c r="C808" s="81">
        <v>50</v>
      </c>
      <c r="D808" s="81">
        <v>71</v>
      </c>
      <c r="E808" s="79"/>
      <c r="F808" s="20" t="s">
        <v>7562</v>
      </c>
      <c r="G808" s="24" t="str">
        <f ca="1">IFERROR(__xludf.DUMMYFUNCTION("GOOGLETRANSLATE(F808,""en"",""pt"")"),"As matérias-primas espaços de armazenamento")</f>
        <v>As matérias-primas espaços de armazenamento</v>
      </c>
      <c r="H808" s="24"/>
      <c r="I808" s="24"/>
      <c r="J808" s="24"/>
      <c r="K808" s="24"/>
    </row>
    <row r="809" spans="1:11" ht="14.5">
      <c r="A809" s="20" t="s">
        <v>7563</v>
      </c>
      <c r="B809" s="81">
        <v>90</v>
      </c>
      <c r="C809" s="81">
        <v>50</v>
      </c>
      <c r="D809" s="81">
        <v>72</v>
      </c>
      <c r="E809" s="79"/>
      <c r="F809" s="20" t="s">
        <v>7564</v>
      </c>
      <c r="G809" s="24" t="str">
        <f ca="1">IFERROR(__xludf.DUMMYFUNCTION("GOOGLETRANSLATE(F809,""en"",""pt"")"),"As matérias-primas tanques de armazenamento")</f>
        <v>As matérias-primas tanques de armazenamento</v>
      </c>
      <c r="H809" s="24"/>
      <c r="I809" s="24"/>
      <c r="J809" s="24"/>
      <c r="K809" s="24"/>
    </row>
    <row r="810" spans="1:11" ht="14.5">
      <c r="A810" s="20" t="s">
        <v>7565</v>
      </c>
      <c r="B810" s="81">
        <v>90</v>
      </c>
      <c r="C810" s="81">
        <v>50</v>
      </c>
      <c r="D810" s="81">
        <v>77</v>
      </c>
      <c r="E810" s="79"/>
      <c r="F810" s="20" t="s">
        <v>7566</v>
      </c>
      <c r="G810" s="24" t="str">
        <f ca="1">IFERROR(__xludf.DUMMYFUNCTION("GOOGLETRANSLATE(F810,""en"",""pt"")"),"armazéns seguros")</f>
        <v>armazéns seguros</v>
      </c>
      <c r="H810" s="24"/>
      <c r="I810" s="24"/>
      <c r="J810" s="24"/>
      <c r="K810" s="24"/>
    </row>
    <row r="811" spans="1:11" ht="14.5">
      <c r="A811" s="20" t="s">
        <v>7567</v>
      </c>
      <c r="B811" s="81">
        <v>90</v>
      </c>
      <c r="C811" s="81">
        <v>50</v>
      </c>
      <c r="D811" s="81">
        <v>80</v>
      </c>
      <c r="E811" s="79"/>
      <c r="F811" s="20" t="s">
        <v>7568</v>
      </c>
      <c r="G811" s="24" t="str">
        <f ca="1">IFERROR(__xludf.DUMMYFUNCTION("GOOGLETRANSLATE(F811,""en"",""pt"")"),"armazéns de combustível sólido")</f>
        <v>armazéns de combustível sólido</v>
      </c>
      <c r="H811" s="24"/>
      <c r="I811" s="24"/>
      <c r="J811" s="24"/>
      <c r="K811" s="24"/>
    </row>
    <row r="812" spans="1:11" ht="14.5">
      <c r="A812" s="20" t="s">
        <v>7569</v>
      </c>
      <c r="B812" s="81">
        <v>90</v>
      </c>
      <c r="C812" s="81">
        <v>50</v>
      </c>
      <c r="D812" s="81">
        <v>84</v>
      </c>
      <c r="E812" s="79"/>
      <c r="F812" s="20" t="s">
        <v>7570</v>
      </c>
      <c r="G812" s="24" t="str">
        <f ca="1">IFERROR(__xludf.DUMMYFUNCTION("GOOGLETRANSLATE(F812,""en"",""pt"")"),"Salas de armazenamento")</f>
        <v>Salas de armazenamento</v>
      </c>
      <c r="H812" s="24"/>
      <c r="I812" s="24"/>
      <c r="J812" s="24"/>
      <c r="K812" s="24"/>
    </row>
    <row r="813" spans="1:11" ht="14.5">
      <c r="A813" s="20" t="s">
        <v>7571</v>
      </c>
      <c r="B813" s="81">
        <v>90</v>
      </c>
      <c r="C813" s="81">
        <v>50</v>
      </c>
      <c r="D813" s="81">
        <v>88</v>
      </c>
      <c r="E813" s="79"/>
      <c r="F813" s="20" t="s">
        <v>7572</v>
      </c>
      <c r="G813" s="24" t="str">
        <f ca="1">IFERROR(__xludf.DUMMYFUNCTION("GOOGLETRANSLATE(F813,""en"",""pt"")"),"De tecidos e órgãos lojas")</f>
        <v>De tecidos e órgãos lojas</v>
      </c>
      <c r="H813" s="24"/>
      <c r="I813" s="24"/>
      <c r="J813" s="24"/>
      <c r="K813" s="24"/>
    </row>
    <row r="814" spans="1:11" ht="14.5">
      <c r="A814" s="20" t="s">
        <v>7573</v>
      </c>
      <c r="B814" s="81">
        <v>90</v>
      </c>
      <c r="C814" s="81">
        <v>50</v>
      </c>
      <c r="D814" s="81">
        <v>90</v>
      </c>
      <c r="E814" s="79"/>
      <c r="F814" s="20" t="s">
        <v>7574</v>
      </c>
      <c r="G814" s="24" t="str">
        <f ca="1">IFERROR(__xludf.DUMMYFUNCTION("GOOGLETRANSLATE(F814,""en"",""pt"")"),"Vaults e casas-fortes")</f>
        <v>Vaults e casas-fortes</v>
      </c>
      <c r="H814" s="24"/>
      <c r="I814" s="24"/>
      <c r="J814" s="24"/>
      <c r="K814" s="24"/>
    </row>
    <row r="815" spans="1:11" ht="14.5">
      <c r="A815" s="20" t="s">
        <v>7575</v>
      </c>
      <c r="B815" s="81">
        <v>90</v>
      </c>
      <c r="C815" s="81">
        <v>50</v>
      </c>
      <c r="D815" s="81">
        <v>93</v>
      </c>
      <c r="E815" s="79"/>
      <c r="F815" s="20" t="s">
        <v>7576</v>
      </c>
      <c r="G815" s="24" t="str">
        <f ca="1">IFERROR(__xludf.DUMMYFUNCTION("GOOGLETRANSLATE(F815,""en"",""pt"")"),"Walk-in roupeiros")</f>
        <v>Walk-in roupeiros</v>
      </c>
      <c r="H815" s="24"/>
      <c r="I815" s="24"/>
      <c r="J815" s="24"/>
      <c r="K815" s="24"/>
    </row>
    <row r="816" spans="1:11" ht="14.5">
      <c r="A816" s="20" t="s">
        <v>7577</v>
      </c>
      <c r="B816" s="81">
        <v>90</v>
      </c>
      <c r="C816" s="81">
        <v>50</v>
      </c>
      <c r="D816" s="81">
        <v>94</v>
      </c>
      <c r="E816" s="79"/>
      <c r="F816" s="20" t="s">
        <v>7578</v>
      </c>
      <c r="G816" s="24" t="str">
        <f ca="1">IFERROR(__xludf.DUMMYFUNCTION("GOOGLETRANSLATE(F816,""en"",""pt"")"),"Resíduos de espaços de armazenamento de gás")</f>
        <v>Resíduos de espaços de armazenamento de gás</v>
      </c>
      <c r="H816" s="24"/>
      <c r="I816" s="24"/>
      <c r="J816" s="24"/>
      <c r="K816" s="24"/>
    </row>
    <row r="817" spans="1:11" ht="14.5">
      <c r="A817" s="20" t="s">
        <v>7579</v>
      </c>
      <c r="B817" s="81">
        <v>90</v>
      </c>
      <c r="C817" s="81">
        <v>50</v>
      </c>
      <c r="D817" s="81">
        <v>95</v>
      </c>
      <c r="E817" s="79"/>
      <c r="F817" s="20" t="s">
        <v>7580</v>
      </c>
      <c r="G817" s="24" t="str">
        <f ca="1">IFERROR(__xludf.DUMMYFUNCTION("GOOGLETRANSLATE(F817,""en"",""pt"")"),"espaços de armazenamento de resíduos líquidos")</f>
        <v>espaços de armazenamento de resíduos líquidos</v>
      </c>
      <c r="H817" s="24"/>
      <c r="I817" s="24"/>
      <c r="J817" s="24"/>
      <c r="K817" s="24"/>
    </row>
    <row r="818" spans="1:11" ht="14.5">
      <c r="A818" s="20" t="s">
        <v>7581</v>
      </c>
      <c r="B818" s="81">
        <v>90</v>
      </c>
      <c r="C818" s="81">
        <v>50</v>
      </c>
      <c r="D818" s="81">
        <v>96</v>
      </c>
      <c r="E818" s="79"/>
      <c r="F818" s="20" t="s">
        <v>7582</v>
      </c>
      <c r="G818" s="24" t="str">
        <f ca="1">IFERROR(__xludf.DUMMYFUNCTION("GOOGLETRANSLATE(F818,""en"",""pt"")"),"espaços de armazenamento de resíduos sólidos")</f>
        <v>espaços de armazenamento de resíduos sólidos</v>
      </c>
      <c r="H818" s="24"/>
      <c r="I818" s="24"/>
      <c r="J818" s="24"/>
      <c r="K818" s="24"/>
    </row>
    <row r="819" spans="1:11" ht="14.5">
      <c r="A819" s="20" t="s">
        <v>7583</v>
      </c>
      <c r="B819" s="81">
        <v>90</v>
      </c>
      <c r="C819" s="81">
        <v>50</v>
      </c>
      <c r="D819" s="81">
        <v>97</v>
      </c>
      <c r="E819" s="79"/>
      <c r="F819" s="20" t="s">
        <v>7584</v>
      </c>
      <c r="G819" s="24" t="str">
        <f ca="1">IFERROR(__xludf.DUMMYFUNCTION("GOOGLETRANSLATE(F819,""en"",""pt"")"),"espaços de armazenamento de resíduos molhados")</f>
        <v>espaços de armazenamento de resíduos molhados</v>
      </c>
      <c r="H819" s="24"/>
      <c r="I819" s="24"/>
      <c r="J819" s="24"/>
      <c r="K819" s="24"/>
    </row>
    <row r="820" spans="1:11" ht="14.5">
      <c r="A820" s="20" t="s">
        <v>7585</v>
      </c>
      <c r="B820" s="81">
        <v>90</v>
      </c>
      <c r="C820" s="81">
        <v>50</v>
      </c>
      <c r="D820" s="81">
        <v>98</v>
      </c>
      <c r="E820" s="79"/>
      <c r="F820" s="20" t="s">
        <v>7586</v>
      </c>
      <c r="G820" s="24" t="str">
        <f ca="1">IFERROR(__xludf.DUMMYFUNCTION("GOOGLETRANSLATE(F820,""en"",""pt"")"),"adegas")</f>
        <v>adegas</v>
      </c>
      <c r="H820" s="24"/>
      <c r="I820" s="24"/>
      <c r="J820" s="24"/>
      <c r="K820" s="24"/>
    </row>
    <row r="821" spans="1:11" ht="14.5">
      <c r="A821" s="20" t="s">
        <v>7587</v>
      </c>
      <c r="B821" s="81">
        <v>90</v>
      </c>
      <c r="C821" s="81">
        <v>60</v>
      </c>
      <c r="D821" s="79"/>
      <c r="E821" s="79"/>
      <c r="F821" s="20" t="s">
        <v>7588</v>
      </c>
      <c r="G821" s="24" t="str">
        <f ca="1">IFERROR(__xludf.DUMMYFUNCTION("GOOGLETRANSLATE(F821,""en"",""pt"")"),"vazios desocupados")</f>
        <v>vazios desocupados</v>
      </c>
      <c r="H821" s="24"/>
      <c r="I821" s="24"/>
      <c r="J821" s="24"/>
      <c r="K821" s="24"/>
    </row>
    <row r="822" spans="1:11" ht="14.5">
      <c r="A822" s="20" t="s">
        <v>7589</v>
      </c>
      <c r="B822" s="81">
        <v>90</v>
      </c>
      <c r="C822" s="81">
        <v>60</v>
      </c>
      <c r="D822" s="81">
        <v>1</v>
      </c>
      <c r="E822" s="79"/>
      <c r="F822" s="20" t="s">
        <v>7590</v>
      </c>
      <c r="G822" s="24" t="str">
        <f ca="1">IFERROR(__xludf.DUMMYFUNCTION("GOOGLETRANSLATE(F822,""en"",""pt"")"),"espaços de acesso")</f>
        <v>espaços de acesso</v>
      </c>
      <c r="H822" s="24"/>
      <c r="I822" s="24"/>
      <c r="J822" s="24"/>
      <c r="K822" s="24"/>
    </row>
    <row r="823" spans="1:11" ht="14.5">
      <c r="A823" s="20" t="s">
        <v>7591</v>
      </c>
      <c r="B823" s="81">
        <v>90</v>
      </c>
      <c r="C823" s="81">
        <v>60</v>
      </c>
      <c r="D823" s="81">
        <v>2</v>
      </c>
      <c r="E823" s="79"/>
      <c r="F823" s="20" t="s">
        <v>7592</v>
      </c>
      <c r="G823" s="24" t="str">
        <f ca="1">IFERROR(__xludf.DUMMYFUNCTION("GOOGLETRANSLATE(F823,""en"",""pt"")"),"poços de ventilação")</f>
        <v>poços de ventilação</v>
      </c>
      <c r="H823" s="24"/>
      <c r="I823" s="24"/>
      <c r="J823" s="24"/>
      <c r="K823" s="24"/>
    </row>
    <row r="824" spans="1:11" ht="14.5">
      <c r="A824" s="20" t="s">
        <v>7593</v>
      </c>
      <c r="B824" s="81">
        <v>90</v>
      </c>
      <c r="C824" s="81">
        <v>60</v>
      </c>
      <c r="D824" s="81">
        <v>10</v>
      </c>
      <c r="E824" s="79"/>
      <c r="F824" s="20" t="s">
        <v>7594</v>
      </c>
      <c r="G824" s="24" t="str">
        <f ca="1">IFERROR(__xludf.DUMMYFUNCTION("GOOGLETRANSLATE(F824,""en"",""pt"")"),"cavidades")</f>
        <v>cavidades</v>
      </c>
      <c r="H824" s="24"/>
      <c r="I824" s="24"/>
      <c r="J824" s="24"/>
      <c r="K824" s="24"/>
    </row>
    <row r="825" spans="1:11" ht="14.5">
      <c r="A825" s="20" t="s">
        <v>7595</v>
      </c>
      <c r="B825" s="81">
        <v>90</v>
      </c>
      <c r="C825" s="81">
        <v>60</v>
      </c>
      <c r="D825" s="81">
        <v>12</v>
      </c>
      <c r="E825" s="79"/>
      <c r="F825" s="20" t="s">
        <v>7596</v>
      </c>
      <c r="G825" s="24" t="str">
        <f ca="1">IFERROR(__xludf.DUMMYFUNCTION("GOOGLETRANSLATE(F825,""en"",""pt"")"),"chaminés")</f>
        <v>chaminés</v>
      </c>
      <c r="H825" s="24"/>
      <c r="I825" s="24"/>
      <c r="J825" s="24"/>
      <c r="K825" s="24"/>
    </row>
    <row r="826" spans="1:11" ht="14.5">
      <c r="A826" s="20" t="s">
        <v>7597</v>
      </c>
      <c r="B826" s="81">
        <v>90</v>
      </c>
      <c r="C826" s="81">
        <v>60</v>
      </c>
      <c r="D826" s="81">
        <v>13</v>
      </c>
      <c r="E826" s="79"/>
      <c r="F826" s="20" t="s">
        <v>7598</v>
      </c>
      <c r="G826" s="24" t="str">
        <f ca="1">IFERROR(__xludf.DUMMYFUNCTION("GOOGLETRANSLATE(F826,""en"",""pt"")"),"chutes")</f>
        <v>chutes</v>
      </c>
      <c r="H826" s="24"/>
      <c r="I826" s="24"/>
      <c r="J826" s="24"/>
      <c r="K826" s="24"/>
    </row>
    <row r="827" spans="1:11" ht="14.5">
      <c r="A827" s="20" t="s">
        <v>7599</v>
      </c>
      <c r="B827" s="81">
        <v>90</v>
      </c>
      <c r="C827" s="81">
        <v>60</v>
      </c>
      <c r="D827" s="81">
        <v>18</v>
      </c>
      <c r="E827" s="79"/>
      <c r="F827" s="20" t="s">
        <v>7600</v>
      </c>
      <c r="G827" s="24" t="str">
        <f ca="1">IFERROR(__xludf.DUMMYFUNCTION("GOOGLETRANSLATE(F827,""en"",""pt"")"),"espaços de rastreamento")</f>
        <v>espaços de rastreamento</v>
      </c>
      <c r="H827" s="24"/>
      <c r="I827" s="24"/>
      <c r="J827" s="24"/>
      <c r="K827" s="24"/>
    </row>
    <row r="828" spans="1:11" ht="14.5">
      <c r="A828" s="20" t="s">
        <v>7601</v>
      </c>
      <c r="B828" s="81">
        <v>90</v>
      </c>
      <c r="C828" s="81">
        <v>60</v>
      </c>
      <c r="D828" s="81">
        <v>49</v>
      </c>
      <c r="E828" s="79"/>
      <c r="F828" s="20" t="s">
        <v>7602</v>
      </c>
      <c r="G828" s="24" t="str">
        <f ca="1">IFERROR(__xludf.DUMMYFUNCTION("GOOGLETRANSLATE(F828,""en"",""pt"")"),"poços de elevador")</f>
        <v>poços de elevador</v>
      </c>
      <c r="H828" s="24"/>
      <c r="I828" s="24"/>
      <c r="J828" s="24"/>
      <c r="K828" s="24"/>
    </row>
    <row r="829" spans="1:11" ht="14.5">
      <c r="A829" s="20" t="s">
        <v>7603</v>
      </c>
      <c r="B829" s="81">
        <v>90</v>
      </c>
      <c r="C829" s="81">
        <v>60</v>
      </c>
      <c r="D829" s="81">
        <v>50</v>
      </c>
      <c r="E829" s="79"/>
      <c r="F829" s="20" t="s">
        <v>7604</v>
      </c>
      <c r="G829" s="24" t="str">
        <f ca="1">IFERROR(__xludf.DUMMYFUNCTION("GOOGLETRANSLATE(F829,""en"",""pt"")"),"poços de elevador")</f>
        <v>poços de elevador</v>
      </c>
      <c r="H829" s="24"/>
      <c r="I829" s="24"/>
      <c r="J829" s="24"/>
      <c r="K829" s="24"/>
    </row>
    <row r="830" spans="1:11" ht="14.5">
      <c r="A830" s="20" t="s">
        <v>7605</v>
      </c>
      <c r="B830" s="81">
        <v>90</v>
      </c>
      <c r="C830" s="81">
        <v>60</v>
      </c>
      <c r="D830" s="81">
        <v>51</v>
      </c>
      <c r="E830" s="79"/>
      <c r="F830" s="20" t="s">
        <v>7606</v>
      </c>
      <c r="G830" s="24" t="str">
        <f ca="1">IFERROR(__xludf.DUMMYFUNCTION("GOOGLETRANSLATE(F830,""en"",""pt"")"),"poços de luz")</f>
        <v>poços de luz</v>
      </c>
      <c r="H830" s="24"/>
      <c r="I830" s="24"/>
      <c r="J830" s="24"/>
      <c r="K830" s="24"/>
    </row>
    <row r="831" spans="1:11" ht="14.5">
      <c r="A831" s="20" t="s">
        <v>7607</v>
      </c>
      <c r="B831" s="81">
        <v>90</v>
      </c>
      <c r="C831" s="81">
        <v>60</v>
      </c>
      <c r="D831" s="81">
        <v>64</v>
      </c>
      <c r="E831" s="79"/>
      <c r="F831" s="20" t="s">
        <v>7608</v>
      </c>
      <c r="G831" s="24" t="str">
        <f ca="1">IFERROR(__xludf.DUMMYFUNCTION("GOOGLETRANSLATE(F831,""en"",""pt"")"),"vazios plataforma")</f>
        <v>vazios plataforma</v>
      </c>
      <c r="H831" s="24"/>
      <c r="I831" s="24"/>
      <c r="J831" s="24"/>
      <c r="K831" s="24"/>
    </row>
    <row r="832" spans="1:11" ht="14.5">
      <c r="A832" s="20" t="s">
        <v>7609</v>
      </c>
      <c r="B832" s="81">
        <v>90</v>
      </c>
      <c r="C832" s="81">
        <v>60</v>
      </c>
      <c r="D832" s="81">
        <v>72</v>
      </c>
      <c r="E832" s="79"/>
      <c r="F832" s="20" t="s">
        <v>7610</v>
      </c>
      <c r="G832" s="24" t="str">
        <f ca="1">IFERROR(__xludf.DUMMYFUNCTION("GOOGLETRANSLATE(F832,""en"",""pt"")"),"espaços de superfície telhado")</f>
        <v>espaços de superfície telhado</v>
      </c>
      <c r="H832" s="24"/>
      <c r="I832" s="24"/>
      <c r="J832" s="24"/>
      <c r="K832" s="24"/>
    </row>
    <row r="833" spans="1:11" ht="14.5">
      <c r="A833" s="20" t="s">
        <v>7611</v>
      </c>
      <c r="B833" s="81">
        <v>90</v>
      </c>
      <c r="C833" s="81">
        <v>60</v>
      </c>
      <c r="D833" s="81">
        <v>74</v>
      </c>
      <c r="E833" s="79"/>
      <c r="F833" s="20" t="s">
        <v>7612</v>
      </c>
      <c r="G833" s="24" t="str">
        <f ca="1">IFERROR(__xludf.DUMMYFUNCTION("GOOGLETRANSLATE(F833,""en"",""pt"")"),"vazios telhado")</f>
        <v>vazios telhado</v>
      </c>
      <c r="H833" s="24"/>
      <c r="I833" s="24"/>
      <c r="J833" s="24"/>
      <c r="K833" s="24"/>
    </row>
    <row r="834" spans="1:11" ht="14.5">
      <c r="A834" s="20" t="s">
        <v>7613</v>
      </c>
      <c r="B834" s="81">
        <v>90</v>
      </c>
      <c r="C834" s="81">
        <v>90</v>
      </c>
      <c r="D834" s="79"/>
      <c r="E834" s="79"/>
      <c r="F834" s="20" t="s">
        <v>7614</v>
      </c>
      <c r="G834" s="24" t="str">
        <f ca="1">IFERROR(__xludf.DUMMYFUNCTION("GOOGLETRANSLATE(F834,""en"",""pt"")"),"espaços de plantas e controle")</f>
        <v>espaços de plantas e controle</v>
      </c>
      <c r="H834" s="24"/>
      <c r="I834" s="24"/>
      <c r="J834" s="24"/>
      <c r="K834" s="24"/>
    </row>
    <row r="835" spans="1:11" ht="14.5">
      <c r="A835" s="20" t="s">
        <v>7615</v>
      </c>
      <c r="B835" s="81">
        <v>90</v>
      </c>
      <c r="C835" s="81">
        <v>90</v>
      </c>
      <c r="D835" s="81">
        <v>1</v>
      </c>
      <c r="E835" s="79"/>
      <c r="F835" s="20" t="s">
        <v>7616</v>
      </c>
      <c r="G835" s="24" t="str">
        <f ca="1">IFERROR(__xludf.DUMMYFUNCTION("GOOGLETRANSLATE(F835,""en"",""pt"")"),"vazios piso de acesso")</f>
        <v>vazios piso de acesso</v>
      </c>
      <c r="H835" s="24"/>
      <c r="I835" s="24"/>
      <c r="J835" s="24"/>
      <c r="K835" s="24"/>
    </row>
    <row r="836" spans="1:11" ht="14.5">
      <c r="A836" s="20" t="s">
        <v>7617</v>
      </c>
      <c r="B836" s="81">
        <v>90</v>
      </c>
      <c r="C836" s="81">
        <v>90</v>
      </c>
      <c r="D836" s="81">
        <v>8</v>
      </c>
      <c r="E836" s="79"/>
      <c r="F836" s="20" t="s">
        <v>7618</v>
      </c>
      <c r="G836" s="24" t="str">
        <f ca="1">IFERROR(__xludf.DUMMYFUNCTION("GOOGLETRANSLATE(F836,""en"",""pt"")"),"caldeiras")</f>
        <v>caldeiras</v>
      </c>
      <c r="H836" s="24"/>
      <c r="I836" s="24"/>
      <c r="J836" s="24"/>
      <c r="K836" s="24"/>
    </row>
    <row r="837" spans="1:11" ht="14.5">
      <c r="A837" s="20" t="s">
        <v>7619</v>
      </c>
      <c r="B837" s="81">
        <v>90</v>
      </c>
      <c r="C837" s="81">
        <v>90</v>
      </c>
      <c r="D837" s="81">
        <v>13</v>
      </c>
      <c r="E837" s="79"/>
      <c r="F837" s="20" t="s">
        <v>7620</v>
      </c>
      <c r="G837" s="24" t="str">
        <f ca="1">IFERROR(__xludf.DUMMYFUNCTION("GOOGLETRANSLATE(F837,""en"",""pt"")"),"ocos de tecto")</f>
        <v>ocos de tecto</v>
      </c>
      <c r="H837" s="24"/>
      <c r="I837" s="24"/>
      <c r="J837" s="24"/>
      <c r="K837" s="24"/>
    </row>
    <row r="838" spans="1:11" ht="14.5">
      <c r="A838" s="20" t="s">
        <v>7621</v>
      </c>
      <c r="B838" s="81">
        <v>90</v>
      </c>
      <c r="C838" s="81">
        <v>90</v>
      </c>
      <c r="D838" s="81">
        <v>15</v>
      </c>
      <c r="E838" s="79"/>
      <c r="F838" s="20" t="s">
        <v>7622</v>
      </c>
      <c r="G838" s="24" t="str">
        <f ca="1">IFERROR(__xludf.DUMMYFUNCTION("GOOGLETRANSLATE(F838,""en"",""pt"")"),"salas de controle")</f>
        <v>salas de controle</v>
      </c>
      <c r="H838" s="24"/>
      <c r="I838" s="24"/>
      <c r="J838" s="24"/>
      <c r="K838" s="24"/>
    </row>
    <row r="839" spans="1:11" ht="14.5">
      <c r="A839" s="20" t="s">
        <v>7623</v>
      </c>
      <c r="B839" s="81">
        <v>90</v>
      </c>
      <c r="C839" s="81">
        <v>90</v>
      </c>
      <c r="D839" s="81">
        <v>32</v>
      </c>
      <c r="E839" s="79"/>
      <c r="F839" s="20" t="s">
        <v>7624</v>
      </c>
      <c r="G839" s="24" t="str">
        <f ca="1">IFERROR(__xludf.DUMMYFUNCTION("GOOGLETRANSLATE(F839,""en"",""pt"")"),"salas de fornos")</f>
        <v>salas de fornos</v>
      </c>
      <c r="H839" s="24"/>
      <c r="I839" s="24"/>
      <c r="J839" s="24"/>
      <c r="K839" s="24"/>
    </row>
    <row r="840" spans="1:11" ht="14.5">
      <c r="A840" s="20" t="s">
        <v>7625</v>
      </c>
      <c r="B840" s="81">
        <v>90</v>
      </c>
      <c r="C840" s="81">
        <v>90</v>
      </c>
      <c r="D840" s="81">
        <v>42</v>
      </c>
      <c r="E840" s="79"/>
      <c r="F840" s="20" t="s">
        <v>7626</v>
      </c>
      <c r="G840" s="24" t="str">
        <f ca="1">IFERROR(__xludf.DUMMYFUNCTION("GOOGLETRANSLATE(F840,""en"",""pt"")"),"quartos incinerador")</f>
        <v>quartos incinerador</v>
      </c>
      <c r="H840" s="24"/>
      <c r="I840" s="24"/>
      <c r="J840" s="24"/>
      <c r="K840" s="24"/>
    </row>
    <row r="841" spans="1:11" ht="14.5">
      <c r="A841" s="20" t="s">
        <v>7627</v>
      </c>
      <c r="B841" s="81">
        <v>90</v>
      </c>
      <c r="C841" s="81">
        <v>90</v>
      </c>
      <c r="D841" s="81">
        <v>48</v>
      </c>
      <c r="E841" s="79"/>
      <c r="F841" s="20" t="s">
        <v>7628</v>
      </c>
      <c r="G841" s="24" t="str">
        <f ca="1">IFERROR(__xludf.DUMMYFUNCTION("GOOGLETRANSLATE(F841,""en"",""pt"")"),"salas de máquinas de elevação")</f>
        <v>salas de máquinas de elevação</v>
      </c>
      <c r="H841" s="24"/>
      <c r="I841" s="24"/>
      <c r="J841" s="24"/>
      <c r="K841" s="24"/>
    </row>
    <row r="842" spans="1:11" ht="14.5">
      <c r="A842" s="20" t="s">
        <v>7629</v>
      </c>
      <c r="B842" s="81">
        <v>90</v>
      </c>
      <c r="C842" s="81">
        <v>90</v>
      </c>
      <c r="D842" s="81">
        <v>64</v>
      </c>
      <c r="E842" s="79"/>
      <c r="F842" s="20" t="s">
        <v>7630</v>
      </c>
      <c r="G842" s="24" t="str">
        <f ca="1">IFERROR(__xludf.DUMMYFUNCTION("GOOGLETRANSLATE(F842,""en"",""pt"")"),"quartos de plantas")</f>
        <v>quartos de plantas</v>
      </c>
      <c r="H842" s="24"/>
      <c r="I842" s="24"/>
      <c r="J842" s="24"/>
      <c r="K842" s="24"/>
    </row>
    <row r="843" spans="1:11" ht="14.5">
      <c r="A843" s="20" t="s">
        <v>7631</v>
      </c>
      <c r="B843" s="81">
        <v>90</v>
      </c>
      <c r="C843" s="81">
        <v>90</v>
      </c>
      <c r="D843" s="81">
        <v>77</v>
      </c>
      <c r="E843" s="79"/>
      <c r="F843" s="20" t="s">
        <v>7632</v>
      </c>
      <c r="G843" s="24" t="str">
        <f ca="1">IFERROR(__xludf.DUMMYFUNCTION("GOOGLETRANSLATE(F843,""en"",""pt"")"),"salas de servidores")</f>
        <v>salas de servidores</v>
      </c>
      <c r="H843" s="24"/>
      <c r="I843" s="24"/>
      <c r="J843" s="24"/>
      <c r="K843" s="24"/>
    </row>
    <row r="844" spans="1:11" ht="14.5">
      <c r="A844" s="20" t="s">
        <v>7633</v>
      </c>
      <c r="B844" s="81">
        <v>90</v>
      </c>
      <c r="C844" s="81">
        <v>90</v>
      </c>
      <c r="D844" s="81">
        <v>78</v>
      </c>
      <c r="E844" s="79"/>
      <c r="F844" s="20" t="s">
        <v>7634</v>
      </c>
      <c r="G844" s="24" t="str">
        <f ca="1">IFERROR(__xludf.DUMMYFUNCTION("GOOGLETRANSLATE(F844,""en"",""pt"")"),"Serviços eixos")</f>
        <v>Serviços eixos</v>
      </c>
      <c r="H844" s="24"/>
      <c r="I844" s="24"/>
      <c r="J844" s="24"/>
      <c r="K844" s="24"/>
    </row>
    <row r="845" spans="1:11" ht="14.5">
      <c r="A845" s="20" t="s">
        <v>7635</v>
      </c>
      <c r="B845" s="81">
        <v>90</v>
      </c>
      <c r="C845" s="81">
        <v>90</v>
      </c>
      <c r="D845" s="81">
        <v>85</v>
      </c>
      <c r="E845" s="79"/>
      <c r="F845" s="20" t="s">
        <v>7636</v>
      </c>
      <c r="G845" s="24" t="str">
        <f ca="1">IFERROR(__xludf.DUMMYFUNCTION("GOOGLETRANSLATE(F845,""en"",""pt"")"),"quartos de comutação")</f>
        <v>quartos de comutação</v>
      </c>
      <c r="H845" s="24"/>
      <c r="I845" s="24"/>
      <c r="J845" s="24"/>
      <c r="K845" s="24"/>
    </row>
    <row r="846" spans="1:11" ht="14.5">
      <c r="A846" s="20" t="s">
        <v>7637</v>
      </c>
      <c r="B846" s="81">
        <v>90</v>
      </c>
      <c r="C846" s="81">
        <v>90</v>
      </c>
      <c r="D846" s="81">
        <v>87</v>
      </c>
      <c r="E846" s="79"/>
      <c r="F846" s="20" t="s">
        <v>7638</v>
      </c>
      <c r="G846" s="24" t="str">
        <f ca="1">IFERROR(__xludf.DUMMYFUNCTION("GOOGLETRANSLATE(F846,""en"",""pt"")"),"quartos de tanque")</f>
        <v>quartos de tanque</v>
      </c>
      <c r="H846" s="24"/>
      <c r="I846" s="24"/>
      <c r="J846" s="24"/>
      <c r="K846" s="24"/>
    </row>
    <row r="847" spans="1:11" ht="14.5">
      <c r="A847" s="20" t="s">
        <v>7639</v>
      </c>
      <c r="B847" s="81">
        <v>90</v>
      </c>
      <c r="C847" s="81">
        <v>90</v>
      </c>
      <c r="D847" s="81">
        <v>90</v>
      </c>
      <c r="E847" s="79"/>
      <c r="F847" s="20" t="s">
        <v>7640</v>
      </c>
      <c r="G847" s="24" t="str">
        <f ca="1">IFERROR(__xludf.DUMMYFUNCTION("GOOGLETRANSLATE(F847,""en"",""pt"")"),"cabinas de transformação")</f>
        <v>cabinas de transformação</v>
      </c>
      <c r="H847" s="24"/>
      <c r="I847" s="24"/>
      <c r="J847" s="24"/>
      <c r="K847" s="24"/>
    </row>
    <row r="848" spans="1:11" ht="14.5">
      <c r="A848" s="20" t="s">
        <v>7641</v>
      </c>
      <c r="B848" s="81">
        <v>90</v>
      </c>
      <c r="C848" s="81">
        <v>90</v>
      </c>
      <c r="D848" s="81">
        <v>96</v>
      </c>
      <c r="E848" s="79"/>
      <c r="F848" s="20" t="s">
        <v>7642</v>
      </c>
      <c r="G848" s="24" t="str">
        <f ca="1">IFERROR(__xludf.DUMMYFUNCTION("GOOGLETRANSLATE(F848,""en"",""pt"")"),"Parede vazios serviços")</f>
        <v>Parede vazios serviços</v>
      </c>
      <c r="H848" s="24"/>
      <c r="I848" s="24"/>
      <c r="J848" s="24"/>
      <c r="K848" s="24"/>
    </row>
    <row r="849" spans="2:5" ht="12.5">
      <c r="B849" s="83"/>
      <c r="C849" s="83"/>
      <c r="D849" s="83"/>
      <c r="E849" s="83"/>
    </row>
    <row r="850" spans="2:5" ht="12.5">
      <c r="B850" s="83"/>
      <c r="C850" s="83"/>
      <c r="D850" s="83"/>
      <c r="E850" s="83"/>
    </row>
    <row r="851" spans="2:5" ht="12.5">
      <c r="B851" s="83"/>
      <c r="C851" s="83"/>
      <c r="D851" s="83"/>
      <c r="E851" s="83"/>
    </row>
    <row r="852" spans="2:5" ht="12.5">
      <c r="B852" s="83"/>
      <c r="C852" s="83"/>
      <c r="D852" s="83"/>
      <c r="E852" s="83"/>
    </row>
    <row r="853" spans="2:5" ht="12.5">
      <c r="B853" s="83"/>
      <c r="C853" s="83"/>
      <c r="D853" s="83"/>
      <c r="E853" s="83"/>
    </row>
    <row r="854" spans="2:5" ht="12.5">
      <c r="B854" s="83"/>
      <c r="C854" s="83"/>
      <c r="D854" s="83"/>
      <c r="E854" s="83"/>
    </row>
    <row r="855" spans="2:5" ht="12.5">
      <c r="B855" s="83"/>
      <c r="C855" s="83"/>
      <c r="D855" s="83"/>
      <c r="E855" s="83"/>
    </row>
    <row r="856" spans="2:5" ht="12.5">
      <c r="B856" s="83"/>
      <c r="C856" s="83"/>
      <c r="D856" s="83"/>
      <c r="E856" s="83"/>
    </row>
    <row r="857" spans="2:5" ht="12.5">
      <c r="B857" s="83"/>
      <c r="C857" s="83"/>
      <c r="D857" s="83"/>
      <c r="E857" s="83"/>
    </row>
    <row r="858" spans="2:5" ht="12.5">
      <c r="B858" s="83"/>
      <c r="C858" s="83"/>
      <c r="D858" s="83"/>
      <c r="E858" s="83"/>
    </row>
    <row r="859" spans="2:5" ht="12.5">
      <c r="B859" s="83"/>
      <c r="C859" s="83"/>
      <c r="D859" s="83"/>
      <c r="E859" s="83"/>
    </row>
    <row r="860" spans="2:5" ht="12.5">
      <c r="B860" s="83"/>
      <c r="C860" s="83"/>
      <c r="D860" s="83"/>
      <c r="E860" s="83"/>
    </row>
    <row r="861" spans="2:5" ht="12.5">
      <c r="B861" s="83"/>
      <c r="C861" s="83"/>
      <c r="D861" s="83"/>
      <c r="E861" s="83"/>
    </row>
    <row r="862" spans="2:5" ht="12.5">
      <c r="B862" s="83"/>
      <c r="C862" s="83"/>
      <c r="D862" s="83"/>
      <c r="E862" s="83"/>
    </row>
    <row r="863" spans="2:5" ht="12.5">
      <c r="B863" s="83"/>
      <c r="C863" s="83"/>
      <c r="D863" s="83"/>
      <c r="E863" s="83"/>
    </row>
    <row r="864" spans="2:5" ht="12.5">
      <c r="B864" s="83"/>
      <c r="C864" s="83"/>
      <c r="D864" s="83"/>
      <c r="E864" s="83"/>
    </row>
    <row r="865" spans="2:5" ht="12.5">
      <c r="B865" s="83"/>
      <c r="C865" s="83"/>
      <c r="D865" s="83"/>
      <c r="E865" s="83"/>
    </row>
    <row r="866" spans="2:5" ht="12.5">
      <c r="B866" s="83"/>
      <c r="C866" s="83"/>
      <c r="D866" s="83"/>
      <c r="E866" s="83"/>
    </row>
    <row r="867" spans="2:5" ht="12.5">
      <c r="B867" s="83"/>
      <c r="C867" s="83"/>
      <c r="D867" s="83"/>
      <c r="E867" s="83"/>
    </row>
    <row r="868" spans="2:5" ht="12.5">
      <c r="B868" s="83"/>
      <c r="C868" s="83"/>
      <c r="D868" s="83"/>
      <c r="E868" s="83"/>
    </row>
    <row r="869" spans="2:5" ht="12.5">
      <c r="B869" s="83"/>
      <c r="C869" s="83"/>
      <c r="D869" s="83"/>
      <c r="E869" s="83"/>
    </row>
    <row r="870" spans="2:5" ht="12.5">
      <c r="B870" s="83"/>
      <c r="C870" s="83"/>
      <c r="D870" s="83"/>
      <c r="E870" s="83"/>
    </row>
    <row r="871" spans="2:5" ht="12.5">
      <c r="B871" s="83"/>
      <c r="C871" s="83"/>
      <c r="D871" s="83"/>
      <c r="E871" s="83"/>
    </row>
    <row r="872" spans="2:5" ht="12.5">
      <c r="B872" s="83"/>
      <c r="C872" s="83"/>
      <c r="D872" s="83"/>
      <c r="E872" s="83"/>
    </row>
    <row r="873" spans="2:5" ht="12.5">
      <c r="B873" s="83"/>
      <c r="C873" s="83"/>
      <c r="D873" s="83"/>
      <c r="E873" s="83"/>
    </row>
    <row r="874" spans="2:5" ht="12.5">
      <c r="B874" s="83"/>
      <c r="C874" s="83"/>
      <c r="D874" s="83"/>
      <c r="E874" s="83"/>
    </row>
    <row r="875" spans="2:5" ht="12.5">
      <c r="B875" s="83"/>
      <c r="C875" s="83"/>
      <c r="D875" s="83"/>
      <c r="E875" s="83"/>
    </row>
    <row r="876" spans="2:5" ht="12.5">
      <c r="B876" s="83"/>
      <c r="C876" s="83"/>
      <c r="D876" s="83"/>
      <c r="E876" s="83"/>
    </row>
    <row r="877" spans="2:5" ht="12.5">
      <c r="B877" s="83"/>
      <c r="C877" s="83"/>
      <c r="D877" s="83"/>
      <c r="E877" s="83"/>
    </row>
    <row r="878" spans="2:5" ht="12.5">
      <c r="B878" s="83"/>
      <c r="C878" s="83"/>
      <c r="D878" s="83"/>
      <c r="E878" s="83"/>
    </row>
    <row r="879" spans="2:5" ht="12.5">
      <c r="B879" s="83"/>
      <c r="C879" s="83"/>
      <c r="D879" s="83"/>
      <c r="E879" s="83"/>
    </row>
    <row r="880" spans="2:5" ht="12.5">
      <c r="B880" s="83"/>
      <c r="C880" s="83"/>
      <c r="D880" s="83"/>
      <c r="E880" s="83"/>
    </row>
    <row r="881" spans="2:5" ht="12.5">
      <c r="B881" s="83"/>
      <c r="C881" s="83"/>
      <c r="D881" s="83"/>
      <c r="E881" s="83"/>
    </row>
    <row r="882" spans="2:5" ht="12.5">
      <c r="B882" s="83"/>
      <c r="C882" s="83"/>
      <c r="D882" s="83"/>
      <c r="E882" s="83"/>
    </row>
    <row r="883" spans="2:5" ht="12.5">
      <c r="B883" s="83"/>
      <c r="C883" s="83"/>
      <c r="D883" s="83"/>
      <c r="E883" s="83"/>
    </row>
    <row r="884" spans="2:5" ht="12.5">
      <c r="B884" s="83"/>
      <c r="C884" s="83"/>
      <c r="D884" s="83"/>
      <c r="E884" s="83"/>
    </row>
    <row r="885" spans="2:5" ht="12.5">
      <c r="B885" s="83"/>
      <c r="C885" s="83"/>
      <c r="D885" s="83"/>
      <c r="E885" s="83"/>
    </row>
    <row r="886" spans="2:5" ht="12.5">
      <c r="B886" s="83"/>
      <c r="C886" s="83"/>
      <c r="D886" s="83"/>
      <c r="E886" s="83"/>
    </row>
    <row r="887" spans="2:5" ht="12.5">
      <c r="B887" s="83"/>
      <c r="C887" s="83"/>
      <c r="D887" s="83"/>
      <c r="E887" s="83"/>
    </row>
    <row r="888" spans="2:5" ht="12.5">
      <c r="B888" s="83"/>
      <c r="C888" s="83"/>
      <c r="D888" s="83"/>
      <c r="E888" s="83"/>
    </row>
    <row r="889" spans="2:5" ht="12.5">
      <c r="B889" s="83"/>
      <c r="C889" s="83"/>
      <c r="D889" s="83"/>
      <c r="E889" s="83"/>
    </row>
    <row r="890" spans="2:5" ht="12.5">
      <c r="B890" s="83"/>
      <c r="C890" s="83"/>
      <c r="D890" s="83"/>
      <c r="E890" s="83"/>
    </row>
    <row r="891" spans="2:5" ht="12.5">
      <c r="B891" s="83"/>
      <c r="C891" s="83"/>
      <c r="D891" s="83"/>
      <c r="E891" s="83"/>
    </row>
    <row r="892" spans="2:5" ht="12.5">
      <c r="B892" s="83"/>
      <c r="C892" s="83"/>
      <c r="D892" s="83"/>
      <c r="E892" s="83"/>
    </row>
    <row r="893" spans="2:5" ht="12.5">
      <c r="B893" s="83"/>
      <c r="C893" s="83"/>
      <c r="D893" s="83"/>
      <c r="E893" s="83"/>
    </row>
    <row r="894" spans="2:5" ht="12.5">
      <c r="B894" s="83"/>
      <c r="C894" s="83"/>
      <c r="D894" s="83"/>
      <c r="E894" s="83"/>
    </row>
    <row r="895" spans="2:5" ht="12.5">
      <c r="B895" s="83"/>
      <c r="C895" s="83"/>
      <c r="D895" s="83"/>
      <c r="E895" s="83"/>
    </row>
    <row r="896" spans="2:5" ht="12.5">
      <c r="B896" s="83"/>
      <c r="C896" s="83"/>
      <c r="D896" s="83"/>
      <c r="E896" s="83"/>
    </row>
    <row r="897" spans="2:5" ht="12.5">
      <c r="B897" s="83"/>
      <c r="C897" s="83"/>
      <c r="D897" s="83"/>
      <c r="E897" s="83"/>
    </row>
    <row r="898" spans="2:5" ht="12.5">
      <c r="B898" s="83"/>
      <c r="C898" s="83"/>
      <c r="D898" s="83"/>
      <c r="E898" s="83"/>
    </row>
    <row r="899" spans="2:5" ht="12.5">
      <c r="B899" s="83"/>
      <c r="C899" s="83"/>
      <c r="D899" s="83"/>
      <c r="E899" s="83"/>
    </row>
    <row r="900" spans="2:5" ht="12.5">
      <c r="B900" s="83"/>
      <c r="C900" s="83"/>
      <c r="D900" s="83"/>
      <c r="E900" s="83"/>
    </row>
    <row r="901" spans="2:5" ht="12.5">
      <c r="B901" s="83"/>
      <c r="C901" s="83"/>
      <c r="D901" s="83"/>
      <c r="E901" s="83"/>
    </row>
    <row r="902" spans="2:5" ht="12.5">
      <c r="B902" s="83"/>
      <c r="C902" s="83"/>
      <c r="D902" s="83"/>
      <c r="E902" s="83"/>
    </row>
    <row r="903" spans="2:5" ht="12.5">
      <c r="B903" s="83"/>
      <c r="C903" s="83"/>
      <c r="D903" s="83"/>
      <c r="E903" s="83"/>
    </row>
    <row r="904" spans="2:5" ht="12.5">
      <c r="B904" s="83"/>
      <c r="C904" s="83"/>
      <c r="D904" s="83"/>
      <c r="E904" s="83"/>
    </row>
    <row r="905" spans="2:5" ht="12.5">
      <c r="B905" s="83"/>
      <c r="C905" s="83"/>
      <c r="D905" s="83"/>
      <c r="E905" s="83"/>
    </row>
    <row r="906" spans="2:5" ht="12.5">
      <c r="B906" s="83"/>
      <c r="C906" s="83"/>
      <c r="D906" s="83"/>
      <c r="E906" s="83"/>
    </row>
    <row r="907" spans="2:5" ht="12.5">
      <c r="B907" s="83"/>
      <c r="C907" s="83"/>
      <c r="D907" s="83"/>
      <c r="E907" s="83"/>
    </row>
    <row r="908" spans="2:5" ht="12.5">
      <c r="B908" s="83"/>
      <c r="C908" s="83"/>
      <c r="D908" s="83"/>
      <c r="E908" s="83"/>
    </row>
    <row r="909" spans="2:5" ht="12.5">
      <c r="B909" s="83"/>
      <c r="C909" s="83"/>
      <c r="D909" s="83"/>
      <c r="E909" s="83"/>
    </row>
    <row r="910" spans="2:5" ht="12.5">
      <c r="B910" s="83"/>
      <c r="C910" s="83"/>
      <c r="D910" s="83"/>
      <c r="E910" s="83"/>
    </row>
    <row r="911" spans="2:5" ht="12.5">
      <c r="B911" s="83"/>
      <c r="C911" s="83"/>
      <c r="D911" s="83"/>
      <c r="E911" s="83"/>
    </row>
    <row r="912" spans="2:5" ht="12.5">
      <c r="B912" s="83"/>
      <c r="C912" s="83"/>
      <c r="D912" s="83"/>
      <c r="E912" s="83"/>
    </row>
    <row r="913" spans="2:5" ht="12.5">
      <c r="B913" s="83"/>
      <c r="C913" s="83"/>
      <c r="D913" s="83"/>
      <c r="E913" s="83"/>
    </row>
    <row r="914" spans="2:5" ht="12.5">
      <c r="B914" s="83"/>
      <c r="C914" s="83"/>
      <c r="D914" s="83"/>
      <c r="E914" s="83"/>
    </row>
    <row r="915" spans="2:5" ht="12.5">
      <c r="B915" s="83"/>
      <c r="C915" s="83"/>
      <c r="D915" s="83"/>
      <c r="E915" s="83"/>
    </row>
    <row r="916" spans="2:5" ht="12.5">
      <c r="B916" s="83"/>
      <c r="C916" s="83"/>
      <c r="D916" s="83"/>
      <c r="E916" s="83"/>
    </row>
    <row r="917" spans="2:5" ht="12.5">
      <c r="B917" s="83"/>
      <c r="C917" s="83"/>
      <c r="D917" s="83"/>
      <c r="E917" s="83"/>
    </row>
    <row r="918" spans="2:5" ht="12.5">
      <c r="B918" s="83"/>
      <c r="C918" s="83"/>
      <c r="D918" s="83"/>
      <c r="E918" s="83"/>
    </row>
    <row r="919" spans="2:5" ht="12.5">
      <c r="B919" s="83"/>
      <c r="C919" s="83"/>
      <c r="D919" s="83"/>
      <c r="E919" s="83"/>
    </row>
    <row r="920" spans="2:5" ht="12.5">
      <c r="B920" s="83"/>
      <c r="C920" s="83"/>
      <c r="D920" s="83"/>
      <c r="E920" s="83"/>
    </row>
    <row r="921" spans="2:5" ht="12.5">
      <c r="B921" s="83"/>
      <c r="C921" s="83"/>
      <c r="D921" s="83"/>
      <c r="E921" s="83"/>
    </row>
    <row r="922" spans="2:5" ht="12.5">
      <c r="B922" s="83"/>
      <c r="C922" s="83"/>
      <c r="D922" s="83"/>
      <c r="E922" s="83"/>
    </row>
    <row r="923" spans="2:5" ht="12.5">
      <c r="B923" s="83"/>
      <c r="C923" s="83"/>
      <c r="D923" s="83"/>
      <c r="E923" s="83"/>
    </row>
    <row r="924" spans="2:5" ht="12.5">
      <c r="B924" s="83"/>
      <c r="C924" s="83"/>
      <c r="D924" s="83"/>
      <c r="E924" s="83"/>
    </row>
    <row r="925" spans="2:5" ht="12.5">
      <c r="B925" s="83"/>
      <c r="C925" s="83"/>
      <c r="D925" s="83"/>
      <c r="E925" s="83"/>
    </row>
    <row r="926" spans="2:5" ht="12.5">
      <c r="B926" s="83"/>
      <c r="C926" s="83"/>
      <c r="D926" s="83"/>
      <c r="E926" s="83"/>
    </row>
    <row r="927" spans="2:5" ht="12.5">
      <c r="B927" s="83"/>
      <c r="C927" s="83"/>
      <c r="D927" s="83"/>
      <c r="E927" s="83"/>
    </row>
    <row r="928" spans="2:5" ht="12.5">
      <c r="B928" s="83"/>
      <c r="C928" s="83"/>
      <c r="D928" s="83"/>
      <c r="E928" s="83"/>
    </row>
    <row r="929" spans="2:5" ht="12.5">
      <c r="B929" s="83"/>
      <c r="C929" s="83"/>
      <c r="D929" s="83"/>
      <c r="E929" s="83"/>
    </row>
    <row r="930" spans="2:5" ht="12.5">
      <c r="B930" s="83"/>
      <c r="C930" s="83"/>
      <c r="D930" s="83"/>
      <c r="E930" s="83"/>
    </row>
    <row r="931" spans="2:5" ht="12.5">
      <c r="B931" s="83"/>
      <c r="C931" s="83"/>
      <c r="D931" s="83"/>
      <c r="E931" s="83"/>
    </row>
    <row r="932" spans="2:5" ht="12.5">
      <c r="B932" s="83"/>
      <c r="C932" s="83"/>
      <c r="D932" s="83"/>
      <c r="E932" s="83"/>
    </row>
    <row r="933" spans="2:5" ht="12.5">
      <c r="B933" s="83"/>
      <c r="C933" s="83"/>
      <c r="D933" s="83"/>
      <c r="E933" s="83"/>
    </row>
    <row r="934" spans="2:5" ht="12.5">
      <c r="B934" s="83"/>
      <c r="C934" s="83"/>
      <c r="D934" s="83"/>
      <c r="E934" s="83"/>
    </row>
    <row r="935" spans="2:5" ht="12.5">
      <c r="B935" s="83"/>
      <c r="C935" s="83"/>
      <c r="D935" s="83"/>
      <c r="E935" s="83"/>
    </row>
    <row r="936" spans="2:5" ht="12.5">
      <c r="B936" s="83"/>
      <c r="C936" s="83"/>
      <c r="D936" s="83"/>
      <c r="E936" s="83"/>
    </row>
    <row r="937" spans="2:5" ht="12.5">
      <c r="B937" s="83"/>
      <c r="C937" s="83"/>
      <c r="D937" s="83"/>
      <c r="E937" s="83"/>
    </row>
    <row r="938" spans="2:5" ht="12.5">
      <c r="B938" s="83"/>
      <c r="C938" s="83"/>
      <c r="D938" s="83"/>
      <c r="E938" s="83"/>
    </row>
    <row r="939" spans="2:5" ht="12.5">
      <c r="B939" s="83"/>
      <c r="C939" s="83"/>
      <c r="D939" s="83"/>
      <c r="E939" s="83"/>
    </row>
    <row r="940" spans="2:5" ht="12.5">
      <c r="B940" s="83"/>
      <c r="C940" s="83"/>
      <c r="D940" s="83"/>
      <c r="E940" s="83"/>
    </row>
    <row r="941" spans="2:5" ht="12.5">
      <c r="B941" s="83"/>
      <c r="C941" s="83"/>
      <c r="D941" s="83"/>
      <c r="E941" s="83"/>
    </row>
    <row r="942" spans="2:5" ht="12.5">
      <c r="B942" s="83"/>
      <c r="C942" s="83"/>
      <c r="D942" s="83"/>
      <c r="E942" s="83"/>
    </row>
    <row r="943" spans="2:5" ht="12.5">
      <c r="B943" s="83"/>
      <c r="C943" s="83"/>
      <c r="D943" s="83"/>
      <c r="E943" s="83"/>
    </row>
    <row r="944" spans="2:5" ht="12.5">
      <c r="B944" s="83"/>
      <c r="C944" s="83"/>
      <c r="D944" s="83"/>
      <c r="E944" s="83"/>
    </row>
    <row r="945" spans="2:5" ht="12.5">
      <c r="B945" s="83"/>
      <c r="C945" s="83"/>
      <c r="D945" s="83"/>
      <c r="E945" s="83"/>
    </row>
    <row r="946" spans="2:5" ht="12.5">
      <c r="B946" s="83"/>
      <c r="C946" s="83"/>
      <c r="D946" s="83"/>
      <c r="E946" s="83"/>
    </row>
    <row r="947" spans="2:5" ht="12.5">
      <c r="B947" s="83"/>
      <c r="C947" s="83"/>
      <c r="D947" s="83"/>
      <c r="E947" s="83"/>
    </row>
    <row r="948" spans="2:5" ht="12.5">
      <c r="B948" s="83"/>
      <c r="C948" s="83"/>
      <c r="D948" s="83"/>
      <c r="E948" s="83"/>
    </row>
    <row r="949" spans="2:5" ht="12.5">
      <c r="B949" s="83"/>
      <c r="C949" s="83"/>
      <c r="D949" s="83"/>
      <c r="E949" s="83"/>
    </row>
    <row r="950" spans="2:5" ht="12.5">
      <c r="B950" s="83"/>
      <c r="C950" s="83"/>
      <c r="D950" s="83"/>
      <c r="E950" s="83"/>
    </row>
    <row r="951" spans="2:5" ht="12.5">
      <c r="B951" s="83"/>
      <c r="C951" s="83"/>
      <c r="D951" s="83"/>
      <c r="E951" s="83"/>
    </row>
    <row r="952" spans="2:5" ht="12.5">
      <c r="B952" s="83"/>
      <c r="C952" s="83"/>
      <c r="D952" s="83"/>
      <c r="E952" s="83"/>
    </row>
    <row r="953" spans="2:5" ht="12.5">
      <c r="B953" s="83"/>
      <c r="C953" s="83"/>
      <c r="D953" s="83"/>
      <c r="E953" s="83"/>
    </row>
    <row r="954" spans="2:5" ht="12.5">
      <c r="B954" s="83"/>
      <c r="C954" s="83"/>
      <c r="D954" s="83"/>
      <c r="E954" s="83"/>
    </row>
    <row r="955" spans="2:5" ht="12.5">
      <c r="B955" s="83"/>
      <c r="C955" s="83"/>
      <c r="D955" s="83"/>
      <c r="E955" s="83"/>
    </row>
    <row r="956" spans="2:5" ht="12.5">
      <c r="B956" s="83"/>
      <c r="C956" s="83"/>
      <c r="D956" s="83"/>
      <c r="E956" s="83"/>
    </row>
    <row r="957" spans="2:5" ht="12.5">
      <c r="B957" s="83"/>
      <c r="C957" s="83"/>
      <c r="D957" s="83"/>
      <c r="E957" s="83"/>
    </row>
    <row r="958" spans="2:5" ht="12.5">
      <c r="B958" s="83"/>
      <c r="C958" s="83"/>
      <c r="D958" s="83"/>
      <c r="E958" s="83"/>
    </row>
    <row r="959" spans="2:5" ht="12.5">
      <c r="B959" s="83"/>
      <c r="C959" s="83"/>
      <c r="D959" s="83"/>
      <c r="E959" s="83"/>
    </row>
    <row r="960" spans="2:5" ht="12.5">
      <c r="B960" s="83"/>
      <c r="C960" s="83"/>
      <c r="D960" s="83"/>
      <c r="E960" s="83"/>
    </row>
    <row r="961" spans="2:5" ht="12.5">
      <c r="B961" s="83"/>
      <c r="C961" s="83"/>
      <c r="D961" s="83"/>
      <c r="E961" s="83"/>
    </row>
    <row r="962" spans="2:5" ht="12.5">
      <c r="B962" s="83"/>
      <c r="C962" s="83"/>
      <c r="D962" s="83"/>
      <c r="E962" s="83"/>
    </row>
    <row r="963" spans="2:5" ht="12.5">
      <c r="B963" s="83"/>
      <c r="C963" s="83"/>
      <c r="D963" s="83"/>
      <c r="E963" s="83"/>
    </row>
    <row r="964" spans="2:5" ht="12.5">
      <c r="B964" s="83"/>
      <c r="C964" s="83"/>
      <c r="D964" s="83"/>
      <c r="E964" s="83"/>
    </row>
    <row r="965" spans="2:5" ht="12.5">
      <c r="B965" s="83"/>
      <c r="C965" s="83"/>
      <c r="D965" s="83"/>
      <c r="E965" s="83"/>
    </row>
    <row r="966" spans="2:5" ht="12.5">
      <c r="B966" s="83"/>
      <c r="C966" s="83"/>
      <c r="D966" s="83"/>
      <c r="E966" s="83"/>
    </row>
    <row r="967" spans="2:5" ht="12.5">
      <c r="B967" s="83"/>
      <c r="C967" s="83"/>
      <c r="D967" s="83"/>
      <c r="E967" s="83"/>
    </row>
    <row r="968" spans="2:5" ht="12.5">
      <c r="B968" s="83"/>
      <c r="C968" s="83"/>
      <c r="D968" s="83"/>
      <c r="E968" s="83"/>
    </row>
    <row r="969" spans="2:5" ht="12.5">
      <c r="B969" s="83"/>
      <c r="C969" s="83"/>
      <c r="D969" s="83"/>
      <c r="E969" s="83"/>
    </row>
    <row r="970" spans="2:5" ht="12.5">
      <c r="B970" s="83"/>
      <c r="C970" s="83"/>
      <c r="D970" s="83"/>
      <c r="E970" s="83"/>
    </row>
    <row r="971" spans="2:5" ht="12.5">
      <c r="B971" s="83"/>
      <c r="C971" s="83"/>
      <c r="D971" s="83"/>
      <c r="E971" s="83"/>
    </row>
    <row r="972" spans="2:5" ht="12.5">
      <c r="B972" s="83"/>
      <c r="C972" s="83"/>
      <c r="D972" s="83"/>
      <c r="E972" s="83"/>
    </row>
    <row r="973" spans="2:5" ht="12.5">
      <c r="B973" s="83"/>
      <c r="C973" s="83"/>
      <c r="D973" s="83"/>
      <c r="E973" s="83"/>
    </row>
    <row r="974" spans="2:5" ht="12.5">
      <c r="B974" s="83"/>
      <c r="C974" s="83"/>
      <c r="D974" s="83"/>
      <c r="E974" s="83"/>
    </row>
    <row r="975" spans="2:5" ht="12.5">
      <c r="B975" s="83"/>
      <c r="C975" s="83"/>
      <c r="D975" s="83"/>
      <c r="E975" s="83"/>
    </row>
    <row r="976" spans="2:5" ht="12.5">
      <c r="B976" s="83"/>
      <c r="C976" s="83"/>
      <c r="D976" s="83"/>
      <c r="E976" s="83"/>
    </row>
    <row r="977" spans="2:5" ht="12.5">
      <c r="B977" s="83"/>
      <c r="C977" s="83"/>
      <c r="D977" s="83"/>
      <c r="E977" s="83"/>
    </row>
    <row r="978" spans="2:5" ht="12.5">
      <c r="B978" s="83"/>
      <c r="C978" s="83"/>
      <c r="D978" s="83"/>
      <c r="E978" s="83"/>
    </row>
    <row r="979" spans="2:5" ht="12.5">
      <c r="B979" s="83"/>
      <c r="C979" s="83"/>
      <c r="D979" s="83"/>
      <c r="E979" s="83"/>
    </row>
    <row r="980" spans="2:5" ht="12.5">
      <c r="B980" s="83"/>
      <c r="C980" s="83"/>
      <c r="D980" s="83"/>
      <c r="E980" s="83"/>
    </row>
    <row r="981" spans="2:5" ht="12.5">
      <c r="B981" s="83"/>
      <c r="C981" s="83"/>
      <c r="D981" s="83"/>
      <c r="E981" s="83"/>
    </row>
    <row r="982" spans="2:5" ht="12.5">
      <c r="B982" s="83"/>
      <c r="C982" s="83"/>
      <c r="D982" s="83"/>
      <c r="E982" s="83"/>
    </row>
    <row r="983" spans="2:5" ht="12.5">
      <c r="B983" s="83"/>
      <c r="C983" s="83"/>
      <c r="D983" s="83"/>
      <c r="E983" s="83"/>
    </row>
    <row r="984" spans="2:5" ht="12.5">
      <c r="B984" s="83"/>
      <c r="C984" s="83"/>
      <c r="D984" s="83"/>
      <c r="E984" s="83"/>
    </row>
    <row r="985" spans="2:5" ht="12.5">
      <c r="B985" s="83"/>
      <c r="C985" s="83"/>
      <c r="D985" s="83"/>
      <c r="E985" s="83"/>
    </row>
    <row r="986" spans="2:5" ht="12.5">
      <c r="B986" s="83"/>
      <c r="C986" s="83"/>
      <c r="D986" s="83"/>
      <c r="E986" s="83"/>
    </row>
    <row r="987" spans="2:5" ht="12.5">
      <c r="B987" s="83"/>
      <c r="C987" s="83"/>
      <c r="D987" s="83"/>
      <c r="E987" s="83"/>
    </row>
    <row r="988" spans="2:5" ht="12.5">
      <c r="B988" s="83"/>
      <c r="C988" s="83"/>
      <c r="D988" s="83"/>
      <c r="E988" s="83"/>
    </row>
    <row r="989" spans="2:5" ht="12.5">
      <c r="B989" s="83"/>
      <c r="C989" s="83"/>
      <c r="D989" s="83"/>
      <c r="E989" s="83"/>
    </row>
    <row r="990" spans="2:5" ht="12.5">
      <c r="B990" s="83"/>
      <c r="C990" s="83"/>
      <c r="D990" s="83"/>
      <c r="E990" s="83"/>
    </row>
    <row r="991" spans="2:5" ht="12.5">
      <c r="B991" s="83"/>
      <c r="C991" s="83"/>
      <c r="D991" s="83"/>
      <c r="E991" s="83"/>
    </row>
    <row r="992" spans="2:5" ht="12.5">
      <c r="B992" s="83"/>
      <c r="C992" s="83"/>
      <c r="D992" s="83"/>
      <c r="E992" s="83"/>
    </row>
    <row r="993" spans="2:5" ht="12.5">
      <c r="B993" s="83"/>
      <c r="C993" s="83"/>
      <c r="D993" s="83"/>
      <c r="E993" s="83"/>
    </row>
    <row r="994" spans="2:5" ht="12.5">
      <c r="B994" s="83"/>
      <c r="C994" s="83"/>
      <c r="D994" s="83"/>
      <c r="E994" s="83"/>
    </row>
    <row r="995" spans="2:5" ht="12.5">
      <c r="B995" s="83"/>
      <c r="C995" s="83"/>
      <c r="D995" s="83"/>
      <c r="E995" s="83"/>
    </row>
    <row r="996" spans="2:5" ht="12.5">
      <c r="B996" s="83"/>
      <c r="C996" s="83"/>
      <c r="D996" s="83"/>
      <c r="E996" s="83"/>
    </row>
    <row r="997" spans="2:5" ht="12.5">
      <c r="B997" s="83"/>
      <c r="C997" s="83"/>
      <c r="D997" s="83"/>
      <c r="E997" s="83"/>
    </row>
    <row r="998" spans="2:5" ht="12.5">
      <c r="B998" s="83"/>
      <c r="C998" s="83"/>
      <c r="D998" s="83"/>
      <c r="E998" s="83"/>
    </row>
    <row r="999" spans="2:5" ht="12.5">
      <c r="B999" s="83"/>
      <c r="C999" s="83"/>
      <c r="D999" s="83"/>
      <c r="E999" s="83"/>
    </row>
    <row r="1000" spans="2:5" ht="12.5">
      <c r="B1000" s="83"/>
      <c r="C1000" s="83"/>
      <c r="D1000" s="83"/>
      <c r="E1000" s="83"/>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83"/>
  <sheetViews>
    <sheetView workbookViewId="0">
      <pane ySplit="3" topLeftCell="A4" activePane="bottomLeft" state="frozen"/>
      <selection pane="bottomLeft" activeCell="B5" sqref="B5"/>
    </sheetView>
  </sheetViews>
  <sheetFormatPr defaultColWidth="14.453125" defaultRowHeight="15.75" customHeight="1"/>
  <cols>
    <col min="1" max="1" width="51" customWidth="1"/>
    <col min="2" max="2" width="6.453125" customWidth="1"/>
    <col min="3" max="3" width="9.7265625" customWidth="1"/>
    <col min="4" max="4" width="7.453125" customWidth="1"/>
    <col min="5" max="5" width="6.7265625" customWidth="1"/>
    <col min="6" max="6" width="49.26953125" customWidth="1"/>
    <col min="7" max="7" width="51.54296875" customWidth="1"/>
    <col min="8" max="8" width="9.453125" customWidth="1"/>
    <col min="9" max="9" width="5.453125" customWidth="1"/>
    <col min="10" max="10" width="54.08984375" customWidth="1"/>
    <col min="11" max="11" width="25.08984375" customWidth="1"/>
  </cols>
  <sheetData>
    <row r="1" spans="1:11" ht="15.75" customHeight="1">
      <c r="A1" s="207" t="s">
        <v>7643</v>
      </c>
      <c r="B1" s="208"/>
      <c r="C1" s="208"/>
      <c r="D1" s="208"/>
      <c r="E1" s="22"/>
      <c r="F1" s="22"/>
      <c r="G1" s="22"/>
      <c r="H1" s="22"/>
      <c r="I1" s="22"/>
    </row>
    <row r="2" spans="1:11" ht="15.75" customHeight="1">
      <c r="A2" s="24"/>
      <c r="B2" s="24"/>
      <c r="C2" s="24"/>
      <c r="D2" s="24"/>
      <c r="E2" s="24"/>
      <c r="F2" s="24"/>
      <c r="G2" s="24"/>
      <c r="H2" s="24"/>
      <c r="I2" s="24"/>
      <c r="J2" s="24"/>
      <c r="K2" s="24"/>
    </row>
    <row r="3" spans="1:11" ht="15.75" customHeight="1">
      <c r="A3" s="25" t="s">
        <v>61</v>
      </c>
      <c r="B3" s="25" t="s">
        <v>62</v>
      </c>
      <c r="C3" s="25" t="s">
        <v>63</v>
      </c>
      <c r="D3" s="25" t="s">
        <v>64</v>
      </c>
      <c r="E3" s="25" t="s">
        <v>65</v>
      </c>
      <c r="F3" s="25" t="s">
        <v>66</v>
      </c>
      <c r="G3" s="1" t="s">
        <v>67</v>
      </c>
      <c r="H3" s="25" t="s">
        <v>78</v>
      </c>
      <c r="I3" s="25" t="s">
        <v>79</v>
      </c>
      <c r="J3" s="108" t="s">
        <v>69</v>
      </c>
      <c r="K3" s="108" t="s">
        <v>7644</v>
      </c>
    </row>
    <row r="4" spans="1:11" ht="15.75" customHeight="1">
      <c r="A4" s="20" t="s">
        <v>7645</v>
      </c>
      <c r="B4" s="20">
        <v>15</v>
      </c>
      <c r="C4" s="24"/>
      <c r="D4" s="24"/>
      <c r="E4" s="24"/>
      <c r="F4" s="28" t="s">
        <v>7646</v>
      </c>
      <c r="G4" s="24" t="str">
        <f ca="1">IFERROR(__xludf.DUMMYFUNCTION("GOOGLETRANSLATE(F4,""en"",""pt"")"),"Os elementos de site")</f>
        <v>Os elementos de site</v>
      </c>
      <c r="H4" s="24"/>
      <c r="I4" s="24"/>
      <c r="J4" t="e">
        <f>VLOOKUP(A4,EF_Base_LNEC!$A$4:$E$70,4, FALSE)</f>
        <v>#N/A</v>
      </c>
    </row>
    <row r="5" spans="1:11" ht="15.75" customHeight="1">
      <c r="A5" s="20" t="s">
        <v>7647</v>
      </c>
      <c r="B5" s="20">
        <v>15</v>
      </c>
      <c r="C5" s="20">
        <v>15</v>
      </c>
      <c r="D5" s="24"/>
      <c r="E5" s="24"/>
      <c r="F5" s="20" t="s">
        <v>7648</v>
      </c>
      <c r="G5" s="24" t="str">
        <f ca="1">IFERROR(__xludf.DUMMYFUNCTION("GOOGLETRANSLATE(F5,""en"",""pt"")"),"Canteiros de obras")</f>
        <v>Canteiros de obras</v>
      </c>
      <c r="H5" s="24"/>
      <c r="I5" s="24"/>
      <c r="J5" t="e">
        <f>VLOOKUP(A5,EF_Base_LNEC!$A$4:$E$70,4, FALSE)</f>
        <v>#N/A</v>
      </c>
    </row>
    <row r="6" spans="1:11" ht="15.75" customHeight="1">
      <c r="A6" s="20" t="s">
        <v>7649</v>
      </c>
      <c r="B6" s="20">
        <v>15</v>
      </c>
      <c r="C6" s="20">
        <v>95</v>
      </c>
      <c r="D6" s="24"/>
      <c r="E6" s="24"/>
      <c r="F6" s="20" t="s">
        <v>7650</v>
      </c>
      <c r="G6" s="24" t="str">
        <f ca="1">IFERROR(__xludf.DUMMYFUNCTION("GOOGLETRANSLATE(F6,""en"",""pt"")"),"As áreas de trabalho")</f>
        <v>As áreas de trabalho</v>
      </c>
      <c r="H6" s="24"/>
      <c r="I6" s="24"/>
      <c r="J6" t="e">
        <f>VLOOKUP(A6,EF_Base_LNEC!$A$4:$E$70,4, FALSE)</f>
        <v>#N/A</v>
      </c>
    </row>
    <row r="7" spans="1:11" ht="15.75" customHeight="1">
      <c r="A7" s="20" t="s">
        <v>7651</v>
      </c>
      <c r="B7" s="20">
        <v>20</v>
      </c>
      <c r="C7" s="24"/>
      <c r="D7" s="24"/>
      <c r="E7" s="24"/>
      <c r="F7" s="20" t="s">
        <v>7652</v>
      </c>
      <c r="G7" s="24" t="str">
        <f ca="1">IFERROR(__xludf.DUMMYFUNCTION("GOOGLETRANSLATE(F7,""en"",""pt"")"),"Elementos estruturais")</f>
        <v>Elementos estruturais</v>
      </c>
      <c r="H7" s="24"/>
      <c r="I7" s="24"/>
      <c r="J7" t="str">
        <f>VLOOKUP(A7,EF_Base_LNEC!$A$4:$E$70,4, FALSE)</f>
        <v>Elementos estruturais</v>
      </c>
    </row>
    <row r="8" spans="1:11" ht="15.75" customHeight="1">
      <c r="A8" s="20" t="s">
        <v>7653</v>
      </c>
      <c r="B8" s="20">
        <v>20</v>
      </c>
      <c r="C8" s="20">
        <v>5</v>
      </c>
      <c r="D8" s="24"/>
      <c r="E8" s="24"/>
      <c r="F8" s="20" t="s">
        <v>7654</v>
      </c>
      <c r="G8" s="24" t="str">
        <f ca="1">IFERROR(__xludf.DUMMYFUNCTION("GOOGLETRANSLATE(F8,""en"",""pt"")"),"infra-estrutura")</f>
        <v>infra-estrutura</v>
      </c>
      <c r="H8" s="24"/>
      <c r="I8" s="24"/>
      <c r="J8" t="str">
        <f>VLOOKUP(A8,EF_Base_LNEC!$A$4:$E$70,4, FALSE)</f>
        <v>Infraestrutura / Fundações e contenções</v>
      </c>
    </row>
    <row r="9" spans="1:11" ht="15.75" customHeight="1">
      <c r="A9" s="20" t="s">
        <v>7655</v>
      </c>
      <c r="B9" s="20">
        <v>20</v>
      </c>
      <c r="C9" s="20">
        <v>10</v>
      </c>
      <c r="D9" s="24"/>
      <c r="E9" s="24"/>
      <c r="F9" s="20" t="s">
        <v>7656</v>
      </c>
      <c r="G9" s="24" t="str">
        <f ca="1">IFERROR(__xludf.DUMMYFUNCTION("GOOGLETRANSLATE(F9,""en"",""pt"")"),"Superestrutura")</f>
        <v>Superestrutura</v>
      </c>
      <c r="H9" s="24"/>
      <c r="I9" s="24"/>
      <c r="J9" t="str">
        <f>VLOOKUP(A9,EF_Base_LNEC!$A$4:$E$70,4, FALSE)</f>
        <v>Estruturas porticadas</v>
      </c>
    </row>
    <row r="10" spans="1:11" ht="15.75" customHeight="1">
      <c r="A10" s="20" t="s">
        <v>7657</v>
      </c>
      <c r="B10" s="20">
        <v>20</v>
      </c>
      <c r="C10" s="20">
        <v>50</v>
      </c>
      <c r="D10" s="24"/>
      <c r="E10" s="24"/>
      <c r="F10" s="20" t="s">
        <v>7658</v>
      </c>
      <c r="G10" s="24" t="str">
        <f ca="1">IFERROR(__xludf.DUMMYFUNCTION("GOOGLETRANSLATE(F10,""en"",""pt"")"),"encontros de pontes e piers")</f>
        <v>encontros de pontes e piers</v>
      </c>
      <c r="H10" s="24"/>
      <c r="I10" s="24"/>
      <c r="J10" t="str">
        <f>VLOOKUP(A10,EF_Base_LNEC!$A$4:$E$70,4, FALSE)</f>
        <v>Encontros e pilares de pontes</v>
      </c>
    </row>
    <row r="11" spans="1:11" ht="15.75" customHeight="1">
      <c r="A11" s="20" t="s">
        <v>7659</v>
      </c>
      <c r="B11" s="20">
        <v>25</v>
      </c>
      <c r="C11" s="24"/>
      <c r="D11" s="24"/>
      <c r="E11" s="24"/>
      <c r="F11" s="20" t="s">
        <v>7660</v>
      </c>
      <c r="G11" s="24" t="str">
        <f ca="1">IFERROR(__xludf.DUMMYFUNCTION("GOOGLETRANSLATE(F11,""en"",""pt"")"),"Parede e elementos de barreira")</f>
        <v>Parede e elementos de barreira</v>
      </c>
      <c r="H11" s="24"/>
      <c r="I11" s="24"/>
      <c r="J11" t="str">
        <f>VLOOKUP(A11,EF_Base_LNEC!$A$4:$E$70,4, FALSE)</f>
        <v>Elementos de confinamento de espaços</v>
      </c>
    </row>
    <row r="12" spans="1:11" ht="15.75" customHeight="1">
      <c r="A12" s="20" t="s">
        <v>7661</v>
      </c>
      <c r="B12" s="20">
        <v>25</v>
      </c>
      <c r="C12" s="20">
        <v>10</v>
      </c>
      <c r="D12" s="24"/>
      <c r="E12" s="24"/>
      <c r="F12" s="20" t="s">
        <v>7662</v>
      </c>
      <c r="G12" s="24" t="str">
        <f ca="1">IFERROR(__xludf.DUMMYFUNCTION("GOOGLETRANSLATE(F12,""en"",""pt"")"),"paredes")</f>
        <v>paredes</v>
      </c>
      <c r="H12" s="24"/>
      <c r="I12" s="24"/>
      <c r="J12" t="str">
        <f>VLOOKUP(A12,EF_Base_LNEC!$A$4:$E$70,4, FALSE)</f>
        <v>Paredes</v>
      </c>
    </row>
    <row r="13" spans="1:11" ht="15.75" customHeight="1">
      <c r="A13" s="20" t="s">
        <v>7663</v>
      </c>
      <c r="B13" s="20">
        <v>25</v>
      </c>
      <c r="C13" s="20">
        <v>30</v>
      </c>
      <c r="D13" s="24"/>
      <c r="E13" s="24"/>
      <c r="F13" s="20" t="s">
        <v>7664</v>
      </c>
      <c r="G13" s="24" t="str">
        <f ca="1">IFERROR(__xludf.DUMMYFUNCTION("GOOGLETRANSLATE(F13,""en"",""pt"")"),"Portas e janelas")</f>
        <v>Portas e janelas</v>
      </c>
      <c r="H13" s="24"/>
      <c r="I13" s="24"/>
      <c r="J13" t="str">
        <f>VLOOKUP(A13,EF_Base_LNEC!$A$4:$E$70,4, FALSE)</f>
        <v>Portas e janelas</v>
      </c>
    </row>
    <row r="14" spans="1:11" ht="15.75" customHeight="1">
      <c r="A14" s="20" t="s">
        <v>7665</v>
      </c>
      <c r="B14" s="20">
        <v>25</v>
      </c>
      <c r="C14" s="20">
        <v>55</v>
      </c>
      <c r="D14" s="24"/>
      <c r="E14" s="24"/>
      <c r="F14" s="20" t="s">
        <v>7666</v>
      </c>
      <c r="G14" s="24" t="str">
        <f ca="1">IFERROR(__xludf.DUMMYFUNCTION("GOOGLETRANSLATE(F14,""en"",""pt"")"),"barreiras")</f>
        <v>barreiras</v>
      </c>
      <c r="H14" s="24"/>
      <c r="I14" s="24"/>
      <c r="J14" t="str">
        <f>VLOOKUP(A14,EF_Base_LNEC!$A$4:$E$70,4, FALSE)</f>
        <v>Barreiras</v>
      </c>
    </row>
    <row r="15" spans="1:11" ht="15.75" customHeight="1">
      <c r="A15" s="20" t="s">
        <v>7667</v>
      </c>
      <c r="B15" s="20">
        <v>30</v>
      </c>
      <c r="C15" s="24"/>
      <c r="D15" s="24"/>
      <c r="E15" s="24"/>
      <c r="F15" s="20" t="s">
        <v>7668</v>
      </c>
      <c r="G15" s="24" t="str">
        <f ca="1">IFERROR(__xludf.DUMMYFUNCTION("GOOGLETRANSLATE(F15,""en"",""pt"")"),"Telhados, pisos e pavimentos elementos")</f>
        <v>Telhados, pisos e pavimentos elementos</v>
      </c>
      <c r="H15" s="24"/>
      <c r="I15" s="24"/>
      <c r="J15" t="str">
        <f>VLOOKUP(A15,EF_Base_LNEC!$A$4:$E$70,4, FALSE)</f>
        <v>Elementos de cobertura, pisos e pavimentos</v>
      </c>
    </row>
    <row r="16" spans="1:11" ht="15.75" customHeight="1">
      <c r="A16" s="20" t="s">
        <v>7669</v>
      </c>
      <c r="B16" s="20">
        <v>30</v>
      </c>
      <c r="C16" s="20">
        <v>10</v>
      </c>
      <c r="D16" s="24"/>
      <c r="E16" s="24"/>
      <c r="F16" s="20" t="s">
        <v>7670</v>
      </c>
      <c r="G16" s="24" t="str">
        <f ca="1">IFERROR(__xludf.DUMMYFUNCTION("GOOGLETRANSLATE(F16,""en"",""pt"")"),"telhados")</f>
        <v>telhados</v>
      </c>
      <c r="H16" s="24"/>
      <c r="I16" s="24"/>
      <c r="J16" t="str">
        <f>VLOOKUP(A16,EF_Base_LNEC!$A$4:$E$70,4, FALSE)</f>
        <v>Coberturas</v>
      </c>
    </row>
    <row r="17" spans="1:10" ht="15.75" customHeight="1">
      <c r="A17" s="20" t="s">
        <v>7671</v>
      </c>
      <c r="B17" s="20">
        <v>30</v>
      </c>
      <c r="C17" s="20">
        <v>20</v>
      </c>
      <c r="D17" s="24"/>
      <c r="E17" s="24"/>
      <c r="F17" s="20" t="s">
        <v>7672</v>
      </c>
      <c r="G17" s="24" t="str">
        <f ca="1">IFERROR(__xludf.DUMMYFUNCTION("GOOGLETRANSLATE(F17,""en"",""pt"")"),"pisos")</f>
        <v>pisos</v>
      </c>
      <c r="H17" s="24"/>
      <c r="I17" s="24"/>
      <c r="J17" t="str">
        <f>VLOOKUP(A17,EF_Base_LNEC!$A$4:$E$70,4, FALSE)</f>
        <v>Pisos</v>
      </c>
    </row>
    <row r="18" spans="1:10" ht="15.75" customHeight="1">
      <c r="A18" s="20" t="s">
        <v>7673</v>
      </c>
      <c r="B18" s="20">
        <v>30</v>
      </c>
      <c r="C18" s="20">
        <v>60</v>
      </c>
      <c r="D18" s="24"/>
      <c r="E18" s="24"/>
      <c r="F18" s="20" t="s">
        <v>7674</v>
      </c>
      <c r="G18" s="24" t="str">
        <f ca="1">IFERROR(__xludf.DUMMYFUNCTION("GOOGLETRANSLATE(F18,""en"",""pt"")"),"Pavements")</f>
        <v>Pavements</v>
      </c>
      <c r="H18" s="24"/>
      <c r="I18" s="24"/>
      <c r="J18" t="str">
        <f>VLOOKUP(A18,EF_Base_LNEC!$A$4:$E$70,4, FALSE)</f>
        <v>Pavimentos</v>
      </c>
    </row>
    <row r="19" spans="1:10" ht="15.75" customHeight="1">
      <c r="A19" s="20" t="s">
        <v>7675</v>
      </c>
      <c r="B19" s="20">
        <v>30</v>
      </c>
      <c r="C19" s="20">
        <v>70</v>
      </c>
      <c r="D19" s="24"/>
      <c r="E19" s="24"/>
      <c r="F19" s="20" t="s">
        <v>7676</v>
      </c>
      <c r="G19" s="24" t="str">
        <f ca="1">IFERROR(__xludf.DUMMYFUNCTION("GOOGLETRANSLATE(F19,""en"",""pt"")"),"tabuleiros de pontes")</f>
        <v>tabuleiros de pontes</v>
      </c>
      <c r="H19" s="24"/>
      <c r="I19" s="24"/>
      <c r="J19" t="str">
        <f>VLOOKUP(A19,EF_Base_LNEC!$A$4:$E$70,4, FALSE)</f>
        <v>Tabuleiros de pontes</v>
      </c>
    </row>
    <row r="20" spans="1:10" ht="15.75" customHeight="1">
      <c r="A20" s="20" t="s">
        <v>7677</v>
      </c>
      <c r="B20" s="20">
        <v>35</v>
      </c>
      <c r="C20" s="24"/>
      <c r="D20" s="24"/>
      <c r="E20" s="24"/>
      <c r="F20" s="20" t="s">
        <v>7678</v>
      </c>
      <c r="G20" s="24" t="str">
        <f ca="1">IFERROR(__xludf.DUMMYFUNCTION("GOOGLETRANSLATE(F20,""en"",""pt"")"),"Escadas e rampas")</f>
        <v>Escadas e rampas</v>
      </c>
      <c r="H20" s="24"/>
      <c r="I20" s="24"/>
      <c r="J20" t="str">
        <f>VLOOKUP(A20,EF_Base_LNEC!$A$4:$E$70,4, FALSE)</f>
        <v>Escadas e rampas</v>
      </c>
    </row>
    <row r="21" spans="1:10" ht="15.75" customHeight="1">
      <c r="A21" s="20" t="s">
        <v>7679</v>
      </c>
      <c r="B21" s="20">
        <v>35</v>
      </c>
      <c r="C21" s="20">
        <v>10</v>
      </c>
      <c r="D21" s="24"/>
      <c r="E21" s="24"/>
      <c r="F21" s="20" t="s">
        <v>7680</v>
      </c>
      <c r="G21" s="24" t="str">
        <f ca="1">IFERROR(__xludf.DUMMYFUNCTION("GOOGLETRANSLATE(F21,""en"",""pt"")"),"Escadas")</f>
        <v>Escadas</v>
      </c>
      <c r="H21" s="24"/>
      <c r="I21" s="24"/>
      <c r="J21" t="str">
        <f>VLOOKUP(A21,EF_Base_LNEC!$A$4:$E$70,4, FALSE)</f>
        <v>Escadas</v>
      </c>
    </row>
    <row r="22" spans="1:10" ht="15.75" customHeight="1">
      <c r="A22" s="20" t="s">
        <v>7681</v>
      </c>
      <c r="B22" s="20">
        <v>35</v>
      </c>
      <c r="C22" s="20">
        <v>20</v>
      </c>
      <c r="D22" s="24"/>
      <c r="E22" s="24"/>
      <c r="F22" s="20" t="s">
        <v>7682</v>
      </c>
      <c r="G22" s="24" t="str">
        <f ca="1">IFERROR(__xludf.DUMMYFUNCTION("GOOGLETRANSLATE(F22,""en"",""pt"")"),"rampas")</f>
        <v>rampas</v>
      </c>
      <c r="H22" s="24"/>
      <c r="I22" s="24"/>
      <c r="J22" t="str">
        <f>VLOOKUP(A22,EF_Base_LNEC!$A$4:$E$70,4, FALSE)</f>
        <v>Rampas</v>
      </c>
    </row>
    <row r="23" spans="1:10" ht="15.75" customHeight="1">
      <c r="A23" s="20" t="s">
        <v>7683</v>
      </c>
      <c r="B23" s="20">
        <v>37</v>
      </c>
      <c r="C23" s="24"/>
      <c r="D23" s="24"/>
      <c r="E23" s="24"/>
      <c r="F23" s="20" t="s">
        <v>7684</v>
      </c>
      <c r="G23" s="24" t="str">
        <f ca="1">IFERROR(__xludf.DUMMYFUNCTION("GOOGLETRANSLATE(F23,""en"",""pt"")"),"Túnel, embarcação e elementos de torre")</f>
        <v>Túnel, embarcação e elementos de torre</v>
      </c>
      <c r="H23" s="24"/>
      <c r="I23" s="24"/>
      <c r="J23" t="str">
        <f>VLOOKUP(A23,EF_Base_LNEC!$A$4:$E$70,4, FALSE)</f>
        <v>Reservatórios elevados e torres</v>
      </c>
    </row>
    <row r="24" spans="1:10" ht="15.75" customHeight="1">
      <c r="A24" s="20" t="s">
        <v>7685</v>
      </c>
      <c r="B24" s="20">
        <v>37</v>
      </c>
      <c r="C24" s="20">
        <v>16</v>
      </c>
      <c r="D24" s="24"/>
      <c r="E24" s="24"/>
      <c r="F24" s="20" t="s">
        <v>7686</v>
      </c>
      <c r="G24" s="24" t="str">
        <f ca="1">IFERROR(__xludf.DUMMYFUNCTION("GOOGLETRANSLATE(F24,""en"",""pt"")"),"Vasos e trincheiras")</f>
        <v>Vasos e trincheiras</v>
      </c>
      <c r="H24" s="24"/>
      <c r="I24" s="24"/>
      <c r="J24" t="e">
        <f>VLOOKUP(A24,EF_Base_LNEC!$A$4:$E$70,4, FALSE)</f>
        <v>#N/A</v>
      </c>
    </row>
    <row r="25" spans="1:10" ht="15.75" customHeight="1">
      <c r="A25" s="20" t="s">
        <v>7687</v>
      </c>
      <c r="B25" s="20">
        <v>37</v>
      </c>
      <c r="C25" s="20">
        <v>17</v>
      </c>
      <c r="D25" s="24"/>
      <c r="E25" s="24"/>
      <c r="F25" s="20" t="s">
        <v>7688</v>
      </c>
      <c r="G25" s="24" t="str">
        <f ca="1">IFERROR(__xludf.DUMMYFUNCTION("GOOGLETRANSLATE(F25,""en"",""pt"")"),"Torres, chaminés e mastros")</f>
        <v>Torres, chaminés e mastros</v>
      </c>
      <c r="H25" s="24"/>
      <c r="I25" s="24"/>
      <c r="J25" t="e">
        <f>VLOOKUP(A25,EF_Base_LNEC!$A$4:$E$70,4, FALSE)</f>
        <v>#N/A</v>
      </c>
    </row>
    <row r="26" spans="1:10" ht="15.75" customHeight="1">
      <c r="A26" s="20" t="s">
        <v>7689</v>
      </c>
      <c r="B26" s="20">
        <v>37</v>
      </c>
      <c r="C26" s="20">
        <v>50</v>
      </c>
      <c r="D26" s="24"/>
      <c r="E26" s="24"/>
      <c r="F26" s="20" t="s">
        <v>2962</v>
      </c>
      <c r="G26" s="24" t="str">
        <f ca="1">IFERROR(__xludf.DUMMYFUNCTION("GOOGLETRANSLATE(F26,""en"",""pt"")"),"Túneis e poços")</f>
        <v>Túneis e poços</v>
      </c>
      <c r="H26" s="24"/>
      <c r="I26" s="24"/>
      <c r="J26" t="str">
        <f>VLOOKUP(A26,EF_Base_LNEC!$A$4:$E$70,4, FALSE)</f>
        <v>Reservatórios elevados</v>
      </c>
    </row>
    <row r="27" spans="1:10" ht="15.75" customHeight="1">
      <c r="A27" s="20" t="s">
        <v>7690</v>
      </c>
      <c r="B27" s="20">
        <v>40</v>
      </c>
      <c r="C27" s="24"/>
      <c r="D27" s="24"/>
      <c r="E27" s="24"/>
      <c r="F27" s="20" t="s">
        <v>7691</v>
      </c>
      <c r="G27" s="24" t="str">
        <f ca="1">IFERROR(__xludf.DUMMYFUNCTION("GOOGLETRANSLATE(F27,""en"",""pt"")"),"Signage, acessórios, mobiliário e equipamentos")</f>
        <v>Signage, acessórios, mobiliário e equipamentos</v>
      </c>
      <c r="H27" s="24"/>
      <c r="I27" s="24"/>
      <c r="J27" t="e">
        <f>VLOOKUP(A27,EF_Base_LNEC!$A$4:$E$70,4, FALSE)</f>
        <v>#N/A</v>
      </c>
    </row>
    <row r="28" spans="1:10" ht="15.75" customHeight="1">
      <c r="A28" s="20" t="s">
        <v>7692</v>
      </c>
      <c r="B28" s="20">
        <v>40</v>
      </c>
      <c r="C28" s="20">
        <v>10</v>
      </c>
      <c r="D28" s="24"/>
      <c r="E28" s="24"/>
      <c r="F28" s="20" t="s">
        <v>7693</v>
      </c>
      <c r="G28" s="24" t="str">
        <f ca="1">IFERROR(__xludf.DUMMYFUNCTION("GOOGLETRANSLATE(F28,""en"",""pt"")"),"signage")</f>
        <v>signage</v>
      </c>
      <c r="H28" s="24"/>
      <c r="I28" s="24"/>
      <c r="J28" t="e">
        <f>VLOOKUP(A28,EF_Base_LNEC!$A$4:$E$70,4, FALSE)</f>
        <v>#N/A</v>
      </c>
    </row>
    <row r="29" spans="1:10" ht="15.75" customHeight="1">
      <c r="A29" s="20" t="s">
        <v>7694</v>
      </c>
      <c r="B29" s="20">
        <v>40</v>
      </c>
      <c r="C29" s="20">
        <v>20</v>
      </c>
      <c r="D29" s="24"/>
      <c r="E29" s="24"/>
      <c r="F29" s="20" t="s">
        <v>7695</v>
      </c>
      <c r="G29" s="24" t="str">
        <f ca="1">IFERROR(__xludf.DUMMYFUNCTION("GOOGLETRANSLATE(F29,""en"",""pt"")"),"Acessórios")</f>
        <v>Acessórios</v>
      </c>
      <c r="H29" s="24"/>
      <c r="I29" s="24"/>
      <c r="J29" t="e">
        <f>VLOOKUP(A29,EF_Base_LNEC!$A$4:$E$70,4, FALSE)</f>
        <v>#N/A</v>
      </c>
    </row>
    <row r="30" spans="1:10" ht="15.75" customHeight="1">
      <c r="A30" s="20" t="s">
        <v>7696</v>
      </c>
      <c r="B30" s="20">
        <v>40</v>
      </c>
      <c r="C30" s="20">
        <v>30</v>
      </c>
      <c r="D30" s="24"/>
      <c r="E30" s="24"/>
      <c r="F30" s="20" t="s">
        <v>7697</v>
      </c>
      <c r="G30" s="24" t="str">
        <f ca="1">IFERROR(__xludf.DUMMYFUNCTION("GOOGLETRANSLATE(F30,""en"",""pt"")"),"móveis")</f>
        <v>móveis</v>
      </c>
      <c r="H30" s="24"/>
      <c r="I30" s="24"/>
      <c r="J30" t="e">
        <f>VLOOKUP(A30,EF_Base_LNEC!$A$4:$E$70,4, FALSE)</f>
        <v>#N/A</v>
      </c>
    </row>
    <row r="31" spans="1:10" ht="15.75" customHeight="1">
      <c r="A31" s="20" t="s">
        <v>7698</v>
      </c>
      <c r="B31" s="20">
        <v>40</v>
      </c>
      <c r="C31" s="20">
        <v>40</v>
      </c>
      <c r="D31" s="24"/>
      <c r="E31" s="24"/>
      <c r="F31" s="20" t="s">
        <v>7699</v>
      </c>
      <c r="G31" s="24" t="str">
        <f ca="1">IFERROR(__xludf.DUMMYFUNCTION("GOOGLETRANSLATE(F31,""en"",""pt"")"),"Equipamento")</f>
        <v>Equipamento</v>
      </c>
      <c r="H31" s="24"/>
      <c r="I31" s="24"/>
      <c r="J31" t="e">
        <f>VLOOKUP(A31,EF_Base_LNEC!$A$4:$E$70,4, FALSE)</f>
        <v>#N/A</v>
      </c>
    </row>
    <row r="32" spans="1:10" ht="15.75" customHeight="1">
      <c r="A32" s="20" t="s">
        <v>7700</v>
      </c>
      <c r="B32" s="20">
        <v>45</v>
      </c>
      <c r="C32" s="24"/>
      <c r="D32" s="24"/>
      <c r="E32" s="24"/>
      <c r="F32" s="20" t="s">
        <v>7701</v>
      </c>
      <c r="G32" s="24" t="str">
        <f ca="1">IFERROR(__xludf.DUMMYFUNCTION("GOOGLETRANSLATE(F32,""en"",""pt"")"),"Flora e fauna elementos")</f>
        <v>Flora e fauna elementos</v>
      </c>
      <c r="H32" s="24"/>
      <c r="I32" s="24"/>
      <c r="J32" t="str">
        <f>VLOOKUP(A32,EF_Base_LNEC!$A$4:$E$70,4, FALSE)</f>
        <v>Elementos de flora e de fauna</v>
      </c>
    </row>
    <row r="33" spans="1:10" ht="15.75" customHeight="1">
      <c r="A33" s="20" t="s">
        <v>7702</v>
      </c>
      <c r="B33" s="20">
        <v>45</v>
      </c>
      <c r="C33" s="20">
        <v>10</v>
      </c>
      <c r="D33" s="24"/>
      <c r="E33" s="24"/>
      <c r="F33" s="20" t="s">
        <v>7703</v>
      </c>
      <c r="G33" s="24" t="str">
        <f ca="1">IFERROR(__xludf.DUMMYFUNCTION("GOOGLETRANSLATE(F33,""en"",""pt"")"),"elementos plantadas")</f>
        <v>elementos plantadas</v>
      </c>
      <c r="H33" s="24"/>
      <c r="I33" s="24"/>
      <c r="J33" t="str">
        <f>VLOOKUP(A33,EF_Base_LNEC!$A$4:$E$70,4, FALSE)</f>
        <v>Elementos plantados</v>
      </c>
    </row>
    <row r="34" spans="1:10" ht="15.75" customHeight="1">
      <c r="A34" s="20" t="s">
        <v>7704</v>
      </c>
      <c r="B34" s="20">
        <v>45</v>
      </c>
      <c r="C34" s="20">
        <v>20</v>
      </c>
      <c r="D34" s="24"/>
      <c r="E34" s="24"/>
      <c r="F34" s="20" t="s">
        <v>7705</v>
      </c>
      <c r="G34" s="24" t="str">
        <f ca="1">IFERROR(__xludf.DUMMYFUNCTION("GOOGLETRANSLATE(F34,""en"",""pt"")"),"elementos gramados")</f>
        <v>elementos gramados</v>
      </c>
      <c r="H34" s="24"/>
      <c r="I34" s="24"/>
      <c r="J34" t="str">
        <f>VLOOKUP(A34,EF_Base_LNEC!$A$4:$E$70,4, FALSE)</f>
        <v>Relvados</v>
      </c>
    </row>
    <row r="35" spans="1:10" ht="15.75" customHeight="1">
      <c r="A35" s="20" t="s">
        <v>7706</v>
      </c>
      <c r="B35" s="20">
        <v>45</v>
      </c>
      <c r="C35" s="20">
        <v>30</v>
      </c>
      <c r="D35" s="24"/>
      <c r="E35" s="24"/>
      <c r="F35" s="20" t="s">
        <v>7707</v>
      </c>
      <c r="G35" s="24" t="str">
        <f ca="1">IFERROR(__xludf.DUMMYFUNCTION("GOOGLETRANSLATE(F35,""en"",""pt"")"),"elementos fauna")</f>
        <v>elementos fauna</v>
      </c>
      <c r="H35" s="24"/>
      <c r="I35" s="24"/>
      <c r="J35" t="str">
        <f>VLOOKUP(A35,EF_Base_LNEC!$A$4:$E$70,4, FALSE)</f>
        <v>Elementos de fauna</v>
      </c>
    </row>
    <row r="36" spans="1:10" ht="15.75" customHeight="1">
      <c r="A36" s="20" t="s">
        <v>7708</v>
      </c>
      <c r="B36" s="20">
        <v>45</v>
      </c>
      <c r="C36" s="20">
        <v>75</v>
      </c>
      <c r="D36" s="24"/>
      <c r="E36" s="24"/>
      <c r="F36" s="20" t="s">
        <v>7709</v>
      </c>
      <c r="G36" s="24" t="str">
        <f ca="1">IFERROR(__xludf.DUMMYFUNCTION("GOOGLETRANSLATE(F36,""en"",""pt"")"),"Peixes e enguia elementos passagem")</f>
        <v>Peixes e enguia elementos passagem</v>
      </c>
      <c r="H36" s="24"/>
      <c r="I36" s="24"/>
      <c r="J36" t="e">
        <f>VLOOKUP(A36,EF_Base_LNEC!$A$4:$E$70,4, FALSE)</f>
        <v>#N/A</v>
      </c>
    </row>
    <row r="37" spans="1:10" ht="15.75" customHeight="1">
      <c r="A37" s="20" t="s">
        <v>7710</v>
      </c>
      <c r="B37" s="20">
        <v>50</v>
      </c>
      <c r="C37" s="24"/>
      <c r="D37" s="24"/>
      <c r="E37" s="24"/>
      <c r="F37" s="20" t="s">
        <v>7711</v>
      </c>
      <c r="G37" s="24" t="str">
        <f ca="1">IFERROR(__xludf.DUMMYFUNCTION("GOOGLETRANSLATE(F37,""en"",""pt"")"),"Resíduos funções eliminação")</f>
        <v>Resíduos funções eliminação</v>
      </c>
      <c r="H37" s="24"/>
      <c r="I37" s="24"/>
      <c r="J37" t="str">
        <f>VLOOKUP(A37,EF_Base_LNEC!$A$4:$E$70,4, FALSE)</f>
        <v>Recolha e eliminação de resíduos</v>
      </c>
    </row>
    <row r="38" spans="1:10" ht="15.75" customHeight="1">
      <c r="A38" s="20" t="s">
        <v>7712</v>
      </c>
      <c r="B38" s="20">
        <v>50</v>
      </c>
      <c r="C38" s="20">
        <v>10</v>
      </c>
      <c r="D38" s="24"/>
      <c r="E38" s="24"/>
      <c r="F38" s="20" t="s">
        <v>7713</v>
      </c>
      <c r="G38" s="24" t="str">
        <f ca="1">IFERROR(__xludf.DUMMYFUNCTION("GOOGLETRANSLATE(F38,""en"",""pt"")"),"recolha de resíduos de gás")</f>
        <v>recolha de resíduos de gás</v>
      </c>
      <c r="H38" s="24"/>
      <c r="I38" s="24"/>
      <c r="J38" t="str">
        <f>VLOOKUP(A38,EF_Base_LNEC!$A$4:$E$70,4, FALSE)</f>
        <v>Recolha de resíduos gasosos</v>
      </c>
    </row>
    <row r="39" spans="1:10" ht="14.5">
      <c r="A39" s="20" t="s">
        <v>7714</v>
      </c>
      <c r="B39" s="20">
        <v>50</v>
      </c>
      <c r="C39" s="20">
        <v>20</v>
      </c>
      <c r="D39" s="24"/>
      <c r="E39" s="24"/>
      <c r="F39" s="20" t="s">
        <v>7715</v>
      </c>
      <c r="G39" s="24" t="str">
        <f ca="1">IFERROR(__xludf.DUMMYFUNCTION("GOOGLETRANSLATE(F39,""en"",""pt"")"),"recolha de resíduos Wet")</f>
        <v>recolha de resíduos Wet</v>
      </c>
      <c r="H39" s="24"/>
      <c r="I39" s="24"/>
      <c r="J39" t="str">
        <f>VLOOKUP(A39,EF_Base_LNEC!$A$4:$E$70,4, FALSE)</f>
        <v>Recolha de resíduos húmidos</v>
      </c>
    </row>
    <row r="40" spans="1:10" ht="14.5">
      <c r="A40" s="20" t="s">
        <v>7716</v>
      </c>
      <c r="B40" s="20">
        <v>50</v>
      </c>
      <c r="C40" s="20">
        <v>30</v>
      </c>
      <c r="D40" s="24"/>
      <c r="E40" s="24"/>
      <c r="F40" s="20" t="s">
        <v>7717</v>
      </c>
      <c r="G40" s="24" t="str">
        <f ca="1">IFERROR(__xludf.DUMMYFUNCTION("GOOGLETRANSLATE(F40,""en"",""pt"")"),"coleção de drenagem")</f>
        <v>coleção de drenagem</v>
      </c>
      <c r="H40" s="24"/>
      <c r="I40" s="24"/>
      <c r="J40" t="str">
        <f>VLOOKUP(A40,EF_Base_LNEC!$A$4:$E$70,4, FALSE)</f>
        <v>Recolha de fluidos drenados</v>
      </c>
    </row>
    <row r="41" spans="1:10" ht="14.5">
      <c r="A41" s="20" t="s">
        <v>7718</v>
      </c>
      <c r="B41" s="20">
        <v>50</v>
      </c>
      <c r="C41" s="20">
        <v>40</v>
      </c>
      <c r="D41" s="24"/>
      <c r="E41" s="24"/>
      <c r="F41" s="20" t="s">
        <v>7719</v>
      </c>
      <c r="G41" s="24" t="str">
        <f ca="1">IFERROR(__xludf.DUMMYFUNCTION("GOOGLETRANSLATE(F41,""en"",""pt"")"),"recolha de resíduos secos")</f>
        <v>recolha de resíduos secos</v>
      </c>
      <c r="H41" s="24"/>
      <c r="I41" s="24"/>
      <c r="J41" t="str">
        <f>VLOOKUP(A41,EF_Base_LNEC!$A$4:$E$70,4, FALSE)</f>
        <v>Recolha de resíduos secos</v>
      </c>
    </row>
    <row r="42" spans="1:10" ht="14.5">
      <c r="A42" s="20" t="s">
        <v>7720</v>
      </c>
      <c r="B42" s="20">
        <v>50</v>
      </c>
      <c r="C42" s="20">
        <v>50</v>
      </c>
      <c r="D42" s="24"/>
      <c r="E42" s="24"/>
      <c r="F42" s="20" t="s">
        <v>7721</v>
      </c>
      <c r="G42" s="24" t="str">
        <f ca="1">IFERROR(__xludf.DUMMYFUNCTION("GOOGLETRANSLATE(F42,""en"",""pt"")"),"tratamento de resíduos de gás e eliminação")</f>
        <v>tratamento de resíduos de gás e eliminação</v>
      </c>
      <c r="H42" s="24"/>
      <c r="I42" s="24"/>
      <c r="J42" t="str">
        <f>VLOOKUP(A42,EF_Base_LNEC!$A$4:$E$70,4, FALSE)</f>
        <v>Tratamento e eliminação de resíduos gasosos</v>
      </c>
    </row>
    <row r="43" spans="1:10" ht="14.5">
      <c r="A43" s="20" t="s">
        <v>7722</v>
      </c>
      <c r="B43" s="20">
        <v>50</v>
      </c>
      <c r="C43" s="20">
        <v>60</v>
      </c>
      <c r="D43" s="24"/>
      <c r="E43" s="24"/>
      <c r="F43" s="20" t="s">
        <v>7723</v>
      </c>
      <c r="G43" s="24" t="str">
        <f ca="1">IFERROR(__xludf.DUMMYFUNCTION("GOOGLETRANSLATE(F43,""en"",""pt"")"),"tratamento de resíduos molhados e eliminação")</f>
        <v>tratamento de resíduos molhados e eliminação</v>
      </c>
      <c r="H43" s="24"/>
      <c r="I43" s="24"/>
      <c r="J43" t="str">
        <f>VLOOKUP(A43,EF_Base_LNEC!$A$4:$E$70,4, FALSE)</f>
        <v>Tratamento e eliminação de resíduos húmidos</v>
      </c>
    </row>
    <row r="44" spans="1:10" ht="14.5">
      <c r="A44" s="20" t="s">
        <v>7724</v>
      </c>
      <c r="B44" s="20">
        <v>50</v>
      </c>
      <c r="C44" s="20">
        <v>70</v>
      </c>
      <c r="D44" s="24"/>
      <c r="E44" s="24"/>
      <c r="F44" s="20" t="s">
        <v>7725</v>
      </c>
      <c r="G44" s="24" t="str">
        <f ca="1">IFERROR(__xludf.DUMMYFUNCTION("GOOGLETRANSLATE(F44,""en"",""pt"")"),"tratamento de drenagem e eliminação")</f>
        <v>tratamento de drenagem e eliminação</v>
      </c>
      <c r="H44" s="24"/>
      <c r="I44" s="24"/>
      <c r="J44" t="str">
        <f>VLOOKUP(A44,EF_Base_LNEC!$A$4:$E$70,4, FALSE)</f>
        <v>Tratamento e eliminação de drenagens</v>
      </c>
    </row>
    <row r="45" spans="1:10" ht="14.5">
      <c r="A45" s="20" t="s">
        <v>7726</v>
      </c>
      <c r="B45" s="20">
        <v>50</v>
      </c>
      <c r="C45" s="20">
        <v>75</v>
      </c>
      <c r="D45" s="24"/>
      <c r="E45" s="24"/>
      <c r="F45" s="20" t="s">
        <v>7727</v>
      </c>
      <c r="G45" s="24" t="str">
        <f ca="1">IFERROR(__xludf.DUMMYFUNCTION("GOOGLETRANSLATE(F45,""en"",""pt"")"),"tratamento de águas residuais e eliminação")</f>
        <v>tratamento de águas residuais e eliminação</v>
      </c>
      <c r="H45" s="24"/>
      <c r="I45" s="24"/>
      <c r="J45" t="str">
        <f>VLOOKUP(A45,EF_Base_LNEC!$A$4:$E$70,4, FALSE)</f>
        <v>Tratamento e eliminação de águas residuais</v>
      </c>
    </row>
    <row r="46" spans="1:10" ht="14.5">
      <c r="A46" s="20" t="s">
        <v>7728</v>
      </c>
      <c r="B46" s="20">
        <v>50</v>
      </c>
      <c r="C46" s="20">
        <v>80</v>
      </c>
      <c r="D46" s="24"/>
      <c r="E46" s="24"/>
      <c r="F46" s="20" t="s">
        <v>2663</v>
      </c>
      <c r="G46" s="24" t="str">
        <f ca="1">IFERROR(__xludf.DUMMYFUNCTION("GOOGLETRANSLATE(F46,""en"",""pt"")"),"tratamento de resíduos secos e eliminação")</f>
        <v>tratamento de resíduos secos e eliminação</v>
      </c>
      <c r="H46" s="24"/>
      <c r="I46" s="24"/>
      <c r="J46" t="str">
        <f>VLOOKUP(A46,EF_Base_LNEC!$A$4:$E$70,4, FALSE)</f>
        <v>Tratamento e eliminação de resíduos secos</v>
      </c>
    </row>
    <row r="47" spans="1:10" ht="14.5">
      <c r="A47" s="20" t="s">
        <v>7729</v>
      </c>
      <c r="B47" s="20">
        <v>55</v>
      </c>
      <c r="C47" s="24"/>
      <c r="D47" s="24"/>
      <c r="E47" s="24"/>
      <c r="F47" s="20" t="s">
        <v>7730</v>
      </c>
      <c r="G47" s="24" t="str">
        <f ca="1">IFERROR(__xludf.DUMMYFUNCTION("GOOGLETRANSLATE(F47,""en"",""pt"")"),"as funções de abastecimento canalizado")</f>
        <v>as funções de abastecimento canalizado</v>
      </c>
      <c r="H47" s="24"/>
      <c r="I47" s="24"/>
      <c r="J47" t="str">
        <f>VLOOKUP(A47,EF_Base_LNEC!$A$4:$E$70,4, FALSE)</f>
        <v>Abastecimento e distribuição em tubagem</v>
      </c>
    </row>
    <row r="48" spans="1:10" ht="14.5">
      <c r="A48" s="20" t="s">
        <v>7731</v>
      </c>
      <c r="B48" s="20">
        <v>55</v>
      </c>
      <c r="C48" s="20">
        <v>5</v>
      </c>
      <c r="D48" s="24"/>
      <c r="E48" s="24"/>
      <c r="F48" s="20" t="s">
        <v>7732</v>
      </c>
      <c r="G48" s="24" t="str">
        <f ca="1">IFERROR(__xludf.DUMMYFUNCTION("GOOGLETRANSLATE(F48,""en"",""pt"")"),"extracção e tratamento de gases")</f>
        <v>extracção e tratamento de gases</v>
      </c>
      <c r="H48" s="24"/>
      <c r="I48" s="24"/>
      <c r="J48" t="str">
        <f>VLOOKUP(A48,EF_Base_LNEC!$A$4:$E$70,4, FALSE)</f>
        <v>Extração e tratamento de gás</v>
      </c>
    </row>
    <row r="49" spans="1:10" ht="14.5">
      <c r="A49" s="20" t="s">
        <v>7733</v>
      </c>
      <c r="B49" s="20">
        <v>55</v>
      </c>
      <c r="C49" s="20">
        <v>10</v>
      </c>
      <c r="D49" s="24"/>
      <c r="E49" s="24"/>
      <c r="F49" s="20" t="s">
        <v>7734</v>
      </c>
      <c r="G49" s="24" t="str">
        <f ca="1">IFERROR(__xludf.DUMMYFUNCTION("GOOGLETRANSLATE(F49,""en"",""pt"")"),"extração de combustível líquido e tratamento")</f>
        <v>extração de combustível líquido e tratamento</v>
      </c>
      <c r="H49" s="24"/>
      <c r="I49" s="24"/>
      <c r="J49" t="str">
        <f>VLOOKUP(A49,EF_Base_LNEC!$A$4:$E$70,4, FALSE)</f>
        <v>Extração e tratamento de combustível líquido</v>
      </c>
    </row>
    <row r="50" spans="1:10" ht="14.5">
      <c r="A50" s="20" t="s">
        <v>7735</v>
      </c>
      <c r="B50" s="20">
        <v>55</v>
      </c>
      <c r="C50" s="20">
        <v>15</v>
      </c>
      <c r="D50" s="24"/>
      <c r="E50" s="24"/>
      <c r="F50" s="20" t="s">
        <v>7736</v>
      </c>
      <c r="G50" s="24" t="str">
        <f ca="1">IFERROR(__xludf.DUMMYFUNCTION("GOOGLETRANSLATE(F50,""en"",""pt"")"),"extracção e tratamento de águas")</f>
        <v>extracção e tratamento de águas</v>
      </c>
      <c r="H50" s="24"/>
      <c r="I50" s="24"/>
      <c r="J50" t="str">
        <f>VLOOKUP(A50,EF_Base_LNEC!$A$4:$E$70,4, FALSE)</f>
        <v>Captação e tratamento de água</v>
      </c>
    </row>
    <row r="51" spans="1:10" ht="14.5">
      <c r="A51" s="20" t="s">
        <v>7737</v>
      </c>
      <c r="B51" s="20">
        <v>55</v>
      </c>
      <c r="C51" s="20">
        <v>20</v>
      </c>
      <c r="D51" s="24"/>
      <c r="E51" s="24"/>
      <c r="F51" s="20" t="s">
        <v>7738</v>
      </c>
      <c r="G51" s="24" t="str">
        <f ca="1">IFERROR(__xludf.DUMMYFUNCTION("GOOGLETRANSLATE(F51,""en"",""pt"")"),"Suprimento de gás")</f>
        <v>Suprimento de gás</v>
      </c>
      <c r="H51" s="24"/>
      <c r="I51" s="24"/>
      <c r="J51" t="str">
        <f>VLOOKUP(A51,EF_Base_LNEC!$A$4:$E$70,4, FALSE)</f>
        <v>Abastecimento / distribuição de gás</v>
      </c>
    </row>
    <row r="52" spans="1:10" ht="14.5">
      <c r="A52" s="20" t="s">
        <v>7739</v>
      </c>
      <c r="B52" s="20">
        <v>55</v>
      </c>
      <c r="C52" s="20">
        <v>30</v>
      </c>
      <c r="D52" s="24"/>
      <c r="E52" s="24"/>
      <c r="F52" s="20" t="s">
        <v>7740</v>
      </c>
      <c r="G52" s="24" t="str">
        <f ca="1">IFERROR(__xludf.DUMMYFUNCTION("GOOGLETRANSLATE(F52,""en"",""pt"")"),"Incêndio abastecimento de extinção")</f>
        <v>Incêndio abastecimento de extinção</v>
      </c>
      <c r="H52" s="24"/>
      <c r="I52" s="24"/>
      <c r="J52" t="str">
        <f>VLOOKUP(A52,EF_Base_LNEC!$A$4:$E$70,4, FALSE)</f>
        <v>Abastecimento / distribuição de agentes de extinção de incêndio</v>
      </c>
    </row>
    <row r="53" spans="1:10" ht="14.5">
      <c r="A53" s="20" t="s">
        <v>7741</v>
      </c>
      <c r="B53" s="20">
        <v>55</v>
      </c>
      <c r="C53" s="20">
        <v>40</v>
      </c>
      <c r="D53" s="24"/>
      <c r="E53" s="24"/>
      <c r="F53" s="20" t="s">
        <v>7742</v>
      </c>
      <c r="G53" s="24" t="str">
        <f ca="1">IFERROR(__xludf.DUMMYFUNCTION("GOOGLETRANSLATE(F53,""en"",""pt"")"),"fornecimento de vapor")</f>
        <v>fornecimento de vapor</v>
      </c>
      <c r="H53" s="24"/>
      <c r="I53" s="24"/>
      <c r="J53" t="str">
        <f>VLOOKUP(A53,EF_Base_LNEC!$A$4:$E$70,4, FALSE)</f>
        <v>Abastecimento / distribuição de vapor de água</v>
      </c>
    </row>
    <row r="54" spans="1:10" ht="14.5">
      <c r="A54" s="20" t="s">
        <v>7743</v>
      </c>
      <c r="B54" s="20">
        <v>55</v>
      </c>
      <c r="C54" s="20">
        <v>50</v>
      </c>
      <c r="D54" s="24"/>
      <c r="E54" s="24"/>
      <c r="F54" s="20" t="s">
        <v>7744</v>
      </c>
      <c r="G54" s="24" t="str">
        <f ca="1">IFERROR(__xludf.DUMMYFUNCTION("GOOGLETRANSLATE(F54,""en"",""pt"")"),"fornecimento de combustível líquido")</f>
        <v>fornecimento de combustível líquido</v>
      </c>
      <c r="H54" s="24"/>
      <c r="I54" s="24"/>
      <c r="J54" t="str">
        <f>VLOOKUP(A54,EF_Base_LNEC!$A$4:$E$70,4, FALSE)</f>
        <v>Abastecimento / distribuição de combustível líquido</v>
      </c>
    </row>
    <row r="55" spans="1:10" ht="14.5">
      <c r="A55" s="20" t="s">
        <v>7745</v>
      </c>
      <c r="B55" s="20">
        <v>55</v>
      </c>
      <c r="C55" s="20">
        <v>60</v>
      </c>
      <c r="D55" s="24"/>
      <c r="E55" s="24"/>
      <c r="F55" s="20" t="s">
        <v>7746</v>
      </c>
      <c r="G55" s="24" t="str">
        <f ca="1">IFERROR(__xludf.DUMMYFUNCTION("GOOGLETRANSLATE(F55,""en"",""pt"")"),"Processo de fornecimento de líquido")</f>
        <v>Processo de fornecimento de líquido</v>
      </c>
      <c r="H55" s="24"/>
      <c r="I55" s="24"/>
      <c r="J55" t="str">
        <f>VLOOKUP(A55,EF_Base_LNEC!$A$4:$E$70,4, FALSE)</f>
        <v>Abastecimento / distribuição de fluidos de processo</v>
      </c>
    </row>
    <row r="56" spans="1:10" ht="14.5">
      <c r="A56" s="20" t="s">
        <v>7747</v>
      </c>
      <c r="B56" s="20">
        <v>55</v>
      </c>
      <c r="C56" s="20">
        <v>70</v>
      </c>
      <c r="D56" s="24"/>
      <c r="E56" s="24"/>
      <c r="F56" s="20" t="s">
        <v>7748</v>
      </c>
      <c r="G56" s="24" t="str">
        <f ca="1">IFERROR(__xludf.DUMMYFUNCTION("GOOGLETRANSLATE(F56,""en"",""pt"")"),"Abastecimento de água")</f>
        <v>Abastecimento de água</v>
      </c>
      <c r="H56" s="24"/>
      <c r="I56" s="24"/>
      <c r="J56" t="str">
        <f>VLOOKUP(A56,EF_Base_LNEC!$A$4:$E$70,4, FALSE)</f>
        <v>Abastecimento / distribuição de água</v>
      </c>
    </row>
    <row r="57" spans="1:10" ht="14.5">
      <c r="A57" s="20" t="s">
        <v>7749</v>
      </c>
      <c r="B57" s="20">
        <v>55</v>
      </c>
      <c r="C57" s="20">
        <v>90</v>
      </c>
      <c r="D57" s="24"/>
      <c r="E57" s="24"/>
      <c r="F57" s="20" t="s">
        <v>7750</v>
      </c>
      <c r="G57" s="24" t="str">
        <f ca="1">IFERROR(__xludf.DUMMYFUNCTION("GOOGLETRANSLATE(F57,""en"",""pt"")"),"fornecimento suplementar de sólidos")</f>
        <v>fornecimento suplementar de sólidos</v>
      </c>
      <c r="H57" s="24"/>
      <c r="I57" s="24"/>
      <c r="J57" t="str">
        <f>VLOOKUP(A57,EF_Base_LNEC!$A$4:$E$70,4, FALSE)</f>
        <v>Abstecimento / distribuição de sólidos em tubagem</v>
      </c>
    </row>
    <row r="58" spans="1:10" ht="14.5">
      <c r="A58" s="20" t="s">
        <v>7751</v>
      </c>
      <c r="B58" s="20">
        <v>60</v>
      </c>
      <c r="C58" s="24"/>
      <c r="D58" s="24"/>
      <c r="E58" s="24"/>
      <c r="F58" s="20" t="s">
        <v>7752</v>
      </c>
      <c r="G58" s="24" t="str">
        <f ca="1">IFERROR(__xludf.DUMMYFUNCTION("GOOGLETRANSLATE(F58,""en"",""pt"")"),"Aquecimento, arrefecimento e funções de refrigeração")</f>
        <v>Aquecimento, arrefecimento e funções de refrigeração</v>
      </c>
      <c r="H58" s="24"/>
      <c r="I58" s="24"/>
      <c r="J58" t="str">
        <f>VLOOKUP(A58,EF_Base_LNEC!$A$4:$E$70,4, FALSE)</f>
        <v>Aquecimento, arrefecimento e refrigeração</v>
      </c>
    </row>
    <row r="59" spans="1:10" ht="14.5">
      <c r="A59" s="20" t="s">
        <v>7753</v>
      </c>
      <c r="B59" s="20">
        <v>60</v>
      </c>
      <c r="C59" s="20">
        <v>30</v>
      </c>
      <c r="D59" s="24"/>
      <c r="E59" s="24"/>
      <c r="F59" s="20" t="s">
        <v>7754</v>
      </c>
      <c r="G59" s="24" t="str">
        <f ca="1">IFERROR(__xludf.DUMMYFUNCTION("GOOGLETRANSLATE(F59,""en"",""pt"")"),"Rail e aquecimento pavimentação")</f>
        <v>Rail e aquecimento pavimentação</v>
      </c>
      <c r="H59" s="24"/>
      <c r="I59" s="24"/>
      <c r="J59" t="str">
        <f>VLOOKUP(A59,EF_Base_LNEC!$A$4:$E$70,4, FALSE)</f>
        <v>Pavimentos radiantes</v>
      </c>
    </row>
    <row r="60" spans="1:10" ht="14.5">
      <c r="A60" s="20" t="s">
        <v>7755</v>
      </c>
      <c r="B60" s="20">
        <v>60</v>
      </c>
      <c r="C60" s="20">
        <v>40</v>
      </c>
      <c r="D60" s="24"/>
      <c r="E60" s="24"/>
      <c r="F60" s="20" t="s">
        <v>7756</v>
      </c>
      <c r="G60" s="24" t="str">
        <f ca="1">IFERROR(__xludf.DUMMYFUNCTION("GOOGLETRANSLATE(F60,""en"",""pt"")"),"aquecimento e arrefecimento do espaço")</f>
        <v>aquecimento e arrefecimento do espaço</v>
      </c>
      <c r="H60" s="24"/>
      <c r="I60" s="24"/>
      <c r="J60" t="str">
        <f>VLOOKUP(A60,EF_Base_LNEC!$A$4:$E$70,4, FALSE)</f>
        <v>Aquecimento e arrefecimento de espaços</v>
      </c>
    </row>
    <row r="61" spans="1:10" ht="14.5">
      <c r="A61" s="20" t="s">
        <v>7757</v>
      </c>
      <c r="B61" s="20">
        <v>60</v>
      </c>
      <c r="C61" s="20">
        <v>60</v>
      </c>
      <c r="D61" s="24"/>
      <c r="E61" s="24"/>
      <c r="F61" s="20" t="s">
        <v>7758</v>
      </c>
      <c r="G61" s="24" t="str">
        <f ca="1">IFERROR(__xludf.DUMMYFUNCTION("GOOGLETRANSLATE(F61,""en"",""pt"")"),"Refrigeração")</f>
        <v>Refrigeração</v>
      </c>
      <c r="H61" s="24"/>
      <c r="I61" s="24"/>
      <c r="J61" t="str">
        <f>VLOOKUP(A61,EF_Base_LNEC!$A$4:$E$70,4, FALSE)</f>
        <v>Refrigeração</v>
      </c>
    </row>
    <row r="62" spans="1:10" ht="14.5">
      <c r="A62" s="20" t="s">
        <v>7759</v>
      </c>
      <c r="B62" s="20">
        <v>60</v>
      </c>
      <c r="C62" s="20">
        <v>80</v>
      </c>
      <c r="D62" s="24"/>
      <c r="E62" s="24"/>
      <c r="F62" s="20" t="s">
        <v>7760</v>
      </c>
      <c r="G62" s="24" t="str">
        <f ca="1">IFERROR(__xludf.DUMMYFUNCTION("GOOGLETRANSLATE(F62,""en"",""pt"")"),"Secagem")</f>
        <v>Secagem</v>
      </c>
      <c r="H62" s="24"/>
      <c r="I62" s="24"/>
      <c r="J62" t="str">
        <f>VLOOKUP(A62,EF_Base_LNEC!$A$4:$E$70,4, FALSE)</f>
        <v>Secagem</v>
      </c>
    </row>
    <row r="63" spans="1:10" ht="14.5">
      <c r="A63" s="20" t="s">
        <v>7761</v>
      </c>
      <c r="B63" s="20">
        <v>65</v>
      </c>
      <c r="C63" s="24"/>
      <c r="D63" s="24"/>
      <c r="E63" s="24"/>
      <c r="F63" s="20" t="s">
        <v>7762</v>
      </c>
      <c r="G63" s="24" t="str">
        <f ca="1">IFERROR(__xludf.DUMMYFUNCTION("GOOGLETRANSLATE(F63,""en"",""pt"")"),"funções de ventilação e de ar condicionado")</f>
        <v>funções de ventilação e de ar condicionado</v>
      </c>
      <c r="H63" s="24"/>
      <c r="I63" s="24"/>
      <c r="J63" t="str">
        <f>VLOOKUP(A63,EF_Base_LNEC!$A$4:$E$70,4, FALSE)</f>
        <v>Ventilação e ar condicionado</v>
      </c>
    </row>
    <row r="64" spans="1:10" ht="14.5">
      <c r="A64" s="20" t="s">
        <v>7763</v>
      </c>
      <c r="B64" s="20">
        <v>65</v>
      </c>
      <c r="C64" s="20">
        <v>40</v>
      </c>
      <c r="D64" s="24"/>
      <c r="E64" s="24"/>
      <c r="F64" s="20" t="s">
        <v>7764</v>
      </c>
      <c r="G64" s="24" t="str">
        <f ca="1">IFERROR(__xludf.DUMMYFUNCTION("GOOGLETRANSLATE(F64,""en"",""pt"")"),"Ventilação")</f>
        <v>Ventilação</v>
      </c>
      <c r="H64" s="24"/>
      <c r="I64" s="24"/>
      <c r="J64" t="str">
        <f>VLOOKUP(A64,EF_Base_LNEC!$A$4:$E$70,4, FALSE)</f>
        <v>Ventilação</v>
      </c>
    </row>
    <row r="65" spans="1:10" ht="14.5">
      <c r="A65" s="20" t="s">
        <v>7765</v>
      </c>
      <c r="B65" s="20">
        <v>65</v>
      </c>
      <c r="C65" s="20">
        <v>80</v>
      </c>
      <c r="D65" s="24"/>
      <c r="E65" s="24"/>
      <c r="F65" s="20" t="s">
        <v>7766</v>
      </c>
      <c r="G65" s="24" t="str">
        <f ca="1">IFERROR(__xludf.DUMMYFUNCTION("GOOGLETRANSLATE(F65,""en"",""pt"")"),"Ar condicionado")</f>
        <v>Ar condicionado</v>
      </c>
      <c r="H65" s="24"/>
      <c r="I65" s="24"/>
      <c r="J65" t="str">
        <f>VLOOKUP(A65,EF_Base_LNEC!$A$4:$E$70,4, FALSE)</f>
        <v>Ar condicionado</v>
      </c>
    </row>
    <row r="66" spans="1:10" ht="14.5">
      <c r="A66" s="20" t="s">
        <v>7767</v>
      </c>
      <c r="B66" s="20">
        <v>70</v>
      </c>
      <c r="C66" s="24"/>
      <c r="D66" s="24"/>
      <c r="E66" s="24"/>
      <c r="F66" s="20" t="s">
        <v>7768</v>
      </c>
      <c r="G66" s="24" t="str">
        <f ca="1">IFERROR(__xludf.DUMMYFUNCTION("GOOGLETRANSLATE(F66,""en"",""pt"")"),"energia elétrica e funções de iluminação")</f>
        <v>energia elétrica e funções de iluminação</v>
      </c>
      <c r="H66" s="24"/>
      <c r="I66" s="24"/>
      <c r="J66" t="str">
        <f>VLOOKUP(A66,EF_Base_LNEC!$A$4:$E$70,4, FALSE)</f>
        <v>Energia elétrica e iluminação</v>
      </c>
    </row>
    <row r="67" spans="1:10" ht="14.5">
      <c r="A67" s="20" t="s">
        <v>7769</v>
      </c>
      <c r="B67" s="20">
        <v>70</v>
      </c>
      <c r="C67" s="20">
        <v>10</v>
      </c>
      <c r="D67" s="24"/>
      <c r="E67" s="24"/>
      <c r="F67" s="20" t="s">
        <v>7770</v>
      </c>
      <c r="G67" s="24" t="str">
        <f ca="1">IFERROR(__xludf.DUMMYFUNCTION("GOOGLETRANSLATE(F67,""en"",""pt"")"),"geração de energia elétrica")</f>
        <v>geração de energia elétrica</v>
      </c>
      <c r="H67" s="24"/>
      <c r="I67" s="24"/>
      <c r="J67" t="str">
        <f>VLOOKUP(A67,EF_Base_LNEC!$A$4:$E$70,4, FALSE)</f>
        <v>Produção de energia elétrica</v>
      </c>
    </row>
    <row r="68" spans="1:10" ht="14.5">
      <c r="A68" s="20" t="s">
        <v>7771</v>
      </c>
      <c r="B68" s="20">
        <v>70</v>
      </c>
      <c r="C68" s="20">
        <v>30</v>
      </c>
      <c r="D68" s="24"/>
      <c r="E68" s="24"/>
      <c r="F68" s="20" t="s">
        <v>7772</v>
      </c>
      <c r="G68" s="24" t="str">
        <f ca="1">IFERROR(__xludf.DUMMYFUNCTION("GOOGLETRANSLATE(F68,""en"",""pt"")"),"distribuição e transmissão de energia elétrica")</f>
        <v>distribuição e transmissão de energia elétrica</v>
      </c>
      <c r="H68" s="24"/>
      <c r="I68" s="24"/>
      <c r="J68" t="str">
        <f>VLOOKUP(A68,EF_Base_LNEC!$A$4:$E$70,4, FALSE)</f>
        <v>Distribuição e transmissão de energia elétrica</v>
      </c>
    </row>
    <row r="69" spans="1:10" ht="14.5">
      <c r="A69" s="20" t="s">
        <v>7773</v>
      </c>
      <c r="B69" s="20">
        <v>70</v>
      </c>
      <c r="C69" s="20">
        <v>80</v>
      </c>
      <c r="D69" s="24"/>
      <c r="E69" s="24"/>
      <c r="F69" s="20" t="s">
        <v>7774</v>
      </c>
      <c r="G69" s="24" t="str">
        <f ca="1">IFERROR(__xludf.DUMMYFUNCTION("GOOGLETRANSLATE(F69,""en"",""pt"")"),"Iluminação")</f>
        <v>Iluminação</v>
      </c>
      <c r="H69" s="24"/>
      <c r="I69" s="24"/>
      <c r="J69" t="str">
        <f>VLOOKUP(A69,EF_Base_LNEC!$A$4:$E$70,4, FALSE)</f>
        <v>Iluminação</v>
      </c>
    </row>
    <row r="70" spans="1:10" ht="14.5">
      <c r="A70" s="20" t="s">
        <v>7775</v>
      </c>
      <c r="B70" s="20">
        <v>75</v>
      </c>
      <c r="C70" s="24"/>
      <c r="D70" s="24"/>
      <c r="E70" s="24"/>
      <c r="F70" s="20" t="s">
        <v>7776</v>
      </c>
      <c r="G70" s="24" t="str">
        <f ca="1">IFERROR(__xludf.DUMMYFUNCTION("GOOGLETRANSLATE(F70,""en"",""pt"")"),"Comunicações, funções de segurança, de segurança e protecção")</f>
        <v>Comunicações, funções de segurança, de segurança e protecção</v>
      </c>
      <c r="H70" s="24"/>
      <c r="I70" s="24"/>
      <c r="J70" t="str">
        <f>VLOOKUP(A70,EF_Base_LNEC!$A$4:$E$70,4, FALSE)</f>
        <v>Comunicações, segurança e proteção</v>
      </c>
    </row>
    <row r="71" spans="1:10" ht="14.5">
      <c r="A71" s="20" t="s">
        <v>7777</v>
      </c>
      <c r="B71" s="20">
        <v>75</v>
      </c>
      <c r="C71" s="20">
        <v>10</v>
      </c>
      <c r="D71" s="24"/>
      <c r="E71" s="24"/>
      <c r="F71" s="20" t="s">
        <v>7778</v>
      </c>
      <c r="G71" s="24" t="str">
        <f ca="1">IFERROR(__xludf.DUMMYFUNCTION("GOOGLETRANSLATE(F71,""en"",""pt"")"),"Comunicação")</f>
        <v>Comunicação</v>
      </c>
      <c r="H71" s="24"/>
      <c r="I71" s="24"/>
      <c r="J71" t="str">
        <f>VLOOKUP(A71,EF_Base_LNEC!$A$4:$E$70,4, FALSE)</f>
        <v>Comunicações</v>
      </c>
    </row>
    <row r="72" spans="1:10" ht="14.5">
      <c r="A72" s="20" t="s">
        <v>7779</v>
      </c>
      <c r="B72" s="20">
        <v>75</v>
      </c>
      <c r="C72" s="20">
        <v>30</v>
      </c>
      <c r="D72" s="24"/>
      <c r="E72" s="24"/>
      <c r="F72" s="20" t="s">
        <v>7780</v>
      </c>
      <c r="G72" s="24" t="str">
        <f ca="1">IFERROR(__xludf.DUMMYFUNCTION("GOOGLETRANSLATE(F72,""en"",""pt"")"),"Sinalização")</f>
        <v>Sinalização</v>
      </c>
      <c r="H72" s="24"/>
      <c r="I72" s="24"/>
      <c r="J72" t="str">
        <f>VLOOKUP(A72,EF_Base_LNEC!$A$4:$E$70,4, FALSE)</f>
        <v>Sinalização</v>
      </c>
    </row>
    <row r="73" spans="1:10" ht="14.5">
      <c r="A73" s="20" t="s">
        <v>7781</v>
      </c>
      <c r="B73" s="20">
        <v>75</v>
      </c>
      <c r="C73" s="20">
        <v>40</v>
      </c>
      <c r="D73" s="24"/>
      <c r="E73" s="24"/>
      <c r="F73" s="20" t="s">
        <v>7782</v>
      </c>
      <c r="G73" s="24" t="str">
        <f ca="1">IFERROR(__xludf.DUMMYFUNCTION("GOOGLETRANSLATE(F73,""en"",""pt"")"),"Segurança")</f>
        <v>Segurança</v>
      </c>
      <c r="H73" s="24"/>
      <c r="I73" s="24"/>
      <c r="J73" t="str">
        <f>VLOOKUP(A73,EF_Base_LNEC!$A$4:$E$70,4, FALSE)</f>
        <v>Segurança patrimonial</v>
      </c>
    </row>
    <row r="74" spans="1:10" ht="14.5">
      <c r="A74" s="20" t="s">
        <v>7783</v>
      </c>
      <c r="B74" s="20">
        <v>75</v>
      </c>
      <c r="C74" s="20">
        <v>50</v>
      </c>
      <c r="D74" s="24"/>
      <c r="E74" s="24"/>
      <c r="F74" s="20" t="s">
        <v>7784</v>
      </c>
      <c r="G74" s="24" t="str">
        <f ca="1">IFERROR(__xludf.DUMMYFUNCTION("GOOGLETRANSLATE(F74,""en"",""pt"")"),"Segurança e proteção")</f>
        <v>Segurança e proteção</v>
      </c>
      <c r="H74" s="24"/>
      <c r="I74" s="24"/>
      <c r="J74" t="str">
        <f>VLOOKUP(A74,EF_Base_LNEC!$A$4:$E$70,4, FALSE)</f>
        <v>Segurança, higiene e saúde</v>
      </c>
    </row>
    <row r="75" spans="1:10" ht="14.5">
      <c r="A75" s="20" t="s">
        <v>7785</v>
      </c>
      <c r="B75" s="20">
        <v>75</v>
      </c>
      <c r="C75" s="20">
        <v>60</v>
      </c>
      <c r="D75" s="24"/>
      <c r="E75" s="24"/>
      <c r="F75" s="20" t="s">
        <v>7125</v>
      </c>
      <c r="G75" s="24" t="str">
        <f ca="1">IFERROR(__xludf.DUMMYFUNCTION("GOOGLETRANSLATE(F75,""en"",""pt"")"),"Segurança ambiental")</f>
        <v>Segurança ambiental</v>
      </c>
      <c r="H75" s="24"/>
      <c r="I75" s="24"/>
      <c r="J75" t="str">
        <f>VLOOKUP(A75,EF_Base_LNEC!$A$4:$E$70,4, FALSE)</f>
        <v>Segurança ambiental</v>
      </c>
    </row>
    <row r="76" spans="1:10" ht="14.5">
      <c r="A76" s="20" t="s">
        <v>7786</v>
      </c>
      <c r="B76" s="20">
        <v>75</v>
      </c>
      <c r="C76" s="20">
        <v>70</v>
      </c>
      <c r="D76" s="24"/>
      <c r="E76" s="24"/>
      <c r="F76" s="20" t="s">
        <v>7787</v>
      </c>
      <c r="G76" s="24" t="str">
        <f ca="1">IFERROR(__xludf.DUMMYFUNCTION("GOOGLETRANSLATE(F76,""en"",""pt"")"),"Controle e gestão")</f>
        <v>Controle e gestão</v>
      </c>
      <c r="H76" s="24"/>
      <c r="I76" s="24"/>
      <c r="J76" t="str">
        <f>VLOOKUP(A76,EF_Base_LNEC!$A$4:$E$70,4, FALSE)</f>
        <v>Controlo e gestão</v>
      </c>
    </row>
    <row r="77" spans="1:10" ht="14.5">
      <c r="A77" s="20" t="s">
        <v>7788</v>
      </c>
      <c r="B77" s="20">
        <v>75</v>
      </c>
      <c r="C77" s="20">
        <v>80</v>
      </c>
      <c r="D77" s="24"/>
      <c r="E77" s="24"/>
      <c r="F77" s="20" t="s">
        <v>7789</v>
      </c>
      <c r="G77" s="24" t="str">
        <f ca="1">IFERROR(__xludf.DUMMYFUNCTION("GOOGLETRANSLATE(F77,""en"",""pt"")"),"Proteção")</f>
        <v>Proteção</v>
      </c>
      <c r="H77" s="24"/>
      <c r="I77" s="24"/>
      <c r="J77" t="str">
        <f>VLOOKUP(A77,EF_Base_LNEC!$A$4:$E$70,4, FALSE)</f>
        <v>Proteção</v>
      </c>
    </row>
    <row r="78" spans="1:10" ht="14.5">
      <c r="A78" s="20" t="s">
        <v>7790</v>
      </c>
      <c r="B78" s="20">
        <v>80</v>
      </c>
      <c r="C78" s="24"/>
      <c r="D78" s="24"/>
      <c r="E78" s="24"/>
      <c r="F78" s="20" t="s">
        <v>7791</v>
      </c>
      <c r="G78" s="24" t="str">
        <f ca="1">IFERROR(__xludf.DUMMYFUNCTION("GOOGLETRANSLATE(F78,""en"",""pt"")"),"funções de transporte")</f>
        <v>funções de transporte</v>
      </c>
      <c r="H78" s="24"/>
      <c r="I78" s="24"/>
      <c r="J78" t="e">
        <f>VLOOKUP(A78,EF_Base_LNEC!$A$4:$E$70,4, FALSE)</f>
        <v>#N/A</v>
      </c>
    </row>
    <row r="79" spans="1:10" ht="14.5">
      <c r="A79" s="20" t="s">
        <v>7792</v>
      </c>
      <c r="B79" s="20">
        <v>80</v>
      </c>
      <c r="C79" s="20">
        <v>10</v>
      </c>
      <c r="D79" s="24"/>
      <c r="E79" s="24"/>
      <c r="F79" s="20" t="s">
        <v>7793</v>
      </c>
      <c r="G79" s="24" t="str">
        <f ca="1">IFERROR(__xludf.DUMMYFUNCTION("GOOGLETRANSLATE(F79,""en"",""pt"")"),"transporte por cabo")</f>
        <v>transporte por cabo</v>
      </c>
      <c r="H79" s="24"/>
      <c r="I79" s="24"/>
      <c r="J79" t="e">
        <f>VLOOKUP(A79,EF_Base_LNEC!$A$4:$E$70,4, FALSE)</f>
        <v>#N/A</v>
      </c>
    </row>
    <row r="80" spans="1:10" ht="14.5">
      <c r="A80" s="20" t="s">
        <v>7794</v>
      </c>
      <c r="B80" s="20">
        <v>80</v>
      </c>
      <c r="C80" s="20">
        <v>20</v>
      </c>
      <c r="D80" s="24"/>
      <c r="E80" s="24"/>
      <c r="F80" s="20" t="s">
        <v>2307</v>
      </c>
      <c r="G80" s="24" t="str">
        <f ca="1">IFERROR(__xludf.DUMMYFUNCTION("GOOGLETRANSLATE(F80,""en"",""pt"")"),"transportadores")</f>
        <v>transportadores</v>
      </c>
      <c r="H80" s="24"/>
      <c r="I80" s="24"/>
      <c r="J80" t="e">
        <f>VLOOKUP(A80,EF_Base_LNEC!$A$4:$E$70,4, FALSE)</f>
        <v>#N/A</v>
      </c>
    </row>
    <row r="81" spans="1:10" ht="14.5">
      <c r="A81" s="20" t="s">
        <v>7795</v>
      </c>
      <c r="B81" s="20">
        <v>80</v>
      </c>
      <c r="C81" s="20">
        <v>30</v>
      </c>
      <c r="D81" s="24"/>
      <c r="E81" s="24"/>
      <c r="F81" s="20" t="s">
        <v>7796</v>
      </c>
      <c r="G81" s="24" t="str">
        <f ca="1">IFERROR(__xludf.DUMMYFUNCTION("GOOGLETRANSLATE(F81,""en"",""pt"")"),"Gruas e guindastes")</f>
        <v>Gruas e guindastes</v>
      </c>
      <c r="H81" s="24"/>
      <c r="I81" s="24"/>
      <c r="J81" t="e">
        <f>VLOOKUP(A81,EF_Base_LNEC!$A$4:$E$70,4, FALSE)</f>
        <v>#N/A</v>
      </c>
    </row>
    <row r="82" spans="1:10" ht="14.5">
      <c r="A82" s="20" t="s">
        <v>7797</v>
      </c>
      <c r="B82" s="20">
        <v>80</v>
      </c>
      <c r="C82" s="20">
        <v>50</v>
      </c>
      <c r="D82" s="24"/>
      <c r="E82" s="24"/>
      <c r="F82" s="20" t="s">
        <v>7422</v>
      </c>
      <c r="G82" s="24" t="str">
        <f ca="1">IFERROR(__xludf.DUMMYFUNCTION("GOOGLETRANSLATE(F82,""en"",""pt"")"),"elevadores")</f>
        <v>elevadores</v>
      </c>
      <c r="H82" s="24"/>
      <c r="I82" s="24"/>
      <c r="J82" t="e">
        <f>VLOOKUP(A82,EF_Base_LNEC!$A$4:$E$70,4, FALSE)</f>
        <v>#N/A</v>
      </c>
    </row>
    <row r="83" spans="1:10" ht="14.5">
      <c r="A83" s="20" t="s">
        <v>7798</v>
      </c>
      <c r="B83" s="20">
        <v>80</v>
      </c>
      <c r="C83" s="20">
        <v>70</v>
      </c>
      <c r="D83" s="24"/>
      <c r="E83" s="24"/>
      <c r="F83" s="20" t="s">
        <v>7799</v>
      </c>
      <c r="G83" s="24" t="str">
        <f ca="1">IFERROR(__xludf.DUMMYFUNCTION("GOOGLETRANSLATE(F83,""en"",""pt"")"),"Trilhos ferroviários")</f>
        <v>Trilhos ferroviários</v>
      </c>
      <c r="H83" s="24"/>
      <c r="I83" s="24"/>
      <c r="J83" t="e">
        <f>VLOOKUP(A83,EF_Base_LNEC!$A$4:$E$70,4, FALSE)</f>
        <v>#N/A</v>
      </c>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I70"/>
  <sheetViews>
    <sheetView workbookViewId="0">
      <pane ySplit="3" topLeftCell="A97" activePane="bottomLeft" state="frozen"/>
      <selection pane="bottomLeft" activeCell="F34" sqref="F34"/>
    </sheetView>
  </sheetViews>
  <sheetFormatPr defaultColWidth="14.453125" defaultRowHeight="15.75" customHeight="1"/>
  <cols>
    <col min="4" max="4" width="55.81640625" customWidth="1"/>
    <col min="5" max="5" width="30.453125" customWidth="1"/>
  </cols>
  <sheetData>
    <row r="1" spans="1:9" ht="15.75" customHeight="1">
      <c r="A1" s="207" t="s">
        <v>7800</v>
      </c>
      <c r="B1" s="208"/>
      <c r="C1" s="208"/>
      <c r="D1" s="208"/>
      <c r="E1" s="208"/>
      <c r="F1" s="208"/>
      <c r="G1" s="22"/>
      <c r="H1" s="22"/>
      <c r="I1" s="22"/>
    </row>
    <row r="2" spans="1:9" ht="15.75" customHeight="1">
      <c r="A2" s="24"/>
      <c r="B2" s="24"/>
      <c r="C2" s="24"/>
      <c r="D2" s="109"/>
      <c r="E2" s="24"/>
      <c r="F2" s="24"/>
      <c r="G2" s="24"/>
    </row>
    <row r="3" spans="1:9" ht="15.75" customHeight="1">
      <c r="A3" s="25" t="s">
        <v>61</v>
      </c>
      <c r="B3" s="25" t="s">
        <v>62</v>
      </c>
      <c r="C3" s="25" t="s">
        <v>63</v>
      </c>
      <c r="D3" s="110" t="s">
        <v>1406</v>
      </c>
      <c r="E3" s="25" t="s">
        <v>66</v>
      </c>
      <c r="F3" s="25" t="s">
        <v>78</v>
      </c>
      <c r="G3" s="25" t="s">
        <v>79</v>
      </c>
      <c r="H3" s="3" t="s">
        <v>7801</v>
      </c>
    </row>
    <row r="4" spans="1:9" ht="15.75" customHeight="1">
      <c r="A4" s="111" t="s">
        <v>7651</v>
      </c>
      <c r="B4" s="111">
        <v>20</v>
      </c>
      <c r="C4" s="112"/>
      <c r="D4" s="113" t="s">
        <v>7802</v>
      </c>
      <c r="E4" s="114" t="s">
        <v>7652</v>
      </c>
      <c r="F4" s="24"/>
      <c r="G4" s="24"/>
    </row>
    <row r="5" spans="1:9" ht="15.75" customHeight="1">
      <c r="A5" s="115" t="s">
        <v>7653</v>
      </c>
      <c r="B5" s="115">
        <v>20</v>
      </c>
      <c r="C5" s="115">
        <v>5</v>
      </c>
      <c r="D5" s="116" t="s">
        <v>7803</v>
      </c>
      <c r="E5" s="117" t="s">
        <v>7654</v>
      </c>
      <c r="F5" s="24"/>
      <c r="G5" s="24"/>
    </row>
    <row r="6" spans="1:9" ht="15.75" customHeight="1">
      <c r="A6" s="115" t="s">
        <v>7655</v>
      </c>
      <c r="B6" s="115">
        <v>20</v>
      </c>
      <c r="C6" s="115">
        <v>10</v>
      </c>
      <c r="D6" s="118" t="s">
        <v>7804</v>
      </c>
      <c r="E6" s="117" t="s">
        <v>7805</v>
      </c>
      <c r="F6" s="24"/>
      <c r="G6" s="24"/>
    </row>
    <row r="7" spans="1:9" ht="15.75" customHeight="1">
      <c r="A7" s="115" t="s">
        <v>7806</v>
      </c>
      <c r="B7" s="115">
        <v>20</v>
      </c>
      <c r="C7" s="115">
        <v>20</v>
      </c>
      <c r="D7" s="116" t="s">
        <v>7807</v>
      </c>
      <c r="E7" s="117" t="s">
        <v>7808</v>
      </c>
      <c r="F7" s="24"/>
      <c r="G7" s="24"/>
    </row>
    <row r="8" spans="1:9" ht="15.75" customHeight="1">
      <c r="A8" s="115" t="s">
        <v>7809</v>
      </c>
      <c r="B8" s="115">
        <v>20</v>
      </c>
      <c r="C8" s="115">
        <v>30</v>
      </c>
      <c r="D8" s="116" t="s">
        <v>7810</v>
      </c>
      <c r="E8" s="117" t="s">
        <v>7811</v>
      </c>
      <c r="F8" s="24"/>
      <c r="G8" s="24"/>
    </row>
    <row r="9" spans="1:9" ht="15.75" customHeight="1">
      <c r="A9" s="115" t="s">
        <v>7657</v>
      </c>
      <c r="B9" s="115">
        <v>20</v>
      </c>
      <c r="C9" s="115">
        <v>50</v>
      </c>
      <c r="D9" s="116" t="s">
        <v>7812</v>
      </c>
      <c r="E9" s="117" t="s">
        <v>7658</v>
      </c>
      <c r="F9" s="24"/>
      <c r="G9" s="24"/>
    </row>
    <row r="10" spans="1:9" ht="15.75" customHeight="1">
      <c r="A10" s="119" t="s">
        <v>7659</v>
      </c>
      <c r="B10" s="119">
        <v>25</v>
      </c>
      <c r="C10" s="120"/>
      <c r="D10" s="121" t="s">
        <v>7813</v>
      </c>
      <c r="E10" s="117" t="s">
        <v>7660</v>
      </c>
      <c r="F10" s="24"/>
      <c r="G10" s="24"/>
    </row>
    <row r="11" spans="1:9" ht="15.75" customHeight="1">
      <c r="A11" s="115" t="s">
        <v>7661</v>
      </c>
      <c r="B11" s="115">
        <v>25</v>
      </c>
      <c r="C11" s="115">
        <v>10</v>
      </c>
      <c r="D11" s="116" t="s">
        <v>7814</v>
      </c>
      <c r="E11" s="117" t="s">
        <v>7662</v>
      </c>
      <c r="F11" s="24"/>
      <c r="G11" s="24"/>
    </row>
    <row r="12" spans="1:9" ht="15.75" customHeight="1">
      <c r="A12" s="115" t="s">
        <v>7663</v>
      </c>
      <c r="B12" s="115">
        <v>25</v>
      </c>
      <c r="C12" s="115">
        <v>30</v>
      </c>
      <c r="D12" s="116" t="s">
        <v>7815</v>
      </c>
      <c r="E12" s="117" t="s">
        <v>7664</v>
      </c>
      <c r="F12" s="24"/>
      <c r="G12" s="24"/>
    </row>
    <row r="13" spans="1:9" ht="15.75" customHeight="1">
      <c r="A13" s="115" t="s">
        <v>7665</v>
      </c>
      <c r="B13" s="115">
        <v>25</v>
      </c>
      <c r="C13" s="115">
        <v>55</v>
      </c>
      <c r="D13" s="118" t="s">
        <v>7816</v>
      </c>
      <c r="E13" s="117" t="s">
        <v>7666</v>
      </c>
      <c r="F13" s="24"/>
      <c r="G13" s="24"/>
    </row>
    <row r="14" spans="1:9" ht="15.75" customHeight="1">
      <c r="A14" s="115" t="s">
        <v>7817</v>
      </c>
      <c r="B14" s="115">
        <v>25</v>
      </c>
      <c r="C14" s="122">
        <v>60</v>
      </c>
      <c r="D14" s="118" t="s">
        <v>7818</v>
      </c>
      <c r="E14" s="123"/>
      <c r="F14" s="24"/>
      <c r="G14" s="24"/>
    </row>
    <row r="15" spans="1:9" ht="15.75" customHeight="1">
      <c r="A15" s="119" t="s">
        <v>7667</v>
      </c>
      <c r="B15" s="119">
        <v>30</v>
      </c>
      <c r="C15" s="120"/>
      <c r="D15" s="124" t="s">
        <v>7819</v>
      </c>
      <c r="E15" s="117" t="s">
        <v>7668</v>
      </c>
      <c r="F15" s="24"/>
      <c r="G15" s="24"/>
    </row>
    <row r="16" spans="1:9" ht="15.75" customHeight="1">
      <c r="A16" s="115" t="s">
        <v>7669</v>
      </c>
      <c r="B16" s="115">
        <v>30</v>
      </c>
      <c r="C16" s="115">
        <v>10</v>
      </c>
      <c r="D16" s="116" t="s">
        <v>7820</v>
      </c>
      <c r="E16" s="117" t="s">
        <v>7670</v>
      </c>
      <c r="F16" s="24"/>
      <c r="G16" s="24"/>
    </row>
    <row r="17" spans="1:7" ht="15.75" customHeight="1">
      <c r="A17" s="115" t="s">
        <v>7671</v>
      </c>
      <c r="B17" s="115">
        <v>30</v>
      </c>
      <c r="C17" s="115">
        <v>20</v>
      </c>
      <c r="D17" s="116" t="s">
        <v>7821</v>
      </c>
      <c r="E17" s="117" t="s">
        <v>7672</v>
      </c>
      <c r="F17" s="24"/>
      <c r="G17" s="24"/>
    </row>
    <row r="18" spans="1:7" ht="15.75" customHeight="1">
      <c r="A18" s="115" t="s">
        <v>7673</v>
      </c>
      <c r="B18" s="115">
        <v>30</v>
      </c>
      <c r="C18" s="115">
        <v>60</v>
      </c>
      <c r="D18" s="116" t="s">
        <v>7822</v>
      </c>
      <c r="E18" s="117" t="s">
        <v>7674</v>
      </c>
      <c r="F18" s="24"/>
      <c r="G18" s="24"/>
    </row>
    <row r="19" spans="1:7" ht="15.75" customHeight="1">
      <c r="A19" s="115" t="s">
        <v>7675</v>
      </c>
      <c r="B19" s="115">
        <v>30</v>
      </c>
      <c r="C19" s="115">
        <v>70</v>
      </c>
      <c r="D19" s="116" t="s">
        <v>7823</v>
      </c>
      <c r="E19" s="117" t="s">
        <v>7676</v>
      </c>
      <c r="F19" s="24"/>
      <c r="G19" s="24"/>
    </row>
    <row r="20" spans="1:7" ht="15.75" customHeight="1">
      <c r="A20" s="119" t="s">
        <v>7677</v>
      </c>
      <c r="B20" s="119">
        <v>35</v>
      </c>
      <c r="C20" s="120"/>
      <c r="D20" s="121" t="s">
        <v>7824</v>
      </c>
      <c r="E20" s="117" t="s">
        <v>7678</v>
      </c>
      <c r="F20" s="24"/>
      <c r="G20" s="24"/>
    </row>
    <row r="21" spans="1:7" ht="15.75" customHeight="1">
      <c r="A21" s="115" t="s">
        <v>7679</v>
      </c>
      <c r="B21" s="115">
        <v>35</v>
      </c>
      <c r="C21" s="115">
        <v>10</v>
      </c>
      <c r="D21" s="116" t="s">
        <v>7825</v>
      </c>
      <c r="E21" s="117" t="s">
        <v>7680</v>
      </c>
      <c r="F21" s="24"/>
      <c r="G21" s="24"/>
    </row>
    <row r="22" spans="1:7" ht="15.75" customHeight="1">
      <c r="A22" s="115" t="s">
        <v>7681</v>
      </c>
      <c r="B22" s="115">
        <v>35</v>
      </c>
      <c r="C22" s="115">
        <v>20</v>
      </c>
      <c r="D22" s="116" t="s">
        <v>7826</v>
      </c>
      <c r="E22" s="117" t="s">
        <v>7682</v>
      </c>
      <c r="F22" s="24"/>
      <c r="G22" s="24"/>
    </row>
    <row r="23" spans="1:7" ht="15.75" customHeight="1">
      <c r="A23" s="119" t="s">
        <v>7683</v>
      </c>
      <c r="B23" s="119">
        <v>37</v>
      </c>
      <c r="C23" s="120"/>
      <c r="D23" s="121" t="s">
        <v>7827</v>
      </c>
      <c r="E23" s="117" t="s">
        <v>7828</v>
      </c>
      <c r="F23" s="24"/>
      <c r="G23" s="24"/>
    </row>
    <row r="24" spans="1:7" ht="15.75" customHeight="1">
      <c r="A24" s="115" t="s">
        <v>7689</v>
      </c>
      <c r="B24" s="115">
        <v>37</v>
      </c>
      <c r="C24" s="115">
        <v>50</v>
      </c>
      <c r="D24" s="116" t="s">
        <v>7829</v>
      </c>
      <c r="E24" s="117" t="s">
        <v>7830</v>
      </c>
      <c r="F24" s="24"/>
      <c r="G24" s="24"/>
    </row>
    <row r="25" spans="1:7" ht="15.75" customHeight="1">
      <c r="A25" s="115" t="s">
        <v>7689</v>
      </c>
      <c r="B25" s="115">
        <v>37</v>
      </c>
      <c r="C25" s="122">
        <v>60</v>
      </c>
      <c r="D25" s="116" t="s">
        <v>7831</v>
      </c>
      <c r="E25" s="117" t="s">
        <v>7830</v>
      </c>
      <c r="F25" s="24"/>
      <c r="G25" s="24"/>
    </row>
    <row r="26" spans="1:7" ht="15.75" customHeight="1">
      <c r="A26" s="119" t="s">
        <v>7700</v>
      </c>
      <c r="B26" s="119">
        <v>45</v>
      </c>
      <c r="C26" s="120"/>
      <c r="D26" s="121" t="s">
        <v>7832</v>
      </c>
      <c r="E26" s="117" t="s">
        <v>7701</v>
      </c>
      <c r="F26" s="24"/>
      <c r="G26" s="24"/>
    </row>
    <row r="27" spans="1:7" ht="15.75" customHeight="1">
      <c r="A27" s="115" t="s">
        <v>7702</v>
      </c>
      <c r="B27" s="115">
        <v>45</v>
      </c>
      <c r="C27" s="115">
        <v>10</v>
      </c>
      <c r="D27" s="116" t="s">
        <v>7833</v>
      </c>
      <c r="E27" s="117" t="s">
        <v>7703</v>
      </c>
      <c r="F27" s="24"/>
      <c r="G27" s="24"/>
    </row>
    <row r="28" spans="1:7" ht="15.75" customHeight="1">
      <c r="A28" s="115" t="s">
        <v>7704</v>
      </c>
      <c r="B28" s="115">
        <v>45</v>
      </c>
      <c r="C28" s="115">
        <v>20</v>
      </c>
      <c r="D28" s="116" t="s">
        <v>7834</v>
      </c>
      <c r="E28" s="117" t="s">
        <v>7705</v>
      </c>
      <c r="F28" s="24"/>
      <c r="G28" s="24"/>
    </row>
    <row r="29" spans="1:7" ht="15.75" customHeight="1">
      <c r="A29" s="115" t="s">
        <v>7706</v>
      </c>
      <c r="B29" s="115">
        <v>45</v>
      </c>
      <c r="C29" s="115">
        <v>30</v>
      </c>
      <c r="D29" s="116" t="s">
        <v>7835</v>
      </c>
      <c r="E29" s="117" t="s">
        <v>7707</v>
      </c>
      <c r="F29" s="24"/>
      <c r="G29" s="24"/>
    </row>
    <row r="30" spans="1:7" ht="15.75" customHeight="1">
      <c r="A30" s="119" t="s">
        <v>7710</v>
      </c>
      <c r="B30" s="119">
        <v>50</v>
      </c>
      <c r="C30" s="120"/>
      <c r="D30" s="121" t="s">
        <v>7836</v>
      </c>
      <c r="E30" s="117" t="s">
        <v>7711</v>
      </c>
      <c r="F30" s="24"/>
      <c r="G30" s="24"/>
    </row>
    <row r="31" spans="1:7" ht="15.75" customHeight="1">
      <c r="A31" s="115" t="s">
        <v>7712</v>
      </c>
      <c r="B31" s="115">
        <v>50</v>
      </c>
      <c r="C31" s="115">
        <v>10</v>
      </c>
      <c r="D31" s="116" t="s">
        <v>7837</v>
      </c>
      <c r="E31" s="117" t="s">
        <v>7713</v>
      </c>
      <c r="F31" s="24"/>
      <c r="G31" s="24"/>
    </row>
    <row r="32" spans="1:7" ht="15.75" customHeight="1">
      <c r="A32" s="115" t="s">
        <v>7714</v>
      </c>
      <c r="B32" s="115">
        <v>50</v>
      </c>
      <c r="C32" s="115">
        <v>20</v>
      </c>
      <c r="D32" s="116" t="s">
        <v>7838</v>
      </c>
      <c r="E32" s="117" t="s">
        <v>7715</v>
      </c>
      <c r="F32" s="24"/>
      <c r="G32" s="24"/>
    </row>
    <row r="33" spans="1:7" ht="15.75" customHeight="1">
      <c r="A33" s="115" t="s">
        <v>7716</v>
      </c>
      <c r="B33" s="115">
        <v>50</v>
      </c>
      <c r="C33" s="115">
        <v>30</v>
      </c>
      <c r="D33" s="116" t="s">
        <v>7839</v>
      </c>
      <c r="E33" s="117" t="s">
        <v>7717</v>
      </c>
      <c r="F33" s="24"/>
      <c r="G33" s="24"/>
    </row>
    <row r="34" spans="1:7" ht="15.75" customHeight="1">
      <c r="A34" s="115" t="s">
        <v>7718</v>
      </c>
      <c r="B34" s="115">
        <v>50</v>
      </c>
      <c r="C34" s="115">
        <v>40</v>
      </c>
      <c r="D34" s="116" t="s">
        <v>7840</v>
      </c>
      <c r="E34" s="117" t="s">
        <v>7719</v>
      </c>
      <c r="F34" s="24"/>
      <c r="G34" s="24"/>
    </row>
    <row r="35" spans="1:7" ht="15.75" customHeight="1">
      <c r="A35" s="115" t="s">
        <v>7720</v>
      </c>
      <c r="B35" s="115">
        <v>50</v>
      </c>
      <c r="C35" s="115">
        <v>50</v>
      </c>
      <c r="D35" s="116" t="s">
        <v>7841</v>
      </c>
      <c r="E35" s="117" t="s">
        <v>7721</v>
      </c>
      <c r="F35" s="24"/>
      <c r="G35" s="24"/>
    </row>
    <row r="36" spans="1:7" ht="15.75" customHeight="1">
      <c r="A36" s="115" t="s">
        <v>7722</v>
      </c>
      <c r="B36" s="115">
        <v>50</v>
      </c>
      <c r="C36" s="115">
        <v>60</v>
      </c>
      <c r="D36" s="116" t="s">
        <v>7842</v>
      </c>
      <c r="E36" s="117" t="s">
        <v>7723</v>
      </c>
      <c r="F36" s="24"/>
      <c r="G36" s="24"/>
    </row>
    <row r="37" spans="1:7" ht="15.75" customHeight="1">
      <c r="A37" s="115" t="s">
        <v>7724</v>
      </c>
      <c r="B37" s="115">
        <v>50</v>
      </c>
      <c r="C37" s="115">
        <v>70</v>
      </c>
      <c r="D37" s="116" t="s">
        <v>7843</v>
      </c>
      <c r="E37" s="117" t="s">
        <v>7725</v>
      </c>
      <c r="F37" s="24"/>
      <c r="G37" s="24"/>
    </row>
    <row r="38" spans="1:7" ht="15.75" customHeight="1">
      <c r="A38" s="115" t="s">
        <v>7726</v>
      </c>
      <c r="B38" s="115">
        <v>50</v>
      </c>
      <c r="C38" s="115">
        <v>75</v>
      </c>
      <c r="D38" s="116" t="s">
        <v>7844</v>
      </c>
      <c r="E38" s="117" t="s">
        <v>7727</v>
      </c>
      <c r="F38" s="24"/>
      <c r="G38" s="24"/>
    </row>
    <row r="39" spans="1:7" ht="14.5">
      <c r="A39" s="115" t="s">
        <v>7728</v>
      </c>
      <c r="B39" s="115">
        <v>50</v>
      </c>
      <c r="C39" s="115">
        <v>80</v>
      </c>
      <c r="D39" s="116" t="s">
        <v>7845</v>
      </c>
      <c r="E39" s="117" t="s">
        <v>2663</v>
      </c>
      <c r="F39" s="24"/>
      <c r="G39" s="24"/>
    </row>
    <row r="40" spans="1:7" ht="14.5">
      <c r="A40" s="119" t="s">
        <v>7729</v>
      </c>
      <c r="B40" s="119">
        <v>55</v>
      </c>
      <c r="C40" s="120"/>
      <c r="D40" s="121" t="s">
        <v>7846</v>
      </c>
      <c r="E40" s="117" t="s">
        <v>7730</v>
      </c>
      <c r="F40" s="24"/>
      <c r="G40" s="24"/>
    </row>
    <row r="41" spans="1:7" ht="14.5">
      <c r="A41" s="115" t="s">
        <v>7731</v>
      </c>
      <c r="B41" s="115">
        <v>55</v>
      </c>
      <c r="C41" s="115">
        <v>5</v>
      </c>
      <c r="D41" s="116" t="s">
        <v>7847</v>
      </c>
      <c r="E41" s="117" t="s">
        <v>7732</v>
      </c>
      <c r="F41" s="24"/>
      <c r="G41" s="24"/>
    </row>
    <row r="42" spans="1:7" ht="14.5">
      <c r="A42" s="115" t="s">
        <v>7733</v>
      </c>
      <c r="B42" s="115">
        <v>55</v>
      </c>
      <c r="C42" s="115">
        <v>10</v>
      </c>
      <c r="D42" s="116" t="s">
        <v>7848</v>
      </c>
      <c r="E42" s="117" t="s">
        <v>7734</v>
      </c>
      <c r="F42" s="24"/>
      <c r="G42" s="24"/>
    </row>
    <row r="43" spans="1:7" ht="14.5">
      <c r="A43" s="115" t="s">
        <v>7735</v>
      </c>
      <c r="B43" s="115">
        <v>55</v>
      </c>
      <c r="C43" s="115">
        <v>15</v>
      </c>
      <c r="D43" s="116" t="s">
        <v>7849</v>
      </c>
      <c r="E43" s="117" t="s">
        <v>7736</v>
      </c>
      <c r="F43" s="24"/>
      <c r="G43" s="24"/>
    </row>
    <row r="44" spans="1:7" ht="14.5">
      <c r="A44" s="115" t="s">
        <v>7737</v>
      </c>
      <c r="B44" s="115">
        <v>55</v>
      </c>
      <c r="C44" s="115">
        <v>20</v>
      </c>
      <c r="D44" s="116" t="s">
        <v>7850</v>
      </c>
      <c r="E44" s="117" t="s">
        <v>7738</v>
      </c>
      <c r="F44" s="24"/>
      <c r="G44" s="24"/>
    </row>
    <row r="45" spans="1:7" ht="14.5">
      <c r="A45" s="115" t="s">
        <v>7739</v>
      </c>
      <c r="B45" s="115">
        <v>55</v>
      </c>
      <c r="C45" s="115">
        <v>30</v>
      </c>
      <c r="D45" s="116" t="s">
        <v>7851</v>
      </c>
      <c r="E45" s="117" t="s">
        <v>7740</v>
      </c>
      <c r="F45" s="24"/>
      <c r="G45" s="24"/>
    </row>
    <row r="46" spans="1:7" ht="14.5">
      <c r="A46" s="115" t="s">
        <v>7741</v>
      </c>
      <c r="B46" s="115">
        <v>55</v>
      </c>
      <c r="C46" s="115">
        <v>40</v>
      </c>
      <c r="D46" s="116" t="s">
        <v>7852</v>
      </c>
      <c r="E46" s="117" t="s">
        <v>7742</v>
      </c>
      <c r="F46" s="24"/>
      <c r="G46" s="24"/>
    </row>
    <row r="47" spans="1:7" ht="14.5">
      <c r="A47" s="115" t="s">
        <v>7743</v>
      </c>
      <c r="B47" s="115">
        <v>55</v>
      </c>
      <c r="C47" s="115">
        <v>50</v>
      </c>
      <c r="D47" s="116" t="s">
        <v>7853</v>
      </c>
      <c r="E47" s="117" t="s">
        <v>7744</v>
      </c>
      <c r="F47" s="24"/>
      <c r="G47" s="24"/>
    </row>
    <row r="48" spans="1:7" ht="14.5">
      <c r="A48" s="115" t="s">
        <v>7745</v>
      </c>
      <c r="B48" s="115">
        <v>55</v>
      </c>
      <c r="C48" s="115">
        <v>60</v>
      </c>
      <c r="D48" s="116" t="s">
        <v>7854</v>
      </c>
      <c r="E48" s="117" t="s">
        <v>7746</v>
      </c>
      <c r="F48" s="24"/>
      <c r="G48" s="24"/>
    </row>
    <row r="49" spans="1:7" ht="14.5">
      <c r="A49" s="115" t="s">
        <v>7747</v>
      </c>
      <c r="B49" s="115">
        <v>55</v>
      </c>
      <c r="C49" s="115">
        <v>70</v>
      </c>
      <c r="D49" s="116" t="s">
        <v>7855</v>
      </c>
      <c r="E49" s="117" t="s">
        <v>7748</v>
      </c>
      <c r="F49" s="24"/>
      <c r="G49" s="24"/>
    </row>
    <row r="50" spans="1:7" ht="14.5">
      <c r="A50" s="115" t="s">
        <v>7749</v>
      </c>
      <c r="B50" s="115">
        <v>55</v>
      </c>
      <c r="C50" s="115">
        <v>90</v>
      </c>
      <c r="D50" s="116" t="s">
        <v>7856</v>
      </c>
      <c r="E50" s="117" t="s">
        <v>7750</v>
      </c>
      <c r="F50" s="24"/>
      <c r="G50" s="24"/>
    </row>
    <row r="51" spans="1:7" ht="14.5">
      <c r="A51" s="119" t="s">
        <v>7751</v>
      </c>
      <c r="B51" s="119">
        <v>60</v>
      </c>
      <c r="C51" s="120"/>
      <c r="D51" s="121" t="s">
        <v>7857</v>
      </c>
      <c r="E51" s="117" t="s">
        <v>7752</v>
      </c>
      <c r="F51" s="24"/>
      <c r="G51" s="24"/>
    </row>
    <row r="52" spans="1:7" ht="14.5">
      <c r="A52" s="115" t="s">
        <v>7753</v>
      </c>
      <c r="B52" s="115">
        <v>60</v>
      </c>
      <c r="C52" s="115">
        <v>30</v>
      </c>
      <c r="D52" s="116" t="s">
        <v>7858</v>
      </c>
      <c r="E52" s="121" t="s">
        <v>7754</v>
      </c>
      <c r="F52" s="24"/>
      <c r="G52" s="24"/>
    </row>
    <row r="53" spans="1:7" ht="14.5">
      <c r="A53" s="115" t="s">
        <v>7755</v>
      </c>
      <c r="B53" s="115">
        <v>60</v>
      </c>
      <c r="C53" s="115">
        <v>40</v>
      </c>
      <c r="D53" s="116" t="s">
        <v>7859</v>
      </c>
      <c r="E53" s="117" t="s">
        <v>7756</v>
      </c>
      <c r="F53" s="24"/>
      <c r="G53" s="24"/>
    </row>
    <row r="54" spans="1:7" ht="14.5">
      <c r="A54" s="115" t="s">
        <v>7757</v>
      </c>
      <c r="B54" s="115">
        <v>60</v>
      </c>
      <c r="C54" s="115">
        <v>60</v>
      </c>
      <c r="D54" s="116" t="s">
        <v>7860</v>
      </c>
      <c r="E54" s="117" t="s">
        <v>7758</v>
      </c>
      <c r="F54" s="24"/>
      <c r="G54" s="24"/>
    </row>
    <row r="55" spans="1:7" ht="14.5">
      <c r="A55" s="115" t="s">
        <v>7759</v>
      </c>
      <c r="B55" s="115">
        <v>60</v>
      </c>
      <c r="C55" s="115">
        <v>80</v>
      </c>
      <c r="D55" s="116" t="s">
        <v>7861</v>
      </c>
      <c r="E55" s="117" t="s">
        <v>7760</v>
      </c>
      <c r="F55" s="24"/>
      <c r="G55" s="24"/>
    </row>
    <row r="56" spans="1:7" ht="14.5">
      <c r="A56" s="119" t="s">
        <v>7761</v>
      </c>
      <c r="B56" s="119">
        <v>65</v>
      </c>
      <c r="C56" s="120"/>
      <c r="D56" s="121" t="s">
        <v>7862</v>
      </c>
      <c r="E56" s="117" t="s">
        <v>7762</v>
      </c>
      <c r="F56" s="24"/>
      <c r="G56" s="24"/>
    </row>
    <row r="57" spans="1:7" ht="14.5">
      <c r="A57" s="115" t="s">
        <v>7763</v>
      </c>
      <c r="B57" s="115">
        <v>65</v>
      </c>
      <c r="C57" s="115">
        <v>40</v>
      </c>
      <c r="D57" s="116" t="s">
        <v>7863</v>
      </c>
      <c r="E57" s="117" t="s">
        <v>7764</v>
      </c>
      <c r="F57" s="24"/>
      <c r="G57" s="24"/>
    </row>
    <row r="58" spans="1:7" ht="14.5">
      <c r="A58" s="115" t="s">
        <v>7765</v>
      </c>
      <c r="B58" s="115">
        <v>65</v>
      </c>
      <c r="C58" s="115">
        <v>80</v>
      </c>
      <c r="D58" s="116" t="s">
        <v>7864</v>
      </c>
      <c r="E58" s="117" t="s">
        <v>7766</v>
      </c>
      <c r="F58" s="24"/>
      <c r="G58" s="24"/>
    </row>
    <row r="59" spans="1:7" ht="14.5">
      <c r="A59" s="119" t="s">
        <v>7767</v>
      </c>
      <c r="B59" s="119">
        <v>70</v>
      </c>
      <c r="C59" s="120"/>
      <c r="D59" s="121" t="s">
        <v>7865</v>
      </c>
      <c r="E59" s="117" t="s">
        <v>7768</v>
      </c>
      <c r="F59" s="24"/>
      <c r="G59" s="24"/>
    </row>
    <row r="60" spans="1:7" ht="14.5">
      <c r="A60" s="115" t="s">
        <v>7769</v>
      </c>
      <c r="B60" s="115">
        <v>70</v>
      </c>
      <c r="C60" s="115">
        <v>10</v>
      </c>
      <c r="D60" s="116" t="s">
        <v>7866</v>
      </c>
      <c r="E60" s="117" t="s">
        <v>7770</v>
      </c>
      <c r="F60" s="24"/>
      <c r="G60" s="24"/>
    </row>
    <row r="61" spans="1:7" ht="14.5">
      <c r="A61" s="115" t="s">
        <v>7771</v>
      </c>
      <c r="B61" s="115">
        <v>70</v>
      </c>
      <c r="C61" s="115">
        <v>30</v>
      </c>
      <c r="D61" s="116" t="s">
        <v>7867</v>
      </c>
      <c r="E61" s="117" t="s">
        <v>7772</v>
      </c>
      <c r="F61" s="24"/>
      <c r="G61" s="24"/>
    </row>
    <row r="62" spans="1:7" ht="14.5">
      <c r="A62" s="115" t="s">
        <v>7773</v>
      </c>
      <c r="B62" s="115">
        <v>70</v>
      </c>
      <c r="C62" s="115">
        <v>80</v>
      </c>
      <c r="D62" s="116" t="s">
        <v>7868</v>
      </c>
      <c r="E62" s="117" t="s">
        <v>7774</v>
      </c>
      <c r="F62" s="24"/>
      <c r="G62" s="24"/>
    </row>
    <row r="63" spans="1:7" ht="14.5">
      <c r="A63" s="119" t="s">
        <v>7775</v>
      </c>
      <c r="B63" s="119">
        <v>75</v>
      </c>
      <c r="C63" s="120"/>
      <c r="D63" s="121" t="s">
        <v>7869</v>
      </c>
      <c r="E63" s="117" t="s">
        <v>7776</v>
      </c>
      <c r="F63" s="24"/>
      <c r="G63" s="24"/>
    </row>
    <row r="64" spans="1:7" ht="14.5">
      <c r="A64" s="115" t="s">
        <v>7777</v>
      </c>
      <c r="B64" s="115">
        <v>75</v>
      </c>
      <c r="C64" s="115">
        <v>10</v>
      </c>
      <c r="D64" s="116" t="s">
        <v>7870</v>
      </c>
      <c r="E64" s="117" t="s">
        <v>7778</v>
      </c>
      <c r="F64" s="24"/>
      <c r="G64" s="24"/>
    </row>
    <row r="65" spans="1:7" ht="14.5">
      <c r="A65" s="115" t="s">
        <v>7779</v>
      </c>
      <c r="B65" s="115">
        <v>75</v>
      </c>
      <c r="C65" s="115">
        <v>30</v>
      </c>
      <c r="D65" s="116" t="s">
        <v>7871</v>
      </c>
      <c r="E65" s="117" t="s">
        <v>7780</v>
      </c>
      <c r="F65" s="24"/>
      <c r="G65" s="24"/>
    </row>
    <row r="66" spans="1:7" ht="14.5">
      <c r="A66" s="115" t="s">
        <v>7781</v>
      </c>
      <c r="B66" s="115">
        <v>75</v>
      </c>
      <c r="C66" s="115">
        <v>40</v>
      </c>
      <c r="D66" s="116" t="s">
        <v>7872</v>
      </c>
      <c r="E66" s="117" t="s">
        <v>7782</v>
      </c>
      <c r="F66" s="24"/>
      <c r="G66" s="24"/>
    </row>
    <row r="67" spans="1:7" ht="14.5">
      <c r="A67" s="115" t="s">
        <v>7783</v>
      </c>
      <c r="B67" s="115">
        <v>75</v>
      </c>
      <c r="C67" s="115">
        <v>50</v>
      </c>
      <c r="D67" s="116" t="s">
        <v>7873</v>
      </c>
      <c r="E67" s="117" t="s">
        <v>7784</v>
      </c>
      <c r="F67" s="24"/>
      <c r="G67" s="24"/>
    </row>
    <row r="68" spans="1:7" ht="14.5">
      <c r="A68" s="115" t="s">
        <v>7785</v>
      </c>
      <c r="B68" s="115">
        <v>75</v>
      </c>
      <c r="C68" s="115">
        <v>60</v>
      </c>
      <c r="D68" s="116" t="s">
        <v>7874</v>
      </c>
      <c r="E68" s="117" t="s">
        <v>7125</v>
      </c>
      <c r="F68" s="24"/>
      <c r="G68" s="24"/>
    </row>
    <row r="69" spans="1:7" ht="14.5">
      <c r="A69" s="115" t="s">
        <v>7786</v>
      </c>
      <c r="B69" s="115">
        <v>75</v>
      </c>
      <c r="C69" s="115">
        <v>70</v>
      </c>
      <c r="D69" s="116" t="s">
        <v>7875</v>
      </c>
      <c r="E69" s="117" t="s">
        <v>7787</v>
      </c>
      <c r="F69" s="24"/>
      <c r="G69" s="24"/>
    </row>
    <row r="70" spans="1:7" ht="14.5">
      <c r="A70" s="115" t="s">
        <v>7788</v>
      </c>
      <c r="B70" s="115">
        <v>75</v>
      </c>
      <c r="C70" s="115">
        <v>80</v>
      </c>
      <c r="D70" s="116" t="s">
        <v>7876</v>
      </c>
      <c r="E70" s="117" t="s">
        <v>7789</v>
      </c>
      <c r="F70" s="24"/>
      <c r="G70" s="24"/>
    </row>
  </sheetData>
  <mergeCells count="1">
    <mergeCell ref="A1:F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I2221"/>
  <sheetViews>
    <sheetView tabSelected="1" topLeftCell="B1" workbookViewId="0">
      <pane ySplit="3" topLeftCell="A4" activePane="bottomLeft" state="frozen"/>
      <selection pane="bottomLeft" activeCell="B5" sqref="B5"/>
    </sheetView>
  </sheetViews>
  <sheetFormatPr defaultColWidth="14.453125" defaultRowHeight="15.75" customHeight="1"/>
  <cols>
    <col min="6" max="6" width="74.26953125" customWidth="1"/>
    <col min="7" max="8" width="90.7265625" customWidth="1"/>
    <col min="9" max="9" width="281.54296875" customWidth="1"/>
  </cols>
  <sheetData>
    <row r="1" spans="1:9" ht="15.75" customHeight="1">
      <c r="A1" s="207" t="s">
        <v>7877</v>
      </c>
      <c r="B1" s="208"/>
      <c r="C1" s="208"/>
      <c r="D1" s="22"/>
      <c r="E1" s="22"/>
      <c r="F1" s="22"/>
      <c r="G1" s="22"/>
      <c r="H1" s="22"/>
      <c r="I1" s="22"/>
    </row>
    <row r="2" spans="1:9" ht="15.75" customHeight="1">
      <c r="A2" s="24"/>
      <c r="B2" s="24"/>
      <c r="C2" s="24"/>
      <c r="D2" s="24"/>
      <c r="E2" s="24"/>
      <c r="F2" s="24"/>
      <c r="G2" s="24"/>
      <c r="H2" s="24"/>
      <c r="I2" s="24"/>
    </row>
    <row r="3" spans="1:9" ht="15.75" customHeight="1">
      <c r="A3" s="25" t="s">
        <v>61</v>
      </c>
      <c r="B3" s="25" t="s">
        <v>62</v>
      </c>
      <c r="C3" s="25" t="s">
        <v>63</v>
      </c>
      <c r="D3" s="25" t="s">
        <v>64</v>
      </c>
      <c r="E3" s="25" t="s">
        <v>65</v>
      </c>
      <c r="F3" s="25" t="s">
        <v>66</v>
      </c>
      <c r="G3" s="1" t="s">
        <v>67</v>
      </c>
      <c r="H3" s="25" t="s">
        <v>78</v>
      </c>
      <c r="I3" s="25" t="s">
        <v>79</v>
      </c>
    </row>
    <row r="4" spans="1:9" ht="15.75" customHeight="1">
      <c r="A4" s="20" t="s">
        <v>7878</v>
      </c>
      <c r="B4" s="20">
        <v>15</v>
      </c>
      <c r="C4" s="24"/>
      <c r="D4" s="24"/>
      <c r="E4" s="24"/>
      <c r="F4" s="28" t="s">
        <v>7879</v>
      </c>
      <c r="G4" s="24" t="str">
        <f ca="1">IFERROR(__xludf.DUMMYFUNCTION("GOOGLETRANSLATE(F4,""en"",""pt"")"),"Trabalhos de escavação, remediação e sistemas temporários")</f>
        <v>Trabalhos de escavação, remediação e sistemas temporários</v>
      </c>
      <c r="H4" s="24"/>
      <c r="I4" s="24"/>
    </row>
    <row r="5" spans="1:9" ht="15.75" customHeight="1">
      <c r="A5" s="20" t="s">
        <v>7880</v>
      </c>
      <c r="B5" s="20">
        <v>15</v>
      </c>
      <c r="C5" s="20">
        <v>10</v>
      </c>
      <c r="D5" s="24"/>
      <c r="E5" s="24"/>
      <c r="F5" s="20" t="s">
        <v>7881</v>
      </c>
      <c r="G5" s="24" t="str">
        <f ca="1">IFERROR(__xludf.DUMMYFUNCTION("GOOGLETRANSLATE(F5,""en"",""pt"")"),"Groundworks e sistemas de terraplenagem")</f>
        <v>Groundworks e sistemas de terraplenagem</v>
      </c>
      <c r="H5" s="24"/>
      <c r="I5" s="24"/>
    </row>
    <row r="6" spans="1:9" ht="15.75" customHeight="1">
      <c r="A6" s="20" t="s">
        <v>7882</v>
      </c>
      <c r="B6" s="20">
        <v>15</v>
      </c>
      <c r="C6" s="20">
        <v>10</v>
      </c>
      <c r="D6" s="20">
        <v>30</v>
      </c>
      <c r="E6" s="24"/>
      <c r="F6" s="20" t="s">
        <v>7883</v>
      </c>
      <c r="G6" s="24" t="str">
        <f ca="1">IFERROR(__xludf.DUMMYFUNCTION("GOOGLETRANSLATE(F6,""en"",""pt"")"),"Escavação e o enchimento dos sistemas")</f>
        <v>Escavação e o enchimento dos sistemas</v>
      </c>
      <c r="H6" s="24"/>
      <c r="I6" s="24"/>
    </row>
    <row r="7" spans="1:9" ht="15.75" customHeight="1">
      <c r="A7" s="20" t="s">
        <v>7884</v>
      </c>
      <c r="B7" s="20">
        <v>15</v>
      </c>
      <c r="C7" s="20">
        <v>10</v>
      </c>
      <c r="D7" s="20">
        <v>30</v>
      </c>
      <c r="E7" s="20">
        <v>5</v>
      </c>
      <c r="F7" s="20" t="s">
        <v>7885</v>
      </c>
      <c r="G7" s="24" t="str">
        <f ca="1">IFERROR(__xludf.DUMMYFUNCTION("GOOGLETRANSLATE(F7,""en"",""pt"")"),"sistemas de aterramento")</f>
        <v>sistemas de aterramento</v>
      </c>
      <c r="H7" s="24"/>
      <c r="I7" s="24"/>
    </row>
    <row r="8" spans="1:9" ht="15.75" customHeight="1">
      <c r="A8" s="20" t="s">
        <v>7886</v>
      </c>
      <c r="B8" s="20">
        <v>15</v>
      </c>
      <c r="C8" s="20">
        <v>10</v>
      </c>
      <c r="D8" s="20">
        <v>30</v>
      </c>
      <c r="E8" s="20">
        <v>25</v>
      </c>
      <c r="F8" s="20" t="s">
        <v>7887</v>
      </c>
      <c r="G8" s="24" t="str">
        <f ca="1">IFERROR(__xludf.DUMMYFUNCTION("GOOGLETRANSLATE(F8,""en"",""pt"")"),"Terraplenagem sistemas de escavação")</f>
        <v>Terraplenagem sistemas de escavação</v>
      </c>
      <c r="H8" s="20" t="s">
        <v>7888</v>
      </c>
      <c r="I8" s="20" t="s">
        <v>7889</v>
      </c>
    </row>
    <row r="9" spans="1:9" ht="15.75" customHeight="1">
      <c r="A9" s="20" t="s">
        <v>7890</v>
      </c>
      <c r="B9" s="20">
        <v>15</v>
      </c>
      <c r="C9" s="20">
        <v>10</v>
      </c>
      <c r="D9" s="20">
        <v>30</v>
      </c>
      <c r="E9" s="20">
        <v>27</v>
      </c>
      <c r="F9" s="20" t="s">
        <v>7891</v>
      </c>
      <c r="G9" s="24" t="str">
        <f ca="1">IFERROR(__xludf.DUMMYFUNCTION("GOOGLETRANSLATE(F9,""en"",""pt"")"),"Trabalhos de escavação sistemas de enchimento")</f>
        <v>Trabalhos de escavação sistemas de enchimento</v>
      </c>
      <c r="H9" s="20" t="s">
        <v>7892</v>
      </c>
      <c r="I9" s="20" t="s">
        <v>7893</v>
      </c>
    </row>
    <row r="10" spans="1:9" ht="15.75" customHeight="1">
      <c r="A10" s="20" t="s">
        <v>7894</v>
      </c>
      <c r="B10" s="20">
        <v>15</v>
      </c>
      <c r="C10" s="20">
        <v>10</v>
      </c>
      <c r="D10" s="20">
        <v>30</v>
      </c>
      <c r="E10" s="20">
        <v>29</v>
      </c>
      <c r="F10" s="20" t="s">
        <v>7895</v>
      </c>
      <c r="G10" s="24" t="str">
        <f ca="1">IFERROR(__xludf.DUMMYFUNCTION("GOOGLETRANSLATE(F10,""en"",""pt"")"),"Terraplenagem sistemas de preenchimento em torno das árvores")</f>
        <v>Terraplenagem sistemas de preenchimento em torno das árvores</v>
      </c>
      <c r="H10" s="20" t="s">
        <v>7896</v>
      </c>
      <c r="I10" s="20" t="s">
        <v>7897</v>
      </c>
    </row>
    <row r="11" spans="1:9" ht="15.75" customHeight="1">
      <c r="A11" s="20" t="s">
        <v>7898</v>
      </c>
      <c r="B11" s="20">
        <v>15</v>
      </c>
      <c r="C11" s="20">
        <v>10</v>
      </c>
      <c r="D11" s="20">
        <v>30</v>
      </c>
      <c r="E11" s="20">
        <v>31</v>
      </c>
      <c r="F11" s="20" t="s">
        <v>7899</v>
      </c>
      <c r="G11" s="24" t="str">
        <f ca="1">IFERROR(__xludf.DUMMYFUNCTION("GOOGLETRANSLATE(F11,""en"",""pt"")"),"Trabalhos de escavação sistemas de enchimento atrás das paredes de retenção")</f>
        <v>Trabalhos de escavação sistemas de enchimento atrás das paredes de retenção</v>
      </c>
      <c r="H11" s="20" t="s">
        <v>7900</v>
      </c>
      <c r="I11" s="20" t="s">
        <v>7901</v>
      </c>
    </row>
    <row r="12" spans="1:9" ht="15.75" customHeight="1">
      <c r="A12" s="20" t="s">
        <v>7902</v>
      </c>
      <c r="B12" s="20">
        <v>15</v>
      </c>
      <c r="C12" s="20">
        <v>10</v>
      </c>
      <c r="D12" s="20">
        <v>30</v>
      </c>
      <c r="E12" s="20">
        <v>65</v>
      </c>
      <c r="F12" s="20" t="s">
        <v>7903</v>
      </c>
      <c r="G12" s="24" t="str">
        <f ca="1">IFERROR(__xludf.DUMMYFUNCTION("GOOGLETRANSLATE(F12,""en"",""pt"")"),"Os sistemas de revestimento de argila puddled")</f>
        <v>Os sistemas de revestimento de argila puddled</v>
      </c>
      <c r="H12" s="20" t="s">
        <v>7904</v>
      </c>
      <c r="I12" s="20" t="s">
        <v>7905</v>
      </c>
    </row>
    <row r="13" spans="1:9" ht="15.75" customHeight="1">
      <c r="A13" s="20" t="s">
        <v>7906</v>
      </c>
      <c r="B13" s="20">
        <v>15</v>
      </c>
      <c r="C13" s="20">
        <v>10</v>
      </c>
      <c r="D13" s="20">
        <v>30</v>
      </c>
      <c r="E13" s="20">
        <v>90</v>
      </c>
      <c r="F13" s="20" t="s">
        <v>7907</v>
      </c>
      <c r="G13" s="24" t="str">
        <f ca="1">IFERROR(__xludf.DUMMYFUNCTION("GOOGLETRANSLATE(F13,""en"",""pt"")"),"O solo arável sistemas de enchimento")</f>
        <v>O solo arável sistemas de enchimento</v>
      </c>
      <c r="H13" s="20" t="s">
        <v>7908</v>
      </c>
      <c r="I13" s="20" t="s">
        <v>7897</v>
      </c>
    </row>
    <row r="14" spans="1:9" ht="15.75" customHeight="1">
      <c r="A14" s="20" t="s">
        <v>7909</v>
      </c>
      <c r="B14" s="20">
        <v>15</v>
      </c>
      <c r="C14" s="20">
        <v>10</v>
      </c>
      <c r="D14" s="20">
        <v>33</v>
      </c>
      <c r="E14" s="24"/>
      <c r="F14" s="20" t="s">
        <v>7910</v>
      </c>
      <c r="G14" s="24" t="str">
        <f ca="1">IFERROR(__xludf.DUMMYFUNCTION("GOOGLETRANSLATE(F14,""en"",""pt"")"),"sistemas de eliminação de gás em terra")</f>
        <v>sistemas de eliminação de gás em terra</v>
      </c>
      <c r="H14" s="24"/>
      <c r="I14" s="24"/>
    </row>
    <row r="15" spans="1:9" ht="15.75" customHeight="1">
      <c r="A15" s="20" t="s">
        <v>7911</v>
      </c>
      <c r="B15" s="20">
        <v>15</v>
      </c>
      <c r="C15" s="20">
        <v>10</v>
      </c>
      <c r="D15" s="20">
        <v>33</v>
      </c>
      <c r="E15" s="20">
        <v>34</v>
      </c>
      <c r="F15" s="20" t="s">
        <v>7912</v>
      </c>
      <c r="G15" s="24" t="str">
        <f ca="1">IFERROR(__xludf.DUMMYFUNCTION("GOOGLETRANSLATE(F15,""en"",""pt"")"),"recolha de gás do solo e o sistema de ventilação")</f>
        <v>recolha de gás do solo e o sistema de ventilação</v>
      </c>
      <c r="H15" s="20" t="s">
        <v>7913</v>
      </c>
      <c r="I15" s="20" t="s">
        <v>7914</v>
      </c>
    </row>
    <row r="16" spans="1:9" ht="15.75" customHeight="1">
      <c r="A16" s="20" t="s">
        <v>7915</v>
      </c>
      <c r="B16" s="20">
        <v>15</v>
      </c>
      <c r="C16" s="20">
        <v>10</v>
      </c>
      <c r="D16" s="20">
        <v>35</v>
      </c>
      <c r="E16" s="24"/>
      <c r="F16" s="20" t="s">
        <v>7916</v>
      </c>
      <c r="G16" s="24" t="str">
        <f ca="1">IFERROR(__xludf.DUMMYFUNCTION("GOOGLETRANSLATE(F16,""en"",""pt"")"),"sistemas de remediação do solo")</f>
        <v>sistemas de remediação do solo</v>
      </c>
      <c r="H16" s="24"/>
      <c r="I16" s="24"/>
    </row>
    <row r="17" spans="1:9" ht="15.75" customHeight="1">
      <c r="A17" s="20" t="s">
        <v>7917</v>
      </c>
      <c r="B17" s="20">
        <v>15</v>
      </c>
      <c r="C17" s="20">
        <v>10</v>
      </c>
      <c r="D17" s="20">
        <v>35</v>
      </c>
      <c r="E17" s="20">
        <v>7</v>
      </c>
      <c r="F17" s="20" t="s">
        <v>7918</v>
      </c>
      <c r="G17" s="24" t="str">
        <f ca="1">IFERROR(__xludf.DUMMYFUNCTION("GOOGLETRANSLATE(F17,""en"",""pt"")"),"biorremediação sistemas")</f>
        <v>biorremediação sistemas</v>
      </c>
      <c r="H17" s="24"/>
      <c r="I17" s="24"/>
    </row>
    <row r="18" spans="1:9" ht="15.75" customHeight="1">
      <c r="A18" s="20" t="s">
        <v>7919</v>
      </c>
      <c r="B18" s="20">
        <v>15</v>
      </c>
      <c r="C18" s="20">
        <v>10</v>
      </c>
      <c r="D18" s="20">
        <v>45</v>
      </c>
      <c r="E18" s="24"/>
      <c r="F18" s="20" t="s">
        <v>7920</v>
      </c>
      <c r="G18" s="24" t="str">
        <f ca="1">IFERROR(__xludf.DUMMYFUNCTION("GOOGLETRANSLATE(F18,""en"",""pt"")"),"sistemas de aterro")</f>
        <v>sistemas de aterro</v>
      </c>
      <c r="H18" s="24"/>
      <c r="I18" s="24"/>
    </row>
    <row r="19" spans="1:9" ht="15.75" customHeight="1">
      <c r="A19" s="20" t="s">
        <v>7921</v>
      </c>
      <c r="B19" s="20">
        <v>15</v>
      </c>
      <c r="C19" s="20">
        <v>10</v>
      </c>
      <c r="D19" s="20">
        <v>76</v>
      </c>
      <c r="E19" s="24"/>
      <c r="F19" s="20" t="s">
        <v>7922</v>
      </c>
      <c r="G19" s="24" t="str">
        <f ca="1">IFERROR(__xludf.DUMMYFUNCTION("GOOGLETRANSLATE(F19,""en"",""pt"")"),"sistemas de eliminação de resíduos do Site")</f>
        <v>sistemas de eliminação de resíduos do Site</v>
      </c>
      <c r="H19" s="24"/>
      <c r="I19" s="24"/>
    </row>
    <row r="20" spans="1:9" ht="15.75" customHeight="1">
      <c r="A20" s="20" t="s">
        <v>7923</v>
      </c>
      <c r="B20" s="20">
        <v>15</v>
      </c>
      <c r="C20" s="20">
        <v>10</v>
      </c>
      <c r="D20" s="20">
        <v>76</v>
      </c>
      <c r="E20" s="20">
        <v>21</v>
      </c>
      <c r="F20" s="20" t="s">
        <v>7924</v>
      </c>
      <c r="G20" s="24" t="str">
        <f ca="1">IFERROR(__xludf.DUMMYFUNCTION("GOOGLETRANSLATE(F20,""en"",""pt"")"),"sistemas de desidratação")</f>
        <v>sistemas de desidratação</v>
      </c>
      <c r="H20" s="24"/>
      <c r="I20" s="24"/>
    </row>
    <row r="21" spans="1:9" ht="15.75" customHeight="1">
      <c r="A21" s="20" t="s">
        <v>7925</v>
      </c>
      <c r="B21" s="20">
        <v>15</v>
      </c>
      <c r="C21" s="20">
        <v>10</v>
      </c>
      <c r="D21" s="20">
        <v>78</v>
      </c>
      <c r="E21" s="24"/>
      <c r="F21" s="20" t="s">
        <v>7926</v>
      </c>
      <c r="G21" s="24" t="str">
        <f ca="1">IFERROR(__xludf.DUMMYFUNCTION("GOOGLETRANSLATE(F21,""en"",""pt"")"),"sistemas de parede de lamas")</f>
        <v>sistemas de parede de lamas</v>
      </c>
      <c r="H21" s="24"/>
      <c r="I21" s="24"/>
    </row>
    <row r="22" spans="1:9" ht="15.75" customHeight="1">
      <c r="A22" s="20" t="s">
        <v>7927</v>
      </c>
      <c r="B22" s="20">
        <v>15</v>
      </c>
      <c r="C22" s="20">
        <v>10</v>
      </c>
      <c r="D22" s="20">
        <v>80</v>
      </c>
      <c r="E22" s="24"/>
      <c r="F22" s="20" t="s">
        <v>7928</v>
      </c>
      <c r="G22" s="24" t="str">
        <f ca="1">IFERROR(__xludf.DUMMYFUNCTION("GOOGLETRANSLATE(F22,""en"",""pt"")"),"sistemas de estabilização")</f>
        <v>sistemas de estabilização</v>
      </c>
      <c r="H22" s="24"/>
      <c r="I22" s="24"/>
    </row>
    <row r="23" spans="1:9" ht="15.75" customHeight="1">
      <c r="A23" s="20" t="s">
        <v>7929</v>
      </c>
      <c r="B23" s="20">
        <v>15</v>
      </c>
      <c r="C23" s="20">
        <v>10</v>
      </c>
      <c r="D23" s="20">
        <v>80</v>
      </c>
      <c r="E23" s="20">
        <v>33</v>
      </c>
      <c r="F23" s="20" t="s">
        <v>7930</v>
      </c>
      <c r="G23" s="24" t="str">
        <f ca="1">IFERROR(__xludf.DUMMYFUNCTION("GOOGLETRANSLATE(F23,""en"",""pt"")"),"sistemas de controlo de erosão")</f>
        <v>sistemas de controlo de erosão</v>
      </c>
      <c r="H23" s="20" t="s">
        <v>7931</v>
      </c>
      <c r="I23" s="20" t="s">
        <v>7932</v>
      </c>
    </row>
    <row r="24" spans="1:9" ht="15.75" customHeight="1">
      <c r="A24" s="20" t="s">
        <v>7933</v>
      </c>
      <c r="B24" s="20">
        <v>15</v>
      </c>
      <c r="C24" s="20">
        <v>10</v>
      </c>
      <c r="D24" s="20">
        <v>80</v>
      </c>
      <c r="E24" s="20">
        <v>70</v>
      </c>
      <c r="F24" s="20" t="s">
        <v>7934</v>
      </c>
      <c r="G24" s="24" t="str">
        <f ca="1">IFERROR(__xludf.DUMMYFUNCTION("GOOGLETRANSLATE(F24,""en"",""pt"")"),"Rocha gazes e cavilhar sistemas")</f>
        <v>Rocha gazes e cavilhar sistemas</v>
      </c>
      <c r="H24" s="20" t="s">
        <v>7935</v>
      </c>
      <c r="I24" s="24"/>
    </row>
    <row r="25" spans="1:9" ht="15.75" customHeight="1">
      <c r="A25" s="20" t="s">
        <v>7936</v>
      </c>
      <c r="B25" s="20">
        <v>15</v>
      </c>
      <c r="C25" s="20">
        <v>10</v>
      </c>
      <c r="D25" s="20">
        <v>80</v>
      </c>
      <c r="E25" s="20">
        <v>80</v>
      </c>
      <c r="F25" s="20" t="s">
        <v>7937</v>
      </c>
      <c r="G25" s="24" t="str">
        <f ca="1">IFERROR(__xludf.DUMMYFUNCTION("GOOGLETRANSLATE(F25,""en"",""pt"")"),"sistemas de solo grampeado")</f>
        <v>sistemas de solo grampeado</v>
      </c>
      <c r="H25" s="20" t="s">
        <v>7938</v>
      </c>
      <c r="I25" s="20" t="s">
        <v>7939</v>
      </c>
    </row>
    <row r="26" spans="1:9" ht="15.75" customHeight="1">
      <c r="A26" s="20" t="s">
        <v>7940</v>
      </c>
      <c r="B26" s="20">
        <v>15</v>
      </c>
      <c r="C26" s="20">
        <v>10</v>
      </c>
      <c r="D26" s="20">
        <v>80</v>
      </c>
      <c r="E26" s="20">
        <v>85</v>
      </c>
      <c r="F26" s="20" t="s">
        <v>7941</v>
      </c>
      <c r="G26" s="24" t="str">
        <f ca="1">IFERROR(__xludf.DUMMYFUNCTION("GOOGLETRANSLATE(F26,""en"",""pt"")"),"sistemas de preenchimento de espaços vazios subterrâneos")</f>
        <v>sistemas de preenchimento de espaços vazios subterrâneos</v>
      </c>
      <c r="H26" s="24"/>
      <c r="I26" s="24"/>
    </row>
    <row r="27" spans="1:9" ht="15.75" customHeight="1">
      <c r="A27" s="20" t="s">
        <v>7942</v>
      </c>
      <c r="B27" s="20">
        <v>15</v>
      </c>
      <c r="C27" s="20">
        <v>30</v>
      </c>
      <c r="D27" s="24"/>
      <c r="E27" s="24"/>
      <c r="F27" s="20" t="s">
        <v>7943</v>
      </c>
      <c r="G27" s="24" t="str">
        <f ca="1">IFERROR(__xludf.DUMMYFUNCTION("GOOGLETRANSLATE(F27,""en"",""pt"")"),"sistemas de renovação de remediação, reparação e")</f>
        <v>sistemas de renovação de remediação, reparação e</v>
      </c>
      <c r="H27" s="24"/>
      <c r="I27" s="24"/>
    </row>
    <row r="28" spans="1:9" ht="15.75" customHeight="1">
      <c r="A28" s="20" t="s">
        <v>7944</v>
      </c>
      <c r="B28" s="20">
        <v>15</v>
      </c>
      <c r="C28" s="20">
        <v>30</v>
      </c>
      <c r="D28" s="20">
        <v>10</v>
      </c>
      <c r="E28" s="24"/>
      <c r="F28" s="20" t="s">
        <v>7945</v>
      </c>
      <c r="G28" s="24" t="str">
        <f ca="1">IFERROR(__xludf.DUMMYFUNCTION("GOOGLETRANSLATE(F28,""en"",""pt"")"),"serviços de construção remediação sistemas")</f>
        <v>serviços de construção remediação sistemas</v>
      </c>
      <c r="H28" s="24"/>
      <c r="I28" s="24"/>
    </row>
    <row r="29" spans="1:9" ht="15.75" customHeight="1">
      <c r="A29" s="20" t="s">
        <v>7946</v>
      </c>
      <c r="B29" s="20">
        <v>15</v>
      </c>
      <c r="C29" s="20">
        <v>30</v>
      </c>
      <c r="D29" s="20">
        <v>12</v>
      </c>
      <c r="E29" s="24"/>
      <c r="F29" s="20" t="s">
        <v>7947</v>
      </c>
      <c r="G29" s="24" t="str">
        <f ca="1">IFERROR(__xludf.DUMMYFUNCTION("GOOGLETRANSLATE(F29,""en"",""pt"")"),"Cerâmica reparação e renovação Sistemas")</f>
        <v>Cerâmica reparação e renovação Sistemas</v>
      </c>
      <c r="H29" s="24"/>
      <c r="I29" s="24"/>
    </row>
    <row r="30" spans="1:9" ht="15.75" customHeight="1">
      <c r="A30" s="20" t="s">
        <v>7948</v>
      </c>
      <c r="B30" s="20">
        <v>15</v>
      </c>
      <c r="C30" s="20">
        <v>30</v>
      </c>
      <c r="D30" s="20">
        <v>15</v>
      </c>
      <c r="E30" s="24"/>
      <c r="F30" s="20" t="s">
        <v>7949</v>
      </c>
      <c r="G30" s="24" t="str">
        <f ca="1">IFERROR(__xludf.DUMMYFUNCTION("GOOGLETRANSLATE(F30,""en"",""pt"")"),"sistemas de limpeza de betão e alvenaria")</f>
        <v>sistemas de limpeza de betão e alvenaria</v>
      </c>
      <c r="H30" s="24"/>
      <c r="I30" s="24"/>
    </row>
    <row r="31" spans="1:9" ht="15.75" customHeight="1">
      <c r="A31" s="20" t="s">
        <v>7950</v>
      </c>
      <c r="B31" s="20">
        <v>15</v>
      </c>
      <c r="C31" s="20">
        <v>30</v>
      </c>
      <c r="D31" s="20">
        <v>15</v>
      </c>
      <c r="E31" s="20">
        <v>15</v>
      </c>
      <c r="F31" s="20" t="s">
        <v>7951</v>
      </c>
      <c r="G31" s="24" t="str">
        <f ca="1">IFERROR(__xludf.DUMMYFUNCTION("GOOGLETRANSLATE(F31,""en"",""pt"")"),"sistemas de limpeza de betão")</f>
        <v>sistemas de limpeza de betão</v>
      </c>
      <c r="H31" s="20" t="s">
        <v>7952</v>
      </c>
      <c r="I31" s="20" t="s">
        <v>7953</v>
      </c>
    </row>
    <row r="32" spans="1:9" ht="15.75" customHeight="1">
      <c r="A32" s="20" t="s">
        <v>7954</v>
      </c>
      <c r="B32" s="20">
        <v>15</v>
      </c>
      <c r="C32" s="20">
        <v>30</v>
      </c>
      <c r="D32" s="20">
        <v>15</v>
      </c>
      <c r="E32" s="20">
        <v>50</v>
      </c>
      <c r="F32" s="20" t="s">
        <v>7955</v>
      </c>
      <c r="G32" s="24" t="str">
        <f ca="1">IFERROR(__xludf.DUMMYFUNCTION("GOOGLETRANSLATE(F32,""en"",""pt"")"),"sistemas de limpeza de alvenaria")</f>
        <v>sistemas de limpeza de alvenaria</v>
      </c>
      <c r="H32" s="20" t="s">
        <v>7956</v>
      </c>
      <c r="I32" s="20" t="s">
        <v>7953</v>
      </c>
    </row>
    <row r="33" spans="1:9" ht="15.75" customHeight="1">
      <c r="A33" s="20" t="s">
        <v>7957</v>
      </c>
      <c r="B33" s="20">
        <v>15</v>
      </c>
      <c r="C33" s="20">
        <v>30</v>
      </c>
      <c r="D33" s="20">
        <v>15</v>
      </c>
      <c r="E33" s="20">
        <v>65</v>
      </c>
      <c r="F33" s="20" t="s">
        <v>7958</v>
      </c>
      <c r="G33" s="24" t="str">
        <f ca="1">IFERROR(__xludf.DUMMYFUNCTION("GOOGLETRANSLATE(F33,""en"",""pt"")"),"sistemas de limpeza de concreto preliminares")</f>
        <v>sistemas de limpeza de concreto preliminares</v>
      </c>
      <c r="H33" s="20" t="s">
        <v>7959</v>
      </c>
      <c r="I33" s="20" t="s">
        <v>7953</v>
      </c>
    </row>
    <row r="34" spans="1:9" ht="15.75" customHeight="1">
      <c r="A34" s="20" t="s">
        <v>7960</v>
      </c>
      <c r="B34" s="20">
        <v>15</v>
      </c>
      <c r="C34" s="20">
        <v>30</v>
      </c>
      <c r="D34" s="20">
        <v>15</v>
      </c>
      <c r="E34" s="20">
        <v>66</v>
      </c>
      <c r="F34" s="20" t="s">
        <v>7961</v>
      </c>
      <c r="G34" s="24" t="str">
        <f ca="1">IFERROR(__xludf.DUMMYFUNCTION("GOOGLETRANSLATE(F34,""en"",""pt"")"),"sistemas de limpeza de alvenaria preliminar")</f>
        <v>sistemas de limpeza de alvenaria preliminar</v>
      </c>
      <c r="H34" s="20" t="s">
        <v>7959</v>
      </c>
      <c r="I34" s="20" t="s">
        <v>7953</v>
      </c>
    </row>
    <row r="35" spans="1:9" ht="15.75" customHeight="1">
      <c r="A35" s="20" t="s">
        <v>7962</v>
      </c>
      <c r="B35" s="20">
        <v>15</v>
      </c>
      <c r="C35" s="20">
        <v>30</v>
      </c>
      <c r="D35" s="20">
        <v>17</v>
      </c>
      <c r="E35" s="24"/>
      <c r="F35" s="20" t="s">
        <v>7963</v>
      </c>
      <c r="G35" s="24" t="str">
        <f ca="1">IFERROR(__xludf.DUMMYFUNCTION("GOOGLETRANSLATE(F35,""en"",""pt"")"),"reparação de betão e sistemas de renovação")</f>
        <v>reparação de betão e sistemas de renovação</v>
      </c>
      <c r="H35" s="24"/>
      <c r="I35" s="24"/>
    </row>
    <row r="36" spans="1:9" ht="15.75" customHeight="1">
      <c r="A36" s="20" t="s">
        <v>7964</v>
      </c>
      <c r="B36" s="20">
        <v>15</v>
      </c>
      <c r="C36" s="20">
        <v>30</v>
      </c>
      <c r="D36" s="20">
        <v>17</v>
      </c>
      <c r="E36" s="20">
        <v>10</v>
      </c>
      <c r="F36" s="20" t="s">
        <v>7965</v>
      </c>
      <c r="G36" s="24" t="str">
        <f ca="1">IFERROR(__xludf.DUMMYFUNCTION("GOOGLETRANSLATE(F36,""en"",""pt"")"),"sistemas de reparação de placas de aço ligados")</f>
        <v>sistemas de reparação de placas de aço ligados</v>
      </c>
      <c r="H36" s="20" t="s">
        <v>7966</v>
      </c>
      <c r="I36" s="20" t="s">
        <v>7967</v>
      </c>
    </row>
    <row r="37" spans="1:9" ht="15.75" customHeight="1">
      <c r="A37" s="20" t="s">
        <v>7968</v>
      </c>
      <c r="B37" s="20">
        <v>15</v>
      </c>
      <c r="C37" s="20">
        <v>30</v>
      </c>
      <c r="D37" s="20">
        <v>17</v>
      </c>
      <c r="E37" s="20">
        <v>12</v>
      </c>
      <c r="F37" s="20" t="s">
        <v>7969</v>
      </c>
      <c r="G37" s="24" t="str">
        <f ca="1">IFERROR(__xludf.DUMMYFUNCTION("GOOGLETRANSLATE(F37,""en"",""pt"")"),"Betão reparação rachadura ou sistemas de enchimento")</f>
        <v>Betão reparação rachadura ou sistemas de enchimento</v>
      </c>
      <c r="H37" s="20" t="s">
        <v>7970</v>
      </c>
      <c r="I37" s="20" t="s">
        <v>7971</v>
      </c>
    </row>
    <row r="38" spans="1:9" ht="15.75" customHeight="1">
      <c r="A38" s="20" t="s">
        <v>7972</v>
      </c>
      <c r="B38" s="20">
        <v>15</v>
      </c>
      <c r="C38" s="20">
        <v>30</v>
      </c>
      <c r="D38" s="20">
        <v>17</v>
      </c>
      <c r="E38" s="20">
        <v>14</v>
      </c>
      <c r="F38" s="20" t="s">
        <v>7973</v>
      </c>
      <c r="G38" s="24" t="str">
        <f ca="1">IFERROR(__xludf.DUMMYFUNCTION("GOOGLETRANSLATE(F38,""en"",""pt"")"),"argamassa concreto ou sistemas de sobreposição")</f>
        <v>argamassa concreto ou sistemas de sobreposição</v>
      </c>
      <c r="H38" s="20" t="s">
        <v>7974</v>
      </c>
      <c r="I38" s="20" t="s">
        <v>7971</v>
      </c>
    </row>
    <row r="39" spans="1:9" ht="14.5">
      <c r="A39" s="20" t="s">
        <v>7975</v>
      </c>
      <c r="B39" s="20">
        <v>15</v>
      </c>
      <c r="C39" s="20">
        <v>30</v>
      </c>
      <c r="D39" s="20">
        <v>17</v>
      </c>
      <c r="E39" s="20">
        <v>16</v>
      </c>
      <c r="F39" s="20" t="s">
        <v>7976</v>
      </c>
      <c r="G39" s="24" t="str">
        <f ca="1">IFERROR(__xludf.DUMMYFUNCTION("GOOGLETRANSLATE(F39,""en"",""pt"")"),"Os sistemas de revestimento de protecção em betão")</f>
        <v>Os sistemas de revestimento de protecção em betão</v>
      </c>
      <c r="H39" s="20" t="s">
        <v>7977</v>
      </c>
      <c r="I39" s="20" t="s">
        <v>7978</v>
      </c>
    </row>
    <row r="40" spans="1:9" ht="14.5">
      <c r="A40" s="20" t="s">
        <v>7979</v>
      </c>
      <c r="B40" s="20">
        <v>15</v>
      </c>
      <c r="C40" s="20">
        <v>30</v>
      </c>
      <c r="D40" s="20">
        <v>17</v>
      </c>
      <c r="E40" s="20">
        <v>18</v>
      </c>
      <c r="F40" s="20" t="s">
        <v>7980</v>
      </c>
      <c r="G40" s="24" t="str">
        <f ca="1">IFERROR(__xludf.DUMMYFUNCTION("GOOGLETRANSLATE(F40,""en"",""pt"")"),"sistemas de reparo de concreto")</f>
        <v>sistemas de reparo de concreto</v>
      </c>
      <c r="H40" s="20" t="s">
        <v>7981</v>
      </c>
      <c r="I40" s="20" t="s">
        <v>7971</v>
      </c>
    </row>
    <row r="41" spans="1:9" ht="14.5">
      <c r="A41" s="20" t="s">
        <v>7982</v>
      </c>
      <c r="B41" s="20">
        <v>15</v>
      </c>
      <c r="C41" s="20">
        <v>30</v>
      </c>
      <c r="D41" s="20">
        <v>17</v>
      </c>
      <c r="E41" s="20">
        <v>85</v>
      </c>
      <c r="F41" s="20" t="s">
        <v>7983</v>
      </c>
      <c r="G41" s="24" t="str">
        <f ca="1">IFERROR(__xludf.DUMMYFUNCTION("GOOGLETRANSLATE(F41,""en"",""pt"")"),"sistemas de reparo de concreto pulverizado")</f>
        <v>sistemas de reparo de concreto pulverizado</v>
      </c>
      <c r="H41" s="20" t="s">
        <v>7984</v>
      </c>
      <c r="I41" s="24"/>
    </row>
    <row r="42" spans="1:9" ht="14.5">
      <c r="A42" s="20" t="s">
        <v>7985</v>
      </c>
      <c r="B42" s="20">
        <v>15</v>
      </c>
      <c r="C42" s="20">
        <v>30</v>
      </c>
      <c r="D42" s="20">
        <v>32</v>
      </c>
      <c r="E42" s="24"/>
      <c r="F42" s="20" t="s">
        <v>7986</v>
      </c>
      <c r="G42" s="24" t="str">
        <f ca="1">IFERROR(__xludf.DUMMYFUNCTION("GOOGLETRANSLATE(F42,""en"",""pt"")"),"sistemas de erradicação besouro fungos e")</f>
        <v>sistemas de erradicação besouro fungos e</v>
      </c>
      <c r="H42" s="24"/>
      <c r="I42" s="24"/>
    </row>
    <row r="43" spans="1:9" ht="14.5">
      <c r="A43" s="20" t="s">
        <v>7987</v>
      </c>
      <c r="B43" s="20">
        <v>15</v>
      </c>
      <c r="C43" s="20">
        <v>30</v>
      </c>
      <c r="D43" s="20">
        <v>32</v>
      </c>
      <c r="E43" s="20">
        <v>5</v>
      </c>
      <c r="F43" s="20" t="s">
        <v>7988</v>
      </c>
      <c r="G43" s="24" t="str">
        <f ca="1">IFERROR(__xludf.DUMMYFUNCTION("GOOGLETRANSLATE(F43,""en"",""pt"")"),"sistemas de erradicação Beetle")</f>
        <v>sistemas de erradicação Beetle</v>
      </c>
      <c r="H43" s="20" t="s">
        <v>7989</v>
      </c>
      <c r="I43" s="20" t="s">
        <v>7990</v>
      </c>
    </row>
    <row r="44" spans="1:9" ht="14.5">
      <c r="A44" s="20" t="s">
        <v>7991</v>
      </c>
      <c r="B44" s="20">
        <v>15</v>
      </c>
      <c r="C44" s="20">
        <v>30</v>
      </c>
      <c r="D44" s="20">
        <v>32</v>
      </c>
      <c r="E44" s="20">
        <v>15</v>
      </c>
      <c r="F44" s="20" t="s">
        <v>7992</v>
      </c>
      <c r="G44" s="24" t="str">
        <f ca="1">IFERROR(__xludf.DUMMYFUNCTION("GOOGLETRANSLATE(F44,""en"",""pt"")"),"fungo combinadas e sistemas de tratamento de besouro")</f>
        <v>fungo combinadas e sistemas de tratamento de besouro</v>
      </c>
      <c r="H44" s="20" t="s">
        <v>7993</v>
      </c>
      <c r="I44" s="20" t="s">
        <v>7990</v>
      </c>
    </row>
    <row r="45" spans="1:9" ht="14.5">
      <c r="A45" s="20" t="s">
        <v>7994</v>
      </c>
      <c r="B45" s="20">
        <v>15</v>
      </c>
      <c r="C45" s="20">
        <v>30</v>
      </c>
      <c r="D45" s="20">
        <v>32</v>
      </c>
      <c r="E45" s="20">
        <v>35</v>
      </c>
      <c r="F45" s="20" t="s">
        <v>7995</v>
      </c>
      <c r="G45" s="24" t="str">
        <f ca="1">IFERROR(__xludf.DUMMYFUNCTION("GOOGLETRANSLATE(F45,""en"",""pt"")"),"sistemas de tratamento de infestação de ar quente")</f>
        <v>sistemas de tratamento de infestação de ar quente</v>
      </c>
      <c r="H45" s="20" t="s">
        <v>7996</v>
      </c>
      <c r="I45" s="24"/>
    </row>
    <row r="46" spans="1:9" ht="14.5">
      <c r="A46" s="20" t="s">
        <v>7997</v>
      </c>
      <c r="B46" s="20">
        <v>15</v>
      </c>
      <c r="C46" s="20">
        <v>30</v>
      </c>
      <c r="D46" s="20">
        <v>32</v>
      </c>
      <c r="E46" s="20">
        <v>50</v>
      </c>
      <c r="F46" s="20" t="s">
        <v>7998</v>
      </c>
      <c r="G46" s="24" t="str">
        <f ca="1">IFERROR(__xludf.DUMMYFUNCTION("GOOGLETRANSLATE(F46,""en"",""pt"")"),"sistemas de tratamento de fungo de alvenaria")</f>
        <v>sistemas de tratamento de fungo de alvenaria</v>
      </c>
      <c r="H46" s="20" t="s">
        <v>7999</v>
      </c>
      <c r="I46" s="20" t="s">
        <v>7990</v>
      </c>
    </row>
    <row r="47" spans="1:9" ht="14.5">
      <c r="A47" s="20" t="s">
        <v>8000</v>
      </c>
      <c r="B47" s="20">
        <v>15</v>
      </c>
      <c r="C47" s="20">
        <v>30</v>
      </c>
      <c r="D47" s="20">
        <v>32</v>
      </c>
      <c r="E47" s="20">
        <v>85</v>
      </c>
      <c r="F47" s="20" t="s">
        <v>8001</v>
      </c>
      <c r="G47" s="24" t="str">
        <f ca="1">IFERROR(__xludf.DUMMYFUNCTION("GOOGLETRANSLATE(F47,""en"",""pt"")"),"sistemas de tratamento de térmitas")</f>
        <v>sistemas de tratamento de térmitas</v>
      </c>
      <c r="H47" s="24"/>
      <c r="I47" s="24"/>
    </row>
    <row r="48" spans="1:9" ht="14.5">
      <c r="A48" s="20" t="s">
        <v>8002</v>
      </c>
      <c r="B48" s="20">
        <v>15</v>
      </c>
      <c r="C48" s="20">
        <v>30</v>
      </c>
      <c r="D48" s="20">
        <v>32</v>
      </c>
      <c r="E48" s="20">
        <v>90</v>
      </c>
      <c r="F48" s="20" t="s">
        <v>8003</v>
      </c>
      <c r="G48" s="24" t="str">
        <f ca="1">IFERROR(__xludf.DUMMYFUNCTION("GOOGLETRANSLATE(F48,""en"",""pt"")"),"sistemas de tratamento de madeira fungo")</f>
        <v>sistemas de tratamento de madeira fungo</v>
      </c>
      <c r="H48" s="20" t="s">
        <v>8004</v>
      </c>
      <c r="I48" s="20" t="s">
        <v>7990</v>
      </c>
    </row>
    <row r="49" spans="1:9" ht="14.5">
      <c r="A49" s="20" t="s">
        <v>8005</v>
      </c>
      <c r="B49" s="20">
        <v>15</v>
      </c>
      <c r="C49" s="20">
        <v>30</v>
      </c>
      <c r="D49" s="20">
        <v>33</v>
      </c>
      <c r="E49" s="24"/>
      <c r="F49" s="20" t="s">
        <v>8006</v>
      </c>
      <c r="G49" s="24" t="str">
        <f ca="1">IFERROR(__xludf.DUMMYFUNCTION("GOOGLETRANSLATE(F49,""en"",""pt"")"),"reparo de vidro e sistemas de renovação")</f>
        <v>reparo de vidro e sistemas de renovação</v>
      </c>
      <c r="H49" s="24"/>
      <c r="I49" s="24"/>
    </row>
    <row r="50" spans="1:9" ht="14.5">
      <c r="A50" s="20" t="s">
        <v>8007</v>
      </c>
      <c r="B50" s="20">
        <v>15</v>
      </c>
      <c r="C50" s="20">
        <v>30</v>
      </c>
      <c r="D50" s="20">
        <v>36</v>
      </c>
      <c r="E50" s="24"/>
      <c r="F50" s="20" t="s">
        <v>8008</v>
      </c>
      <c r="G50" s="24" t="str">
        <f ca="1">IFERROR(__xludf.DUMMYFUNCTION("GOOGLETRANSLATE(F50,""en"",""pt"")"),"sistemas grouting")</f>
        <v>sistemas grouting</v>
      </c>
      <c r="H50" s="24"/>
      <c r="I50" s="24"/>
    </row>
    <row r="51" spans="1:9" ht="14.5">
      <c r="A51" s="20" t="s">
        <v>8009</v>
      </c>
      <c r="B51" s="20">
        <v>15</v>
      </c>
      <c r="C51" s="20">
        <v>30</v>
      </c>
      <c r="D51" s="20">
        <v>50</v>
      </c>
      <c r="E51" s="24"/>
      <c r="F51" s="20" t="s">
        <v>8010</v>
      </c>
      <c r="G51" s="24" t="str">
        <f ca="1">IFERROR(__xludf.DUMMYFUNCTION("GOOGLETRANSLATE(F51,""en"",""pt"")"),"reparação de alvenaria e sistemas de renovação")</f>
        <v>reparação de alvenaria e sistemas de renovação</v>
      </c>
      <c r="H51" s="24"/>
      <c r="I51" s="24"/>
    </row>
    <row r="52" spans="1:9" ht="14.5">
      <c r="A52" s="20" t="s">
        <v>8011</v>
      </c>
      <c r="B52" s="20">
        <v>15</v>
      </c>
      <c r="C52" s="20">
        <v>30</v>
      </c>
      <c r="D52" s="20">
        <v>50</v>
      </c>
      <c r="E52" s="20">
        <v>50</v>
      </c>
      <c r="F52" s="20" t="s">
        <v>8012</v>
      </c>
      <c r="G52" s="24" t="str">
        <f ca="1">IFERROR(__xludf.DUMMYFUNCTION("GOOGLETRANSLATE(F52,""en"",""pt"")"),"sistemas de reparo de alvenaria")</f>
        <v>sistemas de reparo de alvenaria</v>
      </c>
      <c r="H52" s="20" t="s">
        <v>8013</v>
      </c>
      <c r="I52" s="20" t="s">
        <v>8014</v>
      </c>
    </row>
    <row r="53" spans="1:9" ht="14.5">
      <c r="A53" s="20" t="s">
        <v>8015</v>
      </c>
      <c r="B53" s="20">
        <v>15</v>
      </c>
      <c r="C53" s="20">
        <v>30</v>
      </c>
      <c r="D53" s="20">
        <v>50</v>
      </c>
      <c r="E53" s="20">
        <v>53</v>
      </c>
      <c r="F53" s="20" t="s">
        <v>8016</v>
      </c>
      <c r="G53" s="24" t="str">
        <f ca="1">IFERROR(__xludf.DUMMYFUNCTION("GOOGLETRANSLATE(F53,""en"",""pt"")"),"sistemas de reparo joint argamassa")</f>
        <v>sistemas de reparo joint argamassa</v>
      </c>
      <c r="H53" s="20" t="s">
        <v>8017</v>
      </c>
      <c r="I53" s="20" t="s">
        <v>8018</v>
      </c>
    </row>
    <row r="54" spans="1:9" ht="14.5">
      <c r="A54" s="20" t="s">
        <v>8019</v>
      </c>
      <c r="B54" s="20">
        <v>15</v>
      </c>
      <c r="C54" s="20">
        <v>30</v>
      </c>
      <c r="D54" s="20">
        <v>50</v>
      </c>
      <c r="E54" s="20">
        <v>55</v>
      </c>
      <c r="F54" s="20" t="s">
        <v>8020</v>
      </c>
      <c r="G54" s="24" t="str">
        <f ca="1">IFERROR(__xludf.DUMMYFUNCTION("GOOGLETRANSLATE(F54,""en"",""pt"")"),"sistemas de refechamento de juntas de argamassa")</f>
        <v>sistemas de refechamento de juntas de argamassa</v>
      </c>
      <c r="H54" s="20" t="s">
        <v>8021</v>
      </c>
      <c r="I54" s="20" t="s">
        <v>8018</v>
      </c>
    </row>
    <row r="55" spans="1:9" ht="14.5">
      <c r="A55" s="20" t="s">
        <v>8022</v>
      </c>
      <c r="B55" s="20">
        <v>15</v>
      </c>
      <c r="C55" s="20">
        <v>30</v>
      </c>
      <c r="D55" s="20">
        <v>52</v>
      </c>
      <c r="E55" s="24"/>
      <c r="F55" s="20" t="s">
        <v>8023</v>
      </c>
      <c r="G55" s="24" t="str">
        <f ca="1">IFERROR(__xludf.DUMMYFUNCTION("GOOGLETRANSLATE(F55,""en"",""pt"")"),"reparação de metal e sistemas de renovação")</f>
        <v>reparação de metal e sistemas de renovação</v>
      </c>
      <c r="H55" s="24"/>
      <c r="I55" s="24"/>
    </row>
    <row r="56" spans="1:9" ht="14.5">
      <c r="A56" s="20" t="s">
        <v>8024</v>
      </c>
      <c r="B56" s="20">
        <v>15</v>
      </c>
      <c r="C56" s="20">
        <v>30</v>
      </c>
      <c r="D56" s="20">
        <v>52</v>
      </c>
      <c r="E56" s="20">
        <v>3</v>
      </c>
      <c r="F56" s="20" t="s">
        <v>8025</v>
      </c>
      <c r="G56" s="24" t="str">
        <f ca="1">IFERROR(__xludf.DUMMYFUNCTION("GOOGLETRANSLATE(F56,""en"",""pt"")"),"sistemas de reparo de alumínio")</f>
        <v>sistemas de reparo de alumínio</v>
      </c>
      <c r="H56" s="24"/>
      <c r="I56" s="24"/>
    </row>
    <row r="57" spans="1:9" ht="14.5">
      <c r="A57" s="20" t="s">
        <v>8026</v>
      </c>
      <c r="B57" s="20">
        <v>15</v>
      </c>
      <c r="C57" s="20">
        <v>30</v>
      </c>
      <c r="D57" s="20">
        <v>52</v>
      </c>
      <c r="E57" s="20">
        <v>15</v>
      </c>
      <c r="F57" s="20" t="s">
        <v>8027</v>
      </c>
      <c r="G57" s="24" t="str">
        <f ca="1">IFERROR(__xludf.DUMMYFUNCTION("GOOGLETRANSLATE(F57,""en"",""pt"")"),"sistemas de reparo de cobre")</f>
        <v>sistemas de reparo de cobre</v>
      </c>
      <c r="H57" s="24"/>
      <c r="I57" s="24"/>
    </row>
    <row r="58" spans="1:9" ht="14.5">
      <c r="A58" s="20" t="s">
        <v>8028</v>
      </c>
      <c r="B58" s="20">
        <v>15</v>
      </c>
      <c r="C58" s="20">
        <v>30</v>
      </c>
      <c r="D58" s="20">
        <v>52</v>
      </c>
      <c r="E58" s="20">
        <v>42</v>
      </c>
      <c r="F58" s="20" t="s">
        <v>8029</v>
      </c>
      <c r="G58" s="24" t="str">
        <f ca="1">IFERROR(__xludf.DUMMYFUNCTION("GOOGLETRANSLATE(F58,""en"",""pt"")"),"sistemas de reparo de ferro")</f>
        <v>sistemas de reparo de ferro</v>
      </c>
      <c r="H58" s="24"/>
      <c r="I58" s="24"/>
    </row>
    <row r="59" spans="1:9" ht="14.5">
      <c r="A59" s="20" t="s">
        <v>8030</v>
      </c>
      <c r="B59" s="20">
        <v>15</v>
      </c>
      <c r="C59" s="20">
        <v>30</v>
      </c>
      <c r="D59" s="20">
        <v>52</v>
      </c>
      <c r="E59" s="20">
        <v>46</v>
      </c>
      <c r="F59" s="20" t="s">
        <v>8031</v>
      </c>
      <c r="G59" s="24" t="str">
        <f ca="1">IFERROR(__xludf.DUMMYFUNCTION("GOOGLETRANSLATE(F59,""en"",""pt"")"),"sistemas de reparo de chumbo")</f>
        <v>sistemas de reparo de chumbo</v>
      </c>
      <c r="H59" s="24"/>
      <c r="I59" s="24"/>
    </row>
    <row r="60" spans="1:9" ht="14.5">
      <c r="A60" s="20" t="s">
        <v>8032</v>
      </c>
      <c r="B60" s="20">
        <v>15</v>
      </c>
      <c r="C60" s="20">
        <v>30</v>
      </c>
      <c r="D60" s="20">
        <v>52</v>
      </c>
      <c r="E60" s="20">
        <v>84</v>
      </c>
      <c r="F60" s="20" t="s">
        <v>8033</v>
      </c>
      <c r="G60" s="24" t="str">
        <f ca="1">IFERROR(__xludf.DUMMYFUNCTION("GOOGLETRANSLATE(F60,""en"",""pt"")"),"sistemas de reparação de aço")</f>
        <v>sistemas de reparação de aço</v>
      </c>
      <c r="H60" s="24"/>
      <c r="I60" s="24"/>
    </row>
    <row r="61" spans="1:9" ht="14.5">
      <c r="A61" s="20" t="s">
        <v>8034</v>
      </c>
      <c r="B61" s="20">
        <v>15</v>
      </c>
      <c r="C61" s="20">
        <v>30</v>
      </c>
      <c r="D61" s="20">
        <v>65</v>
      </c>
      <c r="E61" s="24"/>
      <c r="F61" s="20" t="s">
        <v>8035</v>
      </c>
      <c r="G61" s="24" t="str">
        <f ca="1">IFERROR(__xludf.DUMMYFUNCTION("GOOGLETRANSLATE(F61,""en"",""pt"")"),"sistemas de renovação Pipeline")</f>
        <v>sistemas de renovação Pipeline</v>
      </c>
      <c r="H61" s="24"/>
      <c r="I61" s="24"/>
    </row>
    <row r="62" spans="1:9" ht="14.5">
      <c r="A62" s="20" t="s">
        <v>8036</v>
      </c>
      <c r="B62" s="20">
        <v>15</v>
      </c>
      <c r="C62" s="20">
        <v>30</v>
      </c>
      <c r="D62" s="20">
        <v>65</v>
      </c>
      <c r="E62" s="20">
        <v>15</v>
      </c>
      <c r="F62" s="20" t="s">
        <v>8037</v>
      </c>
      <c r="G62" s="24" t="str">
        <f ca="1">IFERROR(__xludf.DUMMYFUNCTION("GOOGLETRANSLATE(F62,""en"",""pt"")"),"Fechar ajuste plásticos Sistemas de revestimento de tubos")</f>
        <v>Fechar ajuste plásticos Sistemas de revestimento de tubos</v>
      </c>
      <c r="H62" s="20" t="s">
        <v>8038</v>
      </c>
      <c r="I62" s="24"/>
    </row>
    <row r="63" spans="1:9" ht="14.5">
      <c r="A63" s="20" t="s">
        <v>8039</v>
      </c>
      <c r="B63" s="20">
        <v>15</v>
      </c>
      <c r="C63" s="20">
        <v>30</v>
      </c>
      <c r="D63" s="20">
        <v>65</v>
      </c>
      <c r="E63" s="20">
        <v>17</v>
      </c>
      <c r="F63" s="20" t="s">
        <v>8040</v>
      </c>
      <c r="G63" s="24" t="str">
        <f ca="1">IFERROR(__xludf.DUMMYFUNCTION("GOOGLETRANSLATE(F63,""en"",""pt"")"),"plásticos contínuas sistemas de revestimento de tubos")</f>
        <v>plásticos contínuas sistemas de revestimento de tubos</v>
      </c>
      <c r="H63" s="20" t="s">
        <v>8041</v>
      </c>
      <c r="I63" s="24"/>
    </row>
    <row r="64" spans="1:9" ht="14.5">
      <c r="A64" s="20" t="s">
        <v>8042</v>
      </c>
      <c r="B64" s="20">
        <v>15</v>
      </c>
      <c r="C64" s="20">
        <v>30</v>
      </c>
      <c r="D64" s="20">
        <v>65</v>
      </c>
      <c r="E64" s="20">
        <v>20</v>
      </c>
      <c r="F64" s="20" t="s">
        <v>8043</v>
      </c>
      <c r="G64" s="24" t="str">
        <f ca="1">IFERROR(__xludf.DUMMYFUNCTION("GOOGLETRANSLATE(F64,""en"",""pt"")"),"Curado em sistemas de revestimento lugar")</f>
        <v>Curado em sistemas de revestimento lugar</v>
      </c>
      <c r="H64" s="20" t="s">
        <v>8044</v>
      </c>
      <c r="I64" s="24"/>
    </row>
    <row r="65" spans="1:9" ht="14.5">
      <c r="A65" s="20" t="s">
        <v>8045</v>
      </c>
      <c r="B65" s="20">
        <v>15</v>
      </c>
      <c r="C65" s="20">
        <v>30</v>
      </c>
      <c r="D65" s="20">
        <v>65</v>
      </c>
      <c r="E65" s="20">
        <v>65</v>
      </c>
      <c r="F65" s="20" t="s">
        <v>8046</v>
      </c>
      <c r="G65" s="24" t="str">
        <f ca="1">IFERROR(__xludf.DUMMYFUNCTION("GOOGLETRANSLATE(F65,""en"",""pt"")"),"sistemas de revestimento de pré-formados")</f>
        <v>sistemas de revestimento de pré-formados</v>
      </c>
      <c r="H65" s="20" t="s">
        <v>8047</v>
      </c>
      <c r="I65" s="24"/>
    </row>
    <row r="66" spans="1:9" ht="14.5">
      <c r="A66" s="20" t="s">
        <v>8048</v>
      </c>
      <c r="B66" s="20">
        <v>15</v>
      </c>
      <c r="C66" s="20">
        <v>30</v>
      </c>
      <c r="D66" s="20">
        <v>65</v>
      </c>
      <c r="E66" s="20">
        <v>72</v>
      </c>
      <c r="F66" s="20" t="s">
        <v>8049</v>
      </c>
      <c r="G66" s="24" t="str">
        <f ca="1">IFERROR(__xludf.DUMMYFUNCTION("GOOGLETRANSLATE(F66,""en"",""pt"")"),"plásticos rigidamente ancorados camada interior (rapL) Sistemas de Revestimento")</f>
        <v>plásticos rigidamente ancorados camada interior (rapL) Sistemas de Revestimento</v>
      </c>
      <c r="H66" s="20" t="s">
        <v>8050</v>
      </c>
      <c r="I66" s="24"/>
    </row>
    <row r="67" spans="1:9" ht="14.5">
      <c r="A67" s="20" t="s">
        <v>8051</v>
      </c>
      <c r="B67" s="20">
        <v>15</v>
      </c>
      <c r="C67" s="20">
        <v>30</v>
      </c>
      <c r="D67" s="20">
        <v>65</v>
      </c>
      <c r="E67" s="20">
        <v>80</v>
      </c>
      <c r="F67" s="20" t="s">
        <v>8052</v>
      </c>
      <c r="G67" s="24" t="str">
        <f ca="1">IFERROR(__xludf.DUMMYFUNCTION("GOOGLETRANSLATE(F67,""en"",""pt"")"),"Sistemas de revestimento de pulverizador")</f>
        <v>Sistemas de revestimento de pulverizador</v>
      </c>
      <c r="H67" s="24"/>
      <c r="I67" s="24"/>
    </row>
    <row r="68" spans="1:9" ht="14.5">
      <c r="A68" s="20" t="s">
        <v>8053</v>
      </c>
      <c r="B68" s="20">
        <v>15</v>
      </c>
      <c r="C68" s="20">
        <v>30</v>
      </c>
      <c r="D68" s="20">
        <v>65</v>
      </c>
      <c r="E68" s="20">
        <v>81</v>
      </c>
      <c r="F68" s="20" t="s">
        <v>8054</v>
      </c>
      <c r="G68" s="24" t="str">
        <f ca="1">IFERROR(__xludf.DUMMYFUNCTION("GOOGLETRANSLATE(F68,""en"",""pt"")"),"Enroladas helicoidalmente plásticos sistemas de revestimento de tubos")</f>
        <v>Enroladas helicoidalmente plásticos sistemas de revestimento de tubos</v>
      </c>
      <c r="H68" s="20" t="s">
        <v>8055</v>
      </c>
      <c r="I68" s="24"/>
    </row>
    <row r="69" spans="1:9" ht="14.5">
      <c r="A69" s="20" t="s">
        <v>8056</v>
      </c>
      <c r="B69" s="20">
        <v>15</v>
      </c>
      <c r="C69" s="20">
        <v>30</v>
      </c>
      <c r="D69" s="20">
        <v>90</v>
      </c>
      <c r="E69" s="24"/>
      <c r="F69" s="20" t="s">
        <v>8057</v>
      </c>
      <c r="G69" s="24" t="str">
        <f ca="1">IFERROR(__xludf.DUMMYFUNCTION("GOOGLETRANSLATE(F69,""en"",""pt"")"),"reparação de madeira e sistemas de renovação")</f>
        <v>reparação de madeira e sistemas de renovação</v>
      </c>
      <c r="H69" s="24"/>
      <c r="I69" s="24"/>
    </row>
    <row r="70" spans="1:9" ht="14.5">
      <c r="A70" s="20" t="s">
        <v>8058</v>
      </c>
      <c r="B70" s="20">
        <v>15</v>
      </c>
      <c r="C70" s="20">
        <v>30</v>
      </c>
      <c r="D70" s="20">
        <v>90</v>
      </c>
      <c r="E70" s="20">
        <v>82</v>
      </c>
      <c r="F70" s="20" t="s">
        <v>8059</v>
      </c>
      <c r="G70" s="24" t="str">
        <f ca="1">IFERROR(__xludf.DUMMYFUNCTION("GOOGLETRANSLATE(F70,""en"",""pt"")"),"sistemas de reparação de colo de extremidade da madeira")</f>
        <v>sistemas de reparação de colo de extremidade da madeira</v>
      </c>
      <c r="H70" s="20" t="s">
        <v>8060</v>
      </c>
      <c r="I70" s="20" t="s">
        <v>8061</v>
      </c>
    </row>
    <row r="71" spans="1:9" ht="14.5">
      <c r="A71" s="20" t="s">
        <v>8062</v>
      </c>
      <c r="B71" s="20">
        <v>15</v>
      </c>
      <c r="C71" s="20">
        <v>30</v>
      </c>
      <c r="D71" s="20">
        <v>90</v>
      </c>
      <c r="E71" s="20">
        <v>84</v>
      </c>
      <c r="F71" s="20" t="s">
        <v>8063</v>
      </c>
      <c r="G71" s="24" t="str">
        <f ca="1">IFERROR(__xludf.DUMMYFUNCTION("GOOGLETRANSLATE(F71,""en"",""pt"")"),"sistemas de fortalecimento conjunta de madeira")</f>
        <v>sistemas de fortalecimento conjunta de madeira</v>
      </c>
      <c r="H71" s="20" t="s">
        <v>8064</v>
      </c>
      <c r="I71" s="20" t="s">
        <v>8061</v>
      </c>
    </row>
    <row r="72" spans="1:9" ht="14.5">
      <c r="A72" s="20" t="s">
        <v>8065</v>
      </c>
      <c r="B72" s="20">
        <v>15</v>
      </c>
      <c r="C72" s="20">
        <v>30</v>
      </c>
      <c r="D72" s="20">
        <v>90</v>
      </c>
      <c r="E72" s="20">
        <v>86</v>
      </c>
      <c r="F72" s="20" t="s">
        <v>8066</v>
      </c>
      <c r="G72" s="24" t="str">
        <f ca="1">IFERROR(__xludf.DUMMYFUNCTION("GOOGLETRANSLATE(F72,""en"",""pt"")"),"sistemas de junção externa Timber seção de reparação")</f>
        <v>sistemas de junção externa Timber seção de reparação</v>
      </c>
      <c r="H72" s="20" t="s">
        <v>8060</v>
      </c>
      <c r="I72" s="20" t="s">
        <v>8061</v>
      </c>
    </row>
    <row r="73" spans="1:9" ht="14.5">
      <c r="A73" s="20" t="s">
        <v>8067</v>
      </c>
      <c r="B73" s="20">
        <v>15</v>
      </c>
      <c r="C73" s="20">
        <v>30</v>
      </c>
      <c r="D73" s="20">
        <v>90</v>
      </c>
      <c r="E73" s="20">
        <v>88</v>
      </c>
      <c r="F73" s="20" t="s">
        <v>8068</v>
      </c>
      <c r="G73" s="24" t="str">
        <f ca="1">IFERROR(__xludf.DUMMYFUNCTION("GOOGLETRANSLATE(F73,""en"",""pt"")"),"sistemas de reforço interna Timber seção de reparação")</f>
        <v>sistemas de reforço interna Timber seção de reparação</v>
      </c>
      <c r="H73" s="20" t="s">
        <v>8060</v>
      </c>
      <c r="I73" s="20" t="s">
        <v>8061</v>
      </c>
    </row>
    <row r="74" spans="1:9" ht="14.5">
      <c r="A74" s="20" t="s">
        <v>8069</v>
      </c>
      <c r="B74" s="20">
        <v>15</v>
      </c>
      <c r="C74" s="20">
        <v>30</v>
      </c>
      <c r="D74" s="20">
        <v>90</v>
      </c>
      <c r="E74" s="20">
        <v>90</v>
      </c>
      <c r="F74" s="20" t="s">
        <v>8070</v>
      </c>
      <c r="G74" s="24" t="str">
        <f ca="1">IFERROR(__xludf.DUMMYFUNCTION("GOOGLETRANSLATE(F74,""en"",""pt"")"),"seção de madeira fortalecimento dos sistemas de reforço externo")</f>
        <v>seção de madeira fortalecimento dos sistemas de reforço externo</v>
      </c>
      <c r="H74" s="20" t="s">
        <v>8071</v>
      </c>
      <c r="I74" s="20" t="s">
        <v>8061</v>
      </c>
    </row>
    <row r="75" spans="1:9" ht="14.5">
      <c r="A75" s="20" t="s">
        <v>8072</v>
      </c>
      <c r="B75" s="20">
        <v>15</v>
      </c>
      <c r="C75" s="20">
        <v>30</v>
      </c>
      <c r="D75" s="20">
        <v>90</v>
      </c>
      <c r="E75" s="20">
        <v>92</v>
      </c>
      <c r="F75" s="20" t="s">
        <v>8073</v>
      </c>
      <c r="G75" s="24" t="str">
        <f ca="1">IFERROR(__xludf.DUMMYFUNCTION("GOOGLETRANSLATE(F75,""en"",""pt"")"),"seção de madeira fortalecimento dos sistemas de reforço interno")</f>
        <v>seção de madeira fortalecimento dos sistemas de reforço interno</v>
      </c>
      <c r="H75" s="20" t="s">
        <v>8071</v>
      </c>
      <c r="I75" s="20" t="s">
        <v>8061</v>
      </c>
    </row>
    <row r="76" spans="1:9" ht="14.5">
      <c r="A76" s="20" t="s">
        <v>8074</v>
      </c>
      <c r="B76" s="20">
        <v>15</v>
      </c>
      <c r="C76" s="20">
        <v>95</v>
      </c>
      <c r="D76" s="24"/>
      <c r="E76" s="24"/>
      <c r="F76" s="20" t="s">
        <v>8075</v>
      </c>
      <c r="G76" s="24" t="str">
        <f ca="1">IFERROR(__xludf.DUMMYFUNCTION("GOOGLETRANSLATE(F76,""en"",""pt"")"),"sistemas de trabalhos temporários")</f>
        <v>sistemas de trabalhos temporários</v>
      </c>
      <c r="H76" s="24"/>
      <c r="I76" s="24"/>
    </row>
    <row r="77" spans="1:9" ht="14.5">
      <c r="A77" s="20" t="s">
        <v>8076</v>
      </c>
      <c r="B77" s="20">
        <v>15</v>
      </c>
      <c r="C77" s="20">
        <v>95</v>
      </c>
      <c r="D77" s="20">
        <v>15</v>
      </c>
      <c r="E77" s="24"/>
      <c r="F77" s="20" t="s">
        <v>8077</v>
      </c>
      <c r="G77" s="24" t="str">
        <f ca="1">IFERROR(__xludf.DUMMYFUNCTION("GOOGLETRANSLATE(F77,""en"",""pt"")"),"Temporários sistemas trabalhos preparatórios")</f>
        <v>Temporários sistemas trabalhos preparatórios</v>
      </c>
      <c r="H77" s="24"/>
      <c r="I77" s="24"/>
    </row>
    <row r="78" spans="1:9" ht="14.5">
      <c r="A78" s="20" t="s">
        <v>8078</v>
      </c>
      <c r="B78" s="20">
        <v>15</v>
      </c>
      <c r="C78" s="20">
        <v>95</v>
      </c>
      <c r="D78" s="20">
        <v>15</v>
      </c>
      <c r="E78" s="20">
        <v>10</v>
      </c>
      <c r="F78" s="20" t="s">
        <v>8079</v>
      </c>
      <c r="G78" s="24" t="str">
        <f ca="1">IFERROR(__xludf.DUMMYFUNCTION("GOOGLETRANSLATE(F78,""en"",""pt"")"),"sistemas de poços")</f>
        <v>sistemas de poços</v>
      </c>
      <c r="H78" s="24"/>
      <c r="I78" s="24"/>
    </row>
    <row r="79" spans="1:9" ht="14.5">
      <c r="A79" s="20" t="s">
        <v>8080</v>
      </c>
      <c r="B79" s="20">
        <v>15</v>
      </c>
      <c r="C79" s="20">
        <v>95</v>
      </c>
      <c r="D79" s="20">
        <v>17</v>
      </c>
      <c r="E79" s="24"/>
      <c r="F79" s="20" t="s">
        <v>8081</v>
      </c>
      <c r="G79" s="24" t="str">
        <f ca="1">IFERROR(__xludf.DUMMYFUNCTION("GOOGLETRANSLATE(F79,""en"",""pt"")"),"sistemas de protecção temporária")</f>
        <v>sistemas de protecção temporária</v>
      </c>
      <c r="H79" s="24"/>
      <c r="I79" s="24"/>
    </row>
    <row r="80" spans="1:9" ht="14.5">
      <c r="A80" s="20" t="s">
        <v>8082</v>
      </c>
      <c r="B80" s="20">
        <v>15</v>
      </c>
      <c r="C80" s="20">
        <v>95</v>
      </c>
      <c r="D80" s="20">
        <v>17</v>
      </c>
      <c r="E80" s="20">
        <v>90</v>
      </c>
      <c r="F80" s="20" t="s">
        <v>8083</v>
      </c>
      <c r="G80" s="24" t="str">
        <f ca="1">IFERROR(__xludf.DUMMYFUNCTION("GOOGLETRANSLATE(F80,""en"",""pt"")"),"sistemas de aterramento temporário")</f>
        <v>sistemas de aterramento temporário</v>
      </c>
      <c r="H80" s="24"/>
      <c r="I80" s="24"/>
    </row>
    <row r="81" spans="1:9" ht="14.5">
      <c r="A81" s="20" t="s">
        <v>8084</v>
      </c>
      <c r="B81" s="20">
        <v>15</v>
      </c>
      <c r="C81" s="20">
        <v>95</v>
      </c>
      <c r="D81" s="20">
        <v>20</v>
      </c>
      <c r="E81" s="24"/>
      <c r="F81" s="20" t="s">
        <v>8085</v>
      </c>
      <c r="G81" s="24" t="str">
        <f ca="1">IFERROR(__xludf.DUMMYFUNCTION("GOOGLETRANSLATE(F81,""en"",""pt"")"),"sistemas de obras estruturais toda entidade temporária")</f>
        <v>sistemas de obras estruturais toda entidade temporária</v>
      </c>
      <c r="H81" s="24"/>
      <c r="I81" s="24"/>
    </row>
    <row r="82" spans="1:9" ht="14.5">
      <c r="A82" s="20" t="s">
        <v>8086</v>
      </c>
      <c r="B82" s="20">
        <v>15</v>
      </c>
      <c r="C82" s="20">
        <v>95</v>
      </c>
      <c r="D82" s="20">
        <v>20</v>
      </c>
      <c r="E82" s="20">
        <v>30</v>
      </c>
      <c r="F82" s="20" t="s">
        <v>8087</v>
      </c>
      <c r="G82" s="24" t="str">
        <f ca="1">IFERROR(__xludf.DUMMYFUNCTION("GOOGLETRANSLATE(F82,""en"",""pt"")"),"Voar sistemas shores")</f>
        <v>Voar sistemas shores</v>
      </c>
      <c r="H82" s="20" t="s">
        <v>8088</v>
      </c>
      <c r="I82" s="20" t="s">
        <v>8089</v>
      </c>
    </row>
    <row r="83" spans="1:9" ht="14.5">
      <c r="A83" s="20" t="s">
        <v>8090</v>
      </c>
      <c r="B83" s="20">
        <v>15</v>
      </c>
      <c r="C83" s="20">
        <v>95</v>
      </c>
      <c r="D83" s="20">
        <v>20</v>
      </c>
      <c r="E83" s="20">
        <v>32</v>
      </c>
      <c r="F83" s="20" t="s">
        <v>8091</v>
      </c>
      <c r="G83" s="24" t="str">
        <f ca="1">IFERROR(__xludf.DUMMYFUNCTION("GOOGLETRANSLATE(F83,""en"",""pt"")"),"sistemas de estrutura de retenção emoldurada")</f>
        <v>sistemas de estrutura de retenção emoldurada</v>
      </c>
      <c r="H83" s="20" t="s">
        <v>8092</v>
      </c>
      <c r="I83" s="20" t="s">
        <v>8093</v>
      </c>
    </row>
    <row r="84" spans="1:9" ht="14.5">
      <c r="A84" s="20" t="s">
        <v>8094</v>
      </c>
      <c r="B84" s="20">
        <v>15</v>
      </c>
      <c r="C84" s="20">
        <v>95</v>
      </c>
      <c r="D84" s="20">
        <v>20</v>
      </c>
      <c r="E84" s="20">
        <v>70</v>
      </c>
      <c r="F84" s="20" t="s">
        <v>8095</v>
      </c>
      <c r="G84" s="24" t="str">
        <f ca="1">IFERROR(__xludf.DUMMYFUNCTION("GOOGLETRANSLATE(F84,""en"",""pt"")"),"Raking sistemas shores")</f>
        <v>Raking sistemas shores</v>
      </c>
      <c r="H84" s="20" t="s">
        <v>8096</v>
      </c>
      <c r="I84" s="20" t="s">
        <v>8089</v>
      </c>
    </row>
    <row r="85" spans="1:9" ht="14.5">
      <c r="A85" s="20" t="s">
        <v>8097</v>
      </c>
      <c r="B85" s="20">
        <v>15</v>
      </c>
      <c r="C85" s="20">
        <v>95</v>
      </c>
      <c r="D85" s="20">
        <v>20</v>
      </c>
      <c r="E85" s="20">
        <v>72</v>
      </c>
      <c r="F85" s="20" t="s">
        <v>8098</v>
      </c>
      <c r="G85" s="24" t="str">
        <f ca="1">IFERROR(__xludf.DUMMYFUNCTION("GOOGLETRANSLATE(F85,""en"",""pt"")"),"sistemas de estrutura de retenção")</f>
        <v>sistemas de estrutura de retenção</v>
      </c>
      <c r="H85" s="20" t="s">
        <v>8099</v>
      </c>
      <c r="I85" s="20" t="s">
        <v>8093</v>
      </c>
    </row>
    <row r="86" spans="1:9" ht="14.5">
      <c r="A86" s="20" t="s">
        <v>8100</v>
      </c>
      <c r="B86" s="20">
        <v>15</v>
      </c>
      <c r="C86" s="20">
        <v>95</v>
      </c>
      <c r="D86" s="20">
        <v>20</v>
      </c>
      <c r="E86" s="20">
        <v>75</v>
      </c>
      <c r="F86" s="20" t="s">
        <v>8101</v>
      </c>
      <c r="G86" s="24" t="str">
        <f ca="1">IFERROR(__xludf.DUMMYFUNCTION("GOOGLETRANSLATE(F86,""en"",""pt"")"),"sistemas de estrutura de retenção de andaime")</f>
        <v>sistemas de estrutura de retenção de andaime</v>
      </c>
      <c r="H86" s="24"/>
      <c r="I86" s="24"/>
    </row>
    <row r="87" spans="1:9" ht="14.5">
      <c r="A87" s="20" t="s">
        <v>8102</v>
      </c>
      <c r="B87" s="20">
        <v>15</v>
      </c>
      <c r="C87" s="20">
        <v>95</v>
      </c>
      <c r="D87" s="20">
        <v>20</v>
      </c>
      <c r="E87" s="20">
        <v>87</v>
      </c>
      <c r="F87" s="20" t="s">
        <v>8103</v>
      </c>
      <c r="G87" s="24" t="str">
        <f ca="1">IFERROR(__xludf.DUMMYFUNCTION("GOOGLETRANSLATE(F87,""en"",""pt"")"),"sistemas de propulsão pit")</f>
        <v>sistemas de propulsão pit</v>
      </c>
      <c r="H87" s="24"/>
      <c r="I87" s="24"/>
    </row>
    <row r="88" spans="1:9" ht="14.5">
      <c r="A88" s="20" t="s">
        <v>8104</v>
      </c>
      <c r="B88" s="20">
        <v>15</v>
      </c>
      <c r="C88" s="20">
        <v>95</v>
      </c>
      <c r="D88" s="20">
        <v>25</v>
      </c>
      <c r="E88" s="24"/>
      <c r="F88" s="20" t="s">
        <v>8105</v>
      </c>
      <c r="G88" s="24" t="str">
        <f ca="1">IFERROR(__xludf.DUMMYFUNCTION("GOOGLETRANSLATE(F88,""en"",""pt"")"),"sistemas de parede temporária e de barreira obras")</f>
        <v>sistemas de parede temporária e de barreira obras</v>
      </c>
      <c r="H88" s="24"/>
      <c r="I88" s="24"/>
    </row>
    <row r="89" spans="1:9" ht="14.5">
      <c r="A89" s="20" t="s">
        <v>8106</v>
      </c>
      <c r="B89" s="20">
        <v>15</v>
      </c>
      <c r="C89" s="20">
        <v>95</v>
      </c>
      <c r="D89" s="20">
        <v>30</v>
      </c>
      <c r="E89" s="24"/>
      <c r="F89" s="20" t="s">
        <v>8107</v>
      </c>
      <c r="G89" s="24" t="str">
        <f ca="1">IFERROR(__xludf.DUMMYFUNCTION("GOOGLETRANSLATE(F89,""en"",""pt"")"),"telhado temporária, piso e sistemas de obras de pavimentação")</f>
        <v>telhado temporária, piso e sistemas de obras de pavimentação</v>
      </c>
      <c r="H89" s="24"/>
      <c r="I89" s="24"/>
    </row>
    <row r="90" spans="1:9" ht="14.5">
      <c r="A90" s="20" t="s">
        <v>8108</v>
      </c>
      <c r="B90" s="20">
        <v>15</v>
      </c>
      <c r="C90" s="20">
        <v>95</v>
      </c>
      <c r="D90" s="20">
        <v>32</v>
      </c>
      <c r="E90" s="24"/>
      <c r="F90" s="20" t="s">
        <v>8109</v>
      </c>
      <c r="G90" s="24" t="str">
        <f ca="1">IFERROR(__xludf.DUMMYFUNCTION("GOOGLETRANSLATE(F90,""en"",""pt"")"),"água temporário e sistemas de gestão de terras")</f>
        <v>água temporário e sistemas de gestão de terras</v>
      </c>
      <c r="H90" s="24"/>
      <c r="I90" s="24"/>
    </row>
    <row r="91" spans="1:9" ht="14.5">
      <c r="A91" s="20" t="s">
        <v>8110</v>
      </c>
      <c r="B91" s="20">
        <v>15</v>
      </c>
      <c r="C91" s="20">
        <v>95</v>
      </c>
      <c r="D91" s="20">
        <v>32</v>
      </c>
      <c r="E91" s="20">
        <v>85</v>
      </c>
      <c r="F91" s="20" t="s">
        <v>8111</v>
      </c>
      <c r="G91" s="24" t="str">
        <f ca="1">IFERROR(__xludf.DUMMYFUNCTION("GOOGLETRANSLATE(F91,""en"",""pt"")"),"sedimentação lagoas")</f>
        <v>sedimentação lagoas</v>
      </c>
      <c r="H91" s="24"/>
      <c r="I91" s="24"/>
    </row>
    <row r="92" spans="1:9" ht="14.5">
      <c r="A92" s="20" t="s">
        <v>8112</v>
      </c>
      <c r="B92" s="20">
        <v>15</v>
      </c>
      <c r="C92" s="20">
        <v>95</v>
      </c>
      <c r="D92" s="20">
        <v>35</v>
      </c>
      <c r="E92" s="24"/>
      <c r="F92" s="20" t="s">
        <v>8113</v>
      </c>
      <c r="G92" s="24" t="str">
        <f ca="1">IFERROR(__xludf.DUMMYFUNCTION("GOOGLETRANSLATE(F92,""en"",""pt"")"),"acesso fixo temporário, túnel, eixo, navio e torre de sistemas funciona")</f>
        <v>acesso fixo temporário, túnel, eixo, navio e torre de sistemas funciona</v>
      </c>
      <c r="H92" s="24"/>
      <c r="I92" s="24"/>
    </row>
    <row r="93" spans="1:9" ht="14.5">
      <c r="A93" s="20" t="s">
        <v>8114</v>
      </c>
      <c r="B93" s="20">
        <v>15</v>
      </c>
      <c r="C93" s="20">
        <v>95</v>
      </c>
      <c r="D93" s="20">
        <v>40</v>
      </c>
      <c r="E93" s="24"/>
      <c r="F93" s="20" t="s">
        <v>8115</v>
      </c>
      <c r="G93" s="24" t="str">
        <f ca="1">IFERROR(__xludf.DUMMYFUNCTION("GOOGLETRANSLATE(F93,""en"",""pt"")"),"sinalização temporária e acessórios, mobiliário e equipamentos (FF &amp; E) sistemas funciona")</f>
        <v>sinalização temporária e acessórios, mobiliário e equipamentos (FF &amp; E) sistemas funciona</v>
      </c>
      <c r="H93" s="24"/>
      <c r="I93" s="24"/>
    </row>
    <row r="94" spans="1:9" ht="14.5">
      <c r="A94" s="20" t="s">
        <v>8116</v>
      </c>
      <c r="B94" s="20">
        <v>15</v>
      </c>
      <c r="C94" s="20">
        <v>95</v>
      </c>
      <c r="D94" s="20">
        <v>45</v>
      </c>
      <c r="E94" s="24"/>
      <c r="F94" s="20" t="s">
        <v>8117</v>
      </c>
      <c r="G94" s="24" t="str">
        <f ca="1">IFERROR(__xludf.DUMMYFUNCTION("GOOGLETRANSLATE(F94,""en"",""pt"")"),"flora temporários e sistemas de fauna")</f>
        <v>flora temporários e sistemas de fauna</v>
      </c>
      <c r="H94" s="24"/>
      <c r="I94" s="24"/>
    </row>
    <row r="95" spans="1:9" ht="14.5">
      <c r="A95" s="20" t="s">
        <v>8118</v>
      </c>
      <c r="B95" s="20">
        <v>15</v>
      </c>
      <c r="C95" s="20">
        <v>95</v>
      </c>
      <c r="D95" s="20">
        <v>45</v>
      </c>
      <c r="E95" s="20">
        <v>42</v>
      </c>
      <c r="F95" s="20" t="s">
        <v>8119</v>
      </c>
      <c r="G95" s="24" t="str">
        <f ca="1">IFERROR(__xludf.DUMMYFUNCTION("GOOGLETRANSLATE(F95,""en"",""pt"")"),"sistemas consorciados")</f>
        <v>sistemas consorciados</v>
      </c>
      <c r="H95" s="20" t="s">
        <v>8120</v>
      </c>
      <c r="I95" s="20" t="s">
        <v>5609</v>
      </c>
    </row>
    <row r="96" spans="1:9" ht="14.5">
      <c r="A96" s="20" t="s">
        <v>8121</v>
      </c>
      <c r="B96" s="20">
        <v>15</v>
      </c>
      <c r="C96" s="20">
        <v>95</v>
      </c>
      <c r="D96" s="20">
        <v>45</v>
      </c>
      <c r="E96" s="20">
        <v>85</v>
      </c>
      <c r="F96" s="20" t="s">
        <v>8122</v>
      </c>
      <c r="G96" s="24" t="str">
        <f ca="1">IFERROR(__xludf.DUMMYFUNCTION("GOOGLETRANSLATE(F96,""en"",""pt"")"),"Despojo montão sistemas de culturas temporárias")</f>
        <v>Despojo montão sistemas de culturas temporárias</v>
      </c>
      <c r="H96" s="20" t="s">
        <v>8123</v>
      </c>
      <c r="I96" s="20" t="s">
        <v>5609</v>
      </c>
    </row>
    <row r="97" spans="1:9" ht="14.5">
      <c r="A97" s="20" t="s">
        <v>8124</v>
      </c>
      <c r="B97" s="20">
        <v>15</v>
      </c>
      <c r="C97" s="20">
        <v>95</v>
      </c>
      <c r="D97" s="20">
        <v>45</v>
      </c>
      <c r="E97" s="20">
        <v>90</v>
      </c>
      <c r="F97" s="20" t="s">
        <v>8125</v>
      </c>
      <c r="G97" s="24" t="str">
        <f ca="1">IFERROR(__xludf.DUMMYFUNCTION("GOOGLETRANSLATE(F97,""en"",""pt"")"),"Solo superficial sistemas de culturas temporárias heap")</f>
        <v>Solo superficial sistemas de culturas temporárias heap</v>
      </c>
      <c r="H97" s="20" t="s">
        <v>8126</v>
      </c>
      <c r="I97" s="20" t="s">
        <v>5609</v>
      </c>
    </row>
    <row r="98" spans="1:9" ht="14.5">
      <c r="A98" s="20" t="s">
        <v>8127</v>
      </c>
      <c r="B98" s="20">
        <v>15</v>
      </c>
      <c r="C98" s="20">
        <v>95</v>
      </c>
      <c r="D98" s="20">
        <v>55</v>
      </c>
      <c r="E98" s="24"/>
      <c r="F98" s="20" t="s">
        <v>8128</v>
      </c>
      <c r="G98" s="24" t="str">
        <f ca="1">IFERROR(__xludf.DUMMYFUNCTION("GOOGLETRANSLATE(F98,""en"",""pt"")"),"fornecimento suplementar temporária sistemas funciona")</f>
        <v>fornecimento suplementar temporária sistemas funciona</v>
      </c>
      <c r="H98" s="24"/>
      <c r="I98" s="24"/>
    </row>
    <row r="99" spans="1:9" ht="14.5">
      <c r="A99" s="20" t="s">
        <v>8129</v>
      </c>
      <c r="B99" s="20">
        <v>15</v>
      </c>
      <c r="C99" s="20">
        <v>95</v>
      </c>
      <c r="D99" s="20">
        <v>55</v>
      </c>
      <c r="E99" s="20">
        <v>90</v>
      </c>
      <c r="F99" s="20" t="s">
        <v>8130</v>
      </c>
      <c r="G99" s="24" t="str">
        <f ca="1">IFERROR(__xludf.DUMMYFUNCTION("GOOGLETRANSLATE(F99,""en"",""pt"")"),"Os sistemas de ar comprimido de encapsulamento")</f>
        <v>Os sistemas de ar comprimido de encapsulamento</v>
      </c>
      <c r="H99" s="24"/>
      <c r="I99" s="24"/>
    </row>
    <row r="100" spans="1:9" ht="14.5">
      <c r="A100" s="20" t="s">
        <v>8131</v>
      </c>
      <c r="B100" s="20">
        <v>15</v>
      </c>
      <c r="C100" s="20">
        <v>95</v>
      </c>
      <c r="D100" s="20">
        <v>60</v>
      </c>
      <c r="E100" s="24"/>
      <c r="F100" s="20" t="s">
        <v>8132</v>
      </c>
      <c r="G100" s="24" t="str">
        <f ca="1">IFERROR(__xludf.DUMMYFUNCTION("GOOGLETRANSLATE(F100,""en"",""pt"")"),"aquecimento temporário, arrefecimento e refrigeração sistemas funciona")</f>
        <v>aquecimento temporário, arrefecimento e refrigeração sistemas funciona</v>
      </c>
      <c r="H100" s="24"/>
      <c r="I100" s="24"/>
    </row>
    <row r="101" spans="1:9" ht="14.5">
      <c r="A101" s="20" t="s">
        <v>8133</v>
      </c>
      <c r="B101" s="20">
        <v>15</v>
      </c>
      <c r="C101" s="20">
        <v>95</v>
      </c>
      <c r="D101" s="20">
        <v>65</v>
      </c>
      <c r="E101" s="24"/>
      <c r="F101" s="20" t="s">
        <v>8134</v>
      </c>
      <c r="G101" s="24" t="str">
        <f ca="1">IFERROR(__xludf.DUMMYFUNCTION("GOOGLETRANSLATE(F101,""en"",""pt"")"),"ventilação temporária e ar condicionado sistemas funciona")</f>
        <v>ventilação temporária e ar condicionado sistemas funciona</v>
      </c>
      <c r="H101" s="24"/>
      <c r="I101" s="24"/>
    </row>
    <row r="102" spans="1:9" ht="14.5">
      <c r="A102" s="20" t="s">
        <v>8135</v>
      </c>
      <c r="B102" s="20">
        <v>15</v>
      </c>
      <c r="C102" s="20">
        <v>95</v>
      </c>
      <c r="D102" s="20">
        <v>70</v>
      </c>
      <c r="E102" s="24"/>
      <c r="F102" s="20" t="s">
        <v>8136</v>
      </c>
      <c r="G102" s="24" t="str">
        <f ca="1">IFERROR(__xludf.DUMMYFUNCTION("GOOGLETRANSLATE(F102,""en"",""pt"")"),"Temporários sistemas trabalhos eléctricos")</f>
        <v>Temporários sistemas trabalhos eléctricos</v>
      </c>
      <c r="H102" s="24"/>
      <c r="I102" s="24"/>
    </row>
    <row r="103" spans="1:9" ht="14.5">
      <c r="A103" s="20" t="s">
        <v>8137</v>
      </c>
      <c r="B103" s="20">
        <v>15</v>
      </c>
      <c r="C103" s="20">
        <v>95</v>
      </c>
      <c r="D103" s="20">
        <v>75</v>
      </c>
      <c r="E103" s="24"/>
      <c r="F103" s="20" t="s">
        <v>8138</v>
      </c>
      <c r="G103" s="24" t="str">
        <f ca="1">IFERROR(__xludf.DUMMYFUNCTION("GOOGLETRANSLATE(F103,""en"",""pt"")"),"comunicações temporárias, segurança, controle e proteção de sistemas funciona")</f>
        <v>comunicações temporárias, segurança, controle e proteção de sistemas funciona</v>
      </c>
      <c r="H103" s="24"/>
      <c r="I103" s="24"/>
    </row>
    <row r="104" spans="1:9" ht="14.5">
      <c r="A104" s="20" t="s">
        <v>8139</v>
      </c>
      <c r="B104" s="20">
        <v>15</v>
      </c>
      <c r="C104" s="20">
        <v>95</v>
      </c>
      <c r="D104" s="20">
        <v>80</v>
      </c>
      <c r="E104" s="24"/>
      <c r="F104" s="20" t="s">
        <v>8140</v>
      </c>
      <c r="G104" s="24" t="str">
        <f ca="1">IFERROR(__xludf.DUMMYFUNCTION("GOOGLETRANSLATE(F104,""en"",""pt"")"),"pavimento temporária sistemas funciona")</f>
        <v>pavimento temporária sistemas funciona</v>
      </c>
      <c r="H104" s="24"/>
      <c r="I104" s="24"/>
    </row>
    <row r="105" spans="1:9" ht="14.5">
      <c r="A105" s="20" t="s">
        <v>8141</v>
      </c>
      <c r="B105" s="20">
        <v>15</v>
      </c>
      <c r="C105" s="20">
        <v>95</v>
      </c>
      <c r="D105" s="20">
        <v>80</v>
      </c>
      <c r="E105" s="20">
        <v>2</v>
      </c>
      <c r="F105" s="20" t="s">
        <v>8142</v>
      </c>
      <c r="G105" s="24" t="str">
        <f ca="1">IFERROR(__xludf.DUMMYFUNCTION("GOOGLETRANSLATE(F105,""en"",""pt"")"),"sistemas rodoviários de acesso temporário")</f>
        <v>sistemas rodoviários de acesso temporário</v>
      </c>
      <c r="H105" s="24"/>
      <c r="I105" s="24"/>
    </row>
    <row r="106" spans="1:9" ht="14.5">
      <c r="A106" s="20" t="s">
        <v>8143</v>
      </c>
      <c r="B106" s="20">
        <v>15</v>
      </c>
      <c r="C106" s="20">
        <v>95</v>
      </c>
      <c r="D106" s="20">
        <v>80</v>
      </c>
      <c r="E106" s="20">
        <v>72</v>
      </c>
      <c r="F106" s="20" t="s">
        <v>8144</v>
      </c>
      <c r="G106" s="24" t="str">
        <f ca="1">IFERROR(__xludf.DUMMYFUNCTION("GOOGLETRANSLATE(F106,""en"",""pt"")"),"sistemas roadwork temporários")</f>
        <v>sistemas roadwork temporários</v>
      </c>
      <c r="H106" s="24"/>
      <c r="I106" s="24"/>
    </row>
    <row r="107" spans="1:9" ht="14.5">
      <c r="A107" s="20" t="s">
        <v>8145</v>
      </c>
      <c r="B107" s="20">
        <v>15</v>
      </c>
      <c r="C107" s="20">
        <v>95</v>
      </c>
      <c r="D107" s="20">
        <v>85</v>
      </c>
      <c r="E107" s="24"/>
      <c r="F107" s="20" t="s">
        <v>8146</v>
      </c>
      <c r="G107" s="24" t="str">
        <f ca="1">IFERROR(__xludf.DUMMYFUNCTION("GOOGLETRANSLATE(F107,""en"",""pt"")"),"engenharia de processo temporário sistemas funciona")</f>
        <v>engenharia de processo temporário sistemas funciona</v>
      </c>
      <c r="H107" s="24"/>
      <c r="I107" s="24"/>
    </row>
    <row r="108" spans="1:9" ht="14.5">
      <c r="A108" s="20" t="s">
        <v>8147</v>
      </c>
      <c r="B108" s="20">
        <v>15</v>
      </c>
      <c r="C108" s="20">
        <v>95</v>
      </c>
      <c r="D108" s="20">
        <v>90</v>
      </c>
      <c r="E108" s="24"/>
      <c r="F108" s="20" t="s">
        <v>8148</v>
      </c>
      <c r="G108" s="24" t="str">
        <f ca="1">IFERROR(__xludf.DUMMYFUNCTION("GOOGLETRANSLATE(F108,""en"",""pt"")"),"gestão temporária instalação suave serviços funciona")</f>
        <v>gestão temporária instalação suave serviços funciona</v>
      </c>
      <c r="H108" s="24"/>
      <c r="I108" s="24"/>
    </row>
    <row r="109" spans="1:9" ht="14.5">
      <c r="A109" s="20" t="s">
        <v>8149</v>
      </c>
      <c r="B109" s="20">
        <v>20</v>
      </c>
      <c r="C109" s="24"/>
      <c r="D109" s="24"/>
      <c r="E109" s="24"/>
      <c r="F109" s="20" t="s">
        <v>8150</v>
      </c>
      <c r="G109" s="24" t="str">
        <f ca="1">IFERROR(__xludf.DUMMYFUNCTION("GOOGLETRANSLATE(F109,""en"",""pt"")"),"sistemas estruturais")</f>
        <v>sistemas estruturais</v>
      </c>
      <c r="H109" s="24"/>
      <c r="I109" s="24"/>
    </row>
    <row r="110" spans="1:9" ht="14.5">
      <c r="A110" s="20" t="s">
        <v>8151</v>
      </c>
      <c r="B110" s="20">
        <v>20</v>
      </c>
      <c r="C110" s="20">
        <v>5</v>
      </c>
      <c r="D110" s="24"/>
      <c r="E110" s="24"/>
      <c r="F110" s="20" t="s">
        <v>8152</v>
      </c>
      <c r="G110" s="24" t="str">
        <f ca="1">IFERROR(__xludf.DUMMYFUNCTION("GOOGLETRANSLATE(F110,""en"",""pt"")"),"sistemas subestrutura")</f>
        <v>sistemas subestrutura</v>
      </c>
      <c r="H110" s="24"/>
      <c r="I110" s="24"/>
    </row>
    <row r="111" spans="1:9" ht="14.5">
      <c r="A111" s="20" t="s">
        <v>8153</v>
      </c>
      <c r="B111" s="20">
        <v>20</v>
      </c>
      <c r="C111" s="20">
        <v>5</v>
      </c>
      <c r="D111" s="20">
        <v>15</v>
      </c>
      <c r="E111" s="24"/>
      <c r="F111" s="20" t="s">
        <v>8154</v>
      </c>
      <c r="G111" s="24" t="str">
        <f ca="1">IFERROR(__xludf.DUMMYFUNCTION("GOOGLETRANSLATE(F111,""en"",""pt"")"),"sistemas de fundação de concreto")</f>
        <v>sistemas de fundação de concreto</v>
      </c>
      <c r="H111" s="24"/>
      <c r="I111" s="24"/>
    </row>
    <row r="112" spans="1:9" ht="14.5">
      <c r="A112" s="20" t="s">
        <v>8155</v>
      </c>
      <c r="B112" s="20">
        <v>20</v>
      </c>
      <c r="C112" s="20">
        <v>5</v>
      </c>
      <c r="D112" s="20">
        <v>15</v>
      </c>
      <c r="E112" s="20">
        <v>65</v>
      </c>
      <c r="F112" s="20" t="s">
        <v>8156</v>
      </c>
      <c r="G112" s="24" t="str">
        <f ca="1">IFERROR(__xludf.DUMMYFUNCTION("GOOGLETRANSLATE(F112,""en"",""pt"")"),"sistemas de fundação de betão pré-moldado e almofada tira")</f>
        <v>sistemas de fundação de betão pré-moldado e almofada tira</v>
      </c>
      <c r="H112" s="20" t="s">
        <v>8157</v>
      </c>
      <c r="I112" s="20" t="s">
        <v>8158</v>
      </c>
    </row>
    <row r="113" spans="1:9" ht="14.5">
      <c r="A113" s="20" t="s">
        <v>8159</v>
      </c>
      <c r="B113" s="20">
        <v>20</v>
      </c>
      <c r="C113" s="20">
        <v>5</v>
      </c>
      <c r="D113" s="20">
        <v>15</v>
      </c>
      <c r="E113" s="20">
        <v>70</v>
      </c>
      <c r="F113" s="20" t="s">
        <v>8160</v>
      </c>
      <c r="G113" s="24" t="str">
        <f ca="1">IFERROR(__xludf.DUMMYFUNCTION("GOOGLETRANSLATE(F113,""en"",""pt"")"),"sistemas de fundação bloco de concreto reforçado e tira")</f>
        <v>sistemas de fundação bloco de concreto reforçado e tira</v>
      </c>
      <c r="H113" s="20" t="s">
        <v>8161</v>
      </c>
      <c r="I113" s="20" t="s">
        <v>8158</v>
      </c>
    </row>
    <row r="114" spans="1:9" ht="14.5">
      <c r="A114" s="20" t="s">
        <v>8162</v>
      </c>
      <c r="B114" s="20">
        <v>20</v>
      </c>
      <c r="C114" s="20">
        <v>5</v>
      </c>
      <c r="D114" s="20">
        <v>15</v>
      </c>
      <c r="E114" s="20">
        <v>71</v>
      </c>
      <c r="F114" s="20" t="s">
        <v>8163</v>
      </c>
      <c r="G114" s="24" t="str">
        <f ca="1">IFERROR(__xludf.DUMMYFUNCTION("GOOGLETRANSLATE(F114,""en"",""pt"")"),"sistemas de fundação pilecap concreto armado e vigas chão")</f>
        <v>sistemas de fundação pilecap concreto armado e vigas chão</v>
      </c>
      <c r="H114" s="20" t="s">
        <v>8164</v>
      </c>
      <c r="I114" s="20" t="s">
        <v>8158</v>
      </c>
    </row>
    <row r="115" spans="1:9" ht="14.5">
      <c r="A115" s="20" t="s">
        <v>8165</v>
      </c>
      <c r="B115" s="20">
        <v>20</v>
      </c>
      <c r="C115" s="20">
        <v>5</v>
      </c>
      <c r="D115" s="20">
        <v>15</v>
      </c>
      <c r="E115" s="20">
        <v>72</v>
      </c>
      <c r="F115" s="20" t="s">
        <v>8166</v>
      </c>
      <c r="G115" s="24" t="str">
        <f ca="1">IFERROR(__xludf.DUMMYFUNCTION("GOOGLETRANSLATE(F115,""en"",""pt"")"),"sistemas de fundação jangada de concreto armado")</f>
        <v>sistemas de fundação jangada de concreto armado</v>
      </c>
      <c r="H115" s="20" t="s">
        <v>8167</v>
      </c>
      <c r="I115" s="20" t="s">
        <v>8168</v>
      </c>
    </row>
    <row r="116" spans="1:9" ht="14.5">
      <c r="A116" s="20" t="s">
        <v>8169</v>
      </c>
      <c r="B116" s="20">
        <v>20</v>
      </c>
      <c r="C116" s="20">
        <v>5</v>
      </c>
      <c r="D116" s="20">
        <v>15</v>
      </c>
      <c r="E116" s="20">
        <v>80</v>
      </c>
      <c r="F116" s="20" t="s">
        <v>8170</v>
      </c>
      <c r="G116" s="24" t="str">
        <f ca="1">IFERROR(__xludf.DUMMYFUNCTION("GOOGLETRANSLATE(F116,""en"",""pt"")"),"sistemas de fundação feixe chão de aço")</f>
        <v>sistemas de fundação feixe chão de aço</v>
      </c>
      <c r="H116" s="20" t="s">
        <v>8171</v>
      </c>
      <c r="I116" s="20" t="s">
        <v>8158</v>
      </c>
    </row>
    <row r="117" spans="1:9" ht="14.5">
      <c r="A117" s="20" t="s">
        <v>8172</v>
      </c>
      <c r="B117" s="20">
        <v>20</v>
      </c>
      <c r="C117" s="20">
        <v>5</v>
      </c>
      <c r="D117" s="20">
        <v>15</v>
      </c>
      <c r="E117" s="20">
        <v>90</v>
      </c>
      <c r="F117" s="20" t="s">
        <v>8173</v>
      </c>
      <c r="G117" s="24" t="str">
        <f ca="1">IFERROR(__xludf.DUMMYFUNCTION("GOOGLETRANSLATE(F117,""en"",""pt"")"),"sistemas de fundação de concreto sem reforço para o elenco de produtos")</f>
        <v>sistemas de fundação de concreto sem reforço para o elenco de produtos</v>
      </c>
      <c r="H117" s="20" t="s">
        <v>8174</v>
      </c>
      <c r="I117" s="20" t="s">
        <v>8158</v>
      </c>
    </row>
    <row r="118" spans="1:9" ht="14.5">
      <c r="A118" s="20" t="s">
        <v>8175</v>
      </c>
      <c r="B118" s="20">
        <v>20</v>
      </c>
      <c r="C118" s="20">
        <v>5</v>
      </c>
      <c r="D118" s="20">
        <v>15</v>
      </c>
      <c r="E118" s="20">
        <v>91</v>
      </c>
      <c r="F118" s="20" t="s">
        <v>8176</v>
      </c>
      <c r="G118" s="24" t="str">
        <f ca="1">IFERROR(__xludf.DUMMYFUNCTION("GOOGLETRANSLATE(F118,""en"",""pt"")"),"sistemas de fundação almofada betão não armado e tira")</f>
        <v>sistemas de fundação almofada betão não armado e tira</v>
      </c>
      <c r="H118" s="20" t="s">
        <v>8177</v>
      </c>
      <c r="I118" s="20" t="s">
        <v>8158</v>
      </c>
    </row>
    <row r="119" spans="1:9" ht="14.5">
      <c r="A119" s="20" t="s">
        <v>8178</v>
      </c>
      <c r="B119" s="20">
        <v>20</v>
      </c>
      <c r="C119" s="20">
        <v>5</v>
      </c>
      <c r="D119" s="20">
        <v>15</v>
      </c>
      <c r="E119" s="20">
        <v>92</v>
      </c>
      <c r="F119" s="20" t="s">
        <v>8179</v>
      </c>
      <c r="G119" s="24" t="str">
        <f ca="1">IFERROR(__xludf.DUMMYFUNCTION("GOOGLETRANSLATE(F119,""en"",""pt"")"),"sistemas de fundação trincheira preenchimento sem reforço de concreto")</f>
        <v>sistemas de fundação trincheira preenchimento sem reforço de concreto</v>
      </c>
      <c r="H119" s="20" t="s">
        <v>8180</v>
      </c>
      <c r="I119" s="20" t="s">
        <v>8158</v>
      </c>
    </row>
    <row r="120" spans="1:9" ht="14.5">
      <c r="A120" s="20" t="s">
        <v>8181</v>
      </c>
      <c r="B120" s="20">
        <v>20</v>
      </c>
      <c r="C120" s="20">
        <v>5</v>
      </c>
      <c r="D120" s="20">
        <v>50</v>
      </c>
      <c r="E120" s="24"/>
      <c r="F120" s="20" t="s">
        <v>8182</v>
      </c>
      <c r="G120" s="24" t="str">
        <f ca="1">IFERROR(__xludf.DUMMYFUNCTION("GOOGLETRANSLATE(F120,""en"",""pt"")"),"sistemas concreto subestrutura menores")</f>
        <v>sistemas concreto subestrutura menores</v>
      </c>
      <c r="H120" s="24"/>
      <c r="I120" s="24"/>
    </row>
    <row r="121" spans="1:9" ht="14.5">
      <c r="A121" s="20" t="s">
        <v>8183</v>
      </c>
      <c r="B121" s="20">
        <v>20</v>
      </c>
      <c r="C121" s="20">
        <v>5</v>
      </c>
      <c r="D121" s="20">
        <v>50</v>
      </c>
      <c r="E121" s="20">
        <v>15</v>
      </c>
      <c r="F121" s="20" t="s">
        <v>8184</v>
      </c>
      <c r="G121" s="24" t="str">
        <f ca="1">IFERROR(__xludf.DUMMYFUNCTION("GOOGLETRANSLATE(F121,""en"",""pt"")"),"sistemas haunching concretas")</f>
        <v>sistemas haunching concretas</v>
      </c>
      <c r="H121" s="24"/>
      <c r="I121" s="24"/>
    </row>
    <row r="122" spans="1:9" ht="14.5">
      <c r="A122" s="20" t="s">
        <v>8185</v>
      </c>
      <c r="B122" s="20">
        <v>20</v>
      </c>
      <c r="C122" s="20">
        <v>5</v>
      </c>
      <c r="D122" s="20">
        <v>50</v>
      </c>
      <c r="E122" s="20">
        <v>65</v>
      </c>
      <c r="F122" s="20" t="s">
        <v>8186</v>
      </c>
      <c r="G122" s="24" t="str">
        <f ca="1">IFERROR(__xludf.DUMMYFUNCTION("GOOGLETRANSLATE(F122,""en"",""pt"")"),"fundação de concreto pré-moldado e sistemas plinto")</f>
        <v>fundação de concreto pré-moldado e sistemas plinto</v>
      </c>
      <c r="H122" s="20" t="s">
        <v>8187</v>
      </c>
      <c r="I122" s="20" t="s">
        <v>8158</v>
      </c>
    </row>
    <row r="123" spans="1:9" ht="14.5">
      <c r="A123" s="20" t="s">
        <v>8188</v>
      </c>
      <c r="B123" s="20">
        <v>20</v>
      </c>
      <c r="C123" s="20">
        <v>5</v>
      </c>
      <c r="D123" s="20">
        <v>50</v>
      </c>
      <c r="E123" s="20">
        <v>70</v>
      </c>
      <c r="F123" s="20" t="s">
        <v>8189</v>
      </c>
      <c r="G123" s="24" t="str">
        <f ca="1">IFERROR(__xludf.DUMMYFUNCTION("GOOGLETRANSLATE(F123,""en"",""pt"")"),"sistemas de bases de concreto armado ou fundação")</f>
        <v>sistemas de bases de concreto armado ou fundação</v>
      </c>
      <c r="H123" s="20" t="s">
        <v>8190</v>
      </c>
      <c r="I123" s="20" t="s">
        <v>8158</v>
      </c>
    </row>
    <row r="124" spans="1:9" ht="14.5">
      <c r="A124" s="20" t="s">
        <v>8191</v>
      </c>
      <c r="B124" s="20">
        <v>20</v>
      </c>
      <c r="C124" s="20">
        <v>5</v>
      </c>
      <c r="D124" s="20">
        <v>50</v>
      </c>
      <c r="E124" s="20">
        <v>92</v>
      </c>
      <c r="F124" s="20" t="s">
        <v>8192</v>
      </c>
      <c r="G124" s="24" t="str">
        <f ca="1">IFERROR(__xludf.DUMMYFUNCTION("GOOGLETRANSLATE(F124,""en"",""pt"")"),"fundação de concreto sem reforço com o elenco em sistemas de produtos")</f>
        <v>fundação de concreto sem reforço com o elenco em sistemas de produtos</v>
      </c>
      <c r="H124" s="20" t="s">
        <v>8193</v>
      </c>
      <c r="I124" s="20" t="s">
        <v>8158</v>
      </c>
    </row>
    <row r="125" spans="1:9" ht="14.5">
      <c r="A125" s="20" t="s">
        <v>8194</v>
      </c>
      <c r="B125" s="20">
        <v>20</v>
      </c>
      <c r="C125" s="20">
        <v>5</v>
      </c>
      <c r="D125" s="20">
        <v>50</v>
      </c>
      <c r="E125" s="20">
        <v>93</v>
      </c>
      <c r="F125" s="20" t="s">
        <v>8195</v>
      </c>
      <c r="G125" s="24" t="str">
        <f ca="1">IFERROR(__xludf.DUMMYFUNCTION("GOOGLETRANSLATE(F125,""en"",""pt"")"),"fundação de concreto sem reforço e sistemas plinto")</f>
        <v>fundação de concreto sem reforço e sistemas plinto</v>
      </c>
      <c r="H125" s="20" t="s">
        <v>8196</v>
      </c>
      <c r="I125" s="20" t="s">
        <v>8158</v>
      </c>
    </row>
    <row r="126" spans="1:9" ht="14.5">
      <c r="A126" s="20" t="s">
        <v>8197</v>
      </c>
      <c r="B126" s="20">
        <v>20</v>
      </c>
      <c r="C126" s="20">
        <v>5</v>
      </c>
      <c r="D126" s="20">
        <v>65</v>
      </c>
      <c r="E126" s="24"/>
      <c r="F126" s="20" t="s">
        <v>8198</v>
      </c>
      <c r="G126" s="24" t="str">
        <f ca="1">IFERROR(__xludf.DUMMYFUNCTION("GOOGLETRANSLATE(F126,""en"",""pt"")"),"sistemas de empilhar")</f>
        <v>sistemas de empilhar</v>
      </c>
      <c r="H126" s="20" t="s">
        <v>8199</v>
      </c>
      <c r="I126" s="20" t="s">
        <v>8200</v>
      </c>
    </row>
    <row r="127" spans="1:9" ht="14.5">
      <c r="A127" s="20" t="s">
        <v>8201</v>
      </c>
      <c r="B127" s="20">
        <v>20</v>
      </c>
      <c r="C127" s="20">
        <v>5</v>
      </c>
      <c r="D127" s="20">
        <v>65</v>
      </c>
      <c r="E127" s="20">
        <v>24</v>
      </c>
      <c r="F127" s="20" t="s">
        <v>8202</v>
      </c>
      <c r="G127" s="24" t="str">
        <f ca="1">IFERROR(__xludf.DUMMYFUNCTION("GOOGLETRANSLATE(F127,""en"",""pt"")"),"pré-moldado conduzido ou sistemas de betão pré-esforçado empilhando")</f>
        <v>pré-moldado conduzido ou sistemas de betão pré-esforçado empilhando</v>
      </c>
      <c r="H127" s="20" t="s">
        <v>8203</v>
      </c>
      <c r="I127" s="20" t="s">
        <v>8200</v>
      </c>
    </row>
    <row r="128" spans="1:9" ht="14.5">
      <c r="A128" s="20" t="s">
        <v>8204</v>
      </c>
      <c r="B128" s="20">
        <v>20</v>
      </c>
      <c r="C128" s="20">
        <v>5</v>
      </c>
      <c r="D128" s="20">
        <v>65</v>
      </c>
      <c r="E128" s="20">
        <v>40</v>
      </c>
      <c r="F128" s="20" t="s">
        <v>8205</v>
      </c>
      <c r="G128" s="24" t="str">
        <f ca="1">IFERROR(__xludf.DUMMYFUNCTION("GOOGLETRANSLATE(F128,""en"",""pt"")"),"In situ concreto augered sistemas de empilhamento")</f>
        <v>In situ concreto augered sistemas de empilhamento</v>
      </c>
      <c r="H128" s="20" t="s">
        <v>8206</v>
      </c>
      <c r="I128" s="20" t="s">
        <v>8200</v>
      </c>
    </row>
    <row r="129" spans="1:9" ht="14.5">
      <c r="A129" s="20" t="s">
        <v>8207</v>
      </c>
      <c r="B129" s="20">
        <v>20</v>
      </c>
      <c r="C129" s="20">
        <v>5</v>
      </c>
      <c r="D129" s="20">
        <v>65</v>
      </c>
      <c r="E129" s="20">
        <v>41</v>
      </c>
      <c r="F129" s="20" t="s">
        <v>8208</v>
      </c>
      <c r="G129" s="24" t="str">
        <f ca="1">IFERROR(__xludf.DUMMYFUNCTION("GOOGLETRANSLATE(F129,""en"",""pt"")"),"Em concreto entediado sistemas de bate-estacas in situ")</f>
        <v>Em concreto entediado sistemas de bate-estacas in situ</v>
      </c>
      <c r="H129" s="20" t="s">
        <v>8209</v>
      </c>
      <c r="I129" s="20" t="s">
        <v>8200</v>
      </c>
    </row>
    <row r="130" spans="1:9" ht="14.5">
      <c r="A130" s="20" t="s">
        <v>8210</v>
      </c>
      <c r="B130" s="20">
        <v>20</v>
      </c>
      <c r="C130" s="20">
        <v>5</v>
      </c>
      <c r="D130" s="20">
        <v>65</v>
      </c>
      <c r="E130" s="20">
        <v>42</v>
      </c>
      <c r="F130" s="20" t="s">
        <v>8211</v>
      </c>
      <c r="G130" s="24" t="str">
        <f ca="1">IFERROR(__xludf.DUMMYFUNCTION("GOOGLETRANSLATE(F130,""en"",""pt"")"),"Em concreto situ encamisado sistemas de empilhamento de deslocamento")</f>
        <v>Em concreto situ encamisado sistemas de empilhamento de deslocamento</v>
      </c>
      <c r="H130" s="20" t="s">
        <v>8212</v>
      </c>
      <c r="I130" s="20" t="s">
        <v>8200</v>
      </c>
    </row>
    <row r="131" spans="1:9" ht="14.5">
      <c r="A131" s="20" t="s">
        <v>8213</v>
      </c>
      <c r="B131" s="20">
        <v>20</v>
      </c>
      <c r="C131" s="20">
        <v>5</v>
      </c>
      <c r="D131" s="20">
        <v>65</v>
      </c>
      <c r="E131" s="20">
        <v>43</v>
      </c>
      <c r="F131" s="20" t="s">
        <v>8214</v>
      </c>
      <c r="G131" s="24" t="str">
        <f ca="1">IFERROR(__xludf.DUMMYFUNCTION("GOOGLETRANSLATE(F131,""en"",""pt"")"),"Em sistemas de empilhamento de deslocamento betão in situ")</f>
        <v>Em sistemas de empilhamento de deslocamento betão in situ</v>
      </c>
      <c r="H131" s="20" t="s">
        <v>8215</v>
      </c>
      <c r="I131" s="20" t="s">
        <v>8200</v>
      </c>
    </row>
    <row r="132" spans="1:9" ht="14.5">
      <c r="A132" s="20" t="s">
        <v>8216</v>
      </c>
      <c r="B132" s="20">
        <v>20</v>
      </c>
      <c r="C132" s="20">
        <v>5</v>
      </c>
      <c r="D132" s="20">
        <v>65</v>
      </c>
      <c r="E132" s="20">
        <v>44</v>
      </c>
      <c r="F132" s="20" t="s">
        <v>8217</v>
      </c>
      <c r="G132" s="24" t="str">
        <f ca="1">IFERROR(__xludf.DUMMYFUNCTION("GOOGLETRANSLATE(F132,""en"",""pt"")"),"Em sistemas de micro-empilhando situ concreto mini-estacas ou")</f>
        <v>Em sistemas de micro-empilhando situ concreto mini-estacas ou</v>
      </c>
      <c r="H132" s="20" t="s">
        <v>8218</v>
      </c>
      <c r="I132" s="20" t="s">
        <v>8200</v>
      </c>
    </row>
    <row r="133" spans="1:9" ht="14.5">
      <c r="A133" s="20" t="s">
        <v>8219</v>
      </c>
      <c r="B133" s="20">
        <v>20</v>
      </c>
      <c r="C133" s="20">
        <v>5</v>
      </c>
      <c r="D133" s="20">
        <v>65</v>
      </c>
      <c r="E133" s="20">
        <v>64</v>
      </c>
      <c r="F133" s="20" t="s">
        <v>8220</v>
      </c>
      <c r="G133" s="24" t="str">
        <f ca="1">IFERROR(__xludf.DUMMYFUNCTION("GOOGLETRANSLATE(F133,""en"",""pt"")"),"sistemas de coluna de empilhamento de imersão")</f>
        <v>sistemas de coluna de empilhamento de imersão</v>
      </c>
      <c r="H133" s="20" t="s">
        <v>8221</v>
      </c>
      <c r="I133" s="20" t="s">
        <v>8200</v>
      </c>
    </row>
    <row r="134" spans="1:9" ht="14.5">
      <c r="A134" s="20" t="s">
        <v>8222</v>
      </c>
      <c r="B134" s="20">
        <v>20</v>
      </c>
      <c r="C134" s="20">
        <v>5</v>
      </c>
      <c r="D134" s="20">
        <v>65</v>
      </c>
      <c r="E134" s="20">
        <v>76</v>
      </c>
      <c r="F134" s="20" t="s">
        <v>8223</v>
      </c>
      <c r="G134" s="24" t="str">
        <f ca="1">IFERROR(__xludf.DUMMYFUNCTION("GOOGLETRANSLATE(F134,""en"",""pt"")"),"sistemas de bate-estacas parafusos")</f>
        <v>sistemas de bate-estacas parafusos</v>
      </c>
      <c r="H134" s="20" t="s">
        <v>8224</v>
      </c>
      <c r="I134" s="20" t="s">
        <v>8200</v>
      </c>
    </row>
    <row r="135" spans="1:9" ht="14.5">
      <c r="A135" s="20" t="s">
        <v>8225</v>
      </c>
      <c r="B135" s="20">
        <v>20</v>
      </c>
      <c r="C135" s="20">
        <v>5</v>
      </c>
      <c r="D135" s="20">
        <v>65</v>
      </c>
      <c r="E135" s="20">
        <v>84</v>
      </c>
      <c r="F135" s="20" t="s">
        <v>8226</v>
      </c>
      <c r="G135" s="24" t="str">
        <f ca="1">IFERROR(__xludf.DUMMYFUNCTION("GOOGLETRANSLATE(F135,""en"",""pt"")"),"sistemas de pilha de rolamento em aço")</f>
        <v>sistemas de pilha de rolamento em aço</v>
      </c>
      <c r="H135" s="20" t="s">
        <v>8227</v>
      </c>
      <c r="I135" s="20" t="s">
        <v>8200</v>
      </c>
    </row>
    <row r="136" spans="1:9" ht="14.5">
      <c r="A136" s="20" t="s">
        <v>8228</v>
      </c>
      <c r="B136" s="20">
        <v>20</v>
      </c>
      <c r="C136" s="20">
        <v>5</v>
      </c>
      <c r="D136" s="20">
        <v>65</v>
      </c>
      <c r="E136" s="20">
        <v>89</v>
      </c>
      <c r="F136" s="20" t="s">
        <v>8229</v>
      </c>
      <c r="G136" s="24" t="str">
        <f ca="1">IFERROR(__xludf.DUMMYFUNCTION("GOOGLETRANSLATE(F136,""en"",""pt"")"),"sistemas de madeira empilhando")</f>
        <v>sistemas de madeira empilhando</v>
      </c>
      <c r="H136" s="20" t="s">
        <v>8230</v>
      </c>
      <c r="I136" s="20" t="s">
        <v>8200</v>
      </c>
    </row>
    <row r="137" spans="1:9" ht="14.5">
      <c r="A137" s="20" t="s">
        <v>8231</v>
      </c>
      <c r="B137" s="20">
        <v>20</v>
      </c>
      <c r="C137" s="20">
        <v>5</v>
      </c>
      <c r="D137" s="20">
        <v>90</v>
      </c>
      <c r="E137" s="24"/>
      <c r="F137" s="20" t="s">
        <v>8232</v>
      </c>
      <c r="G137" s="24" t="str">
        <f ca="1">IFERROR(__xludf.DUMMYFUNCTION("GOOGLETRANSLATE(F137,""en"",""pt"")"),"sistemas de Apoio")</f>
        <v>sistemas de Apoio</v>
      </c>
      <c r="H137" s="24"/>
      <c r="I137" s="24"/>
    </row>
    <row r="138" spans="1:9" ht="14.5">
      <c r="A138" s="20" t="s">
        <v>8233</v>
      </c>
      <c r="B138" s="20">
        <v>20</v>
      </c>
      <c r="C138" s="20">
        <v>5</v>
      </c>
      <c r="D138" s="20">
        <v>90</v>
      </c>
      <c r="E138" s="20">
        <v>10</v>
      </c>
      <c r="F138" s="20" t="s">
        <v>8234</v>
      </c>
      <c r="G138" s="24" t="str">
        <f ca="1">IFERROR(__xludf.DUMMYFUNCTION("GOOGLETRANSLATE(F138,""en"",""pt"")"),"sistemas concretas subjacentes cais sem reforço Beam e")</f>
        <v>sistemas concretas subjacentes cais sem reforço Beam e</v>
      </c>
      <c r="H138" s="20" t="s">
        <v>8235</v>
      </c>
      <c r="I138" s="20" t="s">
        <v>8236</v>
      </c>
    </row>
    <row r="139" spans="1:9" ht="14.5">
      <c r="A139" s="20" t="s">
        <v>8237</v>
      </c>
      <c r="B139" s="20">
        <v>20</v>
      </c>
      <c r="C139" s="20">
        <v>5</v>
      </c>
      <c r="D139" s="20">
        <v>90</v>
      </c>
      <c r="E139" s="20">
        <v>35</v>
      </c>
      <c r="F139" s="20" t="s">
        <v>8238</v>
      </c>
      <c r="G139" s="24" t="str">
        <f ca="1">IFERROR(__xludf.DUMMYFUNCTION("GOOGLETRANSLATE(F139,""en"",""pt"")"),"sistemas subjacentes grouted")</f>
        <v>sistemas subjacentes grouted</v>
      </c>
      <c r="H139" s="20" t="s">
        <v>8239</v>
      </c>
      <c r="I139" s="20" t="s">
        <v>8236</v>
      </c>
    </row>
    <row r="140" spans="1:9" ht="14.5">
      <c r="A140" s="20" t="s">
        <v>8240</v>
      </c>
      <c r="B140" s="20">
        <v>20</v>
      </c>
      <c r="C140" s="20">
        <v>5</v>
      </c>
      <c r="D140" s="20">
        <v>90</v>
      </c>
      <c r="E140" s="20">
        <v>45</v>
      </c>
      <c r="F140" s="20" t="s">
        <v>8241</v>
      </c>
      <c r="G140" s="24" t="str">
        <f ca="1">IFERROR(__xludf.DUMMYFUNCTION("GOOGLETRANSLATE(F140,""en"",""pt"")"),"sistemas subjacentes pilha Jacked")</f>
        <v>sistemas subjacentes pilha Jacked</v>
      </c>
      <c r="H140" s="20" t="s">
        <v>8242</v>
      </c>
      <c r="I140" s="20" t="s">
        <v>8236</v>
      </c>
    </row>
    <row r="141" spans="1:9" ht="14.5">
      <c r="A141" s="20" t="s">
        <v>8243</v>
      </c>
      <c r="B141" s="20">
        <v>20</v>
      </c>
      <c r="C141" s="20">
        <v>5</v>
      </c>
      <c r="D141" s="20">
        <v>90</v>
      </c>
      <c r="E141" s="20">
        <v>46</v>
      </c>
      <c r="F141" s="20" t="s">
        <v>8244</v>
      </c>
      <c r="G141" s="24" t="str">
        <f ca="1">IFERROR(__xludf.DUMMYFUNCTION("GOOGLETRANSLATE(F141,""en"",""pt"")"),"sistemas subjacentes Jet grouted")</f>
        <v>sistemas subjacentes Jet grouted</v>
      </c>
      <c r="H141" s="20" t="s">
        <v>8245</v>
      </c>
      <c r="I141" s="20" t="s">
        <v>8236</v>
      </c>
    </row>
    <row r="142" spans="1:9" ht="14.5">
      <c r="A142" s="20" t="s">
        <v>8246</v>
      </c>
      <c r="B142" s="20">
        <v>20</v>
      </c>
      <c r="C142" s="20">
        <v>5</v>
      </c>
      <c r="D142" s="20">
        <v>90</v>
      </c>
      <c r="E142" s="20">
        <v>50</v>
      </c>
      <c r="F142" s="20" t="s">
        <v>8247</v>
      </c>
      <c r="G142" s="24" t="str">
        <f ca="1">IFERROR(__xludf.DUMMYFUNCTION("GOOGLETRANSLATE(F142,""en"",""pt"")"),"sistemas concretas subjacentes massa")</f>
        <v>sistemas concretas subjacentes massa</v>
      </c>
      <c r="H142" s="20" t="s">
        <v>8248</v>
      </c>
      <c r="I142" s="20" t="s">
        <v>8236</v>
      </c>
    </row>
    <row r="143" spans="1:9" ht="14.5">
      <c r="A143" s="20" t="s">
        <v>8249</v>
      </c>
      <c r="B143" s="20">
        <v>20</v>
      </c>
      <c r="C143" s="20">
        <v>5</v>
      </c>
      <c r="D143" s="20">
        <v>90</v>
      </c>
      <c r="E143" s="20">
        <v>60</v>
      </c>
      <c r="F143" s="20" t="s">
        <v>8250</v>
      </c>
      <c r="G143" s="24" t="str">
        <f ca="1">IFERROR(__xludf.DUMMYFUNCTION("GOOGLETRANSLATE(F143,""en"",""pt"")"),"sistemas subjacentes pilha e suporte cantilever")</f>
        <v>sistemas subjacentes pilha e suporte cantilever</v>
      </c>
      <c r="H143" s="20" t="s">
        <v>8251</v>
      </c>
      <c r="I143" s="20" t="s">
        <v>8236</v>
      </c>
    </row>
    <row r="144" spans="1:9" ht="14.5">
      <c r="A144" s="20" t="s">
        <v>8252</v>
      </c>
      <c r="B144" s="20">
        <v>20</v>
      </c>
      <c r="C144" s="20">
        <v>5</v>
      </c>
      <c r="D144" s="20">
        <v>90</v>
      </c>
      <c r="E144" s="20">
        <v>61</v>
      </c>
      <c r="F144" s="20" t="s">
        <v>8253</v>
      </c>
      <c r="G144" s="24" t="str">
        <f ca="1">IFERROR(__xludf.DUMMYFUNCTION("GOOGLETRANSLATE(F144,""en"",""pt"")"),"Pilha e sistemas subjacentes agulha")</f>
        <v>Pilha e sistemas subjacentes agulha</v>
      </c>
      <c r="H144" s="20" t="s">
        <v>8254</v>
      </c>
      <c r="I144" s="20" t="s">
        <v>8236</v>
      </c>
    </row>
    <row r="145" spans="1:9" ht="14.5">
      <c r="A145" s="20" t="s">
        <v>8255</v>
      </c>
      <c r="B145" s="20">
        <v>20</v>
      </c>
      <c r="C145" s="20">
        <v>5</v>
      </c>
      <c r="D145" s="20">
        <v>90</v>
      </c>
      <c r="E145" s="20">
        <v>70</v>
      </c>
      <c r="F145" s="20" t="s">
        <v>8256</v>
      </c>
      <c r="G145" s="24" t="str">
        <f ca="1">IFERROR(__xludf.DUMMYFUNCTION("GOOGLETRANSLATE(F145,""en"",""pt"")"),"Raking sistemas subjacentes pilha")</f>
        <v>Raking sistemas subjacentes pilha</v>
      </c>
      <c r="H145" s="20" t="s">
        <v>8257</v>
      </c>
      <c r="I145" s="20" t="s">
        <v>8236</v>
      </c>
    </row>
    <row r="146" spans="1:9" ht="14.5">
      <c r="A146" s="20" t="s">
        <v>8258</v>
      </c>
      <c r="B146" s="20">
        <v>20</v>
      </c>
      <c r="C146" s="20">
        <v>10</v>
      </c>
      <c r="D146" s="24"/>
      <c r="E146" s="24"/>
      <c r="F146" s="20" t="s">
        <v>8259</v>
      </c>
      <c r="G146" s="24" t="str">
        <f ca="1">IFERROR(__xludf.DUMMYFUNCTION("GOOGLETRANSLATE(F146,""en"",""pt"")"),"sistemas de armação estrutural")</f>
        <v>sistemas de armação estrutural</v>
      </c>
      <c r="H146" s="24"/>
      <c r="I146" s="24"/>
    </row>
    <row r="147" spans="1:9" ht="14.5">
      <c r="A147" s="20" t="s">
        <v>8260</v>
      </c>
      <c r="B147" s="20">
        <v>20</v>
      </c>
      <c r="C147" s="20">
        <v>10</v>
      </c>
      <c r="D147" s="20">
        <v>30</v>
      </c>
      <c r="E147" s="24"/>
      <c r="F147" s="20" t="s">
        <v>8261</v>
      </c>
      <c r="G147" s="24" t="str">
        <f ca="1">IFERROR(__xludf.DUMMYFUNCTION("GOOGLETRANSLATE(F147,""en"",""pt"")"),"sistemas de estrutura da ponte")</f>
        <v>sistemas de estrutura da ponte</v>
      </c>
      <c r="H147" s="24"/>
      <c r="I147" s="24"/>
    </row>
    <row r="148" spans="1:9" ht="14.5">
      <c r="A148" s="20" t="s">
        <v>8262</v>
      </c>
      <c r="B148" s="20">
        <v>20</v>
      </c>
      <c r="C148" s="20">
        <v>10</v>
      </c>
      <c r="D148" s="20">
        <v>30</v>
      </c>
      <c r="E148" s="20">
        <v>30</v>
      </c>
      <c r="F148" s="20" t="s">
        <v>8263</v>
      </c>
      <c r="G148" s="24" t="str">
        <f ca="1">IFERROR(__xludf.DUMMYFUNCTION("GOOGLETRANSLATE(F148,""en"",""pt"")"),"sistemas de passarela")</f>
        <v>sistemas de passarela</v>
      </c>
      <c r="H148" s="20" t="s">
        <v>8264</v>
      </c>
      <c r="I148" s="20" t="s">
        <v>8265</v>
      </c>
    </row>
    <row r="149" spans="1:9" ht="14.5">
      <c r="A149" s="20" t="s">
        <v>8266</v>
      </c>
      <c r="B149" s="20">
        <v>20</v>
      </c>
      <c r="C149" s="20">
        <v>10</v>
      </c>
      <c r="D149" s="20">
        <v>30</v>
      </c>
      <c r="E149" s="20">
        <v>65</v>
      </c>
      <c r="F149" s="20" t="s">
        <v>8267</v>
      </c>
      <c r="G149" s="24" t="str">
        <f ca="1">IFERROR(__xludf.DUMMYFUNCTION("GOOGLETRANSLATE(F149,""en"",""pt"")"),"sistemas de ponte de tubulação")</f>
        <v>sistemas de ponte de tubulação</v>
      </c>
      <c r="H149" s="24"/>
      <c r="I149" s="24"/>
    </row>
    <row r="150" spans="1:9" ht="14.5">
      <c r="A150" s="20" t="s">
        <v>8268</v>
      </c>
      <c r="B150" s="20">
        <v>20</v>
      </c>
      <c r="C150" s="20">
        <v>10</v>
      </c>
      <c r="D150" s="20">
        <v>60</v>
      </c>
      <c r="E150" s="24"/>
      <c r="F150" s="20" t="s">
        <v>8269</v>
      </c>
      <c r="G150" s="24" t="str">
        <f ca="1">IFERROR(__xludf.DUMMYFUNCTION("GOOGLETRANSLATE(F150,""en"",""pt"")"),"estruturas reticuladas e painéis pré-fabricados")</f>
        <v>estruturas reticuladas e painéis pré-fabricados</v>
      </c>
      <c r="H150" s="24"/>
      <c r="I150" s="24"/>
    </row>
    <row r="151" spans="1:9" ht="14.5">
      <c r="A151" s="20" t="s">
        <v>8270</v>
      </c>
      <c r="B151" s="20">
        <v>20</v>
      </c>
      <c r="C151" s="20">
        <v>10</v>
      </c>
      <c r="D151" s="20">
        <v>60</v>
      </c>
      <c r="E151" s="20">
        <v>34</v>
      </c>
      <c r="F151" s="20" t="s">
        <v>8271</v>
      </c>
      <c r="G151" s="24" t="str">
        <f ca="1">IFERROR(__xludf.DUMMYFUNCTION("GOOGLETRANSLATE(F151,""en"",""pt"")"),"sistemas estruturais vitrificadas")</f>
        <v>sistemas estruturais vitrificadas</v>
      </c>
      <c r="H151" s="20" t="s">
        <v>8272</v>
      </c>
      <c r="I151" s="24"/>
    </row>
    <row r="152" spans="1:9" ht="14.5">
      <c r="A152" s="20" t="s">
        <v>8273</v>
      </c>
      <c r="B152" s="20">
        <v>20</v>
      </c>
      <c r="C152" s="20">
        <v>10</v>
      </c>
      <c r="D152" s="20">
        <v>60</v>
      </c>
      <c r="E152" s="20">
        <v>60</v>
      </c>
      <c r="F152" s="20" t="s">
        <v>8274</v>
      </c>
      <c r="G152" s="24" t="str">
        <f ca="1">IFERROR(__xludf.DUMMYFUNCTION("GOOGLETRANSLATE(F152,""en"",""pt"")"),"sistemas estruturais e com painéis moldados")</f>
        <v>sistemas estruturais e com painéis moldados</v>
      </c>
      <c r="H152" s="20" t="s">
        <v>8275</v>
      </c>
      <c r="I152" s="24"/>
    </row>
    <row r="153" spans="1:9" ht="14.5">
      <c r="A153" s="20" t="s">
        <v>8276</v>
      </c>
      <c r="B153" s="20">
        <v>20</v>
      </c>
      <c r="C153" s="20">
        <v>10</v>
      </c>
      <c r="D153" s="20">
        <v>60</v>
      </c>
      <c r="E153" s="20">
        <v>84</v>
      </c>
      <c r="F153" s="20" t="s">
        <v>8277</v>
      </c>
      <c r="G153" s="24" t="str">
        <f ca="1">IFERROR(__xludf.DUMMYFUNCTION("GOOGLETRANSLATE(F153,""en"",""pt"")"),"sistemas de painéis isolados estruturais")</f>
        <v>sistemas de painéis isolados estruturais</v>
      </c>
      <c r="H153" s="20" t="s">
        <v>8278</v>
      </c>
      <c r="I153" s="24"/>
    </row>
    <row r="154" spans="1:9" ht="14.5">
      <c r="A154" s="20" t="s">
        <v>8279</v>
      </c>
      <c r="B154" s="20">
        <v>20</v>
      </c>
      <c r="C154" s="20">
        <v>10</v>
      </c>
      <c r="D154" s="20">
        <v>65</v>
      </c>
      <c r="E154" s="24"/>
      <c r="F154" s="20" t="s">
        <v>8280</v>
      </c>
      <c r="G154" s="24" t="str">
        <f ca="1">IFERROR(__xludf.DUMMYFUNCTION("GOOGLETRANSLATE(F154,""en"",""pt"")"),"sistemas de salas pré-fabricadas")</f>
        <v>sistemas de salas pré-fabricadas</v>
      </c>
      <c r="H154" s="24"/>
      <c r="I154" s="24"/>
    </row>
    <row r="155" spans="1:9" ht="14.5">
      <c r="A155" s="20" t="s">
        <v>8281</v>
      </c>
      <c r="B155" s="20">
        <v>20</v>
      </c>
      <c r="C155" s="20">
        <v>10</v>
      </c>
      <c r="D155" s="20">
        <v>65</v>
      </c>
      <c r="E155" s="20">
        <v>15</v>
      </c>
      <c r="F155" s="20" t="s">
        <v>8282</v>
      </c>
      <c r="G155" s="24" t="str">
        <f ca="1">IFERROR(__xludf.DUMMYFUNCTION("GOOGLETRANSLATE(F155,""en"",""pt"")"),"vagens composite")</f>
        <v>vagens composite</v>
      </c>
      <c r="H155" s="20" t="s">
        <v>8283</v>
      </c>
      <c r="I155" s="24"/>
    </row>
    <row r="156" spans="1:9" ht="14.5">
      <c r="A156" s="20" t="s">
        <v>8284</v>
      </c>
      <c r="B156" s="20">
        <v>20</v>
      </c>
      <c r="C156" s="20">
        <v>10</v>
      </c>
      <c r="D156" s="20">
        <v>65</v>
      </c>
      <c r="E156" s="20">
        <v>17</v>
      </c>
      <c r="F156" s="20" t="s">
        <v>8285</v>
      </c>
      <c r="G156" s="24" t="str">
        <f ca="1">IFERROR(__xludf.DUMMYFUNCTION("GOOGLETRANSLATE(F156,""en"",""pt"")"),"vagens concretas")</f>
        <v>vagens concretas</v>
      </c>
      <c r="H156" s="24"/>
      <c r="I156" s="24"/>
    </row>
    <row r="157" spans="1:9" ht="14.5">
      <c r="A157" s="20" t="s">
        <v>8286</v>
      </c>
      <c r="B157" s="20">
        <v>20</v>
      </c>
      <c r="C157" s="20">
        <v>10</v>
      </c>
      <c r="D157" s="20">
        <v>65</v>
      </c>
      <c r="E157" s="20">
        <v>65</v>
      </c>
      <c r="F157" s="20" t="s">
        <v>8287</v>
      </c>
      <c r="G157" s="24" t="str">
        <f ca="1">IFERROR(__xludf.DUMMYFUNCTION("GOOGLETRANSLATE(F157,""en"",""pt"")"),"vagens de polipropileno")</f>
        <v>vagens de polipropileno</v>
      </c>
      <c r="H157" s="24"/>
      <c r="I157" s="24"/>
    </row>
    <row r="158" spans="1:9" ht="14.5">
      <c r="A158" s="20" t="s">
        <v>8288</v>
      </c>
      <c r="B158" s="20">
        <v>20</v>
      </c>
      <c r="C158" s="20">
        <v>10</v>
      </c>
      <c r="D158" s="20">
        <v>70</v>
      </c>
      <c r="E158" s="24"/>
      <c r="F158" s="20" t="s">
        <v>8289</v>
      </c>
      <c r="G158" s="24" t="str">
        <f ca="1">IFERROR(__xludf.DUMMYFUNCTION("GOOGLETRANSLATE(F158,""en"",""pt"")"),"sistemas de abrigo")</f>
        <v>sistemas de abrigo</v>
      </c>
      <c r="H158" s="24"/>
      <c r="I158" s="24"/>
    </row>
    <row r="159" spans="1:9" ht="14.5">
      <c r="A159" s="20" t="s">
        <v>8290</v>
      </c>
      <c r="B159" s="20">
        <v>20</v>
      </c>
      <c r="C159" s="20">
        <v>10</v>
      </c>
      <c r="D159" s="20">
        <v>70</v>
      </c>
      <c r="E159" s="20">
        <v>3</v>
      </c>
      <c r="F159" s="20" t="s">
        <v>8291</v>
      </c>
      <c r="G159" s="24" t="str">
        <f ca="1">IFERROR(__xludf.DUMMYFUNCTION("GOOGLETRANSLATE(F159,""en"",""pt"")"),"sistemas de abrigo de animais")</f>
        <v>sistemas de abrigo de animais</v>
      </c>
      <c r="H159" s="20" t="s">
        <v>8292</v>
      </c>
      <c r="I159" s="20" t="s">
        <v>8293</v>
      </c>
    </row>
    <row r="160" spans="1:9" ht="14.5">
      <c r="A160" s="20" t="s">
        <v>8294</v>
      </c>
      <c r="B160" s="20">
        <v>20</v>
      </c>
      <c r="C160" s="20">
        <v>10</v>
      </c>
      <c r="D160" s="20">
        <v>70</v>
      </c>
      <c r="E160" s="20">
        <v>62</v>
      </c>
      <c r="F160" s="20" t="s">
        <v>8295</v>
      </c>
      <c r="G160" s="24" t="str">
        <f ca="1">IFERROR(__xludf.DUMMYFUNCTION("GOOGLETRANSLATE(F160,""en"",""pt"")"),"Pessoas sistemas abrigam")</f>
        <v>Pessoas sistemas abrigam</v>
      </c>
      <c r="H160" s="20" t="s">
        <v>8296</v>
      </c>
      <c r="I160" s="20" t="s">
        <v>8297</v>
      </c>
    </row>
    <row r="161" spans="1:9" ht="14.5">
      <c r="A161" s="20" t="s">
        <v>8298</v>
      </c>
      <c r="B161" s="20">
        <v>20</v>
      </c>
      <c r="C161" s="20">
        <v>10</v>
      </c>
      <c r="D161" s="20">
        <v>70</v>
      </c>
      <c r="E161" s="20">
        <v>64</v>
      </c>
      <c r="F161" s="20" t="s">
        <v>8299</v>
      </c>
      <c r="G161" s="24" t="str">
        <f ca="1">IFERROR(__xludf.DUMMYFUNCTION("GOOGLETRANSLATE(F161,""en"",""pt"")"),"sistemas abrigo planta")</f>
        <v>sistemas abrigo planta</v>
      </c>
      <c r="H161" s="20" t="s">
        <v>8300</v>
      </c>
      <c r="I161" s="20" t="s">
        <v>8293</v>
      </c>
    </row>
    <row r="162" spans="1:9" ht="14.5">
      <c r="A162" s="20" t="s">
        <v>8301</v>
      </c>
      <c r="B162" s="20">
        <v>20</v>
      </c>
      <c r="C162" s="20">
        <v>10</v>
      </c>
      <c r="D162" s="20">
        <v>70</v>
      </c>
      <c r="E162" s="20">
        <v>84</v>
      </c>
      <c r="F162" s="20" t="s">
        <v>8302</v>
      </c>
      <c r="G162" s="24" t="str">
        <f ca="1">IFERROR(__xludf.DUMMYFUNCTION("GOOGLETRANSLATE(F162,""en"",""pt"")"),"sistemas de armazenamento de abrigo")</f>
        <v>sistemas de armazenamento de abrigo</v>
      </c>
      <c r="H162" s="20" t="s">
        <v>8303</v>
      </c>
      <c r="I162" s="20" t="s">
        <v>8304</v>
      </c>
    </row>
    <row r="163" spans="1:9" ht="14.5">
      <c r="A163" s="20" t="s">
        <v>8305</v>
      </c>
      <c r="B163" s="20">
        <v>20</v>
      </c>
      <c r="C163" s="20">
        <v>10</v>
      </c>
      <c r="D163" s="20">
        <v>75</v>
      </c>
      <c r="E163" s="24"/>
      <c r="F163" s="20" t="s">
        <v>8306</v>
      </c>
      <c r="G163" s="24" t="str">
        <f ca="1">IFERROR(__xludf.DUMMYFUNCTION("GOOGLETRANSLATE(F163,""en"",""pt"")"),"sistemas de enquadramento estruturais")</f>
        <v>sistemas de enquadramento estruturais</v>
      </c>
      <c r="H163" s="24"/>
      <c r="I163" s="24"/>
    </row>
    <row r="164" spans="1:9" ht="14.5">
      <c r="A164" s="20" t="s">
        <v>8307</v>
      </c>
      <c r="B164" s="20">
        <v>20</v>
      </c>
      <c r="C164" s="20">
        <v>10</v>
      </c>
      <c r="D164" s="20">
        <v>75</v>
      </c>
      <c r="E164" s="20">
        <v>15</v>
      </c>
      <c r="F164" s="20" t="s">
        <v>8308</v>
      </c>
      <c r="G164" s="24" t="str">
        <f ca="1">IFERROR(__xludf.DUMMYFUNCTION("GOOGLETRANSLATE(F164,""en"",""pt"")"),"sistemas de enquadramento concreto")</f>
        <v>sistemas de enquadramento concreto</v>
      </c>
      <c r="H164" s="24"/>
      <c r="I164" s="24"/>
    </row>
    <row r="165" spans="1:9" ht="14.5">
      <c r="A165" s="20" t="s">
        <v>8309</v>
      </c>
      <c r="B165" s="20">
        <v>20</v>
      </c>
      <c r="C165" s="20">
        <v>10</v>
      </c>
      <c r="D165" s="20">
        <v>75</v>
      </c>
      <c r="E165" s="20">
        <v>35</v>
      </c>
      <c r="F165" s="20" t="s">
        <v>8310</v>
      </c>
      <c r="G165" s="24" t="str">
        <f ca="1">IFERROR(__xludf.DUMMYFUNCTION("GOOGLETRANSLATE(F165,""en"",""pt"")"),"sistemas de estruturas de aço pesada")</f>
        <v>sistemas de estruturas de aço pesada</v>
      </c>
      <c r="H165" s="20" t="s">
        <v>8311</v>
      </c>
      <c r="I165" s="20" t="s">
        <v>8312</v>
      </c>
    </row>
    <row r="166" spans="1:9" ht="14.5">
      <c r="A166" s="20" t="s">
        <v>8313</v>
      </c>
      <c r="B166" s="20">
        <v>20</v>
      </c>
      <c r="C166" s="20">
        <v>10</v>
      </c>
      <c r="D166" s="20">
        <v>75</v>
      </c>
      <c r="E166" s="20">
        <v>45</v>
      </c>
      <c r="F166" s="20" t="s">
        <v>8314</v>
      </c>
      <c r="G166" s="24" t="str">
        <f ca="1">IFERROR(__xludf.DUMMYFUNCTION("GOOGLETRANSLATE(F166,""en"",""pt"")"),"sistemas de estruturas de aço leve")</f>
        <v>sistemas de estruturas de aço leve</v>
      </c>
      <c r="H166" s="20" t="s">
        <v>8315</v>
      </c>
      <c r="I166" s="20" t="s">
        <v>8312</v>
      </c>
    </row>
    <row r="167" spans="1:9" ht="14.5">
      <c r="A167" s="20" t="s">
        <v>8316</v>
      </c>
      <c r="B167" s="20">
        <v>20</v>
      </c>
      <c r="C167" s="20">
        <v>10</v>
      </c>
      <c r="D167" s="20">
        <v>75</v>
      </c>
      <c r="E167" s="20">
        <v>65</v>
      </c>
      <c r="F167" s="20" t="s">
        <v>8317</v>
      </c>
      <c r="G167" s="24" t="str">
        <f ca="1">IFERROR(__xludf.DUMMYFUNCTION("GOOGLETRANSLATE(F167,""en"",""pt"")"),"Pré-moldado reforçado sistemas de enquadramento concreto")</f>
        <v>Pré-moldado reforçado sistemas de enquadramento concreto</v>
      </c>
      <c r="H167" s="20" t="s">
        <v>8318</v>
      </c>
      <c r="I167" s="20" t="s">
        <v>8319</v>
      </c>
    </row>
    <row r="168" spans="1:9" ht="14.5">
      <c r="A168" s="20" t="s">
        <v>8320</v>
      </c>
      <c r="B168" s="20">
        <v>20</v>
      </c>
      <c r="C168" s="20">
        <v>10</v>
      </c>
      <c r="D168" s="20">
        <v>75</v>
      </c>
      <c r="E168" s="20">
        <v>70</v>
      </c>
      <c r="F168" s="20" t="s">
        <v>8321</v>
      </c>
      <c r="G168" s="24" t="str">
        <f ca="1">IFERROR(__xludf.DUMMYFUNCTION("GOOGLETRANSLATE(F168,""en"",""pt"")"),"In situ reforçado sistemas de moldação de betão")</f>
        <v>In situ reforçado sistemas de moldação de betão</v>
      </c>
      <c r="H168" s="20" t="s">
        <v>8322</v>
      </c>
      <c r="I168" s="20" t="s">
        <v>8319</v>
      </c>
    </row>
    <row r="169" spans="1:9" ht="14.5">
      <c r="A169" s="20" t="s">
        <v>8323</v>
      </c>
      <c r="B169" s="20">
        <v>20</v>
      </c>
      <c r="C169" s="20">
        <v>10</v>
      </c>
      <c r="D169" s="20">
        <v>75</v>
      </c>
      <c r="E169" s="20">
        <v>85</v>
      </c>
      <c r="F169" s="20" t="s">
        <v>8324</v>
      </c>
      <c r="G169" s="24" t="str">
        <f ca="1">IFERROR(__xludf.DUMMYFUNCTION("GOOGLETRANSLATE(F169,""en"",""pt"")"),"sistemas de madeira de enquadramento")</f>
        <v>sistemas de madeira de enquadramento</v>
      </c>
      <c r="H169" s="20" t="s">
        <v>8325</v>
      </c>
      <c r="I169" s="20" t="s">
        <v>8326</v>
      </c>
    </row>
    <row r="170" spans="1:9" ht="14.5">
      <c r="A170" s="20" t="s">
        <v>8327</v>
      </c>
      <c r="B170" s="20">
        <v>20</v>
      </c>
      <c r="C170" s="20">
        <v>20</v>
      </c>
      <c r="D170" s="24"/>
      <c r="E170" s="24"/>
      <c r="F170" s="20" t="s">
        <v>8328</v>
      </c>
      <c r="G170" s="24" t="str">
        <f ca="1">IFERROR(__xludf.DUMMYFUNCTION("GOOGLETRANSLATE(F170,""en"",""pt"")"),"vigas estruturais")</f>
        <v>vigas estruturais</v>
      </c>
      <c r="H170" s="24"/>
      <c r="I170" s="24"/>
    </row>
    <row r="171" spans="1:9" ht="14.5">
      <c r="A171" s="20" t="s">
        <v>8329</v>
      </c>
      <c r="B171" s="20">
        <v>20</v>
      </c>
      <c r="C171" s="20">
        <v>20</v>
      </c>
      <c r="D171" s="20">
        <v>75</v>
      </c>
      <c r="E171" s="24"/>
      <c r="F171" s="20" t="s">
        <v>8330</v>
      </c>
      <c r="G171" s="24" t="str">
        <f ca="1">IFERROR(__xludf.DUMMYFUNCTION("GOOGLETRANSLATE(F171,""en"",""pt"")"),"sistemas de viga estrutural")</f>
        <v>sistemas de viga estrutural</v>
      </c>
      <c r="H171" s="24"/>
      <c r="I171" s="24"/>
    </row>
    <row r="172" spans="1:9" ht="14.5">
      <c r="A172" s="20" t="s">
        <v>8331</v>
      </c>
      <c r="B172" s="20">
        <v>20</v>
      </c>
      <c r="C172" s="20">
        <v>20</v>
      </c>
      <c r="D172" s="20">
        <v>75</v>
      </c>
      <c r="E172" s="20">
        <v>15</v>
      </c>
      <c r="F172" s="20" t="s">
        <v>8332</v>
      </c>
      <c r="G172" s="24" t="str">
        <f ca="1">IFERROR(__xludf.DUMMYFUNCTION("GOOGLETRANSLATE(F172,""en"",""pt"")"),"sistemas de viga de betão")</f>
        <v>sistemas de viga de betão</v>
      </c>
      <c r="H172" s="24"/>
      <c r="I172" s="24"/>
    </row>
    <row r="173" spans="1:9" ht="14.5">
      <c r="A173" s="20" t="s">
        <v>8333</v>
      </c>
      <c r="B173" s="20">
        <v>20</v>
      </c>
      <c r="C173" s="20">
        <v>20</v>
      </c>
      <c r="D173" s="20">
        <v>75</v>
      </c>
      <c r="E173" s="20">
        <v>80</v>
      </c>
      <c r="F173" s="20" t="s">
        <v>8334</v>
      </c>
      <c r="G173" s="24" t="str">
        <f ca="1">IFERROR(__xludf.DUMMYFUNCTION("GOOGLETRANSLATE(F173,""en"",""pt"")"),"Sistemas de feixes de aço")</f>
        <v>Sistemas de feixes de aço</v>
      </c>
      <c r="H173" s="24"/>
      <c r="I173" s="24"/>
    </row>
    <row r="174" spans="1:9" ht="14.5">
      <c r="A174" s="20" t="s">
        <v>8335</v>
      </c>
      <c r="B174" s="20">
        <v>20</v>
      </c>
      <c r="C174" s="20">
        <v>20</v>
      </c>
      <c r="D174" s="20">
        <v>75</v>
      </c>
      <c r="E174" s="20">
        <v>85</v>
      </c>
      <c r="F174" s="20" t="s">
        <v>8336</v>
      </c>
      <c r="G174" s="24" t="str">
        <f ca="1">IFERROR(__xludf.DUMMYFUNCTION("GOOGLETRANSLATE(F174,""en"",""pt"")"),"Sistemas de feixes de madeira")</f>
        <v>Sistemas de feixes de madeira</v>
      </c>
      <c r="H174" s="24"/>
      <c r="I174" s="24"/>
    </row>
    <row r="175" spans="1:9" ht="14.5">
      <c r="A175" s="20" t="s">
        <v>8337</v>
      </c>
      <c r="B175" s="20">
        <v>20</v>
      </c>
      <c r="C175" s="20">
        <v>30</v>
      </c>
      <c r="D175" s="24"/>
      <c r="E175" s="24"/>
      <c r="F175" s="20" t="s">
        <v>8338</v>
      </c>
      <c r="G175" s="24" t="str">
        <f ca="1">IFERROR(__xludf.DUMMYFUNCTION("GOOGLETRANSLATE(F175,""en"",""pt"")"),"colunas estruturais")</f>
        <v>colunas estruturais</v>
      </c>
      <c r="H175" s="24"/>
      <c r="I175" s="24"/>
    </row>
    <row r="176" spans="1:9" ht="14.5">
      <c r="A176" s="20" t="s">
        <v>8339</v>
      </c>
      <c r="B176" s="20">
        <v>20</v>
      </c>
      <c r="C176" s="20">
        <v>30</v>
      </c>
      <c r="D176" s="20">
        <v>75</v>
      </c>
      <c r="E176" s="24"/>
      <c r="F176" s="20" t="s">
        <v>8340</v>
      </c>
      <c r="G176" s="24" t="str">
        <f ca="1">IFERROR(__xludf.DUMMYFUNCTION("GOOGLETRANSLATE(F176,""en"",""pt"")"),"sistemas de colunas estruturais")</f>
        <v>sistemas de colunas estruturais</v>
      </c>
      <c r="H176" s="24"/>
      <c r="I176" s="24"/>
    </row>
    <row r="177" spans="1:9" ht="14.5">
      <c r="A177" s="20" t="s">
        <v>8341</v>
      </c>
      <c r="B177" s="20">
        <v>20</v>
      </c>
      <c r="C177" s="20">
        <v>30</v>
      </c>
      <c r="D177" s="20">
        <v>75</v>
      </c>
      <c r="E177" s="20">
        <v>15</v>
      </c>
      <c r="F177" s="20" t="s">
        <v>8342</v>
      </c>
      <c r="G177" s="24" t="str">
        <f ca="1">IFERROR(__xludf.DUMMYFUNCTION("GOOGLETRANSLATE(F177,""en"",""pt"")"),"sistemas de colunas de betão")</f>
        <v>sistemas de colunas de betão</v>
      </c>
      <c r="H177" s="24"/>
      <c r="I177" s="24"/>
    </row>
    <row r="178" spans="1:9" ht="14.5">
      <c r="A178" s="20" t="s">
        <v>8343</v>
      </c>
      <c r="B178" s="20">
        <v>20</v>
      </c>
      <c r="C178" s="20">
        <v>30</v>
      </c>
      <c r="D178" s="20">
        <v>75</v>
      </c>
      <c r="E178" s="20">
        <v>50</v>
      </c>
      <c r="F178" s="20" t="s">
        <v>8344</v>
      </c>
      <c r="G178" s="24" t="str">
        <f ca="1">IFERROR(__xludf.DUMMYFUNCTION("GOOGLETRANSLATE(F178,""en"",""pt"")"),"sistemas de colunas de alvenaria")</f>
        <v>sistemas de colunas de alvenaria</v>
      </c>
      <c r="H178" s="24"/>
      <c r="I178" s="24"/>
    </row>
    <row r="179" spans="1:9" ht="14.5">
      <c r="A179" s="20" t="s">
        <v>8345</v>
      </c>
      <c r="B179" s="20">
        <v>20</v>
      </c>
      <c r="C179" s="20">
        <v>30</v>
      </c>
      <c r="D179" s="20">
        <v>75</v>
      </c>
      <c r="E179" s="20">
        <v>80</v>
      </c>
      <c r="F179" s="20" t="s">
        <v>8346</v>
      </c>
      <c r="G179" s="24" t="str">
        <f ca="1">IFERROR(__xludf.DUMMYFUNCTION("GOOGLETRANSLATE(F179,""en"",""pt"")"),"sistemas de colunas de aço")</f>
        <v>sistemas de colunas de aço</v>
      </c>
      <c r="H179" s="24"/>
      <c r="I179" s="24"/>
    </row>
    <row r="180" spans="1:9" ht="14.5">
      <c r="A180" s="20" t="s">
        <v>8347</v>
      </c>
      <c r="B180" s="20">
        <v>20</v>
      </c>
      <c r="C180" s="20">
        <v>30</v>
      </c>
      <c r="D180" s="20">
        <v>75</v>
      </c>
      <c r="E180" s="20">
        <v>85</v>
      </c>
      <c r="F180" s="20" t="s">
        <v>8348</v>
      </c>
      <c r="G180" s="24" t="str">
        <f ca="1">IFERROR(__xludf.DUMMYFUNCTION("GOOGLETRANSLATE(F180,""en"",""pt"")"),"sistemas de coluna madeira")</f>
        <v>sistemas de coluna madeira</v>
      </c>
      <c r="H180" s="24"/>
      <c r="I180" s="24"/>
    </row>
    <row r="181" spans="1:9" ht="14.5">
      <c r="A181" s="20" t="s">
        <v>8349</v>
      </c>
      <c r="B181" s="20">
        <v>20</v>
      </c>
      <c r="C181" s="20">
        <v>40</v>
      </c>
      <c r="D181" s="24"/>
      <c r="E181" s="24"/>
      <c r="F181" s="20" t="s">
        <v>8350</v>
      </c>
      <c r="G181" s="24" t="str">
        <f ca="1">IFERROR(__xludf.DUMMYFUNCTION("GOOGLETRANSLATE(F181,""en"",""pt"")"),"sistemas de folhas e de cabos estruturais")</f>
        <v>sistemas de folhas e de cabos estruturais</v>
      </c>
      <c r="H181" s="24"/>
      <c r="I181" s="24"/>
    </row>
    <row r="182" spans="1:9" ht="14.5">
      <c r="A182" s="20" t="s">
        <v>8351</v>
      </c>
      <c r="B182" s="20">
        <v>20</v>
      </c>
      <c r="C182" s="20">
        <v>40</v>
      </c>
      <c r="D182" s="20">
        <v>7</v>
      </c>
      <c r="E182" s="24"/>
      <c r="F182" s="20" t="s">
        <v>8352</v>
      </c>
      <c r="G182" s="24" t="str">
        <f ca="1">IFERROR(__xludf.DUMMYFUNCTION("GOOGLETRANSLATE(F182,""en"",""pt"")"),"sistemas de cabos de suspensão de pontes")</f>
        <v>sistemas de cabos de suspensão de pontes</v>
      </c>
      <c r="H182" s="24"/>
      <c r="I182" s="24"/>
    </row>
    <row r="183" spans="1:9" ht="14.5">
      <c r="A183" s="20" t="s">
        <v>8353</v>
      </c>
      <c r="B183" s="20">
        <v>20</v>
      </c>
      <c r="C183" s="20">
        <v>40</v>
      </c>
      <c r="D183" s="20">
        <v>7</v>
      </c>
      <c r="E183" s="20">
        <v>11</v>
      </c>
      <c r="F183" s="20" t="s">
        <v>8354</v>
      </c>
      <c r="G183" s="24" t="str">
        <f ca="1">IFERROR(__xludf.DUMMYFUNCTION("GOOGLETRANSLATE(F183,""en"",""pt"")"),"O cabo permaneceu sistemas de cabos de ponte")</f>
        <v>O cabo permaneceu sistemas de cabos de ponte</v>
      </c>
      <c r="H183" s="20" t="s">
        <v>8355</v>
      </c>
      <c r="I183" s="24"/>
    </row>
    <row r="184" spans="1:9" ht="14.5">
      <c r="A184" s="20" t="s">
        <v>8356</v>
      </c>
      <c r="B184" s="20">
        <v>20</v>
      </c>
      <c r="C184" s="20">
        <v>40</v>
      </c>
      <c r="D184" s="20">
        <v>7</v>
      </c>
      <c r="E184" s="20">
        <v>85</v>
      </c>
      <c r="F184" s="20" t="s">
        <v>8357</v>
      </c>
      <c r="G184" s="24" t="str">
        <f ca="1">IFERROR(__xludf.DUMMYFUNCTION("GOOGLETRANSLATE(F184,""en"",""pt"")"),"sistemas de cabos de suspensão de pontes")</f>
        <v>sistemas de cabos de suspensão de pontes</v>
      </c>
      <c r="H184" s="20" t="s">
        <v>8358</v>
      </c>
      <c r="I184" s="24"/>
    </row>
    <row r="185" spans="1:9" ht="14.5">
      <c r="A185" s="20" t="s">
        <v>8359</v>
      </c>
      <c r="B185" s="20">
        <v>20</v>
      </c>
      <c r="C185" s="20">
        <v>40</v>
      </c>
      <c r="D185" s="20">
        <v>10</v>
      </c>
      <c r="E185" s="24"/>
      <c r="F185" s="20" t="s">
        <v>8360</v>
      </c>
      <c r="G185" s="24" t="str">
        <f ca="1">IFERROR(__xludf.DUMMYFUNCTION("GOOGLETRANSLATE(F185,""en"",""pt"")"),"Construção de sistemas de cabos")</f>
        <v>Construção de sistemas de cabos</v>
      </c>
      <c r="H185" s="24"/>
      <c r="I185" s="24"/>
    </row>
    <row r="186" spans="1:9" ht="14.5">
      <c r="A186" s="20" t="s">
        <v>8361</v>
      </c>
      <c r="B186" s="20">
        <v>20</v>
      </c>
      <c r="C186" s="20">
        <v>50</v>
      </c>
      <c r="D186" s="24"/>
      <c r="E186" s="24"/>
      <c r="F186" s="20" t="s">
        <v>8362</v>
      </c>
      <c r="G186" s="24" t="str">
        <f ca="1">IFERROR(__xludf.DUMMYFUNCTION("GOOGLETRANSLATE(F186,""en"",""pt"")"),"Ponte sistemas de pilares e cais")</f>
        <v>Ponte sistemas de pilares e cais</v>
      </c>
      <c r="H186" s="24"/>
      <c r="I186" s="24"/>
    </row>
    <row r="187" spans="1:9" ht="14.5">
      <c r="A187" s="20" t="s">
        <v>8363</v>
      </c>
      <c r="B187" s="20">
        <v>20</v>
      </c>
      <c r="C187" s="20">
        <v>50</v>
      </c>
      <c r="D187" s="20">
        <v>10</v>
      </c>
      <c r="E187" s="24"/>
      <c r="F187" s="20" t="s">
        <v>8364</v>
      </c>
      <c r="G187" s="24" t="str">
        <f ca="1">IFERROR(__xludf.DUMMYFUNCTION("GOOGLETRANSLATE(F187,""en"",""pt"")"),"sistemas de pilares")</f>
        <v>sistemas de pilares</v>
      </c>
      <c r="H187" s="24"/>
      <c r="I187" s="24"/>
    </row>
    <row r="188" spans="1:9" ht="14.5">
      <c r="A188" s="20" t="s">
        <v>8365</v>
      </c>
      <c r="B188" s="20">
        <v>20</v>
      </c>
      <c r="C188" s="20">
        <v>50</v>
      </c>
      <c r="D188" s="20">
        <v>10</v>
      </c>
      <c r="E188" s="20">
        <v>10</v>
      </c>
      <c r="F188" s="20" t="s">
        <v>8366</v>
      </c>
      <c r="G188" s="24" t="str">
        <f ca="1">IFERROR(__xludf.DUMMYFUNCTION("GOOGLETRANSLATE(F188,""en"",""pt"")"),"pilares do assento do banco")</f>
        <v>pilares do assento do banco</v>
      </c>
      <c r="H188" s="24"/>
      <c r="I188" s="24"/>
    </row>
    <row r="189" spans="1:9" ht="14.5">
      <c r="A189" s="20" t="s">
        <v>8367</v>
      </c>
      <c r="B189" s="20">
        <v>20</v>
      </c>
      <c r="C189" s="20">
        <v>50</v>
      </c>
      <c r="D189" s="20">
        <v>10</v>
      </c>
      <c r="E189" s="20">
        <v>30</v>
      </c>
      <c r="F189" s="20" t="s">
        <v>8368</v>
      </c>
      <c r="G189" s="24" t="str">
        <f ca="1">IFERROR(__xludf.DUMMYFUNCTION("GOOGLETRANSLATE(F189,""en"",""pt"")"),"encontros de pontes de parede de retenção incorporados")</f>
        <v>encontros de pontes de parede de retenção incorporados</v>
      </c>
      <c r="H189" s="24"/>
      <c r="I189" s="24"/>
    </row>
    <row r="190" spans="1:9" ht="14.5">
      <c r="A190" s="20" t="s">
        <v>8369</v>
      </c>
      <c r="B190" s="20">
        <v>20</v>
      </c>
      <c r="C190" s="20">
        <v>50</v>
      </c>
      <c r="D190" s="20">
        <v>10</v>
      </c>
      <c r="E190" s="20">
        <v>40</v>
      </c>
      <c r="F190" s="20" t="s">
        <v>8370</v>
      </c>
      <c r="G190" s="24" t="str">
        <f ca="1">IFERROR(__xludf.DUMMYFUNCTION("GOOGLETRANSLATE(F190,""en"",""pt"")"),"pilares integrais")</f>
        <v>pilares integrais</v>
      </c>
      <c r="H190" s="24"/>
      <c r="I190" s="24"/>
    </row>
    <row r="191" spans="1:9" ht="14.5">
      <c r="A191" s="20" t="s">
        <v>8371</v>
      </c>
      <c r="B191" s="20">
        <v>20</v>
      </c>
      <c r="C191" s="20">
        <v>50</v>
      </c>
      <c r="D191" s="20">
        <v>10</v>
      </c>
      <c r="E191" s="20">
        <v>50</v>
      </c>
      <c r="F191" s="20" t="s">
        <v>8372</v>
      </c>
      <c r="G191" s="24" t="str">
        <f ca="1">IFERROR(__xludf.DUMMYFUNCTION("GOOGLETRANSLATE(F191,""en"",""pt"")"),"encontros de pontes de alvenaria")</f>
        <v>encontros de pontes de alvenaria</v>
      </c>
      <c r="H191" s="24"/>
      <c r="I191" s="24"/>
    </row>
    <row r="192" spans="1:9" ht="14.5">
      <c r="A192" s="20" t="s">
        <v>8373</v>
      </c>
      <c r="B192" s="20">
        <v>20</v>
      </c>
      <c r="C192" s="20">
        <v>50</v>
      </c>
      <c r="D192" s="20">
        <v>10</v>
      </c>
      <c r="E192" s="20">
        <v>70</v>
      </c>
      <c r="F192" s="20" t="s">
        <v>8374</v>
      </c>
      <c r="G192" s="24" t="str">
        <f ca="1">IFERROR(__xludf.DUMMYFUNCTION("GOOGLETRANSLATE(F192,""en"",""pt"")"),"Reforçados encontros de pontes de betão")</f>
        <v>Reforçados encontros de pontes de betão</v>
      </c>
      <c r="H192" s="24"/>
      <c r="I192" s="24"/>
    </row>
    <row r="193" spans="1:9" ht="14.5">
      <c r="A193" s="20" t="s">
        <v>8375</v>
      </c>
      <c r="B193" s="20">
        <v>20</v>
      </c>
      <c r="C193" s="20">
        <v>50</v>
      </c>
      <c r="D193" s="20">
        <v>10</v>
      </c>
      <c r="E193" s="20">
        <v>80</v>
      </c>
      <c r="F193" s="20" t="s">
        <v>8376</v>
      </c>
      <c r="G193" s="24" t="str">
        <f ca="1">IFERROR(__xludf.DUMMYFUNCTION("GOOGLETRANSLATE(F193,""en"",""pt"")"),"Folha empilhados pilares da ponte")</f>
        <v>Folha empilhados pilares da ponte</v>
      </c>
      <c r="H193" s="24"/>
      <c r="I193" s="24"/>
    </row>
    <row r="194" spans="1:9" ht="14.5">
      <c r="A194" s="20" t="s">
        <v>8377</v>
      </c>
      <c r="B194" s="20">
        <v>20</v>
      </c>
      <c r="C194" s="20">
        <v>50</v>
      </c>
      <c r="D194" s="20">
        <v>10</v>
      </c>
      <c r="E194" s="20">
        <v>85</v>
      </c>
      <c r="F194" s="20" t="s">
        <v>8378</v>
      </c>
      <c r="G194" s="24" t="str">
        <f ca="1">IFERROR(__xludf.DUMMYFUNCTION("GOOGLETRANSLATE(F194,""en"",""pt"")"),"Derrame de líquidos por meio de pilares")</f>
        <v>Derrame de líquidos por meio de pilares</v>
      </c>
      <c r="H194" s="24"/>
      <c r="I194" s="24"/>
    </row>
    <row r="195" spans="1:9" ht="14.5">
      <c r="A195" s="20" t="s">
        <v>8379</v>
      </c>
      <c r="B195" s="20">
        <v>20</v>
      </c>
      <c r="C195" s="20">
        <v>50</v>
      </c>
      <c r="D195" s="20">
        <v>10</v>
      </c>
      <c r="E195" s="20">
        <v>90</v>
      </c>
      <c r="F195" s="20" t="s">
        <v>8380</v>
      </c>
      <c r="G195" s="24" t="str">
        <f ca="1">IFERROR(__xludf.DUMMYFUNCTION("GOOGLETRANSLATE(F195,""en"",""pt"")"),"encontros de pontes de parede de retenção incorporado amarradas")</f>
        <v>encontros de pontes de parede de retenção incorporado amarradas</v>
      </c>
      <c r="H195" s="24"/>
      <c r="I195" s="24"/>
    </row>
    <row r="196" spans="1:9" ht="14.5">
      <c r="A196" s="20" t="s">
        <v>8381</v>
      </c>
      <c r="B196" s="20">
        <v>20</v>
      </c>
      <c r="C196" s="20">
        <v>50</v>
      </c>
      <c r="D196" s="20">
        <v>10</v>
      </c>
      <c r="E196" s="20">
        <v>95</v>
      </c>
      <c r="F196" s="20" t="s">
        <v>8382</v>
      </c>
      <c r="G196" s="24" t="str">
        <f ca="1">IFERROR(__xludf.DUMMYFUNCTION("GOOGLETRANSLATE(F196,""en"",""pt"")"),"sistemas de parede asa")</f>
        <v>sistemas de parede asa</v>
      </c>
      <c r="H196" s="24"/>
      <c r="I196" s="24"/>
    </row>
    <row r="197" spans="1:9" ht="14.5">
      <c r="A197" s="20" t="s">
        <v>8383</v>
      </c>
      <c r="B197" s="20">
        <v>20</v>
      </c>
      <c r="C197" s="20">
        <v>50</v>
      </c>
      <c r="D197" s="20">
        <v>20</v>
      </c>
      <c r="E197" s="24"/>
      <c r="F197" s="20" t="s">
        <v>8384</v>
      </c>
      <c r="G197" s="24" t="str">
        <f ca="1">IFERROR(__xludf.DUMMYFUNCTION("GOOGLETRANSLATE(F197,""en"",""pt"")"),"sistemas de ponte cais")</f>
        <v>sistemas de ponte cais</v>
      </c>
      <c r="H197" s="24"/>
      <c r="I197" s="24"/>
    </row>
    <row r="198" spans="1:9" ht="14.5">
      <c r="A198" s="20" t="s">
        <v>8385</v>
      </c>
      <c r="B198" s="20">
        <v>20</v>
      </c>
      <c r="C198" s="20">
        <v>50</v>
      </c>
      <c r="D198" s="20">
        <v>20</v>
      </c>
      <c r="E198" s="20">
        <v>50</v>
      </c>
      <c r="F198" s="20" t="s">
        <v>8386</v>
      </c>
      <c r="G198" s="24" t="str">
        <f ca="1">IFERROR(__xludf.DUMMYFUNCTION("GOOGLETRANSLATE(F198,""en"",""pt"")"),"pilares de pontes de alvenaria")</f>
        <v>pilares de pontes de alvenaria</v>
      </c>
      <c r="H198" s="24"/>
      <c r="I198" s="24"/>
    </row>
    <row r="199" spans="1:9" ht="14.5">
      <c r="A199" s="20" t="s">
        <v>8387</v>
      </c>
      <c r="B199" s="20">
        <v>20</v>
      </c>
      <c r="C199" s="20">
        <v>50</v>
      </c>
      <c r="D199" s="20">
        <v>20</v>
      </c>
      <c r="E199" s="20">
        <v>70</v>
      </c>
      <c r="F199" s="20" t="s">
        <v>8388</v>
      </c>
      <c r="G199" s="24" t="str">
        <f ca="1">IFERROR(__xludf.DUMMYFUNCTION("GOOGLETRANSLATE(F199,""en"",""pt"")"),"Reforçados pilares de pontes de betão")</f>
        <v>Reforçados pilares de pontes de betão</v>
      </c>
      <c r="H199" s="24"/>
      <c r="I199" s="24"/>
    </row>
    <row r="200" spans="1:9" ht="14.5">
      <c r="A200" s="20" t="s">
        <v>8389</v>
      </c>
      <c r="B200" s="20">
        <v>20</v>
      </c>
      <c r="C200" s="20">
        <v>50</v>
      </c>
      <c r="D200" s="20">
        <v>30</v>
      </c>
      <c r="E200" s="24"/>
      <c r="F200" s="20" t="s">
        <v>8390</v>
      </c>
      <c r="G200" s="24" t="str">
        <f ca="1">IFERROR(__xludf.DUMMYFUNCTION("GOOGLETRANSLATE(F200,""en"",""pt"")"),"sistemas de componentes de encosto e cais")</f>
        <v>sistemas de componentes de encosto e cais</v>
      </c>
      <c r="H200" s="24"/>
      <c r="I200" s="24"/>
    </row>
    <row r="201" spans="1:9" ht="14.5">
      <c r="A201" s="20" t="s">
        <v>8391</v>
      </c>
      <c r="B201" s="20">
        <v>20</v>
      </c>
      <c r="C201" s="20">
        <v>50</v>
      </c>
      <c r="D201" s="20">
        <v>30</v>
      </c>
      <c r="E201" s="20">
        <v>11</v>
      </c>
      <c r="F201" s="20" t="s">
        <v>8392</v>
      </c>
      <c r="G201" s="24" t="str">
        <f ca="1">IFERROR(__xludf.DUMMYFUNCTION("GOOGLETRANSLATE(F201,""en"",""pt"")"),"Capping sistemas de feixe")</f>
        <v>Capping sistemas de feixe</v>
      </c>
      <c r="H201" s="24"/>
      <c r="I201" s="24"/>
    </row>
    <row r="202" spans="1:9" ht="14.5">
      <c r="A202" s="20" t="s">
        <v>8393</v>
      </c>
      <c r="B202" s="20">
        <v>20</v>
      </c>
      <c r="C202" s="20">
        <v>50</v>
      </c>
      <c r="D202" s="20">
        <v>30</v>
      </c>
      <c r="E202" s="20">
        <v>37</v>
      </c>
      <c r="F202" s="20" t="s">
        <v>8394</v>
      </c>
      <c r="G202" s="24" t="str">
        <f ca="1">IFERROR(__xludf.DUMMYFUNCTION("GOOGLETRANSLATE(F202,""en"",""pt"")"),"sistemas headwall")</f>
        <v>sistemas headwall</v>
      </c>
      <c r="H202" s="24"/>
      <c r="I202" s="24"/>
    </row>
    <row r="203" spans="1:9" ht="14.5">
      <c r="A203" s="20" t="s">
        <v>8395</v>
      </c>
      <c r="B203" s="20">
        <v>20</v>
      </c>
      <c r="C203" s="20">
        <v>50</v>
      </c>
      <c r="D203" s="20">
        <v>30</v>
      </c>
      <c r="E203" s="20">
        <v>80</v>
      </c>
      <c r="F203" s="20" t="s">
        <v>8396</v>
      </c>
      <c r="G203" s="24" t="str">
        <f ca="1">IFERROR(__xludf.DUMMYFUNCTION("GOOGLETRANSLATE(F203,""en"",""pt"")"),"sistemas de parede Spandrel")</f>
        <v>sistemas de parede Spandrel</v>
      </c>
      <c r="H203" s="24"/>
      <c r="I203" s="24"/>
    </row>
    <row r="204" spans="1:9" ht="14.5">
      <c r="A204" s="20" t="s">
        <v>8397</v>
      </c>
      <c r="B204" s="20">
        <v>20</v>
      </c>
      <c r="C204" s="20">
        <v>60</v>
      </c>
      <c r="D204" s="24"/>
      <c r="E204" s="24"/>
      <c r="F204" s="20" t="s">
        <v>8398</v>
      </c>
      <c r="G204" s="24" t="str">
        <f ca="1">IFERROR(__xludf.DUMMYFUNCTION("GOOGLETRANSLATE(F204,""en"",""pt"")"),"Sistemas de parede de retenção")</f>
        <v>Sistemas de parede de retenção</v>
      </c>
      <c r="H204" s="24"/>
      <c r="I204" s="24"/>
    </row>
    <row r="205" spans="1:9" ht="14.5">
      <c r="A205" s="20" t="s">
        <v>8399</v>
      </c>
      <c r="B205" s="20">
        <v>20</v>
      </c>
      <c r="C205" s="20">
        <v>60</v>
      </c>
      <c r="D205" s="20">
        <v>30</v>
      </c>
      <c r="E205" s="24"/>
      <c r="F205" s="20" t="s">
        <v>8400</v>
      </c>
      <c r="G205" s="24" t="str">
        <f ca="1">IFERROR(__xludf.DUMMYFUNCTION("GOOGLETRANSLATE(F205,""en"",""pt"")"),"sistemas de muro de suporte embutidos")</f>
        <v>sistemas de muro de suporte embutidos</v>
      </c>
      <c r="H205" s="24"/>
      <c r="I205" s="24"/>
    </row>
    <row r="206" spans="1:9" ht="14.5">
      <c r="A206" s="20" t="s">
        <v>8401</v>
      </c>
      <c r="B206" s="20">
        <v>20</v>
      </c>
      <c r="C206" s="20">
        <v>60</v>
      </c>
      <c r="D206" s="20">
        <v>30</v>
      </c>
      <c r="E206" s="20">
        <v>3</v>
      </c>
      <c r="F206" s="20" t="s">
        <v>8402</v>
      </c>
      <c r="G206" s="24" t="str">
        <f ca="1">IFERROR(__xludf.DUMMYFUNCTION("GOOGLETRANSLATE(F206,""en"",""pt"")"),"sistemas de muro de suporte incorporado chapa de aço ancorado pilha")</f>
        <v>sistemas de muro de suporte incorporado chapa de aço ancorado pilha</v>
      </c>
      <c r="H206" s="24"/>
      <c r="I206" s="24"/>
    </row>
    <row r="207" spans="1:9" ht="14.5">
      <c r="A207" s="20" t="s">
        <v>8403</v>
      </c>
      <c r="B207" s="20">
        <v>20</v>
      </c>
      <c r="C207" s="20">
        <v>60</v>
      </c>
      <c r="D207" s="20">
        <v>30</v>
      </c>
      <c r="E207" s="20">
        <v>8</v>
      </c>
      <c r="F207" s="20" t="s">
        <v>8404</v>
      </c>
      <c r="G207" s="24" t="str">
        <f ca="1">IFERROR(__xludf.DUMMYFUNCTION("GOOGLETRANSLATE(F207,""en"",""pt"")"),"sistemas de parede Bored rei pós retenção incorporado")</f>
        <v>sistemas de parede Bored rei pós retenção incorporado</v>
      </c>
      <c r="H207" s="20" t="s">
        <v>8405</v>
      </c>
      <c r="I207" s="20" t="s">
        <v>8406</v>
      </c>
    </row>
    <row r="208" spans="1:9" ht="14.5">
      <c r="A208" s="20" t="s">
        <v>8407</v>
      </c>
      <c r="B208" s="20">
        <v>20</v>
      </c>
      <c r="C208" s="20">
        <v>60</v>
      </c>
      <c r="D208" s="20">
        <v>30</v>
      </c>
      <c r="E208" s="20">
        <v>13</v>
      </c>
      <c r="F208" s="20" t="s">
        <v>8408</v>
      </c>
      <c r="G208" s="24" t="str">
        <f ca="1">IFERROR(__xludf.DUMMYFUNCTION("GOOGLETRANSLATE(F208,""en"",""pt"")"),"sistemas de parede de reteno Combi")</f>
        <v>sistemas de parede de reteno Combi</v>
      </c>
      <c r="H208" s="24"/>
      <c r="I208" s="24"/>
    </row>
    <row r="209" spans="1:9" ht="14.5">
      <c r="A209" s="20" t="s">
        <v>8409</v>
      </c>
      <c r="B209" s="20">
        <v>20</v>
      </c>
      <c r="C209" s="20">
        <v>60</v>
      </c>
      <c r="D209" s="20">
        <v>30</v>
      </c>
      <c r="E209" s="20">
        <v>15</v>
      </c>
      <c r="F209" s="20" t="s">
        <v>8410</v>
      </c>
      <c r="G209" s="24" t="str">
        <f ca="1">IFERROR(__xludf.DUMMYFUNCTION("GOOGLETRANSLATE(F209,""en"",""pt"")"),"sistemas de parede de reteno pilha incorporado furado contíguos")</f>
        <v>sistemas de parede de reteno pilha incorporado furado contíguos</v>
      </c>
      <c r="H209" s="20" t="s">
        <v>8411</v>
      </c>
      <c r="I209" s="20" t="s">
        <v>7901</v>
      </c>
    </row>
    <row r="210" spans="1:9" ht="14.5">
      <c r="A210" s="20" t="s">
        <v>8412</v>
      </c>
      <c r="B210" s="20">
        <v>20</v>
      </c>
      <c r="C210" s="20">
        <v>60</v>
      </c>
      <c r="D210" s="20">
        <v>30</v>
      </c>
      <c r="E210" s="20">
        <v>24</v>
      </c>
      <c r="F210" s="20" t="s">
        <v>8413</v>
      </c>
      <c r="G210" s="24" t="str">
        <f ca="1">IFERROR(__xludf.DUMMYFUNCTION("GOOGLETRANSLATE(F210,""en"",""pt"")"),"sistemas de parede impulsionado rei pós retenção incorporado")</f>
        <v>sistemas de parede impulsionado rei pós retenção incorporado</v>
      </c>
      <c r="H210" s="20" t="s">
        <v>8414</v>
      </c>
      <c r="I210" s="20" t="s">
        <v>8406</v>
      </c>
    </row>
    <row r="211" spans="1:9" ht="14.5">
      <c r="A211" s="20" t="s">
        <v>8415</v>
      </c>
      <c r="B211" s="20">
        <v>20</v>
      </c>
      <c r="C211" s="20">
        <v>60</v>
      </c>
      <c r="D211" s="20">
        <v>30</v>
      </c>
      <c r="E211" s="20">
        <v>70</v>
      </c>
      <c r="F211" s="20" t="s">
        <v>8416</v>
      </c>
      <c r="G211" s="24" t="str">
        <f ca="1">IFERROR(__xludf.DUMMYFUNCTION("GOOGLETRANSLATE(F211,""en"",""pt"")"),"sistemas de paredes de betão armado diafragma de retenção")</f>
        <v>sistemas de paredes de betão armado diafragma de retenção</v>
      </c>
      <c r="H211" s="20" t="s">
        <v>8417</v>
      </c>
      <c r="I211" s="20" t="s">
        <v>7901</v>
      </c>
    </row>
    <row r="212" spans="1:9" ht="14.5">
      <c r="A212" s="20" t="s">
        <v>8418</v>
      </c>
      <c r="B212" s="20">
        <v>20</v>
      </c>
      <c r="C212" s="20">
        <v>60</v>
      </c>
      <c r="D212" s="20">
        <v>30</v>
      </c>
      <c r="E212" s="20">
        <v>80</v>
      </c>
      <c r="F212" s="20" t="s">
        <v>8419</v>
      </c>
      <c r="G212" s="24" t="str">
        <f ca="1">IFERROR(__xludf.DUMMYFUNCTION("GOOGLETRANSLATE(F212,""en"",""pt"")"),"sistemas de parede de reteno pilha incorporado secantes")</f>
        <v>sistemas de parede de reteno pilha incorporado secantes</v>
      </c>
      <c r="H212" s="20" t="s">
        <v>8420</v>
      </c>
      <c r="I212" s="20" t="s">
        <v>7901</v>
      </c>
    </row>
    <row r="213" spans="1:9" ht="14.5">
      <c r="A213" s="20" t="s">
        <v>8421</v>
      </c>
      <c r="B213" s="20">
        <v>20</v>
      </c>
      <c r="C213" s="20">
        <v>60</v>
      </c>
      <c r="D213" s="20">
        <v>30</v>
      </c>
      <c r="E213" s="20">
        <v>83</v>
      </c>
      <c r="F213" s="20" t="s">
        <v>8422</v>
      </c>
      <c r="G213" s="24" t="str">
        <f ca="1">IFERROR(__xludf.DUMMYFUNCTION("GOOGLETRANSLATE(F213,""en"",""pt"")"),"Lamas sistemas de paredes de retenção de diafragma encaixado")</f>
        <v>Lamas sistemas de paredes de retenção de diafragma encaixado</v>
      </c>
      <c r="H213" s="20" t="s">
        <v>8423</v>
      </c>
      <c r="I213" s="20" t="s">
        <v>8424</v>
      </c>
    </row>
    <row r="214" spans="1:9" ht="14.5">
      <c r="A214" s="20" t="s">
        <v>8425</v>
      </c>
      <c r="B214" s="20">
        <v>20</v>
      </c>
      <c r="C214" s="20">
        <v>60</v>
      </c>
      <c r="D214" s="20">
        <v>30</v>
      </c>
      <c r="E214" s="20">
        <v>85</v>
      </c>
      <c r="F214" s="20" t="s">
        <v>8426</v>
      </c>
      <c r="G214" s="24" t="str">
        <f ca="1">IFERROR(__xludf.DUMMYFUNCTION("GOOGLETRANSLATE(F214,""en"",""pt"")"),"sistemas de paredes de retenção incorporado de chapa de aço da pilha")</f>
        <v>sistemas de paredes de retenção incorporado de chapa de aço da pilha</v>
      </c>
      <c r="H214" s="20" t="s">
        <v>8427</v>
      </c>
      <c r="I214" s="24"/>
    </row>
    <row r="215" spans="1:9" ht="14.5">
      <c r="A215" s="20" t="s">
        <v>8428</v>
      </c>
      <c r="B215" s="20">
        <v>20</v>
      </c>
      <c r="C215" s="20">
        <v>60</v>
      </c>
      <c r="D215" s="20">
        <v>30</v>
      </c>
      <c r="E215" s="20">
        <v>92</v>
      </c>
      <c r="F215" s="20" t="s">
        <v>8429</v>
      </c>
      <c r="G215" s="24" t="str">
        <f ca="1">IFERROR(__xludf.DUMMYFUNCTION("GOOGLETRANSLATE(F215,""en"",""pt"")"),"sistemas de paredes de retenção de diafragma sem reforço de betão")</f>
        <v>sistemas de paredes de retenção de diafragma sem reforço de betão</v>
      </c>
      <c r="H215" s="20" t="s">
        <v>8430</v>
      </c>
      <c r="I215" s="20" t="s">
        <v>7901</v>
      </c>
    </row>
    <row r="216" spans="1:9" ht="14.5">
      <c r="A216" s="20" t="s">
        <v>8431</v>
      </c>
      <c r="B216" s="20">
        <v>20</v>
      </c>
      <c r="C216" s="20">
        <v>60</v>
      </c>
      <c r="D216" s="20">
        <v>35</v>
      </c>
      <c r="E216" s="24"/>
      <c r="F216" s="20" t="s">
        <v>8432</v>
      </c>
      <c r="G216" s="24" t="str">
        <f ca="1">IFERROR(__xludf.DUMMYFUNCTION("GOOGLETRANSLATE(F216,""en"",""pt"")"),"sistemas de parede de reteno de gravidade")</f>
        <v>sistemas de parede de reteno de gravidade</v>
      </c>
      <c r="H216" s="24"/>
      <c r="I216" s="24"/>
    </row>
    <row r="217" spans="1:9" ht="14.5">
      <c r="A217" s="20" t="s">
        <v>8433</v>
      </c>
      <c r="B217" s="20">
        <v>20</v>
      </c>
      <c r="C217" s="20">
        <v>60</v>
      </c>
      <c r="D217" s="20">
        <v>35</v>
      </c>
      <c r="E217" s="20">
        <v>10</v>
      </c>
      <c r="F217" s="20" t="s">
        <v>8434</v>
      </c>
      <c r="G217" s="24" t="str">
        <f ca="1">IFERROR(__xludf.DUMMYFUNCTION("GOOGLETRANSLATE(F217,""en"",""pt"")"),"sistemas de paredes de retenção (gabião) unitários rocha enjaulado")</f>
        <v>sistemas de paredes de retenção (gabião) unitários rocha enjaulado</v>
      </c>
      <c r="H217" s="20" t="s">
        <v>8435</v>
      </c>
      <c r="I217" s="20" t="s">
        <v>8436</v>
      </c>
    </row>
    <row r="218" spans="1:9" ht="14.5">
      <c r="A218" s="20" t="s">
        <v>8437</v>
      </c>
      <c r="B218" s="20">
        <v>20</v>
      </c>
      <c r="C218" s="20">
        <v>60</v>
      </c>
      <c r="D218" s="20">
        <v>35</v>
      </c>
      <c r="E218" s="20">
        <v>13</v>
      </c>
      <c r="F218" s="20" t="s">
        <v>8438</v>
      </c>
      <c r="G218" s="24" t="str">
        <f ca="1">IFERROR(__xludf.DUMMYFUNCTION("GOOGLETRANSLATE(F218,""en"",""pt"")"),"sistemas de paredes de retenção de betão bagwork")</f>
        <v>sistemas de paredes de retenção de betão bagwork</v>
      </c>
      <c r="H218" s="20" t="s">
        <v>8439</v>
      </c>
      <c r="I218" s="24"/>
    </row>
    <row r="219" spans="1:9" ht="14.5">
      <c r="A219" s="20" t="s">
        <v>8440</v>
      </c>
      <c r="B219" s="20">
        <v>20</v>
      </c>
      <c r="C219" s="20">
        <v>60</v>
      </c>
      <c r="D219" s="20">
        <v>35</v>
      </c>
      <c r="E219" s="20">
        <v>15</v>
      </c>
      <c r="F219" s="20" t="s">
        <v>8441</v>
      </c>
      <c r="G219" s="24" t="str">
        <f ca="1">IFERROR(__xludf.DUMMYFUNCTION("GOOGLETRANSLATE(F219,""en"",""pt"")"),"sistemas de muro de suporte de berço")</f>
        <v>sistemas de muro de suporte de berço</v>
      </c>
      <c r="H219" s="20" t="s">
        <v>8442</v>
      </c>
      <c r="I219" s="20" t="s">
        <v>8436</v>
      </c>
    </row>
    <row r="220" spans="1:9" ht="14.5">
      <c r="A220" s="20" t="s">
        <v>8443</v>
      </c>
      <c r="B220" s="20">
        <v>20</v>
      </c>
      <c r="C220" s="20">
        <v>60</v>
      </c>
      <c r="D220" s="20">
        <v>35</v>
      </c>
      <c r="E220" s="20">
        <v>25</v>
      </c>
      <c r="F220" s="20" t="s">
        <v>8444</v>
      </c>
      <c r="G220" s="24" t="str">
        <f ca="1">IFERROR(__xludf.DUMMYFUNCTION("GOOGLETRANSLATE(F220,""en"",""pt"")"),"sistemas de parede de unidade de retenção drystack alvenaria")</f>
        <v>sistemas de parede de unidade de retenção drystack alvenaria</v>
      </c>
      <c r="H220" s="20" t="s">
        <v>8445</v>
      </c>
      <c r="I220" s="20" t="s">
        <v>8436</v>
      </c>
    </row>
    <row r="221" spans="1:9" ht="14.5">
      <c r="A221" s="20" t="s">
        <v>8446</v>
      </c>
      <c r="B221" s="20">
        <v>20</v>
      </c>
      <c r="C221" s="20">
        <v>60</v>
      </c>
      <c r="D221" s="20">
        <v>35</v>
      </c>
      <c r="E221" s="20">
        <v>50</v>
      </c>
      <c r="F221" s="20" t="s">
        <v>8447</v>
      </c>
      <c r="G221" s="24" t="str">
        <f ca="1">IFERROR(__xludf.DUMMYFUNCTION("GOOGLETRANSLATE(F221,""en"",""pt"")"),"sistemas de parede de reteno de alvenaria")</f>
        <v>sistemas de parede de reteno de alvenaria</v>
      </c>
      <c r="H221" s="20" t="s">
        <v>8448</v>
      </c>
      <c r="I221" s="20" t="s">
        <v>7901</v>
      </c>
    </row>
    <row r="222" spans="1:9" ht="14.5">
      <c r="A222" s="20" t="s">
        <v>8449</v>
      </c>
      <c r="B222" s="20">
        <v>20</v>
      </c>
      <c r="C222" s="20">
        <v>60</v>
      </c>
      <c r="D222" s="20">
        <v>35</v>
      </c>
      <c r="E222" s="20">
        <v>66</v>
      </c>
      <c r="F222" s="20" t="s">
        <v>8450</v>
      </c>
      <c r="G222" s="24" t="str">
        <f ca="1">IFERROR(__xludf.DUMMYFUNCTION("GOOGLETRANSLATE(F222,""en"",""pt"")"),"sistemas de parede de parede de retenção de haste de betão pré-moldado")</f>
        <v>sistemas de parede de parede de retenção de haste de betão pré-moldado</v>
      </c>
      <c r="H222" s="20" t="s">
        <v>8451</v>
      </c>
      <c r="I222" s="20" t="s">
        <v>8436</v>
      </c>
    </row>
    <row r="223" spans="1:9" ht="14.5">
      <c r="A223" s="20" t="s">
        <v>8452</v>
      </c>
      <c r="B223" s="20">
        <v>20</v>
      </c>
      <c r="C223" s="20">
        <v>60</v>
      </c>
      <c r="D223" s="20">
        <v>35</v>
      </c>
      <c r="E223" s="20">
        <v>70</v>
      </c>
      <c r="F223" s="20" t="s">
        <v>8453</v>
      </c>
      <c r="G223" s="24" t="str">
        <f ca="1">IFERROR(__xludf.DUMMYFUNCTION("GOOGLETRANSLATE(F223,""en"",""pt"")"),"sistemas de paredes de retenção de betão armado")</f>
        <v>sistemas de paredes de retenção de betão armado</v>
      </c>
      <c r="H223" s="20" t="s">
        <v>8454</v>
      </c>
      <c r="I223" s="20" t="s">
        <v>7901</v>
      </c>
    </row>
    <row r="224" spans="1:9" ht="14.5">
      <c r="A224" s="20" t="s">
        <v>8455</v>
      </c>
      <c r="B224" s="20">
        <v>20</v>
      </c>
      <c r="C224" s="20">
        <v>60</v>
      </c>
      <c r="D224" s="20">
        <v>35</v>
      </c>
      <c r="E224" s="20">
        <v>72</v>
      </c>
      <c r="F224" s="20" t="s">
        <v>8456</v>
      </c>
      <c r="G224" s="24" t="str">
        <f ca="1">IFERROR(__xludf.DUMMYFUNCTION("GOOGLETRANSLATE(F224,""en"",""pt"")"),"sistemas de parede de reteno terra reforçadas")</f>
        <v>sistemas de parede de reteno terra reforçadas</v>
      </c>
      <c r="H224" s="20" t="s">
        <v>8457</v>
      </c>
      <c r="I224" s="20" t="s">
        <v>8458</v>
      </c>
    </row>
    <row r="225" spans="1:9" ht="14.5">
      <c r="A225" s="20" t="s">
        <v>8459</v>
      </c>
      <c r="B225" s="20">
        <v>20</v>
      </c>
      <c r="C225" s="20">
        <v>60</v>
      </c>
      <c r="D225" s="20">
        <v>35</v>
      </c>
      <c r="E225" s="20">
        <v>90</v>
      </c>
      <c r="F225" s="20" t="s">
        <v>8460</v>
      </c>
      <c r="G225" s="24" t="str">
        <f ca="1">IFERROR(__xludf.DUMMYFUNCTION("GOOGLETRANSLATE(F225,""en"",""pt"")"),"sistemas de parede de reteno de madeira")</f>
        <v>sistemas de parede de reteno de madeira</v>
      </c>
      <c r="H225" s="20" t="s">
        <v>8461</v>
      </c>
      <c r="I225" s="20" t="s">
        <v>8436</v>
      </c>
    </row>
    <row r="226" spans="1:9" ht="14.5">
      <c r="A226" s="20" t="s">
        <v>8462</v>
      </c>
      <c r="B226" s="20">
        <v>20</v>
      </c>
      <c r="C226" s="20">
        <v>60</v>
      </c>
      <c r="D226" s="20">
        <v>35</v>
      </c>
      <c r="E226" s="20">
        <v>91</v>
      </c>
      <c r="F226" s="20" t="s">
        <v>8463</v>
      </c>
      <c r="G226" s="24" t="str">
        <f ca="1">IFERROR(__xludf.DUMMYFUNCTION("GOOGLETRANSLATE(F226,""en"",""pt"")"),"sistemas de parede de reteno de pneus de fardos")</f>
        <v>sistemas de parede de reteno de pneus de fardos</v>
      </c>
      <c r="H226" s="20" t="s">
        <v>8464</v>
      </c>
      <c r="I226" s="20" t="s">
        <v>8436</v>
      </c>
    </row>
    <row r="227" spans="1:9" ht="14.5">
      <c r="A227" s="20" t="s">
        <v>8465</v>
      </c>
      <c r="B227" s="20">
        <v>20</v>
      </c>
      <c r="C227" s="20">
        <v>70</v>
      </c>
      <c r="D227" s="24"/>
      <c r="E227" s="24"/>
      <c r="F227" s="20" t="s">
        <v>8466</v>
      </c>
      <c r="G227" s="24" t="str">
        <f ca="1">IFERROR(__xludf.DUMMYFUNCTION("GOOGLETRANSLATE(F227,""en"",""pt"")"),"estrutura de cobertura e sistemas de acabamento")</f>
        <v>estrutura de cobertura e sistemas de acabamento</v>
      </c>
      <c r="H227" s="24"/>
      <c r="I227" s="24"/>
    </row>
    <row r="228" spans="1:9" ht="14.5">
      <c r="A228" s="20" t="s">
        <v>8467</v>
      </c>
      <c r="B228" s="20">
        <v>20</v>
      </c>
      <c r="C228" s="20">
        <v>70</v>
      </c>
      <c r="D228" s="20">
        <v>15</v>
      </c>
      <c r="E228" s="24"/>
      <c r="F228" s="20" t="s">
        <v>8468</v>
      </c>
      <c r="G228" s="24" t="str">
        <f ca="1">IFERROR(__xludf.DUMMYFUNCTION("GOOGLETRANSLATE(F228,""en"",""pt"")"),"sistemas de proteção de concreto")</f>
        <v>sistemas de proteção de concreto</v>
      </c>
      <c r="H228" s="24"/>
      <c r="I228" s="24"/>
    </row>
    <row r="229" spans="1:9" ht="14.5">
      <c r="A229" s="20" t="s">
        <v>8469</v>
      </c>
      <c r="B229" s="20">
        <v>20</v>
      </c>
      <c r="C229" s="20">
        <v>70</v>
      </c>
      <c r="D229" s="20">
        <v>65</v>
      </c>
      <c r="E229" s="24"/>
      <c r="F229" s="20" t="s">
        <v>8470</v>
      </c>
      <c r="G229" s="24" t="str">
        <f ca="1">IFERROR(__xludf.DUMMYFUNCTION("GOOGLETRANSLATE(F229,""en"",""pt"")"),"sistemas de pintura de proteção")</f>
        <v>sistemas de pintura de proteção</v>
      </c>
      <c r="H229" s="24"/>
      <c r="I229" s="24"/>
    </row>
    <row r="230" spans="1:9" ht="14.5">
      <c r="A230" s="20" t="s">
        <v>8471</v>
      </c>
      <c r="B230" s="20">
        <v>20</v>
      </c>
      <c r="C230" s="20">
        <v>70</v>
      </c>
      <c r="D230" s="20">
        <v>80</v>
      </c>
      <c r="E230" s="24"/>
      <c r="F230" s="20" t="s">
        <v>8472</v>
      </c>
      <c r="G230" s="24" t="str">
        <f ca="1">IFERROR(__xludf.DUMMYFUNCTION("GOOGLETRANSLATE(F230,""en"",""pt"")"),"sistemas encasement aço")</f>
        <v>sistemas encasement aço</v>
      </c>
      <c r="H230" s="24"/>
      <c r="I230" s="24"/>
    </row>
    <row r="231" spans="1:9" ht="14.5">
      <c r="A231" s="20" t="s">
        <v>8473</v>
      </c>
      <c r="B231" s="20">
        <v>20</v>
      </c>
      <c r="C231" s="20">
        <v>80</v>
      </c>
      <c r="D231" s="24"/>
      <c r="E231" s="24"/>
      <c r="F231" s="20" t="s">
        <v>8474</v>
      </c>
      <c r="G231" s="24" t="str">
        <f ca="1">IFERROR(__xludf.DUMMYFUNCTION("GOOGLETRANSLATE(F231,""en"",""pt"")"),"sistemas acessórios Estrutura")</f>
        <v>sistemas acessórios Estrutura</v>
      </c>
      <c r="H231" s="24"/>
      <c r="I231" s="24"/>
    </row>
    <row r="232" spans="1:9" ht="14.5">
      <c r="A232" s="20" t="s">
        <v>8475</v>
      </c>
      <c r="B232" s="20">
        <v>20</v>
      </c>
      <c r="C232" s="20">
        <v>80</v>
      </c>
      <c r="D232" s="20">
        <v>60</v>
      </c>
      <c r="E232" s="24"/>
      <c r="F232" s="20" t="s">
        <v>8476</v>
      </c>
      <c r="G232" s="24" t="str">
        <f ca="1">IFERROR(__xludf.DUMMYFUNCTION("GOOGLETRANSLATE(F232,""en"",""pt"")"),"sistemas de cofragem permanente")</f>
        <v>sistemas de cofragem permanente</v>
      </c>
      <c r="H232" s="24"/>
      <c r="I232" s="24"/>
    </row>
    <row r="233" spans="1:9" ht="14.5">
      <c r="A233" s="20" t="s">
        <v>8477</v>
      </c>
      <c r="B233" s="20">
        <v>20</v>
      </c>
      <c r="C233" s="20">
        <v>95</v>
      </c>
      <c r="D233" s="24"/>
      <c r="E233" s="24"/>
      <c r="F233" s="20" t="s">
        <v>8478</v>
      </c>
      <c r="G233" s="24" t="str">
        <f ca="1">IFERROR(__xludf.DUMMYFUNCTION("GOOGLETRANSLATE(F233,""en"",""pt"")"),"sistemas estruturais temporários")</f>
        <v>sistemas estruturais temporários</v>
      </c>
      <c r="H233" s="24"/>
      <c r="I233" s="24"/>
    </row>
    <row r="234" spans="1:9" ht="14.5">
      <c r="A234" s="20" t="s">
        <v>8479</v>
      </c>
      <c r="B234" s="20">
        <v>25</v>
      </c>
      <c r="C234" s="24"/>
      <c r="D234" s="24"/>
      <c r="E234" s="24"/>
      <c r="F234" s="20" t="s">
        <v>8480</v>
      </c>
      <c r="G234" s="24" t="str">
        <f ca="1">IFERROR(__xludf.DUMMYFUNCTION("GOOGLETRANSLATE(F234,""en"",""pt"")"),"Parede e sistemas de barreira")</f>
        <v>Parede e sistemas de barreira</v>
      </c>
      <c r="H234" s="24"/>
      <c r="I234" s="24"/>
    </row>
    <row r="235" spans="1:9" ht="14.5">
      <c r="A235" s="20" t="s">
        <v>8481</v>
      </c>
      <c r="B235" s="20">
        <v>25</v>
      </c>
      <c r="C235" s="20">
        <v>10</v>
      </c>
      <c r="D235" s="24"/>
      <c r="E235" s="24"/>
      <c r="F235" s="20" t="s">
        <v>8482</v>
      </c>
      <c r="G235" s="24" t="str">
        <f ca="1">IFERROR(__xludf.DUMMYFUNCTION("GOOGLETRANSLATE(F235,""en"",""pt"")"),"sistemas de paredes moldadas")</f>
        <v>sistemas de paredes moldadas</v>
      </c>
      <c r="H235" s="24"/>
      <c r="I235" s="24"/>
    </row>
    <row r="236" spans="1:9" ht="14.5">
      <c r="A236" s="20" t="s">
        <v>8483</v>
      </c>
      <c r="B236" s="20">
        <v>25</v>
      </c>
      <c r="C236" s="20">
        <v>10</v>
      </c>
      <c r="D236" s="20">
        <v>20</v>
      </c>
      <c r="E236" s="24"/>
      <c r="F236" s="20" t="s">
        <v>8484</v>
      </c>
      <c r="G236" s="24" t="str">
        <f ca="1">IFERROR(__xludf.DUMMYFUNCTION("GOOGLETRANSLATE(F236,""en"",""pt"")"),"sistemas de paredes de cortina")</f>
        <v>sistemas de paredes de cortina</v>
      </c>
      <c r="H236" s="24"/>
      <c r="I236" s="24"/>
    </row>
    <row r="237" spans="1:9" ht="14.5">
      <c r="A237" s="20" t="s">
        <v>8485</v>
      </c>
      <c r="B237" s="20">
        <v>25</v>
      </c>
      <c r="C237" s="20">
        <v>10</v>
      </c>
      <c r="D237" s="20">
        <v>20</v>
      </c>
      <c r="E237" s="20">
        <v>85</v>
      </c>
      <c r="F237" s="20" t="s">
        <v>8486</v>
      </c>
      <c r="G237" s="24" t="str">
        <f ca="1">IFERROR(__xludf.DUMMYFUNCTION("GOOGLETRANSLATE(F237,""en"",""pt"")"),"sistemas de cortina de paredes vara")</f>
        <v>sistemas de cortina de paredes vara</v>
      </c>
      <c r="H237" s="20" t="s">
        <v>8487</v>
      </c>
      <c r="I237" s="20" t="s">
        <v>8488</v>
      </c>
    </row>
    <row r="238" spans="1:9" ht="14.5">
      <c r="A238" s="20" t="s">
        <v>8489</v>
      </c>
      <c r="B238" s="20">
        <v>25</v>
      </c>
      <c r="C238" s="20">
        <v>10</v>
      </c>
      <c r="D238" s="20">
        <v>20</v>
      </c>
      <c r="E238" s="20">
        <v>90</v>
      </c>
      <c r="F238" s="20" t="s">
        <v>8490</v>
      </c>
      <c r="G238" s="24" t="str">
        <f ca="1">IFERROR(__xludf.DUMMYFUNCTION("GOOGLETRANSLATE(F238,""en"",""pt"")"),"sistemas de paredes de cortina Unitized")</f>
        <v>sistemas de paredes de cortina Unitized</v>
      </c>
      <c r="H238" s="20" t="s">
        <v>8491</v>
      </c>
      <c r="I238" s="20" t="s">
        <v>8488</v>
      </c>
    </row>
    <row r="239" spans="1:9" ht="14.5">
      <c r="A239" s="20" t="s">
        <v>8492</v>
      </c>
      <c r="B239" s="20">
        <v>25</v>
      </c>
      <c r="C239" s="20">
        <v>10</v>
      </c>
      <c r="D239" s="20">
        <v>30</v>
      </c>
      <c r="E239" s="24"/>
      <c r="F239" s="20" t="s">
        <v>8493</v>
      </c>
      <c r="G239" s="24" t="str">
        <f ca="1">IFERROR(__xludf.DUMMYFUNCTION("GOOGLETRANSLATE(F239,""en"",""pt"")"),"sistemas de partição emoldurada")</f>
        <v>sistemas de partição emoldurada</v>
      </c>
      <c r="H239" s="24"/>
      <c r="I239" s="24"/>
    </row>
    <row r="240" spans="1:9" ht="14.5">
      <c r="A240" s="20" t="s">
        <v>8494</v>
      </c>
      <c r="B240" s="20">
        <v>25</v>
      </c>
      <c r="C240" s="20">
        <v>10</v>
      </c>
      <c r="D240" s="20">
        <v>30</v>
      </c>
      <c r="E240" s="20">
        <v>35</v>
      </c>
      <c r="F240" s="20" t="s">
        <v>8495</v>
      </c>
      <c r="G240" s="24" t="str">
        <f ca="1">IFERROR(__xludf.DUMMYFUNCTION("GOOGLETRANSLATE(F240,""en"",""pt"")"),"sistemas de partição de placa de gesso")</f>
        <v>sistemas de partição de placa de gesso</v>
      </c>
      <c r="H240" s="20" t="s">
        <v>8496</v>
      </c>
      <c r="I240" s="20" t="s">
        <v>8497</v>
      </c>
    </row>
    <row r="241" spans="1:9" ht="14.5">
      <c r="A241" s="20" t="s">
        <v>8498</v>
      </c>
      <c r="B241" s="20">
        <v>25</v>
      </c>
      <c r="C241" s="20">
        <v>10</v>
      </c>
      <c r="D241" s="20">
        <v>30</v>
      </c>
      <c r="E241" s="20">
        <v>70</v>
      </c>
      <c r="F241" s="20" t="s">
        <v>8499</v>
      </c>
      <c r="G241" s="24" t="str">
        <f ca="1">IFERROR(__xludf.DUMMYFUNCTION("GOOGLETRANSLATE(F241,""en"",""pt"")"),"sistemas de partição de folha rígida")</f>
        <v>sistemas de partição de folha rígida</v>
      </c>
      <c r="H241" s="20" t="s">
        <v>8500</v>
      </c>
      <c r="I241" s="20" t="s">
        <v>8497</v>
      </c>
    </row>
    <row r="242" spans="1:9" ht="14.5">
      <c r="A242" s="20" t="s">
        <v>8501</v>
      </c>
      <c r="B242" s="20">
        <v>25</v>
      </c>
      <c r="C242" s="20">
        <v>10</v>
      </c>
      <c r="D242" s="20">
        <v>32</v>
      </c>
      <c r="E242" s="24"/>
      <c r="F242" s="20" t="s">
        <v>8502</v>
      </c>
      <c r="G242" s="24" t="str">
        <f ca="1">IFERROR(__xludf.DUMMYFUNCTION("GOOGLETRANSLATE(F242,""en"",""pt"")"),"sistemas de estrutura de parede emoldurada")</f>
        <v>sistemas de estrutura de parede emoldurada</v>
      </c>
      <c r="H242" s="24"/>
      <c r="I242" s="24"/>
    </row>
    <row r="243" spans="1:9" ht="14.5">
      <c r="A243" s="20" t="s">
        <v>8503</v>
      </c>
      <c r="B243" s="20">
        <v>25</v>
      </c>
      <c r="C243" s="20">
        <v>10</v>
      </c>
      <c r="D243" s="20">
        <v>32</v>
      </c>
      <c r="E243" s="20">
        <v>3</v>
      </c>
      <c r="F243" s="20" t="s">
        <v>8504</v>
      </c>
      <c r="G243" s="24" t="str">
        <f ca="1">IFERROR(__xludf.DUMMYFUNCTION("GOOGLETRANSLATE(F243,""en"",""pt"")"),"sistemas de moldação parede de alumínio")</f>
        <v>sistemas de moldação parede de alumínio</v>
      </c>
      <c r="H243" s="24"/>
      <c r="I243" s="24"/>
    </row>
    <row r="244" spans="1:9" ht="14.5">
      <c r="A244" s="20" t="s">
        <v>8505</v>
      </c>
      <c r="B244" s="20">
        <v>25</v>
      </c>
      <c r="C244" s="20">
        <v>10</v>
      </c>
      <c r="D244" s="20">
        <v>32</v>
      </c>
      <c r="E244" s="20">
        <v>35</v>
      </c>
      <c r="F244" s="20" t="s">
        <v>8506</v>
      </c>
      <c r="G244" s="24" t="str">
        <f ca="1">IFERROR(__xludf.DUMMYFUNCTION("GOOGLETRANSLATE(F244,""en"",""pt"")"),"sistemas de moldação parede de aço pesado")</f>
        <v>sistemas de moldação parede de aço pesado</v>
      </c>
      <c r="H244" s="20" t="s">
        <v>8507</v>
      </c>
      <c r="I244" s="20" t="s">
        <v>8508</v>
      </c>
    </row>
    <row r="245" spans="1:9" ht="14.5">
      <c r="A245" s="20" t="s">
        <v>8509</v>
      </c>
      <c r="B245" s="20">
        <v>25</v>
      </c>
      <c r="C245" s="20">
        <v>10</v>
      </c>
      <c r="D245" s="20">
        <v>32</v>
      </c>
      <c r="E245" s="20">
        <v>45</v>
      </c>
      <c r="F245" s="20" t="s">
        <v>8510</v>
      </c>
      <c r="G245" s="24" t="str">
        <f ca="1">IFERROR(__xludf.DUMMYFUNCTION("GOOGLETRANSLATE(F245,""en"",""pt"")"),"sistemas de moldação parede de aço luz")</f>
        <v>sistemas de moldação parede de aço luz</v>
      </c>
      <c r="H245" s="20" t="s">
        <v>8511</v>
      </c>
      <c r="I245" s="20" t="s">
        <v>8512</v>
      </c>
    </row>
    <row r="246" spans="1:9" ht="14.5">
      <c r="A246" s="20" t="s">
        <v>8513</v>
      </c>
      <c r="B246" s="20">
        <v>25</v>
      </c>
      <c r="C246" s="20">
        <v>10</v>
      </c>
      <c r="D246" s="20">
        <v>32</v>
      </c>
      <c r="E246" s="20">
        <v>58</v>
      </c>
      <c r="F246" s="20" t="s">
        <v>8514</v>
      </c>
      <c r="G246" s="24" t="str">
        <f ca="1">IFERROR(__xludf.DUMMYFUNCTION("GOOGLETRANSLATE(F246,""en"",""pt"")"),"sistemas de moldação de parede Plastics")</f>
        <v>sistemas de moldação de parede Plastics</v>
      </c>
      <c r="H246" s="24"/>
      <c r="I246" s="24"/>
    </row>
    <row r="247" spans="1:9" ht="14.5">
      <c r="A247" s="20" t="s">
        <v>8515</v>
      </c>
      <c r="B247" s="20">
        <v>25</v>
      </c>
      <c r="C247" s="20">
        <v>10</v>
      </c>
      <c r="D247" s="20">
        <v>32</v>
      </c>
      <c r="E247" s="20">
        <v>90</v>
      </c>
      <c r="F247" s="20" t="s">
        <v>8516</v>
      </c>
      <c r="G247" s="24" t="str">
        <f ca="1">IFERROR(__xludf.DUMMYFUNCTION("GOOGLETRANSLATE(F247,""en"",""pt"")"),"sistemas de moldação da parede de madeira")</f>
        <v>sistemas de moldação da parede de madeira</v>
      </c>
      <c r="H247" s="20" t="s">
        <v>8517</v>
      </c>
      <c r="I247" s="20" t="s">
        <v>8512</v>
      </c>
    </row>
    <row r="248" spans="1:9" ht="14.5">
      <c r="A248" s="20" t="s">
        <v>8518</v>
      </c>
      <c r="B248" s="20">
        <v>25</v>
      </c>
      <c r="C248" s="20">
        <v>10</v>
      </c>
      <c r="D248" s="20">
        <v>35</v>
      </c>
      <c r="E248" s="24"/>
      <c r="F248" s="20" t="s">
        <v>8519</v>
      </c>
      <c r="G248" s="24" t="str">
        <f ca="1">IFERROR(__xludf.DUMMYFUNCTION("GOOGLETRANSLATE(F248,""en"",""pt"")"),"sistemas de vidros emoldurados")</f>
        <v>sistemas de vidros emoldurados</v>
      </c>
      <c r="H248" s="24"/>
      <c r="I248" s="24"/>
    </row>
    <row r="249" spans="1:9" ht="14.5">
      <c r="A249" s="20" t="s">
        <v>8520</v>
      </c>
      <c r="B249" s="20">
        <v>25</v>
      </c>
      <c r="C249" s="20">
        <v>10</v>
      </c>
      <c r="D249" s="20">
        <v>35</v>
      </c>
      <c r="E249" s="20">
        <v>35</v>
      </c>
      <c r="F249" s="20" t="s">
        <v>8521</v>
      </c>
      <c r="G249" s="24" t="str">
        <f ca="1">IFERROR(__xludf.DUMMYFUNCTION("GOOGLETRANSLATE(F249,""en"",""pt"")"),"sistemas de tela de vidros")</f>
        <v>sistemas de tela de vidros</v>
      </c>
      <c r="H249" s="24"/>
      <c r="I249" s="24"/>
    </row>
    <row r="250" spans="1:9" ht="14.5">
      <c r="A250" s="20" t="s">
        <v>8522</v>
      </c>
      <c r="B250" s="20">
        <v>25</v>
      </c>
      <c r="C250" s="20">
        <v>10</v>
      </c>
      <c r="D250" s="20">
        <v>35</v>
      </c>
      <c r="E250" s="20">
        <v>95</v>
      </c>
      <c r="F250" s="20" t="s">
        <v>8523</v>
      </c>
      <c r="G250" s="24" t="str">
        <f ca="1">IFERROR(__xludf.DUMMYFUNCTION("GOOGLETRANSLATE(F250,""en"",""pt"")"),"sistemas de patentes vidros verticais")</f>
        <v>sistemas de patentes vidros verticais</v>
      </c>
      <c r="H250" s="20" t="s">
        <v>8524</v>
      </c>
      <c r="I250" s="20" t="s">
        <v>8488</v>
      </c>
    </row>
    <row r="251" spans="1:9" ht="14.5">
      <c r="A251" s="20" t="s">
        <v>8525</v>
      </c>
      <c r="B251" s="20">
        <v>25</v>
      </c>
      <c r="C251" s="20">
        <v>10</v>
      </c>
      <c r="D251" s="20">
        <v>35</v>
      </c>
      <c r="E251" s="20">
        <v>97</v>
      </c>
      <c r="F251" s="20" t="s">
        <v>8526</v>
      </c>
      <c r="G251" s="24" t="str">
        <f ca="1">IFERROR(__xludf.DUMMYFUNCTION("GOOGLETRANSLATE(F251,""en"",""pt"")"),"sistemas de tela de parede janela envidraçada")</f>
        <v>sistemas de tela de parede janela envidraçada</v>
      </c>
      <c r="H251" s="24"/>
      <c r="I251" s="24"/>
    </row>
    <row r="252" spans="1:9" ht="14.5">
      <c r="A252" s="20" t="s">
        <v>8527</v>
      </c>
      <c r="B252" s="20">
        <v>25</v>
      </c>
      <c r="C252" s="20">
        <v>11</v>
      </c>
      <c r="D252" s="24"/>
      <c r="E252" s="24"/>
      <c r="F252" s="20" t="s">
        <v>8528</v>
      </c>
      <c r="G252" s="24" t="str">
        <f ca="1">IFERROR(__xludf.DUMMYFUNCTION("GOOGLETRANSLATE(F252,""en"",""pt"")"),"sistemas de estrutura de parede monolíticas")</f>
        <v>sistemas de estrutura de parede monolíticas</v>
      </c>
      <c r="H252" s="24"/>
      <c r="I252" s="24"/>
    </row>
    <row r="253" spans="1:9" ht="14.5">
      <c r="A253" s="20" t="s">
        <v>8529</v>
      </c>
      <c r="B253" s="20">
        <v>25</v>
      </c>
      <c r="C253" s="20">
        <v>11</v>
      </c>
      <c r="D253" s="20">
        <v>13</v>
      </c>
      <c r="E253" s="24"/>
      <c r="F253" s="20" t="s">
        <v>8530</v>
      </c>
      <c r="G253" s="24" t="str">
        <f ca="1">IFERROR(__xludf.DUMMYFUNCTION("GOOGLETRANSLATE(F253,""en"",""pt"")"),"sistemas de parede espiga")</f>
        <v>sistemas de parede espiga</v>
      </c>
      <c r="H253" s="24"/>
      <c r="I253" s="24"/>
    </row>
    <row r="254" spans="1:9" ht="14.5">
      <c r="A254" s="20" t="s">
        <v>8531</v>
      </c>
      <c r="B254" s="20">
        <v>25</v>
      </c>
      <c r="C254" s="20">
        <v>11</v>
      </c>
      <c r="D254" s="20">
        <v>15</v>
      </c>
      <c r="E254" s="24"/>
      <c r="F254" s="20" t="s">
        <v>8532</v>
      </c>
      <c r="G254" s="24" t="str">
        <f ca="1">IFERROR(__xludf.DUMMYFUNCTION("GOOGLETRANSLATE(F254,""en"",""pt"")"),"sistemas de parede de unidade de forma concreta alvenaria")</f>
        <v>sistemas de parede de unidade de forma concreta alvenaria</v>
      </c>
      <c r="H254" s="24"/>
      <c r="I254" s="24"/>
    </row>
    <row r="255" spans="1:9" ht="14.5">
      <c r="A255" s="20" t="s">
        <v>8533</v>
      </c>
      <c r="B255" s="20">
        <v>25</v>
      </c>
      <c r="C255" s="20">
        <v>11</v>
      </c>
      <c r="D255" s="20">
        <v>16</v>
      </c>
      <c r="E255" s="24"/>
      <c r="F255" s="20" t="s">
        <v>8534</v>
      </c>
      <c r="G255" s="24" t="str">
        <f ca="1">IFERROR(__xludf.DUMMYFUNCTION("GOOGLETRANSLATE(F255,""en"",""pt"")"),"sistemas de parede em betão")</f>
        <v>sistemas de parede em betão</v>
      </c>
      <c r="H255" s="24"/>
      <c r="I255" s="24"/>
    </row>
    <row r="256" spans="1:9" ht="14.5">
      <c r="A256" s="20" t="s">
        <v>8535</v>
      </c>
      <c r="B256" s="20">
        <v>25</v>
      </c>
      <c r="C256" s="20">
        <v>11</v>
      </c>
      <c r="D256" s="20">
        <v>16</v>
      </c>
      <c r="E256" s="20">
        <v>65</v>
      </c>
      <c r="F256" s="20" t="s">
        <v>8536</v>
      </c>
      <c r="G256" s="24" t="str">
        <f ca="1">IFERROR(__xludf.DUMMYFUNCTION("GOOGLETRANSLATE(F256,""en"",""pt"")"),"sistemas de paredes de betão pré-fabricado")</f>
        <v>sistemas de paredes de betão pré-fabricado</v>
      </c>
      <c r="H256" s="20" t="s">
        <v>8537</v>
      </c>
      <c r="I256" s="20" t="s">
        <v>8538</v>
      </c>
    </row>
    <row r="257" spans="1:9" ht="14.5">
      <c r="A257" s="20" t="s">
        <v>8539</v>
      </c>
      <c r="B257" s="20">
        <v>25</v>
      </c>
      <c r="C257" s="20">
        <v>11</v>
      </c>
      <c r="D257" s="20">
        <v>16</v>
      </c>
      <c r="E257" s="20">
        <v>70</v>
      </c>
      <c r="F257" s="20" t="s">
        <v>8540</v>
      </c>
      <c r="G257" s="24" t="str">
        <f ca="1">IFERROR(__xludf.DUMMYFUNCTION("GOOGLETRANSLATE(F257,""en"",""pt"")"),"sistemas de estrutura de parede de betão armado")</f>
        <v>sistemas de estrutura de parede de betão armado</v>
      </c>
      <c r="H257" s="20" t="s">
        <v>8541</v>
      </c>
      <c r="I257" s="20" t="s">
        <v>8542</v>
      </c>
    </row>
    <row r="258" spans="1:9" ht="14.5">
      <c r="A258" s="20" t="s">
        <v>8543</v>
      </c>
      <c r="B258" s="20">
        <v>25</v>
      </c>
      <c r="C258" s="20">
        <v>11</v>
      </c>
      <c r="D258" s="20">
        <v>16</v>
      </c>
      <c r="E258" s="20">
        <v>80</v>
      </c>
      <c r="F258" s="20" t="s">
        <v>8544</v>
      </c>
      <c r="G258" s="24" t="str">
        <f ca="1">IFERROR(__xludf.DUMMYFUNCTION("GOOGLETRANSLATE(F258,""en"",""pt"")"),"sistemas de estrutura de parede de betão projectado")</f>
        <v>sistemas de estrutura de parede de betão projectado</v>
      </c>
      <c r="H258" s="20" t="s">
        <v>8545</v>
      </c>
      <c r="I258" s="20" t="s">
        <v>8546</v>
      </c>
    </row>
    <row r="259" spans="1:9" ht="14.5">
      <c r="A259" s="20" t="s">
        <v>8547</v>
      </c>
      <c r="B259" s="20">
        <v>25</v>
      </c>
      <c r="C259" s="20">
        <v>11</v>
      </c>
      <c r="D259" s="20">
        <v>70</v>
      </c>
      <c r="E259" s="24"/>
      <c r="F259" s="20" t="s">
        <v>8548</v>
      </c>
      <c r="G259" s="24" t="str">
        <f ca="1">IFERROR(__xludf.DUMMYFUNCTION("GOOGLETRANSLATE(F259,""en"",""pt"")"),"sistemas de parede taipa")</f>
        <v>sistemas de parede taipa</v>
      </c>
      <c r="H259" s="24"/>
      <c r="I259" s="24"/>
    </row>
    <row r="260" spans="1:9" ht="14.5">
      <c r="A260" s="20" t="s">
        <v>8549</v>
      </c>
      <c r="B260" s="20">
        <v>25</v>
      </c>
      <c r="C260" s="20">
        <v>11</v>
      </c>
      <c r="D260" s="20">
        <v>70</v>
      </c>
      <c r="E260" s="20">
        <v>55</v>
      </c>
      <c r="F260" s="20" t="s">
        <v>8550</v>
      </c>
      <c r="G260" s="24" t="str">
        <f ca="1">IFERROR(__xludf.DUMMYFUNCTION("GOOGLETRANSLATE(F260,""en"",""pt"")"),"sistemas de parede de terra batida não estabilizada")</f>
        <v>sistemas de parede de terra batida não estabilizada</v>
      </c>
      <c r="H260" s="20" t="s">
        <v>8551</v>
      </c>
      <c r="I260" s="20" t="s">
        <v>8552</v>
      </c>
    </row>
    <row r="261" spans="1:9" ht="14.5">
      <c r="A261" s="20" t="s">
        <v>8553</v>
      </c>
      <c r="B261" s="20">
        <v>25</v>
      </c>
      <c r="C261" s="20">
        <v>11</v>
      </c>
      <c r="D261" s="20">
        <v>70</v>
      </c>
      <c r="E261" s="20">
        <v>83</v>
      </c>
      <c r="F261" s="20" t="s">
        <v>8554</v>
      </c>
      <c r="G261" s="24" t="str">
        <f ca="1">IFERROR(__xludf.DUMMYFUNCTION("GOOGLETRANSLATE(F261,""en"",""pt"")"),"sistemas plinto taipa estabilizados")</f>
        <v>sistemas plinto taipa estabilizados</v>
      </c>
      <c r="H261" s="24"/>
      <c r="I261" s="24"/>
    </row>
    <row r="262" spans="1:9" ht="14.5">
      <c r="A262" s="20" t="s">
        <v>8555</v>
      </c>
      <c r="B262" s="20">
        <v>25</v>
      </c>
      <c r="C262" s="20">
        <v>11</v>
      </c>
      <c r="D262" s="20">
        <v>70</v>
      </c>
      <c r="E262" s="20">
        <v>85</v>
      </c>
      <c r="F262" s="20" t="s">
        <v>8556</v>
      </c>
      <c r="G262" s="24" t="str">
        <f ca="1">IFERROR(__xludf.DUMMYFUNCTION("GOOGLETRANSLATE(F262,""en"",""pt"")"),"sistemas de parede taipa estabilizadas")</f>
        <v>sistemas de parede taipa estabilizadas</v>
      </c>
      <c r="H262" s="20" t="s">
        <v>8557</v>
      </c>
      <c r="I262" s="20" t="s">
        <v>8552</v>
      </c>
    </row>
    <row r="263" spans="1:9" ht="14.5">
      <c r="A263" s="20" t="s">
        <v>8558</v>
      </c>
      <c r="B263" s="20">
        <v>25</v>
      </c>
      <c r="C263" s="20">
        <v>11</v>
      </c>
      <c r="D263" s="20">
        <v>90</v>
      </c>
      <c r="E263" s="24"/>
      <c r="F263" s="20" t="s">
        <v>8559</v>
      </c>
      <c r="G263" s="24" t="str">
        <f ca="1">IFERROR(__xludf.DUMMYFUNCTION("GOOGLETRANSLATE(F263,""en"",""pt"")"),"sistemas de parede de madeira")</f>
        <v>sistemas de parede de madeira</v>
      </c>
      <c r="H263" s="24"/>
      <c r="I263" s="24"/>
    </row>
    <row r="264" spans="1:9" ht="14.5">
      <c r="A264" s="20" t="s">
        <v>8560</v>
      </c>
      <c r="B264" s="20">
        <v>25</v>
      </c>
      <c r="C264" s="20">
        <v>11</v>
      </c>
      <c r="D264" s="20">
        <v>90</v>
      </c>
      <c r="E264" s="20">
        <v>15</v>
      </c>
      <c r="F264" s="20" t="s">
        <v>8561</v>
      </c>
      <c r="G264" s="24" t="str">
        <f ca="1">IFERROR(__xludf.DUMMYFUNCTION("GOOGLETRANSLATE(F264,""en"",""pt"")"),"sistemas de paredes de madeira cruzada laminados")</f>
        <v>sistemas de paredes de madeira cruzada laminados</v>
      </c>
      <c r="H264" s="24"/>
      <c r="I264" s="24"/>
    </row>
    <row r="265" spans="1:9" ht="14.5">
      <c r="A265" s="20" t="s">
        <v>8562</v>
      </c>
      <c r="B265" s="20">
        <v>25</v>
      </c>
      <c r="C265" s="20">
        <v>11</v>
      </c>
      <c r="D265" s="20">
        <v>90</v>
      </c>
      <c r="E265" s="20">
        <v>96</v>
      </c>
      <c r="F265" s="20" t="s">
        <v>8563</v>
      </c>
      <c r="G265" s="24" t="str">
        <f ca="1">IFERROR(__xludf.DUMMYFUNCTION("GOOGLETRANSLATE(F265,""en"",""pt"")"),"sistemas de parede de log madeira")</f>
        <v>sistemas de parede de log madeira</v>
      </c>
      <c r="H265" s="24"/>
      <c r="I265" s="24"/>
    </row>
    <row r="266" spans="1:9" ht="14.5">
      <c r="A266" s="20" t="s">
        <v>8564</v>
      </c>
      <c r="B266" s="20">
        <v>25</v>
      </c>
      <c r="C266" s="20">
        <v>12</v>
      </c>
      <c r="D266" s="24"/>
      <c r="E266" s="24"/>
      <c r="F266" s="20" t="s">
        <v>8565</v>
      </c>
      <c r="G266" s="24" t="str">
        <f ca="1">IFERROR(__xludf.DUMMYFUNCTION("GOOGLETRANSLATE(F266,""en"",""pt"")"),"sistemas de estrutura de parede de painel")</f>
        <v>sistemas de estrutura de parede de painel</v>
      </c>
      <c r="H266" s="24"/>
      <c r="I266" s="24"/>
    </row>
    <row r="267" spans="1:9" ht="14.5">
      <c r="A267" s="20" t="s">
        <v>8566</v>
      </c>
      <c r="B267" s="20">
        <v>25</v>
      </c>
      <c r="C267" s="20">
        <v>12</v>
      </c>
      <c r="D267" s="20">
        <v>10</v>
      </c>
      <c r="E267" s="24"/>
      <c r="F267" s="20" t="s">
        <v>8567</v>
      </c>
      <c r="G267" s="24" t="str">
        <f ca="1">IFERROR(__xludf.DUMMYFUNCTION("GOOGLETRANSLATE(F267,""en"",""pt"")"),"sistemas de parede de painel de tijolos")</f>
        <v>sistemas de parede de painel de tijolos</v>
      </c>
      <c r="H267" s="24"/>
      <c r="I267" s="24"/>
    </row>
    <row r="268" spans="1:9" ht="14.5">
      <c r="A268" s="20" t="s">
        <v>8568</v>
      </c>
      <c r="B268" s="20">
        <v>25</v>
      </c>
      <c r="C268" s="20">
        <v>12</v>
      </c>
      <c r="D268" s="20">
        <v>15</v>
      </c>
      <c r="E268" s="24"/>
      <c r="F268" s="20" t="s">
        <v>8569</v>
      </c>
      <c r="G268" s="24" t="str">
        <f ca="1">IFERROR(__xludf.DUMMYFUNCTION("GOOGLETRANSLATE(F268,""en"",""pt"")"),"sistemas de parede de painel de betão")</f>
        <v>sistemas de parede de painel de betão</v>
      </c>
      <c r="H268" s="24"/>
      <c r="I268" s="24"/>
    </row>
    <row r="269" spans="1:9" ht="14.5">
      <c r="A269" s="20" t="s">
        <v>8570</v>
      </c>
      <c r="B269" s="20">
        <v>25</v>
      </c>
      <c r="C269" s="20">
        <v>12</v>
      </c>
      <c r="D269" s="20">
        <v>60</v>
      </c>
      <c r="E269" s="24"/>
      <c r="F269" s="20" t="s">
        <v>8571</v>
      </c>
      <c r="G269" s="24" t="str">
        <f ca="1">IFERROR(__xludf.DUMMYFUNCTION("GOOGLETRANSLATE(F269,""en"",""pt"")"),"sistemas de gabinete do painel")</f>
        <v>sistemas de gabinete do painel</v>
      </c>
      <c r="H269" s="24"/>
      <c r="I269" s="24"/>
    </row>
    <row r="270" spans="1:9" ht="14.5">
      <c r="A270" s="20" t="s">
        <v>8572</v>
      </c>
      <c r="B270" s="20">
        <v>25</v>
      </c>
      <c r="C270" s="20">
        <v>12</v>
      </c>
      <c r="D270" s="20">
        <v>60</v>
      </c>
      <c r="E270" s="20">
        <v>30</v>
      </c>
      <c r="F270" s="20" t="s">
        <v>8573</v>
      </c>
      <c r="G270" s="24" t="str">
        <f ca="1">IFERROR(__xludf.DUMMYFUNCTION("GOOGLETRANSLATE(F270,""en"",""pt"")"),"Totalmente enquadrada sistemas cubículo painel")</f>
        <v>Totalmente enquadrada sistemas cubículo painel</v>
      </c>
      <c r="H270" s="20" t="s">
        <v>8574</v>
      </c>
      <c r="I270" s="20" t="s">
        <v>8575</v>
      </c>
    </row>
    <row r="271" spans="1:9" ht="14.5">
      <c r="A271" s="20" t="s">
        <v>8576</v>
      </c>
      <c r="B271" s="20">
        <v>25</v>
      </c>
      <c r="C271" s="20">
        <v>12</v>
      </c>
      <c r="D271" s="20">
        <v>60</v>
      </c>
      <c r="E271" s="20">
        <v>60</v>
      </c>
      <c r="F271" s="20" t="s">
        <v>8577</v>
      </c>
      <c r="G271" s="24" t="str">
        <f ca="1">IFERROR(__xludf.DUMMYFUNCTION("GOOGLETRANSLATE(F271,""en"",""pt"")"),"sistemas cubículo painel")</f>
        <v>sistemas cubículo painel</v>
      </c>
      <c r="H271" s="20" t="s">
        <v>8578</v>
      </c>
      <c r="I271" s="20" t="s">
        <v>8575</v>
      </c>
    </row>
    <row r="272" spans="1:9" ht="14.5">
      <c r="A272" s="20" t="s">
        <v>8579</v>
      </c>
      <c r="B272" s="20">
        <v>25</v>
      </c>
      <c r="C272" s="20">
        <v>12</v>
      </c>
      <c r="D272" s="20">
        <v>60</v>
      </c>
      <c r="E272" s="20">
        <v>65</v>
      </c>
      <c r="F272" s="20" t="s">
        <v>8580</v>
      </c>
      <c r="G272" s="24" t="str">
        <f ca="1">IFERROR(__xludf.DUMMYFUNCTION("GOOGLETRANSLATE(F272,""en"",""pt"")"),"sistemas de tela de privacidade")</f>
        <v>sistemas de tela de privacidade</v>
      </c>
      <c r="H272" s="20" t="s">
        <v>8581</v>
      </c>
      <c r="I272" s="20" t="s">
        <v>8575</v>
      </c>
    </row>
    <row r="273" spans="1:9" ht="14.5">
      <c r="A273" s="20" t="s">
        <v>8582</v>
      </c>
      <c r="B273" s="20">
        <v>25</v>
      </c>
      <c r="C273" s="20">
        <v>12</v>
      </c>
      <c r="D273" s="20">
        <v>65</v>
      </c>
      <c r="E273" s="24"/>
      <c r="F273" s="20" t="s">
        <v>8583</v>
      </c>
      <c r="G273" s="24" t="str">
        <f ca="1">IFERROR(__xludf.DUMMYFUNCTION("GOOGLETRANSLATE(F273,""en"",""pt"")"),"divisórias painel")</f>
        <v>divisórias painel</v>
      </c>
      <c r="H273" s="24"/>
      <c r="I273" s="24"/>
    </row>
    <row r="274" spans="1:9" ht="14.5">
      <c r="A274" s="20" t="s">
        <v>8584</v>
      </c>
      <c r="B274" s="20">
        <v>25</v>
      </c>
      <c r="C274" s="20">
        <v>12</v>
      </c>
      <c r="D274" s="20">
        <v>65</v>
      </c>
      <c r="E274" s="20">
        <v>50</v>
      </c>
      <c r="F274" s="20" t="s">
        <v>8585</v>
      </c>
      <c r="G274" s="24" t="str">
        <f ca="1">IFERROR(__xludf.DUMMYFUNCTION("GOOGLETRANSLATE(F274,""en"",""pt"")"),"sistemas de parede de mídia")</f>
        <v>sistemas de parede de mídia</v>
      </c>
      <c r="H274" s="20" t="s">
        <v>8586</v>
      </c>
      <c r="I274" s="20" t="s">
        <v>8587</v>
      </c>
    </row>
    <row r="275" spans="1:9" ht="14.5">
      <c r="A275" s="20" t="s">
        <v>8588</v>
      </c>
      <c r="B275" s="20">
        <v>25</v>
      </c>
      <c r="C275" s="20">
        <v>12</v>
      </c>
      <c r="D275" s="20">
        <v>65</v>
      </c>
      <c r="E275" s="20">
        <v>55</v>
      </c>
      <c r="F275" s="20" t="s">
        <v>8589</v>
      </c>
      <c r="G275" s="24" t="str">
        <f ca="1">IFERROR(__xludf.DUMMYFUNCTION("GOOGLETRANSLATE(F275,""en"",""pt"")"),"Malha divisórias painel")</f>
        <v>Malha divisórias painel</v>
      </c>
      <c r="H275" s="24"/>
      <c r="I275" s="24"/>
    </row>
    <row r="276" spans="1:9" ht="14.5">
      <c r="A276" s="20" t="s">
        <v>8590</v>
      </c>
      <c r="B276" s="20">
        <v>25</v>
      </c>
      <c r="C276" s="20">
        <v>12</v>
      </c>
      <c r="D276" s="20">
        <v>65</v>
      </c>
      <c r="E276" s="20">
        <v>60</v>
      </c>
      <c r="F276" s="20" t="s">
        <v>8591</v>
      </c>
      <c r="G276" s="24" t="str">
        <f ca="1">IFERROR(__xludf.DUMMYFUNCTION("GOOGLETRANSLATE(F276,""en"",""pt"")"),"Placa de gesso laminado divisórias")</f>
        <v>Placa de gesso laminado divisórias</v>
      </c>
      <c r="H276" s="24"/>
      <c r="I276" s="24"/>
    </row>
    <row r="277" spans="1:9" ht="14.5">
      <c r="A277" s="20" t="s">
        <v>8592</v>
      </c>
      <c r="B277" s="20">
        <v>25</v>
      </c>
      <c r="C277" s="20">
        <v>12</v>
      </c>
      <c r="D277" s="20">
        <v>65</v>
      </c>
      <c r="E277" s="20">
        <v>65</v>
      </c>
      <c r="F277" s="20" t="s">
        <v>8593</v>
      </c>
      <c r="G277" s="24" t="str">
        <f ca="1">IFERROR(__xludf.DUMMYFUNCTION("GOOGLETRANSLATE(F277,""en"",""pt"")"),"sistemas de partição de painel de gesso")</f>
        <v>sistemas de partição de painel de gesso</v>
      </c>
      <c r="H277" s="20" t="s">
        <v>8594</v>
      </c>
      <c r="I277" s="20" t="s">
        <v>8595</v>
      </c>
    </row>
    <row r="278" spans="1:9" ht="14.5">
      <c r="A278" s="20" t="s">
        <v>8596</v>
      </c>
      <c r="B278" s="20">
        <v>25</v>
      </c>
      <c r="C278" s="20">
        <v>12</v>
      </c>
      <c r="D278" s="20">
        <v>65</v>
      </c>
      <c r="E278" s="20">
        <v>70</v>
      </c>
      <c r="F278" s="20" t="s">
        <v>8597</v>
      </c>
      <c r="G278" s="24" t="str">
        <f ca="1">IFERROR(__xludf.DUMMYFUNCTION("GOOGLETRANSLATE(F278,""en"",""pt"")"),"divisórias e teto relocalizáveis")</f>
        <v>divisórias e teto relocalizáveis</v>
      </c>
      <c r="H278" s="24"/>
      <c r="I278" s="24"/>
    </row>
    <row r="279" spans="1:9" ht="14.5">
      <c r="A279" s="20" t="s">
        <v>8598</v>
      </c>
      <c r="B279" s="20">
        <v>25</v>
      </c>
      <c r="C279" s="20">
        <v>12</v>
      </c>
      <c r="D279" s="20">
        <v>65</v>
      </c>
      <c r="E279" s="20">
        <v>75</v>
      </c>
      <c r="F279" s="20" t="s">
        <v>8599</v>
      </c>
      <c r="G279" s="24" t="str">
        <f ca="1">IFERROR(__xludf.DUMMYFUNCTION("GOOGLETRANSLATE(F279,""en"",""pt"")"),"sistemas de partição Relocatable")</f>
        <v>sistemas de partição Relocatable</v>
      </c>
      <c r="H279" s="24"/>
      <c r="I279" s="24"/>
    </row>
    <row r="280" spans="1:9" ht="14.5">
      <c r="A280" s="20" t="s">
        <v>8600</v>
      </c>
      <c r="B280" s="20">
        <v>25</v>
      </c>
      <c r="C280" s="20">
        <v>12</v>
      </c>
      <c r="D280" s="20">
        <v>65</v>
      </c>
      <c r="E280" s="20">
        <v>85</v>
      </c>
      <c r="F280" s="20" t="s">
        <v>8601</v>
      </c>
      <c r="G280" s="24" t="str">
        <f ca="1">IFERROR(__xludf.DUMMYFUNCTION("GOOGLETRANSLATE(F280,""en"",""pt"")"),"sistemas de parede de armazenamento")</f>
        <v>sistemas de parede de armazenamento</v>
      </c>
      <c r="H280" s="20" t="s">
        <v>8602</v>
      </c>
      <c r="I280" s="20" t="s">
        <v>8587</v>
      </c>
    </row>
    <row r="281" spans="1:9" ht="14.5">
      <c r="A281" s="20" t="s">
        <v>8603</v>
      </c>
      <c r="B281" s="20">
        <v>25</v>
      </c>
      <c r="C281" s="20">
        <v>12</v>
      </c>
      <c r="D281" s="20">
        <v>80</v>
      </c>
      <c r="E281" s="24"/>
      <c r="F281" s="20" t="s">
        <v>8604</v>
      </c>
      <c r="G281" s="24" t="str">
        <f ca="1">IFERROR(__xludf.DUMMYFUNCTION("GOOGLETRANSLATE(F281,""en"",""pt"")"),"sistemas de parede de vidro estrutural")</f>
        <v>sistemas de parede de vidro estrutural</v>
      </c>
      <c r="H281" s="24"/>
      <c r="I281" s="24"/>
    </row>
    <row r="282" spans="1:9" ht="14.5">
      <c r="A282" s="20" t="s">
        <v>8605</v>
      </c>
      <c r="B282" s="20">
        <v>25</v>
      </c>
      <c r="C282" s="20">
        <v>12</v>
      </c>
      <c r="D282" s="20">
        <v>80</v>
      </c>
      <c r="E282" s="20">
        <v>65</v>
      </c>
      <c r="F282" s="20" t="s">
        <v>8606</v>
      </c>
      <c r="G282" s="24" t="str">
        <f ca="1">IFERROR(__xludf.DUMMYFUNCTION("GOOGLETRANSLATE(F282,""en"",""pt"")"),"sistemas de parede de vidro estrutural fixo de ponto")</f>
        <v>sistemas de parede de vidro estrutural fixo de ponto</v>
      </c>
      <c r="H282" s="20" t="s">
        <v>8607</v>
      </c>
      <c r="I282" s="20" t="s">
        <v>8608</v>
      </c>
    </row>
    <row r="283" spans="1:9" ht="14.5">
      <c r="A283" s="20" t="s">
        <v>8609</v>
      </c>
      <c r="B283" s="20">
        <v>25</v>
      </c>
      <c r="C283" s="20">
        <v>12</v>
      </c>
      <c r="D283" s="20">
        <v>80</v>
      </c>
      <c r="E283" s="20">
        <v>83</v>
      </c>
      <c r="F283" s="20" t="s">
        <v>8610</v>
      </c>
      <c r="G283" s="24" t="str">
        <f ca="1">IFERROR(__xludf.DUMMYFUNCTION("GOOGLETRANSLATE(F283,""en"",""pt"")"),"sistemas empilhados de parede de vidro estrutural")</f>
        <v>sistemas empilhados de parede de vidro estrutural</v>
      </c>
      <c r="H283" s="20" t="s">
        <v>8611</v>
      </c>
      <c r="I283" s="20" t="s">
        <v>8612</v>
      </c>
    </row>
    <row r="284" spans="1:9" ht="14.5">
      <c r="A284" s="20" t="s">
        <v>8613</v>
      </c>
      <c r="B284" s="20">
        <v>25</v>
      </c>
      <c r="C284" s="20">
        <v>12</v>
      </c>
      <c r="D284" s="20">
        <v>80</v>
      </c>
      <c r="E284" s="20">
        <v>85</v>
      </c>
      <c r="F284" s="20" t="s">
        <v>8614</v>
      </c>
      <c r="G284" s="24" t="str">
        <f ca="1">IFERROR(__xludf.DUMMYFUNCTION("GOOGLETRANSLATE(F284,""en"",""pt"")"),"sistemas suspensos de parede de vidro estrutural")</f>
        <v>sistemas suspensos de parede de vidro estrutural</v>
      </c>
      <c r="H284" s="20" t="s">
        <v>8615</v>
      </c>
      <c r="I284" s="20" t="s">
        <v>8608</v>
      </c>
    </row>
    <row r="285" spans="1:9" ht="14.5">
      <c r="A285" s="20" t="s">
        <v>8616</v>
      </c>
      <c r="B285" s="20">
        <v>25</v>
      </c>
      <c r="C285" s="20">
        <v>12</v>
      </c>
      <c r="D285" s="20">
        <v>85</v>
      </c>
      <c r="E285" s="24"/>
      <c r="F285" s="20" t="s">
        <v>8617</v>
      </c>
      <c r="G285" s="24" t="str">
        <f ca="1">IFERROR(__xludf.DUMMYFUNCTION("GOOGLETRANSLATE(F285,""en"",""pt"")"),"sistemas de parede de painel de aço estrutural")</f>
        <v>sistemas de parede de painel de aço estrutural</v>
      </c>
      <c r="H285" s="24"/>
      <c r="I285" s="24"/>
    </row>
    <row r="286" spans="1:9" ht="14.5">
      <c r="A286" s="20" t="s">
        <v>8618</v>
      </c>
      <c r="B286" s="20">
        <v>25</v>
      </c>
      <c r="C286" s="20">
        <v>12</v>
      </c>
      <c r="D286" s="20">
        <v>85</v>
      </c>
      <c r="E286" s="20">
        <v>60</v>
      </c>
      <c r="F286" s="20" t="s">
        <v>8619</v>
      </c>
      <c r="G286" s="24" t="str">
        <f ca="1">IFERROR(__xludf.DUMMYFUNCTION("GOOGLETRANSLATE(F286,""en"",""pt"")"),"sistemas de parede metica prfabricadas")</f>
        <v>sistemas de parede metica prfabricadas</v>
      </c>
      <c r="H286" s="24"/>
      <c r="I286" s="24"/>
    </row>
    <row r="287" spans="1:9" ht="14.5">
      <c r="A287" s="20" t="s">
        <v>8620</v>
      </c>
      <c r="B287" s="20">
        <v>25</v>
      </c>
      <c r="C287" s="20">
        <v>12</v>
      </c>
      <c r="D287" s="20">
        <v>85</v>
      </c>
      <c r="E287" s="20">
        <v>63</v>
      </c>
      <c r="F287" s="20" t="s">
        <v>8621</v>
      </c>
      <c r="G287" s="24" t="str">
        <f ca="1">IFERROR(__xludf.DUMMYFUNCTION("GOOGLETRANSLATE(F287,""en"",""pt"")"),"sistemas de parede de folha de perfil de metal")</f>
        <v>sistemas de parede de folha de perfil de metal</v>
      </c>
      <c r="H287" s="24"/>
      <c r="I287" s="24"/>
    </row>
    <row r="288" spans="1:9" ht="14.5">
      <c r="A288" s="20" t="s">
        <v>8622</v>
      </c>
      <c r="B288" s="20">
        <v>25</v>
      </c>
      <c r="C288" s="20">
        <v>13</v>
      </c>
      <c r="D288" s="24"/>
      <c r="E288" s="24"/>
      <c r="F288" s="20" t="s">
        <v>8623</v>
      </c>
      <c r="G288" s="24" t="str">
        <f ca="1">IFERROR(__xludf.DUMMYFUNCTION("GOOGLETRANSLATE(F288,""en"",""pt"")"),"sistemas de estrutura de parede de unidade")</f>
        <v>sistemas de estrutura de parede de unidade</v>
      </c>
      <c r="H288" s="24"/>
      <c r="I288" s="24"/>
    </row>
    <row r="289" spans="1:9" ht="14.5">
      <c r="A289" s="20" t="s">
        <v>8624</v>
      </c>
      <c r="B289" s="20">
        <v>25</v>
      </c>
      <c r="C289" s="20">
        <v>13</v>
      </c>
      <c r="D289" s="20">
        <v>5</v>
      </c>
      <c r="E289" s="24"/>
      <c r="F289" s="20" t="s">
        <v>8625</v>
      </c>
      <c r="G289" s="24" t="str">
        <f ca="1">IFERROR(__xludf.DUMMYFUNCTION("GOOGLETRANSLATE(F289,""en"",""pt"")"),"sistemas de parede de blocos de adobe")</f>
        <v>sistemas de parede de blocos de adobe</v>
      </c>
      <c r="H289" s="24"/>
      <c r="I289" s="24"/>
    </row>
    <row r="290" spans="1:9" ht="14.5">
      <c r="A290" s="20" t="s">
        <v>8626</v>
      </c>
      <c r="B290" s="20">
        <v>25</v>
      </c>
      <c r="C290" s="20">
        <v>13</v>
      </c>
      <c r="D290" s="20">
        <v>24</v>
      </c>
      <c r="E290" s="24"/>
      <c r="F290" s="20" t="s">
        <v>8627</v>
      </c>
      <c r="G290" s="24" t="str">
        <f ca="1">IFERROR(__xludf.DUMMYFUNCTION("GOOGLETRANSLATE(F290,""en"",""pt"")"),"sistemas de muro de pedra seca")</f>
        <v>sistemas de muro de pedra seca</v>
      </c>
      <c r="H290" s="24"/>
      <c r="I290" s="24"/>
    </row>
    <row r="291" spans="1:9" ht="14.5">
      <c r="A291" s="20" t="s">
        <v>8628</v>
      </c>
      <c r="B291" s="20">
        <v>25</v>
      </c>
      <c r="C291" s="20">
        <v>13</v>
      </c>
      <c r="D291" s="20">
        <v>30</v>
      </c>
      <c r="E291" s="24"/>
      <c r="F291" s="20" t="s">
        <v>8629</v>
      </c>
      <c r="G291" s="24" t="str">
        <f ca="1">IFERROR(__xludf.DUMMYFUNCTION("GOOGLETRANSLATE(F291,""en"",""pt"")"),"sistemas de parede Gabião")</f>
        <v>sistemas de parede Gabião</v>
      </c>
      <c r="H291" s="24"/>
      <c r="I291" s="24"/>
    </row>
    <row r="292" spans="1:9" ht="14.5">
      <c r="A292" s="20" t="s">
        <v>8630</v>
      </c>
      <c r="B292" s="20">
        <v>25</v>
      </c>
      <c r="C292" s="20">
        <v>13</v>
      </c>
      <c r="D292" s="20">
        <v>33</v>
      </c>
      <c r="E292" s="24"/>
      <c r="F292" s="20" t="s">
        <v>8631</v>
      </c>
      <c r="G292" s="24" t="str">
        <f ca="1">IFERROR(__xludf.DUMMYFUNCTION("GOOGLETRANSLATE(F292,""en"",""pt"")"),"sistemas de parede de vidro")</f>
        <v>sistemas de parede de vidro</v>
      </c>
      <c r="H292" s="24"/>
      <c r="I292" s="24"/>
    </row>
    <row r="293" spans="1:9" ht="14.5">
      <c r="A293" s="20" t="s">
        <v>8632</v>
      </c>
      <c r="B293" s="20">
        <v>25</v>
      </c>
      <c r="C293" s="20">
        <v>13</v>
      </c>
      <c r="D293" s="20">
        <v>33</v>
      </c>
      <c r="E293" s="20">
        <v>33</v>
      </c>
      <c r="F293" s="20" t="s">
        <v>8633</v>
      </c>
      <c r="G293" s="24" t="str">
        <f ca="1">IFERROR(__xludf.DUMMYFUNCTION("GOOGLETRANSLATE(F293,""en"",""pt"")"),"sistemas de parede de blocos de vidro")</f>
        <v>sistemas de parede de blocos de vidro</v>
      </c>
      <c r="H293" s="20" t="s">
        <v>8634</v>
      </c>
      <c r="I293" s="20" t="s">
        <v>8635</v>
      </c>
    </row>
    <row r="294" spans="1:9" ht="14.5">
      <c r="A294" s="20" t="s">
        <v>8636</v>
      </c>
      <c r="B294" s="20">
        <v>25</v>
      </c>
      <c r="C294" s="20">
        <v>13</v>
      </c>
      <c r="D294" s="20">
        <v>33</v>
      </c>
      <c r="E294" s="20">
        <v>64</v>
      </c>
      <c r="F294" s="20" t="s">
        <v>8637</v>
      </c>
      <c r="G294" s="24" t="str">
        <f ca="1">IFERROR(__xludf.DUMMYFUNCTION("GOOGLETRANSLATE(F294,""en"",""pt"")"),"sistemas de paredes de blocos de vidro pré-fabricado")</f>
        <v>sistemas de paredes de blocos de vidro pré-fabricado</v>
      </c>
      <c r="H294" s="20" t="s">
        <v>8638</v>
      </c>
      <c r="I294" s="20" t="s">
        <v>8635</v>
      </c>
    </row>
    <row r="295" spans="1:9" ht="14.5">
      <c r="A295" s="20" t="s">
        <v>8639</v>
      </c>
      <c r="B295" s="20">
        <v>25</v>
      </c>
      <c r="C295" s="20">
        <v>13</v>
      </c>
      <c r="D295" s="20">
        <v>35</v>
      </c>
      <c r="E295" s="24"/>
      <c r="F295" s="20" t="s">
        <v>8640</v>
      </c>
      <c r="G295" s="24" t="str">
        <f ca="1">IFERROR(__xludf.DUMMYFUNCTION("GOOGLETRANSLATE(F295,""en"",""pt"")"),"sistemas de paredes de blocos de gesso")</f>
        <v>sistemas de paredes de blocos de gesso</v>
      </c>
      <c r="H295" s="24"/>
      <c r="I295" s="24"/>
    </row>
    <row r="296" spans="1:9" ht="14.5">
      <c r="A296" s="20" t="s">
        <v>8641</v>
      </c>
      <c r="B296" s="20">
        <v>25</v>
      </c>
      <c r="C296" s="20">
        <v>13</v>
      </c>
      <c r="D296" s="20">
        <v>45</v>
      </c>
      <c r="E296" s="24"/>
      <c r="F296" s="20" t="s">
        <v>8642</v>
      </c>
      <c r="G296" s="24" t="str">
        <f ca="1">IFERROR(__xludf.DUMMYFUNCTION("GOOGLETRANSLATE(F296,""en"",""pt"")"),"sistemas de parede de tijolo de chumbo")</f>
        <v>sistemas de parede de tijolo de chumbo</v>
      </c>
      <c r="H296" s="24"/>
      <c r="I296" s="24"/>
    </row>
    <row r="297" spans="1:9" ht="14.5">
      <c r="A297" s="20" t="s">
        <v>8643</v>
      </c>
      <c r="B297" s="20">
        <v>25</v>
      </c>
      <c r="C297" s="20">
        <v>13</v>
      </c>
      <c r="D297" s="20">
        <v>50</v>
      </c>
      <c r="E297" s="24"/>
      <c r="F297" s="20" t="s">
        <v>8644</v>
      </c>
      <c r="G297" s="24" t="str">
        <f ca="1">IFERROR(__xludf.DUMMYFUNCTION("GOOGLETRANSLATE(F297,""en"",""pt"")"),"sistemas de paredes de alvenaria")</f>
        <v>sistemas de paredes de alvenaria</v>
      </c>
      <c r="H297" s="24"/>
      <c r="I297" s="24"/>
    </row>
    <row r="298" spans="1:9" ht="14.5">
      <c r="A298" s="20" t="s">
        <v>8645</v>
      </c>
      <c r="B298" s="20">
        <v>25</v>
      </c>
      <c r="C298" s="20">
        <v>13</v>
      </c>
      <c r="D298" s="20">
        <v>50</v>
      </c>
      <c r="E298" s="20">
        <v>11</v>
      </c>
      <c r="F298" s="20" t="s">
        <v>8646</v>
      </c>
      <c r="G298" s="24" t="str">
        <f ca="1">IFERROR(__xludf.DUMMYFUNCTION("GOOGLETRANSLATE(F298,""en"",""pt"")"),"sistemas de isolamento de paredes ocas")</f>
        <v>sistemas de isolamento de paredes ocas</v>
      </c>
      <c r="H298" s="20" t="s">
        <v>8647</v>
      </c>
      <c r="I298" s="20" t="s">
        <v>8648</v>
      </c>
    </row>
    <row r="299" spans="1:9" ht="14.5">
      <c r="A299" s="20" t="s">
        <v>8649</v>
      </c>
      <c r="B299" s="20">
        <v>25</v>
      </c>
      <c r="C299" s="20">
        <v>13</v>
      </c>
      <c r="D299" s="20">
        <v>50</v>
      </c>
      <c r="E299" s="20">
        <v>49</v>
      </c>
      <c r="F299" s="20" t="s">
        <v>8650</v>
      </c>
      <c r="G299" s="24" t="str">
        <f ca="1">IFERROR(__xludf.DUMMYFUNCTION("GOOGLETRANSLATE(F299,""en"",""pt"")"),"sistemas de traços de alvenaria exposta")</f>
        <v>sistemas de traços de alvenaria exposta</v>
      </c>
      <c r="H299" s="20" t="s">
        <v>8651</v>
      </c>
      <c r="I299" s="20" t="s">
        <v>8652</v>
      </c>
    </row>
    <row r="300" spans="1:9" ht="14.5">
      <c r="A300" s="20" t="s">
        <v>8653</v>
      </c>
      <c r="B300" s="20">
        <v>25</v>
      </c>
      <c r="C300" s="20">
        <v>13</v>
      </c>
      <c r="D300" s="20">
        <v>50</v>
      </c>
      <c r="E300" s="20">
        <v>50</v>
      </c>
      <c r="F300" s="20" t="s">
        <v>8654</v>
      </c>
      <c r="G300" s="24" t="str">
        <f ca="1">IFERROR(__xludf.DUMMYFUNCTION("GOOGLETRANSLATE(F300,""en"",""pt"")"),"Alvenaria parede sistemas externos de folha")</f>
        <v>Alvenaria parede sistemas externos de folha</v>
      </c>
      <c r="H300" s="20" t="s">
        <v>8655</v>
      </c>
      <c r="I300" s="20" t="s">
        <v>8656</v>
      </c>
    </row>
    <row r="301" spans="1:9" ht="14.5">
      <c r="A301" s="20" t="s">
        <v>8657</v>
      </c>
      <c r="B301" s="20">
        <v>25</v>
      </c>
      <c r="C301" s="20">
        <v>13</v>
      </c>
      <c r="D301" s="20">
        <v>50</v>
      </c>
      <c r="E301" s="20">
        <v>51</v>
      </c>
      <c r="F301" s="20" t="s">
        <v>8658</v>
      </c>
      <c r="G301" s="24" t="str">
        <f ca="1">IFERROR(__xludf.DUMMYFUNCTION("GOOGLETRANSLATE(F301,""en"",""pt"")"),"Alvenaria parede sistemas de folhas internas")</f>
        <v>Alvenaria parede sistemas de folhas internas</v>
      </c>
      <c r="H301" s="20" t="s">
        <v>8659</v>
      </c>
      <c r="I301" s="20" t="s">
        <v>8552</v>
      </c>
    </row>
    <row r="302" spans="1:9" ht="14.5">
      <c r="A302" s="20" t="s">
        <v>8660</v>
      </c>
      <c r="B302" s="20">
        <v>25</v>
      </c>
      <c r="C302" s="20">
        <v>13</v>
      </c>
      <c r="D302" s="20">
        <v>50</v>
      </c>
      <c r="E302" s="20">
        <v>52</v>
      </c>
      <c r="F302" s="20" t="s">
        <v>8661</v>
      </c>
      <c r="G302" s="24" t="str">
        <f ca="1">IFERROR(__xludf.DUMMYFUNCTION("GOOGLETRANSLATE(F302,""en"",""pt"")"),"Alvenaria Sistemas de parede única folha")</f>
        <v>Alvenaria Sistemas de parede única folha</v>
      </c>
      <c r="H302" s="24"/>
      <c r="I302" s="24"/>
    </row>
    <row r="303" spans="1:9" ht="14.5">
      <c r="A303" s="20" t="s">
        <v>8662</v>
      </c>
      <c r="B303" s="20">
        <v>25</v>
      </c>
      <c r="C303" s="20">
        <v>13</v>
      </c>
      <c r="D303" s="20">
        <v>50</v>
      </c>
      <c r="E303" s="20">
        <v>54</v>
      </c>
      <c r="F303" s="20" t="s">
        <v>8663</v>
      </c>
      <c r="G303" s="24" t="str">
        <f ca="1">IFERROR(__xludf.DUMMYFUNCTION("GOOGLETRANSLATE(F303,""en"",""pt"")"),"Alvenaria sistemas de folha de parede isolada")</f>
        <v>Alvenaria sistemas de folha de parede isolada</v>
      </c>
      <c r="H303" s="20" t="s">
        <v>8664</v>
      </c>
      <c r="I303" s="20" t="s">
        <v>8665</v>
      </c>
    </row>
    <row r="304" spans="1:9" ht="14.5">
      <c r="A304" s="20" t="s">
        <v>8666</v>
      </c>
      <c r="B304" s="20">
        <v>25</v>
      </c>
      <c r="C304" s="20">
        <v>13</v>
      </c>
      <c r="D304" s="20">
        <v>50</v>
      </c>
      <c r="E304" s="20">
        <v>56</v>
      </c>
      <c r="F304" s="20" t="s">
        <v>8667</v>
      </c>
      <c r="G304" s="24" t="str">
        <f ca="1">IFERROR(__xludf.DUMMYFUNCTION("GOOGLETRANSLATE(F304,""en"",""pt"")"),"Alvenaria divisórias internas")</f>
        <v>Alvenaria divisórias internas</v>
      </c>
      <c r="H304" s="20" t="s">
        <v>8668</v>
      </c>
      <c r="I304" s="20" t="s">
        <v>8497</v>
      </c>
    </row>
    <row r="305" spans="1:9" ht="14.5">
      <c r="A305" s="20" t="s">
        <v>8669</v>
      </c>
      <c r="B305" s="20">
        <v>25</v>
      </c>
      <c r="C305" s="20">
        <v>13</v>
      </c>
      <c r="D305" s="20">
        <v>70</v>
      </c>
      <c r="E305" s="24"/>
      <c r="F305" s="20" t="s">
        <v>8670</v>
      </c>
      <c r="G305" s="24" t="str">
        <f ca="1">IFERROR(__xludf.DUMMYFUNCTION("GOOGLETRANSLATE(F305,""en"",""pt"")"),"sistemas de paredes de alvenaria reforçada")</f>
        <v>sistemas de paredes de alvenaria reforçada</v>
      </c>
      <c r="H305" s="24"/>
      <c r="I305" s="24"/>
    </row>
    <row r="306" spans="1:9" ht="14.5">
      <c r="A306" s="20" t="s">
        <v>8671</v>
      </c>
      <c r="B306" s="20">
        <v>25</v>
      </c>
      <c r="C306" s="20">
        <v>13</v>
      </c>
      <c r="D306" s="20">
        <v>70</v>
      </c>
      <c r="E306" s="20">
        <v>70</v>
      </c>
      <c r="F306" s="20" t="s">
        <v>8672</v>
      </c>
      <c r="G306" s="24" t="str">
        <f ca="1">IFERROR(__xludf.DUMMYFUNCTION("GOOGLETRANSLATE(F306,""en"",""pt"")"),"sistemas de folha externo da parede de alvenaria reforçada")</f>
        <v>sistemas de folha externo da parede de alvenaria reforçada</v>
      </c>
      <c r="H306" s="24"/>
      <c r="I306" s="24"/>
    </row>
    <row r="307" spans="1:9" ht="14.5">
      <c r="A307" s="20" t="s">
        <v>8673</v>
      </c>
      <c r="B307" s="20">
        <v>25</v>
      </c>
      <c r="C307" s="20">
        <v>13</v>
      </c>
      <c r="D307" s="20">
        <v>70</v>
      </c>
      <c r="E307" s="20">
        <v>71</v>
      </c>
      <c r="F307" s="20" t="s">
        <v>8674</v>
      </c>
      <c r="G307" s="24" t="str">
        <f ca="1">IFERROR(__xludf.DUMMYFUNCTION("GOOGLETRANSLATE(F307,""en"",""pt"")"),"sistemas de folha interna de parede de alvenaria reforçada")</f>
        <v>sistemas de folha interna de parede de alvenaria reforçada</v>
      </c>
      <c r="H307" s="24"/>
      <c r="I307" s="24"/>
    </row>
    <row r="308" spans="1:9" ht="14.5">
      <c r="A308" s="20" t="s">
        <v>8675</v>
      </c>
      <c r="B308" s="20">
        <v>25</v>
      </c>
      <c r="C308" s="20">
        <v>13</v>
      </c>
      <c r="D308" s="20">
        <v>70</v>
      </c>
      <c r="E308" s="20">
        <v>72</v>
      </c>
      <c r="F308" s="20" t="s">
        <v>8676</v>
      </c>
      <c r="G308" s="24" t="str">
        <f ca="1">IFERROR(__xludf.DUMMYFUNCTION("GOOGLETRANSLATE(F308,""en"",""pt"")"),"sistemas de folha única parede de alvenaria reforçada")</f>
        <v>sistemas de folha única parede de alvenaria reforçada</v>
      </c>
      <c r="H308" s="24"/>
      <c r="I308" s="24"/>
    </row>
    <row r="309" spans="1:9" ht="14.5">
      <c r="A309" s="20" t="s">
        <v>8677</v>
      </c>
      <c r="B309" s="20">
        <v>25</v>
      </c>
      <c r="C309" s="20">
        <v>13</v>
      </c>
      <c r="D309" s="20">
        <v>70</v>
      </c>
      <c r="E309" s="20">
        <v>74</v>
      </c>
      <c r="F309" s="20" t="s">
        <v>8678</v>
      </c>
      <c r="G309" s="24" t="str">
        <f ca="1">IFERROR(__xludf.DUMMYFUNCTION("GOOGLETRANSLATE(F309,""en"",""pt"")"),"Reforçado alvenaria livre de pé sistemas de folha de parede")</f>
        <v>Reforçado alvenaria livre de pé sistemas de folha de parede</v>
      </c>
      <c r="H309" s="24"/>
      <c r="I309" s="24"/>
    </row>
    <row r="310" spans="1:9" ht="14.5">
      <c r="A310" s="20" t="s">
        <v>8679</v>
      </c>
      <c r="B310" s="20">
        <v>25</v>
      </c>
      <c r="C310" s="20">
        <v>13</v>
      </c>
      <c r="D310" s="20">
        <v>70</v>
      </c>
      <c r="E310" s="20">
        <v>76</v>
      </c>
      <c r="F310" s="20" t="s">
        <v>8680</v>
      </c>
      <c r="G310" s="24" t="str">
        <f ca="1">IFERROR(__xludf.DUMMYFUNCTION("GOOGLETRANSLATE(F310,""en"",""pt"")"),"sistemas de separação interna de alvenaria reforçada")</f>
        <v>sistemas de separação interna de alvenaria reforçada</v>
      </c>
      <c r="H310" s="24"/>
      <c r="I310" s="24"/>
    </row>
    <row r="311" spans="1:9" ht="14.5">
      <c r="A311" s="20" t="s">
        <v>8681</v>
      </c>
      <c r="B311" s="20">
        <v>25</v>
      </c>
      <c r="C311" s="20">
        <v>13</v>
      </c>
      <c r="D311" s="20">
        <v>85</v>
      </c>
      <c r="E311" s="24"/>
      <c r="F311" s="20" t="s">
        <v>8682</v>
      </c>
      <c r="G311" s="24" t="str">
        <f ca="1">IFERROR(__xludf.DUMMYFUNCTION("GOOGLETRANSLATE(F311,""en"",""pt"")"),"sistemas de parede de fardos de palha")</f>
        <v>sistemas de parede de fardos de palha</v>
      </c>
      <c r="H311" s="24"/>
      <c r="I311" s="24"/>
    </row>
    <row r="312" spans="1:9" ht="14.5">
      <c r="A312" s="20" t="s">
        <v>8683</v>
      </c>
      <c r="B312" s="20">
        <v>25</v>
      </c>
      <c r="C312" s="20">
        <v>13</v>
      </c>
      <c r="D312" s="20">
        <v>85</v>
      </c>
      <c r="E312" s="20">
        <v>30</v>
      </c>
      <c r="F312" s="20" t="s">
        <v>8684</v>
      </c>
      <c r="G312" s="24" t="str">
        <f ca="1">IFERROR(__xludf.DUMMYFUNCTION("GOOGLETRANSLATE(F312,""en"",""pt"")"),"sistemas de parede de fardos de palha emoldurada")</f>
        <v>sistemas de parede de fardos de palha emoldurada</v>
      </c>
      <c r="H312" s="20" t="s">
        <v>8685</v>
      </c>
      <c r="I312" s="20" t="s">
        <v>8508</v>
      </c>
    </row>
    <row r="313" spans="1:9" ht="14.5">
      <c r="A313" s="20" t="s">
        <v>8686</v>
      </c>
      <c r="B313" s="20">
        <v>25</v>
      </c>
      <c r="C313" s="20">
        <v>13</v>
      </c>
      <c r="D313" s="20">
        <v>85</v>
      </c>
      <c r="E313" s="20">
        <v>95</v>
      </c>
      <c r="F313" s="20" t="s">
        <v>8687</v>
      </c>
      <c r="G313" s="24" t="str">
        <f ca="1">IFERROR(__xludf.DUMMYFUNCTION("GOOGLETRANSLATE(F313,""en"",""pt"")"),"sistemas de parede de fardos de palha não emoldurados")</f>
        <v>sistemas de parede de fardos de palha não emoldurados</v>
      </c>
      <c r="H313" s="20" t="s">
        <v>8688</v>
      </c>
      <c r="I313" s="20" t="s">
        <v>8508</v>
      </c>
    </row>
    <row r="314" spans="1:9" ht="14.5">
      <c r="A314" s="20" t="s">
        <v>8689</v>
      </c>
      <c r="B314" s="20">
        <v>25</v>
      </c>
      <c r="C314" s="20">
        <v>14</v>
      </c>
      <c r="D314" s="24"/>
      <c r="E314" s="24"/>
      <c r="F314" s="20" t="s">
        <v>8690</v>
      </c>
      <c r="G314" s="24" t="str">
        <f ca="1">IFERROR(__xludf.DUMMYFUNCTION("GOOGLETRANSLATE(F314,""en"",""pt"")"),"sistemas de vedação")</f>
        <v>sistemas de vedação</v>
      </c>
      <c r="H314" s="24"/>
      <c r="I314" s="24"/>
    </row>
    <row r="315" spans="1:9" ht="14.5">
      <c r="A315" s="20" t="s">
        <v>8691</v>
      </c>
      <c r="B315" s="20">
        <v>25</v>
      </c>
      <c r="C315" s="20">
        <v>14</v>
      </c>
      <c r="D315" s="20">
        <v>30</v>
      </c>
      <c r="E315" s="24"/>
      <c r="F315" s="20" t="s">
        <v>8692</v>
      </c>
      <c r="G315" s="24" t="str">
        <f ca="1">IFERROR(__xludf.DUMMYFUNCTION("GOOGLETRANSLATE(F315,""en"",""pt"")"),"sistemas de vedação emolduradas")</f>
        <v>sistemas de vedação emolduradas</v>
      </c>
      <c r="H315" s="24"/>
      <c r="I315" s="24"/>
    </row>
    <row r="316" spans="1:9" ht="14.5">
      <c r="A316" s="20" t="s">
        <v>8693</v>
      </c>
      <c r="B316" s="20">
        <v>25</v>
      </c>
      <c r="C316" s="20">
        <v>14</v>
      </c>
      <c r="D316" s="20">
        <v>55</v>
      </c>
      <c r="E316" s="24"/>
      <c r="F316" s="20" t="s">
        <v>8694</v>
      </c>
      <c r="G316" s="24" t="str">
        <f ca="1">IFERROR(__xludf.DUMMYFUNCTION("GOOGLETRANSLATE(F316,""en"",""pt"")"),"sistemas de vedação monolíticos")</f>
        <v>sistemas de vedação monolíticos</v>
      </c>
      <c r="H316" s="24"/>
      <c r="I316" s="24"/>
    </row>
    <row r="317" spans="1:9" ht="14.5">
      <c r="A317" s="20" t="s">
        <v>8695</v>
      </c>
      <c r="B317" s="20">
        <v>25</v>
      </c>
      <c r="C317" s="20">
        <v>14</v>
      </c>
      <c r="D317" s="20">
        <v>63</v>
      </c>
      <c r="E317" s="24"/>
      <c r="F317" s="20" t="s">
        <v>8696</v>
      </c>
      <c r="G317" s="24" t="str">
        <f ca="1">IFERROR(__xludf.DUMMYFUNCTION("GOOGLETRANSLATE(F317,""en"",""pt"")"),"sistemas de vedação Post, ferroviárias e cartão")</f>
        <v>sistemas de vedação Post, ferroviárias e cartão</v>
      </c>
      <c r="H317" s="24"/>
      <c r="I317" s="24"/>
    </row>
    <row r="318" spans="1:9" ht="14.5">
      <c r="A318" s="20" t="s">
        <v>8697</v>
      </c>
      <c r="B318" s="20">
        <v>25</v>
      </c>
      <c r="C318" s="20">
        <v>14</v>
      </c>
      <c r="D318" s="20">
        <v>63</v>
      </c>
      <c r="E318" s="20">
        <v>6</v>
      </c>
      <c r="F318" s="20" t="s">
        <v>8698</v>
      </c>
      <c r="G318" s="24" t="str">
        <f ca="1">IFERROR(__xludf.DUMMYFUNCTION("GOOGLETRANSLATE(F318,""en"",""pt"")"),"Bespoke sistemas de esgrima")</f>
        <v>Bespoke sistemas de esgrima</v>
      </c>
      <c r="H318" s="24"/>
      <c r="I318" s="24"/>
    </row>
    <row r="319" spans="1:9" ht="14.5">
      <c r="A319" s="20" t="s">
        <v>8699</v>
      </c>
      <c r="B319" s="20">
        <v>25</v>
      </c>
      <c r="C319" s="20">
        <v>14</v>
      </c>
      <c r="D319" s="20">
        <v>63</v>
      </c>
      <c r="E319" s="20">
        <v>8</v>
      </c>
      <c r="F319" s="20" t="s">
        <v>8700</v>
      </c>
      <c r="G319" s="24" t="str">
        <f ca="1">IFERROR(__xludf.DUMMYFUNCTION("GOOGLETRANSLATE(F319,""en"",""pt"")"),"sistemas paliçada esgrima bordo ou")</f>
        <v>sistemas paliçada esgrima bordo ou</v>
      </c>
      <c r="H319" s="20" t="s">
        <v>8701</v>
      </c>
      <c r="I319" s="20" t="s">
        <v>5586</v>
      </c>
    </row>
    <row r="320" spans="1:9" ht="14.5">
      <c r="A320" s="20" t="s">
        <v>8702</v>
      </c>
      <c r="B320" s="20">
        <v>25</v>
      </c>
      <c r="C320" s="20">
        <v>14</v>
      </c>
      <c r="D320" s="20">
        <v>63</v>
      </c>
      <c r="E320" s="20">
        <v>11</v>
      </c>
      <c r="F320" s="20" t="s">
        <v>8703</v>
      </c>
      <c r="G320" s="24" t="str">
        <f ca="1">IFERROR(__xludf.DUMMYFUNCTION("GOOGLETRANSLATE(F320,""en"",""pt"")"),"sistemas de vedação de barra contínua de aço carbono")</f>
        <v>sistemas de vedação de barra contínua de aço carbono</v>
      </c>
      <c r="H320" s="20" t="s">
        <v>8704</v>
      </c>
      <c r="I320" s="20" t="s">
        <v>5586</v>
      </c>
    </row>
    <row r="321" spans="1:9" ht="14.5">
      <c r="A321" s="20" t="s">
        <v>8705</v>
      </c>
      <c r="B321" s="20">
        <v>25</v>
      </c>
      <c r="C321" s="20">
        <v>14</v>
      </c>
      <c r="D321" s="20">
        <v>63</v>
      </c>
      <c r="E321" s="20">
        <v>51</v>
      </c>
      <c r="F321" s="20" t="s">
        <v>8706</v>
      </c>
      <c r="G321" s="24" t="str">
        <f ca="1">IFERROR(__xludf.DUMMYFUNCTION("GOOGLETRANSLATE(F321,""en"",""pt"")"),"Post-metal e sistemas ferroviários esgrima")</f>
        <v>Post-metal e sistemas ferroviários esgrima</v>
      </c>
      <c r="H321" s="20" t="s">
        <v>8707</v>
      </c>
      <c r="I321" s="20" t="s">
        <v>5586</v>
      </c>
    </row>
    <row r="322" spans="1:9" ht="14.5">
      <c r="A322" s="20" t="s">
        <v>8708</v>
      </c>
      <c r="B322" s="20">
        <v>25</v>
      </c>
      <c r="C322" s="20">
        <v>14</v>
      </c>
      <c r="D322" s="20">
        <v>63</v>
      </c>
      <c r="E322" s="20">
        <v>52</v>
      </c>
      <c r="F322" s="20" t="s">
        <v>8709</v>
      </c>
      <c r="G322" s="24" t="str">
        <f ca="1">IFERROR(__xludf.DUMMYFUNCTION("GOOGLETRANSLATE(F322,""en"",""pt"")"),"Metálica vertical sistemas de vedação pálido")</f>
        <v>Metálica vertical sistemas de vedação pálido</v>
      </c>
      <c r="H322" s="20" t="s">
        <v>8710</v>
      </c>
      <c r="I322" s="20" t="s">
        <v>5586</v>
      </c>
    </row>
    <row r="323" spans="1:9" ht="14.5">
      <c r="A323" s="20" t="s">
        <v>8711</v>
      </c>
      <c r="B323" s="20">
        <v>25</v>
      </c>
      <c r="C323" s="20">
        <v>14</v>
      </c>
      <c r="D323" s="20">
        <v>63</v>
      </c>
      <c r="E323" s="20">
        <v>56</v>
      </c>
      <c r="F323" s="20" t="s">
        <v>8712</v>
      </c>
      <c r="G323" s="24" t="str">
        <f ca="1">IFERROR(__xludf.DUMMYFUNCTION("GOOGLETRANSLATE(F323,""en"",""pt"")"),"sistemas de vedação obstáculo Natural")</f>
        <v>sistemas de vedação obstáculo Natural</v>
      </c>
      <c r="H323" s="20" t="s">
        <v>8713</v>
      </c>
      <c r="I323" s="20" t="s">
        <v>5586</v>
      </c>
    </row>
    <row r="324" spans="1:9" ht="14.5">
      <c r="A324" s="20" t="s">
        <v>8714</v>
      </c>
      <c r="B324" s="20">
        <v>25</v>
      </c>
      <c r="C324" s="20">
        <v>14</v>
      </c>
      <c r="D324" s="20">
        <v>63</v>
      </c>
      <c r="E324" s="20">
        <v>62</v>
      </c>
      <c r="F324" s="20" t="s">
        <v>8715</v>
      </c>
      <c r="G324" s="24" t="str">
        <f ca="1">IFERROR(__xludf.DUMMYFUNCTION("GOOGLETRANSLATE(F324,""en"",""pt"")"),"sistemas de painéis esgrima Post e")</f>
        <v>sistemas de painéis esgrima Post e</v>
      </c>
      <c r="H324" s="20" t="s">
        <v>8716</v>
      </c>
      <c r="I324" s="20" t="s">
        <v>5586</v>
      </c>
    </row>
    <row r="325" spans="1:9" ht="14.5">
      <c r="A325" s="20" t="s">
        <v>8717</v>
      </c>
      <c r="B325" s="20">
        <v>25</v>
      </c>
      <c r="C325" s="20">
        <v>14</v>
      </c>
      <c r="D325" s="20">
        <v>63</v>
      </c>
      <c r="E325" s="20">
        <v>63</v>
      </c>
      <c r="F325" s="20" t="s">
        <v>8718</v>
      </c>
      <c r="G325" s="24" t="str">
        <f ca="1">IFERROR(__xludf.DUMMYFUNCTION("GOOGLETRANSLATE(F325,""en"",""pt"")"),"sistemas ferroviários esgrima Post e")</f>
        <v>sistemas ferroviários esgrima Post e</v>
      </c>
      <c r="H325" s="20" t="s">
        <v>8719</v>
      </c>
      <c r="I325" s="20" t="s">
        <v>5586</v>
      </c>
    </row>
    <row r="326" spans="1:9" ht="14.5">
      <c r="A326" s="20" t="s">
        <v>8720</v>
      </c>
      <c r="B326" s="20">
        <v>25</v>
      </c>
      <c r="C326" s="20">
        <v>14</v>
      </c>
      <c r="D326" s="20">
        <v>63</v>
      </c>
      <c r="E326" s="20">
        <v>64</v>
      </c>
      <c r="F326" s="20" t="s">
        <v>8721</v>
      </c>
      <c r="G326" s="24" t="str">
        <f ca="1">IFERROR(__xludf.DUMMYFUNCTION("GOOGLETRANSLATE(F326,""en"",""pt"")"),"sistemas paliçada Esgrima concreto pré-moldado")</f>
        <v>sistemas paliçada Esgrima concreto pré-moldado</v>
      </c>
      <c r="H326" s="20" t="s">
        <v>8722</v>
      </c>
      <c r="I326" s="20" t="s">
        <v>5586</v>
      </c>
    </row>
    <row r="327" spans="1:9" ht="14.5">
      <c r="A327" s="20" t="s">
        <v>8723</v>
      </c>
      <c r="B327" s="20">
        <v>25</v>
      </c>
      <c r="C327" s="20">
        <v>14</v>
      </c>
      <c r="D327" s="20">
        <v>63</v>
      </c>
      <c r="E327" s="20">
        <v>65</v>
      </c>
      <c r="F327" s="20" t="s">
        <v>8724</v>
      </c>
      <c r="G327" s="24" t="str">
        <f ca="1">IFERROR(__xludf.DUMMYFUNCTION("GOOGLETRANSLATE(F327,""en"",""pt"")"),"poste de concreto pré-moldado e sistemas de painéis esgrima")</f>
        <v>poste de concreto pré-moldado e sistemas de painéis esgrima</v>
      </c>
      <c r="H327" s="20" t="s">
        <v>8725</v>
      </c>
      <c r="I327" s="20" t="s">
        <v>5586</v>
      </c>
    </row>
    <row r="328" spans="1:9" ht="14.5">
      <c r="A328" s="20" t="s">
        <v>8726</v>
      </c>
      <c r="B328" s="20">
        <v>25</v>
      </c>
      <c r="C328" s="20">
        <v>14</v>
      </c>
      <c r="D328" s="20">
        <v>63</v>
      </c>
      <c r="E328" s="20">
        <v>66</v>
      </c>
      <c r="F328" s="20" t="s">
        <v>8727</v>
      </c>
      <c r="G328" s="24" t="str">
        <f ca="1">IFERROR(__xludf.DUMMYFUNCTION("GOOGLETRANSLATE(F328,""en"",""pt"")"),"poste de concreto pré-moldado e sistemas ferroviários esgrima")</f>
        <v>poste de concreto pré-moldado e sistemas ferroviários esgrima</v>
      </c>
      <c r="H328" s="20" t="s">
        <v>8728</v>
      </c>
      <c r="I328" s="20" t="s">
        <v>5586</v>
      </c>
    </row>
    <row r="329" spans="1:9" ht="14.5">
      <c r="A329" s="20" t="s">
        <v>8729</v>
      </c>
      <c r="B329" s="20">
        <v>25</v>
      </c>
      <c r="C329" s="20">
        <v>14</v>
      </c>
      <c r="D329" s="20">
        <v>63</v>
      </c>
      <c r="E329" s="20">
        <v>67</v>
      </c>
      <c r="F329" s="20" t="s">
        <v>8730</v>
      </c>
      <c r="G329" s="24" t="str">
        <f ca="1">IFERROR(__xludf.DUMMYFUNCTION("GOOGLETRANSLATE(F329,""en"",""pt"")"),"sistemas de cercas de madeira pré-fabricadas ou de painéis plásticos")</f>
        <v>sistemas de cercas de madeira pré-fabricadas ou de painéis plásticos</v>
      </c>
      <c r="H329" s="20" t="s">
        <v>8731</v>
      </c>
      <c r="I329" s="20" t="s">
        <v>5586</v>
      </c>
    </row>
    <row r="330" spans="1:9" ht="14.5">
      <c r="A330" s="20" t="s">
        <v>8732</v>
      </c>
      <c r="B330" s="20">
        <v>25</v>
      </c>
      <c r="C330" s="20">
        <v>14</v>
      </c>
      <c r="D330" s="20">
        <v>63</v>
      </c>
      <c r="E330" s="20">
        <v>84</v>
      </c>
      <c r="F330" s="20" t="s">
        <v>8733</v>
      </c>
      <c r="G330" s="24" t="str">
        <f ca="1">IFERROR(__xludf.DUMMYFUNCTION("GOOGLETRANSLATE(F330,""en"",""pt"")"),"sistemas de vedação obstáculo aço")</f>
        <v>sistemas de vedação obstáculo aço</v>
      </c>
      <c r="H330" s="20" t="s">
        <v>8734</v>
      </c>
      <c r="I330" s="20" t="s">
        <v>5586</v>
      </c>
    </row>
    <row r="331" spans="1:9" ht="14.5">
      <c r="A331" s="20" t="s">
        <v>8735</v>
      </c>
      <c r="B331" s="20">
        <v>25</v>
      </c>
      <c r="C331" s="20">
        <v>14</v>
      </c>
      <c r="D331" s="20">
        <v>63</v>
      </c>
      <c r="E331" s="20">
        <v>85</v>
      </c>
      <c r="F331" s="20" t="s">
        <v>8736</v>
      </c>
      <c r="G331" s="24" t="str">
        <f ca="1">IFERROR(__xludf.DUMMYFUNCTION("GOOGLETRANSLATE(F331,""en"",""pt"")"),"sistemas de vedação do painel paliçada de aço")</f>
        <v>sistemas de vedação do painel paliçada de aço</v>
      </c>
      <c r="H331" s="20" t="s">
        <v>8737</v>
      </c>
      <c r="I331" s="20" t="s">
        <v>5586</v>
      </c>
    </row>
    <row r="332" spans="1:9" ht="14.5">
      <c r="A332" s="20" t="s">
        <v>8738</v>
      </c>
      <c r="B332" s="20">
        <v>25</v>
      </c>
      <c r="C332" s="20">
        <v>14</v>
      </c>
      <c r="D332" s="20">
        <v>63</v>
      </c>
      <c r="E332" s="20">
        <v>86</v>
      </c>
      <c r="F332" s="20" t="s">
        <v>8739</v>
      </c>
      <c r="G332" s="24" t="str">
        <f ca="1">IFERROR(__xludf.DUMMYFUNCTION("GOOGLETRANSLATE(F332,""en"",""pt"")"),"sistemas de vedação vertical, barras de aço")</f>
        <v>sistemas de vedação vertical, barras de aço</v>
      </c>
      <c r="H332" s="20" t="s">
        <v>8740</v>
      </c>
      <c r="I332" s="20" t="s">
        <v>5586</v>
      </c>
    </row>
    <row r="333" spans="1:9" ht="14.5">
      <c r="A333" s="20" t="s">
        <v>8741</v>
      </c>
      <c r="B333" s="20">
        <v>25</v>
      </c>
      <c r="C333" s="20">
        <v>14</v>
      </c>
      <c r="D333" s="20">
        <v>63</v>
      </c>
      <c r="E333" s="20">
        <v>95</v>
      </c>
      <c r="F333" s="20" t="s">
        <v>8742</v>
      </c>
      <c r="G333" s="24" t="str">
        <f ca="1">IFERROR(__xludf.DUMMYFUNCTION("GOOGLETRANSLATE(F333,""en"",""pt"")"),"Madeira perto embarcado sistemas cercar")</f>
        <v>Madeira perto embarcado sistemas cercar</v>
      </c>
      <c r="H333" s="20" t="s">
        <v>8743</v>
      </c>
      <c r="I333" s="20" t="s">
        <v>5586</v>
      </c>
    </row>
    <row r="334" spans="1:9" ht="14.5">
      <c r="A334" s="20" t="s">
        <v>8744</v>
      </c>
      <c r="B334" s="20">
        <v>25</v>
      </c>
      <c r="C334" s="20">
        <v>14</v>
      </c>
      <c r="D334" s="20">
        <v>63</v>
      </c>
      <c r="E334" s="20">
        <v>96</v>
      </c>
      <c r="F334" s="20" t="s">
        <v>8745</v>
      </c>
      <c r="G334" s="24" t="str">
        <f ca="1">IFERROR(__xludf.DUMMYFUNCTION("GOOGLETRANSLATE(F334,""en"",""pt"")"),"sistemas de paliçada cercas de madeira")</f>
        <v>sistemas de paliçada cercas de madeira</v>
      </c>
      <c r="H334" s="20" t="s">
        <v>8746</v>
      </c>
      <c r="I334" s="20" t="s">
        <v>5586</v>
      </c>
    </row>
    <row r="335" spans="1:9" ht="14.5">
      <c r="A335" s="20" t="s">
        <v>8747</v>
      </c>
      <c r="B335" s="20">
        <v>25</v>
      </c>
      <c r="C335" s="20">
        <v>14</v>
      </c>
      <c r="D335" s="20">
        <v>63</v>
      </c>
      <c r="E335" s="20">
        <v>97</v>
      </c>
      <c r="F335" s="20" t="s">
        <v>8748</v>
      </c>
      <c r="G335" s="24" t="str">
        <f ca="1">IFERROR(__xludf.DUMMYFUNCTION("GOOGLETRANSLATE(F335,""en"",""pt"")"),"poste de madeira e sistemas ferroviários esgrima")</f>
        <v>poste de madeira e sistemas ferroviários esgrima</v>
      </c>
      <c r="H335" s="20" t="s">
        <v>8749</v>
      </c>
      <c r="I335" s="20" t="s">
        <v>5586</v>
      </c>
    </row>
    <row r="336" spans="1:9" ht="14.5">
      <c r="A336" s="20" t="s">
        <v>8750</v>
      </c>
      <c r="B336" s="20">
        <v>25</v>
      </c>
      <c r="C336" s="20">
        <v>14</v>
      </c>
      <c r="D336" s="20">
        <v>63</v>
      </c>
      <c r="E336" s="20">
        <v>98</v>
      </c>
      <c r="F336" s="20" t="s">
        <v>8751</v>
      </c>
      <c r="G336" s="24" t="str">
        <f ca="1">IFERROR(__xludf.DUMMYFUNCTION("GOOGLETRANSLATE(F336,""en"",""pt"")"),"sistemas de vedação do painel de ferro forjado")</f>
        <v>sistemas de vedação do painel de ferro forjado</v>
      </c>
      <c r="H336" s="20" t="s">
        <v>8752</v>
      </c>
      <c r="I336" s="20" t="s">
        <v>5586</v>
      </c>
    </row>
    <row r="337" spans="1:9" ht="14.5">
      <c r="A337" s="20" t="s">
        <v>8753</v>
      </c>
      <c r="B337" s="20">
        <v>25</v>
      </c>
      <c r="C337" s="20">
        <v>14</v>
      </c>
      <c r="D337" s="20">
        <v>67</v>
      </c>
      <c r="E337" s="24"/>
      <c r="F337" s="20" t="s">
        <v>8754</v>
      </c>
      <c r="G337" s="24" t="str">
        <f ca="1">IFERROR(__xludf.DUMMYFUNCTION("GOOGLETRANSLATE(F337,""en"",""pt"")"),"Post, sistemas de vedação de arame e malha")</f>
        <v>Post, sistemas de vedação de arame e malha</v>
      </c>
      <c r="H337" s="24"/>
      <c r="I337" s="24"/>
    </row>
    <row r="338" spans="1:9" ht="14.5">
      <c r="A338" s="20" t="s">
        <v>8755</v>
      </c>
      <c r="B338" s="20">
        <v>25</v>
      </c>
      <c r="C338" s="20">
        <v>14</v>
      </c>
      <c r="D338" s="20">
        <v>67</v>
      </c>
      <c r="E338" s="20">
        <v>12</v>
      </c>
      <c r="F338" s="20" t="s">
        <v>8756</v>
      </c>
      <c r="G338" s="24" t="str">
        <f ca="1">IFERROR(__xludf.DUMMYFUNCTION("GOOGLETRANSLATE(F338,""en"",""pt"")"),"sistemas de ligação de esgrima cadeia")</f>
        <v>sistemas de ligação de esgrima cadeia</v>
      </c>
      <c r="H338" s="20" t="s">
        <v>8757</v>
      </c>
      <c r="I338" s="20" t="s">
        <v>5586</v>
      </c>
    </row>
    <row r="339" spans="1:9" ht="14.5">
      <c r="A339" s="20" t="s">
        <v>8758</v>
      </c>
      <c r="B339" s="20">
        <v>25</v>
      </c>
      <c r="C339" s="20">
        <v>14</v>
      </c>
      <c r="D339" s="20">
        <v>67</v>
      </c>
      <c r="E339" s="20">
        <v>14</v>
      </c>
      <c r="F339" s="20" t="s">
        <v>8759</v>
      </c>
      <c r="G339" s="24" t="str">
        <f ca="1">IFERROR(__xludf.DUMMYFUNCTION("GOOGLETRANSLATE(F339,""en"",""pt"")"),"Fissura castanha sistemas de vedação pálido")</f>
        <v>Fissura castanha sistemas de vedação pálido</v>
      </c>
      <c r="H339" s="20" t="s">
        <v>8760</v>
      </c>
      <c r="I339" s="20" t="s">
        <v>5586</v>
      </c>
    </row>
    <row r="340" spans="1:9" ht="14.5">
      <c r="A340" s="20" t="s">
        <v>8761</v>
      </c>
      <c r="B340" s="20">
        <v>25</v>
      </c>
      <c r="C340" s="20">
        <v>14</v>
      </c>
      <c r="D340" s="20">
        <v>67</v>
      </c>
      <c r="E340" s="20">
        <v>15</v>
      </c>
      <c r="F340" s="20" t="s">
        <v>8762</v>
      </c>
      <c r="G340" s="24" t="str">
        <f ca="1">IFERROR(__xludf.DUMMYFUNCTION("GOOGLETRANSLATE(F340,""en"",""pt"")"),"sistemas de vedação de malha contínuo")</f>
        <v>sistemas de vedação de malha contínuo</v>
      </c>
      <c r="H340" s="20" t="s">
        <v>8763</v>
      </c>
      <c r="I340" s="20" t="s">
        <v>5586</v>
      </c>
    </row>
    <row r="341" spans="1:9" ht="14.5">
      <c r="A341" s="20" t="s">
        <v>8764</v>
      </c>
      <c r="B341" s="20">
        <v>25</v>
      </c>
      <c r="C341" s="20">
        <v>14</v>
      </c>
      <c r="D341" s="20">
        <v>67</v>
      </c>
      <c r="E341" s="20">
        <v>24</v>
      </c>
      <c r="F341" s="20" t="s">
        <v>8765</v>
      </c>
      <c r="G341" s="24" t="str">
        <f ca="1">IFERROR(__xludf.DUMMYFUNCTION("GOOGLETRANSLATE(F341,""en"",""pt"")"),"Conta-gotas padrão de sistemas de vedação de fio esticado")</f>
        <v>Conta-gotas padrão de sistemas de vedação de fio esticado</v>
      </c>
      <c r="H341" s="20" t="s">
        <v>8766</v>
      </c>
      <c r="I341" s="20" t="s">
        <v>5586</v>
      </c>
    </row>
    <row r="342" spans="1:9" ht="14.5">
      <c r="A342" s="20" t="s">
        <v>8767</v>
      </c>
      <c r="B342" s="20">
        <v>25</v>
      </c>
      <c r="C342" s="20">
        <v>14</v>
      </c>
      <c r="D342" s="20">
        <v>67</v>
      </c>
      <c r="E342" s="20">
        <v>27</v>
      </c>
      <c r="F342" s="20" t="s">
        <v>8768</v>
      </c>
      <c r="G342" s="24" t="str">
        <f ca="1">IFERROR(__xludf.DUMMYFUNCTION("GOOGLETRANSLATE(F342,""en"",""pt"")"),"sistemas de cercas elétricas")</f>
        <v>sistemas de cercas elétricas</v>
      </c>
      <c r="H342" s="20" t="s">
        <v>8769</v>
      </c>
      <c r="I342" s="20" t="s">
        <v>5586</v>
      </c>
    </row>
    <row r="343" spans="1:9" ht="14.5">
      <c r="A343" s="20" t="s">
        <v>8770</v>
      </c>
      <c r="B343" s="20">
        <v>25</v>
      </c>
      <c r="C343" s="20">
        <v>14</v>
      </c>
      <c r="D343" s="20">
        <v>67</v>
      </c>
      <c r="E343" s="20">
        <v>28</v>
      </c>
      <c r="F343" s="20" t="s">
        <v>8771</v>
      </c>
      <c r="G343" s="24" t="str">
        <f ca="1">IFERROR(__xludf.DUMMYFUNCTION("GOOGLETRANSLATE(F343,""en"",""pt"")"),"sistemas de cercas de segurança elétrica")</f>
        <v>sistemas de cercas de segurança elétrica</v>
      </c>
      <c r="H343" s="20" t="s">
        <v>8772</v>
      </c>
      <c r="I343" s="20" t="s">
        <v>5586</v>
      </c>
    </row>
    <row r="344" spans="1:9" ht="14.5">
      <c r="A344" s="20" t="s">
        <v>8773</v>
      </c>
      <c r="B344" s="20">
        <v>25</v>
      </c>
      <c r="C344" s="20">
        <v>14</v>
      </c>
      <c r="D344" s="20">
        <v>67</v>
      </c>
      <c r="E344" s="20">
        <v>33</v>
      </c>
      <c r="F344" s="20" t="s">
        <v>8774</v>
      </c>
      <c r="G344" s="24" t="str">
        <f ca="1">IFERROR(__xludf.DUMMYFUNCTION("GOOGLETRANSLATE(F344,""en"",""pt"")"),"sistemas de cercas de arame esticado padrão geral")</f>
        <v>sistemas de cercas de arame esticado padrão geral</v>
      </c>
      <c r="H344" s="20" t="s">
        <v>8775</v>
      </c>
      <c r="I344" s="20" t="s">
        <v>5586</v>
      </c>
    </row>
    <row r="345" spans="1:9" ht="14.5">
      <c r="A345" s="20" t="s">
        <v>8776</v>
      </c>
      <c r="B345" s="20">
        <v>25</v>
      </c>
      <c r="C345" s="20">
        <v>14</v>
      </c>
      <c r="D345" s="20">
        <v>67</v>
      </c>
      <c r="E345" s="20">
        <v>34</v>
      </c>
      <c r="F345" s="20" t="s">
        <v>8777</v>
      </c>
      <c r="G345" s="24" t="str">
        <f ca="1">IFERROR(__xludf.DUMMYFUNCTION("GOOGLETRANSLATE(F345,""en"",""pt"")"),"fio geral malha padrão sistemas cercar")</f>
        <v>fio geral malha padrão sistemas cercar</v>
      </c>
      <c r="H345" s="20" t="s">
        <v>8778</v>
      </c>
      <c r="I345" s="20" t="s">
        <v>5586</v>
      </c>
    </row>
    <row r="346" spans="1:9" ht="14.5">
      <c r="A346" s="20" t="s">
        <v>8779</v>
      </c>
      <c r="B346" s="20">
        <v>25</v>
      </c>
      <c r="C346" s="20">
        <v>14</v>
      </c>
      <c r="D346" s="20">
        <v>67</v>
      </c>
      <c r="E346" s="20">
        <v>51</v>
      </c>
      <c r="F346" s="20" t="s">
        <v>8780</v>
      </c>
      <c r="G346" s="24" t="str">
        <f ca="1">IFERROR(__xludf.DUMMYFUNCTION("GOOGLETRANSLATE(F346,""en"",""pt"")"),"painel de malha de metal sistemas cercar")</f>
        <v>painel de malha de metal sistemas cercar</v>
      </c>
      <c r="H346" s="20" t="s">
        <v>8781</v>
      </c>
      <c r="I346" s="20" t="s">
        <v>5586</v>
      </c>
    </row>
    <row r="347" spans="1:9" ht="14.5">
      <c r="A347" s="20" t="s">
        <v>8782</v>
      </c>
      <c r="B347" s="20">
        <v>25</v>
      </c>
      <c r="C347" s="20">
        <v>14</v>
      </c>
      <c r="D347" s="20">
        <v>67</v>
      </c>
      <c r="E347" s="20">
        <v>70</v>
      </c>
      <c r="F347" s="20" t="s">
        <v>8783</v>
      </c>
      <c r="G347" s="24" t="str">
        <f ca="1">IFERROR(__xludf.DUMMYFUNCTION("GOOGLETRANSLATE(F347,""en"",""pt"")"),"sistemas de vedação de cabo ou cadeia")</f>
        <v>sistemas de vedação de cabo ou cadeia</v>
      </c>
      <c r="H347" s="20" t="s">
        <v>8784</v>
      </c>
      <c r="I347" s="20" t="s">
        <v>5586</v>
      </c>
    </row>
    <row r="348" spans="1:9" ht="14.5">
      <c r="A348" s="20" t="s">
        <v>8785</v>
      </c>
      <c r="B348" s="20">
        <v>25</v>
      </c>
      <c r="C348" s="20">
        <v>14</v>
      </c>
      <c r="D348" s="20">
        <v>67</v>
      </c>
      <c r="E348" s="20">
        <v>80</v>
      </c>
      <c r="F348" s="20" t="s">
        <v>8786</v>
      </c>
      <c r="G348" s="24" t="str">
        <f ca="1">IFERROR(__xludf.DUMMYFUNCTION("GOOGLETRANSLATE(F348,""en"",""pt"")"),"aço de mola e o fio de alta elasticidade de malha sistemas cercar")</f>
        <v>aço de mola e o fio de alta elasticidade de malha sistemas cercar</v>
      </c>
      <c r="H348" s="20" t="s">
        <v>8787</v>
      </c>
      <c r="I348" s="20" t="s">
        <v>5586</v>
      </c>
    </row>
    <row r="349" spans="1:9" ht="14.5">
      <c r="A349" s="20" t="s">
        <v>8788</v>
      </c>
      <c r="B349" s="20">
        <v>25</v>
      </c>
      <c r="C349" s="20">
        <v>14</v>
      </c>
      <c r="D349" s="20">
        <v>67</v>
      </c>
      <c r="E349" s="20">
        <v>97</v>
      </c>
      <c r="F349" s="20" t="s">
        <v>8789</v>
      </c>
      <c r="G349" s="24" t="str">
        <f ca="1">IFERROR(__xludf.DUMMYFUNCTION("GOOGLETRANSLATE(F349,""en"",""pt"")"),"sistemas de cercas de arame")</f>
        <v>sistemas de cercas de arame</v>
      </c>
      <c r="H349" s="20" t="s">
        <v>8790</v>
      </c>
      <c r="I349" s="20" t="s">
        <v>5586</v>
      </c>
    </row>
    <row r="350" spans="1:9" ht="14.5">
      <c r="A350" s="20" t="s">
        <v>8791</v>
      </c>
      <c r="B350" s="20">
        <v>25</v>
      </c>
      <c r="C350" s="20">
        <v>15</v>
      </c>
      <c r="D350" s="24"/>
      <c r="E350" s="24"/>
      <c r="F350" s="20" t="s">
        <v>8792</v>
      </c>
      <c r="G350" s="24" t="str">
        <f ca="1">IFERROR(__xludf.DUMMYFUNCTION("GOOGLETRANSLATE(F350,""en"",""pt"")"),"sistemas de barreira pedonais fixos")</f>
        <v>sistemas de barreira pedonais fixos</v>
      </c>
      <c r="H350" s="24"/>
      <c r="I350" s="24"/>
    </row>
    <row r="351" spans="1:9" ht="14.5">
      <c r="A351" s="20" t="s">
        <v>8793</v>
      </c>
      <c r="B351" s="20">
        <v>25</v>
      </c>
      <c r="C351" s="20">
        <v>15</v>
      </c>
      <c r="D351" s="20">
        <v>60</v>
      </c>
      <c r="E351" s="24"/>
      <c r="F351" s="20" t="s">
        <v>8794</v>
      </c>
      <c r="G351" s="24" t="str">
        <f ca="1">IFERROR(__xludf.DUMMYFUNCTION("GOOGLETRANSLATE(F351,""en"",""pt"")"),"barreira de segurança dos peões e sistemas de proteção")</f>
        <v>barreira de segurança dos peões e sistemas de proteção</v>
      </c>
      <c r="H351" s="24"/>
      <c r="I351" s="24"/>
    </row>
    <row r="352" spans="1:9" ht="14.5">
      <c r="A352" s="20" t="s">
        <v>8795</v>
      </c>
      <c r="B352" s="20">
        <v>25</v>
      </c>
      <c r="C352" s="20">
        <v>15</v>
      </c>
      <c r="D352" s="20">
        <v>60</v>
      </c>
      <c r="E352" s="20">
        <v>5</v>
      </c>
      <c r="F352" s="20" t="s">
        <v>8796</v>
      </c>
      <c r="G352" s="24" t="str">
        <f ca="1">IFERROR(__xludf.DUMMYFUNCTION("GOOGLETRANSLATE(F352,""en"",""pt"")"),"sistemas de proteção balaustrada e")</f>
        <v>sistemas de proteção balaustrada e</v>
      </c>
      <c r="H352" s="20" t="s">
        <v>8797</v>
      </c>
      <c r="I352" s="20" t="s">
        <v>5581</v>
      </c>
    </row>
    <row r="353" spans="1:9" ht="14.5">
      <c r="A353" s="20" t="s">
        <v>8798</v>
      </c>
      <c r="B353" s="20">
        <v>25</v>
      </c>
      <c r="C353" s="20">
        <v>15</v>
      </c>
      <c r="D353" s="20">
        <v>60</v>
      </c>
      <c r="E353" s="20">
        <v>14</v>
      </c>
      <c r="F353" s="20" t="s">
        <v>8799</v>
      </c>
      <c r="G353" s="24" t="str">
        <f ca="1">IFERROR(__xludf.DUMMYFUNCTION("GOOGLETRANSLATE(F353,""en"",""pt"")"),"sistemas de barreira compósito")</f>
        <v>sistemas de barreira compósito</v>
      </c>
      <c r="H353" s="24"/>
      <c r="I353" s="24"/>
    </row>
    <row r="354" spans="1:9" ht="14.5">
      <c r="A354" s="20" t="s">
        <v>8800</v>
      </c>
      <c r="B354" s="20">
        <v>25</v>
      </c>
      <c r="C354" s="20">
        <v>15</v>
      </c>
      <c r="D354" s="20">
        <v>60</v>
      </c>
      <c r="E354" s="20">
        <v>15</v>
      </c>
      <c r="F354" s="20" t="s">
        <v>8801</v>
      </c>
      <c r="G354" s="24" t="str">
        <f ca="1">IFERROR(__xludf.DUMMYFUNCTION("GOOGLETRANSLATE(F354,""en"",""pt"")"),"sistemas de parapeito pedestres Composite")</f>
        <v>sistemas de parapeito pedestres Composite</v>
      </c>
      <c r="H354" s="20" t="s">
        <v>8802</v>
      </c>
      <c r="I354" s="20" t="s">
        <v>5581</v>
      </c>
    </row>
    <row r="355" spans="1:9" ht="14.5">
      <c r="A355" s="20" t="s">
        <v>8803</v>
      </c>
      <c r="B355" s="20">
        <v>25</v>
      </c>
      <c r="C355" s="20">
        <v>15</v>
      </c>
      <c r="D355" s="20">
        <v>60</v>
      </c>
      <c r="E355" s="20">
        <v>16</v>
      </c>
      <c r="F355" s="20" t="s">
        <v>8804</v>
      </c>
      <c r="G355" s="24" t="str">
        <f ca="1">IFERROR(__xludf.DUMMYFUNCTION("GOOGLETRANSLATE(F355,""en"",""pt"")"),"sistemas de cartão compósito de painel e de barreira")</f>
        <v>sistemas de cartão compósito de painel e de barreira</v>
      </c>
      <c r="H355" s="20" t="s">
        <v>8805</v>
      </c>
      <c r="I355" s="20" t="s">
        <v>5581</v>
      </c>
    </row>
    <row r="356" spans="1:9" ht="14.5">
      <c r="A356" s="20" t="s">
        <v>8806</v>
      </c>
      <c r="B356" s="20">
        <v>25</v>
      </c>
      <c r="C356" s="20">
        <v>15</v>
      </c>
      <c r="D356" s="20">
        <v>60</v>
      </c>
      <c r="E356" s="20">
        <v>17</v>
      </c>
      <c r="F356" s="20" t="s">
        <v>8807</v>
      </c>
      <c r="G356" s="24" t="str">
        <f ca="1">IFERROR(__xludf.DUMMYFUNCTION("GOOGLETRANSLATE(F356,""en"",""pt"")"),"sistemas de pós Composite e ferroviárias de barreira")</f>
        <v>sistemas de pós Composite e ferroviárias de barreira</v>
      </c>
      <c r="H356" s="20" t="s">
        <v>8808</v>
      </c>
      <c r="I356" s="20" t="s">
        <v>5581</v>
      </c>
    </row>
    <row r="357" spans="1:9" ht="14.5">
      <c r="A357" s="20" t="s">
        <v>8809</v>
      </c>
      <c r="B357" s="20">
        <v>25</v>
      </c>
      <c r="C357" s="20">
        <v>15</v>
      </c>
      <c r="D357" s="20">
        <v>60</v>
      </c>
      <c r="E357" s="20">
        <v>18</v>
      </c>
      <c r="F357" s="20" t="s">
        <v>8810</v>
      </c>
      <c r="G357" s="24" t="str">
        <f ca="1">IFERROR(__xludf.DUMMYFUNCTION("GOOGLETRANSLATE(F357,""en"",""pt"")"),"sistemas de poste de concreto e ferroviárias de barreira")</f>
        <v>sistemas de poste de concreto e ferroviárias de barreira</v>
      </c>
      <c r="H357" s="20" t="s">
        <v>8811</v>
      </c>
      <c r="I357" s="20" t="s">
        <v>5581</v>
      </c>
    </row>
    <row r="358" spans="1:9" ht="14.5">
      <c r="A358" s="20" t="s">
        <v>8812</v>
      </c>
      <c r="B358" s="20">
        <v>25</v>
      </c>
      <c r="C358" s="20">
        <v>15</v>
      </c>
      <c r="D358" s="20">
        <v>60</v>
      </c>
      <c r="E358" s="20">
        <v>35</v>
      </c>
      <c r="F358" s="20" t="s">
        <v>8813</v>
      </c>
      <c r="G358" s="24" t="str">
        <f ca="1">IFERROR(__xludf.DUMMYFUNCTION("GOOGLETRANSLATE(F358,""en"",""pt"")"),"sistemas de corrimões")</f>
        <v>sistemas de corrimões</v>
      </c>
      <c r="H358" s="20" t="s">
        <v>8814</v>
      </c>
      <c r="I358" s="20" t="s">
        <v>5581</v>
      </c>
    </row>
    <row r="359" spans="1:9" ht="14.5">
      <c r="A359" s="20" t="s">
        <v>8815</v>
      </c>
      <c r="B359" s="20">
        <v>25</v>
      </c>
      <c r="C359" s="20">
        <v>15</v>
      </c>
      <c r="D359" s="20">
        <v>60</v>
      </c>
      <c r="E359" s="20">
        <v>37</v>
      </c>
      <c r="F359" s="20" t="s">
        <v>8816</v>
      </c>
      <c r="G359" s="24" t="str">
        <f ca="1">IFERROR(__xludf.DUMMYFUNCTION("GOOGLETRANSLATE(F359,""en"",""pt"")"),"sistemas de barreira de argola")</f>
        <v>sistemas de barreira de argola</v>
      </c>
      <c r="H359" s="20" t="s">
        <v>8817</v>
      </c>
      <c r="I359" s="20" t="s">
        <v>5581</v>
      </c>
    </row>
    <row r="360" spans="1:9" ht="14.5">
      <c r="A360" s="20" t="s">
        <v>8818</v>
      </c>
      <c r="B360" s="20">
        <v>25</v>
      </c>
      <c r="C360" s="20">
        <v>15</v>
      </c>
      <c r="D360" s="20">
        <v>60</v>
      </c>
      <c r="E360" s="20">
        <v>52</v>
      </c>
      <c r="F360" s="20" t="s">
        <v>8819</v>
      </c>
      <c r="G360" s="24" t="str">
        <f ca="1">IFERROR(__xludf.DUMMYFUNCTION("GOOGLETRANSLATE(F360,""en"",""pt"")"),"sistemas de barreira modular de metal")</f>
        <v>sistemas de barreira modular de metal</v>
      </c>
      <c r="H360" s="20" t="s">
        <v>8820</v>
      </c>
      <c r="I360" s="20" t="s">
        <v>5581</v>
      </c>
    </row>
    <row r="361" spans="1:9" ht="14.5">
      <c r="A361" s="20" t="s">
        <v>8821</v>
      </c>
      <c r="B361" s="20">
        <v>25</v>
      </c>
      <c r="C361" s="20">
        <v>15</v>
      </c>
      <c r="D361" s="20">
        <v>60</v>
      </c>
      <c r="E361" s="20">
        <v>53</v>
      </c>
      <c r="F361" s="20" t="s">
        <v>8822</v>
      </c>
      <c r="G361" s="24" t="str">
        <f ca="1">IFERROR(__xludf.DUMMYFUNCTION("GOOGLETRANSLATE(F361,""en"",""pt"")"),"sistemas de parapeito de pedestres de metal")</f>
        <v>sistemas de parapeito de pedestres de metal</v>
      </c>
      <c r="H361" s="20" t="s">
        <v>8823</v>
      </c>
      <c r="I361" s="20" t="s">
        <v>5581</v>
      </c>
    </row>
    <row r="362" spans="1:9" ht="14.5">
      <c r="A362" s="20" t="s">
        <v>8824</v>
      </c>
      <c r="B362" s="20">
        <v>25</v>
      </c>
      <c r="C362" s="20">
        <v>15</v>
      </c>
      <c r="D362" s="20">
        <v>60</v>
      </c>
      <c r="E362" s="20">
        <v>54</v>
      </c>
      <c r="F362" s="20" t="s">
        <v>8825</v>
      </c>
      <c r="G362" s="24" t="str">
        <f ca="1">IFERROR(__xludf.DUMMYFUNCTION("GOOGLETRANSLATE(F362,""en"",""pt"")"),"Metal pós e malha sistemas de barreira painel")</f>
        <v>Metal pós e malha sistemas de barreira painel</v>
      </c>
      <c r="H362" s="20" t="s">
        <v>8826</v>
      </c>
      <c r="I362" s="20" t="s">
        <v>5581</v>
      </c>
    </row>
    <row r="363" spans="1:9" ht="14.5">
      <c r="A363" s="20" t="s">
        <v>8827</v>
      </c>
      <c r="B363" s="20">
        <v>25</v>
      </c>
      <c r="C363" s="20">
        <v>15</v>
      </c>
      <c r="D363" s="20">
        <v>60</v>
      </c>
      <c r="E363" s="20">
        <v>55</v>
      </c>
      <c r="F363" s="20" t="s">
        <v>8828</v>
      </c>
      <c r="G363" s="24" t="str">
        <f ca="1">IFERROR(__xludf.DUMMYFUNCTION("GOOGLETRANSLATE(F363,""en"",""pt"")"),"sistemas de pós de metal e painéis de barreira")</f>
        <v>sistemas de pós de metal e painéis de barreira</v>
      </c>
      <c r="H363" s="20" t="s">
        <v>8829</v>
      </c>
      <c r="I363" s="20" t="s">
        <v>5581</v>
      </c>
    </row>
    <row r="364" spans="1:9" ht="14.5">
      <c r="A364" s="20" t="s">
        <v>8830</v>
      </c>
      <c r="B364" s="20">
        <v>25</v>
      </c>
      <c r="C364" s="20">
        <v>15</v>
      </c>
      <c r="D364" s="20">
        <v>60</v>
      </c>
      <c r="E364" s="20">
        <v>56</v>
      </c>
      <c r="F364" s="20" t="s">
        <v>8831</v>
      </c>
      <c r="G364" s="24" t="str">
        <f ca="1">IFERROR(__xludf.DUMMYFUNCTION("GOOGLETRANSLATE(F364,""en"",""pt"")"),"sistemas de pós de metal e ferroviárias de barreira")</f>
        <v>sistemas de pós de metal e ferroviárias de barreira</v>
      </c>
      <c r="H364" s="20" t="s">
        <v>8832</v>
      </c>
      <c r="I364" s="20" t="s">
        <v>5581</v>
      </c>
    </row>
    <row r="365" spans="1:9" ht="14.5">
      <c r="A365" s="20" t="s">
        <v>8833</v>
      </c>
      <c r="B365" s="20">
        <v>25</v>
      </c>
      <c r="C365" s="20">
        <v>15</v>
      </c>
      <c r="D365" s="20">
        <v>60</v>
      </c>
      <c r="E365" s="20">
        <v>57</v>
      </c>
      <c r="F365" s="20" t="s">
        <v>8834</v>
      </c>
      <c r="G365" s="24" t="str">
        <f ca="1">IFERROR(__xludf.DUMMYFUNCTION("GOOGLETRANSLATE(F365,""en"",""pt"")"),"sistemas de segurança para pedestres trilho vertical de barras de metal")</f>
        <v>sistemas de segurança para pedestres trilho vertical de barras de metal</v>
      </c>
      <c r="H365" s="20" t="s">
        <v>8835</v>
      </c>
      <c r="I365" s="20" t="s">
        <v>5581</v>
      </c>
    </row>
    <row r="366" spans="1:9" ht="14.5">
      <c r="A366" s="20" t="s">
        <v>8836</v>
      </c>
      <c r="B366" s="20">
        <v>25</v>
      </c>
      <c r="C366" s="20">
        <v>15</v>
      </c>
      <c r="D366" s="20">
        <v>60</v>
      </c>
      <c r="E366" s="20">
        <v>60</v>
      </c>
      <c r="F366" s="20" t="s">
        <v>8837</v>
      </c>
      <c r="G366" s="24" t="str">
        <f ca="1">IFERROR(__xludf.DUMMYFUNCTION("GOOGLETRANSLATE(F366,""en"",""pt"")"),"sistemas de pedestres parapeito")</f>
        <v>sistemas de pedestres parapeito</v>
      </c>
      <c r="H366" s="24"/>
      <c r="I366" s="24"/>
    </row>
    <row r="367" spans="1:9" ht="14.5">
      <c r="A367" s="20" t="s">
        <v>8838</v>
      </c>
      <c r="B367" s="20">
        <v>25</v>
      </c>
      <c r="C367" s="20">
        <v>15</v>
      </c>
      <c r="D367" s="20">
        <v>60</v>
      </c>
      <c r="E367" s="20">
        <v>65</v>
      </c>
      <c r="F367" s="20" t="s">
        <v>8839</v>
      </c>
      <c r="G367" s="24" t="str">
        <f ca="1">IFERROR(__xludf.DUMMYFUNCTION("GOOGLETRANSLATE(F367,""en"",""pt"")"),"sistemas de barreira de painel e pós")</f>
        <v>sistemas de barreira de painel e pós</v>
      </c>
      <c r="H367" s="24"/>
      <c r="I367" s="24"/>
    </row>
    <row r="368" spans="1:9" ht="14.5">
      <c r="A368" s="20" t="s">
        <v>8840</v>
      </c>
      <c r="B368" s="20">
        <v>25</v>
      </c>
      <c r="C368" s="20">
        <v>15</v>
      </c>
      <c r="D368" s="20">
        <v>60</v>
      </c>
      <c r="E368" s="20">
        <v>66</v>
      </c>
      <c r="F368" s="20" t="s">
        <v>8841</v>
      </c>
      <c r="G368" s="24" t="str">
        <f ca="1">IFERROR(__xludf.DUMMYFUNCTION("GOOGLETRANSLATE(F368,""en"",""pt"")"),"sistemas de barreira ferroviárias Post e")</f>
        <v>sistemas de barreira ferroviárias Post e</v>
      </c>
      <c r="H368" s="24"/>
      <c r="I368" s="24"/>
    </row>
    <row r="369" spans="1:9" ht="14.5">
      <c r="A369" s="20" t="s">
        <v>8842</v>
      </c>
      <c r="B369" s="20">
        <v>25</v>
      </c>
      <c r="C369" s="20">
        <v>15</v>
      </c>
      <c r="D369" s="20">
        <v>60</v>
      </c>
      <c r="E369" s="20">
        <v>67</v>
      </c>
      <c r="F369" s="20" t="s">
        <v>8843</v>
      </c>
      <c r="G369" s="24" t="str">
        <f ca="1">IFERROR(__xludf.DUMMYFUNCTION("GOOGLETRANSLATE(F369,""en"",""pt"")"),"sistemas de barreira de corda post e")</f>
        <v>sistemas de barreira de corda post e</v>
      </c>
      <c r="H369" s="24"/>
      <c r="I369" s="24"/>
    </row>
    <row r="370" spans="1:9" ht="14.5">
      <c r="A370" s="20" t="s">
        <v>8844</v>
      </c>
      <c r="B370" s="20">
        <v>25</v>
      </c>
      <c r="C370" s="20">
        <v>15</v>
      </c>
      <c r="D370" s="20">
        <v>60</v>
      </c>
      <c r="E370" s="20">
        <v>68</v>
      </c>
      <c r="F370" s="20" t="s">
        <v>8845</v>
      </c>
      <c r="G370" s="24" t="str">
        <f ca="1">IFERROR(__xludf.DUMMYFUNCTION("GOOGLETRANSLATE(F370,""en"",""pt"")"),"sistemas de barreira de arame e pós")</f>
        <v>sistemas de barreira de arame e pós</v>
      </c>
      <c r="H370" s="20" t="s">
        <v>8846</v>
      </c>
      <c r="I370" s="20" t="s">
        <v>5581</v>
      </c>
    </row>
    <row r="371" spans="1:9" ht="14.5">
      <c r="A371" s="20" t="s">
        <v>8847</v>
      </c>
      <c r="B371" s="20">
        <v>25</v>
      </c>
      <c r="C371" s="20">
        <v>15</v>
      </c>
      <c r="D371" s="20">
        <v>60</v>
      </c>
      <c r="E371" s="20">
        <v>96</v>
      </c>
      <c r="F371" s="20" t="s">
        <v>8848</v>
      </c>
      <c r="G371" s="24" t="str">
        <f ca="1">IFERROR(__xludf.DUMMYFUNCTION("GOOGLETRANSLATE(F371,""en"",""pt"")"),"sistemas de poste de madeira e painéis de barreira")</f>
        <v>sistemas de poste de madeira e painéis de barreira</v>
      </c>
      <c r="H371" s="20" t="s">
        <v>8849</v>
      </c>
      <c r="I371" s="20" t="s">
        <v>5581</v>
      </c>
    </row>
    <row r="372" spans="1:9" ht="14.5">
      <c r="A372" s="20" t="s">
        <v>8850</v>
      </c>
      <c r="B372" s="20">
        <v>25</v>
      </c>
      <c r="C372" s="20">
        <v>15</v>
      </c>
      <c r="D372" s="20">
        <v>60</v>
      </c>
      <c r="E372" s="20">
        <v>97</v>
      </c>
      <c r="F372" s="20" t="s">
        <v>8851</v>
      </c>
      <c r="G372" s="24" t="str">
        <f ca="1">IFERROR(__xludf.DUMMYFUNCTION("GOOGLETRANSLATE(F372,""en"",""pt"")"),"sistemas de poste de madeira e ferroviárias de barreira")</f>
        <v>sistemas de poste de madeira e ferroviárias de barreira</v>
      </c>
      <c r="H372" s="20" t="s">
        <v>8852</v>
      </c>
      <c r="I372" s="20" t="s">
        <v>5581</v>
      </c>
    </row>
    <row r="373" spans="1:9" ht="14.5">
      <c r="A373" s="20" t="s">
        <v>8853</v>
      </c>
      <c r="B373" s="20">
        <v>25</v>
      </c>
      <c r="C373" s="20">
        <v>15</v>
      </c>
      <c r="D373" s="20">
        <v>85</v>
      </c>
      <c r="E373" s="24"/>
      <c r="F373" s="20" t="s">
        <v>8854</v>
      </c>
      <c r="G373" s="24" t="str">
        <f ca="1">IFERROR(__xludf.DUMMYFUNCTION("GOOGLETRANSLATE(F373,""en"",""pt"")"),"sistemas de barreira Esportes")</f>
        <v>sistemas de barreira Esportes</v>
      </c>
      <c r="H373" s="24"/>
      <c r="I373" s="24"/>
    </row>
    <row r="374" spans="1:9" ht="14.5">
      <c r="A374" s="20" t="s">
        <v>8855</v>
      </c>
      <c r="B374" s="20">
        <v>25</v>
      </c>
      <c r="C374" s="20">
        <v>15</v>
      </c>
      <c r="D374" s="20">
        <v>85</v>
      </c>
      <c r="E374" s="20">
        <v>55</v>
      </c>
      <c r="F374" s="20" t="s">
        <v>8856</v>
      </c>
      <c r="G374" s="24" t="str">
        <f ca="1">IFERROR(__xludf.DUMMYFUNCTION("GOOGLETRANSLATE(F374,""en"",""pt"")"),"Multi-uso jogos sistemas de esgrima")</f>
        <v>Multi-uso jogos sistemas de esgrima</v>
      </c>
      <c r="H374" s="20" t="s">
        <v>8857</v>
      </c>
      <c r="I374" s="20" t="s">
        <v>5586</v>
      </c>
    </row>
    <row r="375" spans="1:9" ht="14.5">
      <c r="A375" s="20" t="s">
        <v>8858</v>
      </c>
      <c r="B375" s="20">
        <v>25</v>
      </c>
      <c r="C375" s="20">
        <v>16</v>
      </c>
      <c r="D375" s="24"/>
      <c r="E375" s="24"/>
      <c r="F375" s="20" t="s">
        <v>8859</v>
      </c>
      <c r="G375" s="24" t="str">
        <f ca="1">IFERROR(__xludf.DUMMYFUNCTION("GOOGLETRANSLATE(F375,""en"",""pt"")"),"O tráfego fixo e sistemas de barreira de proteção")</f>
        <v>O tráfego fixo e sistemas de barreira de proteção</v>
      </c>
      <c r="H375" s="24"/>
      <c r="I375" s="24"/>
    </row>
    <row r="376" spans="1:9" ht="14.5">
      <c r="A376" s="20" t="s">
        <v>8860</v>
      </c>
      <c r="B376" s="20">
        <v>25</v>
      </c>
      <c r="C376" s="20">
        <v>16</v>
      </c>
      <c r="D376" s="20">
        <v>4</v>
      </c>
      <c r="E376" s="24"/>
      <c r="F376" s="20" t="s">
        <v>8861</v>
      </c>
      <c r="G376" s="24" t="str">
        <f ca="1">IFERROR(__xludf.DUMMYFUNCTION("GOOGLETRANSLATE(F376,""en"",""pt"")"),"sistemas de recifes artificiais")</f>
        <v>sistemas de recifes artificiais</v>
      </c>
      <c r="H376" s="24"/>
      <c r="I376" s="24"/>
    </row>
    <row r="377" spans="1:9" ht="14.5">
      <c r="A377" s="20" t="s">
        <v>8862</v>
      </c>
      <c r="B377" s="20">
        <v>25</v>
      </c>
      <c r="C377" s="20">
        <v>16</v>
      </c>
      <c r="D377" s="20">
        <v>5</v>
      </c>
      <c r="E377" s="24"/>
      <c r="F377" s="20" t="s">
        <v>8863</v>
      </c>
      <c r="G377" s="24" t="str">
        <f ca="1">IFERROR(__xludf.DUMMYFUNCTION("GOOGLETRANSLATE(F377,""en"",""pt"")"),"sistemas de barreira de neve Avalanche e")</f>
        <v>sistemas de barreira de neve Avalanche e</v>
      </c>
      <c r="H377" s="24"/>
      <c r="I377" s="24"/>
    </row>
    <row r="378" spans="1:9" ht="14.5">
      <c r="A378" s="20" t="s">
        <v>8864</v>
      </c>
      <c r="B378" s="20">
        <v>25</v>
      </c>
      <c r="C378" s="20">
        <v>16</v>
      </c>
      <c r="D378" s="20">
        <v>8</v>
      </c>
      <c r="E378" s="24"/>
      <c r="F378" s="20" t="s">
        <v>8865</v>
      </c>
      <c r="G378" s="24" t="str">
        <f ca="1">IFERROR(__xludf.DUMMYFUNCTION("GOOGLETRANSLATE(F378,""en"",""pt"")"),"sistemas de explosão de barreira")</f>
        <v>sistemas de explosão de barreira</v>
      </c>
      <c r="H378" s="24"/>
      <c r="I378" s="24"/>
    </row>
    <row r="379" spans="1:9" ht="14.5">
      <c r="A379" s="20" t="s">
        <v>8866</v>
      </c>
      <c r="B379" s="20">
        <v>25</v>
      </c>
      <c r="C379" s="20">
        <v>16</v>
      </c>
      <c r="D379" s="20">
        <v>8</v>
      </c>
      <c r="E379" s="20">
        <v>44</v>
      </c>
      <c r="F379" s="20" t="s">
        <v>8867</v>
      </c>
      <c r="G379" s="24" t="str">
        <f ca="1">IFERROR(__xludf.DUMMYFUNCTION("GOOGLETRANSLATE(F379,""en"",""pt"")"),"sistemas de explosão de deflexão Jet")</f>
        <v>sistemas de explosão de deflexão Jet</v>
      </c>
      <c r="H379" s="20" t="s">
        <v>8868</v>
      </c>
      <c r="I379" s="24"/>
    </row>
    <row r="380" spans="1:9" ht="14.5">
      <c r="A380" s="20" t="s">
        <v>8869</v>
      </c>
      <c r="B380" s="20">
        <v>25</v>
      </c>
      <c r="C380" s="20">
        <v>16</v>
      </c>
      <c r="D380" s="20">
        <v>21</v>
      </c>
      <c r="E380" s="24"/>
      <c r="F380" s="20" t="s">
        <v>8870</v>
      </c>
      <c r="G380" s="24" t="str">
        <f ca="1">IFERROR(__xludf.DUMMYFUNCTION("GOOGLETRANSLATE(F380,""en"",""pt"")"),"sistemas de barreira de fluxo de detritos")</f>
        <v>sistemas de barreira de fluxo de detritos</v>
      </c>
      <c r="H380" s="24"/>
      <c r="I380" s="24"/>
    </row>
    <row r="381" spans="1:9" ht="14.5">
      <c r="A381" s="20" t="s">
        <v>8871</v>
      </c>
      <c r="B381" s="20">
        <v>25</v>
      </c>
      <c r="C381" s="20">
        <v>16</v>
      </c>
      <c r="D381" s="20">
        <v>30</v>
      </c>
      <c r="E381" s="24"/>
      <c r="F381" s="20" t="s">
        <v>8872</v>
      </c>
      <c r="G381" s="24" t="str">
        <f ca="1">IFERROR(__xludf.DUMMYFUNCTION("GOOGLETRANSLATE(F381,""en"",""pt"")"),"sistemas de barreira de peixe")</f>
        <v>sistemas de barreira de peixe</v>
      </c>
      <c r="H381" s="24"/>
      <c r="I381" s="24"/>
    </row>
    <row r="382" spans="1:9" ht="14.5">
      <c r="A382" s="20" t="s">
        <v>8873</v>
      </c>
      <c r="B382" s="20">
        <v>25</v>
      </c>
      <c r="C382" s="20">
        <v>16</v>
      </c>
      <c r="D382" s="20">
        <v>46</v>
      </c>
      <c r="E382" s="24"/>
      <c r="F382" s="20" t="s">
        <v>8874</v>
      </c>
      <c r="G382" s="24" t="str">
        <f ca="1">IFERROR(__xludf.DUMMYFUNCTION("GOOGLETRANSLATE(F382,""en"",""pt"")"),"sistemas de barreira Corrimento")</f>
        <v>sistemas de barreira Corrimento</v>
      </c>
      <c r="H382" s="24"/>
      <c r="I382" s="24"/>
    </row>
    <row r="383" spans="1:9" ht="14.5">
      <c r="A383" s="20" t="s">
        <v>8875</v>
      </c>
      <c r="B383" s="20">
        <v>25</v>
      </c>
      <c r="C383" s="20">
        <v>16</v>
      </c>
      <c r="D383" s="20">
        <v>50</v>
      </c>
      <c r="E383" s="24"/>
      <c r="F383" s="20" t="s">
        <v>8876</v>
      </c>
      <c r="G383" s="24" t="str">
        <f ca="1">IFERROR(__xludf.DUMMYFUNCTION("GOOGLETRANSLATE(F383,""en"",""pt"")"),"Costeiras, sistemas de proteção de rios e vias navegáveis")</f>
        <v>Costeiras, sistemas de proteção de rios e vias navegáveis</v>
      </c>
      <c r="H383" s="24"/>
      <c r="I383" s="24"/>
    </row>
    <row r="384" spans="1:9" ht="14.5">
      <c r="A384" s="20" t="s">
        <v>8877</v>
      </c>
      <c r="B384" s="20">
        <v>25</v>
      </c>
      <c r="C384" s="20">
        <v>16</v>
      </c>
      <c r="D384" s="20">
        <v>50</v>
      </c>
      <c r="E384" s="20">
        <v>72</v>
      </c>
      <c r="F384" s="20" t="s">
        <v>8878</v>
      </c>
      <c r="G384" s="24" t="str">
        <f ca="1">IFERROR(__xludf.DUMMYFUNCTION("GOOGLETRANSLATE(F384,""en"",""pt"")"),"sistemas de blindagem Rocha")</f>
        <v>sistemas de blindagem Rocha</v>
      </c>
      <c r="H384" s="24"/>
      <c r="I384" s="24"/>
    </row>
    <row r="385" spans="1:9" ht="14.5">
      <c r="A385" s="20" t="s">
        <v>8879</v>
      </c>
      <c r="B385" s="20">
        <v>25</v>
      </c>
      <c r="C385" s="20">
        <v>16</v>
      </c>
      <c r="D385" s="20">
        <v>50</v>
      </c>
      <c r="E385" s="20">
        <v>77</v>
      </c>
      <c r="F385" s="20" t="s">
        <v>8880</v>
      </c>
      <c r="G385" s="24" t="str">
        <f ca="1">IFERROR(__xludf.DUMMYFUNCTION("GOOGLETRANSLATE(F385,""en"",""pt"")"),"Vasculhando sistemas de protecção")</f>
        <v>Vasculhando sistemas de protecção</v>
      </c>
      <c r="H385" s="24"/>
      <c r="I385" s="24"/>
    </row>
    <row r="386" spans="1:9" ht="14.5">
      <c r="A386" s="20" t="s">
        <v>8881</v>
      </c>
      <c r="B386" s="20">
        <v>25</v>
      </c>
      <c r="C386" s="20">
        <v>16</v>
      </c>
      <c r="D386" s="20">
        <v>50</v>
      </c>
      <c r="E386" s="20">
        <v>80</v>
      </c>
      <c r="F386" s="20" t="s">
        <v>8882</v>
      </c>
      <c r="G386" s="24" t="str">
        <f ca="1">IFERROR(__xludf.DUMMYFUNCTION("GOOGLETRANSLATE(F386,""en"",""pt"")"),"sistemas de parede de mar")</f>
        <v>sistemas de parede de mar</v>
      </c>
      <c r="H386" s="24"/>
      <c r="I386" s="24"/>
    </row>
    <row r="387" spans="1:9" ht="14.5">
      <c r="A387" s="20" t="s">
        <v>8883</v>
      </c>
      <c r="B387" s="20">
        <v>25</v>
      </c>
      <c r="C387" s="20">
        <v>16</v>
      </c>
      <c r="D387" s="20">
        <v>73</v>
      </c>
      <c r="E387" s="24"/>
      <c r="F387" s="20" t="s">
        <v>8884</v>
      </c>
      <c r="G387" s="24" t="str">
        <f ca="1">IFERROR(__xludf.DUMMYFUNCTION("GOOGLETRANSLATE(F387,""en"",""pt"")"),"sistemas de barreira rodoviárias e ferroviárias")</f>
        <v>sistemas de barreira rodoviárias e ferroviárias</v>
      </c>
      <c r="H387" s="24"/>
      <c r="I387" s="24"/>
    </row>
    <row r="388" spans="1:9" ht="14.5">
      <c r="A388" s="20" t="s">
        <v>8885</v>
      </c>
      <c r="B388" s="20">
        <v>25</v>
      </c>
      <c r="C388" s="20">
        <v>16</v>
      </c>
      <c r="D388" s="20">
        <v>73</v>
      </c>
      <c r="E388" s="20">
        <v>3</v>
      </c>
      <c r="F388" s="20" t="s">
        <v>8886</v>
      </c>
      <c r="G388" s="24" t="str">
        <f ca="1">IFERROR(__xludf.DUMMYFUNCTION("GOOGLETRANSLATE(F388,""en"",""pt"")"),"sistemas de barreira acústica")</f>
        <v>sistemas de barreira acústica</v>
      </c>
      <c r="H388" s="24"/>
      <c r="I388" s="24"/>
    </row>
    <row r="389" spans="1:9" ht="14.5">
      <c r="A389" s="20" t="s">
        <v>8887</v>
      </c>
      <c r="B389" s="20">
        <v>25</v>
      </c>
      <c r="C389" s="20">
        <v>16</v>
      </c>
      <c r="D389" s="20">
        <v>73</v>
      </c>
      <c r="E389" s="20">
        <v>26</v>
      </c>
      <c r="F389" s="20" t="s">
        <v>8888</v>
      </c>
      <c r="G389" s="24" t="str">
        <f ca="1">IFERROR(__xludf.DUMMYFUNCTION("GOOGLETRANSLATE(F389,""en"",""pt"")"),"sistemas de tela proteção do meio ambiente")</f>
        <v>sistemas de tela proteção do meio ambiente</v>
      </c>
      <c r="H389" s="24"/>
      <c r="I389" s="24"/>
    </row>
    <row r="390" spans="1:9" ht="14.5">
      <c r="A390" s="20" t="s">
        <v>8889</v>
      </c>
      <c r="B390" s="20">
        <v>25</v>
      </c>
      <c r="C390" s="20">
        <v>16</v>
      </c>
      <c r="D390" s="20">
        <v>73</v>
      </c>
      <c r="E390" s="20">
        <v>80</v>
      </c>
      <c r="F390" s="20" t="s">
        <v>8890</v>
      </c>
      <c r="G390" s="24" t="str">
        <f ca="1">IFERROR(__xludf.DUMMYFUNCTION("GOOGLETRANSLATE(F390,""en"",""pt"")"),"Tomada de sistemas de barreiras temporárias")</f>
        <v>Tomada de sistemas de barreiras temporárias</v>
      </c>
      <c r="H390" s="24"/>
      <c r="I390" s="24"/>
    </row>
    <row r="391" spans="1:9" ht="14.5">
      <c r="A391" s="20" t="s">
        <v>8891</v>
      </c>
      <c r="B391" s="20">
        <v>25</v>
      </c>
      <c r="C391" s="20">
        <v>16</v>
      </c>
      <c r="D391" s="20">
        <v>76</v>
      </c>
      <c r="E391" s="24"/>
      <c r="F391" s="20" t="s">
        <v>8892</v>
      </c>
      <c r="G391" s="24" t="str">
        <f ca="1">IFERROR(__xludf.DUMMYFUNCTION("GOOGLETRANSLATE(F391,""en"",""pt"")"),"sistemas de barreira de queda de rochas")</f>
        <v>sistemas de barreira de queda de rochas</v>
      </c>
      <c r="H391" s="24"/>
      <c r="I391" s="24"/>
    </row>
    <row r="392" spans="1:9" ht="14.5">
      <c r="A392" s="20" t="s">
        <v>8893</v>
      </c>
      <c r="B392" s="20">
        <v>25</v>
      </c>
      <c r="C392" s="20">
        <v>16</v>
      </c>
      <c r="D392" s="20">
        <v>94</v>
      </c>
      <c r="E392" s="24"/>
      <c r="F392" s="20" t="s">
        <v>8894</v>
      </c>
      <c r="G392" s="24" t="str">
        <f ca="1">IFERROR(__xludf.DUMMYFUNCTION("GOOGLETRANSLATE(F392,""en"",""pt"")"),"sistemas de retenção do veículo")</f>
        <v>sistemas de retenção do veículo</v>
      </c>
      <c r="H392" s="24"/>
      <c r="I392" s="24"/>
    </row>
    <row r="393" spans="1:9" ht="14.5">
      <c r="A393" s="20" t="s">
        <v>8895</v>
      </c>
      <c r="B393" s="20">
        <v>25</v>
      </c>
      <c r="C393" s="20">
        <v>16</v>
      </c>
      <c r="D393" s="20">
        <v>94</v>
      </c>
      <c r="E393" s="20">
        <v>10</v>
      </c>
      <c r="F393" s="20" t="s">
        <v>8896</v>
      </c>
      <c r="G393" s="24" t="str">
        <f ca="1">IFERROR(__xludf.DUMMYFUNCTION("GOOGLETRANSLATE(F393,""en"",""pt"")"),"sistemas de amarração")</f>
        <v>sistemas de amarração</v>
      </c>
      <c r="H393" s="20" t="s">
        <v>8897</v>
      </c>
      <c r="I393" s="20" t="s">
        <v>8898</v>
      </c>
    </row>
    <row r="394" spans="1:9" ht="14.5">
      <c r="A394" s="20" t="s">
        <v>8899</v>
      </c>
      <c r="B394" s="20">
        <v>25</v>
      </c>
      <c r="C394" s="20">
        <v>16</v>
      </c>
      <c r="D394" s="20">
        <v>94</v>
      </c>
      <c r="E394" s="20">
        <v>14</v>
      </c>
      <c r="F394" s="20" t="s">
        <v>8900</v>
      </c>
      <c r="G394" s="24" t="str">
        <f ca="1">IFERROR(__xludf.DUMMYFUNCTION("GOOGLETRANSLATE(F394,""en"",""pt"")"),"de metal combinado e sistemas de parapeito de segurança para veículos de betão")</f>
        <v>de metal combinado e sistemas de parapeito de segurança para veículos de betão</v>
      </c>
      <c r="H394" s="20" t="s">
        <v>8901</v>
      </c>
      <c r="I394" s="20" t="s">
        <v>5596</v>
      </c>
    </row>
    <row r="395" spans="1:9" ht="14.5">
      <c r="A395" s="20" t="s">
        <v>8902</v>
      </c>
      <c r="B395" s="20">
        <v>25</v>
      </c>
      <c r="C395" s="20">
        <v>16</v>
      </c>
      <c r="D395" s="20">
        <v>94</v>
      </c>
      <c r="E395" s="20">
        <v>16</v>
      </c>
      <c r="F395" s="20" t="s">
        <v>8903</v>
      </c>
      <c r="G395" s="24" t="str">
        <f ca="1">IFERROR(__xludf.DUMMYFUNCTION("GOOGLETRANSLATE(F395,""en"",""pt"")"),"sistemas de barreiras de segurança de betão (CSB)")</f>
        <v>sistemas de barreiras de segurança de betão (CSB)</v>
      </c>
      <c r="H395" s="20" t="s">
        <v>8904</v>
      </c>
      <c r="I395" s="20" t="s">
        <v>5596</v>
      </c>
    </row>
    <row r="396" spans="1:9" ht="14.5">
      <c r="A396" s="20" t="s">
        <v>8905</v>
      </c>
      <c r="B396" s="20">
        <v>25</v>
      </c>
      <c r="C396" s="20">
        <v>16</v>
      </c>
      <c r="D396" s="20">
        <v>94</v>
      </c>
      <c r="E396" s="20">
        <v>44</v>
      </c>
      <c r="F396" s="20" t="s">
        <v>8906</v>
      </c>
      <c r="G396" s="24" t="str">
        <f ca="1">IFERROR(__xludf.DUMMYFUNCTION("GOOGLETRANSLATE(F396,""en"",""pt"")"),"sistemas de baixa velocidade parapeito de segurança pré-moldados de concreto (PCONC)")</f>
        <v>sistemas de baixa velocidade parapeito de segurança pré-moldados de concreto (PCONC)</v>
      </c>
      <c r="H396" s="20" t="s">
        <v>8907</v>
      </c>
      <c r="I396" s="20" t="s">
        <v>8908</v>
      </c>
    </row>
    <row r="397" spans="1:9" ht="14.5">
      <c r="A397" s="20" t="s">
        <v>8909</v>
      </c>
      <c r="B397" s="20">
        <v>25</v>
      </c>
      <c r="C397" s="20">
        <v>16</v>
      </c>
      <c r="D397" s="20">
        <v>94</v>
      </c>
      <c r="E397" s="20">
        <v>46</v>
      </c>
      <c r="F397" s="20" t="s">
        <v>8910</v>
      </c>
      <c r="G397" s="24" t="str">
        <f ca="1">IFERROR(__xludf.DUMMYFUNCTION("GOOGLETRANSLATE(F397,""en"",""pt"")"),"sistemas de baixa velocidade parapeito de segurança alvenaria (PMAs)")</f>
        <v>sistemas de baixa velocidade parapeito de segurança alvenaria (PMAs)</v>
      </c>
      <c r="H397" s="24"/>
      <c r="I397" s="24"/>
    </row>
    <row r="398" spans="1:9" ht="14.5">
      <c r="A398" s="20" t="s">
        <v>8911</v>
      </c>
      <c r="B398" s="20">
        <v>25</v>
      </c>
      <c r="C398" s="20">
        <v>16</v>
      </c>
      <c r="D398" s="20">
        <v>94</v>
      </c>
      <c r="E398" s="20">
        <v>48</v>
      </c>
      <c r="F398" s="20" t="s">
        <v>8912</v>
      </c>
      <c r="G398" s="24" t="str">
        <f ca="1">IFERROR(__xludf.DUMMYFUNCTION("GOOGLETRANSLATE(F398,""en"",""pt"")"),"sistemas de metal de parapeito de segurança do veículo a baixa velocidade")</f>
        <v>sistemas de metal de parapeito de segurança do veículo a baixa velocidade</v>
      </c>
      <c r="H398" s="20" t="s">
        <v>8913</v>
      </c>
      <c r="I398" s="20" t="s">
        <v>5596</v>
      </c>
    </row>
    <row r="399" spans="1:9" ht="14.5">
      <c r="A399" s="20" t="s">
        <v>8914</v>
      </c>
      <c r="B399" s="20">
        <v>25</v>
      </c>
      <c r="C399" s="20">
        <v>16</v>
      </c>
      <c r="D399" s="20">
        <v>94</v>
      </c>
      <c r="E399" s="20">
        <v>50</v>
      </c>
      <c r="F399" s="20" t="s">
        <v>8915</v>
      </c>
      <c r="G399" s="24" t="str">
        <f ca="1">IFERROR(__xludf.DUMMYFUNCTION("GOOGLETRANSLATE(F399,""en"",""pt"")"),"sistemas de vedação de segurança veículo de metal")</f>
        <v>sistemas de vedação de segurança veículo de metal</v>
      </c>
      <c r="H399" s="20" t="s">
        <v>8916</v>
      </c>
      <c r="I399" s="20" t="s">
        <v>5596</v>
      </c>
    </row>
    <row r="400" spans="1:9" ht="14.5">
      <c r="A400" s="20" t="s">
        <v>8917</v>
      </c>
      <c r="B400" s="20">
        <v>25</v>
      </c>
      <c r="C400" s="20">
        <v>16</v>
      </c>
      <c r="D400" s="20">
        <v>94</v>
      </c>
      <c r="E400" s="20">
        <v>65</v>
      </c>
      <c r="F400" s="20" t="s">
        <v>8918</v>
      </c>
      <c r="G400" s="24" t="str">
        <f ca="1">IFERROR(__xludf.DUMMYFUNCTION("GOOGLETRANSLATE(F400,""en"",""pt"")"),"sistemas ferroviários de proteção")</f>
        <v>sistemas ferroviários de proteção</v>
      </c>
      <c r="H400" s="20" t="s">
        <v>8919</v>
      </c>
      <c r="I400" s="20" t="s">
        <v>8908</v>
      </c>
    </row>
    <row r="401" spans="1:9" ht="14.5">
      <c r="A401" s="20" t="s">
        <v>8920</v>
      </c>
      <c r="B401" s="20">
        <v>25</v>
      </c>
      <c r="C401" s="20">
        <v>16</v>
      </c>
      <c r="D401" s="20">
        <v>94</v>
      </c>
      <c r="E401" s="20">
        <v>95</v>
      </c>
      <c r="F401" s="20" t="s">
        <v>8921</v>
      </c>
      <c r="G401" s="24" t="str">
        <f ca="1">IFERROR(__xludf.DUMMYFUNCTION("GOOGLETRANSLATE(F401,""en"",""pt"")"),"sistemas de controle de segurança dos veículos")</f>
        <v>sistemas de controle de segurança dos veículos</v>
      </c>
      <c r="H401" s="24"/>
      <c r="I401" s="24"/>
    </row>
    <row r="402" spans="1:9" ht="14.5">
      <c r="A402" s="20" t="s">
        <v>8922</v>
      </c>
      <c r="B402" s="20">
        <v>25</v>
      </c>
      <c r="C402" s="20">
        <v>16</v>
      </c>
      <c r="D402" s="20">
        <v>94</v>
      </c>
      <c r="E402" s="20">
        <v>97</v>
      </c>
      <c r="F402" s="20" t="s">
        <v>8923</v>
      </c>
      <c r="G402" s="24" t="str">
        <f ca="1">IFERROR(__xludf.DUMMYFUNCTION("GOOGLETRANSLATE(F402,""en"",""pt"")"),"sistemas (WRSF) Cerca de fio segurança corda")</f>
        <v>sistemas (WRSF) Cerca de fio segurança corda</v>
      </c>
      <c r="H402" s="20" t="s">
        <v>8924</v>
      </c>
      <c r="I402" s="20" t="s">
        <v>8908</v>
      </c>
    </row>
    <row r="403" spans="1:9" ht="14.5">
      <c r="A403" s="20" t="s">
        <v>8925</v>
      </c>
      <c r="B403" s="20">
        <v>25</v>
      </c>
      <c r="C403" s="20">
        <v>17</v>
      </c>
      <c r="D403" s="24"/>
      <c r="E403" s="24"/>
      <c r="F403" s="20" t="s">
        <v>8926</v>
      </c>
      <c r="G403" s="24" t="str">
        <f ca="1">IFERROR(__xludf.DUMMYFUNCTION("GOOGLETRANSLATE(F403,""en"",""pt"")"),"sistemas estrutura do dique da barragem e")</f>
        <v>sistemas estrutura do dique da barragem e</v>
      </c>
      <c r="H403" s="24"/>
      <c r="I403" s="24"/>
    </row>
    <row r="404" spans="1:9" ht="14.5">
      <c r="A404" s="20" t="s">
        <v>8927</v>
      </c>
      <c r="B404" s="20">
        <v>25</v>
      </c>
      <c r="C404" s="20">
        <v>17</v>
      </c>
      <c r="D404" s="20">
        <v>5</v>
      </c>
      <c r="E404" s="24"/>
      <c r="F404" s="20" t="s">
        <v>8928</v>
      </c>
      <c r="G404" s="24" t="str">
        <f ca="1">IFERROR(__xludf.DUMMYFUNCTION("GOOGLETRANSLATE(F404,""en"",""pt"")"),"sistemas de barragens arco")</f>
        <v>sistemas de barragens arco</v>
      </c>
      <c r="H404" s="24"/>
      <c r="I404" s="24"/>
    </row>
    <row r="405" spans="1:9" ht="14.5">
      <c r="A405" s="20" t="s">
        <v>8929</v>
      </c>
      <c r="B405" s="20">
        <v>25</v>
      </c>
      <c r="C405" s="20">
        <v>17</v>
      </c>
      <c r="D405" s="20">
        <v>10</v>
      </c>
      <c r="E405" s="24"/>
      <c r="F405" s="20" t="s">
        <v>8930</v>
      </c>
      <c r="G405" s="24" t="str">
        <f ca="1">IFERROR(__xludf.DUMMYFUNCTION("GOOGLETRANSLATE(F405,""en"",""pt"")"),"Contraforte sistemas de barragem")</f>
        <v>Contraforte sistemas de barragem</v>
      </c>
      <c r="H405" s="24"/>
      <c r="I405" s="24"/>
    </row>
    <row r="406" spans="1:9" ht="14.5">
      <c r="A406" s="20" t="s">
        <v>8931</v>
      </c>
      <c r="B406" s="20">
        <v>25</v>
      </c>
      <c r="C406" s="20">
        <v>17</v>
      </c>
      <c r="D406" s="20">
        <v>25</v>
      </c>
      <c r="E406" s="24"/>
      <c r="F406" s="20" t="s">
        <v>8932</v>
      </c>
      <c r="G406" s="24" t="str">
        <f ca="1">IFERROR(__xludf.DUMMYFUNCTION("GOOGLETRANSLATE(F406,""en"",""pt"")"),"Embankment barragem e sistemas de barragens")</f>
        <v>Embankment barragem e sistemas de barragens</v>
      </c>
      <c r="H406" s="24"/>
      <c r="I406" s="24"/>
    </row>
    <row r="407" spans="1:9" ht="14.5">
      <c r="A407" s="20" t="s">
        <v>8933</v>
      </c>
      <c r="B407" s="20">
        <v>25</v>
      </c>
      <c r="C407" s="20">
        <v>17</v>
      </c>
      <c r="D407" s="20">
        <v>35</v>
      </c>
      <c r="E407" s="24"/>
      <c r="F407" s="20" t="s">
        <v>8934</v>
      </c>
      <c r="G407" s="24" t="str">
        <f ca="1">IFERROR(__xludf.DUMMYFUNCTION("GOOGLETRANSLATE(F407,""en"",""pt"")"),"sistemas barragem de gravidade")</f>
        <v>sistemas barragem de gravidade</v>
      </c>
      <c r="H407" s="24"/>
      <c r="I407" s="24"/>
    </row>
    <row r="408" spans="1:9" ht="14.5">
      <c r="A408" s="20" t="s">
        <v>8935</v>
      </c>
      <c r="B408" s="20">
        <v>25</v>
      </c>
      <c r="C408" s="20">
        <v>20</v>
      </c>
      <c r="D408" s="24"/>
      <c r="E408" s="24"/>
      <c r="F408" s="20" t="s">
        <v>8936</v>
      </c>
      <c r="G408" s="24" t="str">
        <f ca="1">IFERROR(__xludf.DUMMYFUNCTION("GOOGLETRANSLATE(F408,""en"",""pt"")"),"sistemas de revestimento de parede")</f>
        <v>sistemas de revestimento de parede</v>
      </c>
      <c r="H408" s="24"/>
      <c r="I408" s="24"/>
    </row>
    <row r="409" spans="1:9" ht="14.5">
      <c r="A409" s="20" t="s">
        <v>8937</v>
      </c>
      <c r="B409" s="20">
        <v>25</v>
      </c>
      <c r="C409" s="20">
        <v>20</v>
      </c>
      <c r="D409" s="20">
        <v>8</v>
      </c>
      <c r="E409" s="24"/>
      <c r="F409" s="20" t="s">
        <v>8938</v>
      </c>
      <c r="G409" s="24" t="str">
        <f ca="1">IFERROR(__xludf.DUMMYFUNCTION("GOOGLETRANSLATE(F409,""en"",""pt"")"),"sistemas de revestimento de tabuleiro")</f>
        <v>sistemas de revestimento de tabuleiro</v>
      </c>
      <c r="H409" s="24"/>
      <c r="I409" s="24"/>
    </row>
    <row r="410" spans="1:9" ht="14.5">
      <c r="A410" s="20" t="s">
        <v>8939</v>
      </c>
      <c r="B410" s="20">
        <v>25</v>
      </c>
      <c r="C410" s="20">
        <v>20</v>
      </c>
      <c r="D410" s="20">
        <v>8</v>
      </c>
      <c r="E410" s="20">
        <v>95</v>
      </c>
      <c r="F410" s="20" t="s">
        <v>8940</v>
      </c>
      <c r="G410" s="24" t="str">
        <f ca="1">IFERROR(__xludf.DUMMYFUNCTION("GOOGLETRANSLATE(F410,""en"",""pt"")"),"sistemas weatherboarding")</f>
        <v>sistemas weatherboarding</v>
      </c>
      <c r="H410" s="20" t="s">
        <v>8941</v>
      </c>
      <c r="I410" s="20" t="s">
        <v>8488</v>
      </c>
    </row>
    <row r="411" spans="1:9" ht="14.5">
      <c r="A411" s="20" t="s">
        <v>8942</v>
      </c>
      <c r="B411" s="20">
        <v>25</v>
      </c>
      <c r="C411" s="20">
        <v>20</v>
      </c>
      <c r="D411" s="20">
        <v>14</v>
      </c>
      <c r="E411" s="24"/>
      <c r="F411" s="20" t="s">
        <v>8943</v>
      </c>
      <c r="G411" s="24" t="str">
        <f ca="1">IFERROR(__xludf.DUMMYFUNCTION("GOOGLETRANSLATE(F411,""en"",""pt"")"),"sistemas de revestimento de painel compósito")</f>
        <v>sistemas de revestimento de painel compósito</v>
      </c>
      <c r="H411" s="24"/>
      <c r="I411" s="24"/>
    </row>
    <row r="412" spans="1:9" ht="14.5">
      <c r="A412" s="20" t="s">
        <v>8944</v>
      </c>
      <c r="B412" s="20">
        <v>25</v>
      </c>
      <c r="C412" s="20">
        <v>20</v>
      </c>
      <c r="D412" s="20">
        <v>14</v>
      </c>
      <c r="E412" s="20">
        <v>10</v>
      </c>
      <c r="F412" s="20" t="s">
        <v>8945</v>
      </c>
      <c r="G412" s="24" t="str">
        <f ca="1">IFERROR(__xludf.DUMMYFUNCTION("GOOGLETRANSLATE(F412,""en"",""pt"")"),"sistemas de revestimento de painel sanduíche isolante construída de metal")</f>
        <v>sistemas de revestimento de painel sanduíche isolante construída de metal</v>
      </c>
      <c r="H412" s="24"/>
      <c r="I412" s="24"/>
    </row>
    <row r="413" spans="1:9" ht="14.5">
      <c r="A413" s="20" t="s">
        <v>8946</v>
      </c>
      <c r="B413" s="20">
        <v>25</v>
      </c>
      <c r="C413" s="20">
        <v>20</v>
      </c>
      <c r="D413" s="20">
        <v>14</v>
      </c>
      <c r="E413" s="20">
        <v>52</v>
      </c>
      <c r="F413" s="20" t="s">
        <v>8947</v>
      </c>
      <c r="G413" s="24" t="str">
        <f ca="1">IFERROR(__xludf.DUMMYFUNCTION("GOOGLETRANSLATE(F413,""en"",""pt"")"),"sistemas de revestimento de painel compósito de metal")</f>
        <v>sistemas de revestimento de painel compósito de metal</v>
      </c>
      <c r="H413" s="24"/>
      <c r="I413" s="24"/>
    </row>
    <row r="414" spans="1:9" ht="14.5">
      <c r="A414" s="20" t="s">
        <v>8948</v>
      </c>
      <c r="B414" s="20">
        <v>25</v>
      </c>
      <c r="C414" s="20">
        <v>20</v>
      </c>
      <c r="D414" s="20">
        <v>14</v>
      </c>
      <c r="E414" s="20">
        <v>54</v>
      </c>
      <c r="F414" s="20" t="s">
        <v>8949</v>
      </c>
      <c r="G414" s="24" t="str">
        <f ca="1">IFERROR(__xludf.DUMMYFUNCTION("GOOGLETRANSLATE(F414,""en"",""pt"")"),"Metal isolante sistemas de revestimento de painel sanduíche")</f>
        <v>Metal isolante sistemas de revestimento de painel sanduíche</v>
      </c>
      <c r="H414" s="20" t="s">
        <v>8950</v>
      </c>
      <c r="I414" s="20" t="s">
        <v>8488</v>
      </c>
    </row>
    <row r="415" spans="1:9" ht="14.5">
      <c r="A415" s="20" t="s">
        <v>8951</v>
      </c>
      <c r="B415" s="20">
        <v>25</v>
      </c>
      <c r="C415" s="20">
        <v>20</v>
      </c>
      <c r="D415" s="20">
        <v>14</v>
      </c>
      <c r="E415" s="20">
        <v>55</v>
      </c>
      <c r="F415" s="20" t="s">
        <v>8952</v>
      </c>
      <c r="G415" s="24" t="str">
        <f ca="1">IFERROR(__xludf.DUMMYFUNCTION("GOOGLETRANSLATE(F415,""en"",""pt"")"),"Metal sistemas painel de revestimento semi-compósitos")</f>
        <v>Metal sistemas painel de revestimento semi-compósitos</v>
      </c>
      <c r="H415" s="20" t="s">
        <v>8953</v>
      </c>
      <c r="I415" s="20" t="s">
        <v>8488</v>
      </c>
    </row>
    <row r="416" spans="1:9" ht="14.5">
      <c r="A416" s="20" t="s">
        <v>8954</v>
      </c>
      <c r="B416" s="20">
        <v>25</v>
      </c>
      <c r="C416" s="20">
        <v>20</v>
      </c>
      <c r="D416" s="20">
        <v>15</v>
      </c>
      <c r="E416" s="24"/>
      <c r="F416" s="20" t="s">
        <v>8955</v>
      </c>
      <c r="G416" s="24" t="str">
        <f ca="1">IFERROR(__xludf.DUMMYFUNCTION("GOOGLETRANSLATE(F416,""en"",""pt"")"),"sistemas de revestimento de concreto")</f>
        <v>sistemas de revestimento de concreto</v>
      </c>
      <c r="H416" s="24"/>
      <c r="I416" s="24"/>
    </row>
    <row r="417" spans="1:9" ht="14.5">
      <c r="A417" s="20" t="s">
        <v>8956</v>
      </c>
      <c r="B417" s="20">
        <v>25</v>
      </c>
      <c r="C417" s="20">
        <v>20</v>
      </c>
      <c r="D417" s="20">
        <v>15</v>
      </c>
      <c r="E417" s="20">
        <v>16</v>
      </c>
      <c r="F417" s="20" t="s">
        <v>8957</v>
      </c>
      <c r="G417" s="24" t="str">
        <f ca="1">IFERROR(__xludf.DUMMYFUNCTION("GOOGLETRANSLATE(F417,""en"",""pt"")"),"sistemas de revestimento de painel de betão")</f>
        <v>sistemas de revestimento de painel de betão</v>
      </c>
      <c r="H417" s="20" t="s">
        <v>8958</v>
      </c>
      <c r="I417" s="24"/>
    </row>
    <row r="418" spans="1:9" ht="14.5">
      <c r="A418" s="20" t="s">
        <v>8959</v>
      </c>
      <c r="B418" s="20">
        <v>25</v>
      </c>
      <c r="C418" s="20">
        <v>20</v>
      </c>
      <c r="D418" s="20">
        <v>33</v>
      </c>
      <c r="E418" s="24"/>
      <c r="F418" s="20" t="s">
        <v>8960</v>
      </c>
      <c r="G418" s="24" t="str">
        <f ca="1">IFERROR(__xludf.DUMMYFUNCTION("GOOGLETRANSLATE(F418,""en"",""pt"")"),"Fibra de vidro reforçada de betão sistemas de revestimento (GRC)")</f>
        <v>Fibra de vidro reforçada de betão sistemas de revestimento (GRC)</v>
      </c>
      <c r="H418" s="24"/>
      <c r="I418" s="24"/>
    </row>
    <row r="419" spans="1:9" ht="14.5">
      <c r="A419" s="20" t="s">
        <v>8961</v>
      </c>
      <c r="B419" s="20">
        <v>25</v>
      </c>
      <c r="C419" s="20">
        <v>20</v>
      </c>
      <c r="D419" s="20">
        <v>33</v>
      </c>
      <c r="E419" s="20">
        <v>35</v>
      </c>
      <c r="F419" s="20" t="s">
        <v>8962</v>
      </c>
      <c r="G419" s="24" t="str">
        <f ca="1">IFERROR(__xludf.DUMMYFUNCTION("GOOGLETRANSLATE(F419,""en"",""pt"")"),"sistemas de revestimento de GRC")</f>
        <v>sistemas de revestimento de GRC</v>
      </c>
      <c r="H419" s="20" t="s">
        <v>8963</v>
      </c>
      <c r="I419" s="20" t="s">
        <v>8488</v>
      </c>
    </row>
    <row r="420" spans="1:9" ht="14.5">
      <c r="A420" s="20" t="s">
        <v>8964</v>
      </c>
      <c r="B420" s="20">
        <v>25</v>
      </c>
      <c r="C420" s="20">
        <v>20</v>
      </c>
      <c r="D420" s="20">
        <v>34</v>
      </c>
      <c r="E420" s="24"/>
      <c r="F420" s="20" t="s">
        <v>8965</v>
      </c>
      <c r="G420" s="24" t="str">
        <f ca="1">IFERROR(__xludf.DUMMYFUNCTION("GOOGLETRANSLATE(F420,""en"",""pt"")"),"fibra de vidro reforçada de gesso (GRG) sistemas de revestimento")</f>
        <v>fibra de vidro reforçada de gesso (GRG) sistemas de revestimento</v>
      </c>
      <c r="H420" s="24"/>
      <c r="I420" s="24"/>
    </row>
    <row r="421" spans="1:9" ht="14.5">
      <c r="A421" s="20" t="s">
        <v>8966</v>
      </c>
      <c r="B421" s="20">
        <v>25</v>
      </c>
      <c r="C421" s="20">
        <v>20</v>
      </c>
      <c r="D421" s="20">
        <v>34</v>
      </c>
      <c r="E421" s="20">
        <v>35</v>
      </c>
      <c r="F421" s="20" t="s">
        <v>8967</v>
      </c>
      <c r="G421" s="24" t="str">
        <f ca="1">IFERROR(__xludf.DUMMYFUNCTION("GOOGLETRANSLATE(F421,""en"",""pt"")"),"sistemas de revestimento GRG")</f>
        <v>sistemas de revestimento GRG</v>
      </c>
      <c r="H421" s="24"/>
      <c r="I421" s="24"/>
    </row>
    <row r="422" spans="1:9" ht="14.5">
      <c r="A422" s="20" t="s">
        <v>8968</v>
      </c>
      <c r="B422" s="20">
        <v>25</v>
      </c>
      <c r="C422" s="20">
        <v>20</v>
      </c>
      <c r="D422" s="20">
        <v>35</v>
      </c>
      <c r="E422" s="24"/>
      <c r="F422" s="20" t="s">
        <v>8969</v>
      </c>
      <c r="G422" s="24" t="str">
        <f ca="1">IFERROR(__xludf.DUMMYFUNCTION("GOOGLETRANSLATE(F422,""en"",""pt"")"),"fibra de vidro reforçada de plástico (GRP) sistemas de revestimento")</f>
        <v>fibra de vidro reforçada de plástico (GRP) sistemas de revestimento</v>
      </c>
      <c r="H422" s="24"/>
      <c r="I422" s="24"/>
    </row>
    <row r="423" spans="1:9" ht="14.5">
      <c r="A423" s="20" t="s">
        <v>8970</v>
      </c>
      <c r="B423" s="20">
        <v>25</v>
      </c>
      <c r="C423" s="20">
        <v>20</v>
      </c>
      <c r="D423" s="20">
        <v>35</v>
      </c>
      <c r="E423" s="20">
        <v>35</v>
      </c>
      <c r="F423" s="20" t="s">
        <v>8971</v>
      </c>
      <c r="G423" s="24" t="str">
        <f ca="1">IFERROR(__xludf.DUMMYFUNCTION("GOOGLETRANSLATE(F423,""en"",""pt"")"),"sistemas de revestimento de GRP")</f>
        <v>sistemas de revestimento de GRP</v>
      </c>
      <c r="H423" s="20" t="s">
        <v>8972</v>
      </c>
      <c r="I423" s="20" t="s">
        <v>8488</v>
      </c>
    </row>
    <row r="424" spans="1:9" ht="14.5">
      <c r="A424" s="20" t="s">
        <v>8973</v>
      </c>
      <c r="B424" s="20">
        <v>25</v>
      </c>
      <c r="C424" s="20">
        <v>20</v>
      </c>
      <c r="D424" s="20">
        <v>50</v>
      </c>
      <c r="E424" s="24"/>
      <c r="F424" s="20" t="s">
        <v>8974</v>
      </c>
      <c r="G424" s="24" t="str">
        <f ca="1">IFERROR(__xludf.DUMMYFUNCTION("GOOGLETRANSLATE(F424,""en"",""pt"")"),"Folha de metal suportado totalmente sistemas de revestimento de parede")</f>
        <v>Folha de metal suportado totalmente sistemas de revestimento de parede</v>
      </c>
      <c r="H424" s="24"/>
      <c r="I424" s="24"/>
    </row>
    <row r="425" spans="1:9" ht="14.5">
      <c r="A425" s="20" t="s">
        <v>8975</v>
      </c>
      <c r="B425" s="20">
        <v>25</v>
      </c>
      <c r="C425" s="20">
        <v>20</v>
      </c>
      <c r="D425" s="20">
        <v>50</v>
      </c>
      <c r="E425" s="20">
        <v>5</v>
      </c>
      <c r="F425" s="20" t="s">
        <v>8976</v>
      </c>
      <c r="G425" s="24" t="str">
        <f ca="1">IFERROR(__xludf.DUMMYFUNCTION("GOOGLETRANSLATE(F425,""en"",""pt"")"),"sistemas de folha de revestimento de alumínio")</f>
        <v>sistemas de folha de revestimento de alumínio</v>
      </c>
      <c r="H425" s="20" t="s">
        <v>8977</v>
      </c>
      <c r="I425" s="20" t="s">
        <v>8488</v>
      </c>
    </row>
    <row r="426" spans="1:9" ht="14.5">
      <c r="A426" s="20" t="s">
        <v>8978</v>
      </c>
      <c r="B426" s="20">
        <v>25</v>
      </c>
      <c r="C426" s="20">
        <v>20</v>
      </c>
      <c r="D426" s="20">
        <v>50</v>
      </c>
      <c r="E426" s="20">
        <v>11</v>
      </c>
      <c r="F426" s="20" t="s">
        <v>8979</v>
      </c>
      <c r="G426" s="24" t="str">
        <f ca="1">IFERROR(__xludf.DUMMYFUNCTION("GOOGLETRANSLATE(F426,""en"",""pt"")"),"sistemas de revestimento de chapa de aço carbono")</f>
        <v>sistemas de revestimento de chapa de aço carbono</v>
      </c>
      <c r="H426" s="24"/>
      <c r="I426" s="24"/>
    </row>
    <row r="427" spans="1:9" ht="14.5">
      <c r="A427" s="20" t="s">
        <v>8980</v>
      </c>
      <c r="B427" s="20">
        <v>25</v>
      </c>
      <c r="C427" s="20">
        <v>20</v>
      </c>
      <c r="D427" s="20">
        <v>50</v>
      </c>
      <c r="E427" s="20">
        <v>15</v>
      </c>
      <c r="F427" s="20" t="s">
        <v>8981</v>
      </c>
      <c r="G427" s="24" t="str">
        <f ca="1">IFERROR(__xludf.DUMMYFUNCTION("GOOGLETRANSLATE(F427,""en"",""pt"")"),"sistemas de revestimento de folha de cobre")</f>
        <v>sistemas de revestimento de folha de cobre</v>
      </c>
      <c r="H427" s="20" t="s">
        <v>8982</v>
      </c>
      <c r="I427" s="20" t="s">
        <v>8488</v>
      </c>
    </row>
    <row r="428" spans="1:9" ht="14.5">
      <c r="A428" s="20" t="s">
        <v>8983</v>
      </c>
      <c r="B428" s="20">
        <v>25</v>
      </c>
      <c r="C428" s="20">
        <v>20</v>
      </c>
      <c r="D428" s="20">
        <v>50</v>
      </c>
      <c r="E428" s="20">
        <v>45</v>
      </c>
      <c r="F428" s="20" t="s">
        <v>8984</v>
      </c>
      <c r="G428" s="24" t="str">
        <f ca="1">IFERROR(__xludf.DUMMYFUNCTION("GOOGLETRANSLATE(F428,""en"",""pt"")"),"sistemas de chapa de revestimento de chumbo")</f>
        <v>sistemas de chapa de revestimento de chumbo</v>
      </c>
      <c r="H428" s="20" t="s">
        <v>8985</v>
      </c>
      <c r="I428" s="20" t="s">
        <v>8488</v>
      </c>
    </row>
    <row r="429" spans="1:9" ht="14.5">
      <c r="A429" s="20" t="s">
        <v>8986</v>
      </c>
      <c r="B429" s="20">
        <v>25</v>
      </c>
      <c r="C429" s="20">
        <v>20</v>
      </c>
      <c r="D429" s="20">
        <v>50</v>
      </c>
      <c r="E429" s="20">
        <v>50</v>
      </c>
      <c r="F429" s="20" t="s">
        <v>8987</v>
      </c>
      <c r="G429" s="24" t="str">
        <f ca="1">IFERROR(__xludf.DUMMYFUNCTION("GOOGLETRANSLATE(F429,""en"",""pt"")"),"sistemas de painel de revestimento enrolada de chumbo")</f>
        <v>sistemas de painel de revestimento enrolada de chumbo</v>
      </c>
      <c r="H429" s="20" t="s">
        <v>8988</v>
      </c>
      <c r="I429" s="20" t="s">
        <v>8488</v>
      </c>
    </row>
    <row r="430" spans="1:9" ht="14.5">
      <c r="A430" s="20" t="s">
        <v>8989</v>
      </c>
      <c r="B430" s="20">
        <v>25</v>
      </c>
      <c r="C430" s="20">
        <v>20</v>
      </c>
      <c r="D430" s="20">
        <v>50</v>
      </c>
      <c r="E430" s="20">
        <v>85</v>
      </c>
      <c r="F430" s="20" t="s">
        <v>8990</v>
      </c>
      <c r="G430" s="24" t="str">
        <f ca="1">IFERROR(__xludf.DUMMYFUNCTION("GOOGLETRANSLATE(F430,""en"",""pt"")"),"sistemas de folha de revestimento de aço inoxidável")</f>
        <v>sistemas de folha de revestimento de aço inoxidável</v>
      </c>
      <c r="H430" s="20" t="s">
        <v>8991</v>
      </c>
      <c r="I430" s="20" t="s">
        <v>8488</v>
      </c>
    </row>
    <row r="431" spans="1:9" ht="14.5">
      <c r="A431" s="20" t="s">
        <v>8992</v>
      </c>
      <c r="B431" s="20">
        <v>25</v>
      </c>
      <c r="C431" s="20">
        <v>20</v>
      </c>
      <c r="D431" s="20">
        <v>50</v>
      </c>
      <c r="E431" s="20">
        <v>95</v>
      </c>
      <c r="F431" s="20" t="s">
        <v>8993</v>
      </c>
      <c r="G431" s="24" t="str">
        <f ca="1">IFERROR(__xludf.DUMMYFUNCTION("GOOGLETRANSLATE(F431,""en"",""pt"")"),"sistemas de chapa de revestimento de zinco")</f>
        <v>sistemas de chapa de revestimento de zinco</v>
      </c>
      <c r="H431" s="20" t="s">
        <v>8994</v>
      </c>
      <c r="I431" s="20" t="s">
        <v>8488</v>
      </c>
    </row>
    <row r="432" spans="1:9" ht="14.5">
      <c r="A432" s="20" t="s">
        <v>8995</v>
      </c>
      <c r="B432" s="20">
        <v>25</v>
      </c>
      <c r="C432" s="20">
        <v>20</v>
      </c>
      <c r="D432" s="20">
        <v>60</v>
      </c>
      <c r="E432" s="24"/>
      <c r="F432" s="20" t="s">
        <v>8996</v>
      </c>
      <c r="G432" s="24" t="str">
        <f ca="1">IFERROR(__xludf.DUMMYFUNCTION("GOOGLETRANSLATE(F432,""en"",""pt"")"),"sistemas de revestimento de painéis e chapas")</f>
        <v>sistemas de revestimento de painéis e chapas</v>
      </c>
      <c r="H432" s="24"/>
      <c r="I432" s="24"/>
    </row>
    <row r="433" spans="1:9" ht="14.5">
      <c r="A433" s="20" t="s">
        <v>8997</v>
      </c>
      <c r="B433" s="20">
        <v>25</v>
      </c>
      <c r="C433" s="20">
        <v>20</v>
      </c>
      <c r="D433" s="20">
        <v>68</v>
      </c>
      <c r="E433" s="24"/>
      <c r="F433" s="20" t="s">
        <v>8998</v>
      </c>
      <c r="G433" s="24" t="str">
        <f ca="1">IFERROR(__xludf.DUMMYFUNCTION("GOOGLETRANSLATE(F433,""en"",""pt"")"),"sistemas de revestimento de folhas perfiladas")</f>
        <v>sistemas de revestimento de folhas perfiladas</v>
      </c>
      <c r="H433" s="24"/>
      <c r="I433" s="24"/>
    </row>
    <row r="434" spans="1:9" ht="14.5">
      <c r="A434" s="20" t="s">
        <v>8999</v>
      </c>
      <c r="B434" s="20">
        <v>25</v>
      </c>
      <c r="C434" s="20">
        <v>20</v>
      </c>
      <c r="D434" s="20">
        <v>68</v>
      </c>
      <c r="E434" s="20">
        <v>30</v>
      </c>
      <c r="F434" s="20" t="s">
        <v>9000</v>
      </c>
      <c r="G434" s="24" t="str">
        <f ca="1">IFERROR(__xludf.DUMMYFUNCTION("GOOGLETRANSLATE(F434,""en"",""pt"")"),"sistemas de folha de revestimento de fibrocimento perfilado")</f>
        <v>sistemas de folha de revestimento de fibrocimento perfilado</v>
      </c>
      <c r="H434" s="20" t="s">
        <v>9001</v>
      </c>
      <c r="I434" s="20" t="s">
        <v>9002</v>
      </c>
    </row>
    <row r="435" spans="1:9" ht="14.5">
      <c r="A435" s="20" t="s">
        <v>9003</v>
      </c>
      <c r="B435" s="20">
        <v>25</v>
      </c>
      <c r="C435" s="20">
        <v>20</v>
      </c>
      <c r="D435" s="20">
        <v>68</v>
      </c>
      <c r="E435" s="20">
        <v>50</v>
      </c>
      <c r="F435" s="20" t="s">
        <v>9004</v>
      </c>
      <c r="G435" s="24" t="str">
        <f ca="1">IFERROR(__xludf.DUMMYFUNCTION("GOOGLETRANSLATE(F435,""en"",""pt"")"),"Metal perfilado sistemas de folha de revestimento")</f>
        <v>Metal perfilado sistemas de folha de revestimento</v>
      </c>
      <c r="H435" s="20" t="s">
        <v>9005</v>
      </c>
      <c r="I435" s="20" t="s">
        <v>9002</v>
      </c>
    </row>
    <row r="436" spans="1:9" ht="14.5">
      <c r="A436" s="20" t="s">
        <v>9006</v>
      </c>
      <c r="B436" s="20">
        <v>25</v>
      </c>
      <c r="C436" s="20">
        <v>20</v>
      </c>
      <c r="D436" s="20">
        <v>68</v>
      </c>
      <c r="E436" s="20">
        <v>65</v>
      </c>
      <c r="F436" s="20" t="s">
        <v>9007</v>
      </c>
      <c r="G436" s="24" t="str">
        <f ca="1">IFERROR(__xludf.DUMMYFUNCTION("GOOGLETRANSLATE(F436,""en"",""pt"")"),"Plásticos perfiladas sistemas de chapa de revestimento")</f>
        <v>Plásticos perfiladas sistemas de chapa de revestimento</v>
      </c>
      <c r="H436" s="20" t="s">
        <v>9008</v>
      </c>
      <c r="I436" s="20" t="s">
        <v>9002</v>
      </c>
    </row>
    <row r="437" spans="1:9" ht="14.5">
      <c r="A437" s="20" t="s">
        <v>9009</v>
      </c>
      <c r="B437" s="20">
        <v>25</v>
      </c>
      <c r="C437" s="20">
        <v>20</v>
      </c>
      <c r="D437" s="20">
        <v>70</v>
      </c>
      <c r="E437" s="24"/>
      <c r="F437" s="20" t="s">
        <v>9010</v>
      </c>
      <c r="G437" s="24" t="str">
        <f ca="1">IFERROR(__xludf.DUMMYFUNCTION("GOOGLETRANSLATE(F437,""en"",""pt"")"),"sistemas de revestimento rainscreen")</f>
        <v>sistemas de revestimento rainscreen</v>
      </c>
      <c r="H437" s="24"/>
      <c r="I437" s="24"/>
    </row>
    <row r="438" spans="1:9" ht="14.5">
      <c r="A438" s="20" t="s">
        <v>9011</v>
      </c>
      <c r="B438" s="20">
        <v>25</v>
      </c>
      <c r="C438" s="20">
        <v>20</v>
      </c>
      <c r="D438" s="20">
        <v>70</v>
      </c>
      <c r="E438" s="20">
        <v>25</v>
      </c>
      <c r="F438" s="20" t="s">
        <v>9012</v>
      </c>
      <c r="G438" s="24" t="str">
        <f ca="1">IFERROR(__xludf.DUMMYFUNCTION("GOOGLETRANSLATE(F438,""en"",""pt"")"),"Drenado e sistemas rainscreen revestimento back-ventilados")</f>
        <v>Drenado e sistemas rainscreen revestimento back-ventilados</v>
      </c>
      <c r="H438" s="20" t="s">
        <v>9013</v>
      </c>
      <c r="I438" s="20" t="s">
        <v>9014</v>
      </c>
    </row>
    <row r="439" spans="1:9" ht="14.5">
      <c r="A439" s="20" t="s">
        <v>9015</v>
      </c>
      <c r="B439" s="20">
        <v>25</v>
      </c>
      <c r="C439" s="20">
        <v>20</v>
      </c>
      <c r="D439" s="20">
        <v>70</v>
      </c>
      <c r="E439" s="20">
        <v>65</v>
      </c>
      <c r="F439" s="20" t="s">
        <v>9016</v>
      </c>
      <c r="G439" s="24" t="str">
        <f ca="1">IFERROR(__xludf.DUMMYFUNCTION("GOOGLETRANSLATE(F439,""en"",""pt"")"),"sistemas rainscreen revestimento de pressão equalizada")</f>
        <v>sistemas rainscreen revestimento de pressão equalizada</v>
      </c>
      <c r="H439" s="20" t="s">
        <v>9017</v>
      </c>
      <c r="I439" s="20" t="s">
        <v>9014</v>
      </c>
    </row>
    <row r="440" spans="1:9" ht="14.5">
      <c r="A440" s="20" t="s">
        <v>9018</v>
      </c>
      <c r="B440" s="20">
        <v>25</v>
      </c>
      <c r="C440" s="20">
        <v>20</v>
      </c>
      <c r="D440" s="20">
        <v>72</v>
      </c>
      <c r="E440" s="24"/>
      <c r="F440" s="20" t="s">
        <v>9019</v>
      </c>
      <c r="G440" s="24" t="str">
        <f ca="1">IFERROR(__xludf.DUMMYFUNCTION("GOOGLETRANSLATE(F440,""en"",""pt"")"),"sistemas de folha de revestimento")</f>
        <v>sistemas de folha de revestimento</v>
      </c>
      <c r="H440" s="24"/>
      <c r="I440" s="24"/>
    </row>
    <row r="441" spans="1:9" ht="14.5">
      <c r="A441" s="20" t="s">
        <v>9020</v>
      </c>
      <c r="B441" s="20">
        <v>25</v>
      </c>
      <c r="C441" s="20">
        <v>20</v>
      </c>
      <c r="D441" s="20">
        <v>72</v>
      </c>
      <c r="E441" s="20">
        <v>72</v>
      </c>
      <c r="F441" s="20" t="s">
        <v>9021</v>
      </c>
      <c r="G441" s="24" t="str">
        <f ca="1">IFERROR(__xludf.DUMMYFUNCTION("GOOGLETRANSLATE(F441,""en"",""pt"")"),"sistemas de chapa de revestimento inertes")</f>
        <v>sistemas de chapa de revestimento inertes</v>
      </c>
      <c r="H441" s="20" t="s">
        <v>9022</v>
      </c>
      <c r="I441" s="20" t="s">
        <v>8488</v>
      </c>
    </row>
    <row r="442" spans="1:9" ht="14.5">
      <c r="A442" s="20" t="s">
        <v>9023</v>
      </c>
      <c r="B442" s="20">
        <v>25</v>
      </c>
      <c r="C442" s="20">
        <v>20</v>
      </c>
      <c r="D442" s="20">
        <v>85</v>
      </c>
      <c r="E442" s="24"/>
      <c r="F442" s="20" t="s">
        <v>9024</v>
      </c>
      <c r="G442" s="24" t="str">
        <f ca="1">IFERROR(__xludf.DUMMYFUNCTION("GOOGLETRANSLATE(F442,""en"",""pt"")"),"sistemas de pedra de revestimento")</f>
        <v>sistemas de pedra de revestimento</v>
      </c>
      <c r="H442" s="24"/>
      <c r="I442" s="24"/>
    </row>
    <row r="443" spans="1:9" ht="14.5">
      <c r="A443" s="20" t="s">
        <v>9025</v>
      </c>
      <c r="B443" s="20">
        <v>25</v>
      </c>
      <c r="C443" s="20">
        <v>20</v>
      </c>
      <c r="D443" s="20">
        <v>85</v>
      </c>
      <c r="E443" s="20">
        <v>50</v>
      </c>
      <c r="F443" s="20" t="s">
        <v>9026</v>
      </c>
      <c r="G443" s="24" t="str">
        <f ca="1">IFERROR(__xludf.DUMMYFUNCTION("GOOGLETRANSLATE(F443,""en"",""pt"")"),"sistemas fabricados revestimento em pedra")</f>
        <v>sistemas fabricados revestimento em pedra</v>
      </c>
      <c r="H443" s="24"/>
      <c r="I443" s="24"/>
    </row>
    <row r="444" spans="1:9" ht="14.5">
      <c r="A444" s="20" t="s">
        <v>9027</v>
      </c>
      <c r="B444" s="20">
        <v>25</v>
      </c>
      <c r="C444" s="20">
        <v>20</v>
      </c>
      <c r="D444" s="20">
        <v>85</v>
      </c>
      <c r="E444" s="20">
        <v>55</v>
      </c>
      <c r="F444" s="20" t="s">
        <v>9028</v>
      </c>
      <c r="G444" s="24" t="str">
        <f ca="1">IFERROR(__xludf.DUMMYFUNCTION("GOOGLETRANSLATE(F444,""en"",""pt"")"),"sistemas de revestimento de pedra natural")</f>
        <v>sistemas de revestimento de pedra natural</v>
      </c>
      <c r="H444" s="20" t="s">
        <v>9029</v>
      </c>
      <c r="I444" s="20" t="s">
        <v>9030</v>
      </c>
    </row>
    <row r="445" spans="1:9" ht="14.5">
      <c r="A445" s="20" t="s">
        <v>9031</v>
      </c>
      <c r="B445" s="20">
        <v>25</v>
      </c>
      <c r="C445" s="20">
        <v>20</v>
      </c>
      <c r="D445" s="20">
        <v>90</v>
      </c>
      <c r="E445" s="24"/>
      <c r="F445" s="20" t="s">
        <v>9032</v>
      </c>
      <c r="G445" s="24" t="str">
        <f ca="1">IFERROR(__xludf.DUMMYFUNCTION("GOOGLETRANSLATE(F445,""en"",""pt"")"),"sistemas de revestimento de unidade")</f>
        <v>sistemas de revestimento de unidade</v>
      </c>
      <c r="H445" s="24"/>
      <c r="I445" s="24"/>
    </row>
    <row r="446" spans="1:9" ht="14.5">
      <c r="A446" s="20" t="s">
        <v>9033</v>
      </c>
      <c r="B446" s="20">
        <v>25</v>
      </c>
      <c r="C446" s="20">
        <v>20</v>
      </c>
      <c r="D446" s="20">
        <v>90</v>
      </c>
      <c r="E446" s="20">
        <v>13</v>
      </c>
      <c r="F446" s="20" t="s">
        <v>9034</v>
      </c>
      <c r="G446" s="24" t="str">
        <f ca="1">IFERROR(__xludf.DUMMYFUNCTION("GOOGLETRANSLATE(F446,""en"",""pt"")"),"sistemas de revestimento de azulejos planície de barro")</f>
        <v>sistemas de revestimento de azulejos planície de barro</v>
      </c>
      <c r="H446" s="20" t="s">
        <v>9035</v>
      </c>
      <c r="I446" s="20" t="s">
        <v>8488</v>
      </c>
    </row>
    <row r="447" spans="1:9" ht="14.5">
      <c r="A447" s="20" t="s">
        <v>9036</v>
      </c>
      <c r="B447" s="20">
        <v>25</v>
      </c>
      <c r="C447" s="20">
        <v>20</v>
      </c>
      <c r="D447" s="20">
        <v>90</v>
      </c>
      <c r="E447" s="20">
        <v>15</v>
      </c>
      <c r="F447" s="20" t="s">
        <v>9037</v>
      </c>
      <c r="G447" s="24" t="str">
        <f ca="1">IFERROR(__xludf.DUMMYFUNCTION("GOOGLETRANSLATE(F447,""en"",""pt"")"),"Betão sistemas de revestimento de azulejos planície")</f>
        <v>Betão sistemas de revestimento de azulejos planície</v>
      </c>
      <c r="H447" s="20" t="s">
        <v>9038</v>
      </c>
      <c r="I447" s="20" t="s">
        <v>8488</v>
      </c>
    </row>
    <row r="448" spans="1:9" ht="14.5">
      <c r="A448" s="20" t="s">
        <v>9039</v>
      </c>
      <c r="B448" s="20">
        <v>25</v>
      </c>
      <c r="C448" s="20">
        <v>20</v>
      </c>
      <c r="D448" s="20">
        <v>90</v>
      </c>
      <c r="E448" s="20">
        <v>30</v>
      </c>
      <c r="F448" s="20" t="s">
        <v>9040</v>
      </c>
      <c r="G448" s="24" t="str">
        <f ca="1">IFERROR(__xludf.DUMMYFUNCTION("GOOGLETRANSLATE(F448,""en"",""pt"")"),"sistemas de ardósia revestimento de fibrocimento")</f>
        <v>sistemas de ardósia revestimento de fibrocimento</v>
      </c>
      <c r="H448" s="20" t="s">
        <v>9041</v>
      </c>
      <c r="I448" s="20" t="s">
        <v>8488</v>
      </c>
    </row>
    <row r="449" spans="1:9" ht="14.5">
      <c r="A449" s="20" t="s">
        <v>9042</v>
      </c>
      <c r="B449" s="20">
        <v>25</v>
      </c>
      <c r="C449" s="20">
        <v>20</v>
      </c>
      <c r="D449" s="20">
        <v>90</v>
      </c>
      <c r="E449" s="20">
        <v>50</v>
      </c>
      <c r="F449" s="20" t="s">
        <v>9043</v>
      </c>
      <c r="G449" s="24" t="str">
        <f ca="1">IFERROR(__xludf.DUMMYFUNCTION("GOOGLETRANSLATE(F449,""en"",""pt"")"),"sistemas de telha de revestimento de metal")</f>
        <v>sistemas de telha de revestimento de metal</v>
      </c>
      <c r="H449" s="20" t="s">
        <v>9044</v>
      </c>
      <c r="I449" s="20" t="s">
        <v>8488</v>
      </c>
    </row>
    <row r="450" spans="1:9" ht="14.5">
      <c r="A450" s="20" t="s">
        <v>9045</v>
      </c>
      <c r="B450" s="20">
        <v>25</v>
      </c>
      <c r="C450" s="20">
        <v>20</v>
      </c>
      <c r="D450" s="20">
        <v>90</v>
      </c>
      <c r="E450" s="20">
        <v>55</v>
      </c>
      <c r="F450" s="20" t="s">
        <v>9046</v>
      </c>
      <c r="G450" s="24" t="str">
        <f ca="1">IFERROR(__xludf.DUMMYFUNCTION("GOOGLETRANSLATE(F450,""en"",""pt"")"),"sistemas de revestimento de ardósia Natural")</f>
        <v>sistemas de revestimento de ardósia Natural</v>
      </c>
      <c r="H450" s="20" t="s">
        <v>9047</v>
      </c>
      <c r="I450" s="20" t="s">
        <v>8488</v>
      </c>
    </row>
    <row r="451" spans="1:9" ht="14.5">
      <c r="A451" s="20" t="s">
        <v>9048</v>
      </c>
      <c r="B451" s="20">
        <v>25</v>
      </c>
      <c r="C451" s="20">
        <v>20</v>
      </c>
      <c r="D451" s="20">
        <v>90</v>
      </c>
      <c r="E451" s="20">
        <v>65</v>
      </c>
      <c r="F451" s="20" t="s">
        <v>9049</v>
      </c>
      <c r="G451" s="24" t="str">
        <f ca="1">IFERROR(__xludf.DUMMYFUNCTION("GOOGLETRANSLATE(F451,""en"",""pt"")"),"sistemas de concreto de revestimento pré-moldados")</f>
        <v>sistemas de concreto de revestimento pré-moldados</v>
      </c>
      <c r="H451" s="24"/>
      <c r="I451" s="24"/>
    </row>
    <row r="452" spans="1:9" ht="14.5">
      <c r="A452" s="20" t="s">
        <v>9050</v>
      </c>
      <c r="B452" s="20">
        <v>25</v>
      </c>
      <c r="C452" s="20">
        <v>20</v>
      </c>
      <c r="D452" s="20">
        <v>90</v>
      </c>
      <c r="E452" s="20">
        <v>95</v>
      </c>
      <c r="F452" s="20" t="s">
        <v>9051</v>
      </c>
      <c r="G452" s="24" t="str">
        <f ca="1">IFERROR(__xludf.DUMMYFUNCTION("GOOGLETRANSLATE(F452,""en"",""pt"")"),"fasquias de madeira ou sistemas de agitação revestimento")</f>
        <v>fasquias de madeira ou sistemas de agitação revestimento</v>
      </c>
      <c r="H452" s="20" t="s">
        <v>9052</v>
      </c>
      <c r="I452" s="20" t="s">
        <v>8488</v>
      </c>
    </row>
    <row r="453" spans="1:9" ht="14.5">
      <c r="A453" s="20" t="s">
        <v>9053</v>
      </c>
      <c r="B453" s="20">
        <v>25</v>
      </c>
      <c r="C453" s="20">
        <v>25</v>
      </c>
      <c r="D453" s="24"/>
      <c r="E453" s="24"/>
      <c r="F453" s="20" t="s">
        <v>9054</v>
      </c>
      <c r="G453" s="24" t="str">
        <f ca="1">IFERROR(__xludf.DUMMYFUNCTION("GOOGLETRANSLATE(F453,""en"",""pt"")"),"sistemas de revestimento de parede")</f>
        <v>sistemas de revestimento de parede</v>
      </c>
      <c r="H453" s="24"/>
      <c r="I453" s="24"/>
    </row>
    <row r="454" spans="1:9" ht="14.5">
      <c r="A454" s="20" t="s">
        <v>9055</v>
      </c>
      <c r="B454" s="20">
        <v>25</v>
      </c>
      <c r="C454" s="20">
        <v>25</v>
      </c>
      <c r="D454" s="20">
        <v>5</v>
      </c>
      <c r="E454" s="24"/>
      <c r="F454" s="20" t="s">
        <v>9056</v>
      </c>
      <c r="G454" s="24" t="str">
        <f ca="1">IFERROR(__xludf.DUMMYFUNCTION("GOOGLETRANSLATE(F454,""en"",""pt"")"),"sistemas de painéis acústicos")</f>
        <v>sistemas de painéis acústicos</v>
      </c>
      <c r="H454" s="24"/>
      <c r="I454" s="24"/>
    </row>
    <row r="455" spans="1:9" ht="14.5">
      <c r="A455" s="20" t="s">
        <v>9057</v>
      </c>
      <c r="B455" s="20">
        <v>25</v>
      </c>
      <c r="C455" s="20">
        <v>25</v>
      </c>
      <c r="D455" s="20">
        <v>45</v>
      </c>
      <c r="E455" s="24"/>
      <c r="F455" s="20" t="s">
        <v>9058</v>
      </c>
      <c r="G455" s="24" t="str">
        <f ca="1">IFERROR(__xludf.DUMMYFUNCTION("GOOGLETRANSLATE(F455,""en"",""pt"")"),"Forro e invólucro sistemas")</f>
        <v>Forro e invólucro sistemas</v>
      </c>
      <c r="H455" s="24"/>
      <c r="I455" s="24"/>
    </row>
    <row r="456" spans="1:9" ht="14.5">
      <c r="A456" s="20" t="s">
        <v>9059</v>
      </c>
      <c r="B456" s="20">
        <v>25</v>
      </c>
      <c r="C456" s="20">
        <v>25</v>
      </c>
      <c r="D456" s="20">
        <v>45</v>
      </c>
      <c r="E456" s="20">
        <v>25</v>
      </c>
      <c r="F456" s="20" t="s">
        <v>9060</v>
      </c>
      <c r="G456" s="24" t="str">
        <f ca="1">IFERROR(__xludf.DUMMYFUNCTION("GOOGLETRANSLATE(F456,""en"",""pt"")"),"Os sistemas de revestimento do ducto e do painel de parede")</f>
        <v>Os sistemas de revestimento do ducto e do painel de parede</v>
      </c>
      <c r="H456" s="20" t="s">
        <v>9061</v>
      </c>
      <c r="I456" s="20" t="s">
        <v>9062</v>
      </c>
    </row>
    <row r="457" spans="1:9" ht="14.5">
      <c r="A457" s="20" t="s">
        <v>9063</v>
      </c>
      <c r="B457" s="20">
        <v>25</v>
      </c>
      <c r="C457" s="20">
        <v>25</v>
      </c>
      <c r="D457" s="20">
        <v>45</v>
      </c>
      <c r="E457" s="20">
        <v>33</v>
      </c>
      <c r="F457" s="20" t="s">
        <v>9064</v>
      </c>
      <c r="G457" s="24" t="str">
        <f ca="1">IFERROR(__xludf.DUMMYFUNCTION("GOOGLETRANSLATE(F457,""en"",""pt"")"),"sistemas de revestimento de placa de gesso")</f>
        <v>sistemas de revestimento de placa de gesso</v>
      </c>
      <c r="H457" s="20" t="s">
        <v>9065</v>
      </c>
      <c r="I457" s="20" t="s">
        <v>9062</v>
      </c>
    </row>
    <row r="458" spans="1:9" ht="14.5">
      <c r="A458" s="20" t="s">
        <v>9066</v>
      </c>
      <c r="B458" s="20">
        <v>25</v>
      </c>
      <c r="C458" s="20">
        <v>25</v>
      </c>
      <c r="D458" s="20">
        <v>45</v>
      </c>
      <c r="E458" s="20">
        <v>35</v>
      </c>
      <c r="F458" s="20" t="s">
        <v>9067</v>
      </c>
      <c r="G458" s="24" t="str">
        <f ca="1">IFERROR(__xludf.DUMMYFUNCTION("GOOGLETRANSLATE(F458,""en"",""pt"")"),"Os sistemas de revestimento de parede de placa de gesso")</f>
        <v>Os sistemas de revestimento de parede de placa de gesso</v>
      </c>
      <c r="H458" s="20" t="s">
        <v>9068</v>
      </c>
      <c r="I458" s="20" t="s">
        <v>9062</v>
      </c>
    </row>
    <row r="459" spans="1:9" ht="14.5">
      <c r="A459" s="20" t="s">
        <v>9069</v>
      </c>
      <c r="B459" s="20">
        <v>25</v>
      </c>
      <c r="C459" s="20">
        <v>25</v>
      </c>
      <c r="D459" s="20">
        <v>45</v>
      </c>
      <c r="E459" s="20">
        <v>50</v>
      </c>
      <c r="F459" s="20" t="s">
        <v>9070</v>
      </c>
      <c r="G459" s="24" t="str">
        <f ca="1">IFERROR(__xludf.DUMMYFUNCTION("GOOGLETRANSLATE(F459,""en"",""pt"")"),"Os sistemas de revestimento de parede moldada de metal")</f>
        <v>Os sistemas de revestimento de parede moldada de metal</v>
      </c>
      <c r="H459" s="20" t="s">
        <v>9071</v>
      </c>
      <c r="I459" s="20" t="s">
        <v>9062</v>
      </c>
    </row>
    <row r="460" spans="1:9" ht="14.5">
      <c r="A460" s="20" t="s">
        <v>9072</v>
      </c>
      <c r="B460" s="20">
        <v>25</v>
      </c>
      <c r="C460" s="20">
        <v>25</v>
      </c>
      <c r="D460" s="20">
        <v>45</v>
      </c>
      <c r="E460" s="20">
        <v>70</v>
      </c>
      <c r="F460" s="20" t="s">
        <v>9073</v>
      </c>
      <c r="G460" s="24" t="str">
        <f ca="1">IFERROR(__xludf.DUMMYFUNCTION("GOOGLETRANSLATE(F460,""en"",""pt"")"),"Rígida revestimento da parede de folha e sistemas casing")</f>
        <v>Rígida revestimento da parede de folha e sistemas casing</v>
      </c>
      <c r="H460" s="20" t="s">
        <v>9074</v>
      </c>
      <c r="I460" s="20" t="s">
        <v>9062</v>
      </c>
    </row>
    <row r="461" spans="1:9" ht="14.5">
      <c r="A461" s="20" t="s">
        <v>9075</v>
      </c>
      <c r="B461" s="20">
        <v>25</v>
      </c>
      <c r="C461" s="20">
        <v>25</v>
      </c>
      <c r="D461" s="20">
        <v>45</v>
      </c>
      <c r="E461" s="20">
        <v>88</v>
      </c>
      <c r="F461" s="20" t="s">
        <v>9076</v>
      </c>
      <c r="G461" s="24" t="str">
        <f ca="1">IFERROR(__xludf.DUMMYFUNCTION("GOOGLETRANSLATE(F461,""en"",""pt"")"),"sistemas de revestimento de tabuleiro madeira")</f>
        <v>sistemas de revestimento de tabuleiro madeira</v>
      </c>
      <c r="H461" s="20" t="s">
        <v>9077</v>
      </c>
      <c r="I461" s="20" t="s">
        <v>9062</v>
      </c>
    </row>
    <row r="462" spans="1:9" ht="14.5">
      <c r="A462" s="20" t="s">
        <v>9078</v>
      </c>
      <c r="B462" s="20">
        <v>25</v>
      </c>
      <c r="C462" s="20">
        <v>25</v>
      </c>
      <c r="D462" s="20">
        <v>45</v>
      </c>
      <c r="E462" s="20">
        <v>90</v>
      </c>
      <c r="F462" s="20" t="s">
        <v>9079</v>
      </c>
      <c r="G462" s="24" t="str">
        <f ca="1">IFERROR(__xludf.DUMMYFUNCTION("GOOGLETRANSLATE(F462,""en"",""pt"")"),"sistemas de revestimento de parede da placa de madeira")</f>
        <v>sistemas de revestimento de parede da placa de madeira</v>
      </c>
      <c r="H462" s="20" t="s">
        <v>9080</v>
      </c>
      <c r="I462" s="20" t="s">
        <v>9062</v>
      </c>
    </row>
    <row r="463" spans="1:9" ht="14.5">
      <c r="A463" s="20" t="s">
        <v>9081</v>
      </c>
      <c r="B463" s="20">
        <v>25</v>
      </c>
      <c r="C463" s="20">
        <v>25</v>
      </c>
      <c r="D463" s="20">
        <v>70</v>
      </c>
      <c r="E463" s="24"/>
      <c r="F463" s="20" t="s">
        <v>9082</v>
      </c>
      <c r="G463" s="24" t="str">
        <f ca="1">IFERROR(__xludf.DUMMYFUNCTION("GOOGLETRANSLATE(F463,""en"",""pt"")"),"Os sistemas de revestimento de proteco de radiao")</f>
        <v>Os sistemas de revestimento de proteco de radiao</v>
      </c>
      <c r="H463" s="24"/>
      <c r="I463" s="24"/>
    </row>
    <row r="464" spans="1:9" ht="14.5">
      <c r="A464" s="20" t="s">
        <v>9083</v>
      </c>
      <c r="B464" s="20">
        <v>25</v>
      </c>
      <c r="C464" s="20">
        <v>25</v>
      </c>
      <c r="D464" s="20">
        <v>75</v>
      </c>
      <c r="E464" s="24"/>
      <c r="F464" s="20" t="s">
        <v>9084</v>
      </c>
      <c r="G464" s="24" t="str">
        <f ca="1">IFERROR(__xludf.DUMMYFUNCTION("GOOGLETRANSLATE(F464,""en"",""pt"")"),"Rígida revestimento folha fina e sistemas apainelamento")</f>
        <v>Rígida revestimento folha fina e sistemas apainelamento</v>
      </c>
      <c r="H464" s="24"/>
      <c r="I464" s="24"/>
    </row>
    <row r="465" spans="1:9" ht="14.5">
      <c r="A465" s="20" t="s">
        <v>9085</v>
      </c>
      <c r="B465" s="20">
        <v>25</v>
      </c>
      <c r="C465" s="20">
        <v>25</v>
      </c>
      <c r="D465" s="20">
        <v>75</v>
      </c>
      <c r="E465" s="20">
        <v>5</v>
      </c>
      <c r="F465" s="20" t="s">
        <v>9086</v>
      </c>
      <c r="G465" s="24" t="str">
        <f ca="1">IFERROR(__xludf.DUMMYFUNCTION("GOOGLETRANSLATE(F465,""en"",""pt"")"),"sistemas de revestimento de painel acústico")</f>
        <v>sistemas de revestimento de painel acústico</v>
      </c>
      <c r="H465" s="20" t="s">
        <v>9087</v>
      </c>
      <c r="I465" s="20" t="s">
        <v>9062</v>
      </c>
    </row>
    <row r="466" spans="1:9" ht="14.5">
      <c r="A466" s="20" t="s">
        <v>9088</v>
      </c>
      <c r="B466" s="20">
        <v>25</v>
      </c>
      <c r="C466" s="20">
        <v>25</v>
      </c>
      <c r="D466" s="20">
        <v>75</v>
      </c>
      <c r="E466" s="20">
        <v>30</v>
      </c>
      <c r="F466" s="20" t="s">
        <v>9089</v>
      </c>
      <c r="G466" s="24" t="str">
        <f ca="1">IFERROR(__xludf.DUMMYFUNCTION("GOOGLETRANSLATE(F466,""en"",""pt"")"),"sistemas de revestimento de painel de madeira emoldurada")</f>
        <v>sistemas de revestimento de painel de madeira emoldurada</v>
      </c>
      <c r="H466" s="20" t="s">
        <v>9090</v>
      </c>
      <c r="I466" s="20" t="s">
        <v>9062</v>
      </c>
    </row>
    <row r="467" spans="1:9" ht="14.5">
      <c r="A467" s="20" t="s">
        <v>9091</v>
      </c>
      <c r="B467" s="20">
        <v>25</v>
      </c>
      <c r="C467" s="20">
        <v>25</v>
      </c>
      <c r="D467" s="20">
        <v>75</v>
      </c>
      <c r="E467" s="20">
        <v>63</v>
      </c>
      <c r="F467" s="20" t="s">
        <v>9092</v>
      </c>
      <c r="G467" s="24" t="str">
        <f ca="1">IFERROR(__xludf.DUMMYFUNCTION("GOOGLETRANSLATE(F467,""en"",""pt"")"),"sistemas de revestimento de painéis plásticos")</f>
        <v>sistemas de revestimento de painéis plásticos</v>
      </c>
      <c r="H467" s="20" t="s">
        <v>9093</v>
      </c>
      <c r="I467" s="20" t="s">
        <v>9062</v>
      </c>
    </row>
    <row r="468" spans="1:9" ht="14.5">
      <c r="A468" s="20" t="s">
        <v>9094</v>
      </c>
      <c r="B468" s="20">
        <v>25</v>
      </c>
      <c r="C468" s="20">
        <v>25</v>
      </c>
      <c r="D468" s="20">
        <v>75</v>
      </c>
      <c r="E468" s="20">
        <v>65</v>
      </c>
      <c r="F468" s="20" t="s">
        <v>9095</v>
      </c>
      <c r="G468" s="24" t="str">
        <f ca="1">IFERROR(__xludf.DUMMYFUNCTION("GOOGLETRANSLATE(F468,""en"",""pt"")"),"Plásticos folheada, sistemas de revestimento de painel")</f>
        <v>Plásticos folheada, sistemas de revestimento de painel</v>
      </c>
      <c r="H468" s="20" t="s">
        <v>9096</v>
      </c>
      <c r="I468" s="20" t="s">
        <v>9062</v>
      </c>
    </row>
    <row r="469" spans="1:9" ht="14.5">
      <c r="A469" s="20" t="s">
        <v>9097</v>
      </c>
      <c r="B469" s="20">
        <v>25</v>
      </c>
      <c r="C469" s="20">
        <v>25</v>
      </c>
      <c r="D469" s="20">
        <v>75</v>
      </c>
      <c r="E469" s="20">
        <v>85</v>
      </c>
      <c r="F469" s="20" t="s">
        <v>9098</v>
      </c>
      <c r="G469" s="24" t="str">
        <f ca="1">IFERROR(__xludf.DUMMYFUNCTION("GOOGLETRANSLATE(F469,""en"",""pt"")"),"Os sistemas de revestimento de painel cara especialista")</f>
        <v>Os sistemas de revestimento de painel cara especialista</v>
      </c>
      <c r="H469" s="20" t="s">
        <v>9099</v>
      </c>
      <c r="I469" s="20" t="s">
        <v>9062</v>
      </c>
    </row>
    <row r="470" spans="1:9" ht="14.5">
      <c r="A470" s="20" t="s">
        <v>9100</v>
      </c>
      <c r="B470" s="20">
        <v>25</v>
      </c>
      <c r="C470" s="20">
        <v>25</v>
      </c>
      <c r="D470" s="20">
        <v>75</v>
      </c>
      <c r="E470" s="20">
        <v>95</v>
      </c>
      <c r="F470" s="20" t="s">
        <v>9101</v>
      </c>
      <c r="G470" s="24" t="str">
        <f ca="1">IFERROR(__xludf.DUMMYFUNCTION("GOOGLETRANSLATE(F470,""en"",""pt"")"),"sistemas de revestimento de painel de madeira folheada")</f>
        <v>sistemas de revestimento de painel de madeira folheada</v>
      </c>
      <c r="H470" s="20" t="s">
        <v>9102</v>
      </c>
      <c r="I470" s="20" t="s">
        <v>9062</v>
      </c>
    </row>
    <row r="471" spans="1:9" ht="14.5">
      <c r="A471" s="20" t="s">
        <v>9103</v>
      </c>
      <c r="B471" s="20">
        <v>25</v>
      </c>
      <c r="C471" s="20">
        <v>25</v>
      </c>
      <c r="D471" s="20">
        <v>85</v>
      </c>
      <c r="E471" s="24"/>
      <c r="F471" s="20" t="s">
        <v>9104</v>
      </c>
      <c r="G471" s="24" t="str">
        <f ca="1">IFERROR(__xludf.DUMMYFUNCTION("GOOGLETRANSLATE(F471,""en"",""pt"")"),"sistemas de revestimento de pedra")</f>
        <v>sistemas de revestimento de pedra</v>
      </c>
      <c r="H471" s="24"/>
      <c r="I471" s="24"/>
    </row>
    <row r="472" spans="1:9" ht="14.5">
      <c r="A472" s="20" t="s">
        <v>9105</v>
      </c>
      <c r="B472" s="20">
        <v>25</v>
      </c>
      <c r="C472" s="20">
        <v>25</v>
      </c>
      <c r="D472" s="20">
        <v>85</v>
      </c>
      <c r="E472" s="20">
        <v>50</v>
      </c>
      <c r="F472" s="20" t="s">
        <v>9106</v>
      </c>
      <c r="G472" s="24" t="str">
        <f ca="1">IFERROR(__xludf.DUMMYFUNCTION("GOOGLETRANSLATE(F472,""en"",""pt"")"),"sistemas fabricados revestimento de pedra")</f>
        <v>sistemas fabricados revestimento de pedra</v>
      </c>
      <c r="H472" s="24"/>
      <c r="I472" s="24"/>
    </row>
    <row r="473" spans="1:9" ht="14.5">
      <c r="A473" s="20" t="s">
        <v>9107</v>
      </c>
      <c r="B473" s="20">
        <v>25</v>
      </c>
      <c r="C473" s="20">
        <v>25</v>
      </c>
      <c r="D473" s="20">
        <v>85</v>
      </c>
      <c r="E473" s="20">
        <v>55</v>
      </c>
      <c r="F473" s="20" t="s">
        <v>9108</v>
      </c>
      <c r="G473" s="24" t="str">
        <f ca="1">IFERROR(__xludf.DUMMYFUNCTION("GOOGLETRANSLATE(F473,""en"",""pt"")"),"sistemas de revestimento de pedra natural")</f>
        <v>sistemas de revestimento de pedra natural</v>
      </c>
      <c r="H473" s="20" t="s">
        <v>9109</v>
      </c>
      <c r="I473" s="20" t="s">
        <v>9030</v>
      </c>
    </row>
    <row r="474" spans="1:9" ht="14.5">
      <c r="A474" s="20" t="s">
        <v>9110</v>
      </c>
      <c r="B474" s="20">
        <v>25</v>
      </c>
      <c r="C474" s="20">
        <v>25</v>
      </c>
      <c r="D474" s="20">
        <v>95</v>
      </c>
      <c r="E474" s="24"/>
      <c r="F474" s="20" t="s">
        <v>9111</v>
      </c>
      <c r="G474" s="24" t="str">
        <f ca="1">IFERROR(__xludf.DUMMYFUNCTION("GOOGLETRANSLATE(F474,""en"",""pt"")"),"sistemas de parede revestimento")</f>
        <v>sistemas de parede revestimento</v>
      </c>
      <c r="H474" s="24"/>
      <c r="I474" s="24"/>
    </row>
    <row r="475" spans="1:9" ht="14.5">
      <c r="A475" s="20" t="s">
        <v>9112</v>
      </c>
      <c r="B475" s="20">
        <v>25</v>
      </c>
      <c r="C475" s="20">
        <v>25</v>
      </c>
      <c r="D475" s="20">
        <v>95</v>
      </c>
      <c r="E475" s="20">
        <v>28</v>
      </c>
      <c r="F475" s="20" t="s">
        <v>9113</v>
      </c>
      <c r="G475" s="24" t="str">
        <f ca="1">IFERROR(__xludf.DUMMYFUNCTION("GOOGLETRANSLATE(F475,""en"",""pt"")"),"sistemas de parede de embainhar externo")</f>
        <v>sistemas de parede de embainhar externo</v>
      </c>
      <c r="H475" s="20" t="s">
        <v>9114</v>
      </c>
      <c r="I475" s="20" t="s">
        <v>8488</v>
      </c>
    </row>
    <row r="476" spans="1:9" ht="14.5">
      <c r="A476" s="20" t="s">
        <v>9115</v>
      </c>
      <c r="B476" s="20">
        <v>25</v>
      </c>
      <c r="C476" s="20">
        <v>30</v>
      </c>
      <c r="D476" s="24"/>
      <c r="E476" s="24"/>
      <c r="F476" s="20" t="s">
        <v>9116</v>
      </c>
      <c r="G476" s="24" t="str">
        <f ca="1">IFERROR(__xludf.DUMMYFUNCTION("GOOGLETRANSLATE(F476,""en"",""pt"")"),"sistemas de portas e janelas")</f>
        <v>sistemas de portas e janelas</v>
      </c>
      <c r="H476" s="24"/>
      <c r="I476" s="24"/>
    </row>
    <row r="477" spans="1:9" ht="14.5">
      <c r="A477" s="20" t="s">
        <v>9117</v>
      </c>
      <c r="B477" s="20">
        <v>25</v>
      </c>
      <c r="C477" s="20">
        <v>30</v>
      </c>
      <c r="D477" s="20">
        <v>15</v>
      </c>
      <c r="E477" s="24"/>
      <c r="F477" s="20" t="s">
        <v>9118</v>
      </c>
      <c r="G477" s="24" t="str">
        <f ca="1">IFERROR(__xludf.DUMMYFUNCTION("GOOGLETRANSLATE(F477,""en"",""pt"")"),"sistemas de parede em betão vidraças")</f>
        <v>sistemas de parede em betão vidraças</v>
      </c>
      <c r="H477" s="24"/>
      <c r="I477" s="24"/>
    </row>
    <row r="478" spans="1:9" ht="14.5">
      <c r="A478" s="20" t="s">
        <v>9119</v>
      </c>
      <c r="B478" s="20">
        <v>25</v>
      </c>
      <c r="C478" s="20">
        <v>30</v>
      </c>
      <c r="D478" s="20">
        <v>15</v>
      </c>
      <c r="E478" s="20">
        <v>66</v>
      </c>
      <c r="F478" s="20" t="s">
        <v>9120</v>
      </c>
      <c r="G478" s="24" t="str">
        <f ca="1">IFERROR(__xludf.DUMMYFUNCTION("GOOGLETRANSLATE(F478,""en"",""pt"")"),"sistemas de janela de segurança concreto pré-moldado")</f>
        <v>sistemas de janela de segurança concreto pré-moldado</v>
      </c>
      <c r="H478" s="20" t="s">
        <v>9121</v>
      </c>
      <c r="I478" s="20" t="s">
        <v>9122</v>
      </c>
    </row>
    <row r="479" spans="1:9" ht="14.5">
      <c r="A479" s="20" t="s">
        <v>9123</v>
      </c>
      <c r="B479" s="20">
        <v>25</v>
      </c>
      <c r="C479" s="20">
        <v>30</v>
      </c>
      <c r="D479" s="20">
        <v>20</v>
      </c>
      <c r="E479" s="24"/>
      <c r="F479" s="20" t="s">
        <v>9124</v>
      </c>
      <c r="G479" s="24" t="str">
        <f ca="1">IFERROR(__xludf.DUMMYFUNCTION("GOOGLETRANSLATE(F479,""en"",""pt"")"),"sistemas de escotilha porta, obturador e")</f>
        <v>sistemas de escotilha porta, obturador e</v>
      </c>
      <c r="H479" s="24"/>
      <c r="I479" s="24"/>
    </row>
    <row r="480" spans="1:9" ht="14.5">
      <c r="A480" s="20" t="s">
        <v>9125</v>
      </c>
      <c r="B480" s="20">
        <v>25</v>
      </c>
      <c r="C480" s="20">
        <v>30</v>
      </c>
      <c r="D480" s="20">
        <v>20</v>
      </c>
      <c r="E480" s="20">
        <v>16</v>
      </c>
      <c r="F480" s="20" t="s">
        <v>9126</v>
      </c>
      <c r="G480" s="24" t="str">
        <f ca="1">IFERROR(__xludf.DUMMYFUNCTION("GOOGLETRANSLATE(F480,""en"",""pt"")"),"portão dobrável e sistemas doorset grade")</f>
        <v>portão dobrável e sistemas doorset grade</v>
      </c>
      <c r="H480" s="24"/>
      <c r="I480" s="24"/>
    </row>
    <row r="481" spans="1:9" ht="14.5">
      <c r="A481" s="20" t="s">
        <v>9127</v>
      </c>
      <c r="B481" s="20">
        <v>25</v>
      </c>
      <c r="C481" s="20">
        <v>30</v>
      </c>
      <c r="D481" s="20">
        <v>20</v>
      </c>
      <c r="E481" s="20">
        <v>22</v>
      </c>
      <c r="F481" s="20" t="s">
        <v>9128</v>
      </c>
      <c r="G481" s="24" t="str">
        <f ca="1">IFERROR(__xludf.DUMMYFUNCTION("GOOGLETRANSLATE(F481,""en"",""pt"")"),"sistemas de montagem de porta")</f>
        <v>sistemas de montagem de porta</v>
      </c>
      <c r="H481" s="20" t="s">
        <v>9129</v>
      </c>
      <c r="I481" s="24"/>
    </row>
    <row r="482" spans="1:9" ht="14.5">
      <c r="A482" s="20" t="s">
        <v>9130</v>
      </c>
      <c r="B482" s="20">
        <v>25</v>
      </c>
      <c r="C482" s="20">
        <v>30</v>
      </c>
      <c r="D482" s="20">
        <v>20</v>
      </c>
      <c r="E482" s="20">
        <v>25</v>
      </c>
      <c r="F482" s="20" t="s">
        <v>9131</v>
      </c>
      <c r="G482" s="24" t="str">
        <f ca="1">IFERROR(__xludf.DUMMYFUNCTION("GOOGLETRANSLATE(F482,""en"",""pt"")"),"sistemas Doorset")</f>
        <v>sistemas Doorset</v>
      </c>
      <c r="H482" s="20" t="s">
        <v>9132</v>
      </c>
      <c r="I482" s="20" t="s">
        <v>9133</v>
      </c>
    </row>
    <row r="483" spans="1:9" ht="14.5">
      <c r="A483" s="20" t="s">
        <v>9134</v>
      </c>
      <c r="B483" s="20">
        <v>25</v>
      </c>
      <c r="C483" s="20">
        <v>30</v>
      </c>
      <c r="D483" s="20">
        <v>20</v>
      </c>
      <c r="E483" s="20">
        <v>30</v>
      </c>
      <c r="F483" s="20" t="s">
        <v>9135</v>
      </c>
      <c r="G483" s="24" t="str">
        <f ca="1">IFERROR(__xludf.DUMMYFUNCTION("GOOGLETRANSLATE(F483,""en"",""pt"")"),"sistemas de folha de quadro e portas")</f>
        <v>sistemas de folha de quadro e portas</v>
      </c>
      <c r="H483" s="20" t="s">
        <v>9136</v>
      </c>
      <c r="I483" s="20" t="s">
        <v>9133</v>
      </c>
    </row>
    <row r="484" spans="1:9" ht="14.5">
      <c r="A484" s="20" t="s">
        <v>9137</v>
      </c>
      <c r="B484" s="20">
        <v>25</v>
      </c>
      <c r="C484" s="20">
        <v>30</v>
      </c>
      <c r="D484" s="20">
        <v>20</v>
      </c>
      <c r="E484" s="20">
        <v>32</v>
      </c>
      <c r="F484" s="20" t="s">
        <v>9138</v>
      </c>
      <c r="G484" s="24" t="str">
        <f ca="1">IFERROR(__xludf.DUMMYFUNCTION("GOOGLETRANSLATE(F484,""en"",""pt"")"),"sistemas de portas de vidro sem moldura")</f>
        <v>sistemas de portas de vidro sem moldura</v>
      </c>
      <c r="H484" s="20" t="s">
        <v>9139</v>
      </c>
      <c r="I484" s="20" t="s">
        <v>9140</v>
      </c>
    </row>
    <row r="485" spans="1:9" ht="14.5">
      <c r="A485" s="20" t="s">
        <v>9141</v>
      </c>
      <c r="B485" s="20">
        <v>25</v>
      </c>
      <c r="C485" s="20">
        <v>30</v>
      </c>
      <c r="D485" s="20">
        <v>20</v>
      </c>
      <c r="E485" s="20">
        <v>35</v>
      </c>
      <c r="F485" s="20" t="s">
        <v>9142</v>
      </c>
      <c r="G485" s="24" t="str">
        <f ca="1">IFERROR(__xludf.DUMMYFUNCTION("GOOGLETRANSLATE(F485,""en"",""pt"")"),"sistemas de escotilha")</f>
        <v>sistemas de escotilha</v>
      </c>
      <c r="H485" s="20" t="s">
        <v>9143</v>
      </c>
      <c r="I485" s="20" t="s">
        <v>9144</v>
      </c>
    </row>
    <row r="486" spans="1:9" ht="14.5">
      <c r="A486" s="20" t="s">
        <v>9145</v>
      </c>
      <c r="B486" s="20">
        <v>25</v>
      </c>
      <c r="C486" s="20">
        <v>30</v>
      </c>
      <c r="D486" s="20">
        <v>20</v>
      </c>
      <c r="E486" s="20">
        <v>37</v>
      </c>
      <c r="F486" s="20" t="s">
        <v>9146</v>
      </c>
      <c r="G486" s="24" t="str">
        <f ca="1">IFERROR(__xludf.DUMMYFUNCTION("GOOGLETRANSLATE(F486,""en"",""pt"")"),"sistemas doorset alta segurança")</f>
        <v>sistemas doorset alta segurança</v>
      </c>
      <c r="H486" s="24"/>
      <c r="I486" s="24"/>
    </row>
    <row r="487" spans="1:9" ht="14.5">
      <c r="A487" s="20" t="s">
        <v>9147</v>
      </c>
      <c r="B487" s="20">
        <v>25</v>
      </c>
      <c r="C487" s="20">
        <v>30</v>
      </c>
      <c r="D487" s="20">
        <v>20</v>
      </c>
      <c r="E487" s="20">
        <v>38</v>
      </c>
      <c r="F487" s="20" t="s">
        <v>9148</v>
      </c>
      <c r="G487" s="24" t="str">
        <f ca="1">IFERROR(__xludf.DUMMYFUNCTION("GOOGLETRANSLATE(F487,""en"",""pt"")"),"sistemas doorset alta velocidade")</f>
        <v>sistemas doorset alta velocidade</v>
      </c>
      <c r="H487" s="24"/>
      <c r="I487" s="24"/>
    </row>
    <row r="488" spans="1:9" ht="14.5">
      <c r="A488" s="20" t="s">
        <v>9149</v>
      </c>
      <c r="B488" s="20">
        <v>25</v>
      </c>
      <c r="C488" s="20">
        <v>30</v>
      </c>
      <c r="D488" s="20">
        <v>20</v>
      </c>
      <c r="E488" s="20">
        <v>39</v>
      </c>
      <c r="F488" s="20" t="s">
        <v>9150</v>
      </c>
      <c r="G488" s="24" t="str">
        <f ca="1">IFERROR(__xludf.DUMMYFUNCTION("GOOGLETRANSLATE(F488,""en"",""pt"")"),"sistemas doorset articuladas")</f>
        <v>sistemas doorset articuladas</v>
      </c>
      <c r="H488" s="24"/>
      <c r="I488" s="24"/>
    </row>
    <row r="489" spans="1:9" ht="14.5">
      <c r="A489" s="20" t="s">
        <v>9151</v>
      </c>
      <c r="B489" s="20">
        <v>25</v>
      </c>
      <c r="C489" s="20">
        <v>30</v>
      </c>
      <c r="D489" s="20">
        <v>20</v>
      </c>
      <c r="E489" s="20">
        <v>40</v>
      </c>
      <c r="F489" s="20" t="s">
        <v>9152</v>
      </c>
      <c r="G489" s="24" t="str">
        <f ca="1">IFERROR(__xludf.DUMMYFUNCTION("GOOGLETRANSLATE(F489,""en"",""pt"")"),"sistemas industriais doorset")</f>
        <v>sistemas industriais doorset</v>
      </c>
      <c r="H489" s="20" t="s">
        <v>9153</v>
      </c>
      <c r="I489" s="20" t="s">
        <v>9140</v>
      </c>
    </row>
    <row r="490" spans="1:9" ht="14.5">
      <c r="A490" s="20" t="s">
        <v>9154</v>
      </c>
      <c r="B490" s="20">
        <v>25</v>
      </c>
      <c r="C490" s="20">
        <v>30</v>
      </c>
      <c r="D490" s="20">
        <v>20</v>
      </c>
      <c r="E490" s="20">
        <v>45</v>
      </c>
      <c r="F490" s="20" t="s">
        <v>9155</v>
      </c>
      <c r="G490" s="24" t="str">
        <f ca="1">IFERROR(__xludf.DUMMYFUNCTION("GOOGLETRANSLATE(F490,""en"",""pt"")"),"sistemas baía doorset Carregando")</f>
        <v>sistemas baía doorset Carregando</v>
      </c>
      <c r="H490" s="20" t="s">
        <v>9156</v>
      </c>
      <c r="I490" s="20" t="s">
        <v>9157</v>
      </c>
    </row>
    <row r="491" spans="1:9" ht="14.5">
      <c r="A491" s="20" t="s">
        <v>9158</v>
      </c>
      <c r="B491" s="20">
        <v>25</v>
      </c>
      <c r="C491" s="20">
        <v>30</v>
      </c>
      <c r="D491" s="20">
        <v>20</v>
      </c>
      <c r="E491" s="20">
        <v>46</v>
      </c>
      <c r="F491" s="20" t="s">
        <v>9159</v>
      </c>
      <c r="G491" s="24" t="str">
        <f ca="1">IFERROR(__xludf.DUMMYFUNCTION("GOOGLETRANSLATE(F491,""en"",""pt"")"),"sistemas doorset Louvre")</f>
        <v>sistemas doorset Louvre</v>
      </c>
      <c r="H491" s="24"/>
      <c r="I491" s="24"/>
    </row>
    <row r="492" spans="1:9" ht="14.5">
      <c r="A492" s="20" t="s">
        <v>9160</v>
      </c>
      <c r="B492" s="20">
        <v>25</v>
      </c>
      <c r="C492" s="20">
        <v>30</v>
      </c>
      <c r="D492" s="20">
        <v>20</v>
      </c>
      <c r="E492" s="20">
        <v>62</v>
      </c>
      <c r="F492" s="20" t="s">
        <v>9161</v>
      </c>
      <c r="G492" s="24" t="str">
        <f ca="1">IFERROR(__xludf.DUMMYFUNCTION("GOOGLETRANSLATE(F492,""en"",""pt"")"),"sistemas doorset Pivot")</f>
        <v>sistemas doorset Pivot</v>
      </c>
      <c r="H492" s="24"/>
      <c r="I492" s="24"/>
    </row>
    <row r="493" spans="1:9" ht="14.5">
      <c r="A493" s="20" t="s">
        <v>9162</v>
      </c>
      <c r="B493" s="20">
        <v>25</v>
      </c>
      <c r="C493" s="20">
        <v>30</v>
      </c>
      <c r="D493" s="20">
        <v>20</v>
      </c>
      <c r="E493" s="20">
        <v>70</v>
      </c>
      <c r="F493" s="20" t="s">
        <v>9163</v>
      </c>
      <c r="G493" s="24" t="str">
        <f ca="1">IFERROR(__xludf.DUMMYFUNCTION("GOOGLETRANSLATE(F493,""en"",""pt"")"),"Rotativo sistemas doorset")</f>
        <v>Rotativo sistemas doorset</v>
      </c>
      <c r="H493" s="20" t="s">
        <v>9164</v>
      </c>
      <c r="I493" s="20" t="s">
        <v>9140</v>
      </c>
    </row>
    <row r="494" spans="1:9" ht="14.5">
      <c r="A494" s="20" t="s">
        <v>9165</v>
      </c>
      <c r="B494" s="20">
        <v>25</v>
      </c>
      <c r="C494" s="20">
        <v>30</v>
      </c>
      <c r="D494" s="20">
        <v>20</v>
      </c>
      <c r="E494" s="20">
        <v>73</v>
      </c>
      <c r="F494" s="20" t="s">
        <v>9166</v>
      </c>
      <c r="G494" s="24" t="str">
        <f ca="1">IFERROR(__xludf.DUMMYFUNCTION("GOOGLETRANSLATE(F494,""en"",""pt"")"),"sistemas doorset rolo de grade")</f>
        <v>sistemas doorset rolo de grade</v>
      </c>
      <c r="H494" s="24"/>
      <c r="I494" s="24"/>
    </row>
    <row r="495" spans="1:9" ht="14.5">
      <c r="A495" s="20" t="s">
        <v>9167</v>
      </c>
      <c r="B495" s="20">
        <v>25</v>
      </c>
      <c r="C495" s="20">
        <v>30</v>
      </c>
      <c r="D495" s="20">
        <v>20</v>
      </c>
      <c r="E495" s="20">
        <v>74</v>
      </c>
      <c r="F495" s="20" t="s">
        <v>9168</v>
      </c>
      <c r="G495" s="24" t="str">
        <f ca="1">IFERROR(__xludf.DUMMYFUNCTION("GOOGLETRANSLATE(F495,""en"",""pt"")"),"sistemas doorset persiana")</f>
        <v>sistemas doorset persiana</v>
      </c>
      <c r="H495" s="24"/>
      <c r="I495" s="24"/>
    </row>
    <row r="496" spans="1:9" ht="14.5">
      <c r="A496" s="20" t="s">
        <v>9169</v>
      </c>
      <c r="B496" s="20">
        <v>25</v>
      </c>
      <c r="C496" s="20">
        <v>30</v>
      </c>
      <c r="D496" s="20">
        <v>20</v>
      </c>
      <c r="E496" s="20">
        <v>76</v>
      </c>
      <c r="F496" s="20" t="s">
        <v>9170</v>
      </c>
      <c r="G496" s="24" t="str">
        <f ca="1">IFERROR(__xludf.DUMMYFUNCTION("GOOGLETRANSLATE(F496,""en"",""pt"")"),"sistemas doorset seccionadas")</f>
        <v>sistemas doorset seccionadas</v>
      </c>
      <c r="H496" s="24"/>
      <c r="I496" s="24"/>
    </row>
    <row r="497" spans="1:9" ht="14.5">
      <c r="A497" s="20" t="s">
        <v>9171</v>
      </c>
      <c r="B497" s="20">
        <v>25</v>
      </c>
      <c r="C497" s="20">
        <v>30</v>
      </c>
      <c r="D497" s="20">
        <v>20</v>
      </c>
      <c r="E497" s="20">
        <v>77</v>
      </c>
      <c r="F497" s="20" t="s">
        <v>9172</v>
      </c>
      <c r="G497" s="24" t="str">
        <f ca="1">IFERROR(__xludf.DUMMYFUNCTION("GOOGLETRANSLATE(F497,""en"",""pt"")"),"Deslizantes sistemas doorset")</f>
        <v>Deslizantes sistemas doorset</v>
      </c>
      <c r="H497" s="20" t="s">
        <v>9173</v>
      </c>
      <c r="I497" s="20" t="s">
        <v>9133</v>
      </c>
    </row>
    <row r="498" spans="1:9" ht="14.5">
      <c r="A498" s="20" t="s">
        <v>9174</v>
      </c>
      <c r="B498" s="20">
        <v>25</v>
      </c>
      <c r="C498" s="20">
        <v>30</v>
      </c>
      <c r="D498" s="20">
        <v>20</v>
      </c>
      <c r="E498" s="20">
        <v>78</v>
      </c>
      <c r="F498" s="20" t="s">
        <v>9175</v>
      </c>
      <c r="G498" s="24" t="str">
        <f ca="1">IFERROR(__xludf.DUMMYFUNCTION("GOOGLETRANSLATE(F498,""en"",""pt"")"),"Deslizantes sistemas doorset dobráveis")</f>
        <v>Deslizantes sistemas doorset dobráveis</v>
      </c>
      <c r="H498" s="20" t="s">
        <v>9176</v>
      </c>
      <c r="I498" s="20" t="s">
        <v>9177</v>
      </c>
    </row>
    <row r="499" spans="1:9" ht="14.5">
      <c r="A499" s="20" t="s">
        <v>9178</v>
      </c>
      <c r="B499" s="20">
        <v>25</v>
      </c>
      <c r="C499" s="20">
        <v>30</v>
      </c>
      <c r="D499" s="20">
        <v>20</v>
      </c>
      <c r="E499" s="20">
        <v>80</v>
      </c>
      <c r="F499" s="20" t="s">
        <v>9179</v>
      </c>
      <c r="G499" s="24" t="str">
        <f ca="1">IFERROR(__xludf.DUMMYFUNCTION("GOOGLETRANSLATE(F499,""en"",""pt"")"),"Deslizantes sistemas de partição do painel de empilhamento")</f>
        <v>Deslizantes sistemas de partição do painel de empilhamento</v>
      </c>
      <c r="H499" s="20" t="s">
        <v>9180</v>
      </c>
      <c r="I499" s="20" t="s">
        <v>9181</v>
      </c>
    </row>
    <row r="500" spans="1:9" ht="14.5">
      <c r="A500" s="20" t="s">
        <v>9182</v>
      </c>
      <c r="B500" s="20">
        <v>25</v>
      </c>
      <c r="C500" s="20">
        <v>30</v>
      </c>
      <c r="D500" s="20">
        <v>20</v>
      </c>
      <c r="E500" s="20">
        <v>84</v>
      </c>
      <c r="F500" s="20" t="s">
        <v>9183</v>
      </c>
      <c r="G500" s="24" t="str">
        <f ca="1">IFERROR(__xludf.DUMMYFUNCTION("GOOGLETRANSLATE(F500,""en"",""pt"")"),"sistemas de cortina doorset tira")</f>
        <v>sistemas de cortina doorset tira</v>
      </c>
      <c r="H500" s="24"/>
      <c r="I500" s="24"/>
    </row>
    <row r="501" spans="1:9" ht="14.5">
      <c r="A501" s="20" t="s">
        <v>9184</v>
      </c>
      <c r="B501" s="20">
        <v>25</v>
      </c>
      <c r="C501" s="20">
        <v>30</v>
      </c>
      <c r="D501" s="20">
        <v>20</v>
      </c>
      <c r="E501" s="20">
        <v>93</v>
      </c>
      <c r="F501" s="20" t="s">
        <v>9185</v>
      </c>
      <c r="G501" s="24" t="str">
        <f ca="1">IFERROR(__xludf.DUMMYFUNCTION("GOOGLETRANSLATE(F501,""en"",""pt"")"),"sistemas doorset mais para cima e")</f>
        <v>sistemas doorset mais para cima e</v>
      </c>
      <c r="H501" s="24"/>
      <c r="I501" s="24"/>
    </row>
    <row r="502" spans="1:9" ht="14.5">
      <c r="A502" s="20" t="s">
        <v>9186</v>
      </c>
      <c r="B502" s="20">
        <v>25</v>
      </c>
      <c r="C502" s="20">
        <v>30</v>
      </c>
      <c r="D502" s="20">
        <v>29</v>
      </c>
      <c r="E502" s="24"/>
      <c r="F502" s="20" t="s">
        <v>9187</v>
      </c>
      <c r="G502" s="24" t="str">
        <f ca="1">IFERROR(__xludf.DUMMYFUNCTION("GOOGLETRANSLATE(F502,""en"",""pt"")"),"sistemas de cortinas de fogo e fumaça")</f>
        <v>sistemas de cortinas de fogo e fumaça</v>
      </c>
      <c r="H502" s="24"/>
      <c r="I502" s="24"/>
    </row>
    <row r="503" spans="1:9" ht="14.5">
      <c r="A503" s="20" t="s">
        <v>9188</v>
      </c>
      <c r="B503" s="20">
        <v>25</v>
      </c>
      <c r="C503" s="20">
        <v>30</v>
      </c>
      <c r="D503" s="20">
        <v>29</v>
      </c>
      <c r="E503" s="20">
        <v>38</v>
      </c>
      <c r="F503" s="20" t="s">
        <v>9189</v>
      </c>
      <c r="G503" s="24" t="str">
        <f ca="1">IFERROR(__xludf.DUMMYFUNCTION("GOOGLETRANSLATE(F503,""en"",""pt"")"),"sistemas de cortinas horizontal incêndio")</f>
        <v>sistemas de cortinas horizontal incêndio</v>
      </c>
      <c r="H503" s="24"/>
      <c r="I503" s="24"/>
    </row>
    <row r="504" spans="1:9" ht="14.5">
      <c r="A504" s="20" t="s">
        <v>9190</v>
      </c>
      <c r="B504" s="20">
        <v>25</v>
      </c>
      <c r="C504" s="20">
        <v>30</v>
      </c>
      <c r="D504" s="20">
        <v>29</v>
      </c>
      <c r="E504" s="20">
        <v>39</v>
      </c>
      <c r="F504" s="20" t="s">
        <v>9191</v>
      </c>
      <c r="G504" s="24" t="str">
        <f ca="1">IFERROR(__xludf.DUMMYFUNCTION("GOOGLETRANSLATE(F504,""en"",""pt"")"),"sistemas de cortinas de fumaça Horizontal")</f>
        <v>sistemas de cortinas de fumaça Horizontal</v>
      </c>
      <c r="H504" s="24"/>
      <c r="I504" s="24"/>
    </row>
    <row r="505" spans="1:9" ht="14.5">
      <c r="A505" s="20" t="s">
        <v>9192</v>
      </c>
      <c r="B505" s="20">
        <v>25</v>
      </c>
      <c r="C505" s="20">
        <v>30</v>
      </c>
      <c r="D505" s="20">
        <v>29</v>
      </c>
      <c r="E505" s="20">
        <v>94</v>
      </c>
      <c r="F505" s="20" t="s">
        <v>9193</v>
      </c>
      <c r="G505" s="24" t="str">
        <f ca="1">IFERROR(__xludf.DUMMYFUNCTION("GOOGLETRANSLATE(F505,""en"",""pt"")"),"sistemas de cortinas de fogo Vertical")</f>
        <v>sistemas de cortinas de fogo Vertical</v>
      </c>
      <c r="H505" s="24"/>
      <c r="I505" s="24"/>
    </row>
    <row r="506" spans="1:9" ht="14.5">
      <c r="A506" s="20" t="s">
        <v>9194</v>
      </c>
      <c r="B506" s="20">
        <v>25</v>
      </c>
      <c r="C506" s="20">
        <v>30</v>
      </c>
      <c r="D506" s="20">
        <v>29</v>
      </c>
      <c r="E506" s="20">
        <v>95</v>
      </c>
      <c r="F506" s="20" t="s">
        <v>9195</v>
      </c>
      <c r="G506" s="24" t="str">
        <f ca="1">IFERROR(__xludf.DUMMYFUNCTION("GOOGLETRANSLATE(F506,""en"",""pt"")"),"sistemas de cortinas de fumaça Vertical")</f>
        <v>sistemas de cortinas de fumaça Vertical</v>
      </c>
      <c r="H506" s="24"/>
      <c r="I506" s="24"/>
    </row>
    <row r="507" spans="1:9" ht="14.5">
      <c r="A507" s="20" t="s">
        <v>9196</v>
      </c>
      <c r="B507" s="20">
        <v>25</v>
      </c>
      <c r="C507" s="20">
        <v>30</v>
      </c>
      <c r="D507" s="20">
        <v>95</v>
      </c>
      <c r="E507" s="24"/>
      <c r="F507" s="20" t="s">
        <v>9197</v>
      </c>
      <c r="G507" s="24" t="str">
        <f ca="1">IFERROR(__xludf.DUMMYFUNCTION("GOOGLETRANSLATE(F507,""en"",""pt"")"),"sistemas de janela")</f>
        <v>sistemas de janela</v>
      </c>
      <c r="H507" s="24"/>
      <c r="I507" s="24"/>
    </row>
    <row r="508" spans="1:9" ht="14.5">
      <c r="A508" s="20" t="s">
        <v>9198</v>
      </c>
      <c r="B508" s="20">
        <v>25</v>
      </c>
      <c r="C508" s="20">
        <v>30</v>
      </c>
      <c r="D508" s="20">
        <v>95</v>
      </c>
      <c r="E508" s="20">
        <v>26</v>
      </c>
      <c r="F508" s="20" t="s">
        <v>9199</v>
      </c>
      <c r="G508" s="24" t="str">
        <f ca="1">IFERROR(__xludf.DUMMYFUNCTION("GOOGLETRANSLATE(F508,""en"",""pt"")"),"sistemas de janelas externas")</f>
        <v>sistemas de janelas externas</v>
      </c>
      <c r="H508" s="20" t="s">
        <v>9200</v>
      </c>
      <c r="I508" s="20" t="s">
        <v>9201</v>
      </c>
    </row>
    <row r="509" spans="1:9" ht="14.5">
      <c r="A509" s="20" t="s">
        <v>9202</v>
      </c>
      <c r="B509" s="20">
        <v>25</v>
      </c>
      <c r="C509" s="20">
        <v>30</v>
      </c>
      <c r="D509" s="20">
        <v>95</v>
      </c>
      <c r="E509" s="20">
        <v>41</v>
      </c>
      <c r="F509" s="20" t="s">
        <v>9203</v>
      </c>
      <c r="G509" s="24" t="str">
        <f ca="1">IFERROR(__xludf.DUMMYFUNCTION("GOOGLETRANSLATE(F509,""en"",""pt"")"),"sistemas de janelas internas")</f>
        <v>sistemas de janelas internas</v>
      </c>
      <c r="H509" s="24"/>
      <c r="I509" s="24"/>
    </row>
    <row r="510" spans="1:9" ht="14.5">
      <c r="A510" s="20" t="s">
        <v>9204</v>
      </c>
      <c r="B510" s="20">
        <v>25</v>
      </c>
      <c r="C510" s="20">
        <v>30</v>
      </c>
      <c r="D510" s="20">
        <v>95</v>
      </c>
      <c r="E510" s="20">
        <v>96</v>
      </c>
      <c r="F510" s="20" t="s">
        <v>9205</v>
      </c>
      <c r="G510" s="24" t="str">
        <f ca="1">IFERROR(__xludf.DUMMYFUNCTION("GOOGLETRANSLATE(F510,""en"",""pt"")"),"sistemas de paredes janela")</f>
        <v>sistemas de paredes janela</v>
      </c>
      <c r="H510" s="24"/>
      <c r="I510" s="24"/>
    </row>
    <row r="511" spans="1:9" ht="14.5">
      <c r="A511" s="20" t="s">
        <v>9206</v>
      </c>
      <c r="B511" s="20">
        <v>25</v>
      </c>
      <c r="C511" s="20">
        <v>32</v>
      </c>
      <c r="D511" s="24"/>
      <c r="E511" s="24"/>
      <c r="F511" s="20" t="s">
        <v>9207</v>
      </c>
      <c r="G511" s="24" t="str">
        <f ca="1">IFERROR(__xludf.DUMMYFUNCTION("GOOGLETRANSLATE(F511,""en"",""pt"")"),"sistemas de controle de portão e de acesso")</f>
        <v>sistemas de controle de portão e de acesso</v>
      </c>
      <c r="H511" s="24"/>
      <c r="I511" s="24"/>
    </row>
    <row r="512" spans="1:9" ht="14.5">
      <c r="A512" s="20" t="s">
        <v>9208</v>
      </c>
      <c r="B512" s="20">
        <v>25</v>
      </c>
      <c r="C512" s="20">
        <v>32</v>
      </c>
      <c r="D512" s="20">
        <v>35</v>
      </c>
      <c r="E512" s="24"/>
      <c r="F512" s="20" t="s">
        <v>9209</v>
      </c>
      <c r="G512" s="24" t="str">
        <f ca="1">IFERROR(__xludf.DUMMYFUNCTION("GOOGLETRANSLATE(F512,""en"",""pt"")"),"sistemas de portas")</f>
        <v>sistemas de portas</v>
      </c>
      <c r="H512" s="24"/>
      <c r="I512" s="24"/>
    </row>
    <row r="513" spans="1:9" ht="14.5">
      <c r="A513" s="20" t="s">
        <v>9210</v>
      </c>
      <c r="B513" s="20">
        <v>25</v>
      </c>
      <c r="C513" s="20">
        <v>32</v>
      </c>
      <c r="D513" s="20">
        <v>35</v>
      </c>
      <c r="E513" s="20">
        <v>5</v>
      </c>
      <c r="F513" s="20" t="s">
        <v>9211</v>
      </c>
      <c r="G513" s="24" t="str">
        <f ca="1">IFERROR(__xludf.DUMMYFUNCTION("GOOGLETRANSLATE(F513,""en"",""pt"")"),"sistemas de portas de animais")</f>
        <v>sistemas de portas de animais</v>
      </c>
      <c r="H513" s="20" t="s">
        <v>9212</v>
      </c>
      <c r="I513" s="20" t="s">
        <v>9213</v>
      </c>
    </row>
    <row r="514" spans="1:9" ht="14.5">
      <c r="A514" s="20" t="s">
        <v>9214</v>
      </c>
      <c r="B514" s="20">
        <v>25</v>
      </c>
      <c r="C514" s="20">
        <v>32</v>
      </c>
      <c r="D514" s="20">
        <v>35</v>
      </c>
      <c r="E514" s="20">
        <v>15</v>
      </c>
      <c r="F514" s="20" t="s">
        <v>9215</v>
      </c>
      <c r="G514" s="24" t="str">
        <f ca="1">IFERROR(__xludf.DUMMYFUNCTION("GOOGLETRANSLATE(F514,""en"",""pt"")"),"sistemas Chicane")</f>
        <v>sistemas Chicane</v>
      </c>
      <c r="H514" s="20" t="s">
        <v>9216</v>
      </c>
      <c r="I514" s="20" t="s">
        <v>5596</v>
      </c>
    </row>
    <row r="515" spans="1:9" ht="14.5">
      <c r="A515" s="20" t="s">
        <v>9217</v>
      </c>
      <c r="B515" s="20">
        <v>25</v>
      </c>
      <c r="C515" s="20">
        <v>32</v>
      </c>
      <c r="D515" s="20">
        <v>35</v>
      </c>
      <c r="E515" s="20">
        <v>30</v>
      </c>
      <c r="F515" s="20" t="s">
        <v>9218</v>
      </c>
      <c r="G515" s="24" t="str">
        <f ca="1">IFERROR(__xludf.DUMMYFUNCTION("GOOGLETRANSLATE(F515,""en"",""pt"")"),"Dobrando os sistemas de porta")</f>
        <v>Dobrando os sistemas de porta</v>
      </c>
      <c r="H515" s="20" t="s">
        <v>9219</v>
      </c>
      <c r="I515" s="20" t="s">
        <v>5586</v>
      </c>
    </row>
    <row r="516" spans="1:9" ht="14.5">
      <c r="A516" s="20" t="s">
        <v>9220</v>
      </c>
      <c r="B516" s="20">
        <v>25</v>
      </c>
      <c r="C516" s="20">
        <v>32</v>
      </c>
      <c r="D516" s="20">
        <v>35</v>
      </c>
      <c r="E516" s="20">
        <v>37</v>
      </c>
      <c r="F516" s="20" t="s">
        <v>9221</v>
      </c>
      <c r="G516" s="24" t="str">
        <f ca="1">IFERROR(__xludf.DUMMYFUNCTION("GOOGLETRANSLATE(F516,""en"",""pt"")"),"sistemas de portas articuladas")</f>
        <v>sistemas de portas articuladas</v>
      </c>
      <c r="H516" s="20" t="s">
        <v>9222</v>
      </c>
      <c r="I516" s="20" t="s">
        <v>9213</v>
      </c>
    </row>
    <row r="517" spans="1:9" ht="14.5">
      <c r="A517" s="20" t="s">
        <v>9223</v>
      </c>
      <c r="B517" s="20">
        <v>25</v>
      </c>
      <c r="C517" s="20">
        <v>32</v>
      </c>
      <c r="D517" s="20">
        <v>35</v>
      </c>
      <c r="E517" s="20">
        <v>41</v>
      </c>
      <c r="F517" s="20" t="s">
        <v>9224</v>
      </c>
      <c r="G517" s="24" t="str">
        <f ca="1">IFERROR(__xludf.DUMMYFUNCTION("GOOGLETRANSLATE(F517,""en"",""pt"")"),"sistemas de inibidor in-line")</f>
        <v>sistemas de inibidor in-line</v>
      </c>
      <c r="H517" s="20" t="s">
        <v>9225</v>
      </c>
      <c r="I517" s="20" t="s">
        <v>5596</v>
      </c>
    </row>
    <row r="518" spans="1:9" ht="14.5">
      <c r="A518" s="20" t="s">
        <v>9226</v>
      </c>
      <c r="B518" s="20">
        <v>25</v>
      </c>
      <c r="C518" s="20">
        <v>32</v>
      </c>
      <c r="D518" s="20">
        <v>35</v>
      </c>
      <c r="E518" s="20">
        <v>45</v>
      </c>
      <c r="F518" s="20" t="s">
        <v>9227</v>
      </c>
      <c r="G518" s="24" t="str">
        <f ca="1">IFERROR(__xludf.DUMMYFUNCTION("GOOGLETRANSLATE(F518,""en"",""pt"")"),"Beijar sistemas de portas")</f>
        <v>Beijar sistemas de portas</v>
      </c>
      <c r="H518" s="20" t="s">
        <v>9228</v>
      </c>
      <c r="I518" s="20" t="s">
        <v>9213</v>
      </c>
    </row>
    <row r="519" spans="1:9" ht="14.5">
      <c r="A519" s="20" t="s">
        <v>9229</v>
      </c>
      <c r="B519" s="20">
        <v>25</v>
      </c>
      <c r="C519" s="20">
        <v>32</v>
      </c>
      <c r="D519" s="20">
        <v>35</v>
      </c>
      <c r="E519" s="20">
        <v>80</v>
      </c>
      <c r="F519" s="20" t="s">
        <v>9230</v>
      </c>
      <c r="G519" s="24" t="str">
        <f ca="1">IFERROR(__xludf.DUMMYFUNCTION("GOOGLETRANSLATE(F519,""en"",""pt"")"),"Sistemas de porta deslizante")</f>
        <v>Sistemas de porta deslizante</v>
      </c>
      <c r="H519" s="20" t="s">
        <v>9231</v>
      </c>
      <c r="I519" s="20" t="s">
        <v>9213</v>
      </c>
    </row>
    <row r="520" spans="1:9" ht="14.5">
      <c r="A520" s="20" t="s">
        <v>9232</v>
      </c>
      <c r="B520" s="20">
        <v>25</v>
      </c>
      <c r="C520" s="20">
        <v>32</v>
      </c>
      <c r="D520" s="20">
        <v>35</v>
      </c>
      <c r="E520" s="20">
        <v>85</v>
      </c>
      <c r="F520" s="20" t="s">
        <v>9233</v>
      </c>
      <c r="G520" s="24" t="str">
        <f ca="1">IFERROR(__xludf.DUMMYFUNCTION("GOOGLETRANSLATE(F520,""en"",""pt"")"),"sistemas stile")</f>
        <v>sistemas stile</v>
      </c>
      <c r="H520" s="20" t="s">
        <v>9234</v>
      </c>
      <c r="I520" s="20" t="s">
        <v>9213</v>
      </c>
    </row>
    <row r="521" spans="1:9" ht="14.5">
      <c r="A521" s="20" t="s">
        <v>9235</v>
      </c>
      <c r="B521" s="20">
        <v>25</v>
      </c>
      <c r="C521" s="20">
        <v>32</v>
      </c>
      <c r="D521" s="20">
        <v>35</v>
      </c>
      <c r="E521" s="20">
        <v>90</v>
      </c>
      <c r="F521" s="20" t="s">
        <v>9236</v>
      </c>
      <c r="G521" s="24" t="str">
        <f ca="1">IFERROR(__xludf.DUMMYFUNCTION("GOOGLETRANSLATE(F521,""en"",""pt"")"),"sistemas de catraca")</f>
        <v>sistemas de catraca</v>
      </c>
      <c r="H521" s="20" t="s">
        <v>9237</v>
      </c>
      <c r="I521" s="20" t="s">
        <v>5596</v>
      </c>
    </row>
    <row r="522" spans="1:9" ht="14.5">
      <c r="A522" s="20" t="s">
        <v>9238</v>
      </c>
      <c r="B522" s="20">
        <v>25</v>
      </c>
      <c r="C522" s="20">
        <v>32</v>
      </c>
      <c r="D522" s="20">
        <v>60</v>
      </c>
      <c r="E522" s="24"/>
      <c r="F522" s="20" t="s">
        <v>9239</v>
      </c>
      <c r="G522" s="24" t="str">
        <f ca="1">IFERROR(__xludf.DUMMYFUNCTION("GOOGLETRANSLATE(F522,""en"",""pt"")"),"sistemas de portas de controlo de passaportes")</f>
        <v>sistemas de portas de controlo de passaportes</v>
      </c>
      <c r="H522" s="24"/>
      <c r="I522" s="24"/>
    </row>
    <row r="523" spans="1:9" ht="14.5">
      <c r="A523" s="20" t="s">
        <v>9240</v>
      </c>
      <c r="B523" s="20">
        <v>25</v>
      </c>
      <c r="C523" s="20">
        <v>32</v>
      </c>
      <c r="D523" s="20">
        <v>60</v>
      </c>
      <c r="E523" s="20">
        <v>26</v>
      </c>
      <c r="F523" s="20" t="s">
        <v>9241</v>
      </c>
      <c r="G523" s="24" t="str">
        <f ca="1">IFERROR(__xludf.DUMMYFUNCTION("GOOGLETRANSLATE(F523,""en"",""pt"")"),"sistemas de portas e-passaporte")</f>
        <v>sistemas de portas e-passaporte</v>
      </c>
      <c r="H523" s="20" t="s">
        <v>9242</v>
      </c>
      <c r="I523" s="24"/>
    </row>
    <row r="524" spans="1:9" ht="14.5">
      <c r="A524" s="20" t="s">
        <v>9243</v>
      </c>
      <c r="B524" s="20">
        <v>25</v>
      </c>
      <c r="C524" s="20">
        <v>32</v>
      </c>
      <c r="D524" s="20">
        <v>60</v>
      </c>
      <c r="E524" s="20">
        <v>60</v>
      </c>
      <c r="F524" s="20" t="s">
        <v>9244</v>
      </c>
      <c r="G524" s="24" t="str">
        <f ca="1">IFERROR(__xludf.DUMMYFUNCTION("GOOGLETRANSLATE(F524,""en"",""pt"")"),"sistemas de portas de passaporte")</f>
        <v>sistemas de portas de passaporte</v>
      </c>
      <c r="H524" s="20" t="s">
        <v>9245</v>
      </c>
      <c r="I524" s="24"/>
    </row>
    <row r="525" spans="1:9" ht="14.5">
      <c r="A525" s="20" t="s">
        <v>9246</v>
      </c>
      <c r="B525" s="20">
        <v>25</v>
      </c>
      <c r="C525" s="20">
        <v>32</v>
      </c>
      <c r="D525" s="20">
        <v>70</v>
      </c>
      <c r="E525" s="24"/>
      <c r="F525" s="20" t="s">
        <v>9247</v>
      </c>
      <c r="G525" s="24" t="str">
        <f ca="1">IFERROR(__xludf.DUMMYFUNCTION("GOOGLETRANSLATE(F525,""en"",""pt"")"),"sistemas de barreira de plataforma automatizada ferroviária")</f>
        <v>sistemas de barreira de plataforma automatizada ferroviária</v>
      </c>
      <c r="H525" s="24"/>
      <c r="I525" s="24"/>
    </row>
    <row r="526" spans="1:9" ht="14.5">
      <c r="A526" s="20" t="s">
        <v>9248</v>
      </c>
      <c r="B526" s="20">
        <v>25</v>
      </c>
      <c r="C526" s="20">
        <v>36</v>
      </c>
      <c r="D526" s="24"/>
      <c r="E526" s="24"/>
      <c r="F526" s="20" t="s">
        <v>9249</v>
      </c>
      <c r="G526" s="24" t="str">
        <f ca="1">IFERROR(__xludf.DUMMYFUNCTION("GOOGLETRANSLATE(F526,""en"",""pt"")"),"sistemas de barreira operáveis")</f>
        <v>sistemas de barreira operáveis</v>
      </c>
      <c r="H526" s="24"/>
      <c r="I526" s="24"/>
    </row>
    <row r="527" spans="1:9" ht="14.5">
      <c r="A527" s="20" t="s">
        <v>9250</v>
      </c>
      <c r="B527" s="20">
        <v>25</v>
      </c>
      <c r="C527" s="20">
        <v>36</v>
      </c>
      <c r="D527" s="20">
        <v>24</v>
      </c>
      <c r="E527" s="24"/>
      <c r="F527" s="20" t="s">
        <v>9251</v>
      </c>
      <c r="G527" s="24" t="str">
        <f ca="1">IFERROR(__xludf.DUMMYFUNCTION("GOOGLETRANSLATE(F527,""en"",""pt"")"),"Sistemas de porta de doca seca automatizado")</f>
        <v>Sistemas de porta de doca seca automatizado</v>
      </c>
      <c r="H527" s="24"/>
      <c r="I527" s="24"/>
    </row>
    <row r="528" spans="1:9" ht="14.5">
      <c r="A528" s="20" t="s">
        <v>9252</v>
      </c>
      <c r="B528" s="20">
        <v>25</v>
      </c>
      <c r="C528" s="20">
        <v>36</v>
      </c>
      <c r="D528" s="20">
        <v>30</v>
      </c>
      <c r="E528" s="24"/>
      <c r="F528" s="20" t="s">
        <v>9253</v>
      </c>
      <c r="G528" s="24" t="str">
        <f ca="1">IFERROR(__xludf.DUMMYFUNCTION("GOOGLETRANSLATE(F528,""en"",""pt"")"),"sistemas de barreira de inundação e tempestade")</f>
        <v>sistemas de barreira de inundação e tempestade</v>
      </c>
      <c r="H528" s="24"/>
      <c r="I528" s="24"/>
    </row>
    <row r="529" spans="1:9" ht="14.5">
      <c r="A529" s="20" t="s">
        <v>9254</v>
      </c>
      <c r="B529" s="20">
        <v>25</v>
      </c>
      <c r="C529" s="20">
        <v>36</v>
      </c>
      <c r="D529" s="20">
        <v>30</v>
      </c>
      <c r="E529" s="20">
        <v>30</v>
      </c>
      <c r="F529" s="20" t="s">
        <v>9255</v>
      </c>
      <c r="G529" s="24" t="str">
        <f ca="1">IFERROR(__xludf.DUMMYFUNCTION("GOOGLETRANSLATE(F529,""en"",""pt"")"),"Sistemas de porta de inundação")</f>
        <v>Sistemas de porta de inundação</v>
      </c>
      <c r="H529" s="24"/>
      <c r="I529" s="24"/>
    </row>
    <row r="530" spans="1:9" ht="14.5">
      <c r="A530" s="20" t="s">
        <v>9256</v>
      </c>
      <c r="B530" s="20">
        <v>25</v>
      </c>
      <c r="C530" s="20">
        <v>36</v>
      </c>
      <c r="D530" s="20">
        <v>50</v>
      </c>
      <c r="E530" s="24"/>
      <c r="F530" s="20" t="s">
        <v>9257</v>
      </c>
      <c r="G530" s="24" t="str">
        <f ca="1">IFERROR(__xludf.DUMMYFUNCTION("GOOGLETRANSLATE(F530,""en"",""pt"")"),"Sistemas de porta automatizada marina e mar")</f>
        <v>Sistemas de porta automatizada marina e mar</v>
      </c>
      <c r="H530" s="24"/>
      <c r="I530" s="24"/>
    </row>
    <row r="531" spans="1:9" ht="14.5">
      <c r="A531" s="20" t="s">
        <v>9258</v>
      </c>
      <c r="B531" s="20">
        <v>25</v>
      </c>
      <c r="C531" s="20">
        <v>36</v>
      </c>
      <c r="D531" s="20">
        <v>58</v>
      </c>
      <c r="E531" s="24"/>
      <c r="F531" s="20" t="s">
        <v>9259</v>
      </c>
      <c r="G531" s="24" t="str">
        <f ca="1">IFERROR(__xludf.DUMMYFUNCTION("GOOGLETRANSLATE(F531,""en"",""pt"")"),"sistemas de barreira ferroviárias operável")</f>
        <v>sistemas de barreira ferroviárias operável</v>
      </c>
      <c r="H531" s="24"/>
      <c r="I531" s="24"/>
    </row>
    <row r="532" spans="1:9" ht="14.5">
      <c r="A532" s="20" t="s">
        <v>9260</v>
      </c>
      <c r="B532" s="20">
        <v>25</v>
      </c>
      <c r="C532" s="20">
        <v>36</v>
      </c>
      <c r="D532" s="20">
        <v>62</v>
      </c>
      <c r="E532" s="24"/>
      <c r="F532" s="20" t="s">
        <v>9261</v>
      </c>
      <c r="G532" s="24" t="str">
        <f ca="1">IFERROR(__xludf.DUMMYFUNCTION("GOOGLETRANSLATE(F532,""en"",""pt"")"),"sistemas de barreira água operáveis")</f>
        <v>sistemas de barreira água operáveis</v>
      </c>
      <c r="H532" s="24"/>
      <c r="I532" s="24"/>
    </row>
    <row r="533" spans="1:9" ht="14.5">
      <c r="A533" s="20" t="s">
        <v>9262</v>
      </c>
      <c r="B533" s="20">
        <v>25</v>
      </c>
      <c r="C533" s="20">
        <v>36</v>
      </c>
      <c r="D533" s="20">
        <v>64</v>
      </c>
      <c r="E533" s="24"/>
      <c r="F533" s="20" t="s">
        <v>9263</v>
      </c>
      <c r="G533" s="24" t="str">
        <f ca="1">IFERROR(__xludf.DUMMYFUNCTION("GOOGLETRANSLATE(F533,""en"",""pt"")"),"sistemas de barreira ponte operável")</f>
        <v>sistemas de barreira ponte operável</v>
      </c>
      <c r="H533" s="24"/>
      <c r="I533" s="24"/>
    </row>
    <row r="534" spans="1:9" ht="14.5">
      <c r="A534" s="20" t="s">
        <v>9264</v>
      </c>
      <c r="B534" s="20">
        <v>25</v>
      </c>
      <c r="C534" s="20">
        <v>36</v>
      </c>
      <c r="D534" s="20">
        <v>66</v>
      </c>
      <c r="E534" s="24"/>
      <c r="F534" s="20" t="s">
        <v>9265</v>
      </c>
      <c r="G534" s="24" t="str">
        <f ca="1">IFERROR(__xludf.DUMMYFUNCTION("GOOGLETRANSLATE(F534,""en"",""pt"")"),"sistemas de barreira de túnel operável")</f>
        <v>sistemas de barreira de túnel operável</v>
      </c>
      <c r="H534" s="24"/>
      <c r="I534" s="24"/>
    </row>
    <row r="535" spans="1:9" ht="14.5">
      <c r="A535" s="20" t="s">
        <v>9266</v>
      </c>
      <c r="B535" s="20">
        <v>25</v>
      </c>
      <c r="C535" s="20">
        <v>36</v>
      </c>
      <c r="D535" s="20">
        <v>70</v>
      </c>
      <c r="E535" s="24"/>
      <c r="F535" s="20" t="s">
        <v>9267</v>
      </c>
      <c r="G535" s="24" t="str">
        <f ca="1">IFERROR(__xludf.DUMMYFUNCTION("GOOGLETRANSLATE(F535,""en"",""pt"")"),"Passagem de nel de sistemas")</f>
        <v>Passagem de nel de sistemas</v>
      </c>
      <c r="H535" s="24"/>
      <c r="I535" s="24"/>
    </row>
    <row r="536" spans="1:9" ht="14.5">
      <c r="A536" s="20" t="s">
        <v>9268</v>
      </c>
      <c r="B536" s="20">
        <v>25</v>
      </c>
      <c r="C536" s="20">
        <v>36</v>
      </c>
      <c r="D536" s="20">
        <v>95</v>
      </c>
      <c r="E536" s="24"/>
      <c r="F536" s="20" t="s">
        <v>9269</v>
      </c>
      <c r="G536" s="24" t="str">
        <f ca="1">IFERROR(__xludf.DUMMYFUNCTION("GOOGLETRANSLATE(F536,""en"",""pt"")"),"sistemas de controle de ponto de acesso de veículos")</f>
        <v>sistemas de controle de ponto de acesso de veículos</v>
      </c>
      <c r="H536" s="24"/>
      <c r="I536" s="24"/>
    </row>
    <row r="537" spans="1:9" ht="14.5">
      <c r="A537" s="20" t="s">
        <v>9270</v>
      </c>
      <c r="B537" s="20">
        <v>25</v>
      </c>
      <c r="C537" s="20">
        <v>36</v>
      </c>
      <c r="D537" s="20">
        <v>95</v>
      </c>
      <c r="E537" s="20">
        <v>5</v>
      </c>
      <c r="F537" s="20" t="s">
        <v>9271</v>
      </c>
      <c r="G537" s="24" t="str">
        <f ca="1">IFERROR(__xludf.DUMMYFUNCTION("GOOGLETRANSLATE(F537,""en"",""pt"")"),"Sistemas de porta pesados ​​automatizados")</f>
        <v>Sistemas de porta pesados ​​automatizados</v>
      </c>
      <c r="H537" s="24"/>
      <c r="I537" s="24"/>
    </row>
    <row r="538" spans="1:9" ht="14.5">
      <c r="A538" s="20" t="s">
        <v>9272</v>
      </c>
      <c r="B538" s="20">
        <v>25</v>
      </c>
      <c r="C538" s="20">
        <v>36</v>
      </c>
      <c r="D538" s="20">
        <v>95</v>
      </c>
      <c r="E538" s="20">
        <v>35</v>
      </c>
      <c r="F538" s="20" t="s">
        <v>9273</v>
      </c>
      <c r="G538" s="24" t="str">
        <f ca="1">IFERROR(__xludf.DUMMYFUNCTION("GOOGLETRANSLATE(F538,""en"",""pt"")"),"sistemas de barreira de viga deslizante pesados")</f>
        <v>sistemas de barreira de viga deslizante pesados</v>
      </c>
      <c r="H538" s="20" t="s">
        <v>9274</v>
      </c>
      <c r="I538" s="20" t="s">
        <v>8908</v>
      </c>
    </row>
    <row r="539" spans="1:9" ht="14.5">
      <c r="A539" s="20" t="s">
        <v>9275</v>
      </c>
      <c r="B539" s="20">
        <v>25</v>
      </c>
      <c r="C539" s="20">
        <v>36</v>
      </c>
      <c r="D539" s="20">
        <v>95</v>
      </c>
      <c r="E539" s="20">
        <v>36</v>
      </c>
      <c r="F539" s="20" t="s">
        <v>9276</v>
      </c>
      <c r="G539" s="24" t="str">
        <f ca="1">IFERROR(__xludf.DUMMYFUNCTION("GOOGLETRANSLATE(F539,""en"",""pt"")"),"sistemas altura restritor")</f>
        <v>sistemas altura restritor</v>
      </c>
      <c r="H539" s="20" t="s">
        <v>9277</v>
      </c>
      <c r="I539" s="20" t="s">
        <v>8908</v>
      </c>
    </row>
    <row r="540" spans="1:9" ht="14.5">
      <c r="A540" s="20" t="s">
        <v>9278</v>
      </c>
      <c r="B540" s="20">
        <v>25</v>
      </c>
      <c r="C540" s="20">
        <v>36</v>
      </c>
      <c r="D540" s="20">
        <v>95</v>
      </c>
      <c r="E540" s="20">
        <v>38</v>
      </c>
      <c r="F540" s="20" t="s">
        <v>9279</v>
      </c>
      <c r="G540" s="24" t="str">
        <f ca="1">IFERROR(__xludf.DUMMYFUNCTION("GOOGLETRANSLATE(F540,""en"",""pt"")"),"sistemas de portas de balanço horizontal")</f>
        <v>sistemas de portas de balanço horizontal</v>
      </c>
      <c r="H540" s="20" t="s">
        <v>9280</v>
      </c>
      <c r="I540" s="20" t="s">
        <v>5596</v>
      </c>
    </row>
    <row r="541" spans="1:9" ht="14.5">
      <c r="A541" s="20" t="s">
        <v>9281</v>
      </c>
      <c r="B541" s="20">
        <v>25</v>
      </c>
      <c r="C541" s="20">
        <v>36</v>
      </c>
      <c r="D541" s="20">
        <v>95</v>
      </c>
      <c r="E541" s="20">
        <v>40</v>
      </c>
      <c r="F541" s="20" t="s">
        <v>9282</v>
      </c>
      <c r="G541" s="24" t="str">
        <f ca="1">IFERROR(__xludf.DUMMYFUNCTION("GOOGLETRANSLATE(F541,""en"",""pt"")"),"sistemas de rampa hidráulica")</f>
        <v>sistemas de rampa hidráulica</v>
      </c>
      <c r="H541" s="20" t="s">
        <v>9283</v>
      </c>
      <c r="I541" s="20" t="s">
        <v>8908</v>
      </c>
    </row>
    <row r="542" spans="1:9" ht="14.5">
      <c r="A542" s="20" t="s">
        <v>9284</v>
      </c>
      <c r="B542" s="20">
        <v>25</v>
      </c>
      <c r="C542" s="20">
        <v>36</v>
      </c>
      <c r="D542" s="20">
        <v>95</v>
      </c>
      <c r="E542" s="20">
        <v>50</v>
      </c>
      <c r="F542" s="20" t="s">
        <v>9285</v>
      </c>
      <c r="G542" s="24" t="str">
        <f ca="1">IFERROR(__xludf.DUMMYFUNCTION("GOOGLETRANSLATE(F542,""en"",""pt"")"),"sistemas de pós bollard móveis e parque de estacionamento")</f>
        <v>sistemas de pós bollard móveis e parque de estacionamento</v>
      </c>
      <c r="H542" s="20" t="s">
        <v>9286</v>
      </c>
      <c r="I542" s="20" t="s">
        <v>8908</v>
      </c>
    </row>
    <row r="543" spans="1:9" ht="14.5">
      <c r="A543" s="20" t="s">
        <v>9287</v>
      </c>
      <c r="B543" s="20">
        <v>25</v>
      </c>
      <c r="C543" s="20">
        <v>36</v>
      </c>
      <c r="D543" s="20">
        <v>95</v>
      </c>
      <c r="E543" s="20">
        <v>70</v>
      </c>
      <c r="F543" s="20" t="s">
        <v>9288</v>
      </c>
      <c r="G543" s="24" t="str">
        <f ca="1">IFERROR(__xludf.DUMMYFUNCTION("GOOGLETRANSLATE(F543,""en"",""pt"")"),"Subindo sistemas de barreira braço")</f>
        <v>Subindo sistemas de barreira braço</v>
      </c>
      <c r="H543" s="20" t="s">
        <v>9289</v>
      </c>
      <c r="I543" s="20" t="s">
        <v>5596</v>
      </c>
    </row>
    <row r="544" spans="1:9" ht="14.5">
      <c r="A544" s="20" t="s">
        <v>9290</v>
      </c>
      <c r="B544" s="20">
        <v>25</v>
      </c>
      <c r="C544" s="20">
        <v>36</v>
      </c>
      <c r="D544" s="20">
        <v>95</v>
      </c>
      <c r="E544" s="20">
        <v>72</v>
      </c>
      <c r="F544" s="20" t="s">
        <v>9291</v>
      </c>
      <c r="G544" s="24" t="str">
        <f ca="1">IFERROR(__xludf.DUMMYFUNCTION("GOOGLETRANSLATE(F544,""en"",""pt"")"),"Subindo sistemas de amarração")</f>
        <v>Subindo sistemas de amarração</v>
      </c>
      <c r="H544" s="20" t="s">
        <v>9292</v>
      </c>
      <c r="I544" s="20" t="s">
        <v>8908</v>
      </c>
    </row>
    <row r="545" spans="1:9" ht="14.5">
      <c r="A545" s="20" t="s">
        <v>9293</v>
      </c>
      <c r="B545" s="20">
        <v>25</v>
      </c>
      <c r="C545" s="20">
        <v>36</v>
      </c>
      <c r="D545" s="20">
        <v>95</v>
      </c>
      <c r="E545" s="20">
        <v>85</v>
      </c>
      <c r="F545" s="20" t="s">
        <v>9294</v>
      </c>
      <c r="G545" s="24" t="str">
        <f ca="1">IFERROR(__xludf.DUMMYFUNCTION("GOOGLETRANSLATE(F545,""en"",""pt"")"),"sistemas de amarração estáticos")</f>
        <v>sistemas de amarração estáticos</v>
      </c>
      <c r="H545" s="24"/>
      <c r="I545" s="24"/>
    </row>
    <row r="546" spans="1:9" ht="14.5">
      <c r="A546" s="20" t="s">
        <v>9295</v>
      </c>
      <c r="B546" s="20">
        <v>25</v>
      </c>
      <c r="C546" s="20">
        <v>36</v>
      </c>
      <c r="D546" s="20">
        <v>95</v>
      </c>
      <c r="E546" s="20">
        <v>94</v>
      </c>
      <c r="F546" s="20" t="s">
        <v>9296</v>
      </c>
      <c r="G546" s="24" t="str">
        <f ca="1">IFERROR(__xludf.DUMMYFUNCTION("GOOGLETRANSLATE(F546,""en"",""pt"")"),"sistemas de placas de fluxo de veículos")</f>
        <v>sistemas de placas de fluxo de veículos</v>
      </c>
      <c r="H546" s="20" t="s">
        <v>9297</v>
      </c>
      <c r="I546" s="20" t="s">
        <v>8908</v>
      </c>
    </row>
    <row r="547" spans="1:9" ht="14.5">
      <c r="A547" s="20" t="s">
        <v>9298</v>
      </c>
      <c r="B547" s="20">
        <v>25</v>
      </c>
      <c r="C547" s="20">
        <v>36</v>
      </c>
      <c r="D547" s="20">
        <v>95</v>
      </c>
      <c r="E547" s="20">
        <v>96</v>
      </c>
      <c r="F547" s="20" t="s">
        <v>9299</v>
      </c>
      <c r="G547" s="24" t="str">
        <f ca="1">IFERROR(__xludf.DUMMYFUNCTION("GOOGLETRANSLATE(F547,""en"",""pt"")"),"sistemas de paragem do veículo")</f>
        <v>sistemas de paragem do veículo</v>
      </c>
      <c r="H547" s="20" t="s">
        <v>9300</v>
      </c>
      <c r="I547" s="20" t="s">
        <v>8908</v>
      </c>
    </row>
    <row r="548" spans="1:9" ht="14.5">
      <c r="A548" s="20" t="s">
        <v>9301</v>
      </c>
      <c r="B548" s="20">
        <v>25</v>
      </c>
      <c r="C548" s="20">
        <v>38</v>
      </c>
      <c r="D548" s="24"/>
      <c r="E548" s="24"/>
      <c r="F548" s="20" t="s">
        <v>9302</v>
      </c>
      <c r="G548" s="24" t="str">
        <f ca="1">IFERROR(__xludf.DUMMYFUNCTION("GOOGLETRANSLATE(F548,""en"",""pt"")"),"Parede e sistemas de hardware abertura barreira")</f>
        <v>Parede e sistemas de hardware abertura barreira</v>
      </c>
      <c r="H548" s="24"/>
      <c r="I548" s="24"/>
    </row>
    <row r="549" spans="1:9" ht="14.5">
      <c r="A549" s="20" t="s">
        <v>9303</v>
      </c>
      <c r="B549" s="20">
        <v>25</v>
      </c>
      <c r="C549" s="20">
        <v>38</v>
      </c>
      <c r="D549" s="20">
        <v>20</v>
      </c>
      <c r="E549" s="24"/>
      <c r="F549" s="20" t="s">
        <v>9304</v>
      </c>
      <c r="G549" s="24" t="str">
        <f ca="1">IFERROR(__xludf.DUMMYFUNCTION("GOOGLETRANSLATE(F549,""en"",""pt"")"),"sistemas de hardware porta, janela e porta")</f>
        <v>sistemas de hardware porta, janela e porta</v>
      </c>
      <c r="H549" s="24"/>
      <c r="I549" s="24"/>
    </row>
    <row r="550" spans="1:9" ht="14.5">
      <c r="A550" s="20" t="s">
        <v>9305</v>
      </c>
      <c r="B550" s="20">
        <v>25</v>
      </c>
      <c r="C550" s="20">
        <v>38</v>
      </c>
      <c r="D550" s="20">
        <v>20</v>
      </c>
      <c r="E550" s="20">
        <v>20</v>
      </c>
      <c r="F550" s="20" t="s">
        <v>9306</v>
      </c>
      <c r="G550" s="24" t="str">
        <f ca="1">IFERROR(__xludf.DUMMYFUNCTION("GOOGLETRANSLATE(F550,""en"",""pt"")"),"sistemas de hardware da porta")</f>
        <v>sistemas de hardware da porta</v>
      </c>
      <c r="H550" s="20" t="s">
        <v>9307</v>
      </c>
      <c r="I550" s="20" t="s">
        <v>9133</v>
      </c>
    </row>
    <row r="551" spans="1:9" ht="14.5">
      <c r="A551" s="20" t="s">
        <v>9308</v>
      </c>
      <c r="B551" s="20">
        <v>25</v>
      </c>
      <c r="C551" s="20">
        <v>38</v>
      </c>
      <c r="D551" s="20">
        <v>20</v>
      </c>
      <c r="E551" s="20">
        <v>30</v>
      </c>
      <c r="F551" s="20" t="s">
        <v>9309</v>
      </c>
      <c r="G551" s="24" t="str">
        <f ca="1">IFERROR(__xludf.DUMMYFUNCTION("GOOGLETRANSLATE(F551,""en"",""pt"")"),"sistemas de hardware da porta da garagem")</f>
        <v>sistemas de hardware da porta da garagem</v>
      </c>
      <c r="H551" s="20" t="s">
        <v>9310</v>
      </c>
      <c r="I551" s="20" t="s">
        <v>9157</v>
      </c>
    </row>
    <row r="552" spans="1:9" ht="14.5">
      <c r="A552" s="20" t="s">
        <v>9311</v>
      </c>
      <c r="B552" s="20">
        <v>25</v>
      </c>
      <c r="C552" s="20">
        <v>38</v>
      </c>
      <c r="D552" s="20">
        <v>20</v>
      </c>
      <c r="E552" s="20">
        <v>33</v>
      </c>
      <c r="F552" s="20" t="s">
        <v>9312</v>
      </c>
      <c r="G552" s="24" t="str">
        <f ca="1">IFERROR(__xludf.DUMMYFUNCTION("GOOGLETRANSLATE(F552,""en"",""pt"")"),"sistemas de hardware portão")</f>
        <v>sistemas de hardware portão</v>
      </c>
      <c r="H552" s="20" t="s">
        <v>9313</v>
      </c>
      <c r="I552" s="20" t="s">
        <v>9314</v>
      </c>
    </row>
    <row r="553" spans="1:9" ht="14.5">
      <c r="A553" s="20" t="s">
        <v>9315</v>
      </c>
      <c r="B553" s="20">
        <v>25</v>
      </c>
      <c r="C553" s="20">
        <v>38</v>
      </c>
      <c r="D553" s="20">
        <v>20</v>
      </c>
      <c r="E553" s="20">
        <v>35</v>
      </c>
      <c r="F553" s="20" t="s">
        <v>9316</v>
      </c>
      <c r="G553" s="24" t="str">
        <f ca="1">IFERROR(__xludf.DUMMYFUNCTION("GOOGLETRANSLATE(F553,""en"",""pt"")"),"sistemas de hardware da Hatch")</f>
        <v>sistemas de hardware da Hatch</v>
      </c>
      <c r="H553" s="20" t="s">
        <v>9317</v>
      </c>
      <c r="I553" s="20" t="s">
        <v>9133</v>
      </c>
    </row>
    <row r="554" spans="1:9" ht="14.5">
      <c r="A554" s="20" t="s">
        <v>9318</v>
      </c>
      <c r="B554" s="20">
        <v>25</v>
      </c>
      <c r="C554" s="20">
        <v>38</v>
      </c>
      <c r="D554" s="20">
        <v>20</v>
      </c>
      <c r="E554" s="20">
        <v>70</v>
      </c>
      <c r="F554" s="20" t="s">
        <v>9319</v>
      </c>
      <c r="G554" s="24" t="str">
        <f ca="1">IFERROR(__xludf.DUMMYFUNCTION("GOOGLETRANSLATE(F554,""en"",""pt"")"),"sistemas de hardware partição relocalizáveis")</f>
        <v>sistemas de hardware partição relocalizáveis</v>
      </c>
      <c r="H554" s="20" t="s">
        <v>9320</v>
      </c>
      <c r="I554" s="20" t="s">
        <v>9181</v>
      </c>
    </row>
    <row r="555" spans="1:9" ht="14.5">
      <c r="A555" s="20" t="s">
        <v>9321</v>
      </c>
      <c r="B555" s="20">
        <v>25</v>
      </c>
      <c r="C555" s="20">
        <v>38</v>
      </c>
      <c r="D555" s="20">
        <v>20</v>
      </c>
      <c r="E555" s="20">
        <v>80</v>
      </c>
      <c r="F555" s="20" t="s">
        <v>9322</v>
      </c>
      <c r="G555" s="24" t="str">
        <f ca="1">IFERROR(__xludf.DUMMYFUNCTION("GOOGLETRANSLATE(F555,""en"",""pt"")"),"sistemas de hardware do obturador")</f>
        <v>sistemas de hardware do obturador</v>
      </c>
      <c r="H555" s="20" t="s">
        <v>9323</v>
      </c>
      <c r="I555" s="20" t="s">
        <v>9140</v>
      </c>
    </row>
    <row r="556" spans="1:9" ht="14.5">
      <c r="A556" s="20" t="s">
        <v>9324</v>
      </c>
      <c r="B556" s="20">
        <v>25</v>
      </c>
      <c r="C556" s="20">
        <v>38</v>
      </c>
      <c r="D556" s="20">
        <v>20</v>
      </c>
      <c r="E556" s="20">
        <v>95</v>
      </c>
      <c r="F556" s="20" t="s">
        <v>9325</v>
      </c>
      <c r="G556" s="24" t="str">
        <f ca="1">IFERROR(__xludf.DUMMYFUNCTION("GOOGLETRANSLATE(F556,""en"",""pt"")"),"sistemas de hardware janela")</f>
        <v>sistemas de hardware janela</v>
      </c>
      <c r="H556" s="20" t="s">
        <v>9326</v>
      </c>
      <c r="I556" s="20" t="s">
        <v>9201</v>
      </c>
    </row>
    <row r="557" spans="1:9" ht="14.5">
      <c r="A557" s="20" t="s">
        <v>9327</v>
      </c>
      <c r="B557" s="20">
        <v>25</v>
      </c>
      <c r="C557" s="20">
        <v>45</v>
      </c>
      <c r="D557" s="24"/>
      <c r="E557" s="24"/>
      <c r="F557" s="20" t="s">
        <v>9328</v>
      </c>
      <c r="G557" s="24" t="str">
        <f ca="1">IFERROR(__xludf.DUMMYFUNCTION("GOOGLETRANSLATE(F557,""en"",""pt"")"),"sistemas de revestimento e acabamento de parede")</f>
        <v>sistemas de revestimento e acabamento de parede</v>
      </c>
      <c r="H557" s="24"/>
      <c r="I557" s="24"/>
    </row>
    <row r="558" spans="1:9" ht="14.5">
      <c r="A558" s="20" t="s">
        <v>9329</v>
      </c>
      <c r="B558" s="20">
        <v>25</v>
      </c>
      <c r="C558" s="20">
        <v>45</v>
      </c>
      <c r="D558" s="20">
        <v>2</v>
      </c>
      <c r="E558" s="24"/>
      <c r="F558" s="20" t="s">
        <v>9330</v>
      </c>
      <c r="G558" s="24" t="str">
        <f ca="1">IFERROR(__xludf.DUMMYFUNCTION("GOOGLETRANSLATE(F558,""en"",""pt"")"),"sistemas de revestimento acústicos")</f>
        <v>sistemas de revestimento acústicos</v>
      </c>
      <c r="H558" s="24"/>
      <c r="I558" s="24"/>
    </row>
    <row r="559" spans="1:9" ht="14.5">
      <c r="A559" s="20" t="s">
        <v>9331</v>
      </c>
      <c r="B559" s="20">
        <v>25</v>
      </c>
      <c r="C559" s="20">
        <v>45</v>
      </c>
      <c r="D559" s="20">
        <v>2</v>
      </c>
      <c r="E559" s="20">
        <v>60</v>
      </c>
      <c r="F559" s="20" t="s">
        <v>9332</v>
      </c>
      <c r="G559" s="24" t="str">
        <f ca="1">IFERROR(__xludf.DUMMYFUNCTION("GOOGLETRANSLATE(F559,""en"",""pt"")"),"sistemas de revestimento parge")</f>
        <v>sistemas de revestimento parge</v>
      </c>
      <c r="H559" s="20" t="s">
        <v>9333</v>
      </c>
      <c r="I559" s="20" t="s">
        <v>9062</v>
      </c>
    </row>
    <row r="560" spans="1:9" ht="14.5">
      <c r="A560" s="20" t="s">
        <v>9334</v>
      </c>
      <c r="B560" s="20">
        <v>25</v>
      </c>
      <c r="C560" s="20">
        <v>45</v>
      </c>
      <c r="D560" s="20">
        <v>25</v>
      </c>
      <c r="E560" s="24"/>
      <c r="F560" s="20" t="s">
        <v>9335</v>
      </c>
      <c r="G560" s="24" t="str">
        <f ca="1">IFERROR(__xludf.DUMMYFUNCTION("GOOGLETRANSLATE(F560,""en"",""pt"")"),"sistemas de cortinas")</f>
        <v>sistemas de cortinas</v>
      </c>
      <c r="H560" s="24"/>
      <c r="I560" s="24"/>
    </row>
    <row r="561" spans="1:9" ht="14.5">
      <c r="A561" s="20" t="s">
        <v>9336</v>
      </c>
      <c r="B561" s="20">
        <v>25</v>
      </c>
      <c r="C561" s="20">
        <v>45</v>
      </c>
      <c r="D561" s="20">
        <v>70</v>
      </c>
      <c r="E561" s="24"/>
      <c r="F561" s="20" t="s">
        <v>9337</v>
      </c>
      <c r="G561" s="24" t="str">
        <f ca="1">IFERROR(__xludf.DUMMYFUNCTION("GOOGLETRANSLATE(F561,""en"",""pt"")"),"Processar e sistemas de revestimento de reboco")</f>
        <v>Processar e sistemas de revestimento de reboco</v>
      </c>
      <c r="H561" s="24"/>
      <c r="I561" s="24"/>
    </row>
    <row r="562" spans="1:9" ht="14.5">
      <c r="A562" s="20" t="s">
        <v>9338</v>
      </c>
      <c r="B562" s="20">
        <v>25</v>
      </c>
      <c r="C562" s="20">
        <v>45</v>
      </c>
      <c r="D562" s="20">
        <v>70</v>
      </c>
      <c r="E562" s="20">
        <v>55</v>
      </c>
      <c r="F562" s="20" t="s">
        <v>9339</v>
      </c>
      <c r="G562" s="24" t="str">
        <f ca="1">IFERROR(__xludf.DUMMYFUNCTION("GOOGLETRANSLATE(F562,""en"",""pt"")"),"Multicoat tornar os sistemas")</f>
        <v>Multicoat tornar os sistemas</v>
      </c>
      <c r="H562" s="20" t="s">
        <v>9340</v>
      </c>
      <c r="I562" s="20" t="s">
        <v>9030</v>
      </c>
    </row>
    <row r="563" spans="1:9" ht="14.5">
      <c r="A563" s="20" t="s">
        <v>9341</v>
      </c>
      <c r="B563" s="20">
        <v>25</v>
      </c>
      <c r="C563" s="20">
        <v>45</v>
      </c>
      <c r="D563" s="20">
        <v>70</v>
      </c>
      <c r="E563" s="20">
        <v>60</v>
      </c>
      <c r="F563" s="20" t="s">
        <v>9342</v>
      </c>
      <c r="G563" s="24" t="str">
        <f ca="1">IFERROR(__xludf.DUMMYFUNCTION("GOOGLETRANSLATE(F563,""en"",""pt"")"),"Um revestimento tornar sistemas")</f>
        <v>Um revestimento tornar sistemas</v>
      </c>
      <c r="H563" s="20" t="s">
        <v>9343</v>
      </c>
      <c r="I563" s="20" t="s">
        <v>9030</v>
      </c>
    </row>
    <row r="564" spans="1:9" ht="14.5">
      <c r="A564" s="20" t="s">
        <v>9344</v>
      </c>
      <c r="B564" s="20">
        <v>25</v>
      </c>
      <c r="C564" s="20">
        <v>45</v>
      </c>
      <c r="D564" s="20">
        <v>70</v>
      </c>
      <c r="E564" s="20">
        <v>90</v>
      </c>
      <c r="F564" s="20" t="s">
        <v>9345</v>
      </c>
      <c r="G564" s="24" t="str">
        <f ca="1">IFERROR(__xludf.DUMMYFUNCTION("GOOGLETRANSLATE(F564,""en"",""pt"")"),"E ladrilhos de mosaico tornar os sistemas de substratos")</f>
        <v>E ladrilhos de mosaico tornar os sistemas de substratos</v>
      </c>
      <c r="H564" s="20" t="s">
        <v>9346</v>
      </c>
      <c r="I564" s="20" t="s">
        <v>9030</v>
      </c>
    </row>
    <row r="565" spans="1:9" ht="14.5">
      <c r="A565" s="20" t="s">
        <v>9347</v>
      </c>
      <c r="B565" s="20">
        <v>25</v>
      </c>
      <c r="C565" s="20">
        <v>45</v>
      </c>
      <c r="D565" s="20">
        <v>72</v>
      </c>
      <c r="E565" s="24"/>
      <c r="F565" s="20" t="s">
        <v>9348</v>
      </c>
      <c r="G565" s="24" t="str">
        <f ca="1">IFERROR(__xludf.DUMMYFUNCTION("GOOGLETRANSLATE(F565,""en"",""pt"")"),"sistemas de isolamento prestados")</f>
        <v>sistemas de isolamento prestados</v>
      </c>
      <c r="H565" s="24"/>
      <c r="I565" s="24"/>
    </row>
    <row r="566" spans="1:9" ht="14.5">
      <c r="A566" s="20" t="s">
        <v>9349</v>
      </c>
      <c r="B566" s="20">
        <v>25</v>
      </c>
      <c r="C566" s="20">
        <v>45</v>
      </c>
      <c r="D566" s="20">
        <v>72</v>
      </c>
      <c r="E566" s="20">
        <v>2</v>
      </c>
      <c r="F566" s="20" t="s">
        <v>9350</v>
      </c>
      <c r="G566" s="24" t="str">
        <f ca="1">IFERROR(__xludf.DUMMYFUNCTION("GOOGLETRANSLATE(F566,""en"",""pt"")"),"sistemas de isolamento de paredes exteriores fixas adesivas")</f>
        <v>sistemas de isolamento de paredes exteriores fixas adesivas</v>
      </c>
      <c r="H566" s="20" t="s">
        <v>9351</v>
      </c>
      <c r="I566" s="20" t="s">
        <v>8488</v>
      </c>
    </row>
    <row r="567" spans="1:9" ht="14.5">
      <c r="A567" s="20" t="s">
        <v>9352</v>
      </c>
      <c r="B567" s="20">
        <v>25</v>
      </c>
      <c r="C567" s="20">
        <v>45</v>
      </c>
      <c r="D567" s="20">
        <v>72</v>
      </c>
      <c r="E567" s="20">
        <v>42</v>
      </c>
      <c r="F567" s="20" t="s">
        <v>9353</v>
      </c>
      <c r="G567" s="24" t="str">
        <f ca="1">IFERROR(__xludf.DUMMYFUNCTION("GOOGLETRANSLATE(F567,""en"",""pt"")"),"sistemas plinto isolados")</f>
        <v>sistemas plinto isolados</v>
      </c>
      <c r="H567" s="20" t="s">
        <v>9354</v>
      </c>
      <c r="I567" s="20" t="s">
        <v>8488</v>
      </c>
    </row>
    <row r="568" spans="1:9" ht="14.5">
      <c r="A568" s="20" t="s">
        <v>9355</v>
      </c>
      <c r="B568" s="20">
        <v>25</v>
      </c>
      <c r="C568" s="20">
        <v>45</v>
      </c>
      <c r="D568" s="20">
        <v>72</v>
      </c>
      <c r="E568" s="20">
        <v>70</v>
      </c>
      <c r="F568" s="20" t="s">
        <v>9356</v>
      </c>
      <c r="G568" s="24" t="str">
        <f ca="1">IFERROR(__xludf.DUMMYFUNCTION("GOOGLETRANSLATE(F568,""en"",""pt"")"),"sistemas de isolamento de parede externa do trilho fixo")</f>
        <v>sistemas de isolamento de parede externa do trilho fixo</v>
      </c>
      <c r="H568" s="20" t="s">
        <v>9357</v>
      </c>
      <c r="I568" s="20" t="s">
        <v>8488</v>
      </c>
    </row>
    <row r="569" spans="1:9" ht="14.5">
      <c r="A569" s="20" t="s">
        <v>9358</v>
      </c>
      <c r="B569" s="20">
        <v>25</v>
      </c>
      <c r="C569" s="20">
        <v>45</v>
      </c>
      <c r="D569" s="20">
        <v>74</v>
      </c>
      <c r="E569" s="24"/>
      <c r="F569" s="20" t="s">
        <v>9359</v>
      </c>
      <c r="G569" s="24" t="str">
        <f ca="1">IFERROR(__xludf.DUMMYFUNCTION("GOOGLETRANSLATE(F569,""en"",""pt"")"),"rolo de papel e sistemas de revestimento de tecido")</f>
        <v>rolo de papel e sistemas de revestimento de tecido</v>
      </c>
      <c r="H569" s="24"/>
      <c r="I569" s="24"/>
    </row>
    <row r="570" spans="1:9" ht="14.5">
      <c r="A570" s="20" t="s">
        <v>9360</v>
      </c>
      <c r="B570" s="20">
        <v>25</v>
      </c>
      <c r="C570" s="20">
        <v>45</v>
      </c>
      <c r="D570" s="20">
        <v>74</v>
      </c>
      <c r="E570" s="20">
        <v>70</v>
      </c>
      <c r="F570" s="20" t="s">
        <v>9361</v>
      </c>
      <c r="G570" s="24" t="str">
        <f ca="1">IFERROR(__xludf.DUMMYFUNCTION("GOOGLETRANSLATE(F570,""en"",""pt"")"),"Sistemas de coberturas de laminados")</f>
        <v>Sistemas de coberturas de laminados</v>
      </c>
      <c r="H570" s="20" t="s">
        <v>9362</v>
      </c>
      <c r="I570" s="20" t="s">
        <v>9062</v>
      </c>
    </row>
    <row r="571" spans="1:9" ht="14.5">
      <c r="A571" s="20" t="s">
        <v>9363</v>
      </c>
      <c r="B571" s="20">
        <v>25</v>
      </c>
      <c r="C571" s="20">
        <v>45</v>
      </c>
      <c r="D571" s="20">
        <v>85</v>
      </c>
      <c r="E571" s="24"/>
      <c r="F571" s="20" t="s">
        <v>9364</v>
      </c>
      <c r="G571" s="24" t="str">
        <f ca="1">IFERROR(__xludf.DUMMYFUNCTION("GOOGLETRANSLATE(F571,""en"",""pt"")"),"sistemas de revestimento pulverizado")</f>
        <v>sistemas de revestimento pulverizado</v>
      </c>
      <c r="H571" s="24"/>
      <c r="I571" s="24"/>
    </row>
    <row r="572" spans="1:9" ht="14.5">
      <c r="A572" s="20" t="s">
        <v>9365</v>
      </c>
      <c r="B572" s="20">
        <v>25</v>
      </c>
      <c r="C572" s="20">
        <v>45</v>
      </c>
      <c r="D572" s="20">
        <v>85</v>
      </c>
      <c r="E572" s="20">
        <v>82</v>
      </c>
      <c r="F572" s="20" t="s">
        <v>9366</v>
      </c>
      <c r="G572" s="24" t="str">
        <f ca="1">IFERROR(__xludf.DUMMYFUNCTION("GOOGLETRANSLATE(F572,""en"",""pt"")"),"sistemas de revestimento monolítico externos pulverizadas")</f>
        <v>sistemas de revestimento monolítico externos pulverizadas</v>
      </c>
      <c r="H572" s="20" t="s">
        <v>9367</v>
      </c>
      <c r="I572" s="20" t="s">
        <v>8488</v>
      </c>
    </row>
    <row r="573" spans="1:9" ht="14.5">
      <c r="A573" s="20" t="s">
        <v>9368</v>
      </c>
      <c r="B573" s="20">
        <v>25</v>
      </c>
      <c r="C573" s="20">
        <v>45</v>
      </c>
      <c r="D573" s="20">
        <v>85</v>
      </c>
      <c r="E573" s="20">
        <v>85</v>
      </c>
      <c r="F573" s="20" t="s">
        <v>9369</v>
      </c>
      <c r="G573" s="24" t="str">
        <f ca="1">IFERROR(__xludf.DUMMYFUNCTION("GOOGLETRANSLATE(F573,""en"",""pt"")"),"sistemas de revestimento monolítico internos pulverizadas")</f>
        <v>sistemas de revestimento monolítico internos pulverizadas</v>
      </c>
      <c r="H573" s="20" t="s">
        <v>9370</v>
      </c>
      <c r="I573" s="20" t="s">
        <v>9062</v>
      </c>
    </row>
    <row r="574" spans="1:9" ht="14.5">
      <c r="A574" s="20" t="s">
        <v>9371</v>
      </c>
      <c r="B574" s="20">
        <v>25</v>
      </c>
      <c r="C574" s="20">
        <v>45</v>
      </c>
      <c r="D574" s="20">
        <v>86</v>
      </c>
      <c r="E574" s="24"/>
      <c r="F574" s="20" t="s">
        <v>9372</v>
      </c>
      <c r="G574" s="24" t="str">
        <f ca="1">IFERROR(__xludf.DUMMYFUNCTION("GOOGLETRANSLATE(F574,""en"",""pt"")"),"Suspenso sistemas renderizar")</f>
        <v>Suspenso sistemas renderizar</v>
      </c>
      <c r="H574" s="24"/>
      <c r="I574" s="24"/>
    </row>
    <row r="575" spans="1:9" ht="14.5">
      <c r="A575" s="20" t="s">
        <v>9373</v>
      </c>
      <c r="B575" s="20">
        <v>25</v>
      </c>
      <c r="C575" s="20">
        <v>45</v>
      </c>
      <c r="D575" s="20">
        <v>88</v>
      </c>
      <c r="E575" s="24"/>
      <c r="F575" s="20" t="s">
        <v>9374</v>
      </c>
      <c r="G575" s="24" t="str">
        <f ca="1">IFERROR(__xludf.DUMMYFUNCTION("GOOGLETRANSLATE(F575,""en"",""pt"")"),"sistemas de ladrilhos")</f>
        <v>sistemas de ladrilhos</v>
      </c>
      <c r="H575" s="24"/>
      <c r="I575" s="24"/>
    </row>
    <row r="576" spans="1:9" ht="14.5">
      <c r="A576" s="20" t="s">
        <v>9375</v>
      </c>
      <c r="B576" s="20">
        <v>25</v>
      </c>
      <c r="C576" s="20">
        <v>45</v>
      </c>
      <c r="D576" s="20">
        <v>88</v>
      </c>
      <c r="E576" s="20">
        <v>25</v>
      </c>
      <c r="F576" s="20" t="s">
        <v>9376</v>
      </c>
      <c r="G576" s="24" t="str">
        <f ca="1">IFERROR(__xludf.DUMMYFUNCTION("GOOGLETRANSLATE(F576,""en"",""pt"")"),"sistemas de parede de lado a lado externo")</f>
        <v>sistemas de parede de lado a lado externo</v>
      </c>
      <c r="H576" s="20" t="s">
        <v>9377</v>
      </c>
      <c r="I576" s="20" t="s">
        <v>9062</v>
      </c>
    </row>
    <row r="577" spans="1:9" ht="14.5">
      <c r="A577" s="20" t="s">
        <v>9378</v>
      </c>
      <c r="B577" s="20">
        <v>25</v>
      </c>
      <c r="C577" s="20">
        <v>45</v>
      </c>
      <c r="D577" s="20">
        <v>88</v>
      </c>
      <c r="E577" s="20">
        <v>40</v>
      </c>
      <c r="F577" s="20" t="s">
        <v>9379</v>
      </c>
      <c r="G577" s="24" t="str">
        <f ca="1">IFERROR(__xludf.DUMMYFUNCTION("GOOGLETRANSLATE(F577,""en"",""pt"")"),"sistemas de azulejos de parede interna")</f>
        <v>sistemas de azulejos de parede interna</v>
      </c>
      <c r="H577" s="20" t="s">
        <v>9380</v>
      </c>
      <c r="I577" s="20" t="s">
        <v>9062</v>
      </c>
    </row>
    <row r="578" spans="1:9" ht="14.5">
      <c r="A578" s="20" t="s">
        <v>9381</v>
      </c>
      <c r="B578" s="20">
        <v>25</v>
      </c>
      <c r="C578" s="20">
        <v>45</v>
      </c>
      <c r="D578" s="20">
        <v>88</v>
      </c>
      <c r="E578" s="20">
        <v>88</v>
      </c>
      <c r="F578" s="20" t="s">
        <v>9382</v>
      </c>
      <c r="G578" s="24" t="str">
        <f ca="1">IFERROR(__xludf.DUMMYFUNCTION("GOOGLETRANSLATE(F578,""en"",""pt"")"),"Tijoleira parede sistemas ladrilhos")</f>
        <v>Tijoleira parede sistemas ladrilhos</v>
      </c>
      <c r="H578" s="20" t="s">
        <v>9383</v>
      </c>
      <c r="I578" s="20" t="s">
        <v>9062</v>
      </c>
    </row>
    <row r="579" spans="1:9" ht="14.5">
      <c r="A579" s="20" t="s">
        <v>9384</v>
      </c>
      <c r="B579" s="20">
        <v>25</v>
      </c>
      <c r="C579" s="20">
        <v>45</v>
      </c>
      <c r="D579" s="20">
        <v>88</v>
      </c>
      <c r="E579" s="20">
        <v>90</v>
      </c>
      <c r="F579" s="20" t="s">
        <v>9385</v>
      </c>
      <c r="G579" s="24" t="str">
        <f ca="1">IFERROR(__xludf.DUMMYFUNCTION("GOOGLETRANSLATE(F579,""en"",""pt"")"),"sistemas de substrato argamassa mosaico e ladrilhos")</f>
        <v>sistemas de substrato argamassa mosaico e ladrilhos</v>
      </c>
      <c r="H579" s="24"/>
      <c r="I579" s="24"/>
    </row>
    <row r="580" spans="1:9" ht="14.5">
      <c r="A580" s="20" t="s">
        <v>9386</v>
      </c>
      <c r="B580" s="20">
        <v>25</v>
      </c>
      <c r="C580" s="20">
        <v>45</v>
      </c>
      <c r="D580" s="20">
        <v>90</v>
      </c>
      <c r="E580" s="24"/>
      <c r="F580" s="20" t="s">
        <v>9387</v>
      </c>
      <c r="G580" s="24" t="str">
        <f ca="1">IFERROR(__xludf.DUMMYFUNCTION("GOOGLETRANSLATE(F580,""en"",""pt"")"),"Unidade sistemas enfrentando")</f>
        <v>Unidade sistemas enfrentando</v>
      </c>
      <c r="H580" s="24"/>
      <c r="I580" s="24"/>
    </row>
    <row r="581" spans="1:9" ht="14.5">
      <c r="A581" s="20" t="s">
        <v>9388</v>
      </c>
      <c r="B581" s="20">
        <v>25</v>
      </c>
      <c r="C581" s="20">
        <v>50</v>
      </c>
      <c r="D581" s="24"/>
      <c r="E581" s="24"/>
      <c r="F581" s="20" t="s">
        <v>9389</v>
      </c>
      <c r="G581" s="24" t="str">
        <f ca="1">IFERROR(__xludf.DUMMYFUNCTION("GOOGLETRANSLATE(F581,""en"",""pt"")"),"Wall montado sistemas de dossel e tela")</f>
        <v>Wall montado sistemas de dossel e tela</v>
      </c>
      <c r="H581" s="24"/>
      <c r="I581" s="24"/>
    </row>
    <row r="582" spans="1:9" ht="14.5">
      <c r="A582" s="20" t="s">
        <v>9390</v>
      </c>
      <c r="B582" s="20">
        <v>25</v>
      </c>
      <c r="C582" s="20">
        <v>50</v>
      </c>
      <c r="D582" s="20">
        <v>5</v>
      </c>
      <c r="E582" s="24"/>
      <c r="F582" s="20" t="s">
        <v>9391</v>
      </c>
      <c r="G582" s="24" t="str">
        <f ca="1">IFERROR(__xludf.DUMMYFUNCTION("GOOGLETRANSLATE(F582,""en"",""pt"")"),"sistemas de toldo")</f>
        <v>sistemas de toldo</v>
      </c>
      <c r="H582" s="24"/>
      <c r="I582" s="24"/>
    </row>
    <row r="583" spans="1:9" ht="14.5">
      <c r="A583" s="20" t="s">
        <v>9392</v>
      </c>
      <c r="B583" s="20">
        <v>25</v>
      </c>
      <c r="C583" s="20">
        <v>50</v>
      </c>
      <c r="D583" s="20">
        <v>35</v>
      </c>
      <c r="E583" s="24"/>
      <c r="F583" s="20" t="s">
        <v>9393</v>
      </c>
      <c r="G583" s="24" t="str">
        <f ca="1">IFERROR(__xludf.DUMMYFUNCTION("GOOGLETRANSLATE(F583,""en"",""pt"")"),"sistemas Grille")</f>
        <v>sistemas Grille</v>
      </c>
      <c r="H583" s="24"/>
      <c r="I583" s="24"/>
    </row>
    <row r="584" spans="1:9" ht="14.5">
      <c r="A584" s="20" t="s">
        <v>9394</v>
      </c>
      <c r="B584" s="20">
        <v>25</v>
      </c>
      <c r="C584" s="20">
        <v>50</v>
      </c>
      <c r="D584" s="20">
        <v>45</v>
      </c>
      <c r="E584" s="24"/>
      <c r="F584" s="20" t="s">
        <v>9395</v>
      </c>
      <c r="G584" s="24" t="str">
        <f ca="1">IFERROR(__xludf.DUMMYFUNCTION("GOOGLETRANSLATE(F584,""en"",""pt"")"),"sistemas de sombreamento Louvre e")</f>
        <v>sistemas de sombreamento Louvre e</v>
      </c>
      <c r="H584" s="24"/>
      <c r="I584" s="24"/>
    </row>
    <row r="585" spans="1:9" ht="14.5">
      <c r="A585" s="20" t="s">
        <v>9396</v>
      </c>
      <c r="B585" s="20">
        <v>25</v>
      </c>
      <c r="C585" s="20">
        <v>50</v>
      </c>
      <c r="D585" s="20">
        <v>45</v>
      </c>
      <c r="E585" s="20">
        <v>10</v>
      </c>
      <c r="F585" s="20" t="s">
        <v>9397</v>
      </c>
      <c r="G585" s="24" t="str">
        <f ca="1">IFERROR(__xludf.DUMMYFUNCTION("GOOGLETRANSLATE(F585,""en"",""pt"")"),"sistemas Canopy")</f>
        <v>sistemas Canopy</v>
      </c>
      <c r="H585" s="24"/>
      <c r="I585" s="24"/>
    </row>
    <row r="586" spans="1:9" ht="14.5">
      <c r="A586" s="20" t="s">
        <v>9398</v>
      </c>
      <c r="B586" s="20">
        <v>25</v>
      </c>
      <c r="C586" s="20">
        <v>50</v>
      </c>
      <c r="D586" s="20">
        <v>45</v>
      </c>
      <c r="E586" s="20">
        <v>30</v>
      </c>
      <c r="F586" s="20" t="s">
        <v>9399</v>
      </c>
      <c r="G586" s="24" t="str">
        <f ca="1">IFERROR(__xludf.DUMMYFUNCTION("GOOGLETRANSLATE(F586,""en"",""pt"")"),"brise-alinhados fachada soleil sistemas")</f>
        <v>brise-alinhados fachada soleil sistemas</v>
      </c>
      <c r="H586" s="20" t="s">
        <v>9400</v>
      </c>
      <c r="I586" s="20" t="s">
        <v>9014</v>
      </c>
    </row>
    <row r="587" spans="1:9" ht="14.5">
      <c r="A587" s="20" t="s">
        <v>9401</v>
      </c>
      <c r="B587" s="20">
        <v>25</v>
      </c>
      <c r="C587" s="20">
        <v>50</v>
      </c>
      <c r="D587" s="20">
        <v>45</v>
      </c>
      <c r="E587" s="20">
        <v>45</v>
      </c>
      <c r="F587" s="20" t="s">
        <v>9402</v>
      </c>
      <c r="G587" s="24" t="str">
        <f ca="1">IFERROR(__xludf.DUMMYFUNCTION("GOOGLETRANSLATE(F587,""en"",""pt"")"),"sistemas de tela Louvre")</f>
        <v>sistemas de tela Louvre</v>
      </c>
      <c r="H587" s="20" t="s">
        <v>9403</v>
      </c>
      <c r="I587" s="20" t="s">
        <v>9014</v>
      </c>
    </row>
    <row r="588" spans="1:9" ht="14.5">
      <c r="A588" s="20" t="s">
        <v>9404</v>
      </c>
      <c r="B588" s="20">
        <v>25</v>
      </c>
      <c r="C588" s="20">
        <v>50</v>
      </c>
      <c r="D588" s="20">
        <v>45</v>
      </c>
      <c r="E588" s="20">
        <v>60</v>
      </c>
      <c r="F588" s="20" t="s">
        <v>9405</v>
      </c>
      <c r="G588" s="24" t="str">
        <f ca="1">IFERROR(__xludf.DUMMYFUNCTION("GOOGLETRANSLATE(F588,""en"",""pt"")"),"sistemas de tela grelha Panellized")</f>
        <v>sistemas de tela grelha Panellized</v>
      </c>
      <c r="H588" s="20" t="s">
        <v>9406</v>
      </c>
      <c r="I588" s="20" t="s">
        <v>9407</v>
      </c>
    </row>
    <row r="589" spans="1:9" ht="14.5">
      <c r="A589" s="20" t="s">
        <v>9408</v>
      </c>
      <c r="B589" s="20">
        <v>25</v>
      </c>
      <c r="C589" s="20">
        <v>50</v>
      </c>
      <c r="D589" s="20">
        <v>45</v>
      </c>
      <c r="E589" s="20">
        <v>65</v>
      </c>
      <c r="F589" s="20" t="s">
        <v>9409</v>
      </c>
      <c r="G589" s="24" t="str">
        <f ca="1">IFERROR(__xludf.DUMMYFUNCTION("GOOGLETRANSLATE(F589,""en"",""pt"")"),"Projetar sistemas brise soleil")</f>
        <v>Projetar sistemas brise soleil</v>
      </c>
      <c r="H589" s="20" t="s">
        <v>9410</v>
      </c>
      <c r="I589" s="20" t="s">
        <v>9014</v>
      </c>
    </row>
    <row r="590" spans="1:9" ht="14.5">
      <c r="A590" s="20" t="s">
        <v>9411</v>
      </c>
      <c r="B590" s="20">
        <v>25</v>
      </c>
      <c r="C590" s="20">
        <v>50</v>
      </c>
      <c r="D590" s="20">
        <v>75</v>
      </c>
      <c r="E590" s="24"/>
      <c r="F590" s="20" t="s">
        <v>9412</v>
      </c>
      <c r="G590" s="24" t="str">
        <f ca="1">IFERROR(__xludf.DUMMYFUNCTION("GOOGLETRANSLATE(F590,""en"",""pt"")"),"sistemas de tela")</f>
        <v>sistemas de tela</v>
      </c>
      <c r="H590" s="24"/>
      <c r="I590" s="24"/>
    </row>
    <row r="591" spans="1:9" ht="14.5">
      <c r="A591" s="20" t="s">
        <v>9413</v>
      </c>
      <c r="B591" s="20">
        <v>25</v>
      </c>
      <c r="C591" s="20">
        <v>50</v>
      </c>
      <c r="D591" s="20">
        <v>80</v>
      </c>
      <c r="E591" s="24"/>
      <c r="F591" s="20" t="s">
        <v>9414</v>
      </c>
      <c r="G591" s="24" t="str">
        <f ca="1">IFERROR(__xludf.DUMMYFUNCTION("GOOGLETRANSLATE(F591,""en"",""pt"")"),"sistemas de obturador")</f>
        <v>sistemas de obturador</v>
      </c>
      <c r="H591" s="24"/>
      <c r="I591" s="24"/>
    </row>
    <row r="592" spans="1:9" ht="14.5">
      <c r="A592" s="20" t="s">
        <v>9415</v>
      </c>
      <c r="B592" s="20">
        <v>25</v>
      </c>
      <c r="C592" s="20">
        <v>60</v>
      </c>
      <c r="D592" s="24"/>
      <c r="E592" s="24"/>
      <c r="F592" s="20" t="s">
        <v>9416</v>
      </c>
      <c r="G592" s="24" t="str">
        <f ca="1">IFERROR(__xludf.DUMMYFUNCTION("GOOGLETRANSLATE(F592,""en"",""pt"")"),"Parede e sistemas acessórios de barreira")</f>
        <v>Parede e sistemas acessórios de barreira</v>
      </c>
      <c r="H592" s="24"/>
      <c r="I592" s="24"/>
    </row>
    <row r="593" spans="1:9" ht="14.5">
      <c r="A593" s="20" t="s">
        <v>9417</v>
      </c>
      <c r="B593" s="20">
        <v>25</v>
      </c>
      <c r="C593" s="20">
        <v>60</v>
      </c>
      <c r="D593" s="20">
        <v>10</v>
      </c>
      <c r="E593" s="24"/>
      <c r="F593" s="20" t="s">
        <v>9418</v>
      </c>
      <c r="G593" s="24" t="str">
        <f ca="1">IFERROR(__xludf.DUMMYFUNCTION("GOOGLETRANSLATE(F593,""en"",""pt"")"),"Cavidade renovação laço parede e sistemas de inserção")</f>
        <v>Cavidade renovação laço parede e sistemas de inserção</v>
      </c>
      <c r="H593" s="24"/>
      <c r="I593" s="24"/>
    </row>
    <row r="594" spans="1:9" ht="14.5">
      <c r="A594" s="20" t="s">
        <v>9419</v>
      </c>
      <c r="B594" s="20">
        <v>25</v>
      </c>
      <c r="C594" s="20">
        <v>60</v>
      </c>
      <c r="D594" s="20">
        <v>30</v>
      </c>
      <c r="E594" s="24"/>
      <c r="F594" s="20" t="s">
        <v>9420</v>
      </c>
      <c r="G594" s="24" t="str">
        <f ca="1">IFERROR(__xludf.DUMMYFUNCTION("GOOGLETRANSLATE(F594,""en"",""pt"")"),"Fogo sistemas parar")</f>
        <v>Fogo sistemas parar</v>
      </c>
      <c r="H594" s="24"/>
      <c r="I594" s="24"/>
    </row>
    <row r="595" spans="1:9" ht="14.5">
      <c r="A595" s="20" t="s">
        <v>9421</v>
      </c>
      <c r="B595" s="20">
        <v>25</v>
      </c>
      <c r="C595" s="20">
        <v>60</v>
      </c>
      <c r="D595" s="20">
        <v>30</v>
      </c>
      <c r="E595" s="20">
        <v>40</v>
      </c>
      <c r="F595" s="20" t="s">
        <v>9422</v>
      </c>
      <c r="G595" s="24" t="str">
        <f ca="1">IFERROR(__xludf.DUMMYFUNCTION("GOOGLETRANSLATE(F595,""en"",""pt"")"),"serviços individuais penetrações sistemas de parar fogo")</f>
        <v>serviços individuais penetrações sistemas de parar fogo</v>
      </c>
      <c r="H595" s="20" t="s">
        <v>9423</v>
      </c>
      <c r="I595" s="20" t="s">
        <v>9424</v>
      </c>
    </row>
    <row r="596" spans="1:9" ht="14.5">
      <c r="A596" s="20" t="s">
        <v>9425</v>
      </c>
      <c r="B596" s="20">
        <v>25</v>
      </c>
      <c r="C596" s="20">
        <v>60</v>
      </c>
      <c r="D596" s="20">
        <v>30</v>
      </c>
      <c r="E596" s="20">
        <v>45</v>
      </c>
      <c r="F596" s="20" t="s">
        <v>9426</v>
      </c>
      <c r="G596" s="24" t="str">
        <f ca="1">IFERROR(__xludf.DUMMYFUNCTION("GOOGLETRANSLATE(F596,""en"",""pt"")"),"Linear fogo lacuna sistemas parar")</f>
        <v>Linear fogo lacuna sistemas parar</v>
      </c>
      <c r="H596" s="20" t="s">
        <v>9427</v>
      </c>
      <c r="I596" s="20" t="s">
        <v>9424</v>
      </c>
    </row>
    <row r="597" spans="1:9" ht="14.5">
      <c r="A597" s="20" t="s">
        <v>9428</v>
      </c>
      <c r="B597" s="20">
        <v>25</v>
      </c>
      <c r="C597" s="20">
        <v>60</v>
      </c>
      <c r="D597" s="20">
        <v>30</v>
      </c>
      <c r="E597" s="20">
        <v>48</v>
      </c>
      <c r="F597" s="20" t="s">
        <v>9429</v>
      </c>
      <c r="G597" s="24" t="str">
        <f ca="1">IFERROR(__xludf.DUMMYFUNCTION("GOOGLETRANSLATE(F597,""en"",""pt"")"),"sistemas de parar fogo soltos")</f>
        <v>sistemas de parar fogo soltos</v>
      </c>
      <c r="H597" s="20" t="s">
        <v>9430</v>
      </c>
      <c r="I597" s="20" t="s">
        <v>9424</v>
      </c>
    </row>
    <row r="598" spans="1:9" ht="14.5">
      <c r="A598" s="20" t="s">
        <v>9431</v>
      </c>
      <c r="B598" s="20">
        <v>25</v>
      </c>
      <c r="C598" s="20">
        <v>60</v>
      </c>
      <c r="D598" s="20">
        <v>30</v>
      </c>
      <c r="E598" s="20">
        <v>55</v>
      </c>
      <c r="F598" s="20" t="s">
        <v>9432</v>
      </c>
      <c r="G598" s="24" t="str">
        <f ca="1">IFERROR(__xludf.DUMMYFUNCTION("GOOGLETRANSLATE(F598,""en"",""pt"")"),"Vários serviços de penetrações sistemas de parar fogo")</f>
        <v>Vários serviços de penetrações sistemas de parar fogo</v>
      </c>
      <c r="H598" s="20" t="s">
        <v>9433</v>
      </c>
      <c r="I598" s="20" t="s">
        <v>9424</v>
      </c>
    </row>
    <row r="599" spans="1:9" ht="14.5">
      <c r="A599" s="20" t="s">
        <v>9434</v>
      </c>
      <c r="B599" s="20">
        <v>25</v>
      </c>
      <c r="C599" s="20">
        <v>60</v>
      </c>
      <c r="D599" s="20">
        <v>30</v>
      </c>
      <c r="E599" s="20">
        <v>62</v>
      </c>
      <c r="F599" s="20" t="s">
        <v>9435</v>
      </c>
      <c r="G599" s="24" t="str">
        <f ca="1">IFERROR(__xludf.DUMMYFUNCTION("GOOGLETRANSLATE(F599,""en"",""pt"")"),"fogo colarinho tubo de sistemas de parar")</f>
        <v>fogo colarinho tubo de sistemas de parar</v>
      </c>
      <c r="H599" s="20" t="s">
        <v>9436</v>
      </c>
      <c r="I599" s="20" t="s">
        <v>9424</v>
      </c>
    </row>
    <row r="600" spans="1:9" ht="14.5">
      <c r="A600" s="20" t="s">
        <v>9437</v>
      </c>
      <c r="B600" s="20">
        <v>25</v>
      </c>
      <c r="C600" s="20">
        <v>60</v>
      </c>
      <c r="D600" s="20">
        <v>35</v>
      </c>
      <c r="E600" s="24"/>
      <c r="F600" s="20" t="s">
        <v>9438</v>
      </c>
      <c r="G600" s="24" t="str">
        <f ca="1">IFERROR(__xludf.DUMMYFUNCTION("GOOGLETRANSLATE(F600,""en"",""pt"")"),"sistemas de vitrificação")</f>
        <v>sistemas de vitrificação</v>
      </c>
      <c r="H600" s="24"/>
      <c r="I600" s="24"/>
    </row>
    <row r="601" spans="1:9" ht="14.5">
      <c r="A601" s="20" t="s">
        <v>9439</v>
      </c>
      <c r="B601" s="20">
        <v>25</v>
      </c>
      <c r="C601" s="20">
        <v>60</v>
      </c>
      <c r="D601" s="20">
        <v>35</v>
      </c>
      <c r="E601" s="20">
        <v>6</v>
      </c>
      <c r="F601" s="20" t="s">
        <v>9440</v>
      </c>
      <c r="G601" s="24" t="str">
        <f ca="1">IFERROR(__xludf.DUMMYFUNCTION("GOOGLETRANSLATE(F601,""en"",""pt"")"),"Bead-fixo isolante sistemas de envidraçamento")</f>
        <v>Bead-fixo isolante sistemas de envidraçamento</v>
      </c>
      <c r="H601" s="20" t="s">
        <v>9441</v>
      </c>
      <c r="I601" s="20" t="s">
        <v>9442</v>
      </c>
    </row>
    <row r="602" spans="1:9" ht="14.5">
      <c r="A602" s="20" t="s">
        <v>9443</v>
      </c>
      <c r="B602" s="20">
        <v>25</v>
      </c>
      <c r="C602" s="20">
        <v>60</v>
      </c>
      <c r="D602" s="20">
        <v>35</v>
      </c>
      <c r="E602" s="20">
        <v>8</v>
      </c>
      <c r="F602" s="20" t="s">
        <v>9444</v>
      </c>
      <c r="G602" s="24" t="str">
        <f ca="1">IFERROR(__xludf.DUMMYFUNCTION("GOOGLETRANSLATE(F602,""en"",""pt"")"),"Bead-fixo sistemas de vidros simples")</f>
        <v>Bead-fixo sistemas de vidros simples</v>
      </c>
      <c r="H602" s="20" t="s">
        <v>9445</v>
      </c>
      <c r="I602" s="20" t="s">
        <v>9446</v>
      </c>
    </row>
    <row r="603" spans="1:9" ht="14.5">
      <c r="A603" s="20" t="s">
        <v>9447</v>
      </c>
      <c r="B603" s="20">
        <v>25</v>
      </c>
      <c r="C603" s="20">
        <v>60</v>
      </c>
      <c r="D603" s="20">
        <v>35</v>
      </c>
      <c r="E603" s="20">
        <v>30</v>
      </c>
      <c r="F603" s="20" t="s">
        <v>9448</v>
      </c>
      <c r="G603" s="24" t="str">
        <f ca="1">IFERROR(__xludf.DUMMYFUNCTION("GOOGLETRANSLATE(F603,""en"",""pt"")"),"sistemas de vidros resistentes ao fogo")</f>
        <v>sistemas de vidros resistentes ao fogo</v>
      </c>
      <c r="H603" s="20" t="s">
        <v>9449</v>
      </c>
      <c r="I603" s="20" t="s">
        <v>9450</v>
      </c>
    </row>
    <row r="604" spans="1:9" ht="14.5">
      <c r="A604" s="20" t="s">
        <v>9451</v>
      </c>
      <c r="B604" s="20">
        <v>25</v>
      </c>
      <c r="C604" s="20">
        <v>60</v>
      </c>
      <c r="D604" s="20">
        <v>35</v>
      </c>
      <c r="E604" s="20">
        <v>33</v>
      </c>
      <c r="F604" s="20" t="s">
        <v>9452</v>
      </c>
      <c r="G604" s="24" t="str">
        <f ca="1">IFERROR(__xludf.DUMMYFUNCTION("GOOGLETRANSLATE(F604,""en"",""pt"")"),"Glazing sistemas de filme")</f>
        <v>Glazing sistemas de filme</v>
      </c>
      <c r="H604" s="20" t="s">
        <v>9453</v>
      </c>
      <c r="I604" s="20" t="s">
        <v>9446</v>
      </c>
    </row>
    <row r="605" spans="1:9" ht="14.5">
      <c r="A605" s="20" t="s">
        <v>9454</v>
      </c>
      <c r="B605" s="20">
        <v>25</v>
      </c>
      <c r="C605" s="20">
        <v>60</v>
      </c>
      <c r="D605" s="20">
        <v>35</v>
      </c>
      <c r="E605" s="20">
        <v>35</v>
      </c>
      <c r="F605" s="20" t="s">
        <v>9455</v>
      </c>
      <c r="G605" s="24" t="str">
        <f ca="1">IFERROR(__xludf.DUMMYFUNCTION("GOOGLETRANSLATE(F605,""en"",""pt"")"),"sistemas de envidraçamento única fixa de ranhura")</f>
        <v>sistemas de envidraçamento única fixa de ranhura</v>
      </c>
      <c r="H605" s="20" t="s">
        <v>9456</v>
      </c>
      <c r="I605" s="20" t="s">
        <v>9442</v>
      </c>
    </row>
    <row r="606" spans="1:9" ht="14.5">
      <c r="A606" s="20" t="s">
        <v>9457</v>
      </c>
      <c r="B606" s="20">
        <v>25</v>
      </c>
      <c r="C606" s="20">
        <v>60</v>
      </c>
      <c r="D606" s="20">
        <v>35</v>
      </c>
      <c r="E606" s="20">
        <v>40</v>
      </c>
      <c r="F606" s="20" t="s">
        <v>9458</v>
      </c>
      <c r="G606" s="24" t="str">
        <f ca="1">IFERROR(__xludf.DUMMYFUNCTION("GOOGLETRANSLATE(F606,""en"",""pt"")"),"sistemas de vitrificação canal talão interno uso e fita, sulco ou")</f>
        <v>sistemas de vitrificação canal talão interno uso e fita, sulco ou</v>
      </c>
      <c r="H606" s="20" t="s">
        <v>9459</v>
      </c>
      <c r="I606" s="20" t="s">
        <v>9460</v>
      </c>
    </row>
    <row r="607" spans="1:9" ht="14.5">
      <c r="A607" s="20" t="s">
        <v>9461</v>
      </c>
      <c r="B607" s="20">
        <v>25</v>
      </c>
      <c r="C607" s="20">
        <v>60</v>
      </c>
      <c r="D607" s="20">
        <v>35</v>
      </c>
      <c r="E607" s="20">
        <v>50</v>
      </c>
      <c r="F607" s="20" t="s">
        <v>9462</v>
      </c>
      <c r="G607" s="24" t="str">
        <f ca="1">IFERROR(__xludf.DUMMYFUNCTION("GOOGLETRANSLATE(F607,""en"",""pt"")"),"Espelho sistemas de vitrificação")</f>
        <v>Espelho sistemas de vitrificação</v>
      </c>
      <c r="H607" s="20" t="s">
        <v>9463</v>
      </c>
      <c r="I607" s="20" t="s">
        <v>9464</v>
      </c>
    </row>
    <row r="608" spans="1:9" ht="14.5">
      <c r="A608" s="20" t="s">
        <v>9465</v>
      </c>
      <c r="B608" s="20">
        <v>25</v>
      </c>
      <c r="C608" s="20">
        <v>60</v>
      </c>
      <c r="D608" s="20">
        <v>35</v>
      </c>
      <c r="E608" s="20">
        <v>65</v>
      </c>
      <c r="F608" s="20" t="s">
        <v>9466</v>
      </c>
      <c r="G608" s="24" t="str">
        <f ca="1">IFERROR(__xludf.DUMMYFUNCTION("GOOGLETRANSLATE(F608,""en"",""pt"")"),"Putty com fachada de sistemas de vidros simples")</f>
        <v>Putty com fachada de sistemas de vidros simples</v>
      </c>
      <c r="H608" s="20" t="s">
        <v>9467</v>
      </c>
      <c r="I608" s="20" t="s">
        <v>9442</v>
      </c>
    </row>
    <row r="609" spans="1:9" ht="14.5">
      <c r="A609" s="20" t="s">
        <v>9468</v>
      </c>
      <c r="B609" s="20">
        <v>25</v>
      </c>
      <c r="C609" s="20">
        <v>60</v>
      </c>
      <c r="D609" s="20">
        <v>35</v>
      </c>
      <c r="E609" s="20">
        <v>75</v>
      </c>
      <c r="F609" s="20" t="s">
        <v>9469</v>
      </c>
      <c r="G609" s="24" t="str">
        <f ca="1">IFERROR(__xludf.DUMMYFUNCTION("GOOGLETRANSLATE(F609,""en"",""pt"")"),"sistemas de vedação de um só lado vidraças")</f>
        <v>sistemas de vedação de um só lado vidraças</v>
      </c>
      <c r="H609" s="20" t="s">
        <v>9470</v>
      </c>
      <c r="I609" s="20" t="s">
        <v>9446</v>
      </c>
    </row>
    <row r="610" spans="1:9" ht="14.5">
      <c r="A610" s="20" t="s">
        <v>9471</v>
      </c>
      <c r="B610" s="20">
        <v>25</v>
      </c>
      <c r="C610" s="20">
        <v>60</v>
      </c>
      <c r="D610" s="20">
        <v>35</v>
      </c>
      <c r="E610" s="20">
        <v>85</v>
      </c>
      <c r="F610" s="20" t="s">
        <v>9472</v>
      </c>
      <c r="G610" s="24" t="str">
        <f ca="1">IFERROR(__xludf.DUMMYFUNCTION("GOOGLETRANSLATE(F610,""en"",""pt"")"),"junta zíper estrutural sistemas de envidraçamento")</f>
        <v>junta zíper estrutural sistemas de envidraçamento</v>
      </c>
      <c r="H610" s="20" t="s">
        <v>9473</v>
      </c>
      <c r="I610" s="20" t="s">
        <v>8512</v>
      </c>
    </row>
    <row r="611" spans="1:9" ht="14.5">
      <c r="A611" s="20" t="s">
        <v>9474</v>
      </c>
      <c r="B611" s="20">
        <v>25</v>
      </c>
      <c r="C611" s="20">
        <v>60</v>
      </c>
      <c r="D611" s="20">
        <v>35</v>
      </c>
      <c r="E611" s="20">
        <v>95</v>
      </c>
      <c r="F611" s="20" t="s">
        <v>9475</v>
      </c>
      <c r="G611" s="24" t="str">
        <f ca="1">IFERROR(__xludf.DUMMYFUNCTION("GOOGLETRANSLATE(F611,""en"",""pt"")"),"U-perfilado sistemas de vitrificação")</f>
        <v>U-perfilado sistemas de vitrificação</v>
      </c>
      <c r="H611" s="20" t="s">
        <v>9476</v>
      </c>
      <c r="I611" s="20" t="s">
        <v>8512</v>
      </c>
    </row>
    <row r="612" spans="1:9" ht="14.5">
      <c r="A612" s="20" t="s">
        <v>9477</v>
      </c>
      <c r="B612" s="20">
        <v>25</v>
      </c>
      <c r="C612" s="20">
        <v>60</v>
      </c>
      <c r="D612" s="20">
        <v>50</v>
      </c>
      <c r="E612" s="24"/>
      <c r="F612" s="20" t="s">
        <v>9478</v>
      </c>
      <c r="G612" s="24" t="str">
        <f ca="1">IFERROR(__xludf.DUMMYFUNCTION("GOOGLETRANSLATE(F612,""en"",""pt"")"),"parede de chapa de metal de piscar e às condições atmosféricas sistemas")</f>
        <v>parede de chapa de metal de piscar e às condições atmosféricas sistemas</v>
      </c>
      <c r="H612" s="24"/>
      <c r="I612" s="24"/>
    </row>
    <row r="613" spans="1:9" ht="14.5">
      <c r="A613" s="20" t="s">
        <v>9479</v>
      </c>
      <c r="B613" s="20">
        <v>25</v>
      </c>
      <c r="C613" s="20">
        <v>60</v>
      </c>
      <c r="D613" s="20">
        <v>50</v>
      </c>
      <c r="E613" s="20">
        <v>3</v>
      </c>
      <c r="F613" s="20" t="s">
        <v>9480</v>
      </c>
      <c r="G613" s="24" t="str">
        <f ca="1">IFERROR(__xludf.DUMMYFUNCTION("GOOGLETRANSLATE(F613,""en"",""pt"")"),"parede de folha de alumínio sistemas intermitente")</f>
        <v>parede de folha de alumínio sistemas intermitente</v>
      </c>
      <c r="H613" s="20" t="s">
        <v>9481</v>
      </c>
      <c r="I613" s="20" t="s">
        <v>9482</v>
      </c>
    </row>
    <row r="614" spans="1:9" ht="14.5">
      <c r="A614" s="20" t="s">
        <v>9483</v>
      </c>
      <c r="B614" s="20">
        <v>25</v>
      </c>
      <c r="C614" s="20">
        <v>60</v>
      </c>
      <c r="D614" s="20">
        <v>50</v>
      </c>
      <c r="E614" s="20">
        <v>4</v>
      </c>
      <c r="F614" s="20" t="s">
        <v>9484</v>
      </c>
      <c r="G614" s="24" t="str">
        <f ca="1">IFERROR(__xludf.DUMMYFUNCTION("GOOGLETRANSLATE(F614,""en"",""pt"")"),"sistemas atmosféricos parede de folha de alumínio")</f>
        <v>sistemas atmosféricos parede de folha de alumínio</v>
      </c>
      <c r="H614" s="20" t="s">
        <v>9485</v>
      </c>
      <c r="I614" s="20" t="s">
        <v>9482</v>
      </c>
    </row>
    <row r="615" spans="1:9" ht="14.5">
      <c r="A615" s="20" t="s">
        <v>9486</v>
      </c>
      <c r="B615" s="20">
        <v>25</v>
      </c>
      <c r="C615" s="20">
        <v>60</v>
      </c>
      <c r="D615" s="20">
        <v>50</v>
      </c>
      <c r="E615" s="20">
        <v>11</v>
      </c>
      <c r="F615" s="20" t="s">
        <v>9487</v>
      </c>
      <c r="G615" s="24" t="str">
        <f ca="1">IFERROR(__xludf.DUMMYFUNCTION("GOOGLETRANSLATE(F615,""en"",""pt"")"),"parede de aço carbono sistemas intermitente")</f>
        <v>parede de aço carbono sistemas intermitente</v>
      </c>
      <c r="H615" s="20" t="s">
        <v>9488</v>
      </c>
      <c r="I615" s="24"/>
    </row>
    <row r="616" spans="1:9" ht="14.5">
      <c r="A616" s="20" t="s">
        <v>9489</v>
      </c>
      <c r="B616" s="20">
        <v>25</v>
      </c>
      <c r="C616" s="20">
        <v>60</v>
      </c>
      <c r="D616" s="20">
        <v>50</v>
      </c>
      <c r="E616" s="20">
        <v>12</v>
      </c>
      <c r="F616" s="20" t="s">
        <v>9490</v>
      </c>
      <c r="G616" s="24" t="str">
        <f ca="1">IFERROR(__xludf.DUMMYFUNCTION("GOOGLETRANSLATE(F616,""en"",""pt"")"),"sistemas atmosféricos de parede de aço de carbono")</f>
        <v>sistemas atmosféricos de parede de aço de carbono</v>
      </c>
      <c r="H616" s="24"/>
      <c r="I616" s="24"/>
    </row>
    <row r="617" spans="1:9" ht="14.5">
      <c r="A617" s="20" t="s">
        <v>9491</v>
      </c>
      <c r="B617" s="20">
        <v>25</v>
      </c>
      <c r="C617" s="20">
        <v>60</v>
      </c>
      <c r="D617" s="20">
        <v>50</v>
      </c>
      <c r="E617" s="20">
        <v>14</v>
      </c>
      <c r="F617" s="20" t="s">
        <v>9492</v>
      </c>
      <c r="G617" s="24" t="str">
        <f ca="1">IFERROR(__xludf.DUMMYFUNCTION("GOOGLETRANSLATE(F617,""en"",""pt"")"),"parede de chapa de cobre de sistemas intermitente")</f>
        <v>parede de chapa de cobre de sistemas intermitente</v>
      </c>
      <c r="H617" s="20" t="s">
        <v>9493</v>
      </c>
      <c r="I617" s="20" t="s">
        <v>9482</v>
      </c>
    </row>
    <row r="618" spans="1:9" ht="14.5">
      <c r="A618" s="20" t="s">
        <v>9494</v>
      </c>
      <c r="B618" s="20">
        <v>25</v>
      </c>
      <c r="C618" s="20">
        <v>60</v>
      </c>
      <c r="D618" s="20">
        <v>50</v>
      </c>
      <c r="E618" s="20">
        <v>15</v>
      </c>
      <c r="F618" s="20" t="s">
        <v>9495</v>
      </c>
      <c r="G618" s="24" t="str">
        <f ca="1">IFERROR(__xludf.DUMMYFUNCTION("GOOGLETRANSLATE(F618,""en"",""pt"")"),"sistemas de parede de chapa de cobre atmosféricos")</f>
        <v>sistemas de parede de chapa de cobre atmosféricos</v>
      </c>
      <c r="H618" s="24"/>
      <c r="I618" s="24"/>
    </row>
    <row r="619" spans="1:9" ht="14.5">
      <c r="A619" s="20" t="s">
        <v>9496</v>
      </c>
      <c r="B619" s="20">
        <v>25</v>
      </c>
      <c r="C619" s="20">
        <v>60</v>
      </c>
      <c r="D619" s="20">
        <v>50</v>
      </c>
      <c r="E619" s="20">
        <v>47</v>
      </c>
      <c r="F619" s="20" t="s">
        <v>9497</v>
      </c>
      <c r="G619" s="24" t="str">
        <f ca="1">IFERROR(__xludf.DUMMYFUNCTION("GOOGLETRANSLATE(F619,""en"",""pt"")"),"Chumbo úmido sistemas de cursos de prova")</f>
        <v>Chumbo úmido sistemas de cursos de prova</v>
      </c>
      <c r="H619" s="20" t="s">
        <v>9498</v>
      </c>
      <c r="I619" s="20" t="s">
        <v>9499</v>
      </c>
    </row>
    <row r="620" spans="1:9" ht="14.5">
      <c r="A620" s="20" t="s">
        <v>9500</v>
      </c>
      <c r="B620" s="20">
        <v>25</v>
      </c>
      <c r="C620" s="20">
        <v>60</v>
      </c>
      <c r="D620" s="20">
        <v>50</v>
      </c>
      <c r="E620" s="20">
        <v>48</v>
      </c>
      <c r="F620" s="20" t="s">
        <v>9501</v>
      </c>
      <c r="G620" s="24" t="str">
        <f ca="1">IFERROR(__xludf.DUMMYFUNCTION("GOOGLETRANSLATE(F620,""en"",""pt"")"),"parede de folha de chumbo sistemas intermitente")</f>
        <v>parede de folha de chumbo sistemas intermitente</v>
      </c>
      <c r="H620" s="20" t="s">
        <v>9502</v>
      </c>
      <c r="I620" s="20" t="s">
        <v>9482</v>
      </c>
    </row>
    <row r="621" spans="1:9" ht="14.5">
      <c r="A621" s="20" t="s">
        <v>9503</v>
      </c>
      <c r="B621" s="20">
        <v>25</v>
      </c>
      <c r="C621" s="20">
        <v>60</v>
      </c>
      <c r="D621" s="20">
        <v>50</v>
      </c>
      <c r="E621" s="20">
        <v>49</v>
      </c>
      <c r="F621" s="20" t="s">
        <v>9504</v>
      </c>
      <c r="G621" s="24" t="str">
        <f ca="1">IFERROR(__xludf.DUMMYFUNCTION("GOOGLETRANSLATE(F621,""en"",""pt"")"),"sistemas atmosféricos parede folha de chumbo")</f>
        <v>sistemas atmosféricos parede folha de chumbo</v>
      </c>
      <c r="H621" s="20" t="s">
        <v>9505</v>
      </c>
      <c r="I621" s="20" t="s">
        <v>9506</v>
      </c>
    </row>
    <row r="622" spans="1:9" ht="14.5">
      <c r="A622" s="20" t="s">
        <v>9507</v>
      </c>
      <c r="B622" s="20">
        <v>25</v>
      </c>
      <c r="C622" s="20">
        <v>60</v>
      </c>
      <c r="D622" s="20">
        <v>50</v>
      </c>
      <c r="E622" s="20">
        <v>84</v>
      </c>
      <c r="F622" s="20" t="s">
        <v>9508</v>
      </c>
      <c r="G622" s="24" t="str">
        <f ca="1">IFERROR(__xludf.DUMMYFUNCTION("GOOGLETRANSLATE(F622,""en"",""pt"")"),"parede de chapa de aço inoxidável sistemas intermitente")</f>
        <v>parede de chapa de aço inoxidável sistemas intermitente</v>
      </c>
      <c r="H622" s="20" t="s">
        <v>9509</v>
      </c>
      <c r="I622" s="20" t="s">
        <v>9510</v>
      </c>
    </row>
    <row r="623" spans="1:9" ht="14.5">
      <c r="A623" s="20" t="s">
        <v>9511</v>
      </c>
      <c r="B623" s="20">
        <v>25</v>
      </c>
      <c r="C623" s="20">
        <v>60</v>
      </c>
      <c r="D623" s="20">
        <v>50</v>
      </c>
      <c r="E623" s="20">
        <v>85</v>
      </c>
      <c r="F623" s="20" t="s">
        <v>9512</v>
      </c>
      <c r="G623" s="24" t="str">
        <f ca="1">IFERROR(__xludf.DUMMYFUNCTION("GOOGLETRANSLATE(F623,""en"",""pt"")"),"sistemas de parede de folha de aço inoxidável atmosféricos")</f>
        <v>sistemas de parede de folha de aço inoxidável atmosféricos</v>
      </c>
      <c r="H623" s="24"/>
      <c r="I623" s="24"/>
    </row>
    <row r="624" spans="1:9" ht="14.5">
      <c r="A624" s="20" t="s">
        <v>9513</v>
      </c>
      <c r="B624" s="20">
        <v>25</v>
      </c>
      <c r="C624" s="20">
        <v>60</v>
      </c>
      <c r="D624" s="20">
        <v>50</v>
      </c>
      <c r="E624" s="20">
        <v>94</v>
      </c>
      <c r="F624" s="20" t="s">
        <v>9514</v>
      </c>
      <c r="G624" s="24" t="str">
        <f ca="1">IFERROR(__xludf.DUMMYFUNCTION("GOOGLETRANSLATE(F624,""en"",""pt"")"),"parede de folha de zinco sistemas intermitente")</f>
        <v>parede de folha de zinco sistemas intermitente</v>
      </c>
      <c r="H624" s="20" t="s">
        <v>9515</v>
      </c>
      <c r="I624" s="20" t="s">
        <v>9510</v>
      </c>
    </row>
    <row r="625" spans="1:9" ht="14.5">
      <c r="A625" s="20" t="s">
        <v>9516</v>
      </c>
      <c r="B625" s="20">
        <v>25</v>
      </c>
      <c r="C625" s="20">
        <v>60</v>
      </c>
      <c r="D625" s="20">
        <v>50</v>
      </c>
      <c r="E625" s="20">
        <v>95</v>
      </c>
      <c r="F625" s="20" t="s">
        <v>9517</v>
      </c>
      <c r="G625" s="24" t="str">
        <f ca="1">IFERROR(__xludf.DUMMYFUNCTION("GOOGLETRANSLATE(F625,""en"",""pt"")"),"sistemas atmosféricos parede folha de zinco")</f>
        <v>sistemas atmosféricos parede folha de zinco</v>
      </c>
      <c r="H625" s="24"/>
      <c r="I625" s="24"/>
    </row>
    <row r="626" spans="1:9" ht="14.5">
      <c r="A626" s="20" t="s">
        <v>9518</v>
      </c>
      <c r="B626" s="20">
        <v>25</v>
      </c>
      <c r="C626" s="20">
        <v>95</v>
      </c>
      <c r="D626" s="24"/>
      <c r="E626" s="24"/>
      <c r="F626" s="20" t="s">
        <v>9519</v>
      </c>
      <c r="G626" s="24" t="str">
        <f ca="1">IFERROR(__xludf.DUMMYFUNCTION("GOOGLETRANSLATE(F626,""en"",""pt"")"),"sistemas de parede e de barreira temporárias")</f>
        <v>sistemas de parede e de barreira temporárias</v>
      </c>
      <c r="H626" s="24"/>
      <c r="I626" s="24"/>
    </row>
    <row r="627" spans="1:9" ht="14.5">
      <c r="A627" s="20" t="s">
        <v>9520</v>
      </c>
      <c r="B627" s="20">
        <v>25</v>
      </c>
      <c r="C627" s="20">
        <v>95</v>
      </c>
      <c r="D627" s="20">
        <v>30</v>
      </c>
      <c r="E627" s="24"/>
      <c r="F627" s="20" t="s">
        <v>9521</v>
      </c>
      <c r="G627" s="24" t="str">
        <f ca="1">IFERROR(__xludf.DUMMYFUNCTION("GOOGLETRANSLATE(F627,""en"",""pt"")"),"sistemas de barreira inundações temporárias")</f>
        <v>sistemas de barreira inundações temporárias</v>
      </c>
      <c r="H627" s="24"/>
      <c r="I627" s="24"/>
    </row>
    <row r="628" spans="1:9" ht="14.5">
      <c r="A628" s="20" t="s">
        <v>9522</v>
      </c>
      <c r="B628" s="20">
        <v>25</v>
      </c>
      <c r="C628" s="20">
        <v>95</v>
      </c>
      <c r="D628" s="20">
        <v>60</v>
      </c>
      <c r="E628" s="24"/>
      <c r="F628" s="20" t="s">
        <v>9523</v>
      </c>
      <c r="G628" s="24" t="str">
        <f ca="1">IFERROR(__xludf.DUMMYFUNCTION("GOOGLETRANSLATE(F628,""en"",""pt"")"),"sistemas de barreira de pedestres temporária")</f>
        <v>sistemas de barreira de pedestres temporária</v>
      </c>
      <c r="H628" s="24"/>
      <c r="I628" s="24"/>
    </row>
    <row r="629" spans="1:9" ht="14.5">
      <c r="A629" s="20" t="s">
        <v>9524</v>
      </c>
      <c r="B629" s="20">
        <v>25</v>
      </c>
      <c r="C629" s="20">
        <v>95</v>
      </c>
      <c r="D629" s="20">
        <v>70</v>
      </c>
      <c r="E629" s="24"/>
      <c r="F629" s="20" t="s">
        <v>9525</v>
      </c>
      <c r="G629" s="24" t="str">
        <f ca="1">IFERROR(__xludf.DUMMYFUNCTION("GOOGLETRANSLATE(F629,""en"",""pt"")"),"sistemas de barreira ferroviárias temporária")</f>
        <v>sistemas de barreira ferroviárias temporária</v>
      </c>
      <c r="H629" s="24"/>
      <c r="I629" s="24"/>
    </row>
    <row r="630" spans="1:9" ht="14.5">
      <c r="A630" s="20" t="s">
        <v>9526</v>
      </c>
      <c r="B630" s="20">
        <v>25</v>
      </c>
      <c r="C630" s="20">
        <v>95</v>
      </c>
      <c r="D630" s="20">
        <v>75</v>
      </c>
      <c r="E630" s="24"/>
      <c r="F630" s="20" t="s">
        <v>9527</v>
      </c>
      <c r="G630" s="24" t="str">
        <f ca="1">IFERROR(__xludf.DUMMYFUNCTION("GOOGLETRANSLATE(F630,""en"",""pt"")"),"sistemas de barreira estrada temporários")</f>
        <v>sistemas de barreira estrada temporários</v>
      </c>
      <c r="H630" s="24"/>
      <c r="I630" s="24"/>
    </row>
    <row r="631" spans="1:9" ht="14.5">
      <c r="A631" s="20" t="s">
        <v>9528</v>
      </c>
      <c r="B631" s="20">
        <v>25</v>
      </c>
      <c r="C631" s="20">
        <v>95</v>
      </c>
      <c r="D631" s="20">
        <v>85</v>
      </c>
      <c r="E631" s="24"/>
      <c r="F631" s="20" t="s">
        <v>9529</v>
      </c>
      <c r="G631" s="24" t="str">
        <f ca="1">IFERROR(__xludf.DUMMYFUNCTION("GOOGLETRANSLATE(F631,""en"",""pt"")"),"sistemas de barreira de trânsito temporária")</f>
        <v>sistemas de barreira de trânsito temporária</v>
      </c>
      <c r="H631" s="24"/>
      <c r="I631" s="24"/>
    </row>
    <row r="632" spans="1:9" ht="14.5">
      <c r="A632" s="20" t="s">
        <v>9530</v>
      </c>
      <c r="B632" s="20">
        <v>25</v>
      </c>
      <c r="C632" s="20">
        <v>95</v>
      </c>
      <c r="D632" s="20">
        <v>90</v>
      </c>
      <c r="E632" s="24"/>
      <c r="F632" s="20" t="s">
        <v>9531</v>
      </c>
      <c r="G632" s="24" t="str">
        <f ca="1">IFERROR(__xludf.DUMMYFUNCTION("GOOGLETRANSLATE(F632,""en"",""pt"")"),"sistemas de barreira água temporários")</f>
        <v>sistemas de barreira água temporários</v>
      </c>
      <c r="H632" s="24"/>
      <c r="I632" s="24"/>
    </row>
    <row r="633" spans="1:9" ht="14.5">
      <c r="A633" s="20" t="s">
        <v>9532</v>
      </c>
      <c r="B633" s="20">
        <v>30</v>
      </c>
      <c r="C633" s="24"/>
      <c r="D633" s="24"/>
      <c r="E633" s="24"/>
      <c r="F633" s="20" t="s">
        <v>9533</v>
      </c>
      <c r="G633" s="24" t="str">
        <f ca="1">IFERROR(__xludf.DUMMYFUNCTION("GOOGLETRANSLATE(F633,""en"",""pt"")"),"sistemas de pavimentação telhado, piso e")</f>
        <v>sistemas de pavimentação telhado, piso e</v>
      </c>
      <c r="H633" s="24"/>
      <c r="I633" s="24"/>
    </row>
    <row r="634" spans="1:9" ht="14.5">
      <c r="A634" s="20" t="s">
        <v>9534</v>
      </c>
      <c r="B634" s="20">
        <v>30</v>
      </c>
      <c r="C634" s="20">
        <v>10</v>
      </c>
      <c r="D634" s="24"/>
      <c r="E634" s="24"/>
      <c r="F634" s="20" t="s">
        <v>9535</v>
      </c>
      <c r="G634" s="24" t="str">
        <f ca="1">IFERROR(__xludf.DUMMYFUNCTION("GOOGLETRANSLATE(F634,""en"",""pt"")"),"Frequência, sistemas de estrutura de telhado em arco e abobadadas")</f>
        <v>Frequência, sistemas de estrutura de telhado em arco e abobadadas</v>
      </c>
      <c r="H634" s="24"/>
      <c r="I634" s="24"/>
    </row>
    <row r="635" spans="1:9" ht="14.5">
      <c r="A635" s="20" t="s">
        <v>9536</v>
      </c>
      <c r="B635" s="20">
        <v>30</v>
      </c>
      <c r="C635" s="20">
        <v>10</v>
      </c>
      <c r="D635" s="20">
        <v>30</v>
      </c>
      <c r="E635" s="24"/>
      <c r="F635" s="20" t="s">
        <v>9537</v>
      </c>
      <c r="G635" s="24" t="str">
        <f ca="1">IFERROR(__xludf.DUMMYFUNCTION("GOOGLETRANSLATE(F635,""en"",""pt"")"),"sistemas de estrutura de telhado emoldurada")</f>
        <v>sistemas de estrutura de telhado emoldurada</v>
      </c>
      <c r="H635" s="24"/>
      <c r="I635" s="24"/>
    </row>
    <row r="636" spans="1:9" ht="14.5">
      <c r="A636" s="20" t="s">
        <v>9538</v>
      </c>
      <c r="B636" s="20">
        <v>30</v>
      </c>
      <c r="C636" s="20">
        <v>10</v>
      </c>
      <c r="D636" s="20">
        <v>30</v>
      </c>
      <c r="E636" s="20">
        <v>3</v>
      </c>
      <c r="F636" s="20" t="s">
        <v>9539</v>
      </c>
      <c r="G636" s="24" t="str">
        <f ca="1">IFERROR(__xludf.DUMMYFUNCTION("GOOGLETRANSLATE(F636,""en"",""pt"")"),"sistemas de moldação de alumínio telhado")</f>
        <v>sistemas de moldação de alumínio telhado</v>
      </c>
      <c r="H636" s="24"/>
      <c r="I636" s="24"/>
    </row>
    <row r="637" spans="1:9" ht="14.5">
      <c r="A637" s="20" t="s">
        <v>9540</v>
      </c>
      <c r="B637" s="20">
        <v>30</v>
      </c>
      <c r="C637" s="20">
        <v>10</v>
      </c>
      <c r="D637" s="20">
        <v>30</v>
      </c>
      <c r="E637" s="20">
        <v>20</v>
      </c>
      <c r="F637" s="20" t="s">
        <v>9541</v>
      </c>
      <c r="G637" s="24" t="str">
        <f ca="1">IFERROR(__xludf.DUMMYFUNCTION("GOOGLETRANSLATE(F637,""en"",""pt"")"),"sistemas de moldação telhado unidade de vidros")</f>
        <v>sistemas de moldação telhado unidade de vidros</v>
      </c>
      <c r="H637" s="24"/>
      <c r="I637" s="24"/>
    </row>
    <row r="638" spans="1:9" ht="14.5">
      <c r="A638" s="20" t="s">
        <v>9542</v>
      </c>
      <c r="B638" s="20">
        <v>30</v>
      </c>
      <c r="C638" s="20">
        <v>10</v>
      </c>
      <c r="D638" s="20">
        <v>30</v>
      </c>
      <c r="E638" s="20">
        <v>25</v>
      </c>
      <c r="F638" s="20" t="s">
        <v>9543</v>
      </c>
      <c r="G638" s="24" t="str">
        <f ca="1">IFERROR(__xludf.DUMMYFUNCTION("GOOGLETRANSLATE(F638,""en"",""pt"")"),"sistemas de moldação telhado de aço pesado")</f>
        <v>sistemas de moldação telhado de aço pesado</v>
      </c>
      <c r="H638" s="20" t="s">
        <v>9544</v>
      </c>
      <c r="I638" s="20" t="s">
        <v>8312</v>
      </c>
    </row>
    <row r="639" spans="1:9" ht="14.5">
      <c r="A639" s="20" t="s">
        <v>9545</v>
      </c>
      <c r="B639" s="20">
        <v>30</v>
      </c>
      <c r="C639" s="20">
        <v>10</v>
      </c>
      <c r="D639" s="20">
        <v>30</v>
      </c>
      <c r="E639" s="20">
        <v>30</v>
      </c>
      <c r="F639" s="20" t="s">
        <v>9546</v>
      </c>
      <c r="G639" s="24" t="str">
        <f ca="1">IFERROR(__xludf.DUMMYFUNCTION("GOOGLETRANSLATE(F639,""en"",""pt"")"),"sistemas de espaço do telhado de armação de aço pesado")</f>
        <v>sistemas de espaço do telhado de armação de aço pesado</v>
      </c>
      <c r="H639" s="20" t="s">
        <v>9547</v>
      </c>
      <c r="I639" s="20" t="s">
        <v>9548</v>
      </c>
    </row>
    <row r="640" spans="1:9" ht="14.5">
      <c r="A640" s="20" t="s">
        <v>9549</v>
      </c>
      <c r="B640" s="20">
        <v>30</v>
      </c>
      <c r="C640" s="20">
        <v>10</v>
      </c>
      <c r="D640" s="20">
        <v>30</v>
      </c>
      <c r="E640" s="20">
        <v>35</v>
      </c>
      <c r="F640" s="20" t="s">
        <v>9550</v>
      </c>
      <c r="G640" s="24" t="str">
        <f ca="1">IFERROR(__xludf.DUMMYFUNCTION("GOOGLETRANSLATE(F640,""en"",""pt"")"),"sistemas de espaço do telhado de treliça de aço pesada")</f>
        <v>sistemas de espaço do telhado de treliça de aço pesada</v>
      </c>
      <c r="H640" s="20" t="s">
        <v>9551</v>
      </c>
      <c r="I640" s="20" t="s">
        <v>9552</v>
      </c>
    </row>
    <row r="641" spans="1:9" ht="14.5">
      <c r="A641" s="20" t="s">
        <v>9553</v>
      </c>
      <c r="B641" s="20">
        <v>30</v>
      </c>
      <c r="C641" s="20">
        <v>10</v>
      </c>
      <c r="D641" s="20">
        <v>30</v>
      </c>
      <c r="E641" s="20">
        <v>45</v>
      </c>
      <c r="F641" s="20" t="s">
        <v>9554</v>
      </c>
      <c r="G641" s="24" t="str">
        <f ca="1">IFERROR(__xludf.DUMMYFUNCTION("GOOGLETRANSLATE(F641,""en"",""pt"")"),"sistemas de enquadramento telhado de aço leve")</f>
        <v>sistemas de enquadramento telhado de aço leve</v>
      </c>
      <c r="H641" s="20" t="s">
        <v>9555</v>
      </c>
      <c r="I641" s="20" t="s">
        <v>9548</v>
      </c>
    </row>
    <row r="642" spans="1:9" ht="14.5">
      <c r="A642" s="20" t="s">
        <v>9556</v>
      </c>
      <c r="B642" s="20">
        <v>30</v>
      </c>
      <c r="C642" s="20">
        <v>10</v>
      </c>
      <c r="D642" s="20">
        <v>30</v>
      </c>
      <c r="E642" s="20">
        <v>58</v>
      </c>
      <c r="F642" s="20" t="s">
        <v>9557</v>
      </c>
      <c r="G642" s="24" t="str">
        <f ca="1">IFERROR(__xludf.DUMMYFUNCTION("GOOGLETRANSLATE(F642,""en"",""pt"")"),"sistemas de moldação de telhado Plastics")</f>
        <v>sistemas de moldação de telhado Plastics</v>
      </c>
      <c r="H642" s="24"/>
      <c r="I642" s="24"/>
    </row>
    <row r="643" spans="1:9" ht="14.5">
      <c r="A643" s="20" t="s">
        <v>9558</v>
      </c>
      <c r="B643" s="20">
        <v>30</v>
      </c>
      <c r="C643" s="20">
        <v>10</v>
      </c>
      <c r="D643" s="20">
        <v>30</v>
      </c>
      <c r="E643" s="20">
        <v>60</v>
      </c>
      <c r="F643" s="20" t="s">
        <v>9559</v>
      </c>
      <c r="G643" s="24" t="str">
        <f ca="1">IFERROR(__xludf.DUMMYFUNCTION("GOOGLETRANSLATE(F643,""en"",""pt"")"),"sistemas de estrutura de telhado de betão pré-moldado")</f>
        <v>sistemas de estrutura de telhado de betão pré-moldado</v>
      </c>
      <c r="H643" s="20" t="s">
        <v>9560</v>
      </c>
      <c r="I643" s="24"/>
    </row>
    <row r="644" spans="1:9" ht="14.5">
      <c r="A644" s="20" t="s">
        <v>9561</v>
      </c>
      <c r="B644" s="20">
        <v>30</v>
      </c>
      <c r="C644" s="20">
        <v>10</v>
      </c>
      <c r="D644" s="20">
        <v>30</v>
      </c>
      <c r="E644" s="20">
        <v>70</v>
      </c>
      <c r="F644" s="20" t="s">
        <v>9562</v>
      </c>
      <c r="G644" s="24" t="str">
        <f ca="1">IFERROR(__xludf.DUMMYFUNCTION("GOOGLETRANSLATE(F644,""en"",""pt"")"),"sistemas de estrutura do telhado de concreto armado")</f>
        <v>sistemas de estrutura do telhado de concreto armado</v>
      </c>
      <c r="H644" s="24"/>
      <c r="I644" s="24"/>
    </row>
    <row r="645" spans="1:9" ht="14.5">
      <c r="A645" s="20" t="s">
        <v>9563</v>
      </c>
      <c r="B645" s="20">
        <v>30</v>
      </c>
      <c r="C645" s="20">
        <v>10</v>
      </c>
      <c r="D645" s="20">
        <v>30</v>
      </c>
      <c r="E645" s="20">
        <v>85</v>
      </c>
      <c r="F645" s="20" t="s">
        <v>9564</v>
      </c>
      <c r="G645" s="24" t="str">
        <f ca="1">IFERROR(__xludf.DUMMYFUNCTION("GOOGLETRANSLATE(F645,""en"",""pt"")"),"sistemas de moldação telhado de madeira")</f>
        <v>sistemas de moldação telhado de madeira</v>
      </c>
      <c r="H645" s="20" t="s">
        <v>9565</v>
      </c>
      <c r="I645" s="20" t="s">
        <v>9566</v>
      </c>
    </row>
    <row r="646" spans="1:9" ht="14.5">
      <c r="A646" s="20" t="s">
        <v>9567</v>
      </c>
      <c r="B646" s="20">
        <v>30</v>
      </c>
      <c r="C646" s="20">
        <v>10</v>
      </c>
      <c r="D646" s="20">
        <v>50</v>
      </c>
      <c r="E646" s="24"/>
      <c r="F646" s="20" t="s">
        <v>9568</v>
      </c>
      <c r="G646" s="24" t="str">
        <f ca="1">IFERROR(__xludf.DUMMYFUNCTION("GOOGLETRANSLATE(F646,""en"",""pt"")"),"sistemas de estrutura de telhado monolíticos")</f>
        <v>sistemas de estrutura de telhado monolíticos</v>
      </c>
      <c r="H646" s="24"/>
      <c r="I646" s="24"/>
    </row>
    <row r="647" spans="1:9" ht="14.5">
      <c r="A647" s="20" t="s">
        <v>9569</v>
      </c>
      <c r="B647" s="20">
        <v>30</v>
      </c>
      <c r="C647" s="20">
        <v>10</v>
      </c>
      <c r="D647" s="20">
        <v>50</v>
      </c>
      <c r="E647" s="20">
        <v>70</v>
      </c>
      <c r="F647" s="20" t="s">
        <v>9570</v>
      </c>
      <c r="G647" s="24" t="str">
        <f ca="1">IFERROR(__xludf.DUMMYFUNCTION("GOOGLETRANSLATE(F647,""en"",""pt"")"),"sistemas de telhado de concreto pulverizado")</f>
        <v>sistemas de telhado de concreto pulverizado</v>
      </c>
      <c r="H647" s="20" t="s">
        <v>9571</v>
      </c>
      <c r="I647" s="20" t="s">
        <v>9572</v>
      </c>
    </row>
    <row r="648" spans="1:9" ht="14.5">
      <c r="A648" s="20" t="s">
        <v>9573</v>
      </c>
      <c r="B648" s="20">
        <v>30</v>
      </c>
      <c r="C648" s="20">
        <v>10</v>
      </c>
      <c r="D648" s="20">
        <v>60</v>
      </c>
      <c r="E648" s="24"/>
      <c r="F648" s="20" t="s">
        <v>9574</v>
      </c>
      <c r="G648" s="24" t="str">
        <f ca="1">IFERROR(__xludf.DUMMYFUNCTION("GOOGLETRANSLATE(F648,""en"",""pt"")"),"sistemas de estrutura de telhado do painel")</f>
        <v>sistemas de estrutura de telhado do painel</v>
      </c>
      <c r="H648" s="24"/>
      <c r="I648" s="24"/>
    </row>
    <row r="649" spans="1:9" ht="14.5">
      <c r="A649" s="20" t="s">
        <v>9575</v>
      </c>
      <c r="B649" s="20">
        <v>30</v>
      </c>
      <c r="C649" s="20">
        <v>10</v>
      </c>
      <c r="D649" s="20">
        <v>90</v>
      </c>
      <c r="E649" s="24"/>
      <c r="F649" s="20" t="s">
        <v>9576</v>
      </c>
      <c r="G649" s="24" t="str">
        <f ca="1">IFERROR(__xludf.DUMMYFUNCTION("GOOGLETRANSLATE(F649,""en"",""pt"")"),"sistemas de estrutura de telhado Unidade")</f>
        <v>sistemas de estrutura de telhado Unidade</v>
      </c>
      <c r="H649" s="24"/>
      <c r="I649" s="24"/>
    </row>
    <row r="650" spans="1:9" ht="14.5">
      <c r="A650" s="20" t="s">
        <v>9577</v>
      </c>
      <c r="B650" s="20">
        <v>30</v>
      </c>
      <c r="C650" s="20">
        <v>10</v>
      </c>
      <c r="D650" s="20">
        <v>90</v>
      </c>
      <c r="E650" s="20">
        <v>50</v>
      </c>
      <c r="F650" s="20" t="s">
        <v>9578</v>
      </c>
      <c r="G650" s="24" t="str">
        <f ca="1">IFERROR(__xludf.DUMMYFUNCTION("GOOGLETRANSLATE(F650,""en"",""pt"")"),"sistemas de telhado de alvenaria")</f>
        <v>sistemas de telhado de alvenaria</v>
      </c>
      <c r="H650" s="20" t="s">
        <v>9579</v>
      </c>
      <c r="I650" s="20" t="s">
        <v>9566</v>
      </c>
    </row>
    <row r="651" spans="1:9" ht="14.5">
      <c r="A651" s="20" t="s">
        <v>9580</v>
      </c>
      <c r="B651" s="20">
        <v>30</v>
      </c>
      <c r="C651" s="20">
        <v>12</v>
      </c>
      <c r="D651" s="24"/>
      <c r="E651" s="24"/>
      <c r="F651" s="20" t="s">
        <v>9581</v>
      </c>
      <c r="G651" s="24" t="str">
        <f ca="1">IFERROR(__xludf.DUMMYFUNCTION("GOOGLETRANSLATE(F651,""en"",""pt"")"),"sistemas de estrutura plana telhado, piso e da plataforma")</f>
        <v>sistemas de estrutura plana telhado, piso e da plataforma</v>
      </c>
      <c r="H651" s="24"/>
      <c r="I651" s="24"/>
    </row>
    <row r="652" spans="1:9" ht="14.5">
      <c r="A652" s="20" t="s">
        <v>9582</v>
      </c>
      <c r="B652" s="20">
        <v>30</v>
      </c>
      <c r="C652" s="20">
        <v>12</v>
      </c>
      <c r="D652" s="20">
        <v>5</v>
      </c>
      <c r="E652" s="24"/>
      <c r="F652" s="20" t="s">
        <v>9583</v>
      </c>
      <c r="G652" s="24" t="str">
        <f ca="1">IFERROR(__xludf.DUMMYFUNCTION("GOOGLETRANSLATE(F652,""en"",""pt"")"),"sistemas de chão de blocos Beam e")</f>
        <v>sistemas de chão de blocos Beam e</v>
      </c>
      <c r="H652" s="24"/>
      <c r="I652" s="24"/>
    </row>
    <row r="653" spans="1:9" ht="14.5">
      <c r="A653" s="20" t="s">
        <v>9584</v>
      </c>
      <c r="B653" s="20">
        <v>30</v>
      </c>
      <c r="C653" s="20">
        <v>12</v>
      </c>
      <c r="D653" s="20">
        <v>15</v>
      </c>
      <c r="E653" s="24"/>
      <c r="F653" s="20" t="s">
        <v>9585</v>
      </c>
      <c r="G653" s="24" t="str">
        <f ca="1">IFERROR(__xludf.DUMMYFUNCTION("GOOGLETRANSLATE(F653,""en"",""pt"")"),"sistemas de chão de tábuas de concreto")</f>
        <v>sistemas de chão de tábuas de concreto</v>
      </c>
      <c r="H653" s="24"/>
      <c r="I653" s="24"/>
    </row>
    <row r="654" spans="1:9" ht="14.5">
      <c r="A654" s="20" t="s">
        <v>9586</v>
      </c>
      <c r="B654" s="20">
        <v>30</v>
      </c>
      <c r="C654" s="20">
        <v>12</v>
      </c>
      <c r="D654" s="20">
        <v>20</v>
      </c>
      <c r="E654" s="24"/>
      <c r="F654" s="20" t="s">
        <v>9587</v>
      </c>
      <c r="G654" s="24" t="str">
        <f ca="1">IFERROR(__xludf.DUMMYFUNCTION("GOOGLETRANSLATE(F654,""en"",""pt"")"),"sistemas de plataforma")</f>
        <v>sistemas de plataforma</v>
      </c>
      <c r="H654" s="24"/>
      <c r="I654" s="24"/>
    </row>
    <row r="655" spans="1:9" ht="14.5">
      <c r="A655" s="20" t="s">
        <v>9588</v>
      </c>
      <c r="B655" s="20">
        <v>30</v>
      </c>
      <c r="C655" s="20">
        <v>12</v>
      </c>
      <c r="D655" s="20">
        <v>30</v>
      </c>
      <c r="E655" s="24"/>
      <c r="F655" s="20" t="s">
        <v>9589</v>
      </c>
      <c r="G655" s="24" t="str">
        <f ca="1">IFERROR(__xludf.DUMMYFUNCTION("GOOGLETRANSLATE(F655,""en"",""pt"")"),"sistemas de telhado plano e piso cassete estrutural do painel de isolamento (SIP)")</f>
        <v>sistemas de telhado plano e piso cassete estrutural do painel de isolamento (SIP)</v>
      </c>
      <c r="H655" s="24"/>
      <c r="I655" s="24"/>
    </row>
    <row r="656" spans="1:9" ht="14.5">
      <c r="A656" s="20" t="s">
        <v>9590</v>
      </c>
      <c r="B656" s="20">
        <v>30</v>
      </c>
      <c r="C656" s="20">
        <v>12</v>
      </c>
      <c r="D656" s="20">
        <v>32</v>
      </c>
      <c r="E656" s="24"/>
      <c r="F656" s="20" t="s">
        <v>9591</v>
      </c>
      <c r="G656" s="24" t="str">
        <f ca="1">IFERROR(__xludf.DUMMYFUNCTION("GOOGLETRANSLATE(F656,""en"",""pt"")"),"sistemas de decks emolduradas")</f>
        <v>sistemas de decks emolduradas</v>
      </c>
      <c r="H656" s="24"/>
      <c r="I656" s="24"/>
    </row>
    <row r="657" spans="1:9" ht="14.5">
      <c r="A657" s="20" t="s">
        <v>9592</v>
      </c>
      <c r="B657" s="20">
        <v>30</v>
      </c>
      <c r="C657" s="20">
        <v>12</v>
      </c>
      <c r="D657" s="20">
        <v>33</v>
      </c>
      <c r="E657" s="24"/>
      <c r="F657" s="20" t="s">
        <v>9593</v>
      </c>
      <c r="G657" s="24" t="str">
        <f ca="1">IFERROR(__xludf.DUMMYFUNCTION("GOOGLETRANSLATE(F657,""en"",""pt"")"),"sistemas de chão emolduradas")</f>
        <v>sistemas de chão emolduradas</v>
      </c>
      <c r="H657" s="24"/>
      <c r="I657" s="24"/>
    </row>
    <row r="658" spans="1:9" ht="14.5">
      <c r="A658" s="20" t="s">
        <v>9594</v>
      </c>
      <c r="B658" s="20">
        <v>30</v>
      </c>
      <c r="C658" s="20">
        <v>12</v>
      </c>
      <c r="D658" s="20">
        <v>34</v>
      </c>
      <c r="E658" s="24"/>
      <c r="F658" s="20" t="s">
        <v>9595</v>
      </c>
      <c r="G658" s="24" t="str">
        <f ca="1">IFERROR(__xludf.DUMMYFUNCTION("GOOGLETRANSLATE(F658,""en"",""pt"")"),"sistemas mezanino emolduradas")</f>
        <v>sistemas mezanino emolduradas</v>
      </c>
      <c r="H658" s="24"/>
      <c r="I658" s="24"/>
    </row>
    <row r="659" spans="1:9" ht="14.5">
      <c r="A659" s="20" t="s">
        <v>9596</v>
      </c>
      <c r="B659" s="20">
        <v>30</v>
      </c>
      <c r="C659" s="20">
        <v>12</v>
      </c>
      <c r="D659" s="20">
        <v>35</v>
      </c>
      <c r="E659" s="24"/>
      <c r="F659" s="20" t="s">
        <v>9597</v>
      </c>
      <c r="G659" s="24" t="str">
        <f ca="1">IFERROR(__xludf.DUMMYFUNCTION("GOOGLETRANSLATE(F659,""en"",""pt"")"),"sistemas de chão unidade de alvenaria de vidro")</f>
        <v>sistemas de chão unidade de alvenaria de vidro</v>
      </c>
      <c r="H659" s="24"/>
      <c r="I659" s="24"/>
    </row>
    <row r="660" spans="1:9" ht="14.5">
      <c r="A660" s="20" t="s">
        <v>9598</v>
      </c>
      <c r="B660" s="20">
        <v>30</v>
      </c>
      <c r="C660" s="20">
        <v>12</v>
      </c>
      <c r="D660" s="20">
        <v>45</v>
      </c>
      <c r="E660" s="24"/>
      <c r="F660" s="20" t="s">
        <v>9599</v>
      </c>
      <c r="G660" s="24" t="str">
        <f ca="1">IFERROR(__xludf.DUMMYFUNCTION("GOOGLETRANSLATE(F660,""en"",""pt"")"),"sistemas de chão de concreto prancha de elevação-up")</f>
        <v>sistemas de chão de concreto prancha de elevação-up</v>
      </c>
      <c r="H660" s="24"/>
      <c r="I660" s="24"/>
    </row>
    <row r="661" spans="1:9" ht="14.5">
      <c r="A661" s="20" t="s">
        <v>9600</v>
      </c>
      <c r="B661" s="20">
        <v>30</v>
      </c>
      <c r="C661" s="20">
        <v>12</v>
      </c>
      <c r="D661" s="20">
        <v>50</v>
      </c>
      <c r="E661" s="24"/>
      <c r="F661" s="20" t="s">
        <v>9601</v>
      </c>
      <c r="G661" s="24" t="str">
        <f ca="1">IFERROR(__xludf.DUMMYFUNCTION("GOOGLETRANSLATE(F661,""en"",""pt"")"),"Alvenaria (Arch plana) sistemas de chão")</f>
        <v>Alvenaria (Arch plana) sistemas de chão</v>
      </c>
      <c r="H661" s="24"/>
      <c r="I661" s="24"/>
    </row>
    <row r="662" spans="1:9" ht="14.5">
      <c r="A662" s="20" t="s">
        <v>9602</v>
      </c>
      <c r="B662" s="20">
        <v>30</v>
      </c>
      <c r="C662" s="20">
        <v>12</v>
      </c>
      <c r="D662" s="20">
        <v>60</v>
      </c>
      <c r="E662" s="24"/>
      <c r="F662" s="20" t="s">
        <v>9603</v>
      </c>
      <c r="G662" s="24" t="str">
        <f ca="1">IFERROR(__xludf.DUMMYFUNCTION("GOOGLETRANSLATE(F662,""en"",""pt"")"),"sistemas estruturais e molhe cais")</f>
        <v>sistemas estruturais e molhe cais</v>
      </c>
      <c r="H662" s="24"/>
      <c r="I662" s="24"/>
    </row>
    <row r="663" spans="1:9" ht="14.5">
      <c r="A663" s="20" t="s">
        <v>9604</v>
      </c>
      <c r="B663" s="20">
        <v>30</v>
      </c>
      <c r="C663" s="20">
        <v>12</v>
      </c>
      <c r="D663" s="20">
        <v>64</v>
      </c>
      <c r="E663" s="24"/>
      <c r="F663" s="20" t="s">
        <v>9605</v>
      </c>
      <c r="G663" s="24" t="str">
        <f ca="1">IFERROR(__xludf.DUMMYFUNCTION("GOOGLETRANSLATE(F663,""en"",""pt"")"),"sistemas da plataforma")</f>
        <v>sistemas da plataforma</v>
      </c>
      <c r="H663" s="24"/>
      <c r="I663" s="24"/>
    </row>
    <row r="664" spans="1:9" ht="14.5">
      <c r="A664" s="20" t="s">
        <v>9606</v>
      </c>
      <c r="B664" s="20">
        <v>30</v>
      </c>
      <c r="C664" s="20">
        <v>12</v>
      </c>
      <c r="D664" s="20">
        <v>64</v>
      </c>
      <c r="E664" s="20">
        <v>17</v>
      </c>
      <c r="F664" s="20" t="s">
        <v>9607</v>
      </c>
      <c r="G664" s="24" t="str">
        <f ca="1">IFERROR(__xludf.DUMMYFUNCTION("GOOGLETRANSLATE(F664,""en"",""pt"")"),"sistemas da plataforma parede transversal")</f>
        <v>sistemas da plataforma parede transversal</v>
      </c>
      <c r="H664" s="20" t="s">
        <v>9608</v>
      </c>
      <c r="I664" s="24"/>
    </row>
    <row r="665" spans="1:9" ht="14.5">
      <c r="A665" s="20" t="s">
        <v>9609</v>
      </c>
      <c r="B665" s="20">
        <v>30</v>
      </c>
      <c r="C665" s="20">
        <v>12</v>
      </c>
      <c r="D665" s="20">
        <v>64</v>
      </c>
      <c r="E665" s="20">
        <v>30</v>
      </c>
      <c r="F665" s="20" t="s">
        <v>9610</v>
      </c>
      <c r="G665" s="24" t="str">
        <f ca="1">IFERROR(__xludf.DUMMYFUNCTION("GOOGLETRANSLATE(F665,""en"",""pt"")"),"sistemas da plataforma parede frontal")</f>
        <v>sistemas da plataforma parede frontal</v>
      </c>
      <c r="H665" s="20" t="s">
        <v>9611</v>
      </c>
      <c r="I665" s="24"/>
    </row>
    <row r="666" spans="1:9" ht="14.5">
      <c r="A666" s="20" t="s">
        <v>9612</v>
      </c>
      <c r="B666" s="20">
        <v>30</v>
      </c>
      <c r="C666" s="20">
        <v>12</v>
      </c>
      <c r="D666" s="20">
        <v>64</v>
      </c>
      <c r="E666" s="20">
        <v>53</v>
      </c>
      <c r="F666" s="20" t="s">
        <v>9613</v>
      </c>
      <c r="G666" s="24" t="str">
        <f ca="1">IFERROR(__xludf.DUMMYFUNCTION("GOOGLETRANSLATE(F666,""en"",""pt"")"),"sistemas de plataforma modular")</f>
        <v>sistemas de plataforma modular</v>
      </c>
      <c r="H666" s="20" t="s">
        <v>9614</v>
      </c>
      <c r="I666" s="24"/>
    </row>
    <row r="667" spans="1:9" ht="14.5">
      <c r="A667" s="20" t="s">
        <v>9615</v>
      </c>
      <c r="B667" s="20">
        <v>30</v>
      </c>
      <c r="C667" s="20">
        <v>12</v>
      </c>
      <c r="D667" s="20">
        <v>85</v>
      </c>
      <c r="E667" s="24"/>
      <c r="F667" s="20" t="s">
        <v>9616</v>
      </c>
      <c r="G667" s="24" t="str">
        <f ca="1">IFERROR(__xludf.DUMMYFUNCTION("GOOGLETRANSLATE(F667,""en"",""pt"")"),"sistemas de convés estruturais")</f>
        <v>sistemas de convés estruturais</v>
      </c>
      <c r="H667" s="24"/>
      <c r="I667" s="24"/>
    </row>
    <row r="668" spans="1:9" ht="14.5">
      <c r="A668" s="20" t="s">
        <v>9617</v>
      </c>
      <c r="B668" s="20">
        <v>30</v>
      </c>
      <c r="C668" s="20">
        <v>12</v>
      </c>
      <c r="D668" s="20">
        <v>85</v>
      </c>
      <c r="E668" s="20">
        <v>15</v>
      </c>
      <c r="F668" s="20" t="s">
        <v>9618</v>
      </c>
      <c r="G668" s="24" t="str">
        <f ca="1">IFERROR(__xludf.DUMMYFUNCTION("GOOGLETRANSLATE(F668,""en"",""pt"")"),"piso de concreto Composite, sistemas de plataforma do telhado ou varanda")</f>
        <v>piso de concreto Composite, sistemas de plataforma do telhado ou varanda</v>
      </c>
      <c r="H668" s="20" t="s">
        <v>9619</v>
      </c>
      <c r="I668" s="20" t="s">
        <v>9620</v>
      </c>
    </row>
    <row r="669" spans="1:9" ht="14.5">
      <c r="A669" s="20" t="s">
        <v>9621</v>
      </c>
      <c r="B669" s="20">
        <v>30</v>
      </c>
      <c r="C669" s="20">
        <v>12</v>
      </c>
      <c r="D669" s="20">
        <v>85</v>
      </c>
      <c r="E669" s="20">
        <v>16</v>
      </c>
      <c r="F669" s="20" t="s">
        <v>9622</v>
      </c>
      <c r="G669" s="24" t="str">
        <f ca="1">IFERROR(__xludf.DUMMYFUNCTION("GOOGLETRANSLATE(F669,""en"",""pt"")"),"aço composto e piso de concreto, sistemas de plataforma do telhado ou varanda")</f>
        <v>aço composto e piso de concreto, sistemas de plataforma do telhado ou varanda</v>
      </c>
      <c r="H669" s="20" t="s">
        <v>9623</v>
      </c>
      <c r="I669" s="20" t="s">
        <v>9620</v>
      </c>
    </row>
    <row r="670" spans="1:9" ht="14.5">
      <c r="A670" s="20" t="s">
        <v>9624</v>
      </c>
      <c r="B670" s="20">
        <v>30</v>
      </c>
      <c r="C670" s="20">
        <v>12</v>
      </c>
      <c r="D670" s="20">
        <v>85</v>
      </c>
      <c r="E670" s="20">
        <v>17</v>
      </c>
      <c r="F670" s="20" t="s">
        <v>9625</v>
      </c>
      <c r="G670" s="24" t="str">
        <f ca="1">IFERROR(__xludf.DUMMYFUNCTION("GOOGLETRANSLATE(F670,""en"",""pt"")"),"viga de betão e os sistemas de plataforma de assoalho bloco ou de telhado")</f>
        <v>viga de betão e os sistemas de plataforma de assoalho bloco ou de telhado</v>
      </c>
      <c r="H670" s="20" t="s">
        <v>9626</v>
      </c>
      <c r="I670" s="20" t="s">
        <v>9627</v>
      </c>
    </row>
    <row r="671" spans="1:9" ht="14.5">
      <c r="A671" s="20" t="s">
        <v>9628</v>
      </c>
      <c r="B671" s="20">
        <v>30</v>
      </c>
      <c r="C671" s="20">
        <v>12</v>
      </c>
      <c r="D671" s="20">
        <v>85</v>
      </c>
      <c r="E671" s="20">
        <v>18</v>
      </c>
      <c r="F671" s="20" t="s">
        <v>9629</v>
      </c>
      <c r="G671" s="24" t="str">
        <f ca="1">IFERROR(__xludf.DUMMYFUNCTION("GOOGLETRANSLATE(F671,""en"",""pt"")"),"sistemas de piso deck concreto ou telhado")</f>
        <v>sistemas de piso deck concreto ou telhado</v>
      </c>
      <c r="H671" s="20" t="s">
        <v>9630</v>
      </c>
      <c r="I671" s="20" t="s">
        <v>9627</v>
      </c>
    </row>
    <row r="672" spans="1:9" ht="14.5">
      <c r="A672" s="20" t="s">
        <v>9631</v>
      </c>
      <c r="B672" s="20">
        <v>30</v>
      </c>
      <c r="C672" s="20">
        <v>12</v>
      </c>
      <c r="D672" s="20">
        <v>85</v>
      </c>
      <c r="E672" s="20">
        <v>30</v>
      </c>
      <c r="F672" s="20" t="s">
        <v>9632</v>
      </c>
      <c r="G672" s="24" t="str">
        <f ca="1">IFERROR(__xludf.DUMMYFUNCTION("GOOGLETRANSLATE(F672,""en"",""pt"")"),"sistemas de piso deck unidade de vidros ou telhado")</f>
        <v>sistemas de piso deck unidade de vidros ou telhado</v>
      </c>
      <c r="H672" s="20" t="s">
        <v>9633</v>
      </c>
      <c r="I672" s="20" t="s">
        <v>9634</v>
      </c>
    </row>
    <row r="673" spans="1:9" ht="14.5">
      <c r="A673" s="20" t="s">
        <v>9635</v>
      </c>
      <c r="B673" s="20">
        <v>30</v>
      </c>
      <c r="C673" s="20">
        <v>12</v>
      </c>
      <c r="D673" s="20">
        <v>85</v>
      </c>
      <c r="E673" s="20">
        <v>40</v>
      </c>
      <c r="F673" s="20" t="s">
        <v>9636</v>
      </c>
      <c r="G673" s="24" t="str">
        <f ca="1">IFERROR(__xludf.DUMMYFUNCTION("GOOGLETRANSLATE(F673,""en"",""pt"")"),"piso de aço pesado, sistemas de plataforma do telhado ou varanda")</f>
        <v>piso de aço pesado, sistemas de plataforma do telhado ou varanda</v>
      </c>
      <c r="H673" s="20" t="s">
        <v>9637</v>
      </c>
      <c r="I673" s="20" t="s">
        <v>9638</v>
      </c>
    </row>
    <row r="674" spans="1:9" ht="14.5">
      <c r="A674" s="20" t="s">
        <v>9639</v>
      </c>
      <c r="B674" s="20">
        <v>30</v>
      </c>
      <c r="C674" s="20">
        <v>12</v>
      </c>
      <c r="D674" s="20">
        <v>85</v>
      </c>
      <c r="E674" s="20">
        <v>50</v>
      </c>
      <c r="F674" s="20" t="s">
        <v>9640</v>
      </c>
      <c r="G674" s="24" t="str">
        <f ca="1">IFERROR(__xludf.DUMMYFUNCTION("GOOGLETRANSLATE(F674,""en"",""pt"")"),"piso de aço leve, sistemas de plataforma do telhado ou varanda")</f>
        <v>piso de aço leve, sistemas de plataforma do telhado ou varanda</v>
      </c>
      <c r="H674" s="20" t="s">
        <v>9641</v>
      </c>
      <c r="I674" s="20" t="s">
        <v>9638</v>
      </c>
    </row>
    <row r="675" spans="1:9" ht="14.5">
      <c r="A675" s="20" t="s">
        <v>9642</v>
      </c>
      <c r="B675" s="20">
        <v>30</v>
      </c>
      <c r="C675" s="20">
        <v>12</v>
      </c>
      <c r="D675" s="20">
        <v>85</v>
      </c>
      <c r="E675" s="20">
        <v>65</v>
      </c>
      <c r="F675" s="20" t="s">
        <v>9643</v>
      </c>
      <c r="G675" s="24" t="str">
        <f ca="1">IFERROR(__xludf.DUMMYFUNCTION("GOOGLETRANSLATE(F675,""en"",""pt"")"),"Pós tensionado sistemas de plataforma de concreto piso ou telhado")</f>
        <v>Pós tensionado sistemas de plataforma de concreto piso ou telhado</v>
      </c>
      <c r="H675" s="20" t="s">
        <v>9644</v>
      </c>
      <c r="I675" s="24"/>
    </row>
    <row r="676" spans="1:9" ht="14.5">
      <c r="A676" s="20" t="s">
        <v>9645</v>
      </c>
      <c r="B676" s="20">
        <v>30</v>
      </c>
      <c r="C676" s="20">
        <v>12</v>
      </c>
      <c r="D676" s="20">
        <v>85</v>
      </c>
      <c r="E676" s="20">
        <v>70</v>
      </c>
      <c r="F676" s="20" t="s">
        <v>9646</v>
      </c>
      <c r="G676" s="24" t="str">
        <f ca="1">IFERROR(__xludf.DUMMYFUNCTION("GOOGLETRANSLATE(F676,""en"",""pt"")"),"sistemas de piso deck, telhado ou varanda de betão armado")</f>
        <v>sistemas de piso deck, telhado ou varanda de betão armado</v>
      </c>
      <c r="H676" s="20" t="s">
        <v>9647</v>
      </c>
      <c r="I676" s="20" t="s">
        <v>9620</v>
      </c>
    </row>
    <row r="677" spans="1:9" ht="14.5">
      <c r="A677" s="20" t="s">
        <v>9648</v>
      </c>
      <c r="B677" s="20">
        <v>30</v>
      </c>
      <c r="C677" s="20">
        <v>12</v>
      </c>
      <c r="D677" s="20">
        <v>85</v>
      </c>
      <c r="E677" s="20">
        <v>90</v>
      </c>
      <c r="F677" s="20" t="s">
        <v>9649</v>
      </c>
      <c r="G677" s="24" t="str">
        <f ca="1">IFERROR(__xludf.DUMMYFUNCTION("GOOGLETRANSLATE(F677,""en"",""pt"")"),"piso de madeira, sistemas de plataforma do telhado ou varanda")</f>
        <v>piso de madeira, sistemas de plataforma do telhado ou varanda</v>
      </c>
      <c r="H677" s="20" t="s">
        <v>9650</v>
      </c>
      <c r="I677" s="20" t="s">
        <v>9620</v>
      </c>
    </row>
    <row r="678" spans="1:9" ht="14.5">
      <c r="A678" s="20" t="s">
        <v>9651</v>
      </c>
      <c r="B678" s="20">
        <v>30</v>
      </c>
      <c r="C678" s="20">
        <v>14</v>
      </c>
      <c r="D678" s="24"/>
      <c r="E678" s="24"/>
      <c r="F678" s="20" t="s">
        <v>9652</v>
      </c>
      <c r="G678" s="24" t="str">
        <f ca="1">IFERROR(__xludf.DUMMYFUNCTION("GOOGLETRANSLATE(F678,""en"",""pt"")"),"sistemas de pavimentação")</f>
        <v>sistemas de pavimentação</v>
      </c>
      <c r="H678" s="24"/>
      <c r="I678" s="24"/>
    </row>
    <row r="679" spans="1:9" ht="14.5">
      <c r="A679" s="20" t="s">
        <v>9653</v>
      </c>
      <c r="B679" s="20">
        <v>30</v>
      </c>
      <c r="C679" s="20">
        <v>14</v>
      </c>
      <c r="D679" s="20">
        <v>2</v>
      </c>
      <c r="E679" s="24"/>
      <c r="F679" s="20" t="s">
        <v>9654</v>
      </c>
      <c r="G679" s="24" t="str">
        <f ca="1">IFERROR(__xludf.DUMMYFUNCTION("GOOGLETRANSLATE(F679,""en"",""pt"")"),"sistemas de pavimentação agregado ligado resina acrílica e")</f>
        <v>sistemas de pavimentação agregado ligado resina acrílica e</v>
      </c>
      <c r="H679" s="24"/>
      <c r="I679" s="24"/>
    </row>
    <row r="680" spans="1:9" ht="14.5">
      <c r="A680" s="20" t="s">
        <v>9655</v>
      </c>
      <c r="B680" s="20">
        <v>30</v>
      </c>
      <c r="C680" s="20">
        <v>14</v>
      </c>
      <c r="D680" s="20">
        <v>2</v>
      </c>
      <c r="E680" s="20">
        <v>30</v>
      </c>
      <c r="F680" s="20" t="s">
        <v>9656</v>
      </c>
      <c r="G680" s="24" t="str">
        <f ca="1">IFERROR(__xludf.DUMMYFUNCTION("GOOGLETRANSLATE(F680,""en"",""pt"")"),"sistemas de sobreposição agregado ligado por resina reforçada com fibras")</f>
        <v>sistemas de sobreposição agregado ligado por resina reforçada com fibras</v>
      </c>
      <c r="H680" s="20" t="s">
        <v>9657</v>
      </c>
      <c r="I680" s="20" t="s">
        <v>5676</v>
      </c>
    </row>
    <row r="681" spans="1:9" ht="14.5">
      <c r="A681" s="20" t="s">
        <v>9658</v>
      </c>
      <c r="B681" s="20">
        <v>30</v>
      </c>
      <c r="C681" s="20">
        <v>14</v>
      </c>
      <c r="D681" s="20">
        <v>2</v>
      </c>
      <c r="E681" s="20">
        <v>41</v>
      </c>
      <c r="F681" s="20" t="s">
        <v>9659</v>
      </c>
      <c r="G681" s="24" t="str">
        <f ca="1">IFERROR(__xludf.DUMMYFUNCTION("GOOGLETRANSLATE(F681,""en"",""pt"")"),"Absorção de impacto jogo sintético e sistemas de desporto pavimentação")</f>
        <v>Absorção de impacto jogo sintético e sistemas de desporto pavimentação</v>
      </c>
      <c r="H681" s="20" t="s">
        <v>9660</v>
      </c>
      <c r="I681" s="20" t="s">
        <v>5671</v>
      </c>
    </row>
    <row r="682" spans="1:9" ht="14.5">
      <c r="A682" s="20" t="s">
        <v>9661</v>
      </c>
      <c r="B682" s="20">
        <v>30</v>
      </c>
      <c r="C682" s="20">
        <v>14</v>
      </c>
      <c r="D682" s="20">
        <v>2</v>
      </c>
      <c r="E682" s="20">
        <v>42</v>
      </c>
      <c r="F682" s="20" t="s">
        <v>9662</v>
      </c>
      <c r="G682" s="24" t="str">
        <f ca="1">IFERROR(__xludf.DUMMYFUNCTION("GOOGLETRANSLATE(F682,""en"",""pt"")"),"Impermeáveis ​​acrílico esportes revestidos sistemas de pavimentação")</f>
        <v>Impermeáveis ​​acrílico esportes revestidos sistemas de pavimentação</v>
      </c>
      <c r="H682" s="20" t="s">
        <v>9663</v>
      </c>
      <c r="I682" s="20" t="s">
        <v>5671</v>
      </c>
    </row>
    <row r="683" spans="1:9" ht="14.5">
      <c r="A683" s="20" t="s">
        <v>9664</v>
      </c>
      <c r="B683" s="20">
        <v>30</v>
      </c>
      <c r="C683" s="20">
        <v>14</v>
      </c>
      <c r="D683" s="20">
        <v>2</v>
      </c>
      <c r="E683" s="20">
        <v>70</v>
      </c>
      <c r="F683" s="20" t="s">
        <v>9665</v>
      </c>
      <c r="G683" s="24" t="str">
        <f ca="1">IFERROR(__xludf.DUMMYFUNCTION("GOOGLETRANSLATE(F683,""en"",""pt"")"),"sistemas de pavimentação agregada aglutinada-resina")</f>
        <v>sistemas de pavimentação agregada aglutinada-resina</v>
      </c>
      <c r="H683" s="20" t="s">
        <v>9666</v>
      </c>
      <c r="I683" s="20" t="s">
        <v>5676</v>
      </c>
    </row>
    <row r="684" spans="1:9" ht="14.5">
      <c r="A684" s="20" t="s">
        <v>9667</v>
      </c>
      <c r="B684" s="20">
        <v>30</v>
      </c>
      <c r="C684" s="20">
        <v>14</v>
      </c>
      <c r="D684" s="20">
        <v>2</v>
      </c>
      <c r="E684" s="20">
        <v>71</v>
      </c>
      <c r="F684" s="20" t="s">
        <v>9668</v>
      </c>
      <c r="G684" s="24" t="str">
        <f ca="1">IFERROR(__xludf.DUMMYFUNCTION("GOOGLETRANSLATE(F684,""en"",""pt"")"),"sistemas de pavimentação de acção ligeira agregado ligado a resina")</f>
        <v>sistemas de pavimentação de acção ligeira agregado ligado a resina</v>
      </c>
      <c r="H684" s="20" t="s">
        <v>9669</v>
      </c>
      <c r="I684" s="20" t="s">
        <v>5676</v>
      </c>
    </row>
    <row r="685" spans="1:9" ht="14.5">
      <c r="A685" s="20" t="s">
        <v>9670</v>
      </c>
      <c r="B685" s="20">
        <v>30</v>
      </c>
      <c r="C685" s="20">
        <v>14</v>
      </c>
      <c r="D685" s="20">
        <v>2</v>
      </c>
      <c r="E685" s="20">
        <v>72</v>
      </c>
      <c r="F685" s="20" t="s">
        <v>9671</v>
      </c>
      <c r="G685" s="24" t="str">
        <f ca="1">IFERROR(__xludf.DUMMYFUNCTION("GOOGLETRANSLATE(F685,""en"",""pt"")"),"sistemas de pavimentação agregado pesados ​​ligados a resina")</f>
        <v>sistemas de pavimentação agregado pesados ​​ligados a resina</v>
      </c>
      <c r="H685" s="24"/>
      <c r="I685" s="24"/>
    </row>
    <row r="686" spans="1:9" ht="14.5">
      <c r="A686" s="20" t="s">
        <v>9672</v>
      </c>
      <c r="B686" s="20">
        <v>30</v>
      </c>
      <c r="C686" s="20">
        <v>14</v>
      </c>
      <c r="D686" s="20">
        <v>2</v>
      </c>
      <c r="E686" s="20">
        <v>73</v>
      </c>
      <c r="F686" s="20" t="s">
        <v>9673</v>
      </c>
      <c r="G686" s="24" t="str">
        <f ca="1">IFERROR(__xludf.DUMMYFUNCTION("GOOGLETRANSLATE(F686,""en"",""pt"")"),"sistemas de sobreposição agregado ligado a resina")</f>
        <v>sistemas de sobreposição agregado ligado a resina</v>
      </c>
      <c r="H686" s="20" t="s">
        <v>9674</v>
      </c>
      <c r="I686" s="20" t="s">
        <v>5676</v>
      </c>
    </row>
    <row r="687" spans="1:9" ht="14.5">
      <c r="A687" s="20" t="s">
        <v>9675</v>
      </c>
      <c r="B687" s="20">
        <v>30</v>
      </c>
      <c r="C687" s="20">
        <v>14</v>
      </c>
      <c r="D687" s="20">
        <v>2</v>
      </c>
      <c r="E687" s="20">
        <v>74</v>
      </c>
      <c r="F687" s="20" t="s">
        <v>9676</v>
      </c>
      <c r="G687" s="24" t="str">
        <f ca="1">IFERROR(__xludf.DUMMYFUNCTION("GOOGLETRANSLATE(F687,""en"",""pt"")"),"ligada a resina de pedra esportes agregados sistemas de pavimentação")</f>
        <v>ligada a resina de pedra esportes agregados sistemas de pavimentação</v>
      </c>
      <c r="H687" s="24"/>
      <c r="I687" s="24"/>
    </row>
    <row r="688" spans="1:9" ht="14.5">
      <c r="A688" s="20" t="s">
        <v>9677</v>
      </c>
      <c r="B688" s="20">
        <v>30</v>
      </c>
      <c r="C688" s="20">
        <v>14</v>
      </c>
      <c r="D688" s="20">
        <v>2</v>
      </c>
      <c r="E688" s="20">
        <v>85</v>
      </c>
      <c r="F688" s="20" t="s">
        <v>9678</v>
      </c>
      <c r="G688" s="24" t="str">
        <f ca="1">IFERROR(__xludf.DUMMYFUNCTION("GOOGLETRANSLATE(F688,""en"",""pt"")"),"sistemas de pavimentação de jogo sintética")</f>
        <v>sistemas de pavimentação de jogo sintética</v>
      </c>
      <c r="H688" s="24"/>
      <c r="I688" s="24"/>
    </row>
    <row r="689" spans="1:9" ht="14.5">
      <c r="A689" s="20" t="s">
        <v>9679</v>
      </c>
      <c r="B689" s="20">
        <v>30</v>
      </c>
      <c r="C689" s="20">
        <v>14</v>
      </c>
      <c r="D689" s="20">
        <v>5</v>
      </c>
      <c r="E689" s="24"/>
      <c r="F689" s="20" t="s">
        <v>9680</v>
      </c>
      <c r="G689" s="24" t="str">
        <f ca="1">IFERROR(__xludf.DUMMYFUNCTION("GOOGLETRANSLATE(F689,""en"",""pt"")"),"Estrada asfaltada e sistemas de pavimentação")</f>
        <v>Estrada asfaltada e sistemas de pavimentação</v>
      </c>
      <c r="H689" s="24"/>
      <c r="I689" s="24"/>
    </row>
    <row r="690" spans="1:9" ht="14.5">
      <c r="A690" s="20" t="s">
        <v>9681</v>
      </c>
      <c r="B690" s="20">
        <v>30</v>
      </c>
      <c r="C690" s="20">
        <v>14</v>
      </c>
      <c r="D690" s="20">
        <v>5</v>
      </c>
      <c r="E690" s="20">
        <v>5</v>
      </c>
      <c r="F690" s="20" t="s">
        <v>9682</v>
      </c>
      <c r="G690" s="24" t="str">
        <f ca="1">IFERROR(__xludf.DUMMYFUNCTION("GOOGLETRANSLATE(F690,""en"",""pt"")"),"sistemas de pavimentação comerciais ligeiros de asfalto-concreto")</f>
        <v>sistemas de pavimentação comerciais ligeiros de asfalto-concreto</v>
      </c>
      <c r="H690" s="24"/>
      <c r="I690" s="24"/>
    </row>
    <row r="691" spans="1:9" ht="14.5">
      <c r="A691" s="20" t="s">
        <v>9683</v>
      </c>
      <c r="B691" s="20">
        <v>30</v>
      </c>
      <c r="C691" s="20">
        <v>14</v>
      </c>
      <c r="D691" s="20">
        <v>5</v>
      </c>
      <c r="E691" s="20">
        <v>6</v>
      </c>
      <c r="F691" s="20" t="s">
        <v>9684</v>
      </c>
      <c r="G691" s="24" t="str">
        <f ca="1">IFERROR(__xludf.DUMMYFUNCTION("GOOGLETRANSLATE(F691,""en"",""pt"")"),"sistemas de concreto de pavimentação de asfalto")</f>
        <v>sistemas de concreto de pavimentação de asfalto</v>
      </c>
      <c r="H691" s="20" t="s">
        <v>9685</v>
      </c>
      <c r="I691" s="20" t="s">
        <v>5666</v>
      </c>
    </row>
    <row r="692" spans="1:9" ht="14.5">
      <c r="A692" s="20" t="s">
        <v>9686</v>
      </c>
      <c r="B692" s="20">
        <v>30</v>
      </c>
      <c r="C692" s="20">
        <v>14</v>
      </c>
      <c r="D692" s="20">
        <v>5</v>
      </c>
      <c r="E692" s="20">
        <v>7</v>
      </c>
      <c r="F692" s="20" t="s">
        <v>9687</v>
      </c>
      <c r="G692" s="24" t="str">
        <f ca="1">IFERROR(__xludf.DUMMYFUNCTION("GOOGLETRANSLATE(F692,""en"",""pt"")"),"sistemas de pavimentação de concreto pista de asfalto")</f>
        <v>sistemas de pavimentação de concreto pista de asfalto</v>
      </c>
      <c r="H692" s="24"/>
      <c r="I692" s="24"/>
    </row>
    <row r="693" spans="1:9" ht="14.5">
      <c r="A693" s="20" t="s">
        <v>9688</v>
      </c>
      <c r="B693" s="20">
        <v>30</v>
      </c>
      <c r="C693" s="20">
        <v>14</v>
      </c>
      <c r="D693" s="20">
        <v>5</v>
      </c>
      <c r="E693" s="20">
        <v>8</v>
      </c>
      <c r="F693" s="20" t="s">
        <v>9689</v>
      </c>
      <c r="G693" s="24" t="str">
        <f ca="1">IFERROR(__xludf.DUMMYFUNCTION("GOOGLETRANSLATE(F693,""en"",""pt"")"),"sistemas de sobreposição superfície de concreto de asfalto")</f>
        <v>sistemas de sobreposição superfície de concreto de asfalto</v>
      </c>
      <c r="H693" s="20" t="s">
        <v>9690</v>
      </c>
      <c r="I693" s="20" t="s">
        <v>5666</v>
      </c>
    </row>
    <row r="694" spans="1:9" ht="14.5">
      <c r="A694" s="20" t="s">
        <v>9691</v>
      </c>
      <c r="B694" s="20">
        <v>30</v>
      </c>
      <c r="C694" s="20">
        <v>14</v>
      </c>
      <c r="D694" s="20">
        <v>5</v>
      </c>
      <c r="E694" s="20">
        <v>35</v>
      </c>
      <c r="F694" s="20" t="s">
        <v>9692</v>
      </c>
      <c r="G694" s="24" t="str">
        <f ca="1">IFERROR(__xludf.DUMMYFUNCTION("GOOGLETRANSLATE(F694,""en"",""pt"")"),"Laminadas a quente de asfalto sistemas de pavimentação")</f>
        <v>Laminadas a quente de asfalto sistemas de pavimentação</v>
      </c>
      <c r="H694" s="20" t="s">
        <v>9693</v>
      </c>
      <c r="I694" s="20" t="s">
        <v>5666</v>
      </c>
    </row>
    <row r="695" spans="1:9" ht="14.5">
      <c r="A695" s="20" t="s">
        <v>9694</v>
      </c>
      <c r="B695" s="20">
        <v>30</v>
      </c>
      <c r="C695" s="20">
        <v>14</v>
      </c>
      <c r="D695" s="20">
        <v>5</v>
      </c>
      <c r="E695" s="20">
        <v>36</v>
      </c>
      <c r="F695" s="20" t="s">
        <v>9695</v>
      </c>
      <c r="G695" s="24" t="str">
        <f ca="1">IFERROR(__xludf.DUMMYFUNCTION("GOOGLETRANSLATE(F695,""en"",""pt"")"),"Laminadas a quente de asfalto pista sistemas de pavimentação")</f>
        <v>Laminadas a quente de asfalto pista sistemas de pavimentação</v>
      </c>
      <c r="H695" s="24"/>
      <c r="I695" s="24"/>
    </row>
    <row r="696" spans="1:9" ht="14.5">
      <c r="A696" s="20" t="s">
        <v>9696</v>
      </c>
      <c r="B696" s="20">
        <v>30</v>
      </c>
      <c r="C696" s="20">
        <v>14</v>
      </c>
      <c r="D696" s="20">
        <v>5</v>
      </c>
      <c r="E696" s="20">
        <v>40</v>
      </c>
      <c r="F696" s="20" t="s">
        <v>9697</v>
      </c>
      <c r="G696" s="24" t="str">
        <f ca="1">IFERROR(__xludf.DUMMYFUNCTION("GOOGLETRANSLATE(F696,""en"",""pt"")"),"Laminadas a quente de asfalto esportes sistemas de pavimentação")</f>
        <v>Laminadas a quente de asfalto esportes sistemas de pavimentação</v>
      </c>
      <c r="H696" s="20" t="s">
        <v>9698</v>
      </c>
      <c r="I696" s="20" t="s">
        <v>5671</v>
      </c>
    </row>
    <row r="697" spans="1:9" ht="14.5">
      <c r="A697" s="20" t="s">
        <v>9699</v>
      </c>
      <c r="B697" s="20">
        <v>30</v>
      </c>
      <c r="C697" s="20">
        <v>14</v>
      </c>
      <c r="D697" s="20">
        <v>5</v>
      </c>
      <c r="E697" s="20">
        <v>50</v>
      </c>
      <c r="F697" s="20" t="s">
        <v>9700</v>
      </c>
      <c r="G697" s="24" t="str">
        <f ca="1">IFERROR(__xludf.DUMMYFUNCTION("GOOGLETRANSLATE(F697,""en"",""pt"")"),"sistemas de pavimentação de pedestres asfalto Mastic")</f>
        <v>sistemas de pavimentação de pedestres asfalto Mastic</v>
      </c>
      <c r="H697" s="20" t="s">
        <v>9701</v>
      </c>
      <c r="I697" s="20" t="s">
        <v>5666</v>
      </c>
    </row>
    <row r="698" spans="1:9" ht="14.5">
      <c r="A698" s="20" t="s">
        <v>9702</v>
      </c>
      <c r="B698" s="20">
        <v>30</v>
      </c>
      <c r="C698" s="20">
        <v>14</v>
      </c>
      <c r="D698" s="20">
        <v>5</v>
      </c>
      <c r="E698" s="20">
        <v>65</v>
      </c>
      <c r="F698" s="20" t="s">
        <v>9703</v>
      </c>
      <c r="G698" s="24" t="str">
        <f ca="1">IFERROR(__xludf.DUMMYFUNCTION("GOOGLETRANSLATE(F698,""en"",""pt"")"),"sistemas de concreto de pavimentação de asfalto poroso")</f>
        <v>sistemas de concreto de pavimentação de asfalto poroso</v>
      </c>
      <c r="H698" s="20" t="s">
        <v>9704</v>
      </c>
      <c r="I698" s="20" t="s">
        <v>5666</v>
      </c>
    </row>
    <row r="699" spans="1:9" ht="14.5">
      <c r="A699" s="20" t="s">
        <v>9705</v>
      </c>
      <c r="B699" s="20">
        <v>30</v>
      </c>
      <c r="C699" s="20">
        <v>14</v>
      </c>
      <c r="D699" s="20">
        <v>5</v>
      </c>
      <c r="E699" s="20">
        <v>70</v>
      </c>
      <c r="F699" s="20" t="s">
        <v>9706</v>
      </c>
      <c r="G699" s="24" t="str">
        <f ca="1">IFERROR(__xludf.DUMMYFUNCTION("GOOGLETRANSLATE(F699,""en"",""pt"")"),"esportes porosas asfalto e de betão sistemas de pavimentação")</f>
        <v>esportes porosas asfalto e de betão sistemas de pavimentação</v>
      </c>
      <c r="H699" s="20" t="s">
        <v>9707</v>
      </c>
      <c r="I699" s="20" t="s">
        <v>5671</v>
      </c>
    </row>
    <row r="700" spans="1:9" ht="14.5">
      <c r="A700" s="20" t="s">
        <v>9708</v>
      </c>
      <c r="B700" s="20">
        <v>30</v>
      </c>
      <c r="C700" s="20">
        <v>14</v>
      </c>
      <c r="D700" s="20">
        <v>5</v>
      </c>
      <c r="E700" s="20">
        <v>75</v>
      </c>
      <c r="F700" s="20" t="s">
        <v>9709</v>
      </c>
      <c r="G700" s="24" t="str">
        <f ca="1">IFERROR(__xludf.DUMMYFUNCTION("GOOGLETRANSLATE(F700,""en"",""pt"")"),"sistemas de pavimentação de asfalto mastic pedra")</f>
        <v>sistemas de pavimentação de asfalto mastic pedra</v>
      </c>
      <c r="H700" s="20" t="s">
        <v>9710</v>
      </c>
      <c r="I700" s="20" t="s">
        <v>5666</v>
      </c>
    </row>
    <row r="701" spans="1:9" ht="14.5">
      <c r="A701" s="20" t="s">
        <v>9711</v>
      </c>
      <c r="B701" s="20">
        <v>30</v>
      </c>
      <c r="C701" s="20">
        <v>14</v>
      </c>
      <c r="D701" s="20">
        <v>15</v>
      </c>
      <c r="E701" s="24"/>
      <c r="F701" s="20" t="s">
        <v>9712</v>
      </c>
      <c r="G701" s="24" t="str">
        <f ca="1">IFERROR(__xludf.DUMMYFUNCTION("GOOGLETRANSLATE(F701,""en"",""pt"")"),"sistemas de pavimentação da estrada concreta e")</f>
        <v>sistemas de pavimentação da estrada concreta e</v>
      </c>
      <c r="H701" s="24"/>
      <c r="I701" s="24"/>
    </row>
    <row r="702" spans="1:9" ht="14.5">
      <c r="A702" s="20" t="s">
        <v>9713</v>
      </c>
      <c r="B702" s="20">
        <v>30</v>
      </c>
      <c r="C702" s="20">
        <v>14</v>
      </c>
      <c r="D702" s="20">
        <v>15</v>
      </c>
      <c r="E702" s="20">
        <v>14</v>
      </c>
      <c r="F702" s="20" t="s">
        <v>9714</v>
      </c>
      <c r="G702" s="24" t="str">
        <f ca="1">IFERROR(__xludf.DUMMYFUNCTION("GOOGLETRANSLATE(F702,""en"",""pt"")"),"Betão sistemas de pavimentação cheio de grama")</f>
        <v>Betão sistemas de pavimentação cheio de grama</v>
      </c>
      <c r="H702" s="20" t="s">
        <v>9715</v>
      </c>
      <c r="I702" s="20" t="s">
        <v>9716</v>
      </c>
    </row>
    <row r="703" spans="1:9" ht="14.5">
      <c r="A703" s="20" t="s">
        <v>9717</v>
      </c>
      <c r="B703" s="20">
        <v>30</v>
      </c>
      <c r="C703" s="20">
        <v>14</v>
      </c>
      <c r="D703" s="20">
        <v>15</v>
      </c>
      <c r="E703" s="20">
        <v>16</v>
      </c>
      <c r="F703" s="20" t="s">
        <v>9718</v>
      </c>
      <c r="G703" s="24" t="str">
        <f ca="1">IFERROR(__xludf.DUMMYFUNCTION("GOOGLETRANSLATE(F703,""en"",""pt"")"),"sistemas de pavimentação de concreto")</f>
        <v>sistemas de pavimentação de concreto</v>
      </c>
      <c r="H703" s="20" t="s">
        <v>9719</v>
      </c>
      <c r="I703" s="20" t="s">
        <v>5666</v>
      </c>
    </row>
    <row r="704" spans="1:9" ht="14.5">
      <c r="A704" s="20" t="s">
        <v>9720</v>
      </c>
      <c r="B704" s="20">
        <v>30</v>
      </c>
      <c r="C704" s="20">
        <v>14</v>
      </c>
      <c r="D704" s="20">
        <v>15</v>
      </c>
      <c r="E704" s="20">
        <v>17</v>
      </c>
      <c r="F704" s="20" t="s">
        <v>9721</v>
      </c>
      <c r="G704" s="24" t="str">
        <f ca="1">IFERROR(__xludf.DUMMYFUNCTION("GOOGLETRANSLATE(F704,""en"",""pt"")"),"Betão sistemas de pavimentação poroso")</f>
        <v>Betão sistemas de pavimentação poroso</v>
      </c>
      <c r="H704" s="20" t="s">
        <v>9722</v>
      </c>
      <c r="I704" s="20" t="s">
        <v>9723</v>
      </c>
    </row>
    <row r="705" spans="1:9" ht="14.5">
      <c r="A705" s="20" t="s">
        <v>9724</v>
      </c>
      <c r="B705" s="20">
        <v>30</v>
      </c>
      <c r="C705" s="20">
        <v>14</v>
      </c>
      <c r="D705" s="20">
        <v>15</v>
      </c>
      <c r="E705" s="20">
        <v>18</v>
      </c>
      <c r="F705" s="20" t="s">
        <v>9725</v>
      </c>
      <c r="G705" s="24" t="str">
        <f ca="1">IFERROR(__xludf.DUMMYFUNCTION("GOOGLETRANSLATE(F705,""en"",""pt"")"),"sistemas de pavimentação da pista de concreto")</f>
        <v>sistemas de pavimentação da pista de concreto</v>
      </c>
      <c r="H705" s="24"/>
      <c r="I705" s="24"/>
    </row>
    <row r="706" spans="1:9" ht="14.5">
      <c r="A706" s="20" t="s">
        <v>9726</v>
      </c>
      <c r="B706" s="20">
        <v>30</v>
      </c>
      <c r="C706" s="20">
        <v>14</v>
      </c>
      <c r="D706" s="20">
        <v>50</v>
      </c>
      <c r="E706" s="24"/>
      <c r="F706" s="20" t="s">
        <v>9727</v>
      </c>
      <c r="G706" s="24" t="str">
        <f ca="1">IFERROR(__xludf.DUMMYFUNCTION("GOOGLETRANSLATE(F706,""en"",""pt"")"),"Mat e sistemas de folha de pavimentação")</f>
        <v>Mat e sistemas de folha de pavimentação</v>
      </c>
      <c r="H706" s="24"/>
      <c r="I706" s="24"/>
    </row>
    <row r="707" spans="1:9" ht="14.5">
      <c r="A707" s="20" t="s">
        <v>9728</v>
      </c>
      <c r="B707" s="20">
        <v>30</v>
      </c>
      <c r="C707" s="20">
        <v>14</v>
      </c>
      <c r="D707" s="20">
        <v>50</v>
      </c>
      <c r="E707" s="20">
        <v>25</v>
      </c>
      <c r="F707" s="20" t="s">
        <v>9729</v>
      </c>
      <c r="G707" s="24" t="str">
        <f ca="1">IFERROR(__xludf.DUMMYFUNCTION("GOOGLETRANSLATE(F707,""en"",""pt"")"),"sistemas para conferir aspecto fosco de esqui encosta sintético seco")</f>
        <v>sistemas para conferir aspecto fosco de esqui encosta sintético seco</v>
      </c>
      <c r="H707" s="20" t="s">
        <v>9730</v>
      </c>
      <c r="I707" s="20" t="s">
        <v>5671</v>
      </c>
    </row>
    <row r="708" spans="1:9" ht="14.5">
      <c r="A708" s="20" t="s">
        <v>9731</v>
      </c>
      <c r="B708" s="20">
        <v>30</v>
      </c>
      <c r="C708" s="20">
        <v>14</v>
      </c>
      <c r="D708" s="20">
        <v>50</v>
      </c>
      <c r="E708" s="20">
        <v>65</v>
      </c>
      <c r="F708" s="20" t="s">
        <v>9732</v>
      </c>
      <c r="G708" s="24" t="str">
        <f ca="1">IFERROR(__xludf.DUMMYFUNCTION("GOOGLETRANSLATE(F708,""en"",""pt"")"),"esportes poliméricos sistemas de pavimentação")</f>
        <v>esportes poliméricos sistemas de pavimentação</v>
      </c>
      <c r="H708" s="20" t="s">
        <v>9733</v>
      </c>
      <c r="I708" s="20" t="s">
        <v>5671</v>
      </c>
    </row>
    <row r="709" spans="1:9" ht="14.5">
      <c r="A709" s="20" t="s">
        <v>9734</v>
      </c>
      <c r="B709" s="20">
        <v>30</v>
      </c>
      <c r="C709" s="20">
        <v>14</v>
      </c>
      <c r="D709" s="20">
        <v>50</v>
      </c>
      <c r="E709" s="20">
        <v>80</v>
      </c>
      <c r="F709" s="20" t="s">
        <v>9735</v>
      </c>
      <c r="G709" s="24" t="str">
        <f ca="1">IFERROR(__xludf.DUMMYFUNCTION("GOOGLETRANSLATE(F709,""en"",""pt"")"),"sistemas de pavimentação grama sintética")</f>
        <v>sistemas de pavimentação grama sintética</v>
      </c>
      <c r="H709" s="20" t="s">
        <v>9736</v>
      </c>
      <c r="I709" s="20" t="s">
        <v>5671</v>
      </c>
    </row>
    <row r="710" spans="1:9" ht="14.5">
      <c r="A710" s="20" t="s">
        <v>9737</v>
      </c>
      <c r="B710" s="20">
        <v>30</v>
      </c>
      <c r="C710" s="20">
        <v>14</v>
      </c>
      <c r="D710" s="20">
        <v>80</v>
      </c>
      <c r="E710" s="24"/>
      <c r="F710" s="20" t="s">
        <v>9738</v>
      </c>
      <c r="G710" s="24" t="str">
        <f ca="1">IFERROR(__xludf.DUMMYFUNCTION("GOOGLETRANSLATE(F710,""en"",""pt"")"),"sistemas de pavimentação agregados não ligados")</f>
        <v>sistemas de pavimentação agregados não ligados</v>
      </c>
      <c r="H710" s="24"/>
      <c r="I710" s="24"/>
    </row>
    <row r="711" spans="1:9" ht="14.5">
      <c r="A711" s="20" t="s">
        <v>9739</v>
      </c>
      <c r="B711" s="20">
        <v>30</v>
      </c>
      <c r="C711" s="20">
        <v>14</v>
      </c>
      <c r="D711" s="20">
        <v>80</v>
      </c>
      <c r="E711" s="20">
        <v>30</v>
      </c>
      <c r="F711" s="20" t="s">
        <v>9740</v>
      </c>
      <c r="G711" s="24" t="str">
        <f ca="1">IFERROR(__xludf.DUMMYFUNCTION("GOOGLETRANSLATE(F711,""en"",""pt"")"),"Rápido esportes argila seca sistemas de pavimentação")</f>
        <v>Rápido esportes argila seca sistemas de pavimentação</v>
      </c>
      <c r="H711" s="20" t="s">
        <v>9741</v>
      </c>
      <c r="I711" s="20" t="s">
        <v>5689</v>
      </c>
    </row>
    <row r="712" spans="1:9" ht="14.5">
      <c r="A712" s="20" t="s">
        <v>9742</v>
      </c>
      <c r="B712" s="20">
        <v>30</v>
      </c>
      <c r="C712" s="20">
        <v>14</v>
      </c>
      <c r="D712" s="20">
        <v>80</v>
      </c>
      <c r="E712" s="20">
        <v>37</v>
      </c>
      <c r="F712" s="20" t="s">
        <v>9743</v>
      </c>
      <c r="G712" s="24" t="str">
        <f ca="1">IFERROR(__xludf.DUMMYFUNCTION("GOOGLETRANSLATE(F712,""en"",""pt"")"),"Hoggin sistemas de pavimentação")</f>
        <v>Hoggin sistemas de pavimentação</v>
      </c>
      <c r="H712" s="20" t="s">
        <v>9744</v>
      </c>
      <c r="I712" s="20" t="s">
        <v>5666</v>
      </c>
    </row>
    <row r="713" spans="1:9" ht="14.5">
      <c r="A713" s="20" t="s">
        <v>9745</v>
      </c>
      <c r="B713" s="20">
        <v>30</v>
      </c>
      <c r="C713" s="20">
        <v>14</v>
      </c>
      <c r="D713" s="20">
        <v>80</v>
      </c>
      <c r="E713" s="20">
        <v>40</v>
      </c>
      <c r="F713" s="20" t="s">
        <v>9746</v>
      </c>
      <c r="G713" s="24" t="str">
        <f ca="1">IFERROR(__xludf.DUMMYFUNCTION("GOOGLETRANSLATE(F713,""en"",""pt"")"),"sistemas de pavimentação de cascalho de ligação rígidos")</f>
        <v>sistemas de pavimentação de cascalho de ligação rígidos</v>
      </c>
      <c r="H713" s="20" t="s">
        <v>9747</v>
      </c>
      <c r="I713" s="20" t="s">
        <v>9748</v>
      </c>
    </row>
    <row r="714" spans="1:9" ht="14.5">
      <c r="A714" s="20" t="s">
        <v>9749</v>
      </c>
      <c r="B714" s="20">
        <v>30</v>
      </c>
      <c r="C714" s="20">
        <v>14</v>
      </c>
      <c r="D714" s="20">
        <v>80</v>
      </c>
      <c r="E714" s="20">
        <v>45</v>
      </c>
      <c r="F714" s="20" t="s">
        <v>9750</v>
      </c>
      <c r="G714" s="24" t="str">
        <f ca="1">IFERROR(__xludf.DUMMYFUNCTION("GOOGLETRANSLATE(F714,""en"",""pt"")"),"Solta sistemas de pavimentação agregados definidos")</f>
        <v>Solta sistemas de pavimentação agregados definidos</v>
      </c>
      <c r="H714" s="20" t="s">
        <v>9751</v>
      </c>
      <c r="I714" s="20" t="s">
        <v>5694</v>
      </c>
    </row>
    <row r="715" spans="1:9" ht="14.5">
      <c r="A715" s="20" t="s">
        <v>9752</v>
      </c>
      <c r="B715" s="20">
        <v>30</v>
      </c>
      <c r="C715" s="20">
        <v>14</v>
      </c>
      <c r="D715" s="20">
        <v>80</v>
      </c>
      <c r="E715" s="20">
        <v>47</v>
      </c>
      <c r="F715" s="20" t="s">
        <v>9753</v>
      </c>
      <c r="G715" s="24" t="str">
        <f ca="1">IFERROR(__xludf.DUMMYFUNCTION("GOOGLETRANSLATE(F715,""en"",""pt"")"),"sistemas de sobreposição agregados soltos")</f>
        <v>sistemas de sobreposição agregados soltos</v>
      </c>
      <c r="H715" s="20" t="s">
        <v>9754</v>
      </c>
      <c r="I715" s="20" t="s">
        <v>9755</v>
      </c>
    </row>
    <row r="716" spans="1:9" ht="14.5">
      <c r="A716" s="20" t="s">
        <v>9756</v>
      </c>
      <c r="B716" s="20">
        <v>30</v>
      </c>
      <c r="C716" s="20">
        <v>14</v>
      </c>
      <c r="D716" s="20">
        <v>80</v>
      </c>
      <c r="E716" s="20">
        <v>48</v>
      </c>
      <c r="F716" s="20" t="s">
        <v>9757</v>
      </c>
      <c r="G716" s="24" t="str">
        <f ca="1">IFERROR(__xludf.DUMMYFUNCTION("GOOGLETRANSLATE(F716,""en"",""pt"")"),"sistemas de cascalho pavimentação soltos")</f>
        <v>sistemas de cascalho pavimentação soltos</v>
      </c>
      <c r="H716" s="20" t="s">
        <v>9751</v>
      </c>
      <c r="I716" s="20" t="s">
        <v>5694</v>
      </c>
    </row>
    <row r="717" spans="1:9" ht="14.5">
      <c r="A717" s="20" t="s">
        <v>9758</v>
      </c>
      <c r="B717" s="20">
        <v>30</v>
      </c>
      <c r="C717" s="20">
        <v>14</v>
      </c>
      <c r="D717" s="20">
        <v>80</v>
      </c>
      <c r="E717" s="20">
        <v>75</v>
      </c>
      <c r="F717" s="20" t="s">
        <v>9759</v>
      </c>
      <c r="G717" s="24" t="str">
        <f ca="1">IFERROR(__xludf.DUMMYFUNCTION("GOOGLETRANSLATE(F717,""en"",""pt"")"),"sistemas de jogo pavimentação de areia")</f>
        <v>sistemas de jogo pavimentação de areia</v>
      </c>
      <c r="H717" s="24"/>
      <c r="I717" s="24"/>
    </row>
    <row r="718" spans="1:9" ht="14.5">
      <c r="A718" s="20" t="s">
        <v>9760</v>
      </c>
      <c r="B718" s="20">
        <v>30</v>
      </c>
      <c r="C718" s="20">
        <v>14</v>
      </c>
      <c r="D718" s="20">
        <v>80</v>
      </c>
      <c r="E718" s="20">
        <v>80</v>
      </c>
      <c r="F718" s="20" t="s">
        <v>9761</v>
      </c>
      <c r="G718" s="24" t="str">
        <f ca="1">IFERROR(__xludf.DUMMYFUNCTION("GOOGLETRANSLATE(F718,""en"",""pt"")"),"Lamas sistemas de revestimento de sobreposição")</f>
        <v>Lamas sistemas de revestimento de sobreposição</v>
      </c>
      <c r="H718" s="20" t="s">
        <v>9762</v>
      </c>
      <c r="I718" s="24"/>
    </row>
    <row r="719" spans="1:9" ht="14.5">
      <c r="A719" s="20" t="s">
        <v>9763</v>
      </c>
      <c r="B719" s="20">
        <v>30</v>
      </c>
      <c r="C719" s="20">
        <v>14</v>
      </c>
      <c r="D719" s="20">
        <v>80</v>
      </c>
      <c r="E719" s="20">
        <v>90</v>
      </c>
      <c r="F719" s="20" t="s">
        <v>9764</v>
      </c>
      <c r="G719" s="24" t="str">
        <f ca="1">IFERROR(__xludf.DUMMYFUNCTION("GOOGLETRANSLATE(F719,""en"",""pt"")"),"sistemas de pavimentação ciclo agregado não ligados")</f>
        <v>sistemas de pavimentação ciclo agregado não ligados</v>
      </c>
      <c r="H719" s="20" t="s">
        <v>9765</v>
      </c>
      <c r="I719" s="20" t="s">
        <v>5694</v>
      </c>
    </row>
    <row r="720" spans="1:9" ht="14.5">
      <c r="A720" s="20" t="s">
        <v>9766</v>
      </c>
      <c r="B720" s="20">
        <v>30</v>
      </c>
      <c r="C720" s="20">
        <v>14</v>
      </c>
      <c r="D720" s="20">
        <v>80</v>
      </c>
      <c r="E720" s="20">
        <v>95</v>
      </c>
      <c r="F720" s="20" t="s">
        <v>9767</v>
      </c>
      <c r="G720" s="24" t="str">
        <f ca="1">IFERROR(__xludf.DUMMYFUNCTION("GOOGLETRANSLATE(F720,""en"",""pt"")"),"sistemas de trilha de pavimentação de pedra guarnição Woodchip e")</f>
        <v>sistemas de trilha de pavimentação de pedra guarnição Woodchip e</v>
      </c>
      <c r="H720" s="24"/>
      <c r="I720" s="24"/>
    </row>
    <row r="721" spans="1:9" ht="14.5">
      <c r="A721" s="20" t="s">
        <v>9768</v>
      </c>
      <c r="B721" s="20">
        <v>30</v>
      </c>
      <c r="C721" s="20">
        <v>14</v>
      </c>
      <c r="D721" s="20">
        <v>80</v>
      </c>
      <c r="E721" s="20">
        <v>98</v>
      </c>
      <c r="F721" s="20" t="s">
        <v>9769</v>
      </c>
      <c r="G721" s="24" t="str">
        <f ca="1">IFERROR(__xludf.DUMMYFUNCTION("GOOGLETRANSLATE(F721,""en"",""pt"")"),"sistemas de pavimentação superfície Woodfibre Woodchip e")</f>
        <v>sistemas de pavimentação superfície Woodfibre Woodchip e</v>
      </c>
      <c r="H721" s="20" t="s">
        <v>9770</v>
      </c>
      <c r="I721" s="20" t="s">
        <v>5689</v>
      </c>
    </row>
    <row r="722" spans="1:9" ht="14.5">
      <c r="A722" s="20" t="s">
        <v>9771</v>
      </c>
      <c r="B722" s="20">
        <v>30</v>
      </c>
      <c r="C722" s="20">
        <v>14</v>
      </c>
      <c r="D722" s="20">
        <v>90</v>
      </c>
      <c r="E722" s="24"/>
      <c r="F722" s="20" t="s">
        <v>9772</v>
      </c>
      <c r="G722" s="24" t="str">
        <f ca="1">IFERROR(__xludf.DUMMYFUNCTION("GOOGLETRANSLATE(F722,""en"",""pt"")"),"sistemas de pavimentação de unidade")</f>
        <v>sistemas de pavimentação de unidade</v>
      </c>
      <c r="H722" s="24"/>
      <c r="I722" s="24"/>
    </row>
    <row r="723" spans="1:9" ht="14.5">
      <c r="A723" s="20" t="s">
        <v>9773</v>
      </c>
      <c r="B723" s="20">
        <v>30</v>
      </c>
      <c r="C723" s="20">
        <v>14</v>
      </c>
      <c r="D723" s="20">
        <v>90</v>
      </c>
      <c r="E723" s="20">
        <v>11</v>
      </c>
      <c r="F723" s="20" t="s">
        <v>9774</v>
      </c>
      <c r="G723" s="24" t="str">
        <f ca="1">IFERROR(__xludf.DUMMYFUNCTION("GOOGLETRANSLATE(F723,""en"",""pt"")"),"plásticos celulares sistemas de pavimentação cheio de grama")</f>
        <v>plásticos celulares sistemas de pavimentação cheio de grama</v>
      </c>
      <c r="H723" s="20" t="s">
        <v>9775</v>
      </c>
      <c r="I723" s="20" t="s">
        <v>9776</v>
      </c>
    </row>
    <row r="724" spans="1:9" ht="14.5">
      <c r="A724" s="20" t="s">
        <v>9777</v>
      </c>
      <c r="B724" s="20">
        <v>30</v>
      </c>
      <c r="C724" s="20">
        <v>14</v>
      </c>
      <c r="D724" s="20">
        <v>90</v>
      </c>
      <c r="E724" s="20">
        <v>12</v>
      </c>
      <c r="F724" s="20" t="s">
        <v>9778</v>
      </c>
      <c r="G724" s="24" t="str">
        <f ca="1">IFERROR(__xludf.DUMMYFUNCTION("GOOGLETRANSLATE(F724,""en"",""pt"")"),"plásticos celulares sistemas de pavimentação cheio de cascalho")</f>
        <v>plásticos celulares sistemas de pavimentação cheio de cascalho</v>
      </c>
      <c r="H724" s="20" t="s">
        <v>9779</v>
      </c>
      <c r="I724" s="20" t="s">
        <v>5694</v>
      </c>
    </row>
    <row r="725" spans="1:9" ht="14.5">
      <c r="A725" s="20" t="s">
        <v>9780</v>
      </c>
      <c r="B725" s="20">
        <v>30</v>
      </c>
      <c r="C725" s="20">
        <v>14</v>
      </c>
      <c r="D725" s="20">
        <v>90</v>
      </c>
      <c r="E725" s="20">
        <v>30</v>
      </c>
      <c r="F725" s="20" t="s">
        <v>9781</v>
      </c>
      <c r="G725" s="24" t="str">
        <f ca="1">IFERROR(__xludf.DUMMYFUNCTION("GOOGLETRANSLATE(F725,""en"",""pt"")"),"Bandeira e laje ligados sistemas de pavimentação")</f>
        <v>Bandeira e laje ligados sistemas de pavimentação</v>
      </c>
      <c r="H725" s="20" t="s">
        <v>9782</v>
      </c>
      <c r="I725" s="20" t="s">
        <v>5699</v>
      </c>
    </row>
    <row r="726" spans="1:9" ht="14.5">
      <c r="A726" s="20" t="s">
        <v>9783</v>
      </c>
      <c r="B726" s="20">
        <v>30</v>
      </c>
      <c r="C726" s="20">
        <v>14</v>
      </c>
      <c r="D726" s="20">
        <v>90</v>
      </c>
      <c r="E726" s="20">
        <v>32</v>
      </c>
      <c r="F726" s="20" t="s">
        <v>9784</v>
      </c>
      <c r="G726" s="24" t="str">
        <f ca="1">IFERROR(__xludf.DUMMYFUNCTION("GOOGLETRANSLATE(F726,""en"",""pt"")"),"sistemas de sobreposição de lajes de pavimentação bandeira e")</f>
        <v>sistemas de sobreposição de lajes de pavimentação bandeira e</v>
      </c>
      <c r="H726" s="20" t="s">
        <v>9785</v>
      </c>
      <c r="I726" s="20" t="s">
        <v>5699</v>
      </c>
    </row>
    <row r="727" spans="1:9" ht="14.5">
      <c r="A727" s="20" t="s">
        <v>9786</v>
      </c>
      <c r="B727" s="20">
        <v>30</v>
      </c>
      <c r="C727" s="20">
        <v>14</v>
      </c>
      <c r="D727" s="20">
        <v>90</v>
      </c>
      <c r="E727" s="20">
        <v>34</v>
      </c>
      <c r="F727" s="20" t="s">
        <v>9787</v>
      </c>
      <c r="G727" s="24" t="str">
        <f ca="1">IFERROR(__xludf.DUMMYFUNCTION("GOOGLETRANSLATE(F727,""en"",""pt"")"),"sistemas de pavimentação suportado-pedestal bandeira e laje")</f>
        <v>sistemas de pavimentação suportado-pedestal bandeira e laje</v>
      </c>
      <c r="H727" s="20" t="s">
        <v>9788</v>
      </c>
      <c r="I727" s="20" t="s">
        <v>9789</v>
      </c>
    </row>
    <row r="728" spans="1:9" ht="14.5">
      <c r="A728" s="20" t="s">
        <v>9790</v>
      </c>
      <c r="B728" s="20">
        <v>30</v>
      </c>
      <c r="C728" s="20">
        <v>14</v>
      </c>
      <c r="D728" s="20">
        <v>90</v>
      </c>
      <c r="E728" s="20">
        <v>36</v>
      </c>
      <c r="F728" s="20" t="s">
        <v>9791</v>
      </c>
      <c r="G728" s="24" t="str">
        <f ca="1">IFERROR(__xludf.DUMMYFUNCTION("GOOGLETRANSLATE(F728,""en"",""pt"")"),"sistemas de telhas para pavimentação não ligado bandeira e")</f>
        <v>sistemas de telhas para pavimentação não ligado bandeira e</v>
      </c>
      <c r="H728" s="20" t="s">
        <v>9792</v>
      </c>
      <c r="I728" s="20" t="s">
        <v>5699</v>
      </c>
    </row>
    <row r="729" spans="1:9" ht="14.5">
      <c r="A729" s="20" t="s">
        <v>9793</v>
      </c>
      <c r="B729" s="20">
        <v>30</v>
      </c>
      <c r="C729" s="20">
        <v>14</v>
      </c>
      <c r="D729" s="20">
        <v>90</v>
      </c>
      <c r="E729" s="20">
        <v>50</v>
      </c>
      <c r="F729" s="20" t="s">
        <v>9794</v>
      </c>
      <c r="G729" s="24" t="str">
        <f ca="1">IFERROR(__xludf.DUMMYFUNCTION("GOOGLETRANSLATE(F729,""en"",""pt"")"),"sistemas de pavimentação de mosaico")</f>
        <v>sistemas de pavimentação de mosaico</v>
      </c>
      <c r="H729" s="20" t="s">
        <v>9795</v>
      </c>
      <c r="I729" s="20" t="s">
        <v>5666</v>
      </c>
    </row>
    <row r="730" spans="1:9" ht="14.5">
      <c r="A730" s="20" t="s">
        <v>9796</v>
      </c>
      <c r="B730" s="20">
        <v>30</v>
      </c>
      <c r="C730" s="20">
        <v>14</v>
      </c>
      <c r="D730" s="20">
        <v>90</v>
      </c>
      <c r="E730" s="20">
        <v>60</v>
      </c>
      <c r="F730" s="20" t="s">
        <v>9797</v>
      </c>
      <c r="G730" s="24" t="str">
        <f ca="1">IFERROR(__xludf.DUMMYFUNCTION("GOOGLETRANSLATE(F730,""en"",""pt"")"),"sistemas de lajes de pavimentação permeável e bandeira")</f>
        <v>sistemas de lajes de pavimentação permeável e bandeira</v>
      </c>
      <c r="H730" s="20" t="s">
        <v>9798</v>
      </c>
      <c r="I730" s="20" t="s">
        <v>5694</v>
      </c>
    </row>
    <row r="731" spans="1:9" ht="14.5">
      <c r="A731" s="20" t="s">
        <v>9799</v>
      </c>
      <c r="B731" s="20">
        <v>30</v>
      </c>
      <c r="C731" s="20">
        <v>14</v>
      </c>
      <c r="D731" s="20">
        <v>90</v>
      </c>
      <c r="E731" s="20">
        <v>62</v>
      </c>
      <c r="F731" s="20" t="s">
        <v>9800</v>
      </c>
      <c r="G731" s="24" t="str">
        <f ca="1">IFERROR(__xludf.DUMMYFUNCTION("GOOGLETRANSLATE(F731,""en"",""pt"")"),"sistemas de pavimentação pequena unidade permeáveis")</f>
        <v>sistemas de pavimentação pequena unidade permeáveis</v>
      </c>
      <c r="H731" s="20" t="s">
        <v>9801</v>
      </c>
      <c r="I731" s="20" t="s">
        <v>5699</v>
      </c>
    </row>
    <row r="732" spans="1:9" ht="14.5">
      <c r="A732" s="20" t="s">
        <v>9802</v>
      </c>
      <c r="B732" s="20">
        <v>30</v>
      </c>
      <c r="C732" s="20">
        <v>14</v>
      </c>
      <c r="D732" s="20">
        <v>90</v>
      </c>
      <c r="E732" s="20">
        <v>70</v>
      </c>
      <c r="F732" s="20" t="s">
        <v>9803</v>
      </c>
      <c r="G732" s="24" t="str">
        <f ca="1">IFERROR(__xludf.DUMMYFUNCTION("GOOGLETRANSLATE(F732,""en"",""pt"")"),"sistemas de pavimentação via férrea")</f>
        <v>sistemas de pavimentação via férrea</v>
      </c>
      <c r="H732" s="20" t="s">
        <v>9804</v>
      </c>
      <c r="I732" s="24"/>
    </row>
    <row r="733" spans="1:9" ht="14.5">
      <c r="A733" s="20" t="s">
        <v>9805</v>
      </c>
      <c r="B733" s="20">
        <v>30</v>
      </c>
      <c r="C733" s="20">
        <v>14</v>
      </c>
      <c r="D733" s="20">
        <v>90</v>
      </c>
      <c r="E733" s="20">
        <v>75</v>
      </c>
      <c r="F733" s="20" t="s">
        <v>9806</v>
      </c>
      <c r="G733" s="24" t="str">
        <f ca="1">IFERROR(__xludf.DUMMYFUNCTION("GOOGLETRANSLATE(F733,""en"",""pt"")"),"Pequena unidade ligada sistemas de pavimentação")</f>
        <v>Pequena unidade ligada sistemas de pavimentação</v>
      </c>
      <c r="H733" s="20" t="s">
        <v>9807</v>
      </c>
      <c r="I733" s="20" t="s">
        <v>5699</v>
      </c>
    </row>
    <row r="734" spans="1:9" ht="14.5">
      <c r="A734" s="20" t="s">
        <v>9808</v>
      </c>
      <c r="B734" s="20">
        <v>30</v>
      </c>
      <c r="C734" s="20">
        <v>14</v>
      </c>
      <c r="D734" s="20">
        <v>90</v>
      </c>
      <c r="E734" s="20">
        <v>80</v>
      </c>
      <c r="F734" s="20" t="s">
        <v>9809</v>
      </c>
      <c r="G734" s="24" t="str">
        <f ca="1">IFERROR(__xludf.DUMMYFUNCTION("GOOGLETRANSLATE(F734,""en"",""pt"")"),"sistemas de sobreposição pavimentação de pequenas unidades")</f>
        <v>sistemas de sobreposição pavimentação de pequenas unidades</v>
      </c>
      <c r="H734" s="20" t="s">
        <v>9810</v>
      </c>
      <c r="I734" s="20" t="s">
        <v>5699</v>
      </c>
    </row>
    <row r="735" spans="1:9" ht="14.5">
      <c r="A735" s="20" t="s">
        <v>9811</v>
      </c>
      <c r="B735" s="20">
        <v>30</v>
      </c>
      <c r="C735" s="20">
        <v>14</v>
      </c>
      <c r="D735" s="20">
        <v>90</v>
      </c>
      <c r="E735" s="20">
        <v>85</v>
      </c>
      <c r="F735" s="20" t="s">
        <v>9812</v>
      </c>
      <c r="G735" s="24" t="str">
        <f ca="1">IFERROR(__xludf.DUMMYFUNCTION("GOOGLETRANSLATE(F735,""en"",""pt"")"),"sistemas de pavimentação não ligado pequena unidade")</f>
        <v>sistemas de pavimentação não ligado pequena unidade</v>
      </c>
      <c r="H735" s="20" t="s">
        <v>9813</v>
      </c>
      <c r="I735" s="20" t="s">
        <v>5699</v>
      </c>
    </row>
    <row r="736" spans="1:9" ht="14.5">
      <c r="A736" s="20" t="s">
        <v>9814</v>
      </c>
      <c r="B736" s="20">
        <v>30</v>
      </c>
      <c r="C736" s="20">
        <v>16</v>
      </c>
      <c r="D736" s="24"/>
      <c r="E736" s="24"/>
      <c r="F736" s="20" t="s">
        <v>9815</v>
      </c>
      <c r="G736" s="24" t="str">
        <f ca="1">IFERROR(__xludf.DUMMYFUNCTION("GOOGLETRANSLATE(F736,""en"",""pt"")"),"sistemas de estrutura de tabuleiro de ponte estática")</f>
        <v>sistemas de estrutura de tabuleiro de ponte estática</v>
      </c>
      <c r="H736" s="24"/>
      <c r="I736" s="24"/>
    </row>
    <row r="737" spans="1:9" ht="14.5">
      <c r="A737" s="20" t="s">
        <v>9816</v>
      </c>
      <c r="B737" s="20">
        <v>30</v>
      </c>
      <c r="C737" s="20">
        <v>16</v>
      </c>
      <c r="D737" s="20">
        <v>10</v>
      </c>
      <c r="E737" s="24"/>
      <c r="F737" s="20" t="s">
        <v>9817</v>
      </c>
      <c r="G737" s="24" t="str">
        <f ca="1">IFERROR(__xludf.DUMMYFUNCTION("GOOGLETRANSLATE(F737,""en"",""pt"")"),"sistemas tabuleiro da ponte")</f>
        <v>sistemas tabuleiro da ponte</v>
      </c>
      <c r="H737" s="24"/>
      <c r="I737" s="24"/>
    </row>
    <row r="738" spans="1:9" ht="14.5">
      <c r="A738" s="20" t="s">
        <v>9818</v>
      </c>
      <c r="B738" s="20">
        <v>30</v>
      </c>
      <c r="C738" s="20">
        <v>16</v>
      </c>
      <c r="D738" s="20">
        <v>10</v>
      </c>
      <c r="E738" s="20">
        <v>8</v>
      </c>
      <c r="F738" s="20" t="s">
        <v>9819</v>
      </c>
      <c r="G738" s="24" t="str">
        <f ca="1">IFERROR(__xludf.DUMMYFUNCTION("GOOGLETRANSLATE(F738,""en"",""pt"")"),"sistemas tabuleiro da ponte viga de caixa")</f>
        <v>sistemas tabuleiro da ponte viga de caixa</v>
      </c>
      <c r="H738" s="20" t="s">
        <v>9820</v>
      </c>
      <c r="I738" s="24"/>
    </row>
    <row r="739" spans="1:9" ht="14.5">
      <c r="A739" s="20" t="s">
        <v>9821</v>
      </c>
      <c r="B739" s="20">
        <v>30</v>
      </c>
      <c r="C739" s="20">
        <v>16</v>
      </c>
      <c r="D739" s="20">
        <v>10</v>
      </c>
      <c r="E739" s="20">
        <v>12</v>
      </c>
      <c r="F739" s="20" t="s">
        <v>9822</v>
      </c>
      <c r="G739" s="24" t="str">
        <f ca="1">IFERROR(__xludf.DUMMYFUNCTION("GOOGLETRANSLATE(F739,""en"",""pt"")"),"aço Composite e sistemas de tabuleiros de pontes de concreto")</f>
        <v>aço Composite e sistemas de tabuleiros de pontes de concreto</v>
      </c>
      <c r="H739" s="20" t="s">
        <v>9823</v>
      </c>
      <c r="I739" s="24"/>
    </row>
    <row r="740" spans="1:9" ht="14.5">
      <c r="A740" s="20" t="s">
        <v>9824</v>
      </c>
      <c r="B740" s="20">
        <v>30</v>
      </c>
      <c r="C740" s="20">
        <v>16</v>
      </c>
      <c r="D740" s="20">
        <v>10</v>
      </c>
      <c r="E740" s="20">
        <v>13</v>
      </c>
      <c r="F740" s="20" t="s">
        <v>9825</v>
      </c>
      <c r="G740" s="24" t="str">
        <f ca="1">IFERROR(__xludf.DUMMYFUNCTION("GOOGLETRANSLATE(F740,""en"",""pt"")"),"sistemas de ponte Conarch")</f>
        <v>sistemas de ponte Conarch</v>
      </c>
      <c r="H740" s="20" t="s">
        <v>9826</v>
      </c>
      <c r="I740" s="24"/>
    </row>
    <row r="741" spans="1:9" ht="14.5">
      <c r="A741" s="20" t="s">
        <v>9827</v>
      </c>
      <c r="B741" s="20">
        <v>30</v>
      </c>
      <c r="C741" s="20">
        <v>16</v>
      </c>
      <c r="D741" s="20">
        <v>10</v>
      </c>
      <c r="E741" s="20">
        <v>15</v>
      </c>
      <c r="F741" s="20" t="s">
        <v>9828</v>
      </c>
      <c r="G741" s="24" t="str">
        <f ca="1">IFERROR(__xludf.DUMMYFUNCTION("GOOGLETRANSLATE(F741,""en"",""pt"")"),"metade de concreto por meio de sistemas de plataforma")</f>
        <v>metade de concreto por meio de sistemas de plataforma</v>
      </c>
      <c r="H741" s="20" t="s">
        <v>9829</v>
      </c>
      <c r="I741" s="24"/>
    </row>
    <row r="742" spans="1:9" ht="14.5">
      <c r="A742" s="20" t="s">
        <v>9830</v>
      </c>
      <c r="B742" s="20">
        <v>30</v>
      </c>
      <c r="C742" s="20">
        <v>16</v>
      </c>
      <c r="D742" s="20">
        <v>10</v>
      </c>
      <c r="E742" s="20">
        <v>16</v>
      </c>
      <c r="F742" s="20" t="s">
        <v>9831</v>
      </c>
      <c r="G742" s="24" t="str">
        <f ca="1">IFERROR(__xludf.DUMMYFUNCTION("GOOGLETRANSLATE(F742,""en"",""pt"")"),"sistemas de convés laje de concreto")</f>
        <v>sistemas de convés laje de concreto</v>
      </c>
      <c r="H742" s="20" t="s">
        <v>9832</v>
      </c>
      <c r="I742" s="24"/>
    </row>
    <row r="743" spans="1:9" ht="14.5">
      <c r="A743" s="20" t="s">
        <v>9833</v>
      </c>
      <c r="B743" s="20">
        <v>30</v>
      </c>
      <c r="C743" s="20">
        <v>16</v>
      </c>
      <c r="D743" s="20">
        <v>10</v>
      </c>
      <c r="E743" s="20">
        <v>30</v>
      </c>
      <c r="F743" s="20" t="s">
        <v>9834</v>
      </c>
      <c r="G743" s="24" t="str">
        <f ca="1">IFERROR(__xludf.DUMMYFUNCTION("GOOGLETRANSLATE(F743,""en"",""pt"")"),"sistemas de convés feixe de enchimento")</f>
        <v>sistemas de convés feixe de enchimento</v>
      </c>
      <c r="H743" s="20" t="s">
        <v>9835</v>
      </c>
      <c r="I743" s="24"/>
    </row>
    <row r="744" spans="1:9" ht="14.5">
      <c r="A744" s="20" t="s">
        <v>9836</v>
      </c>
      <c r="B744" s="20">
        <v>30</v>
      </c>
      <c r="C744" s="20">
        <v>16</v>
      </c>
      <c r="D744" s="20">
        <v>10</v>
      </c>
      <c r="E744" s="20">
        <v>31</v>
      </c>
      <c r="F744" s="20" t="s">
        <v>9837</v>
      </c>
      <c r="G744" s="24" t="str">
        <f ca="1">IFERROR(__xludf.DUMMYFUNCTION("GOOGLETRANSLATE(F744,""en"",""pt"")"),"sistemas de convés pisou plano e")</f>
        <v>sistemas de convés pisou plano e</v>
      </c>
      <c r="H744" s="20" t="s">
        <v>9838</v>
      </c>
      <c r="I744" s="24"/>
    </row>
    <row r="745" spans="1:9" ht="14.5">
      <c r="A745" s="20" t="s">
        <v>9839</v>
      </c>
      <c r="B745" s="20">
        <v>30</v>
      </c>
      <c r="C745" s="20">
        <v>16</v>
      </c>
      <c r="D745" s="20">
        <v>10</v>
      </c>
      <c r="E745" s="20">
        <v>53</v>
      </c>
      <c r="F745" s="20" t="s">
        <v>9840</v>
      </c>
      <c r="G745" s="24" t="str">
        <f ca="1">IFERROR(__xludf.DUMMYFUNCTION("GOOGLETRANSLATE(F745,""en"",""pt"")"),"sistemas de plataforma de concreto pré-moldado Modular")</f>
        <v>sistemas de plataforma de concreto pré-moldado Modular</v>
      </c>
      <c r="H745" s="20" t="s">
        <v>9841</v>
      </c>
      <c r="I745" s="24"/>
    </row>
    <row r="746" spans="1:9" ht="14.5">
      <c r="A746" s="20" t="s">
        <v>9842</v>
      </c>
      <c r="B746" s="20">
        <v>30</v>
      </c>
      <c r="C746" s="20">
        <v>16</v>
      </c>
      <c r="D746" s="20">
        <v>10</v>
      </c>
      <c r="E746" s="20">
        <v>59</v>
      </c>
      <c r="F746" s="20" t="s">
        <v>9843</v>
      </c>
      <c r="G746" s="24" t="str">
        <f ca="1">IFERROR(__xludf.DUMMYFUNCTION("GOOGLETRANSLATE(F746,""en"",""pt"")"),"sistemas de convés ortotrópicas")</f>
        <v>sistemas de convés ortotrópicas</v>
      </c>
      <c r="H746" s="20" t="s">
        <v>9844</v>
      </c>
      <c r="I746" s="24"/>
    </row>
    <row r="747" spans="1:9" ht="14.5">
      <c r="A747" s="20" t="s">
        <v>9845</v>
      </c>
      <c r="B747" s="20">
        <v>30</v>
      </c>
      <c r="C747" s="20">
        <v>16</v>
      </c>
      <c r="D747" s="20">
        <v>10</v>
      </c>
      <c r="E747" s="20">
        <v>65</v>
      </c>
      <c r="F747" s="20" t="s">
        <v>9846</v>
      </c>
      <c r="G747" s="24" t="str">
        <f ca="1">IFERROR(__xludf.DUMMYFUNCTION("GOOGLETRANSLATE(F747,""en"",""pt"")"),"Pré-esforçado sistemas de convés viga de concreto")</f>
        <v>Pré-esforçado sistemas de convés viga de concreto</v>
      </c>
      <c r="H747" s="20" t="s">
        <v>9847</v>
      </c>
      <c r="I747" s="24"/>
    </row>
    <row r="748" spans="1:9" ht="14.5">
      <c r="A748" s="20" t="s">
        <v>9848</v>
      </c>
      <c r="B748" s="20">
        <v>30</v>
      </c>
      <c r="C748" s="20">
        <v>16</v>
      </c>
      <c r="D748" s="20">
        <v>10</v>
      </c>
      <c r="E748" s="20">
        <v>80</v>
      </c>
      <c r="F748" s="20" t="s">
        <v>9849</v>
      </c>
      <c r="G748" s="24" t="str">
        <f ca="1">IFERROR(__xludf.DUMMYFUNCTION("GOOGLETRANSLATE(F748,""en"",""pt"")"),"sistemas de placas de aço sólido")</f>
        <v>sistemas de placas de aço sólido</v>
      </c>
      <c r="H748" s="20" t="s">
        <v>9850</v>
      </c>
      <c r="I748" s="24"/>
    </row>
    <row r="749" spans="1:9" ht="14.5">
      <c r="A749" s="20" t="s">
        <v>9851</v>
      </c>
      <c r="B749" s="20">
        <v>30</v>
      </c>
      <c r="C749" s="20">
        <v>16</v>
      </c>
      <c r="D749" s="20">
        <v>30</v>
      </c>
      <c r="E749" s="24"/>
      <c r="F749" s="20" t="s">
        <v>9852</v>
      </c>
      <c r="G749" s="24" t="str">
        <f ca="1">IFERROR(__xludf.DUMMYFUNCTION("GOOGLETRANSLATE(F749,""en"",""pt"")"),"sistemas expansão conjuntas ponte")</f>
        <v>sistemas expansão conjuntas ponte</v>
      </c>
      <c r="H749" s="24"/>
      <c r="I749" s="24"/>
    </row>
    <row r="750" spans="1:9" ht="14.5">
      <c r="A750" s="20" t="s">
        <v>9853</v>
      </c>
      <c r="B750" s="20">
        <v>30</v>
      </c>
      <c r="C750" s="20">
        <v>16</v>
      </c>
      <c r="D750" s="20">
        <v>30</v>
      </c>
      <c r="E750" s="20">
        <v>4</v>
      </c>
      <c r="F750" s="20" t="s">
        <v>9854</v>
      </c>
      <c r="G750" s="24" t="str">
        <f ca="1">IFERROR(__xludf.DUMMYFUNCTION("GOOGLETRANSLATE(F750,""en"",""pt"")"),"Asfáltico conectar sistemas conjuntas")</f>
        <v>Asfáltico conectar sistemas conjuntas</v>
      </c>
      <c r="H750" s="20" t="s">
        <v>9855</v>
      </c>
      <c r="I750" s="24"/>
    </row>
    <row r="751" spans="1:9" ht="14.5">
      <c r="A751" s="20" t="s">
        <v>9856</v>
      </c>
      <c r="B751" s="20">
        <v>30</v>
      </c>
      <c r="C751" s="20">
        <v>16</v>
      </c>
      <c r="D751" s="20">
        <v>30</v>
      </c>
      <c r="E751" s="20">
        <v>9</v>
      </c>
      <c r="F751" s="20" t="s">
        <v>9857</v>
      </c>
      <c r="G751" s="24" t="str">
        <f ca="1">IFERROR(__xludf.DUMMYFUNCTION("GOOGLETRANSLATE(F751,""en"",""pt"")"),"sistemas conjuntos de expansão enterrado")</f>
        <v>sistemas conjuntos de expansão enterrado</v>
      </c>
      <c r="H751" s="20" t="s">
        <v>9858</v>
      </c>
      <c r="I751" s="24"/>
    </row>
    <row r="752" spans="1:9" ht="14.5">
      <c r="A752" s="20" t="s">
        <v>9859</v>
      </c>
      <c r="B752" s="20">
        <v>30</v>
      </c>
      <c r="C752" s="20">
        <v>16</v>
      </c>
      <c r="D752" s="20">
        <v>30</v>
      </c>
      <c r="E752" s="20">
        <v>56</v>
      </c>
      <c r="F752" s="20" t="s">
        <v>9860</v>
      </c>
      <c r="G752" s="24" t="str">
        <f ca="1">IFERROR(__xludf.DUMMYFUNCTION("GOOGLETRANSLATE(F752,""en"",""pt"")"),"Nosing sistemas conjuntos de expansão com selantes derramado")</f>
        <v>Nosing sistemas conjuntos de expansão com selantes derramado</v>
      </c>
      <c r="H752" s="20" t="s">
        <v>9861</v>
      </c>
      <c r="I752" s="24"/>
    </row>
    <row r="753" spans="1:9" ht="14.5">
      <c r="A753" s="20" t="s">
        <v>9862</v>
      </c>
      <c r="B753" s="20">
        <v>30</v>
      </c>
      <c r="C753" s="20">
        <v>16</v>
      </c>
      <c r="D753" s="20">
        <v>30</v>
      </c>
      <c r="E753" s="20">
        <v>57</v>
      </c>
      <c r="F753" s="20" t="s">
        <v>9863</v>
      </c>
      <c r="G753" s="24" t="str">
        <f ca="1">IFERROR(__xludf.DUMMYFUNCTION("GOOGLETRANSLATE(F753,""en"",""pt"")"),"Bocel sistemas de junta de expansão com vedações de compressão pré-formadas")</f>
        <v>Bocel sistemas de junta de expansão com vedações de compressão pré-formadas</v>
      </c>
      <c r="H753" s="20" t="s">
        <v>9864</v>
      </c>
      <c r="I753" s="24"/>
    </row>
    <row r="754" spans="1:9" ht="14.5">
      <c r="A754" s="20" t="s">
        <v>9865</v>
      </c>
      <c r="B754" s="20">
        <v>30</v>
      </c>
      <c r="C754" s="20">
        <v>20</v>
      </c>
      <c r="D754" s="24"/>
      <c r="E754" s="24"/>
      <c r="F754" s="20" t="s">
        <v>9866</v>
      </c>
      <c r="G754" s="24" t="str">
        <f ca="1">IFERROR(__xludf.DUMMYFUNCTION("GOOGLETRANSLATE(F754,""en"",""pt"")"),"Pisos e decks sistemas")</f>
        <v>Pisos e decks sistemas</v>
      </c>
      <c r="H754" s="24"/>
      <c r="I754" s="24"/>
    </row>
    <row r="755" spans="1:9" ht="14.5">
      <c r="A755" s="20" t="s">
        <v>9867</v>
      </c>
      <c r="B755" s="20">
        <v>30</v>
      </c>
      <c r="C755" s="20">
        <v>20</v>
      </c>
      <c r="D755" s="20">
        <v>10</v>
      </c>
      <c r="E755" s="24"/>
      <c r="F755" s="20" t="s">
        <v>9868</v>
      </c>
      <c r="G755" s="24" t="str">
        <f ca="1">IFERROR(__xludf.DUMMYFUNCTION("GOOGLETRANSLATE(F755,""en"",""pt"")"),"sistemas de chão de folha rígida bordo e")</f>
        <v>sistemas de chão de folha rígida bordo e</v>
      </c>
      <c r="H755" s="24"/>
      <c r="I755" s="24"/>
    </row>
    <row r="756" spans="1:9" ht="14.5">
      <c r="A756" s="20" t="s">
        <v>9869</v>
      </c>
      <c r="B756" s="20">
        <v>30</v>
      </c>
      <c r="C756" s="20">
        <v>20</v>
      </c>
      <c r="D756" s="20">
        <v>10</v>
      </c>
      <c r="E756" s="20">
        <v>10</v>
      </c>
      <c r="F756" s="20" t="s">
        <v>9870</v>
      </c>
      <c r="G756" s="24" t="str">
        <f ca="1">IFERROR(__xludf.DUMMYFUNCTION("GOOGLETRANSLATE(F756,""en"",""pt"")"),"Battened placa da madeira sistemas de chão flutuante")</f>
        <v>Battened placa da madeira sistemas de chão flutuante</v>
      </c>
      <c r="H756" s="20" t="s">
        <v>9871</v>
      </c>
      <c r="I756" s="20" t="s">
        <v>9872</v>
      </c>
    </row>
    <row r="757" spans="1:9" ht="14.5">
      <c r="A757" s="20" t="s">
        <v>9873</v>
      </c>
      <c r="B757" s="20">
        <v>30</v>
      </c>
      <c r="C757" s="20">
        <v>20</v>
      </c>
      <c r="D757" s="20">
        <v>10</v>
      </c>
      <c r="E757" s="20">
        <v>15</v>
      </c>
      <c r="F757" s="20" t="s">
        <v>9874</v>
      </c>
      <c r="G757" s="24" t="str">
        <f ca="1">IFERROR(__xludf.DUMMYFUNCTION("GOOGLETRANSLATE(F757,""en"",""pt"")"),"Battened madeira à base de folha rígida de sistemas de chão flutuante")</f>
        <v>Battened madeira à base de folha rígida de sistemas de chão flutuante</v>
      </c>
      <c r="H757" s="20" t="s">
        <v>9875</v>
      </c>
      <c r="I757" s="20" t="s">
        <v>9876</v>
      </c>
    </row>
    <row r="758" spans="1:9" ht="14.5">
      <c r="A758" s="20" t="s">
        <v>9877</v>
      </c>
      <c r="B758" s="20">
        <v>30</v>
      </c>
      <c r="C758" s="20">
        <v>20</v>
      </c>
      <c r="D758" s="20">
        <v>10</v>
      </c>
      <c r="E758" s="20">
        <v>45</v>
      </c>
      <c r="F758" s="20" t="s">
        <v>9878</v>
      </c>
      <c r="G758" s="24" t="str">
        <f ca="1">IFERROR(__xludf.DUMMYFUNCTION("GOOGLETRANSLATE(F758,""en"",""pt"")"),"sistemas de chão de tabuleiro de madeira suportada por vigas")</f>
        <v>sistemas de chão de tabuleiro de madeira suportada por vigas</v>
      </c>
      <c r="H758" s="20" t="s">
        <v>9879</v>
      </c>
      <c r="I758" s="20" t="s">
        <v>9872</v>
      </c>
    </row>
    <row r="759" spans="1:9" ht="14.5">
      <c r="A759" s="20" t="s">
        <v>9880</v>
      </c>
      <c r="B759" s="20">
        <v>30</v>
      </c>
      <c r="C759" s="20">
        <v>20</v>
      </c>
      <c r="D759" s="20">
        <v>10</v>
      </c>
      <c r="E759" s="20">
        <v>50</v>
      </c>
      <c r="F759" s="20" t="s">
        <v>9881</v>
      </c>
      <c r="G759" s="24" t="str">
        <f ca="1">IFERROR(__xludf.DUMMYFUNCTION("GOOGLETRANSLATE(F759,""en"",""pt"")"),"Vigota-suportado sistemas de chão de folha rígida à base de madeira")</f>
        <v>Vigota-suportado sistemas de chão de folha rígida à base de madeira</v>
      </c>
      <c r="H759" s="20" t="s">
        <v>9882</v>
      </c>
      <c r="I759" s="20" t="s">
        <v>9872</v>
      </c>
    </row>
    <row r="760" spans="1:9" ht="14.5">
      <c r="A760" s="20" t="s">
        <v>9883</v>
      </c>
      <c r="B760" s="20">
        <v>30</v>
      </c>
      <c r="C760" s="20">
        <v>20</v>
      </c>
      <c r="D760" s="20">
        <v>10</v>
      </c>
      <c r="E760" s="20">
        <v>95</v>
      </c>
      <c r="F760" s="20" t="s">
        <v>9884</v>
      </c>
      <c r="G760" s="24" t="str">
        <f ca="1">IFERROR(__xludf.DUMMYFUNCTION("GOOGLETRANSLATE(F760,""en"",""pt"")"),"sistemas de chão flutuante folha rígida à base de madeira")</f>
        <v>sistemas de chão flutuante folha rígida à base de madeira</v>
      </c>
      <c r="H760" s="20" t="s">
        <v>9885</v>
      </c>
      <c r="I760" s="20" t="s">
        <v>9876</v>
      </c>
    </row>
    <row r="761" spans="1:9" ht="14.5">
      <c r="A761" s="20" t="s">
        <v>9886</v>
      </c>
      <c r="B761" s="20">
        <v>30</v>
      </c>
      <c r="C761" s="20">
        <v>20</v>
      </c>
      <c r="D761" s="20">
        <v>15</v>
      </c>
      <c r="E761" s="24"/>
      <c r="F761" s="20" t="s">
        <v>9887</v>
      </c>
      <c r="G761" s="24" t="str">
        <f ca="1">IFERROR(__xludf.DUMMYFUNCTION("GOOGLETRANSLATE(F761,""en"",""pt"")"),"Local de construção")</f>
        <v>Local de construção</v>
      </c>
      <c r="H761" s="24"/>
      <c r="I761" s="24"/>
    </row>
    <row r="762" spans="1:9" ht="14.5">
      <c r="A762" s="20" t="s">
        <v>9888</v>
      </c>
      <c r="B762" s="20">
        <v>30</v>
      </c>
      <c r="C762" s="20">
        <v>20</v>
      </c>
      <c r="D762" s="20">
        <v>22</v>
      </c>
      <c r="E762" s="24"/>
      <c r="F762" s="20" t="s">
        <v>9889</v>
      </c>
      <c r="G762" s="24" t="str">
        <f ca="1">IFERROR(__xludf.DUMMYFUNCTION("GOOGLETRANSLATE(F762,""en"",""pt"")"),"atletismo desmontáveis ​​sistemas de chão")</f>
        <v>atletismo desmontáveis ​​sistemas de chão</v>
      </c>
      <c r="H762" s="24"/>
      <c r="I762" s="24"/>
    </row>
    <row r="763" spans="1:9" ht="14.5">
      <c r="A763" s="20" t="s">
        <v>9890</v>
      </c>
      <c r="B763" s="20">
        <v>30</v>
      </c>
      <c r="C763" s="20">
        <v>20</v>
      </c>
      <c r="D763" s="20">
        <v>30</v>
      </c>
      <c r="E763" s="24"/>
      <c r="F763" s="20" t="s">
        <v>9891</v>
      </c>
      <c r="G763" s="24" t="str">
        <f ca="1">IFERROR(__xludf.DUMMYFUNCTION("GOOGLETRANSLATE(F763,""en"",""pt"")"),"sistemas de convés e do calçadão externos")</f>
        <v>sistemas de convés e do calçadão externos</v>
      </c>
      <c r="H763" s="24"/>
      <c r="I763" s="24"/>
    </row>
    <row r="764" spans="1:9" ht="14.5">
      <c r="A764" s="20" t="s">
        <v>9892</v>
      </c>
      <c r="B764" s="20">
        <v>30</v>
      </c>
      <c r="C764" s="20">
        <v>20</v>
      </c>
      <c r="D764" s="20">
        <v>30</v>
      </c>
      <c r="E764" s="20">
        <v>10</v>
      </c>
      <c r="F764" s="20" t="s">
        <v>9893</v>
      </c>
      <c r="G764" s="24" t="str">
        <f ca="1">IFERROR(__xludf.DUMMYFUNCTION("GOOGLETRANSLATE(F764,""en"",""pt"")"),"sistemas Boardwalk")</f>
        <v>sistemas Boardwalk</v>
      </c>
      <c r="H764" s="20" t="s">
        <v>9894</v>
      </c>
      <c r="I764" s="20" t="s">
        <v>5666</v>
      </c>
    </row>
    <row r="765" spans="1:9" ht="14.5">
      <c r="A765" s="20" t="s">
        <v>9895</v>
      </c>
      <c r="B765" s="20">
        <v>30</v>
      </c>
      <c r="C765" s="20">
        <v>20</v>
      </c>
      <c r="D765" s="20">
        <v>30</v>
      </c>
      <c r="E765" s="20">
        <v>25</v>
      </c>
      <c r="F765" s="20" t="s">
        <v>9896</v>
      </c>
      <c r="G765" s="24" t="str">
        <f ca="1">IFERROR(__xludf.DUMMYFUNCTION("GOOGLETRANSLATE(F765,""en"",""pt"")"),"sistemas de decks")</f>
        <v>sistemas de decks</v>
      </c>
      <c r="H765" s="20" t="s">
        <v>9897</v>
      </c>
      <c r="I765" s="20" t="s">
        <v>5694</v>
      </c>
    </row>
    <row r="766" spans="1:9" ht="14.5">
      <c r="A766" s="20" t="s">
        <v>9898</v>
      </c>
      <c r="B766" s="20">
        <v>30</v>
      </c>
      <c r="C766" s="20">
        <v>20</v>
      </c>
      <c r="D766" s="20">
        <v>70</v>
      </c>
      <c r="E766" s="24"/>
      <c r="F766" s="20" t="s">
        <v>9899</v>
      </c>
      <c r="G766" s="24" t="str">
        <f ca="1">IFERROR(__xludf.DUMMYFUNCTION("GOOGLETRANSLATE(F766,""en"",""pt"")"),"sistemas de piso elevado")</f>
        <v>sistemas de piso elevado</v>
      </c>
      <c r="H766" s="24"/>
      <c r="I766" s="24"/>
    </row>
    <row r="767" spans="1:9" ht="14.5">
      <c r="A767" s="20" t="s">
        <v>9900</v>
      </c>
      <c r="B767" s="20">
        <v>30</v>
      </c>
      <c r="C767" s="20">
        <v>20</v>
      </c>
      <c r="D767" s="20">
        <v>70</v>
      </c>
      <c r="E767" s="20">
        <v>70</v>
      </c>
      <c r="F767" s="20" t="s">
        <v>9901</v>
      </c>
      <c r="G767" s="24" t="str">
        <f ca="1">IFERROR(__xludf.DUMMYFUNCTION("GOOGLETRANSLATE(F767,""en"",""pt"")"),"sistemas de piso elevado")</f>
        <v>sistemas de piso elevado</v>
      </c>
      <c r="H767" s="20" t="s">
        <v>9902</v>
      </c>
      <c r="I767" s="20" t="s">
        <v>9903</v>
      </c>
    </row>
    <row r="768" spans="1:9" ht="14.5">
      <c r="A768" s="20" t="s">
        <v>9904</v>
      </c>
      <c r="B768" s="20">
        <v>30</v>
      </c>
      <c r="C768" s="20">
        <v>20</v>
      </c>
      <c r="D768" s="20">
        <v>90</v>
      </c>
      <c r="E768" s="24"/>
      <c r="F768" s="20" t="s">
        <v>9905</v>
      </c>
      <c r="G768" s="24" t="str">
        <f ca="1">IFERROR(__xludf.DUMMYFUNCTION("GOOGLETRANSLATE(F768,""en"",""pt"")"),"sistemas de pavimentação unidade de compósitos de madeira e")</f>
        <v>sistemas de pavimentação unidade de compósitos de madeira e</v>
      </c>
      <c r="H768" s="24"/>
      <c r="I768" s="24"/>
    </row>
    <row r="769" spans="1:9" ht="14.5">
      <c r="A769" s="20" t="s">
        <v>9906</v>
      </c>
      <c r="B769" s="20">
        <v>30</v>
      </c>
      <c r="C769" s="20">
        <v>20</v>
      </c>
      <c r="D769" s="20">
        <v>90</v>
      </c>
      <c r="E769" s="20">
        <v>15</v>
      </c>
      <c r="F769" s="20" t="s">
        <v>9907</v>
      </c>
      <c r="G769" s="24" t="str">
        <f ca="1">IFERROR(__xludf.DUMMYFUNCTION("GOOGLETRANSLATE(F769,""en"",""pt"")"),"sistemas de pavimentação de bloco de composição")</f>
        <v>sistemas de pavimentação de bloco de composição</v>
      </c>
      <c r="H769" s="20" t="s">
        <v>9908</v>
      </c>
      <c r="I769" s="20" t="s">
        <v>9876</v>
      </c>
    </row>
    <row r="770" spans="1:9" ht="14.5">
      <c r="A770" s="20" t="s">
        <v>9909</v>
      </c>
      <c r="B770" s="20">
        <v>30</v>
      </c>
      <c r="C770" s="20">
        <v>20</v>
      </c>
      <c r="D770" s="20">
        <v>90</v>
      </c>
      <c r="E770" s="20">
        <v>50</v>
      </c>
      <c r="F770" s="20" t="s">
        <v>9910</v>
      </c>
      <c r="G770" s="24" t="str">
        <f ca="1">IFERROR(__xludf.DUMMYFUNCTION("GOOGLETRANSLATE(F770,""en"",""pt"")"),"sistemas de pavimentação de painéis de parquet mosaico")</f>
        <v>sistemas de pavimentação de painéis de parquet mosaico</v>
      </c>
      <c r="H770" s="20" t="s">
        <v>9911</v>
      </c>
      <c r="I770" s="20" t="s">
        <v>9876</v>
      </c>
    </row>
    <row r="771" spans="1:9" ht="14.5">
      <c r="A771" s="20" t="s">
        <v>9912</v>
      </c>
      <c r="B771" s="20">
        <v>30</v>
      </c>
      <c r="C771" s="20">
        <v>20</v>
      </c>
      <c r="D771" s="20">
        <v>90</v>
      </c>
      <c r="E771" s="20">
        <v>95</v>
      </c>
      <c r="F771" s="20" t="s">
        <v>9913</v>
      </c>
      <c r="G771" s="24" t="str">
        <f ca="1">IFERROR(__xludf.DUMMYFUNCTION("GOOGLETRANSLATE(F771,""en"",""pt"")"),"sistemas de revestimento de blocos de madeira")</f>
        <v>sistemas de revestimento de blocos de madeira</v>
      </c>
      <c r="H771" s="20" t="s">
        <v>9914</v>
      </c>
      <c r="I771" s="20" t="s">
        <v>9876</v>
      </c>
    </row>
    <row r="772" spans="1:9" ht="14.5">
      <c r="A772" s="20" t="s">
        <v>9915</v>
      </c>
      <c r="B772" s="20">
        <v>30</v>
      </c>
      <c r="C772" s="20">
        <v>20</v>
      </c>
      <c r="D772" s="20">
        <v>95</v>
      </c>
      <c r="E772" s="24"/>
      <c r="F772" s="20" t="s">
        <v>9916</v>
      </c>
      <c r="G772" s="24" t="str">
        <f ca="1">IFERROR(__xludf.DUMMYFUNCTION("GOOGLETRANSLATE(F772,""en"",""pt"")"),"sistemas de revestimento de tiras de madeira e finas bordo")</f>
        <v>sistemas de revestimento de tiras de madeira e finas bordo</v>
      </c>
      <c r="H772" s="24"/>
      <c r="I772" s="24"/>
    </row>
    <row r="773" spans="1:9" ht="14.5">
      <c r="A773" s="20" t="s">
        <v>9917</v>
      </c>
      <c r="B773" s="20">
        <v>30</v>
      </c>
      <c r="C773" s="20">
        <v>20</v>
      </c>
      <c r="D773" s="20">
        <v>95</v>
      </c>
      <c r="E773" s="20">
        <v>10</v>
      </c>
      <c r="F773" s="20" t="s">
        <v>9918</v>
      </c>
      <c r="G773" s="24" t="str">
        <f ca="1">IFERROR(__xludf.DUMMYFUNCTION("GOOGLETRANSLATE(F773,""en"",""pt"")"),"madeira battened sistemas de chão flutuante")</f>
        <v>madeira battened sistemas de chão flutuante</v>
      </c>
      <c r="H773" s="20" t="s">
        <v>9919</v>
      </c>
      <c r="I773" s="20" t="s">
        <v>9876</v>
      </c>
    </row>
    <row r="774" spans="1:9" ht="14.5">
      <c r="A774" s="20" t="s">
        <v>9920</v>
      </c>
      <c r="B774" s="20">
        <v>30</v>
      </c>
      <c r="C774" s="20">
        <v>20</v>
      </c>
      <c r="D774" s="20">
        <v>95</v>
      </c>
      <c r="E774" s="20">
        <v>15</v>
      </c>
      <c r="F774" s="20" t="s">
        <v>9921</v>
      </c>
      <c r="G774" s="24" t="str">
        <f ca="1">IFERROR(__xludf.DUMMYFUNCTION("GOOGLETRANSLATE(F774,""en"",""pt"")"),"sistemas de piso laminado flutuante compostas")</f>
        <v>sistemas de piso laminado flutuante compostas</v>
      </c>
      <c r="H774" s="20" t="s">
        <v>9922</v>
      </c>
      <c r="I774" s="20" t="s">
        <v>9876</v>
      </c>
    </row>
    <row r="775" spans="1:9" ht="14.5">
      <c r="A775" s="20" t="s">
        <v>9923</v>
      </c>
      <c r="B775" s="20">
        <v>30</v>
      </c>
      <c r="C775" s="20">
        <v>20</v>
      </c>
      <c r="D775" s="20">
        <v>95</v>
      </c>
      <c r="E775" s="20">
        <v>20</v>
      </c>
      <c r="F775" s="20" t="s">
        <v>9924</v>
      </c>
      <c r="G775" s="24" t="str">
        <f ca="1">IFERROR(__xludf.DUMMYFUNCTION("GOOGLETRANSLATE(F775,""en"",""pt"")"),"sistemas de chão de madeira directos-fixos")</f>
        <v>sistemas de chão de madeira directos-fixos</v>
      </c>
      <c r="H775" s="20" t="s">
        <v>9925</v>
      </c>
      <c r="I775" s="20" t="s">
        <v>9926</v>
      </c>
    </row>
    <row r="776" spans="1:9" ht="14.5">
      <c r="A776" s="20" t="s">
        <v>9927</v>
      </c>
      <c r="B776" s="20">
        <v>30</v>
      </c>
      <c r="C776" s="20">
        <v>20</v>
      </c>
      <c r="D776" s="20">
        <v>95</v>
      </c>
      <c r="E776" s="20">
        <v>25</v>
      </c>
      <c r="F776" s="20" t="s">
        <v>9928</v>
      </c>
      <c r="G776" s="24" t="str">
        <f ca="1">IFERROR(__xludf.DUMMYFUNCTION("GOOGLETRANSLATE(F776,""en"",""pt"")"),"sistemas de chão de madeira coladas Directo")</f>
        <v>sistemas de chão de madeira coladas Directo</v>
      </c>
      <c r="H776" s="20" t="s">
        <v>9929</v>
      </c>
      <c r="I776" s="20" t="s">
        <v>9876</v>
      </c>
    </row>
    <row r="777" spans="1:9" ht="14.5">
      <c r="A777" s="20" t="s">
        <v>9930</v>
      </c>
      <c r="B777" s="20">
        <v>30</v>
      </c>
      <c r="C777" s="20">
        <v>20</v>
      </c>
      <c r="D777" s="20">
        <v>95</v>
      </c>
      <c r="E777" s="20">
        <v>95</v>
      </c>
      <c r="F777" s="20" t="s">
        <v>9931</v>
      </c>
      <c r="G777" s="24" t="str">
        <f ca="1">IFERROR(__xludf.DUMMYFUNCTION("GOOGLETRANSLATE(F777,""en"",""pt"")"),"sistemas de chão de madeira flutuante")</f>
        <v>sistemas de chão de madeira flutuante</v>
      </c>
      <c r="H777" s="20" t="s">
        <v>9932</v>
      </c>
      <c r="I777" s="20" t="s">
        <v>9933</v>
      </c>
    </row>
    <row r="778" spans="1:9" ht="14.5">
      <c r="A778" s="20" t="s">
        <v>9934</v>
      </c>
      <c r="B778" s="20">
        <v>30</v>
      </c>
      <c r="C778" s="20">
        <v>25</v>
      </c>
      <c r="D778" s="24"/>
      <c r="E778" s="24"/>
      <c r="F778" s="20" t="s">
        <v>9935</v>
      </c>
      <c r="G778" s="24" t="str">
        <f ca="1">IFERROR(__xludf.DUMMYFUNCTION("GOOGLETRANSLATE(F778,""en"",""pt"")"),"Sistema de teto e intradorso")</f>
        <v>Sistema de teto e intradorso</v>
      </c>
      <c r="H778" s="24"/>
      <c r="I778" s="24"/>
    </row>
    <row r="779" spans="1:9" ht="14.5">
      <c r="A779" s="20" t="s">
        <v>9936</v>
      </c>
      <c r="B779" s="20">
        <v>30</v>
      </c>
      <c r="C779" s="20">
        <v>25</v>
      </c>
      <c r="D779" s="20">
        <v>10</v>
      </c>
      <c r="E779" s="24"/>
      <c r="F779" s="20" t="s">
        <v>9937</v>
      </c>
      <c r="G779" s="24" t="str">
        <f ca="1">IFERROR(__xludf.DUMMYFUNCTION("GOOGLETRANSLATE(F779,""en"",""pt"")"),"Sistemas de teto de tabuleiro e folha")</f>
        <v>Sistemas de teto de tabuleiro e folha</v>
      </c>
      <c r="H779" s="24"/>
      <c r="I779" s="24"/>
    </row>
    <row r="780" spans="1:9" ht="14.5">
      <c r="A780" s="20" t="s">
        <v>9938</v>
      </c>
      <c r="B780" s="20">
        <v>30</v>
      </c>
      <c r="C780" s="20">
        <v>25</v>
      </c>
      <c r="D780" s="20">
        <v>10</v>
      </c>
      <c r="E780" s="20">
        <v>10</v>
      </c>
      <c r="F780" s="20" t="s">
        <v>9939</v>
      </c>
      <c r="G780" s="24" t="str">
        <f ca="1">IFERROR(__xludf.DUMMYFUNCTION("GOOGLETRANSLATE(F780,""en"",""pt"")"),"Sistemas de teto de tabuleiro suspenso")</f>
        <v>Sistemas de teto de tabuleiro suspenso</v>
      </c>
      <c r="H780" s="20" t="s">
        <v>9940</v>
      </c>
      <c r="I780" s="20" t="s">
        <v>9941</v>
      </c>
    </row>
    <row r="781" spans="1:9" ht="14.5">
      <c r="A781" s="20" t="s">
        <v>9942</v>
      </c>
      <c r="B781" s="20">
        <v>30</v>
      </c>
      <c r="C781" s="20">
        <v>25</v>
      </c>
      <c r="D781" s="20">
        <v>10</v>
      </c>
      <c r="E781" s="20">
        <v>26</v>
      </c>
      <c r="F781" s="20" t="s">
        <v>9943</v>
      </c>
      <c r="G781" s="24" t="str">
        <f ca="1">IFERROR(__xludf.DUMMYFUNCTION("GOOGLETRANSLATE(F781,""en"",""pt"")"),"sistemas de forros externos")</f>
        <v>sistemas de forros externos</v>
      </c>
      <c r="H781" s="24"/>
      <c r="I781" s="24"/>
    </row>
    <row r="782" spans="1:9" ht="14.5">
      <c r="A782" s="20" t="s">
        <v>9944</v>
      </c>
      <c r="B782" s="20">
        <v>30</v>
      </c>
      <c r="C782" s="20">
        <v>25</v>
      </c>
      <c r="D782" s="20">
        <v>10</v>
      </c>
      <c r="E782" s="20">
        <v>28</v>
      </c>
      <c r="F782" s="20" t="s">
        <v>9945</v>
      </c>
      <c r="G782" s="24" t="str">
        <f ca="1">IFERROR(__xludf.DUMMYFUNCTION("GOOGLETRANSLATE(F782,""en"",""pt"")"),"sistemas soffit externos")</f>
        <v>sistemas soffit externos</v>
      </c>
      <c r="H782" s="24"/>
      <c r="I782" s="24"/>
    </row>
    <row r="783" spans="1:9" ht="14.5">
      <c r="A783" s="20" t="s">
        <v>9946</v>
      </c>
      <c r="B783" s="20">
        <v>30</v>
      </c>
      <c r="C783" s="20">
        <v>25</v>
      </c>
      <c r="D783" s="20">
        <v>10</v>
      </c>
      <c r="E783" s="20">
        <v>80</v>
      </c>
      <c r="F783" s="20" t="s">
        <v>9947</v>
      </c>
      <c r="G783" s="24" t="str">
        <f ca="1">IFERROR(__xludf.DUMMYFUNCTION("GOOGLETRANSLATE(F783,""en"",""pt"")"),"sistemas de revestimento de revestimento de intradorso e feixe")</f>
        <v>sistemas de revestimento de revestimento de intradorso e feixe</v>
      </c>
      <c r="H783" s="20" t="s">
        <v>9948</v>
      </c>
      <c r="I783" s="20" t="s">
        <v>9949</v>
      </c>
    </row>
    <row r="784" spans="1:9" ht="14.5">
      <c r="A784" s="20" t="s">
        <v>9950</v>
      </c>
      <c r="B784" s="20">
        <v>30</v>
      </c>
      <c r="C784" s="20">
        <v>25</v>
      </c>
      <c r="D784" s="20">
        <v>22</v>
      </c>
      <c r="E784" s="24"/>
      <c r="F784" s="20" t="s">
        <v>9951</v>
      </c>
      <c r="G784" s="24" t="str">
        <f ca="1">IFERROR(__xludf.DUMMYFUNCTION("GOOGLETRANSLATE(F784,""en"",""pt"")"),"sistemas de tectos suspensos desmontáveis")</f>
        <v>sistemas de tectos suspensos desmontáveis</v>
      </c>
      <c r="H784" s="24"/>
      <c r="I784" s="24"/>
    </row>
    <row r="785" spans="1:9" ht="14.5">
      <c r="A785" s="20" t="s">
        <v>9952</v>
      </c>
      <c r="B785" s="20">
        <v>30</v>
      </c>
      <c r="C785" s="20">
        <v>25</v>
      </c>
      <c r="D785" s="20">
        <v>22</v>
      </c>
      <c r="E785" s="20">
        <v>1</v>
      </c>
      <c r="F785" s="20" t="s">
        <v>9953</v>
      </c>
      <c r="G785" s="24" t="str">
        <f ca="1">IFERROR(__xludf.DUMMYFUNCTION("GOOGLETRANSLATE(F785,""en"",""pt"")"),"sistemas de teto defletoras suspensa acústicos")</f>
        <v>sistemas de teto defletoras suspensa acústicos</v>
      </c>
      <c r="H785" s="20" t="s">
        <v>9954</v>
      </c>
      <c r="I785" s="20" t="s">
        <v>9941</v>
      </c>
    </row>
    <row r="786" spans="1:9" ht="14.5">
      <c r="A786" s="20" t="s">
        <v>9955</v>
      </c>
      <c r="B786" s="20">
        <v>30</v>
      </c>
      <c r="C786" s="20">
        <v>25</v>
      </c>
      <c r="D786" s="20">
        <v>22</v>
      </c>
      <c r="E786" s="20">
        <v>30</v>
      </c>
      <c r="F786" s="20" t="s">
        <v>9956</v>
      </c>
      <c r="G786" s="24" t="str">
        <f ca="1">IFERROR(__xludf.DUMMYFUNCTION("GOOGLETRANSLATE(F786,""en"",""pt"")"),"Sistemas de teto de membrana de tecido")</f>
        <v>Sistemas de teto de membrana de tecido</v>
      </c>
      <c r="H786" s="20" t="s">
        <v>9957</v>
      </c>
      <c r="I786" s="20" t="s">
        <v>9958</v>
      </c>
    </row>
    <row r="787" spans="1:9" ht="14.5">
      <c r="A787" s="20" t="s">
        <v>9959</v>
      </c>
      <c r="B787" s="20">
        <v>30</v>
      </c>
      <c r="C787" s="20">
        <v>25</v>
      </c>
      <c r="D787" s="20">
        <v>22</v>
      </c>
      <c r="E787" s="20">
        <v>52</v>
      </c>
      <c r="F787" s="20" t="s">
        <v>9960</v>
      </c>
      <c r="G787" s="24" t="str">
        <f ca="1">IFERROR(__xludf.DUMMYFUNCTION("GOOGLETRANSLATE(F787,""en"",""pt"")"),"Monolithic suspenso sistemas de teto")</f>
        <v>Monolithic suspenso sistemas de teto</v>
      </c>
      <c r="H787" s="20" t="s">
        <v>9961</v>
      </c>
      <c r="I787" s="24"/>
    </row>
    <row r="788" spans="1:9" ht="14.5">
      <c r="A788" s="20" t="s">
        <v>9962</v>
      </c>
      <c r="B788" s="20">
        <v>30</v>
      </c>
      <c r="C788" s="20">
        <v>25</v>
      </c>
      <c r="D788" s="20">
        <v>22</v>
      </c>
      <c r="E788" s="20">
        <v>70</v>
      </c>
      <c r="F788" s="20" t="s">
        <v>9963</v>
      </c>
      <c r="G788" s="24" t="str">
        <f ca="1">IFERROR(__xludf.DUMMYFUNCTION("GOOGLETRANSLATE(F788,""en"",""pt"")"),"sistemas de teto ilha suspensa jangada ou")</f>
        <v>sistemas de teto ilha suspensa jangada ou</v>
      </c>
      <c r="H788" s="20" t="s">
        <v>9964</v>
      </c>
      <c r="I788" s="20" t="s">
        <v>9941</v>
      </c>
    </row>
    <row r="789" spans="1:9" ht="14.5">
      <c r="A789" s="20" t="s">
        <v>9965</v>
      </c>
      <c r="B789" s="20">
        <v>30</v>
      </c>
      <c r="C789" s="20">
        <v>25</v>
      </c>
      <c r="D789" s="20">
        <v>22</v>
      </c>
      <c r="E789" s="20">
        <v>90</v>
      </c>
      <c r="F789" s="20" t="s">
        <v>9966</v>
      </c>
      <c r="G789" s="24" t="str">
        <f ca="1">IFERROR(__xludf.DUMMYFUNCTION("GOOGLETRANSLATE(F789,""en"",""pt"")"),"/ sistemas de tectos suspensos modulares unitárias")</f>
        <v>/ sistemas de tectos suspensos modulares unitárias</v>
      </c>
      <c r="H789" s="20" t="s">
        <v>9967</v>
      </c>
      <c r="I789" s="20" t="s">
        <v>9941</v>
      </c>
    </row>
    <row r="790" spans="1:9" ht="14.5">
      <c r="A790" s="20" t="s">
        <v>9968</v>
      </c>
      <c r="B790" s="20">
        <v>30</v>
      </c>
      <c r="C790" s="20">
        <v>30</v>
      </c>
      <c r="D790" s="24"/>
      <c r="E790" s="24"/>
      <c r="F790" s="20" t="s">
        <v>9969</v>
      </c>
      <c r="G790" s="24" t="str">
        <f ca="1">IFERROR(__xludf.DUMMYFUNCTION("GOOGLETRANSLATE(F790,""en"",""pt"")"),"sistemas de abertura de telhado")</f>
        <v>sistemas de abertura de telhado</v>
      </c>
      <c r="H790" s="24"/>
      <c r="I790" s="24"/>
    </row>
    <row r="791" spans="1:9" ht="14.5">
      <c r="A791" s="20" t="s">
        <v>9970</v>
      </c>
      <c r="B791" s="20">
        <v>30</v>
      </c>
      <c r="C791" s="20">
        <v>30</v>
      </c>
      <c r="D791" s="20">
        <v>15</v>
      </c>
      <c r="E791" s="24"/>
      <c r="F791" s="20" t="s">
        <v>9971</v>
      </c>
      <c r="G791" s="24" t="str">
        <f ca="1">IFERROR(__xludf.DUMMYFUNCTION("GOOGLETRANSLATE(F791,""en"",""pt"")"),"Betão sistemas de telhado vidraças")</f>
        <v>Betão sistemas de telhado vidraças</v>
      </c>
      <c r="H791" s="24"/>
      <c r="I791" s="24"/>
    </row>
    <row r="792" spans="1:9" ht="14.5">
      <c r="A792" s="20" t="s">
        <v>9972</v>
      </c>
      <c r="B792" s="20">
        <v>30</v>
      </c>
      <c r="C792" s="20">
        <v>30</v>
      </c>
      <c r="D792" s="20">
        <v>15</v>
      </c>
      <c r="E792" s="20">
        <v>42</v>
      </c>
      <c r="F792" s="20" t="s">
        <v>9973</v>
      </c>
      <c r="G792" s="24" t="str">
        <f ca="1">IFERROR(__xludf.DUMMYFUNCTION("GOOGLETRANSLATE(F792,""en"",""pt"")"),"No tecto de betão in situ sistemas de envidraçamento")</f>
        <v>No tecto de betão in situ sistemas de envidraçamento</v>
      </c>
      <c r="H792" s="20" t="s">
        <v>9974</v>
      </c>
      <c r="I792" s="20" t="s">
        <v>9975</v>
      </c>
    </row>
    <row r="793" spans="1:9" ht="14.5">
      <c r="A793" s="20" t="s">
        <v>9976</v>
      </c>
      <c r="B793" s="20">
        <v>30</v>
      </c>
      <c r="C793" s="20">
        <v>30</v>
      </c>
      <c r="D793" s="20">
        <v>15</v>
      </c>
      <c r="E793" s="20">
        <v>64</v>
      </c>
      <c r="F793" s="20" t="s">
        <v>9977</v>
      </c>
      <c r="G793" s="24" t="str">
        <f ca="1">IFERROR(__xludf.DUMMYFUNCTION("GOOGLETRANSLATE(F793,""en"",""pt"")"),"Pré-moldados de concreto elevador-out telhado sistemas de vitrificação")</f>
        <v>Pré-moldados de concreto elevador-out telhado sistemas de vitrificação</v>
      </c>
      <c r="H793" s="20" t="s">
        <v>9978</v>
      </c>
      <c r="I793" s="20" t="s">
        <v>9975</v>
      </c>
    </row>
    <row r="794" spans="1:9" ht="14.5">
      <c r="A794" s="20" t="s">
        <v>9979</v>
      </c>
      <c r="B794" s="20">
        <v>30</v>
      </c>
      <c r="C794" s="20">
        <v>30</v>
      </c>
      <c r="D794" s="20">
        <v>15</v>
      </c>
      <c r="E794" s="20">
        <v>65</v>
      </c>
      <c r="F794" s="20" t="s">
        <v>9980</v>
      </c>
      <c r="G794" s="24" t="str">
        <f ca="1">IFERROR(__xludf.DUMMYFUNCTION("GOOGLETRANSLATE(F794,""en"",""pt"")"),"Pré-moldados de concreto telhado sistemas de vitrificação")</f>
        <v>Pré-moldados de concreto telhado sistemas de vitrificação</v>
      </c>
      <c r="H794" s="20" t="s">
        <v>9981</v>
      </c>
      <c r="I794" s="20" t="s">
        <v>9982</v>
      </c>
    </row>
    <row r="795" spans="1:9" ht="14.5">
      <c r="A795" s="20" t="s">
        <v>9983</v>
      </c>
      <c r="B795" s="20">
        <v>30</v>
      </c>
      <c r="C795" s="20">
        <v>30</v>
      </c>
      <c r="D795" s="20">
        <v>34</v>
      </c>
      <c r="E795" s="24"/>
      <c r="F795" s="20" t="s">
        <v>9984</v>
      </c>
      <c r="G795" s="24" t="str">
        <f ca="1">IFERROR(__xludf.DUMMYFUNCTION("GOOGLETRANSLATE(F795,""en"",""pt"")"),"sistemas de luz de vidro unidade de alvenaria telhado")</f>
        <v>sistemas de luz de vidro unidade de alvenaria telhado</v>
      </c>
      <c r="H795" s="24"/>
      <c r="I795" s="24"/>
    </row>
    <row r="796" spans="1:9" ht="14.5">
      <c r="A796" s="20" t="s">
        <v>9985</v>
      </c>
      <c r="B796" s="20">
        <v>30</v>
      </c>
      <c r="C796" s="20">
        <v>30</v>
      </c>
      <c r="D796" s="20">
        <v>71</v>
      </c>
      <c r="E796" s="24"/>
      <c r="F796" s="20" t="s">
        <v>9986</v>
      </c>
      <c r="G796" s="24" t="str">
        <f ca="1">IFERROR(__xludf.DUMMYFUNCTION("GOOGLETRANSLATE(F796,""en"",""pt"")"),"sistemas de Tecto de abrir")</f>
        <v>sistemas de Tecto de abrir</v>
      </c>
      <c r="H796" s="24"/>
      <c r="I796" s="24"/>
    </row>
    <row r="797" spans="1:9" ht="14.5">
      <c r="A797" s="20" t="s">
        <v>9987</v>
      </c>
      <c r="B797" s="20">
        <v>30</v>
      </c>
      <c r="C797" s="20">
        <v>30</v>
      </c>
      <c r="D797" s="20">
        <v>72</v>
      </c>
      <c r="E797" s="24"/>
      <c r="F797" s="20" t="s">
        <v>9988</v>
      </c>
      <c r="G797" s="24" t="str">
        <f ca="1">IFERROR(__xludf.DUMMYFUNCTION("GOOGLETRANSLATE(F797,""en"",""pt"")"),"sistemas de janelas de telhado e Rooflight")</f>
        <v>sistemas de janelas de telhado e Rooflight</v>
      </c>
      <c r="H797" s="24"/>
      <c r="I797" s="24"/>
    </row>
    <row r="798" spans="1:9" ht="14.5">
      <c r="A798" s="20" t="s">
        <v>9989</v>
      </c>
      <c r="B798" s="20">
        <v>30</v>
      </c>
      <c r="C798" s="20">
        <v>30</v>
      </c>
      <c r="D798" s="20">
        <v>72</v>
      </c>
      <c r="E798" s="20">
        <v>21</v>
      </c>
      <c r="F798" s="20" t="s">
        <v>9990</v>
      </c>
      <c r="G798" s="24" t="str">
        <f ca="1">IFERROR(__xludf.DUMMYFUNCTION("GOOGLETRANSLATE(F798,""en"",""pt"")"),"sistemas de tubulação Daylight")</f>
        <v>sistemas de tubulação Daylight</v>
      </c>
      <c r="H798" s="20" t="s">
        <v>9991</v>
      </c>
      <c r="I798" s="20" t="s">
        <v>9992</v>
      </c>
    </row>
    <row r="799" spans="1:9" ht="14.5">
      <c r="A799" s="20" t="s">
        <v>9993</v>
      </c>
      <c r="B799" s="20">
        <v>30</v>
      </c>
      <c r="C799" s="20">
        <v>30</v>
      </c>
      <c r="D799" s="20">
        <v>72</v>
      </c>
      <c r="E799" s="20">
        <v>72</v>
      </c>
      <c r="F799" s="20" t="s">
        <v>9994</v>
      </c>
      <c r="G799" s="24" t="str">
        <f ca="1">IFERROR(__xludf.DUMMYFUNCTION("GOOGLETRANSLATE(F799,""en"",""pt"")"),"sistemas rooflight")</f>
        <v>sistemas rooflight</v>
      </c>
      <c r="H799" s="20" t="s">
        <v>9995</v>
      </c>
      <c r="I799" s="20" t="s">
        <v>9992</v>
      </c>
    </row>
    <row r="800" spans="1:9" ht="14.5">
      <c r="A800" s="20" t="s">
        <v>9996</v>
      </c>
      <c r="B800" s="20">
        <v>30</v>
      </c>
      <c r="C800" s="20">
        <v>30</v>
      </c>
      <c r="D800" s="20">
        <v>72</v>
      </c>
      <c r="E800" s="20">
        <v>73</v>
      </c>
      <c r="F800" s="20" t="s">
        <v>9997</v>
      </c>
      <c r="G800" s="24" t="str">
        <f ca="1">IFERROR(__xludf.DUMMYFUNCTION("GOOGLETRANSLATE(F800,""en"",""pt"")"),"Sistemas de janelas de telhado")</f>
        <v>Sistemas de janelas de telhado</v>
      </c>
      <c r="H800" s="20" t="s">
        <v>9998</v>
      </c>
      <c r="I800" s="20" t="s">
        <v>9992</v>
      </c>
    </row>
    <row r="801" spans="1:9" ht="14.5">
      <c r="A801" s="20" t="s">
        <v>9999</v>
      </c>
      <c r="B801" s="20">
        <v>30</v>
      </c>
      <c r="C801" s="20">
        <v>30</v>
      </c>
      <c r="D801" s="20">
        <v>73</v>
      </c>
      <c r="E801" s="24"/>
      <c r="F801" s="20" t="s">
        <v>10000</v>
      </c>
      <c r="G801" s="24" t="str">
        <f ca="1">IFERROR(__xludf.DUMMYFUNCTION("GOOGLETRANSLATE(F801,""en"",""pt"")"),"sistemas de ventilação do telhado")</f>
        <v>sistemas de ventilação do telhado</v>
      </c>
      <c r="H801" s="24"/>
      <c r="I801" s="24"/>
    </row>
    <row r="802" spans="1:9" ht="14.5">
      <c r="A802" s="20" t="s">
        <v>10001</v>
      </c>
      <c r="B802" s="20">
        <v>30</v>
      </c>
      <c r="C802" s="20">
        <v>30</v>
      </c>
      <c r="D802" s="20">
        <v>73</v>
      </c>
      <c r="E802" s="20">
        <v>60</v>
      </c>
      <c r="F802" s="20" t="s">
        <v>10002</v>
      </c>
      <c r="G802" s="24" t="str">
        <f ca="1">IFERROR(__xludf.DUMMYFUNCTION("GOOGLETRANSLATE(F802,""en"",""pt"")"),"sistemas de ventilação natural, telhado passiva")</f>
        <v>sistemas de ventilação natural, telhado passiva</v>
      </c>
      <c r="H802" s="20" t="s">
        <v>10003</v>
      </c>
      <c r="I802" s="20" t="s">
        <v>9992</v>
      </c>
    </row>
    <row r="803" spans="1:9" ht="14.5">
      <c r="A803" s="20" t="s">
        <v>10004</v>
      </c>
      <c r="B803" s="20">
        <v>30</v>
      </c>
      <c r="C803" s="20">
        <v>30</v>
      </c>
      <c r="D803" s="20">
        <v>73</v>
      </c>
      <c r="E803" s="20">
        <v>72</v>
      </c>
      <c r="F803" s="20" t="s">
        <v>10005</v>
      </c>
      <c r="G803" s="24" t="str">
        <f ca="1">IFERROR(__xludf.DUMMYFUNCTION("GOOGLETRANSLATE(F803,""en"",""pt"")"),"sistemas de ventilação de fumo telhado")</f>
        <v>sistemas de ventilação de fumo telhado</v>
      </c>
      <c r="H803" s="24"/>
      <c r="I803" s="24"/>
    </row>
    <row r="804" spans="1:9" ht="14.5">
      <c r="A804" s="20" t="s">
        <v>10006</v>
      </c>
      <c r="B804" s="20">
        <v>30</v>
      </c>
      <c r="C804" s="20">
        <v>32</v>
      </c>
      <c r="D804" s="24"/>
      <c r="E804" s="24"/>
      <c r="F804" s="20" t="s">
        <v>10007</v>
      </c>
      <c r="G804" s="24" t="str">
        <f ca="1">IFERROR(__xludf.DUMMYFUNCTION("GOOGLETRANSLATE(F804,""en"",""pt"")"),"sistemas de abertura chão")</f>
        <v>sistemas de abertura chão</v>
      </c>
      <c r="H804" s="24"/>
      <c r="I804" s="24"/>
    </row>
    <row r="805" spans="1:9" ht="14.5">
      <c r="A805" s="20" t="s">
        <v>10008</v>
      </c>
      <c r="B805" s="20">
        <v>30</v>
      </c>
      <c r="C805" s="20">
        <v>32</v>
      </c>
      <c r="D805" s="20">
        <v>15</v>
      </c>
      <c r="E805" s="24"/>
      <c r="F805" s="20" t="s">
        <v>10009</v>
      </c>
      <c r="G805" s="24" t="str">
        <f ca="1">IFERROR(__xludf.DUMMYFUNCTION("GOOGLETRANSLATE(F805,""en"",""pt"")"),"sistemas de chão envidraçado")</f>
        <v>sistemas de chão envidraçado</v>
      </c>
      <c r="H805" s="24"/>
      <c r="I805" s="24"/>
    </row>
    <row r="806" spans="1:9" ht="14.5">
      <c r="A806" s="20" t="s">
        <v>10010</v>
      </c>
      <c r="B806" s="20">
        <v>30</v>
      </c>
      <c r="C806" s="20">
        <v>32</v>
      </c>
      <c r="D806" s="20">
        <v>15</v>
      </c>
      <c r="E806" s="20">
        <v>15</v>
      </c>
      <c r="F806" s="20" t="s">
        <v>10011</v>
      </c>
      <c r="G806" s="24" t="str">
        <f ca="1">IFERROR(__xludf.DUMMYFUNCTION("GOOGLETRANSLATE(F806,""en"",""pt"")"),"sistemas de chão envidraçado concretas")</f>
        <v>sistemas de chão envidraçado concretas</v>
      </c>
      <c r="H806" s="20" t="s">
        <v>9974</v>
      </c>
      <c r="I806" s="20" t="s">
        <v>9975</v>
      </c>
    </row>
    <row r="807" spans="1:9" ht="14.5">
      <c r="A807" s="20" t="s">
        <v>10012</v>
      </c>
      <c r="B807" s="20">
        <v>30</v>
      </c>
      <c r="C807" s="20">
        <v>32</v>
      </c>
      <c r="D807" s="20">
        <v>15</v>
      </c>
      <c r="E807" s="20">
        <v>64</v>
      </c>
      <c r="F807" s="20" t="s">
        <v>10013</v>
      </c>
      <c r="G807" s="24" t="str">
        <f ca="1">IFERROR(__xludf.DUMMYFUNCTION("GOOGLETRANSLATE(F807,""en"",""pt"")"),"piso elevador-out pré-moldados de concreto sistemas de vitrificação")</f>
        <v>piso elevador-out pré-moldados de concreto sistemas de vitrificação</v>
      </c>
      <c r="H807" s="20" t="s">
        <v>9978</v>
      </c>
      <c r="I807" s="20" t="s">
        <v>9975</v>
      </c>
    </row>
    <row r="808" spans="1:9" ht="14.5">
      <c r="A808" s="20" t="s">
        <v>10014</v>
      </c>
      <c r="B808" s="20">
        <v>30</v>
      </c>
      <c r="C808" s="20">
        <v>32</v>
      </c>
      <c r="D808" s="20">
        <v>15</v>
      </c>
      <c r="E808" s="20">
        <v>65</v>
      </c>
      <c r="F808" s="20" t="s">
        <v>10015</v>
      </c>
      <c r="G808" s="24" t="str">
        <f ca="1">IFERROR(__xludf.DUMMYFUNCTION("GOOGLETRANSLATE(F808,""en"",""pt"")"),"piso de concreto pré-moldado sistemas de vitrificação")</f>
        <v>piso de concreto pré-moldado sistemas de vitrificação</v>
      </c>
      <c r="H808" s="20" t="s">
        <v>9981</v>
      </c>
      <c r="I808" s="20" t="s">
        <v>9982</v>
      </c>
    </row>
    <row r="809" spans="1:9" ht="14.5">
      <c r="A809" s="20" t="s">
        <v>10016</v>
      </c>
      <c r="B809" s="20">
        <v>30</v>
      </c>
      <c r="C809" s="20">
        <v>32</v>
      </c>
      <c r="D809" s="20">
        <v>30</v>
      </c>
      <c r="E809" s="24"/>
      <c r="F809" s="20" t="s">
        <v>10017</v>
      </c>
      <c r="G809" s="24" t="str">
        <f ca="1">IFERROR(__xludf.DUMMYFUNCTION("GOOGLETRANSLATE(F809,""en"",""pt"")"),"sistemas de chão de escotilha")</f>
        <v>sistemas de chão de escotilha</v>
      </c>
      <c r="H809" s="24"/>
      <c r="I809" s="24"/>
    </row>
    <row r="810" spans="1:9" ht="14.5">
      <c r="A810" s="20" t="s">
        <v>10018</v>
      </c>
      <c r="B810" s="20">
        <v>30</v>
      </c>
      <c r="C810" s="20">
        <v>34</v>
      </c>
      <c r="D810" s="24"/>
      <c r="E810" s="24"/>
      <c r="F810" s="20" t="s">
        <v>10019</v>
      </c>
      <c r="G810" s="24" t="str">
        <f ca="1">IFERROR(__xludf.DUMMYFUNCTION("GOOGLETRANSLATE(F810,""en"",""pt"")"),"sistemas de abertura do pavimento")</f>
        <v>sistemas de abertura do pavimento</v>
      </c>
      <c r="H810" s="24"/>
      <c r="I810" s="24"/>
    </row>
    <row r="811" spans="1:9" ht="14.5">
      <c r="A811" s="20" t="s">
        <v>10020</v>
      </c>
      <c r="B811" s="20">
        <v>30</v>
      </c>
      <c r="C811" s="20">
        <v>34</v>
      </c>
      <c r="D811" s="20">
        <v>3</v>
      </c>
      <c r="E811" s="24"/>
      <c r="F811" s="20" t="s">
        <v>10021</v>
      </c>
      <c r="G811" s="24" t="str">
        <f ca="1">IFERROR(__xludf.DUMMYFUNCTION("GOOGLETRANSLATE(F811,""en"",""pt"")"),"sistemas de rede animal")</f>
        <v>sistemas de rede animal</v>
      </c>
      <c r="H811" s="24"/>
      <c r="I811" s="24"/>
    </row>
    <row r="812" spans="1:9" ht="14.5">
      <c r="A812" s="20" t="s">
        <v>10022</v>
      </c>
      <c r="B812" s="20">
        <v>30</v>
      </c>
      <c r="C812" s="20">
        <v>34</v>
      </c>
      <c r="D812" s="20">
        <v>3</v>
      </c>
      <c r="E812" s="20">
        <v>11</v>
      </c>
      <c r="F812" s="20" t="s">
        <v>10023</v>
      </c>
      <c r="G812" s="24" t="str">
        <f ca="1">IFERROR(__xludf.DUMMYFUNCTION("GOOGLETRANSLATE(F812,""en"",""pt"")"),"sistemas de grade de gado")</f>
        <v>sistemas de grade de gado</v>
      </c>
      <c r="H812" s="20" t="s">
        <v>10024</v>
      </c>
      <c r="I812" s="20" t="s">
        <v>8908</v>
      </c>
    </row>
    <row r="813" spans="1:9" ht="14.5">
      <c r="A813" s="20" t="s">
        <v>10025</v>
      </c>
      <c r="B813" s="20">
        <v>30</v>
      </c>
      <c r="C813" s="20">
        <v>34</v>
      </c>
      <c r="D813" s="20">
        <v>15</v>
      </c>
      <c r="E813" s="24"/>
      <c r="F813" s="20" t="s">
        <v>10026</v>
      </c>
      <c r="G813" s="24" t="str">
        <f ca="1">IFERROR(__xludf.DUMMYFUNCTION("GOOGLETRANSLATE(F813,""en"",""pt"")"),"sistemas de vidros pavimento")</f>
        <v>sistemas de vidros pavimento</v>
      </c>
      <c r="H813" s="24"/>
      <c r="I813" s="24"/>
    </row>
    <row r="814" spans="1:9" ht="14.5">
      <c r="A814" s="20" t="s">
        <v>10027</v>
      </c>
      <c r="B814" s="20">
        <v>30</v>
      </c>
      <c r="C814" s="20">
        <v>34</v>
      </c>
      <c r="D814" s="20">
        <v>15</v>
      </c>
      <c r="E814" s="20">
        <v>15</v>
      </c>
      <c r="F814" s="20" t="s">
        <v>10028</v>
      </c>
      <c r="G814" s="24" t="str">
        <f ca="1">IFERROR(__xludf.DUMMYFUNCTION("GOOGLETRANSLATE(F814,""en"",""pt"")"),"sistemas de pavimento vidros concretas")</f>
        <v>sistemas de pavimento vidros concretas</v>
      </c>
      <c r="H814" s="20" t="s">
        <v>10029</v>
      </c>
      <c r="I814" s="20" t="s">
        <v>9992</v>
      </c>
    </row>
    <row r="815" spans="1:9" ht="14.5">
      <c r="A815" s="20" t="s">
        <v>10030</v>
      </c>
      <c r="B815" s="20">
        <v>30</v>
      </c>
      <c r="C815" s="20">
        <v>34</v>
      </c>
      <c r="D815" s="20">
        <v>15</v>
      </c>
      <c r="E815" s="20">
        <v>64</v>
      </c>
      <c r="F815" s="20" t="s">
        <v>10031</v>
      </c>
      <c r="G815" s="24" t="str">
        <f ca="1">IFERROR(__xludf.DUMMYFUNCTION("GOOGLETRANSLATE(F815,""en"",""pt"")"),"Pré-moldados de concreto elevador-out pavimento sistemas de vitrificação")</f>
        <v>Pré-moldados de concreto elevador-out pavimento sistemas de vitrificação</v>
      </c>
      <c r="H815" s="20" t="s">
        <v>10032</v>
      </c>
      <c r="I815" s="20" t="s">
        <v>10033</v>
      </c>
    </row>
    <row r="816" spans="1:9" ht="14.5">
      <c r="A816" s="20" t="s">
        <v>10034</v>
      </c>
      <c r="B816" s="20">
        <v>30</v>
      </c>
      <c r="C816" s="20">
        <v>34</v>
      </c>
      <c r="D816" s="20">
        <v>15</v>
      </c>
      <c r="E816" s="20">
        <v>65</v>
      </c>
      <c r="F816" s="20" t="s">
        <v>10035</v>
      </c>
      <c r="G816" s="24" t="str">
        <f ca="1">IFERROR(__xludf.DUMMYFUNCTION("GOOGLETRANSLATE(F816,""en"",""pt"")"),"Precast pavimento de concreto sistemas de vitrificação")</f>
        <v>Precast pavimento de concreto sistemas de vitrificação</v>
      </c>
      <c r="H816" s="20" t="s">
        <v>10036</v>
      </c>
      <c r="I816" s="20" t="s">
        <v>10037</v>
      </c>
    </row>
    <row r="817" spans="1:9" ht="14.5">
      <c r="A817" s="20" t="s">
        <v>10038</v>
      </c>
      <c r="B817" s="20">
        <v>30</v>
      </c>
      <c r="C817" s="20">
        <v>34</v>
      </c>
      <c r="D817" s="20">
        <v>16</v>
      </c>
      <c r="E817" s="24"/>
      <c r="F817" s="20" t="s">
        <v>10039</v>
      </c>
      <c r="G817" s="24" t="str">
        <f ca="1">IFERROR(__xludf.DUMMYFUNCTION("GOOGLETRANSLATE(F817,""en"",""pt"")"),"sistemas de ventilação de fumo pavimento")</f>
        <v>sistemas de ventilação de fumo pavimento</v>
      </c>
      <c r="H817" s="24"/>
      <c r="I817" s="24"/>
    </row>
    <row r="818" spans="1:9" ht="14.5">
      <c r="A818" s="20" t="s">
        <v>10040</v>
      </c>
      <c r="B818" s="20">
        <v>30</v>
      </c>
      <c r="C818" s="20">
        <v>34</v>
      </c>
      <c r="D818" s="20">
        <v>16</v>
      </c>
      <c r="E818" s="20">
        <v>15</v>
      </c>
      <c r="F818" s="20" t="s">
        <v>10041</v>
      </c>
      <c r="G818" s="24" t="str">
        <f ca="1">IFERROR(__xludf.DUMMYFUNCTION("GOOGLETRANSLATE(F818,""en"",""pt"")"),"sistemas de ventilação vidros de fumaça pavimento de concreto")</f>
        <v>sistemas de ventilação vidros de fumaça pavimento de concreto</v>
      </c>
      <c r="H818" s="20" t="s">
        <v>10042</v>
      </c>
      <c r="I818" s="20" t="s">
        <v>10033</v>
      </c>
    </row>
    <row r="819" spans="1:9" ht="14.5">
      <c r="A819" s="20" t="s">
        <v>10043</v>
      </c>
      <c r="B819" s="20">
        <v>30</v>
      </c>
      <c r="C819" s="20">
        <v>34</v>
      </c>
      <c r="D819" s="20">
        <v>16</v>
      </c>
      <c r="E819" s="20">
        <v>16</v>
      </c>
      <c r="F819" s="20" t="s">
        <v>10044</v>
      </c>
      <c r="G819" s="24" t="str">
        <f ca="1">IFERROR(__xludf.DUMMYFUNCTION("GOOGLETRANSLATE(F819,""en"",""pt"")"),"sistemas de ventilação de fumo pavimento de betão não vidrados")</f>
        <v>sistemas de ventilação de fumo pavimento de betão não vidrados</v>
      </c>
      <c r="H819" s="20" t="s">
        <v>10045</v>
      </c>
      <c r="I819" s="20" t="s">
        <v>10046</v>
      </c>
    </row>
    <row r="820" spans="1:9" ht="14.5">
      <c r="A820" s="20" t="s">
        <v>10047</v>
      </c>
      <c r="B820" s="20">
        <v>30</v>
      </c>
      <c r="C820" s="20">
        <v>34</v>
      </c>
      <c r="D820" s="20">
        <v>16</v>
      </c>
      <c r="E820" s="20">
        <v>64</v>
      </c>
      <c r="F820" s="20" t="s">
        <v>10048</v>
      </c>
      <c r="G820" s="24" t="str">
        <f ca="1">IFERROR(__xludf.DUMMYFUNCTION("GOOGLETRANSLATE(F820,""en"",""pt"")"),"Pré-moldados de concreto pavimento vidros sistemas de fumaça ventilação")</f>
        <v>Pré-moldados de concreto pavimento vidros sistemas de fumaça ventilação</v>
      </c>
      <c r="H820" s="20" t="s">
        <v>10049</v>
      </c>
      <c r="I820" s="20" t="s">
        <v>9982</v>
      </c>
    </row>
    <row r="821" spans="1:9" ht="14.5">
      <c r="A821" s="20" t="s">
        <v>10050</v>
      </c>
      <c r="B821" s="20">
        <v>30</v>
      </c>
      <c r="C821" s="20">
        <v>34</v>
      </c>
      <c r="D821" s="20">
        <v>16</v>
      </c>
      <c r="E821" s="20">
        <v>65</v>
      </c>
      <c r="F821" s="20" t="s">
        <v>10051</v>
      </c>
      <c r="G821" s="24" t="str">
        <f ca="1">IFERROR(__xludf.DUMMYFUNCTION("GOOGLETRANSLATE(F821,""en"",""pt"")"),"sistemas de fumaça ventilação concreto pré-moldado pavimento não vidrados")</f>
        <v>sistemas de fumaça ventilação concreto pré-moldado pavimento não vidrados</v>
      </c>
      <c r="H821" s="20" t="s">
        <v>10052</v>
      </c>
      <c r="I821" s="20" t="s">
        <v>9982</v>
      </c>
    </row>
    <row r="822" spans="1:9" ht="14.5">
      <c r="A822" s="20" t="s">
        <v>10053</v>
      </c>
      <c r="B822" s="20">
        <v>30</v>
      </c>
      <c r="C822" s="20">
        <v>36</v>
      </c>
      <c r="D822" s="24"/>
      <c r="E822" s="24"/>
      <c r="F822" s="20" t="s">
        <v>10054</v>
      </c>
      <c r="G822" s="24" t="str">
        <f ca="1">IFERROR(__xludf.DUMMYFUNCTION("GOOGLETRANSLATE(F822,""en"",""pt"")"),"Tecto e sistemas de abertura de intradorso")</f>
        <v>Tecto e sistemas de abertura de intradorso</v>
      </c>
      <c r="H822" s="24"/>
      <c r="I822" s="24"/>
    </row>
    <row r="823" spans="1:9" ht="14.5">
      <c r="A823" s="20" t="s">
        <v>10055</v>
      </c>
      <c r="B823" s="20">
        <v>30</v>
      </c>
      <c r="C823" s="20">
        <v>36</v>
      </c>
      <c r="D823" s="20">
        <v>10</v>
      </c>
      <c r="E823" s="24"/>
      <c r="F823" s="20" t="s">
        <v>10056</v>
      </c>
      <c r="G823" s="24" t="str">
        <f ca="1">IFERROR(__xludf.DUMMYFUNCTION("GOOGLETRANSLATE(F823,""en"",""pt"")"),"Sistema de teto em portal")</f>
        <v>Sistema de teto em portal</v>
      </c>
      <c r="H823" s="24"/>
      <c r="I823" s="24"/>
    </row>
    <row r="824" spans="1:9" ht="14.5">
      <c r="A824" s="20" t="s">
        <v>10057</v>
      </c>
      <c r="B824" s="20">
        <v>30</v>
      </c>
      <c r="C824" s="20">
        <v>36</v>
      </c>
      <c r="D824" s="20">
        <v>75</v>
      </c>
      <c r="E824" s="24"/>
      <c r="F824" s="20" t="s">
        <v>10058</v>
      </c>
      <c r="G824" s="24" t="str">
        <f ca="1">IFERROR(__xludf.DUMMYFUNCTION("GOOGLETRANSLATE(F824,""en"",""pt"")"),"Soffit sistemas de ventilação")</f>
        <v>Soffit sistemas de ventilação</v>
      </c>
      <c r="H824" s="24"/>
      <c r="I824" s="24"/>
    </row>
    <row r="825" spans="1:9" ht="14.5">
      <c r="A825" s="20" t="s">
        <v>10059</v>
      </c>
      <c r="B825" s="20">
        <v>30</v>
      </c>
      <c r="C825" s="20">
        <v>40</v>
      </c>
      <c r="D825" s="24"/>
      <c r="E825" s="24"/>
      <c r="F825" s="20" t="s">
        <v>10060</v>
      </c>
      <c r="G825" s="24" t="str">
        <f ca="1">IFERROR(__xludf.DUMMYFUNCTION("GOOGLETRANSLATE(F825,""en"",""pt"")"),"sistemas de telhado e varanda cobertura e acabamento")</f>
        <v>sistemas de telhado e varanda cobertura e acabamento</v>
      </c>
      <c r="H825" s="24"/>
      <c r="I825" s="24"/>
    </row>
    <row r="826" spans="1:9" ht="14.5">
      <c r="A826" s="20" t="s">
        <v>10061</v>
      </c>
      <c r="B826" s="20">
        <v>30</v>
      </c>
      <c r="C826" s="20">
        <v>40</v>
      </c>
      <c r="D826" s="20">
        <v>10</v>
      </c>
      <c r="E826" s="24"/>
      <c r="F826" s="20" t="s">
        <v>10062</v>
      </c>
      <c r="G826" s="24" t="str">
        <f ca="1">IFERROR(__xludf.DUMMYFUNCTION("GOOGLETRANSLATE(F826,""en"",""pt"")"),"telhado Board sistemas cobrindo")</f>
        <v>telhado Board sistemas cobrindo</v>
      </c>
      <c r="H826" s="24"/>
      <c r="I826" s="24"/>
    </row>
    <row r="827" spans="1:9" ht="14.5">
      <c r="A827" s="20" t="s">
        <v>10063</v>
      </c>
      <c r="B827" s="20">
        <v>30</v>
      </c>
      <c r="C827" s="20">
        <v>40</v>
      </c>
      <c r="D827" s="20">
        <v>10</v>
      </c>
      <c r="E827" s="20">
        <v>30</v>
      </c>
      <c r="F827" s="20" t="s">
        <v>10064</v>
      </c>
      <c r="G827" s="24" t="str">
        <f ca="1">IFERROR(__xludf.DUMMYFUNCTION("GOOGLETRANSLATE(F827,""en"",""pt"")"),"sistemas de convés telhado placa plana")</f>
        <v>sistemas de convés telhado placa plana</v>
      </c>
      <c r="H827" s="20" t="s">
        <v>10065</v>
      </c>
      <c r="I827" s="20" t="s">
        <v>9566</v>
      </c>
    </row>
    <row r="828" spans="1:9" ht="14.5">
      <c r="A828" s="20" t="s">
        <v>10066</v>
      </c>
      <c r="B828" s="20">
        <v>30</v>
      </c>
      <c r="C828" s="20">
        <v>40</v>
      </c>
      <c r="D828" s="20">
        <v>10</v>
      </c>
      <c r="E828" s="20">
        <v>60</v>
      </c>
      <c r="F828" s="20" t="s">
        <v>10067</v>
      </c>
      <c r="G828" s="24" t="str">
        <f ca="1">IFERROR(__xludf.DUMMYFUNCTION("GOOGLETRANSLATE(F828,""en"",""pt"")"),"sistemas sarking placa de telhado inclinado")</f>
        <v>sistemas sarking placa de telhado inclinado</v>
      </c>
      <c r="H828" s="20" t="s">
        <v>10068</v>
      </c>
      <c r="I828" s="20" t="s">
        <v>5636</v>
      </c>
    </row>
    <row r="829" spans="1:9" ht="14.5">
      <c r="A829" s="20" t="s">
        <v>10069</v>
      </c>
      <c r="B829" s="20">
        <v>30</v>
      </c>
      <c r="C829" s="20">
        <v>40</v>
      </c>
      <c r="D829" s="20">
        <v>30</v>
      </c>
      <c r="E829" s="24"/>
      <c r="F829" s="20" t="s">
        <v>10070</v>
      </c>
      <c r="G829" s="24" t="str">
        <f ca="1">IFERROR(__xludf.DUMMYFUNCTION("GOOGLETRANSLATE(F829,""en"",""pt"")"),"telhado plano sistemas cobrindo")</f>
        <v>telhado plano sistemas cobrindo</v>
      </c>
      <c r="H829" s="24"/>
      <c r="I829" s="24"/>
    </row>
    <row r="830" spans="1:9" ht="14.5">
      <c r="A830" s="20" t="s">
        <v>10071</v>
      </c>
      <c r="B830" s="20">
        <v>30</v>
      </c>
      <c r="C830" s="20">
        <v>40</v>
      </c>
      <c r="D830" s="20">
        <v>30</v>
      </c>
      <c r="E830" s="20">
        <v>40</v>
      </c>
      <c r="F830" s="20" t="s">
        <v>10072</v>
      </c>
      <c r="G830" s="24" t="str">
        <f ca="1">IFERROR(__xludf.DUMMYFUNCTION("GOOGLETRANSLATE(F830,""en"",""pt"")"),"-Líquido aplicada telhado frio sistemas cobrindo")</f>
        <v>-Líquido aplicada telhado frio sistemas cobrindo</v>
      </c>
      <c r="H830" s="20" t="s">
        <v>10073</v>
      </c>
      <c r="I830" s="20" t="s">
        <v>5636</v>
      </c>
    </row>
    <row r="831" spans="1:9" ht="14.5">
      <c r="A831" s="20" t="s">
        <v>10074</v>
      </c>
      <c r="B831" s="20">
        <v>30</v>
      </c>
      <c r="C831" s="20">
        <v>40</v>
      </c>
      <c r="D831" s="20">
        <v>30</v>
      </c>
      <c r="E831" s="20">
        <v>42</v>
      </c>
      <c r="F831" s="20" t="s">
        <v>10075</v>
      </c>
      <c r="G831" s="24" t="str">
        <f ca="1">IFERROR(__xludf.DUMMYFUNCTION("GOOGLETRANSLATE(F831,""en"",""pt"")"),"-Líquido aplicado sistemas de cobertura de telhado invertido")</f>
        <v>-Líquido aplicado sistemas de cobertura de telhado invertido</v>
      </c>
      <c r="H831" s="20" t="s">
        <v>10076</v>
      </c>
      <c r="I831" s="20" t="s">
        <v>5636</v>
      </c>
    </row>
    <row r="832" spans="1:9" ht="14.5">
      <c r="A832" s="20" t="s">
        <v>10077</v>
      </c>
      <c r="B832" s="20">
        <v>30</v>
      </c>
      <c r="C832" s="20">
        <v>40</v>
      </c>
      <c r="D832" s="20">
        <v>30</v>
      </c>
      <c r="E832" s="20">
        <v>43</v>
      </c>
      <c r="F832" s="20" t="s">
        <v>10078</v>
      </c>
      <c r="G832" s="24" t="str">
        <f ca="1">IFERROR(__xludf.DUMMYFUNCTION("GOOGLETRANSLATE(F832,""en"",""pt"")"),"-Líquido aplicada telhado quente sistemas cobrindo")</f>
        <v>-Líquido aplicada telhado quente sistemas cobrindo</v>
      </c>
      <c r="H832" s="20" t="s">
        <v>10079</v>
      </c>
      <c r="I832" s="20" t="s">
        <v>5636</v>
      </c>
    </row>
    <row r="833" spans="1:9" ht="14.5">
      <c r="A833" s="20" t="s">
        <v>10080</v>
      </c>
      <c r="B833" s="20">
        <v>30</v>
      </c>
      <c r="C833" s="20">
        <v>40</v>
      </c>
      <c r="D833" s="20">
        <v>30</v>
      </c>
      <c r="E833" s="20">
        <v>50</v>
      </c>
      <c r="F833" s="20" t="s">
        <v>10081</v>
      </c>
      <c r="G833" s="24" t="str">
        <f ca="1">IFERROR(__xludf.DUMMYFUNCTION("GOOGLETRANSLATE(F833,""en"",""pt"")"),"Mastic telhado frio asfalto sistemas cobrindo")</f>
        <v>Mastic telhado frio asfalto sistemas cobrindo</v>
      </c>
      <c r="H833" s="20" t="s">
        <v>10082</v>
      </c>
      <c r="I833" s="20" t="s">
        <v>5636</v>
      </c>
    </row>
    <row r="834" spans="1:9" ht="14.5">
      <c r="A834" s="20" t="s">
        <v>10083</v>
      </c>
      <c r="B834" s="20">
        <v>30</v>
      </c>
      <c r="C834" s="20">
        <v>40</v>
      </c>
      <c r="D834" s="20">
        <v>30</v>
      </c>
      <c r="E834" s="20">
        <v>52</v>
      </c>
      <c r="F834" s="20" t="s">
        <v>10084</v>
      </c>
      <c r="G834" s="24" t="str">
        <f ca="1">IFERROR(__xludf.DUMMYFUNCTION("GOOGLETRANSLATE(F834,""en"",""pt"")"),"sistemas de revestimento de mastique de telhado invertido asfalto")</f>
        <v>sistemas de revestimento de mastique de telhado invertido asfalto</v>
      </c>
      <c r="H834" s="20" t="s">
        <v>10085</v>
      </c>
      <c r="I834" s="20" t="s">
        <v>5636</v>
      </c>
    </row>
    <row r="835" spans="1:9" ht="14.5">
      <c r="A835" s="20" t="s">
        <v>10086</v>
      </c>
      <c r="B835" s="20">
        <v>30</v>
      </c>
      <c r="C835" s="20">
        <v>40</v>
      </c>
      <c r="D835" s="20">
        <v>30</v>
      </c>
      <c r="E835" s="20">
        <v>55</v>
      </c>
      <c r="F835" s="20" t="s">
        <v>10087</v>
      </c>
      <c r="G835" s="24" t="str">
        <f ca="1">IFERROR(__xludf.DUMMYFUNCTION("GOOGLETRANSLATE(F835,""en"",""pt"")"),"Mastic telhado de asfalto quente sistemas cobrindo")</f>
        <v>Mastic telhado de asfalto quente sistemas cobrindo</v>
      </c>
      <c r="H835" s="20" t="s">
        <v>10088</v>
      </c>
      <c r="I835" s="20" t="s">
        <v>5636</v>
      </c>
    </row>
    <row r="836" spans="1:9" ht="14.5">
      <c r="A836" s="20" t="s">
        <v>10089</v>
      </c>
      <c r="B836" s="20">
        <v>30</v>
      </c>
      <c r="C836" s="20">
        <v>40</v>
      </c>
      <c r="D836" s="20">
        <v>30</v>
      </c>
      <c r="E836" s="20">
        <v>70</v>
      </c>
      <c r="F836" s="20" t="s">
        <v>10090</v>
      </c>
      <c r="G836" s="24" t="str">
        <f ca="1">IFERROR(__xludf.DUMMYFUNCTION("GOOGLETRANSLATE(F836,""en"",""pt"")"),"betume reforçado membrana do telhado frio sistemas cobrindo")</f>
        <v>betume reforçado membrana do telhado frio sistemas cobrindo</v>
      </c>
      <c r="H836" s="20" t="s">
        <v>10091</v>
      </c>
      <c r="I836" s="20" t="s">
        <v>5636</v>
      </c>
    </row>
    <row r="837" spans="1:9" ht="14.5">
      <c r="A837" s="20" t="s">
        <v>10092</v>
      </c>
      <c r="B837" s="20">
        <v>30</v>
      </c>
      <c r="C837" s="20">
        <v>40</v>
      </c>
      <c r="D837" s="20">
        <v>30</v>
      </c>
      <c r="E837" s="20">
        <v>71</v>
      </c>
      <c r="F837" s="20" t="s">
        <v>10093</v>
      </c>
      <c r="G837" s="24" t="str">
        <f ca="1">IFERROR(__xludf.DUMMYFUNCTION("GOOGLETRANSLATE(F837,""en"",""pt"")"),"Betume reforçado sistemas de telhado que cobre membrana invertido")</f>
        <v>Betume reforçado sistemas de telhado que cobre membrana invertido</v>
      </c>
      <c r="H837" s="20" t="s">
        <v>10094</v>
      </c>
      <c r="I837" s="20" t="s">
        <v>5636</v>
      </c>
    </row>
    <row r="838" spans="1:9" ht="14.5">
      <c r="A838" s="20" t="s">
        <v>10095</v>
      </c>
      <c r="B838" s="20">
        <v>30</v>
      </c>
      <c r="C838" s="20">
        <v>40</v>
      </c>
      <c r="D838" s="20">
        <v>30</v>
      </c>
      <c r="E838" s="20">
        <v>72</v>
      </c>
      <c r="F838" s="20" t="s">
        <v>10096</v>
      </c>
      <c r="G838" s="24" t="str">
        <f ca="1">IFERROR(__xludf.DUMMYFUNCTION("GOOGLETRANSLATE(F838,""en"",""pt"")"),"betume reforçado membrana do telhado quente sistemas cobrindo")</f>
        <v>betume reforçado membrana do telhado quente sistemas cobrindo</v>
      </c>
      <c r="H838" s="20" t="s">
        <v>10097</v>
      </c>
      <c r="I838" s="20" t="s">
        <v>5636</v>
      </c>
    </row>
    <row r="839" spans="1:9" ht="14.5">
      <c r="A839" s="20" t="s">
        <v>10098</v>
      </c>
      <c r="B839" s="20">
        <v>30</v>
      </c>
      <c r="C839" s="20">
        <v>40</v>
      </c>
      <c r="D839" s="20">
        <v>30</v>
      </c>
      <c r="E839" s="20">
        <v>78</v>
      </c>
      <c r="F839" s="20" t="s">
        <v>10099</v>
      </c>
      <c r="G839" s="24" t="str">
        <f ca="1">IFERROR(__xludf.DUMMYFUNCTION("GOOGLETRANSLATE(F839,""en"",""pt"")"),"camada única telhado frio folha sistemas cobrindo")</f>
        <v>camada única telhado frio folha sistemas cobrindo</v>
      </c>
      <c r="H839" s="20" t="s">
        <v>10100</v>
      </c>
      <c r="I839" s="20" t="s">
        <v>5636</v>
      </c>
    </row>
    <row r="840" spans="1:9" ht="14.5">
      <c r="A840" s="20" t="s">
        <v>10101</v>
      </c>
      <c r="B840" s="20">
        <v>30</v>
      </c>
      <c r="C840" s="20">
        <v>40</v>
      </c>
      <c r="D840" s="20">
        <v>30</v>
      </c>
      <c r="E840" s="20">
        <v>79</v>
      </c>
      <c r="F840" s="20" t="s">
        <v>10102</v>
      </c>
      <c r="G840" s="24" t="str">
        <f ca="1">IFERROR(__xludf.DUMMYFUNCTION("GOOGLETRANSLATE(F840,""en"",""pt"")"),"sistemas de revestimento de telhado invertido folha de camada única")</f>
        <v>sistemas de revestimento de telhado invertido folha de camada única</v>
      </c>
      <c r="H840" s="20" t="s">
        <v>10103</v>
      </c>
      <c r="I840" s="20" t="s">
        <v>5636</v>
      </c>
    </row>
    <row r="841" spans="1:9" ht="14.5">
      <c r="A841" s="20" t="s">
        <v>10104</v>
      </c>
      <c r="B841" s="20">
        <v>30</v>
      </c>
      <c r="C841" s="20">
        <v>40</v>
      </c>
      <c r="D841" s="20">
        <v>30</v>
      </c>
      <c r="E841" s="20">
        <v>80</v>
      </c>
      <c r="F841" s="20" t="s">
        <v>10105</v>
      </c>
      <c r="G841" s="24" t="str">
        <f ca="1">IFERROR(__xludf.DUMMYFUNCTION("GOOGLETRANSLATE(F841,""en"",""pt"")"),"camada única telhado quente folha sistemas cobrindo")</f>
        <v>camada única telhado quente folha sistemas cobrindo</v>
      </c>
      <c r="H841" s="20" t="s">
        <v>10106</v>
      </c>
      <c r="I841" s="20" t="s">
        <v>5636</v>
      </c>
    </row>
    <row r="842" spans="1:9" ht="14.5">
      <c r="A842" s="20" t="s">
        <v>10107</v>
      </c>
      <c r="B842" s="20">
        <v>30</v>
      </c>
      <c r="C842" s="20">
        <v>40</v>
      </c>
      <c r="D842" s="20">
        <v>34</v>
      </c>
      <c r="E842" s="24"/>
      <c r="F842" s="20" t="s">
        <v>10108</v>
      </c>
      <c r="G842" s="24" t="str">
        <f ca="1">IFERROR(__xludf.DUMMYFUNCTION("GOOGLETRANSLATE(F842,""en"",""pt"")"),"sistemas de coberturas de vidro")</f>
        <v>sistemas de coberturas de vidro</v>
      </c>
      <c r="H842" s="24"/>
      <c r="I842" s="24"/>
    </row>
    <row r="843" spans="1:9" ht="14.5">
      <c r="A843" s="20" t="s">
        <v>10109</v>
      </c>
      <c r="B843" s="20">
        <v>30</v>
      </c>
      <c r="C843" s="20">
        <v>40</v>
      </c>
      <c r="D843" s="20">
        <v>34</v>
      </c>
      <c r="E843" s="20">
        <v>15</v>
      </c>
      <c r="F843" s="20" t="s">
        <v>10110</v>
      </c>
      <c r="G843" s="24" t="str">
        <f ca="1">IFERROR(__xludf.DUMMYFUNCTION("GOOGLETRANSLATE(F843,""en"",""pt"")"),"sistemas em cantilever dossel feixe de vidro estrutural")</f>
        <v>sistemas em cantilever dossel feixe de vidro estrutural</v>
      </c>
      <c r="H843" s="24"/>
      <c r="I843" s="24"/>
    </row>
    <row r="844" spans="1:9" ht="14.5">
      <c r="A844" s="20" t="s">
        <v>10111</v>
      </c>
      <c r="B844" s="20">
        <v>30</v>
      </c>
      <c r="C844" s="20">
        <v>40</v>
      </c>
      <c r="D844" s="20">
        <v>34</v>
      </c>
      <c r="E844" s="20">
        <v>60</v>
      </c>
      <c r="F844" s="20" t="s">
        <v>10112</v>
      </c>
      <c r="G844" s="24" t="str">
        <f ca="1">IFERROR(__xludf.DUMMYFUNCTION("GOOGLETRANSLATE(F844,""en"",""pt"")"),"sistemas dossel de vidro estrutural fixo de ponto")</f>
        <v>sistemas dossel de vidro estrutural fixo de ponto</v>
      </c>
      <c r="H844" s="20" t="s">
        <v>10113</v>
      </c>
      <c r="I844" s="20" t="s">
        <v>10114</v>
      </c>
    </row>
    <row r="845" spans="1:9" ht="14.5">
      <c r="A845" s="20" t="s">
        <v>10115</v>
      </c>
      <c r="B845" s="20">
        <v>30</v>
      </c>
      <c r="C845" s="20">
        <v>40</v>
      </c>
      <c r="D845" s="20">
        <v>34</v>
      </c>
      <c r="E845" s="20">
        <v>65</v>
      </c>
      <c r="F845" s="20" t="s">
        <v>10116</v>
      </c>
      <c r="G845" s="24" t="str">
        <f ca="1">IFERROR(__xludf.DUMMYFUNCTION("GOOGLETRANSLATE(F845,""en"",""pt"")"),"sistemas de telhado de vidro estrutural fixo de ponto")</f>
        <v>sistemas de telhado de vidro estrutural fixo de ponto</v>
      </c>
      <c r="H845" s="20" t="s">
        <v>10117</v>
      </c>
      <c r="I845" s="20" t="s">
        <v>10118</v>
      </c>
    </row>
    <row r="846" spans="1:9" ht="14.5">
      <c r="A846" s="20" t="s">
        <v>10119</v>
      </c>
      <c r="B846" s="20">
        <v>30</v>
      </c>
      <c r="C846" s="20">
        <v>40</v>
      </c>
      <c r="D846" s="20">
        <v>34</v>
      </c>
      <c r="E846" s="20">
        <v>70</v>
      </c>
      <c r="F846" s="20" t="s">
        <v>10120</v>
      </c>
      <c r="G846" s="24" t="str">
        <f ca="1">IFERROR(__xludf.DUMMYFUNCTION("GOOGLETRANSLATE(F846,""en"",""pt"")"),"sistemas de intradorso de vidro estrutural fixo de ponto")</f>
        <v>sistemas de intradorso de vidro estrutural fixo de ponto</v>
      </c>
      <c r="H846" s="20" t="s">
        <v>10121</v>
      </c>
      <c r="I846" s="20" t="s">
        <v>10122</v>
      </c>
    </row>
    <row r="847" spans="1:9" ht="14.5">
      <c r="A847" s="20" t="s">
        <v>10123</v>
      </c>
      <c r="B847" s="20">
        <v>30</v>
      </c>
      <c r="C847" s="20">
        <v>40</v>
      </c>
      <c r="D847" s="20">
        <v>34</v>
      </c>
      <c r="E847" s="20">
        <v>75</v>
      </c>
      <c r="F847" s="20" t="s">
        <v>10124</v>
      </c>
      <c r="G847" s="24" t="str">
        <f ca="1">IFERROR(__xludf.DUMMYFUNCTION("GOOGLETRANSLATE(F847,""en"",""pt"")"),"Inclinada sistemas de patentes vidros")</f>
        <v>Inclinada sistemas de patentes vidros</v>
      </c>
      <c r="H847" s="20" t="s">
        <v>10125</v>
      </c>
      <c r="I847" s="20" t="s">
        <v>10126</v>
      </c>
    </row>
    <row r="848" spans="1:9" ht="14.5">
      <c r="A848" s="20" t="s">
        <v>10127</v>
      </c>
      <c r="B848" s="20">
        <v>30</v>
      </c>
      <c r="C848" s="20">
        <v>40</v>
      </c>
      <c r="D848" s="20">
        <v>50</v>
      </c>
      <c r="E848" s="24"/>
      <c r="F848" s="20" t="s">
        <v>10128</v>
      </c>
      <c r="G848" s="24" t="str">
        <f ca="1">IFERROR(__xludf.DUMMYFUNCTION("GOOGLETRANSLATE(F848,""en"",""pt"")"),"Chapa metálica, inteiramente suportado telhado e Dormer sistemas cobrindo")</f>
        <v>Chapa metálica, inteiramente suportado telhado e Dormer sistemas cobrindo</v>
      </c>
      <c r="H848" s="24"/>
      <c r="I848" s="24"/>
    </row>
    <row r="849" spans="1:9" ht="14.5">
      <c r="A849" s="20" t="s">
        <v>10129</v>
      </c>
      <c r="B849" s="20">
        <v>30</v>
      </c>
      <c r="C849" s="20">
        <v>40</v>
      </c>
      <c r="D849" s="20">
        <v>50</v>
      </c>
      <c r="E849" s="20">
        <v>5</v>
      </c>
      <c r="F849" s="20" t="s">
        <v>10130</v>
      </c>
      <c r="G849" s="24" t="str">
        <f ca="1">IFERROR(__xludf.DUMMYFUNCTION("GOOGLETRANSLATE(F849,""en"",""pt"")"),"Folha de alumínio Dormer sistemas cobrindo")</f>
        <v>Folha de alumínio Dormer sistemas cobrindo</v>
      </c>
      <c r="H849" s="24"/>
      <c r="I849" s="24"/>
    </row>
    <row r="850" spans="1:9" ht="14.5">
      <c r="A850" s="20" t="s">
        <v>10131</v>
      </c>
      <c r="B850" s="20">
        <v>30</v>
      </c>
      <c r="C850" s="20">
        <v>40</v>
      </c>
      <c r="D850" s="20">
        <v>50</v>
      </c>
      <c r="E850" s="20">
        <v>10</v>
      </c>
      <c r="F850" s="20" t="s">
        <v>10132</v>
      </c>
      <c r="G850" s="24" t="str">
        <f ca="1">IFERROR(__xludf.DUMMYFUNCTION("GOOGLETRANSLATE(F850,""en"",""pt"")"),"Folha de alumínio telhado sistemas cobrindo")</f>
        <v>Folha de alumínio telhado sistemas cobrindo</v>
      </c>
      <c r="H850" s="20" t="s">
        <v>10133</v>
      </c>
      <c r="I850" s="20" t="s">
        <v>5636</v>
      </c>
    </row>
    <row r="851" spans="1:9" ht="14.5">
      <c r="A851" s="20" t="s">
        <v>10134</v>
      </c>
      <c r="B851" s="20">
        <v>30</v>
      </c>
      <c r="C851" s="20">
        <v>40</v>
      </c>
      <c r="D851" s="20">
        <v>50</v>
      </c>
      <c r="E851" s="20">
        <v>12</v>
      </c>
      <c r="F851" s="20" t="s">
        <v>10135</v>
      </c>
      <c r="G851" s="24" t="str">
        <f ca="1">IFERROR(__xludf.DUMMYFUNCTION("GOOGLETRANSLATE(F851,""en"",""pt"")"),"Dormer carbono folha de aço que cobrem sistemas")</f>
        <v>Dormer carbono folha de aço que cobrem sistemas</v>
      </c>
      <c r="H851" s="24"/>
      <c r="I851" s="24"/>
    </row>
    <row r="852" spans="1:9" ht="14.5">
      <c r="A852" s="20" t="s">
        <v>10136</v>
      </c>
      <c r="B852" s="20">
        <v>30</v>
      </c>
      <c r="C852" s="20">
        <v>40</v>
      </c>
      <c r="D852" s="20">
        <v>50</v>
      </c>
      <c r="E852" s="20">
        <v>13</v>
      </c>
      <c r="F852" s="20" t="s">
        <v>10137</v>
      </c>
      <c r="G852" s="24" t="str">
        <f ca="1">IFERROR(__xludf.DUMMYFUNCTION("GOOGLETRANSLATE(F852,""en"",""pt"")"),"Carbono folha de cobertura de aço que cobrem sistemas")</f>
        <v>Carbono folha de cobertura de aço que cobrem sistemas</v>
      </c>
      <c r="H852" s="24"/>
      <c r="I852" s="24"/>
    </row>
    <row r="853" spans="1:9" ht="14.5">
      <c r="A853" s="20" t="s">
        <v>10138</v>
      </c>
      <c r="B853" s="20">
        <v>30</v>
      </c>
      <c r="C853" s="20">
        <v>40</v>
      </c>
      <c r="D853" s="20">
        <v>50</v>
      </c>
      <c r="E853" s="20">
        <v>15</v>
      </c>
      <c r="F853" s="20" t="s">
        <v>10139</v>
      </c>
      <c r="G853" s="24" t="str">
        <f ca="1">IFERROR(__xludf.DUMMYFUNCTION("GOOGLETRANSLATE(F853,""en"",""pt"")"),"Dormer folha de cobre sistemas que abrange")</f>
        <v>Dormer folha de cobre sistemas que abrange</v>
      </c>
      <c r="H853" s="24"/>
      <c r="I853" s="24"/>
    </row>
    <row r="854" spans="1:9" ht="14.5">
      <c r="A854" s="20" t="s">
        <v>10140</v>
      </c>
      <c r="B854" s="20">
        <v>30</v>
      </c>
      <c r="C854" s="20">
        <v>40</v>
      </c>
      <c r="D854" s="20">
        <v>50</v>
      </c>
      <c r="E854" s="20">
        <v>20</v>
      </c>
      <c r="F854" s="20" t="s">
        <v>10141</v>
      </c>
      <c r="G854" s="24" t="str">
        <f ca="1">IFERROR(__xludf.DUMMYFUNCTION("GOOGLETRANSLATE(F854,""en"",""pt"")"),"folha telhado cobre sistemas que abrange")</f>
        <v>folha telhado cobre sistemas que abrange</v>
      </c>
      <c r="H854" s="20" t="s">
        <v>10142</v>
      </c>
      <c r="I854" s="20" t="s">
        <v>5636</v>
      </c>
    </row>
    <row r="855" spans="1:9" ht="14.5">
      <c r="A855" s="20" t="s">
        <v>10143</v>
      </c>
      <c r="B855" s="20">
        <v>30</v>
      </c>
      <c r="C855" s="20">
        <v>40</v>
      </c>
      <c r="D855" s="20">
        <v>50</v>
      </c>
      <c r="E855" s="20">
        <v>40</v>
      </c>
      <c r="F855" s="20" t="s">
        <v>10144</v>
      </c>
      <c r="G855" s="24" t="str">
        <f ca="1">IFERROR(__xludf.DUMMYFUNCTION("GOOGLETRANSLATE(F855,""en"",""pt"")"),"Dormer folha de chumbo que cobrem sistemas")</f>
        <v>Dormer folha de chumbo que cobrem sistemas</v>
      </c>
      <c r="H855" s="24"/>
      <c r="I855" s="24"/>
    </row>
    <row r="856" spans="1:9" ht="14.5">
      <c r="A856" s="20" t="s">
        <v>10145</v>
      </c>
      <c r="B856" s="20">
        <v>30</v>
      </c>
      <c r="C856" s="20">
        <v>40</v>
      </c>
      <c r="D856" s="20">
        <v>50</v>
      </c>
      <c r="E856" s="20">
        <v>45</v>
      </c>
      <c r="F856" s="20" t="s">
        <v>10146</v>
      </c>
      <c r="G856" s="24" t="str">
        <f ca="1">IFERROR(__xludf.DUMMYFUNCTION("GOOGLETRANSLATE(F856,""en"",""pt"")"),"Telhado de chapa de chumbo sistemas cobrindo")</f>
        <v>Telhado de chapa de chumbo sistemas cobrindo</v>
      </c>
      <c r="H856" s="20" t="s">
        <v>10147</v>
      </c>
      <c r="I856" s="20" t="s">
        <v>5636</v>
      </c>
    </row>
    <row r="857" spans="1:9" ht="14.5">
      <c r="A857" s="20" t="s">
        <v>10148</v>
      </c>
      <c r="B857" s="20">
        <v>30</v>
      </c>
      <c r="C857" s="20">
        <v>40</v>
      </c>
      <c r="D857" s="20">
        <v>50</v>
      </c>
      <c r="E857" s="20">
        <v>50</v>
      </c>
      <c r="F857" s="20" t="s">
        <v>10149</v>
      </c>
      <c r="G857" s="24" t="str">
        <f ca="1">IFERROR(__xludf.DUMMYFUNCTION("GOOGLETRANSLATE(F857,""en"",""pt"")"),"sistemas de painéis envolto-chumbo")</f>
        <v>sistemas de painéis envolto-chumbo</v>
      </c>
      <c r="H857" s="20" t="s">
        <v>10150</v>
      </c>
      <c r="I857" s="20" t="s">
        <v>10151</v>
      </c>
    </row>
    <row r="858" spans="1:9" ht="14.5">
      <c r="A858" s="20" t="s">
        <v>10152</v>
      </c>
      <c r="B858" s="20">
        <v>30</v>
      </c>
      <c r="C858" s="20">
        <v>40</v>
      </c>
      <c r="D858" s="20">
        <v>50</v>
      </c>
      <c r="E858" s="20">
        <v>75</v>
      </c>
      <c r="F858" s="20" t="s">
        <v>10153</v>
      </c>
      <c r="G858" s="24" t="str">
        <f ca="1">IFERROR(__xludf.DUMMYFUNCTION("GOOGLETRANSLATE(F858,""en"",""pt"")"),"a chapa de aço inoxidável Dormer sistemas cobrindo")</f>
        <v>a chapa de aço inoxidável Dormer sistemas cobrindo</v>
      </c>
      <c r="H858" s="24"/>
      <c r="I858" s="24"/>
    </row>
    <row r="859" spans="1:9" ht="14.5">
      <c r="A859" s="20" t="s">
        <v>10154</v>
      </c>
      <c r="B859" s="20">
        <v>30</v>
      </c>
      <c r="C859" s="20">
        <v>40</v>
      </c>
      <c r="D859" s="20">
        <v>50</v>
      </c>
      <c r="E859" s="20">
        <v>80</v>
      </c>
      <c r="F859" s="20" t="s">
        <v>10155</v>
      </c>
      <c r="G859" s="24" t="str">
        <f ca="1">IFERROR(__xludf.DUMMYFUNCTION("GOOGLETRANSLATE(F859,""en"",""pt"")"),"sistemas de revestimento de folha de aço inoxidável telhado")</f>
        <v>sistemas de revestimento de folha de aço inoxidável telhado</v>
      </c>
      <c r="H859" s="20" t="s">
        <v>10156</v>
      </c>
      <c r="I859" s="20" t="s">
        <v>5636</v>
      </c>
    </row>
    <row r="860" spans="1:9" ht="14.5">
      <c r="A860" s="20" t="s">
        <v>10157</v>
      </c>
      <c r="B860" s="20">
        <v>30</v>
      </c>
      <c r="C860" s="20">
        <v>40</v>
      </c>
      <c r="D860" s="20">
        <v>50</v>
      </c>
      <c r="E860" s="20">
        <v>90</v>
      </c>
      <c r="F860" s="20" t="s">
        <v>10158</v>
      </c>
      <c r="G860" s="24" t="str">
        <f ca="1">IFERROR(__xludf.DUMMYFUNCTION("GOOGLETRANSLATE(F860,""en"",""pt"")"),"Dormer folha de zinco sistemas cobrindo")</f>
        <v>Dormer folha de zinco sistemas cobrindo</v>
      </c>
      <c r="H860" s="24"/>
      <c r="I860" s="24"/>
    </row>
    <row r="861" spans="1:9" ht="14.5">
      <c r="A861" s="20" t="s">
        <v>10159</v>
      </c>
      <c r="B861" s="20">
        <v>30</v>
      </c>
      <c r="C861" s="20">
        <v>40</v>
      </c>
      <c r="D861" s="20">
        <v>50</v>
      </c>
      <c r="E861" s="20">
        <v>95</v>
      </c>
      <c r="F861" s="20" t="s">
        <v>10160</v>
      </c>
      <c r="G861" s="24" t="str">
        <f ca="1">IFERROR(__xludf.DUMMYFUNCTION("GOOGLETRANSLATE(F861,""en"",""pt"")"),"folha de cobertura de zinco sistemas cobrindo")</f>
        <v>folha de cobertura de zinco sistemas cobrindo</v>
      </c>
      <c r="H861" s="20" t="s">
        <v>10161</v>
      </c>
      <c r="I861" s="20" t="s">
        <v>5636</v>
      </c>
    </row>
    <row r="862" spans="1:9" ht="14.5">
      <c r="A862" s="20" t="s">
        <v>10162</v>
      </c>
      <c r="B862" s="20">
        <v>30</v>
      </c>
      <c r="C862" s="20">
        <v>40</v>
      </c>
      <c r="D862" s="20">
        <v>55</v>
      </c>
      <c r="E862" s="24"/>
      <c r="F862" s="20" t="s">
        <v>10163</v>
      </c>
      <c r="G862" s="24" t="str">
        <f ca="1">IFERROR(__xludf.DUMMYFUNCTION("GOOGLETRANSLATE(F862,""en"",""pt"")"),"sistemas de cobertura de telhado do painel compósito de metal")</f>
        <v>sistemas de cobertura de telhado do painel compósito de metal</v>
      </c>
      <c r="H862" s="24"/>
      <c r="I862" s="24"/>
    </row>
    <row r="863" spans="1:9" ht="14.5">
      <c r="A863" s="20" t="s">
        <v>10164</v>
      </c>
      <c r="B863" s="20">
        <v>30</v>
      </c>
      <c r="C863" s="20">
        <v>40</v>
      </c>
      <c r="D863" s="20">
        <v>55</v>
      </c>
      <c r="E863" s="20">
        <v>10</v>
      </c>
      <c r="F863" s="20" t="s">
        <v>10165</v>
      </c>
      <c r="G863" s="24" t="str">
        <f ca="1">IFERROR(__xludf.DUMMYFUNCTION("GOOGLETRANSLATE(F863,""en"",""pt"")"),"Construiu-se metal de sistemas de isolamento do telhado do painel sanduíche")</f>
        <v>Construiu-se metal de sistemas de isolamento do telhado do painel sanduíche</v>
      </c>
      <c r="H863" s="24"/>
      <c r="I863" s="24"/>
    </row>
    <row r="864" spans="1:9" ht="14.5">
      <c r="A864" s="20" t="s">
        <v>10166</v>
      </c>
      <c r="B864" s="20">
        <v>30</v>
      </c>
      <c r="C864" s="20">
        <v>40</v>
      </c>
      <c r="D864" s="20">
        <v>55</v>
      </c>
      <c r="E864" s="20">
        <v>50</v>
      </c>
      <c r="F864" s="20" t="s">
        <v>10167</v>
      </c>
      <c r="G864" s="24" t="str">
        <f ca="1">IFERROR(__xludf.DUMMYFUNCTION("GOOGLETRANSLATE(F864,""en"",""pt"")"),"sistemas de cobertura de painel compósito de metal")</f>
        <v>sistemas de cobertura de painel compósito de metal</v>
      </c>
      <c r="H864" s="24"/>
      <c r="I864" s="24"/>
    </row>
    <row r="865" spans="1:9" ht="14.5">
      <c r="A865" s="20" t="s">
        <v>10168</v>
      </c>
      <c r="B865" s="20">
        <v>30</v>
      </c>
      <c r="C865" s="20">
        <v>40</v>
      </c>
      <c r="D865" s="20">
        <v>55</v>
      </c>
      <c r="E865" s="20">
        <v>54</v>
      </c>
      <c r="F865" s="20" t="s">
        <v>10169</v>
      </c>
      <c r="G865" s="24" t="str">
        <f ca="1">IFERROR(__xludf.DUMMYFUNCTION("GOOGLETRANSLATE(F865,""en"",""pt"")"),"Metal sistemas de isolamento do telhado do painel sanduíche")</f>
        <v>Metal sistemas de isolamento do telhado do painel sanduíche</v>
      </c>
      <c r="H865" s="20" t="s">
        <v>10170</v>
      </c>
      <c r="I865" s="20" t="s">
        <v>10171</v>
      </c>
    </row>
    <row r="866" spans="1:9" ht="14.5">
      <c r="A866" s="20" t="s">
        <v>10172</v>
      </c>
      <c r="B866" s="20">
        <v>30</v>
      </c>
      <c r="C866" s="20">
        <v>40</v>
      </c>
      <c r="D866" s="20">
        <v>55</v>
      </c>
      <c r="E866" s="20">
        <v>55</v>
      </c>
      <c r="F866" s="20" t="s">
        <v>10173</v>
      </c>
      <c r="G866" s="24" t="str">
        <f ca="1">IFERROR(__xludf.DUMMYFUNCTION("GOOGLETRANSLATE(F866,""en"",""pt"")"),"sistemas de cobertura do painel semi-composto de metal")</f>
        <v>sistemas de cobertura do painel semi-composto de metal</v>
      </c>
      <c r="H866" s="20" t="s">
        <v>10174</v>
      </c>
      <c r="I866" s="20" t="s">
        <v>10171</v>
      </c>
    </row>
    <row r="867" spans="1:9" ht="14.5">
      <c r="A867" s="20" t="s">
        <v>10175</v>
      </c>
      <c r="B867" s="20">
        <v>30</v>
      </c>
      <c r="C867" s="20">
        <v>40</v>
      </c>
      <c r="D867" s="20">
        <v>65</v>
      </c>
      <c r="E867" s="24"/>
      <c r="F867" s="20" t="s">
        <v>10176</v>
      </c>
      <c r="G867" s="24" t="str">
        <f ca="1">IFERROR(__xludf.DUMMYFUNCTION("GOOGLETRANSLATE(F867,""en"",""pt"")"),"Telhado de chapa perfilada sistemas cobrindo")</f>
        <v>Telhado de chapa perfilada sistemas cobrindo</v>
      </c>
      <c r="H867" s="24"/>
      <c r="I867" s="24"/>
    </row>
    <row r="868" spans="1:9" ht="14.5">
      <c r="A868" s="20" t="s">
        <v>10177</v>
      </c>
      <c r="B868" s="20">
        <v>30</v>
      </c>
      <c r="C868" s="20">
        <v>40</v>
      </c>
      <c r="D868" s="20">
        <v>65</v>
      </c>
      <c r="E868" s="20">
        <v>30</v>
      </c>
      <c r="F868" s="20" t="s">
        <v>10178</v>
      </c>
      <c r="G868" s="24" t="str">
        <f ca="1">IFERROR(__xludf.DUMMYFUNCTION("GOOGLETRANSLATE(F868,""en"",""pt"")"),"sistemas de cobertura de telhado de folha de fibrocimento perfilado")</f>
        <v>sistemas de cobertura de telhado de folha de fibrocimento perfilado</v>
      </c>
      <c r="H868" s="20" t="s">
        <v>10179</v>
      </c>
      <c r="I868" s="20" t="s">
        <v>5636</v>
      </c>
    </row>
    <row r="869" spans="1:9" ht="14.5">
      <c r="A869" s="20" t="s">
        <v>10180</v>
      </c>
      <c r="B869" s="20">
        <v>30</v>
      </c>
      <c r="C869" s="20">
        <v>40</v>
      </c>
      <c r="D869" s="20">
        <v>65</v>
      </c>
      <c r="E869" s="20">
        <v>50</v>
      </c>
      <c r="F869" s="20" t="s">
        <v>10181</v>
      </c>
      <c r="G869" s="24" t="str">
        <f ca="1">IFERROR(__xludf.DUMMYFUNCTION("GOOGLETRANSLATE(F869,""en"",""pt"")"),"Folha de metal perfilado telhado sistemas cobrindo")</f>
        <v>Folha de metal perfilado telhado sistemas cobrindo</v>
      </c>
      <c r="H869" s="20" t="s">
        <v>10182</v>
      </c>
      <c r="I869" s="20" t="s">
        <v>5636</v>
      </c>
    </row>
    <row r="870" spans="1:9" ht="14.5">
      <c r="A870" s="20" t="s">
        <v>10183</v>
      </c>
      <c r="B870" s="20">
        <v>30</v>
      </c>
      <c r="C870" s="20">
        <v>40</v>
      </c>
      <c r="D870" s="20">
        <v>65</v>
      </c>
      <c r="E870" s="20">
        <v>60</v>
      </c>
      <c r="F870" s="20" t="s">
        <v>10184</v>
      </c>
      <c r="G870" s="24" t="str">
        <f ca="1">IFERROR(__xludf.DUMMYFUNCTION("GOOGLETRANSLATE(F870,""en"",""pt"")"),"Plásticos perfiladas sistemas de revestimento de folha de telhado")</f>
        <v>Plásticos perfiladas sistemas de revestimento de folha de telhado</v>
      </c>
      <c r="H870" s="20" t="s">
        <v>10185</v>
      </c>
      <c r="I870" s="20" t="s">
        <v>5636</v>
      </c>
    </row>
    <row r="871" spans="1:9" ht="14.5">
      <c r="A871" s="20" t="s">
        <v>10186</v>
      </c>
      <c r="B871" s="20">
        <v>30</v>
      </c>
      <c r="C871" s="20">
        <v>40</v>
      </c>
      <c r="D871" s="20">
        <v>90</v>
      </c>
      <c r="E871" s="24"/>
      <c r="F871" s="20" t="s">
        <v>10187</v>
      </c>
      <c r="G871" s="24" t="str">
        <f ca="1">IFERROR(__xludf.DUMMYFUNCTION("GOOGLETRANSLATE(F871,""en"",""pt"")"),"sistemas de cobertura de tecido de tracção")</f>
        <v>sistemas de cobertura de tecido de tracção</v>
      </c>
      <c r="H871" s="24"/>
      <c r="I871" s="24"/>
    </row>
    <row r="872" spans="1:9" ht="14.5">
      <c r="A872" s="20" t="s">
        <v>10188</v>
      </c>
      <c r="B872" s="20">
        <v>30</v>
      </c>
      <c r="C872" s="20">
        <v>40</v>
      </c>
      <c r="D872" s="20">
        <v>90</v>
      </c>
      <c r="E872" s="20">
        <v>40</v>
      </c>
      <c r="F872" s="20" t="s">
        <v>10189</v>
      </c>
      <c r="G872" s="24" t="str">
        <f ca="1">IFERROR(__xludf.DUMMYFUNCTION("GOOGLETRANSLATE(F872,""en"",""pt"")"),"sistemas de cobertura de tecido à tracção camada única internos")</f>
        <v>sistemas de cobertura de tecido à tracção camada única internos</v>
      </c>
      <c r="H872" s="20" t="s">
        <v>10190</v>
      </c>
      <c r="I872" s="20" t="s">
        <v>9958</v>
      </c>
    </row>
    <row r="873" spans="1:9" ht="14.5">
      <c r="A873" s="20" t="s">
        <v>10191</v>
      </c>
      <c r="B873" s="20">
        <v>30</v>
      </c>
      <c r="C873" s="20">
        <v>40</v>
      </c>
      <c r="D873" s="20">
        <v>90</v>
      </c>
      <c r="E873" s="20">
        <v>50</v>
      </c>
      <c r="F873" s="20" t="s">
        <v>10192</v>
      </c>
      <c r="G873" s="24" t="str">
        <f ca="1">IFERROR(__xludf.DUMMYFUNCTION("GOOGLETRANSLATE(F873,""en"",""pt"")"),"sistemas de cobertura de tecido à tracção multicamadas")</f>
        <v>sistemas de cobertura de tecido à tracção multicamadas</v>
      </c>
      <c r="H873" s="20" t="s">
        <v>10193</v>
      </c>
      <c r="I873" s="20" t="s">
        <v>10194</v>
      </c>
    </row>
    <row r="874" spans="1:9" ht="14.5">
      <c r="A874" s="20" t="s">
        <v>10195</v>
      </c>
      <c r="B874" s="20">
        <v>30</v>
      </c>
      <c r="C874" s="20">
        <v>40</v>
      </c>
      <c r="D874" s="20">
        <v>90</v>
      </c>
      <c r="E874" s="20">
        <v>75</v>
      </c>
      <c r="F874" s="20" t="s">
        <v>10196</v>
      </c>
      <c r="G874" s="24" t="str">
        <f ca="1">IFERROR(__xludf.DUMMYFUNCTION("GOOGLETRANSLATE(F874,""en"",""pt"")"),"sistemas de cobertura de tecido à tracção camada única")</f>
        <v>sistemas de cobertura de tecido à tracção camada única</v>
      </c>
      <c r="H874" s="20" t="s">
        <v>10197</v>
      </c>
      <c r="I874" s="20" t="s">
        <v>10194</v>
      </c>
    </row>
    <row r="875" spans="1:9" ht="14.5">
      <c r="A875" s="20" t="s">
        <v>10198</v>
      </c>
      <c r="B875" s="20">
        <v>30</v>
      </c>
      <c r="C875" s="20">
        <v>40</v>
      </c>
      <c r="D875" s="20">
        <v>92</v>
      </c>
      <c r="E875" s="24"/>
      <c r="F875" s="20" t="s">
        <v>10199</v>
      </c>
      <c r="G875" s="24" t="str">
        <f ca="1">IFERROR(__xludf.DUMMYFUNCTION("GOOGLETRANSLATE(F875,""en"",""pt"")"),"A cobertura dos telhados sistemas cobrindo")</f>
        <v>A cobertura dos telhados sistemas cobrindo</v>
      </c>
      <c r="H875" s="24"/>
      <c r="I875" s="24"/>
    </row>
    <row r="876" spans="1:9" ht="14.5">
      <c r="A876" s="20" t="s">
        <v>10200</v>
      </c>
      <c r="B876" s="20">
        <v>30</v>
      </c>
      <c r="C876" s="20">
        <v>40</v>
      </c>
      <c r="D876" s="20">
        <v>92</v>
      </c>
      <c r="E876" s="20">
        <v>85</v>
      </c>
      <c r="F876" s="20" t="s">
        <v>10201</v>
      </c>
      <c r="G876" s="24" t="str">
        <f ca="1">IFERROR(__xludf.DUMMYFUNCTION("GOOGLETRANSLATE(F876,""en"",""pt"")"),"Sistemas de cobertura de palha")</f>
        <v>Sistemas de cobertura de palha</v>
      </c>
      <c r="H876" s="20" t="s">
        <v>10202</v>
      </c>
      <c r="I876" s="20" t="s">
        <v>5636</v>
      </c>
    </row>
    <row r="877" spans="1:9" ht="14.5">
      <c r="A877" s="20" t="s">
        <v>10203</v>
      </c>
      <c r="B877" s="20">
        <v>30</v>
      </c>
      <c r="C877" s="20">
        <v>40</v>
      </c>
      <c r="D877" s="20">
        <v>95</v>
      </c>
      <c r="E877" s="24"/>
      <c r="F877" s="20" t="s">
        <v>10204</v>
      </c>
      <c r="G877" s="24" t="str">
        <f ca="1">IFERROR(__xludf.DUMMYFUNCTION("GOOGLETRANSLATE(F877,""en"",""pt"")"),"sistemas de coberturas de unidade")</f>
        <v>sistemas de coberturas de unidade</v>
      </c>
      <c r="H877" s="24"/>
      <c r="I877" s="24"/>
    </row>
    <row r="878" spans="1:9" ht="14.5">
      <c r="A878" s="20" t="s">
        <v>10205</v>
      </c>
      <c r="B878" s="20">
        <v>30</v>
      </c>
      <c r="C878" s="20">
        <v>40</v>
      </c>
      <c r="D878" s="20">
        <v>95</v>
      </c>
      <c r="E878" s="20">
        <v>10</v>
      </c>
      <c r="F878" s="20" t="s">
        <v>10206</v>
      </c>
      <c r="G878" s="24" t="str">
        <f ca="1">IFERROR(__xludf.DUMMYFUNCTION("GOOGLETRANSLATE(F878,""en"",""pt"")"),"sistemas de betume membrana telha para telhados")</f>
        <v>sistemas de betume membrana telha para telhados</v>
      </c>
      <c r="H878" s="20" t="s">
        <v>10207</v>
      </c>
      <c r="I878" s="20" t="s">
        <v>5636</v>
      </c>
    </row>
    <row r="879" spans="1:9" ht="14.5">
      <c r="A879" s="20" t="s">
        <v>10208</v>
      </c>
      <c r="B879" s="20">
        <v>30</v>
      </c>
      <c r="C879" s="20">
        <v>40</v>
      </c>
      <c r="D879" s="20">
        <v>95</v>
      </c>
      <c r="E879" s="20">
        <v>15</v>
      </c>
      <c r="F879" s="20" t="s">
        <v>10209</v>
      </c>
      <c r="G879" s="24" t="str">
        <f ca="1">IFERROR(__xludf.DUMMYFUNCTION("GOOGLETRANSLATE(F879,""en"",""pt"")"),"sistemas de cobertura de ardósia cerâmica")</f>
        <v>sistemas de cobertura de ardósia cerâmica</v>
      </c>
      <c r="H879" s="20" t="s">
        <v>10210</v>
      </c>
      <c r="I879" s="20" t="s">
        <v>5636</v>
      </c>
    </row>
    <row r="880" spans="1:9" ht="14.5">
      <c r="A880" s="20" t="s">
        <v>10211</v>
      </c>
      <c r="B880" s="20">
        <v>30</v>
      </c>
      <c r="C880" s="20">
        <v>40</v>
      </c>
      <c r="D880" s="20">
        <v>95</v>
      </c>
      <c r="E880" s="20">
        <v>30</v>
      </c>
      <c r="F880" s="20" t="s">
        <v>10212</v>
      </c>
      <c r="G880" s="24" t="str">
        <f ca="1">IFERROR(__xludf.DUMMYFUNCTION("GOOGLETRANSLATE(F880,""en"",""pt"")"),"sistemas de ardósia de fibrocimento")</f>
        <v>sistemas de ardósia de fibrocimento</v>
      </c>
      <c r="H880" s="20" t="s">
        <v>10213</v>
      </c>
      <c r="I880" s="20" t="s">
        <v>5636</v>
      </c>
    </row>
    <row r="881" spans="1:9" ht="14.5">
      <c r="A881" s="20" t="s">
        <v>10214</v>
      </c>
      <c r="B881" s="20">
        <v>30</v>
      </c>
      <c r="C881" s="20">
        <v>40</v>
      </c>
      <c r="D881" s="20">
        <v>95</v>
      </c>
      <c r="E881" s="20">
        <v>40</v>
      </c>
      <c r="F881" s="20" t="s">
        <v>10215</v>
      </c>
      <c r="G881" s="24" t="str">
        <f ca="1">IFERROR(__xludf.DUMMYFUNCTION("GOOGLETRANSLATE(F881,""en"",""pt"")"),"Intertravamento sistemas de coberturas de telha")</f>
        <v>Intertravamento sistemas de coberturas de telha</v>
      </c>
      <c r="H881" s="20" t="s">
        <v>10216</v>
      </c>
      <c r="I881" s="20" t="s">
        <v>5636</v>
      </c>
    </row>
    <row r="882" spans="1:9" ht="14.5">
      <c r="A882" s="20" t="s">
        <v>10217</v>
      </c>
      <c r="B882" s="20">
        <v>30</v>
      </c>
      <c r="C882" s="20">
        <v>40</v>
      </c>
      <c r="D882" s="20">
        <v>95</v>
      </c>
      <c r="E882" s="20">
        <v>50</v>
      </c>
      <c r="F882" s="20" t="s">
        <v>10218</v>
      </c>
      <c r="G882" s="24" t="str">
        <f ca="1">IFERROR(__xludf.DUMMYFUNCTION("GOOGLETRANSLATE(F882,""en"",""pt"")"),"sistemas de telhas metálicas")</f>
        <v>sistemas de telhas metálicas</v>
      </c>
      <c r="H882" s="20" t="s">
        <v>10219</v>
      </c>
      <c r="I882" s="20" t="s">
        <v>5636</v>
      </c>
    </row>
    <row r="883" spans="1:9" ht="14.5">
      <c r="A883" s="20" t="s">
        <v>10220</v>
      </c>
      <c r="B883" s="20">
        <v>30</v>
      </c>
      <c r="C883" s="20">
        <v>40</v>
      </c>
      <c r="D883" s="20">
        <v>95</v>
      </c>
      <c r="E883" s="20">
        <v>55</v>
      </c>
      <c r="F883" s="20" t="s">
        <v>10221</v>
      </c>
      <c r="G883" s="24" t="str">
        <f ca="1">IFERROR(__xludf.DUMMYFUNCTION("GOOGLETRANSLATE(F883,""en"",""pt"")"),"sistemas de cobertura de ardósia Natural")</f>
        <v>sistemas de cobertura de ardósia Natural</v>
      </c>
      <c r="H883" s="20" t="s">
        <v>10222</v>
      </c>
      <c r="I883" s="20" t="s">
        <v>5636</v>
      </c>
    </row>
    <row r="884" spans="1:9" ht="14.5">
      <c r="A884" s="20" t="s">
        <v>10223</v>
      </c>
      <c r="B884" s="20">
        <v>30</v>
      </c>
      <c r="C884" s="20">
        <v>40</v>
      </c>
      <c r="D884" s="20">
        <v>95</v>
      </c>
      <c r="E884" s="20">
        <v>60</v>
      </c>
      <c r="F884" s="20" t="s">
        <v>10224</v>
      </c>
      <c r="G884" s="24" t="str">
        <f ca="1">IFERROR(__xludf.DUMMYFUNCTION("GOOGLETRANSLATE(F884,""en"",""pt"")"),"sistemas slate telhados de pedra natural")</f>
        <v>sistemas slate telhados de pedra natural</v>
      </c>
      <c r="H884" s="20" t="s">
        <v>10225</v>
      </c>
      <c r="I884" s="20" t="s">
        <v>5636</v>
      </c>
    </row>
    <row r="885" spans="1:9" ht="14.5">
      <c r="A885" s="20" t="s">
        <v>10226</v>
      </c>
      <c r="B885" s="20">
        <v>30</v>
      </c>
      <c r="C885" s="20">
        <v>40</v>
      </c>
      <c r="D885" s="20">
        <v>95</v>
      </c>
      <c r="E885" s="20">
        <v>65</v>
      </c>
      <c r="F885" s="20" t="s">
        <v>10227</v>
      </c>
      <c r="G885" s="24" t="str">
        <f ca="1">IFERROR(__xludf.DUMMYFUNCTION("GOOGLETRANSLATE(F885,""en"",""pt"")"),"sistemas de coberturas de telha Plain")</f>
        <v>sistemas de coberturas de telha Plain</v>
      </c>
      <c r="H885" s="20" t="s">
        <v>10228</v>
      </c>
      <c r="I885" s="20" t="s">
        <v>5636</v>
      </c>
    </row>
    <row r="886" spans="1:9" ht="14.5">
      <c r="A886" s="20" t="s">
        <v>10229</v>
      </c>
      <c r="B886" s="20">
        <v>30</v>
      </c>
      <c r="C886" s="20">
        <v>40</v>
      </c>
      <c r="D886" s="20">
        <v>95</v>
      </c>
      <c r="E886" s="20">
        <v>70</v>
      </c>
      <c r="F886" s="20" t="s">
        <v>10230</v>
      </c>
      <c r="G886" s="24" t="str">
        <f ca="1">IFERROR(__xludf.DUMMYFUNCTION("GOOGLETRANSLATE(F886,""en"",""pt"")"),"sistemas de cobertura de ardósia reconstituídos")</f>
        <v>sistemas de cobertura de ardósia reconstituídos</v>
      </c>
      <c r="H886" s="20" t="s">
        <v>10231</v>
      </c>
      <c r="I886" s="20" t="s">
        <v>5636</v>
      </c>
    </row>
    <row r="887" spans="1:9" ht="14.5">
      <c r="A887" s="20" t="s">
        <v>10232</v>
      </c>
      <c r="B887" s="20">
        <v>30</v>
      </c>
      <c r="C887" s="20">
        <v>40</v>
      </c>
      <c r="D887" s="20">
        <v>95</v>
      </c>
      <c r="E887" s="20">
        <v>74</v>
      </c>
      <c r="F887" s="20" t="s">
        <v>10233</v>
      </c>
      <c r="G887" s="24" t="str">
        <f ca="1">IFERROR(__xludf.DUMMYFUNCTION("GOOGLETRANSLATE(F887,""en"",""pt"")"),"Telhado bordas e sistemas de junção")</f>
        <v>Telhado bordas e sistemas de junção</v>
      </c>
      <c r="H887" s="20" t="s">
        <v>10234</v>
      </c>
      <c r="I887" s="24"/>
    </row>
    <row r="888" spans="1:9" ht="14.5">
      <c r="A888" s="20" t="s">
        <v>10235</v>
      </c>
      <c r="B888" s="20">
        <v>30</v>
      </c>
      <c r="C888" s="20">
        <v>40</v>
      </c>
      <c r="D888" s="20">
        <v>95</v>
      </c>
      <c r="E888" s="20">
        <v>95</v>
      </c>
      <c r="F888" s="20" t="s">
        <v>10236</v>
      </c>
      <c r="G888" s="24" t="str">
        <f ca="1">IFERROR(__xludf.DUMMYFUNCTION("GOOGLETRANSLATE(F888,""en"",""pt"")"),"Agitação da madeira ou sistemas de cobertura telha")</f>
        <v>Agitação da madeira ou sistemas de cobertura telha</v>
      </c>
      <c r="H888" s="20" t="s">
        <v>10237</v>
      </c>
      <c r="I888" s="20" t="s">
        <v>5636</v>
      </c>
    </row>
    <row r="889" spans="1:9" ht="14.5">
      <c r="A889" s="20" t="s">
        <v>10238</v>
      </c>
      <c r="B889" s="20">
        <v>30</v>
      </c>
      <c r="C889" s="20">
        <v>42</v>
      </c>
      <c r="D889" s="24"/>
      <c r="E889" s="24"/>
      <c r="F889" s="20" t="s">
        <v>10239</v>
      </c>
      <c r="G889" s="24" t="str">
        <f ca="1">IFERROR(__xludf.DUMMYFUNCTION("GOOGLETRANSLATE(F889,""en"",""pt"")"),"revestimento do piso e sistemas de acabamento")</f>
        <v>revestimento do piso e sistemas de acabamento</v>
      </c>
      <c r="H889" s="24"/>
      <c r="I889" s="24"/>
    </row>
    <row r="890" spans="1:9" ht="14.5">
      <c r="A890" s="20" t="s">
        <v>10240</v>
      </c>
      <c r="B890" s="20">
        <v>30</v>
      </c>
      <c r="C890" s="20">
        <v>42</v>
      </c>
      <c r="D890" s="20">
        <v>10</v>
      </c>
      <c r="E890" s="24"/>
      <c r="F890" s="20" t="s">
        <v>10241</v>
      </c>
      <c r="G890" s="24" t="str">
        <f ca="1">IFERROR(__xludf.DUMMYFUNCTION("GOOGLETRANSLATE(F890,""en"",""pt"")"),"sistemas de pavimento base de cálcio sulfato-")</f>
        <v>sistemas de pavimento base de cálcio sulfato-</v>
      </c>
      <c r="H890" s="24"/>
      <c r="I890" s="24"/>
    </row>
    <row r="891" spans="1:9" ht="14.5">
      <c r="A891" s="20" t="s">
        <v>10242</v>
      </c>
      <c r="B891" s="20">
        <v>30</v>
      </c>
      <c r="C891" s="20">
        <v>42</v>
      </c>
      <c r="D891" s="20">
        <v>10</v>
      </c>
      <c r="E891" s="20">
        <v>10</v>
      </c>
      <c r="F891" s="20" t="s">
        <v>10243</v>
      </c>
      <c r="G891" s="24" t="str">
        <f ca="1">IFERROR(__xludf.DUMMYFUNCTION("GOOGLETRANSLATE(F891,""en"",""pt"")"),"sistemas de pavimento com base de sulfato de cálcio-Bonded")</f>
        <v>sistemas de pavimento com base de sulfato de cálcio-Bonded</v>
      </c>
      <c r="H891" s="20" t="s">
        <v>10244</v>
      </c>
      <c r="I891" s="20" t="s">
        <v>9876</v>
      </c>
    </row>
    <row r="892" spans="1:9" ht="14.5">
      <c r="A892" s="20" t="s">
        <v>10245</v>
      </c>
      <c r="B892" s="20">
        <v>30</v>
      </c>
      <c r="C892" s="20">
        <v>42</v>
      </c>
      <c r="D892" s="20">
        <v>10</v>
      </c>
      <c r="E892" s="20">
        <v>30</v>
      </c>
      <c r="F892" s="20" t="s">
        <v>10246</v>
      </c>
      <c r="G892" s="24" t="str">
        <f ca="1">IFERROR(__xludf.DUMMYFUNCTION("GOOGLETRANSLATE(F892,""en"",""pt"")"),"sistemas de pavimento com base de sulfato de cálcio-flutuante")</f>
        <v>sistemas de pavimento com base de sulfato de cálcio-flutuante</v>
      </c>
      <c r="H892" s="20" t="s">
        <v>10247</v>
      </c>
      <c r="I892" s="20" t="s">
        <v>9876</v>
      </c>
    </row>
    <row r="893" spans="1:9" ht="14.5">
      <c r="A893" s="20" t="s">
        <v>10248</v>
      </c>
      <c r="B893" s="20">
        <v>30</v>
      </c>
      <c r="C893" s="20">
        <v>42</v>
      </c>
      <c r="D893" s="20">
        <v>10</v>
      </c>
      <c r="E893" s="20">
        <v>90</v>
      </c>
      <c r="F893" s="20" t="s">
        <v>10249</v>
      </c>
      <c r="G893" s="24" t="str">
        <f ca="1">IFERROR(__xludf.DUMMYFUNCTION("GOOGLETRANSLATE(F893,""en"",""pt"")"),"sistemas de pavimento com base de sulfato de cálcio-unbonded")</f>
        <v>sistemas de pavimento com base de sulfato de cálcio-unbonded</v>
      </c>
      <c r="H893" s="20" t="s">
        <v>10250</v>
      </c>
      <c r="I893" s="20" t="s">
        <v>9876</v>
      </c>
    </row>
    <row r="894" spans="1:9" ht="14.5">
      <c r="A894" s="20" t="s">
        <v>10251</v>
      </c>
      <c r="B894" s="20">
        <v>30</v>
      </c>
      <c r="C894" s="20">
        <v>42</v>
      </c>
      <c r="D894" s="20">
        <v>15</v>
      </c>
      <c r="E894" s="24"/>
      <c r="F894" s="20" t="s">
        <v>10252</v>
      </c>
      <c r="G894" s="24" t="str">
        <f ca="1">IFERROR(__xludf.DUMMYFUNCTION("GOOGLETRANSLATE(F894,""en"",""pt"")"),"sistemas de pavimento de cimento")</f>
        <v>sistemas de pavimento de cimento</v>
      </c>
      <c r="H894" s="24"/>
      <c r="I894" s="24"/>
    </row>
    <row r="895" spans="1:9" ht="14.5">
      <c r="A895" s="20" t="s">
        <v>10253</v>
      </c>
      <c r="B895" s="20">
        <v>30</v>
      </c>
      <c r="C895" s="20">
        <v>42</v>
      </c>
      <c r="D895" s="20">
        <v>15</v>
      </c>
      <c r="E895" s="20">
        <v>10</v>
      </c>
      <c r="F895" s="20" t="s">
        <v>10254</v>
      </c>
      <c r="G895" s="24" t="str">
        <f ca="1">IFERROR(__xludf.DUMMYFUNCTION("GOOGLETRANSLATE(F895,""en"",""pt"")"),"Ligados ou parcialmente ligados nivelamento de cimento sistemas betonilha")</f>
        <v>Ligados ou parcialmente ligados nivelamento de cimento sistemas betonilha</v>
      </c>
      <c r="H895" s="20" t="s">
        <v>10255</v>
      </c>
      <c r="I895" s="20" t="s">
        <v>9876</v>
      </c>
    </row>
    <row r="896" spans="1:9" ht="14.5">
      <c r="A896" s="20" t="s">
        <v>10256</v>
      </c>
      <c r="B896" s="20">
        <v>30</v>
      </c>
      <c r="C896" s="20">
        <v>42</v>
      </c>
      <c r="D896" s="20">
        <v>15</v>
      </c>
      <c r="E896" s="20">
        <v>15</v>
      </c>
      <c r="F896" s="20" t="s">
        <v>10257</v>
      </c>
      <c r="G896" s="24" t="str">
        <f ca="1">IFERROR(__xludf.DUMMYFUNCTION("GOOGLETRANSLATE(F896,""en"",""pt"")"),"Cimento usando sistemas de betonilha")</f>
        <v>Cimento usando sistemas de betonilha</v>
      </c>
      <c r="H896" s="20" t="s">
        <v>10258</v>
      </c>
      <c r="I896" s="20" t="s">
        <v>9876</v>
      </c>
    </row>
    <row r="897" spans="1:9" ht="14.5">
      <c r="A897" s="20" t="s">
        <v>10259</v>
      </c>
      <c r="B897" s="20">
        <v>30</v>
      </c>
      <c r="C897" s="20">
        <v>42</v>
      </c>
      <c r="D897" s="20">
        <v>15</v>
      </c>
      <c r="E897" s="20">
        <v>30</v>
      </c>
      <c r="F897" s="20" t="s">
        <v>10260</v>
      </c>
      <c r="G897" s="24" t="str">
        <f ca="1">IFERROR(__xludf.DUMMYFUNCTION("GOOGLETRANSLATE(F897,""en"",""pt"")"),"Sistemas flutuantes de nivelamento cimento betonilha")</f>
        <v>Sistemas flutuantes de nivelamento cimento betonilha</v>
      </c>
      <c r="H897" s="20" t="s">
        <v>10261</v>
      </c>
      <c r="I897" s="20" t="s">
        <v>9876</v>
      </c>
    </row>
    <row r="898" spans="1:9" ht="14.5">
      <c r="A898" s="20" t="s">
        <v>10262</v>
      </c>
      <c r="B898" s="20">
        <v>30</v>
      </c>
      <c r="C898" s="20">
        <v>42</v>
      </c>
      <c r="D898" s="20">
        <v>15</v>
      </c>
      <c r="E898" s="20">
        <v>90</v>
      </c>
      <c r="F898" s="20" t="s">
        <v>10263</v>
      </c>
      <c r="G898" s="24" t="str">
        <f ca="1">IFERROR(__xludf.DUMMYFUNCTION("GOOGLETRANSLATE(F898,""en"",""pt"")"),"nivelamento de cimento unbonded sistemas de betonilha")</f>
        <v>nivelamento de cimento unbonded sistemas de betonilha</v>
      </c>
      <c r="H898" s="20" t="s">
        <v>10264</v>
      </c>
      <c r="I898" s="20" t="s">
        <v>9876</v>
      </c>
    </row>
    <row r="899" spans="1:9" ht="14.5">
      <c r="A899" s="20" t="s">
        <v>10265</v>
      </c>
      <c r="B899" s="20">
        <v>30</v>
      </c>
      <c r="C899" s="20">
        <v>42</v>
      </c>
      <c r="D899" s="20">
        <v>20</v>
      </c>
      <c r="E899" s="24"/>
      <c r="F899" s="20" t="s">
        <v>10266</v>
      </c>
      <c r="G899" s="24" t="str">
        <f ca="1">IFERROR(__xludf.DUMMYFUNCTION("GOOGLETRANSLATE(F899,""en"",""pt"")"),"sistemas de revestimento convés")</f>
        <v>sistemas de revestimento convés</v>
      </c>
      <c r="H899" s="24"/>
      <c r="I899" s="24"/>
    </row>
    <row r="900" spans="1:9" ht="14.5">
      <c r="A900" s="20" t="s">
        <v>10267</v>
      </c>
      <c r="B900" s="20">
        <v>30</v>
      </c>
      <c r="C900" s="20">
        <v>42</v>
      </c>
      <c r="D900" s="20">
        <v>30</v>
      </c>
      <c r="E900" s="24"/>
      <c r="F900" s="20" t="s">
        <v>10268</v>
      </c>
      <c r="G900" s="24" t="str">
        <f ca="1">IFERROR(__xludf.DUMMYFUNCTION("GOOGLETRANSLATE(F900,""en"",""pt"")"),"sistemas de pintura chão")</f>
        <v>sistemas de pintura chão</v>
      </c>
      <c r="H900" s="24"/>
      <c r="I900" s="24"/>
    </row>
    <row r="901" spans="1:9" ht="14.5">
      <c r="A901" s="20" t="s">
        <v>10269</v>
      </c>
      <c r="B901" s="20">
        <v>30</v>
      </c>
      <c r="C901" s="20">
        <v>42</v>
      </c>
      <c r="D901" s="20">
        <v>30</v>
      </c>
      <c r="E901" s="20">
        <v>30</v>
      </c>
      <c r="F901" s="20" t="s">
        <v>10270</v>
      </c>
      <c r="G901" s="24" t="str">
        <f ca="1">IFERROR(__xludf.DUMMYFUNCTION("GOOGLETRANSLATE(F901,""en"",""pt"")"),"sistemas de revestimento de chão")</f>
        <v>sistemas de revestimento de chão</v>
      </c>
      <c r="H901" s="20" t="s">
        <v>10271</v>
      </c>
      <c r="I901" s="20" t="s">
        <v>9876</v>
      </c>
    </row>
    <row r="902" spans="1:9" ht="14.5">
      <c r="A902" s="20" t="s">
        <v>10272</v>
      </c>
      <c r="B902" s="20">
        <v>30</v>
      </c>
      <c r="C902" s="20">
        <v>42</v>
      </c>
      <c r="D902" s="20">
        <v>32</v>
      </c>
      <c r="E902" s="24"/>
      <c r="F902" s="20" t="s">
        <v>10273</v>
      </c>
      <c r="G902" s="24" t="str">
        <f ca="1">IFERROR(__xludf.DUMMYFUNCTION("GOOGLETRANSLATE(F902,""en"",""pt"")"),"sistemas de azulejos no chão")</f>
        <v>sistemas de azulejos no chão</v>
      </c>
      <c r="H902" s="24"/>
      <c r="I902" s="24"/>
    </row>
    <row r="903" spans="1:9" ht="14.5">
      <c r="A903" s="20" t="s">
        <v>10274</v>
      </c>
      <c r="B903" s="20">
        <v>30</v>
      </c>
      <c r="C903" s="20">
        <v>42</v>
      </c>
      <c r="D903" s="20">
        <v>32</v>
      </c>
      <c r="E903" s="20">
        <v>30</v>
      </c>
      <c r="F903" s="20" t="s">
        <v>10275</v>
      </c>
      <c r="G903" s="24" t="str">
        <f ca="1">IFERROR(__xludf.DUMMYFUNCTION("GOOGLETRANSLATE(F903,""en"",""pt"")"),"sistemas de azulejos no chão externa")</f>
        <v>sistemas de azulejos no chão externa</v>
      </c>
      <c r="H903" s="20" t="s">
        <v>10276</v>
      </c>
      <c r="I903" s="20" t="s">
        <v>10277</v>
      </c>
    </row>
    <row r="904" spans="1:9" ht="14.5">
      <c r="A904" s="20" t="s">
        <v>10278</v>
      </c>
      <c r="B904" s="20">
        <v>30</v>
      </c>
      <c r="C904" s="20">
        <v>42</v>
      </c>
      <c r="D904" s="20">
        <v>32</v>
      </c>
      <c r="E904" s="20">
        <v>40</v>
      </c>
      <c r="F904" s="20" t="s">
        <v>10279</v>
      </c>
      <c r="G904" s="24" t="str">
        <f ca="1">IFERROR(__xludf.DUMMYFUNCTION("GOOGLETRANSLATE(F904,""en"",""pt"")"),"sistemas de azulejos no chão interna")</f>
        <v>sistemas de azulejos no chão interna</v>
      </c>
      <c r="H904" s="20" t="s">
        <v>10280</v>
      </c>
      <c r="I904" s="20" t="s">
        <v>9876</v>
      </c>
    </row>
    <row r="905" spans="1:9" ht="14.5">
      <c r="A905" s="20" t="s">
        <v>10281</v>
      </c>
      <c r="B905" s="20">
        <v>30</v>
      </c>
      <c r="C905" s="20">
        <v>42</v>
      </c>
      <c r="D905" s="20">
        <v>40</v>
      </c>
      <c r="E905" s="24"/>
      <c r="F905" s="20" t="s">
        <v>10282</v>
      </c>
      <c r="G905" s="24" t="str">
        <f ca="1">IFERROR(__xludf.DUMMYFUNCTION("GOOGLETRANSLATE(F905,""en"",""pt"")"),"sistemas de chão da pista de gelo")</f>
        <v>sistemas de chão da pista de gelo</v>
      </c>
      <c r="H905" s="24"/>
      <c r="I905" s="24"/>
    </row>
    <row r="906" spans="1:9" ht="14.5">
      <c r="A906" s="20" t="s">
        <v>10283</v>
      </c>
      <c r="B906" s="20">
        <v>30</v>
      </c>
      <c r="C906" s="20">
        <v>42</v>
      </c>
      <c r="D906" s="20">
        <v>50</v>
      </c>
      <c r="E906" s="24"/>
      <c r="F906" s="20" t="s">
        <v>10284</v>
      </c>
      <c r="G906" s="24" t="str">
        <f ca="1">IFERROR(__xludf.DUMMYFUNCTION("GOOGLETRANSLATE(F906,""en"",""pt"")"),"Maçonaria sistemas de pavimentação")</f>
        <v>Maçonaria sistemas de pavimentação</v>
      </c>
      <c r="H906" s="24"/>
      <c r="I906" s="24"/>
    </row>
    <row r="907" spans="1:9" ht="14.5">
      <c r="A907" s="20" t="s">
        <v>10285</v>
      </c>
      <c r="B907" s="20">
        <v>30</v>
      </c>
      <c r="C907" s="20">
        <v>42</v>
      </c>
      <c r="D907" s="20">
        <v>52</v>
      </c>
      <c r="E907" s="24"/>
      <c r="F907" s="20" t="s">
        <v>10286</v>
      </c>
      <c r="G907" s="24" t="str">
        <f ca="1">IFERROR(__xludf.DUMMYFUNCTION("GOOGLETRANSLATE(F907,""en"",""pt"")"),"sistemas de Bases de pisos de asfalto Mastic e piso")</f>
        <v>sistemas de Bases de pisos de asfalto Mastic e piso</v>
      </c>
      <c r="H907" s="24"/>
      <c r="I907" s="24"/>
    </row>
    <row r="908" spans="1:9" ht="14.5">
      <c r="A908" s="20" t="s">
        <v>10287</v>
      </c>
      <c r="B908" s="20">
        <v>30</v>
      </c>
      <c r="C908" s="20">
        <v>42</v>
      </c>
      <c r="D908" s="20">
        <v>52</v>
      </c>
      <c r="E908" s="20">
        <v>50</v>
      </c>
      <c r="F908" s="20" t="s">
        <v>10288</v>
      </c>
      <c r="G908" s="24" t="str">
        <f ca="1">IFERROR(__xludf.DUMMYFUNCTION("GOOGLETRANSLATE(F908,""en"",""pt"")"),"sistemas de pavimentação de asfalto Mastic")</f>
        <v>sistemas de pavimentação de asfalto Mastic</v>
      </c>
      <c r="H908" s="20" t="s">
        <v>10289</v>
      </c>
      <c r="I908" s="20" t="s">
        <v>10290</v>
      </c>
    </row>
    <row r="909" spans="1:9" ht="14.5">
      <c r="A909" s="20" t="s">
        <v>10291</v>
      </c>
      <c r="B909" s="20">
        <v>30</v>
      </c>
      <c r="C909" s="20">
        <v>42</v>
      </c>
      <c r="D909" s="20">
        <v>52</v>
      </c>
      <c r="E909" s="20">
        <v>52</v>
      </c>
      <c r="F909" s="20" t="s">
        <v>10292</v>
      </c>
      <c r="G909" s="24" t="str">
        <f ca="1">IFERROR(__xludf.DUMMYFUNCTION("GOOGLETRANSLATE(F909,""en"",""pt"")"),"sistemas de piso underlay asfalto Mastic")</f>
        <v>sistemas de piso underlay asfalto Mastic</v>
      </c>
      <c r="H909" s="20" t="s">
        <v>10293</v>
      </c>
      <c r="I909" s="20" t="s">
        <v>10294</v>
      </c>
    </row>
    <row r="910" spans="1:9" ht="14.5">
      <c r="A910" s="20" t="s">
        <v>10295</v>
      </c>
      <c r="B910" s="20">
        <v>30</v>
      </c>
      <c r="C910" s="20">
        <v>42</v>
      </c>
      <c r="D910" s="20">
        <v>54</v>
      </c>
      <c r="E910" s="24"/>
      <c r="F910" s="20" t="s">
        <v>10296</v>
      </c>
      <c r="G910" s="24" t="str">
        <f ca="1">IFERROR(__xludf.DUMMYFUNCTION("GOOGLETRANSLATE(F910,""en"",""pt"")"),"Sistemas de pavimentos monolíticos")</f>
        <v>Sistemas de pavimentos monolíticos</v>
      </c>
      <c r="H910" s="24"/>
      <c r="I910" s="24"/>
    </row>
    <row r="911" spans="1:9" ht="14.5">
      <c r="A911" s="20" t="s">
        <v>10297</v>
      </c>
      <c r="B911" s="20">
        <v>30</v>
      </c>
      <c r="C911" s="20">
        <v>42</v>
      </c>
      <c r="D911" s="20">
        <v>54</v>
      </c>
      <c r="E911" s="20">
        <v>75</v>
      </c>
      <c r="F911" s="20" t="s">
        <v>10298</v>
      </c>
      <c r="G911" s="24" t="str">
        <f ca="1">IFERROR(__xludf.DUMMYFUNCTION("GOOGLETRANSLATE(F911,""en"",""pt"")"),"sistemas de revestimento de resina")</f>
        <v>sistemas de revestimento de resina</v>
      </c>
      <c r="H911" s="20" t="s">
        <v>10299</v>
      </c>
      <c r="I911" s="20" t="s">
        <v>9876</v>
      </c>
    </row>
    <row r="912" spans="1:9" ht="14.5">
      <c r="A912" s="20" t="s">
        <v>10300</v>
      </c>
      <c r="B912" s="20">
        <v>30</v>
      </c>
      <c r="C912" s="20">
        <v>42</v>
      </c>
      <c r="D912" s="20">
        <v>72</v>
      </c>
      <c r="E912" s="24"/>
      <c r="F912" s="20" t="s">
        <v>10301</v>
      </c>
      <c r="G912" s="24" t="str">
        <f ca="1">IFERROR(__xludf.DUMMYFUNCTION("GOOGLETRANSLATE(F912,""en"",""pt"")"),"sistemas de revestimento de piso resilientes e têxteis")</f>
        <v>sistemas de revestimento de piso resilientes e têxteis</v>
      </c>
      <c r="H912" s="24"/>
      <c r="I912" s="24"/>
    </row>
    <row r="913" spans="1:9" ht="14.5">
      <c r="A913" s="20" t="s">
        <v>10302</v>
      </c>
      <c r="B913" s="20">
        <v>30</v>
      </c>
      <c r="C913" s="20">
        <v>42</v>
      </c>
      <c r="D913" s="20">
        <v>72</v>
      </c>
      <c r="E913" s="20">
        <v>5</v>
      </c>
      <c r="F913" s="20" t="s">
        <v>10303</v>
      </c>
      <c r="G913" s="24" t="str">
        <f ca="1">IFERROR(__xludf.DUMMYFUNCTION("GOOGLETRANSLATE(F913,""en"",""pt"")"),"-Adesivo fixo sistemas de tapete enrolado")</f>
        <v>-Adesivo fixo sistemas de tapete enrolado</v>
      </c>
      <c r="H913" s="20" t="s">
        <v>10304</v>
      </c>
      <c r="I913" s="20" t="s">
        <v>9876</v>
      </c>
    </row>
    <row r="914" spans="1:9" ht="14.5">
      <c r="A914" s="20" t="s">
        <v>10305</v>
      </c>
      <c r="B914" s="20">
        <v>30</v>
      </c>
      <c r="C914" s="20">
        <v>42</v>
      </c>
      <c r="D914" s="20">
        <v>72</v>
      </c>
      <c r="E914" s="20">
        <v>10</v>
      </c>
      <c r="F914" s="20" t="s">
        <v>10306</v>
      </c>
      <c r="G914" s="24" t="str">
        <f ca="1">IFERROR(__xludf.DUMMYFUNCTION("GOOGLETRANSLATE(F914,""en"",""pt"")"),"sistemas de tapete")</f>
        <v>sistemas de tapete</v>
      </c>
      <c r="H914" s="20" t="s">
        <v>10307</v>
      </c>
      <c r="I914" s="20" t="s">
        <v>9876</v>
      </c>
    </row>
    <row r="915" spans="1:9" ht="14.5">
      <c r="A915" s="20" t="s">
        <v>10308</v>
      </c>
      <c r="B915" s="20">
        <v>30</v>
      </c>
      <c r="C915" s="20">
        <v>42</v>
      </c>
      <c r="D915" s="20">
        <v>72</v>
      </c>
      <c r="E915" s="20">
        <v>25</v>
      </c>
      <c r="F915" s="20" t="s">
        <v>10309</v>
      </c>
      <c r="G915" s="24" t="str">
        <f ca="1">IFERROR(__xludf.DUMMYFUNCTION("GOOGLETRANSLATE(F915,""en"",""pt"")"),"sistemas de tapete fixado de ponta")</f>
        <v>sistemas de tapete fixado de ponta</v>
      </c>
      <c r="H915" s="20" t="s">
        <v>10310</v>
      </c>
      <c r="I915" s="20" t="s">
        <v>9876</v>
      </c>
    </row>
    <row r="916" spans="1:9" ht="14.5">
      <c r="A916" s="20" t="s">
        <v>10311</v>
      </c>
      <c r="B916" s="20">
        <v>30</v>
      </c>
      <c r="C916" s="20">
        <v>42</v>
      </c>
      <c r="D916" s="20">
        <v>72</v>
      </c>
      <c r="E916" s="20">
        <v>72</v>
      </c>
      <c r="F916" s="20" t="s">
        <v>10312</v>
      </c>
      <c r="G916" s="24" t="str">
        <f ca="1">IFERROR(__xludf.DUMMYFUNCTION("GOOGLETRANSLATE(F916,""en"",""pt"")"),"chão folha resiliente sistemas cobrindo")</f>
        <v>chão folha resiliente sistemas cobrindo</v>
      </c>
      <c r="H916" s="20" t="s">
        <v>10313</v>
      </c>
      <c r="I916" s="20" t="s">
        <v>9876</v>
      </c>
    </row>
    <row r="917" spans="1:9" ht="14.5">
      <c r="A917" s="20" t="s">
        <v>10314</v>
      </c>
      <c r="B917" s="20">
        <v>30</v>
      </c>
      <c r="C917" s="20">
        <v>42</v>
      </c>
      <c r="D917" s="20">
        <v>72</v>
      </c>
      <c r="E917" s="20">
        <v>75</v>
      </c>
      <c r="F917" s="20" t="s">
        <v>10315</v>
      </c>
      <c r="G917" s="24" t="str">
        <f ca="1">IFERROR(__xludf.DUMMYFUNCTION("GOOGLETRANSLATE(F917,""en"",""pt"")"),"piso de ladrilho Resilient sistemas cobrindo")</f>
        <v>piso de ladrilho Resilient sistemas cobrindo</v>
      </c>
      <c r="H917" s="20" t="s">
        <v>10316</v>
      </c>
      <c r="I917" s="20" t="s">
        <v>9876</v>
      </c>
    </row>
    <row r="918" spans="1:9" ht="14.5">
      <c r="A918" s="20" t="s">
        <v>10317</v>
      </c>
      <c r="B918" s="20">
        <v>30</v>
      </c>
      <c r="C918" s="20">
        <v>42</v>
      </c>
      <c r="D918" s="20">
        <v>90</v>
      </c>
      <c r="E918" s="24"/>
      <c r="F918" s="20" t="s">
        <v>10318</v>
      </c>
      <c r="G918" s="24" t="str">
        <f ca="1">IFERROR(__xludf.DUMMYFUNCTION("GOOGLETRANSLATE(F918,""en"",""pt"")"),"Terrazzo azulejos no chão e sistemas de betonilha")</f>
        <v>Terrazzo azulejos no chão e sistemas de betonilha</v>
      </c>
      <c r="H918" s="24"/>
      <c r="I918" s="24"/>
    </row>
    <row r="919" spans="1:9" ht="14.5">
      <c r="A919" s="20" t="s">
        <v>10319</v>
      </c>
      <c r="B919" s="20">
        <v>30</v>
      </c>
      <c r="C919" s="20">
        <v>42</v>
      </c>
      <c r="D919" s="20">
        <v>90</v>
      </c>
      <c r="E919" s="20">
        <v>90</v>
      </c>
      <c r="F919" s="20" t="s">
        <v>10320</v>
      </c>
      <c r="G919" s="24" t="str">
        <f ca="1">IFERROR(__xludf.DUMMYFUNCTION("GOOGLETRANSLATE(F919,""en"",""pt"")"),"Terrazzo chão sistemas cobrindo")</f>
        <v>Terrazzo chão sistemas cobrindo</v>
      </c>
      <c r="H919" s="20" t="s">
        <v>10321</v>
      </c>
      <c r="I919" s="20" t="s">
        <v>9876</v>
      </c>
    </row>
    <row r="920" spans="1:9" ht="14.5">
      <c r="A920" s="20" t="s">
        <v>10322</v>
      </c>
      <c r="B920" s="20">
        <v>30</v>
      </c>
      <c r="C920" s="20">
        <v>45</v>
      </c>
      <c r="D920" s="24"/>
      <c r="E920" s="24"/>
      <c r="F920" s="20" t="s">
        <v>10323</v>
      </c>
      <c r="G920" s="24" t="str">
        <f ca="1">IFERROR(__xludf.DUMMYFUNCTION("GOOGLETRANSLATE(F920,""en"",""pt"")"),"revestimento de pavimento e sistemas de acabamento")</f>
        <v>revestimento de pavimento e sistemas de acabamento</v>
      </c>
      <c r="H920" s="24"/>
      <c r="I920" s="24"/>
    </row>
    <row r="921" spans="1:9" ht="14.5">
      <c r="A921" s="20" t="s">
        <v>10324</v>
      </c>
      <c r="B921" s="20">
        <v>30</v>
      </c>
      <c r="C921" s="20">
        <v>47</v>
      </c>
      <c r="D921" s="24"/>
      <c r="E921" s="24"/>
      <c r="F921" s="20" t="s">
        <v>10325</v>
      </c>
      <c r="G921" s="24" t="str">
        <f ca="1">IFERROR(__xludf.DUMMYFUNCTION("GOOGLETRANSLATE(F921,""en"",""pt"")"),"sistemas de acabamento teto e cobertura soffit e")</f>
        <v>sistemas de acabamento teto e cobertura soffit e</v>
      </c>
      <c r="H921" s="24"/>
      <c r="I921" s="24"/>
    </row>
    <row r="922" spans="1:9" ht="14.5">
      <c r="A922" s="20" t="s">
        <v>10326</v>
      </c>
      <c r="B922" s="20">
        <v>30</v>
      </c>
      <c r="C922" s="20">
        <v>60</v>
      </c>
      <c r="D922" s="24"/>
      <c r="E922" s="24"/>
      <c r="F922" s="20" t="s">
        <v>10327</v>
      </c>
      <c r="G922" s="24" t="str">
        <f ca="1">IFERROR(__xludf.DUMMYFUNCTION("GOOGLETRANSLATE(F922,""en"",""pt"")"),"Telhado, piso e pavimentação sistemas acessórios")</f>
        <v>Telhado, piso e pavimentação sistemas acessórios</v>
      </c>
      <c r="H922" s="24"/>
      <c r="I922" s="24"/>
    </row>
    <row r="923" spans="1:9" ht="14.5">
      <c r="A923" s="20" t="s">
        <v>10328</v>
      </c>
      <c r="B923" s="20">
        <v>30</v>
      </c>
      <c r="C923" s="20">
        <v>60</v>
      </c>
      <c r="D923" s="20">
        <v>30</v>
      </c>
      <c r="E923" s="24"/>
      <c r="F923" s="20" t="s">
        <v>10329</v>
      </c>
      <c r="G923" s="24" t="str">
        <f ca="1">IFERROR(__xludf.DUMMYFUNCTION("GOOGLETRANSLATE(F923,""en"",""pt"")"),"sistemas de traços chão")</f>
        <v>sistemas de traços chão</v>
      </c>
      <c r="H923" s="24"/>
      <c r="I923" s="24"/>
    </row>
    <row r="924" spans="1:9" ht="14.5">
      <c r="A924" s="20" t="s">
        <v>10330</v>
      </c>
      <c r="B924" s="20">
        <v>30</v>
      </c>
      <c r="C924" s="20">
        <v>60</v>
      </c>
      <c r="D924" s="20">
        <v>30</v>
      </c>
      <c r="E924" s="20">
        <v>26</v>
      </c>
      <c r="F924" s="20" t="s">
        <v>10331</v>
      </c>
      <c r="G924" s="24" t="str">
        <f ca="1">IFERROR(__xludf.DUMMYFUNCTION("GOOGLETRANSLATE(F924,""en"",""pt"")"),"sistemas de entrada esteiras")</f>
        <v>sistemas de entrada esteiras</v>
      </c>
      <c r="H924" s="24"/>
      <c r="I924" s="24"/>
    </row>
    <row r="925" spans="1:9" ht="14.5">
      <c r="A925" s="20" t="s">
        <v>10332</v>
      </c>
      <c r="B925" s="20">
        <v>30</v>
      </c>
      <c r="C925" s="20">
        <v>60</v>
      </c>
      <c r="D925" s="20">
        <v>50</v>
      </c>
      <c r="E925" s="24"/>
      <c r="F925" s="20" t="s">
        <v>10333</v>
      </c>
      <c r="G925" s="24" t="str">
        <f ca="1">IFERROR(__xludf.DUMMYFUNCTION("GOOGLETRANSLATE(F925,""en"",""pt"")"),"Chapa metálica telhado sistemas intermitente")</f>
        <v>Chapa metálica telhado sistemas intermitente</v>
      </c>
      <c r="H925" s="24"/>
      <c r="I925" s="24"/>
    </row>
    <row r="926" spans="1:9" ht="14.5">
      <c r="A926" s="20" t="s">
        <v>10334</v>
      </c>
      <c r="B926" s="20">
        <v>30</v>
      </c>
      <c r="C926" s="20">
        <v>60</v>
      </c>
      <c r="D926" s="20">
        <v>50</v>
      </c>
      <c r="E926" s="20">
        <v>3</v>
      </c>
      <c r="F926" s="20" t="s">
        <v>10335</v>
      </c>
      <c r="G926" s="24" t="str">
        <f ca="1">IFERROR(__xludf.DUMMYFUNCTION("GOOGLETRANSLATE(F926,""en"",""pt"")"),"sistemas de telhado intermitente alumínio")</f>
        <v>sistemas de telhado intermitente alumínio</v>
      </c>
      <c r="H926" s="20" t="s">
        <v>9481</v>
      </c>
      <c r="I926" s="20" t="s">
        <v>9482</v>
      </c>
    </row>
    <row r="927" spans="1:9" ht="14.5">
      <c r="A927" s="20" t="s">
        <v>10336</v>
      </c>
      <c r="B927" s="20">
        <v>30</v>
      </c>
      <c r="C927" s="20">
        <v>60</v>
      </c>
      <c r="D927" s="20">
        <v>50</v>
      </c>
      <c r="E927" s="20">
        <v>4</v>
      </c>
      <c r="F927" s="20" t="s">
        <v>10337</v>
      </c>
      <c r="G927" s="24" t="str">
        <f ca="1">IFERROR(__xludf.DUMMYFUNCTION("GOOGLETRANSLATE(F927,""en"",""pt"")"),"sistemas atmosféricos telhado de alumínio")</f>
        <v>sistemas atmosféricos telhado de alumínio</v>
      </c>
      <c r="H927" s="20" t="s">
        <v>10338</v>
      </c>
      <c r="I927" s="20" t="s">
        <v>9482</v>
      </c>
    </row>
    <row r="928" spans="1:9" ht="14.5">
      <c r="A928" s="20" t="s">
        <v>10339</v>
      </c>
      <c r="B928" s="20">
        <v>30</v>
      </c>
      <c r="C928" s="20">
        <v>60</v>
      </c>
      <c r="D928" s="20">
        <v>50</v>
      </c>
      <c r="E928" s="20">
        <v>11</v>
      </c>
      <c r="F928" s="20" t="s">
        <v>10340</v>
      </c>
      <c r="G928" s="24" t="str">
        <f ca="1">IFERROR(__xludf.DUMMYFUNCTION("GOOGLETRANSLATE(F928,""en"",""pt"")"),"Carbono telhado de aço sistemas intermitente")</f>
        <v>Carbono telhado de aço sistemas intermitente</v>
      </c>
      <c r="H928" s="20" t="s">
        <v>9488</v>
      </c>
      <c r="I928" s="24"/>
    </row>
    <row r="929" spans="1:9" ht="14.5">
      <c r="A929" s="20" t="s">
        <v>10341</v>
      </c>
      <c r="B929" s="20">
        <v>30</v>
      </c>
      <c r="C929" s="20">
        <v>60</v>
      </c>
      <c r="D929" s="20">
        <v>50</v>
      </c>
      <c r="E929" s="20">
        <v>12</v>
      </c>
      <c r="F929" s="20" t="s">
        <v>10342</v>
      </c>
      <c r="G929" s="24" t="str">
        <f ca="1">IFERROR(__xludf.DUMMYFUNCTION("GOOGLETRANSLATE(F929,""en"",""pt"")"),"sistemas atmosféricos telhado de aço de carbono")</f>
        <v>sistemas atmosféricos telhado de aço de carbono</v>
      </c>
      <c r="H929" s="24"/>
      <c r="I929" s="24"/>
    </row>
    <row r="930" spans="1:9" ht="14.5">
      <c r="A930" s="20" t="s">
        <v>10343</v>
      </c>
      <c r="B930" s="20">
        <v>30</v>
      </c>
      <c r="C930" s="20">
        <v>60</v>
      </c>
      <c r="D930" s="20">
        <v>50</v>
      </c>
      <c r="E930" s="20">
        <v>19</v>
      </c>
      <c r="F930" s="20" t="s">
        <v>10344</v>
      </c>
      <c r="G930" s="24" t="str">
        <f ca="1">IFERROR(__xludf.DUMMYFUNCTION("GOOGLETRANSLATE(F930,""en"",""pt"")"),"Telhado de cobre sistemas intermitente")</f>
        <v>Telhado de cobre sistemas intermitente</v>
      </c>
      <c r="H930" s="20" t="s">
        <v>9493</v>
      </c>
      <c r="I930" s="20" t="s">
        <v>9482</v>
      </c>
    </row>
    <row r="931" spans="1:9" ht="14.5">
      <c r="A931" s="20" t="s">
        <v>10345</v>
      </c>
      <c r="B931" s="20">
        <v>30</v>
      </c>
      <c r="C931" s="20">
        <v>60</v>
      </c>
      <c r="D931" s="20">
        <v>50</v>
      </c>
      <c r="E931" s="20">
        <v>20</v>
      </c>
      <c r="F931" s="20" t="s">
        <v>10346</v>
      </c>
      <c r="G931" s="24" t="str">
        <f ca="1">IFERROR(__xludf.DUMMYFUNCTION("GOOGLETRANSLATE(F931,""en"",""pt"")"),"sistemas atmosféricos cobre telhado")</f>
        <v>sistemas atmosféricos cobre telhado</v>
      </c>
      <c r="H931" s="24"/>
      <c r="I931" s="24"/>
    </row>
    <row r="932" spans="1:9" ht="14.5">
      <c r="A932" s="20" t="s">
        <v>10347</v>
      </c>
      <c r="B932" s="20">
        <v>30</v>
      </c>
      <c r="C932" s="20">
        <v>60</v>
      </c>
      <c r="D932" s="20">
        <v>50</v>
      </c>
      <c r="E932" s="20">
        <v>47</v>
      </c>
      <c r="F932" s="20" t="s">
        <v>10348</v>
      </c>
      <c r="G932" s="24" t="str">
        <f ca="1">IFERROR(__xludf.DUMMYFUNCTION("GOOGLETRANSLATE(F932,""en"",""pt"")"),"sistemas de telhado intermitente chumbo")</f>
        <v>sistemas de telhado intermitente chumbo</v>
      </c>
      <c r="H932" s="20" t="s">
        <v>10349</v>
      </c>
      <c r="I932" s="20" t="s">
        <v>9506</v>
      </c>
    </row>
    <row r="933" spans="1:9" ht="14.5">
      <c r="A933" s="20" t="s">
        <v>10350</v>
      </c>
      <c r="B933" s="20">
        <v>30</v>
      </c>
      <c r="C933" s="20">
        <v>60</v>
      </c>
      <c r="D933" s="20">
        <v>50</v>
      </c>
      <c r="E933" s="20">
        <v>48</v>
      </c>
      <c r="F933" s="20" t="s">
        <v>10351</v>
      </c>
      <c r="G933" s="24" t="str">
        <f ca="1">IFERROR(__xludf.DUMMYFUNCTION("GOOGLETRANSLATE(F933,""en"",""pt"")"),"sistemas atmosféricos telhado de chumbo")</f>
        <v>sistemas atmosféricos telhado de chumbo</v>
      </c>
      <c r="H933" s="24"/>
      <c r="I933" s="24"/>
    </row>
    <row r="934" spans="1:9" ht="14.5">
      <c r="A934" s="20" t="s">
        <v>10352</v>
      </c>
      <c r="B934" s="20">
        <v>30</v>
      </c>
      <c r="C934" s="20">
        <v>60</v>
      </c>
      <c r="D934" s="20">
        <v>50</v>
      </c>
      <c r="E934" s="20">
        <v>84</v>
      </c>
      <c r="F934" s="20" t="s">
        <v>10353</v>
      </c>
      <c r="G934" s="24" t="str">
        <f ca="1">IFERROR(__xludf.DUMMYFUNCTION("GOOGLETRANSLATE(F934,""en"",""pt"")"),"telhado de aço inoxidável sistemas piscando")</f>
        <v>telhado de aço inoxidável sistemas piscando</v>
      </c>
      <c r="H934" s="20" t="s">
        <v>9509</v>
      </c>
      <c r="I934" s="20" t="s">
        <v>9510</v>
      </c>
    </row>
    <row r="935" spans="1:9" ht="14.5">
      <c r="A935" s="20" t="s">
        <v>10354</v>
      </c>
      <c r="B935" s="20">
        <v>30</v>
      </c>
      <c r="C935" s="20">
        <v>60</v>
      </c>
      <c r="D935" s="20">
        <v>50</v>
      </c>
      <c r="E935" s="20">
        <v>85</v>
      </c>
      <c r="F935" s="20" t="s">
        <v>10355</v>
      </c>
      <c r="G935" s="24" t="str">
        <f ca="1">IFERROR(__xludf.DUMMYFUNCTION("GOOGLETRANSLATE(F935,""en"",""pt"")"),"sistemas de intemperismo telhado de aço inoxidável")</f>
        <v>sistemas de intemperismo telhado de aço inoxidável</v>
      </c>
      <c r="H935" s="24"/>
      <c r="I935" s="24"/>
    </row>
    <row r="936" spans="1:9" ht="14.5">
      <c r="A936" s="20" t="s">
        <v>10356</v>
      </c>
      <c r="B936" s="20">
        <v>30</v>
      </c>
      <c r="C936" s="20">
        <v>60</v>
      </c>
      <c r="D936" s="20">
        <v>50</v>
      </c>
      <c r="E936" s="20">
        <v>98</v>
      </c>
      <c r="F936" s="20" t="s">
        <v>10357</v>
      </c>
      <c r="G936" s="24" t="str">
        <f ca="1">IFERROR(__xludf.DUMMYFUNCTION("GOOGLETRANSLATE(F936,""en"",""pt"")"),"sistemas de telhado de zinco intermitente")</f>
        <v>sistemas de telhado de zinco intermitente</v>
      </c>
      <c r="H936" s="24"/>
      <c r="I936" s="24"/>
    </row>
    <row r="937" spans="1:9" ht="14.5">
      <c r="A937" s="20" t="s">
        <v>10358</v>
      </c>
      <c r="B937" s="20">
        <v>30</v>
      </c>
      <c r="C937" s="20">
        <v>60</v>
      </c>
      <c r="D937" s="20">
        <v>50</v>
      </c>
      <c r="E937" s="20">
        <v>99</v>
      </c>
      <c r="F937" s="20" t="s">
        <v>10359</v>
      </c>
      <c r="G937" s="24" t="str">
        <f ca="1">IFERROR(__xludf.DUMMYFUNCTION("GOOGLETRANSLATE(F937,""en"",""pt"")"),"sistemas atmosféricos telhado de zinco")</f>
        <v>sistemas atmosféricos telhado de zinco</v>
      </c>
      <c r="H937" s="20" t="s">
        <v>9515</v>
      </c>
      <c r="I937" s="20" t="s">
        <v>9510</v>
      </c>
    </row>
    <row r="938" spans="1:9" ht="14.5">
      <c r="A938" s="20" t="s">
        <v>10360</v>
      </c>
      <c r="B938" s="20">
        <v>30</v>
      </c>
      <c r="C938" s="20">
        <v>60</v>
      </c>
      <c r="D938" s="20">
        <v>70</v>
      </c>
      <c r="E938" s="24"/>
      <c r="F938" s="20" t="s">
        <v>10361</v>
      </c>
      <c r="G938" s="24" t="str">
        <f ca="1">IFERROR(__xludf.DUMMYFUNCTION("GOOGLETRANSLATE(F938,""en"",""pt"")"),"sistemas de traços telhado")</f>
        <v>sistemas de traços telhado</v>
      </c>
      <c r="H938" s="24"/>
      <c r="I938" s="24"/>
    </row>
    <row r="939" spans="1:9" ht="14.5">
      <c r="A939" s="20" t="s">
        <v>10362</v>
      </c>
      <c r="B939" s="20">
        <v>30</v>
      </c>
      <c r="C939" s="20">
        <v>75</v>
      </c>
      <c r="D939" s="24"/>
      <c r="E939" s="24"/>
      <c r="F939" s="20" t="s">
        <v>10363</v>
      </c>
      <c r="G939" s="24" t="str">
        <f ca="1">IFERROR(__xludf.DUMMYFUNCTION("GOOGLETRANSLATE(F939,""en"",""pt"")"),"Telhado, piso e pavimentação sistemas de drenagem")</f>
        <v>Telhado, piso e pavimentação sistemas de drenagem</v>
      </c>
      <c r="H939" s="24"/>
      <c r="I939" s="24"/>
    </row>
    <row r="940" spans="1:9" ht="14.5">
      <c r="A940" s="20" t="s">
        <v>10364</v>
      </c>
      <c r="B940" s="20">
        <v>30</v>
      </c>
      <c r="C940" s="20">
        <v>75</v>
      </c>
      <c r="D940" s="20">
        <v>40</v>
      </c>
      <c r="E940" s="24"/>
      <c r="F940" s="20" t="s">
        <v>10365</v>
      </c>
      <c r="G940" s="24" t="str">
        <f ca="1">IFERROR(__xludf.DUMMYFUNCTION("GOOGLETRANSLATE(F940,""en"",""pt"")"),"sistemas de freio e de canais")</f>
        <v>sistemas de freio e de canais</v>
      </c>
      <c r="H940" s="24"/>
      <c r="I940" s="24"/>
    </row>
    <row r="941" spans="1:9" ht="14.5">
      <c r="A941" s="20" t="s">
        <v>10366</v>
      </c>
      <c r="B941" s="20">
        <v>30</v>
      </c>
      <c r="C941" s="20">
        <v>75</v>
      </c>
      <c r="D941" s="20">
        <v>40</v>
      </c>
      <c r="E941" s="20">
        <v>30</v>
      </c>
      <c r="F941" s="20" t="s">
        <v>10367</v>
      </c>
      <c r="G941" s="24" t="str">
        <f ca="1">IFERROR(__xludf.DUMMYFUNCTION("GOOGLETRANSLATE(F941,""en"",""pt"")"),"sistemas de ralar footway")</f>
        <v>sistemas de ralar footway</v>
      </c>
      <c r="H941" s="20" t="s">
        <v>10368</v>
      </c>
      <c r="I941" s="20" t="s">
        <v>10369</v>
      </c>
    </row>
    <row r="942" spans="1:9" ht="14.5">
      <c r="A942" s="20" t="s">
        <v>10370</v>
      </c>
      <c r="B942" s="20">
        <v>30</v>
      </c>
      <c r="C942" s="20">
        <v>75</v>
      </c>
      <c r="D942" s="20">
        <v>40</v>
      </c>
      <c r="E942" s="20">
        <v>50</v>
      </c>
      <c r="F942" s="20" t="s">
        <v>10371</v>
      </c>
      <c r="G942" s="24" t="str">
        <f ca="1">IFERROR(__xludf.DUMMYFUNCTION("GOOGLETRANSLATE(F942,""en"",""pt"")"),"sistemas de canais de drenagem da superfície do equipamento multi")</f>
        <v>sistemas de canais de drenagem da superfície do equipamento multi</v>
      </c>
      <c r="H942" s="20" t="s">
        <v>10372</v>
      </c>
      <c r="I942" s="20" t="s">
        <v>10369</v>
      </c>
    </row>
    <row r="943" spans="1:9" ht="14.5">
      <c r="A943" s="20" t="s">
        <v>10373</v>
      </c>
      <c r="B943" s="20">
        <v>30</v>
      </c>
      <c r="C943" s="20">
        <v>75</v>
      </c>
      <c r="D943" s="20">
        <v>40</v>
      </c>
      <c r="E943" s="20">
        <v>75</v>
      </c>
      <c r="F943" s="20" t="s">
        <v>10374</v>
      </c>
      <c r="G943" s="24" t="str">
        <f ca="1">IFERROR(__xludf.DUMMYFUNCTION("GOOGLETRANSLATE(F943,""en"",""pt"")"),"sistemas de canais de drenagem da superfície do equipamento standard")</f>
        <v>sistemas de canais de drenagem da superfície do equipamento standard</v>
      </c>
      <c r="H943" s="20" t="s">
        <v>10375</v>
      </c>
      <c r="I943" s="20" t="s">
        <v>10369</v>
      </c>
    </row>
    <row r="944" spans="1:9" ht="14.5">
      <c r="A944" s="20" t="s">
        <v>10376</v>
      </c>
      <c r="B944" s="20">
        <v>30</v>
      </c>
      <c r="C944" s="20">
        <v>75</v>
      </c>
      <c r="D944" s="20">
        <v>45</v>
      </c>
      <c r="E944" s="24"/>
      <c r="F944" s="20" t="s">
        <v>10377</v>
      </c>
      <c r="G944" s="24" t="str">
        <f ca="1">IFERROR(__xludf.DUMMYFUNCTION("GOOGLETRANSLATE(F944,""en"",""pt"")"),"sistemas de separação de meio-fio e de trânsito")</f>
        <v>sistemas de separação de meio-fio e de trânsito</v>
      </c>
      <c r="H944" s="24"/>
      <c r="I944" s="24"/>
    </row>
    <row r="945" spans="1:9" ht="14.5">
      <c r="A945" s="20" t="s">
        <v>10378</v>
      </c>
      <c r="B945" s="20">
        <v>30</v>
      </c>
      <c r="C945" s="20">
        <v>75</v>
      </c>
      <c r="D945" s="20">
        <v>45</v>
      </c>
      <c r="E945" s="20">
        <v>3</v>
      </c>
      <c r="F945" s="20" t="s">
        <v>10379</v>
      </c>
      <c r="G945" s="24" t="str">
        <f ca="1">IFERROR(__xludf.DUMMYFUNCTION("GOOGLETRANSLATE(F945,""en"",""pt"")"),"sistemas de freio de asfalto")</f>
        <v>sistemas de freio de asfalto</v>
      </c>
      <c r="H945" s="20" t="s">
        <v>10380</v>
      </c>
      <c r="I945" s="24"/>
    </row>
    <row r="946" spans="1:9" ht="14.5">
      <c r="A946" s="20" t="s">
        <v>10381</v>
      </c>
      <c r="B946" s="20">
        <v>30</v>
      </c>
      <c r="C946" s="20">
        <v>75</v>
      </c>
      <c r="D946" s="20">
        <v>45</v>
      </c>
      <c r="E946" s="20">
        <v>15</v>
      </c>
      <c r="F946" s="20" t="s">
        <v>10382</v>
      </c>
      <c r="G946" s="24" t="str">
        <f ca="1">IFERROR(__xludf.DUMMYFUNCTION("GOOGLETRANSLATE(F946,""en"",""pt"")"),"sistemas de meio fio em concreto")</f>
        <v>sistemas de meio fio em concreto</v>
      </c>
      <c r="H946" s="20" t="s">
        <v>10383</v>
      </c>
      <c r="I946" s="24"/>
    </row>
    <row r="947" spans="1:9" ht="14.5">
      <c r="A947" s="20" t="s">
        <v>10384</v>
      </c>
      <c r="B947" s="20">
        <v>30</v>
      </c>
      <c r="C947" s="20">
        <v>75</v>
      </c>
      <c r="D947" s="20">
        <v>45</v>
      </c>
      <c r="E947" s="20">
        <v>20</v>
      </c>
      <c r="F947" s="20" t="s">
        <v>10385</v>
      </c>
      <c r="G947" s="24" t="str">
        <f ca="1">IFERROR(__xludf.DUMMYFUNCTION("GOOGLETRANSLATE(F947,""en"",""pt"")"),"sistemas de demarcação de pavimentação")</f>
        <v>sistemas de demarcação de pavimentação</v>
      </c>
      <c r="H947" s="20" t="s">
        <v>10386</v>
      </c>
      <c r="I947" s="20" t="s">
        <v>5694</v>
      </c>
    </row>
    <row r="948" spans="1:9" ht="14.5">
      <c r="A948" s="20" t="s">
        <v>10387</v>
      </c>
      <c r="B948" s="20">
        <v>30</v>
      </c>
      <c r="C948" s="20">
        <v>75</v>
      </c>
      <c r="D948" s="20">
        <v>45</v>
      </c>
      <c r="E948" s="20">
        <v>45</v>
      </c>
      <c r="F948" s="20" t="s">
        <v>10388</v>
      </c>
      <c r="G948" s="24" t="str">
        <f ca="1">IFERROR(__xludf.DUMMYFUNCTION("GOOGLETRANSLATE(F948,""en"",""pt"")"),"sistemas de freio ligeiros")</f>
        <v>sistemas de freio ligeiros</v>
      </c>
      <c r="H948" s="20" t="s">
        <v>10389</v>
      </c>
      <c r="I948" s="20" t="s">
        <v>5694</v>
      </c>
    </row>
    <row r="949" spans="1:9" ht="14.5">
      <c r="A949" s="20" t="s">
        <v>10390</v>
      </c>
      <c r="B949" s="20">
        <v>30</v>
      </c>
      <c r="C949" s="20">
        <v>75</v>
      </c>
      <c r="D949" s="20">
        <v>45</v>
      </c>
      <c r="E949" s="20">
        <v>55</v>
      </c>
      <c r="F949" s="20" t="s">
        <v>10391</v>
      </c>
      <c r="G949" s="24" t="str">
        <f ca="1">IFERROR(__xludf.DUMMYFUNCTION("GOOGLETRANSLATE(F949,""en"",""pt"")"),"sistemas de acalmia de tráfego unidade de multi")</f>
        <v>sistemas de acalmia de tráfego unidade de multi</v>
      </c>
      <c r="H949" s="20" t="s">
        <v>10392</v>
      </c>
      <c r="I949" s="20" t="s">
        <v>10393</v>
      </c>
    </row>
    <row r="950" spans="1:9" ht="14.5">
      <c r="A950" s="20" t="s">
        <v>10394</v>
      </c>
      <c r="B950" s="20">
        <v>30</v>
      </c>
      <c r="C950" s="20">
        <v>75</v>
      </c>
      <c r="D950" s="20">
        <v>45</v>
      </c>
      <c r="E950" s="20">
        <v>65</v>
      </c>
      <c r="F950" s="20" t="s">
        <v>10395</v>
      </c>
      <c r="G950" s="24" t="str">
        <f ca="1">IFERROR(__xludf.DUMMYFUNCTION("GOOGLETRANSLATE(F950,""en"",""pt"")"),"sistemas de freio pré-moldados")</f>
        <v>sistemas de freio pré-moldados</v>
      </c>
      <c r="H950" s="24"/>
      <c r="I950" s="24"/>
    </row>
    <row r="951" spans="1:9" ht="14.5">
      <c r="A951" s="20" t="s">
        <v>10396</v>
      </c>
      <c r="B951" s="20">
        <v>30</v>
      </c>
      <c r="C951" s="20">
        <v>75</v>
      </c>
      <c r="D951" s="20">
        <v>45</v>
      </c>
      <c r="E951" s="20">
        <v>80</v>
      </c>
      <c r="F951" s="20" t="s">
        <v>10397</v>
      </c>
      <c r="G951" s="24" t="str">
        <f ca="1">IFERROR(__xludf.DUMMYFUNCTION("GOOGLETRANSLATE(F951,""en"",""pt"")"),"sistemas de acalmia de tráfego única unidade")</f>
        <v>sistemas de acalmia de tráfego única unidade</v>
      </c>
      <c r="H951" s="20" t="s">
        <v>10398</v>
      </c>
      <c r="I951" s="20" t="s">
        <v>10393</v>
      </c>
    </row>
    <row r="952" spans="1:9" ht="14.5">
      <c r="A952" s="20" t="s">
        <v>10399</v>
      </c>
      <c r="B952" s="20">
        <v>30</v>
      </c>
      <c r="C952" s="20">
        <v>75</v>
      </c>
      <c r="D952" s="20">
        <v>45</v>
      </c>
      <c r="E952" s="20">
        <v>85</v>
      </c>
      <c r="F952" s="20" t="s">
        <v>10400</v>
      </c>
      <c r="G952" s="24" t="str">
        <f ca="1">IFERROR(__xludf.DUMMYFUNCTION("GOOGLETRANSLATE(F952,""en"",""pt"")"),"sistemas de freio tráfego")</f>
        <v>sistemas de freio tráfego</v>
      </c>
      <c r="H952" s="20" t="s">
        <v>10401</v>
      </c>
      <c r="I952" s="20" t="s">
        <v>5694</v>
      </c>
    </row>
    <row r="953" spans="1:9" ht="14.5">
      <c r="A953" s="20" t="s">
        <v>10402</v>
      </c>
      <c r="B953" s="20">
        <v>30</v>
      </c>
      <c r="C953" s="20">
        <v>75</v>
      </c>
      <c r="D953" s="20">
        <v>45</v>
      </c>
      <c r="E953" s="20">
        <v>86</v>
      </c>
      <c r="F953" s="20" t="s">
        <v>10403</v>
      </c>
      <c r="G953" s="24" t="str">
        <f ca="1">IFERROR(__xludf.DUMMYFUNCTION("GOOGLETRANSLATE(F953,""en"",""pt"")"),"sistemas de separação de tráfego")</f>
        <v>sistemas de separação de tráfego</v>
      </c>
      <c r="H953" s="20" t="s">
        <v>10404</v>
      </c>
      <c r="I953" s="20" t="s">
        <v>5694</v>
      </c>
    </row>
    <row r="954" spans="1:9" ht="14.5">
      <c r="A954" s="20" t="s">
        <v>10405</v>
      </c>
      <c r="B954" s="20">
        <v>30</v>
      </c>
      <c r="C954" s="20">
        <v>75</v>
      </c>
      <c r="D954" s="20">
        <v>50</v>
      </c>
      <c r="E954" s="24"/>
      <c r="F954" s="20" t="s">
        <v>10406</v>
      </c>
      <c r="G954" s="24" t="str">
        <f ca="1">IFERROR(__xludf.DUMMYFUNCTION("GOOGLETRANSLATE(F954,""en"",""pt"")"),"Os sistemas de revestimento da calha de chapa de metal")</f>
        <v>Os sistemas de revestimento da calha de chapa de metal</v>
      </c>
      <c r="H954" s="24"/>
      <c r="I954" s="24"/>
    </row>
    <row r="955" spans="1:9" ht="14.5">
      <c r="A955" s="20" t="s">
        <v>10407</v>
      </c>
      <c r="B955" s="20">
        <v>30</v>
      </c>
      <c r="C955" s="20">
        <v>75</v>
      </c>
      <c r="D955" s="20">
        <v>50</v>
      </c>
      <c r="E955" s="20">
        <v>5</v>
      </c>
      <c r="F955" s="20" t="s">
        <v>10408</v>
      </c>
      <c r="G955" s="24" t="str">
        <f ca="1">IFERROR(__xludf.DUMMYFUNCTION("GOOGLETRANSLATE(F955,""en"",""pt"")"),"sistemas de revestimento de folha de alumínio calha")</f>
        <v>sistemas de revestimento de folha de alumínio calha</v>
      </c>
      <c r="H955" s="20" t="s">
        <v>10409</v>
      </c>
      <c r="I955" s="20" t="s">
        <v>10410</v>
      </c>
    </row>
    <row r="956" spans="1:9" ht="14.5">
      <c r="A956" s="20" t="s">
        <v>10411</v>
      </c>
      <c r="B956" s="20">
        <v>30</v>
      </c>
      <c r="C956" s="20">
        <v>75</v>
      </c>
      <c r="D956" s="20">
        <v>50</v>
      </c>
      <c r="E956" s="20">
        <v>11</v>
      </c>
      <c r="F956" s="20" t="s">
        <v>10412</v>
      </c>
      <c r="G956" s="24" t="str">
        <f ca="1">IFERROR(__xludf.DUMMYFUNCTION("GOOGLETRANSLATE(F956,""en"",""pt"")"),"Os sistemas de revestimento da calha de chapa de aço de carbono")</f>
        <v>Os sistemas de revestimento da calha de chapa de aço de carbono</v>
      </c>
      <c r="H956" s="24"/>
      <c r="I956" s="24"/>
    </row>
    <row r="957" spans="1:9" ht="14.5">
      <c r="A957" s="20" t="s">
        <v>10413</v>
      </c>
      <c r="B957" s="20">
        <v>30</v>
      </c>
      <c r="C957" s="20">
        <v>75</v>
      </c>
      <c r="D957" s="20">
        <v>50</v>
      </c>
      <c r="E957" s="20">
        <v>15</v>
      </c>
      <c r="F957" s="20" t="s">
        <v>10414</v>
      </c>
      <c r="G957" s="24" t="str">
        <f ca="1">IFERROR(__xludf.DUMMYFUNCTION("GOOGLETRANSLATE(F957,""en"",""pt"")"),"Os sistemas de revestimento da calha de folha de cobre")</f>
        <v>Os sistemas de revestimento da calha de folha de cobre</v>
      </c>
      <c r="H957" s="20" t="s">
        <v>10415</v>
      </c>
      <c r="I957" s="20" t="s">
        <v>10410</v>
      </c>
    </row>
    <row r="958" spans="1:9" ht="14.5">
      <c r="A958" s="20" t="s">
        <v>10416</v>
      </c>
      <c r="B958" s="20">
        <v>30</v>
      </c>
      <c r="C958" s="20">
        <v>75</v>
      </c>
      <c r="D958" s="20">
        <v>50</v>
      </c>
      <c r="E958" s="20">
        <v>45</v>
      </c>
      <c r="F958" s="20" t="s">
        <v>10417</v>
      </c>
      <c r="G958" s="24" t="str">
        <f ca="1">IFERROR(__xludf.DUMMYFUNCTION("GOOGLETRANSLATE(F958,""en"",""pt"")"),"sistemas de revestimento de folha de chumbo calha")</f>
        <v>sistemas de revestimento de folha de chumbo calha</v>
      </c>
      <c r="H958" s="20" t="s">
        <v>10418</v>
      </c>
      <c r="I958" s="20" t="s">
        <v>10410</v>
      </c>
    </row>
    <row r="959" spans="1:9" ht="14.5">
      <c r="A959" s="20" t="s">
        <v>10419</v>
      </c>
      <c r="B959" s="20">
        <v>30</v>
      </c>
      <c r="C959" s="20">
        <v>75</v>
      </c>
      <c r="D959" s="20">
        <v>50</v>
      </c>
      <c r="E959" s="20">
        <v>75</v>
      </c>
      <c r="F959" s="20" t="s">
        <v>10420</v>
      </c>
      <c r="G959" s="24" t="str">
        <f ca="1">IFERROR(__xludf.DUMMYFUNCTION("GOOGLETRANSLATE(F959,""en"",""pt"")"),"sistemas de revestimento de folha de aço inoxidável calha")</f>
        <v>sistemas de revestimento de folha de aço inoxidável calha</v>
      </c>
      <c r="H959" s="20" t="s">
        <v>10421</v>
      </c>
      <c r="I959" s="20" t="s">
        <v>10410</v>
      </c>
    </row>
    <row r="960" spans="1:9" ht="14.5">
      <c r="A960" s="20" t="s">
        <v>10422</v>
      </c>
      <c r="B960" s="20">
        <v>30</v>
      </c>
      <c r="C960" s="20">
        <v>75</v>
      </c>
      <c r="D960" s="20">
        <v>50</v>
      </c>
      <c r="E960" s="20">
        <v>95</v>
      </c>
      <c r="F960" s="20" t="s">
        <v>10423</v>
      </c>
      <c r="G960" s="24" t="str">
        <f ca="1">IFERROR(__xludf.DUMMYFUNCTION("GOOGLETRANSLATE(F960,""en"",""pt"")"),"sistemas de revestimento de folha de zinco calha")</f>
        <v>sistemas de revestimento de folha de zinco calha</v>
      </c>
      <c r="H960" s="20" t="s">
        <v>10424</v>
      </c>
      <c r="I960" s="20" t="s">
        <v>10410</v>
      </c>
    </row>
    <row r="961" spans="1:9" ht="14.5">
      <c r="A961" s="20" t="s">
        <v>10425</v>
      </c>
      <c r="B961" s="20">
        <v>30</v>
      </c>
      <c r="C961" s="20">
        <v>95</v>
      </c>
      <c r="D961" s="24"/>
      <c r="E961" s="24"/>
      <c r="F961" s="20" t="s">
        <v>10426</v>
      </c>
      <c r="G961" s="24" t="str">
        <f ca="1">IFERROR(__xludf.DUMMYFUNCTION("GOOGLETRANSLATE(F961,""en"",""pt"")"),"telhado temporária, sistemas de pavimentação chão e")</f>
        <v>telhado temporária, sistemas de pavimentação chão e</v>
      </c>
      <c r="H961" s="24"/>
      <c r="I961" s="24"/>
    </row>
    <row r="962" spans="1:9" ht="14.5">
      <c r="A962" s="20" t="s">
        <v>10427</v>
      </c>
      <c r="B962" s="20">
        <v>32</v>
      </c>
      <c r="C962" s="24"/>
      <c r="D962" s="24"/>
      <c r="E962" s="24"/>
      <c r="F962" s="20" t="s">
        <v>10428</v>
      </c>
      <c r="G962" s="24" t="str">
        <f ca="1">IFERROR(__xludf.DUMMYFUNCTION("GOOGLETRANSLATE(F962,""en"",""pt"")"),"Damp impermeabilização, impermeabilização e sistemas de gesso de acabamento")</f>
        <v>Damp impermeabilização, impermeabilização e sistemas de gesso de acabamento</v>
      </c>
      <c r="H962" s="24"/>
      <c r="I962" s="24"/>
    </row>
    <row r="963" spans="1:9" ht="14.5">
      <c r="A963" s="20" t="s">
        <v>10429</v>
      </c>
      <c r="B963" s="20">
        <v>32</v>
      </c>
      <c r="C963" s="20">
        <v>20</v>
      </c>
      <c r="D963" s="24"/>
      <c r="E963" s="24"/>
      <c r="F963" s="20" t="s">
        <v>10430</v>
      </c>
      <c r="G963" s="24" t="str">
        <f ca="1">IFERROR(__xludf.DUMMYFUNCTION("GOOGLETRANSLATE(F963,""en"",""pt"")"),"Damp sistemas de prova")</f>
        <v>Damp sistemas de prova</v>
      </c>
      <c r="H963" s="24"/>
      <c r="I963" s="24"/>
    </row>
    <row r="964" spans="1:9" ht="14.5">
      <c r="A964" s="20" t="s">
        <v>10431</v>
      </c>
      <c r="B964" s="20">
        <v>32</v>
      </c>
      <c r="C964" s="20">
        <v>20</v>
      </c>
      <c r="D964" s="20">
        <v>20</v>
      </c>
      <c r="E964" s="24"/>
      <c r="F964" s="20" t="s">
        <v>10432</v>
      </c>
      <c r="G964" s="24" t="str">
        <f ca="1">IFERROR(__xludf.DUMMYFUNCTION("GOOGLETRANSLATE(F964,""en"",""pt"")"),"Damp sistemas de renovação de cursos e de inserção à prova")</f>
        <v>Damp sistemas de renovação de cursos e de inserção à prova</v>
      </c>
      <c r="H964" s="24"/>
      <c r="I964" s="24"/>
    </row>
    <row r="965" spans="1:9" ht="14.5">
      <c r="A965" s="20" t="s">
        <v>10433</v>
      </c>
      <c r="B965" s="20">
        <v>32</v>
      </c>
      <c r="C965" s="20">
        <v>20</v>
      </c>
      <c r="D965" s="20">
        <v>20</v>
      </c>
      <c r="E965" s="20">
        <v>15</v>
      </c>
      <c r="F965" s="20" t="s">
        <v>10434</v>
      </c>
      <c r="G965" s="24" t="str">
        <f ca="1">IFERROR(__xludf.DUMMYFUNCTION("GOOGLETRANSLATE(F965,""en"",""pt"")"),"injeção química úmida sistemas de cursos de prova")</f>
        <v>injeção química úmida sistemas de cursos de prova</v>
      </c>
      <c r="H965" s="20" t="s">
        <v>10435</v>
      </c>
      <c r="I965" s="20" t="s">
        <v>10436</v>
      </c>
    </row>
    <row r="966" spans="1:9" ht="14.5">
      <c r="A966" s="20" t="s">
        <v>10437</v>
      </c>
      <c r="B966" s="20">
        <v>32</v>
      </c>
      <c r="C966" s="20">
        <v>20</v>
      </c>
      <c r="D966" s="20">
        <v>20</v>
      </c>
      <c r="E966" s="20">
        <v>62</v>
      </c>
      <c r="F966" s="20" t="s">
        <v>10438</v>
      </c>
      <c r="G966" s="24" t="str">
        <f ca="1">IFERROR(__xludf.DUMMYFUNCTION("GOOGLETRANSLATE(F966,""en"",""pt"")"),"inserção física horizontal amortecer sistemas à prova de curso")</f>
        <v>inserção física horizontal amortecer sistemas à prova de curso</v>
      </c>
      <c r="H966" s="20" t="s">
        <v>10439</v>
      </c>
      <c r="I966" s="20" t="s">
        <v>10436</v>
      </c>
    </row>
    <row r="967" spans="1:9" ht="14.5">
      <c r="A967" s="20" t="s">
        <v>10440</v>
      </c>
      <c r="B967" s="20">
        <v>32</v>
      </c>
      <c r="C967" s="20">
        <v>20</v>
      </c>
      <c r="D967" s="20">
        <v>20</v>
      </c>
      <c r="E967" s="20">
        <v>63</v>
      </c>
      <c r="F967" s="20" t="s">
        <v>10441</v>
      </c>
      <c r="G967" s="24" t="str">
        <f ca="1">IFERROR(__xludf.DUMMYFUNCTION("GOOGLETRANSLATE(F967,""en"",""pt"")"),"horizontal inserção física ou sistemas de tabuleiros de cavidade escalonadas")</f>
        <v>horizontal inserção física ou sistemas de tabuleiros de cavidade escalonadas</v>
      </c>
      <c r="H967" s="20" t="s">
        <v>10442</v>
      </c>
      <c r="I967" s="20" t="s">
        <v>10436</v>
      </c>
    </row>
    <row r="968" spans="1:9" ht="14.5">
      <c r="A968" s="20" t="s">
        <v>10443</v>
      </c>
      <c r="B968" s="20">
        <v>32</v>
      </c>
      <c r="C968" s="20">
        <v>20</v>
      </c>
      <c r="D968" s="20">
        <v>20</v>
      </c>
      <c r="E968" s="20">
        <v>64</v>
      </c>
      <c r="F968" s="20" t="s">
        <v>10444</v>
      </c>
      <c r="G968" s="24" t="str">
        <f ca="1">IFERROR(__xludf.DUMMYFUNCTION("GOOGLETRANSLATE(F968,""en"",""pt"")"),"Física proprietária inserção humidade ascendente sistemas de reparação")</f>
        <v>Física proprietária inserção humidade ascendente sistemas de reparação</v>
      </c>
      <c r="H968" s="20" t="s">
        <v>10445</v>
      </c>
      <c r="I968" s="20" t="s">
        <v>10436</v>
      </c>
    </row>
    <row r="969" spans="1:9" ht="14.5">
      <c r="A969" s="20" t="s">
        <v>10446</v>
      </c>
      <c r="B969" s="20">
        <v>32</v>
      </c>
      <c r="C969" s="20">
        <v>20</v>
      </c>
      <c r="D969" s="20">
        <v>20</v>
      </c>
      <c r="E969" s="20">
        <v>65</v>
      </c>
      <c r="F969" s="20" t="s">
        <v>10447</v>
      </c>
      <c r="G969" s="24" t="str">
        <f ca="1">IFERROR(__xludf.DUMMYFUNCTION("GOOGLETRANSLATE(F969,""en"",""pt"")"),"sistemas à prova de humidade do curso vertical, inserção física")</f>
        <v>sistemas à prova de humidade do curso vertical, inserção física</v>
      </c>
      <c r="H969" s="20" t="s">
        <v>10448</v>
      </c>
      <c r="I969" s="20" t="s">
        <v>10436</v>
      </c>
    </row>
    <row r="970" spans="1:9" ht="14.5">
      <c r="A970" s="20" t="s">
        <v>10449</v>
      </c>
      <c r="B970" s="20">
        <v>32</v>
      </c>
      <c r="C970" s="20">
        <v>20</v>
      </c>
      <c r="D970" s="20">
        <v>30</v>
      </c>
      <c r="E970" s="24"/>
      <c r="F970" s="20" t="s">
        <v>10450</v>
      </c>
      <c r="G970" s="24" t="str">
        <f ca="1">IFERROR(__xludf.DUMMYFUNCTION("GOOGLETRANSLATE(F970,""en"",""pt"")"),"Chão úmido sistemas de impermeabilização")</f>
        <v>Chão úmido sistemas de impermeabilização</v>
      </c>
      <c r="H970" s="24"/>
      <c r="I970" s="24"/>
    </row>
    <row r="971" spans="1:9" ht="14.5">
      <c r="A971" s="20" t="s">
        <v>10451</v>
      </c>
      <c r="B971" s="20">
        <v>32</v>
      </c>
      <c r="C971" s="20">
        <v>20</v>
      </c>
      <c r="D971" s="20">
        <v>30</v>
      </c>
      <c r="E971" s="20">
        <v>10</v>
      </c>
      <c r="F971" s="20" t="s">
        <v>10452</v>
      </c>
      <c r="G971" s="24" t="str">
        <f ca="1">IFERROR(__xludf.DUMMYFUNCTION("GOOGLETRANSLATE(F971,""en"",""pt"")"),"chão lama argamassa de cimento húmidos sistemas isolantes")</f>
        <v>chão lama argamassa de cimento húmidos sistemas isolantes</v>
      </c>
      <c r="H971" s="20" t="s">
        <v>10453</v>
      </c>
      <c r="I971" s="20" t="s">
        <v>10454</v>
      </c>
    </row>
    <row r="972" spans="1:9" ht="14.5">
      <c r="A972" s="20" t="s">
        <v>10455</v>
      </c>
      <c r="B972" s="20">
        <v>32</v>
      </c>
      <c r="C972" s="20">
        <v>20</v>
      </c>
      <c r="D972" s="20">
        <v>30</v>
      </c>
      <c r="E972" s="20">
        <v>15</v>
      </c>
      <c r="F972" s="20" t="s">
        <v>10456</v>
      </c>
      <c r="G972" s="24" t="str">
        <f ca="1">IFERROR(__xludf.DUMMYFUNCTION("GOOGLETRANSLATE(F972,""en"",""pt"")"),"A frio aplicado andar líquido amortecer sistemas isolantes")</f>
        <v>A frio aplicado andar líquido amortecer sistemas isolantes</v>
      </c>
      <c r="H972" s="20" t="s">
        <v>10457</v>
      </c>
      <c r="I972" s="20" t="s">
        <v>10454</v>
      </c>
    </row>
    <row r="973" spans="1:9" ht="14.5">
      <c r="A973" s="20" t="s">
        <v>10458</v>
      </c>
      <c r="B973" s="20">
        <v>32</v>
      </c>
      <c r="C973" s="20">
        <v>20</v>
      </c>
      <c r="D973" s="20">
        <v>30</v>
      </c>
      <c r="E973" s="20">
        <v>30</v>
      </c>
      <c r="F973" s="20" t="s">
        <v>10459</v>
      </c>
      <c r="G973" s="24" t="str">
        <f ca="1">IFERROR(__xludf.DUMMYFUNCTION("GOOGLETRANSLATE(F973,""en"",""pt"")"),"Totalmente ligado betume membrana overslab amortecer sistemas de prova")</f>
        <v>Totalmente ligado betume membrana overslab amortecer sistemas de prova</v>
      </c>
      <c r="H973" s="20" t="s">
        <v>10460</v>
      </c>
      <c r="I973" s="20" t="s">
        <v>10454</v>
      </c>
    </row>
    <row r="974" spans="1:9" ht="14.5">
      <c r="A974" s="20" t="s">
        <v>10461</v>
      </c>
      <c r="B974" s="20">
        <v>32</v>
      </c>
      <c r="C974" s="20">
        <v>20</v>
      </c>
      <c r="D974" s="20">
        <v>30</v>
      </c>
      <c r="E974" s="20">
        <v>35</v>
      </c>
      <c r="F974" s="20" t="s">
        <v>10462</v>
      </c>
      <c r="G974" s="24" t="str">
        <f ca="1">IFERROR(__xludf.DUMMYFUNCTION("GOOGLETRANSLATE(F974,""en"",""pt"")"),"Totalmente ligado betume membrana underslab amortecer sistemas de prova")</f>
        <v>Totalmente ligado betume membrana underslab amortecer sistemas de prova</v>
      </c>
      <c r="H974" s="20" t="s">
        <v>10463</v>
      </c>
      <c r="I974" s="20" t="s">
        <v>10454</v>
      </c>
    </row>
    <row r="975" spans="1:9" ht="14.5">
      <c r="A975" s="20" t="s">
        <v>10464</v>
      </c>
      <c r="B975" s="20">
        <v>32</v>
      </c>
      <c r="C975" s="20">
        <v>20</v>
      </c>
      <c r="D975" s="20">
        <v>30</v>
      </c>
      <c r="E975" s="20">
        <v>40</v>
      </c>
      <c r="F975" s="20" t="s">
        <v>10465</v>
      </c>
      <c r="G975" s="24" t="str">
        <f ca="1">IFERROR(__xludf.DUMMYFUNCTION("GOOGLETRANSLATE(F975,""en"",""pt"")"),"Hot-aplicado piso líquido úmido sistemas de impermeabilização")</f>
        <v>Hot-aplicado piso líquido úmido sistemas de impermeabilização</v>
      </c>
      <c r="H975" s="20" t="s">
        <v>10466</v>
      </c>
      <c r="I975" s="20" t="s">
        <v>10454</v>
      </c>
    </row>
    <row r="976" spans="1:9" ht="14.5">
      <c r="A976" s="20" t="s">
        <v>10467</v>
      </c>
      <c r="B976" s="20">
        <v>32</v>
      </c>
      <c r="C976" s="20">
        <v>20</v>
      </c>
      <c r="D976" s="20">
        <v>30</v>
      </c>
      <c r="E976" s="20">
        <v>45</v>
      </c>
      <c r="F976" s="20" t="s">
        <v>10468</v>
      </c>
      <c r="G976" s="24" t="str">
        <f ca="1">IFERROR(__xludf.DUMMYFUNCTION("GOOGLETRANSLATE(F976,""en"",""pt"")"),"Loose-colocado betume membrana overslab úmido sistemas de prova")</f>
        <v>Loose-colocado betume membrana overslab úmido sistemas de prova</v>
      </c>
      <c r="H976" s="20" t="s">
        <v>10469</v>
      </c>
      <c r="I976" s="20" t="s">
        <v>10454</v>
      </c>
    </row>
    <row r="977" spans="1:9" ht="14.5">
      <c r="A977" s="20" t="s">
        <v>10470</v>
      </c>
      <c r="B977" s="20">
        <v>32</v>
      </c>
      <c r="C977" s="20">
        <v>20</v>
      </c>
      <c r="D977" s="20">
        <v>30</v>
      </c>
      <c r="E977" s="20">
        <v>46</v>
      </c>
      <c r="F977" s="20" t="s">
        <v>10471</v>
      </c>
      <c r="G977" s="24" t="str">
        <f ca="1">IFERROR(__xludf.DUMMYFUNCTION("GOOGLETRANSLATE(F977,""en"",""pt"")"),"Loose-colocado betume membrana underslab úmido sistemas de prova")</f>
        <v>Loose-colocado betume membrana underslab úmido sistemas de prova</v>
      </c>
      <c r="H977" s="20" t="s">
        <v>10472</v>
      </c>
      <c r="I977" s="20" t="s">
        <v>10454</v>
      </c>
    </row>
    <row r="978" spans="1:9" ht="14.5">
      <c r="A978" s="20" t="s">
        <v>10473</v>
      </c>
      <c r="B978" s="20">
        <v>32</v>
      </c>
      <c r="C978" s="20">
        <v>20</v>
      </c>
      <c r="D978" s="20">
        <v>30</v>
      </c>
      <c r="E978" s="20">
        <v>48</v>
      </c>
      <c r="F978" s="20" t="s">
        <v>10474</v>
      </c>
      <c r="G978" s="24" t="str">
        <f ca="1">IFERROR(__xludf.DUMMYFUNCTION("GOOGLETRANSLATE(F978,""en"",""pt"")"),"membrana de polietileno solta-laid oversite amortecer sistemas isolantes")</f>
        <v>membrana de polietileno solta-laid oversite amortecer sistemas isolantes</v>
      </c>
      <c r="H978" s="20" t="s">
        <v>10475</v>
      </c>
      <c r="I978" s="20" t="s">
        <v>10454</v>
      </c>
    </row>
    <row r="979" spans="1:9" ht="14.5">
      <c r="A979" s="20" t="s">
        <v>10476</v>
      </c>
      <c r="B979" s="20">
        <v>32</v>
      </c>
      <c r="C979" s="20">
        <v>20</v>
      </c>
      <c r="D979" s="20">
        <v>30</v>
      </c>
      <c r="E979" s="20">
        <v>50</v>
      </c>
      <c r="F979" s="20" t="s">
        <v>10477</v>
      </c>
      <c r="G979" s="24" t="str">
        <f ca="1">IFERROR(__xludf.DUMMYFUNCTION("GOOGLETRANSLATE(F979,""en"",""pt"")"),"membrana de polietileno solta-laid overslab amortecer sistemas isolantes")</f>
        <v>membrana de polietileno solta-laid overslab amortecer sistemas isolantes</v>
      </c>
      <c r="H979" s="20" t="s">
        <v>10478</v>
      </c>
      <c r="I979" s="20" t="s">
        <v>10454</v>
      </c>
    </row>
    <row r="980" spans="1:9" ht="14.5">
      <c r="A980" s="20" t="s">
        <v>10479</v>
      </c>
      <c r="B980" s="20">
        <v>32</v>
      </c>
      <c r="C980" s="20">
        <v>20</v>
      </c>
      <c r="D980" s="20">
        <v>30</v>
      </c>
      <c r="E980" s="20">
        <v>51</v>
      </c>
      <c r="F980" s="20" t="s">
        <v>10480</v>
      </c>
      <c r="G980" s="24" t="str">
        <f ca="1">IFERROR(__xludf.DUMMYFUNCTION("GOOGLETRANSLATE(F980,""en"",""pt"")"),"membrana de polietileno solta-laid underslab amortecer sistemas isolantes")</f>
        <v>membrana de polietileno solta-laid underslab amortecer sistemas isolantes</v>
      </c>
      <c r="H980" s="20" t="s">
        <v>10481</v>
      </c>
      <c r="I980" s="20" t="s">
        <v>10454</v>
      </c>
    </row>
    <row r="981" spans="1:9" ht="14.5">
      <c r="A981" s="20" t="s">
        <v>10482</v>
      </c>
      <c r="B981" s="20">
        <v>32</v>
      </c>
      <c r="C981" s="20">
        <v>20</v>
      </c>
      <c r="D981" s="20">
        <v>30</v>
      </c>
      <c r="E981" s="20">
        <v>55</v>
      </c>
      <c r="F981" s="20" t="s">
        <v>10483</v>
      </c>
      <c r="G981" s="24" t="str">
        <f ca="1">IFERROR(__xludf.DUMMYFUNCTION("GOOGLETRANSLATE(F981,""en"",""pt"")"),"andar asfalto Mastic úmido sistemas de impermeabilização")</f>
        <v>andar asfalto Mastic úmido sistemas de impermeabilização</v>
      </c>
      <c r="H981" s="20" t="s">
        <v>10484</v>
      </c>
      <c r="I981" s="20" t="s">
        <v>10454</v>
      </c>
    </row>
    <row r="982" spans="1:9" ht="14.5">
      <c r="A982" s="20" t="s">
        <v>10485</v>
      </c>
      <c r="B982" s="20">
        <v>32</v>
      </c>
      <c r="C982" s="20">
        <v>20</v>
      </c>
      <c r="D982" s="20">
        <v>30</v>
      </c>
      <c r="E982" s="20">
        <v>60</v>
      </c>
      <c r="F982" s="20" t="s">
        <v>10486</v>
      </c>
      <c r="G982" s="24" t="str">
        <f ca="1">IFERROR(__xludf.DUMMYFUNCTION("GOOGLETRANSLATE(F982,""en"",""pt"")"),"Plásticos andar membrana cravejado amortecer sistemas isolantes")</f>
        <v>Plásticos andar membrana cravejado amortecer sistemas isolantes</v>
      </c>
      <c r="H982" s="20" t="s">
        <v>10487</v>
      </c>
      <c r="I982" s="20" t="s">
        <v>10454</v>
      </c>
    </row>
    <row r="983" spans="1:9" ht="14.5">
      <c r="A983" s="20" t="s">
        <v>10488</v>
      </c>
      <c r="B983" s="20">
        <v>32</v>
      </c>
      <c r="C983" s="20">
        <v>20</v>
      </c>
      <c r="D983" s="20">
        <v>30</v>
      </c>
      <c r="E983" s="20">
        <v>65</v>
      </c>
      <c r="F983" s="20" t="s">
        <v>10489</v>
      </c>
      <c r="G983" s="24" t="str">
        <f ca="1">IFERROR(__xludf.DUMMYFUNCTION("GOOGLETRANSLATE(F983,""en"",""pt"")"),"ancorada membrana pré-aplicado underslab amortecer sistemas isolantes")</f>
        <v>ancorada membrana pré-aplicado underslab amortecer sistemas isolantes</v>
      </c>
      <c r="H983" s="20" t="s">
        <v>10490</v>
      </c>
      <c r="I983" s="20" t="s">
        <v>10454</v>
      </c>
    </row>
    <row r="984" spans="1:9" ht="14.5">
      <c r="A984" s="20" t="s">
        <v>10491</v>
      </c>
      <c r="B984" s="20">
        <v>32</v>
      </c>
      <c r="C984" s="20">
        <v>20</v>
      </c>
      <c r="D984" s="20">
        <v>30</v>
      </c>
      <c r="E984" s="20">
        <v>75</v>
      </c>
      <c r="F984" s="20" t="s">
        <v>10492</v>
      </c>
      <c r="G984" s="24" t="str">
        <f ca="1">IFERROR(__xludf.DUMMYFUNCTION("GOOGLETRANSLATE(F984,""en"",""pt"")"),"Auto-adesivo de betume membrana piso húmido sistemas isolantes")</f>
        <v>Auto-adesivo de betume membrana piso húmido sistemas isolantes</v>
      </c>
      <c r="H984" s="20" t="s">
        <v>10493</v>
      </c>
      <c r="I984" s="20" t="s">
        <v>10454</v>
      </c>
    </row>
    <row r="985" spans="1:9" ht="14.5">
      <c r="A985" s="20" t="s">
        <v>10494</v>
      </c>
      <c r="B985" s="20">
        <v>32</v>
      </c>
      <c r="C985" s="20">
        <v>20</v>
      </c>
      <c r="D985" s="20">
        <v>95</v>
      </c>
      <c r="E985" s="24"/>
      <c r="F985" s="20" t="s">
        <v>10495</v>
      </c>
      <c r="G985" s="24" t="str">
        <f ca="1">IFERROR(__xludf.DUMMYFUNCTION("GOOGLETRANSLATE(F985,""en"",""pt"")"),"Parede úmida sistemas de impermeabilização")</f>
        <v>Parede úmida sistemas de impermeabilização</v>
      </c>
      <c r="H985" s="24"/>
      <c r="I985" s="24"/>
    </row>
    <row r="986" spans="1:9" ht="14.5">
      <c r="A986" s="20" t="s">
        <v>10496</v>
      </c>
      <c r="B986" s="20">
        <v>32</v>
      </c>
      <c r="C986" s="20">
        <v>20</v>
      </c>
      <c r="D986" s="20">
        <v>95</v>
      </c>
      <c r="E986" s="20">
        <v>10</v>
      </c>
      <c r="F986" s="20" t="s">
        <v>10497</v>
      </c>
      <c r="G986" s="24" t="str">
        <f ca="1">IFERROR(__xludf.DUMMYFUNCTION("GOOGLETRANSLATE(F986,""en"",""pt"")"),"parede interna de cimento de argamassa lama amortecer sistemas isolantes")</f>
        <v>parede interna de cimento de argamassa lama amortecer sistemas isolantes</v>
      </c>
      <c r="H986" s="20" t="s">
        <v>10498</v>
      </c>
      <c r="I986" s="20" t="s">
        <v>10499</v>
      </c>
    </row>
    <row r="987" spans="1:9" ht="14.5">
      <c r="A987" s="20" t="s">
        <v>10500</v>
      </c>
      <c r="B987" s="20">
        <v>32</v>
      </c>
      <c r="C987" s="20">
        <v>20</v>
      </c>
      <c r="D987" s="20">
        <v>95</v>
      </c>
      <c r="E987" s="20">
        <v>15</v>
      </c>
      <c r="F987" s="20" t="s">
        <v>10501</v>
      </c>
      <c r="G987" s="24" t="str">
        <f ca="1">IFERROR(__xludf.DUMMYFUNCTION("GOOGLETRANSLATE(F987,""en"",""pt"")"),"A frio aplicada parede interna líquido amortecer sistemas isolantes")</f>
        <v>A frio aplicada parede interna líquido amortecer sistemas isolantes</v>
      </c>
      <c r="H987" s="20" t="s">
        <v>10502</v>
      </c>
      <c r="I987" s="20" t="s">
        <v>10503</v>
      </c>
    </row>
    <row r="988" spans="1:9" ht="14.5">
      <c r="A988" s="20" t="s">
        <v>10504</v>
      </c>
      <c r="B988" s="20">
        <v>32</v>
      </c>
      <c r="C988" s="20">
        <v>20</v>
      </c>
      <c r="D988" s="20">
        <v>95</v>
      </c>
      <c r="E988" s="20">
        <v>65</v>
      </c>
      <c r="F988" s="20" t="s">
        <v>10505</v>
      </c>
      <c r="G988" s="24" t="str">
        <f ca="1">IFERROR(__xludf.DUMMYFUNCTION("GOOGLETRANSLATE(F988,""en"",""pt"")"),"Plásticos membrana cravejado parede interna impermeabilização sistemas")</f>
        <v>Plásticos membrana cravejado parede interna impermeabilização sistemas</v>
      </c>
      <c r="H988" s="20" t="s">
        <v>10506</v>
      </c>
      <c r="I988" s="20" t="s">
        <v>10499</v>
      </c>
    </row>
    <row r="989" spans="1:9" ht="14.5">
      <c r="A989" s="20" t="s">
        <v>10507</v>
      </c>
      <c r="B989" s="20">
        <v>32</v>
      </c>
      <c r="C989" s="20">
        <v>46</v>
      </c>
      <c r="D989" s="24"/>
      <c r="E989" s="24"/>
      <c r="F989" s="20" t="s">
        <v>10508</v>
      </c>
      <c r="G989" s="24" t="str">
        <f ca="1">IFERROR(__xludf.DUMMYFUNCTION("GOOGLETRANSLATE(F989,""en"",""pt"")"),"sistemas de gesso ripa e")</f>
        <v>sistemas de gesso ripa e</v>
      </c>
      <c r="H989" s="24"/>
      <c r="I989" s="24"/>
    </row>
    <row r="990" spans="1:9" ht="14.5">
      <c r="A990" s="20" t="s">
        <v>10509</v>
      </c>
      <c r="B990" s="20">
        <v>32</v>
      </c>
      <c r="C990" s="20">
        <v>46</v>
      </c>
      <c r="D990" s="20">
        <v>50</v>
      </c>
      <c r="E990" s="24"/>
      <c r="F990" s="20" t="s">
        <v>10510</v>
      </c>
      <c r="G990" s="24" t="str">
        <f ca="1">IFERROR(__xludf.DUMMYFUNCTION("GOOGLETRANSLATE(F990,""en"",""pt"")"),"Metais torneamento e sistemas de reforço de malha ancorados")</f>
        <v>Metais torneamento e sistemas de reforço de malha ancorados</v>
      </c>
      <c r="H990" s="24"/>
      <c r="I990" s="24"/>
    </row>
    <row r="991" spans="1:9" ht="14.5">
      <c r="A991" s="20" t="s">
        <v>10511</v>
      </c>
      <c r="B991" s="20">
        <v>32</v>
      </c>
      <c r="C991" s="20">
        <v>46</v>
      </c>
      <c r="D991" s="20">
        <v>50</v>
      </c>
      <c r="E991" s="20">
        <v>5</v>
      </c>
      <c r="F991" s="20" t="s">
        <v>10512</v>
      </c>
      <c r="G991" s="24" t="str">
        <f ca="1">IFERROR(__xludf.DUMMYFUNCTION("GOOGLETRANSLATE(F991,""en"",""pt"")"),"Ancorada malha sistemas de reforço")</f>
        <v>Ancorada malha sistemas de reforço</v>
      </c>
      <c r="H991" s="20" t="s">
        <v>10513</v>
      </c>
      <c r="I991" s="20" t="s">
        <v>10514</v>
      </c>
    </row>
    <row r="992" spans="1:9" ht="14.5">
      <c r="A992" s="20" t="s">
        <v>10515</v>
      </c>
      <c r="B992" s="20">
        <v>32</v>
      </c>
      <c r="C992" s="20">
        <v>46</v>
      </c>
      <c r="D992" s="20">
        <v>50</v>
      </c>
      <c r="E992" s="20">
        <v>50</v>
      </c>
      <c r="F992" s="20" t="s">
        <v>10516</v>
      </c>
      <c r="G992" s="24" t="str">
        <f ca="1">IFERROR(__xludf.DUMMYFUNCTION("GOOGLETRANSLATE(F992,""en"",""pt"")"),"Metais torneamento sistemas de revestimento")</f>
        <v>Metais torneamento sistemas de revestimento</v>
      </c>
      <c r="H992" s="20" t="s">
        <v>10517</v>
      </c>
      <c r="I992" s="20" t="s">
        <v>10514</v>
      </c>
    </row>
    <row r="993" spans="1:9" ht="14.5">
      <c r="A993" s="20" t="s">
        <v>10518</v>
      </c>
      <c r="B993" s="20">
        <v>32</v>
      </c>
      <c r="C993" s="20">
        <v>46</v>
      </c>
      <c r="D993" s="20">
        <v>50</v>
      </c>
      <c r="E993" s="20">
        <v>51</v>
      </c>
      <c r="F993" s="20" t="s">
        <v>10519</v>
      </c>
      <c r="G993" s="24" t="str">
        <f ca="1">IFERROR(__xludf.DUMMYFUNCTION("GOOGLETRANSLATE(F993,""en"",""pt"")"),"Metais torneamento em sistemas de enquadramento")</f>
        <v>Metais torneamento em sistemas de enquadramento</v>
      </c>
      <c r="H993" s="20" t="s">
        <v>10520</v>
      </c>
      <c r="I993" s="20" t="s">
        <v>10514</v>
      </c>
    </row>
    <row r="994" spans="1:9" ht="14.5">
      <c r="A994" s="20" t="s">
        <v>10521</v>
      </c>
      <c r="B994" s="20">
        <v>32</v>
      </c>
      <c r="C994" s="20">
        <v>46</v>
      </c>
      <c r="D994" s="20">
        <v>50</v>
      </c>
      <c r="E994" s="20">
        <v>52</v>
      </c>
      <c r="F994" s="20" t="s">
        <v>10522</v>
      </c>
      <c r="G994" s="24" t="str">
        <f ca="1">IFERROR(__xludf.DUMMYFUNCTION("GOOGLETRANSLATE(F994,""en"",""pt"")"),"Metais torneamento em cabides, portadores e sistemas de corredores")</f>
        <v>Metais torneamento em cabides, portadores e sistemas de corredores</v>
      </c>
      <c r="H994" s="20" t="s">
        <v>10523</v>
      </c>
      <c r="I994" s="20" t="s">
        <v>10514</v>
      </c>
    </row>
    <row r="995" spans="1:9" ht="14.5">
      <c r="A995" s="20" t="s">
        <v>10524</v>
      </c>
      <c r="B995" s="20">
        <v>32</v>
      </c>
      <c r="C995" s="20">
        <v>46</v>
      </c>
      <c r="D995" s="20">
        <v>50</v>
      </c>
      <c r="E995" s="20">
        <v>53</v>
      </c>
      <c r="F995" s="20" t="s">
        <v>10525</v>
      </c>
      <c r="G995" s="24" t="str">
        <f ca="1">IFERROR(__xludf.DUMMYFUNCTION("GOOGLETRANSLATE(F995,""en"",""pt"")"),"Metal torneamento em sistemas substrato sólido")</f>
        <v>Metal torneamento em sistemas substrato sólido</v>
      </c>
      <c r="H995" s="20" t="s">
        <v>10526</v>
      </c>
      <c r="I995" s="20" t="s">
        <v>10514</v>
      </c>
    </row>
    <row r="996" spans="1:9" ht="14.5">
      <c r="A996" s="20" t="s">
        <v>10527</v>
      </c>
      <c r="B996" s="20">
        <v>32</v>
      </c>
      <c r="C996" s="20">
        <v>46</v>
      </c>
      <c r="D996" s="20">
        <v>65</v>
      </c>
      <c r="E996" s="24"/>
      <c r="F996" s="20" t="s">
        <v>10528</v>
      </c>
      <c r="G996" s="24" t="str">
        <f ca="1">IFERROR(__xludf.DUMMYFUNCTION("GOOGLETRANSLATE(F996,""en"",""pt"")"),"Os sistemas de revestimento de gesso")</f>
        <v>Os sistemas de revestimento de gesso</v>
      </c>
      <c r="H996" s="24"/>
      <c r="I996" s="24"/>
    </row>
    <row r="997" spans="1:9" ht="14.5">
      <c r="A997" s="20" t="s">
        <v>10529</v>
      </c>
      <c r="B997" s="20">
        <v>32</v>
      </c>
      <c r="C997" s="20">
        <v>46</v>
      </c>
      <c r="D997" s="20">
        <v>65</v>
      </c>
      <c r="E997" s="20">
        <v>15</v>
      </c>
      <c r="F997" s="20" t="s">
        <v>10530</v>
      </c>
      <c r="G997" s="24" t="str">
        <f ca="1">IFERROR(__xludf.DUMMYFUNCTION("GOOGLETRANSLATE(F997,""en"",""pt"")"),"sistemas de gesso argila")</f>
        <v>sistemas de gesso argila</v>
      </c>
      <c r="H997" s="20" t="s">
        <v>10531</v>
      </c>
      <c r="I997" s="20" t="s">
        <v>9062</v>
      </c>
    </row>
    <row r="998" spans="1:9" ht="14.5">
      <c r="A998" s="20" t="s">
        <v>10532</v>
      </c>
      <c r="B998" s="20">
        <v>32</v>
      </c>
      <c r="C998" s="20">
        <v>46</v>
      </c>
      <c r="D998" s="20">
        <v>65</v>
      </c>
      <c r="E998" s="20">
        <v>55</v>
      </c>
      <c r="F998" s="20" t="s">
        <v>10533</v>
      </c>
      <c r="G998" s="24" t="str">
        <f ca="1">IFERROR(__xludf.DUMMYFUNCTION("GOOGLETRANSLATE(F998,""en"",""pt"")"),"sistemas de gesso Multicoat")</f>
        <v>sistemas de gesso Multicoat</v>
      </c>
      <c r="H998" s="20" t="s">
        <v>10534</v>
      </c>
      <c r="I998" s="20" t="s">
        <v>9062</v>
      </c>
    </row>
    <row r="999" spans="1:9" ht="14.5">
      <c r="A999" s="20" t="s">
        <v>10535</v>
      </c>
      <c r="B999" s="20">
        <v>32</v>
      </c>
      <c r="C999" s="20">
        <v>46</v>
      </c>
      <c r="D999" s="20">
        <v>65</v>
      </c>
      <c r="E999" s="20">
        <v>58</v>
      </c>
      <c r="F999" s="20" t="s">
        <v>10536</v>
      </c>
      <c r="G999" s="24" t="str">
        <f ca="1">IFERROR(__xludf.DUMMYFUNCTION("GOOGLETRANSLATE(F999,""en"",""pt"")"),"Um sistemas de revestimento de gesso")</f>
        <v>Um sistemas de revestimento de gesso</v>
      </c>
      <c r="H999" s="20" t="s">
        <v>10537</v>
      </c>
      <c r="I999" s="20" t="s">
        <v>9062</v>
      </c>
    </row>
    <row r="1000" spans="1:9" ht="14.5">
      <c r="A1000" s="20" t="s">
        <v>10538</v>
      </c>
      <c r="B1000" s="20">
        <v>32</v>
      </c>
      <c r="C1000" s="20">
        <v>46</v>
      </c>
      <c r="D1000" s="20">
        <v>65</v>
      </c>
      <c r="E1000" s="20">
        <v>90</v>
      </c>
      <c r="F1000" s="20" t="s">
        <v>10539</v>
      </c>
      <c r="G1000" s="24" t="str">
        <f ca="1">IFERROR(__xludf.DUMMYFUNCTION("GOOGLETRANSLATE(F1000,""en"",""pt"")"),"sistemas de substrato gesso mosaico e ladrilhos")</f>
        <v>sistemas de substrato gesso mosaico e ladrilhos</v>
      </c>
      <c r="H1000" s="20" t="s">
        <v>10540</v>
      </c>
      <c r="I1000" s="20" t="s">
        <v>9062</v>
      </c>
    </row>
    <row r="1001" spans="1:9" ht="14.5">
      <c r="A1001" s="20" t="s">
        <v>10541</v>
      </c>
      <c r="B1001" s="20">
        <v>32</v>
      </c>
      <c r="C1001" s="20">
        <v>80</v>
      </c>
      <c r="D1001" s="24"/>
      <c r="E1001" s="24"/>
      <c r="F1001" s="20" t="s">
        <v>10542</v>
      </c>
      <c r="G1001" s="24" t="str">
        <f ca="1">IFERROR(__xludf.DUMMYFUNCTION("GOOGLETRANSLATE(F1001,""en"",""pt"")"),"Impermeabilização e tancagem sistemas")</f>
        <v>Impermeabilização e tancagem sistemas</v>
      </c>
      <c r="H1001" s="24"/>
      <c r="I1001" s="24"/>
    </row>
    <row r="1002" spans="1:9" ht="14.5">
      <c r="A1002" s="20" t="s">
        <v>10543</v>
      </c>
      <c r="B1002" s="20">
        <v>32</v>
      </c>
      <c r="C1002" s="20">
        <v>80</v>
      </c>
      <c r="D1002" s="20">
        <v>3</v>
      </c>
      <c r="E1002" s="24"/>
      <c r="F1002" s="20" t="s">
        <v>10544</v>
      </c>
      <c r="G1002" s="24" t="str">
        <f ca="1">IFERROR(__xludf.DUMMYFUNCTION("GOOGLETRANSLATE(F1002,""en"",""pt"")"),"impermeabilização aplicada e sistemas de tancagem")</f>
        <v>impermeabilização aplicada e sistemas de tancagem</v>
      </c>
      <c r="H1002" s="24"/>
      <c r="I1002" s="24"/>
    </row>
    <row r="1003" spans="1:9" ht="14.5">
      <c r="A1003" s="20" t="s">
        <v>10545</v>
      </c>
      <c r="B1003" s="20">
        <v>32</v>
      </c>
      <c r="C1003" s="20">
        <v>80</v>
      </c>
      <c r="D1003" s="20">
        <v>3</v>
      </c>
      <c r="E1003" s="20">
        <v>8</v>
      </c>
      <c r="F1003" s="20" t="s">
        <v>10546</v>
      </c>
      <c r="G1003" s="24" t="str">
        <f ca="1">IFERROR(__xludf.DUMMYFUNCTION("GOOGLETRANSLATE(F1003,""en"",""pt"")"),"Ponte líquido convés sistemas pulverizado")</f>
        <v>Ponte líquido convés sistemas pulverizado</v>
      </c>
      <c r="H1003" s="20" t="s">
        <v>10547</v>
      </c>
      <c r="I1003" s="24"/>
    </row>
    <row r="1004" spans="1:9" ht="14.5">
      <c r="A1004" s="20" t="s">
        <v>10548</v>
      </c>
      <c r="B1004" s="20">
        <v>32</v>
      </c>
      <c r="C1004" s="20">
        <v>80</v>
      </c>
      <c r="D1004" s="20">
        <v>3</v>
      </c>
      <c r="E1004" s="20">
        <v>10</v>
      </c>
      <c r="F1004" s="20" t="s">
        <v>10549</v>
      </c>
      <c r="G1004" s="24" t="str">
        <f ca="1">IFERROR(__xludf.DUMMYFUNCTION("GOOGLETRANSLATE(F1004,""en"",""pt"")"),"sistemas proprietários de cimento de argamassa de tank lamas")</f>
        <v>sistemas proprietários de cimento de argamassa de tank lamas</v>
      </c>
      <c r="H1004" s="20" t="s">
        <v>10550</v>
      </c>
      <c r="I1004" s="20" t="s">
        <v>10551</v>
      </c>
    </row>
    <row r="1005" spans="1:9" ht="14.5">
      <c r="A1005" s="20" t="s">
        <v>10552</v>
      </c>
      <c r="B1005" s="20">
        <v>32</v>
      </c>
      <c r="C1005" s="20">
        <v>80</v>
      </c>
      <c r="D1005" s="20">
        <v>3</v>
      </c>
      <c r="E1005" s="20">
        <v>12</v>
      </c>
      <c r="F1005" s="20" t="s">
        <v>10553</v>
      </c>
      <c r="G1005" s="24" t="str">
        <f ca="1">IFERROR(__xludf.DUMMYFUNCTION("GOOGLETRANSLATE(F1005,""en"",""pt"")"),"Cimento local batched-e-mistas sistemas de tank argamassa")</f>
        <v>Cimento local batched-e-mistas sistemas de tank argamassa</v>
      </c>
      <c r="H1005" s="20" t="s">
        <v>10554</v>
      </c>
      <c r="I1005" s="20" t="s">
        <v>10551</v>
      </c>
    </row>
    <row r="1006" spans="1:9" ht="14.5">
      <c r="A1006" s="20" t="s">
        <v>10555</v>
      </c>
      <c r="B1006" s="20">
        <v>32</v>
      </c>
      <c r="C1006" s="20">
        <v>80</v>
      </c>
      <c r="D1006" s="20">
        <v>3</v>
      </c>
      <c r="E1006" s="20">
        <v>14</v>
      </c>
      <c r="F1006" s="20" t="s">
        <v>10556</v>
      </c>
      <c r="G1006" s="24" t="str">
        <f ca="1">IFERROR(__xludf.DUMMYFUNCTION("GOOGLETRANSLATE(F1006,""en"",""pt"")"),"A frio aplicado sistemas de tank externos líquidos")</f>
        <v>A frio aplicado sistemas de tank externos líquidos</v>
      </c>
      <c r="H1006" s="20" t="s">
        <v>10557</v>
      </c>
      <c r="I1006" s="20" t="s">
        <v>10558</v>
      </c>
    </row>
    <row r="1007" spans="1:9" ht="14.5">
      <c r="A1007" s="20" t="s">
        <v>10559</v>
      </c>
      <c r="B1007" s="20">
        <v>32</v>
      </c>
      <c r="C1007" s="20">
        <v>80</v>
      </c>
      <c r="D1007" s="20">
        <v>3</v>
      </c>
      <c r="E1007" s="20">
        <v>16</v>
      </c>
      <c r="F1007" s="20" t="s">
        <v>10560</v>
      </c>
      <c r="G1007" s="24" t="str">
        <f ca="1">IFERROR(__xludf.DUMMYFUNCTION("GOOGLETRANSLATE(F1007,""en"",""pt"")"),"sistemas tanking ensanduichados líquido frio aplicado")</f>
        <v>sistemas tanking ensanduichados líquido frio aplicado</v>
      </c>
      <c r="H1007" s="20" t="s">
        <v>10561</v>
      </c>
      <c r="I1007" s="20" t="s">
        <v>10551</v>
      </c>
    </row>
    <row r="1008" spans="1:9" ht="14.5">
      <c r="A1008" s="20" t="s">
        <v>10562</v>
      </c>
      <c r="B1008" s="20">
        <v>32</v>
      </c>
      <c r="C1008" s="20">
        <v>80</v>
      </c>
      <c r="D1008" s="20">
        <v>3</v>
      </c>
      <c r="E1008" s="20">
        <v>18</v>
      </c>
      <c r="F1008" s="20" t="s">
        <v>10563</v>
      </c>
      <c r="G1008" s="24" t="str">
        <f ca="1">IFERROR(__xludf.DUMMYFUNCTION("GOOGLETRANSLATE(F1008,""en"",""pt"")"),"sistemas de tank seco agitação de argamassa cimentícia de cristalização-activo")</f>
        <v>sistemas de tank seco agitação de argamassa cimentícia de cristalização-activo</v>
      </c>
      <c r="H1008" s="20" t="s">
        <v>10564</v>
      </c>
      <c r="I1008" s="20" t="s">
        <v>10551</v>
      </c>
    </row>
    <row r="1009" spans="1:9" ht="14.5">
      <c r="A1009" s="20" t="s">
        <v>10565</v>
      </c>
      <c r="B1009" s="20">
        <v>32</v>
      </c>
      <c r="C1009" s="20">
        <v>80</v>
      </c>
      <c r="D1009" s="20">
        <v>3</v>
      </c>
      <c r="E1009" s="20">
        <v>20</v>
      </c>
      <c r="F1009" s="20" t="s">
        <v>10566</v>
      </c>
      <c r="G1009" s="24" t="str">
        <f ca="1">IFERROR(__xludf.DUMMYFUNCTION("GOOGLETRANSLATE(F1009,""en"",""pt"")"),"sistemas de suspensão de tank argamassa cimentícia de cristalização-activo")</f>
        <v>sistemas de suspensão de tank argamassa cimentícia de cristalização-activo</v>
      </c>
      <c r="H1009" s="20" t="s">
        <v>10567</v>
      </c>
      <c r="I1009" s="20" t="s">
        <v>10551</v>
      </c>
    </row>
    <row r="1010" spans="1:9" ht="14.5">
      <c r="A1010" s="20" t="s">
        <v>10568</v>
      </c>
      <c r="B1010" s="20">
        <v>32</v>
      </c>
      <c r="C1010" s="20">
        <v>80</v>
      </c>
      <c r="D1010" s="20">
        <v>3</v>
      </c>
      <c r="E1010" s="20">
        <v>40</v>
      </c>
      <c r="F1010" s="20" t="s">
        <v>10569</v>
      </c>
      <c r="G1010" s="24" t="str">
        <f ca="1">IFERROR(__xludf.DUMMYFUNCTION("GOOGLETRANSLATE(F1010,""en"",""pt"")"),"sistemas grouting intersticiais")</f>
        <v>sistemas grouting intersticiais</v>
      </c>
      <c r="H1010" s="20" t="s">
        <v>10570</v>
      </c>
      <c r="I1010" s="24"/>
    </row>
    <row r="1011" spans="1:9" ht="14.5">
      <c r="A1011" s="20" t="s">
        <v>10571</v>
      </c>
      <c r="B1011" s="20">
        <v>32</v>
      </c>
      <c r="C1011" s="20">
        <v>80</v>
      </c>
      <c r="D1011" s="20">
        <v>3</v>
      </c>
      <c r="E1011" s="20">
        <v>50</v>
      </c>
      <c r="F1011" s="20" t="s">
        <v>10572</v>
      </c>
      <c r="G1011" s="24" t="str">
        <f ca="1">IFERROR(__xludf.DUMMYFUNCTION("GOOGLETRANSLATE(F1011,""en"",""pt"")"),"sistemas de tank externa asfalto Mastic")</f>
        <v>sistemas de tank externa asfalto Mastic</v>
      </c>
      <c r="H1011" s="20" t="s">
        <v>10573</v>
      </c>
      <c r="I1011" s="20" t="s">
        <v>10551</v>
      </c>
    </row>
    <row r="1012" spans="1:9" ht="14.5">
      <c r="A1012" s="20" t="s">
        <v>10574</v>
      </c>
      <c r="B1012" s="20">
        <v>32</v>
      </c>
      <c r="C1012" s="20">
        <v>80</v>
      </c>
      <c r="D1012" s="20">
        <v>3</v>
      </c>
      <c r="E1012" s="20">
        <v>52</v>
      </c>
      <c r="F1012" s="20" t="s">
        <v>10575</v>
      </c>
      <c r="G1012" s="24" t="str">
        <f ca="1">IFERROR(__xludf.DUMMYFUNCTION("GOOGLETRANSLATE(F1012,""en"",""pt"")"),"sistemas de tank asfalto ensanduichada Mastic")</f>
        <v>sistemas de tank asfalto ensanduichada Mastic</v>
      </c>
      <c r="H1012" s="20" t="s">
        <v>10576</v>
      </c>
      <c r="I1012" s="20" t="s">
        <v>10551</v>
      </c>
    </row>
    <row r="1013" spans="1:9" ht="14.5">
      <c r="A1013" s="20" t="s">
        <v>10577</v>
      </c>
      <c r="B1013" s="20">
        <v>32</v>
      </c>
      <c r="C1013" s="20">
        <v>80</v>
      </c>
      <c r="D1013" s="20">
        <v>3</v>
      </c>
      <c r="E1013" s="20">
        <v>54</v>
      </c>
      <c r="F1013" s="20" t="s">
        <v>10578</v>
      </c>
      <c r="G1013" s="24" t="str">
        <f ca="1">IFERROR(__xludf.DUMMYFUNCTION("GOOGLETRANSLATE(F1013,""en"",""pt"")"),"sistemas de revestimento de tanque de asfalto de mastique")</f>
        <v>sistemas de revestimento de tanque de asfalto de mastique</v>
      </c>
      <c r="H1013" s="20" t="s">
        <v>10579</v>
      </c>
      <c r="I1013" s="20" t="s">
        <v>10580</v>
      </c>
    </row>
    <row r="1014" spans="1:9" ht="14.5">
      <c r="A1014" s="20" t="s">
        <v>10581</v>
      </c>
      <c r="B1014" s="20">
        <v>32</v>
      </c>
      <c r="C1014" s="20">
        <v>80</v>
      </c>
      <c r="D1014" s="20">
        <v>3</v>
      </c>
      <c r="E1014" s="20">
        <v>90</v>
      </c>
      <c r="F1014" s="20" t="s">
        <v>10582</v>
      </c>
      <c r="G1014" s="24" t="str">
        <f ca="1">IFERROR(__xludf.DUMMYFUNCTION("GOOGLETRANSLATE(F1014,""en"",""pt"")"),"sistemas de membrana túnel aplicado por pulverização")</f>
        <v>sistemas de membrana túnel aplicado por pulverização</v>
      </c>
      <c r="H1014" s="24"/>
      <c r="I1014" s="24"/>
    </row>
    <row r="1015" spans="1:9" ht="14.5">
      <c r="A1015" s="20" t="s">
        <v>10583</v>
      </c>
      <c r="B1015" s="20">
        <v>32</v>
      </c>
      <c r="C1015" s="20">
        <v>80</v>
      </c>
      <c r="D1015" s="20">
        <v>79</v>
      </c>
      <c r="E1015" s="24"/>
      <c r="F1015" s="20" t="s">
        <v>10584</v>
      </c>
      <c r="G1015" s="24" t="str">
        <f ca="1">IFERROR(__xludf.DUMMYFUNCTION("GOOGLETRANSLATE(F1015,""en"",""pt"")"),"impermeabilização toldo e sistemas de tancagem")</f>
        <v>impermeabilização toldo e sistemas de tancagem</v>
      </c>
      <c r="H1015" s="24"/>
      <c r="I1015" s="24"/>
    </row>
    <row r="1016" spans="1:9" ht="14.5">
      <c r="A1016" s="20" t="s">
        <v>10585</v>
      </c>
      <c r="B1016" s="20">
        <v>32</v>
      </c>
      <c r="C1016" s="20">
        <v>80</v>
      </c>
      <c r="D1016" s="20">
        <v>79</v>
      </c>
      <c r="E1016" s="20">
        <v>8</v>
      </c>
      <c r="F1016" s="20" t="s">
        <v>10586</v>
      </c>
      <c r="G1016" s="24" t="str">
        <f ca="1">IFERROR(__xludf.DUMMYFUNCTION("GOOGLETRANSLATE(F1016,""en"",""pt"")"),"sistemas de folha de tabuleiro da ponte")</f>
        <v>sistemas de folha de tabuleiro da ponte</v>
      </c>
      <c r="H1016" s="20" t="s">
        <v>10587</v>
      </c>
      <c r="I1016" s="24"/>
    </row>
    <row r="1017" spans="1:9" ht="14.5">
      <c r="A1017" s="20" t="s">
        <v>10588</v>
      </c>
      <c r="B1017" s="20">
        <v>32</v>
      </c>
      <c r="C1017" s="20">
        <v>80</v>
      </c>
      <c r="D1017" s="20">
        <v>79</v>
      </c>
      <c r="E1017" s="20">
        <v>30</v>
      </c>
      <c r="F1017" s="20" t="s">
        <v>10589</v>
      </c>
      <c r="G1017" s="24" t="str">
        <f ca="1">IFERROR(__xludf.DUMMYFUNCTION("GOOGLETRANSLATE(F1017,""en"",""pt"")"),"betume completamente unidas membrana sistemas externos de tank")</f>
        <v>betume completamente unidas membrana sistemas externos de tank</v>
      </c>
      <c r="H1017" s="20" t="s">
        <v>10590</v>
      </c>
      <c r="I1017" s="20" t="s">
        <v>10551</v>
      </c>
    </row>
    <row r="1018" spans="1:9" ht="14.5">
      <c r="A1018" s="20" t="s">
        <v>10591</v>
      </c>
      <c r="B1018" s="20">
        <v>32</v>
      </c>
      <c r="C1018" s="20">
        <v>80</v>
      </c>
      <c r="D1018" s="20">
        <v>79</v>
      </c>
      <c r="E1018" s="20">
        <v>32</v>
      </c>
      <c r="F1018" s="20" t="s">
        <v>10592</v>
      </c>
      <c r="G1018" s="24" t="str">
        <f ca="1">IFERROR(__xludf.DUMMYFUNCTION("GOOGLETRANSLATE(F1018,""en"",""pt"")"),"Totalmente ligado betume sistemas de tank membrana ensanduichada")</f>
        <v>Totalmente ligado betume sistemas de tank membrana ensanduichada</v>
      </c>
      <c r="H1018" s="20" t="s">
        <v>10593</v>
      </c>
      <c r="I1018" s="20" t="s">
        <v>10551</v>
      </c>
    </row>
    <row r="1019" spans="1:9" ht="14.5">
      <c r="A1019" s="20" t="s">
        <v>10594</v>
      </c>
      <c r="B1019" s="20">
        <v>32</v>
      </c>
      <c r="C1019" s="20">
        <v>80</v>
      </c>
      <c r="D1019" s="20">
        <v>79</v>
      </c>
      <c r="E1019" s="20">
        <v>33</v>
      </c>
      <c r="F1019" s="20" t="s">
        <v>10595</v>
      </c>
      <c r="G1019" s="24" t="str">
        <f ca="1">IFERROR(__xludf.DUMMYFUNCTION("GOOGLETRANSLATE(F1019,""en"",""pt"")"),"Totalmente ligados sistemas de impermeabilização da membrana em folha flexível")</f>
        <v>Totalmente ligados sistemas de impermeabilização da membrana em folha flexível</v>
      </c>
      <c r="H1019" s="24"/>
      <c r="I1019" s="24"/>
    </row>
    <row r="1020" spans="1:9" ht="14.5">
      <c r="A1020" s="20" t="s">
        <v>10596</v>
      </c>
      <c r="B1020" s="20">
        <v>32</v>
      </c>
      <c r="C1020" s="20">
        <v>80</v>
      </c>
      <c r="D1020" s="20">
        <v>79</v>
      </c>
      <c r="E1020" s="20">
        <v>35</v>
      </c>
      <c r="F1020" s="20" t="s">
        <v>10597</v>
      </c>
      <c r="G1020" s="24" t="str">
        <f ca="1">IFERROR(__xludf.DUMMYFUNCTION("GOOGLETRANSLATE(F1020,""en"",""pt"")"),"Os sistemas de revestimento de folha de retenção de água no solo apoiado")</f>
        <v>Os sistemas de revestimento de folha de retenção de água no solo apoiado</v>
      </c>
      <c r="H1020" s="20" t="s">
        <v>10598</v>
      </c>
      <c r="I1020" s="20" t="s">
        <v>10599</v>
      </c>
    </row>
    <row r="1021" spans="1:9" ht="14.5">
      <c r="A1021" s="20" t="s">
        <v>10600</v>
      </c>
      <c r="B1021" s="20">
        <v>32</v>
      </c>
      <c r="C1021" s="20">
        <v>80</v>
      </c>
      <c r="D1021" s="20">
        <v>79</v>
      </c>
      <c r="E1021" s="20">
        <v>36</v>
      </c>
      <c r="F1021" s="20" t="s">
        <v>10601</v>
      </c>
      <c r="G1021" s="24" t="str">
        <f ca="1">IFERROR(__xludf.DUMMYFUNCTION("GOOGLETRANSLATE(F1021,""en"",""pt"")"),"sistemas de impermeabilização da membrana de folha de plástico rígido rígidos")</f>
        <v>sistemas de impermeabilização da membrana de folha de plástico rígido rígidos</v>
      </c>
      <c r="H1021" s="20" t="s">
        <v>10602</v>
      </c>
      <c r="I1021" s="24"/>
    </row>
    <row r="1022" spans="1:9" ht="14.5">
      <c r="A1022" s="20" t="s">
        <v>10603</v>
      </c>
      <c r="B1022" s="20">
        <v>32</v>
      </c>
      <c r="C1022" s="20">
        <v>80</v>
      </c>
      <c r="D1022" s="20">
        <v>79</v>
      </c>
      <c r="E1022" s="20">
        <v>40</v>
      </c>
      <c r="F1022" s="20" t="s">
        <v>10604</v>
      </c>
      <c r="G1022" s="24" t="str">
        <f ca="1">IFERROR(__xludf.DUMMYFUNCTION("GOOGLETRANSLATE(F1022,""en"",""pt"")"),"plásticos de alta densidade cravejado dreno cavidade membrana sistemas de impermeabilização")</f>
        <v>plásticos de alta densidade cravejado dreno cavidade membrana sistemas de impermeabilização</v>
      </c>
      <c r="H1022" s="20" t="s">
        <v>10605</v>
      </c>
      <c r="I1022" s="20" t="s">
        <v>10606</v>
      </c>
    </row>
    <row r="1023" spans="1:9" ht="14.5">
      <c r="A1023" s="20" t="s">
        <v>10607</v>
      </c>
      <c r="B1023" s="20">
        <v>32</v>
      </c>
      <c r="C1023" s="20">
        <v>80</v>
      </c>
      <c r="D1023" s="20">
        <v>79</v>
      </c>
      <c r="E1023" s="20">
        <v>45</v>
      </c>
      <c r="F1023" s="20" t="s">
        <v>10608</v>
      </c>
      <c r="G1023" s="24" t="str">
        <f ca="1">IFERROR(__xludf.DUMMYFUNCTION("GOOGLETRANSLATE(F1023,""en"",""pt"")"),"Solta-laid membrana externa bentonite ou ensanduichada sistemas tanking")</f>
        <v>Solta-laid membrana externa bentonite ou ensanduichada sistemas tanking</v>
      </c>
      <c r="H1023" s="20" t="s">
        <v>10609</v>
      </c>
      <c r="I1023" s="20" t="s">
        <v>10551</v>
      </c>
    </row>
    <row r="1024" spans="1:9" ht="14.5">
      <c r="A1024" s="20" t="s">
        <v>10610</v>
      </c>
      <c r="B1024" s="20">
        <v>32</v>
      </c>
      <c r="C1024" s="20">
        <v>80</v>
      </c>
      <c r="D1024" s="20">
        <v>79</v>
      </c>
      <c r="E1024" s="20">
        <v>75</v>
      </c>
      <c r="F1024" s="20" t="s">
        <v>10611</v>
      </c>
      <c r="G1024" s="24" t="str">
        <f ca="1">IFERROR(__xludf.DUMMYFUNCTION("GOOGLETRANSLATE(F1024,""en"",""pt"")"),"Auto-adesivo de betume da membrana sistemas externos de tank")</f>
        <v>Auto-adesivo de betume da membrana sistemas externos de tank</v>
      </c>
      <c r="H1024" s="20" t="s">
        <v>10612</v>
      </c>
      <c r="I1024" s="20" t="s">
        <v>10558</v>
      </c>
    </row>
    <row r="1025" spans="1:9" ht="14.5">
      <c r="A1025" s="20" t="s">
        <v>10613</v>
      </c>
      <c r="B1025" s="20">
        <v>32</v>
      </c>
      <c r="C1025" s="20">
        <v>80</v>
      </c>
      <c r="D1025" s="20">
        <v>79</v>
      </c>
      <c r="E1025" s="20">
        <v>77</v>
      </c>
      <c r="F1025" s="20" t="s">
        <v>10614</v>
      </c>
      <c r="G1025" s="24" t="str">
        <f ca="1">IFERROR(__xludf.DUMMYFUNCTION("GOOGLETRANSLATE(F1025,""en"",""pt"")"),"Auto-adesivo ensanduichado betume Membrana sistemas de tank")</f>
        <v>Auto-adesivo ensanduichado betume Membrana sistemas de tank</v>
      </c>
      <c r="H1025" s="20" t="s">
        <v>10615</v>
      </c>
      <c r="I1025" s="20" t="s">
        <v>10558</v>
      </c>
    </row>
    <row r="1026" spans="1:9" ht="14.5">
      <c r="A1026" s="20" t="s">
        <v>10616</v>
      </c>
      <c r="B1026" s="20">
        <v>32</v>
      </c>
      <c r="C1026" s="20">
        <v>80</v>
      </c>
      <c r="D1026" s="20">
        <v>79</v>
      </c>
      <c r="E1026" s="20">
        <v>84</v>
      </c>
      <c r="F1026" s="20" t="s">
        <v>10617</v>
      </c>
      <c r="G1026" s="24" t="str">
        <f ca="1">IFERROR(__xludf.DUMMYFUNCTION("GOOGLETRANSLATE(F1026,""en"",""pt"")"),"sistemas de impermeabilização da membrana de aço")</f>
        <v>sistemas de impermeabilização da membrana de aço</v>
      </c>
      <c r="H1026" s="20" t="s">
        <v>10618</v>
      </c>
      <c r="I1026" s="24"/>
    </row>
    <row r="1027" spans="1:9" ht="14.5">
      <c r="A1027" s="20" t="s">
        <v>10619</v>
      </c>
      <c r="B1027" s="20">
        <v>32</v>
      </c>
      <c r="C1027" s="20">
        <v>80</v>
      </c>
      <c r="D1027" s="20">
        <v>79</v>
      </c>
      <c r="E1027" s="20">
        <v>85</v>
      </c>
      <c r="F1027" s="20" t="s">
        <v>10620</v>
      </c>
      <c r="G1027" s="24" t="str">
        <f ca="1">IFERROR(__xludf.DUMMYFUNCTION("GOOGLETRANSLATE(F1027,""en"",""pt"")"),"Os sistemas de revestimento de folha de retenção de água estrutura suportada")</f>
        <v>Os sistemas de revestimento de folha de retenção de água estrutura suportada</v>
      </c>
      <c r="H1027" s="20" t="s">
        <v>10621</v>
      </c>
      <c r="I1027" s="20" t="s">
        <v>9634</v>
      </c>
    </row>
    <row r="1028" spans="1:9" ht="14.5">
      <c r="A1028" s="20" t="s">
        <v>10622</v>
      </c>
      <c r="B1028" s="20">
        <v>32</v>
      </c>
      <c r="C1028" s="20">
        <v>80</v>
      </c>
      <c r="D1028" s="20">
        <v>79</v>
      </c>
      <c r="E1028" s="20">
        <v>90</v>
      </c>
      <c r="F1028" s="20" t="s">
        <v>10623</v>
      </c>
      <c r="G1028" s="24" t="str">
        <f ca="1">IFERROR(__xludf.DUMMYFUNCTION("GOOGLETRANSLATE(F1028,""en"",""pt"")"),"sistemas de membrana de folha túnel")</f>
        <v>sistemas de membrana de folha túnel</v>
      </c>
      <c r="H1028" s="24"/>
      <c r="I1028" s="24"/>
    </row>
    <row r="1029" spans="1:9" ht="14.5">
      <c r="A1029" s="20" t="s">
        <v>10624</v>
      </c>
      <c r="B1029" s="20">
        <v>32</v>
      </c>
      <c r="C1029" s="20">
        <v>80</v>
      </c>
      <c r="D1029" s="20">
        <v>79</v>
      </c>
      <c r="E1029" s="20">
        <v>92</v>
      </c>
      <c r="F1029" s="20" t="s">
        <v>10625</v>
      </c>
      <c r="G1029" s="24" t="str">
        <f ca="1">IFERROR(__xludf.DUMMYFUNCTION("GOOGLETRANSLATE(F1029,""en"",""pt"")"),"sistemas flexíveis não ligadas membrana de impermeabilização folha")</f>
        <v>sistemas flexíveis não ligadas membrana de impermeabilização folha</v>
      </c>
      <c r="H1029" s="20" t="s">
        <v>10626</v>
      </c>
      <c r="I1029" s="24"/>
    </row>
    <row r="1030" spans="1:9" ht="14.5">
      <c r="A1030" s="20" t="s">
        <v>10627</v>
      </c>
      <c r="B1030" s="20">
        <v>35</v>
      </c>
      <c r="C1030" s="24"/>
      <c r="D1030" s="24"/>
      <c r="E1030" s="24"/>
      <c r="F1030" s="20" t="s">
        <v>10628</v>
      </c>
      <c r="G1030" s="24" t="str">
        <f ca="1">IFERROR(__xludf.DUMMYFUNCTION("GOOGLETRANSLATE(F1030,""en"",""pt"")"),"Escada e sistemas de rampa")</f>
        <v>Escada e sistemas de rampa</v>
      </c>
      <c r="H1030" s="24"/>
      <c r="I1030" s="24"/>
    </row>
    <row r="1031" spans="1:9" ht="14.5">
      <c r="A1031" s="20" t="s">
        <v>10629</v>
      </c>
      <c r="B1031" s="20">
        <v>35</v>
      </c>
      <c r="C1031" s="20">
        <v>10</v>
      </c>
      <c r="D1031" s="24"/>
      <c r="E1031" s="24"/>
      <c r="F1031" s="20" t="s">
        <v>10630</v>
      </c>
      <c r="G1031" s="24" t="str">
        <f ca="1">IFERROR(__xludf.DUMMYFUNCTION("GOOGLETRANSLATE(F1031,""en"",""pt"")"),"sistemas de estrutura de rampa e escada")</f>
        <v>sistemas de estrutura de rampa e escada</v>
      </c>
      <c r="H1031" s="24"/>
      <c r="I1031" s="24"/>
    </row>
    <row r="1032" spans="1:9" ht="14.5">
      <c r="A1032" s="20" t="s">
        <v>10631</v>
      </c>
      <c r="B1032" s="20">
        <v>35</v>
      </c>
      <c r="C1032" s="20">
        <v>10</v>
      </c>
      <c r="D1032" s="20">
        <v>25</v>
      </c>
      <c r="E1032" s="24"/>
      <c r="F1032" s="20" t="s">
        <v>10632</v>
      </c>
      <c r="G1032" s="24" t="str">
        <f ca="1">IFERROR(__xludf.DUMMYFUNCTION("GOOGLETRANSLATE(F1032,""en"",""pt"")"),"sistemas de escada e rampa externa")</f>
        <v>sistemas de escada e rampa externa</v>
      </c>
      <c r="H1032" s="24"/>
      <c r="I1032" s="24"/>
    </row>
    <row r="1033" spans="1:9" ht="14.5">
      <c r="A1033" s="20" t="s">
        <v>10633</v>
      </c>
      <c r="B1033" s="20">
        <v>35</v>
      </c>
      <c r="C1033" s="20">
        <v>10</v>
      </c>
      <c r="D1033" s="20">
        <v>25</v>
      </c>
      <c r="E1033" s="20">
        <v>34</v>
      </c>
      <c r="F1033" s="20" t="s">
        <v>10634</v>
      </c>
      <c r="G1033" s="24" t="str">
        <f ca="1">IFERROR(__xludf.DUMMYFUNCTION("GOOGLETRANSLATE(F1033,""en"",""pt"")"),"sistemas de rampa externa do rolamento chão")</f>
        <v>sistemas de rampa externa do rolamento chão</v>
      </c>
      <c r="H1033" s="20" t="s">
        <v>10635</v>
      </c>
      <c r="I1033" s="24"/>
    </row>
    <row r="1034" spans="1:9" ht="14.5">
      <c r="A1034" s="20" t="s">
        <v>10636</v>
      </c>
      <c r="B1034" s="20">
        <v>35</v>
      </c>
      <c r="C1034" s="20">
        <v>10</v>
      </c>
      <c r="D1034" s="20">
        <v>25</v>
      </c>
      <c r="E1034" s="20">
        <v>35</v>
      </c>
      <c r="F1034" s="20" t="s">
        <v>10637</v>
      </c>
      <c r="G1034" s="24" t="str">
        <f ca="1">IFERROR(__xludf.DUMMYFUNCTION("GOOGLETRANSLATE(F1034,""en"",""pt"")"),"sistemas de escada externa de rolamento chão")</f>
        <v>sistemas de escada externa de rolamento chão</v>
      </c>
      <c r="H1034" s="20" t="s">
        <v>10638</v>
      </c>
      <c r="I1034" s="20" t="s">
        <v>10639</v>
      </c>
    </row>
    <row r="1035" spans="1:9" ht="14.5">
      <c r="A1035" s="20" t="s">
        <v>10640</v>
      </c>
      <c r="B1035" s="20">
        <v>35</v>
      </c>
      <c r="C1035" s="20">
        <v>10</v>
      </c>
      <c r="D1035" s="20">
        <v>25</v>
      </c>
      <c r="E1035" s="20">
        <v>83</v>
      </c>
      <c r="F1035" s="20" t="s">
        <v>10641</v>
      </c>
      <c r="G1035" s="24" t="str">
        <f ca="1">IFERROR(__xludf.DUMMYFUNCTION("GOOGLETRANSLATE(F1035,""en"",""pt"")"),"sistemas de rampa externa suspensos")</f>
        <v>sistemas de rampa externa suspensos</v>
      </c>
      <c r="H1035" s="24"/>
      <c r="I1035" s="24"/>
    </row>
    <row r="1036" spans="1:9" ht="14.5">
      <c r="A1036" s="20" t="s">
        <v>10642</v>
      </c>
      <c r="B1036" s="20">
        <v>35</v>
      </c>
      <c r="C1036" s="20">
        <v>10</v>
      </c>
      <c r="D1036" s="20">
        <v>25</v>
      </c>
      <c r="E1036" s="20">
        <v>85</v>
      </c>
      <c r="F1036" s="20" t="s">
        <v>10643</v>
      </c>
      <c r="G1036" s="24" t="str">
        <f ca="1">IFERROR(__xludf.DUMMYFUNCTION("GOOGLETRANSLATE(F1036,""en"",""pt"")"),"sistemas de escadas externas suspensas")</f>
        <v>sistemas de escadas externas suspensas</v>
      </c>
      <c r="H1036" s="24"/>
      <c r="I1036" s="24"/>
    </row>
    <row r="1037" spans="1:9" ht="14.5">
      <c r="A1037" s="20" t="s">
        <v>10644</v>
      </c>
      <c r="B1037" s="20">
        <v>35</v>
      </c>
      <c r="C1037" s="20">
        <v>10</v>
      </c>
      <c r="D1037" s="20">
        <v>30</v>
      </c>
      <c r="E1037" s="24"/>
      <c r="F1037" s="20" t="s">
        <v>10645</v>
      </c>
      <c r="G1037" s="24" t="str">
        <f ca="1">IFERROR(__xludf.DUMMYFUNCTION("GOOGLETRANSLATE(F1037,""en"",""pt"")"),"sistemas de acesso utilitários fixos")</f>
        <v>sistemas de acesso utilitários fixos</v>
      </c>
      <c r="H1037" s="24"/>
      <c r="I1037" s="24"/>
    </row>
    <row r="1038" spans="1:9" ht="14.5">
      <c r="A1038" s="20" t="s">
        <v>10646</v>
      </c>
      <c r="B1038" s="20">
        <v>35</v>
      </c>
      <c r="C1038" s="20">
        <v>10</v>
      </c>
      <c r="D1038" s="20">
        <v>30</v>
      </c>
      <c r="E1038" s="20">
        <v>15</v>
      </c>
      <c r="F1038" s="20" t="s">
        <v>10647</v>
      </c>
      <c r="G1038" s="24" t="str">
        <f ca="1">IFERROR(__xludf.DUMMYFUNCTION("GOOGLETRANSLATE(F1038,""en"",""pt"")"),"sistemas de escada escada")</f>
        <v>sistemas de escada escada</v>
      </c>
      <c r="H1038" s="20" t="s">
        <v>10648</v>
      </c>
      <c r="I1038" s="20" t="s">
        <v>10649</v>
      </c>
    </row>
    <row r="1039" spans="1:9" ht="14.5">
      <c r="A1039" s="20" t="s">
        <v>10650</v>
      </c>
      <c r="B1039" s="20">
        <v>35</v>
      </c>
      <c r="C1039" s="20">
        <v>10</v>
      </c>
      <c r="D1039" s="20">
        <v>30</v>
      </c>
      <c r="E1039" s="20">
        <v>40</v>
      </c>
      <c r="F1039" s="20" t="s">
        <v>10651</v>
      </c>
      <c r="G1039" s="24" t="str">
        <f ca="1">IFERROR(__xludf.DUMMYFUNCTION("GOOGLETRANSLATE(F1039,""en"",""pt"")"),"sistemas de escada industriais")</f>
        <v>sistemas de escada industriais</v>
      </c>
      <c r="H1039" s="20" t="s">
        <v>10652</v>
      </c>
      <c r="I1039" s="20" t="s">
        <v>10653</v>
      </c>
    </row>
    <row r="1040" spans="1:9" ht="14.5">
      <c r="A1040" s="20" t="s">
        <v>10654</v>
      </c>
      <c r="B1040" s="20">
        <v>35</v>
      </c>
      <c r="C1040" s="20">
        <v>10</v>
      </c>
      <c r="D1040" s="20">
        <v>30</v>
      </c>
      <c r="E1040" s="20">
        <v>60</v>
      </c>
      <c r="F1040" s="20" t="s">
        <v>10655</v>
      </c>
      <c r="G1040" s="24" t="str">
        <f ca="1">IFERROR(__xludf.DUMMYFUNCTION("GOOGLETRANSLATE(F1040,""en"",""pt"")"),"sistemas de escada telhado permanentemente fixo-")</f>
        <v>sistemas de escada telhado permanentemente fixo-</v>
      </c>
      <c r="H1040" s="20" t="s">
        <v>10656</v>
      </c>
      <c r="I1040" s="20" t="s">
        <v>10649</v>
      </c>
    </row>
    <row r="1041" spans="1:9" ht="14.5">
      <c r="A1041" s="20" t="s">
        <v>10657</v>
      </c>
      <c r="B1041" s="20">
        <v>35</v>
      </c>
      <c r="C1041" s="20">
        <v>10</v>
      </c>
      <c r="D1041" s="20">
        <v>30</v>
      </c>
      <c r="E1041" s="20">
        <v>62</v>
      </c>
      <c r="F1041" s="20" t="s">
        <v>10658</v>
      </c>
      <c r="G1041" s="24" t="str">
        <f ca="1">IFERROR(__xludf.DUMMYFUNCTION("GOOGLETRANSLATE(F1041,""en"",""pt"")"),"-Permanentemente fixo sistemas de escada verticais")</f>
        <v>-Permanentemente fixo sistemas de escada verticais</v>
      </c>
      <c r="H1041" s="20" t="s">
        <v>10659</v>
      </c>
      <c r="I1041" s="20" t="s">
        <v>10649</v>
      </c>
    </row>
    <row r="1042" spans="1:9" ht="14.5">
      <c r="A1042" s="20" t="s">
        <v>10660</v>
      </c>
      <c r="B1042" s="20">
        <v>35</v>
      </c>
      <c r="C1042" s="20">
        <v>10</v>
      </c>
      <c r="D1042" s="20">
        <v>30</v>
      </c>
      <c r="E1042" s="20">
        <v>95</v>
      </c>
      <c r="F1042" s="20" t="s">
        <v>10661</v>
      </c>
      <c r="G1042" s="24" t="str">
        <f ca="1">IFERROR(__xludf.DUMMYFUNCTION("GOOGLETRANSLATE(F1042,""en"",""pt"")"),"Trabalhando sistemas da plataforma e passarela")</f>
        <v>Trabalhando sistemas da plataforma e passarela</v>
      </c>
      <c r="H1042" s="20" t="s">
        <v>10662</v>
      </c>
      <c r="I1042" s="20" t="s">
        <v>10663</v>
      </c>
    </row>
    <row r="1043" spans="1:9" ht="14.5">
      <c r="A1043" s="20" t="s">
        <v>10664</v>
      </c>
      <c r="B1043" s="20">
        <v>35</v>
      </c>
      <c r="C1043" s="20">
        <v>10</v>
      </c>
      <c r="D1043" s="20">
        <v>40</v>
      </c>
      <c r="E1043" s="24"/>
      <c r="F1043" s="20" t="s">
        <v>10665</v>
      </c>
      <c r="G1043" s="24" t="str">
        <f ca="1">IFERROR(__xludf.DUMMYFUNCTION("GOOGLETRANSLATE(F1043,""en"",""pt"")"),"escada interna e sistemas de rampa")</f>
        <v>escada interna e sistemas de rampa</v>
      </c>
      <c r="H1043" s="24"/>
      <c r="I1043" s="24"/>
    </row>
    <row r="1044" spans="1:9" ht="14.5">
      <c r="A1044" s="20" t="s">
        <v>10666</v>
      </c>
      <c r="B1044" s="20">
        <v>35</v>
      </c>
      <c r="C1044" s="20">
        <v>10</v>
      </c>
      <c r="D1044" s="20">
        <v>40</v>
      </c>
      <c r="E1044" s="20">
        <v>20</v>
      </c>
      <c r="F1044" s="20" t="s">
        <v>10667</v>
      </c>
      <c r="G1044" s="24" t="str">
        <f ca="1">IFERROR(__xludf.DUMMYFUNCTION("GOOGLETRANSLATE(F1044,""en"",""pt"")"),"sistemas de escada internas curvadas")</f>
        <v>sistemas de escada internas curvadas</v>
      </c>
      <c r="H1044" s="20" t="s">
        <v>10668</v>
      </c>
      <c r="I1044" s="20" t="s">
        <v>10669</v>
      </c>
    </row>
    <row r="1045" spans="1:9" ht="14.5">
      <c r="A1045" s="20" t="s">
        <v>10670</v>
      </c>
      <c r="B1045" s="20">
        <v>35</v>
      </c>
      <c r="C1045" s="20">
        <v>10</v>
      </c>
      <c r="D1045" s="20">
        <v>40</v>
      </c>
      <c r="E1045" s="20">
        <v>40</v>
      </c>
      <c r="F1045" s="20" t="s">
        <v>10671</v>
      </c>
      <c r="G1045" s="24" t="str">
        <f ca="1">IFERROR(__xludf.DUMMYFUNCTION("GOOGLETRANSLATE(F1045,""en"",""pt"")"),"sistemas de rampa interna")</f>
        <v>sistemas de rampa interna</v>
      </c>
      <c r="H1045" s="20" t="s">
        <v>10672</v>
      </c>
      <c r="I1045" s="20" t="s">
        <v>10669</v>
      </c>
    </row>
    <row r="1046" spans="1:9" ht="14.5">
      <c r="A1046" s="20" t="s">
        <v>10673</v>
      </c>
      <c r="B1046" s="20">
        <v>35</v>
      </c>
      <c r="C1046" s="20">
        <v>10</v>
      </c>
      <c r="D1046" s="20">
        <v>40</v>
      </c>
      <c r="E1046" s="20">
        <v>42</v>
      </c>
      <c r="F1046" s="20" t="s">
        <v>10674</v>
      </c>
      <c r="G1046" s="24" t="str">
        <f ca="1">IFERROR(__xludf.DUMMYFUNCTION("GOOGLETRANSLATE(F1046,""en"",""pt"")"),"sistemas de escada interna")</f>
        <v>sistemas de escada interna</v>
      </c>
      <c r="H1046" s="20" t="s">
        <v>10675</v>
      </c>
      <c r="I1046" s="20" t="s">
        <v>10669</v>
      </c>
    </row>
    <row r="1047" spans="1:9" ht="14.5">
      <c r="A1047" s="20" t="s">
        <v>10676</v>
      </c>
      <c r="B1047" s="20">
        <v>35</v>
      </c>
      <c r="C1047" s="20">
        <v>10</v>
      </c>
      <c r="D1047" s="20">
        <v>40</v>
      </c>
      <c r="E1047" s="20">
        <v>84</v>
      </c>
      <c r="F1047" s="20" t="s">
        <v>10677</v>
      </c>
      <c r="G1047" s="24" t="str">
        <f ca="1">IFERROR(__xludf.DUMMYFUNCTION("GOOGLETRANSLATE(F1047,""en"",""pt"")"),"sistemas de escada internas rectas")</f>
        <v>sistemas de escada internas rectas</v>
      </c>
      <c r="H1047" s="20" t="s">
        <v>10678</v>
      </c>
      <c r="I1047" s="20" t="s">
        <v>10669</v>
      </c>
    </row>
    <row r="1048" spans="1:9" ht="14.5">
      <c r="A1048" s="20" t="s">
        <v>10679</v>
      </c>
      <c r="B1048" s="20">
        <v>35</v>
      </c>
      <c r="C1048" s="20">
        <v>10</v>
      </c>
      <c r="D1048" s="20">
        <v>50</v>
      </c>
      <c r="E1048" s="24"/>
      <c r="F1048" s="20" t="s">
        <v>10680</v>
      </c>
      <c r="G1048" s="24" t="str">
        <f ca="1">IFERROR(__xludf.DUMMYFUNCTION("GOOGLETRANSLATE(F1048,""en"",""pt"")"),"sistemas de rampa orla marinho e")</f>
        <v>sistemas de rampa orla marinho e</v>
      </c>
      <c r="H1048" s="24"/>
      <c r="I1048" s="24"/>
    </row>
    <row r="1049" spans="1:9" ht="14.5">
      <c r="A1049" s="20" t="s">
        <v>10681</v>
      </c>
      <c r="B1049" s="20">
        <v>35</v>
      </c>
      <c r="C1049" s="20">
        <v>10</v>
      </c>
      <c r="D1049" s="20">
        <v>50</v>
      </c>
      <c r="E1049" s="20">
        <v>29</v>
      </c>
      <c r="F1049" s="20" t="s">
        <v>10682</v>
      </c>
      <c r="G1049" s="24" t="str">
        <f ca="1">IFERROR(__xludf.DUMMYFUNCTION("GOOGLETRANSLATE(F1049,""en"",""pt"")"),"sistemas de rampa fixos")</f>
        <v>sistemas de rampa fixos</v>
      </c>
      <c r="H1049" s="24"/>
      <c r="I1049" s="24"/>
    </row>
    <row r="1050" spans="1:9" ht="14.5">
      <c r="A1050" s="20" t="s">
        <v>10683</v>
      </c>
      <c r="B1050" s="20">
        <v>35</v>
      </c>
      <c r="C1050" s="20">
        <v>10</v>
      </c>
      <c r="D1050" s="20">
        <v>50</v>
      </c>
      <c r="E1050" s="20">
        <v>31</v>
      </c>
      <c r="F1050" s="20" t="s">
        <v>10684</v>
      </c>
      <c r="G1050" s="24" t="str">
        <f ca="1">IFERROR(__xludf.DUMMYFUNCTION("GOOGLETRANSLATE(F1050,""en"",""pt"")"),"Sistemas flutuantes de rampa pontão")</f>
        <v>Sistemas flutuantes de rampa pontão</v>
      </c>
      <c r="H1050" s="24"/>
      <c r="I1050" s="24"/>
    </row>
    <row r="1051" spans="1:9" ht="14.5">
      <c r="A1051" s="20" t="s">
        <v>10685</v>
      </c>
      <c r="B1051" s="20">
        <v>35</v>
      </c>
      <c r="C1051" s="20">
        <v>10</v>
      </c>
      <c r="D1051" s="20">
        <v>50</v>
      </c>
      <c r="E1051" s="20">
        <v>42</v>
      </c>
      <c r="F1051" s="20" t="s">
        <v>10686</v>
      </c>
      <c r="G1051" s="24" t="str">
        <f ca="1">IFERROR(__xludf.DUMMYFUNCTION("GOOGLETRANSLATE(F1051,""en"",""pt"")"),"sistemas de rampa pontão integrante")</f>
        <v>sistemas de rampa pontão integrante</v>
      </c>
      <c r="H1051" s="24"/>
      <c r="I1051" s="24"/>
    </row>
    <row r="1052" spans="1:9" ht="14.5">
      <c r="A1052" s="20" t="s">
        <v>10687</v>
      </c>
      <c r="B1052" s="20">
        <v>35</v>
      </c>
      <c r="C1052" s="20">
        <v>10</v>
      </c>
      <c r="D1052" s="20">
        <v>85</v>
      </c>
      <c r="E1052" s="24"/>
      <c r="F1052" s="20" t="s">
        <v>10688</v>
      </c>
      <c r="G1052" s="24" t="str">
        <f ca="1">IFERROR(__xludf.DUMMYFUNCTION("GOOGLETRANSLATE(F1052,""en"",""pt"")"),"escada estrutural e sistemas de rampa")</f>
        <v>escada estrutural e sistemas de rampa</v>
      </c>
      <c r="H1052" s="24"/>
      <c r="I1052" s="24"/>
    </row>
    <row r="1053" spans="1:9" ht="14.5">
      <c r="A1053" s="20" t="s">
        <v>10689</v>
      </c>
      <c r="B1053" s="20">
        <v>35</v>
      </c>
      <c r="C1053" s="20">
        <v>10</v>
      </c>
      <c r="D1053" s="20">
        <v>85</v>
      </c>
      <c r="E1053" s="20">
        <v>15</v>
      </c>
      <c r="F1053" s="20" t="s">
        <v>10690</v>
      </c>
      <c r="G1053" s="24" t="str">
        <f ca="1">IFERROR(__xludf.DUMMYFUNCTION("GOOGLETRANSLATE(F1053,""en"",""pt"")"),"Betão sistemas de escada ou de rampa")</f>
        <v>Betão sistemas de escada ou de rampa</v>
      </c>
      <c r="H1053" s="20" t="s">
        <v>10691</v>
      </c>
      <c r="I1053" s="20" t="s">
        <v>10669</v>
      </c>
    </row>
    <row r="1054" spans="1:9" ht="14.5">
      <c r="A1054" s="20" t="s">
        <v>10692</v>
      </c>
      <c r="B1054" s="20">
        <v>35</v>
      </c>
      <c r="C1054" s="20">
        <v>10</v>
      </c>
      <c r="D1054" s="20">
        <v>85</v>
      </c>
      <c r="E1054" s="20">
        <v>35</v>
      </c>
      <c r="F1054" s="20" t="s">
        <v>10693</v>
      </c>
      <c r="G1054" s="24" t="str">
        <f ca="1">IFERROR(__xludf.DUMMYFUNCTION("GOOGLETRANSLATE(F1054,""en"",""pt"")"),"sistemas de escada de aço pesado ou rampa")</f>
        <v>sistemas de escada de aço pesado ou rampa</v>
      </c>
      <c r="H1054" s="20" t="s">
        <v>10694</v>
      </c>
      <c r="I1054" s="20" t="s">
        <v>10669</v>
      </c>
    </row>
    <row r="1055" spans="1:9" ht="14.5">
      <c r="A1055" s="20" t="s">
        <v>10695</v>
      </c>
      <c r="B1055" s="20">
        <v>35</v>
      </c>
      <c r="C1055" s="20">
        <v>10</v>
      </c>
      <c r="D1055" s="20">
        <v>85</v>
      </c>
      <c r="E1055" s="20">
        <v>65</v>
      </c>
      <c r="F1055" s="20" t="s">
        <v>10696</v>
      </c>
      <c r="G1055" s="24" t="str">
        <f ca="1">IFERROR(__xludf.DUMMYFUNCTION("GOOGLETRANSLATE(F1055,""en"",""pt"")"),"sistemas de escada de betão pré-moldado ou rampa")</f>
        <v>sistemas de escada de betão pré-moldado ou rampa</v>
      </c>
      <c r="H1055" s="20" t="s">
        <v>10697</v>
      </c>
      <c r="I1055" s="20" t="s">
        <v>10669</v>
      </c>
    </row>
    <row r="1056" spans="1:9" ht="14.5">
      <c r="A1056" s="20" t="s">
        <v>10698</v>
      </c>
      <c r="B1056" s="20">
        <v>35</v>
      </c>
      <c r="C1056" s="20">
        <v>10</v>
      </c>
      <c r="D1056" s="20">
        <v>85</v>
      </c>
      <c r="E1056" s="20">
        <v>90</v>
      </c>
      <c r="F1056" s="20" t="s">
        <v>10699</v>
      </c>
      <c r="G1056" s="24" t="str">
        <f ca="1">IFERROR(__xludf.DUMMYFUNCTION("GOOGLETRANSLATE(F1056,""en"",""pt"")"),"sistemas de escada ou de rampa madeira")</f>
        <v>sistemas de escada ou de rampa madeira</v>
      </c>
      <c r="H1056" s="20" t="s">
        <v>10700</v>
      </c>
      <c r="I1056" s="20" t="s">
        <v>10669</v>
      </c>
    </row>
    <row r="1057" spans="1:9" ht="14.5">
      <c r="A1057" s="20" t="s">
        <v>10701</v>
      </c>
      <c r="B1057" s="20">
        <v>35</v>
      </c>
      <c r="C1057" s="20">
        <v>30</v>
      </c>
      <c r="D1057" s="24"/>
      <c r="E1057" s="24"/>
      <c r="F1057" s="20" t="s">
        <v>10702</v>
      </c>
      <c r="G1057" s="24" t="str">
        <f ca="1">IFERROR(__xludf.DUMMYFUNCTION("GOOGLETRANSLATE(F1057,""en"",""pt"")"),"sistemas de abertura e de rampa de escada")</f>
        <v>sistemas de abertura e de rampa de escada</v>
      </c>
      <c r="H1057" s="24"/>
      <c r="I1057" s="24"/>
    </row>
    <row r="1058" spans="1:9" ht="14.5">
      <c r="A1058" s="20" t="s">
        <v>10703</v>
      </c>
      <c r="B1058" s="20">
        <v>35</v>
      </c>
      <c r="C1058" s="20">
        <v>30</v>
      </c>
      <c r="D1058" s="20">
        <v>15</v>
      </c>
      <c r="E1058" s="24"/>
      <c r="F1058" s="20" t="s">
        <v>10704</v>
      </c>
      <c r="G1058" s="24" t="str">
        <f ca="1">IFERROR(__xludf.DUMMYFUNCTION("GOOGLETRANSLATE(F1058,""en"",""pt"")"),"sistemas de rampa vidraças escada concreto e")</f>
        <v>sistemas de rampa vidraças escada concreto e</v>
      </c>
      <c r="H1058" s="24"/>
      <c r="I1058" s="24"/>
    </row>
    <row r="1059" spans="1:9" ht="14.5">
      <c r="A1059" s="20" t="s">
        <v>10705</v>
      </c>
      <c r="B1059" s="20">
        <v>35</v>
      </c>
      <c r="C1059" s="20">
        <v>30</v>
      </c>
      <c r="D1059" s="20">
        <v>15</v>
      </c>
      <c r="E1059" s="20">
        <v>15</v>
      </c>
      <c r="F1059" s="20" t="s">
        <v>10706</v>
      </c>
      <c r="G1059" s="24" t="str">
        <f ca="1">IFERROR(__xludf.DUMMYFUNCTION("GOOGLETRANSLATE(F1059,""en"",""pt"")"),"Concreto escada piso sistemas de vitrificação")</f>
        <v>Concreto escada piso sistemas de vitrificação</v>
      </c>
      <c r="H1059" s="20" t="s">
        <v>10707</v>
      </c>
      <c r="I1059" s="20" t="s">
        <v>10708</v>
      </c>
    </row>
    <row r="1060" spans="1:9" ht="14.5">
      <c r="A1060" s="20" t="s">
        <v>10709</v>
      </c>
      <c r="B1060" s="20">
        <v>35</v>
      </c>
      <c r="C1060" s="20">
        <v>40</v>
      </c>
      <c r="D1060" s="24"/>
      <c r="E1060" s="24"/>
      <c r="F1060" s="20" t="s">
        <v>10710</v>
      </c>
      <c r="G1060" s="24" t="str">
        <f ca="1">IFERROR(__xludf.DUMMYFUNCTION("GOOGLETRANSLATE(F1060,""en"",""pt"")"),"Escada e rampa cobrindo e sistemas de acabamento")</f>
        <v>Escada e rampa cobrindo e sistemas de acabamento</v>
      </c>
      <c r="H1060" s="24"/>
      <c r="I1060" s="24"/>
    </row>
    <row r="1061" spans="1:9" ht="14.5">
      <c r="A1061" s="20" t="s">
        <v>10711</v>
      </c>
      <c r="B1061" s="20">
        <v>35</v>
      </c>
      <c r="C1061" s="20">
        <v>40</v>
      </c>
      <c r="D1061" s="20">
        <v>82</v>
      </c>
      <c r="E1061" s="24"/>
      <c r="F1061" s="20" t="s">
        <v>10712</v>
      </c>
      <c r="G1061" s="24" t="str">
        <f ca="1">IFERROR(__xludf.DUMMYFUNCTION("GOOGLETRANSLATE(F1061,""en"",""pt"")"),"sistemas de carpetes de escada")</f>
        <v>sistemas de carpetes de escada</v>
      </c>
      <c r="H1061" s="24"/>
      <c r="I1061" s="24"/>
    </row>
    <row r="1062" spans="1:9" ht="14.5">
      <c r="A1062" s="20" t="s">
        <v>10713</v>
      </c>
      <c r="B1062" s="20">
        <v>35</v>
      </c>
      <c r="C1062" s="20">
        <v>40</v>
      </c>
      <c r="D1062" s="20">
        <v>82</v>
      </c>
      <c r="E1062" s="20">
        <v>5</v>
      </c>
      <c r="F1062" s="20" t="s">
        <v>10714</v>
      </c>
      <c r="G1062" s="24" t="str">
        <f ca="1">IFERROR(__xludf.DUMMYFUNCTION("GOOGLETRANSLATE(F1062,""en"",""pt"")"),"sistemas de carpetes de escada adesivas fixas")</f>
        <v>sistemas de carpetes de escada adesivas fixas</v>
      </c>
      <c r="H1062" s="20" t="s">
        <v>10715</v>
      </c>
      <c r="I1062" s="20" t="s">
        <v>10716</v>
      </c>
    </row>
    <row r="1063" spans="1:9" ht="14.5">
      <c r="A1063" s="20" t="s">
        <v>10717</v>
      </c>
      <c r="B1063" s="20">
        <v>35</v>
      </c>
      <c r="C1063" s="20">
        <v>95</v>
      </c>
      <c r="D1063" s="24"/>
      <c r="E1063" s="24"/>
      <c r="F1063" s="20" t="s">
        <v>10718</v>
      </c>
      <c r="G1063" s="24" t="str">
        <f ca="1">IFERROR(__xludf.DUMMYFUNCTION("GOOGLETRANSLATE(F1063,""en"",""pt"")"),"sistemas de escada e rampa temporários")</f>
        <v>sistemas de escada e rampa temporários</v>
      </c>
      <c r="H1063" s="24"/>
      <c r="I1063" s="24"/>
    </row>
    <row r="1064" spans="1:9" ht="14.5">
      <c r="A1064" s="20" t="s">
        <v>10719</v>
      </c>
      <c r="B1064" s="20">
        <v>37</v>
      </c>
      <c r="C1064" s="24"/>
      <c r="D1064" s="24"/>
      <c r="E1064" s="24"/>
      <c r="F1064" s="20" t="s">
        <v>10720</v>
      </c>
      <c r="G1064" s="24" t="str">
        <f ca="1">IFERROR(__xludf.DUMMYFUNCTION("GOOGLETRANSLATE(F1064,""en"",""pt"")"),"sistemas de torres de túnel, o eixo, e vaso")</f>
        <v>sistemas de torres de túnel, o eixo, e vaso</v>
      </c>
      <c r="H1064" s="24"/>
      <c r="I1064" s="24"/>
    </row>
    <row r="1065" spans="1:9" ht="14.5">
      <c r="A1065" s="20" t="s">
        <v>10721</v>
      </c>
      <c r="B1065" s="20">
        <v>37</v>
      </c>
      <c r="C1065" s="20">
        <v>14</v>
      </c>
      <c r="D1065" s="24"/>
      <c r="E1065" s="24"/>
      <c r="F1065" s="20" t="s">
        <v>10722</v>
      </c>
      <c r="G1065" s="24" t="str">
        <f ca="1">IFERROR(__xludf.DUMMYFUNCTION("GOOGLETRANSLATE(F1065,""en"",""pt"")"),"sistemas Chute")</f>
        <v>sistemas Chute</v>
      </c>
      <c r="H1065" s="24"/>
      <c r="I1065" s="24"/>
    </row>
    <row r="1066" spans="1:9" ht="14.5">
      <c r="A1066" s="20" t="s">
        <v>10723</v>
      </c>
      <c r="B1066" s="20">
        <v>37</v>
      </c>
      <c r="C1066" s="20">
        <v>14</v>
      </c>
      <c r="D1066" s="20">
        <v>10</v>
      </c>
      <c r="E1066" s="24"/>
      <c r="F1066" s="20" t="s">
        <v>10724</v>
      </c>
      <c r="G1066" s="24" t="str">
        <f ca="1">IFERROR(__xludf.DUMMYFUNCTION("GOOGLETRANSLATE(F1066,""en"",""pt"")"),"sistemas de calha de material a granel")</f>
        <v>sistemas de calha de material a granel</v>
      </c>
      <c r="H1066" s="24"/>
      <c r="I1066" s="24"/>
    </row>
    <row r="1067" spans="1:9" ht="14.5">
      <c r="A1067" s="20" t="s">
        <v>10725</v>
      </c>
      <c r="B1067" s="20">
        <v>37</v>
      </c>
      <c r="C1067" s="20">
        <v>14</v>
      </c>
      <c r="D1067" s="20">
        <v>25</v>
      </c>
      <c r="E1067" s="24"/>
      <c r="F1067" s="20" t="s">
        <v>10726</v>
      </c>
      <c r="G1067" s="24" t="str">
        <f ca="1">IFERROR(__xludf.DUMMYFUNCTION("GOOGLETRANSLATE(F1067,""en"",""pt"")"),"Escapar sistemas de calha")</f>
        <v>Escapar sistemas de calha</v>
      </c>
      <c r="H1067" s="24"/>
      <c r="I1067" s="24"/>
    </row>
    <row r="1068" spans="1:9" ht="14.5">
      <c r="A1068" s="20" t="s">
        <v>10727</v>
      </c>
      <c r="B1068" s="20">
        <v>37</v>
      </c>
      <c r="C1068" s="20">
        <v>14</v>
      </c>
      <c r="D1068" s="20">
        <v>70</v>
      </c>
      <c r="E1068" s="24"/>
      <c r="F1068" s="20" t="s">
        <v>10728</v>
      </c>
      <c r="G1068" s="24" t="str">
        <f ca="1">IFERROR(__xludf.DUMMYFUNCTION("GOOGLETRANSLATE(F1068,""en"",""pt"")"),"sistemas de rampa de lixo e de linho")</f>
        <v>sistemas de rampa de lixo e de linho</v>
      </c>
      <c r="H1068" s="24"/>
      <c r="I1068" s="24"/>
    </row>
    <row r="1069" spans="1:9" ht="14.5">
      <c r="A1069" s="20" t="s">
        <v>10729</v>
      </c>
      <c r="B1069" s="20">
        <v>37</v>
      </c>
      <c r="C1069" s="20">
        <v>14</v>
      </c>
      <c r="D1069" s="20">
        <v>70</v>
      </c>
      <c r="E1069" s="20">
        <v>8</v>
      </c>
      <c r="F1069" s="20" t="s">
        <v>10730</v>
      </c>
      <c r="G1069" s="24" t="str">
        <f ca="1">IFERROR(__xludf.DUMMYFUNCTION("GOOGLETRANSLATE(F1069,""en"",""pt"")"),"Built-in sistemas de calha de linho")</f>
        <v>Built-in sistemas de calha de linho</v>
      </c>
      <c r="H1069" s="20" t="s">
        <v>10731</v>
      </c>
      <c r="I1069" s="20" t="s">
        <v>10732</v>
      </c>
    </row>
    <row r="1070" spans="1:9" ht="14.5">
      <c r="A1070" s="20" t="s">
        <v>10733</v>
      </c>
      <c r="B1070" s="20">
        <v>37</v>
      </c>
      <c r="C1070" s="20">
        <v>14</v>
      </c>
      <c r="D1070" s="20">
        <v>70</v>
      </c>
      <c r="E1070" s="20">
        <v>10</v>
      </c>
      <c r="F1070" s="20" t="s">
        <v>10734</v>
      </c>
      <c r="G1070" s="24" t="str">
        <f ca="1">IFERROR(__xludf.DUMMYFUNCTION("GOOGLETRANSLATE(F1070,""en"",""pt"")"),"Built-in sistemas de rampa de lixo")</f>
        <v>Built-in sistemas de rampa de lixo</v>
      </c>
      <c r="H1070" s="20" t="s">
        <v>10735</v>
      </c>
      <c r="I1070" s="20" t="s">
        <v>10736</v>
      </c>
    </row>
    <row r="1071" spans="1:9" ht="14.5">
      <c r="A1071" s="20" t="s">
        <v>10737</v>
      </c>
      <c r="B1071" s="20">
        <v>37</v>
      </c>
      <c r="C1071" s="20">
        <v>14</v>
      </c>
      <c r="D1071" s="20">
        <v>70</v>
      </c>
      <c r="E1071" s="20">
        <v>63</v>
      </c>
      <c r="F1071" s="20" t="s">
        <v>10738</v>
      </c>
      <c r="G1071" s="24" t="str">
        <f ca="1">IFERROR(__xludf.DUMMYFUNCTION("GOOGLETRANSLATE(F1071,""en"",""pt"")"),"Pós-fixada de linho sistemas de calha")</f>
        <v>Pós-fixada de linho sistemas de calha</v>
      </c>
      <c r="H1071" s="20" t="s">
        <v>10739</v>
      </c>
      <c r="I1071" s="20" t="s">
        <v>10732</v>
      </c>
    </row>
    <row r="1072" spans="1:9" ht="14.5">
      <c r="A1072" s="20" t="s">
        <v>10740</v>
      </c>
      <c r="B1072" s="20">
        <v>37</v>
      </c>
      <c r="C1072" s="20">
        <v>14</v>
      </c>
      <c r="D1072" s="20">
        <v>70</v>
      </c>
      <c r="E1072" s="20">
        <v>65</v>
      </c>
      <c r="F1072" s="20" t="s">
        <v>10741</v>
      </c>
      <c r="G1072" s="24" t="str">
        <f ca="1">IFERROR(__xludf.DUMMYFUNCTION("GOOGLETRANSLATE(F1072,""en"",""pt"")"),"sistemas de rampa de lixo fixo-post")</f>
        <v>sistemas de rampa de lixo fixo-post</v>
      </c>
      <c r="H1072" s="20" t="s">
        <v>10742</v>
      </c>
      <c r="I1072" s="20" t="s">
        <v>10732</v>
      </c>
    </row>
    <row r="1073" spans="1:9" ht="14.5">
      <c r="A1073" s="20" t="s">
        <v>10743</v>
      </c>
      <c r="B1073" s="20">
        <v>37</v>
      </c>
      <c r="C1073" s="20">
        <v>16</v>
      </c>
      <c r="D1073" s="24"/>
      <c r="E1073" s="24"/>
      <c r="F1073" s="20" t="s">
        <v>10744</v>
      </c>
      <c r="G1073" s="24" t="str">
        <f ca="1">IFERROR(__xludf.DUMMYFUNCTION("GOOGLETRANSLATE(F1073,""en"",""pt"")"),"sistemas do navio e trincheira")</f>
        <v>sistemas do navio e trincheira</v>
      </c>
      <c r="H1073" s="24"/>
      <c r="I1073" s="24"/>
    </row>
    <row r="1074" spans="1:9" ht="14.5">
      <c r="A1074" s="20" t="s">
        <v>10745</v>
      </c>
      <c r="B1074" s="20">
        <v>37</v>
      </c>
      <c r="C1074" s="20">
        <v>16</v>
      </c>
      <c r="D1074" s="20">
        <v>2</v>
      </c>
      <c r="E1074" s="24"/>
      <c r="F1074" s="20" t="s">
        <v>10746</v>
      </c>
      <c r="G1074" s="24" t="str">
        <f ca="1">IFERROR(__xludf.DUMMYFUNCTION("GOOGLETRANSLATE(F1074,""en"",""pt"")"),"sistemas de piscina acima do solo")</f>
        <v>sistemas de piscina acima do solo</v>
      </c>
      <c r="H1074" s="24"/>
      <c r="I1074" s="24"/>
    </row>
    <row r="1075" spans="1:9" ht="14.5">
      <c r="A1075" s="20" t="s">
        <v>10747</v>
      </c>
      <c r="B1075" s="20">
        <v>37</v>
      </c>
      <c r="C1075" s="20">
        <v>16</v>
      </c>
      <c r="D1075" s="20">
        <v>5</v>
      </c>
      <c r="E1075" s="24"/>
      <c r="F1075" s="20" t="s">
        <v>10748</v>
      </c>
      <c r="G1075" s="24" t="str">
        <f ca="1">IFERROR(__xludf.DUMMYFUNCTION("GOOGLETRANSLATE(F1075,""en"",""pt"")"),"sistemas de retenção de água do porão")</f>
        <v>sistemas de retenção de água do porão</v>
      </c>
      <c r="H1075" s="24"/>
      <c r="I1075" s="24"/>
    </row>
    <row r="1076" spans="1:9" ht="14.5">
      <c r="A1076" s="20" t="s">
        <v>10749</v>
      </c>
      <c r="B1076" s="20">
        <v>37</v>
      </c>
      <c r="C1076" s="20">
        <v>16</v>
      </c>
      <c r="D1076" s="20">
        <v>10</v>
      </c>
      <c r="E1076" s="24"/>
      <c r="F1076" s="20" t="s">
        <v>10750</v>
      </c>
      <c r="G1076" s="24" t="str">
        <f ca="1">IFERROR(__xludf.DUMMYFUNCTION("GOOGLETRANSLATE(F1076,""en"",""pt"")"),"sistemas Bund")</f>
        <v>sistemas Bund</v>
      </c>
      <c r="H1076" s="24"/>
      <c r="I1076" s="24"/>
    </row>
    <row r="1077" spans="1:9" ht="14.5">
      <c r="A1077" s="20" t="s">
        <v>10751</v>
      </c>
      <c r="B1077" s="20">
        <v>37</v>
      </c>
      <c r="C1077" s="20">
        <v>16</v>
      </c>
      <c r="D1077" s="20">
        <v>10</v>
      </c>
      <c r="E1077" s="20">
        <v>32</v>
      </c>
      <c r="F1077" s="20" t="s">
        <v>10752</v>
      </c>
      <c r="G1077" s="24" t="str">
        <f ca="1">IFERROR(__xludf.DUMMYFUNCTION("GOOGLETRANSLATE(F1077,""en"",""pt"")"),"Tank Bund sistemas de combustível")</f>
        <v>Tank Bund sistemas de combustível</v>
      </c>
      <c r="H1077" s="24"/>
      <c r="I1077" s="24"/>
    </row>
    <row r="1078" spans="1:9" ht="14.5">
      <c r="A1078" s="20" t="s">
        <v>10753</v>
      </c>
      <c r="B1078" s="20">
        <v>37</v>
      </c>
      <c r="C1078" s="20">
        <v>16</v>
      </c>
      <c r="D1078" s="20">
        <v>50</v>
      </c>
      <c r="E1078" s="24"/>
      <c r="F1078" s="20" t="s">
        <v>10754</v>
      </c>
      <c r="G1078" s="24" t="str">
        <f ca="1">IFERROR(__xludf.DUMMYFUNCTION("GOOGLETRANSLATE(F1078,""en"",""pt"")"),"sistemas de retenção de água metal e plástico")</f>
        <v>sistemas de retenção de água metal e plástico</v>
      </c>
      <c r="H1078" s="24"/>
      <c r="I1078" s="24"/>
    </row>
    <row r="1079" spans="1:9" ht="14.5">
      <c r="A1079" s="20" t="s">
        <v>10755</v>
      </c>
      <c r="B1079" s="20">
        <v>37</v>
      </c>
      <c r="C1079" s="20">
        <v>16</v>
      </c>
      <c r="D1079" s="20">
        <v>65</v>
      </c>
      <c r="E1079" s="24"/>
      <c r="F1079" s="20" t="s">
        <v>10756</v>
      </c>
      <c r="G1079" s="24" t="str">
        <f ca="1">IFERROR(__xludf.DUMMYFUNCTION("GOOGLETRANSLATE(F1079,""en"",""pt"")"),"Pond e sistemas de áreas úmidas")</f>
        <v>Pond e sistemas de áreas úmidas</v>
      </c>
      <c r="H1079" s="24"/>
      <c r="I1079" s="24"/>
    </row>
    <row r="1080" spans="1:9" ht="14.5">
      <c r="A1080" s="20" t="s">
        <v>10757</v>
      </c>
      <c r="B1080" s="20">
        <v>37</v>
      </c>
      <c r="C1080" s="20">
        <v>16</v>
      </c>
      <c r="D1080" s="20">
        <v>65</v>
      </c>
      <c r="E1080" s="20">
        <v>40</v>
      </c>
      <c r="F1080" s="20" t="s">
        <v>10758</v>
      </c>
      <c r="G1080" s="24" t="str">
        <f ca="1">IFERROR(__xludf.DUMMYFUNCTION("GOOGLETRANSLATE(F1080,""en"",""pt"")"),"sistemas de lagoas informais")</f>
        <v>sistemas de lagoas informais</v>
      </c>
      <c r="H1080" s="20" t="s">
        <v>10759</v>
      </c>
      <c r="I1080" s="20" t="s">
        <v>10760</v>
      </c>
    </row>
    <row r="1081" spans="1:9" ht="14.5">
      <c r="A1081" s="20" t="s">
        <v>10761</v>
      </c>
      <c r="B1081" s="20">
        <v>37</v>
      </c>
      <c r="C1081" s="20">
        <v>16</v>
      </c>
      <c r="D1081" s="20">
        <v>65</v>
      </c>
      <c r="E1081" s="20">
        <v>70</v>
      </c>
      <c r="F1081" s="20" t="s">
        <v>10762</v>
      </c>
      <c r="G1081" s="24" t="str">
        <f ca="1">IFERROR(__xludf.DUMMYFUNCTION("GOOGLETRANSLATE(F1081,""en"",""pt"")"),"sistemas de lagoas formais levantadas")</f>
        <v>sistemas de lagoas formais levantadas</v>
      </c>
      <c r="H1081" s="20" t="s">
        <v>10763</v>
      </c>
      <c r="I1081" s="20" t="s">
        <v>10760</v>
      </c>
    </row>
    <row r="1082" spans="1:9" ht="14.5">
      <c r="A1082" s="20" t="s">
        <v>10764</v>
      </c>
      <c r="B1082" s="20">
        <v>37</v>
      </c>
      <c r="C1082" s="20">
        <v>16</v>
      </c>
      <c r="D1082" s="20">
        <v>65</v>
      </c>
      <c r="E1082" s="20">
        <v>85</v>
      </c>
      <c r="F1082" s="20" t="s">
        <v>10765</v>
      </c>
      <c r="G1082" s="24" t="str">
        <f ca="1">IFERROR(__xludf.DUMMYFUNCTION("GOOGLETRANSLATE(F1082,""en"",""pt"")"),"sistemas de lagoas formais submersas")</f>
        <v>sistemas de lagoas formais submersas</v>
      </c>
      <c r="H1082" s="20" t="s">
        <v>10766</v>
      </c>
      <c r="I1082" s="20" t="s">
        <v>10760</v>
      </c>
    </row>
    <row r="1083" spans="1:9" ht="14.5">
      <c r="A1083" s="20" t="s">
        <v>10767</v>
      </c>
      <c r="B1083" s="20">
        <v>37</v>
      </c>
      <c r="C1083" s="20">
        <v>16</v>
      </c>
      <c r="D1083" s="20">
        <v>65</v>
      </c>
      <c r="E1083" s="20">
        <v>95</v>
      </c>
      <c r="F1083" s="20" t="s">
        <v>10768</v>
      </c>
      <c r="G1083" s="24" t="str">
        <f ca="1">IFERROR(__xludf.DUMMYFUNCTION("GOOGLETRANSLATE(F1083,""en"",""pt"")"),"sistemas de zonas húmidas")</f>
        <v>sistemas de zonas húmidas</v>
      </c>
      <c r="H1083" s="20" t="s">
        <v>10769</v>
      </c>
      <c r="I1083" s="20" t="s">
        <v>10770</v>
      </c>
    </row>
    <row r="1084" spans="1:9" ht="14.5">
      <c r="A1084" s="20" t="s">
        <v>10771</v>
      </c>
      <c r="B1084" s="20">
        <v>37</v>
      </c>
      <c r="C1084" s="20">
        <v>16</v>
      </c>
      <c r="D1084" s="20">
        <v>75</v>
      </c>
      <c r="E1084" s="24"/>
      <c r="F1084" s="20" t="s">
        <v>10772</v>
      </c>
      <c r="G1084" s="24" t="str">
        <f ca="1">IFERROR(__xludf.DUMMYFUNCTION("GOOGLETRANSLATE(F1084,""en"",""pt"")"),"sistemas de silo")</f>
        <v>sistemas de silo</v>
      </c>
      <c r="H1084" s="24"/>
      <c r="I1084" s="24"/>
    </row>
    <row r="1085" spans="1:9" ht="14.5">
      <c r="A1085" s="20" t="s">
        <v>10773</v>
      </c>
      <c r="B1085" s="20">
        <v>37</v>
      </c>
      <c r="C1085" s="20">
        <v>16</v>
      </c>
      <c r="D1085" s="20">
        <v>90</v>
      </c>
      <c r="E1085" s="24"/>
      <c r="F1085" s="20" t="s">
        <v>10774</v>
      </c>
      <c r="G1085" s="24" t="str">
        <f ca="1">IFERROR(__xludf.DUMMYFUNCTION("GOOGLETRANSLATE(F1085,""en"",""pt"")"),"sistemas pit Trench, PipeWay e")</f>
        <v>sistemas pit Trench, PipeWay e</v>
      </c>
      <c r="H1085" s="24"/>
      <c r="I1085" s="24"/>
    </row>
    <row r="1086" spans="1:9" ht="14.5">
      <c r="A1086" s="20" t="s">
        <v>10775</v>
      </c>
      <c r="B1086" s="20">
        <v>37</v>
      </c>
      <c r="C1086" s="20">
        <v>16</v>
      </c>
      <c r="D1086" s="20">
        <v>90</v>
      </c>
      <c r="E1086" s="20">
        <v>11</v>
      </c>
      <c r="F1086" s="20" t="s">
        <v>10776</v>
      </c>
      <c r="G1086" s="24" t="str">
        <f ca="1">IFERROR(__xludf.DUMMYFUNCTION("GOOGLETRANSLATE(F1086,""en"",""pt"")"),"sistemas de protecção de cabos")</f>
        <v>sistemas de protecção de cabos</v>
      </c>
      <c r="H1086" s="24"/>
      <c r="I1086" s="24"/>
    </row>
    <row r="1087" spans="1:9" ht="14.5">
      <c r="A1087" s="20" t="s">
        <v>10777</v>
      </c>
      <c r="B1087" s="20">
        <v>37</v>
      </c>
      <c r="C1087" s="20">
        <v>16</v>
      </c>
      <c r="D1087" s="20">
        <v>90</v>
      </c>
      <c r="E1087" s="20">
        <v>28</v>
      </c>
      <c r="F1087" s="20" t="s">
        <v>10778</v>
      </c>
      <c r="G1087" s="24" t="str">
        <f ca="1">IFERROR(__xludf.DUMMYFUNCTION("GOOGLETRANSLATE(F1087,""en"",""pt"")"),"sistemas de dutos de serviços subterrânea externos")</f>
        <v>sistemas de dutos de serviços subterrânea externos</v>
      </c>
      <c r="H1087" s="20" t="s">
        <v>10779</v>
      </c>
      <c r="I1087" s="20" t="s">
        <v>10780</v>
      </c>
    </row>
    <row r="1088" spans="1:9" ht="14.5">
      <c r="A1088" s="20" t="s">
        <v>10781</v>
      </c>
      <c r="B1088" s="20">
        <v>37</v>
      </c>
      <c r="C1088" s="20">
        <v>16</v>
      </c>
      <c r="D1088" s="20">
        <v>90</v>
      </c>
      <c r="E1088" s="20">
        <v>63</v>
      </c>
      <c r="F1088" s="20" t="s">
        <v>10782</v>
      </c>
      <c r="G1088" s="24" t="str">
        <f ca="1">IFERROR(__xludf.DUMMYFUNCTION("GOOGLETRANSLATE(F1088,""en"",""pt"")"),"sistemas de pit")</f>
        <v>sistemas de pit</v>
      </c>
      <c r="H1088" s="24"/>
      <c r="I1088" s="24"/>
    </row>
    <row r="1089" spans="1:9" ht="14.5">
      <c r="A1089" s="20" t="s">
        <v>10783</v>
      </c>
      <c r="B1089" s="20">
        <v>37</v>
      </c>
      <c r="C1089" s="20">
        <v>16</v>
      </c>
      <c r="D1089" s="20">
        <v>95</v>
      </c>
      <c r="E1089" s="24"/>
      <c r="F1089" s="20" t="s">
        <v>10784</v>
      </c>
      <c r="G1089" s="24" t="str">
        <f ca="1">IFERROR(__xludf.DUMMYFUNCTION("GOOGLETRANSLATE(F1089,""en"",""pt"")"),"sistemas estruturais estanques")</f>
        <v>sistemas estruturais estanques</v>
      </c>
      <c r="H1089" s="24"/>
      <c r="I1089" s="24"/>
    </row>
    <row r="1090" spans="1:9" ht="14.5">
      <c r="A1090" s="20" t="s">
        <v>10785</v>
      </c>
      <c r="B1090" s="20">
        <v>37</v>
      </c>
      <c r="C1090" s="20">
        <v>16</v>
      </c>
      <c r="D1090" s="20">
        <v>95</v>
      </c>
      <c r="E1090" s="20">
        <v>78</v>
      </c>
      <c r="F1090" s="20" t="s">
        <v>10786</v>
      </c>
      <c r="G1090" s="24" t="str">
        <f ca="1">IFERROR(__xludf.DUMMYFUNCTION("GOOGLETRANSLATE(F1090,""en"",""pt"")"),"sistemas de recipiente de tratamento de esgoto")</f>
        <v>sistemas de recipiente de tratamento de esgoto</v>
      </c>
      <c r="H1090" s="24"/>
      <c r="I1090" s="24"/>
    </row>
    <row r="1091" spans="1:9" ht="14.5">
      <c r="A1091" s="20" t="s">
        <v>10787</v>
      </c>
      <c r="B1091" s="20">
        <v>37</v>
      </c>
      <c r="C1091" s="20">
        <v>17</v>
      </c>
      <c r="D1091" s="24"/>
      <c r="E1091" s="24"/>
      <c r="F1091" s="20" t="s">
        <v>10788</v>
      </c>
      <c r="G1091" s="24" t="str">
        <f ca="1">IFERROR(__xludf.DUMMYFUNCTION("GOOGLETRANSLATE(F1091,""en"",""pt"")"),"Tower, chaminé e sistemas de mastro")</f>
        <v>Tower, chaminé e sistemas de mastro</v>
      </c>
      <c r="H1091" s="24"/>
      <c r="I1091" s="24"/>
    </row>
    <row r="1092" spans="1:9" ht="14.5">
      <c r="A1092" s="20" t="s">
        <v>10789</v>
      </c>
      <c r="B1092" s="20">
        <v>37</v>
      </c>
      <c r="C1092" s="20">
        <v>17</v>
      </c>
      <c r="D1092" s="20">
        <v>13</v>
      </c>
      <c r="E1092" s="24"/>
      <c r="F1092" s="20" t="s">
        <v>10790</v>
      </c>
      <c r="G1092" s="24" t="str">
        <f ca="1">IFERROR(__xludf.DUMMYFUNCTION("GOOGLETRANSLATE(F1092,""en"",""pt"")"),"sistemas de chaminé")</f>
        <v>sistemas de chaminé</v>
      </c>
      <c r="H1092" s="24"/>
      <c r="I1092" s="24"/>
    </row>
    <row r="1093" spans="1:9" ht="14.5">
      <c r="A1093" s="20" t="s">
        <v>10791</v>
      </c>
      <c r="B1093" s="20">
        <v>37</v>
      </c>
      <c r="C1093" s="20">
        <v>17</v>
      </c>
      <c r="D1093" s="20">
        <v>13</v>
      </c>
      <c r="E1093" s="20">
        <v>50</v>
      </c>
      <c r="F1093" s="20" t="s">
        <v>10792</v>
      </c>
      <c r="G1093" s="24" t="str">
        <f ca="1">IFERROR(__xludf.DUMMYFUNCTION("GOOGLETRANSLATE(F1093,""en"",""pt"")"),"sistemas de chaminé de alvenaria")</f>
        <v>sistemas de chaminé de alvenaria</v>
      </c>
      <c r="H1093" s="20" t="s">
        <v>10793</v>
      </c>
      <c r="I1093" s="20" t="s">
        <v>10794</v>
      </c>
    </row>
    <row r="1094" spans="1:9" ht="14.5">
      <c r="A1094" s="20" t="s">
        <v>10795</v>
      </c>
      <c r="B1094" s="20">
        <v>37</v>
      </c>
      <c r="C1094" s="20">
        <v>17</v>
      </c>
      <c r="D1094" s="20">
        <v>13</v>
      </c>
      <c r="E1094" s="20">
        <v>65</v>
      </c>
      <c r="F1094" s="20" t="s">
        <v>10796</v>
      </c>
      <c r="G1094" s="24" t="str">
        <f ca="1">IFERROR(__xludf.DUMMYFUNCTION("GOOGLETRANSLATE(F1094,""en"",""pt"")"),"sistemas de controle de poluição")</f>
        <v>sistemas de controle de poluição</v>
      </c>
      <c r="H1094" s="24"/>
      <c r="I1094" s="24"/>
    </row>
    <row r="1095" spans="1:9" ht="14.5">
      <c r="A1095" s="20" t="s">
        <v>10797</v>
      </c>
      <c r="B1095" s="20">
        <v>37</v>
      </c>
      <c r="C1095" s="20">
        <v>17</v>
      </c>
      <c r="D1095" s="20">
        <v>35</v>
      </c>
      <c r="E1095" s="24"/>
      <c r="F1095" s="20" t="s">
        <v>10798</v>
      </c>
      <c r="G1095" s="24" t="str">
        <f ca="1">IFERROR(__xludf.DUMMYFUNCTION("GOOGLETRANSLATE(F1095,""en"",""pt"")"),"sistemas de pórtico")</f>
        <v>sistemas de pórtico</v>
      </c>
      <c r="H1095" s="24"/>
      <c r="I1095" s="24"/>
    </row>
    <row r="1096" spans="1:9" ht="14.5">
      <c r="A1096" s="20" t="s">
        <v>10799</v>
      </c>
      <c r="B1096" s="20">
        <v>37</v>
      </c>
      <c r="C1096" s="20">
        <v>17</v>
      </c>
      <c r="D1096" s="20">
        <v>35</v>
      </c>
      <c r="E1096" s="20">
        <v>11</v>
      </c>
      <c r="F1096" s="20" t="s">
        <v>10800</v>
      </c>
      <c r="G1096" s="24" t="str">
        <f ca="1">IFERROR(__xludf.DUMMYFUNCTION("GOOGLETRANSLATE(F1096,""en"",""pt"")"),"sistemas de pórtico cantilever")</f>
        <v>sistemas de pórtico cantilever</v>
      </c>
      <c r="H1096" s="24"/>
      <c r="I1096" s="24"/>
    </row>
    <row r="1097" spans="1:9" ht="14.5">
      <c r="A1097" s="20" t="s">
        <v>10801</v>
      </c>
      <c r="B1097" s="20">
        <v>37</v>
      </c>
      <c r="C1097" s="20">
        <v>17</v>
      </c>
      <c r="D1097" s="20">
        <v>35</v>
      </c>
      <c r="E1097" s="20">
        <v>32</v>
      </c>
      <c r="F1097" s="20" t="s">
        <v>10802</v>
      </c>
      <c r="G1097" s="24" t="str">
        <f ca="1">IFERROR(__xludf.DUMMYFUNCTION("GOOGLETRANSLATE(F1097,""en"",""pt"")"),"sistemas de pórtico extensão completa")</f>
        <v>sistemas de pórtico extensão completa</v>
      </c>
      <c r="H1097" s="24"/>
      <c r="I1097" s="24"/>
    </row>
    <row r="1098" spans="1:9" ht="14.5">
      <c r="A1098" s="20" t="s">
        <v>10803</v>
      </c>
      <c r="B1098" s="20">
        <v>37</v>
      </c>
      <c r="C1098" s="20">
        <v>17</v>
      </c>
      <c r="D1098" s="20">
        <v>35</v>
      </c>
      <c r="E1098" s="20">
        <v>50</v>
      </c>
      <c r="F1098" s="20" t="s">
        <v>10804</v>
      </c>
      <c r="G1098" s="24" t="str">
        <f ca="1">IFERROR(__xludf.DUMMYFUNCTION("GOOGLETRANSLATE(F1098,""en"",""pt"")"),"Mastro armar sistemas de pórtico sinal")</f>
        <v>Mastro armar sistemas de pórtico sinal</v>
      </c>
      <c r="H1098" s="24"/>
      <c r="I1098" s="24"/>
    </row>
    <row r="1099" spans="1:9" ht="14.5">
      <c r="A1099" s="20" t="s">
        <v>10805</v>
      </c>
      <c r="B1099" s="20">
        <v>37</v>
      </c>
      <c r="C1099" s="20">
        <v>17</v>
      </c>
      <c r="D1099" s="20">
        <v>35</v>
      </c>
      <c r="E1099" s="20">
        <v>60</v>
      </c>
      <c r="F1099" s="20" t="s">
        <v>10806</v>
      </c>
      <c r="G1099" s="24" t="str">
        <f ca="1">IFERROR(__xludf.DUMMYFUNCTION("GOOGLETRANSLATE(F1099,""en"",""pt"")"),"sistemas de pórtico Portal sinal")</f>
        <v>sistemas de pórtico Portal sinal</v>
      </c>
      <c r="H1099" s="24"/>
      <c r="I1099" s="24"/>
    </row>
    <row r="1100" spans="1:9" ht="14.5">
      <c r="A1100" s="20" t="s">
        <v>10807</v>
      </c>
      <c r="B1100" s="20">
        <v>37</v>
      </c>
      <c r="C1100" s="20">
        <v>17</v>
      </c>
      <c r="D1100" s="20">
        <v>35</v>
      </c>
      <c r="E1100" s="20">
        <v>70</v>
      </c>
      <c r="F1100" s="20" t="s">
        <v>10808</v>
      </c>
      <c r="G1100" s="24" t="str">
        <f ca="1">IFERROR(__xludf.DUMMYFUNCTION("GOOGLETRANSLATE(F1100,""en"",""pt"")"),"sistemas de pórtico Reefer")</f>
        <v>sistemas de pórtico Reefer</v>
      </c>
      <c r="H1100" s="24"/>
      <c r="I1100" s="24"/>
    </row>
    <row r="1101" spans="1:9" ht="14.5">
      <c r="A1101" s="20" t="s">
        <v>10809</v>
      </c>
      <c r="B1101" s="20">
        <v>37</v>
      </c>
      <c r="C1101" s="20">
        <v>17</v>
      </c>
      <c r="D1101" s="20">
        <v>45</v>
      </c>
      <c r="E1101" s="24"/>
      <c r="F1101" s="20" t="s">
        <v>10810</v>
      </c>
      <c r="G1101" s="24" t="str">
        <f ca="1">IFERROR(__xludf.DUMMYFUNCTION("GOOGLETRANSLATE(F1101,""en"",""pt"")"),"torre da estrutura e sistemas de pilão")</f>
        <v>torre da estrutura e sistemas de pilão</v>
      </c>
      <c r="H1101" s="24"/>
      <c r="I1101" s="24"/>
    </row>
    <row r="1102" spans="1:9" ht="14.5">
      <c r="A1102" s="20" t="s">
        <v>10811</v>
      </c>
      <c r="B1102" s="20">
        <v>37</v>
      </c>
      <c r="C1102" s="20">
        <v>17</v>
      </c>
      <c r="D1102" s="20">
        <v>50</v>
      </c>
      <c r="E1102" s="24"/>
      <c r="F1102" s="20" t="s">
        <v>10812</v>
      </c>
      <c r="G1102" s="24" t="str">
        <f ca="1">IFERROR(__xludf.DUMMYFUNCTION("GOOGLETRANSLATE(F1102,""en"",""pt"")"),"Mastro e sistemas de pólo")</f>
        <v>Mastro e sistemas de pólo</v>
      </c>
      <c r="H1102" s="24"/>
      <c r="I1102" s="24"/>
    </row>
    <row r="1103" spans="1:9" ht="14.5">
      <c r="A1103" s="20" t="s">
        <v>10813</v>
      </c>
      <c r="B1103" s="20">
        <v>37</v>
      </c>
      <c r="C1103" s="20">
        <v>17</v>
      </c>
      <c r="D1103" s="20">
        <v>50</v>
      </c>
      <c r="E1103" s="20">
        <v>54</v>
      </c>
      <c r="F1103" s="20" t="s">
        <v>10814</v>
      </c>
      <c r="G1103" s="24" t="str">
        <f ca="1">IFERROR(__xludf.DUMMYFUNCTION("GOOGLETRANSLATE(F1103,""en"",""pt"")"),"Multi-função sistemas de pólo")</f>
        <v>Multi-função sistemas de pólo</v>
      </c>
      <c r="H1103" s="24"/>
      <c r="I1103" s="24"/>
    </row>
    <row r="1104" spans="1:9" ht="14.5">
      <c r="A1104" s="20" t="s">
        <v>10815</v>
      </c>
      <c r="B1104" s="20">
        <v>37</v>
      </c>
      <c r="C1104" s="20">
        <v>17</v>
      </c>
      <c r="D1104" s="20">
        <v>50</v>
      </c>
      <c r="E1104" s="20">
        <v>72</v>
      </c>
      <c r="F1104" s="20" t="s">
        <v>10816</v>
      </c>
      <c r="G1104" s="24" t="str">
        <f ca="1">IFERROR(__xludf.DUMMYFUNCTION("GOOGLETRANSLATE(F1104,""en"",""pt"")"),"sistemas de mastro estrada")</f>
        <v>sistemas de mastro estrada</v>
      </c>
      <c r="H1104" s="24"/>
      <c r="I1104" s="24"/>
    </row>
    <row r="1105" spans="1:9" ht="14.5">
      <c r="A1105" s="20" t="s">
        <v>10817</v>
      </c>
      <c r="B1105" s="20">
        <v>37</v>
      </c>
      <c r="C1105" s="20">
        <v>17</v>
      </c>
      <c r="D1105" s="20">
        <v>90</v>
      </c>
      <c r="E1105" s="24"/>
      <c r="F1105" s="20" t="s">
        <v>10818</v>
      </c>
      <c r="G1105" s="24" t="str">
        <f ca="1">IFERROR(__xludf.DUMMYFUNCTION("GOOGLETRANSLATE(F1105,""en"",""pt"")"),"sistemas de torre")</f>
        <v>sistemas de torre</v>
      </c>
      <c r="H1105" s="24"/>
      <c r="I1105" s="24"/>
    </row>
    <row r="1106" spans="1:9" ht="14.5">
      <c r="A1106" s="20" t="s">
        <v>10819</v>
      </c>
      <c r="B1106" s="20">
        <v>37</v>
      </c>
      <c r="C1106" s="20">
        <v>40</v>
      </c>
      <c r="D1106" s="24"/>
      <c r="E1106" s="24"/>
      <c r="F1106" s="20" t="s">
        <v>10820</v>
      </c>
      <c r="G1106" s="24" t="str">
        <f ca="1">IFERROR(__xludf.DUMMYFUNCTION("GOOGLETRANSLATE(F1106,""en"",""pt"")"),"sistemas de acabamento túnel, poço, recipiente e revestimento da torre e")</f>
        <v>sistemas de acabamento túnel, poço, recipiente e revestimento da torre e</v>
      </c>
      <c r="H1106" s="24"/>
      <c r="I1106" s="24"/>
    </row>
    <row r="1107" spans="1:9" ht="14.5">
      <c r="A1107" s="20" t="s">
        <v>10821</v>
      </c>
      <c r="B1107" s="20">
        <v>37</v>
      </c>
      <c r="C1107" s="20">
        <v>40</v>
      </c>
      <c r="D1107" s="20">
        <v>85</v>
      </c>
      <c r="E1107" s="24"/>
      <c r="F1107" s="20" t="s">
        <v>10822</v>
      </c>
      <c r="G1107" s="24" t="str">
        <f ca="1">IFERROR(__xludf.DUMMYFUNCTION("GOOGLETRANSLATE(F1107,""en"",""pt"")"),"Natação sistemas de azulejos piscina")</f>
        <v>Natação sistemas de azulejos piscina</v>
      </c>
      <c r="H1107" s="24"/>
      <c r="I1107" s="24"/>
    </row>
    <row r="1108" spans="1:9" ht="14.5">
      <c r="A1108" s="20" t="s">
        <v>10823</v>
      </c>
      <c r="B1108" s="20">
        <v>37</v>
      </c>
      <c r="C1108" s="20">
        <v>40</v>
      </c>
      <c r="D1108" s="20">
        <v>85</v>
      </c>
      <c r="E1108" s="20">
        <v>83</v>
      </c>
      <c r="F1108" s="20" t="s">
        <v>10824</v>
      </c>
      <c r="G1108" s="24" t="str">
        <f ca="1">IFERROR(__xludf.DUMMYFUNCTION("GOOGLETRANSLATE(F1108,""en"",""pt"")"),"Natação sistemas de azulejos no chão piscina")</f>
        <v>Natação sistemas de azulejos no chão piscina</v>
      </c>
      <c r="H1108" s="20" t="s">
        <v>10825</v>
      </c>
      <c r="I1108" s="20" t="s">
        <v>10826</v>
      </c>
    </row>
    <row r="1109" spans="1:9" ht="14.5">
      <c r="A1109" s="20" t="s">
        <v>10827</v>
      </c>
      <c r="B1109" s="20">
        <v>37</v>
      </c>
      <c r="C1109" s="20">
        <v>40</v>
      </c>
      <c r="D1109" s="20">
        <v>85</v>
      </c>
      <c r="E1109" s="20">
        <v>85</v>
      </c>
      <c r="F1109" s="20" t="s">
        <v>10828</v>
      </c>
      <c r="G1109" s="24" t="str">
        <f ca="1">IFERROR(__xludf.DUMMYFUNCTION("GOOGLETRANSLATE(F1109,""en"",""pt"")"),"Natação sistemas de azulejos de parede piscina")</f>
        <v>Natação sistemas de azulejos de parede piscina</v>
      </c>
      <c r="H1109" s="20" t="s">
        <v>10829</v>
      </c>
      <c r="I1109" s="20" t="s">
        <v>9062</v>
      </c>
    </row>
    <row r="1110" spans="1:9" ht="14.5">
      <c r="A1110" s="20" t="s">
        <v>10830</v>
      </c>
      <c r="B1110" s="20">
        <v>37</v>
      </c>
      <c r="C1110" s="20">
        <v>50</v>
      </c>
      <c r="D1110" s="24"/>
      <c r="E1110" s="24"/>
      <c r="F1110" s="20" t="s">
        <v>10831</v>
      </c>
      <c r="G1110" s="24" t="str">
        <f ca="1">IFERROR(__xludf.DUMMYFUNCTION("GOOGLETRANSLATE(F1110,""en"",""pt"")"),"Shaft e sistemas de túneis estrutural")</f>
        <v>Shaft e sistemas de túneis estrutural</v>
      </c>
      <c r="H1110" s="24"/>
      <c r="I1110" s="24"/>
    </row>
    <row r="1111" spans="1:9" ht="14.5">
      <c r="A1111" s="20" t="s">
        <v>10832</v>
      </c>
      <c r="B1111" s="20">
        <v>37</v>
      </c>
      <c r="C1111" s="20">
        <v>50</v>
      </c>
      <c r="D1111" s="20">
        <v>80</v>
      </c>
      <c r="E1111" s="24"/>
      <c r="F1111" s="20" t="s">
        <v>10833</v>
      </c>
      <c r="G1111" s="24" t="str">
        <f ca="1">IFERROR(__xludf.DUMMYFUNCTION("GOOGLETRANSLATE(F1111,""en"",""pt"")"),"sistemas de estrutura de veios")</f>
        <v>sistemas de estrutura de veios</v>
      </c>
      <c r="H1111" s="24"/>
      <c r="I1111" s="24"/>
    </row>
    <row r="1112" spans="1:9" ht="14.5">
      <c r="A1112" s="20" t="s">
        <v>10834</v>
      </c>
      <c r="B1112" s="20">
        <v>37</v>
      </c>
      <c r="C1112" s="20">
        <v>50</v>
      </c>
      <c r="D1112" s="20">
        <v>80</v>
      </c>
      <c r="E1112" s="20">
        <v>50</v>
      </c>
      <c r="F1112" s="20" t="s">
        <v>10835</v>
      </c>
      <c r="G1112" s="24" t="str">
        <f ca="1">IFERROR(__xludf.DUMMYFUNCTION("GOOGLETRANSLATE(F1112,""en"",""pt"")"),"Sistemas de veios de alvenaria alinhado")</f>
        <v>Sistemas de veios de alvenaria alinhado</v>
      </c>
      <c r="H1112" s="24"/>
      <c r="I1112" s="24"/>
    </row>
    <row r="1113" spans="1:9" ht="14.5">
      <c r="A1113" s="20" t="s">
        <v>10836</v>
      </c>
      <c r="B1113" s="20">
        <v>37</v>
      </c>
      <c r="C1113" s="20">
        <v>50</v>
      </c>
      <c r="D1113" s="20">
        <v>80</v>
      </c>
      <c r="E1113" s="20">
        <v>71</v>
      </c>
      <c r="F1113" s="20" t="s">
        <v>10837</v>
      </c>
      <c r="G1113" s="24" t="str">
        <f ca="1">IFERROR(__xludf.DUMMYFUNCTION("GOOGLETRANSLATE(F1113,""en"",""pt"")"),"sistemas de estrutura de betão armado do eixo")</f>
        <v>sistemas de estrutura de betão armado do eixo</v>
      </c>
      <c r="H1113" s="24"/>
      <c r="I1113" s="24"/>
    </row>
    <row r="1114" spans="1:9" ht="14.5">
      <c r="A1114" s="20" t="s">
        <v>10838</v>
      </c>
      <c r="B1114" s="20">
        <v>37</v>
      </c>
      <c r="C1114" s="20">
        <v>50</v>
      </c>
      <c r="D1114" s="20">
        <v>80</v>
      </c>
      <c r="E1114" s="20">
        <v>77</v>
      </c>
      <c r="F1114" s="20" t="s">
        <v>10839</v>
      </c>
      <c r="G1114" s="24" t="str">
        <f ca="1">IFERROR(__xludf.DUMMYFUNCTION("GOOGLETRANSLATE(F1114,""en"",""pt"")"),"sistemas de estrutura de eixo segmentar")</f>
        <v>sistemas de estrutura de eixo segmentar</v>
      </c>
      <c r="H1114" s="20" t="s">
        <v>10840</v>
      </c>
      <c r="I1114" s="24"/>
    </row>
    <row r="1115" spans="1:9" ht="14.5">
      <c r="A1115" s="20" t="s">
        <v>10841</v>
      </c>
      <c r="B1115" s="20">
        <v>37</v>
      </c>
      <c r="C1115" s="20">
        <v>50</v>
      </c>
      <c r="D1115" s="20">
        <v>80</v>
      </c>
      <c r="E1115" s="20">
        <v>83</v>
      </c>
      <c r="F1115" s="20" t="s">
        <v>10842</v>
      </c>
      <c r="G1115" s="24" t="str">
        <f ca="1">IFERROR(__xludf.DUMMYFUNCTION("GOOGLETRANSLATE(F1115,""en"",""pt"")"),"Os sistemas de revestimento de eixo betão projectado")</f>
        <v>Os sistemas de revestimento de eixo betão projectado</v>
      </c>
      <c r="H1115" s="20" t="s">
        <v>10843</v>
      </c>
      <c r="I1115" s="24"/>
    </row>
    <row r="1116" spans="1:9" ht="14.5">
      <c r="A1116" s="20" t="s">
        <v>10844</v>
      </c>
      <c r="B1116" s="20">
        <v>37</v>
      </c>
      <c r="C1116" s="20">
        <v>50</v>
      </c>
      <c r="D1116" s="20">
        <v>80</v>
      </c>
      <c r="E1116" s="20">
        <v>90</v>
      </c>
      <c r="F1116" s="20" t="s">
        <v>10845</v>
      </c>
      <c r="G1116" s="24" t="str">
        <f ca="1">IFERROR(__xludf.DUMMYFUNCTION("GOOGLETRANSLATE(F1116,""en"",""pt"")"),"sistemas de eixos Unidade alinhada")</f>
        <v>sistemas de eixos Unidade alinhada</v>
      </c>
      <c r="H1116" s="20" t="s">
        <v>10846</v>
      </c>
      <c r="I1116" s="24"/>
    </row>
    <row r="1117" spans="1:9" ht="14.5">
      <c r="A1117" s="20" t="s">
        <v>10847</v>
      </c>
      <c r="B1117" s="20">
        <v>37</v>
      </c>
      <c r="C1117" s="20">
        <v>50</v>
      </c>
      <c r="D1117" s="20">
        <v>92</v>
      </c>
      <c r="E1117" s="24"/>
      <c r="F1117" s="20" t="s">
        <v>10848</v>
      </c>
      <c r="G1117" s="24" t="str">
        <f ca="1">IFERROR(__xludf.DUMMYFUNCTION("GOOGLETRANSLATE(F1117,""en"",""pt"")"),"sistemas estrutura do túnel")</f>
        <v>sistemas estrutura do túnel</v>
      </c>
      <c r="H1117" s="24"/>
      <c r="I1117" s="24"/>
    </row>
    <row r="1118" spans="1:9" ht="14.5">
      <c r="A1118" s="20" t="s">
        <v>10849</v>
      </c>
      <c r="B1118" s="20">
        <v>37</v>
      </c>
      <c r="C1118" s="20">
        <v>50</v>
      </c>
      <c r="D1118" s="20">
        <v>92</v>
      </c>
      <c r="E1118" s="20">
        <v>11</v>
      </c>
      <c r="F1118" s="20" t="s">
        <v>10850</v>
      </c>
      <c r="G1118" s="24" t="str">
        <f ca="1">IFERROR(__xludf.DUMMYFUNCTION("GOOGLETRANSLATE(F1118,""en"",""pt"")"),"túnel de concreto fundido invertido sistemas")</f>
        <v>túnel de concreto fundido invertido sistemas</v>
      </c>
      <c r="H1118" s="24"/>
      <c r="I1118" s="24"/>
    </row>
    <row r="1119" spans="1:9" ht="14.5">
      <c r="A1119" s="20" t="s">
        <v>10851</v>
      </c>
      <c r="B1119" s="20">
        <v>37</v>
      </c>
      <c r="C1119" s="20">
        <v>50</v>
      </c>
      <c r="D1119" s="20">
        <v>92</v>
      </c>
      <c r="E1119" s="20">
        <v>15</v>
      </c>
      <c r="F1119" s="20" t="s">
        <v>10852</v>
      </c>
      <c r="G1119" s="24" t="str">
        <f ca="1">IFERROR(__xludf.DUMMYFUNCTION("GOOGLETRANSLATE(F1119,""en"",""pt"")"),"Colliery arco sistemas de túneis ou adit")</f>
        <v>Colliery arco sistemas de túneis ou adit</v>
      </c>
      <c r="H1119" s="20" t="s">
        <v>10853</v>
      </c>
      <c r="I1119" s="24"/>
    </row>
    <row r="1120" spans="1:9" ht="14.5">
      <c r="A1120" s="20" t="s">
        <v>10854</v>
      </c>
      <c r="B1120" s="20">
        <v>37</v>
      </c>
      <c r="C1120" s="20">
        <v>50</v>
      </c>
      <c r="D1120" s="20">
        <v>92</v>
      </c>
      <c r="E1120" s="20">
        <v>50</v>
      </c>
      <c r="F1120" s="20" t="s">
        <v>10855</v>
      </c>
      <c r="G1120" s="24" t="str">
        <f ca="1">IFERROR(__xludf.DUMMYFUNCTION("GOOGLETRANSLATE(F1120,""en"",""pt"")"),"sistemas estrutura do túnel de alvenaria")</f>
        <v>sistemas estrutura do túnel de alvenaria</v>
      </c>
      <c r="H1120" s="20" t="s">
        <v>10856</v>
      </c>
      <c r="I1120" s="24"/>
    </row>
    <row r="1121" spans="1:9" ht="14.5">
      <c r="A1121" s="20" t="s">
        <v>10857</v>
      </c>
      <c r="B1121" s="20">
        <v>37</v>
      </c>
      <c r="C1121" s="20">
        <v>50</v>
      </c>
      <c r="D1121" s="20">
        <v>92</v>
      </c>
      <c r="E1121" s="20">
        <v>64</v>
      </c>
      <c r="F1121" s="20" t="s">
        <v>10858</v>
      </c>
      <c r="G1121" s="24" t="str">
        <f ca="1">IFERROR(__xludf.DUMMYFUNCTION("GOOGLETRANSLATE(F1121,""en"",""pt"")"),"camada de regulação primário pulverizado sistemas de revestimento de betão")</f>
        <v>camada de regulação primário pulverizado sistemas de revestimento de betão</v>
      </c>
      <c r="H1121" s="24"/>
      <c r="I1121" s="24"/>
    </row>
    <row r="1122" spans="1:9" ht="14.5">
      <c r="A1122" s="20" t="s">
        <v>10859</v>
      </c>
      <c r="B1122" s="20">
        <v>37</v>
      </c>
      <c r="C1122" s="20">
        <v>50</v>
      </c>
      <c r="D1122" s="20">
        <v>92</v>
      </c>
      <c r="E1122" s="20">
        <v>66</v>
      </c>
      <c r="F1122" s="20" t="s">
        <v>10860</v>
      </c>
      <c r="G1122" s="24" t="str">
        <f ca="1">IFERROR(__xludf.DUMMYFUNCTION("GOOGLETRANSLATE(F1122,""en"",""pt"")"),"sistemas de revestimento de betão projectado primárias")</f>
        <v>sistemas de revestimento de betão projectado primárias</v>
      </c>
      <c r="H1122" s="24"/>
      <c r="I1122" s="24"/>
    </row>
    <row r="1123" spans="1:9" ht="14.5">
      <c r="A1123" s="20" t="s">
        <v>10861</v>
      </c>
      <c r="B1123" s="20">
        <v>37</v>
      </c>
      <c r="C1123" s="20">
        <v>50</v>
      </c>
      <c r="D1123" s="20">
        <v>92</v>
      </c>
      <c r="E1123" s="20">
        <v>71</v>
      </c>
      <c r="F1123" s="20" t="s">
        <v>10862</v>
      </c>
      <c r="G1123" s="24" t="str">
        <f ca="1">IFERROR(__xludf.DUMMYFUNCTION("GOOGLETRANSLATE(F1123,""en"",""pt"")"),"sistemas estrutura do túnel de concreto armado")</f>
        <v>sistemas estrutura do túnel de concreto armado</v>
      </c>
      <c r="H1123" s="20" t="s">
        <v>10863</v>
      </c>
      <c r="I1123" s="24"/>
    </row>
    <row r="1124" spans="1:9" ht="14.5">
      <c r="A1124" s="20" t="s">
        <v>10864</v>
      </c>
      <c r="B1124" s="20">
        <v>37</v>
      </c>
      <c r="C1124" s="20">
        <v>50</v>
      </c>
      <c r="D1124" s="20">
        <v>92</v>
      </c>
      <c r="E1124" s="20">
        <v>75</v>
      </c>
      <c r="F1124" s="20" t="s">
        <v>10865</v>
      </c>
      <c r="G1124" s="24" t="str">
        <f ca="1">IFERROR(__xludf.DUMMYFUNCTION("GOOGLETRANSLATE(F1124,""en"",""pt"")"),"Os sistemas de revestimento de betão armado secundário")</f>
        <v>Os sistemas de revestimento de betão armado secundário</v>
      </c>
      <c r="H1124" s="24"/>
      <c r="I1124" s="24"/>
    </row>
    <row r="1125" spans="1:9" ht="14.5">
      <c r="A1125" s="20" t="s">
        <v>10866</v>
      </c>
      <c r="B1125" s="20">
        <v>37</v>
      </c>
      <c r="C1125" s="20">
        <v>50</v>
      </c>
      <c r="D1125" s="20">
        <v>92</v>
      </c>
      <c r="E1125" s="20">
        <v>76</v>
      </c>
      <c r="F1125" s="20" t="s">
        <v>10867</v>
      </c>
      <c r="G1125" s="24" t="str">
        <f ca="1">IFERROR(__xludf.DUMMYFUNCTION("GOOGLETRANSLATE(F1125,""en"",""pt"")"),"camada de regulação secundário pulverizado sistemas de revestimento de betão")</f>
        <v>camada de regulação secundário pulverizado sistemas de revestimento de betão</v>
      </c>
      <c r="H1125" s="24"/>
      <c r="I1125" s="24"/>
    </row>
    <row r="1126" spans="1:9" ht="14.5">
      <c r="A1126" s="20" t="s">
        <v>10868</v>
      </c>
      <c r="B1126" s="20">
        <v>37</v>
      </c>
      <c r="C1126" s="20">
        <v>50</v>
      </c>
      <c r="D1126" s="20">
        <v>92</v>
      </c>
      <c r="E1126" s="20">
        <v>77</v>
      </c>
      <c r="F1126" s="20" t="s">
        <v>10869</v>
      </c>
      <c r="G1126" s="24" t="str">
        <f ca="1">IFERROR(__xludf.DUMMYFUNCTION("GOOGLETRANSLATE(F1126,""en"",""pt"")"),"sistemas de revestimento de betão projectado secundárias")</f>
        <v>sistemas de revestimento de betão projectado secundárias</v>
      </c>
      <c r="H1126" s="24"/>
      <c r="I1126" s="24"/>
    </row>
    <row r="1127" spans="1:9" ht="14.5">
      <c r="A1127" s="20" t="s">
        <v>10870</v>
      </c>
      <c r="B1127" s="20">
        <v>37</v>
      </c>
      <c r="C1127" s="20">
        <v>50</v>
      </c>
      <c r="D1127" s="20">
        <v>92</v>
      </c>
      <c r="E1127" s="20">
        <v>79</v>
      </c>
      <c r="F1127" s="20" t="s">
        <v>10871</v>
      </c>
      <c r="G1127" s="24" t="str">
        <f ca="1">IFERROR(__xludf.DUMMYFUNCTION("GOOGLETRANSLATE(F1127,""en"",""pt"")"),"sistemas estrutura do túnel corte")</f>
        <v>sistemas estrutura do túnel corte</v>
      </c>
      <c r="H1127" s="20" t="s">
        <v>10872</v>
      </c>
      <c r="I1127" s="24"/>
    </row>
    <row r="1128" spans="1:9" ht="14.5">
      <c r="A1128" s="20" t="s">
        <v>10873</v>
      </c>
      <c r="B1128" s="20">
        <v>37</v>
      </c>
      <c r="C1128" s="20">
        <v>50</v>
      </c>
      <c r="D1128" s="20">
        <v>92</v>
      </c>
      <c r="E1128" s="20">
        <v>83</v>
      </c>
      <c r="F1128" s="20" t="s">
        <v>10874</v>
      </c>
      <c r="G1128" s="24" t="str">
        <f ca="1">IFERROR(__xludf.DUMMYFUNCTION("GOOGLETRANSLATE(F1128,""en"",""pt"")"),"sistemas de revestimento do túnel de concreto pulverizado")</f>
        <v>sistemas de revestimento do túnel de concreto pulverizado</v>
      </c>
      <c r="H1128" s="20" t="s">
        <v>10875</v>
      </c>
      <c r="I1128" s="24"/>
    </row>
    <row r="1129" spans="1:9" ht="14.5">
      <c r="A1129" s="20" t="s">
        <v>10876</v>
      </c>
      <c r="B1129" s="20">
        <v>37</v>
      </c>
      <c r="C1129" s="20">
        <v>50</v>
      </c>
      <c r="D1129" s="20">
        <v>92</v>
      </c>
      <c r="E1129" s="20">
        <v>90</v>
      </c>
      <c r="F1129" s="20" t="s">
        <v>10877</v>
      </c>
      <c r="G1129" s="24" t="str">
        <f ca="1">IFERROR(__xludf.DUMMYFUNCTION("GOOGLETRANSLATE(F1129,""en"",""pt"")"),"sistemas de túneis unidade alinhada")</f>
        <v>sistemas de túneis unidade alinhada</v>
      </c>
      <c r="H1129" s="20" t="s">
        <v>10878</v>
      </c>
      <c r="I1129" s="24"/>
    </row>
    <row r="1130" spans="1:9" ht="14.5">
      <c r="A1130" s="20" t="s">
        <v>10879</v>
      </c>
      <c r="B1130" s="20">
        <v>37</v>
      </c>
      <c r="C1130" s="20">
        <v>55</v>
      </c>
      <c r="D1130" s="24"/>
      <c r="E1130" s="24"/>
      <c r="F1130" s="20" t="s">
        <v>10880</v>
      </c>
      <c r="G1130" s="24" t="str">
        <f ca="1">IFERROR(__xludf.DUMMYFUNCTION("GOOGLETRANSLATE(F1130,""en"",""pt"")"),"sistemas de abertura do túnel e do eixo")</f>
        <v>sistemas de abertura do túnel e do eixo</v>
      </c>
      <c r="H1130" s="24"/>
      <c r="I1130" s="24"/>
    </row>
    <row r="1131" spans="1:9" ht="14.5">
      <c r="A1131" s="20" t="s">
        <v>10881</v>
      </c>
      <c r="B1131" s="20">
        <v>37</v>
      </c>
      <c r="C1131" s="20">
        <v>55</v>
      </c>
      <c r="D1131" s="20">
        <v>60</v>
      </c>
      <c r="E1131" s="24"/>
      <c r="F1131" s="20" t="s">
        <v>10882</v>
      </c>
      <c r="G1131" s="24" t="str">
        <f ca="1">IFERROR(__xludf.DUMMYFUNCTION("GOOGLETRANSLATE(F1131,""en"",""pt"")"),"sistemas de armação abertura")</f>
        <v>sistemas de armação abertura</v>
      </c>
      <c r="H1131" s="24"/>
      <c r="I1131" s="24"/>
    </row>
    <row r="1132" spans="1:9" ht="14.5">
      <c r="A1132" s="20" t="s">
        <v>10883</v>
      </c>
      <c r="B1132" s="20">
        <v>37</v>
      </c>
      <c r="C1132" s="20">
        <v>55</v>
      </c>
      <c r="D1132" s="20">
        <v>60</v>
      </c>
      <c r="E1132" s="20">
        <v>90</v>
      </c>
      <c r="F1132" s="20" t="s">
        <v>10884</v>
      </c>
      <c r="G1132" s="24" t="str">
        <f ca="1">IFERROR(__xludf.DUMMYFUNCTION("GOOGLETRANSLATE(F1132,""en"",""pt"")"),"sistemas de armação de abertura de túnel")</f>
        <v>sistemas de armação de abertura de túnel</v>
      </c>
      <c r="H1132" s="24"/>
      <c r="I1132" s="24"/>
    </row>
    <row r="1133" spans="1:9" ht="14.5">
      <c r="A1133" s="20" t="s">
        <v>10885</v>
      </c>
      <c r="B1133" s="20">
        <v>37</v>
      </c>
      <c r="C1133" s="20">
        <v>60</v>
      </c>
      <c r="D1133" s="24"/>
      <c r="E1133" s="24"/>
      <c r="F1133" s="20" t="s">
        <v>10886</v>
      </c>
      <c r="G1133" s="24" t="str">
        <f ca="1">IFERROR(__xludf.DUMMYFUNCTION("GOOGLETRANSLATE(F1133,""en"",""pt"")"),"sistemas acessórios túnel, eixo, vasos e torre")</f>
        <v>sistemas acessórios túnel, eixo, vasos e torre</v>
      </c>
      <c r="H1133" s="24"/>
      <c r="I1133" s="24"/>
    </row>
    <row r="1134" spans="1:9" ht="14.5">
      <c r="A1134" s="20" t="s">
        <v>10887</v>
      </c>
      <c r="B1134" s="20">
        <v>37</v>
      </c>
      <c r="C1134" s="20">
        <v>95</v>
      </c>
      <c r="D1134" s="24"/>
      <c r="E1134" s="24"/>
      <c r="F1134" s="20" t="s">
        <v>10888</v>
      </c>
      <c r="G1134" s="24" t="str">
        <f ca="1">IFERROR(__xludf.DUMMYFUNCTION("GOOGLETRANSLATE(F1134,""en"",""pt"")"),"sistemas túnel temporária, eixo, vasos e torre")</f>
        <v>sistemas túnel temporária, eixo, vasos e torre</v>
      </c>
      <c r="H1134" s="24"/>
      <c r="I1134" s="24"/>
    </row>
    <row r="1135" spans="1:9" ht="14.5">
      <c r="A1135" s="20" t="s">
        <v>10889</v>
      </c>
      <c r="B1135" s="20">
        <v>40</v>
      </c>
      <c r="C1135" s="24"/>
      <c r="D1135" s="24"/>
      <c r="E1135" s="24"/>
      <c r="F1135" s="20" t="s">
        <v>10890</v>
      </c>
      <c r="G1135" s="24" t="str">
        <f ca="1">IFERROR(__xludf.DUMMYFUNCTION("GOOGLETRANSLATE(F1135,""en"",""pt"")"),"Signage, acessórios, mobiliário e equipamentos (FF &amp; E) e sistemas de acabamento geral")</f>
        <v>Signage, acessórios, mobiliário e equipamentos (FF &amp; E) e sistemas de acabamento geral</v>
      </c>
      <c r="H1135" s="24"/>
      <c r="I1135" s="24"/>
    </row>
    <row r="1136" spans="1:9" ht="14.5">
      <c r="A1136" s="20" t="s">
        <v>10891</v>
      </c>
      <c r="B1136" s="20">
        <v>40</v>
      </c>
      <c r="C1136" s="20">
        <v>5</v>
      </c>
      <c r="D1136" s="24"/>
      <c r="E1136" s="24"/>
      <c r="F1136" s="20" t="s">
        <v>10892</v>
      </c>
      <c r="G1136" s="24" t="str">
        <f ca="1">IFERROR(__xludf.DUMMYFUNCTION("GOOGLETRANSLATE(F1136,""en"",""pt"")"),"sistemas modulares")</f>
        <v>sistemas modulares</v>
      </c>
      <c r="H1136" s="24"/>
      <c r="I1136" s="24"/>
    </row>
    <row r="1137" spans="1:9" ht="14.5">
      <c r="A1137" s="20" t="s">
        <v>10893</v>
      </c>
      <c r="B1137" s="20">
        <v>40</v>
      </c>
      <c r="C1137" s="20">
        <v>5</v>
      </c>
      <c r="D1137" s="20">
        <v>80</v>
      </c>
      <c r="E1137" s="24"/>
      <c r="F1137" s="20" t="s">
        <v>10894</v>
      </c>
      <c r="G1137" s="24" t="str">
        <f ca="1">IFERROR(__xludf.DUMMYFUNCTION("GOOGLETRANSLATE(F1137,""en"",""pt"")"),"sistemas modulares sanitárias")</f>
        <v>sistemas modulares sanitárias</v>
      </c>
      <c r="H1137" s="24"/>
      <c r="I1137" s="24"/>
    </row>
    <row r="1138" spans="1:9" ht="14.5">
      <c r="A1138" s="20" t="s">
        <v>10895</v>
      </c>
      <c r="B1138" s="20">
        <v>40</v>
      </c>
      <c r="C1138" s="20">
        <v>5</v>
      </c>
      <c r="D1138" s="20">
        <v>80</v>
      </c>
      <c r="E1138" s="20">
        <v>10</v>
      </c>
      <c r="F1138" s="20" t="s">
        <v>10896</v>
      </c>
      <c r="G1138" s="24" t="str">
        <f ca="1">IFERROR(__xludf.DUMMYFUNCTION("GOOGLETRANSLATE(F1138,""en"",""pt"")"),"sistemas banheiro pod")</f>
        <v>sistemas banheiro pod</v>
      </c>
      <c r="H1138" s="24"/>
      <c r="I1138" s="24"/>
    </row>
    <row r="1139" spans="1:9" ht="14.5">
      <c r="A1139" s="20" t="s">
        <v>10897</v>
      </c>
      <c r="B1139" s="20">
        <v>40</v>
      </c>
      <c r="C1139" s="20">
        <v>10</v>
      </c>
      <c r="D1139" s="24"/>
      <c r="E1139" s="24"/>
      <c r="F1139" s="20" t="s">
        <v>10898</v>
      </c>
      <c r="G1139" s="24" t="str">
        <f ca="1">IFERROR(__xludf.DUMMYFUNCTION("GOOGLETRANSLATE(F1139,""en"",""pt"")"),"sistemas de sinalização")</f>
        <v>sistemas de sinalização</v>
      </c>
      <c r="H1139" s="24"/>
      <c r="I1139" s="24"/>
    </row>
    <row r="1140" spans="1:9" ht="14.5">
      <c r="A1140" s="20" t="s">
        <v>10899</v>
      </c>
      <c r="B1140" s="20">
        <v>40</v>
      </c>
      <c r="C1140" s="20">
        <v>10</v>
      </c>
      <c r="D1140" s="20">
        <v>20</v>
      </c>
      <c r="E1140" s="24"/>
      <c r="F1140" s="20" t="s">
        <v>10900</v>
      </c>
      <c r="G1140" s="24" t="str">
        <f ca="1">IFERROR(__xludf.DUMMYFUNCTION("GOOGLETRANSLATE(F1140,""en"",""pt"")"),"sistemas de direção de sinalização")</f>
        <v>sistemas de direção de sinalização</v>
      </c>
      <c r="H1140" s="24"/>
      <c r="I1140" s="24"/>
    </row>
    <row r="1141" spans="1:9" ht="14.5">
      <c r="A1141" s="20" t="s">
        <v>10901</v>
      </c>
      <c r="B1141" s="20">
        <v>40</v>
      </c>
      <c r="C1141" s="20">
        <v>10</v>
      </c>
      <c r="D1141" s="20">
        <v>20</v>
      </c>
      <c r="E1141" s="20">
        <v>70</v>
      </c>
      <c r="F1141" s="20" t="s">
        <v>10902</v>
      </c>
      <c r="G1141" s="24" t="str">
        <f ca="1">IFERROR(__xludf.DUMMYFUNCTION("GOOGLETRANSLATE(F1141,""en"",""pt"")"),"sistemas marcador de sinalização de rotas")</f>
        <v>sistemas marcador de sinalização de rotas</v>
      </c>
      <c r="H1141" s="24"/>
      <c r="I1141" s="24"/>
    </row>
    <row r="1142" spans="1:9" ht="14.5">
      <c r="A1142" s="20" t="s">
        <v>10903</v>
      </c>
      <c r="B1142" s="20">
        <v>40</v>
      </c>
      <c r="C1142" s="20">
        <v>10</v>
      </c>
      <c r="D1142" s="20">
        <v>20</v>
      </c>
      <c r="E1142" s="20">
        <v>96</v>
      </c>
      <c r="F1142" s="20" t="s">
        <v>10904</v>
      </c>
      <c r="G1142" s="24" t="str">
        <f ca="1">IFERROR(__xludf.DUMMYFUNCTION("GOOGLETRANSLATE(F1142,""en"",""pt"")"),"Wayfinding sistemas de sinalização")</f>
        <v>Wayfinding sistemas de sinalização</v>
      </c>
      <c r="H1142" s="24"/>
      <c r="I1142" s="24"/>
    </row>
    <row r="1143" spans="1:9" ht="14.5">
      <c r="A1143" s="20" t="s">
        <v>10905</v>
      </c>
      <c r="B1143" s="20">
        <v>40</v>
      </c>
      <c r="C1143" s="20">
        <v>10</v>
      </c>
      <c r="D1143" s="20">
        <v>25</v>
      </c>
      <c r="E1143" s="24"/>
      <c r="F1143" s="20" t="s">
        <v>10906</v>
      </c>
      <c r="G1143" s="24" t="str">
        <f ca="1">IFERROR(__xludf.DUMMYFUNCTION("GOOGLETRANSLATE(F1143,""en"",""pt"")"),"sistemas de sinalização e de interpretação externos")</f>
        <v>sistemas de sinalização e de interpretação externos</v>
      </c>
      <c r="H1143" s="24"/>
      <c r="I1143" s="24"/>
    </row>
    <row r="1144" spans="1:9" ht="14.5">
      <c r="A1144" s="20" t="s">
        <v>10907</v>
      </c>
      <c r="B1144" s="20">
        <v>40</v>
      </c>
      <c r="C1144" s="20">
        <v>10</v>
      </c>
      <c r="D1144" s="20">
        <v>25</v>
      </c>
      <c r="E1144" s="20">
        <v>25</v>
      </c>
      <c r="F1144" s="20" t="s">
        <v>10908</v>
      </c>
      <c r="G1144" s="24" t="str">
        <f ca="1">IFERROR(__xludf.DUMMYFUNCTION("GOOGLETRANSLATE(F1144,""en"",""pt"")"),"sistemas de sinalização externos elétricos")</f>
        <v>sistemas de sinalização externos elétricos</v>
      </c>
      <c r="H1144" s="20" t="s">
        <v>10909</v>
      </c>
      <c r="I1144" s="20" t="s">
        <v>10910</v>
      </c>
    </row>
    <row r="1145" spans="1:9" ht="14.5">
      <c r="A1145" s="20" t="s">
        <v>10911</v>
      </c>
      <c r="B1145" s="20">
        <v>40</v>
      </c>
      <c r="C1145" s="20">
        <v>10</v>
      </c>
      <c r="D1145" s="20">
        <v>25</v>
      </c>
      <c r="E1145" s="20">
        <v>30</v>
      </c>
      <c r="F1145" s="20" t="s">
        <v>10912</v>
      </c>
      <c r="G1145" s="24" t="str">
        <f ca="1">IFERROR(__xludf.DUMMYFUNCTION("GOOGLETRANSLATE(F1145,""en"",""pt"")"),"sistemas de sinalização externos fixos")</f>
        <v>sistemas de sinalização externos fixos</v>
      </c>
      <c r="H1145" s="20" t="s">
        <v>10913</v>
      </c>
      <c r="I1145" s="20" t="s">
        <v>10914</v>
      </c>
    </row>
    <row r="1146" spans="1:9" ht="14.5">
      <c r="A1146" s="20" t="s">
        <v>10915</v>
      </c>
      <c r="B1146" s="20">
        <v>40</v>
      </c>
      <c r="C1146" s="20">
        <v>10</v>
      </c>
      <c r="D1146" s="20">
        <v>25</v>
      </c>
      <c r="E1146" s="20">
        <v>32</v>
      </c>
      <c r="F1146" s="20" t="s">
        <v>10916</v>
      </c>
      <c r="G1146" s="24" t="str">
        <f ca="1">IFERROR(__xludf.DUMMYFUNCTION("GOOGLETRANSLATE(F1146,""en"",""pt"")"),"Free-standing sistemas de sinalização arquitectónicos externos")</f>
        <v>Free-standing sistemas de sinalização arquitectónicos externos</v>
      </c>
      <c r="H1146" s="20" t="s">
        <v>10917</v>
      </c>
      <c r="I1146" s="20" t="s">
        <v>10914</v>
      </c>
    </row>
    <row r="1147" spans="1:9" ht="14.5">
      <c r="A1147" s="20" t="s">
        <v>10918</v>
      </c>
      <c r="B1147" s="20">
        <v>40</v>
      </c>
      <c r="C1147" s="20">
        <v>10</v>
      </c>
      <c r="D1147" s="20">
        <v>30</v>
      </c>
      <c r="E1147" s="24"/>
      <c r="F1147" s="20" t="s">
        <v>10919</v>
      </c>
      <c r="G1147" s="24" t="str">
        <f ca="1">IFERROR(__xludf.DUMMYFUNCTION("GOOGLETRANSLATE(F1147,""en"",""pt"")"),"sistemas de sinalização de incêndio e segurança")</f>
        <v>sistemas de sinalização de incêndio e segurança</v>
      </c>
      <c r="H1147" s="24"/>
      <c r="I1147" s="24"/>
    </row>
    <row r="1148" spans="1:9" ht="14.5">
      <c r="A1148" s="20" t="s">
        <v>10920</v>
      </c>
      <c r="B1148" s="20">
        <v>40</v>
      </c>
      <c r="C1148" s="20">
        <v>10</v>
      </c>
      <c r="D1148" s="20">
        <v>30</v>
      </c>
      <c r="E1148" s="20">
        <v>20</v>
      </c>
      <c r="F1148" s="20" t="s">
        <v>10921</v>
      </c>
      <c r="G1148" s="24" t="str">
        <f ca="1">IFERROR(__xludf.DUMMYFUNCTION("GOOGLETRANSLATE(F1148,""en"",""pt"")"),"Emergency 'não entra' sistemas de sinalização")</f>
        <v>Emergency 'não entra' sistemas de sinalização</v>
      </c>
      <c r="H1148" s="24"/>
      <c r="I1148" s="24"/>
    </row>
    <row r="1149" spans="1:9" ht="14.5">
      <c r="A1149" s="20" t="s">
        <v>10922</v>
      </c>
      <c r="B1149" s="20">
        <v>40</v>
      </c>
      <c r="C1149" s="20">
        <v>10</v>
      </c>
      <c r="D1149" s="20">
        <v>30</v>
      </c>
      <c r="E1149" s="20">
        <v>25</v>
      </c>
      <c r="F1149" s="20" t="s">
        <v>10923</v>
      </c>
      <c r="G1149" s="24" t="str">
        <f ca="1">IFERROR(__xludf.DUMMYFUNCTION("GOOGLETRANSLATE(F1149,""en"",""pt"")"),"Evacuação e sistemas condição de sinalização de segurança")</f>
        <v>Evacuação e sistemas condição de sinalização de segurança</v>
      </c>
      <c r="H1149" s="20" t="s">
        <v>10924</v>
      </c>
      <c r="I1149" s="24"/>
    </row>
    <row r="1150" spans="1:9" ht="14.5">
      <c r="A1150" s="20" t="s">
        <v>10925</v>
      </c>
      <c r="B1150" s="20">
        <v>40</v>
      </c>
      <c r="C1150" s="20">
        <v>10</v>
      </c>
      <c r="D1150" s="20">
        <v>30</v>
      </c>
      <c r="E1150" s="20">
        <v>27</v>
      </c>
      <c r="F1150" s="20" t="s">
        <v>10926</v>
      </c>
      <c r="G1150" s="24" t="str">
        <f ca="1">IFERROR(__xludf.DUMMYFUNCTION("GOOGLETRANSLATE(F1150,""en"",""pt"")"),"sistemas de orientação de evacuação e vias de segurança")</f>
        <v>sistemas de orientação de evacuação e vias de segurança</v>
      </c>
      <c r="H1150" s="20" t="s">
        <v>10927</v>
      </c>
      <c r="I1150" s="24"/>
    </row>
    <row r="1151" spans="1:9" ht="14.5">
      <c r="A1151" s="20" t="s">
        <v>10928</v>
      </c>
      <c r="B1151" s="20">
        <v>40</v>
      </c>
      <c r="C1151" s="20">
        <v>10</v>
      </c>
      <c r="D1151" s="20">
        <v>30</v>
      </c>
      <c r="E1151" s="20">
        <v>30</v>
      </c>
      <c r="F1151" s="20" t="s">
        <v>10929</v>
      </c>
      <c r="G1151" s="24" t="str">
        <f ca="1">IFERROR(__xludf.DUMMYFUNCTION("GOOGLETRANSLATE(F1151,""en"",""pt"")"),"sistemas de sinalização de incêndio")</f>
        <v>sistemas de sinalização de incêndio</v>
      </c>
      <c r="H1151" s="24"/>
      <c r="I1151" s="24"/>
    </row>
    <row r="1152" spans="1:9" ht="14.5">
      <c r="A1152" s="20" t="s">
        <v>10930</v>
      </c>
      <c r="B1152" s="20">
        <v>40</v>
      </c>
      <c r="C1152" s="20">
        <v>10</v>
      </c>
      <c r="D1152" s="20">
        <v>30</v>
      </c>
      <c r="E1152" s="20">
        <v>36</v>
      </c>
      <c r="F1152" s="20" t="s">
        <v>10931</v>
      </c>
      <c r="G1152" s="24" t="str">
        <f ca="1">IFERROR(__xludf.DUMMYFUNCTION("GOOGLETRANSLATE(F1152,""en"",""pt"")"),"sistemas de sinalização de perigo")</f>
        <v>sistemas de sinalização de perigo</v>
      </c>
      <c r="H1152" s="24"/>
      <c r="I1152" s="24"/>
    </row>
    <row r="1153" spans="1:9" ht="14.5">
      <c r="A1153" s="20" t="s">
        <v>10932</v>
      </c>
      <c r="B1153" s="20">
        <v>40</v>
      </c>
      <c r="C1153" s="20">
        <v>10</v>
      </c>
      <c r="D1153" s="20">
        <v>30</v>
      </c>
      <c r="E1153" s="20">
        <v>70</v>
      </c>
      <c r="F1153" s="20" t="s">
        <v>10933</v>
      </c>
      <c r="G1153" s="24" t="str">
        <f ca="1">IFERROR(__xludf.DUMMYFUNCTION("GOOGLETRANSLATE(F1153,""en"",""pt"")"),"sistemas de sinalização reguladoras")</f>
        <v>sistemas de sinalização reguladoras</v>
      </c>
      <c r="H1153" s="24"/>
      <c r="I1153" s="24"/>
    </row>
    <row r="1154" spans="1:9" ht="14.5">
      <c r="A1154" s="20" t="s">
        <v>10934</v>
      </c>
      <c r="B1154" s="20">
        <v>40</v>
      </c>
      <c r="C1154" s="20">
        <v>10</v>
      </c>
      <c r="D1154" s="20">
        <v>30</v>
      </c>
      <c r="E1154" s="20">
        <v>75</v>
      </c>
      <c r="F1154" s="20" t="s">
        <v>10935</v>
      </c>
      <c r="G1154" s="24" t="str">
        <f ca="1">IFERROR(__xludf.DUMMYFUNCTION("GOOGLETRANSLATE(F1154,""en"",""pt"")"),"sistemas de sinalização de segurança")</f>
        <v>sistemas de sinalização de segurança</v>
      </c>
      <c r="H1154" s="20" t="s">
        <v>10936</v>
      </c>
      <c r="I1154" s="20" t="s">
        <v>10937</v>
      </c>
    </row>
    <row r="1155" spans="1:9" ht="14.5">
      <c r="A1155" s="20" t="s">
        <v>10938</v>
      </c>
      <c r="B1155" s="20">
        <v>40</v>
      </c>
      <c r="C1155" s="20">
        <v>10</v>
      </c>
      <c r="D1155" s="20">
        <v>30</v>
      </c>
      <c r="E1155" s="20">
        <v>93</v>
      </c>
      <c r="F1155" s="20" t="s">
        <v>10939</v>
      </c>
      <c r="G1155" s="24" t="str">
        <f ca="1">IFERROR(__xludf.DUMMYFUNCTION("GOOGLETRANSLATE(F1155,""en"",""pt"")"),"Aviso sistemas de sinalização")</f>
        <v>Aviso sistemas de sinalização</v>
      </c>
      <c r="H1155" s="24"/>
      <c r="I1155" s="24"/>
    </row>
    <row r="1156" spans="1:9" ht="14.5">
      <c r="A1156" s="20" t="s">
        <v>10940</v>
      </c>
      <c r="B1156" s="20">
        <v>40</v>
      </c>
      <c r="C1156" s="20">
        <v>10</v>
      </c>
      <c r="D1156" s="20">
        <v>30</v>
      </c>
      <c r="E1156" s="20">
        <v>95</v>
      </c>
      <c r="F1156" s="20" t="s">
        <v>10941</v>
      </c>
      <c r="G1156" s="24" t="str">
        <f ca="1">IFERROR(__xludf.DUMMYFUNCTION("GOOGLETRANSLATE(F1156,""en"",""pt"")"),"sistemas de sinalização de segurança da água")</f>
        <v>sistemas de sinalização de segurança da água</v>
      </c>
      <c r="H1156" s="20" t="s">
        <v>10942</v>
      </c>
      <c r="I1156" s="24"/>
    </row>
    <row r="1157" spans="1:9" ht="14.5">
      <c r="A1157" s="20" t="s">
        <v>10943</v>
      </c>
      <c r="B1157" s="20">
        <v>40</v>
      </c>
      <c r="C1157" s="20">
        <v>10</v>
      </c>
      <c r="D1157" s="20">
        <v>35</v>
      </c>
      <c r="E1157" s="24"/>
      <c r="F1157" s="20" t="s">
        <v>10944</v>
      </c>
      <c r="G1157" s="24" t="str">
        <f ca="1">IFERROR(__xludf.DUMMYFUNCTION("GOOGLETRANSLATE(F1157,""en"",""pt"")"),"sistemas de sinalização de identificação")</f>
        <v>sistemas de sinalização de identificação</v>
      </c>
      <c r="H1157" s="24"/>
      <c r="I1157" s="24"/>
    </row>
    <row r="1158" spans="1:9" ht="14.5">
      <c r="A1158" s="20" t="s">
        <v>10945</v>
      </c>
      <c r="B1158" s="20">
        <v>40</v>
      </c>
      <c r="C1158" s="20">
        <v>10</v>
      </c>
      <c r="D1158" s="20">
        <v>35</v>
      </c>
      <c r="E1158" s="20">
        <v>10</v>
      </c>
      <c r="F1158" s="20" t="s">
        <v>10946</v>
      </c>
      <c r="G1158" s="24" t="str">
        <f ca="1">IFERROR(__xludf.DUMMYFUNCTION("GOOGLETRANSLATE(F1158,""en"",""pt"")"),"Construção de sistemas de sinalização")</f>
        <v>Construção de sistemas de sinalização</v>
      </c>
      <c r="H1158" s="24"/>
      <c r="I1158" s="24"/>
    </row>
    <row r="1159" spans="1:9" ht="14.5">
      <c r="A1159" s="20" t="s">
        <v>10947</v>
      </c>
      <c r="B1159" s="20">
        <v>40</v>
      </c>
      <c r="C1159" s="20">
        <v>10</v>
      </c>
      <c r="D1159" s="20">
        <v>35</v>
      </c>
      <c r="E1159" s="20">
        <v>70</v>
      </c>
      <c r="F1159" s="20" t="s">
        <v>10948</v>
      </c>
      <c r="G1159" s="24" t="str">
        <f ca="1">IFERROR(__xludf.DUMMYFUNCTION("GOOGLETRANSLATE(F1159,""en"",""pt"")"),"sistemas de sinalização quarto")</f>
        <v>sistemas de sinalização quarto</v>
      </c>
      <c r="H1159" s="24"/>
      <c r="I1159" s="24"/>
    </row>
    <row r="1160" spans="1:9" ht="14.5">
      <c r="A1160" s="20" t="s">
        <v>10949</v>
      </c>
      <c r="B1160" s="20">
        <v>40</v>
      </c>
      <c r="C1160" s="20">
        <v>10</v>
      </c>
      <c r="D1160" s="20">
        <v>35</v>
      </c>
      <c r="E1160" s="20">
        <v>80</v>
      </c>
      <c r="F1160" s="20" t="s">
        <v>10950</v>
      </c>
      <c r="G1160" s="24" t="str">
        <f ca="1">IFERROR(__xludf.DUMMYFUNCTION("GOOGLETRANSLATE(F1160,""en"",""pt"")"),"sistemas de espaços de sinalização")</f>
        <v>sistemas de espaços de sinalização</v>
      </c>
      <c r="H1160" s="24"/>
      <c r="I1160" s="24"/>
    </row>
    <row r="1161" spans="1:9" ht="14.5">
      <c r="A1161" s="20" t="s">
        <v>10951</v>
      </c>
      <c r="B1161" s="20">
        <v>40</v>
      </c>
      <c r="C1161" s="20">
        <v>10</v>
      </c>
      <c r="D1161" s="20">
        <v>40</v>
      </c>
      <c r="E1161" s="24"/>
      <c r="F1161" s="20" t="s">
        <v>10952</v>
      </c>
      <c r="G1161" s="24" t="str">
        <f ca="1">IFERROR(__xludf.DUMMYFUNCTION("GOOGLETRANSLATE(F1161,""en"",""pt"")"),"sistemas de sinalização arquitectónicas internas")</f>
        <v>sistemas de sinalização arquitectónicas internas</v>
      </c>
      <c r="H1161" s="24"/>
      <c r="I1161" s="24"/>
    </row>
    <row r="1162" spans="1:9" ht="14.5">
      <c r="A1162" s="20" t="s">
        <v>10953</v>
      </c>
      <c r="B1162" s="20">
        <v>40</v>
      </c>
      <c r="C1162" s="20">
        <v>10</v>
      </c>
      <c r="D1162" s="20">
        <v>40</v>
      </c>
      <c r="E1162" s="20">
        <v>25</v>
      </c>
      <c r="F1162" s="20" t="s">
        <v>10954</v>
      </c>
      <c r="G1162" s="24" t="str">
        <f ca="1">IFERROR(__xludf.DUMMYFUNCTION("GOOGLETRANSLATE(F1162,""en"",""pt"")"),"sistemas de sinalização arquitectónicos internos elétricos")</f>
        <v>sistemas de sinalização arquitectónicos internos elétricos</v>
      </c>
      <c r="H1162" s="20" t="s">
        <v>10955</v>
      </c>
      <c r="I1162" s="20" t="s">
        <v>10956</v>
      </c>
    </row>
    <row r="1163" spans="1:9" ht="14.5">
      <c r="A1163" s="20" t="s">
        <v>10957</v>
      </c>
      <c r="B1163" s="20">
        <v>40</v>
      </c>
      <c r="C1163" s="20">
        <v>10</v>
      </c>
      <c r="D1163" s="20">
        <v>40</v>
      </c>
      <c r="E1163" s="20">
        <v>30</v>
      </c>
      <c r="F1163" s="20" t="s">
        <v>10958</v>
      </c>
      <c r="G1163" s="24" t="str">
        <f ca="1">IFERROR(__xludf.DUMMYFUNCTION("GOOGLETRANSLATE(F1163,""en"",""pt"")"),"sistemas de sinalização arquitectónicos internos fixos")</f>
        <v>sistemas de sinalização arquitectónicos internos fixos</v>
      </c>
      <c r="H1163" s="20" t="s">
        <v>10959</v>
      </c>
      <c r="I1163" s="20" t="s">
        <v>10960</v>
      </c>
    </row>
    <row r="1164" spans="1:9" ht="14.5">
      <c r="A1164" s="20" t="s">
        <v>10961</v>
      </c>
      <c r="B1164" s="20">
        <v>40</v>
      </c>
      <c r="C1164" s="20">
        <v>10</v>
      </c>
      <c r="D1164" s="20">
        <v>40</v>
      </c>
      <c r="E1164" s="20">
        <v>32</v>
      </c>
      <c r="F1164" s="20" t="s">
        <v>10962</v>
      </c>
      <c r="G1164" s="24" t="str">
        <f ca="1">IFERROR(__xludf.DUMMYFUNCTION("GOOGLETRANSLATE(F1164,""en"",""pt"")"),"Free-standing sistemas de sinalização arquitectónicas internas")</f>
        <v>Free-standing sistemas de sinalização arquitectónicas internas</v>
      </c>
      <c r="H1164" s="20" t="s">
        <v>10963</v>
      </c>
      <c r="I1164" s="20" t="s">
        <v>10960</v>
      </c>
    </row>
    <row r="1165" spans="1:9" ht="14.5">
      <c r="A1165" s="20" t="s">
        <v>10964</v>
      </c>
      <c r="B1165" s="20">
        <v>40</v>
      </c>
      <c r="C1165" s="20">
        <v>10</v>
      </c>
      <c r="D1165" s="20">
        <v>50</v>
      </c>
      <c r="E1165" s="24"/>
      <c r="F1165" s="20" t="s">
        <v>10965</v>
      </c>
      <c r="G1165" s="24" t="str">
        <f ca="1">IFERROR(__xludf.DUMMYFUNCTION("GOOGLETRANSLATE(F1165,""en"",""pt"")"),"sistemas de informação de sinalização")</f>
        <v>sistemas de informação de sinalização</v>
      </c>
      <c r="H1165" s="24"/>
      <c r="I1165" s="24"/>
    </row>
    <row r="1166" spans="1:9" ht="14.5">
      <c r="A1166" s="20" t="s">
        <v>10966</v>
      </c>
      <c r="B1166" s="20">
        <v>40</v>
      </c>
      <c r="C1166" s="20">
        <v>10</v>
      </c>
      <c r="D1166" s="20">
        <v>50</v>
      </c>
      <c r="E1166" s="20">
        <v>3</v>
      </c>
      <c r="F1166" s="20" t="s">
        <v>10967</v>
      </c>
      <c r="G1166" s="24" t="str">
        <f ca="1">IFERROR(__xludf.DUMMYFUNCTION("GOOGLETRANSLATE(F1166,""en"",""pt"")"),"Publicidade sistemas de sinalização")</f>
        <v>Publicidade sistemas de sinalização</v>
      </c>
      <c r="H1166" s="24"/>
      <c r="I1166" s="24"/>
    </row>
    <row r="1167" spans="1:9" ht="14.5">
      <c r="A1167" s="20" t="s">
        <v>10968</v>
      </c>
      <c r="B1167" s="20">
        <v>40</v>
      </c>
      <c r="C1167" s="20">
        <v>10</v>
      </c>
      <c r="D1167" s="20">
        <v>50</v>
      </c>
      <c r="E1167" s="20">
        <v>5</v>
      </c>
      <c r="F1167" s="20" t="s">
        <v>10969</v>
      </c>
      <c r="G1167" s="24" t="str">
        <f ca="1">IFERROR(__xludf.DUMMYFUNCTION("GOOGLETRANSLATE(F1167,""en"",""pt"")"),"sistemas de sinalização Advisory")</f>
        <v>sistemas de sinalização Advisory</v>
      </c>
      <c r="H1167" s="24"/>
      <c r="I1167" s="24"/>
    </row>
    <row r="1168" spans="1:9" ht="14.5">
      <c r="A1168" s="20" t="s">
        <v>10970</v>
      </c>
      <c r="B1168" s="20">
        <v>40</v>
      </c>
      <c r="C1168" s="20">
        <v>10</v>
      </c>
      <c r="D1168" s="20">
        <v>50</v>
      </c>
      <c r="E1168" s="20">
        <v>22</v>
      </c>
      <c r="F1168" s="20" t="s">
        <v>10971</v>
      </c>
      <c r="G1168" s="24" t="str">
        <f ca="1">IFERROR(__xludf.DUMMYFUNCTION("GOOGLETRANSLATE(F1168,""en"",""pt"")"),"sistemas de sinalização descritiva")</f>
        <v>sistemas de sinalização descritiva</v>
      </c>
      <c r="H1168" s="24"/>
      <c r="I1168" s="24"/>
    </row>
    <row r="1169" spans="1:9" ht="14.5">
      <c r="A1169" s="20" t="s">
        <v>10972</v>
      </c>
      <c r="B1169" s="20">
        <v>40</v>
      </c>
      <c r="C1169" s="20">
        <v>10</v>
      </c>
      <c r="D1169" s="20">
        <v>50</v>
      </c>
      <c r="E1169" s="20">
        <v>24</v>
      </c>
      <c r="F1169" s="20" t="s">
        <v>10973</v>
      </c>
      <c r="G1169" s="24" t="str">
        <f ca="1">IFERROR(__xludf.DUMMYFUNCTION("GOOGLETRANSLATE(F1169,""en"",""pt"")"),"sistemas de sinalização de diretório")</f>
        <v>sistemas de sinalização de diretório</v>
      </c>
      <c r="H1169" s="24"/>
      <c r="I1169" s="24"/>
    </row>
    <row r="1170" spans="1:9" ht="14.5">
      <c r="A1170" s="20" t="s">
        <v>10974</v>
      </c>
      <c r="B1170" s="20">
        <v>40</v>
      </c>
      <c r="C1170" s="20">
        <v>10</v>
      </c>
      <c r="D1170" s="20">
        <v>50</v>
      </c>
      <c r="E1170" s="20">
        <v>42</v>
      </c>
      <c r="F1170" s="20" t="s">
        <v>10975</v>
      </c>
      <c r="G1170" s="24" t="str">
        <f ca="1">IFERROR(__xludf.DUMMYFUNCTION("GOOGLETRANSLATE(F1170,""en"",""pt"")"),"sistemas de sinalização interpretativas")</f>
        <v>sistemas de sinalização interpretativas</v>
      </c>
      <c r="H1170" s="24"/>
      <c r="I1170" s="24"/>
    </row>
    <row r="1171" spans="1:9" ht="14.5">
      <c r="A1171" s="20" t="s">
        <v>10976</v>
      </c>
      <c r="B1171" s="20">
        <v>40</v>
      </c>
      <c r="C1171" s="20">
        <v>10</v>
      </c>
      <c r="D1171" s="20">
        <v>90</v>
      </c>
      <c r="E1171" s="24"/>
      <c r="F1171" s="20" t="s">
        <v>10977</v>
      </c>
      <c r="G1171" s="24" t="str">
        <f ca="1">IFERROR(__xludf.DUMMYFUNCTION("GOOGLETRANSLATE(F1171,""en"",""pt"")"),"sinalização de tráfego e sistemas de marcação")</f>
        <v>sinalização de tráfego e sistemas de marcação</v>
      </c>
      <c r="H1171" s="24"/>
      <c r="I1171" s="24"/>
    </row>
    <row r="1172" spans="1:9" ht="14.5">
      <c r="A1172" s="20" t="s">
        <v>10978</v>
      </c>
      <c r="B1172" s="20">
        <v>40</v>
      </c>
      <c r="C1172" s="20">
        <v>10</v>
      </c>
      <c r="D1172" s="20">
        <v>90</v>
      </c>
      <c r="E1172" s="20">
        <v>3</v>
      </c>
      <c r="F1172" s="20" t="s">
        <v>10979</v>
      </c>
      <c r="G1172" s="24" t="str">
        <f ca="1">IFERROR(__xludf.DUMMYFUNCTION("GOOGLETRANSLATE(F1172,""en"",""pt"")"),"sistemas de sinalização de tráfego aéreo")</f>
        <v>sistemas de sinalização de tráfego aéreo</v>
      </c>
      <c r="H1172" s="24"/>
      <c r="I1172" s="24"/>
    </row>
    <row r="1173" spans="1:9" ht="14.5">
      <c r="A1173" s="20" t="s">
        <v>10980</v>
      </c>
      <c r="B1173" s="20">
        <v>40</v>
      </c>
      <c r="C1173" s="20">
        <v>10</v>
      </c>
      <c r="D1173" s="20">
        <v>90</v>
      </c>
      <c r="E1173" s="20">
        <v>18</v>
      </c>
      <c r="F1173" s="20" t="s">
        <v>10981</v>
      </c>
      <c r="G1173" s="24" t="str">
        <f ca="1">IFERROR(__xludf.DUMMYFUNCTION("GOOGLETRANSLATE(F1173,""en"",""pt"")"),"Cruzando sistemas de marcação de estradas")</f>
        <v>Cruzando sistemas de marcação de estradas</v>
      </c>
      <c r="H1173" s="24"/>
      <c r="I1173" s="24"/>
    </row>
    <row r="1174" spans="1:9" ht="14.5">
      <c r="A1174" s="20" t="s">
        <v>10982</v>
      </c>
      <c r="B1174" s="20">
        <v>40</v>
      </c>
      <c r="C1174" s="20">
        <v>10</v>
      </c>
      <c r="D1174" s="20">
        <v>90</v>
      </c>
      <c r="E1174" s="20">
        <v>20</v>
      </c>
      <c r="F1174" s="20" t="s">
        <v>10983</v>
      </c>
      <c r="G1174" s="24" t="str">
        <f ca="1">IFERROR(__xludf.DUMMYFUNCTION("GOOGLETRANSLATE(F1174,""en"",""pt"")"),"sistemas de sinalização de trânsito ciclo")</f>
        <v>sistemas de sinalização de trânsito ciclo</v>
      </c>
      <c r="H1174" s="24"/>
      <c r="I1174" s="24"/>
    </row>
    <row r="1175" spans="1:9" ht="14.5">
      <c r="A1175" s="20" t="s">
        <v>10984</v>
      </c>
      <c r="B1175" s="20">
        <v>40</v>
      </c>
      <c r="C1175" s="20">
        <v>10</v>
      </c>
      <c r="D1175" s="20">
        <v>90</v>
      </c>
      <c r="E1175" s="20">
        <v>23</v>
      </c>
      <c r="F1175" s="20" t="s">
        <v>10985</v>
      </c>
      <c r="G1175" s="24" t="str">
        <f ca="1">IFERROR(__xludf.DUMMYFUNCTION("GOOGLETRANSLATE(F1175,""en"",""pt"")"),"sistemas de marcação de estradas diagramáticas")</f>
        <v>sistemas de marcação de estradas diagramáticas</v>
      </c>
      <c r="H1175" s="24"/>
      <c r="I1175" s="24"/>
    </row>
    <row r="1176" spans="1:9" ht="14.5">
      <c r="A1176" s="20" t="s">
        <v>10986</v>
      </c>
      <c r="B1176" s="20">
        <v>40</v>
      </c>
      <c r="C1176" s="20">
        <v>10</v>
      </c>
      <c r="D1176" s="20">
        <v>90</v>
      </c>
      <c r="E1176" s="20">
        <v>36</v>
      </c>
      <c r="F1176" s="20" t="s">
        <v>10987</v>
      </c>
      <c r="G1176" s="24" t="str">
        <f ca="1">IFERROR(__xludf.DUMMYFUNCTION("GOOGLETRANSLATE(F1176,""en"",""pt"")"),"sistemas de marcação de estradas eclodidos")</f>
        <v>sistemas de marcação de estradas eclodidos</v>
      </c>
      <c r="H1176" s="24"/>
      <c r="I1176" s="24"/>
    </row>
    <row r="1177" spans="1:9" ht="14.5">
      <c r="A1177" s="20" t="s">
        <v>10988</v>
      </c>
      <c r="B1177" s="20">
        <v>40</v>
      </c>
      <c r="C1177" s="20">
        <v>10</v>
      </c>
      <c r="D1177" s="20">
        <v>90</v>
      </c>
      <c r="E1177" s="20">
        <v>50</v>
      </c>
      <c r="F1177" s="20" t="s">
        <v>10989</v>
      </c>
      <c r="G1177" s="24" t="str">
        <f ca="1">IFERROR(__xludf.DUMMYFUNCTION("GOOGLETRANSLATE(F1177,""en"",""pt"")"),"sistemas de sinalização de tráfego marítimo")</f>
        <v>sistemas de sinalização de tráfego marítimo</v>
      </c>
      <c r="H1177" s="24"/>
      <c r="I1177" s="24"/>
    </row>
    <row r="1178" spans="1:9" ht="14.5">
      <c r="A1178" s="20" t="s">
        <v>10990</v>
      </c>
      <c r="B1178" s="20">
        <v>40</v>
      </c>
      <c r="C1178" s="20">
        <v>10</v>
      </c>
      <c r="D1178" s="20">
        <v>90</v>
      </c>
      <c r="E1178" s="20">
        <v>70</v>
      </c>
      <c r="F1178" s="20" t="s">
        <v>10991</v>
      </c>
      <c r="G1178" s="24" t="str">
        <f ca="1">IFERROR(__xludf.DUMMYFUNCTION("GOOGLETRANSLATE(F1178,""en"",""pt"")"),"sistemas de sinalização do tráfego ferroviário")</f>
        <v>sistemas de sinalização do tráfego ferroviário</v>
      </c>
      <c r="H1178" s="24"/>
      <c r="I1178" s="24"/>
    </row>
    <row r="1179" spans="1:9" ht="14.5">
      <c r="A1179" s="20" t="s">
        <v>10992</v>
      </c>
      <c r="B1179" s="20">
        <v>40</v>
      </c>
      <c r="C1179" s="20">
        <v>10</v>
      </c>
      <c r="D1179" s="20">
        <v>90</v>
      </c>
      <c r="E1179" s="20">
        <v>72</v>
      </c>
      <c r="F1179" s="20" t="s">
        <v>10993</v>
      </c>
      <c r="G1179" s="24" t="str">
        <f ca="1">IFERROR(__xludf.DUMMYFUNCTION("GOOGLETRANSLATE(F1179,""en"",""pt"")"),"sistemas de sinalização de tráfego rodoviário")</f>
        <v>sistemas de sinalização de tráfego rodoviário</v>
      </c>
      <c r="H1179" s="24"/>
      <c r="I1179" s="24"/>
    </row>
    <row r="1180" spans="1:9" ht="14.5">
      <c r="A1180" s="20" t="s">
        <v>10994</v>
      </c>
      <c r="B1180" s="20">
        <v>40</v>
      </c>
      <c r="C1180" s="20">
        <v>15</v>
      </c>
      <c r="D1180" s="24"/>
      <c r="E1180" s="24"/>
      <c r="F1180" s="20" t="s">
        <v>10995</v>
      </c>
      <c r="G1180" s="24" t="str">
        <f ca="1">IFERROR(__xludf.DUMMYFUNCTION("GOOGLETRANSLATE(F1180,""en"",""pt"")"),"acessórios gerais, mobiliário e equipamentos (FF &amp; E) sistemas")</f>
        <v>acessórios gerais, mobiliário e equipamentos (FF &amp; E) sistemas</v>
      </c>
      <c r="H1180" s="24"/>
      <c r="I1180" s="24"/>
    </row>
    <row r="1181" spans="1:9" ht="14.5">
      <c r="A1181" s="20" t="s">
        <v>10996</v>
      </c>
      <c r="B1181" s="20">
        <v>40</v>
      </c>
      <c r="C1181" s="20">
        <v>15</v>
      </c>
      <c r="D1181" s="20">
        <v>25</v>
      </c>
      <c r="E1181" s="24"/>
      <c r="F1181" s="20" t="s">
        <v>10997</v>
      </c>
      <c r="G1181" s="24" t="str">
        <f ca="1">IFERROR(__xludf.DUMMYFUNCTION("GOOGLETRANSLATE(F1181,""en"",""pt"")"),"sistemas Catering FF &amp; E")</f>
        <v>sistemas Catering FF &amp; E</v>
      </c>
      <c r="H1181" s="24"/>
      <c r="I1181" s="24"/>
    </row>
    <row r="1182" spans="1:9" ht="14.5">
      <c r="A1182" s="20" t="s">
        <v>10998</v>
      </c>
      <c r="B1182" s="20">
        <v>40</v>
      </c>
      <c r="C1182" s="20">
        <v>15</v>
      </c>
      <c r="D1182" s="20">
        <v>25</v>
      </c>
      <c r="E1182" s="20">
        <v>15</v>
      </c>
      <c r="F1182" s="20" t="s">
        <v>10999</v>
      </c>
      <c r="G1182" s="24" t="str">
        <f ca="1">IFERROR(__xludf.DUMMYFUNCTION("GOOGLETRANSLATE(F1182,""en"",""pt"")"),"sistemas de restauração comercial FF &amp; E")</f>
        <v>sistemas de restauração comercial FF &amp; E</v>
      </c>
      <c r="H1182" s="20" t="s">
        <v>11000</v>
      </c>
      <c r="I1182" s="20" t="s">
        <v>11001</v>
      </c>
    </row>
    <row r="1183" spans="1:9" ht="14.5">
      <c r="A1183" s="20" t="s">
        <v>11002</v>
      </c>
      <c r="B1183" s="20">
        <v>40</v>
      </c>
      <c r="C1183" s="20">
        <v>15</v>
      </c>
      <c r="D1183" s="20">
        <v>25</v>
      </c>
      <c r="E1183" s="20">
        <v>20</v>
      </c>
      <c r="F1183" s="20" t="s">
        <v>11003</v>
      </c>
      <c r="G1183" s="24" t="str">
        <f ca="1">IFERROR(__xludf.DUMMYFUNCTION("GOOGLETRANSLATE(F1183,""en"",""pt"")"),"sistemas de catering doméstica FF &amp; E")</f>
        <v>sistemas de catering doméstica FF &amp; E</v>
      </c>
      <c r="H1183" s="20" t="s">
        <v>11004</v>
      </c>
      <c r="I1183" s="20" t="s">
        <v>11005</v>
      </c>
    </row>
    <row r="1184" spans="1:9" ht="14.5">
      <c r="A1184" s="20" t="s">
        <v>11006</v>
      </c>
      <c r="B1184" s="20">
        <v>40</v>
      </c>
      <c r="C1184" s="20">
        <v>15</v>
      </c>
      <c r="D1184" s="20">
        <v>35</v>
      </c>
      <c r="E1184" s="24"/>
      <c r="F1184" s="20" t="s">
        <v>11007</v>
      </c>
      <c r="G1184" s="24" t="str">
        <f ca="1">IFERROR(__xludf.DUMMYFUNCTION("GOOGLETRANSLATE(F1184,""en"",""pt"")"),"Geral e sistemas de FF &amp; E marcenaria")</f>
        <v>Geral e sistemas de FF &amp; E marcenaria</v>
      </c>
      <c r="H1184" s="24"/>
      <c r="I1184" s="24"/>
    </row>
    <row r="1185" spans="1:9" ht="14.5">
      <c r="A1185" s="20" t="s">
        <v>11008</v>
      </c>
      <c r="B1185" s="20">
        <v>40</v>
      </c>
      <c r="C1185" s="20">
        <v>15</v>
      </c>
      <c r="D1185" s="20">
        <v>35</v>
      </c>
      <c r="E1185" s="20">
        <v>35</v>
      </c>
      <c r="F1185" s="20" t="s">
        <v>11009</v>
      </c>
      <c r="G1185" s="24" t="str">
        <f ca="1">IFERROR(__xludf.DUMMYFUNCTION("GOOGLETRANSLATE(F1185,""en"",""pt"")"),"sistemas Geral FF &amp; E")</f>
        <v>sistemas Geral FF &amp; E</v>
      </c>
      <c r="H1185" s="20" t="s">
        <v>11010</v>
      </c>
      <c r="I1185" s="20" t="s">
        <v>9464</v>
      </c>
    </row>
    <row r="1186" spans="1:9" ht="14.5">
      <c r="A1186" s="20" t="s">
        <v>11011</v>
      </c>
      <c r="B1186" s="20">
        <v>40</v>
      </c>
      <c r="C1186" s="20">
        <v>15</v>
      </c>
      <c r="D1186" s="20">
        <v>35</v>
      </c>
      <c r="E1186" s="20">
        <v>50</v>
      </c>
      <c r="F1186" s="20" t="s">
        <v>11012</v>
      </c>
      <c r="G1186" s="24" t="str">
        <f ca="1">IFERROR(__xludf.DUMMYFUNCTION("GOOGLETRANSLATE(F1186,""en"",""pt"")"),"sistemas menores marcenaria")</f>
        <v>sistemas menores marcenaria</v>
      </c>
      <c r="H1186" s="20" t="s">
        <v>11013</v>
      </c>
      <c r="I1186" s="20" t="s">
        <v>9464</v>
      </c>
    </row>
    <row r="1187" spans="1:9" ht="14.5">
      <c r="A1187" s="20" t="s">
        <v>11014</v>
      </c>
      <c r="B1187" s="20">
        <v>40</v>
      </c>
      <c r="C1187" s="20">
        <v>15</v>
      </c>
      <c r="D1187" s="20">
        <v>46</v>
      </c>
      <c r="E1187" s="24"/>
      <c r="F1187" s="20" t="s">
        <v>11015</v>
      </c>
      <c r="G1187" s="24" t="str">
        <f ca="1">IFERROR(__xludf.DUMMYFUNCTION("GOOGLETRANSLATE(F1187,""en"",""pt"")"),"sistemas Lavandaria FF &amp; E")</f>
        <v>sistemas Lavandaria FF &amp; E</v>
      </c>
      <c r="H1187" s="24"/>
      <c r="I1187" s="24"/>
    </row>
    <row r="1188" spans="1:9" ht="14.5">
      <c r="A1188" s="20" t="s">
        <v>11016</v>
      </c>
      <c r="B1188" s="20">
        <v>40</v>
      </c>
      <c r="C1188" s="20">
        <v>15</v>
      </c>
      <c r="D1188" s="20">
        <v>46</v>
      </c>
      <c r="E1188" s="20">
        <v>15</v>
      </c>
      <c r="F1188" s="20" t="s">
        <v>11017</v>
      </c>
      <c r="G1188" s="24" t="str">
        <f ca="1">IFERROR(__xludf.DUMMYFUNCTION("GOOGLETRANSLATE(F1188,""en"",""pt"")"),"sistemas de lavanderia comercial FF &amp; E")</f>
        <v>sistemas de lavanderia comercial FF &amp; E</v>
      </c>
      <c r="H1188" s="20" t="s">
        <v>11018</v>
      </c>
      <c r="I1188" s="20" t="s">
        <v>11001</v>
      </c>
    </row>
    <row r="1189" spans="1:9" ht="14.5">
      <c r="A1189" s="20" t="s">
        <v>11019</v>
      </c>
      <c r="B1189" s="20">
        <v>40</v>
      </c>
      <c r="C1189" s="20">
        <v>15</v>
      </c>
      <c r="D1189" s="20">
        <v>46</v>
      </c>
      <c r="E1189" s="20">
        <v>20</v>
      </c>
      <c r="F1189" s="20" t="s">
        <v>11020</v>
      </c>
      <c r="G1189" s="24" t="str">
        <f ca="1">IFERROR(__xludf.DUMMYFUNCTION("GOOGLETRANSLATE(F1189,""en"",""pt"")"),"sistemas FF &amp; E lavandaria domésticos")</f>
        <v>sistemas FF &amp; E lavandaria domésticos</v>
      </c>
      <c r="H1189" s="20" t="s">
        <v>11018</v>
      </c>
      <c r="I1189" s="20" t="s">
        <v>11001</v>
      </c>
    </row>
    <row r="1190" spans="1:9" ht="14.5">
      <c r="A1190" s="20" t="s">
        <v>11021</v>
      </c>
      <c r="B1190" s="20">
        <v>40</v>
      </c>
      <c r="C1190" s="20">
        <v>15</v>
      </c>
      <c r="D1190" s="20">
        <v>58</v>
      </c>
      <c r="E1190" s="24"/>
      <c r="F1190" s="20" t="s">
        <v>11022</v>
      </c>
      <c r="G1190" s="24" t="str">
        <f ca="1">IFERROR(__xludf.DUMMYFUNCTION("GOOGLETRANSLATE(F1190,""en"",""pt"")"),"sistemas de equipamentos de escritório")</f>
        <v>sistemas de equipamentos de escritório</v>
      </c>
      <c r="H1190" s="24"/>
      <c r="I1190" s="24"/>
    </row>
    <row r="1191" spans="1:9" ht="14.5">
      <c r="A1191" s="20" t="s">
        <v>11023</v>
      </c>
      <c r="B1191" s="20">
        <v>40</v>
      </c>
      <c r="C1191" s="20">
        <v>15</v>
      </c>
      <c r="D1191" s="20">
        <v>58</v>
      </c>
      <c r="E1191" s="20">
        <v>50</v>
      </c>
      <c r="F1191" s="20" t="s">
        <v>11024</v>
      </c>
      <c r="G1191" s="24" t="str">
        <f ca="1">IFERROR(__xludf.DUMMYFUNCTION("GOOGLETRANSLATE(F1191,""en"",""pt"")"),"Reunião sistemas de cabine")</f>
        <v>Reunião sistemas de cabine</v>
      </c>
      <c r="H1191" s="24"/>
      <c r="I1191" s="24"/>
    </row>
    <row r="1192" spans="1:9" ht="14.5">
      <c r="A1192" s="20" t="s">
        <v>11025</v>
      </c>
      <c r="B1192" s="20">
        <v>40</v>
      </c>
      <c r="C1192" s="20">
        <v>15</v>
      </c>
      <c r="D1192" s="20">
        <v>75</v>
      </c>
      <c r="E1192" s="24"/>
      <c r="F1192" s="20" t="s">
        <v>11026</v>
      </c>
      <c r="G1192" s="24" t="str">
        <f ca="1">IFERROR(__xludf.DUMMYFUNCTION("GOOGLETRANSLATE(F1192,""en"",""pt"")"),"sistemas de aparelhos sanitários")</f>
        <v>sistemas de aparelhos sanitários</v>
      </c>
      <c r="H1192" s="24"/>
      <c r="I1192" s="24"/>
    </row>
    <row r="1193" spans="1:9" ht="14.5">
      <c r="A1193" s="20" t="s">
        <v>11027</v>
      </c>
      <c r="B1193" s="20">
        <v>40</v>
      </c>
      <c r="C1193" s="20">
        <v>15</v>
      </c>
      <c r="D1193" s="20">
        <v>75</v>
      </c>
      <c r="E1193" s="20">
        <v>5</v>
      </c>
      <c r="F1193" s="20" t="s">
        <v>11028</v>
      </c>
      <c r="G1193" s="24" t="str">
        <f ca="1">IFERROR(__xludf.DUMMYFUNCTION("GOOGLETRANSLATE(F1193,""en"",""pt"")"),"sistemas de banho")</f>
        <v>sistemas de banho</v>
      </c>
      <c r="H1193" s="20" t="s">
        <v>11029</v>
      </c>
      <c r="I1193" s="20" t="s">
        <v>11030</v>
      </c>
    </row>
    <row r="1194" spans="1:9" ht="14.5">
      <c r="A1194" s="20" t="s">
        <v>11031</v>
      </c>
      <c r="B1194" s="20">
        <v>40</v>
      </c>
      <c r="C1194" s="20">
        <v>15</v>
      </c>
      <c r="D1194" s="20">
        <v>75</v>
      </c>
      <c r="E1194" s="20">
        <v>10</v>
      </c>
      <c r="F1194" s="20" t="s">
        <v>11032</v>
      </c>
      <c r="G1194" s="24" t="str">
        <f ca="1">IFERROR(__xludf.DUMMYFUNCTION("GOOGLETRANSLATE(F1194,""en"",""pt"")"),"sistemas Bidê")</f>
        <v>sistemas Bidê</v>
      </c>
      <c r="H1194" s="20" t="s">
        <v>11033</v>
      </c>
      <c r="I1194" s="20" t="s">
        <v>11030</v>
      </c>
    </row>
    <row r="1195" spans="1:9" ht="14.5">
      <c r="A1195" s="20" t="s">
        <v>11034</v>
      </c>
      <c r="B1195" s="20">
        <v>40</v>
      </c>
      <c r="C1195" s="20">
        <v>15</v>
      </c>
      <c r="D1195" s="20">
        <v>75</v>
      </c>
      <c r="E1195" s="20">
        <v>20</v>
      </c>
      <c r="F1195" s="20" t="s">
        <v>11035</v>
      </c>
      <c r="G1195" s="24" t="str">
        <f ca="1">IFERROR(__xludf.DUMMYFUNCTION("GOOGLETRANSLATE(F1195,""en"",""pt"")"),"sistemas de unidade de eliminação (despejos tremonha)")</f>
        <v>sistemas de unidade de eliminação (despejos tremonha)</v>
      </c>
      <c r="H1195" s="20" t="s">
        <v>11036</v>
      </c>
      <c r="I1195" s="20" t="s">
        <v>11030</v>
      </c>
    </row>
    <row r="1196" spans="1:9" ht="14.5">
      <c r="A1196" s="20" t="s">
        <v>11037</v>
      </c>
      <c r="B1196" s="20">
        <v>40</v>
      </c>
      <c r="C1196" s="20">
        <v>15</v>
      </c>
      <c r="D1196" s="20">
        <v>75</v>
      </c>
      <c r="E1196" s="20">
        <v>25</v>
      </c>
      <c r="F1196" s="20" t="s">
        <v>11038</v>
      </c>
      <c r="G1196" s="24" t="str">
        <f ca="1">IFERROR(__xludf.DUMMYFUNCTION("GOOGLETRANSLATE(F1196,""en"",""pt"")"),"Beber sistemas fonte")</f>
        <v>Beber sistemas fonte</v>
      </c>
      <c r="H1196" s="20" t="s">
        <v>11039</v>
      </c>
      <c r="I1196" s="20" t="s">
        <v>11030</v>
      </c>
    </row>
    <row r="1197" spans="1:9" ht="14.5">
      <c r="A1197" s="20" t="s">
        <v>11040</v>
      </c>
      <c r="B1197" s="20">
        <v>40</v>
      </c>
      <c r="C1197" s="20">
        <v>15</v>
      </c>
      <c r="D1197" s="20">
        <v>75</v>
      </c>
      <c r="E1197" s="20">
        <v>35</v>
      </c>
      <c r="F1197" s="20" t="s">
        <v>11041</v>
      </c>
      <c r="G1197" s="24" t="str">
        <f ca="1">IFERROR(__xludf.DUMMYFUNCTION("GOOGLETRANSLATE(F1197,""en"",""pt"")"),"sistemas macerator de cuidados de saúde")</f>
        <v>sistemas macerator de cuidados de saúde</v>
      </c>
      <c r="H1197" s="20" t="s">
        <v>11042</v>
      </c>
      <c r="I1197" s="20" t="s">
        <v>11043</v>
      </c>
    </row>
    <row r="1198" spans="1:9" ht="14.5">
      <c r="A1198" s="20" t="s">
        <v>11044</v>
      </c>
      <c r="B1198" s="20">
        <v>40</v>
      </c>
      <c r="C1198" s="20">
        <v>15</v>
      </c>
      <c r="D1198" s="20">
        <v>75</v>
      </c>
      <c r="E1198" s="20">
        <v>45</v>
      </c>
      <c r="F1198" s="20" t="s">
        <v>11045</v>
      </c>
      <c r="G1198" s="24" t="str">
        <f ca="1">IFERROR(__xludf.DUMMYFUNCTION("GOOGLETRANSLATE(F1198,""en"",""pt"")"),"sistemas de unidades de zeladoria")</f>
        <v>sistemas de unidades de zeladoria</v>
      </c>
      <c r="H1198" s="20" t="s">
        <v>11046</v>
      </c>
      <c r="I1198" s="20" t="s">
        <v>11030</v>
      </c>
    </row>
    <row r="1199" spans="1:9" ht="14.5">
      <c r="A1199" s="20" t="s">
        <v>11047</v>
      </c>
      <c r="B1199" s="20">
        <v>40</v>
      </c>
      <c r="C1199" s="20">
        <v>15</v>
      </c>
      <c r="D1199" s="20">
        <v>75</v>
      </c>
      <c r="E1199" s="20">
        <v>75</v>
      </c>
      <c r="F1199" s="20" t="s">
        <v>11048</v>
      </c>
      <c r="G1199" s="24" t="str">
        <f ca="1">IFERROR(__xludf.DUMMYFUNCTION("GOOGLETRANSLATE(F1199,""en"",""pt"")"),"sistemas acessórios sanitários")</f>
        <v>sistemas acessórios sanitários</v>
      </c>
      <c r="H1199" s="20" t="s">
        <v>11049</v>
      </c>
      <c r="I1199" s="20" t="s">
        <v>11043</v>
      </c>
    </row>
    <row r="1200" spans="1:9" ht="14.5">
      <c r="A1200" s="20" t="s">
        <v>11050</v>
      </c>
      <c r="B1200" s="20">
        <v>40</v>
      </c>
      <c r="C1200" s="20">
        <v>15</v>
      </c>
      <c r="D1200" s="20">
        <v>75</v>
      </c>
      <c r="E1200" s="20">
        <v>76</v>
      </c>
      <c r="F1200" s="20" t="s">
        <v>11051</v>
      </c>
      <c r="G1200" s="24" t="str">
        <f ca="1">IFERROR(__xludf.DUMMYFUNCTION("GOOGLETRANSLATE(F1200,""en"",""pt"")"),"sistemas de pacotes Sauna")</f>
        <v>sistemas de pacotes Sauna</v>
      </c>
      <c r="H1200" s="20" t="s">
        <v>11052</v>
      </c>
      <c r="I1200" s="20" t="s">
        <v>11053</v>
      </c>
    </row>
    <row r="1201" spans="1:9" ht="14.5">
      <c r="A1201" s="20" t="s">
        <v>11054</v>
      </c>
      <c r="B1201" s="20">
        <v>40</v>
      </c>
      <c r="C1201" s="20">
        <v>15</v>
      </c>
      <c r="D1201" s="20">
        <v>75</v>
      </c>
      <c r="E1201" s="20">
        <v>77</v>
      </c>
      <c r="F1201" s="20" t="s">
        <v>11055</v>
      </c>
      <c r="G1201" s="24" t="str">
        <f ca="1">IFERROR(__xludf.DUMMYFUNCTION("GOOGLETRANSLATE(F1201,""en"",""pt"")"),"sistemas de calha esfrega-se")</f>
        <v>sistemas de calha esfrega-se</v>
      </c>
      <c r="H1201" s="20" t="s">
        <v>11056</v>
      </c>
      <c r="I1201" s="20" t="s">
        <v>11030</v>
      </c>
    </row>
    <row r="1202" spans="1:9" ht="14.5">
      <c r="A1202" s="20" t="s">
        <v>11057</v>
      </c>
      <c r="B1202" s="20">
        <v>40</v>
      </c>
      <c r="C1202" s="20">
        <v>15</v>
      </c>
      <c r="D1202" s="20">
        <v>75</v>
      </c>
      <c r="E1202" s="20">
        <v>78</v>
      </c>
      <c r="F1202" s="20" t="s">
        <v>11058</v>
      </c>
      <c r="G1202" s="24" t="str">
        <f ca="1">IFERROR(__xludf.DUMMYFUNCTION("GOOGLETRANSLATE(F1202,""en"",""pt"")"),"sistemas área do chuveiro")</f>
        <v>sistemas área do chuveiro</v>
      </c>
      <c r="H1202" s="20" t="s">
        <v>11059</v>
      </c>
      <c r="I1202" s="20" t="s">
        <v>11030</v>
      </c>
    </row>
    <row r="1203" spans="1:9" ht="14.5">
      <c r="A1203" s="20" t="s">
        <v>11060</v>
      </c>
      <c r="B1203" s="20">
        <v>40</v>
      </c>
      <c r="C1203" s="20">
        <v>15</v>
      </c>
      <c r="D1203" s="20">
        <v>75</v>
      </c>
      <c r="E1203" s="20">
        <v>79</v>
      </c>
      <c r="F1203" s="20" t="s">
        <v>11061</v>
      </c>
      <c r="G1203" s="24" t="str">
        <f ca="1">IFERROR(__xludf.DUMMYFUNCTION("GOOGLETRANSLATE(F1203,""en"",""pt"")"),"sistemas de cabine de duche")</f>
        <v>sistemas de cabine de duche</v>
      </c>
      <c r="H1203" s="20" t="s">
        <v>11062</v>
      </c>
      <c r="I1203" s="20" t="s">
        <v>11043</v>
      </c>
    </row>
    <row r="1204" spans="1:9" ht="14.5">
      <c r="A1204" s="20" t="s">
        <v>11063</v>
      </c>
      <c r="B1204" s="20">
        <v>40</v>
      </c>
      <c r="C1204" s="20">
        <v>15</v>
      </c>
      <c r="D1204" s="20">
        <v>75</v>
      </c>
      <c r="E1204" s="20">
        <v>80</v>
      </c>
      <c r="F1204" s="20" t="s">
        <v>11064</v>
      </c>
      <c r="G1204" s="24" t="str">
        <f ca="1">IFERROR(__xludf.DUMMYFUNCTION("GOOGLETRANSLATE(F1204,""en"",""pt"")"),"sistemas Sink")</f>
        <v>sistemas Sink</v>
      </c>
      <c r="H1204" s="20" t="s">
        <v>11065</v>
      </c>
      <c r="I1204" s="20" t="s">
        <v>11066</v>
      </c>
    </row>
    <row r="1205" spans="1:9" ht="14.5">
      <c r="A1205" s="20" t="s">
        <v>11067</v>
      </c>
      <c r="B1205" s="20">
        <v>40</v>
      </c>
      <c r="C1205" s="20">
        <v>15</v>
      </c>
      <c r="D1205" s="20">
        <v>75</v>
      </c>
      <c r="E1205" s="20">
        <v>85</v>
      </c>
      <c r="F1205" s="20" t="s">
        <v>11068</v>
      </c>
      <c r="G1205" s="24" t="str">
        <f ca="1">IFERROR(__xludf.DUMMYFUNCTION("GOOGLETRANSLATE(F1205,""en"",""pt"")"),"sistemas de pacotes Vapor")</f>
        <v>sistemas de pacotes Vapor</v>
      </c>
      <c r="H1205" s="20" t="s">
        <v>11069</v>
      </c>
      <c r="I1205" s="20" t="s">
        <v>11053</v>
      </c>
    </row>
    <row r="1206" spans="1:9" ht="14.5">
      <c r="A1206" s="20" t="s">
        <v>11070</v>
      </c>
      <c r="B1206" s="20">
        <v>40</v>
      </c>
      <c r="C1206" s="20">
        <v>15</v>
      </c>
      <c r="D1206" s="20">
        <v>75</v>
      </c>
      <c r="E1206" s="20">
        <v>92</v>
      </c>
      <c r="F1206" s="20" t="s">
        <v>11071</v>
      </c>
      <c r="G1206" s="24" t="str">
        <f ca="1">IFERROR(__xludf.DUMMYFUNCTION("GOOGLETRANSLATE(F1206,""en"",""pt"")"),"sistemas mictório")</f>
        <v>sistemas mictório</v>
      </c>
      <c r="H1206" s="20" t="s">
        <v>11072</v>
      </c>
      <c r="I1206" s="20" t="s">
        <v>11030</v>
      </c>
    </row>
    <row r="1207" spans="1:9" ht="14.5">
      <c r="A1207" s="20" t="s">
        <v>11073</v>
      </c>
      <c r="B1207" s="20">
        <v>40</v>
      </c>
      <c r="C1207" s="20">
        <v>15</v>
      </c>
      <c r="D1207" s="20">
        <v>75</v>
      </c>
      <c r="E1207" s="20">
        <v>94</v>
      </c>
      <c r="F1207" s="20" t="s">
        <v>11074</v>
      </c>
      <c r="G1207" s="24" t="str">
        <f ca="1">IFERROR(__xludf.DUMMYFUNCTION("GOOGLETRANSLATE(F1207,""en"",""pt"")"),"sistemas de lavatório")</f>
        <v>sistemas de lavatório</v>
      </c>
      <c r="H1207" s="20" t="s">
        <v>11075</v>
      </c>
      <c r="I1207" s="20" t="s">
        <v>11030</v>
      </c>
    </row>
    <row r="1208" spans="1:9" ht="14.5">
      <c r="A1208" s="20" t="s">
        <v>11076</v>
      </c>
      <c r="B1208" s="20">
        <v>40</v>
      </c>
      <c r="C1208" s="20">
        <v>15</v>
      </c>
      <c r="D1208" s="20">
        <v>75</v>
      </c>
      <c r="E1208" s="20">
        <v>96</v>
      </c>
      <c r="F1208" s="20" t="s">
        <v>11077</v>
      </c>
      <c r="G1208" s="24" t="str">
        <f ca="1">IFERROR(__xludf.DUMMYFUNCTION("GOOGLETRANSLATE(F1208,""en"",""pt"")"),"sistemas de fonte de lavagem")</f>
        <v>sistemas de fonte de lavagem</v>
      </c>
      <c r="H1208" s="20" t="s">
        <v>11078</v>
      </c>
      <c r="I1208" s="20" t="s">
        <v>11030</v>
      </c>
    </row>
    <row r="1209" spans="1:9" ht="14.5">
      <c r="A1209" s="20" t="s">
        <v>11079</v>
      </c>
      <c r="B1209" s="20">
        <v>40</v>
      </c>
      <c r="C1209" s="20">
        <v>15</v>
      </c>
      <c r="D1209" s="20">
        <v>75</v>
      </c>
      <c r="E1209" s="20">
        <v>98</v>
      </c>
      <c r="F1209" s="20" t="s">
        <v>11080</v>
      </c>
      <c r="G1209" s="24" t="str">
        <f ca="1">IFERROR(__xludf.DUMMYFUNCTION("GOOGLETRANSLATE(F1209,""en"",""pt"")"),"sistemas de calha de lavagem")</f>
        <v>sistemas de calha de lavagem</v>
      </c>
      <c r="H1209" s="20" t="s">
        <v>11081</v>
      </c>
      <c r="I1209" s="20" t="s">
        <v>11030</v>
      </c>
    </row>
    <row r="1210" spans="1:9" ht="14.5">
      <c r="A1210" s="20" t="s">
        <v>11082</v>
      </c>
      <c r="B1210" s="20">
        <v>40</v>
      </c>
      <c r="C1210" s="20">
        <v>15</v>
      </c>
      <c r="D1210" s="20">
        <v>77</v>
      </c>
      <c r="E1210" s="24"/>
      <c r="F1210" s="20" t="s">
        <v>11083</v>
      </c>
      <c r="G1210" s="24" t="str">
        <f ca="1">IFERROR(__xludf.DUMMYFUNCTION("GOOGLETRANSLATE(F1210,""en"",""pt"")"),"sistemas Sauna FF &amp; E")</f>
        <v>sistemas Sauna FF &amp; E</v>
      </c>
      <c r="H1210" s="24"/>
      <c r="I1210" s="24"/>
    </row>
    <row r="1211" spans="1:9" ht="14.5">
      <c r="A1211" s="20" t="s">
        <v>11084</v>
      </c>
      <c r="B1211" s="20">
        <v>40</v>
      </c>
      <c r="C1211" s="20">
        <v>15</v>
      </c>
      <c r="D1211" s="20">
        <v>90</v>
      </c>
      <c r="E1211" s="24"/>
      <c r="F1211" s="20" t="s">
        <v>11085</v>
      </c>
      <c r="G1211" s="24" t="str">
        <f ca="1">IFERROR(__xludf.DUMMYFUNCTION("GOOGLETRANSLATE(F1211,""en"",""pt"")"),"sistemas sanitários")</f>
        <v>sistemas sanitários</v>
      </c>
      <c r="H1211" s="24"/>
      <c r="I1211" s="24"/>
    </row>
    <row r="1212" spans="1:9" ht="14.5">
      <c r="A1212" s="20" t="s">
        <v>11086</v>
      </c>
      <c r="B1212" s="20">
        <v>40</v>
      </c>
      <c r="C1212" s="20">
        <v>15</v>
      </c>
      <c r="D1212" s="20">
        <v>90</v>
      </c>
      <c r="E1212" s="20">
        <v>5</v>
      </c>
      <c r="F1212" s="20" t="s">
        <v>11087</v>
      </c>
      <c r="G1212" s="24" t="str">
        <f ca="1">IFERROR(__xludf.DUMMYFUNCTION("GOOGLETRANSLATE(F1212,""en"",""pt"")"),"sistemas de pacotes WC acessível")</f>
        <v>sistemas de pacotes WC acessível</v>
      </c>
      <c r="H1212" s="20" t="s">
        <v>11088</v>
      </c>
      <c r="I1212" s="20" t="s">
        <v>11089</v>
      </c>
    </row>
    <row r="1213" spans="1:9" ht="14.5">
      <c r="A1213" s="20" t="s">
        <v>11090</v>
      </c>
      <c r="B1213" s="20">
        <v>40</v>
      </c>
      <c r="C1213" s="20">
        <v>15</v>
      </c>
      <c r="D1213" s="20">
        <v>90</v>
      </c>
      <c r="E1213" s="20">
        <v>85</v>
      </c>
      <c r="F1213" s="20" t="s">
        <v>11091</v>
      </c>
      <c r="G1213" s="24" t="str">
        <f ca="1">IFERROR(__xludf.DUMMYFUNCTION("GOOGLETRANSLATE(F1213,""en"",""pt"")"),"sistemas agachamento WC")</f>
        <v>sistemas agachamento WC</v>
      </c>
      <c r="H1213" s="20" t="s">
        <v>11092</v>
      </c>
      <c r="I1213" s="20" t="s">
        <v>11043</v>
      </c>
    </row>
    <row r="1214" spans="1:9" ht="14.5">
      <c r="A1214" s="20" t="s">
        <v>11093</v>
      </c>
      <c r="B1214" s="20">
        <v>40</v>
      </c>
      <c r="C1214" s="20">
        <v>15</v>
      </c>
      <c r="D1214" s="20">
        <v>90</v>
      </c>
      <c r="E1214" s="20">
        <v>95</v>
      </c>
      <c r="F1214" s="20" t="s">
        <v>11094</v>
      </c>
      <c r="G1214" s="24" t="str">
        <f ca="1">IFERROR(__xludf.DUMMYFUNCTION("GOOGLETRANSLATE(F1214,""en"",""pt"")"),"sistemas sanitários sem água")</f>
        <v>sistemas sanitários sem água</v>
      </c>
      <c r="H1214" s="20" t="s">
        <v>11095</v>
      </c>
      <c r="I1214" s="20" t="s">
        <v>11030</v>
      </c>
    </row>
    <row r="1215" spans="1:9" ht="14.5">
      <c r="A1215" s="20" t="s">
        <v>11096</v>
      </c>
      <c r="B1215" s="20">
        <v>40</v>
      </c>
      <c r="C1215" s="20">
        <v>15</v>
      </c>
      <c r="D1215" s="20">
        <v>90</v>
      </c>
      <c r="E1215" s="20">
        <v>96</v>
      </c>
      <c r="F1215" s="20" t="s">
        <v>11097</v>
      </c>
      <c r="G1215" s="24" t="str">
        <f ca="1">IFERROR(__xludf.DUMMYFUNCTION("GOOGLETRANSLATE(F1215,""en"",""pt"")"),"sistemas de combinao WC e lavatório")</f>
        <v>sistemas de combinao WC e lavatório</v>
      </c>
      <c r="H1215" s="20" t="s">
        <v>11098</v>
      </c>
      <c r="I1215" s="20" t="s">
        <v>11030</v>
      </c>
    </row>
    <row r="1216" spans="1:9" ht="14.5">
      <c r="A1216" s="20" t="s">
        <v>11099</v>
      </c>
      <c r="B1216" s="20">
        <v>40</v>
      </c>
      <c r="C1216" s="20">
        <v>15</v>
      </c>
      <c r="D1216" s="20">
        <v>90</v>
      </c>
      <c r="E1216" s="20">
        <v>97</v>
      </c>
      <c r="F1216" s="20" t="s">
        <v>11100</v>
      </c>
      <c r="G1216" s="24" t="str">
        <f ca="1">IFERROR(__xludf.DUMMYFUNCTION("GOOGLETRANSLATE(F1216,""en"",""pt"")"),"sistemas de WC")</f>
        <v>sistemas de WC</v>
      </c>
      <c r="H1216" s="20" t="s">
        <v>11101</v>
      </c>
      <c r="I1216" s="20" t="s">
        <v>11030</v>
      </c>
    </row>
    <row r="1217" spans="1:9" ht="14.5">
      <c r="A1217" s="20" t="s">
        <v>11102</v>
      </c>
      <c r="B1217" s="20">
        <v>40</v>
      </c>
      <c r="C1217" s="20">
        <v>15</v>
      </c>
      <c r="D1217" s="20">
        <v>90</v>
      </c>
      <c r="E1217" s="20">
        <v>98</v>
      </c>
      <c r="F1217" s="20" t="s">
        <v>11103</v>
      </c>
      <c r="G1217" s="24" t="str">
        <f ca="1">IFERROR(__xludf.DUMMYFUNCTION("GOOGLETRANSLATE(F1217,""en"",""pt"")"),"lavagem WC e sistemas de combinação secos")</f>
        <v>lavagem WC e sistemas de combinação secos</v>
      </c>
      <c r="H1217" s="20" t="s">
        <v>11104</v>
      </c>
      <c r="I1217" s="20" t="s">
        <v>11030</v>
      </c>
    </row>
    <row r="1218" spans="1:9" ht="14.5">
      <c r="A1218" s="20" t="s">
        <v>11105</v>
      </c>
      <c r="B1218" s="20">
        <v>40</v>
      </c>
      <c r="C1218" s="20">
        <v>20</v>
      </c>
      <c r="D1218" s="24"/>
      <c r="E1218" s="24"/>
      <c r="F1218" s="20" t="s">
        <v>11106</v>
      </c>
      <c r="G1218" s="24" t="str">
        <f ca="1">IFERROR(__xludf.DUMMYFUNCTION("GOOGLETRANSLATE(F1218,""en"",""pt"")"),"sistemas FF &amp; E serviços administrativos, comerciais e de proteção")</f>
        <v>sistemas FF &amp; E serviços administrativos, comerciais e de proteção</v>
      </c>
      <c r="H1218" s="24"/>
      <c r="I1218" s="24"/>
    </row>
    <row r="1219" spans="1:9" ht="14.5">
      <c r="A1219" s="20" t="s">
        <v>11107</v>
      </c>
      <c r="B1219" s="20">
        <v>40</v>
      </c>
      <c r="C1219" s="20">
        <v>20</v>
      </c>
      <c r="D1219" s="20">
        <v>1</v>
      </c>
      <c r="E1219" s="24"/>
      <c r="F1219" s="20" t="s">
        <v>11108</v>
      </c>
      <c r="G1219" s="24" t="str">
        <f ca="1">IFERROR(__xludf.DUMMYFUNCTION("GOOGLETRANSLATE(F1219,""en"",""pt"")"),"sistemas FF &amp; E administrativos")</f>
        <v>sistemas FF &amp; E administrativos</v>
      </c>
      <c r="H1219" s="24"/>
      <c r="I1219" s="24"/>
    </row>
    <row r="1220" spans="1:9" ht="14.5">
      <c r="A1220" s="20" t="s">
        <v>11109</v>
      </c>
      <c r="B1220" s="20">
        <v>40</v>
      </c>
      <c r="C1220" s="20">
        <v>20</v>
      </c>
      <c r="D1220" s="20">
        <v>1</v>
      </c>
      <c r="E1220" s="20">
        <v>27</v>
      </c>
      <c r="F1220" s="20" t="s">
        <v>11110</v>
      </c>
      <c r="G1220" s="24" t="str">
        <f ca="1">IFERROR(__xludf.DUMMYFUNCTION("GOOGLETRANSLATE(F1220,""en"",""pt"")"),"sistemas Embaixada FF &amp; E")</f>
        <v>sistemas Embaixada FF &amp; E</v>
      </c>
      <c r="H1220" s="24"/>
      <c r="I1220" s="24"/>
    </row>
    <row r="1221" spans="1:9" ht="14.5">
      <c r="A1221" s="20" t="s">
        <v>11111</v>
      </c>
      <c r="B1221" s="20">
        <v>40</v>
      </c>
      <c r="C1221" s="20">
        <v>20</v>
      </c>
      <c r="D1221" s="20">
        <v>1</v>
      </c>
      <c r="E1221" s="20">
        <v>60</v>
      </c>
      <c r="F1221" s="20" t="s">
        <v>11112</v>
      </c>
      <c r="G1221" s="24" t="str">
        <f ca="1">IFERROR(__xludf.DUMMYFUNCTION("GOOGLETRANSLATE(F1221,""en"",""pt"")"),"sistemas de escritório FF &amp; E")</f>
        <v>sistemas de escritório FF &amp; E</v>
      </c>
      <c r="H1221" s="20" t="s">
        <v>11113</v>
      </c>
      <c r="I1221" s="20" t="s">
        <v>9464</v>
      </c>
    </row>
    <row r="1222" spans="1:9" ht="14.5">
      <c r="A1222" s="20" t="s">
        <v>11114</v>
      </c>
      <c r="B1222" s="20">
        <v>40</v>
      </c>
      <c r="C1222" s="20">
        <v>20</v>
      </c>
      <c r="D1222" s="20">
        <v>1</v>
      </c>
      <c r="E1222" s="20">
        <v>71</v>
      </c>
      <c r="F1222" s="20" t="s">
        <v>11115</v>
      </c>
      <c r="G1222" s="24" t="str">
        <f ca="1">IFERROR(__xludf.DUMMYFUNCTION("GOOGLETRANSLATE(F1222,""en"",""pt"")"),"sistemas de recepção FF &amp; E")</f>
        <v>sistemas de recepção FF &amp; E</v>
      </c>
      <c r="H1222" s="24"/>
      <c r="I1222" s="24"/>
    </row>
    <row r="1223" spans="1:9" ht="14.5">
      <c r="A1223" s="20" t="s">
        <v>11116</v>
      </c>
      <c r="B1223" s="20">
        <v>40</v>
      </c>
      <c r="C1223" s="20">
        <v>20</v>
      </c>
      <c r="D1223" s="20">
        <v>15</v>
      </c>
      <c r="E1223" s="24"/>
      <c r="F1223" s="20" t="s">
        <v>11117</v>
      </c>
      <c r="G1223" s="24" t="str">
        <f ca="1">IFERROR(__xludf.DUMMYFUNCTION("GOOGLETRANSLATE(F1223,""en"",""pt"")"),"sistemas FF Comercial &amp; E")</f>
        <v>sistemas FF Comercial &amp; E</v>
      </c>
      <c r="H1223" s="24"/>
      <c r="I1223" s="24"/>
    </row>
    <row r="1224" spans="1:9" ht="14.5">
      <c r="A1224" s="20" t="s">
        <v>11118</v>
      </c>
      <c r="B1224" s="20">
        <v>40</v>
      </c>
      <c r="C1224" s="20">
        <v>20</v>
      </c>
      <c r="D1224" s="20">
        <v>15</v>
      </c>
      <c r="E1224" s="20">
        <v>71</v>
      </c>
      <c r="F1224" s="20" t="s">
        <v>11119</v>
      </c>
      <c r="G1224" s="24" t="str">
        <f ca="1">IFERROR(__xludf.DUMMYFUNCTION("GOOGLETRANSLATE(F1224,""en"",""pt"")"),"sistemas Retail FF &amp; E")</f>
        <v>sistemas Retail FF &amp; E</v>
      </c>
      <c r="H1224" s="24"/>
      <c r="I1224" s="24"/>
    </row>
    <row r="1225" spans="1:9" ht="14.5">
      <c r="A1225" s="20" t="s">
        <v>11120</v>
      </c>
      <c r="B1225" s="20">
        <v>40</v>
      </c>
      <c r="C1225" s="20">
        <v>20</v>
      </c>
      <c r="D1225" s="20">
        <v>15</v>
      </c>
      <c r="E1225" s="20">
        <v>89</v>
      </c>
      <c r="F1225" s="20" t="s">
        <v>11121</v>
      </c>
      <c r="G1225" s="24" t="str">
        <f ca="1">IFERROR(__xludf.DUMMYFUNCTION("GOOGLETRANSLATE(F1225,""en"",""pt"")"),"Trading Systems FF &amp; E chão")</f>
        <v>Trading Systems FF &amp; E chão</v>
      </c>
      <c r="H1225" s="24"/>
      <c r="I1225" s="24"/>
    </row>
    <row r="1226" spans="1:9" ht="14.5">
      <c r="A1226" s="20" t="s">
        <v>11122</v>
      </c>
      <c r="B1226" s="20">
        <v>40</v>
      </c>
      <c r="C1226" s="20">
        <v>20</v>
      </c>
      <c r="D1226" s="20">
        <v>30</v>
      </c>
      <c r="E1226" s="24"/>
      <c r="F1226" s="20" t="s">
        <v>11123</v>
      </c>
      <c r="G1226" s="24" t="str">
        <f ca="1">IFERROR(__xludf.DUMMYFUNCTION("GOOGLETRANSLATE(F1226,""en"",""pt"")"),"sistemas de domínio público externo FF &amp; E")</f>
        <v>sistemas de domínio público externo FF &amp; E</v>
      </c>
      <c r="H1226" s="24"/>
      <c r="I1226" s="24"/>
    </row>
    <row r="1227" spans="1:9" ht="14.5">
      <c r="A1227" s="20" t="s">
        <v>11124</v>
      </c>
      <c r="B1227" s="20">
        <v>40</v>
      </c>
      <c r="C1227" s="20">
        <v>20</v>
      </c>
      <c r="D1227" s="20">
        <v>30</v>
      </c>
      <c r="E1227" s="20">
        <v>1</v>
      </c>
      <c r="F1227" s="20" t="s">
        <v>11125</v>
      </c>
      <c r="G1227" s="24" t="str">
        <f ca="1">IFERROR(__xludf.DUMMYFUNCTION("GOOGLETRANSLATE(F1227,""en"",""pt"")"),"sistemas de distribuição aceitação e")</f>
        <v>sistemas de distribuição aceitação e</v>
      </c>
      <c r="H1227" s="20" t="s">
        <v>11126</v>
      </c>
      <c r="I1227" s="20" t="s">
        <v>10914</v>
      </c>
    </row>
    <row r="1228" spans="1:9" ht="14.5">
      <c r="A1228" s="20" t="s">
        <v>11127</v>
      </c>
      <c r="B1228" s="20">
        <v>40</v>
      </c>
      <c r="C1228" s="20">
        <v>20</v>
      </c>
      <c r="D1228" s="20">
        <v>30</v>
      </c>
      <c r="E1228" s="20">
        <v>20</v>
      </c>
      <c r="F1228" s="20" t="s">
        <v>11128</v>
      </c>
      <c r="G1228" s="24" t="str">
        <f ca="1">IFERROR(__xludf.DUMMYFUNCTION("GOOGLETRANSLATE(F1228,""en"",""pt"")"),"sistemas de equipamentos estacionamento de bicicletas")</f>
        <v>sistemas de equipamentos estacionamento de bicicletas</v>
      </c>
      <c r="H1228" s="20" t="s">
        <v>11129</v>
      </c>
      <c r="I1228" s="20" t="s">
        <v>10914</v>
      </c>
    </row>
    <row r="1229" spans="1:9" ht="14.5">
      <c r="A1229" s="20" t="s">
        <v>11130</v>
      </c>
      <c r="B1229" s="20">
        <v>40</v>
      </c>
      <c r="C1229" s="20">
        <v>20</v>
      </c>
      <c r="D1229" s="20">
        <v>30</v>
      </c>
      <c r="E1229" s="20">
        <v>28</v>
      </c>
      <c r="F1229" s="20" t="s">
        <v>11131</v>
      </c>
      <c r="G1229" s="24" t="str">
        <f ca="1">IFERROR(__xludf.DUMMYFUNCTION("GOOGLETRANSLATE(F1229,""en"",""pt"")"),"sistemas móveis externos")</f>
        <v>sistemas móveis externos</v>
      </c>
      <c r="H1229" s="20" t="s">
        <v>11132</v>
      </c>
      <c r="I1229" s="20" t="s">
        <v>10914</v>
      </c>
    </row>
    <row r="1230" spans="1:9" ht="14.5">
      <c r="A1230" s="20" t="s">
        <v>11133</v>
      </c>
      <c r="B1230" s="20">
        <v>40</v>
      </c>
      <c r="C1230" s="20">
        <v>20</v>
      </c>
      <c r="D1230" s="20">
        <v>30</v>
      </c>
      <c r="E1230" s="20">
        <v>30</v>
      </c>
      <c r="F1230" s="20" t="s">
        <v>11134</v>
      </c>
      <c r="G1230" s="24" t="str">
        <f ca="1">IFERROR(__xludf.DUMMYFUNCTION("GOOGLETRANSLATE(F1230,""en"",""pt"")"),"sistemas de posição fixa")</f>
        <v>sistemas de posição fixa</v>
      </c>
      <c r="H1230" s="20" t="s">
        <v>11135</v>
      </c>
      <c r="I1230" s="20" t="s">
        <v>10914</v>
      </c>
    </row>
    <row r="1231" spans="1:9" ht="14.5">
      <c r="A1231" s="20" t="s">
        <v>11136</v>
      </c>
      <c r="B1231" s="20">
        <v>40</v>
      </c>
      <c r="C1231" s="20">
        <v>20</v>
      </c>
      <c r="D1231" s="20">
        <v>30</v>
      </c>
      <c r="E1231" s="20">
        <v>65</v>
      </c>
      <c r="F1231" s="20" t="s">
        <v>11137</v>
      </c>
      <c r="G1231" s="24" t="str">
        <f ca="1">IFERROR(__xludf.DUMMYFUNCTION("GOOGLETRANSLATE(F1231,""en"",""pt"")"),"sistemas de equipamentos de playground")</f>
        <v>sistemas de equipamentos de playground</v>
      </c>
      <c r="H1231" s="20" t="s">
        <v>11138</v>
      </c>
      <c r="I1231" s="20" t="s">
        <v>11139</v>
      </c>
    </row>
    <row r="1232" spans="1:9" ht="14.5">
      <c r="A1232" s="20" t="s">
        <v>11140</v>
      </c>
      <c r="B1232" s="20">
        <v>40</v>
      </c>
      <c r="C1232" s="20">
        <v>20</v>
      </c>
      <c r="D1232" s="20">
        <v>65</v>
      </c>
      <c r="E1232" s="24"/>
      <c r="F1232" s="20" t="s">
        <v>11141</v>
      </c>
      <c r="G1232" s="24" t="str">
        <f ca="1">IFERROR(__xludf.DUMMYFUNCTION("GOOGLETRANSLATE(F1232,""en"",""pt"")"),"sistemas FF &amp; E serviços de proteção")</f>
        <v>sistemas FF &amp; E serviços de proteção</v>
      </c>
      <c r="H1232" s="24"/>
      <c r="I1232" s="24"/>
    </row>
    <row r="1233" spans="1:9" ht="14.5">
      <c r="A1233" s="20" t="s">
        <v>11142</v>
      </c>
      <c r="B1233" s="20">
        <v>40</v>
      </c>
      <c r="C1233" s="20">
        <v>20</v>
      </c>
      <c r="D1233" s="20">
        <v>65</v>
      </c>
      <c r="E1233" s="20">
        <v>22</v>
      </c>
      <c r="F1233" s="20" t="s">
        <v>11143</v>
      </c>
      <c r="G1233" s="24" t="str">
        <f ca="1">IFERROR(__xludf.DUMMYFUNCTION("GOOGLETRANSLATE(F1233,""en"",""pt"")"),"sistemas de detenção FF &amp; E")</f>
        <v>sistemas de detenção FF &amp; E</v>
      </c>
      <c r="H1233" s="24"/>
      <c r="I1233" s="24"/>
    </row>
    <row r="1234" spans="1:9" ht="14.5">
      <c r="A1234" s="20" t="s">
        <v>11144</v>
      </c>
      <c r="B1234" s="20">
        <v>40</v>
      </c>
      <c r="C1234" s="20">
        <v>20</v>
      </c>
      <c r="D1234" s="20">
        <v>65</v>
      </c>
      <c r="E1234" s="20">
        <v>25</v>
      </c>
      <c r="F1234" s="20" t="s">
        <v>11145</v>
      </c>
      <c r="G1234" s="24" t="str">
        <f ca="1">IFERROR(__xludf.DUMMYFUNCTION("GOOGLETRANSLATE(F1234,""en"",""pt"")"),"sistemas de abrigos de emergência FF &amp; E")</f>
        <v>sistemas de abrigos de emergência FF &amp; E</v>
      </c>
      <c r="H1234" s="24"/>
      <c r="I1234" s="24"/>
    </row>
    <row r="1235" spans="1:9" ht="14.5">
      <c r="A1235" s="20" t="s">
        <v>11146</v>
      </c>
      <c r="B1235" s="20">
        <v>40</v>
      </c>
      <c r="C1235" s="20">
        <v>20</v>
      </c>
      <c r="D1235" s="20">
        <v>65</v>
      </c>
      <c r="E1235" s="20">
        <v>46</v>
      </c>
      <c r="F1235" s="20" t="s">
        <v>11147</v>
      </c>
      <c r="G1235" s="24" t="str">
        <f ca="1">IFERROR(__xludf.DUMMYFUNCTION("GOOGLETRANSLATE(F1235,""en"",""pt"")"),"sistemas de corte de lei FF &amp; E")</f>
        <v>sistemas de corte de lei FF &amp; E</v>
      </c>
      <c r="H1235" s="24"/>
      <c r="I1235" s="24"/>
    </row>
    <row r="1236" spans="1:9" ht="14.5">
      <c r="A1236" s="20" t="s">
        <v>11148</v>
      </c>
      <c r="B1236" s="20">
        <v>40</v>
      </c>
      <c r="C1236" s="20">
        <v>25</v>
      </c>
      <c r="D1236" s="24"/>
      <c r="E1236" s="24"/>
      <c r="F1236" s="20" t="s">
        <v>11149</v>
      </c>
      <c r="G1236" s="24" t="str">
        <f ca="1">IFERROR(__xludf.DUMMYFUNCTION("GOOGLETRANSLATE(F1236,""en"",""pt"")"),"sistemas culturais, educacionais, FF e informação científica &amp; E")</f>
        <v>sistemas culturais, educacionais, FF e informação científica &amp; E</v>
      </c>
      <c r="H1236" s="24"/>
      <c r="I1236" s="24"/>
    </row>
    <row r="1237" spans="1:9" ht="14.5">
      <c r="A1237" s="20" t="s">
        <v>11150</v>
      </c>
      <c r="B1237" s="20">
        <v>40</v>
      </c>
      <c r="C1237" s="20">
        <v>25</v>
      </c>
      <c r="D1237" s="20">
        <v>20</v>
      </c>
      <c r="E1237" s="24"/>
      <c r="F1237" s="20" t="s">
        <v>11151</v>
      </c>
      <c r="G1237" s="24" t="str">
        <f ca="1">IFERROR(__xludf.DUMMYFUNCTION("GOOGLETRANSLATE(F1237,""en"",""pt"")"),"sistemas FF Cultural &amp; E")</f>
        <v>sistemas FF Cultural &amp; E</v>
      </c>
      <c r="H1237" s="24"/>
      <c r="I1237" s="24"/>
    </row>
    <row r="1238" spans="1:9" ht="14.5">
      <c r="A1238" s="20" t="s">
        <v>11152</v>
      </c>
      <c r="B1238" s="20">
        <v>40</v>
      </c>
      <c r="C1238" s="20">
        <v>25</v>
      </c>
      <c r="D1238" s="20">
        <v>20</v>
      </c>
      <c r="E1238" s="20">
        <v>2</v>
      </c>
      <c r="F1238" s="20" t="s">
        <v>11153</v>
      </c>
      <c r="G1238" s="24" t="str">
        <f ca="1">IFERROR(__xludf.DUMMYFUNCTION("GOOGLETRANSLATE(F1238,""en"",""pt"")"),"sistemas de aquário FF &amp; E")</f>
        <v>sistemas de aquário FF &amp; E</v>
      </c>
      <c r="H1238" s="24"/>
      <c r="I1238" s="24"/>
    </row>
    <row r="1239" spans="1:9" ht="14.5">
      <c r="A1239" s="20" t="s">
        <v>11154</v>
      </c>
      <c r="B1239" s="20">
        <v>40</v>
      </c>
      <c r="C1239" s="20">
        <v>25</v>
      </c>
      <c r="D1239" s="20">
        <v>20</v>
      </c>
      <c r="E1239" s="20">
        <v>3</v>
      </c>
      <c r="F1239" s="20" t="s">
        <v>11155</v>
      </c>
      <c r="G1239" s="24" t="str">
        <f ca="1">IFERROR(__xludf.DUMMYFUNCTION("GOOGLETRANSLATE(F1239,""en"",""pt"")"),"sistemas de galeria de arte FF &amp; E")</f>
        <v>sistemas de galeria de arte FF &amp; E</v>
      </c>
      <c r="H1239" s="24"/>
      <c r="I1239" s="24"/>
    </row>
    <row r="1240" spans="1:9" ht="14.5">
      <c r="A1240" s="20" t="s">
        <v>11156</v>
      </c>
      <c r="B1240" s="20">
        <v>40</v>
      </c>
      <c r="C1240" s="20">
        <v>25</v>
      </c>
      <c r="D1240" s="20">
        <v>20</v>
      </c>
      <c r="E1240" s="20">
        <v>4</v>
      </c>
      <c r="F1240" s="20" t="s">
        <v>11157</v>
      </c>
      <c r="G1240" s="24" t="str">
        <f ca="1">IFERROR(__xludf.DUMMYFUNCTION("GOOGLETRANSLATE(F1240,""en"",""pt"")"),"sistemas de arte")</f>
        <v>sistemas de arte</v>
      </c>
      <c r="H1240" s="20" t="s">
        <v>11158</v>
      </c>
      <c r="I1240" s="20" t="s">
        <v>11159</v>
      </c>
    </row>
    <row r="1241" spans="1:9" ht="14.5">
      <c r="A1241" s="20" t="s">
        <v>11160</v>
      </c>
      <c r="B1241" s="20">
        <v>40</v>
      </c>
      <c r="C1241" s="20">
        <v>25</v>
      </c>
      <c r="D1241" s="20">
        <v>20</v>
      </c>
      <c r="E1241" s="20">
        <v>5</v>
      </c>
      <c r="F1241" s="20" t="s">
        <v>11161</v>
      </c>
      <c r="G1241" s="24" t="str">
        <f ca="1">IFERROR(__xludf.DUMMYFUNCTION("GOOGLETRANSLATE(F1241,""en"",""pt"")"),"sistemas auditório FF &amp; E")</f>
        <v>sistemas auditório FF &amp; E</v>
      </c>
      <c r="H1241" s="20" t="s">
        <v>11162</v>
      </c>
      <c r="I1241" s="20" t="s">
        <v>9464</v>
      </c>
    </row>
    <row r="1242" spans="1:9" ht="14.5">
      <c r="A1242" s="20" t="s">
        <v>11163</v>
      </c>
      <c r="B1242" s="20">
        <v>40</v>
      </c>
      <c r="C1242" s="20">
        <v>25</v>
      </c>
      <c r="D1242" s="20">
        <v>20</v>
      </c>
      <c r="E1242" s="20">
        <v>22</v>
      </c>
      <c r="F1242" s="20" t="s">
        <v>11164</v>
      </c>
      <c r="G1242" s="24" t="str">
        <f ca="1">IFERROR(__xludf.DUMMYFUNCTION("GOOGLETRANSLATE(F1242,""en"",""pt"")"),"Exibir sistemas FF &amp; E")</f>
        <v>Exibir sistemas FF &amp; E</v>
      </c>
      <c r="H1242" s="24"/>
      <c r="I1242" s="24"/>
    </row>
    <row r="1243" spans="1:9" ht="14.5">
      <c r="A1243" s="20" t="s">
        <v>11165</v>
      </c>
      <c r="B1243" s="20">
        <v>40</v>
      </c>
      <c r="C1243" s="20">
        <v>25</v>
      </c>
      <c r="D1243" s="20">
        <v>20</v>
      </c>
      <c r="E1243" s="20">
        <v>28</v>
      </c>
      <c r="F1243" s="20" t="s">
        <v>11166</v>
      </c>
      <c r="G1243" s="24" t="str">
        <f ca="1">IFERROR(__xludf.DUMMYFUNCTION("GOOGLETRANSLATE(F1243,""en"",""pt"")"),"sistemas Exposição FF &amp; E")</f>
        <v>sistemas Exposição FF &amp; E</v>
      </c>
      <c r="H1243" s="24"/>
      <c r="I1243" s="24"/>
    </row>
    <row r="1244" spans="1:9" ht="14.5">
      <c r="A1244" s="20" t="s">
        <v>11167</v>
      </c>
      <c r="B1244" s="20">
        <v>40</v>
      </c>
      <c r="C1244" s="20">
        <v>25</v>
      </c>
      <c r="D1244" s="20">
        <v>20</v>
      </c>
      <c r="E1244" s="20">
        <v>85</v>
      </c>
      <c r="F1244" s="20" t="s">
        <v>11168</v>
      </c>
      <c r="G1244" s="24" t="str">
        <f ca="1">IFERROR(__xludf.DUMMYFUNCTION("GOOGLETRANSLATE(F1244,""en"",""pt"")"),"sistemas estúdio FF &amp; E")</f>
        <v>sistemas estúdio FF &amp; E</v>
      </c>
      <c r="H1244" s="24"/>
      <c r="I1244" s="24"/>
    </row>
    <row r="1245" spans="1:9" ht="14.5">
      <c r="A1245" s="20" t="s">
        <v>11169</v>
      </c>
      <c r="B1245" s="20">
        <v>40</v>
      </c>
      <c r="C1245" s="20">
        <v>25</v>
      </c>
      <c r="D1245" s="20">
        <v>20</v>
      </c>
      <c r="E1245" s="20">
        <v>90</v>
      </c>
      <c r="F1245" s="20" t="s">
        <v>11170</v>
      </c>
      <c r="G1245" s="24" t="str">
        <f ca="1">IFERROR(__xludf.DUMMYFUNCTION("GOOGLETRANSLATE(F1245,""en"",""pt"")"),"sistemas de Teatro FF &amp; E")</f>
        <v>sistemas de Teatro FF &amp; E</v>
      </c>
      <c r="H1245" s="24"/>
      <c r="I1245" s="24"/>
    </row>
    <row r="1246" spans="1:9" ht="14.5">
      <c r="A1246" s="20" t="s">
        <v>11171</v>
      </c>
      <c r="B1246" s="20">
        <v>40</v>
      </c>
      <c r="C1246" s="20">
        <v>25</v>
      </c>
      <c r="D1246" s="20">
        <v>26</v>
      </c>
      <c r="E1246" s="24"/>
      <c r="F1246" s="20" t="s">
        <v>11172</v>
      </c>
      <c r="G1246" s="24" t="str">
        <f ca="1">IFERROR(__xludf.DUMMYFUNCTION("GOOGLETRANSLATE(F1246,""en"",""pt"")"),"sistemas de educação e informação FF &amp; E")</f>
        <v>sistemas de educação e informação FF &amp; E</v>
      </c>
      <c r="H1246" s="24"/>
      <c r="I1246" s="24"/>
    </row>
    <row r="1247" spans="1:9" ht="14.5">
      <c r="A1247" s="20" t="s">
        <v>11173</v>
      </c>
      <c r="B1247" s="20">
        <v>40</v>
      </c>
      <c r="C1247" s="20">
        <v>25</v>
      </c>
      <c r="D1247" s="20">
        <v>26</v>
      </c>
      <c r="E1247" s="20">
        <v>15</v>
      </c>
      <c r="F1247" s="20" t="s">
        <v>11174</v>
      </c>
      <c r="G1247" s="24" t="str">
        <f ca="1">IFERROR(__xludf.DUMMYFUNCTION("GOOGLETRANSLATE(F1247,""en"",""pt"")"),"sistemas de sala de aula FF &amp; E")</f>
        <v>sistemas de sala de aula FF &amp; E</v>
      </c>
      <c r="H1247" s="20" t="s">
        <v>11175</v>
      </c>
      <c r="I1247" s="20" t="s">
        <v>9464</v>
      </c>
    </row>
    <row r="1248" spans="1:9" ht="14.5">
      <c r="A1248" s="20" t="s">
        <v>11176</v>
      </c>
      <c r="B1248" s="20">
        <v>40</v>
      </c>
      <c r="C1248" s="20">
        <v>25</v>
      </c>
      <c r="D1248" s="20">
        <v>26</v>
      </c>
      <c r="E1248" s="20">
        <v>47</v>
      </c>
      <c r="F1248" s="20" t="s">
        <v>11177</v>
      </c>
      <c r="G1248" s="24" t="str">
        <f ca="1">IFERROR(__xludf.DUMMYFUNCTION("GOOGLETRANSLATE(F1248,""en"",""pt"")"),"sistemas Biblioteca FF &amp; E")</f>
        <v>sistemas Biblioteca FF &amp; E</v>
      </c>
      <c r="H1248" s="24"/>
      <c r="I1248" s="24"/>
    </row>
    <row r="1249" spans="1:9" ht="14.5">
      <c r="A1249" s="20" t="s">
        <v>11178</v>
      </c>
      <c r="B1249" s="20">
        <v>40</v>
      </c>
      <c r="C1249" s="20">
        <v>25</v>
      </c>
      <c r="D1249" s="20">
        <v>32</v>
      </c>
      <c r="E1249" s="24"/>
      <c r="F1249" s="20" t="s">
        <v>11179</v>
      </c>
      <c r="G1249" s="24" t="str">
        <f ca="1">IFERROR(__xludf.DUMMYFUNCTION("GOOGLETRANSLATE(F1249,""en"",""pt"")"),"sistemas funerária FF &amp; E")</f>
        <v>sistemas funerária FF &amp; E</v>
      </c>
      <c r="H1249" s="24"/>
      <c r="I1249" s="24"/>
    </row>
    <row r="1250" spans="1:9" ht="14.5">
      <c r="A1250" s="20" t="s">
        <v>11180</v>
      </c>
      <c r="B1250" s="20">
        <v>40</v>
      </c>
      <c r="C1250" s="20">
        <v>25</v>
      </c>
      <c r="D1250" s="20">
        <v>32</v>
      </c>
      <c r="E1250" s="20">
        <v>12</v>
      </c>
      <c r="F1250" s="20" t="s">
        <v>11181</v>
      </c>
      <c r="G1250" s="24" t="str">
        <f ca="1">IFERROR(__xludf.DUMMYFUNCTION("GOOGLETRANSLATE(F1250,""en"",""pt"")"),"sistemas de equipamentos cemitério")</f>
        <v>sistemas de equipamentos cemitério</v>
      </c>
      <c r="H1250" s="24"/>
      <c r="I1250" s="24"/>
    </row>
    <row r="1251" spans="1:9" ht="14.5">
      <c r="A1251" s="20" t="s">
        <v>11182</v>
      </c>
      <c r="B1251" s="20">
        <v>40</v>
      </c>
      <c r="C1251" s="20">
        <v>25</v>
      </c>
      <c r="D1251" s="20">
        <v>71</v>
      </c>
      <c r="E1251" s="24"/>
      <c r="F1251" s="20" t="s">
        <v>11183</v>
      </c>
      <c r="G1251" s="24" t="str">
        <f ca="1">IFERROR(__xludf.DUMMYFUNCTION("GOOGLETRANSLATE(F1251,""en"",""pt"")"),"sistemas religiosos FF &amp; E")</f>
        <v>sistemas religiosos FF &amp; E</v>
      </c>
      <c r="H1251" s="24"/>
      <c r="I1251" s="24"/>
    </row>
    <row r="1252" spans="1:9" ht="14.5">
      <c r="A1252" s="20" t="s">
        <v>11184</v>
      </c>
      <c r="B1252" s="20">
        <v>40</v>
      </c>
      <c r="C1252" s="20">
        <v>25</v>
      </c>
      <c r="D1252" s="20">
        <v>71</v>
      </c>
      <c r="E1252" s="20">
        <v>11</v>
      </c>
      <c r="F1252" s="20" t="s">
        <v>11185</v>
      </c>
      <c r="G1252" s="24" t="str">
        <f ca="1">IFERROR(__xludf.DUMMYFUNCTION("GOOGLETRANSLATE(F1252,""en"",""pt"")"),"sistemas FF &amp; E catedral, igreja e capela")</f>
        <v>sistemas FF &amp; E catedral, igreja e capela</v>
      </c>
      <c r="H1252" s="24"/>
      <c r="I1252" s="24"/>
    </row>
    <row r="1253" spans="1:9" ht="14.5">
      <c r="A1253" s="20" t="s">
        <v>11186</v>
      </c>
      <c r="B1253" s="20">
        <v>40</v>
      </c>
      <c r="C1253" s="20">
        <v>25</v>
      </c>
      <c r="D1253" s="20">
        <v>71</v>
      </c>
      <c r="E1253" s="20">
        <v>52</v>
      </c>
      <c r="F1253" s="20" t="s">
        <v>11187</v>
      </c>
      <c r="G1253" s="24" t="str">
        <f ca="1">IFERROR(__xludf.DUMMYFUNCTION("GOOGLETRANSLATE(F1253,""en"",""pt"")"),"sistemas Mesquita FF &amp; E")</f>
        <v>sistemas Mesquita FF &amp; E</v>
      </c>
      <c r="H1253" s="24"/>
      <c r="I1253" s="24"/>
    </row>
    <row r="1254" spans="1:9" ht="14.5">
      <c r="A1254" s="20" t="s">
        <v>11188</v>
      </c>
      <c r="B1254" s="20">
        <v>40</v>
      </c>
      <c r="C1254" s="20">
        <v>25</v>
      </c>
      <c r="D1254" s="20">
        <v>71</v>
      </c>
      <c r="E1254" s="20">
        <v>86</v>
      </c>
      <c r="F1254" s="20" t="s">
        <v>11189</v>
      </c>
      <c r="G1254" s="24" t="str">
        <f ca="1">IFERROR(__xludf.DUMMYFUNCTION("GOOGLETRANSLATE(F1254,""en"",""pt"")"),"sistemas sinagoga FF &amp; E")</f>
        <v>sistemas sinagoga FF &amp; E</v>
      </c>
      <c r="H1254" s="24"/>
      <c r="I1254" s="24"/>
    </row>
    <row r="1255" spans="1:9" ht="14.5">
      <c r="A1255" s="20" t="s">
        <v>11190</v>
      </c>
      <c r="B1255" s="20">
        <v>40</v>
      </c>
      <c r="C1255" s="20">
        <v>25</v>
      </c>
      <c r="D1255" s="20">
        <v>71</v>
      </c>
      <c r="E1255" s="20">
        <v>90</v>
      </c>
      <c r="F1255" s="20" t="s">
        <v>11191</v>
      </c>
      <c r="G1255" s="24" t="str">
        <f ca="1">IFERROR(__xludf.DUMMYFUNCTION("GOOGLETRANSLATE(F1255,""en"",""pt"")"),"sistemas Temple FF &amp; E")</f>
        <v>sistemas Temple FF &amp; E</v>
      </c>
      <c r="H1255" s="24"/>
      <c r="I1255" s="24"/>
    </row>
    <row r="1256" spans="1:9" ht="14.5">
      <c r="A1256" s="20" t="s">
        <v>11192</v>
      </c>
      <c r="B1256" s="20">
        <v>40</v>
      </c>
      <c r="C1256" s="20">
        <v>25</v>
      </c>
      <c r="D1256" s="20">
        <v>75</v>
      </c>
      <c r="E1256" s="24"/>
      <c r="F1256" s="20" t="s">
        <v>11193</v>
      </c>
      <c r="G1256" s="24" t="str">
        <f ca="1">IFERROR(__xludf.DUMMYFUNCTION("GOOGLETRANSLATE(F1256,""en"",""pt"")"),"sistemas científica FF &amp; E")</f>
        <v>sistemas científica FF &amp; E</v>
      </c>
      <c r="H1256" s="24"/>
      <c r="I1256" s="24"/>
    </row>
    <row r="1257" spans="1:9" ht="14.5">
      <c r="A1257" s="20" t="s">
        <v>11194</v>
      </c>
      <c r="B1257" s="20">
        <v>40</v>
      </c>
      <c r="C1257" s="20">
        <v>25</v>
      </c>
      <c r="D1257" s="20">
        <v>75</v>
      </c>
      <c r="E1257" s="20">
        <v>21</v>
      </c>
      <c r="F1257" s="20" t="s">
        <v>11195</v>
      </c>
      <c r="G1257" s="24" t="str">
        <f ca="1">IFERROR(__xludf.DUMMYFUNCTION("GOOGLETRANSLATE(F1257,""en"",""pt"")"),"sistemas quarto escuro FF &amp; E")</f>
        <v>sistemas quarto escuro FF &amp; E</v>
      </c>
      <c r="H1257" s="24"/>
      <c r="I1257" s="24"/>
    </row>
    <row r="1258" spans="1:9" ht="14.5">
      <c r="A1258" s="20" t="s">
        <v>11196</v>
      </c>
      <c r="B1258" s="20">
        <v>40</v>
      </c>
      <c r="C1258" s="20">
        <v>25</v>
      </c>
      <c r="D1258" s="20">
        <v>75</v>
      </c>
      <c r="E1258" s="20">
        <v>45</v>
      </c>
      <c r="F1258" s="20" t="s">
        <v>11197</v>
      </c>
      <c r="G1258" s="24" t="str">
        <f ca="1">IFERROR(__xludf.DUMMYFUNCTION("GOOGLETRANSLATE(F1258,""en"",""pt"")"),"Laboratório de Sistemas FF &amp; E")</f>
        <v>Laboratório de Sistemas FF &amp; E</v>
      </c>
      <c r="H1258" s="20" t="s">
        <v>11198</v>
      </c>
      <c r="I1258" s="20" t="s">
        <v>11001</v>
      </c>
    </row>
    <row r="1259" spans="1:9" ht="14.5">
      <c r="A1259" s="20" t="s">
        <v>11199</v>
      </c>
      <c r="B1259" s="20">
        <v>40</v>
      </c>
      <c r="C1259" s="20">
        <v>25</v>
      </c>
      <c r="D1259" s="20">
        <v>75</v>
      </c>
      <c r="E1259" s="20">
        <v>58</v>
      </c>
      <c r="F1259" s="20" t="s">
        <v>11200</v>
      </c>
      <c r="G1259" s="24" t="str">
        <f ca="1">IFERROR(__xludf.DUMMYFUNCTION("GOOGLETRANSLATE(F1259,""en"",""pt"")"),"sistemas FF &amp; E Observatory")</f>
        <v>sistemas FF &amp; E Observatory</v>
      </c>
      <c r="H1259" s="24"/>
      <c r="I1259" s="24"/>
    </row>
    <row r="1260" spans="1:9" ht="14.5">
      <c r="A1260" s="20" t="s">
        <v>11201</v>
      </c>
      <c r="B1260" s="20">
        <v>40</v>
      </c>
      <c r="C1260" s="20">
        <v>25</v>
      </c>
      <c r="D1260" s="20">
        <v>80</v>
      </c>
      <c r="E1260" s="24"/>
      <c r="F1260" s="20" t="s">
        <v>11202</v>
      </c>
      <c r="G1260" s="24" t="str">
        <f ca="1">IFERROR(__xludf.DUMMYFUNCTION("GOOGLETRANSLATE(F1260,""en"",""pt"")"),"sistemas Stage FF &amp; E")</f>
        <v>sistemas Stage FF &amp; E</v>
      </c>
      <c r="H1260" s="24"/>
      <c r="I1260" s="24"/>
    </row>
    <row r="1261" spans="1:9" ht="14.5">
      <c r="A1261" s="20" t="s">
        <v>11203</v>
      </c>
      <c r="B1261" s="20">
        <v>40</v>
      </c>
      <c r="C1261" s="20">
        <v>25</v>
      </c>
      <c r="D1261" s="20">
        <v>80</v>
      </c>
      <c r="E1261" s="20">
        <v>90</v>
      </c>
      <c r="F1261" s="20" t="s">
        <v>11204</v>
      </c>
      <c r="G1261" s="24" t="str">
        <f ca="1">IFERROR(__xludf.DUMMYFUNCTION("GOOGLETRANSLATE(F1261,""en"",""pt"")"),"sistemas de rede de arame de tensão")</f>
        <v>sistemas de rede de arame de tensão</v>
      </c>
      <c r="H1261" s="24"/>
      <c r="I1261" s="24"/>
    </row>
    <row r="1262" spans="1:9" ht="14.5">
      <c r="A1262" s="20" t="s">
        <v>11205</v>
      </c>
      <c r="B1262" s="20">
        <v>40</v>
      </c>
      <c r="C1262" s="20">
        <v>30</v>
      </c>
      <c r="D1262" s="24"/>
      <c r="E1262" s="24"/>
      <c r="F1262" s="20" t="s">
        <v>11206</v>
      </c>
      <c r="G1262" s="24" t="str">
        <f ca="1">IFERROR(__xludf.DUMMYFUNCTION("GOOGLETRANSLATE(F1262,""en"",""pt"")"),"sistemas FF &amp; E industriais e agrícolas")</f>
        <v>sistemas FF &amp; E industriais e agrícolas</v>
      </c>
      <c r="H1262" s="24"/>
      <c r="I1262" s="24"/>
    </row>
    <row r="1263" spans="1:9" ht="14.5">
      <c r="A1263" s="20" t="s">
        <v>11207</v>
      </c>
      <c r="B1263" s="20">
        <v>40</v>
      </c>
      <c r="C1263" s="20">
        <v>30</v>
      </c>
      <c r="D1263" s="20">
        <v>2</v>
      </c>
      <c r="E1263" s="24"/>
      <c r="F1263" s="20" t="s">
        <v>11208</v>
      </c>
      <c r="G1263" s="24" t="str">
        <f ca="1">IFERROR(__xludf.DUMMYFUNCTION("GOOGLETRANSLATE(F1263,""en"",""pt"")"),"sistemas agrícolas FF &amp; E")</f>
        <v>sistemas agrícolas FF &amp; E</v>
      </c>
      <c r="H1263" s="24"/>
      <c r="I1263" s="24"/>
    </row>
    <row r="1264" spans="1:9" ht="14.5">
      <c r="A1264" s="20" t="s">
        <v>11209</v>
      </c>
      <c r="B1264" s="20">
        <v>40</v>
      </c>
      <c r="C1264" s="20">
        <v>30</v>
      </c>
      <c r="D1264" s="20">
        <v>2</v>
      </c>
      <c r="E1264" s="20">
        <v>37</v>
      </c>
      <c r="F1264" s="20" t="s">
        <v>11210</v>
      </c>
      <c r="G1264" s="24" t="str">
        <f ca="1">IFERROR(__xludf.DUMMYFUNCTION("GOOGLETRANSLATE(F1264,""en"",""pt"")"),"sistemas Horticultural FF &amp; E")</f>
        <v>sistemas Horticultural FF &amp; E</v>
      </c>
      <c r="H1264" s="24"/>
      <c r="I1264" s="24"/>
    </row>
    <row r="1265" spans="1:9" ht="14.5">
      <c r="A1265" s="20" t="s">
        <v>11211</v>
      </c>
      <c r="B1265" s="20">
        <v>40</v>
      </c>
      <c r="C1265" s="20">
        <v>30</v>
      </c>
      <c r="D1265" s="20">
        <v>2</v>
      </c>
      <c r="E1265" s="20">
        <v>47</v>
      </c>
      <c r="F1265" s="20" t="s">
        <v>11212</v>
      </c>
      <c r="G1265" s="24" t="str">
        <f ca="1">IFERROR(__xludf.DUMMYFUNCTION("GOOGLETRANSLATE(F1265,""en"",""pt"")"),"sistemas de pecuária FF &amp; E")</f>
        <v>sistemas de pecuária FF &amp; E</v>
      </c>
      <c r="H1265" s="24"/>
      <c r="I1265" s="24"/>
    </row>
    <row r="1266" spans="1:9" ht="14.5">
      <c r="A1266" s="20" t="s">
        <v>11213</v>
      </c>
      <c r="B1266" s="20">
        <v>40</v>
      </c>
      <c r="C1266" s="20">
        <v>30</v>
      </c>
      <c r="D1266" s="20">
        <v>42</v>
      </c>
      <c r="E1266" s="24"/>
      <c r="F1266" s="20" t="s">
        <v>11214</v>
      </c>
      <c r="G1266" s="24" t="str">
        <f ca="1">IFERROR(__xludf.DUMMYFUNCTION("GOOGLETRANSLATE(F1266,""en"",""pt"")"),"sistemas FF industrial &amp; E")</f>
        <v>sistemas FF industrial &amp; E</v>
      </c>
      <c r="H1266" s="24"/>
      <c r="I1266" s="24"/>
    </row>
    <row r="1267" spans="1:9" ht="14.5">
      <c r="A1267" s="20" t="s">
        <v>11215</v>
      </c>
      <c r="B1267" s="20">
        <v>40</v>
      </c>
      <c r="C1267" s="20">
        <v>30</v>
      </c>
      <c r="D1267" s="20">
        <v>42</v>
      </c>
      <c r="E1267" s="20">
        <v>29</v>
      </c>
      <c r="F1267" s="20" t="s">
        <v>11216</v>
      </c>
      <c r="G1267" s="24" t="str">
        <f ca="1">IFERROR(__xludf.DUMMYFUNCTION("GOOGLETRANSLATE(F1267,""en"",""pt"")"),"sistemas de fábrica FF &amp; E")</f>
        <v>sistemas de fábrica FF &amp; E</v>
      </c>
      <c r="H1267" s="24"/>
      <c r="I1267" s="24"/>
    </row>
    <row r="1268" spans="1:9" ht="14.5">
      <c r="A1268" s="20" t="s">
        <v>11217</v>
      </c>
      <c r="B1268" s="20">
        <v>40</v>
      </c>
      <c r="C1268" s="20">
        <v>30</v>
      </c>
      <c r="D1268" s="20">
        <v>42</v>
      </c>
      <c r="E1268" s="20">
        <v>52</v>
      </c>
      <c r="F1268" s="20" t="s">
        <v>11218</v>
      </c>
      <c r="G1268" s="24" t="str">
        <f ca="1">IFERROR(__xludf.DUMMYFUNCTION("GOOGLETRANSLATE(F1268,""en"",""pt"")"),"sistemas meu FF &amp; E")</f>
        <v>sistemas meu FF &amp; E</v>
      </c>
      <c r="H1268" s="24"/>
      <c r="I1268" s="24"/>
    </row>
    <row r="1269" spans="1:9" ht="14.5">
      <c r="A1269" s="20" t="s">
        <v>11219</v>
      </c>
      <c r="B1269" s="20">
        <v>40</v>
      </c>
      <c r="C1269" s="20">
        <v>30</v>
      </c>
      <c r="D1269" s="20">
        <v>42</v>
      </c>
      <c r="E1269" s="20">
        <v>58</v>
      </c>
      <c r="F1269" s="20" t="s">
        <v>11220</v>
      </c>
      <c r="G1269" s="24" t="str">
        <f ca="1">IFERROR(__xludf.DUMMYFUNCTION("GOOGLETRANSLATE(F1269,""en"",""pt"")"),"sistemas Offshore plataforma FF &amp; E")</f>
        <v>sistemas Offshore plataforma FF &amp; E</v>
      </c>
      <c r="H1269" s="24"/>
      <c r="I1269" s="24"/>
    </row>
    <row r="1270" spans="1:9" ht="14.5">
      <c r="A1270" s="20" t="s">
        <v>11221</v>
      </c>
      <c r="B1270" s="20">
        <v>40</v>
      </c>
      <c r="C1270" s="20">
        <v>30</v>
      </c>
      <c r="D1270" s="20">
        <v>42</v>
      </c>
      <c r="E1270" s="20">
        <v>96</v>
      </c>
      <c r="F1270" s="20" t="s">
        <v>11222</v>
      </c>
      <c r="G1270" s="24" t="str">
        <f ca="1">IFERROR(__xludf.DUMMYFUNCTION("GOOGLETRANSLATE(F1270,""en"",""pt"")"),"sistemas Armazém FF &amp; E")</f>
        <v>sistemas Armazém FF &amp; E</v>
      </c>
      <c r="H1270" s="24"/>
      <c r="I1270" s="24"/>
    </row>
    <row r="1271" spans="1:9" ht="14.5">
      <c r="A1271" s="20" t="s">
        <v>11223</v>
      </c>
      <c r="B1271" s="20">
        <v>40</v>
      </c>
      <c r="C1271" s="20">
        <v>30</v>
      </c>
      <c r="D1271" s="20">
        <v>85</v>
      </c>
      <c r="E1271" s="24"/>
      <c r="F1271" s="20" t="s">
        <v>11224</v>
      </c>
      <c r="G1271" s="24" t="str">
        <f ca="1">IFERROR(__xludf.DUMMYFUNCTION("GOOGLETRANSLATE(F1271,""en"",""pt"")"),"sistemas de equipamentos de acesso permanente estática e segurança")</f>
        <v>sistemas de equipamentos de acesso permanente estática e segurança</v>
      </c>
      <c r="H1271" s="24"/>
      <c r="I1271" s="24"/>
    </row>
    <row r="1272" spans="1:9" ht="14.5">
      <c r="A1272" s="20" t="s">
        <v>11225</v>
      </c>
      <c r="B1272" s="20">
        <v>40</v>
      </c>
      <c r="C1272" s="20">
        <v>30</v>
      </c>
      <c r="D1272" s="20">
        <v>85</v>
      </c>
      <c r="E1272" s="20">
        <v>55</v>
      </c>
      <c r="F1272" s="20" t="s">
        <v>11226</v>
      </c>
      <c r="G1272" s="24" t="str">
        <f ca="1">IFERROR(__xludf.DUMMYFUNCTION("GOOGLETRANSLATE(F1272,""en"",""pt"")"),"sistemas de compensação")</f>
        <v>sistemas de compensação</v>
      </c>
      <c r="H1272" s="20" t="s">
        <v>11227</v>
      </c>
      <c r="I1272" s="20" t="s">
        <v>11228</v>
      </c>
    </row>
    <row r="1273" spans="1:9" ht="14.5">
      <c r="A1273" s="20" t="s">
        <v>11229</v>
      </c>
      <c r="B1273" s="20">
        <v>40</v>
      </c>
      <c r="C1273" s="20">
        <v>45</v>
      </c>
      <c r="D1273" s="24"/>
      <c r="E1273" s="24"/>
      <c r="F1273" s="20" t="s">
        <v>11230</v>
      </c>
      <c r="G1273" s="24" t="str">
        <f ca="1">IFERROR(__xludf.DUMMYFUNCTION("GOOGLETRANSLATE(F1273,""en"",""pt"")"),"sistemas de espaço vital FF &amp; E")</f>
        <v>sistemas de espaço vital FF &amp; E</v>
      </c>
      <c r="H1273" s="24"/>
      <c r="I1273" s="24"/>
    </row>
    <row r="1274" spans="1:9" ht="14.5">
      <c r="A1274" s="20" t="s">
        <v>11231</v>
      </c>
      <c r="B1274" s="20">
        <v>40</v>
      </c>
      <c r="C1274" s="20">
        <v>45</v>
      </c>
      <c r="D1274" s="20">
        <v>37</v>
      </c>
      <c r="E1274" s="24"/>
      <c r="F1274" s="20" t="s">
        <v>11232</v>
      </c>
      <c r="G1274" s="24" t="str">
        <f ca="1">IFERROR(__xludf.DUMMYFUNCTION("GOOGLETRANSLATE(F1274,""en"",""pt"")"),"sistemas de Hotel espaço de vida FF &amp; E")</f>
        <v>sistemas de Hotel espaço de vida FF &amp; E</v>
      </c>
      <c r="H1274" s="24"/>
      <c r="I1274" s="24"/>
    </row>
    <row r="1275" spans="1:9" ht="14.5">
      <c r="A1275" s="20" t="s">
        <v>11233</v>
      </c>
      <c r="B1275" s="20">
        <v>40</v>
      </c>
      <c r="C1275" s="20">
        <v>45</v>
      </c>
      <c r="D1275" s="20">
        <v>37</v>
      </c>
      <c r="E1275" s="20">
        <v>28</v>
      </c>
      <c r="F1275" s="20" t="s">
        <v>11234</v>
      </c>
      <c r="G1275" s="24" t="str">
        <f ca="1">IFERROR(__xludf.DUMMYFUNCTION("GOOGLETRANSLATE(F1275,""en"",""pt"")"),"sistemas FF externa &amp; E")</f>
        <v>sistemas FF externa &amp; E</v>
      </c>
      <c r="H1275" s="24"/>
      <c r="I1275" s="24"/>
    </row>
    <row r="1276" spans="1:9" ht="14.5">
      <c r="A1276" s="20" t="s">
        <v>11235</v>
      </c>
      <c r="B1276" s="20">
        <v>40</v>
      </c>
      <c r="C1276" s="20">
        <v>45</v>
      </c>
      <c r="D1276" s="20">
        <v>37</v>
      </c>
      <c r="E1276" s="20">
        <v>36</v>
      </c>
      <c r="F1276" s="20" t="s">
        <v>11236</v>
      </c>
      <c r="G1276" s="24" t="str">
        <f ca="1">IFERROR(__xludf.DUMMYFUNCTION("GOOGLETRANSLATE(F1276,""en"",""pt"")"),"sistemas de quarto Hotel FF &amp; E")</f>
        <v>sistemas de quarto Hotel FF &amp; E</v>
      </c>
      <c r="H1276" s="24"/>
      <c r="I1276" s="24"/>
    </row>
    <row r="1277" spans="1:9" ht="14.5">
      <c r="A1277" s="20" t="s">
        <v>11237</v>
      </c>
      <c r="B1277" s="20">
        <v>40</v>
      </c>
      <c r="C1277" s="20">
        <v>45</v>
      </c>
      <c r="D1277" s="20">
        <v>37</v>
      </c>
      <c r="E1277" s="20">
        <v>38</v>
      </c>
      <c r="F1277" s="20" t="s">
        <v>11238</v>
      </c>
      <c r="G1277" s="24" t="str">
        <f ca="1">IFERROR(__xludf.DUMMYFUNCTION("GOOGLETRANSLATE(F1277,""en"",""pt"")"),"sistemas de Hotel sala de jantar FF &amp; E")</f>
        <v>sistemas de Hotel sala de jantar FF &amp; E</v>
      </c>
      <c r="H1277" s="24"/>
      <c r="I1277" s="24"/>
    </row>
    <row r="1278" spans="1:9" ht="14.5">
      <c r="A1278" s="20" t="s">
        <v>11239</v>
      </c>
      <c r="B1278" s="20">
        <v>40</v>
      </c>
      <c r="C1278" s="20">
        <v>45</v>
      </c>
      <c r="D1278" s="20">
        <v>37</v>
      </c>
      <c r="E1278" s="20">
        <v>45</v>
      </c>
      <c r="F1278" s="20" t="s">
        <v>11240</v>
      </c>
      <c r="G1278" s="24" t="str">
        <f ca="1">IFERROR(__xludf.DUMMYFUNCTION("GOOGLETRANSLATE(F1278,""en"",""pt"")"),"sistemas de cozinha FF &amp; E")</f>
        <v>sistemas de cozinha FF &amp; E</v>
      </c>
      <c r="H1278" s="24"/>
      <c r="I1278" s="24"/>
    </row>
    <row r="1279" spans="1:9" ht="14.5">
      <c r="A1279" s="20" t="s">
        <v>11241</v>
      </c>
      <c r="B1279" s="20">
        <v>40</v>
      </c>
      <c r="C1279" s="20">
        <v>45</v>
      </c>
      <c r="D1279" s="20">
        <v>37</v>
      </c>
      <c r="E1279" s="20">
        <v>47</v>
      </c>
      <c r="F1279" s="20" t="s">
        <v>11242</v>
      </c>
      <c r="G1279" s="24" t="str">
        <f ca="1">IFERROR(__xludf.DUMMYFUNCTION("GOOGLETRANSLATE(F1279,""en"",""pt"")"),"sistemas salão FF &amp; E")</f>
        <v>sistemas salão FF &amp; E</v>
      </c>
      <c r="H1279" s="24"/>
      <c r="I1279" s="24"/>
    </row>
    <row r="1280" spans="1:9" ht="14.5">
      <c r="A1280" s="20" t="s">
        <v>11243</v>
      </c>
      <c r="B1280" s="20">
        <v>40</v>
      </c>
      <c r="C1280" s="20">
        <v>45</v>
      </c>
      <c r="D1280" s="20">
        <v>70</v>
      </c>
      <c r="E1280" s="24"/>
      <c r="F1280" s="20" t="s">
        <v>11244</v>
      </c>
      <c r="G1280" s="24" t="str">
        <f ca="1">IFERROR(__xludf.DUMMYFUNCTION("GOOGLETRANSLATE(F1280,""en"",""pt"")"),"sistemas de espaço residencial FF &amp; E")</f>
        <v>sistemas de espaço residencial FF &amp; E</v>
      </c>
      <c r="H1280" s="24"/>
      <c r="I1280" s="24"/>
    </row>
    <row r="1281" spans="1:9" ht="14.5">
      <c r="A1281" s="20" t="s">
        <v>11245</v>
      </c>
      <c r="B1281" s="20">
        <v>40</v>
      </c>
      <c r="C1281" s="20">
        <v>45</v>
      </c>
      <c r="D1281" s="20">
        <v>70</v>
      </c>
      <c r="E1281" s="20">
        <v>7</v>
      </c>
      <c r="F1281" s="20" t="s">
        <v>11246</v>
      </c>
      <c r="G1281" s="24" t="str">
        <f ca="1">IFERROR(__xludf.DUMMYFUNCTION("GOOGLETRANSLATE(F1281,""en"",""pt"")"),"sistemas Quarto FF &amp; E")</f>
        <v>sistemas Quarto FF &amp; E</v>
      </c>
      <c r="H1281" s="24"/>
      <c r="I1281" s="24"/>
    </row>
    <row r="1282" spans="1:9" ht="14.5">
      <c r="A1282" s="20" t="s">
        <v>11247</v>
      </c>
      <c r="B1282" s="20">
        <v>40</v>
      </c>
      <c r="C1282" s="20">
        <v>45</v>
      </c>
      <c r="D1282" s="20">
        <v>70</v>
      </c>
      <c r="E1282" s="20">
        <v>22</v>
      </c>
      <c r="F1282" s="20" t="s">
        <v>11248</v>
      </c>
      <c r="G1282" s="24" t="str">
        <f ca="1">IFERROR(__xludf.DUMMYFUNCTION("GOOGLETRANSLATE(F1282,""en"",""pt"")"),"SALA DE JANTAR sistemas FF &amp; E")</f>
        <v>SALA DE JANTAR sistemas FF &amp; E</v>
      </c>
      <c r="H1282" s="24"/>
      <c r="I1282" s="24"/>
    </row>
    <row r="1283" spans="1:9" ht="14.5">
      <c r="A1283" s="20" t="s">
        <v>11249</v>
      </c>
      <c r="B1283" s="20">
        <v>40</v>
      </c>
      <c r="C1283" s="20">
        <v>45</v>
      </c>
      <c r="D1283" s="20">
        <v>70</v>
      </c>
      <c r="E1283" s="20">
        <v>24</v>
      </c>
      <c r="F1283" s="20" t="s">
        <v>11250</v>
      </c>
      <c r="G1283" s="24" t="str">
        <f ca="1">IFERROR(__xludf.DUMMYFUNCTION("GOOGLETRANSLATE(F1283,""en"",""pt"")"),"sistemas de cozinha doméstica FF &amp; E")</f>
        <v>sistemas de cozinha doméstica FF &amp; E</v>
      </c>
      <c r="H1283" s="24"/>
      <c r="I1283" s="24"/>
    </row>
    <row r="1284" spans="1:9" ht="14.5">
      <c r="A1284" s="20" t="s">
        <v>11251</v>
      </c>
      <c r="B1284" s="20">
        <v>40</v>
      </c>
      <c r="C1284" s="20">
        <v>45</v>
      </c>
      <c r="D1284" s="20">
        <v>70</v>
      </c>
      <c r="E1284" s="20">
        <v>33</v>
      </c>
      <c r="F1284" s="20" t="s">
        <v>11252</v>
      </c>
      <c r="G1284" s="24" t="str">
        <f ca="1">IFERROR(__xludf.DUMMYFUNCTION("GOOGLETRANSLATE(F1284,""en"",""pt"")"),"sistemas Garden FF &amp; E")</f>
        <v>sistemas Garden FF &amp; E</v>
      </c>
      <c r="H1284" s="24"/>
      <c r="I1284" s="24"/>
    </row>
    <row r="1285" spans="1:9" ht="14.5">
      <c r="A1285" s="20" t="s">
        <v>11253</v>
      </c>
      <c r="B1285" s="20">
        <v>40</v>
      </c>
      <c r="C1285" s="20">
        <v>45</v>
      </c>
      <c r="D1285" s="20">
        <v>70</v>
      </c>
      <c r="E1285" s="20">
        <v>47</v>
      </c>
      <c r="F1285" s="20" t="s">
        <v>11254</v>
      </c>
      <c r="G1285" s="24" t="str">
        <f ca="1">IFERROR(__xludf.DUMMYFUNCTION("GOOGLETRANSLATE(F1285,""en"",""pt"")"),"sistemas de sala FF &amp; E")</f>
        <v>sistemas de sala FF &amp; E</v>
      </c>
      <c r="H1285" s="24"/>
      <c r="I1285" s="24"/>
    </row>
    <row r="1286" spans="1:9" ht="14.5">
      <c r="A1286" s="20" t="s">
        <v>11255</v>
      </c>
      <c r="B1286" s="20">
        <v>40</v>
      </c>
      <c r="C1286" s="20">
        <v>50</v>
      </c>
      <c r="D1286" s="24"/>
      <c r="E1286" s="24"/>
      <c r="F1286" s="20" t="s">
        <v>11256</v>
      </c>
      <c r="G1286" s="24" t="str">
        <f ca="1">IFERROR(__xludf.DUMMYFUNCTION("GOOGLETRANSLATE(F1286,""en"",""pt"")"),"Médicos, saúde e bem-estar FF &amp; E Sistemas")</f>
        <v>Médicos, saúde e bem-estar FF &amp; E Sistemas</v>
      </c>
      <c r="H1286" s="24"/>
      <c r="I1286" s="24"/>
    </row>
    <row r="1287" spans="1:9" ht="14.5">
      <c r="A1287" s="20" t="s">
        <v>11257</v>
      </c>
      <c r="B1287" s="20">
        <v>40</v>
      </c>
      <c r="C1287" s="20">
        <v>50</v>
      </c>
      <c r="D1287" s="20">
        <v>50</v>
      </c>
      <c r="E1287" s="24"/>
      <c r="F1287" s="20" t="s">
        <v>11258</v>
      </c>
      <c r="G1287" s="24" t="str">
        <f ca="1">IFERROR(__xludf.DUMMYFUNCTION("GOOGLETRANSLATE(F1287,""en"",""pt"")"),"sistemas médicos e de saúde FF &amp; E")</f>
        <v>sistemas médicos e de saúde FF &amp; E</v>
      </c>
      <c r="H1287" s="24"/>
      <c r="I1287" s="24"/>
    </row>
    <row r="1288" spans="1:9" ht="14.5">
      <c r="A1288" s="20" t="s">
        <v>11259</v>
      </c>
      <c r="B1288" s="20">
        <v>40</v>
      </c>
      <c r="C1288" s="20">
        <v>50</v>
      </c>
      <c r="D1288" s="20">
        <v>50</v>
      </c>
      <c r="E1288" s="20">
        <v>18</v>
      </c>
      <c r="F1288" s="20" t="s">
        <v>11260</v>
      </c>
      <c r="G1288" s="24" t="str">
        <f ca="1">IFERROR(__xludf.DUMMYFUNCTION("GOOGLETRANSLATE(F1288,""en"",""pt"")"),"sistemas de creche FF &amp; E")</f>
        <v>sistemas de creche FF &amp; E</v>
      </c>
      <c r="H1288" s="24"/>
      <c r="I1288" s="24"/>
    </row>
    <row r="1289" spans="1:9" ht="14.5">
      <c r="A1289" s="20" t="s">
        <v>11261</v>
      </c>
      <c r="B1289" s="20">
        <v>40</v>
      </c>
      <c r="C1289" s="20">
        <v>50</v>
      </c>
      <c r="D1289" s="20">
        <v>50</v>
      </c>
      <c r="E1289" s="20">
        <v>37</v>
      </c>
      <c r="F1289" s="20" t="s">
        <v>11262</v>
      </c>
      <c r="G1289" s="24" t="str">
        <f ca="1">IFERROR(__xludf.DUMMYFUNCTION("GOOGLETRANSLATE(F1289,""en"",""pt"")"),"sistemas Enfermaria FF &amp; E")</f>
        <v>sistemas Enfermaria FF &amp; E</v>
      </c>
      <c r="H1289" s="24"/>
      <c r="I1289" s="24"/>
    </row>
    <row r="1290" spans="1:9" ht="14.5">
      <c r="A1290" s="20" t="s">
        <v>11263</v>
      </c>
      <c r="B1290" s="20">
        <v>40</v>
      </c>
      <c r="C1290" s="20">
        <v>50</v>
      </c>
      <c r="D1290" s="20">
        <v>50</v>
      </c>
      <c r="E1290" s="20">
        <v>50</v>
      </c>
      <c r="F1290" s="20" t="s">
        <v>11264</v>
      </c>
      <c r="G1290" s="24" t="str">
        <f ca="1">IFERROR(__xludf.DUMMYFUNCTION("GOOGLETRANSLATE(F1290,""en"",""pt"")"),"sistemas médica e cirurgia dentária FF &amp; E")</f>
        <v>sistemas médica e cirurgia dentária FF &amp; E</v>
      </c>
      <c r="H1290" s="24"/>
      <c r="I1290" s="24"/>
    </row>
    <row r="1291" spans="1:9" ht="14.5">
      <c r="A1291" s="20" t="s">
        <v>11265</v>
      </c>
      <c r="B1291" s="20">
        <v>40</v>
      </c>
      <c r="C1291" s="20">
        <v>50</v>
      </c>
      <c r="D1291" s="20">
        <v>50</v>
      </c>
      <c r="E1291" s="20">
        <v>59</v>
      </c>
      <c r="F1291" s="20" t="s">
        <v>11266</v>
      </c>
      <c r="G1291" s="24" t="str">
        <f ca="1">IFERROR(__xludf.DUMMYFUNCTION("GOOGLETRANSLATE(F1291,""en"",""pt"")"),"sistemas de sala de operações FF &amp; E")</f>
        <v>sistemas de sala de operações FF &amp; E</v>
      </c>
      <c r="H1291" s="24"/>
      <c r="I1291" s="24"/>
    </row>
    <row r="1292" spans="1:9" ht="14.5">
      <c r="A1292" s="20" t="s">
        <v>11267</v>
      </c>
      <c r="B1292" s="20">
        <v>40</v>
      </c>
      <c r="C1292" s="20">
        <v>50</v>
      </c>
      <c r="D1292" s="20">
        <v>96</v>
      </c>
      <c r="E1292" s="24"/>
      <c r="F1292" s="20" t="s">
        <v>11268</v>
      </c>
      <c r="G1292" s="24" t="str">
        <f ca="1">IFERROR(__xludf.DUMMYFUNCTION("GOOGLETRANSLATE(F1292,""en"",""pt"")"),"sistemas de bem-estar FF &amp; E")</f>
        <v>sistemas de bem-estar FF &amp; E</v>
      </c>
      <c r="H1292" s="24"/>
      <c r="I1292" s="24"/>
    </row>
    <row r="1293" spans="1:9" ht="14.5">
      <c r="A1293" s="20" t="s">
        <v>11269</v>
      </c>
      <c r="B1293" s="20">
        <v>40</v>
      </c>
      <c r="C1293" s="20">
        <v>50</v>
      </c>
      <c r="D1293" s="20">
        <v>96</v>
      </c>
      <c r="E1293" s="20">
        <v>4</v>
      </c>
      <c r="F1293" s="20" t="s">
        <v>11270</v>
      </c>
      <c r="G1293" s="24" t="str">
        <f ca="1">IFERROR(__xludf.DUMMYFUNCTION("GOOGLETRANSLATE(F1293,""en"",""pt"")"),"sistemas de bem-estar animal FF &amp; E")</f>
        <v>sistemas de bem-estar animal FF &amp; E</v>
      </c>
      <c r="H1293" s="24"/>
      <c r="I1293" s="24"/>
    </row>
    <row r="1294" spans="1:9" ht="14.5">
      <c r="A1294" s="20" t="s">
        <v>11271</v>
      </c>
      <c r="B1294" s="20">
        <v>40</v>
      </c>
      <c r="C1294" s="20">
        <v>50</v>
      </c>
      <c r="D1294" s="20">
        <v>96</v>
      </c>
      <c r="E1294" s="20">
        <v>71</v>
      </c>
      <c r="F1294" s="20" t="s">
        <v>11272</v>
      </c>
      <c r="G1294" s="24" t="str">
        <f ca="1">IFERROR(__xludf.DUMMYFUNCTION("GOOGLETRANSLATE(F1294,""en"",""pt"")"),"sistemas de Reabilitação FF &amp; E")</f>
        <v>sistemas de Reabilitação FF &amp; E</v>
      </c>
      <c r="H1294" s="24"/>
      <c r="I1294" s="24"/>
    </row>
    <row r="1295" spans="1:9" ht="14.5">
      <c r="A1295" s="20" t="s">
        <v>11273</v>
      </c>
      <c r="B1295" s="20">
        <v>40</v>
      </c>
      <c r="C1295" s="20">
        <v>70</v>
      </c>
      <c r="D1295" s="24"/>
      <c r="E1295" s="24"/>
      <c r="F1295" s="20" t="s">
        <v>11274</v>
      </c>
      <c r="G1295" s="24" t="str">
        <f ca="1">IFERROR(__xludf.DUMMYFUNCTION("GOOGLETRANSLATE(F1295,""en"",""pt"")"),"sistemas FF &amp; E Recreativas")</f>
        <v>sistemas FF &amp; E Recreativas</v>
      </c>
      <c r="H1295" s="24"/>
      <c r="I1295" s="24"/>
    </row>
    <row r="1296" spans="1:9" ht="14.5">
      <c r="A1296" s="20" t="s">
        <v>11275</v>
      </c>
      <c r="B1296" s="20">
        <v>40</v>
      </c>
      <c r="C1296" s="20">
        <v>70</v>
      </c>
      <c r="D1296" s="20">
        <v>20</v>
      </c>
      <c r="E1296" s="24"/>
      <c r="F1296" s="20" t="s">
        <v>11276</v>
      </c>
      <c r="G1296" s="24" t="str">
        <f ca="1">IFERROR(__xludf.DUMMYFUNCTION("GOOGLETRANSLATE(F1296,""en"",""pt"")"),"sistemas Casino FF &amp; E")</f>
        <v>sistemas Casino FF &amp; E</v>
      </c>
      <c r="H1296" s="24"/>
      <c r="I1296" s="24"/>
    </row>
    <row r="1297" spans="1:9" ht="14.5">
      <c r="A1297" s="20" t="s">
        <v>11277</v>
      </c>
      <c r="B1297" s="20">
        <v>40</v>
      </c>
      <c r="C1297" s="20">
        <v>70</v>
      </c>
      <c r="D1297" s="20">
        <v>55</v>
      </c>
      <c r="E1297" s="24"/>
      <c r="F1297" s="20" t="s">
        <v>11278</v>
      </c>
      <c r="G1297" s="24" t="str">
        <f ca="1">IFERROR(__xludf.DUMMYFUNCTION("GOOGLETRANSLATE(F1297,""en"",""pt"")"),"Jogar sistemas FF &amp; E")</f>
        <v>Jogar sistemas FF &amp; E</v>
      </c>
      <c r="H1297" s="24"/>
      <c r="I1297" s="24"/>
    </row>
    <row r="1298" spans="1:9" ht="14.5">
      <c r="A1298" s="20" t="s">
        <v>11279</v>
      </c>
      <c r="B1298" s="20">
        <v>40</v>
      </c>
      <c r="C1298" s="20">
        <v>70</v>
      </c>
      <c r="D1298" s="20">
        <v>55</v>
      </c>
      <c r="E1298" s="20">
        <v>10</v>
      </c>
      <c r="F1298" s="20" t="s">
        <v>11280</v>
      </c>
      <c r="G1298" s="24" t="str">
        <f ca="1">IFERROR(__xludf.DUMMYFUNCTION("GOOGLETRANSLATE(F1298,""en"",""pt"")"),"Escalada sistemas de equipamentos")</f>
        <v>Escalada sistemas de equipamentos</v>
      </c>
      <c r="H1298" s="24"/>
      <c r="I1298" s="24"/>
    </row>
    <row r="1299" spans="1:9" ht="14.5">
      <c r="A1299" s="20" t="s">
        <v>11281</v>
      </c>
      <c r="B1299" s="20">
        <v>40</v>
      </c>
      <c r="C1299" s="20">
        <v>70</v>
      </c>
      <c r="D1299" s="20">
        <v>55</v>
      </c>
      <c r="E1299" s="20">
        <v>15</v>
      </c>
      <c r="F1299" s="20" t="s">
        <v>11282</v>
      </c>
      <c r="G1299" s="24" t="str">
        <f ca="1">IFERROR(__xludf.DUMMYFUNCTION("GOOGLETRANSLATE(F1299,""en"",""pt"")"),"sistemas de equipamentos de jogo de combinação")</f>
        <v>sistemas de equipamentos de jogo de combinação</v>
      </c>
      <c r="H1299" s="24"/>
      <c r="I1299" s="24"/>
    </row>
    <row r="1300" spans="1:9" ht="14.5">
      <c r="A1300" s="20" t="s">
        <v>11283</v>
      </c>
      <c r="B1300" s="20">
        <v>40</v>
      </c>
      <c r="C1300" s="20">
        <v>70</v>
      </c>
      <c r="D1300" s="20">
        <v>55</v>
      </c>
      <c r="E1300" s="20">
        <v>35</v>
      </c>
      <c r="F1300" s="20" t="s">
        <v>11284</v>
      </c>
      <c r="G1300" s="24" t="str">
        <f ca="1">IFERROR(__xludf.DUMMYFUNCTION("GOOGLETRANSLATE(F1300,""en"",""pt"")"),"Ginástica e sistemas de equipamentos que exerçam")</f>
        <v>Ginástica e sistemas de equipamentos que exerçam</v>
      </c>
      <c r="H1300" s="24"/>
      <c r="I1300" s="24"/>
    </row>
    <row r="1301" spans="1:9" ht="14.5">
      <c r="A1301" s="20" t="s">
        <v>11285</v>
      </c>
      <c r="B1301" s="20">
        <v>40</v>
      </c>
      <c r="C1301" s="20">
        <v>70</v>
      </c>
      <c r="D1301" s="20">
        <v>55</v>
      </c>
      <c r="E1301" s="20">
        <v>70</v>
      </c>
      <c r="F1301" s="20" t="s">
        <v>11286</v>
      </c>
      <c r="G1301" s="24" t="str">
        <f ca="1">IFERROR(__xludf.DUMMYFUNCTION("GOOGLETRANSLATE(F1301,""en"",""pt"")"),"Balançar sistemas de equipamentos")</f>
        <v>Balançar sistemas de equipamentos</v>
      </c>
      <c r="H1301" s="24"/>
      <c r="I1301" s="24"/>
    </row>
    <row r="1302" spans="1:9" ht="14.5">
      <c r="A1302" s="20" t="s">
        <v>11287</v>
      </c>
      <c r="B1302" s="20">
        <v>40</v>
      </c>
      <c r="C1302" s="20">
        <v>70</v>
      </c>
      <c r="D1302" s="20">
        <v>55</v>
      </c>
      <c r="E1302" s="20">
        <v>73</v>
      </c>
      <c r="F1302" s="20" t="s">
        <v>11288</v>
      </c>
      <c r="G1302" s="24" t="str">
        <f ca="1">IFERROR(__xludf.DUMMYFUNCTION("GOOGLETRANSLATE(F1302,""en"",""pt"")"),"sistemas de equipamentos Runway")</f>
        <v>sistemas de equipamentos Runway</v>
      </c>
      <c r="H1302" s="24"/>
      <c r="I1302" s="24"/>
    </row>
    <row r="1303" spans="1:9" ht="14.5">
      <c r="A1303" s="20" t="s">
        <v>11289</v>
      </c>
      <c r="B1303" s="20">
        <v>40</v>
      </c>
      <c r="C1303" s="20">
        <v>70</v>
      </c>
      <c r="D1303" s="20">
        <v>55</v>
      </c>
      <c r="E1303" s="20">
        <v>75</v>
      </c>
      <c r="F1303" s="20" t="s">
        <v>11290</v>
      </c>
      <c r="G1303" s="24" t="str">
        <f ca="1">IFERROR(__xludf.DUMMYFUNCTION("GOOGLETRANSLATE(F1303,""en"",""pt"")"),"sistemas de equipamentos de areia e jogar água")</f>
        <v>sistemas de equipamentos de areia e jogar água</v>
      </c>
      <c r="H1303" s="24"/>
      <c r="I1303" s="24"/>
    </row>
    <row r="1304" spans="1:9" ht="14.5">
      <c r="A1304" s="20" t="s">
        <v>11291</v>
      </c>
      <c r="B1304" s="20">
        <v>40</v>
      </c>
      <c r="C1304" s="20">
        <v>70</v>
      </c>
      <c r="D1304" s="20">
        <v>55</v>
      </c>
      <c r="E1304" s="20">
        <v>80</v>
      </c>
      <c r="F1304" s="20" t="s">
        <v>11292</v>
      </c>
      <c r="G1304" s="24" t="str">
        <f ca="1">IFERROR(__xludf.DUMMYFUNCTION("GOOGLETRANSLATE(F1304,""en"",""pt"")"),"sistemas de equipamentos de slides")</f>
        <v>sistemas de equipamentos de slides</v>
      </c>
      <c r="H1304" s="24"/>
      <c r="I1304" s="24"/>
    </row>
    <row r="1305" spans="1:9" ht="14.5">
      <c r="A1305" s="20" t="s">
        <v>11293</v>
      </c>
      <c r="B1305" s="20">
        <v>40</v>
      </c>
      <c r="C1305" s="20">
        <v>70</v>
      </c>
      <c r="D1305" s="20">
        <v>55</v>
      </c>
      <c r="E1305" s="20">
        <v>83</v>
      </c>
      <c r="F1305" s="20" t="s">
        <v>11294</v>
      </c>
      <c r="G1305" s="24" t="str">
        <f ca="1">IFERROR(__xludf.DUMMYFUNCTION("GOOGLETRANSLATE(F1305,""en"",""pt"")"),"Spinning sistemas de equipamentos")</f>
        <v>Spinning sistemas de equipamentos</v>
      </c>
      <c r="H1305" s="24"/>
      <c r="I1305" s="24"/>
    </row>
    <row r="1306" spans="1:9" ht="14.5">
      <c r="A1306" s="20" t="s">
        <v>11295</v>
      </c>
      <c r="B1306" s="20">
        <v>40</v>
      </c>
      <c r="C1306" s="20">
        <v>70</v>
      </c>
      <c r="D1306" s="20">
        <v>55</v>
      </c>
      <c r="E1306" s="20">
        <v>85</v>
      </c>
      <c r="F1306" s="20" t="s">
        <v>11296</v>
      </c>
      <c r="G1306" s="24" t="str">
        <f ca="1">IFERROR(__xludf.DUMMYFUNCTION("GOOGLETRANSLATE(F1306,""en"",""pt"")"),"Balançando sistemas de equipamentos")</f>
        <v>Balançando sistemas de equipamentos</v>
      </c>
      <c r="H1306" s="24"/>
      <c r="I1306" s="24"/>
    </row>
    <row r="1307" spans="1:9" ht="14.5">
      <c r="A1307" s="20" t="s">
        <v>11297</v>
      </c>
      <c r="B1307" s="20">
        <v>40</v>
      </c>
      <c r="C1307" s="20">
        <v>70</v>
      </c>
      <c r="D1307" s="20">
        <v>60</v>
      </c>
      <c r="E1307" s="24"/>
      <c r="F1307" s="20" t="s">
        <v>11298</v>
      </c>
      <c r="G1307" s="24" t="str">
        <f ca="1">IFERROR(__xludf.DUMMYFUNCTION("GOOGLETRANSLATE(F1307,""en"",""pt"")"),"sistemas de piscina FF &amp; E")</f>
        <v>sistemas de piscina FF &amp; E</v>
      </c>
      <c r="H1307" s="24"/>
      <c r="I1307" s="24"/>
    </row>
    <row r="1308" spans="1:9" ht="14.5">
      <c r="A1308" s="20" t="s">
        <v>11299</v>
      </c>
      <c r="B1308" s="20">
        <v>40</v>
      </c>
      <c r="C1308" s="20">
        <v>70</v>
      </c>
      <c r="D1308" s="20">
        <v>60</v>
      </c>
      <c r="E1308" s="20">
        <v>15</v>
      </c>
      <c r="F1308" s="20" t="s">
        <v>11300</v>
      </c>
      <c r="G1308" s="24" t="str">
        <f ca="1">IFERROR(__xludf.DUMMYFUNCTION("GOOGLETRANSLATE(F1308,""en"",""pt"")"),"sistemas competitiva piscina FF &amp; E")</f>
        <v>sistemas competitiva piscina FF &amp; E</v>
      </c>
      <c r="H1308" s="20" t="s">
        <v>11301</v>
      </c>
      <c r="I1308" s="20" t="s">
        <v>11302</v>
      </c>
    </row>
    <row r="1309" spans="1:9" ht="14.5">
      <c r="A1309" s="20" t="s">
        <v>11303</v>
      </c>
      <c r="B1309" s="20">
        <v>40</v>
      </c>
      <c r="C1309" s="20">
        <v>70</v>
      </c>
      <c r="D1309" s="20">
        <v>60</v>
      </c>
      <c r="E1309" s="20">
        <v>25</v>
      </c>
      <c r="F1309" s="20" t="s">
        <v>11304</v>
      </c>
      <c r="G1309" s="24" t="str">
        <f ca="1">IFERROR(__xludf.DUMMYFUNCTION("GOOGLETRANSLATE(F1309,""en"",""pt"")"),"sistemas de piscina de mergulho FF &amp; E")</f>
        <v>sistemas de piscina de mergulho FF &amp; E</v>
      </c>
      <c r="H1309" s="20" t="s">
        <v>11305</v>
      </c>
      <c r="I1309" s="20" t="s">
        <v>11302</v>
      </c>
    </row>
    <row r="1310" spans="1:9" ht="14.5">
      <c r="A1310" s="20" t="s">
        <v>11306</v>
      </c>
      <c r="B1310" s="20">
        <v>40</v>
      </c>
      <c r="C1310" s="20">
        <v>70</v>
      </c>
      <c r="D1310" s="20">
        <v>60</v>
      </c>
      <c r="E1310" s="20">
        <v>45</v>
      </c>
      <c r="F1310" s="20" t="s">
        <v>11307</v>
      </c>
      <c r="G1310" s="24" t="str">
        <f ca="1">IFERROR(__xludf.DUMMYFUNCTION("GOOGLETRANSLATE(F1310,""en"",""pt"")"),"sistemas de Lazer Piscina FF &amp; E")</f>
        <v>sistemas de Lazer Piscina FF &amp; E</v>
      </c>
      <c r="H1310" s="20" t="s">
        <v>11308</v>
      </c>
      <c r="I1310" s="20" t="s">
        <v>11302</v>
      </c>
    </row>
    <row r="1311" spans="1:9" ht="14.5">
      <c r="A1311" s="20" t="s">
        <v>11309</v>
      </c>
      <c r="B1311" s="20">
        <v>40</v>
      </c>
      <c r="C1311" s="20">
        <v>70</v>
      </c>
      <c r="D1311" s="20">
        <v>60</v>
      </c>
      <c r="E1311" s="20">
        <v>62</v>
      </c>
      <c r="F1311" s="20" t="s">
        <v>11310</v>
      </c>
      <c r="G1311" s="24" t="str">
        <f ca="1">IFERROR(__xludf.DUMMYFUNCTION("GOOGLETRANSLATE(F1311,""en"",""pt"")"),"Piscina sistemas de equipamentos de ajuda transferência")</f>
        <v>Piscina sistemas de equipamentos de ajuda transferência</v>
      </c>
      <c r="H1311" s="20" t="s">
        <v>11311</v>
      </c>
      <c r="I1311" s="20" t="s">
        <v>11001</v>
      </c>
    </row>
    <row r="1312" spans="1:9" ht="14.5">
      <c r="A1312" s="20" t="s">
        <v>11312</v>
      </c>
      <c r="B1312" s="20">
        <v>40</v>
      </c>
      <c r="C1312" s="20">
        <v>70</v>
      </c>
      <c r="D1312" s="20">
        <v>65</v>
      </c>
      <c r="E1312" s="24"/>
      <c r="F1312" s="20" t="s">
        <v>11313</v>
      </c>
      <c r="G1312" s="24" t="str">
        <f ca="1">IFERROR(__xludf.DUMMYFUNCTION("GOOGLETRANSLATE(F1312,""en"",""pt"")"),"sistemas de casa pública FF &amp; E")</f>
        <v>sistemas de casa pública FF &amp; E</v>
      </c>
      <c r="H1312" s="24"/>
      <c r="I1312" s="24"/>
    </row>
    <row r="1313" spans="1:9" ht="14.5">
      <c r="A1313" s="20" t="s">
        <v>11314</v>
      </c>
      <c r="B1313" s="20">
        <v>40</v>
      </c>
      <c r="C1313" s="20">
        <v>70</v>
      </c>
      <c r="D1313" s="20">
        <v>70</v>
      </c>
      <c r="E1313" s="24"/>
      <c r="F1313" s="20" t="s">
        <v>11315</v>
      </c>
      <c r="G1313" s="24" t="str">
        <f ca="1">IFERROR(__xludf.DUMMYFUNCTION("GOOGLETRANSLATE(F1313,""en"",""pt"")"),"sistemas restaurante FF &amp; E")</f>
        <v>sistemas restaurante FF &amp; E</v>
      </c>
      <c r="H1313" s="24"/>
      <c r="I1313" s="24"/>
    </row>
    <row r="1314" spans="1:9" ht="14.5">
      <c r="A1314" s="20" t="s">
        <v>11316</v>
      </c>
      <c r="B1314" s="20">
        <v>40</v>
      </c>
      <c r="C1314" s="20">
        <v>70</v>
      </c>
      <c r="D1314" s="20">
        <v>75</v>
      </c>
      <c r="E1314" s="24"/>
      <c r="F1314" s="20" t="s">
        <v>11317</v>
      </c>
      <c r="G1314" s="24" t="str">
        <f ca="1">IFERROR(__xludf.DUMMYFUNCTION("GOOGLETRANSLATE(F1314,""en"",""pt"")"),"sistemas Sports FF &amp; E")</f>
        <v>sistemas Sports FF &amp; E</v>
      </c>
      <c r="H1314" s="24"/>
      <c r="I1314" s="24"/>
    </row>
    <row r="1315" spans="1:9" ht="14.5">
      <c r="A1315" s="20" t="s">
        <v>11318</v>
      </c>
      <c r="B1315" s="20">
        <v>40</v>
      </c>
      <c r="C1315" s="20">
        <v>70</v>
      </c>
      <c r="D1315" s="20">
        <v>75</v>
      </c>
      <c r="E1315" s="20">
        <v>5</v>
      </c>
      <c r="F1315" s="20" t="s">
        <v>11319</v>
      </c>
      <c r="G1315" s="24" t="str">
        <f ca="1">IFERROR(__xludf.DUMMYFUNCTION("GOOGLETRANSLATE(F1315,""en"",""pt"")"),"sistemas de corte bola FF &amp; E")</f>
        <v>sistemas de corte bola FF &amp; E</v>
      </c>
      <c r="H1315" s="20" t="s">
        <v>11320</v>
      </c>
      <c r="I1315" s="20" t="s">
        <v>11139</v>
      </c>
    </row>
    <row r="1316" spans="1:9" ht="14.5">
      <c r="A1316" s="20" t="s">
        <v>11321</v>
      </c>
      <c r="B1316" s="20">
        <v>40</v>
      </c>
      <c r="C1316" s="20">
        <v>70</v>
      </c>
      <c r="D1316" s="20">
        <v>75</v>
      </c>
      <c r="E1316" s="20">
        <v>20</v>
      </c>
      <c r="F1316" s="20" t="s">
        <v>11322</v>
      </c>
      <c r="G1316" s="24" t="str">
        <f ca="1">IFERROR(__xludf.DUMMYFUNCTION("GOOGLETRANSLATE(F1316,""en"",""pt"")"),"sistemas claro ciclo de FF &amp; E")</f>
        <v>sistemas claro ciclo de FF &amp; E</v>
      </c>
      <c r="H1316" s="20" t="s">
        <v>11323</v>
      </c>
      <c r="I1316" s="20" t="s">
        <v>11139</v>
      </c>
    </row>
    <row r="1317" spans="1:9" ht="14.5">
      <c r="A1317" s="20" t="s">
        <v>11324</v>
      </c>
      <c r="B1317" s="20">
        <v>40</v>
      </c>
      <c r="C1317" s="20">
        <v>70</v>
      </c>
      <c r="D1317" s="20">
        <v>75</v>
      </c>
      <c r="E1317" s="20">
        <v>27</v>
      </c>
      <c r="F1317" s="20" t="s">
        <v>11325</v>
      </c>
      <c r="G1317" s="24" t="str">
        <f ca="1">IFERROR(__xludf.DUMMYFUNCTION("GOOGLETRANSLATE(F1317,""en"",""pt"")"),"sistemas de equipamentos equestres")</f>
        <v>sistemas de equipamentos equestres</v>
      </c>
      <c r="H1317" s="20" t="s">
        <v>11326</v>
      </c>
      <c r="I1317" s="20" t="s">
        <v>11139</v>
      </c>
    </row>
    <row r="1318" spans="1:9" ht="14.5">
      <c r="A1318" s="20" t="s">
        <v>11327</v>
      </c>
      <c r="B1318" s="20">
        <v>40</v>
      </c>
      <c r="C1318" s="20">
        <v>70</v>
      </c>
      <c r="D1318" s="20">
        <v>75</v>
      </c>
      <c r="E1318" s="20">
        <v>50</v>
      </c>
      <c r="F1318" s="20" t="s">
        <v>11328</v>
      </c>
      <c r="G1318" s="24" t="str">
        <f ca="1">IFERROR(__xludf.DUMMYFUNCTION("GOOGLETRANSLATE(F1318,""en"",""pt"")"),"sistemas FF &amp; E da área multi-uso jogos")</f>
        <v>sistemas FF &amp; E da área multi-uso jogos</v>
      </c>
      <c r="H1318" s="24"/>
      <c r="I1318" s="24"/>
    </row>
    <row r="1319" spans="1:9" ht="14.5">
      <c r="A1319" s="20" t="s">
        <v>11329</v>
      </c>
      <c r="B1319" s="20">
        <v>40</v>
      </c>
      <c r="C1319" s="20">
        <v>70</v>
      </c>
      <c r="D1319" s="20">
        <v>75</v>
      </c>
      <c r="E1319" s="20">
        <v>80</v>
      </c>
      <c r="F1319" s="20" t="s">
        <v>11330</v>
      </c>
      <c r="G1319" s="24" t="str">
        <f ca="1">IFERROR(__xludf.DUMMYFUNCTION("GOOGLETRANSLATE(F1319,""en"",""pt"")"),"sistemas Skate park FF &amp; E")</f>
        <v>sistemas Skate park FF &amp; E</v>
      </c>
      <c r="H1319" s="20" t="s">
        <v>11331</v>
      </c>
      <c r="I1319" s="20" t="s">
        <v>11139</v>
      </c>
    </row>
    <row r="1320" spans="1:9" ht="14.5">
      <c r="A1320" s="20" t="s">
        <v>11332</v>
      </c>
      <c r="B1320" s="20">
        <v>40</v>
      </c>
      <c r="C1320" s="20">
        <v>70</v>
      </c>
      <c r="D1320" s="20">
        <v>75</v>
      </c>
      <c r="E1320" s="20">
        <v>85</v>
      </c>
      <c r="F1320" s="20" t="s">
        <v>11333</v>
      </c>
      <c r="G1320" s="24" t="str">
        <f ca="1">IFERROR(__xludf.DUMMYFUNCTION("GOOGLETRANSLATE(F1320,""en"",""pt"")"),"Sports lançar sistemas FF &amp; E")</f>
        <v>Sports lançar sistemas FF &amp; E</v>
      </c>
      <c r="H1320" s="20" t="s">
        <v>11334</v>
      </c>
      <c r="I1320" s="20" t="s">
        <v>11139</v>
      </c>
    </row>
    <row r="1321" spans="1:9" ht="14.5">
      <c r="A1321" s="20" t="s">
        <v>11335</v>
      </c>
      <c r="B1321" s="20">
        <v>40</v>
      </c>
      <c r="C1321" s="20">
        <v>70</v>
      </c>
      <c r="D1321" s="20">
        <v>75</v>
      </c>
      <c r="E1321" s="20">
        <v>90</v>
      </c>
      <c r="F1321" s="20" t="s">
        <v>11336</v>
      </c>
      <c r="G1321" s="24" t="str">
        <f ca="1">IFERROR(__xludf.DUMMYFUNCTION("GOOGLETRANSLATE(F1321,""en"",""pt"")"),"sistemas de trilha guarnição FF &amp; E")</f>
        <v>sistemas de trilha guarnição FF &amp; E</v>
      </c>
      <c r="H1321" s="20" t="s">
        <v>11337</v>
      </c>
      <c r="I1321" s="20" t="s">
        <v>11139</v>
      </c>
    </row>
    <row r="1322" spans="1:9" ht="14.5">
      <c r="A1322" s="20" t="s">
        <v>11338</v>
      </c>
      <c r="B1322" s="20">
        <v>40</v>
      </c>
      <c r="C1322" s="20">
        <v>70</v>
      </c>
      <c r="D1322" s="20">
        <v>80</v>
      </c>
      <c r="E1322" s="24"/>
      <c r="F1322" s="20" t="s">
        <v>11339</v>
      </c>
      <c r="G1322" s="24" t="str">
        <f ca="1">IFERROR(__xludf.DUMMYFUNCTION("GOOGLETRANSLATE(F1322,""en"",""pt"")"),"sistemas Estádio FF &amp; E")</f>
        <v>sistemas Estádio FF &amp; E</v>
      </c>
      <c r="H1322" s="24"/>
      <c r="I1322" s="24"/>
    </row>
    <row r="1323" spans="1:9" ht="14.5">
      <c r="A1323" s="20" t="s">
        <v>11340</v>
      </c>
      <c r="B1323" s="20">
        <v>40</v>
      </c>
      <c r="C1323" s="20">
        <v>70</v>
      </c>
      <c r="D1323" s="20">
        <v>95</v>
      </c>
      <c r="E1323" s="24"/>
      <c r="F1323" s="20" t="s">
        <v>11341</v>
      </c>
      <c r="G1323" s="24" t="str">
        <f ca="1">IFERROR(__xludf.DUMMYFUNCTION("GOOGLETRANSLATE(F1323,""en"",""pt"")"),"sistemas de Vida Selvagem, eco local e conservação da natureza FF &amp; E")</f>
        <v>sistemas de Vida Selvagem, eco local e conservação da natureza FF &amp; E</v>
      </c>
      <c r="H1323" s="24"/>
      <c r="I1323" s="24"/>
    </row>
    <row r="1324" spans="1:9" ht="14.5">
      <c r="A1324" s="20" t="s">
        <v>11342</v>
      </c>
      <c r="B1324" s="20">
        <v>40</v>
      </c>
      <c r="C1324" s="20">
        <v>85</v>
      </c>
      <c r="D1324" s="24"/>
      <c r="E1324" s="24"/>
      <c r="F1324" s="20" t="s">
        <v>11343</v>
      </c>
      <c r="G1324" s="24" t="str">
        <f ca="1">IFERROR(__xludf.DUMMYFUNCTION("GOOGLETRANSLATE(F1324,""en"",""pt"")"),"sistemas de transporte FF &amp; E")</f>
        <v>sistemas de transporte FF &amp; E</v>
      </c>
      <c r="H1324" s="24"/>
      <c r="I1324" s="24"/>
    </row>
    <row r="1325" spans="1:9" ht="14.5">
      <c r="A1325" s="20" t="s">
        <v>11344</v>
      </c>
      <c r="B1325" s="20">
        <v>40</v>
      </c>
      <c r="C1325" s="20">
        <v>85</v>
      </c>
      <c r="D1325" s="20">
        <v>1</v>
      </c>
      <c r="E1325" s="24"/>
      <c r="F1325" s="20" t="s">
        <v>11345</v>
      </c>
      <c r="G1325" s="24" t="str">
        <f ca="1">IFERROR(__xludf.DUMMYFUNCTION("GOOGLETRANSLATE(F1325,""en"",""pt"")"),"sistemas aeroespaciais FF &amp; E")</f>
        <v>sistemas aeroespaciais FF &amp; E</v>
      </c>
      <c r="H1325" s="24"/>
      <c r="I1325" s="24"/>
    </row>
    <row r="1326" spans="1:9" ht="14.5">
      <c r="A1326" s="20" t="s">
        <v>11346</v>
      </c>
      <c r="B1326" s="20">
        <v>40</v>
      </c>
      <c r="C1326" s="20">
        <v>85</v>
      </c>
      <c r="D1326" s="20">
        <v>1</v>
      </c>
      <c r="E1326" s="20">
        <v>1</v>
      </c>
      <c r="F1326" s="20" t="s">
        <v>11347</v>
      </c>
      <c r="G1326" s="24" t="str">
        <f ca="1">IFERROR(__xludf.DUMMYFUNCTION("GOOGLETRANSLATE(F1326,""en"",""pt"")"),"sistemas de simulação de treinamento de incêndio aeronaves")</f>
        <v>sistemas de simulação de treinamento de incêndio aeronaves</v>
      </c>
      <c r="H1326" s="20" t="s">
        <v>11348</v>
      </c>
      <c r="I1326" s="24"/>
    </row>
    <row r="1327" spans="1:9" ht="14.5">
      <c r="A1327" s="20" t="s">
        <v>11349</v>
      </c>
      <c r="B1327" s="20">
        <v>40</v>
      </c>
      <c r="C1327" s="20">
        <v>85</v>
      </c>
      <c r="D1327" s="20">
        <v>11</v>
      </c>
      <c r="E1327" s="24"/>
      <c r="F1327" s="20" t="s">
        <v>11350</v>
      </c>
      <c r="G1327" s="24" t="str">
        <f ca="1">IFERROR(__xludf.DUMMYFUNCTION("GOOGLETRANSLATE(F1327,""en"",""pt"")"),"sistemas de cabo de transporte FF &amp; E")</f>
        <v>sistemas de cabo de transporte FF &amp; E</v>
      </c>
      <c r="H1327" s="24"/>
      <c r="I1327" s="24"/>
    </row>
    <row r="1328" spans="1:9" ht="14.5">
      <c r="A1328" s="20" t="s">
        <v>11351</v>
      </c>
      <c r="B1328" s="20">
        <v>40</v>
      </c>
      <c r="C1328" s="20">
        <v>85</v>
      </c>
      <c r="D1328" s="20">
        <v>50</v>
      </c>
      <c r="E1328" s="24"/>
      <c r="F1328" s="20" t="s">
        <v>11352</v>
      </c>
      <c r="G1328" s="24" t="str">
        <f ca="1">IFERROR(__xludf.DUMMYFUNCTION("GOOGLETRANSLATE(F1328,""en"",""pt"")"),"sistemas marinhos e FF hidrovia &amp; E")</f>
        <v>sistemas marinhos e FF hidrovia &amp; E</v>
      </c>
      <c r="H1328" s="24"/>
      <c r="I1328" s="24"/>
    </row>
    <row r="1329" spans="1:9" ht="14.5">
      <c r="A1329" s="20" t="s">
        <v>11353</v>
      </c>
      <c r="B1329" s="20">
        <v>40</v>
      </c>
      <c r="C1329" s="20">
        <v>85</v>
      </c>
      <c r="D1329" s="20">
        <v>50</v>
      </c>
      <c r="E1329" s="20">
        <v>95</v>
      </c>
      <c r="F1329" s="20" t="s">
        <v>11354</v>
      </c>
      <c r="G1329" s="24" t="str">
        <f ca="1">IFERROR(__xludf.DUMMYFUNCTION("GOOGLETRANSLATE(F1329,""en"",""pt"")"),"sistemas Waterside FF &amp; E")</f>
        <v>sistemas Waterside FF &amp; E</v>
      </c>
      <c r="H1329" s="24"/>
      <c r="I1329" s="24"/>
    </row>
    <row r="1330" spans="1:9" ht="14.5">
      <c r="A1330" s="20" t="s">
        <v>11355</v>
      </c>
      <c r="B1330" s="20">
        <v>40</v>
      </c>
      <c r="C1330" s="20">
        <v>85</v>
      </c>
      <c r="D1330" s="20">
        <v>70</v>
      </c>
      <c r="E1330" s="24"/>
      <c r="F1330" s="20" t="s">
        <v>11356</v>
      </c>
      <c r="G1330" s="24" t="str">
        <f ca="1">IFERROR(__xludf.DUMMYFUNCTION("GOOGLETRANSLATE(F1330,""en"",""pt"")"),"sistemas ferroviário FF &amp; E")</f>
        <v>sistemas ferroviário FF &amp; E</v>
      </c>
      <c r="H1330" s="24"/>
      <c r="I1330" s="24"/>
    </row>
    <row r="1331" spans="1:9" ht="14.5">
      <c r="A1331" s="20" t="s">
        <v>11357</v>
      </c>
      <c r="B1331" s="20">
        <v>40</v>
      </c>
      <c r="C1331" s="20">
        <v>85</v>
      </c>
      <c r="D1331" s="20">
        <v>70</v>
      </c>
      <c r="E1331" s="20">
        <v>60</v>
      </c>
      <c r="F1331" s="20" t="s">
        <v>11358</v>
      </c>
      <c r="G1331" s="24" t="str">
        <f ca="1">IFERROR(__xludf.DUMMYFUNCTION("GOOGLETRANSLATE(F1331,""en"",""pt"")"),"sistemas afluência de passageiros FF &amp; E")</f>
        <v>sistemas afluência de passageiros FF &amp; E</v>
      </c>
      <c r="H1331" s="24"/>
      <c r="I1331" s="24"/>
    </row>
    <row r="1332" spans="1:9" ht="14.5">
      <c r="A1332" s="20" t="s">
        <v>11359</v>
      </c>
      <c r="B1332" s="20">
        <v>40</v>
      </c>
      <c r="C1332" s="20">
        <v>85</v>
      </c>
      <c r="D1332" s="20">
        <v>72</v>
      </c>
      <c r="E1332" s="24"/>
      <c r="F1332" s="20" t="s">
        <v>11360</v>
      </c>
      <c r="G1332" s="24" t="str">
        <f ca="1">IFERROR(__xludf.DUMMYFUNCTION("GOOGLETRANSLATE(F1332,""en"",""pt"")"),"sistemas de estrada FF &amp; E")</f>
        <v>sistemas de estrada FF &amp; E</v>
      </c>
      <c r="H1332" s="24"/>
      <c r="I1332" s="24"/>
    </row>
    <row r="1333" spans="1:9" ht="14.5">
      <c r="A1333" s="20" t="s">
        <v>11361</v>
      </c>
      <c r="B1333" s="20">
        <v>40</v>
      </c>
      <c r="C1333" s="20">
        <v>85</v>
      </c>
      <c r="D1333" s="20">
        <v>72</v>
      </c>
      <c r="E1333" s="20">
        <v>11</v>
      </c>
      <c r="F1333" s="20" t="s">
        <v>11362</v>
      </c>
      <c r="G1333" s="24" t="str">
        <f ca="1">IFERROR(__xludf.DUMMYFUNCTION("GOOGLETRANSLATE(F1333,""en"",""pt"")"),"sistemas de equipamentos de parque de estacionamento")</f>
        <v>sistemas de equipamentos de parque de estacionamento</v>
      </c>
      <c r="H1333" s="20" t="s">
        <v>11129</v>
      </c>
      <c r="I1333" s="20" t="s">
        <v>10914</v>
      </c>
    </row>
    <row r="1334" spans="1:9" ht="14.5">
      <c r="A1334" s="20" t="s">
        <v>11363</v>
      </c>
      <c r="B1334" s="20">
        <v>40</v>
      </c>
      <c r="C1334" s="20">
        <v>85</v>
      </c>
      <c r="D1334" s="20">
        <v>72</v>
      </c>
      <c r="E1334" s="20">
        <v>33</v>
      </c>
      <c r="F1334" s="20" t="s">
        <v>11364</v>
      </c>
      <c r="G1334" s="24" t="str">
        <f ca="1">IFERROR(__xludf.DUMMYFUNCTION("GOOGLETRANSLATE(F1334,""en"",""pt"")"),"sistemas de garagem FF &amp; E")</f>
        <v>sistemas de garagem FF &amp; E</v>
      </c>
      <c r="H1334" s="24"/>
      <c r="I1334" s="24"/>
    </row>
    <row r="1335" spans="1:9" ht="14.5">
      <c r="A1335" s="20" t="s">
        <v>11365</v>
      </c>
      <c r="B1335" s="20">
        <v>40</v>
      </c>
      <c r="C1335" s="20">
        <v>85</v>
      </c>
      <c r="D1335" s="20">
        <v>75</v>
      </c>
      <c r="E1335" s="24"/>
      <c r="F1335" s="20" t="s">
        <v>11366</v>
      </c>
      <c r="G1335" s="24" t="str">
        <f ca="1">IFERROR(__xludf.DUMMYFUNCTION("GOOGLETRANSLATE(F1335,""en"",""pt"")"),"Rolando sistemas de estoque de depósito")</f>
        <v>Rolando sistemas de estoque de depósito</v>
      </c>
      <c r="H1335" s="24"/>
      <c r="I1335" s="24"/>
    </row>
    <row r="1336" spans="1:9" ht="14.5">
      <c r="A1336" s="20" t="s">
        <v>11367</v>
      </c>
      <c r="B1336" s="20">
        <v>40</v>
      </c>
      <c r="C1336" s="20">
        <v>85</v>
      </c>
      <c r="D1336" s="20">
        <v>75</v>
      </c>
      <c r="E1336" s="20">
        <v>7</v>
      </c>
      <c r="F1336" s="20" t="s">
        <v>11368</v>
      </c>
      <c r="G1336" s="24" t="str">
        <f ca="1">IFERROR(__xludf.DUMMYFUNCTION("GOOGLETRANSLATE(F1336,""en"",""pt"")"),"sistemas de manuseio dos bogies")</f>
        <v>sistemas de manuseio dos bogies</v>
      </c>
      <c r="H1336" s="20" t="s">
        <v>11369</v>
      </c>
      <c r="I1336" s="24"/>
    </row>
    <row r="1337" spans="1:9" ht="14.5">
      <c r="A1337" s="20" t="s">
        <v>11370</v>
      </c>
      <c r="B1337" s="20">
        <v>40</v>
      </c>
      <c r="C1337" s="20">
        <v>85</v>
      </c>
      <c r="D1337" s="20">
        <v>75</v>
      </c>
      <c r="E1337" s="20">
        <v>15</v>
      </c>
      <c r="F1337" s="20" t="s">
        <v>11371</v>
      </c>
      <c r="G1337" s="24" t="str">
        <f ca="1">IFERROR(__xludf.DUMMYFUNCTION("GOOGLETRANSLATE(F1337,""en"",""pt"")"),"sistemas controlados WC emissão (CET)")</f>
        <v>sistemas controlados WC emissão (CET)</v>
      </c>
      <c r="H1337" s="20" t="s">
        <v>11372</v>
      </c>
      <c r="I1337" s="24"/>
    </row>
    <row r="1338" spans="1:9" ht="14.5">
      <c r="A1338" s="20" t="s">
        <v>11373</v>
      </c>
      <c r="B1338" s="20">
        <v>40</v>
      </c>
      <c r="C1338" s="20">
        <v>85</v>
      </c>
      <c r="D1338" s="20">
        <v>75</v>
      </c>
      <c r="E1338" s="20">
        <v>24</v>
      </c>
      <c r="F1338" s="20" t="s">
        <v>11374</v>
      </c>
      <c r="G1338" s="24" t="str">
        <f ca="1">IFERROR(__xludf.DUMMYFUNCTION("GOOGLETRANSLATE(F1338,""en"",""pt"")"),"sistemas de gota")</f>
        <v>sistemas de gota</v>
      </c>
      <c r="H1338" s="20" t="s">
        <v>11375</v>
      </c>
      <c r="I1338" s="24"/>
    </row>
    <row r="1339" spans="1:9" ht="14.5">
      <c r="A1339" s="20" t="s">
        <v>11376</v>
      </c>
      <c r="B1339" s="20">
        <v>40</v>
      </c>
      <c r="C1339" s="20">
        <v>85</v>
      </c>
      <c r="D1339" s="20">
        <v>75</v>
      </c>
      <c r="E1339" s="20">
        <v>65</v>
      </c>
      <c r="F1339" s="20" t="s">
        <v>11377</v>
      </c>
      <c r="G1339" s="24" t="str">
        <f ca="1">IFERROR(__xludf.DUMMYFUNCTION("GOOGLETRANSLATE(F1339,""en"",""pt"")"),"sistemas de imprensa")</f>
        <v>sistemas de imprensa</v>
      </c>
      <c r="H1339" s="20" t="s">
        <v>11378</v>
      </c>
      <c r="I1339" s="24"/>
    </row>
    <row r="1340" spans="1:9" ht="14.5">
      <c r="A1340" s="20" t="s">
        <v>11379</v>
      </c>
      <c r="B1340" s="20">
        <v>40</v>
      </c>
      <c r="C1340" s="20">
        <v>85</v>
      </c>
      <c r="D1340" s="20">
        <v>75</v>
      </c>
      <c r="E1340" s="20">
        <v>70</v>
      </c>
      <c r="F1340" s="20" t="s">
        <v>11380</v>
      </c>
      <c r="G1340" s="24" t="str">
        <f ca="1">IFERROR(__xludf.DUMMYFUNCTION("GOOGLETRANSLATE(F1340,""en"",""pt"")"),"sistemas de elevação ferroviárias")</f>
        <v>sistemas de elevação ferroviárias</v>
      </c>
      <c r="H1340" s="20" t="s">
        <v>11381</v>
      </c>
      <c r="I1340" s="24"/>
    </row>
    <row r="1341" spans="1:9" ht="14.5">
      <c r="A1341" s="20" t="s">
        <v>11382</v>
      </c>
      <c r="B1341" s="20">
        <v>40</v>
      </c>
      <c r="C1341" s="20">
        <v>85</v>
      </c>
      <c r="D1341" s="20">
        <v>75</v>
      </c>
      <c r="E1341" s="20">
        <v>75</v>
      </c>
      <c r="F1341" s="20" t="s">
        <v>11383</v>
      </c>
      <c r="G1341" s="24" t="str">
        <f ca="1">IFERROR(__xludf.DUMMYFUNCTION("GOOGLETRANSLATE(F1341,""en"",""pt"")"),"Sistemas de alimentação de areia")</f>
        <v>Sistemas de alimentação de areia</v>
      </c>
      <c r="H1341" s="20" t="s">
        <v>11384</v>
      </c>
      <c r="I1341" s="24"/>
    </row>
    <row r="1342" spans="1:9" ht="14.5">
      <c r="A1342" s="20" t="s">
        <v>11385</v>
      </c>
      <c r="B1342" s="20">
        <v>40</v>
      </c>
      <c r="C1342" s="20">
        <v>85</v>
      </c>
      <c r="D1342" s="20">
        <v>75</v>
      </c>
      <c r="E1342" s="20">
        <v>97</v>
      </c>
      <c r="F1342" s="20" t="s">
        <v>11386</v>
      </c>
      <c r="G1342" s="24" t="str">
        <f ca="1">IFERROR(__xludf.DUMMYFUNCTION("GOOGLETRANSLATE(F1342,""en"",""pt"")"),"sistemas de torno de rodas")</f>
        <v>sistemas de torno de rodas</v>
      </c>
      <c r="H1342" s="20" t="s">
        <v>11387</v>
      </c>
      <c r="I1342" s="24"/>
    </row>
    <row r="1343" spans="1:9" ht="14.5">
      <c r="A1343" s="20" t="s">
        <v>11388</v>
      </c>
      <c r="B1343" s="20">
        <v>40</v>
      </c>
      <c r="C1343" s="20">
        <v>90</v>
      </c>
      <c r="D1343" s="24"/>
      <c r="E1343" s="24"/>
      <c r="F1343" s="20" t="s">
        <v>11389</v>
      </c>
      <c r="G1343" s="24" t="str">
        <f ca="1">IFERROR(__xludf.DUMMYFUNCTION("GOOGLETRANSLATE(F1343,""en"",""pt"")"),"sistemas de acabamento Geral")</f>
        <v>sistemas de acabamento Geral</v>
      </c>
      <c r="H1343" s="24"/>
      <c r="I1343" s="24"/>
    </row>
    <row r="1344" spans="1:9" ht="14.5">
      <c r="A1344" s="20" t="s">
        <v>11390</v>
      </c>
      <c r="B1344" s="20">
        <v>40</v>
      </c>
      <c r="C1344" s="20">
        <v>90</v>
      </c>
      <c r="D1344" s="20">
        <v>5</v>
      </c>
      <c r="E1344" s="24"/>
      <c r="F1344" s="20" t="s">
        <v>11391</v>
      </c>
      <c r="G1344" s="24" t="str">
        <f ca="1">IFERROR(__xludf.DUMMYFUNCTION("GOOGLETRANSLATE(F1344,""en"",""pt"")"),"sistemas de anodização")</f>
        <v>sistemas de anodização</v>
      </c>
      <c r="H1344" s="24"/>
      <c r="I1344" s="24"/>
    </row>
    <row r="1345" spans="1:9" ht="14.5">
      <c r="A1345" s="20" t="s">
        <v>11392</v>
      </c>
      <c r="B1345" s="20">
        <v>40</v>
      </c>
      <c r="C1345" s="20">
        <v>90</v>
      </c>
      <c r="D1345" s="20">
        <v>5</v>
      </c>
      <c r="E1345" s="20">
        <v>5</v>
      </c>
      <c r="F1345" s="20" t="s">
        <v>11393</v>
      </c>
      <c r="G1345" s="24" t="str">
        <f ca="1">IFERROR(__xludf.DUMMYFUNCTION("GOOGLETRANSLATE(F1345,""en"",""pt"")"),"sistemas de revestimento anódico de alumínio")</f>
        <v>sistemas de revestimento anódico de alumínio</v>
      </c>
      <c r="H1345" s="24"/>
      <c r="I1345" s="24"/>
    </row>
    <row r="1346" spans="1:9" ht="14.5">
      <c r="A1346" s="20" t="s">
        <v>11394</v>
      </c>
      <c r="B1346" s="20">
        <v>40</v>
      </c>
      <c r="C1346" s="20">
        <v>90</v>
      </c>
      <c r="D1346" s="20">
        <v>35</v>
      </c>
      <c r="E1346" s="24"/>
      <c r="F1346" s="20" t="s">
        <v>11395</v>
      </c>
      <c r="G1346" s="24" t="str">
        <f ca="1">IFERROR(__xludf.DUMMYFUNCTION("GOOGLETRANSLATE(F1346,""en"",""pt"")"),"sistemas de galvanização por imersão a quente")</f>
        <v>sistemas de galvanização por imersão a quente</v>
      </c>
      <c r="H1346" s="24"/>
      <c r="I1346" s="24"/>
    </row>
    <row r="1347" spans="1:9" ht="14.5">
      <c r="A1347" s="20" t="s">
        <v>11396</v>
      </c>
      <c r="B1347" s="20">
        <v>40</v>
      </c>
      <c r="C1347" s="20">
        <v>90</v>
      </c>
      <c r="D1347" s="20">
        <v>40</v>
      </c>
      <c r="E1347" s="24"/>
      <c r="F1347" s="20" t="s">
        <v>11397</v>
      </c>
      <c r="G1347" s="24" t="str">
        <f ca="1">IFERROR(__xludf.DUMMYFUNCTION("GOOGLETRANSLATE(F1347,""en"",""pt"")"),"sistemas intumescentes")</f>
        <v>sistemas intumescentes</v>
      </c>
      <c r="H1347" s="24"/>
      <c r="I1347" s="24"/>
    </row>
    <row r="1348" spans="1:9" ht="14.5">
      <c r="A1348" s="20" t="s">
        <v>11398</v>
      </c>
      <c r="B1348" s="20">
        <v>40</v>
      </c>
      <c r="C1348" s="20">
        <v>90</v>
      </c>
      <c r="D1348" s="20">
        <v>40</v>
      </c>
      <c r="E1348" s="20">
        <v>40</v>
      </c>
      <c r="F1348" s="20" t="s">
        <v>11399</v>
      </c>
      <c r="G1348" s="24" t="str">
        <f ca="1">IFERROR(__xludf.DUMMYFUNCTION("GOOGLETRANSLATE(F1348,""en"",""pt"")"),"sistemas de fundição intumescentes")</f>
        <v>sistemas de fundição intumescentes</v>
      </c>
      <c r="H1348" s="20" t="s">
        <v>11400</v>
      </c>
      <c r="I1348" s="20" t="s">
        <v>11401</v>
      </c>
    </row>
    <row r="1349" spans="1:9" ht="14.5">
      <c r="A1349" s="20" t="s">
        <v>11402</v>
      </c>
      <c r="B1349" s="20">
        <v>40</v>
      </c>
      <c r="C1349" s="20">
        <v>90</v>
      </c>
      <c r="D1349" s="20">
        <v>40</v>
      </c>
      <c r="E1349" s="20">
        <v>42</v>
      </c>
      <c r="F1349" s="20" t="s">
        <v>11403</v>
      </c>
      <c r="G1349" s="24" t="str">
        <f ca="1">IFERROR(__xludf.DUMMYFUNCTION("GOOGLETRANSLATE(F1349,""en"",""pt"")"),"sistemas de revestimento intumescente")</f>
        <v>sistemas de revestimento intumescente</v>
      </c>
      <c r="H1349" s="20" t="s">
        <v>11404</v>
      </c>
      <c r="I1349" s="20" t="s">
        <v>11401</v>
      </c>
    </row>
    <row r="1350" spans="1:9" ht="14.5">
      <c r="A1350" s="20" t="s">
        <v>11405</v>
      </c>
      <c r="B1350" s="20">
        <v>40</v>
      </c>
      <c r="C1350" s="20">
        <v>90</v>
      </c>
      <c r="D1350" s="20">
        <v>60</v>
      </c>
      <c r="E1350" s="24"/>
      <c r="F1350" s="20" t="s">
        <v>11406</v>
      </c>
      <c r="G1350" s="24" t="str">
        <f ca="1">IFERROR(__xludf.DUMMYFUNCTION("GOOGLETRANSLATE(F1350,""en"",""pt"")"),"Pintura e sistemas de acabamento claras")</f>
        <v>Pintura e sistemas de acabamento claras</v>
      </c>
      <c r="H1350" s="24"/>
      <c r="I1350" s="24"/>
    </row>
    <row r="1351" spans="1:9" ht="14.5">
      <c r="A1351" s="20" t="s">
        <v>11407</v>
      </c>
      <c r="B1351" s="20">
        <v>40</v>
      </c>
      <c r="C1351" s="20">
        <v>90</v>
      </c>
      <c r="D1351" s="20">
        <v>60</v>
      </c>
      <c r="E1351" s="20">
        <v>5</v>
      </c>
      <c r="F1351" s="20" t="s">
        <v>11408</v>
      </c>
      <c r="G1351" s="24" t="str">
        <f ca="1">IFERROR(__xludf.DUMMYFUNCTION("GOOGLETRANSLATE(F1351,""en"",""pt"")"),"sistemas de revestimento anti-grafites")</f>
        <v>sistemas de revestimento anti-grafites</v>
      </c>
      <c r="H1351" s="20" t="s">
        <v>11409</v>
      </c>
      <c r="I1351" s="20" t="s">
        <v>11410</v>
      </c>
    </row>
    <row r="1352" spans="1:9" ht="14.5">
      <c r="A1352" s="20" t="s">
        <v>11411</v>
      </c>
      <c r="B1352" s="20">
        <v>40</v>
      </c>
      <c r="C1352" s="20">
        <v>90</v>
      </c>
      <c r="D1352" s="20">
        <v>60</v>
      </c>
      <c r="E1352" s="20">
        <v>20</v>
      </c>
      <c r="F1352" s="20" t="s">
        <v>11412</v>
      </c>
      <c r="G1352" s="24" t="str">
        <f ca="1">IFERROR(__xludf.DUMMYFUNCTION("GOOGLETRANSLATE(F1352,""en"",""pt"")"),"sistemas de verniz ou laca decorativos")</f>
        <v>sistemas de verniz ou laca decorativos</v>
      </c>
      <c r="H1352" s="20" t="s">
        <v>11413</v>
      </c>
      <c r="I1352" s="20" t="s">
        <v>11414</v>
      </c>
    </row>
    <row r="1353" spans="1:9" ht="14.5">
      <c r="A1353" s="20" t="s">
        <v>11415</v>
      </c>
      <c r="B1353" s="20">
        <v>40</v>
      </c>
      <c r="C1353" s="20">
        <v>90</v>
      </c>
      <c r="D1353" s="20">
        <v>60</v>
      </c>
      <c r="E1353" s="20">
        <v>22</v>
      </c>
      <c r="F1353" s="20" t="s">
        <v>11416</v>
      </c>
      <c r="G1353" s="24" t="str">
        <f ca="1">IFERROR(__xludf.DUMMYFUNCTION("GOOGLETRANSLATE(F1353,""en"",""pt"")"),"sistemas de tinta para madeira decorativa ou corantes")</f>
        <v>sistemas de tinta para madeira decorativa ou corantes</v>
      </c>
      <c r="H1353" s="20" t="s">
        <v>11417</v>
      </c>
      <c r="I1353" s="20" t="s">
        <v>11414</v>
      </c>
    </row>
    <row r="1354" spans="1:9" ht="14.5">
      <c r="A1354" s="20" t="s">
        <v>11418</v>
      </c>
      <c r="B1354" s="20">
        <v>40</v>
      </c>
      <c r="C1354" s="20">
        <v>90</v>
      </c>
      <c r="D1354" s="20">
        <v>60</v>
      </c>
      <c r="E1354" s="20">
        <v>55</v>
      </c>
      <c r="F1354" s="20" t="s">
        <v>11419</v>
      </c>
      <c r="G1354" s="24" t="str">
        <f ca="1">IFERROR(__xludf.DUMMYFUNCTION("GOOGLETRANSLATE(F1354,""en"",""pt"")"),"Sistemas de revestimento multi-cor")</f>
        <v>Sistemas de revestimento multi-cor</v>
      </c>
      <c r="H1354" s="20" t="s">
        <v>11420</v>
      </c>
      <c r="I1354" s="20" t="s">
        <v>11414</v>
      </c>
    </row>
    <row r="1355" spans="1:9" ht="14.5">
      <c r="A1355" s="20" t="s">
        <v>11421</v>
      </c>
      <c r="B1355" s="20">
        <v>40</v>
      </c>
      <c r="C1355" s="20">
        <v>90</v>
      </c>
      <c r="D1355" s="20">
        <v>60</v>
      </c>
      <c r="E1355" s="20">
        <v>60</v>
      </c>
      <c r="F1355" s="20" t="s">
        <v>11422</v>
      </c>
      <c r="G1355" s="24" t="str">
        <f ca="1">IFERROR(__xludf.DUMMYFUNCTION("GOOGLETRANSLATE(F1355,""en"",""pt"")"),"sistemas de douramento Oil")</f>
        <v>sistemas de douramento Oil</v>
      </c>
      <c r="H1355" s="20" t="s">
        <v>11423</v>
      </c>
      <c r="I1355" s="20" t="s">
        <v>11424</v>
      </c>
    </row>
    <row r="1356" spans="1:9" ht="14.5">
      <c r="A1356" s="20" t="s">
        <v>11425</v>
      </c>
      <c r="B1356" s="20">
        <v>40</v>
      </c>
      <c r="C1356" s="20">
        <v>90</v>
      </c>
      <c r="D1356" s="20">
        <v>60</v>
      </c>
      <c r="E1356" s="20">
        <v>65</v>
      </c>
      <c r="F1356" s="20" t="s">
        <v>11426</v>
      </c>
      <c r="G1356" s="24" t="str">
        <f ca="1">IFERROR(__xludf.DUMMYFUNCTION("GOOGLETRANSLATE(F1356,""en"",""pt"")"),"sistemas de revestimento textura de plástico")</f>
        <v>sistemas de revestimento textura de plástico</v>
      </c>
      <c r="H1356" s="20" t="s">
        <v>11427</v>
      </c>
      <c r="I1356" s="20" t="s">
        <v>11428</v>
      </c>
    </row>
    <row r="1357" spans="1:9" ht="14.5">
      <c r="A1357" s="20" t="s">
        <v>11429</v>
      </c>
      <c r="B1357" s="20">
        <v>40</v>
      </c>
      <c r="C1357" s="20">
        <v>90</v>
      </c>
      <c r="D1357" s="20">
        <v>60</v>
      </c>
      <c r="E1357" s="20">
        <v>80</v>
      </c>
      <c r="F1357" s="20" t="s">
        <v>11430</v>
      </c>
      <c r="G1357" s="24" t="str">
        <f ca="1">IFERROR(__xludf.DUMMYFUNCTION("GOOGLETRANSLATE(F1357,""en"",""pt"")"),"sistemas de tintas base solvente")</f>
        <v>sistemas de tintas base solvente</v>
      </c>
      <c r="H1357" s="20" t="s">
        <v>11431</v>
      </c>
      <c r="I1357" s="20" t="s">
        <v>11414</v>
      </c>
    </row>
    <row r="1358" spans="1:9" ht="14.5">
      <c r="A1358" s="20" t="s">
        <v>11432</v>
      </c>
      <c r="B1358" s="20">
        <v>40</v>
      </c>
      <c r="C1358" s="20">
        <v>90</v>
      </c>
      <c r="D1358" s="20">
        <v>60</v>
      </c>
      <c r="E1358" s="20">
        <v>85</v>
      </c>
      <c r="F1358" s="20" t="s">
        <v>11433</v>
      </c>
      <c r="G1358" s="24" t="str">
        <f ca="1">IFERROR(__xludf.DUMMYFUNCTION("GOOGLETRANSLATE(F1358,""en"",""pt"")"),"sistemas de revestimento especiais")</f>
        <v>sistemas de revestimento especiais</v>
      </c>
      <c r="H1358" s="20" t="s">
        <v>11434</v>
      </c>
      <c r="I1358" s="20" t="s">
        <v>11414</v>
      </c>
    </row>
    <row r="1359" spans="1:9" ht="14.5">
      <c r="A1359" s="20" t="s">
        <v>11435</v>
      </c>
      <c r="B1359" s="20">
        <v>40</v>
      </c>
      <c r="C1359" s="20">
        <v>90</v>
      </c>
      <c r="D1359" s="20">
        <v>60</v>
      </c>
      <c r="E1359" s="20">
        <v>94</v>
      </c>
      <c r="F1359" s="20" t="s">
        <v>11436</v>
      </c>
      <c r="G1359" s="24" t="str">
        <f ca="1">IFERROR(__xludf.DUMMYFUNCTION("GOOGLETRANSLATE(F1359,""en"",""pt"")"),"sistemas anti-corrosão à base de água")</f>
        <v>sistemas anti-corrosão à base de água</v>
      </c>
      <c r="H1359" s="24"/>
      <c r="I1359" s="24"/>
    </row>
    <row r="1360" spans="1:9" ht="14.5">
      <c r="A1360" s="20" t="s">
        <v>11437</v>
      </c>
      <c r="B1360" s="20">
        <v>40</v>
      </c>
      <c r="C1360" s="20">
        <v>90</v>
      </c>
      <c r="D1360" s="20">
        <v>60</v>
      </c>
      <c r="E1360" s="20">
        <v>95</v>
      </c>
      <c r="F1360" s="20" t="s">
        <v>11438</v>
      </c>
      <c r="G1360" s="24" t="str">
        <f ca="1">IFERROR(__xludf.DUMMYFUNCTION("GOOGLETRANSLATE(F1360,""en"",""pt"")"),"Transmitidas pela água pintar sistemas")</f>
        <v>Transmitidas pela água pintar sistemas</v>
      </c>
      <c r="H1360" s="20" t="s">
        <v>11439</v>
      </c>
      <c r="I1360" s="20" t="s">
        <v>11414</v>
      </c>
    </row>
    <row r="1361" spans="1:9" ht="14.5">
      <c r="A1361" s="20" t="s">
        <v>11440</v>
      </c>
      <c r="B1361" s="20">
        <v>40</v>
      </c>
      <c r="C1361" s="20">
        <v>90</v>
      </c>
      <c r="D1361" s="20">
        <v>65</v>
      </c>
      <c r="E1361" s="24"/>
      <c r="F1361" s="20" t="s">
        <v>11441</v>
      </c>
      <c r="G1361" s="24" t="str">
        <f ca="1">IFERROR(__xludf.DUMMYFUNCTION("GOOGLETRANSLATE(F1361,""en"",""pt"")"),"sistemas de revestimento em pó")</f>
        <v>sistemas de revestimento em pó</v>
      </c>
      <c r="H1361" s="24"/>
      <c r="I1361" s="24"/>
    </row>
    <row r="1362" spans="1:9" ht="14.5">
      <c r="A1362" s="20" t="s">
        <v>11442</v>
      </c>
      <c r="B1362" s="20">
        <v>40</v>
      </c>
      <c r="C1362" s="20">
        <v>90</v>
      </c>
      <c r="D1362" s="20">
        <v>65</v>
      </c>
      <c r="E1362" s="20">
        <v>5</v>
      </c>
      <c r="F1362" s="20" t="s">
        <v>11443</v>
      </c>
      <c r="G1362" s="24" t="str">
        <f ca="1">IFERROR(__xludf.DUMMYFUNCTION("GOOGLETRANSLATE(F1362,""en"",""pt"")"),"revestimento em pó para sistemas de alumínio")</f>
        <v>revestimento em pó para sistemas de alumínio</v>
      </c>
      <c r="H1362" s="24"/>
      <c r="I1362" s="24"/>
    </row>
    <row r="1363" spans="1:9" ht="14.5">
      <c r="A1363" s="20" t="s">
        <v>11444</v>
      </c>
      <c r="B1363" s="20">
        <v>40</v>
      </c>
      <c r="C1363" s="20">
        <v>90</v>
      </c>
      <c r="D1363" s="20">
        <v>65</v>
      </c>
      <c r="E1363" s="20">
        <v>85</v>
      </c>
      <c r="F1363" s="20" t="s">
        <v>11445</v>
      </c>
      <c r="G1363" s="24" t="str">
        <f ca="1">IFERROR(__xludf.DUMMYFUNCTION("GOOGLETRANSLATE(F1363,""en"",""pt"")"),"revestimento em pó para sistemas de aço")</f>
        <v>revestimento em pó para sistemas de aço</v>
      </c>
      <c r="H1363" s="24"/>
      <c r="I1363" s="24"/>
    </row>
    <row r="1364" spans="1:9" ht="14.5">
      <c r="A1364" s="20" t="s">
        <v>11446</v>
      </c>
      <c r="B1364" s="20">
        <v>40</v>
      </c>
      <c r="C1364" s="20">
        <v>90</v>
      </c>
      <c r="D1364" s="20">
        <v>75</v>
      </c>
      <c r="E1364" s="24"/>
      <c r="F1364" s="20" t="s">
        <v>11447</v>
      </c>
      <c r="G1364" s="24" t="str">
        <f ca="1">IFERROR(__xludf.DUMMYFUNCTION("GOOGLETRANSLATE(F1364,""en"",""pt"")"),"Serviços de sistemas de pintura")</f>
        <v>Serviços de sistemas de pintura</v>
      </c>
      <c r="H1364" s="24"/>
      <c r="I1364" s="24"/>
    </row>
    <row r="1365" spans="1:9" ht="14.5">
      <c r="A1365" s="20" t="s">
        <v>11448</v>
      </c>
      <c r="B1365" s="20">
        <v>40</v>
      </c>
      <c r="C1365" s="20">
        <v>90</v>
      </c>
      <c r="D1365" s="20">
        <v>95</v>
      </c>
      <c r="E1365" s="24"/>
      <c r="F1365" s="20" t="s">
        <v>11449</v>
      </c>
      <c r="G1365" s="24" t="str">
        <f ca="1">IFERROR(__xludf.DUMMYFUNCTION("GOOGLETRANSLATE(F1365,""en"",""pt"")"),"sistemas de tratamento de conservação da madeira e retardadores de fogo")</f>
        <v>sistemas de tratamento de conservação da madeira e retardadores de fogo</v>
      </c>
      <c r="H1365" s="24"/>
      <c r="I1365" s="24"/>
    </row>
    <row r="1366" spans="1:9" ht="14.5">
      <c r="A1366" s="20" t="s">
        <v>11450</v>
      </c>
      <c r="B1366" s="20">
        <v>40</v>
      </c>
      <c r="C1366" s="20">
        <v>90</v>
      </c>
      <c r="D1366" s="20">
        <v>95</v>
      </c>
      <c r="E1366" s="20">
        <v>30</v>
      </c>
      <c r="F1366" s="20" t="s">
        <v>11451</v>
      </c>
      <c r="G1366" s="24" t="str">
        <f ca="1">IFERROR(__xludf.DUMMYFUNCTION("GOOGLETRANSLATE(F1366,""en"",""pt"")"),"sistemas de tratamento de retardante de fogo")</f>
        <v>sistemas de tratamento de retardante de fogo</v>
      </c>
      <c r="H1366" s="20" t="s">
        <v>11452</v>
      </c>
      <c r="I1366" s="20" t="s">
        <v>11453</v>
      </c>
    </row>
    <row r="1367" spans="1:9" ht="14.5">
      <c r="A1367" s="20" t="s">
        <v>11454</v>
      </c>
      <c r="B1367" s="20">
        <v>40</v>
      </c>
      <c r="C1367" s="20">
        <v>90</v>
      </c>
      <c r="D1367" s="20">
        <v>95</v>
      </c>
      <c r="E1367" s="20">
        <v>65</v>
      </c>
      <c r="F1367" s="20" t="s">
        <v>11455</v>
      </c>
      <c r="G1367" s="24" t="str">
        <f ca="1">IFERROR(__xludf.DUMMYFUNCTION("GOOGLETRANSLATE(F1367,""en"",""pt"")"),"sistemas de tratamento de conservação")</f>
        <v>sistemas de tratamento de conservação</v>
      </c>
      <c r="H1367" s="20" t="s">
        <v>11456</v>
      </c>
      <c r="I1367" s="20" t="s">
        <v>11457</v>
      </c>
    </row>
    <row r="1368" spans="1:9" ht="14.5">
      <c r="A1368" s="20" t="s">
        <v>11458</v>
      </c>
      <c r="B1368" s="20">
        <v>40</v>
      </c>
      <c r="C1368" s="20">
        <v>95</v>
      </c>
      <c r="D1368" s="24"/>
      <c r="E1368" s="24"/>
      <c r="F1368" s="20" t="s">
        <v>11459</v>
      </c>
      <c r="G1368" s="24" t="str">
        <f ca="1">IFERROR(__xludf.DUMMYFUNCTION("GOOGLETRANSLATE(F1368,""en"",""pt"")"),"sinalização temporária e sistemas FF &amp; E")</f>
        <v>sinalização temporária e sistemas FF &amp; E</v>
      </c>
      <c r="H1368" s="24"/>
      <c r="I1368" s="24"/>
    </row>
    <row r="1369" spans="1:9" ht="14.5">
      <c r="A1369" s="20" t="s">
        <v>11460</v>
      </c>
      <c r="B1369" s="20">
        <v>45</v>
      </c>
      <c r="C1369" s="24"/>
      <c r="D1369" s="24"/>
      <c r="E1369" s="24"/>
      <c r="F1369" s="20" t="s">
        <v>11461</v>
      </c>
      <c r="G1369" s="24" t="str">
        <f ca="1">IFERROR(__xludf.DUMMYFUNCTION("GOOGLETRANSLATE(F1369,""en"",""pt"")"),"sistemas de flora e fauna")</f>
        <v>sistemas de flora e fauna</v>
      </c>
      <c r="H1369" s="24"/>
      <c r="I1369" s="24"/>
    </row>
    <row r="1370" spans="1:9" ht="14.5">
      <c r="A1370" s="20" t="s">
        <v>11462</v>
      </c>
      <c r="B1370" s="20">
        <v>45</v>
      </c>
      <c r="C1370" s="20">
        <v>5</v>
      </c>
      <c r="D1370" s="24"/>
      <c r="E1370" s="24"/>
      <c r="F1370" s="20" t="s">
        <v>11463</v>
      </c>
      <c r="G1370" s="24" t="str">
        <f ca="1">IFERROR(__xludf.DUMMYFUNCTION("GOOGLETRANSLATE(F1370,""en"",""pt"")"),"ecossistemas")</f>
        <v>ecossistemas</v>
      </c>
      <c r="H1370" s="24"/>
      <c r="I1370" s="24"/>
    </row>
    <row r="1371" spans="1:9" ht="14.5">
      <c r="A1371" s="20" t="s">
        <v>11464</v>
      </c>
      <c r="B1371" s="20">
        <v>45</v>
      </c>
      <c r="C1371" s="20">
        <v>10</v>
      </c>
      <c r="D1371" s="24"/>
      <c r="E1371" s="24"/>
      <c r="F1371" s="20" t="s">
        <v>11465</v>
      </c>
      <c r="G1371" s="24" t="str">
        <f ca="1">IFERROR(__xludf.DUMMYFUNCTION("GOOGLETRANSLATE(F1371,""en"",""pt"")"),"sistemas de controlo fauna e flora")</f>
        <v>sistemas de controlo fauna e flora</v>
      </c>
      <c r="H1371" s="24"/>
      <c r="I1371" s="24"/>
    </row>
    <row r="1372" spans="1:9" ht="14.5">
      <c r="A1372" s="20" t="s">
        <v>11466</v>
      </c>
      <c r="B1372" s="20">
        <v>45</v>
      </c>
      <c r="C1372" s="20">
        <v>10</v>
      </c>
      <c r="D1372" s="20">
        <v>10</v>
      </c>
      <c r="E1372" s="24"/>
      <c r="F1372" s="20" t="s">
        <v>11467</v>
      </c>
      <c r="G1372" s="24" t="str">
        <f ca="1">IFERROR(__xludf.DUMMYFUNCTION("GOOGLETRANSLATE(F1372,""en"",""pt"")"),"Ave, de insecto e de sistemas de controlo de animais nocivos")</f>
        <v>Ave, de insecto e de sistemas de controlo de animais nocivos</v>
      </c>
      <c r="H1372" s="24"/>
      <c r="I1372" s="24"/>
    </row>
    <row r="1373" spans="1:9" ht="14.5">
      <c r="A1373" s="20" t="s">
        <v>11468</v>
      </c>
      <c r="B1373" s="20">
        <v>45</v>
      </c>
      <c r="C1373" s="20">
        <v>10</v>
      </c>
      <c r="D1373" s="20">
        <v>10</v>
      </c>
      <c r="E1373" s="20">
        <v>4</v>
      </c>
      <c r="F1373" s="20" t="s">
        <v>11469</v>
      </c>
      <c r="G1373" s="24" t="str">
        <f ca="1">IFERROR(__xludf.DUMMYFUNCTION("GOOGLETRANSLATE(F1373,""en"",""pt"")"),"os sistemas de controle de animais")</f>
        <v>os sistemas de controle de animais</v>
      </c>
      <c r="H1373" s="20" t="s">
        <v>11470</v>
      </c>
      <c r="I1373" s="20" t="s">
        <v>11471</v>
      </c>
    </row>
    <row r="1374" spans="1:9" ht="14.5">
      <c r="A1374" s="20" t="s">
        <v>11472</v>
      </c>
      <c r="B1374" s="20">
        <v>45</v>
      </c>
      <c r="C1374" s="20">
        <v>10</v>
      </c>
      <c r="D1374" s="20">
        <v>10</v>
      </c>
      <c r="E1374" s="20">
        <v>10</v>
      </c>
      <c r="F1374" s="20" t="s">
        <v>11473</v>
      </c>
      <c r="G1374" s="24" t="str">
        <f ca="1">IFERROR(__xludf.DUMMYFUNCTION("GOOGLETRANSLATE(F1374,""en"",""pt"")"),"sistemas de controle de aves")</f>
        <v>sistemas de controle de aves</v>
      </c>
      <c r="H1374" s="20" t="s">
        <v>11474</v>
      </c>
      <c r="I1374" s="20" t="s">
        <v>11471</v>
      </c>
    </row>
    <row r="1375" spans="1:9" ht="14.5">
      <c r="A1375" s="20" t="s">
        <v>11475</v>
      </c>
      <c r="B1375" s="20">
        <v>45</v>
      </c>
      <c r="C1375" s="20">
        <v>10</v>
      </c>
      <c r="D1375" s="20">
        <v>10</v>
      </c>
      <c r="E1375" s="20">
        <v>14</v>
      </c>
      <c r="F1375" s="20" t="s">
        <v>11476</v>
      </c>
      <c r="G1375" s="24" t="str">
        <f ca="1">IFERROR(__xludf.DUMMYFUNCTION("GOOGLETRANSLATE(F1375,""en"",""pt"")"),"sistemas de protecção cupim Chemical")</f>
        <v>sistemas de protecção cupim Chemical</v>
      </c>
      <c r="H1375" s="24"/>
      <c r="I1375" s="24"/>
    </row>
    <row r="1376" spans="1:9" ht="14.5">
      <c r="A1376" s="20" t="s">
        <v>11477</v>
      </c>
      <c r="B1376" s="20">
        <v>45</v>
      </c>
      <c r="C1376" s="20">
        <v>10</v>
      </c>
      <c r="D1376" s="20">
        <v>10</v>
      </c>
      <c r="E1376" s="20">
        <v>40</v>
      </c>
      <c r="F1376" s="20" t="s">
        <v>11478</v>
      </c>
      <c r="G1376" s="24" t="str">
        <f ca="1">IFERROR(__xludf.DUMMYFUNCTION("GOOGLETRANSLATE(F1376,""en"",""pt"")"),"sistemas de controlo de insectos")</f>
        <v>sistemas de controlo de insectos</v>
      </c>
      <c r="H1376" s="20" t="s">
        <v>11479</v>
      </c>
      <c r="I1376" s="20" t="s">
        <v>11471</v>
      </c>
    </row>
    <row r="1377" spans="1:9" ht="14.5">
      <c r="A1377" s="20" t="s">
        <v>11480</v>
      </c>
      <c r="B1377" s="20">
        <v>45</v>
      </c>
      <c r="C1377" s="20">
        <v>10</v>
      </c>
      <c r="D1377" s="20">
        <v>10</v>
      </c>
      <c r="E1377" s="20">
        <v>64</v>
      </c>
      <c r="F1377" s="20" t="s">
        <v>11481</v>
      </c>
      <c r="G1377" s="24" t="str">
        <f ca="1">IFERROR(__xludf.DUMMYFUNCTION("GOOGLETRANSLATE(F1377,""en"",""pt"")"),"sistemas de protecção cupim física")</f>
        <v>sistemas de protecção cupim física</v>
      </c>
      <c r="H1377" s="24"/>
      <c r="I1377" s="24"/>
    </row>
    <row r="1378" spans="1:9" ht="14.5">
      <c r="A1378" s="20" t="s">
        <v>11482</v>
      </c>
      <c r="B1378" s="20">
        <v>45</v>
      </c>
      <c r="C1378" s="20">
        <v>10</v>
      </c>
      <c r="D1378" s="20">
        <v>10</v>
      </c>
      <c r="E1378" s="20">
        <v>72</v>
      </c>
      <c r="F1378" s="20" t="s">
        <v>11483</v>
      </c>
      <c r="G1378" s="24" t="str">
        <f ca="1">IFERROR(__xludf.DUMMYFUNCTION("GOOGLETRANSLATE(F1378,""en"",""pt"")"),"sistemas de controlo de roedores")</f>
        <v>sistemas de controlo de roedores</v>
      </c>
      <c r="H1378" s="20" t="s">
        <v>11484</v>
      </c>
      <c r="I1378" s="20" t="s">
        <v>11471</v>
      </c>
    </row>
    <row r="1379" spans="1:9" ht="14.5">
      <c r="A1379" s="20" t="s">
        <v>11485</v>
      </c>
      <c r="B1379" s="20">
        <v>45</v>
      </c>
      <c r="C1379" s="20">
        <v>10</v>
      </c>
      <c r="D1379" s="20">
        <v>40</v>
      </c>
      <c r="E1379" s="24"/>
      <c r="F1379" s="20" t="s">
        <v>11486</v>
      </c>
      <c r="G1379" s="24" t="str">
        <f ca="1">IFERROR(__xludf.DUMMYFUNCTION("GOOGLETRANSLATE(F1379,""en"",""pt"")"),"sistemas de controlo de invertebrados microbiana e invasiva")</f>
        <v>sistemas de controlo de invertebrados microbiana e invasiva</v>
      </c>
      <c r="H1379" s="24"/>
      <c r="I1379" s="24"/>
    </row>
    <row r="1380" spans="1:9" ht="14.5">
      <c r="A1380" s="20" t="s">
        <v>11487</v>
      </c>
      <c r="B1380" s="20">
        <v>45</v>
      </c>
      <c r="C1380" s="20">
        <v>10</v>
      </c>
      <c r="D1380" s="20">
        <v>40</v>
      </c>
      <c r="E1380" s="20">
        <v>40</v>
      </c>
      <c r="F1380" s="20" t="s">
        <v>11488</v>
      </c>
      <c r="G1380" s="24" t="str">
        <f ca="1">IFERROR(__xludf.DUMMYFUNCTION("GOOGLETRANSLATE(F1380,""en"",""pt"")"),"sistemas de controlo de invertebrados")</f>
        <v>sistemas de controlo de invertebrados</v>
      </c>
      <c r="H1380" s="24"/>
      <c r="I1380" s="24"/>
    </row>
    <row r="1381" spans="1:9" ht="14.5">
      <c r="A1381" s="20" t="s">
        <v>11489</v>
      </c>
      <c r="B1381" s="20">
        <v>45</v>
      </c>
      <c r="C1381" s="20">
        <v>10</v>
      </c>
      <c r="D1381" s="20">
        <v>40</v>
      </c>
      <c r="E1381" s="20">
        <v>50</v>
      </c>
      <c r="F1381" s="20" t="s">
        <v>11490</v>
      </c>
      <c r="G1381" s="24" t="str">
        <f ca="1">IFERROR(__xludf.DUMMYFUNCTION("GOOGLETRANSLATE(F1381,""en"",""pt"")"),"sistemas de controlo microbianos")</f>
        <v>sistemas de controlo microbianos</v>
      </c>
      <c r="H1381" s="24"/>
      <c r="I1381" s="24"/>
    </row>
    <row r="1382" spans="1:9" ht="14.5">
      <c r="A1382" s="20" t="s">
        <v>11491</v>
      </c>
      <c r="B1382" s="20">
        <v>45</v>
      </c>
      <c r="C1382" s="20">
        <v>10</v>
      </c>
      <c r="D1382" s="20">
        <v>95</v>
      </c>
      <c r="E1382" s="24"/>
      <c r="F1382" s="20" t="s">
        <v>11492</v>
      </c>
      <c r="G1382" s="24" t="str">
        <f ca="1">IFERROR(__xludf.DUMMYFUNCTION("GOOGLETRANSLATE(F1382,""en"",""pt"")"),"sistemas de controlo de vegetação")</f>
        <v>sistemas de controlo de vegetação</v>
      </c>
      <c r="H1382" s="24"/>
      <c r="I1382" s="24"/>
    </row>
    <row r="1383" spans="1:9" ht="14.5">
      <c r="A1383" s="20" t="s">
        <v>11493</v>
      </c>
      <c r="B1383" s="20">
        <v>45</v>
      </c>
      <c r="C1383" s="20">
        <v>10</v>
      </c>
      <c r="D1383" s="20">
        <v>95</v>
      </c>
      <c r="E1383" s="20">
        <v>50</v>
      </c>
      <c r="F1383" s="20" t="s">
        <v>11494</v>
      </c>
      <c r="G1383" s="24" t="str">
        <f ca="1">IFERROR(__xludf.DUMMYFUNCTION("GOOGLETRANSLATE(F1383,""en"",""pt"")"),"Musgo, algas e sistemas de controlo de líquen")</f>
        <v>Musgo, algas e sistemas de controlo de líquen</v>
      </c>
      <c r="H1383" s="20" t="s">
        <v>11495</v>
      </c>
      <c r="I1383" s="20" t="s">
        <v>5609</v>
      </c>
    </row>
    <row r="1384" spans="1:9" ht="14.5">
      <c r="A1384" s="20" t="s">
        <v>11496</v>
      </c>
      <c r="B1384" s="20">
        <v>45</v>
      </c>
      <c r="C1384" s="20">
        <v>10</v>
      </c>
      <c r="D1384" s="20">
        <v>95</v>
      </c>
      <c r="E1384" s="20">
        <v>72</v>
      </c>
      <c r="F1384" s="20" t="s">
        <v>11497</v>
      </c>
      <c r="G1384" s="24" t="str">
        <f ca="1">IFERROR(__xludf.DUMMYFUNCTION("GOOGLETRANSLATE(F1384,""en"",""pt"")"),"plantas enraizadas em sistemas de controlo de superfícies duras")</f>
        <v>plantas enraizadas em sistemas de controlo de superfícies duras</v>
      </c>
      <c r="H1384" s="20" t="s">
        <v>11498</v>
      </c>
      <c r="I1384" s="20" t="s">
        <v>7897</v>
      </c>
    </row>
    <row r="1385" spans="1:9" ht="14.5">
      <c r="A1385" s="20" t="s">
        <v>11499</v>
      </c>
      <c r="B1385" s="20">
        <v>45</v>
      </c>
      <c r="C1385" s="20">
        <v>10</v>
      </c>
      <c r="D1385" s="20">
        <v>95</v>
      </c>
      <c r="E1385" s="20">
        <v>80</v>
      </c>
      <c r="F1385" s="20" t="s">
        <v>11500</v>
      </c>
      <c r="G1385" s="24" t="str">
        <f ca="1">IFERROR(__xludf.DUMMYFUNCTION("GOOGLETRANSLATE(F1385,""en"",""pt"")"),"sistemas de controlo de vegetação selectivos")</f>
        <v>sistemas de controlo de vegetação selectivos</v>
      </c>
      <c r="H1385" s="20" t="s">
        <v>11501</v>
      </c>
      <c r="I1385" s="20" t="s">
        <v>5609</v>
      </c>
    </row>
    <row r="1386" spans="1:9" ht="14.5">
      <c r="A1386" s="20" t="s">
        <v>11502</v>
      </c>
      <c r="B1386" s="20">
        <v>45</v>
      </c>
      <c r="C1386" s="20">
        <v>10</v>
      </c>
      <c r="D1386" s="20">
        <v>95</v>
      </c>
      <c r="E1386" s="20">
        <v>81</v>
      </c>
      <c r="F1386" s="20" t="s">
        <v>11503</v>
      </c>
      <c r="G1386" s="24" t="str">
        <f ca="1">IFERROR(__xludf.DUMMYFUNCTION("GOOGLETRANSLATE(F1386,""en"",""pt"")"),"plantas auto-apego em superfícies duras sistemas de controle")</f>
        <v>plantas auto-apego em superfícies duras sistemas de controle</v>
      </c>
      <c r="H1386" s="20" t="s">
        <v>11504</v>
      </c>
      <c r="I1386" s="20" t="s">
        <v>11505</v>
      </c>
    </row>
    <row r="1387" spans="1:9" ht="14.5">
      <c r="A1387" s="20" t="s">
        <v>11506</v>
      </c>
      <c r="B1387" s="20">
        <v>45</v>
      </c>
      <c r="C1387" s="20">
        <v>10</v>
      </c>
      <c r="D1387" s="20">
        <v>95</v>
      </c>
      <c r="E1387" s="20">
        <v>83</v>
      </c>
      <c r="F1387" s="20" t="s">
        <v>11507</v>
      </c>
      <c r="G1387" s="24" t="str">
        <f ca="1">IFERROR(__xludf.DUMMYFUNCTION("GOOGLETRANSLATE(F1387,""en"",""pt"")"),"sistemas de controle de vegetação local")</f>
        <v>sistemas de controle de vegetação local</v>
      </c>
      <c r="H1387" s="20" t="s">
        <v>11508</v>
      </c>
      <c r="I1387" s="20" t="s">
        <v>11509</v>
      </c>
    </row>
    <row r="1388" spans="1:9" ht="14.5">
      <c r="A1388" s="20" t="s">
        <v>11510</v>
      </c>
      <c r="B1388" s="20">
        <v>45</v>
      </c>
      <c r="C1388" s="20">
        <v>10</v>
      </c>
      <c r="D1388" s="20">
        <v>95</v>
      </c>
      <c r="E1388" s="20">
        <v>95</v>
      </c>
      <c r="F1388" s="20" t="s">
        <v>11511</v>
      </c>
      <c r="G1388" s="24" t="str">
        <f ca="1">IFERROR(__xludf.DUMMYFUNCTION("GOOGLETRANSLATE(F1388,""en"",""pt"")"),"sistemas de controlo de vegetação à base de água")</f>
        <v>sistemas de controlo de vegetação à base de água</v>
      </c>
      <c r="H1388" s="20" t="s">
        <v>11512</v>
      </c>
      <c r="I1388" s="20" t="s">
        <v>11509</v>
      </c>
    </row>
    <row r="1389" spans="1:9" ht="14.5">
      <c r="A1389" s="20" t="s">
        <v>11513</v>
      </c>
      <c r="B1389" s="20">
        <v>45</v>
      </c>
      <c r="C1389" s="20">
        <v>30</v>
      </c>
      <c r="D1389" s="24"/>
      <c r="E1389" s="24"/>
      <c r="F1389" s="20" t="s">
        <v>11514</v>
      </c>
      <c r="G1389" s="24" t="str">
        <f ca="1">IFERROR(__xludf.DUMMYFUNCTION("GOOGLETRANSLATE(F1389,""en"",""pt"")"),"sistemas flora aquática")</f>
        <v>sistemas flora aquática</v>
      </c>
      <c r="H1389" s="24"/>
      <c r="I1389" s="24"/>
    </row>
    <row r="1390" spans="1:9" ht="14.5">
      <c r="A1390" s="20" t="s">
        <v>11515</v>
      </c>
      <c r="B1390" s="20">
        <v>45</v>
      </c>
      <c r="C1390" s="20">
        <v>30</v>
      </c>
      <c r="D1390" s="20">
        <v>5</v>
      </c>
      <c r="E1390" s="24"/>
      <c r="F1390" s="20" t="s">
        <v>11516</v>
      </c>
      <c r="G1390" s="24" t="str">
        <f ca="1">IFERROR(__xludf.DUMMYFUNCTION("GOOGLETRANSLATE(F1390,""en"",""pt"")"),"sistemas de plantio de zonas húmidas aquática e")</f>
        <v>sistemas de plantio de zonas húmidas aquática e</v>
      </c>
      <c r="H1390" s="24"/>
      <c r="I1390" s="24"/>
    </row>
    <row r="1391" spans="1:9" ht="14.5">
      <c r="A1391" s="20" t="s">
        <v>11517</v>
      </c>
      <c r="B1391" s="20">
        <v>45</v>
      </c>
      <c r="C1391" s="20">
        <v>30</v>
      </c>
      <c r="D1391" s="20">
        <v>5</v>
      </c>
      <c r="E1391" s="20">
        <v>5</v>
      </c>
      <c r="F1391" s="20" t="s">
        <v>11518</v>
      </c>
      <c r="G1391" s="24" t="str">
        <f ca="1">IFERROR(__xludf.DUMMYFUNCTION("GOOGLETRANSLATE(F1391,""en"",""pt"")"),"sistemas de plantio aquáticos")</f>
        <v>sistemas de plantio aquáticos</v>
      </c>
      <c r="H1391" s="20" t="s">
        <v>11519</v>
      </c>
      <c r="I1391" s="20" t="s">
        <v>7897</v>
      </c>
    </row>
    <row r="1392" spans="1:9" ht="14.5">
      <c r="A1392" s="20" t="s">
        <v>11520</v>
      </c>
      <c r="B1392" s="20">
        <v>45</v>
      </c>
      <c r="C1392" s="20">
        <v>30</v>
      </c>
      <c r="D1392" s="20">
        <v>5</v>
      </c>
      <c r="E1392" s="20">
        <v>50</v>
      </c>
      <c r="F1392" s="20" t="s">
        <v>11521</v>
      </c>
      <c r="G1392" s="24" t="str">
        <f ca="1">IFERROR(__xludf.DUMMYFUNCTION("GOOGLETRANSLATE(F1392,""en"",""pt"")"),"sistemas de plantio marginais")</f>
        <v>sistemas de plantio marginais</v>
      </c>
      <c r="H1392" s="20" t="s">
        <v>11522</v>
      </c>
      <c r="I1392" s="20" t="s">
        <v>5609</v>
      </c>
    </row>
    <row r="1393" spans="1:9" ht="14.5">
      <c r="A1393" s="20" t="s">
        <v>11523</v>
      </c>
      <c r="B1393" s="20">
        <v>45</v>
      </c>
      <c r="C1393" s="20">
        <v>30</v>
      </c>
      <c r="D1393" s="20">
        <v>5</v>
      </c>
      <c r="E1393" s="20">
        <v>70</v>
      </c>
      <c r="F1393" s="20" t="s">
        <v>11524</v>
      </c>
      <c r="G1393" s="24" t="str">
        <f ca="1">IFERROR(__xludf.DUMMYFUNCTION("GOOGLETRANSLATE(F1393,""en"",""pt"")"),"sistemas de plantio Reedbed")</f>
        <v>sistemas de plantio Reedbed</v>
      </c>
      <c r="H1393" s="20" t="s">
        <v>11525</v>
      </c>
      <c r="I1393" s="20" t="s">
        <v>5609</v>
      </c>
    </row>
    <row r="1394" spans="1:9" ht="14.5">
      <c r="A1394" s="20" t="s">
        <v>11526</v>
      </c>
      <c r="B1394" s="20">
        <v>45</v>
      </c>
      <c r="C1394" s="20">
        <v>30</v>
      </c>
      <c r="D1394" s="20">
        <v>40</v>
      </c>
      <c r="E1394" s="24"/>
      <c r="F1394" s="20" t="s">
        <v>11527</v>
      </c>
      <c r="G1394" s="24" t="str">
        <f ca="1">IFERROR(__xludf.DUMMYFUNCTION("GOOGLETRANSLATE(F1394,""en"",""pt"")"),"sistemas de plantio hidropônico")</f>
        <v>sistemas de plantio hidropônico</v>
      </c>
      <c r="H1394" s="24"/>
      <c r="I1394" s="24"/>
    </row>
    <row r="1395" spans="1:9" ht="14.5">
      <c r="A1395" s="20" t="s">
        <v>11528</v>
      </c>
      <c r="B1395" s="20">
        <v>45</v>
      </c>
      <c r="C1395" s="20">
        <v>35</v>
      </c>
      <c r="D1395" s="24"/>
      <c r="E1395" s="24"/>
      <c r="F1395" s="20" t="s">
        <v>11529</v>
      </c>
      <c r="G1395" s="24" t="str">
        <f ca="1">IFERROR(__xludf.DUMMYFUNCTION("GOOGLETRANSLATE(F1395,""en"",""pt"")"),"Moído sistemas flora baseados")</f>
        <v>Moído sistemas flora baseados</v>
      </c>
      <c r="H1395" s="24"/>
      <c r="I1395" s="24"/>
    </row>
    <row r="1396" spans="1:9" ht="14.5">
      <c r="A1396" s="20" t="s">
        <v>11530</v>
      </c>
      <c r="B1396" s="20">
        <v>45</v>
      </c>
      <c r="C1396" s="20">
        <v>35</v>
      </c>
      <c r="D1396" s="20">
        <v>5</v>
      </c>
      <c r="E1396" s="24"/>
      <c r="F1396" s="20" t="s">
        <v>11531</v>
      </c>
      <c r="G1396" s="24" t="str">
        <f ca="1">IFERROR(__xludf.DUMMYFUNCTION("GOOGLETRANSLATE(F1396,""en"",""pt"")"),"sistemas de plantio ornamentais Amenity e")</f>
        <v>sistemas de plantio ornamentais Amenity e</v>
      </c>
      <c r="H1396" s="24"/>
      <c r="I1396" s="24"/>
    </row>
    <row r="1397" spans="1:9" ht="14.5">
      <c r="A1397" s="20" t="s">
        <v>11532</v>
      </c>
      <c r="B1397" s="20">
        <v>45</v>
      </c>
      <c r="C1397" s="20">
        <v>35</v>
      </c>
      <c r="D1397" s="20">
        <v>5</v>
      </c>
      <c r="E1397" s="20">
        <v>8</v>
      </c>
      <c r="F1397" s="20" t="s">
        <v>11533</v>
      </c>
      <c r="G1397" s="24" t="str">
        <f ca="1">IFERROR(__xludf.DUMMYFUNCTION("GOOGLETRANSLATE(F1397,""en"",""pt"")"),"sistemas anual, perenes e do bulbo plantado-cama")</f>
        <v>sistemas anual, perenes e do bulbo plantado-cama</v>
      </c>
      <c r="H1397" s="20" t="s">
        <v>11534</v>
      </c>
      <c r="I1397" s="20" t="s">
        <v>5609</v>
      </c>
    </row>
    <row r="1398" spans="1:9" ht="14.5">
      <c r="A1398" s="20" t="s">
        <v>11535</v>
      </c>
      <c r="B1398" s="20">
        <v>45</v>
      </c>
      <c r="C1398" s="20">
        <v>35</v>
      </c>
      <c r="D1398" s="20">
        <v>5</v>
      </c>
      <c r="E1398" s="20">
        <v>35</v>
      </c>
      <c r="F1398" s="20" t="s">
        <v>11536</v>
      </c>
      <c r="G1398" s="24" t="str">
        <f ca="1">IFERROR(__xludf.DUMMYFUNCTION("GOOGLETRANSLATE(F1398,""en"",""pt"")"),"bulbo de erva-plantada e sistemas de flores silvestres")</f>
        <v>bulbo de erva-plantada e sistemas de flores silvestres</v>
      </c>
      <c r="H1398" s="20" t="s">
        <v>11537</v>
      </c>
      <c r="I1398" s="20" t="s">
        <v>5609</v>
      </c>
    </row>
    <row r="1399" spans="1:9" ht="14.5">
      <c r="A1399" s="20" t="s">
        <v>11538</v>
      </c>
      <c r="B1399" s="20">
        <v>45</v>
      </c>
      <c r="C1399" s="20">
        <v>35</v>
      </c>
      <c r="D1399" s="20">
        <v>5</v>
      </c>
      <c r="E1399" s="20">
        <v>37</v>
      </c>
      <c r="F1399" s="20" t="s">
        <v>11539</v>
      </c>
      <c r="G1399" s="24" t="str">
        <f ca="1">IFERROR(__xludf.DUMMYFUNCTION("GOOGLETRANSLATE(F1399,""en"",""pt"")"),"sistemas de árvores e arbustos pequenos plantada com capim")</f>
        <v>sistemas de árvores e arbustos pequenos plantada com capim</v>
      </c>
      <c r="H1399" s="24"/>
      <c r="I1399" s="24"/>
    </row>
    <row r="1400" spans="1:9" ht="14.5">
      <c r="A1400" s="20" t="s">
        <v>11540</v>
      </c>
      <c r="B1400" s="20">
        <v>45</v>
      </c>
      <c r="C1400" s="20">
        <v>35</v>
      </c>
      <c r="D1400" s="20">
        <v>5</v>
      </c>
      <c r="E1400" s="20">
        <v>42</v>
      </c>
      <c r="F1400" s="20" t="s">
        <v>11541</v>
      </c>
      <c r="G1400" s="24" t="str">
        <f ca="1">IFERROR(__xludf.DUMMYFUNCTION("GOOGLETRANSLATE(F1400,""en"",""pt"")"),"sistemas de árvores e arbustos pequenos plantadas longo tronco")</f>
        <v>sistemas de árvores e arbustos pequenos plantadas longo tronco</v>
      </c>
      <c r="H1400" s="24"/>
      <c r="I1400" s="24"/>
    </row>
    <row r="1401" spans="1:9" ht="14.5">
      <c r="A1401" s="20" t="s">
        <v>11542</v>
      </c>
      <c r="B1401" s="20">
        <v>45</v>
      </c>
      <c r="C1401" s="20">
        <v>35</v>
      </c>
      <c r="D1401" s="20">
        <v>5</v>
      </c>
      <c r="E1401" s="20">
        <v>62</v>
      </c>
      <c r="F1401" s="20" t="s">
        <v>11543</v>
      </c>
      <c r="G1401" s="24" t="str">
        <f ca="1">IFERROR(__xludf.DUMMYFUNCTION("GOOGLETRANSLATE(F1401,""en"",""pt"")"),"sistemas climber plantadas a céu")</f>
        <v>sistemas climber plantadas a céu</v>
      </c>
      <c r="H1401" s="20" t="s">
        <v>11544</v>
      </c>
      <c r="I1401" s="20" t="s">
        <v>7897</v>
      </c>
    </row>
    <row r="1402" spans="1:9" ht="14.5">
      <c r="A1402" s="20" t="s">
        <v>11545</v>
      </c>
      <c r="B1402" s="20">
        <v>45</v>
      </c>
      <c r="C1402" s="20">
        <v>35</v>
      </c>
      <c r="D1402" s="20">
        <v>5</v>
      </c>
      <c r="E1402" s="20">
        <v>64</v>
      </c>
      <c r="F1402" s="20" t="s">
        <v>11546</v>
      </c>
      <c r="G1402" s="24" t="str">
        <f ca="1">IFERROR(__xludf.DUMMYFUNCTION("GOOGLETRANSLATE(F1402,""en"",""pt"")"),"sistemas perenes plantadas a céu")</f>
        <v>sistemas perenes plantadas a céu</v>
      </c>
      <c r="H1402" s="20" t="s">
        <v>11547</v>
      </c>
      <c r="I1402" s="20" t="s">
        <v>7897</v>
      </c>
    </row>
    <row r="1403" spans="1:9" ht="14.5">
      <c r="A1403" s="20" t="s">
        <v>11548</v>
      </c>
      <c r="B1403" s="20">
        <v>45</v>
      </c>
      <c r="C1403" s="20">
        <v>35</v>
      </c>
      <c r="D1403" s="20">
        <v>5</v>
      </c>
      <c r="E1403" s="20">
        <v>66</v>
      </c>
      <c r="F1403" s="20" t="s">
        <v>11549</v>
      </c>
      <c r="G1403" s="24" t="str">
        <f ca="1">IFERROR(__xludf.DUMMYFUNCTION("GOOGLETRANSLATE(F1403,""en"",""pt"")"),"sistemas de grandes árvores plantadas a céu")</f>
        <v>sistemas de grandes árvores plantadas a céu</v>
      </c>
      <c r="H1403" s="20" t="s">
        <v>11550</v>
      </c>
      <c r="I1403" s="20" t="s">
        <v>7897</v>
      </c>
    </row>
    <row r="1404" spans="1:9" ht="14.5">
      <c r="A1404" s="20" t="s">
        <v>11551</v>
      </c>
      <c r="B1404" s="20">
        <v>45</v>
      </c>
      <c r="C1404" s="20">
        <v>35</v>
      </c>
      <c r="D1404" s="20">
        <v>5</v>
      </c>
      <c r="E1404" s="20">
        <v>67</v>
      </c>
      <c r="F1404" s="20" t="s">
        <v>11552</v>
      </c>
      <c r="G1404" s="24" t="str">
        <f ca="1">IFERROR(__xludf.DUMMYFUNCTION("GOOGLETRANSLATE(F1404,""en"",""pt"")"),"sistemas de árvores e arbustos pequenos plantada a céu")</f>
        <v>sistemas de árvores e arbustos pequenos plantada a céu</v>
      </c>
      <c r="H1404" s="20" t="s">
        <v>11553</v>
      </c>
      <c r="I1404" s="20" t="s">
        <v>7897</v>
      </c>
    </row>
    <row r="1405" spans="1:9" ht="14.5">
      <c r="A1405" s="20" t="s">
        <v>11554</v>
      </c>
      <c r="B1405" s="20">
        <v>45</v>
      </c>
      <c r="C1405" s="20">
        <v>35</v>
      </c>
      <c r="D1405" s="20">
        <v>8</v>
      </c>
      <c r="E1405" s="24"/>
      <c r="F1405" s="20" t="s">
        <v>11555</v>
      </c>
      <c r="G1405" s="24" t="str">
        <f ca="1">IFERROR(__xludf.DUMMYFUNCTION("GOOGLETRANSLATE(F1405,""en"",""pt"")"),"sistemas de conservação ambiental e biodiversidade")</f>
        <v>sistemas de conservação ambiental e biodiversidade</v>
      </c>
      <c r="H1405" s="24"/>
      <c r="I1405" s="24"/>
    </row>
    <row r="1406" spans="1:9" ht="14.5">
      <c r="A1406" s="20" t="s">
        <v>11556</v>
      </c>
      <c r="B1406" s="20">
        <v>45</v>
      </c>
      <c r="C1406" s="20">
        <v>35</v>
      </c>
      <c r="D1406" s="20">
        <v>8</v>
      </c>
      <c r="E1406" s="20">
        <v>29</v>
      </c>
      <c r="F1406" s="20" t="s">
        <v>11557</v>
      </c>
      <c r="G1406" s="24" t="str">
        <f ca="1">IFERROR(__xludf.DUMMYFUNCTION("GOOGLETRANSLATE(F1406,""en"",""pt"")"),"sistemas de introdução de espécies flora")</f>
        <v>sistemas de introdução de espécies flora</v>
      </c>
      <c r="H1406" s="24"/>
      <c r="I1406" s="24"/>
    </row>
    <row r="1407" spans="1:9" ht="14.5">
      <c r="A1407" s="20" t="s">
        <v>11558</v>
      </c>
      <c r="B1407" s="20">
        <v>45</v>
      </c>
      <c r="C1407" s="20">
        <v>35</v>
      </c>
      <c r="D1407" s="20">
        <v>8</v>
      </c>
      <c r="E1407" s="20">
        <v>30</v>
      </c>
      <c r="F1407" s="20" t="s">
        <v>11559</v>
      </c>
      <c r="G1407" s="24" t="str">
        <f ca="1">IFERROR(__xludf.DUMMYFUNCTION("GOOGLETRANSLATE(F1407,""en"",""pt"")"),"sistemas de protecção espécies da flora")</f>
        <v>sistemas de protecção espécies da flora</v>
      </c>
      <c r="H1407" s="24"/>
      <c r="I1407" s="24"/>
    </row>
    <row r="1408" spans="1:9" ht="14.5">
      <c r="A1408" s="20" t="s">
        <v>11560</v>
      </c>
      <c r="B1408" s="20">
        <v>45</v>
      </c>
      <c r="C1408" s="20">
        <v>35</v>
      </c>
      <c r="D1408" s="20">
        <v>8</v>
      </c>
      <c r="E1408" s="20">
        <v>35</v>
      </c>
      <c r="F1408" s="20" t="s">
        <v>11561</v>
      </c>
      <c r="G1408" s="24" t="str">
        <f ca="1">IFERROR(__xludf.DUMMYFUNCTION("GOOGLETRANSLATE(F1408,""en"",""pt"")"),"sistemas de criação de habitats")</f>
        <v>sistemas de criação de habitats</v>
      </c>
      <c r="H1408" s="24"/>
      <c r="I1408" s="24"/>
    </row>
    <row r="1409" spans="1:9" ht="14.5">
      <c r="A1409" s="20" t="s">
        <v>11562</v>
      </c>
      <c r="B1409" s="20">
        <v>45</v>
      </c>
      <c r="C1409" s="20">
        <v>35</v>
      </c>
      <c r="D1409" s="20">
        <v>8</v>
      </c>
      <c r="E1409" s="20">
        <v>37</v>
      </c>
      <c r="F1409" s="20" t="s">
        <v>11563</v>
      </c>
      <c r="G1409" s="24" t="str">
        <f ca="1">IFERROR(__xludf.DUMMYFUNCTION("GOOGLETRANSLATE(F1409,""en"",""pt"")"),"gestão de habitats e sistemas de melhoria")</f>
        <v>gestão de habitats e sistemas de melhoria</v>
      </c>
      <c r="H1409" s="24"/>
      <c r="I1409" s="24"/>
    </row>
    <row r="1410" spans="1:9" ht="14.5">
      <c r="A1410" s="20" t="s">
        <v>11564</v>
      </c>
      <c r="B1410" s="20">
        <v>45</v>
      </c>
      <c r="C1410" s="20">
        <v>35</v>
      </c>
      <c r="D1410" s="20">
        <v>8</v>
      </c>
      <c r="E1410" s="20">
        <v>38</v>
      </c>
      <c r="F1410" s="20" t="s">
        <v>11565</v>
      </c>
      <c r="G1410" s="24" t="str">
        <f ca="1">IFERROR(__xludf.DUMMYFUNCTION("GOOGLETRANSLATE(F1410,""en"",""pt"")"),"sistemas de protecção de habitats")</f>
        <v>sistemas de protecção de habitats</v>
      </c>
      <c r="H1410" s="24"/>
      <c r="I1410" s="24"/>
    </row>
    <row r="1411" spans="1:9" ht="14.5">
      <c r="A1411" s="20" t="s">
        <v>11566</v>
      </c>
      <c r="B1411" s="20">
        <v>45</v>
      </c>
      <c r="C1411" s="20">
        <v>35</v>
      </c>
      <c r="D1411" s="20">
        <v>30</v>
      </c>
      <c r="E1411" s="24"/>
      <c r="F1411" s="20" t="s">
        <v>11567</v>
      </c>
      <c r="G1411" s="24" t="str">
        <f ca="1">IFERROR(__xludf.DUMMYFUNCTION("GOOGLETRANSLATE(F1411,""en"",""pt"")"),"Forestry, a biomassa, de cobertura, e na estrada sistemas de plantio")</f>
        <v>Forestry, a biomassa, de cobertura, e na estrada sistemas de plantio</v>
      </c>
      <c r="H1411" s="24"/>
      <c r="I1411" s="24"/>
    </row>
    <row r="1412" spans="1:9" ht="14.5">
      <c r="A1412" s="20" t="s">
        <v>11568</v>
      </c>
      <c r="B1412" s="20">
        <v>45</v>
      </c>
      <c r="C1412" s="20">
        <v>35</v>
      </c>
      <c r="D1412" s="20">
        <v>30</v>
      </c>
      <c r="E1412" s="20">
        <v>40</v>
      </c>
      <c r="F1412" s="20" t="s">
        <v>11569</v>
      </c>
      <c r="G1412" s="24" t="str">
        <f ca="1">IFERROR(__xludf.DUMMYFUNCTION("GOOGLETRANSLATE(F1412,""en"",""pt"")"),"sistemas de árvores e arbustos semeados hidráulicos")</f>
        <v>sistemas de árvores e arbustos semeados hidráulicos</v>
      </c>
      <c r="H1412" s="20" t="s">
        <v>11570</v>
      </c>
      <c r="I1412" s="20" t="s">
        <v>5604</v>
      </c>
    </row>
    <row r="1413" spans="1:9" ht="14.5">
      <c r="A1413" s="20" t="s">
        <v>11571</v>
      </c>
      <c r="B1413" s="20">
        <v>45</v>
      </c>
      <c r="C1413" s="20">
        <v>35</v>
      </c>
      <c r="D1413" s="20">
        <v>30</v>
      </c>
      <c r="E1413" s="20">
        <v>55</v>
      </c>
      <c r="F1413" s="20" t="s">
        <v>11572</v>
      </c>
      <c r="G1413" s="24" t="str">
        <f ca="1">IFERROR(__xludf.DUMMYFUNCTION("GOOGLETRANSLATE(F1413,""en"",""pt"")"),"sistemas de árvores e arbustos plantados-notch")</f>
        <v>sistemas de árvores e arbustos plantados-notch</v>
      </c>
      <c r="H1413" s="20" t="s">
        <v>11573</v>
      </c>
      <c r="I1413" s="20" t="s">
        <v>5609</v>
      </c>
    </row>
    <row r="1414" spans="1:9" ht="14.5">
      <c r="A1414" s="20" t="s">
        <v>11574</v>
      </c>
      <c r="B1414" s="20">
        <v>45</v>
      </c>
      <c r="C1414" s="20">
        <v>35</v>
      </c>
      <c r="D1414" s="20">
        <v>30</v>
      </c>
      <c r="E1414" s="20">
        <v>62</v>
      </c>
      <c r="F1414" s="20" t="s">
        <v>11575</v>
      </c>
      <c r="G1414" s="24" t="str">
        <f ca="1">IFERROR(__xludf.DUMMYFUNCTION("GOOGLETRANSLATE(F1414,""en"",""pt"")"),"sistemas de árvores e arbustos plantados a céu")</f>
        <v>sistemas de árvores e arbustos plantados a céu</v>
      </c>
      <c r="H1414" s="20" t="s">
        <v>11576</v>
      </c>
      <c r="I1414" s="20" t="s">
        <v>5609</v>
      </c>
    </row>
    <row r="1415" spans="1:9" ht="14.5">
      <c r="A1415" s="20" t="s">
        <v>11577</v>
      </c>
      <c r="B1415" s="20">
        <v>45</v>
      </c>
      <c r="C1415" s="20">
        <v>35</v>
      </c>
      <c r="D1415" s="20">
        <v>30</v>
      </c>
      <c r="E1415" s="20">
        <v>72</v>
      </c>
      <c r="F1415" s="20" t="s">
        <v>11578</v>
      </c>
      <c r="G1415" s="24" t="str">
        <f ca="1">IFERROR(__xludf.DUMMYFUNCTION("GOOGLETRANSLATE(F1415,""en"",""pt"")"),"Ridge e sistemas de árvores e arbustos plantados sulco")</f>
        <v>Ridge e sistemas de árvores e arbustos plantados sulco</v>
      </c>
      <c r="H1415" s="20" t="s">
        <v>11579</v>
      </c>
      <c r="I1415" s="20" t="s">
        <v>5609</v>
      </c>
    </row>
    <row r="1416" spans="1:9" ht="14.5">
      <c r="A1416" s="20" t="s">
        <v>11580</v>
      </c>
      <c r="B1416" s="20">
        <v>45</v>
      </c>
      <c r="C1416" s="20">
        <v>35</v>
      </c>
      <c r="D1416" s="20">
        <v>30</v>
      </c>
      <c r="E1416" s="20">
        <v>75</v>
      </c>
      <c r="F1416" s="20" t="s">
        <v>11581</v>
      </c>
      <c r="G1416" s="24" t="str">
        <f ca="1">IFERROR(__xludf.DUMMYFUNCTION("GOOGLETRANSLATE(F1416,""en"",""pt"")"),"árvore sem sementes e sistemas de arbusto")</f>
        <v>árvore sem sementes e sistemas de arbusto</v>
      </c>
      <c r="H1416" s="20" t="s">
        <v>11582</v>
      </c>
      <c r="I1416" s="20" t="s">
        <v>5604</v>
      </c>
    </row>
    <row r="1417" spans="1:9" ht="14.5">
      <c r="A1417" s="20" t="s">
        <v>11583</v>
      </c>
      <c r="B1417" s="20">
        <v>45</v>
      </c>
      <c r="C1417" s="20">
        <v>35</v>
      </c>
      <c r="D1417" s="20">
        <v>30</v>
      </c>
      <c r="E1417" s="20">
        <v>90</v>
      </c>
      <c r="F1417" s="20" t="s">
        <v>11584</v>
      </c>
      <c r="G1417" s="24" t="str">
        <f ca="1">IFERROR(__xludf.DUMMYFUNCTION("GOOGLETRANSLATE(F1417,""en"",""pt"")"),"sistemas de árvores e arbustos plantados-Trench")</f>
        <v>sistemas de árvores e arbustos plantados-Trench</v>
      </c>
      <c r="H1417" s="20" t="s">
        <v>11585</v>
      </c>
      <c r="I1417" s="20" t="s">
        <v>5609</v>
      </c>
    </row>
    <row r="1418" spans="1:9" ht="14.5">
      <c r="A1418" s="20" t="s">
        <v>11586</v>
      </c>
      <c r="B1418" s="20">
        <v>45</v>
      </c>
      <c r="C1418" s="20">
        <v>35</v>
      </c>
      <c r="D1418" s="20">
        <v>45</v>
      </c>
      <c r="E1418" s="24"/>
      <c r="F1418" s="20" t="s">
        <v>11587</v>
      </c>
      <c r="G1418" s="24" t="str">
        <f ca="1">IFERROR(__xludf.DUMMYFUNCTION("GOOGLETRANSLATE(F1418,""en"",""pt"")"),"sistemas de plantio prado gramado e")</f>
        <v>sistemas de plantio prado gramado e</v>
      </c>
      <c r="H1418" s="24"/>
      <c r="I1418" s="24"/>
    </row>
    <row r="1419" spans="1:9" ht="14.5">
      <c r="A1419" s="20" t="s">
        <v>11588</v>
      </c>
      <c r="B1419" s="20">
        <v>45</v>
      </c>
      <c r="C1419" s="20">
        <v>35</v>
      </c>
      <c r="D1419" s="20">
        <v>45</v>
      </c>
      <c r="E1419" s="20">
        <v>33</v>
      </c>
      <c r="F1419" s="20" t="s">
        <v>11589</v>
      </c>
      <c r="G1419" s="24" t="str">
        <f ca="1">IFERROR(__xludf.DUMMYFUNCTION("GOOGLETRANSLATE(F1419,""en"",""pt"")"),"sistemas de plantio de flores silvestres e grama")</f>
        <v>sistemas de plantio de flores silvestres e grama</v>
      </c>
      <c r="H1419" s="20" t="s">
        <v>11590</v>
      </c>
      <c r="I1419" s="20" t="s">
        <v>5604</v>
      </c>
    </row>
    <row r="1420" spans="1:9" ht="14.5">
      <c r="A1420" s="20" t="s">
        <v>11591</v>
      </c>
      <c r="B1420" s="20">
        <v>45</v>
      </c>
      <c r="C1420" s="20">
        <v>35</v>
      </c>
      <c r="D1420" s="20">
        <v>45</v>
      </c>
      <c r="E1420" s="20">
        <v>35</v>
      </c>
      <c r="F1420" s="20" t="s">
        <v>11592</v>
      </c>
      <c r="G1420" s="24" t="str">
        <f ca="1">IFERROR(__xludf.DUMMYFUNCTION("GOOGLETRANSLATE(F1420,""en"",""pt"")"),"sistemas de grama semeadura")</f>
        <v>sistemas de grama semeadura</v>
      </c>
      <c r="H1420" s="20" t="s">
        <v>11593</v>
      </c>
      <c r="I1420" s="20" t="s">
        <v>5604</v>
      </c>
    </row>
    <row r="1421" spans="1:9" ht="14.5">
      <c r="A1421" s="20" t="s">
        <v>11594</v>
      </c>
      <c r="B1421" s="20">
        <v>45</v>
      </c>
      <c r="C1421" s="20">
        <v>35</v>
      </c>
      <c r="D1421" s="20">
        <v>45</v>
      </c>
      <c r="E1421" s="20">
        <v>40</v>
      </c>
      <c r="F1421" s="20" t="s">
        <v>11595</v>
      </c>
      <c r="G1421" s="24" t="str">
        <f ca="1">IFERROR(__xludf.DUMMYFUNCTION("GOOGLETRANSLATE(F1421,""en"",""pt"")"),"sistemas de semeadura hidráulicos")</f>
        <v>sistemas de semeadura hidráulicos</v>
      </c>
      <c r="H1421" s="20" t="s">
        <v>11596</v>
      </c>
      <c r="I1421" s="20" t="s">
        <v>5604</v>
      </c>
    </row>
    <row r="1422" spans="1:9" ht="14.5">
      <c r="A1422" s="20" t="s">
        <v>11597</v>
      </c>
      <c r="B1422" s="20">
        <v>45</v>
      </c>
      <c r="C1422" s="20">
        <v>35</v>
      </c>
      <c r="D1422" s="20">
        <v>45</v>
      </c>
      <c r="E1422" s="20">
        <v>62</v>
      </c>
      <c r="F1422" s="20" t="s">
        <v>11598</v>
      </c>
      <c r="G1422" s="24" t="str">
        <f ca="1">IFERROR(__xludf.DUMMYFUNCTION("GOOGLETRANSLATE(F1422,""en"",""pt"")"),"Plásticos de pavimentação e sistemas de relvado")</f>
        <v>Plásticos de pavimentação e sistemas de relvado</v>
      </c>
      <c r="H1422" s="20" t="s">
        <v>11599</v>
      </c>
      <c r="I1422" s="20" t="s">
        <v>11600</v>
      </c>
    </row>
    <row r="1423" spans="1:9" ht="14.5">
      <c r="A1423" s="20" t="s">
        <v>11601</v>
      </c>
      <c r="B1423" s="20">
        <v>45</v>
      </c>
      <c r="C1423" s="20">
        <v>35</v>
      </c>
      <c r="D1423" s="20">
        <v>45</v>
      </c>
      <c r="E1423" s="20">
        <v>65</v>
      </c>
      <c r="F1423" s="20" t="s">
        <v>11602</v>
      </c>
      <c r="G1423" s="24" t="str">
        <f ca="1">IFERROR(__xludf.DUMMYFUNCTION("GOOGLETRANSLATE(F1423,""en"",""pt"")"),"sistemas de esteira pré-semeadas")</f>
        <v>sistemas de esteira pré-semeadas</v>
      </c>
      <c r="H1423" s="20" t="s">
        <v>11603</v>
      </c>
      <c r="I1423" s="20" t="s">
        <v>5604</v>
      </c>
    </row>
    <row r="1424" spans="1:9" ht="14.5">
      <c r="A1424" s="20" t="s">
        <v>11604</v>
      </c>
      <c r="B1424" s="20">
        <v>45</v>
      </c>
      <c r="C1424" s="20">
        <v>35</v>
      </c>
      <c r="D1424" s="20">
        <v>45</v>
      </c>
      <c r="E1424" s="20">
        <v>70</v>
      </c>
      <c r="F1424" s="20" t="s">
        <v>11605</v>
      </c>
      <c r="G1424" s="24" t="str">
        <f ca="1">IFERROR(__xludf.DUMMYFUNCTION("GOOGLETRANSLATE(F1424,""en"",""pt"")"),"sistemas de plantio de grama reforçados")</f>
        <v>sistemas de plantio de grama reforçados</v>
      </c>
      <c r="H1424" s="20" t="s">
        <v>11606</v>
      </c>
      <c r="I1424" s="20" t="s">
        <v>5604</v>
      </c>
    </row>
    <row r="1425" spans="1:9" ht="14.5">
      <c r="A1425" s="20" t="s">
        <v>11607</v>
      </c>
      <c r="B1425" s="20">
        <v>45</v>
      </c>
      <c r="C1425" s="20">
        <v>35</v>
      </c>
      <c r="D1425" s="20">
        <v>45</v>
      </c>
      <c r="E1425" s="20">
        <v>90</v>
      </c>
      <c r="F1425" s="20" t="s">
        <v>11608</v>
      </c>
      <c r="G1425" s="24" t="str">
        <f ca="1">IFERROR(__xludf.DUMMYFUNCTION("GOOGLETRANSLATE(F1425,""en"",""pt"")"),"sistemas de plantio Turf")</f>
        <v>sistemas de plantio Turf</v>
      </c>
      <c r="H1425" s="20" t="s">
        <v>11609</v>
      </c>
      <c r="I1425" s="20" t="s">
        <v>5604</v>
      </c>
    </row>
    <row r="1426" spans="1:9" ht="14.5">
      <c r="A1426" s="20" t="s">
        <v>11610</v>
      </c>
      <c r="B1426" s="20">
        <v>45</v>
      </c>
      <c r="C1426" s="20">
        <v>40</v>
      </c>
      <c r="D1426" s="24"/>
      <c r="E1426" s="24"/>
      <c r="F1426" s="20" t="s">
        <v>11611</v>
      </c>
      <c r="G1426" s="24" t="str">
        <f ca="1">IFERROR(__xludf.DUMMYFUNCTION("GOOGLETRANSLATE(F1426,""en"",""pt"")"),"sistemas flora artificialmente suportados")</f>
        <v>sistemas flora artificialmente suportados</v>
      </c>
      <c r="H1426" s="24"/>
      <c r="I1426" s="24"/>
    </row>
    <row r="1427" spans="1:9" ht="14.5">
      <c r="A1427" s="20" t="s">
        <v>11612</v>
      </c>
      <c r="B1427" s="20">
        <v>45</v>
      </c>
      <c r="C1427" s="20">
        <v>40</v>
      </c>
      <c r="D1427" s="20">
        <v>28</v>
      </c>
      <c r="E1427" s="24"/>
      <c r="F1427" s="20" t="s">
        <v>11613</v>
      </c>
      <c r="G1427" s="24" t="str">
        <f ca="1">IFERROR(__xludf.DUMMYFUNCTION("GOOGLETRANSLATE(F1427,""en"",""pt"")"),"sistemas de plantio recipiente externo")</f>
        <v>sistemas de plantio recipiente externo</v>
      </c>
      <c r="H1427" s="24"/>
      <c r="I1427" s="24"/>
    </row>
    <row r="1428" spans="1:9" ht="14.5">
      <c r="A1428" s="20" t="s">
        <v>11614</v>
      </c>
      <c r="B1428" s="20">
        <v>45</v>
      </c>
      <c r="C1428" s="20">
        <v>40</v>
      </c>
      <c r="D1428" s="20">
        <v>28</v>
      </c>
      <c r="E1428" s="20">
        <v>25</v>
      </c>
      <c r="F1428" s="20" t="s">
        <v>11615</v>
      </c>
      <c r="G1428" s="24" t="str">
        <f ca="1">IFERROR(__xludf.DUMMYFUNCTION("GOOGLETRANSLATE(F1428,""en"",""pt"")"),"sistemas plantador externos")</f>
        <v>sistemas plantador externos</v>
      </c>
      <c r="H1428" s="20" t="s">
        <v>11616</v>
      </c>
      <c r="I1428" s="20" t="s">
        <v>5609</v>
      </c>
    </row>
    <row r="1429" spans="1:9" ht="14.5">
      <c r="A1429" s="20" t="s">
        <v>11617</v>
      </c>
      <c r="B1429" s="20">
        <v>45</v>
      </c>
      <c r="C1429" s="20">
        <v>40</v>
      </c>
      <c r="D1429" s="20">
        <v>28</v>
      </c>
      <c r="E1429" s="20">
        <v>32</v>
      </c>
      <c r="F1429" s="20" t="s">
        <v>11618</v>
      </c>
      <c r="G1429" s="24" t="str">
        <f ca="1">IFERROR(__xludf.DUMMYFUNCTION("GOOGLETRANSLATE(F1429,""en"",""pt"")"),"sistemas de plantio recipiente externo livre de pé")</f>
        <v>sistemas de plantio recipiente externo livre de pé</v>
      </c>
      <c r="H1429" s="20" t="s">
        <v>11619</v>
      </c>
      <c r="I1429" s="20" t="s">
        <v>5609</v>
      </c>
    </row>
    <row r="1430" spans="1:9" ht="14.5">
      <c r="A1430" s="20" t="s">
        <v>11620</v>
      </c>
      <c r="B1430" s="20">
        <v>45</v>
      </c>
      <c r="C1430" s="20">
        <v>40</v>
      </c>
      <c r="D1430" s="20">
        <v>28</v>
      </c>
      <c r="E1430" s="20">
        <v>35</v>
      </c>
      <c r="F1430" s="20" t="s">
        <v>11621</v>
      </c>
      <c r="G1430" s="24" t="str">
        <f ca="1">IFERROR(__xludf.DUMMYFUNCTION("GOOGLETRANSLATE(F1430,""en"",""pt"")"),"Pendurado sistemas de plantação de contentores")</f>
        <v>Pendurado sistemas de plantação de contentores</v>
      </c>
      <c r="H1430" s="20" t="s">
        <v>11622</v>
      </c>
      <c r="I1430" s="20" t="s">
        <v>5609</v>
      </c>
    </row>
    <row r="1431" spans="1:9" ht="14.5">
      <c r="A1431" s="20" t="s">
        <v>11623</v>
      </c>
      <c r="B1431" s="20">
        <v>45</v>
      </c>
      <c r="C1431" s="20">
        <v>40</v>
      </c>
      <c r="D1431" s="20">
        <v>28</v>
      </c>
      <c r="E1431" s="20">
        <v>85</v>
      </c>
      <c r="F1431" s="20" t="s">
        <v>11624</v>
      </c>
      <c r="G1431" s="24" t="str">
        <f ca="1">IFERROR(__xludf.DUMMYFUNCTION("GOOGLETRANSLATE(F1431,""en"",""pt"")"),"sistemas de plantio externos")</f>
        <v>sistemas de plantio externos</v>
      </c>
      <c r="H1431" s="24"/>
      <c r="I1431" s="24"/>
    </row>
    <row r="1432" spans="1:9" ht="14.5">
      <c r="A1432" s="20" t="s">
        <v>11625</v>
      </c>
      <c r="B1432" s="20">
        <v>45</v>
      </c>
      <c r="C1432" s="20">
        <v>40</v>
      </c>
      <c r="D1432" s="20">
        <v>40</v>
      </c>
      <c r="E1432" s="24"/>
      <c r="F1432" s="20" t="s">
        <v>11626</v>
      </c>
      <c r="G1432" s="24" t="str">
        <f ca="1">IFERROR(__xludf.DUMMYFUNCTION("GOOGLETRANSLATE(F1432,""en"",""pt"")"),"sistemas de plantio recipiente interno")</f>
        <v>sistemas de plantio recipiente interno</v>
      </c>
      <c r="H1432" s="24"/>
      <c r="I1432" s="24"/>
    </row>
    <row r="1433" spans="1:9" ht="14.5">
      <c r="A1433" s="20" t="s">
        <v>11627</v>
      </c>
      <c r="B1433" s="20">
        <v>45</v>
      </c>
      <c r="C1433" s="20">
        <v>40</v>
      </c>
      <c r="D1433" s="20">
        <v>40</v>
      </c>
      <c r="E1433" s="20">
        <v>32</v>
      </c>
      <c r="F1433" s="20" t="s">
        <v>11628</v>
      </c>
      <c r="G1433" s="24" t="str">
        <f ca="1">IFERROR(__xludf.DUMMYFUNCTION("GOOGLETRANSLATE(F1433,""en"",""pt"")"),"sistemas de plantio recipiente interno livre de pé")</f>
        <v>sistemas de plantio recipiente interno livre de pé</v>
      </c>
      <c r="H1433" s="20" t="s">
        <v>11629</v>
      </c>
      <c r="I1433" s="20" t="s">
        <v>5631</v>
      </c>
    </row>
    <row r="1434" spans="1:9" ht="14.5">
      <c r="A1434" s="20" t="s">
        <v>11630</v>
      </c>
      <c r="B1434" s="20">
        <v>45</v>
      </c>
      <c r="C1434" s="20">
        <v>40</v>
      </c>
      <c r="D1434" s="20">
        <v>40</v>
      </c>
      <c r="E1434" s="20">
        <v>34</v>
      </c>
      <c r="F1434" s="20" t="s">
        <v>11631</v>
      </c>
      <c r="G1434" s="24" t="str">
        <f ca="1">IFERROR(__xludf.DUMMYFUNCTION("GOOGLETRANSLATE(F1434,""en"",""pt"")"),"sistemas de plantio recipiente interno ao nível do solo")</f>
        <v>sistemas de plantio recipiente interno ao nível do solo</v>
      </c>
      <c r="H1434" s="24"/>
      <c r="I1434" s="24"/>
    </row>
    <row r="1435" spans="1:9" ht="14.5">
      <c r="A1435" s="20" t="s">
        <v>11632</v>
      </c>
      <c r="B1435" s="20">
        <v>45</v>
      </c>
      <c r="C1435" s="20">
        <v>40</v>
      </c>
      <c r="D1435" s="20">
        <v>40</v>
      </c>
      <c r="E1435" s="20">
        <v>41</v>
      </c>
      <c r="F1435" s="20" t="s">
        <v>11633</v>
      </c>
      <c r="G1435" s="24" t="str">
        <f ca="1">IFERROR(__xludf.DUMMYFUNCTION("GOOGLETRANSLATE(F1435,""en"",""pt"")"),"sistemas de plantio recipiente de suspensão interna")</f>
        <v>sistemas de plantio recipiente de suspensão interna</v>
      </c>
      <c r="H1435" s="20" t="s">
        <v>11634</v>
      </c>
      <c r="I1435" s="20" t="s">
        <v>5631</v>
      </c>
    </row>
    <row r="1436" spans="1:9" ht="14.5">
      <c r="A1436" s="20" t="s">
        <v>11635</v>
      </c>
      <c r="B1436" s="20">
        <v>45</v>
      </c>
      <c r="C1436" s="20">
        <v>40</v>
      </c>
      <c r="D1436" s="20">
        <v>40</v>
      </c>
      <c r="E1436" s="20">
        <v>42</v>
      </c>
      <c r="F1436" s="20" t="s">
        <v>11636</v>
      </c>
      <c r="G1436" s="24" t="str">
        <f ca="1">IFERROR(__xludf.DUMMYFUNCTION("GOOGLETRANSLATE(F1436,""en"",""pt"")"),"sistemas plantador internos")</f>
        <v>sistemas plantador internos</v>
      </c>
      <c r="H1436" s="20" t="s">
        <v>11637</v>
      </c>
      <c r="I1436" s="20" t="s">
        <v>5631</v>
      </c>
    </row>
    <row r="1437" spans="1:9" ht="14.5">
      <c r="A1437" s="20" t="s">
        <v>11638</v>
      </c>
      <c r="B1437" s="20">
        <v>45</v>
      </c>
      <c r="C1437" s="20">
        <v>40</v>
      </c>
      <c r="D1437" s="20">
        <v>47</v>
      </c>
      <c r="E1437" s="24"/>
      <c r="F1437" s="20" t="s">
        <v>11639</v>
      </c>
      <c r="G1437" s="24" t="str">
        <f ca="1">IFERROR(__xludf.DUMMYFUNCTION("GOOGLETRANSLATE(F1437,""en"",""pt"")"),"Vivendo sistemas de telhado")</f>
        <v>Vivendo sistemas de telhado</v>
      </c>
      <c r="H1437" s="24"/>
      <c r="I1437" s="24"/>
    </row>
    <row r="1438" spans="1:9" ht="14.5">
      <c r="A1438" s="20" t="s">
        <v>11640</v>
      </c>
      <c r="B1438" s="20">
        <v>45</v>
      </c>
      <c r="C1438" s="20">
        <v>40</v>
      </c>
      <c r="D1438" s="20">
        <v>47</v>
      </c>
      <c r="E1438" s="20">
        <v>9</v>
      </c>
      <c r="F1438" s="20" t="s">
        <v>11641</v>
      </c>
      <c r="G1438" s="24" t="str">
        <f ca="1">IFERROR(__xludf.DUMMYFUNCTION("GOOGLETRANSLATE(F1438,""en"",""pt"")"),"sistemas de telhado marrom")</f>
        <v>sistemas de telhado marrom</v>
      </c>
      <c r="H1438" s="20" t="s">
        <v>11642</v>
      </c>
      <c r="I1438" s="20" t="s">
        <v>5636</v>
      </c>
    </row>
    <row r="1439" spans="1:9" ht="14.5">
      <c r="A1439" s="20" t="s">
        <v>11643</v>
      </c>
      <c r="B1439" s="20">
        <v>45</v>
      </c>
      <c r="C1439" s="20">
        <v>40</v>
      </c>
      <c r="D1439" s="20">
        <v>47</v>
      </c>
      <c r="E1439" s="20">
        <v>28</v>
      </c>
      <c r="F1439" s="20" t="s">
        <v>11644</v>
      </c>
      <c r="G1439" s="24" t="str">
        <f ca="1">IFERROR(__xludf.DUMMYFUNCTION("GOOGLETRANSLATE(F1439,""en"",""pt"")"),"sistemas de telhado verdes extensas")</f>
        <v>sistemas de telhado verdes extensas</v>
      </c>
      <c r="H1439" s="20" t="s">
        <v>11645</v>
      </c>
      <c r="I1439" s="20" t="s">
        <v>5636</v>
      </c>
    </row>
    <row r="1440" spans="1:9" ht="14.5">
      <c r="A1440" s="20" t="s">
        <v>11646</v>
      </c>
      <c r="B1440" s="20">
        <v>45</v>
      </c>
      <c r="C1440" s="20">
        <v>40</v>
      </c>
      <c r="D1440" s="20">
        <v>47</v>
      </c>
      <c r="E1440" s="20">
        <v>40</v>
      </c>
      <c r="F1440" s="20" t="s">
        <v>11647</v>
      </c>
      <c r="G1440" s="24" t="str">
        <f ca="1">IFERROR(__xludf.DUMMYFUNCTION("GOOGLETRANSLATE(F1440,""en"",""pt"")"),"sistemas de telhado verde intensivos")</f>
        <v>sistemas de telhado verde intensivos</v>
      </c>
      <c r="H1440" s="20" t="s">
        <v>11648</v>
      </c>
      <c r="I1440" s="20" t="s">
        <v>5636</v>
      </c>
    </row>
    <row r="1441" spans="1:9" ht="14.5">
      <c r="A1441" s="20" t="s">
        <v>11649</v>
      </c>
      <c r="B1441" s="20">
        <v>45</v>
      </c>
      <c r="C1441" s="20">
        <v>40</v>
      </c>
      <c r="D1441" s="20">
        <v>47</v>
      </c>
      <c r="E1441" s="20">
        <v>75</v>
      </c>
      <c r="F1441" s="20" t="s">
        <v>11650</v>
      </c>
      <c r="G1441" s="24" t="str">
        <f ca="1">IFERROR(__xludf.DUMMYFUNCTION("GOOGLETRANSLATE(F1441,""en"",""pt"")"),"sistemas de telhado verde semi-intensivos")</f>
        <v>sistemas de telhado verde semi-intensivos</v>
      </c>
      <c r="H1441" s="20" t="s">
        <v>11651</v>
      </c>
      <c r="I1441" s="20" t="s">
        <v>5636</v>
      </c>
    </row>
    <row r="1442" spans="1:9" ht="14.5">
      <c r="A1442" s="20" t="s">
        <v>11652</v>
      </c>
      <c r="B1442" s="20">
        <v>45</v>
      </c>
      <c r="C1442" s="20">
        <v>40</v>
      </c>
      <c r="D1442" s="20">
        <v>95</v>
      </c>
      <c r="E1442" s="24"/>
      <c r="F1442" s="20" t="s">
        <v>11653</v>
      </c>
      <c r="G1442" s="24" t="str">
        <f ca="1">IFERROR(__xludf.DUMMYFUNCTION("GOOGLETRANSLATE(F1442,""en"",""pt"")"),"sistemas de plantio verticais")</f>
        <v>sistemas de plantio verticais</v>
      </c>
      <c r="H1442" s="24"/>
      <c r="I1442" s="24"/>
    </row>
    <row r="1443" spans="1:9" ht="14.5">
      <c r="A1443" s="20" t="s">
        <v>11654</v>
      </c>
      <c r="B1443" s="20">
        <v>45</v>
      </c>
      <c r="C1443" s="20">
        <v>40</v>
      </c>
      <c r="D1443" s="20">
        <v>95</v>
      </c>
      <c r="E1443" s="20">
        <v>8</v>
      </c>
      <c r="F1443" s="20" t="s">
        <v>11655</v>
      </c>
      <c r="G1443" s="24" t="str">
        <f ca="1">IFERROR(__xludf.DUMMYFUNCTION("GOOGLETRANSLATE(F1443,""en"",""pt"")"),"Biofiltração sistemas de plantio verticais")</f>
        <v>Biofiltração sistemas de plantio verticais</v>
      </c>
      <c r="H1443" s="20" t="s">
        <v>11656</v>
      </c>
      <c r="I1443" s="20" t="s">
        <v>11657</v>
      </c>
    </row>
    <row r="1444" spans="1:9" ht="14.5">
      <c r="A1444" s="20" t="s">
        <v>11658</v>
      </c>
      <c r="B1444" s="20">
        <v>45</v>
      </c>
      <c r="C1444" s="20">
        <v>40</v>
      </c>
      <c r="D1444" s="20">
        <v>95</v>
      </c>
      <c r="E1444" s="20">
        <v>52</v>
      </c>
      <c r="F1444" s="20" t="s">
        <v>11659</v>
      </c>
      <c r="G1444" s="24" t="str">
        <f ca="1">IFERROR(__xludf.DUMMYFUNCTION("GOOGLETRANSLATE(F1444,""en"",""pt"")"),"Membranosas sistemas de plantio verticais")</f>
        <v>Membranosas sistemas de plantio verticais</v>
      </c>
      <c r="H1444" s="20" t="s">
        <v>11660</v>
      </c>
      <c r="I1444" s="20" t="s">
        <v>11657</v>
      </c>
    </row>
    <row r="1445" spans="1:9" ht="14.5">
      <c r="A1445" s="20" t="s">
        <v>11661</v>
      </c>
      <c r="B1445" s="20">
        <v>45</v>
      </c>
      <c r="C1445" s="20">
        <v>40</v>
      </c>
      <c r="D1445" s="20">
        <v>95</v>
      </c>
      <c r="E1445" s="20">
        <v>54</v>
      </c>
      <c r="F1445" s="20" t="s">
        <v>11662</v>
      </c>
      <c r="G1445" s="24" t="str">
        <f ca="1">IFERROR(__xludf.DUMMYFUNCTION("GOOGLETRANSLATE(F1445,""en"",""pt"")"),"sistemas de plantio vertical, unidade modular")</f>
        <v>sistemas de plantio vertical, unidade modular</v>
      </c>
      <c r="H1445" s="20" t="s">
        <v>11663</v>
      </c>
      <c r="I1445" s="20" t="s">
        <v>11657</v>
      </c>
    </row>
    <row r="1446" spans="1:9" ht="14.5">
      <c r="A1446" s="20" t="s">
        <v>11664</v>
      </c>
      <c r="B1446" s="20">
        <v>45</v>
      </c>
      <c r="C1446" s="20">
        <v>50</v>
      </c>
      <c r="D1446" s="24"/>
      <c r="E1446" s="24"/>
      <c r="F1446" s="20" t="s">
        <v>11665</v>
      </c>
      <c r="G1446" s="24" t="str">
        <f ca="1">IFERROR(__xludf.DUMMYFUNCTION("GOOGLETRANSLATE(F1446,""en"",""pt"")"),"sistemas de flora artificial")</f>
        <v>sistemas de flora artificial</v>
      </c>
      <c r="H1446" s="24"/>
      <c r="I1446" s="24"/>
    </row>
    <row r="1447" spans="1:9" ht="14.5">
      <c r="A1447" s="20" t="s">
        <v>11666</v>
      </c>
      <c r="B1447" s="20">
        <v>45</v>
      </c>
      <c r="C1447" s="20">
        <v>50</v>
      </c>
      <c r="D1447" s="20">
        <v>5</v>
      </c>
      <c r="E1447" s="24"/>
      <c r="F1447" s="20" t="s">
        <v>11667</v>
      </c>
      <c r="G1447" s="24" t="str">
        <f ca="1">IFERROR(__xludf.DUMMYFUNCTION("GOOGLETRANSLATE(F1447,""en"",""pt"")"),"sistemas de plantio artificiais")</f>
        <v>sistemas de plantio artificiais</v>
      </c>
      <c r="H1447" s="24"/>
      <c r="I1447" s="24"/>
    </row>
    <row r="1448" spans="1:9" ht="14.5">
      <c r="A1448" s="20" t="s">
        <v>11668</v>
      </c>
      <c r="B1448" s="20">
        <v>45</v>
      </c>
      <c r="C1448" s="20">
        <v>50</v>
      </c>
      <c r="D1448" s="20">
        <v>5</v>
      </c>
      <c r="E1448" s="20">
        <v>40</v>
      </c>
      <c r="F1448" s="20" t="s">
        <v>11669</v>
      </c>
      <c r="G1448" s="24" t="str">
        <f ca="1">IFERROR(__xludf.DUMMYFUNCTION("GOOGLETRANSLATE(F1448,""en"",""pt"")"),"sistemas de plantio artificiais interna")</f>
        <v>sistemas de plantio artificiais interna</v>
      </c>
      <c r="H1448" s="20" t="s">
        <v>11670</v>
      </c>
      <c r="I1448" s="20" t="s">
        <v>11657</v>
      </c>
    </row>
    <row r="1449" spans="1:9" ht="14.5">
      <c r="A1449" s="20" t="s">
        <v>11671</v>
      </c>
      <c r="B1449" s="20">
        <v>45</v>
      </c>
      <c r="C1449" s="20">
        <v>60</v>
      </c>
      <c r="D1449" s="24"/>
      <c r="E1449" s="24"/>
      <c r="F1449" s="20" t="s">
        <v>11672</v>
      </c>
      <c r="G1449" s="24" t="str">
        <f ca="1">IFERROR(__xludf.DUMMYFUNCTION("GOOGLETRANSLATE(F1449,""en"",""pt"")"),"sistemas de avifauna")</f>
        <v>sistemas de avifauna</v>
      </c>
      <c r="H1449" s="24"/>
      <c r="I1449" s="24"/>
    </row>
    <row r="1450" spans="1:9" ht="14.5">
      <c r="A1450" s="20" t="s">
        <v>11673</v>
      </c>
      <c r="B1450" s="20">
        <v>45</v>
      </c>
      <c r="C1450" s="20">
        <v>65</v>
      </c>
      <c r="D1450" s="24"/>
      <c r="E1450" s="24"/>
      <c r="F1450" s="20" t="s">
        <v>11674</v>
      </c>
      <c r="G1450" s="24" t="str">
        <f ca="1">IFERROR(__xludf.DUMMYFUNCTION("GOOGLETRANSLATE(F1450,""en"",""pt"")"),"Inseto sistemas fauna")</f>
        <v>Inseto sistemas fauna</v>
      </c>
      <c r="H1450" s="24"/>
      <c r="I1450" s="24"/>
    </row>
    <row r="1451" spans="1:9" ht="14.5">
      <c r="A1451" s="20" t="s">
        <v>11675</v>
      </c>
      <c r="B1451" s="20">
        <v>45</v>
      </c>
      <c r="C1451" s="20">
        <v>70</v>
      </c>
      <c r="D1451" s="24"/>
      <c r="E1451" s="24"/>
      <c r="F1451" s="20" t="s">
        <v>11676</v>
      </c>
      <c r="G1451" s="24" t="str">
        <f ca="1">IFERROR(__xludf.DUMMYFUNCTION("GOOGLETRANSLATE(F1451,""en"",""pt"")"),"sistemas fauna de mamíferos")</f>
        <v>sistemas fauna de mamíferos</v>
      </c>
      <c r="H1451" s="24"/>
      <c r="I1451" s="24"/>
    </row>
    <row r="1452" spans="1:9" ht="14.5">
      <c r="A1452" s="20" t="s">
        <v>11677</v>
      </c>
      <c r="B1452" s="20">
        <v>45</v>
      </c>
      <c r="C1452" s="20">
        <v>70</v>
      </c>
      <c r="D1452" s="20">
        <v>5</v>
      </c>
      <c r="E1452" s="24"/>
      <c r="F1452" s="20" t="s">
        <v>11678</v>
      </c>
      <c r="G1452" s="24" t="str">
        <f ca="1">IFERROR(__xludf.DUMMYFUNCTION("GOOGLETRANSLATE(F1452,""en"",""pt"")"),"sistemas de conservação de animais")</f>
        <v>sistemas de conservação de animais</v>
      </c>
      <c r="H1452" s="24"/>
      <c r="I1452" s="24"/>
    </row>
    <row r="1453" spans="1:9" ht="14.5">
      <c r="A1453" s="20" t="s">
        <v>11679</v>
      </c>
      <c r="B1453" s="20">
        <v>45</v>
      </c>
      <c r="C1453" s="20">
        <v>70</v>
      </c>
      <c r="D1453" s="20">
        <v>5</v>
      </c>
      <c r="E1453" s="20">
        <v>27</v>
      </c>
      <c r="F1453" s="20" t="s">
        <v>11680</v>
      </c>
      <c r="G1453" s="24" t="str">
        <f ca="1">IFERROR(__xludf.DUMMYFUNCTION("GOOGLETRANSLATE(F1453,""en"",""pt"")"),"sistemas de passagem rodoviários de animais")</f>
        <v>sistemas de passagem rodoviários de animais</v>
      </c>
      <c r="H1453" s="24"/>
      <c r="I1453" s="24"/>
    </row>
    <row r="1454" spans="1:9" ht="14.5">
      <c r="A1454" s="20" t="s">
        <v>11681</v>
      </c>
      <c r="B1454" s="20">
        <v>45</v>
      </c>
      <c r="C1454" s="20">
        <v>70</v>
      </c>
      <c r="D1454" s="20">
        <v>5</v>
      </c>
      <c r="E1454" s="20">
        <v>29</v>
      </c>
      <c r="F1454" s="20" t="s">
        <v>11682</v>
      </c>
      <c r="G1454" s="24" t="str">
        <f ca="1">IFERROR(__xludf.DUMMYFUNCTION("GOOGLETRANSLATE(F1454,""en"",""pt"")"),"sistemas de introdução de espécies animais")</f>
        <v>sistemas de introdução de espécies animais</v>
      </c>
      <c r="H1454" s="20" t="s">
        <v>11683</v>
      </c>
      <c r="I1454" s="20" t="s">
        <v>11684</v>
      </c>
    </row>
    <row r="1455" spans="1:9" ht="14.5">
      <c r="A1455" s="20" t="s">
        <v>11685</v>
      </c>
      <c r="B1455" s="20">
        <v>45</v>
      </c>
      <c r="C1455" s="20">
        <v>70</v>
      </c>
      <c r="D1455" s="20">
        <v>5</v>
      </c>
      <c r="E1455" s="20">
        <v>30</v>
      </c>
      <c r="F1455" s="20" t="s">
        <v>11686</v>
      </c>
      <c r="G1455" s="24" t="str">
        <f ca="1">IFERROR(__xludf.DUMMYFUNCTION("GOOGLETRANSLATE(F1455,""en"",""pt"")"),"sistemas de protecção de espécies animais")</f>
        <v>sistemas de protecção de espécies animais</v>
      </c>
      <c r="H1455" s="20" t="s">
        <v>11687</v>
      </c>
      <c r="I1455" s="20" t="s">
        <v>11684</v>
      </c>
    </row>
    <row r="1456" spans="1:9" ht="14.5">
      <c r="A1456" s="20" t="s">
        <v>11688</v>
      </c>
      <c r="B1456" s="20">
        <v>45</v>
      </c>
      <c r="C1456" s="20">
        <v>75</v>
      </c>
      <c r="D1456" s="24"/>
      <c r="E1456" s="24"/>
      <c r="F1456" s="20" t="s">
        <v>11689</v>
      </c>
      <c r="G1456" s="24" t="str">
        <f ca="1">IFERROR(__xludf.DUMMYFUNCTION("GOOGLETRANSLATE(F1456,""en"",""pt"")"),"sistemas fauna Piscine")</f>
        <v>sistemas fauna Piscine</v>
      </c>
      <c r="H1456" s="24"/>
      <c r="I1456" s="24"/>
    </row>
    <row r="1457" spans="1:9" ht="14.5">
      <c r="A1457" s="20" t="s">
        <v>11690</v>
      </c>
      <c r="B1457" s="20">
        <v>45</v>
      </c>
      <c r="C1457" s="20">
        <v>75</v>
      </c>
      <c r="D1457" s="20">
        <v>30</v>
      </c>
      <c r="E1457" s="24"/>
      <c r="F1457" s="20" t="s">
        <v>11691</v>
      </c>
      <c r="G1457" s="24" t="str">
        <f ca="1">IFERROR(__xludf.DUMMYFUNCTION("GOOGLETRANSLATE(F1457,""en"",""pt"")"),"sistemas de passagem para peixes, enguias e lampreia")</f>
        <v>sistemas de passagem para peixes, enguias e lampreia</v>
      </c>
      <c r="H1457" s="24"/>
      <c r="I1457" s="24"/>
    </row>
    <row r="1458" spans="1:9" ht="14.5">
      <c r="A1458" s="20" t="s">
        <v>11692</v>
      </c>
      <c r="B1458" s="20">
        <v>45</v>
      </c>
      <c r="C1458" s="20">
        <v>75</v>
      </c>
      <c r="D1458" s="20">
        <v>30</v>
      </c>
      <c r="E1458" s="20">
        <v>3</v>
      </c>
      <c r="F1458" s="20" t="s">
        <v>11693</v>
      </c>
      <c r="G1458" s="24" t="str">
        <f ca="1">IFERROR(__xludf.DUMMYFUNCTION("GOOGLETRANSLATE(F1458,""en"",""pt"")"),"sistemas de passagem deflector do Alasca A")</f>
        <v>sistemas de passagem deflector do Alasca A</v>
      </c>
      <c r="H1458" s="24"/>
      <c r="I1458" s="24"/>
    </row>
    <row r="1459" spans="1:9" ht="14.5">
      <c r="A1459" s="20" t="s">
        <v>11694</v>
      </c>
      <c r="B1459" s="20">
        <v>45</v>
      </c>
      <c r="C1459" s="20">
        <v>75</v>
      </c>
      <c r="D1459" s="20">
        <v>30</v>
      </c>
      <c r="E1459" s="20">
        <v>6</v>
      </c>
      <c r="F1459" s="20" t="s">
        <v>11695</v>
      </c>
      <c r="G1459" s="24" t="str">
        <f ca="1">IFERROR(__xludf.DUMMYFUNCTION("GOOGLETRANSLATE(F1459,""en"",""pt"")"),"sistemas de passagem e deflectoras escova")</f>
        <v>sistemas de passagem e deflectoras escova</v>
      </c>
      <c r="H1459" s="24"/>
      <c r="I1459" s="24"/>
    </row>
    <row r="1460" spans="1:9" ht="14.5">
      <c r="A1460" s="20" t="s">
        <v>11696</v>
      </c>
      <c r="B1460" s="20">
        <v>45</v>
      </c>
      <c r="C1460" s="20">
        <v>75</v>
      </c>
      <c r="D1460" s="20">
        <v>30</v>
      </c>
      <c r="E1460" s="20">
        <v>9</v>
      </c>
      <c r="F1460" s="20" t="s">
        <v>11697</v>
      </c>
      <c r="G1460" s="24" t="str">
        <f ca="1">IFERROR(__xludf.DUMMYFUNCTION("GOOGLETRANSLATE(F1460,""en"",""pt"")"),"Os sistemas de passes defletoras mobilado escova")</f>
        <v>Os sistemas de passes defletoras mobilado escova</v>
      </c>
      <c r="H1460" s="24"/>
      <c r="I1460" s="24"/>
    </row>
    <row r="1461" spans="1:9" ht="14.5">
      <c r="A1461" s="20" t="s">
        <v>11698</v>
      </c>
      <c r="B1461" s="20">
        <v>45</v>
      </c>
      <c r="C1461" s="20">
        <v>75</v>
      </c>
      <c r="D1461" s="20">
        <v>30</v>
      </c>
      <c r="E1461" s="20">
        <v>13</v>
      </c>
      <c r="F1461" s="20" t="s">
        <v>11699</v>
      </c>
      <c r="G1461" s="24" t="str">
        <f ca="1">IFERROR(__xludf.DUMMYFUNCTION("GOOGLETRANSLATE(F1461,""en"",""pt"")"),"Os sistemas de passes defletor inferior Chevron")</f>
        <v>Os sistemas de passes defletor inferior Chevron</v>
      </c>
      <c r="H1461" s="24"/>
      <c r="I1461" s="24"/>
    </row>
    <row r="1462" spans="1:9" ht="14.5">
      <c r="A1462" s="20" t="s">
        <v>11700</v>
      </c>
      <c r="B1462" s="20">
        <v>45</v>
      </c>
      <c r="C1462" s="20">
        <v>75</v>
      </c>
      <c r="D1462" s="20">
        <v>30</v>
      </c>
      <c r="E1462" s="20">
        <v>21</v>
      </c>
      <c r="F1462" s="20" t="s">
        <v>11701</v>
      </c>
      <c r="G1462" s="24" t="str">
        <f ca="1">IFERROR(__xludf.DUMMYFUNCTION("GOOGLETRANSLATE(F1462,""en"",""pt"")"),"Os sistemas de passes profunda notch e piscina orifício")</f>
        <v>Os sistemas de passes profunda notch e piscina orifício</v>
      </c>
      <c r="H1462" s="24"/>
      <c r="I1462" s="24"/>
    </row>
    <row r="1463" spans="1:9" ht="14.5">
      <c r="A1463" s="20" t="s">
        <v>11702</v>
      </c>
      <c r="B1463" s="20">
        <v>45</v>
      </c>
      <c r="C1463" s="20">
        <v>75</v>
      </c>
      <c r="D1463" s="20">
        <v>30</v>
      </c>
      <c r="E1463" s="20">
        <v>23</v>
      </c>
      <c r="F1463" s="20" t="s">
        <v>11703</v>
      </c>
      <c r="G1463" s="24" t="str">
        <f ca="1">IFERROR(__xludf.DUMMYFUNCTION("GOOGLETRANSLATE(F1463,""en"",""pt"")"),"Profundo notch nenhum sistema de passe piscina orifício")</f>
        <v>Profundo notch nenhum sistema de passe piscina orifício</v>
      </c>
      <c r="H1463" s="24"/>
      <c r="I1463" s="24"/>
    </row>
    <row r="1464" spans="1:9" ht="14.5">
      <c r="A1464" s="20" t="s">
        <v>11704</v>
      </c>
      <c r="B1464" s="20">
        <v>45</v>
      </c>
      <c r="C1464" s="20">
        <v>75</v>
      </c>
      <c r="D1464" s="20">
        <v>30</v>
      </c>
      <c r="E1464" s="20">
        <v>30</v>
      </c>
      <c r="F1464" s="20" t="s">
        <v>11705</v>
      </c>
      <c r="G1464" s="24" t="str">
        <f ca="1">IFERROR(__xludf.DUMMYFUNCTION("GOOGLETRANSLATE(F1464,""en"",""pt"")"),"sistemas de passagem para peixes")</f>
        <v>sistemas de passagem para peixes</v>
      </c>
      <c r="H1464" s="20" t="s">
        <v>11706</v>
      </c>
      <c r="I1464" s="24"/>
    </row>
    <row r="1465" spans="1:9" ht="14.5">
      <c r="A1465" s="20" t="s">
        <v>11707</v>
      </c>
      <c r="B1465" s="20">
        <v>45</v>
      </c>
      <c r="C1465" s="20">
        <v>75</v>
      </c>
      <c r="D1465" s="20">
        <v>30</v>
      </c>
      <c r="E1465" s="20">
        <v>46</v>
      </c>
      <c r="F1465" s="20" t="s">
        <v>11708</v>
      </c>
      <c r="G1465" s="24" t="str">
        <f ca="1">IFERROR(__xludf.DUMMYFUNCTION("GOOGLETRANSLATE(F1465,""en"",""pt"")"),"Larinier Super defletor activos passam sistemas")</f>
        <v>Larinier Super defletor activos passam sistemas</v>
      </c>
      <c r="H1465" s="24"/>
      <c r="I1465" s="24"/>
    </row>
    <row r="1466" spans="1:9" ht="14.5">
      <c r="A1466" s="20" t="s">
        <v>11709</v>
      </c>
      <c r="B1466" s="20">
        <v>45</v>
      </c>
      <c r="C1466" s="20">
        <v>75</v>
      </c>
      <c r="D1466" s="20">
        <v>30</v>
      </c>
      <c r="E1466" s="20">
        <v>63</v>
      </c>
      <c r="F1466" s="20" t="s">
        <v>11710</v>
      </c>
      <c r="G1466" s="24" t="str">
        <f ca="1">IFERROR(__xludf.DUMMYFUNCTION("GOOGLETRANSLATE(F1466,""en"",""pt"")"),"defletor avião Denil sistemas de passagem")</f>
        <v>defletor avião Denil sistemas de passagem</v>
      </c>
      <c r="H1466" s="24"/>
      <c r="I1466" s="24"/>
    </row>
    <row r="1467" spans="1:9" ht="14.5">
      <c r="A1467" s="20" t="s">
        <v>11711</v>
      </c>
      <c r="B1467" s="20">
        <v>45</v>
      </c>
      <c r="C1467" s="20">
        <v>75</v>
      </c>
      <c r="D1467" s="20">
        <v>30</v>
      </c>
      <c r="E1467" s="20">
        <v>65</v>
      </c>
      <c r="F1467" s="20" t="s">
        <v>11712</v>
      </c>
      <c r="G1467" s="24" t="str">
        <f ca="1">IFERROR(__xludf.DUMMYFUNCTION("GOOGLETRANSLATE(F1467,""en"",""pt"")"),"sistemas de passagem de orifício piscina e")</f>
        <v>sistemas de passagem de orifício piscina e</v>
      </c>
      <c r="H1467" s="24"/>
      <c r="I1467" s="24"/>
    </row>
    <row r="1468" spans="1:9" ht="14.5">
      <c r="A1468" s="20" t="s">
        <v>11713</v>
      </c>
      <c r="B1468" s="20">
        <v>45</v>
      </c>
      <c r="C1468" s="20">
        <v>75</v>
      </c>
      <c r="D1468" s="20">
        <v>30</v>
      </c>
      <c r="E1468" s="20">
        <v>67</v>
      </c>
      <c r="F1468" s="20" t="s">
        <v>11714</v>
      </c>
      <c r="G1468" s="24" t="str">
        <f ca="1">IFERROR(__xludf.DUMMYFUNCTION("GOOGLETRANSLATE(F1468,""en"",""pt"")"),"Os sistemas de passes transversais piscina e")</f>
        <v>Os sistemas de passes transversais piscina e</v>
      </c>
      <c r="H1468" s="24"/>
      <c r="I1468" s="24"/>
    </row>
    <row r="1469" spans="1:9" ht="14.5">
      <c r="A1469" s="20" t="s">
        <v>11715</v>
      </c>
      <c r="B1469" s="20">
        <v>45</v>
      </c>
      <c r="C1469" s="20">
        <v>75</v>
      </c>
      <c r="D1469" s="20">
        <v>30</v>
      </c>
      <c r="E1469" s="20">
        <v>77</v>
      </c>
      <c r="F1469" s="20" t="s">
        <v>11716</v>
      </c>
      <c r="G1469" s="24" t="str">
        <f ca="1">IFERROR(__xludf.DUMMYFUNCTION("GOOGLETRANSLATE(F1469,""en"",""pt"")"),"Os sistemas de passes notch piscina rasa v")</f>
        <v>Os sistemas de passes notch piscina rasa v</v>
      </c>
      <c r="H1469" s="24"/>
      <c r="I1469" s="24"/>
    </row>
    <row r="1470" spans="1:9" ht="14.5">
      <c r="A1470" s="20" t="s">
        <v>11717</v>
      </c>
      <c r="B1470" s="20">
        <v>45</v>
      </c>
      <c r="C1470" s="20">
        <v>75</v>
      </c>
      <c r="D1470" s="20">
        <v>30</v>
      </c>
      <c r="E1470" s="20">
        <v>94</v>
      </c>
      <c r="F1470" s="20" t="s">
        <v>11718</v>
      </c>
      <c r="G1470" s="24" t="str">
        <f ca="1">IFERROR(__xludf.DUMMYFUNCTION("GOOGLETRANSLATE(F1470,""en"",""pt"")"),"sistemas de piscina passagem ranhura vertical")</f>
        <v>sistemas de piscina passagem ranhura vertical</v>
      </c>
      <c r="H1470" s="24"/>
      <c r="I1470" s="24"/>
    </row>
    <row r="1471" spans="1:9" ht="14.5">
      <c r="A1471" s="20" t="s">
        <v>11719</v>
      </c>
      <c r="B1471" s="20">
        <v>45</v>
      </c>
      <c r="C1471" s="20">
        <v>80</v>
      </c>
      <c r="D1471" s="24"/>
      <c r="E1471" s="24"/>
      <c r="F1471" s="20" t="s">
        <v>11720</v>
      </c>
      <c r="G1471" s="24" t="str">
        <f ca="1">IFERROR(__xludf.DUMMYFUNCTION("GOOGLETRANSLATE(F1471,""en"",""pt"")"),"sistemas fauna de répteis")</f>
        <v>sistemas fauna de répteis</v>
      </c>
      <c r="H1471" s="24"/>
      <c r="I1471" s="24"/>
    </row>
    <row r="1472" spans="1:9" ht="14.5">
      <c r="A1472" s="20" t="s">
        <v>11721</v>
      </c>
      <c r="B1472" s="20">
        <v>45</v>
      </c>
      <c r="C1472" s="20">
        <v>85</v>
      </c>
      <c r="D1472" s="24"/>
      <c r="E1472" s="24"/>
      <c r="F1472" s="20" t="s">
        <v>11722</v>
      </c>
      <c r="G1472" s="24" t="str">
        <f ca="1">IFERROR(__xludf.DUMMYFUNCTION("GOOGLETRANSLATE(F1472,""en"",""pt"")"),"sistemas fauna artificiais")</f>
        <v>sistemas fauna artificiais</v>
      </c>
      <c r="H1472" s="24"/>
      <c r="I1472" s="24"/>
    </row>
    <row r="1473" spans="1:9" ht="14.5">
      <c r="A1473" s="20" t="s">
        <v>11723</v>
      </c>
      <c r="B1473" s="20">
        <v>50</v>
      </c>
      <c r="C1473" s="24"/>
      <c r="D1473" s="24"/>
      <c r="E1473" s="24"/>
      <c r="F1473" s="20" t="s">
        <v>11724</v>
      </c>
      <c r="G1473" s="24" t="str">
        <f ca="1">IFERROR(__xludf.DUMMYFUNCTION("GOOGLETRANSLATE(F1473,""en"",""pt"")"),"sistemas de eliminação")</f>
        <v>sistemas de eliminação</v>
      </c>
      <c r="H1473" s="24"/>
      <c r="I1473" s="24"/>
    </row>
    <row r="1474" spans="1:9" ht="14.5">
      <c r="A1474" s="20" t="s">
        <v>11725</v>
      </c>
      <c r="B1474" s="20">
        <v>50</v>
      </c>
      <c r="C1474" s="20">
        <v>10</v>
      </c>
      <c r="D1474" s="24"/>
      <c r="E1474" s="24"/>
      <c r="F1474" s="20" t="s">
        <v>11726</v>
      </c>
      <c r="G1474" s="24" t="str">
        <f ca="1">IFERROR(__xludf.DUMMYFUNCTION("GOOGLETRANSLATE(F1474,""en"",""pt"")"),"sistemas de recolha e distribuição de resíduos de gás")</f>
        <v>sistemas de recolha e distribuição de resíduos de gás</v>
      </c>
      <c r="H1474" s="24"/>
      <c r="I1474" s="24"/>
    </row>
    <row r="1475" spans="1:9" ht="14.5">
      <c r="A1475" s="20" t="s">
        <v>11727</v>
      </c>
      <c r="B1475" s="20">
        <v>50</v>
      </c>
      <c r="C1475" s="20">
        <v>10</v>
      </c>
      <c r="D1475" s="20">
        <v>45</v>
      </c>
      <c r="E1475" s="24"/>
      <c r="F1475" s="20" t="s">
        <v>11728</v>
      </c>
      <c r="G1475" s="24" t="str">
        <f ca="1">IFERROR(__xludf.DUMMYFUNCTION("GOOGLETRANSLATE(F1475,""en"",""pt"")"),"sistemas de coleta de gás de aterro sanitário e distribuição")</f>
        <v>sistemas de coleta de gás de aterro sanitário e distribuição</v>
      </c>
      <c r="H1475" s="24"/>
      <c r="I1475" s="24"/>
    </row>
    <row r="1476" spans="1:9" ht="14.5">
      <c r="A1476" s="20" t="s">
        <v>11729</v>
      </c>
      <c r="B1476" s="20">
        <v>50</v>
      </c>
      <c r="C1476" s="20">
        <v>10</v>
      </c>
      <c r="D1476" s="20">
        <v>95</v>
      </c>
      <c r="E1476" s="24"/>
      <c r="F1476" s="20" t="s">
        <v>11730</v>
      </c>
      <c r="G1476" s="24" t="str">
        <f ca="1">IFERROR(__xludf.DUMMYFUNCTION("GOOGLETRANSLATE(F1476,""en"",""pt"")"),"Resíduos de coleta de gás e sistemas de distribuição")</f>
        <v>Resíduos de coleta de gás e sistemas de distribuição</v>
      </c>
      <c r="H1476" s="24"/>
      <c r="I1476" s="24"/>
    </row>
    <row r="1477" spans="1:9" ht="14.5">
      <c r="A1477" s="20" t="s">
        <v>11731</v>
      </c>
      <c r="B1477" s="20">
        <v>50</v>
      </c>
      <c r="C1477" s="20">
        <v>20</v>
      </c>
      <c r="D1477" s="24"/>
      <c r="E1477" s="24"/>
      <c r="F1477" s="20" t="s">
        <v>11732</v>
      </c>
      <c r="G1477" s="24" t="str">
        <f ca="1">IFERROR(__xludf.DUMMYFUNCTION("GOOGLETRANSLATE(F1477,""en"",""pt"")"),"sistemas de recolha de resíduos e de distribuição de líquidos não aquosos")</f>
        <v>sistemas de recolha de resíduos e de distribuição de líquidos não aquosos</v>
      </c>
      <c r="H1477" s="24"/>
      <c r="I1477" s="24"/>
    </row>
    <row r="1478" spans="1:9" ht="14.5">
      <c r="A1478" s="20" t="s">
        <v>11733</v>
      </c>
      <c r="B1478" s="20">
        <v>50</v>
      </c>
      <c r="C1478" s="20">
        <v>20</v>
      </c>
      <c r="D1478" s="20">
        <v>45</v>
      </c>
      <c r="E1478" s="24"/>
      <c r="F1478" s="20" t="s">
        <v>11734</v>
      </c>
      <c r="G1478" s="24" t="str">
        <f ca="1">IFERROR(__xludf.DUMMYFUNCTION("GOOGLETRANSLATE(F1478,""en"",""pt"")"),"sistemas de aterro de recolha e de distribuição de líquido")</f>
        <v>sistemas de aterro de recolha e de distribuição de líquido</v>
      </c>
      <c r="H1478" s="24"/>
      <c r="I1478" s="24"/>
    </row>
    <row r="1479" spans="1:9" ht="14.5">
      <c r="A1479" s="20" t="s">
        <v>11735</v>
      </c>
      <c r="B1479" s="20">
        <v>50</v>
      </c>
      <c r="C1479" s="20">
        <v>20</v>
      </c>
      <c r="D1479" s="20">
        <v>90</v>
      </c>
      <c r="E1479" s="24"/>
      <c r="F1479" s="20" t="s">
        <v>11736</v>
      </c>
      <c r="G1479" s="24" t="str">
        <f ca="1">IFERROR(__xludf.DUMMYFUNCTION("GOOGLETRANSLATE(F1479,""en"",""pt"")"),"Resíduos de sistemas de recolha e distribuição de combustível líquido")</f>
        <v>Resíduos de sistemas de recolha e distribuição de combustível líquido</v>
      </c>
      <c r="H1479" s="24"/>
      <c r="I1479" s="24"/>
    </row>
    <row r="1480" spans="1:9" ht="14.5">
      <c r="A1480" s="20" t="s">
        <v>11737</v>
      </c>
      <c r="B1480" s="20">
        <v>50</v>
      </c>
      <c r="C1480" s="20">
        <v>20</v>
      </c>
      <c r="D1480" s="20">
        <v>95</v>
      </c>
      <c r="E1480" s="24"/>
      <c r="F1480" s="20" t="s">
        <v>11738</v>
      </c>
      <c r="G1480" s="24" t="str">
        <f ca="1">IFERROR(__xludf.DUMMYFUNCTION("GOOGLETRANSLATE(F1480,""en"",""pt"")"),"Sistemas de processo resíduos de recolha e de distribuição de líquido")</f>
        <v>Sistemas de processo resíduos de recolha e de distribuição de líquido</v>
      </c>
      <c r="H1480" s="24"/>
      <c r="I1480" s="24"/>
    </row>
    <row r="1481" spans="1:9" ht="14.5">
      <c r="A1481" s="20" t="s">
        <v>11739</v>
      </c>
      <c r="B1481" s="20">
        <v>50</v>
      </c>
      <c r="C1481" s="20">
        <v>30</v>
      </c>
      <c r="D1481" s="24"/>
      <c r="E1481" s="24"/>
      <c r="F1481" s="20" t="s">
        <v>11740</v>
      </c>
      <c r="G1481" s="24" t="str">
        <f ca="1">IFERROR(__xludf.DUMMYFUNCTION("GOOGLETRANSLATE(F1481,""en"",""pt"")"),"sistemas de recolha de construção e de drenagem de terras")</f>
        <v>sistemas de recolha de construção e de drenagem de terras</v>
      </c>
      <c r="H1481" s="24"/>
      <c r="I1481" s="24"/>
    </row>
    <row r="1482" spans="1:9" ht="14.5">
      <c r="A1482" s="20" t="s">
        <v>11741</v>
      </c>
      <c r="B1482" s="20">
        <v>50</v>
      </c>
      <c r="C1482" s="20">
        <v>30</v>
      </c>
      <c r="D1482" s="20">
        <v>2</v>
      </c>
      <c r="E1482" s="24"/>
      <c r="F1482" s="20" t="s">
        <v>11742</v>
      </c>
      <c r="G1482" s="24" t="str">
        <f ca="1">IFERROR(__xludf.DUMMYFUNCTION("GOOGLETRANSLATE(F1482,""en"",""pt"")"),"sistemas de drenagem de águas pluviais")</f>
        <v>sistemas de drenagem de águas pluviais</v>
      </c>
      <c r="H1482" s="24"/>
      <c r="I1482" s="24"/>
    </row>
    <row r="1483" spans="1:9" ht="14.5">
      <c r="A1483" s="20" t="s">
        <v>11743</v>
      </c>
      <c r="B1483" s="20">
        <v>50</v>
      </c>
      <c r="C1483" s="20">
        <v>30</v>
      </c>
      <c r="D1483" s="20">
        <v>2</v>
      </c>
      <c r="E1483" s="20">
        <v>28</v>
      </c>
      <c r="F1483" s="20" t="s">
        <v>11744</v>
      </c>
      <c r="G1483" s="24" t="str">
        <f ca="1">IFERROR(__xludf.DUMMYFUNCTION("GOOGLETRANSLATE(F1483,""en"",""pt"")"),"sistemas de drenagem de águas pluviais gravidade externo")</f>
        <v>sistemas de drenagem de águas pluviais gravidade externo</v>
      </c>
      <c r="H1483" s="20" t="s">
        <v>11745</v>
      </c>
      <c r="I1483" s="20" t="s">
        <v>10410</v>
      </c>
    </row>
    <row r="1484" spans="1:9" ht="14.5">
      <c r="A1484" s="20" t="s">
        <v>11746</v>
      </c>
      <c r="B1484" s="20">
        <v>50</v>
      </c>
      <c r="C1484" s="20">
        <v>30</v>
      </c>
      <c r="D1484" s="20">
        <v>2</v>
      </c>
      <c r="E1484" s="20">
        <v>40</v>
      </c>
      <c r="F1484" s="20" t="s">
        <v>11747</v>
      </c>
      <c r="G1484" s="24" t="str">
        <f ca="1">IFERROR(__xludf.DUMMYFUNCTION("GOOGLETRANSLATE(F1484,""en"",""pt"")"),"sistemas de drenagem de águas pluviais de gravidade interna")</f>
        <v>sistemas de drenagem de águas pluviais de gravidade interna</v>
      </c>
      <c r="H1484" s="20" t="s">
        <v>11748</v>
      </c>
      <c r="I1484" s="20" t="s">
        <v>10410</v>
      </c>
    </row>
    <row r="1485" spans="1:9" ht="14.5">
      <c r="A1485" s="20" t="s">
        <v>11749</v>
      </c>
      <c r="B1485" s="20">
        <v>50</v>
      </c>
      <c r="C1485" s="20">
        <v>30</v>
      </c>
      <c r="D1485" s="20">
        <v>2</v>
      </c>
      <c r="E1485" s="20">
        <v>65</v>
      </c>
      <c r="F1485" s="20" t="s">
        <v>11750</v>
      </c>
      <c r="G1485" s="24" t="str">
        <f ca="1">IFERROR(__xludf.DUMMYFUNCTION("GOOGLETRANSLATE(F1485,""en"",""pt"")"),"sistemas de drenagem de águas pluviais passagem plena assistida por pressão")</f>
        <v>sistemas de drenagem de águas pluviais passagem plena assistida por pressão</v>
      </c>
      <c r="H1485" s="20" t="s">
        <v>11751</v>
      </c>
      <c r="I1485" s="20" t="s">
        <v>11752</v>
      </c>
    </row>
    <row r="1486" spans="1:9" ht="14.5">
      <c r="A1486" s="20" t="s">
        <v>11753</v>
      </c>
      <c r="B1486" s="20">
        <v>50</v>
      </c>
      <c r="C1486" s="20">
        <v>30</v>
      </c>
      <c r="D1486" s="20">
        <v>2</v>
      </c>
      <c r="E1486" s="20">
        <v>80</v>
      </c>
      <c r="F1486" s="20" t="s">
        <v>11754</v>
      </c>
      <c r="G1486" s="24" t="str">
        <f ca="1">IFERROR(__xludf.DUMMYFUNCTION("GOOGLETRANSLATE(F1486,""en"",""pt"")"),"sistemas de drenagem de águas pluviais passagem plena Siphonic")</f>
        <v>sistemas de drenagem de águas pluviais passagem plena Siphonic</v>
      </c>
      <c r="H1486" s="20" t="s">
        <v>11755</v>
      </c>
      <c r="I1486" s="20" t="s">
        <v>11752</v>
      </c>
    </row>
    <row r="1487" spans="1:9" ht="14.5">
      <c r="A1487" s="20" t="s">
        <v>11756</v>
      </c>
      <c r="B1487" s="20">
        <v>50</v>
      </c>
      <c r="C1487" s="20">
        <v>30</v>
      </c>
      <c r="D1487" s="20">
        <v>4</v>
      </c>
      <c r="E1487" s="24"/>
      <c r="F1487" s="20" t="s">
        <v>11757</v>
      </c>
      <c r="G1487" s="24" t="str">
        <f ca="1">IFERROR(__xludf.DUMMYFUNCTION("GOOGLETRANSLATE(F1487,""en"",""pt"")"),"sistemas de drenagem de águas residuais acima do solo")</f>
        <v>sistemas de drenagem de águas residuais acima do solo</v>
      </c>
      <c r="H1487" s="24"/>
      <c r="I1487" s="24"/>
    </row>
    <row r="1488" spans="1:9" ht="14.5">
      <c r="A1488" s="20" t="s">
        <v>11758</v>
      </c>
      <c r="B1488" s="20">
        <v>50</v>
      </c>
      <c r="C1488" s="20">
        <v>30</v>
      </c>
      <c r="D1488" s="20">
        <v>4</v>
      </c>
      <c r="E1488" s="20">
        <v>5</v>
      </c>
      <c r="F1488" s="20" t="s">
        <v>11759</v>
      </c>
      <c r="G1488" s="24" t="str">
        <f ca="1">IFERROR(__xludf.DUMMYFUNCTION("GOOGLETRANSLATE(F1488,""en"",""pt"")"),"sistemas de drenagem de águas residuais do porão")</f>
        <v>sistemas de drenagem de águas residuais do porão</v>
      </c>
      <c r="H1488" s="20" t="s">
        <v>11760</v>
      </c>
      <c r="I1488" s="20" t="s">
        <v>11761</v>
      </c>
    </row>
    <row r="1489" spans="1:9" ht="14.5">
      <c r="A1489" s="20" t="s">
        <v>11762</v>
      </c>
      <c r="B1489" s="20">
        <v>50</v>
      </c>
      <c r="C1489" s="20">
        <v>30</v>
      </c>
      <c r="D1489" s="20">
        <v>4</v>
      </c>
      <c r="E1489" s="20">
        <v>15</v>
      </c>
      <c r="F1489" s="20" t="s">
        <v>11763</v>
      </c>
      <c r="G1489" s="24" t="str">
        <f ca="1">IFERROR(__xludf.DUMMYFUNCTION("GOOGLETRANSLATE(F1489,""en"",""pt"")"),"sistemas de drenagem de águas residuais restauração comercial")</f>
        <v>sistemas de drenagem de águas residuais restauração comercial</v>
      </c>
      <c r="H1489" s="20" t="s">
        <v>11764</v>
      </c>
      <c r="I1489" s="20" t="s">
        <v>11761</v>
      </c>
    </row>
    <row r="1490" spans="1:9" ht="14.5">
      <c r="A1490" s="20" t="s">
        <v>11765</v>
      </c>
      <c r="B1490" s="20">
        <v>50</v>
      </c>
      <c r="C1490" s="20">
        <v>30</v>
      </c>
      <c r="D1490" s="20">
        <v>4</v>
      </c>
      <c r="E1490" s="20">
        <v>95</v>
      </c>
      <c r="F1490" s="20" t="s">
        <v>11766</v>
      </c>
      <c r="G1490" s="24" t="str">
        <f ca="1">IFERROR(__xludf.DUMMYFUNCTION("GOOGLETRANSLATE(F1490,""en"",""pt"")"),"sistemas de drenagem de águas residuais pilha externa acima do solo")</f>
        <v>sistemas de drenagem de águas residuais pilha externa acima do solo</v>
      </c>
      <c r="H1490" s="20" t="s">
        <v>11767</v>
      </c>
      <c r="I1490" s="20" t="s">
        <v>11761</v>
      </c>
    </row>
    <row r="1491" spans="1:9" ht="14.5">
      <c r="A1491" s="20" t="s">
        <v>11768</v>
      </c>
      <c r="B1491" s="20">
        <v>50</v>
      </c>
      <c r="C1491" s="20">
        <v>30</v>
      </c>
      <c r="D1491" s="20">
        <v>4</v>
      </c>
      <c r="E1491" s="20">
        <v>97</v>
      </c>
      <c r="F1491" s="20" t="s">
        <v>11769</v>
      </c>
      <c r="G1491" s="24" t="str">
        <f ca="1">IFERROR(__xludf.DUMMYFUNCTION("GOOGLETRANSLATE(F1491,""en"",""pt"")"),"sistemas de drenagem de águas residuais pilha interna acima do solo")</f>
        <v>sistemas de drenagem de águas residuais pilha interna acima do solo</v>
      </c>
      <c r="H1491" s="20" t="s">
        <v>11770</v>
      </c>
      <c r="I1491" s="20" t="s">
        <v>11761</v>
      </c>
    </row>
    <row r="1492" spans="1:9" ht="14.5">
      <c r="A1492" s="20" t="s">
        <v>11771</v>
      </c>
      <c r="B1492" s="20">
        <v>50</v>
      </c>
      <c r="C1492" s="20">
        <v>30</v>
      </c>
      <c r="D1492" s="20">
        <v>6</v>
      </c>
      <c r="E1492" s="24"/>
      <c r="F1492" s="20" t="s">
        <v>11772</v>
      </c>
      <c r="G1492" s="24" t="str">
        <f ca="1">IFERROR(__xludf.DUMMYFUNCTION("GOOGLETRANSLATE(F1492,""en"",""pt"")"),"Abaixo sistemas de inspeção de chão")</f>
        <v>Abaixo sistemas de inspeção de chão</v>
      </c>
      <c r="H1492" s="24"/>
      <c r="I1492" s="24"/>
    </row>
    <row r="1493" spans="1:9" ht="14.5">
      <c r="A1493" s="20" t="s">
        <v>11773</v>
      </c>
      <c r="B1493" s="20">
        <v>50</v>
      </c>
      <c r="C1493" s="20">
        <v>30</v>
      </c>
      <c r="D1493" s="20">
        <v>6</v>
      </c>
      <c r="E1493" s="20">
        <v>6</v>
      </c>
      <c r="F1493" s="20" t="s">
        <v>11774</v>
      </c>
      <c r="G1493" s="24" t="str">
        <f ca="1">IFERROR(__xludf.DUMMYFUNCTION("GOOGLETRANSLATE(F1493,""en"",""pt"")"),"sistemas de bueiro tijolo")</f>
        <v>sistemas de bueiro tijolo</v>
      </c>
      <c r="H1493" s="20" t="s">
        <v>11775</v>
      </c>
      <c r="I1493" s="20" t="s">
        <v>11776</v>
      </c>
    </row>
    <row r="1494" spans="1:9" ht="14.5">
      <c r="A1494" s="20" t="s">
        <v>11777</v>
      </c>
      <c r="B1494" s="20">
        <v>50</v>
      </c>
      <c r="C1494" s="20">
        <v>30</v>
      </c>
      <c r="D1494" s="20">
        <v>6</v>
      </c>
      <c r="E1494" s="20">
        <v>8</v>
      </c>
      <c r="F1494" s="20" t="s">
        <v>11778</v>
      </c>
      <c r="G1494" s="24" t="str">
        <f ca="1">IFERROR(__xludf.DUMMYFUNCTION("GOOGLETRANSLATE(F1494,""en"",""pt"")"),"sistemas de câmara de inspecção superficial do tijolo")</f>
        <v>sistemas de câmara de inspecção superficial do tijolo</v>
      </c>
      <c r="H1494" s="20" t="s">
        <v>11779</v>
      </c>
      <c r="I1494" s="20" t="s">
        <v>11776</v>
      </c>
    </row>
    <row r="1495" spans="1:9" ht="14.5">
      <c r="A1495" s="20" t="s">
        <v>11780</v>
      </c>
      <c r="B1495" s="20">
        <v>50</v>
      </c>
      <c r="C1495" s="20">
        <v>30</v>
      </c>
      <c r="D1495" s="20">
        <v>6</v>
      </c>
      <c r="E1495" s="20">
        <v>10</v>
      </c>
      <c r="F1495" s="20" t="s">
        <v>11781</v>
      </c>
      <c r="G1495" s="24" t="str">
        <f ca="1">IFERROR(__xludf.DUMMYFUNCTION("GOOGLETRANSLATE(F1495,""en"",""pt"")"),"sistemas de câmara de tijolos de lodo raso armadilha e de controlo de caudal")</f>
        <v>sistemas de câmara de tijolos de lodo raso armadilha e de controlo de caudal</v>
      </c>
      <c r="H1495" s="20" t="s">
        <v>11782</v>
      </c>
      <c r="I1495" s="20" t="s">
        <v>11776</v>
      </c>
    </row>
    <row r="1496" spans="1:9" ht="14.5">
      <c r="A1496" s="20" t="s">
        <v>11783</v>
      </c>
      <c r="B1496" s="20">
        <v>50</v>
      </c>
      <c r="C1496" s="20">
        <v>30</v>
      </c>
      <c r="D1496" s="20">
        <v>6</v>
      </c>
      <c r="E1496" s="20">
        <v>12</v>
      </c>
      <c r="F1496" s="20" t="s">
        <v>11784</v>
      </c>
      <c r="G1496" s="24" t="str">
        <f ca="1">IFERROR(__xludf.DUMMYFUNCTION("GOOGLETRANSLATE(F1496,""en"",""pt"")"),"sistemas de poços de inspeção profunda de concreto")</f>
        <v>sistemas de poços de inspeção profunda de concreto</v>
      </c>
      <c r="H1496" s="20" t="s">
        <v>11785</v>
      </c>
      <c r="I1496" s="20" t="s">
        <v>11776</v>
      </c>
    </row>
    <row r="1497" spans="1:9" ht="14.5">
      <c r="A1497" s="20" t="s">
        <v>11786</v>
      </c>
      <c r="B1497" s="20">
        <v>50</v>
      </c>
      <c r="C1497" s="20">
        <v>30</v>
      </c>
      <c r="D1497" s="20">
        <v>6</v>
      </c>
      <c r="E1497" s="20">
        <v>14</v>
      </c>
      <c r="F1497" s="20" t="s">
        <v>11787</v>
      </c>
      <c r="G1497" s="24" t="str">
        <f ca="1">IFERROR(__xludf.DUMMYFUNCTION("GOOGLETRANSLATE(F1497,""en"",""pt"")"),"sistemas de bueiros de concreto")</f>
        <v>sistemas de bueiros de concreto</v>
      </c>
      <c r="H1497" s="20" t="s">
        <v>11788</v>
      </c>
      <c r="I1497" s="20" t="s">
        <v>11776</v>
      </c>
    </row>
    <row r="1498" spans="1:9" ht="14.5">
      <c r="A1498" s="20" t="s">
        <v>11789</v>
      </c>
      <c r="B1498" s="20">
        <v>50</v>
      </c>
      <c r="C1498" s="20">
        <v>30</v>
      </c>
      <c r="D1498" s="20">
        <v>6</v>
      </c>
      <c r="E1498" s="20">
        <v>16</v>
      </c>
      <c r="F1498" s="20" t="s">
        <v>11790</v>
      </c>
      <c r="G1498" s="24" t="str">
        <f ca="1">IFERROR(__xludf.DUMMYFUNCTION("GOOGLETRANSLATE(F1498,""en"",""pt"")"),"sistemas de câmara de inspecção superficial em betão")</f>
        <v>sistemas de câmara de inspecção superficial em betão</v>
      </c>
      <c r="H1498" s="20" t="s">
        <v>11791</v>
      </c>
      <c r="I1498" s="20" t="s">
        <v>11776</v>
      </c>
    </row>
    <row r="1499" spans="1:9" ht="14.5">
      <c r="A1499" s="20" t="s">
        <v>11792</v>
      </c>
      <c r="B1499" s="20">
        <v>50</v>
      </c>
      <c r="C1499" s="20">
        <v>30</v>
      </c>
      <c r="D1499" s="20">
        <v>6</v>
      </c>
      <c r="E1499" s="20">
        <v>18</v>
      </c>
      <c r="F1499" s="20" t="s">
        <v>11793</v>
      </c>
      <c r="G1499" s="24" t="str">
        <f ca="1">IFERROR(__xludf.DUMMYFUNCTION("GOOGLETRANSLATE(F1499,""en"",""pt"")"),"sistemas de câmara de betão lodo armadilha e de controlo de caudal")</f>
        <v>sistemas de câmara de betão lodo armadilha e de controlo de caudal</v>
      </c>
      <c r="H1499" s="20" t="s">
        <v>11794</v>
      </c>
      <c r="I1499" s="20" t="s">
        <v>11776</v>
      </c>
    </row>
    <row r="1500" spans="1:9" ht="14.5">
      <c r="A1500" s="20" t="s">
        <v>11795</v>
      </c>
      <c r="B1500" s="20">
        <v>50</v>
      </c>
      <c r="C1500" s="20">
        <v>30</v>
      </c>
      <c r="D1500" s="20">
        <v>6</v>
      </c>
      <c r="E1500" s="20">
        <v>62</v>
      </c>
      <c r="F1500" s="20" t="s">
        <v>11796</v>
      </c>
      <c r="G1500" s="24" t="str">
        <f ca="1">IFERROR(__xludf.DUMMYFUNCTION("GOOGLETRANSLATE(F1500,""en"",""pt"")"),"sistemas de câmara de inspecção Plastics profundas não-entrada")</f>
        <v>sistemas de câmara de inspecção Plastics profundas não-entrada</v>
      </c>
      <c r="H1500" s="20" t="s">
        <v>11797</v>
      </c>
      <c r="I1500" s="20" t="s">
        <v>11776</v>
      </c>
    </row>
    <row r="1501" spans="1:9" ht="14.5">
      <c r="A1501" s="20" t="s">
        <v>11798</v>
      </c>
      <c r="B1501" s="20">
        <v>50</v>
      </c>
      <c r="C1501" s="20">
        <v>30</v>
      </c>
      <c r="D1501" s="20">
        <v>6</v>
      </c>
      <c r="E1501" s="20">
        <v>64</v>
      </c>
      <c r="F1501" s="20" t="s">
        <v>11799</v>
      </c>
      <c r="G1501" s="24" t="str">
        <f ca="1">IFERROR(__xludf.DUMMYFUNCTION("GOOGLETRANSLATE(F1501,""en"",""pt"")"),"distribuição plásticos e sistemas de câmara de amostragem")</f>
        <v>distribuição plásticos e sistemas de câmara de amostragem</v>
      </c>
      <c r="H1501" s="20" t="s">
        <v>11800</v>
      </c>
      <c r="I1501" s="20" t="s">
        <v>11776</v>
      </c>
    </row>
    <row r="1502" spans="1:9" ht="14.5">
      <c r="A1502" s="20" t="s">
        <v>11801</v>
      </c>
      <c r="B1502" s="20">
        <v>50</v>
      </c>
      <c r="C1502" s="20">
        <v>30</v>
      </c>
      <c r="D1502" s="20">
        <v>6</v>
      </c>
      <c r="E1502" s="20">
        <v>66</v>
      </c>
      <c r="F1502" s="20" t="s">
        <v>11802</v>
      </c>
      <c r="G1502" s="24" t="str">
        <f ca="1">IFERROR(__xludf.DUMMYFUNCTION("GOOGLETRANSLATE(F1502,""en"",""pt"")"),"sistemas de câmara de inspecção superficial Plastics")</f>
        <v>sistemas de câmara de inspecção superficial Plastics</v>
      </c>
      <c r="H1502" s="20" t="s">
        <v>11803</v>
      </c>
      <c r="I1502" s="20" t="s">
        <v>11776</v>
      </c>
    </row>
    <row r="1503" spans="1:9" ht="14.5">
      <c r="A1503" s="20" t="s">
        <v>11804</v>
      </c>
      <c r="B1503" s="20">
        <v>50</v>
      </c>
      <c r="C1503" s="20">
        <v>30</v>
      </c>
      <c r="D1503" s="20">
        <v>8</v>
      </c>
      <c r="E1503" s="24"/>
      <c r="F1503" s="20" t="s">
        <v>11805</v>
      </c>
      <c r="G1503" s="24" t="str">
        <f ca="1">IFERROR(__xludf.DUMMYFUNCTION("GOOGLETRANSLATE(F1503,""en"",""pt"")"),"Abaixo sistemas de drenagem por gravidade chão")</f>
        <v>Abaixo sistemas de drenagem por gravidade chão</v>
      </c>
      <c r="H1503" s="24"/>
      <c r="I1503" s="24"/>
    </row>
    <row r="1504" spans="1:9" ht="14.5">
      <c r="A1504" s="20" t="s">
        <v>11806</v>
      </c>
      <c r="B1504" s="20">
        <v>50</v>
      </c>
      <c r="C1504" s="20">
        <v>30</v>
      </c>
      <c r="D1504" s="20">
        <v>8</v>
      </c>
      <c r="E1504" s="20">
        <v>15</v>
      </c>
      <c r="F1504" s="20" t="s">
        <v>11807</v>
      </c>
      <c r="G1504" s="24" t="str">
        <f ca="1">IFERROR(__xludf.DUMMYFUNCTION("GOOGLETRANSLATE(F1504,""en"",""pt"")"),"sistemas de dutos de drenagem abaixo do solo combinados")</f>
        <v>sistemas de dutos de drenagem abaixo do solo combinados</v>
      </c>
      <c r="H1504" s="24"/>
      <c r="I1504" s="24"/>
    </row>
    <row r="1505" spans="1:9" ht="14.5">
      <c r="A1505" s="20" t="s">
        <v>11808</v>
      </c>
      <c r="B1505" s="20">
        <v>50</v>
      </c>
      <c r="C1505" s="20">
        <v>30</v>
      </c>
      <c r="D1505" s="20">
        <v>8</v>
      </c>
      <c r="E1505" s="20">
        <v>16</v>
      </c>
      <c r="F1505" s="20" t="s">
        <v>11809</v>
      </c>
      <c r="G1505" s="24" t="str">
        <f ca="1">IFERROR(__xludf.DUMMYFUNCTION("GOOGLETRANSLATE(F1505,""en"",""pt"")"),"sistemas de estouro de esgoto combinados")</f>
        <v>sistemas de estouro de esgoto combinados</v>
      </c>
      <c r="H1505" s="20" t="s">
        <v>11810</v>
      </c>
      <c r="I1505" s="24"/>
    </row>
    <row r="1506" spans="1:9" ht="14.5">
      <c r="A1506" s="20" t="s">
        <v>11811</v>
      </c>
      <c r="B1506" s="20">
        <v>50</v>
      </c>
      <c r="C1506" s="20">
        <v>30</v>
      </c>
      <c r="D1506" s="20">
        <v>8</v>
      </c>
      <c r="E1506" s="20">
        <v>30</v>
      </c>
      <c r="F1506" s="20" t="s">
        <v>11812</v>
      </c>
      <c r="G1506" s="24" t="str">
        <f ca="1">IFERROR(__xludf.DUMMYFUNCTION("GOOGLETRANSLATE(F1506,""en"",""pt"")"),"sistemas de dutos de drenagem abaixo do solo de águas residuais Foul")</f>
        <v>sistemas de dutos de drenagem abaixo do solo de águas residuais Foul</v>
      </c>
      <c r="H1506" s="20" t="s">
        <v>11813</v>
      </c>
      <c r="I1506" s="20" t="s">
        <v>11814</v>
      </c>
    </row>
    <row r="1507" spans="1:9" ht="14.5">
      <c r="A1507" s="20" t="s">
        <v>11815</v>
      </c>
      <c r="B1507" s="20">
        <v>50</v>
      </c>
      <c r="C1507" s="20">
        <v>30</v>
      </c>
      <c r="D1507" s="20">
        <v>8</v>
      </c>
      <c r="E1507" s="20">
        <v>85</v>
      </c>
      <c r="F1507" s="20" t="s">
        <v>11816</v>
      </c>
      <c r="G1507" s="24" t="str">
        <f ca="1">IFERROR(__xludf.DUMMYFUNCTION("GOOGLETRANSLATE(F1507,""en"",""pt"")"),"sistemas de dutos de drenagem abaixo do solo de água de superfície")</f>
        <v>sistemas de dutos de drenagem abaixo do solo de água de superfície</v>
      </c>
      <c r="H1507" s="20" t="s">
        <v>11817</v>
      </c>
      <c r="I1507" s="20" t="s">
        <v>11818</v>
      </c>
    </row>
    <row r="1508" spans="1:9" ht="14.5">
      <c r="A1508" s="20" t="s">
        <v>11819</v>
      </c>
      <c r="B1508" s="20">
        <v>50</v>
      </c>
      <c r="C1508" s="20">
        <v>30</v>
      </c>
      <c r="D1508" s="20">
        <v>10</v>
      </c>
      <c r="E1508" s="24"/>
      <c r="F1508" s="20" t="s">
        <v>11820</v>
      </c>
      <c r="G1508" s="24" t="str">
        <f ca="1">IFERROR(__xludf.DUMMYFUNCTION("GOOGLETRANSLATE(F1508,""en"",""pt"")"),"Abaixo sistemas de drenagem de solo bombeado")</f>
        <v>Abaixo sistemas de drenagem de solo bombeado</v>
      </c>
      <c r="H1508" s="24"/>
      <c r="I1508" s="24"/>
    </row>
    <row r="1509" spans="1:9" ht="14.5">
      <c r="A1509" s="20" t="s">
        <v>11821</v>
      </c>
      <c r="B1509" s="20">
        <v>50</v>
      </c>
      <c r="C1509" s="20">
        <v>30</v>
      </c>
      <c r="D1509" s="20">
        <v>10</v>
      </c>
      <c r="E1509" s="20">
        <v>6</v>
      </c>
      <c r="F1509" s="20" t="s">
        <v>11822</v>
      </c>
      <c r="G1509" s="24" t="str">
        <f ca="1">IFERROR(__xludf.DUMMYFUNCTION("GOOGLETRANSLATE(F1509,""en"",""pt"")"),"sistemas de drenagem abaixo do solo privadas embalados estação de bombeamento e oleodutos pressão")</f>
        <v>sistemas de drenagem abaixo do solo privadas embalados estação de bombeamento e oleodutos pressão</v>
      </c>
      <c r="H1509" s="20" t="s">
        <v>11823</v>
      </c>
      <c r="I1509" s="20" t="s">
        <v>11824</v>
      </c>
    </row>
    <row r="1510" spans="1:9" ht="14.5">
      <c r="A1510" s="20" t="s">
        <v>11825</v>
      </c>
      <c r="B1510" s="20">
        <v>50</v>
      </c>
      <c r="C1510" s="20">
        <v>30</v>
      </c>
      <c r="D1510" s="20">
        <v>45</v>
      </c>
      <c r="E1510" s="24"/>
      <c r="F1510" s="20" t="s">
        <v>11826</v>
      </c>
      <c r="G1510" s="24" t="str">
        <f ca="1">IFERROR(__xludf.DUMMYFUNCTION("GOOGLETRANSLATE(F1510,""en"",""pt"")"),"sistemas de drenagem de terras")</f>
        <v>sistemas de drenagem de terras</v>
      </c>
      <c r="H1510" s="24"/>
      <c r="I1510" s="24"/>
    </row>
    <row r="1511" spans="1:9" ht="14.5">
      <c r="A1511" s="20" t="s">
        <v>11827</v>
      </c>
      <c r="B1511" s="20">
        <v>50</v>
      </c>
      <c r="C1511" s="20">
        <v>30</v>
      </c>
      <c r="D1511" s="20">
        <v>45</v>
      </c>
      <c r="E1511" s="20">
        <v>8</v>
      </c>
      <c r="F1511" s="20" t="s">
        <v>11828</v>
      </c>
      <c r="G1511" s="24" t="str">
        <f ca="1">IFERROR(__xludf.DUMMYFUNCTION("GOOGLETRANSLATE(F1511,""en"",""pt"")"),"sistemas de drenagem de terras manta de drenagem")</f>
        <v>sistemas de drenagem de terras manta de drenagem</v>
      </c>
      <c r="H1511" s="20" t="s">
        <v>11829</v>
      </c>
      <c r="I1511" s="20" t="s">
        <v>11830</v>
      </c>
    </row>
    <row r="1512" spans="1:9" ht="14.5">
      <c r="A1512" s="20" t="s">
        <v>11831</v>
      </c>
      <c r="B1512" s="20">
        <v>50</v>
      </c>
      <c r="C1512" s="20">
        <v>30</v>
      </c>
      <c r="D1512" s="20">
        <v>45</v>
      </c>
      <c r="E1512" s="20">
        <v>20</v>
      </c>
      <c r="F1512" s="20" t="s">
        <v>11832</v>
      </c>
      <c r="G1512" s="24" t="str">
        <f ca="1">IFERROR(__xludf.DUMMYFUNCTION("GOOGLETRANSLATE(F1512,""en"",""pt"")"),"sistemas de drenagem de terras bueiros")</f>
        <v>sistemas de drenagem de terras bueiros</v>
      </c>
      <c r="H1512" s="20" t="s">
        <v>11833</v>
      </c>
      <c r="I1512" s="20" t="s">
        <v>11830</v>
      </c>
    </row>
    <row r="1513" spans="1:9" ht="14.5">
      <c r="A1513" s="20" t="s">
        <v>11834</v>
      </c>
      <c r="B1513" s="20">
        <v>50</v>
      </c>
      <c r="C1513" s="20">
        <v>30</v>
      </c>
      <c r="D1513" s="20">
        <v>45</v>
      </c>
      <c r="E1513" s="20">
        <v>30</v>
      </c>
      <c r="F1513" s="20" t="s">
        <v>11835</v>
      </c>
      <c r="G1513" s="24" t="str">
        <f ca="1">IFERROR(__xludf.DUMMYFUNCTION("GOOGLETRANSLATE(F1513,""en"",""pt"")"),"sistemas de drenagem de terras filtro de drenagem")</f>
        <v>sistemas de drenagem de terras filtro de drenagem</v>
      </c>
      <c r="H1513" s="20" t="s">
        <v>11836</v>
      </c>
      <c r="I1513" s="20" t="s">
        <v>11830</v>
      </c>
    </row>
    <row r="1514" spans="1:9" ht="14.5">
      <c r="A1514" s="20" t="s">
        <v>11837</v>
      </c>
      <c r="B1514" s="20">
        <v>50</v>
      </c>
      <c r="C1514" s="20">
        <v>30</v>
      </c>
      <c r="D1514" s="20">
        <v>45</v>
      </c>
      <c r="E1514" s="20">
        <v>32</v>
      </c>
      <c r="F1514" s="20" t="s">
        <v>11838</v>
      </c>
      <c r="G1514" s="24" t="str">
        <f ca="1">IFERROR(__xludf.DUMMYFUNCTION("GOOGLETRANSLATE(F1514,""en"",""pt"")"),"dreno Fin sistemas de tubulações de drenagem de terras")</f>
        <v>dreno Fin sistemas de tubulações de drenagem de terras</v>
      </c>
      <c r="H1514" s="20" t="s">
        <v>11839</v>
      </c>
      <c r="I1514" s="20" t="s">
        <v>11830</v>
      </c>
    </row>
    <row r="1515" spans="1:9" ht="14.5">
      <c r="A1515" s="20" t="s">
        <v>11840</v>
      </c>
      <c r="B1515" s="20">
        <v>50</v>
      </c>
      <c r="C1515" s="20">
        <v>30</v>
      </c>
      <c r="D1515" s="20">
        <v>45</v>
      </c>
      <c r="E1515" s="20">
        <v>53</v>
      </c>
      <c r="F1515" s="20" t="s">
        <v>11841</v>
      </c>
      <c r="G1515" s="24" t="str">
        <f ca="1">IFERROR(__xludf.DUMMYFUNCTION("GOOGLETRANSLATE(F1515,""en"",""pt"")"),"subsolagem sistemas de drenagem dreno Mole ou")</f>
        <v>subsolagem sistemas de drenagem dreno Mole ou</v>
      </c>
      <c r="H1515" s="20" t="s">
        <v>11842</v>
      </c>
      <c r="I1515" s="20" t="s">
        <v>11843</v>
      </c>
    </row>
    <row r="1516" spans="1:9" ht="14.5">
      <c r="A1516" s="20" t="s">
        <v>11844</v>
      </c>
      <c r="B1516" s="20">
        <v>50</v>
      </c>
      <c r="C1516" s="20">
        <v>30</v>
      </c>
      <c r="D1516" s="20">
        <v>45</v>
      </c>
      <c r="E1516" s="20">
        <v>55</v>
      </c>
      <c r="F1516" s="20" t="s">
        <v>11845</v>
      </c>
      <c r="G1516" s="24" t="str">
        <f ca="1">IFERROR(__xludf.DUMMYFUNCTION("GOOGLETRANSLATE(F1516,""en"",""pt"")"),"sistemas de drenagem de terras de drenagem fin fenda estreita")</f>
        <v>sistemas de drenagem de terras de drenagem fin fenda estreita</v>
      </c>
      <c r="H1516" s="24"/>
      <c r="I1516" s="24"/>
    </row>
    <row r="1517" spans="1:9" ht="14.5">
      <c r="A1517" s="20" t="s">
        <v>11846</v>
      </c>
      <c r="B1517" s="20">
        <v>50</v>
      </c>
      <c r="C1517" s="20">
        <v>30</v>
      </c>
      <c r="D1517" s="20">
        <v>45</v>
      </c>
      <c r="E1517" s="20">
        <v>75</v>
      </c>
      <c r="F1517" s="20" t="s">
        <v>11847</v>
      </c>
      <c r="G1517" s="24" t="str">
        <f ca="1">IFERROR(__xludf.DUMMYFUNCTION("GOOGLETRANSLATE(F1517,""en"",""pt"")"),"Cortar ou grooving sistemas de drenagem de terras")</f>
        <v>Cortar ou grooving sistemas de drenagem de terras</v>
      </c>
      <c r="H1517" s="20" t="s">
        <v>11848</v>
      </c>
      <c r="I1517" s="20" t="s">
        <v>11843</v>
      </c>
    </row>
    <row r="1518" spans="1:9" ht="14.5">
      <c r="A1518" s="20" t="s">
        <v>11849</v>
      </c>
      <c r="B1518" s="20">
        <v>50</v>
      </c>
      <c r="C1518" s="20">
        <v>30</v>
      </c>
      <c r="D1518" s="20">
        <v>45</v>
      </c>
      <c r="E1518" s="20">
        <v>85</v>
      </c>
      <c r="F1518" s="20" t="s">
        <v>11850</v>
      </c>
      <c r="G1518" s="24" t="str">
        <f ca="1">IFERROR(__xludf.DUMMYFUNCTION("GOOGLETRANSLATE(F1518,""en"",""pt"")"),"sistemas de drenagem de tubos de drenagem do subsolo")</f>
        <v>sistemas de drenagem de tubos de drenagem do subsolo</v>
      </c>
      <c r="H1518" s="24"/>
      <c r="I1518" s="24"/>
    </row>
    <row r="1519" spans="1:9" ht="14.5">
      <c r="A1519" s="20" t="s">
        <v>11851</v>
      </c>
      <c r="B1519" s="20">
        <v>50</v>
      </c>
      <c r="C1519" s="20">
        <v>30</v>
      </c>
      <c r="D1519" s="20">
        <v>45</v>
      </c>
      <c r="E1519" s="20">
        <v>90</v>
      </c>
      <c r="F1519" s="20" t="s">
        <v>11852</v>
      </c>
      <c r="G1519" s="24" t="str">
        <f ca="1">IFERROR(__xludf.DUMMYFUNCTION("GOOGLETRANSLATE(F1519,""en"",""pt"")"),"sistemas de drenagem de terras de drenagem vala")</f>
        <v>sistemas de drenagem de terras de drenagem vala</v>
      </c>
      <c r="H1519" s="20" t="s">
        <v>11853</v>
      </c>
      <c r="I1519" s="20" t="s">
        <v>11843</v>
      </c>
    </row>
    <row r="1520" spans="1:9" ht="14.5">
      <c r="A1520" s="20" t="s">
        <v>11854</v>
      </c>
      <c r="B1520" s="20">
        <v>50</v>
      </c>
      <c r="C1520" s="20">
        <v>35</v>
      </c>
      <c r="D1520" s="24"/>
      <c r="E1520" s="24"/>
      <c r="F1520" s="20" t="s">
        <v>11855</v>
      </c>
      <c r="G1520" s="24" t="str">
        <f ca="1">IFERROR(__xludf.DUMMYFUNCTION("GOOGLETRANSLATE(F1520,""en"",""pt"")"),"sistemas de recolha de superfície utilidade e de drenagem de águas residuais")</f>
        <v>sistemas de recolha de superfície utilidade e de drenagem de águas residuais</v>
      </c>
      <c r="H1520" s="24"/>
      <c r="I1520" s="24"/>
    </row>
    <row r="1521" spans="1:9" ht="14.5">
      <c r="A1521" s="20" t="s">
        <v>11856</v>
      </c>
      <c r="B1521" s="20">
        <v>50</v>
      </c>
      <c r="C1521" s="20">
        <v>35</v>
      </c>
      <c r="D1521" s="20">
        <v>65</v>
      </c>
      <c r="E1521" s="24"/>
      <c r="F1521" s="20" t="s">
        <v>11857</v>
      </c>
      <c r="G1521" s="24" t="str">
        <f ca="1">IFERROR(__xludf.DUMMYFUNCTION("GOOGLETRANSLATE(F1521,""en"",""pt"")"),"sistemas de drenagem de alívio de pressão")</f>
        <v>sistemas de drenagem de alívio de pressão</v>
      </c>
      <c r="H1521" s="24"/>
      <c r="I1521" s="24"/>
    </row>
    <row r="1522" spans="1:9" ht="14.5">
      <c r="A1522" s="20" t="s">
        <v>11858</v>
      </c>
      <c r="B1522" s="20">
        <v>50</v>
      </c>
      <c r="C1522" s="20">
        <v>35</v>
      </c>
      <c r="D1522" s="20">
        <v>65</v>
      </c>
      <c r="E1522" s="20">
        <v>8</v>
      </c>
      <c r="F1522" s="20" t="s">
        <v>11859</v>
      </c>
      <c r="G1522" s="24" t="str">
        <f ca="1">IFERROR(__xludf.DUMMYFUNCTION("GOOGLETRANSLATE(F1522,""en"",""pt"")"),"sistemas de alívio de pressão de drenagem cobertor")</f>
        <v>sistemas de alívio de pressão de drenagem cobertor</v>
      </c>
      <c r="H1522" s="20" t="s">
        <v>11860</v>
      </c>
      <c r="I1522" s="20" t="s">
        <v>11843</v>
      </c>
    </row>
    <row r="1523" spans="1:9" ht="14.5">
      <c r="A1523" s="20" t="s">
        <v>11861</v>
      </c>
      <c r="B1523" s="20">
        <v>50</v>
      </c>
      <c r="C1523" s="20">
        <v>35</v>
      </c>
      <c r="D1523" s="20">
        <v>65</v>
      </c>
      <c r="E1523" s="20">
        <v>30</v>
      </c>
      <c r="F1523" s="20" t="s">
        <v>11862</v>
      </c>
      <c r="G1523" s="24" t="str">
        <f ca="1">IFERROR(__xludf.DUMMYFUNCTION("GOOGLETRANSLATE(F1523,""en"",""pt"")"),"sistemas de alívio de pressão de drenagem do filtro")</f>
        <v>sistemas de alívio de pressão de drenagem do filtro</v>
      </c>
      <c r="H1523" s="20" t="s">
        <v>11863</v>
      </c>
      <c r="I1523" s="20" t="s">
        <v>11843</v>
      </c>
    </row>
    <row r="1524" spans="1:9" ht="14.5">
      <c r="A1524" s="20" t="s">
        <v>11864</v>
      </c>
      <c r="B1524" s="20">
        <v>50</v>
      </c>
      <c r="C1524" s="20">
        <v>35</v>
      </c>
      <c r="D1524" s="20">
        <v>65</v>
      </c>
      <c r="E1524" s="20">
        <v>35</v>
      </c>
      <c r="F1524" s="20" t="s">
        <v>11865</v>
      </c>
      <c r="G1524" s="24" t="str">
        <f ca="1">IFERROR(__xludf.DUMMYFUNCTION("GOOGLETRANSLATE(F1524,""en"",""pt"")"),"sistemas de alívio de pressão de drenagem barbatana folha geocomposto")</f>
        <v>sistemas de alívio de pressão de drenagem barbatana folha geocomposto</v>
      </c>
      <c r="H1524" s="20" t="s">
        <v>11866</v>
      </c>
      <c r="I1524" s="20" t="s">
        <v>11830</v>
      </c>
    </row>
    <row r="1525" spans="1:9" ht="14.5">
      <c r="A1525" s="20" t="s">
        <v>11867</v>
      </c>
      <c r="B1525" s="20">
        <v>50</v>
      </c>
      <c r="C1525" s="20">
        <v>35</v>
      </c>
      <c r="D1525" s="20">
        <v>80</v>
      </c>
      <c r="E1525" s="24"/>
      <c r="F1525" s="20" t="s">
        <v>11868</v>
      </c>
      <c r="G1525" s="24" t="str">
        <f ca="1">IFERROR(__xludf.DUMMYFUNCTION("GOOGLETRANSLATE(F1525,""en"",""pt"")"),"sistemas de drenagem por gravidade a água da chuva")</f>
        <v>sistemas de drenagem por gravidade a água da chuva</v>
      </c>
      <c r="H1525" s="24"/>
      <c r="I1525" s="24"/>
    </row>
    <row r="1526" spans="1:9" ht="14.5">
      <c r="A1526" s="20" t="s">
        <v>11869</v>
      </c>
      <c r="B1526" s="20">
        <v>50</v>
      </c>
      <c r="C1526" s="20">
        <v>35</v>
      </c>
      <c r="D1526" s="20">
        <v>80</v>
      </c>
      <c r="E1526" s="20">
        <v>10</v>
      </c>
      <c r="F1526" s="20" t="s">
        <v>11870</v>
      </c>
      <c r="G1526" s="24" t="str">
        <f ca="1">IFERROR(__xludf.DUMMYFUNCTION("GOOGLETRANSLATE(F1526,""en"",""pt"")"),"sistemas de transbordamento de águas pluviais de bifurcação")</f>
        <v>sistemas de transbordamento de águas pluviais de bifurcação</v>
      </c>
      <c r="H1526" s="24"/>
      <c r="I1526" s="24"/>
    </row>
    <row r="1527" spans="1:9" ht="14.5">
      <c r="A1527" s="20" t="s">
        <v>11871</v>
      </c>
      <c r="B1527" s="20">
        <v>50</v>
      </c>
      <c r="C1527" s="20">
        <v>35</v>
      </c>
      <c r="D1527" s="20">
        <v>80</v>
      </c>
      <c r="E1527" s="20">
        <v>72</v>
      </c>
      <c r="F1527" s="20" t="s">
        <v>11872</v>
      </c>
      <c r="G1527" s="24" t="str">
        <f ca="1">IFERROR(__xludf.DUMMYFUNCTION("GOOGLETRANSLATE(F1527,""en"",""pt"")"),"atenuação rígido ou tanque de armazenamento para sistemas de atenuação de águas pluviais de inundação")</f>
        <v>atenuação rígido ou tanque de armazenamento para sistemas de atenuação de águas pluviais de inundação</v>
      </c>
      <c r="H1527" s="20" t="s">
        <v>11873</v>
      </c>
      <c r="I1527" s="24"/>
    </row>
    <row r="1528" spans="1:9" ht="14.5">
      <c r="A1528" s="20" t="s">
        <v>11874</v>
      </c>
      <c r="B1528" s="20">
        <v>50</v>
      </c>
      <c r="C1528" s="20">
        <v>35</v>
      </c>
      <c r="D1528" s="20">
        <v>82</v>
      </c>
      <c r="E1528" s="24"/>
      <c r="F1528" s="20" t="s">
        <v>11875</v>
      </c>
      <c r="G1528" s="24" t="str">
        <f ca="1">IFERROR(__xludf.DUMMYFUNCTION("GOOGLETRANSLATE(F1528,""en"",""pt"")"),"sistemas de drenagem superficial e gravidade de águas residuais")</f>
        <v>sistemas de drenagem superficial e gravidade de águas residuais</v>
      </c>
      <c r="H1528" s="24"/>
      <c r="I1528" s="24"/>
    </row>
    <row r="1529" spans="1:9" ht="14.5">
      <c r="A1529" s="20" t="s">
        <v>11876</v>
      </c>
      <c r="B1529" s="20">
        <v>50</v>
      </c>
      <c r="C1529" s="20">
        <v>35</v>
      </c>
      <c r="D1529" s="20">
        <v>82</v>
      </c>
      <c r="E1529" s="20">
        <v>41</v>
      </c>
      <c r="F1529" s="20" t="s">
        <v>11877</v>
      </c>
      <c r="G1529" s="24" t="str">
        <f ca="1">IFERROR(__xludf.DUMMYFUNCTION("GOOGLETRANSLATE(F1529,""en"",""pt"")"),"sistemas de drenagem de entrada")</f>
        <v>sistemas de drenagem de entrada</v>
      </c>
      <c r="H1529" s="24"/>
      <c r="I1529" s="24"/>
    </row>
    <row r="1530" spans="1:9" ht="14.5">
      <c r="A1530" s="20" t="s">
        <v>11878</v>
      </c>
      <c r="B1530" s="20">
        <v>50</v>
      </c>
      <c r="C1530" s="20">
        <v>35</v>
      </c>
      <c r="D1530" s="20">
        <v>82</v>
      </c>
      <c r="E1530" s="20">
        <v>59</v>
      </c>
      <c r="F1530" s="20" t="s">
        <v>11879</v>
      </c>
      <c r="G1530" s="24" t="str">
        <f ca="1">IFERROR(__xludf.DUMMYFUNCTION("GOOGLETRANSLATE(F1530,""en"",""pt"")"),"sistemas de drenagem de saída")</f>
        <v>sistemas de drenagem de saída</v>
      </c>
      <c r="H1530" s="24"/>
      <c r="I1530" s="24"/>
    </row>
    <row r="1531" spans="1:9" ht="14.5">
      <c r="A1531" s="20" t="s">
        <v>11880</v>
      </c>
      <c r="B1531" s="20">
        <v>50</v>
      </c>
      <c r="C1531" s="20">
        <v>35</v>
      </c>
      <c r="D1531" s="20">
        <v>82</v>
      </c>
      <c r="E1531" s="20">
        <v>73</v>
      </c>
      <c r="F1531" s="20" t="s">
        <v>11881</v>
      </c>
      <c r="G1531" s="24" t="str">
        <f ca="1">IFERROR(__xludf.DUMMYFUNCTION("GOOGLETRANSLATE(F1531,""en"",""pt"")"),"sistemas de drenagem de estradas")</f>
        <v>sistemas de drenagem de estradas</v>
      </c>
      <c r="H1531" s="24"/>
      <c r="I1531" s="24"/>
    </row>
    <row r="1532" spans="1:9" ht="14.5">
      <c r="A1532" s="20" t="s">
        <v>11882</v>
      </c>
      <c r="B1532" s="20">
        <v>50</v>
      </c>
      <c r="C1532" s="20">
        <v>35</v>
      </c>
      <c r="D1532" s="20">
        <v>85</v>
      </c>
      <c r="E1532" s="24"/>
      <c r="F1532" s="20" t="s">
        <v>11883</v>
      </c>
      <c r="G1532" s="24" t="str">
        <f ca="1">IFERROR(__xludf.DUMMYFUNCTION("GOOGLETRANSLATE(F1532,""en"",""pt"")"),"sistemas de drenagem de água bombeada de superfície e de resíduos")</f>
        <v>sistemas de drenagem de água bombeada de superfície e de resíduos</v>
      </c>
      <c r="H1532" s="24"/>
      <c r="I1532" s="24"/>
    </row>
    <row r="1533" spans="1:9" ht="14.5">
      <c r="A1533" s="20" t="s">
        <v>11884</v>
      </c>
      <c r="B1533" s="20">
        <v>50</v>
      </c>
      <c r="C1533" s="20">
        <v>40</v>
      </c>
      <c r="D1533" s="24"/>
      <c r="E1533" s="24"/>
      <c r="F1533" s="20" t="s">
        <v>11885</v>
      </c>
      <c r="G1533" s="24" t="str">
        <f ca="1">IFERROR(__xludf.DUMMYFUNCTION("GOOGLETRANSLATE(F1533,""en"",""pt"")"),"sistemas de recolha de resíduos sólidos e de distribuição")</f>
        <v>sistemas de recolha de resíduos sólidos e de distribuição</v>
      </c>
      <c r="H1533" s="24"/>
      <c r="I1533" s="24"/>
    </row>
    <row r="1534" spans="1:9" ht="14.5">
      <c r="A1534" s="20" t="s">
        <v>11886</v>
      </c>
      <c r="B1534" s="20">
        <v>50</v>
      </c>
      <c r="C1534" s="20">
        <v>50</v>
      </c>
      <c r="D1534" s="24"/>
      <c r="E1534" s="24"/>
      <c r="F1534" s="20" t="s">
        <v>11887</v>
      </c>
      <c r="G1534" s="24" t="str">
        <f ca="1">IFERROR(__xludf.DUMMYFUNCTION("GOOGLETRANSLATE(F1534,""en"",""pt"")"),"armazenamento de resíduos de gás, sistemas de tratamento e eliminação")</f>
        <v>armazenamento de resíduos de gás, sistemas de tratamento e eliminação</v>
      </c>
      <c r="H1534" s="24"/>
      <c r="I1534" s="24"/>
    </row>
    <row r="1535" spans="1:9" ht="14.5">
      <c r="A1535" s="20" t="s">
        <v>11888</v>
      </c>
      <c r="B1535" s="20">
        <v>50</v>
      </c>
      <c r="C1535" s="20">
        <v>50</v>
      </c>
      <c r="D1535" s="20">
        <v>45</v>
      </c>
      <c r="E1535" s="24"/>
      <c r="F1535" s="20" t="s">
        <v>11889</v>
      </c>
      <c r="G1535" s="24" t="str">
        <f ca="1">IFERROR(__xludf.DUMMYFUNCTION("GOOGLETRANSLATE(F1535,""en"",""pt"")"),"sistemas de eliminação de gás de aterro")</f>
        <v>sistemas de eliminação de gás de aterro</v>
      </c>
      <c r="H1535" s="24"/>
      <c r="I1535" s="24"/>
    </row>
    <row r="1536" spans="1:9" ht="14.5">
      <c r="A1536" s="20" t="s">
        <v>11890</v>
      </c>
      <c r="B1536" s="20">
        <v>50</v>
      </c>
      <c r="C1536" s="20">
        <v>50</v>
      </c>
      <c r="D1536" s="20">
        <v>95</v>
      </c>
      <c r="E1536" s="24"/>
      <c r="F1536" s="20" t="s">
        <v>11891</v>
      </c>
      <c r="G1536" s="24" t="str">
        <f ca="1">IFERROR(__xludf.DUMMYFUNCTION("GOOGLETRANSLATE(F1536,""en"",""pt"")"),"Tratamento de resíduos de gás e sistemas de eliminação")</f>
        <v>Tratamento de resíduos de gás e sistemas de eliminação</v>
      </c>
      <c r="H1536" s="24"/>
      <c r="I1536" s="24"/>
    </row>
    <row r="1537" spans="1:9" ht="14.5">
      <c r="A1537" s="20" t="s">
        <v>11892</v>
      </c>
      <c r="B1537" s="20">
        <v>50</v>
      </c>
      <c r="C1537" s="20">
        <v>60</v>
      </c>
      <c r="D1537" s="24"/>
      <c r="E1537" s="24"/>
      <c r="F1537" s="20" t="s">
        <v>11893</v>
      </c>
      <c r="G1537" s="24" t="str">
        <f ca="1">IFERROR(__xludf.DUMMYFUNCTION("GOOGLETRANSLATE(F1537,""en"",""pt"")"),"Os sistemas de armazenamento de resíduos líquidos, tratamento e eliminação não-aquosas")</f>
        <v>Os sistemas de armazenamento de resíduos líquidos, tratamento e eliminação não-aquosas</v>
      </c>
      <c r="H1537" s="24"/>
      <c r="I1537" s="24"/>
    </row>
    <row r="1538" spans="1:9" ht="14.5">
      <c r="A1538" s="20" t="s">
        <v>11894</v>
      </c>
      <c r="B1538" s="20">
        <v>50</v>
      </c>
      <c r="C1538" s="20">
        <v>60</v>
      </c>
      <c r="D1538" s="20">
        <v>45</v>
      </c>
      <c r="E1538" s="24"/>
      <c r="F1538" s="20" t="s">
        <v>11895</v>
      </c>
      <c r="G1538" s="24" t="str">
        <f ca="1">IFERROR(__xludf.DUMMYFUNCTION("GOOGLETRANSLATE(F1538,""en"",""pt"")"),"sistemas de eliminação de líquido de aterro")</f>
        <v>sistemas de eliminação de líquido de aterro</v>
      </c>
      <c r="H1538" s="24"/>
      <c r="I1538" s="24"/>
    </row>
    <row r="1539" spans="1:9" ht="14.5">
      <c r="A1539" s="20" t="s">
        <v>11896</v>
      </c>
      <c r="B1539" s="20">
        <v>50</v>
      </c>
      <c r="C1539" s="20">
        <v>60</v>
      </c>
      <c r="D1539" s="20">
        <v>90</v>
      </c>
      <c r="E1539" s="24"/>
      <c r="F1539" s="20" t="s">
        <v>11897</v>
      </c>
      <c r="G1539" s="24" t="str">
        <f ca="1">IFERROR(__xludf.DUMMYFUNCTION("GOOGLETRANSLATE(F1539,""en"",""pt"")"),"Resíduos de sistemas de armazenamento de combustível e de tratamento de líquidos")</f>
        <v>Resíduos de sistemas de armazenamento de combustível e de tratamento de líquidos</v>
      </c>
      <c r="H1539" s="24"/>
      <c r="I1539" s="24"/>
    </row>
    <row r="1540" spans="1:9" ht="14.5">
      <c r="A1540" s="20" t="s">
        <v>11898</v>
      </c>
      <c r="B1540" s="20">
        <v>50</v>
      </c>
      <c r="C1540" s="20">
        <v>60</v>
      </c>
      <c r="D1540" s="20">
        <v>95</v>
      </c>
      <c r="E1540" s="24"/>
      <c r="F1540" s="20" t="s">
        <v>11899</v>
      </c>
      <c r="G1540" s="24" t="str">
        <f ca="1">IFERROR(__xludf.DUMMYFUNCTION("GOOGLETRANSLATE(F1540,""en"",""pt"")"),"processo de tratamento de resíduos sistemas de armazenamento de líquido e")</f>
        <v>processo de tratamento de resíduos sistemas de armazenamento de líquido e</v>
      </c>
      <c r="H1540" s="24"/>
      <c r="I1540" s="24"/>
    </row>
    <row r="1541" spans="1:9" ht="14.5">
      <c r="A1541" s="20" t="s">
        <v>11900</v>
      </c>
      <c r="B1541" s="20">
        <v>50</v>
      </c>
      <c r="C1541" s="20">
        <v>70</v>
      </c>
      <c r="D1541" s="24"/>
      <c r="E1541" s="24"/>
      <c r="F1541" s="20" t="s">
        <v>11901</v>
      </c>
      <c r="G1541" s="24" t="str">
        <f ca="1">IFERROR(__xludf.DUMMYFUNCTION("GOOGLETRANSLATE(F1541,""en"",""pt"")"),"sistemas de resíduos de água (drenagem) de armazenamento, tratamento e eliminação")</f>
        <v>sistemas de resíduos de água (drenagem) de armazenamento, tratamento e eliminação</v>
      </c>
      <c r="H1541" s="24"/>
      <c r="I1541" s="24"/>
    </row>
    <row r="1542" spans="1:9" ht="14.5">
      <c r="A1542" s="20" t="s">
        <v>11902</v>
      </c>
      <c r="B1542" s="20">
        <v>50</v>
      </c>
      <c r="C1542" s="20">
        <v>70</v>
      </c>
      <c r="D1542" s="20">
        <v>5</v>
      </c>
      <c r="E1542" s="24"/>
      <c r="F1542" s="20" t="s">
        <v>11903</v>
      </c>
      <c r="G1542" s="24" t="str">
        <f ca="1">IFERROR(__xludf.DUMMYFUNCTION("GOOGLETRANSLATE(F1542,""en"",""pt"")"),"Abaixo do solo sistemas de eliminação de drenagem privada")</f>
        <v>Abaixo do solo sistemas de eliminação de drenagem privada</v>
      </c>
      <c r="H1542" s="24"/>
      <c r="I1542" s="24"/>
    </row>
    <row r="1543" spans="1:9" ht="14.5">
      <c r="A1543" s="20" t="s">
        <v>11904</v>
      </c>
      <c r="B1543" s="20">
        <v>50</v>
      </c>
      <c r="C1543" s="20">
        <v>70</v>
      </c>
      <c r="D1543" s="20">
        <v>5</v>
      </c>
      <c r="E1543" s="20">
        <v>20</v>
      </c>
      <c r="F1543" s="20" t="s">
        <v>11905</v>
      </c>
      <c r="G1543" s="24" t="str">
        <f ca="1">IFERROR(__xludf.DUMMYFUNCTION("GOOGLETRANSLATE(F1543,""en"",""pt"")"),"sistemas campo de drenagem de águas residuais abaixo do solo")</f>
        <v>sistemas campo de drenagem de águas residuais abaixo do solo</v>
      </c>
      <c r="H1543" s="20" t="s">
        <v>11906</v>
      </c>
      <c r="I1543" s="20" t="s">
        <v>11907</v>
      </c>
    </row>
    <row r="1544" spans="1:9" ht="14.5">
      <c r="A1544" s="20" t="s">
        <v>11908</v>
      </c>
      <c r="B1544" s="20">
        <v>50</v>
      </c>
      <c r="C1544" s="20">
        <v>70</v>
      </c>
      <c r="D1544" s="20">
        <v>5</v>
      </c>
      <c r="E1544" s="20">
        <v>22</v>
      </c>
      <c r="F1544" s="20" t="s">
        <v>11909</v>
      </c>
      <c r="G1544" s="24" t="str">
        <f ca="1">IFERROR(__xludf.DUMMYFUNCTION("GOOGLETRANSLATE(F1544,""en"",""pt"")"),"Abaixo do solo sistemas de graxa armadilha de drenagem embalados")</f>
        <v>Abaixo do solo sistemas de graxa armadilha de drenagem embalados</v>
      </c>
      <c r="H1544" s="20" t="s">
        <v>11910</v>
      </c>
      <c r="I1544" s="20" t="s">
        <v>11907</v>
      </c>
    </row>
    <row r="1545" spans="1:9" ht="14.5">
      <c r="A1545" s="20" t="s">
        <v>11911</v>
      </c>
      <c r="B1545" s="20">
        <v>50</v>
      </c>
      <c r="C1545" s="20">
        <v>70</v>
      </c>
      <c r="D1545" s="20">
        <v>5</v>
      </c>
      <c r="E1545" s="20">
        <v>23</v>
      </c>
      <c r="F1545" s="20" t="s">
        <v>11912</v>
      </c>
      <c r="G1545" s="24" t="str">
        <f ca="1">IFERROR(__xludf.DUMMYFUNCTION("GOOGLETRANSLATE(F1545,""en"",""pt"")"),"sistemas de tanque séptico privada embalados drenagem abaixo do solo")</f>
        <v>sistemas de tanque séptico privada embalados drenagem abaixo do solo</v>
      </c>
      <c r="H1545" s="20" t="s">
        <v>11913</v>
      </c>
      <c r="I1545" s="20" t="s">
        <v>11824</v>
      </c>
    </row>
    <row r="1546" spans="1:9" ht="14.5">
      <c r="A1546" s="20" t="s">
        <v>11914</v>
      </c>
      <c r="B1546" s="20">
        <v>50</v>
      </c>
      <c r="C1546" s="20">
        <v>70</v>
      </c>
      <c r="D1546" s="20">
        <v>5</v>
      </c>
      <c r="E1546" s="20">
        <v>24</v>
      </c>
      <c r="F1546" s="20" t="s">
        <v>11915</v>
      </c>
      <c r="G1546" s="24" t="str">
        <f ca="1">IFERROR(__xludf.DUMMYFUNCTION("GOOGLETRANSLATE(F1546,""en"",""pt"")"),"sistemas de tratamento de esgoto privado embalados drenagem abaixo do solo")</f>
        <v>sistemas de tratamento de esgoto privado embalados drenagem abaixo do solo</v>
      </c>
      <c r="H1546" s="20" t="s">
        <v>11916</v>
      </c>
      <c r="I1546" s="20" t="s">
        <v>11824</v>
      </c>
    </row>
    <row r="1547" spans="1:9" ht="14.5">
      <c r="A1547" s="20" t="s">
        <v>11917</v>
      </c>
      <c r="B1547" s="20">
        <v>50</v>
      </c>
      <c r="C1547" s="20">
        <v>70</v>
      </c>
      <c r="D1547" s="20">
        <v>5</v>
      </c>
      <c r="E1547" s="20">
        <v>25</v>
      </c>
      <c r="F1547" s="20" t="s">
        <v>11918</v>
      </c>
      <c r="G1547" s="24" t="str">
        <f ca="1">IFERROR(__xludf.DUMMYFUNCTION("GOOGLETRANSLATE(F1547,""en"",""pt"")"),"sistemas de tanques de armazenagem privada embalados drenagem abaixo do solo")</f>
        <v>sistemas de tanques de armazenagem privada embalados drenagem abaixo do solo</v>
      </c>
      <c r="H1547" s="20" t="s">
        <v>11919</v>
      </c>
      <c r="I1547" s="20" t="s">
        <v>11824</v>
      </c>
    </row>
    <row r="1548" spans="1:9" ht="14.5">
      <c r="A1548" s="20" t="s">
        <v>11920</v>
      </c>
      <c r="B1548" s="20">
        <v>50</v>
      </c>
      <c r="C1548" s="20">
        <v>70</v>
      </c>
      <c r="D1548" s="20">
        <v>5</v>
      </c>
      <c r="E1548" s="20">
        <v>79</v>
      </c>
      <c r="F1548" s="20" t="s">
        <v>11921</v>
      </c>
      <c r="G1548" s="24" t="str">
        <f ca="1">IFERROR(__xludf.DUMMYFUNCTION("GOOGLETRANSLATE(F1548,""en"",""pt"")"),"sistemas de drenagem de concreto soakaway abaixo do solo")</f>
        <v>sistemas de drenagem de concreto soakaway abaixo do solo</v>
      </c>
      <c r="H1548" s="20" t="s">
        <v>11922</v>
      </c>
      <c r="I1548" s="20" t="s">
        <v>11907</v>
      </c>
    </row>
    <row r="1549" spans="1:9" ht="14.5">
      <c r="A1549" s="20" t="s">
        <v>11923</v>
      </c>
      <c r="B1549" s="20">
        <v>50</v>
      </c>
      <c r="C1549" s="20">
        <v>70</v>
      </c>
      <c r="D1549" s="20">
        <v>5</v>
      </c>
      <c r="E1549" s="20">
        <v>80</v>
      </c>
      <c r="F1549" s="20" t="s">
        <v>11924</v>
      </c>
      <c r="G1549" s="24" t="str">
        <f ca="1">IFERROR(__xludf.DUMMYFUNCTION("GOOGLETRANSLATE(F1549,""en"",""pt"")"),"sistemas de sumidouro de preenchimento granular de drenagem do solo abaixo")</f>
        <v>sistemas de sumidouro de preenchimento granular de drenagem do solo abaixo</v>
      </c>
      <c r="H1549" s="20" t="s">
        <v>11925</v>
      </c>
      <c r="I1549" s="20" t="s">
        <v>11907</v>
      </c>
    </row>
    <row r="1550" spans="1:9" ht="14.5">
      <c r="A1550" s="20" t="s">
        <v>11926</v>
      </c>
      <c r="B1550" s="20">
        <v>50</v>
      </c>
      <c r="C1550" s="20">
        <v>70</v>
      </c>
      <c r="D1550" s="20">
        <v>5</v>
      </c>
      <c r="E1550" s="20">
        <v>81</v>
      </c>
      <c r="F1550" s="20" t="s">
        <v>11927</v>
      </c>
      <c r="G1550" s="24" t="str">
        <f ca="1">IFERROR(__xludf.DUMMYFUNCTION("GOOGLETRANSLATE(F1550,""en"",""pt"")"),"sistemas de tanques de drenagem abaixo do solo plásticos modulares de atenuação ou de armazenamento")</f>
        <v>sistemas de tanques de drenagem abaixo do solo plásticos modulares de atenuação ou de armazenamento</v>
      </c>
      <c r="H1550" s="20" t="s">
        <v>11928</v>
      </c>
      <c r="I1550" s="20" t="s">
        <v>11907</v>
      </c>
    </row>
    <row r="1551" spans="1:9" ht="14.5">
      <c r="A1551" s="20" t="s">
        <v>11929</v>
      </c>
      <c r="B1551" s="20">
        <v>50</v>
      </c>
      <c r="C1551" s="20">
        <v>70</v>
      </c>
      <c r="D1551" s="20">
        <v>5</v>
      </c>
      <c r="E1551" s="20">
        <v>82</v>
      </c>
      <c r="F1551" s="20" t="s">
        <v>11930</v>
      </c>
      <c r="G1551" s="24" t="str">
        <f ca="1">IFERROR(__xludf.DUMMYFUNCTION("GOOGLETRANSLATE(F1551,""en"",""pt"")"),"sistemas de drenagem abaixo do solo plásticos modulares soakaway")</f>
        <v>sistemas de drenagem abaixo do solo plásticos modulares soakaway</v>
      </c>
      <c r="H1551" s="20" t="s">
        <v>11931</v>
      </c>
      <c r="I1551" s="20" t="s">
        <v>11907</v>
      </c>
    </row>
    <row r="1552" spans="1:9" ht="14.5">
      <c r="A1552" s="20" t="s">
        <v>11932</v>
      </c>
      <c r="B1552" s="20">
        <v>50</v>
      </c>
      <c r="C1552" s="20">
        <v>70</v>
      </c>
      <c r="D1552" s="20">
        <v>5</v>
      </c>
      <c r="E1552" s="20">
        <v>83</v>
      </c>
      <c r="F1552" s="20" t="s">
        <v>11933</v>
      </c>
      <c r="G1552" s="24" t="str">
        <f ca="1">IFERROR(__xludf.DUMMYFUNCTION("GOOGLETRANSLATE(F1552,""en"",""pt"")"),"sistemas interceptores abaixo do solo de drenagem embalados petróleo e da gasolina")</f>
        <v>sistemas interceptores abaixo do solo de drenagem embalados petróleo e da gasolina</v>
      </c>
      <c r="H1552" s="20" t="s">
        <v>11934</v>
      </c>
      <c r="I1552" s="20" t="s">
        <v>11824</v>
      </c>
    </row>
    <row r="1553" spans="1:9" ht="14.5">
      <c r="A1553" s="20" t="s">
        <v>11935</v>
      </c>
      <c r="B1553" s="20">
        <v>50</v>
      </c>
      <c r="C1553" s="20">
        <v>70</v>
      </c>
      <c r="D1553" s="20">
        <v>5</v>
      </c>
      <c r="E1553" s="20">
        <v>84</v>
      </c>
      <c r="F1553" s="20" t="s">
        <v>11936</v>
      </c>
      <c r="G1553" s="24" t="str">
        <f ca="1">IFERROR(__xludf.DUMMYFUNCTION("GOOGLETRANSLATE(F1553,""en"",""pt"")"),"sistemas de lodo armadilha de drenagem embalados abaixo do solo")</f>
        <v>sistemas de lodo armadilha de drenagem embalados abaixo do solo</v>
      </c>
      <c r="H1553" s="20" t="s">
        <v>11937</v>
      </c>
      <c r="I1553" s="20" t="s">
        <v>11907</v>
      </c>
    </row>
    <row r="1554" spans="1:9" ht="14.5">
      <c r="A1554" s="20" t="s">
        <v>11938</v>
      </c>
      <c r="B1554" s="20">
        <v>50</v>
      </c>
      <c r="C1554" s="20">
        <v>70</v>
      </c>
      <c r="D1554" s="20">
        <v>5</v>
      </c>
      <c r="E1554" s="20">
        <v>85</v>
      </c>
      <c r="F1554" s="20" t="s">
        <v>11939</v>
      </c>
      <c r="G1554" s="24" t="str">
        <f ca="1">IFERROR(__xludf.DUMMYFUNCTION("GOOGLETRANSLATE(F1554,""en"",""pt"")"),"sistemas de tanque de drenagem do solo abaixo de atenuação ou de armazenamento rígida")</f>
        <v>sistemas de tanque de drenagem do solo abaixo de atenuação ou de armazenamento rígida</v>
      </c>
      <c r="H1554" s="20" t="s">
        <v>11940</v>
      </c>
      <c r="I1554" s="20" t="s">
        <v>11907</v>
      </c>
    </row>
    <row r="1555" spans="1:9" ht="14.5">
      <c r="A1555" s="20" t="s">
        <v>11941</v>
      </c>
      <c r="B1555" s="20">
        <v>50</v>
      </c>
      <c r="C1555" s="20">
        <v>70</v>
      </c>
      <c r="D1555" s="20">
        <v>5</v>
      </c>
      <c r="E1555" s="20">
        <v>86</v>
      </c>
      <c r="F1555" s="20" t="s">
        <v>11942</v>
      </c>
      <c r="G1555" s="24" t="str">
        <f ca="1">IFERROR(__xludf.DUMMYFUNCTION("GOOGLETRANSLATE(F1555,""en"",""pt"")"),"sistemas bem molhada de drenagem do solo abaixo")</f>
        <v>sistemas bem molhada de drenagem do solo abaixo</v>
      </c>
      <c r="H1555" s="20" t="s">
        <v>11943</v>
      </c>
      <c r="I1555" s="20" t="s">
        <v>11907</v>
      </c>
    </row>
    <row r="1556" spans="1:9" ht="14.5">
      <c r="A1556" s="20" t="s">
        <v>11944</v>
      </c>
      <c r="B1556" s="20">
        <v>50</v>
      </c>
      <c r="C1556" s="20">
        <v>70</v>
      </c>
      <c r="D1556" s="20">
        <v>5</v>
      </c>
      <c r="E1556" s="20">
        <v>95</v>
      </c>
      <c r="F1556" s="20" t="s">
        <v>11945</v>
      </c>
      <c r="G1556" s="24" t="str">
        <f ca="1">IFERROR(__xludf.DUMMYFUNCTION("GOOGLETRANSLATE(F1556,""en"",""pt"")"),"sistemas de drenagem emissário abaixo do solo")</f>
        <v>sistemas de drenagem emissário abaixo do solo</v>
      </c>
      <c r="H1556" s="20" t="s">
        <v>11946</v>
      </c>
      <c r="I1556" s="20" t="s">
        <v>11907</v>
      </c>
    </row>
    <row r="1557" spans="1:9" ht="14.5">
      <c r="A1557" s="20" t="s">
        <v>11947</v>
      </c>
      <c r="B1557" s="20">
        <v>50</v>
      </c>
      <c r="C1557" s="20">
        <v>70</v>
      </c>
      <c r="D1557" s="20">
        <v>24</v>
      </c>
      <c r="E1557" s="24"/>
      <c r="F1557" s="20" t="s">
        <v>11948</v>
      </c>
      <c r="G1557" s="24" t="str">
        <f ca="1">IFERROR(__xludf.DUMMYFUNCTION("GOOGLETRANSLATE(F1557,""en"",""pt"")"),"sistemas de eliminação de drenagem")</f>
        <v>sistemas de eliminação de drenagem</v>
      </c>
      <c r="H1557" s="24"/>
      <c r="I1557" s="24"/>
    </row>
    <row r="1558" spans="1:9" ht="14.5">
      <c r="A1558" s="20" t="s">
        <v>11949</v>
      </c>
      <c r="B1558" s="20">
        <v>50</v>
      </c>
      <c r="C1558" s="20">
        <v>70</v>
      </c>
      <c r="D1558" s="20">
        <v>24</v>
      </c>
      <c r="E1558" s="20">
        <v>80</v>
      </c>
      <c r="F1558" s="20" t="s">
        <v>11950</v>
      </c>
      <c r="G1558" s="24" t="str">
        <f ca="1">IFERROR(__xludf.DUMMYFUNCTION("GOOGLETRANSLATE(F1558,""en"",""pt"")"),"sistemas de poço sumidouro")</f>
        <v>sistemas de poço sumidouro</v>
      </c>
      <c r="H1558" s="24"/>
      <c r="I1558" s="24"/>
    </row>
    <row r="1559" spans="1:9" ht="14.5">
      <c r="A1559" s="20" t="s">
        <v>11951</v>
      </c>
      <c r="B1559" s="20">
        <v>50</v>
      </c>
      <c r="C1559" s="20">
        <v>70</v>
      </c>
      <c r="D1559" s="20">
        <v>60</v>
      </c>
      <c r="E1559" s="24"/>
      <c r="F1559" s="20" t="s">
        <v>11952</v>
      </c>
      <c r="G1559" s="24" t="str">
        <f ca="1">IFERROR(__xludf.DUMMYFUNCTION("GOOGLETRANSLATE(F1559,""en"",""pt"")"),"sistemas de tratamento de drenagem privada")</f>
        <v>sistemas de tratamento de drenagem privada</v>
      </c>
      <c r="H1559" s="24"/>
      <c r="I1559" s="24"/>
    </row>
    <row r="1560" spans="1:9" ht="14.5">
      <c r="A1560" s="20" t="s">
        <v>11953</v>
      </c>
      <c r="B1560" s="20">
        <v>50</v>
      </c>
      <c r="C1560" s="20">
        <v>70</v>
      </c>
      <c r="D1560" s="20">
        <v>60</v>
      </c>
      <c r="E1560" s="20">
        <v>70</v>
      </c>
      <c r="F1560" s="20" t="s">
        <v>11954</v>
      </c>
      <c r="G1560" s="24" t="str">
        <f ca="1">IFERROR(__xludf.DUMMYFUNCTION("GOOGLETRANSLATE(F1560,""en"",""pt"")"),"sistemas de tratamento de águas residuais radioactivos")</f>
        <v>sistemas de tratamento de águas residuais radioactivos</v>
      </c>
      <c r="H1560" s="24"/>
      <c r="I1560" s="24"/>
    </row>
    <row r="1561" spans="1:9" ht="14.5">
      <c r="A1561" s="20" t="s">
        <v>11955</v>
      </c>
      <c r="B1561" s="20">
        <v>50</v>
      </c>
      <c r="C1561" s="20">
        <v>70</v>
      </c>
      <c r="D1561" s="20">
        <v>83</v>
      </c>
      <c r="E1561" s="24"/>
      <c r="F1561" s="20" t="s">
        <v>11956</v>
      </c>
      <c r="G1561" s="24" t="str">
        <f ca="1">IFERROR(__xludf.DUMMYFUNCTION("GOOGLETRANSLATE(F1561,""en"",""pt"")"),"sistemas de tanques de água de superfície")</f>
        <v>sistemas de tanques de água de superfície</v>
      </c>
      <c r="H1561" s="24"/>
      <c r="I1561" s="24"/>
    </row>
    <row r="1562" spans="1:9" ht="14.5">
      <c r="A1562" s="20" t="s">
        <v>11957</v>
      </c>
      <c r="B1562" s="20">
        <v>50</v>
      </c>
      <c r="C1562" s="20">
        <v>70</v>
      </c>
      <c r="D1562" s="20">
        <v>85</v>
      </c>
      <c r="E1562" s="24"/>
      <c r="F1562" s="20" t="s">
        <v>11958</v>
      </c>
      <c r="G1562" s="24" t="str">
        <f ca="1">IFERROR(__xludf.DUMMYFUNCTION("GOOGLETRANSLATE(F1562,""en"",""pt"")"),"sistemas de drenagem sustentáveis ​​(SUDS)")</f>
        <v>sistemas de drenagem sustentáveis ​​(SUDS)</v>
      </c>
      <c r="H1562" s="24"/>
      <c r="I1562" s="24"/>
    </row>
    <row r="1563" spans="1:9" ht="14.5">
      <c r="A1563" s="20" t="s">
        <v>11959</v>
      </c>
      <c r="B1563" s="20">
        <v>50</v>
      </c>
      <c r="C1563" s="20">
        <v>70</v>
      </c>
      <c r="D1563" s="20">
        <v>85</v>
      </c>
      <c r="E1563" s="20">
        <v>0</v>
      </c>
      <c r="F1563" s="20" t="s">
        <v>11960</v>
      </c>
      <c r="G1563" s="24" t="str">
        <f ca="1">IFERROR(__xludf.DUMMYFUNCTION("GOOGLETRANSLATE(F1563,""en"",""pt"")"),"sistemas de trem de gestão Suds")</f>
        <v>sistemas de trem de gestão Suds</v>
      </c>
      <c r="H1563" s="24"/>
      <c r="I1563" s="24"/>
    </row>
    <row r="1564" spans="1:9" ht="14.5">
      <c r="A1564" s="20" t="s">
        <v>11961</v>
      </c>
      <c r="B1564" s="20">
        <v>50</v>
      </c>
      <c r="C1564" s="20">
        <v>70</v>
      </c>
      <c r="D1564" s="20">
        <v>85</v>
      </c>
      <c r="E1564" s="20">
        <v>6</v>
      </c>
      <c r="F1564" s="20" t="s">
        <v>11962</v>
      </c>
      <c r="G1564" s="24" t="str">
        <f ca="1">IFERROR(__xludf.DUMMYFUNCTION("GOOGLETRANSLATE(F1564,""en"",""pt"")"),"Abaixo sistemas de tanque de armazenagem de água da superfície do solo")</f>
        <v>Abaixo sistemas de tanque de armazenagem de água da superfície do solo</v>
      </c>
      <c r="H1564" s="20" t="s">
        <v>11963</v>
      </c>
      <c r="I1564" s="20" t="s">
        <v>11824</v>
      </c>
    </row>
    <row r="1565" spans="1:9" ht="14.5">
      <c r="A1565" s="20" t="s">
        <v>11964</v>
      </c>
      <c r="B1565" s="20">
        <v>50</v>
      </c>
      <c r="C1565" s="20">
        <v>70</v>
      </c>
      <c r="D1565" s="20">
        <v>85</v>
      </c>
      <c r="E1565" s="20">
        <v>8</v>
      </c>
      <c r="F1565" s="20" t="s">
        <v>11965</v>
      </c>
      <c r="G1565" s="24" t="str">
        <f ca="1">IFERROR(__xludf.DUMMYFUNCTION("GOOGLETRANSLATE(F1565,""en"",""pt"")"),"sistemas de áreas Bioretention")</f>
        <v>sistemas de áreas Bioretention</v>
      </c>
      <c r="H1565" s="20" t="s">
        <v>11966</v>
      </c>
      <c r="I1565" s="20" t="s">
        <v>11967</v>
      </c>
    </row>
    <row r="1566" spans="1:9" ht="14.5">
      <c r="A1566" s="20" t="s">
        <v>11968</v>
      </c>
      <c r="B1566" s="20">
        <v>50</v>
      </c>
      <c r="C1566" s="20">
        <v>70</v>
      </c>
      <c r="D1566" s="20">
        <v>85</v>
      </c>
      <c r="E1566" s="20">
        <v>15</v>
      </c>
      <c r="F1566" s="20" t="s">
        <v>11969</v>
      </c>
      <c r="G1566" s="24" t="str">
        <f ca="1">IFERROR(__xludf.DUMMYFUNCTION("GOOGLETRANSLATE(F1566,""en"",""pt"")"),"sistemas de transporte Swale")</f>
        <v>sistemas de transporte Swale</v>
      </c>
      <c r="H1566" s="20" t="s">
        <v>11970</v>
      </c>
      <c r="I1566" s="20" t="s">
        <v>11824</v>
      </c>
    </row>
    <row r="1567" spans="1:9" ht="14.5">
      <c r="A1567" s="20" t="s">
        <v>11971</v>
      </c>
      <c r="B1567" s="20">
        <v>50</v>
      </c>
      <c r="C1567" s="20">
        <v>70</v>
      </c>
      <c r="D1567" s="20">
        <v>85</v>
      </c>
      <c r="E1567" s="20">
        <v>21</v>
      </c>
      <c r="F1567" s="20" t="s">
        <v>11972</v>
      </c>
      <c r="G1567" s="24" t="str">
        <f ca="1">IFERROR(__xludf.DUMMYFUNCTION("GOOGLETRANSLATE(F1567,""en"",""pt"")"),"sistemas de bacias de detenção")</f>
        <v>sistemas de bacias de detenção</v>
      </c>
      <c r="H1567" s="20" t="s">
        <v>11973</v>
      </c>
      <c r="I1567" s="20" t="s">
        <v>11824</v>
      </c>
    </row>
    <row r="1568" spans="1:9" ht="14.5">
      <c r="A1568" s="20" t="s">
        <v>11974</v>
      </c>
      <c r="B1568" s="20">
        <v>50</v>
      </c>
      <c r="C1568" s="20">
        <v>70</v>
      </c>
      <c r="D1568" s="20">
        <v>85</v>
      </c>
      <c r="E1568" s="20">
        <v>24</v>
      </c>
      <c r="F1568" s="20" t="s">
        <v>11975</v>
      </c>
      <c r="G1568" s="24" t="str">
        <f ca="1">IFERROR(__xludf.DUMMYFUNCTION("GOOGLETRANSLATE(F1568,""en"",""pt"")"),"sistemas de Swale secos")</f>
        <v>sistemas de Swale secos</v>
      </c>
      <c r="H1568" s="24"/>
      <c r="I1568" s="24"/>
    </row>
    <row r="1569" spans="1:9" ht="14.5">
      <c r="A1569" s="20" t="s">
        <v>11976</v>
      </c>
      <c r="B1569" s="20">
        <v>50</v>
      </c>
      <c r="C1569" s="20">
        <v>70</v>
      </c>
      <c r="D1569" s="20">
        <v>85</v>
      </c>
      <c r="E1569" s="20">
        <v>30</v>
      </c>
      <c r="F1569" s="20" t="s">
        <v>11977</v>
      </c>
      <c r="G1569" s="24" t="str">
        <f ca="1">IFERROR(__xludf.DUMMYFUNCTION("GOOGLETRANSLATE(F1569,""en"",""pt"")"),"sistemas de filtro de tiras")</f>
        <v>sistemas de filtro de tiras</v>
      </c>
      <c r="H1569" s="20" t="s">
        <v>11978</v>
      </c>
      <c r="I1569" s="20" t="s">
        <v>11824</v>
      </c>
    </row>
    <row r="1570" spans="1:9" ht="14.5">
      <c r="A1570" s="20" t="s">
        <v>11979</v>
      </c>
      <c r="B1570" s="20">
        <v>50</v>
      </c>
      <c r="C1570" s="20">
        <v>70</v>
      </c>
      <c r="D1570" s="20">
        <v>85</v>
      </c>
      <c r="E1570" s="20">
        <v>31</v>
      </c>
      <c r="F1570" s="20" t="s">
        <v>11980</v>
      </c>
      <c r="G1570" s="24" t="str">
        <f ca="1">IFERROR(__xludf.DUMMYFUNCTION("GOOGLETRANSLATE(F1570,""en"",""pt"")"),"sistemas de filtro de drenagem")</f>
        <v>sistemas de filtro de drenagem</v>
      </c>
      <c r="H1570" s="20" t="s">
        <v>11981</v>
      </c>
      <c r="I1570" s="20" t="s">
        <v>11824</v>
      </c>
    </row>
    <row r="1571" spans="1:9" ht="14.5">
      <c r="A1571" s="20" t="s">
        <v>11982</v>
      </c>
      <c r="B1571" s="20">
        <v>50</v>
      </c>
      <c r="C1571" s="20">
        <v>70</v>
      </c>
      <c r="D1571" s="20">
        <v>85</v>
      </c>
      <c r="E1571" s="20">
        <v>32</v>
      </c>
      <c r="F1571" s="20" t="s">
        <v>11983</v>
      </c>
      <c r="G1571" s="24" t="str">
        <f ca="1">IFERROR(__xludf.DUMMYFUNCTION("GOOGLETRANSLATE(F1571,""en"",""pt"")"),"tratamento filtração e sistemas de separação")</f>
        <v>tratamento filtração e sistemas de separação</v>
      </c>
      <c r="H1571" s="20" t="s">
        <v>11984</v>
      </c>
      <c r="I1571" s="24"/>
    </row>
    <row r="1572" spans="1:9" ht="14.5">
      <c r="A1572" s="20" t="s">
        <v>11985</v>
      </c>
      <c r="B1572" s="20">
        <v>50</v>
      </c>
      <c r="C1572" s="20">
        <v>70</v>
      </c>
      <c r="D1572" s="20">
        <v>85</v>
      </c>
      <c r="E1572" s="20">
        <v>33</v>
      </c>
      <c r="F1572" s="20" t="s">
        <v>11986</v>
      </c>
      <c r="G1572" s="24" t="str">
        <f ca="1">IFERROR(__xludf.DUMMYFUNCTION("GOOGLETRANSLATE(F1572,""en"",""pt"")"),"sistemas de tanque de atenuação Geocellular")</f>
        <v>sistemas de tanque de atenuação Geocellular</v>
      </c>
      <c r="H1572" s="24"/>
      <c r="I1572" s="24"/>
    </row>
    <row r="1573" spans="1:9" ht="14.5">
      <c r="A1573" s="20" t="s">
        <v>11987</v>
      </c>
      <c r="B1573" s="20">
        <v>50</v>
      </c>
      <c r="C1573" s="20">
        <v>70</v>
      </c>
      <c r="D1573" s="20">
        <v>85</v>
      </c>
      <c r="E1573" s="20">
        <v>34</v>
      </c>
      <c r="F1573" s="20" t="s">
        <v>11988</v>
      </c>
      <c r="G1573" s="24" t="str">
        <f ca="1">IFERROR(__xludf.DUMMYFUNCTION("GOOGLETRANSLATE(F1573,""en"",""pt"")"),"sistemas soakaway Geocellular")</f>
        <v>sistemas soakaway Geocellular</v>
      </c>
      <c r="H1573" s="20" t="s">
        <v>11989</v>
      </c>
      <c r="I1573" s="20" t="s">
        <v>11824</v>
      </c>
    </row>
    <row r="1574" spans="1:9" ht="14.5">
      <c r="A1574" s="20" t="s">
        <v>11990</v>
      </c>
      <c r="B1574" s="20">
        <v>50</v>
      </c>
      <c r="C1574" s="20">
        <v>70</v>
      </c>
      <c r="D1574" s="20">
        <v>85</v>
      </c>
      <c r="E1574" s="20">
        <v>35</v>
      </c>
      <c r="F1574" s="20" t="s">
        <v>11991</v>
      </c>
      <c r="G1574" s="24" t="str">
        <f ca="1">IFERROR(__xludf.DUMMYFUNCTION("GOOGLETRANSLATE(F1574,""en"",""pt"")"),"sistemas de preenchimento granular soakaway")</f>
        <v>sistemas de preenchimento granular soakaway</v>
      </c>
      <c r="H1574" s="20" t="s">
        <v>11992</v>
      </c>
      <c r="I1574" s="20" t="s">
        <v>11824</v>
      </c>
    </row>
    <row r="1575" spans="1:9" ht="14.5">
      <c r="A1575" s="20" t="s">
        <v>11993</v>
      </c>
      <c r="B1575" s="20">
        <v>50</v>
      </c>
      <c r="C1575" s="20">
        <v>70</v>
      </c>
      <c r="D1575" s="20">
        <v>85</v>
      </c>
      <c r="E1575" s="20">
        <v>41</v>
      </c>
      <c r="F1575" s="20" t="s">
        <v>11994</v>
      </c>
      <c r="G1575" s="24" t="str">
        <f ca="1">IFERROR(__xludf.DUMMYFUNCTION("GOOGLETRANSLATE(F1575,""en"",""pt"")"),"sistemas de bacias de infiltração")</f>
        <v>sistemas de bacias de infiltração</v>
      </c>
      <c r="H1575" s="20" t="s">
        <v>11995</v>
      </c>
      <c r="I1575" s="20" t="s">
        <v>11824</v>
      </c>
    </row>
    <row r="1576" spans="1:9" ht="14.5">
      <c r="A1576" s="20" t="s">
        <v>11996</v>
      </c>
      <c r="B1576" s="20">
        <v>50</v>
      </c>
      <c r="C1576" s="20">
        <v>70</v>
      </c>
      <c r="D1576" s="20">
        <v>85</v>
      </c>
      <c r="E1576" s="20">
        <v>42</v>
      </c>
      <c r="F1576" s="20" t="s">
        <v>11997</v>
      </c>
      <c r="G1576" s="24" t="str">
        <f ca="1">IFERROR(__xludf.DUMMYFUNCTION("GOOGLETRANSLATE(F1576,""en"",""pt"")"),"sistemas trincheira de infiltração")</f>
        <v>sistemas trincheira de infiltração</v>
      </c>
      <c r="H1576" s="24"/>
      <c r="I1576" s="24"/>
    </row>
    <row r="1577" spans="1:9" ht="14.5">
      <c r="A1577" s="20" t="s">
        <v>11998</v>
      </c>
      <c r="B1577" s="20">
        <v>50</v>
      </c>
      <c r="C1577" s="20">
        <v>70</v>
      </c>
      <c r="D1577" s="20">
        <v>85</v>
      </c>
      <c r="E1577" s="20">
        <v>58</v>
      </c>
      <c r="F1577" s="20" t="s">
        <v>11999</v>
      </c>
      <c r="G1577" s="24" t="str">
        <f ca="1">IFERROR(__xludf.DUMMYFUNCTION("GOOGLETRANSLATE(F1577,""en"",""pt"")"),"sistemas de transporte de canal aberto")</f>
        <v>sistemas de transporte de canal aberto</v>
      </c>
      <c r="H1577" s="20" t="s">
        <v>12000</v>
      </c>
      <c r="I1577" s="20" t="s">
        <v>11824</v>
      </c>
    </row>
    <row r="1578" spans="1:9" ht="14.5">
      <c r="A1578" s="20" t="s">
        <v>12001</v>
      </c>
      <c r="B1578" s="20">
        <v>50</v>
      </c>
      <c r="C1578" s="20">
        <v>70</v>
      </c>
      <c r="D1578" s="20">
        <v>85</v>
      </c>
      <c r="E1578" s="20">
        <v>61</v>
      </c>
      <c r="F1578" s="20" t="s">
        <v>12002</v>
      </c>
      <c r="G1578" s="24" t="str">
        <f ca="1">IFERROR(__xludf.DUMMYFUNCTION("GOOGLETRANSLATE(F1578,""en"",""pt"")"),"sistemas de solo permeável")</f>
        <v>sistemas de solo permeável</v>
      </c>
      <c r="H1578" s="20" t="s">
        <v>12003</v>
      </c>
      <c r="I1578" s="20" t="s">
        <v>5689</v>
      </c>
    </row>
    <row r="1579" spans="1:9" ht="14.5">
      <c r="A1579" s="20" t="s">
        <v>12004</v>
      </c>
      <c r="B1579" s="20">
        <v>50</v>
      </c>
      <c r="C1579" s="20">
        <v>70</v>
      </c>
      <c r="D1579" s="20">
        <v>85</v>
      </c>
      <c r="E1579" s="20">
        <v>64</v>
      </c>
      <c r="F1579" s="20" t="s">
        <v>12005</v>
      </c>
      <c r="G1579" s="24" t="str">
        <f ca="1">IFERROR(__xludf.DUMMYFUNCTION("GOOGLETRANSLATE(F1579,""en"",""pt"")"),"sistemas de lagoas")</f>
        <v>sistemas de lagoas</v>
      </c>
      <c r="H1579" s="20" t="s">
        <v>12006</v>
      </c>
      <c r="I1579" s="20" t="s">
        <v>11824</v>
      </c>
    </row>
    <row r="1580" spans="1:9" ht="14.5">
      <c r="A1580" s="20" t="s">
        <v>12007</v>
      </c>
      <c r="B1580" s="20">
        <v>50</v>
      </c>
      <c r="C1580" s="20">
        <v>70</v>
      </c>
      <c r="D1580" s="20">
        <v>85</v>
      </c>
      <c r="E1580" s="20">
        <v>66</v>
      </c>
      <c r="F1580" s="20" t="s">
        <v>12008</v>
      </c>
      <c r="G1580" s="24" t="str">
        <f ca="1">IFERROR(__xludf.DUMMYFUNCTION("GOOGLETRANSLATE(F1580,""en"",""pt"")"),"sistemas de concreto pré-moldado soakaway")</f>
        <v>sistemas de concreto pré-moldado soakaway</v>
      </c>
      <c r="H1580" s="20" t="s">
        <v>12009</v>
      </c>
      <c r="I1580" s="20" t="s">
        <v>11824</v>
      </c>
    </row>
    <row r="1581" spans="1:9" ht="14.5">
      <c r="A1581" s="20" t="s">
        <v>12010</v>
      </c>
      <c r="B1581" s="20">
        <v>50</v>
      </c>
      <c r="C1581" s="20">
        <v>70</v>
      </c>
      <c r="D1581" s="20">
        <v>85</v>
      </c>
      <c r="E1581" s="20">
        <v>70</v>
      </c>
      <c r="F1581" s="20" t="s">
        <v>12011</v>
      </c>
      <c r="G1581" s="24" t="str">
        <f ca="1">IFERROR(__xludf.DUMMYFUNCTION("GOOGLETRANSLATE(F1581,""en"",""pt"")"),"Os sistemas de recolha de água da chuva")</f>
        <v>Os sistemas de recolha de água da chuva</v>
      </c>
      <c r="H1581" s="20" t="s">
        <v>12012</v>
      </c>
      <c r="I1581" s="20" t="s">
        <v>12013</v>
      </c>
    </row>
    <row r="1582" spans="1:9" ht="14.5">
      <c r="A1582" s="20" t="s">
        <v>12014</v>
      </c>
      <c r="B1582" s="20">
        <v>50</v>
      </c>
      <c r="C1582" s="20">
        <v>70</v>
      </c>
      <c r="D1582" s="20">
        <v>85</v>
      </c>
      <c r="E1582" s="20">
        <v>75</v>
      </c>
      <c r="F1582" s="20" t="s">
        <v>12015</v>
      </c>
      <c r="G1582" s="24" t="str">
        <f ca="1">IFERROR(__xludf.DUMMYFUNCTION("GOOGLETRANSLATE(F1582,""en"",""pt"")"),"sistemas de leito de filtro de areia")</f>
        <v>sistemas de leito de filtro de areia</v>
      </c>
      <c r="H1582" s="20" t="s">
        <v>12016</v>
      </c>
      <c r="I1582" s="20" t="s">
        <v>11824</v>
      </c>
    </row>
    <row r="1583" spans="1:9" ht="14.5">
      <c r="A1583" s="20" t="s">
        <v>12017</v>
      </c>
      <c r="B1583" s="20">
        <v>50</v>
      </c>
      <c r="C1583" s="20">
        <v>70</v>
      </c>
      <c r="D1583" s="20">
        <v>85</v>
      </c>
      <c r="E1583" s="20">
        <v>76</v>
      </c>
      <c r="F1583" s="20" t="s">
        <v>12018</v>
      </c>
      <c r="G1583" s="24" t="str">
        <f ca="1">IFERROR(__xludf.DUMMYFUNCTION("GOOGLETRANSLATE(F1583,""en"",""pt"")"),"sistemas de superfície do leito de areia de filtro")</f>
        <v>sistemas de superfície do leito de areia de filtro</v>
      </c>
      <c r="H1583" s="24"/>
      <c r="I1583" s="24"/>
    </row>
    <row r="1584" spans="1:9" ht="14.5">
      <c r="A1584" s="20" t="s">
        <v>12019</v>
      </c>
      <c r="B1584" s="20">
        <v>50</v>
      </c>
      <c r="C1584" s="20">
        <v>70</v>
      </c>
      <c r="D1584" s="20">
        <v>85</v>
      </c>
      <c r="E1584" s="20">
        <v>85</v>
      </c>
      <c r="F1584" s="20" t="s">
        <v>12020</v>
      </c>
      <c r="G1584" s="24" t="str">
        <f ca="1">IFERROR(__xludf.DUMMYFUNCTION("GOOGLETRANSLATE(F1584,""en"",""pt"")"),"sistemas de Swale")</f>
        <v>sistemas de Swale</v>
      </c>
      <c r="H1584" s="24"/>
      <c r="I1584" s="24"/>
    </row>
    <row r="1585" spans="1:9" ht="14.5">
      <c r="A1585" s="20" t="s">
        <v>12021</v>
      </c>
      <c r="B1585" s="20">
        <v>50</v>
      </c>
      <c r="C1585" s="20">
        <v>70</v>
      </c>
      <c r="D1585" s="20">
        <v>85</v>
      </c>
      <c r="E1585" s="20">
        <v>96</v>
      </c>
      <c r="F1585" s="20" t="s">
        <v>12022</v>
      </c>
      <c r="G1585" s="24" t="str">
        <f ca="1">IFERROR(__xludf.DUMMYFUNCTION("GOOGLETRANSLATE(F1585,""en"",""pt"")"),"sistemas de extremidade de água")</f>
        <v>sistemas de extremidade de água</v>
      </c>
      <c r="H1585" s="20" t="s">
        <v>12023</v>
      </c>
      <c r="I1585" s="20" t="s">
        <v>11824</v>
      </c>
    </row>
    <row r="1586" spans="1:9" ht="14.5">
      <c r="A1586" s="20" t="s">
        <v>12024</v>
      </c>
      <c r="B1586" s="20">
        <v>50</v>
      </c>
      <c r="C1586" s="20">
        <v>70</v>
      </c>
      <c r="D1586" s="20">
        <v>85</v>
      </c>
      <c r="E1586" s="20">
        <v>97</v>
      </c>
      <c r="F1586" s="20" t="s">
        <v>12025</v>
      </c>
      <c r="G1586" s="24" t="str">
        <f ca="1">IFERROR(__xludf.DUMMYFUNCTION("GOOGLETRANSLATE(F1586,""en"",""pt"")"),"sistemas de Swale molhadas")</f>
        <v>sistemas de Swale molhadas</v>
      </c>
      <c r="H1586" s="24"/>
      <c r="I1586" s="24"/>
    </row>
    <row r="1587" spans="1:9" ht="14.5">
      <c r="A1587" s="20" t="s">
        <v>12026</v>
      </c>
      <c r="B1587" s="20">
        <v>50</v>
      </c>
      <c r="C1587" s="20">
        <v>70</v>
      </c>
      <c r="D1587" s="20">
        <v>85</v>
      </c>
      <c r="E1587" s="20">
        <v>98</v>
      </c>
      <c r="F1587" s="20" t="s">
        <v>12027</v>
      </c>
      <c r="G1587" s="24" t="str">
        <f ca="1">IFERROR(__xludf.DUMMYFUNCTION("GOOGLETRANSLATE(F1587,""en"",""pt"")"),"sistemas de drenagem de zonas húmidas")</f>
        <v>sistemas de drenagem de zonas húmidas</v>
      </c>
      <c r="H1587" s="20" t="s">
        <v>12028</v>
      </c>
      <c r="I1587" s="20" t="s">
        <v>12029</v>
      </c>
    </row>
    <row r="1588" spans="1:9" ht="14.5">
      <c r="A1588" s="20" t="s">
        <v>12030</v>
      </c>
      <c r="B1588" s="20">
        <v>50</v>
      </c>
      <c r="C1588" s="20">
        <v>75</v>
      </c>
      <c r="D1588" s="24"/>
      <c r="E1588" s="24"/>
      <c r="F1588" s="20" t="s">
        <v>12031</v>
      </c>
      <c r="G1588" s="24" t="str">
        <f ca="1">IFERROR(__xludf.DUMMYFUNCTION("GOOGLETRANSLATE(F1588,""en"",""pt"")"),"armazenamento de águas residuais, sistemas de tratamento e eliminação")</f>
        <v>armazenamento de águas residuais, sistemas de tratamento e eliminação</v>
      </c>
      <c r="H1588" s="24"/>
      <c r="I1588" s="24"/>
    </row>
    <row r="1589" spans="1:9" ht="14.5">
      <c r="A1589" s="20" t="s">
        <v>12032</v>
      </c>
      <c r="B1589" s="20">
        <v>50</v>
      </c>
      <c r="C1589" s="20">
        <v>75</v>
      </c>
      <c r="D1589" s="20">
        <v>1</v>
      </c>
      <c r="E1589" s="24"/>
      <c r="F1589" s="20" t="s">
        <v>12033</v>
      </c>
      <c r="G1589" s="24" t="str">
        <f ca="1">IFERROR(__xludf.DUMMYFUNCTION("GOOGLETRANSLATE(F1589,""en"",""pt"")"),"sistemas de aeração")</f>
        <v>sistemas de aeração</v>
      </c>
      <c r="H1589" s="24"/>
      <c r="I1589" s="24"/>
    </row>
    <row r="1590" spans="1:9" ht="14.5">
      <c r="A1590" s="20" t="s">
        <v>12034</v>
      </c>
      <c r="B1590" s="20">
        <v>50</v>
      </c>
      <c r="C1590" s="20">
        <v>75</v>
      </c>
      <c r="D1590" s="20">
        <v>1</v>
      </c>
      <c r="E1590" s="20">
        <v>22</v>
      </c>
      <c r="F1590" s="20" t="s">
        <v>12035</v>
      </c>
      <c r="G1590" s="24" t="str">
        <f ca="1">IFERROR(__xludf.DUMMYFUNCTION("GOOGLETRANSLATE(F1590,""en"",""pt"")"),"sistemas de aeração difundidos")</f>
        <v>sistemas de aeração difundidos</v>
      </c>
      <c r="H1590" s="20" t="s">
        <v>12036</v>
      </c>
      <c r="I1590" s="24"/>
    </row>
    <row r="1591" spans="1:9" ht="14.5">
      <c r="A1591" s="20" t="s">
        <v>12037</v>
      </c>
      <c r="B1591" s="20">
        <v>50</v>
      </c>
      <c r="C1591" s="20">
        <v>75</v>
      </c>
      <c r="D1591" s="20">
        <v>1</v>
      </c>
      <c r="E1591" s="20">
        <v>44</v>
      </c>
      <c r="F1591" s="20" t="s">
        <v>12038</v>
      </c>
      <c r="G1591" s="24" t="str">
        <f ca="1">IFERROR(__xludf.DUMMYFUNCTION("GOOGLETRANSLATE(F1591,""en"",""pt"")"),"sistemas Jet aeração")</f>
        <v>sistemas Jet aeração</v>
      </c>
      <c r="H1591" s="20" t="s">
        <v>12039</v>
      </c>
      <c r="I1591" s="24"/>
    </row>
    <row r="1592" spans="1:9" ht="14.5">
      <c r="A1592" s="20" t="s">
        <v>12040</v>
      </c>
      <c r="B1592" s="20">
        <v>50</v>
      </c>
      <c r="C1592" s="20">
        <v>75</v>
      </c>
      <c r="D1592" s="20">
        <v>1</v>
      </c>
      <c r="E1592" s="20">
        <v>51</v>
      </c>
      <c r="F1592" s="20" t="s">
        <v>12041</v>
      </c>
      <c r="G1592" s="24" t="str">
        <f ca="1">IFERROR(__xludf.DUMMYFUNCTION("GOOGLETRANSLATE(F1592,""en"",""pt"")"),"sistemas de aeração mecânica")</f>
        <v>sistemas de aeração mecânica</v>
      </c>
      <c r="H1592" s="20" t="s">
        <v>12042</v>
      </c>
      <c r="I1592" s="24"/>
    </row>
    <row r="1593" spans="1:9" ht="14.5">
      <c r="A1593" s="20" t="s">
        <v>12043</v>
      </c>
      <c r="B1593" s="20">
        <v>50</v>
      </c>
      <c r="C1593" s="20">
        <v>75</v>
      </c>
      <c r="D1593" s="20">
        <v>1</v>
      </c>
      <c r="E1593" s="20">
        <v>90</v>
      </c>
      <c r="F1593" s="20" t="s">
        <v>12044</v>
      </c>
      <c r="G1593" s="24" t="str">
        <f ca="1">IFERROR(__xludf.DUMMYFUNCTION("GOOGLETRANSLATE(F1593,""en"",""pt"")"),"sistemas cascata aeração bandeja")</f>
        <v>sistemas cascata aeração bandeja</v>
      </c>
      <c r="H1593" s="20" t="s">
        <v>12045</v>
      </c>
      <c r="I1593" s="24"/>
    </row>
    <row r="1594" spans="1:9" ht="14.5">
      <c r="A1594" s="20" t="s">
        <v>12046</v>
      </c>
      <c r="B1594" s="20">
        <v>50</v>
      </c>
      <c r="C1594" s="20">
        <v>75</v>
      </c>
      <c r="D1594" s="20">
        <v>20</v>
      </c>
      <c r="E1594" s="24"/>
      <c r="F1594" s="20" t="s">
        <v>12047</v>
      </c>
      <c r="G1594" s="24" t="str">
        <f ca="1">IFERROR(__xludf.DUMMYFUNCTION("GOOGLETRANSLATE(F1594,""en"",""pt"")"),"sistemas de decantação")</f>
        <v>sistemas de decantação</v>
      </c>
      <c r="H1594" s="24"/>
      <c r="I1594" s="24"/>
    </row>
    <row r="1595" spans="1:9" ht="14.5">
      <c r="A1595" s="20" t="s">
        <v>12048</v>
      </c>
      <c r="B1595" s="20">
        <v>50</v>
      </c>
      <c r="C1595" s="20">
        <v>75</v>
      </c>
      <c r="D1595" s="20">
        <v>20</v>
      </c>
      <c r="E1595" s="20">
        <v>96</v>
      </c>
      <c r="F1595" s="20" t="s">
        <v>12049</v>
      </c>
      <c r="G1595" s="24" t="str">
        <f ca="1">IFERROR(__xludf.DUMMYFUNCTION("GOOGLETRANSLATE(F1595,""en"",""pt"")"),"sistemas de decantação de águas residuais")</f>
        <v>sistemas de decantação de águas residuais</v>
      </c>
      <c r="H1595" s="20" t="s">
        <v>12050</v>
      </c>
      <c r="I1595" s="24"/>
    </row>
    <row r="1596" spans="1:9" ht="14.5">
      <c r="A1596" s="20" t="s">
        <v>12051</v>
      </c>
      <c r="B1596" s="20">
        <v>50</v>
      </c>
      <c r="C1596" s="20">
        <v>75</v>
      </c>
      <c r="D1596" s="20">
        <v>21</v>
      </c>
      <c r="E1596" s="24"/>
      <c r="F1596" s="20" t="s">
        <v>12052</v>
      </c>
      <c r="G1596" s="24" t="str">
        <f ca="1">IFERROR(__xludf.DUMMYFUNCTION("GOOGLETRANSLATE(F1596,""en"",""pt"")"),"Desludging e sistemas de tratamento de lodo")</f>
        <v>Desludging e sistemas de tratamento de lodo</v>
      </c>
      <c r="H1596" s="24"/>
      <c r="I1596" s="24"/>
    </row>
    <row r="1597" spans="1:9" ht="14.5">
      <c r="A1597" s="20" t="s">
        <v>12053</v>
      </c>
      <c r="B1597" s="20">
        <v>50</v>
      </c>
      <c r="C1597" s="20">
        <v>75</v>
      </c>
      <c r="D1597" s="20">
        <v>21</v>
      </c>
      <c r="E1597" s="20">
        <v>20</v>
      </c>
      <c r="F1597" s="20" t="s">
        <v>12054</v>
      </c>
      <c r="G1597" s="24" t="str">
        <f ca="1">IFERROR(__xludf.DUMMYFUNCTION("GOOGLETRANSLATE(F1597,""en"",""pt"")"),"sistemas desludging")</f>
        <v>sistemas desludging</v>
      </c>
      <c r="H1597" s="20" t="s">
        <v>12055</v>
      </c>
      <c r="I1597" s="24"/>
    </row>
    <row r="1598" spans="1:9" ht="14.5">
      <c r="A1598" s="20" t="s">
        <v>12056</v>
      </c>
      <c r="B1598" s="20">
        <v>50</v>
      </c>
      <c r="C1598" s="20">
        <v>75</v>
      </c>
      <c r="D1598" s="20">
        <v>21</v>
      </c>
      <c r="E1598" s="20">
        <v>75</v>
      </c>
      <c r="F1598" s="20" t="s">
        <v>12057</v>
      </c>
      <c r="G1598" s="24" t="str">
        <f ca="1">IFERROR(__xludf.DUMMYFUNCTION("GOOGLETRANSLATE(F1598,""en"",""pt"")"),"sistemas de gravidade desludging tanque de decantação")</f>
        <v>sistemas de gravidade desludging tanque de decantação</v>
      </c>
      <c r="H1598" s="20" t="s">
        <v>12055</v>
      </c>
      <c r="I1598" s="24"/>
    </row>
    <row r="1599" spans="1:9" ht="14.5">
      <c r="A1599" s="20" t="s">
        <v>12058</v>
      </c>
      <c r="B1599" s="20">
        <v>50</v>
      </c>
      <c r="C1599" s="20">
        <v>75</v>
      </c>
      <c r="D1599" s="20">
        <v>21</v>
      </c>
      <c r="E1599" s="20">
        <v>80</v>
      </c>
      <c r="F1599" s="20" t="s">
        <v>12059</v>
      </c>
      <c r="G1599" s="24" t="str">
        <f ca="1">IFERROR(__xludf.DUMMYFUNCTION("GOOGLETRANSLATE(F1599,""en"",""pt"")"),"sistemas de manipulação e tratamento de lamas")</f>
        <v>sistemas de manipulação e tratamento de lamas</v>
      </c>
      <c r="H1599" s="20" t="s">
        <v>12060</v>
      </c>
      <c r="I1599" s="24"/>
    </row>
    <row r="1600" spans="1:9" ht="14.5">
      <c r="A1600" s="20" t="s">
        <v>12061</v>
      </c>
      <c r="B1600" s="20">
        <v>50</v>
      </c>
      <c r="C1600" s="20">
        <v>75</v>
      </c>
      <c r="D1600" s="20">
        <v>34</v>
      </c>
      <c r="E1600" s="24"/>
      <c r="F1600" s="20" t="s">
        <v>12062</v>
      </c>
      <c r="G1600" s="24" t="str">
        <f ca="1">IFERROR(__xludf.DUMMYFUNCTION("GOOGLETRANSLATE(F1600,""en"",""pt"")"),"tratamento grit e sistemas de remoção")</f>
        <v>tratamento grit e sistemas de remoção</v>
      </c>
      <c r="H1600" s="24"/>
      <c r="I1600" s="24"/>
    </row>
    <row r="1601" spans="1:9" ht="14.5">
      <c r="A1601" s="20" t="s">
        <v>12063</v>
      </c>
      <c r="B1601" s="20">
        <v>50</v>
      </c>
      <c r="C1601" s="20">
        <v>75</v>
      </c>
      <c r="D1601" s="20">
        <v>34</v>
      </c>
      <c r="E1601" s="20">
        <v>16</v>
      </c>
      <c r="F1601" s="20" t="s">
        <v>12064</v>
      </c>
      <c r="G1601" s="24" t="str">
        <f ca="1">IFERROR(__xludf.DUMMYFUNCTION("GOOGLETRANSLATE(F1601,""en"",""pt"")"),"sistemas de remoção de granalha de fluxo cruzado")</f>
        <v>sistemas de remoção de granalha de fluxo cruzado</v>
      </c>
      <c r="H1601" s="20" t="s">
        <v>12065</v>
      </c>
      <c r="I1601" s="24"/>
    </row>
    <row r="1602" spans="1:9" ht="14.5">
      <c r="A1602" s="20" t="s">
        <v>12066</v>
      </c>
      <c r="B1602" s="20">
        <v>50</v>
      </c>
      <c r="C1602" s="20">
        <v>75</v>
      </c>
      <c r="D1602" s="20">
        <v>34</v>
      </c>
      <c r="E1602" s="20">
        <v>60</v>
      </c>
      <c r="F1602" s="20" t="s">
        <v>12067</v>
      </c>
      <c r="G1602" s="24" t="str">
        <f ca="1">IFERROR(__xludf.DUMMYFUNCTION("GOOGLETRANSLATE(F1602,""en"",""pt"")"),"Pacote tratamento do grão e de sistemas de remoção")</f>
        <v>Pacote tratamento do grão e de sistemas de remoção</v>
      </c>
      <c r="H1602" s="20" t="s">
        <v>12068</v>
      </c>
      <c r="I1602" s="24"/>
    </row>
    <row r="1603" spans="1:9" ht="14.5">
      <c r="A1603" s="20" t="s">
        <v>12069</v>
      </c>
      <c r="B1603" s="20">
        <v>50</v>
      </c>
      <c r="C1603" s="20">
        <v>75</v>
      </c>
      <c r="D1603" s="20">
        <v>34</v>
      </c>
      <c r="E1603" s="20">
        <v>94</v>
      </c>
      <c r="F1603" s="20" t="s">
        <v>12070</v>
      </c>
      <c r="G1603" s="24" t="str">
        <f ca="1">IFERROR(__xludf.DUMMYFUNCTION("GOOGLETRANSLATE(F1603,""en"",""pt"")"),"sistemas de remoção de granalha Vortex")</f>
        <v>sistemas de remoção de granalha Vortex</v>
      </c>
      <c r="H1603" s="20" t="s">
        <v>12071</v>
      </c>
      <c r="I1603" s="24"/>
    </row>
    <row r="1604" spans="1:9" ht="14.5">
      <c r="A1604" s="20" t="s">
        <v>12072</v>
      </c>
      <c r="B1604" s="20">
        <v>50</v>
      </c>
      <c r="C1604" s="20">
        <v>75</v>
      </c>
      <c r="D1604" s="20">
        <v>41</v>
      </c>
      <c r="E1604" s="24"/>
      <c r="F1604" s="20" t="s">
        <v>12073</v>
      </c>
      <c r="G1604" s="24" t="str">
        <f ca="1">IFERROR(__xludf.DUMMYFUNCTION("GOOGLETRANSLATE(F1604,""en"",""pt"")"),"Entrada de sistemas funciona")</f>
        <v>Entrada de sistemas funciona</v>
      </c>
      <c r="H1604" s="24"/>
      <c r="I1604" s="24"/>
    </row>
    <row r="1605" spans="1:9" ht="14.5">
      <c r="A1605" s="20" t="s">
        <v>12074</v>
      </c>
      <c r="B1605" s="20">
        <v>50</v>
      </c>
      <c r="C1605" s="20">
        <v>75</v>
      </c>
      <c r="D1605" s="20">
        <v>41</v>
      </c>
      <c r="E1605" s="20">
        <v>15</v>
      </c>
      <c r="F1605" s="20" t="s">
        <v>12075</v>
      </c>
      <c r="G1605" s="24" t="str">
        <f ca="1">IFERROR(__xludf.DUMMYFUNCTION("GOOGLETRANSLATE(F1605,""en"",""pt"")"),"entrada de concreto sistemas funciona")</f>
        <v>entrada de concreto sistemas funciona</v>
      </c>
      <c r="H1605" s="20" t="s">
        <v>12076</v>
      </c>
      <c r="I1605" s="24"/>
    </row>
    <row r="1606" spans="1:9" ht="14.5">
      <c r="A1606" s="20" t="s">
        <v>12077</v>
      </c>
      <c r="B1606" s="20">
        <v>50</v>
      </c>
      <c r="C1606" s="20">
        <v>75</v>
      </c>
      <c r="D1606" s="20">
        <v>41</v>
      </c>
      <c r="E1606" s="20">
        <v>60</v>
      </c>
      <c r="F1606" s="20" t="s">
        <v>12078</v>
      </c>
      <c r="G1606" s="24" t="str">
        <f ca="1">IFERROR(__xludf.DUMMYFUNCTION("GOOGLETRANSLATE(F1606,""en"",""pt"")"),"entrada pacote de sistemas funciona")</f>
        <v>entrada pacote de sistemas funciona</v>
      </c>
      <c r="H1606" s="20" t="s">
        <v>12079</v>
      </c>
      <c r="I1606" s="24"/>
    </row>
    <row r="1607" spans="1:9" ht="14.5">
      <c r="A1607" s="20" t="s">
        <v>12080</v>
      </c>
      <c r="B1607" s="20">
        <v>50</v>
      </c>
      <c r="C1607" s="20">
        <v>75</v>
      </c>
      <c r="D1607" s="20">
        <v>41</v>
      </c>
      <c r="E1607" s="20">
        <v>66</v>
      </c>
      <c r="F1607" s="20" t="s">
        <v>12081</v>
      </c>
      <c r="G1607" s="24" t="str">
        <f ca="1">IFERROR(__xludf.DUMMYFUNCTION("GOOGLETRANSLATE(F1607,""en"",""pt"")"),"entrada pré-fabricada sistemas funciona")</f>
        <v>entrada pré-fabricada sistemas funciona</v>
      </c>
      <c r="H1607" s="24"/>
      <c r="I1607" s="24"/>
    </row>
    <row r="1608" spans="1:9" ht="14.5">
      <c r="A1608" s="20" t="s">
        <v>12082</v>
      </c>
      <c r="B1608" s="20">
        <v>50</v>
      </c>
      <c r="C1608" s="20">
        <v>75</v>
      </c>
      <c r="D1608" s="20">
        <v>58</v>
      </c>
      <c r="E1608" s="24"/>
      <c r="F1608" s="20" t="s">
        <v>12083</v>
      </c>
      <c r="G1608" s="24" t="str">
        <f ca="1">IFERROR(__xludf.DUMMYFUNCTION("GOOGLETRANSLATE(F1608,""en"",""pt"")"),"sistemas de controle de odor")</f>
        <v>sistemas de controle de odor</v>
      </c>
      <c r="H1608" s="24"/>
      <c r="I1608" s="24"/>
    </row>
    <row r="1609" spans="1:9" ht="14.5">
      <c r="A1609" s="20" t="s">
        <v>12084</v>
      </c>
      <c r="B1609" s="20">
        <v>50</v>
      </c>
      <c r="C1609" s="20">
        <v>75</v>
      </c>
      <c r="D1609" s="20">
        <v>58</v>
      </c>
      <c r="E1609" s="20">
        <v>7</v>
      </c>
      <c r="F1609" s="20" t="s">
        <v>12085</v>
      </c>
      <c r="G1609" s="24" t="str">
        <f ca="1">IFERROR(__xludf.DUMMYFUNCTION("GOOGLETRANSLATE(F1609,""en"",""pt"")"),"sistemas de bio-filtragem")</f>
        <v>sistemas de bio-filtragem</v>
      </c>
      <c r="H1609" s="20" t="s">
        <v>12086</v>
      </c>
      <c r="I1609" s="24"/>
    </row>
    <row r="1610" spans="1:9" ht="14.5">
      <c r="A1610" s="20" t="s">
        <v>12087</v>
      </c>
      <c r="B1610" s="20">
        <v>50</v>
      </c>
      <c r="C1610" s="20">
        <v>75</v>
      </c>
      <c r="D1610" s="20">
        <v>58</v>
      </c>
      <c r="E1610" s="20">
        <v>8</v>
      </c>
      <c r="F1610" s="20" t="s">
        <v>12088</v>
      </c>
      <c r="G1610" s="24" t="str">
        <f ca="1">IFERROR(__xludf.DUMMYFUNCTION("GOOGLETRANSLATE(F1610,""en"",""pt"")"),"sistemas de bio-esfregão")</f>
        <v>sistemas de bio-esfregão</v>
      </c>
      <c r="H1610" s="20" t="s">
        <v>12089</v>
      </c>
      <c r="I1610" s="24"/>
    </row>
    <row r="1611" spans="1:9" ht="14.5">
      <c r="A1611" s="20" t="s">
        <v>12090</v>
      </c>
      <c r="B1611" s="20">
        <v>50</v>
      </c>
      <c r="C1611" s="20">
        <v>75</v>
      </c>
      <c r="D1611" s="20">
        <v>58</v>
      </c>
      <c r="E1611" s="20">
        <v>11</v>
      </c>
      <c r="F1611" s="20" t="s">
        <v>12091</v>
      </c>
      <c r="G1611" s="24" t="str">
        <f ca="1">IFERROR(__xludf.DUMMYFUNCTION("GOOGLETRANSLATE(F1611,""en"",""pt"")"),"sistemas de filtro de ferro catalico")</f>
        <v>sistemas de filtro de ferro catalico</v>
      </c>
      <c r="H1611" s="20" t="s">
        <v>12092</v>
      </c>
      <c r="I1611" s="24"/>
    </row>
    <row r="1612" spans="1:9" ht="14.5">
      <c r="A1612" s="20" t="s">
        <v>12093</v>
      </c>
      <c r="B1612" s="20">
        <v>50</v>
      </c>
      <c r="C1612" s="20">
        <v>75</v>
      </c>
      <c r="D1612" s="20">
        <v>58</v>
      </c>
      <c r="E1612" s="20">
        <v>23</v>
      </c>
      <c r="F1612" s="20" t="s">
        <v>12094</v>
      </c>
      <c r="G1612" s="24" t="str">
        <f ca="1">IFERROR(__xludf.DUMMYFUNCTION("GOOGLETRANSLATE(F1612,""en"",""pt"")"),"sistemas de instalação secos")</f>
        <v>sistemas de instalação secos</v>
      </c>
      <c r="H1612" s="20" t="s">
        <v>12095</v>
      </c>
      <c r="I1612" s="24"/>
    </row>
    <row r="1613" spans="1:9" ht="14.5">
      <c r="A1613" s="20" t="s">
        <v>12096</v>
      </c>
      <c r="B1613" s="20">
        <v>50</v>
      </c>
      <c r="C1613" s="20">
        <v>75</v>
      </c>
      <c r="D1613" s="20">
        <v>58</v>
      </c>
      <c r="E1613" s="20">
        <v>96</v>
      </c>
      <c r="F1613" s="20" t="s">
        <v>12097</v>
      </c>
      <c r="G1613" s="24" t="str">
        <f ca="1">IFERROR(__xludf.DUMMYFUNCTION("GOOGLETRANSLATE(F1613,""en"",""pt"")"),"sistemas de purificação por via húmida")</f>
        <v>sistemas de purificação por via húmida</v>
      </c>
      <c r="H1613" s="20" t="s">
        <v>12098</v>
      </c>
      <c r="I1613" s="24"/>
    </row>
    <row r="1614" spans="1:9" ht="14.5">
      <c r="A1614" s="20" t="s">
        <v>12099</v>
      </c>
      <c r="B1614" s="20">
        <v>50</v>
      </c>
      <c r="C1614" s="20">
        <v>75</v>
      </c>
      <c r="D1614" s="20">
        <v>67</v>
      </c>
      <c r="E1614" s="24"/>
      <c r="F1614" s="20" t="s">
        <v>12100</v>
      </c>
      <c r="G1614" s="24" t="str">
        <f ca="1">IFERROR(__xludf.DUMMYFUNCTION("GOOGLETRANSLATE(F1614,""en"",""pt"")"),"tratamento de esgoto primário e sistemas de liquidação finais")</f>
        <v>tratamento de esgoto primário e sistemas de liquidação finais</v>
      </c>
      <c r="H1614" s="24"/>
      <c r="I1614" s="24"/>
    </row>
    <row r="1615" spans="1:9" ht="14.5">
      <c r="A1615" s="20" t="s">
        <v>12101</v>
      </c>
      <c r="B1615" s="20">
        <v>50</v>
      </c>
      <c r="C1615" s="20">
        <v>75</v>
      </c>
      <c r="D1615" s="20">
        <v>67</v>
      </c>
      <c r="E1615" s="20">
        <v>38</v>
      </c>
      <c r="F1615" s="20" t="s">
        <v>12102</v>
      </c>
      <c r="G1615" s="24" t="str">
        <f ca="1">IFERROR(__xludf.DUMMYFUNCTION("GOOGLETRANSLATE(F1615,""en"",""pt"")"),"Horizontal fluir sistemas de tanques")</f>
        <v>Horizontal fluir sistemas de tanques</v>
      </c>
      <c r="H1615" s="20" t="s">
        <v>12103</v>
      </c>
      <c r="I1615" s="24"/>
    </row>
    <row r="1616" spans="1:9" ht="14.5">
      <c r="A1616" s="20" t="s">
        <v>12104</v>
      </c>
      <c r="B1616" s="20">
        <v>50</v>
      </c>
      <c r="C1616" s="20">
        <v>75</v>
      </c>
      <c r="D1616" s="20">
        <v>67</v>
      </c>
      <c r="E1616" s="20">
        <v>46</v>
      </c>
      <c r="F1616" s="20" t="s">
        <v>12105</v>
      </c>
      <c r="G1616" s="24" t="str">
        <f ca="1">IFERROR(__xludf.DUMMYFUNCTION("GOOGLETRANSLATE(F1616,""en"",""pt"")"),"sistemas de tanque de lamelas")</f>
        <v>sistemas de tanque de lamelas</v>
      </c>
      <c r="H1616" s="20" t="s">
        <v>12106</v>
      </c>
      <c r="I1616" s="24"/>
    </row>
    <row r="1617" spans="1:9" ht="14.5">
      <c r="A1617" s="20" t="s">
        <v>12107</v>
      </c>
      <c r="B1617" s="20">
        <v>50</v>
      </c>
      <c r="C1617" s="20">
        <v>75</v>
      </c>
      <c r="D1617" s="20">
        <v>67</v>
      </c>
      <c r="E1617" s="20">
        <v>70</v>
      </c>
      <c r="F1617" s="20" t="s">
        <v>12108</v>
      </c>
      <c r="G1617" s="24" t="str">
        <f ca="1">IFERROR(__xludf.DUMMYFUNCTION("GOOGLETRANSLATE(F1617,""en"",""pt"")"),"Radial fluir sistemas de tanques")</f>
        <v>Radial fluir sistemas de tanques</v>
      </c>
      <c r="H1617" s="20" t="s">
        <v>12109</v>
      </c>
      <c r="I1617" s="24"/>
    </row>
    <row r="1618" spans="1:9" ht="14.5">
      <c r="A1618" s="20" t="s">
        <v>12110</v>
      </c>
      <c r="B1618" s="20">
        <v>50</v>
      </c>
      <c r="C1618" s="20">
        <v>75</v>
      </c>
      <c r="D1618" s="20">
        <v>75</v>
      </c>
      <c r="E1618" s="24"/>
      <c r="F1618" s="20" t="s">
        <v>12111</v>
      </c>
      <c r="G1618" s="24" t="str">
        <f ca="1">IFERROR(__xludf.DUMMYFUNCTION("GOOGLETRANSLATE(F1618,""en"",""pt"")"),"sistemas de remoção de escuma")</f>
        <v>sistemas de remoção de escuma</v>
      </c>
      <c r="H1618" s="24"/>
      <c r="I1618" s="24"/>
    </row>
    <row r="1619" spans="1:9" ht="14.5">
      <c r="A1619" s="20" t="s">
        <v>12112</v>
      </c>
      <c r="B1619" s="20">
        <v>50</v>
      </c>
      <c r="C1619" s="20">
        <v>75</v>
      </c>
      <c r="D1619" s="20">
        <v>75</v>
      </c>
      <c r="E1619" s="20">
        <v>96</v>
      </c>
      <c r="F1619" s="20" t="s">
        <v>12113</v>
      </c>
      <c r="G1619" s="24" t="str">
        <f ca="1">IFERROR(__xludf.DUMMYFUNCTION("GOOGLETRANSLATE(F1619,""en"",""pt"")"),"sistemas de remoção de escória de águas residuais")</f>
        <v>sistemas de remoção de escória de águas residuais</v>
      </c>
      <c r="H1619" s="20" t="s">
        <v>12114</v>
      </c>
      <c r="I1619" s="24"/>
    </row>
    <row r="1620" spans="1:9" ht="14.5">
      <c r="A1620" s="20" t="s">
        <v>12115</v>
      </c>
      <c r="B1620" s="20">
        <v>50</v>
      </c>
      <c r="C1620" s="20">
        <v>75</v>
      </c>
      <c r="D1620" s="20">
        <v>77</v>
      </c>
      <c r="E1620" s="24"/>
      <c r="F1620" s="20" t="s">
        <v>12116</v>
      </c>
      <c r="G1620" s="24" t="str">
        <f ca="1">IFERROR(__xludf.DUMMYFUNCTION("GOOGLETRANSLATE(F1620,""en"",""pt"")"),"sistemas de tratamento de esgotos secundários")</f>
        <v>sistemas de tratamento de esgotos secundários</v>
      </c>
      <c r="H1620" s="24"/>
      <c r="I1620" s="24"/>
    </row>
    <row r="1621" spans="1:9" ht="14.5">
      <c r="A1621" s="20" t="s">
        <v>12117</v>
      </c>
      <c r="B1621" s="20">
        <v>50</v>
      </c>
      <c r="C1621" s="20">
        <v>75</v>
      </c>
      <c r="D1621" s="20">
        <v>77</v>
      </c>
      <c r="E1621" s="20">
        <v>1</v>
      </c>
      <c r="F1621" s="20" t="s">
        <v>12118</v>
      </c>
      <c r="G1621" s="24" t="str">
        <f ca="1">IFERROR(__xludf.DUMMYFUNCTION("GOOGLETRANSLATE(F1621,""en"",""pt"")"),"sistemas de tanques de aeração de lodo ativado")</f>
        <v>sistemas de tanques de aeração de lodo ativado</v>
      </c>
      <c r="H1621" s="20" t="s">
        <v>12119</v>
      </c>
      <c r="I1621" s="24"/>
    </row>
    <row r="1622" spans="1:9" ht="14.5">
      <c r="A1622" s="20" t="s">
        <v>12120</v>
      </c>
      <c r="B1622" s="20">
        <v>50</v>
      </c>
      <c r="C1622" s="20">
        <v>75</v>
      </c>
      <c r="D1622" s="20">
        <v>77</v>
      </c>
      <c r="E1622" s="20">
        <v>7</v>
      </c>
      <c r="F1622" s="20" t="s">
        <v>12121</v>
      </c>
      <c r="G1622" s="24" t="str">
        <f ca="1">IFERROR(__xludf.DUMMYFUNCTION("GOOGLETRANSLATE(F1622,""en"",""pt"")"),"sistemas de tanque de filtro biológico")</f>
        <v>sistemas de tanque de filtro biológico</v>
      </c>
      <c r="H1622" s="20" t="s">
        <v>12122</v>
      </c>
      <c r="I1622" s="24"/>
    </row>
    <row r="1623" spans="1:9" ht="14.5">
      <c r="A1623" s="20" t="s">
        <v>12123</v>
      </c>
      <c r="B1623" s="20">
        <v>50</v>
      </c>
      <c r="C1623" s="20">
        <v>75</v>
      </c>
      <c r="D1623" s="20">
        <v>92</v>
      </c>
      <c r="E1623" s="24"/>
      <c r="F1623" s="20" t="s">
        <v>12124</v>
      </c>
      <c r="G1623" s="24" t="str">
        <f ca="1">IFERROR(__xludf.DUMMYFUNCTION("GOOGLETRANSLATE(F1623,""en"",""pt"")"),"Sistemas de dosagem de produto químico de águas residuais")</f>
        <v>Sistemas de dosagem de produto químico de águas residuais</v>
      </c>
      <c r="H1623" s="24"/>
      <c r="I1623" s="24"/>
    </row>
    <row r="1624" spans="1:9" ht="14.5">
      <c r="A1624" s="20" t="s">
        <v>12125</v>
      </c>
      <c r="B1624" s="20">
        <v>50</v>
      </c>
      <c r="C1624" s="20">
        <v>75</v>
      </c>
      <c r="D1624" s="20">
        <v>92</v>
      </c>
      <c r="E1624" s="20">
        <v>13</v>
      </c>
      <c r="F1624" s="20" t="s">
        <v>12126</v>
      </c>
      <c r="G1624" s="24" t="str">
        <f ca="1">IFERROR(__xludf.DUMMYFUNCTION("GOOGLETRANSLATE(F1624,""en"",""pt"")"),"Sistemas de dosagem de químicos")</f>
        <v>Sistemas de dosagem de químicos</v>
      </c>
      <c r="H1624" s="20" t="s">
        <v>12127</v>
      </c>
      <c r="I1624" s="24"/>
    </row>
    <row r="1625" spans="1:9" ht="14.5">
      <c r="A1625" s="20" t="s">
        <v>12128</v>
      </c>
      <c r="B1625" s="20">
        <v>50</v>
      </c>
      <c r="C1625" s="20">
        <v>75</v>
      </c>
      <c r="D1625" s="20">
        <v>93</v>
      </c>
      <c r="E1625" s="24"/>
      <c r="F1625" s="20" t="s">
        <v>12129</v>
      </c>
      <c r="G1625" s="24" t="str">
        <f ca="1">IFERROR(__xludf.DUMMYFUNCTION("GOOGLETRANSLATE(F1625,""en"",""pt"")"),"sistemas de filtração de águas residuais")</f>
        <v>sistemas de filtração de águas residuais</v>
      </c>
      <c r="H1625" s="24"/>
      <c r="I1625" s="24"/>
    </row>
    <row r="1626" spans="1:9" ht="14.5">
      <c r="A1626" s="20" t="s">
        <v>12130</v>
      </c>
      <c r="B1626" s="20">
        <v>50</v>
      </c>
      <c r="C1626" s="20">
        <v>75</v>
      </c>
      <c r="D1626" s="20">
        <v>93</v>
      </c>
      <c r="E1626" s="20">
        <v>2</v>
      </c>
      <c r="F1626" s="20" t="s">
        <v>12131</v>
      </c>
      <c r="G1626" s="24" t="str">
        <f ca="1">IFERROR(__xludf.DUMMYFUNCTION("GOOGLETRANSLATE(F1626,""en"",""pt"")"),"sistemas de filtragem de agregados")</f>
        <v>sistemas de filtragem de agregados</v>
      </c>
      <c r="H1626" s="20" t="s">
        <v>12132</v>
      </c>
      <c r="I1626" s="24"/>
    </row>
    <row r="1627" spans="1:9" ht="14.5">
      <c r="A1627" s="20" t="s">
        <v>12133</v>
      </c>
      <c r="B1627" s="20">
        <v>50</v>
      </c>
      <c r="C1627" s="20">
        <v>75</v>
      </c>
      <c r="D1627" s="20">
        <v>93</v>
      </c>
      <c r="E1627" s="20">
        <v>7</v>
      </c>
      <c r="F1627" s="20" t="s">
        <v>12134</v>
      </c>
      <c r="G1627" s="24" t="str">
        <f ca="1">IFERROR(__xludf.DUMMYFUNCTION("GOOGLETRANSLATE(F1627,""en"",""pt"")"),"sistemas de filtro de percolação ladrilhos biológicas")</f>
        <v>sistemas de filtro de percolação ladrilhos biológicas</v>
      </c>
      <c r="H1627" s="20" t="s">
        <v>12135</v>
      </c>
      <c r="I1627" s="24"/>
    </row>
    <row r="1628" spans="1:9" ht="14.5">
      <c r="A1628" s="20" t="s">
        <v>12136</v>
      </c>
      <c r="B1628" s="20">
        <v>50</v>
      </c>
      <c r="C1628" s="20">
        <v>75</v>
      </c>
      <c r="D1628" s="20">
        <v>93</v>
      </c>
      <c r="E1628" s="20">
        <v>52</v>
      </c>
      <c r="F1628" s="20" t="s">
        <v>12137</v>
      </c>
      <c r="G1628" s="24" t="str">
        <f ca="1">IFERROR(__xludf.DUMMYFUNCTION("GOOGLETRANSLATE(F1628,""en"",""pt"")"),"sistemas de filtragem de membrana")</f>
        <v>sistemas de filtragem de membrana</v>
      </c>
      <c r="H1628" s="20" t="s">
        <v>12138</v>
      </c>
      <c r="I1628" s="24"/>
    </row>
    <row r="1629" spans="1:9" ht="14.5">
      <c r="A1629" s="20" t="s">
        <v>12139</v>
      </c>
      <c r="B1629" s="20">
        <v>50</v>
      </c>
      <c r="C1629" s="20">
        <v>75</v>
      </c>
      <c r="D1629" s="20">
        <v>94</v>
      </c>
      <c r="E1629" s="24"/>
      <c r="F1629" s="20" t="s">
        <v>12140</v>
      </c>
      <c r="G1629" s="24" t="str">
        <f ca="1">IFERROR(__xludf.DUMMYFUNCTION("GOOGLETRANSLATE(F1629,""en"",""pt"")"),"sistemas de tratamento de águas residuais rastreios")</f>
        <v>sistemas de tratamento de águas residuais rastreios</v>
      </c>
      <c r="H1629" s="24"/>
      <c r="I1629" s="24"/>
    </row>
    <row r="1630" spans="1:9" ht="14.5">
      <c r="A1630" s="20" t="s">
        <v>12141</v>
      </c>
      <c r="B1630" s="20">
        <v>50</v>
      </c>
      <c r="C1630" s="20">
        <v>75</v>
      </c>
      <c r="D1630" s="20">
        <v>94</v>
      </c>
      <c r="E1630" s="20">
        <v>16</v>
      </c>
      <c r="F1630" s="20" t="s">
        <v>12142</v>
      </c>
      <c r="G1630" s="24" t="str">
        <f ca="1">IFERROR(__xludf.DUMMYFUNCTION("GOOGLETRANSLATE(F1630,""en"",""pt"")"),"Combinado captura de rastreios e Sistemas de transporte")</f>
        <v>Combinado captura de rastreios e Sistemas de transporte</v>
      </c>
      <c r="H1630" s="20" t="s">
        <v>12143</v>
      </c>
      <c r="I1630" s="24"/>
    </row>
    <row r="1631" spans="1:9" ht="14.5">
      <c r="A1631" s="20" t="s">
        <v>12144</v>
      </c>
      <c r="B1631" s="20">
        <v>50</v>
      </c>
      <c r="C1631" s="20">
        <v>75</v>
      </c>
      <c r="D1631" s="20">
        <v>94</v>
      </c>
      <c r="E1631" s="20">
        <v>56</v>
      </c>
      <c r="F1631" s="20" t="s">
        <v>12145</v>
      </c>
      <c r="G1631" s="24" t="str">
        <f ca="1">IFERROR(__xludf.DUMMYFUNCTION("GOOGLETRANSLATE(F1631,""en"",""pt"")"),"sistemas de rastreio não-motorizados")</f>
        <v>sistemas de rastreio não-motorizados</v>
      </c>
      <c r="H1631" s="20" t="s">
        <v>12146</v>
      </c>
      <c r="I1631" s="24"/>
    </row>
    <row r="1632" spans="1:9" ht="14.5">
      <c r="A1632" s="20" t="s">
        <v>12147</v>
      </c>
      <c r="B1632" s="20">
        <v>50</v>
      </c>
      <c r="C1632" s="20">
        <v>75</v>
      </c>
      <c r="D1632" s="20">
        <v>94</v>
      </c>
      <c r="E1632" s="20">
        <v>64</v>
      </c>
      <c r="F1632" s="20" t="s">
        <v>12148</v>
      </c>
      <c r="G1632" s="24" t="str">
        <f ca="1">IFERROR(__xludf.DUMMYFUNCTION("GOOGLETRANSLATE(F1632,""en"",""pt"")"),"Alimentado captura de rastreios e Sistemas de transporte")</f>
        <v>Alimentado captura de rastreios e Sistemas de transporte</v>
      </c>
      <c r="H1632" s="20" t="s">
        <v>12149</v>
      </c>
      <c r="I1632" s="24"/>
    </row>
    <row r="1633" spans="1:9" ht="14.5">
      <c r="A1633" s="20" t="s">
        <v>12150</v>
      </c>
      <c r="B1633" s="20">
        <v>50</v>
      </c>
      <c r="C1633" s="20">
        <v>75</v>
      </c>
      <c r="D1633" s="20">
        <v>95</v>
      </c>
      <c r="E1633" s="24"/>
      <c r="F1633" s="20" t="s">
        <v>12151</v>
      </c>
      <c r="G1633" s="24" t="str">
        <f ca="1">IFERROR(__xludf.DUMMYFUNCTION("GOOGLETRANSLATE(F1633,""en"",""pt"")"),"sistemas de abastecimento de águas residuais")</f>
        <v>sistemas de abastecimento de águas residuais</v>
      </c>
      <c r="H1633" s="24"/>
      <c r="I1633" s="24"/>
    </row>
    <row r="1634" spans="1:9" ht="14.5">
      <c r="A1634" s="20" t="s">
        <v>12152</v>
      </c>
      <c r="B1634" s="20">
        <v>50</v>
      </c>
      <c r="C1634" s="20">
        <v>75</v>
      </c>
      <c r="D1634" s="20">
        <v>95</v>
      </c>
      <c r="E1634" s="20">
        <v>67</v>
      </c>
      <c r="F1634" s="20" t="s">
        <v>12153</v>
      </c>
      <c r="G1634" s="24" t="str">
        <f ca="1">IFERROR(__xludf.DUMMYFUNCTION("GOOGLETRANSLATE(F1634,""en"",""pt"")"),"sistemas de abastecimento de águas residuais bombeadas")</f>
        <v>sistemas de abastecimento de águas residuais bombeadas</v>
      </c>
      <c r="H1634" s="20" t="s">
        <v>12154</v>
      </c>
      <c r="I1634" s="24"/>
    </row>
    <row r="1635" spans="1:9" ht="14.5">
      <c r="A1635" s="20" t="s">
        <v>12155</v>
      </c>
      <c r="B1635" s="20">
        <v>50</v>
      </c>
      <c r="C1635" s="20">
        <v>75</v>
      </c>
      <c r="D1635" s="20">
        <v>98</v>
      </c>
      <c r="E1635" s="24"/>
      <c r="F1635" s="20" t="s">
        <v>12156</v>
      </c>
      <c r="G1635" s="24" t="str">
        <f ca="1">IFERROR(__xludf.DUMMYFUNCTION("GOOGLETRANSLATE(F1635,""en"",""pt"")"),"sistemas de tanque de águas residuais")</f>
        <v>sistemas de tanque de águas residuais</v>
      </c>
      <c r="H1635" s="24"/>
      <c r="I1635" s="24"/>
    </row>
    <row r="1636" spans="1:9" ht="14.5">
      <c r="A1636" s="20" t="s">
        <v>12157</v>
      </c>
      <c r="B1636" s="20">
        <v>50</v>
      </c>
      <c r="C1636" s="20">
        <v>75</v>
      </c>
      <c r="D1636" s="20">
        <v>98</v>
      </c>
      <c r="E1636" s="20">
        <v>96</v>
      </c>
      <c r="F1636" s="20" t="s">
        <v>12158</v>
      </c>
      <c r="G1636" s="24" t="str">
        <f ca="1">IFERROR(__xludf.DUMMYFUNCTION("GOOGLETRANSLATE(F1636,""en"",""pt"")"),"sistemas de lavagem de tanques de águas residuais")</f>
        <v>sistemas de lavagem de tanques de águas residuais</v>
      </c>
      <c r="H1636" s="20" t="s">
        <v>12159</v>
      </c>
      <c r="I1636" s="24"/>
    </row>
    <row r="1637" spans="1:9" ht="14.5">
      <c r="A1637" s="20" t="s">
        <v>12160</v>
      </c>
      <c r="B1637" s="20">
        <v>50</v>
      </c>
      <c r="C1637" s="20">
        <v>80</v>
      </c>
      <c r="D1637" s="24"/>
      <c r="E1637" s="24"/>
      <c r="F1637" s="20" t="s">
        <v>12161</v>
      </c>
      <c r="G1637" s="24" t="str">
        <f ca="1">IFERROR(__xludf.DUMMYFUNCTION("GOOGLETRANSLATE(F1637,""en"",""pt"")"),"armazenamento de resíduos sólidos, sistemas de tratamento e eliminação")</f>
        <v>armazenamento de resíduos sólidos, sistemas de tratamento e eliminação</v>
      </c>
      <c r="H1637" s="24"/>
      <c r="I1637" s="24"/>
    </row>
    <row r="1638" spans="1:9" ht="14.5">
      <c r="A1638" s="20" t="s">
        <v>12162</v>
      </c>
      <c r="B1638" s="20">
        <v>50</v>
      </c>
      <c r="C1638" s="20">
        <v>80</v>
      </c>
      <c r="D1638" s="20">
        <v>40</v>
      </c>
      <c r="E1638" s="24"/>
      <c r="F1638" s="20" t="s">
        <v>12163</v>
      </c>
      <c r="G1638" s="24" t="str">
        <f ca="1">IFERROR(__xludf.DUMMYFUNCTION("GOOGLETRANSLATE(F1638,""en"",""pt"")"),"instalações de incineradores")</f>
        <v>instalações de incineradores</v>
      </c>
      <c r="H1638" s="24"/>
      <c r="I1638" s="24"/>
    </row>
    <row r="1639" spans="1:9" ht="14.5">
      <c r="A1639" s="20" t="s">
        <v>12164</v>
      </c>
      <c r="B1639" s="20">
        <v>50</v>
      </c>
      <c r="C1639" s="20">
        <v>80</v>
      </c>
      <c r="D1639" s="20">
        <v>80</v>
      </c>
      <c r="E1639" s="24"/>
      <c r="F1639" s="20" t="s">
        <v>12165</v>
      </c>
      <c r="G1639" s="24" t="str">
        <f ca="1">IFERROR(__xludf.DUMMYFUNCTION("GOOGLETRANSLATE(F1639,""en"",""pt"")"),"sistemas de resíduos sólidos compactação")</f>
        <v>sistemas de resíduos sólidos compactação</v>
      </c>
      <c r="H1639" s="24"/>
      <c r="I1639" s="24"/>
    </row>
    <row r="1640" spans="1:9" ht="14.5">
      <c r="A1640" s="20" t="s">
        <v>12166</v>
      </c>
      <c r="B1640" s="20">
        <v>50</v>
      </c>
      <c r="C1640" s="20">
        <v>80</v>
      </c>
      <c r="D1640" s="20">
        <v>80</v>
      </c>
      <c r="E1640" s="20">
        <v>96</v>
      </c>
      <c r="F1640" s="20" t="s">
        <v>12167</v>
      </c>
      <c r="G1640" s="24" t="str">
        <f ca="1">IFERROR(__xludf.DUMMYFUNCTION("GOOGLETRANSLATE(F1640,""en"",""pt"")"),"Resíduos de sistemas compactadores")</f>
        <v>Resíduos de sistemas compactadores</v>
      </c>
      <c r="H1640" s="20" t="s">
        <v>12168</v>
      </c>
      <c r="I1640" s="24"/>
    </row>
    <row r="1641" spans="1:9" ht="14.5">
      <c r="A1641" s="20" t="s">
        <v>12169</v>
      </c>
      <c r="B1641" s="20">
        <v>50</v>
      </c>
      <c r="C1641" s="20">
        <v>80</v>
      </c>
      <c r="D1641" s="20">
        <v>82</v>
      </c>
      <c r="E1641" s="24"/>
      <c r="F1641" s="20" t="s">
        <v>12170</v>
      </c>
      <c r="G1641" s="24" t="str">
        <f ca="1">IFERROR(__xludf.DUMMYFUNCTION("GOOGLETRANSLATE(F1641,""en"",""pt"")"),"sistemas de separação de resíduos sólidos")</f>
        <v>sistemas de separação de resíduos sólidos</v>
      </c>
      <c r="H1641" s="24"/>
      <c r="I1641" s="24"/>
    </row>
    <row r="1642" spans="1:9" ht="14.5">
      <c r="A1642" s="20" t="s">
        <v>12171</v>
      </c>
      <c r="B1642" s="20">
        <v>50</v>
      </c>
      <c r="C1642" s="20">
        <v>80</v>
      </c>
      <c r="D1642" s="20">
        <v>96</v>
      </c>
      <c r="E1642" s="24"/>
      <c r="F1642" s="20" t="s">
        <v>12172</v>
      </c>
      <c r="G1642" s="24" t="str">
        <f ca="1">IFERROR(__xludf.DUMMYFUNCTION("GOOGLETRANSLATE(F1642,""en"",""pt"")"),"sistemas de báscula")</f>
        <v>sistemas de báscula</v>
      </c>
      <c r="H1642" s="24"/>
      <c r="I1642" s="24"/>
    </row>
    <row r="1643" spans="1:9" ht="14.5">
      <c r="A1643" s="20" t="s">
        <v>12173</v>
      </c>
      <c r="B1643" s="20">
        <v>50</v>
      </c>
      <c r="C1643" s="20">
        <v>80</v>
      </c>
      <c r="D1643" s="20">
        <v>96</v>
      </c>
      <c r="E1643" s="20">
        <v>0</v>
      </c>
      <c r="F1643" s="20" t="s">
        <v>12174</v>
      </c>
      <c r="G1643" s="24" t="str">
        <f ca="1">IFERROR(__xludf.DUMMYFUNCTION("GOOGLETRANSLATE(F1643,""en"",""pt"")"),"sistemas weighbridge acima do solo")</f>
        <v>sistemas weighbridge acima do solo</v>
      </c>
      <c r="H1643" s="20" t="s">
        <v>12175</v>
      </c>
      <c r="I1643" s="24"/>
    </row>
    <row r="1644" spans="1:9" ht="14.5">
      <c r="A1644" s="20" t="s">
        <v>12176</v>
      </c>
      <c r="B1644" s="20">
        <v>50</v>
      </c>
      <c r="C1644" s="20">
        <v>80</v>
      </c>
      <c r="D1644" s="20">
        <v>96</v>
      </c>
      <c r="E1644" s="20">
        <v>63</v>
      </c>
      <c r="F1644" s="20" t="s">
        <v>12177</v>
      </c>
      <c r="G1644" s="24" t="str">
        <f ca="1">IFERROR(__xludf.DUMMYFUNCTION("GOOGLETRANSLATE(F1644,""en"",""pt"")"),"sistemas weighbridge Pit")</f>
        <v>sistemas weighbridge Pit</v>
      </c>
      <c r="H1644" s="20" t="s">
        <v>12178</v>
      </c>
      <c r="I1644" s="24"/>
    </row>
    <row r="1645" spans="1:9" ht="14.5">
      <c r="A1645" s="20" t="s">
        <v>12179</v>
      </c>
      <c r="B1645" s="20">
        <v>50</v>
      </c>
      <c r="C1645" s="20">
        <v>95</v>
      </c>
      <c r="D1645" s="24"/>
      <c r="E1645" s="24"/>
      <c r="F1645" s="20" t="s">
        <v>12180</v>
      </c>
      <c r="G1645" s="24" t="str">
        <f ca="1">IFERROR(__xludf.DUMMYFUNCTION("GOOGLETRANSLATE(F1645,""en"",""pt"")"),"sistemas de eliminação de temporários")</f>
        <v>sistemas de eliminação de temporários</v>
      </c>
      <c r="H1645" s="24"/>
      <c r="I1645" s="24"/>
    </row>
    <row r="1646" spans="1:9" ht="14.5">
      <c r="A1646" s="20" t="s">
        <v>12181</v>
      </c>
      <c r="B1646" s="20">
        <v>55</v>
      </c>
      <c r="C1646" s="24"/>
      <c r="D1646" s="24"/>
      <c r="E1646" s="24"/>
      <c r="F1646" s="20" t="s">
        <v>12182</v>
      </c>
      <c r="G1646" s="24" t="str">
        <f ca="1">IFERROR(__xludf.DUMMYFUNCTION("GOOGLETRANSLATE(F1646,""en"",""pt"")"),"sistemas de abastecimento canalizado")</f>
        <v>sistemas de abastecimento canalizado</v>
      </c>
      <c r="H1646" s="24"/>
      <c r="I1646" s="24"/>
    </row>
    <row r="1647" spans="1:9" ht="14.5">
      <c r="A1647" s="20" t="s">
        <v>12183</v>
      </c>
      <c r="B1647" s="20">
        <v>55</v>
      </c>
      <c r="C1647" s="20">
        <v>5</v>
      </c>
      <c r="D1647" s="24"/>
      <c r="E1647" s="24"/>
      <c r="F1647" s="20" t="s">
        <v>12184</v>
      </c>
      <c r="G1647" s="24" t="str">
        <f ca="1">IFERROR(__xludf.DUMMYFUNCTION("GOOGLETRANSLATE(F1647,""en"",""pt"")"),"extracção de gás, sistemas de tratamento e de armazenagem")</f>
        <v>extracção de gás, sistemas de tratamento e de armazenagem</v>
      </c>
      <c r="H1647" s="24"/>
      <c r="I1647" s="24"/>
    </row>
    <row r="1648" spans="1:9" ht="14.5">
      <c r="A1648" s="20" t="s">
        <v>12185</v>
      </c>
      <c r="B1648" s="20">
        <v>55</v>
      </c>
      <c r="C1648" s="20">
        <v>5</v>
      </c>
      <c r="D1648" s="20">
        <v>30</v>
      </c>
      <c r="E1648" s="24"/>
      <c r="F1648" s="20" t="s">
        <v>12186</v>
      </c>
      <c r="G1648" s="24" t="str">
        <f ca="1">IFERROR(__xludf.DUMMYFUNCTION("GOOGLETRANSLATE(F1648,""en"",""pt"")"),"Sistemas de extracção de gás")</f>
        <v>Sistemas de extracção de gás</v>
      </c>
      <c r="H1648" s="24"/>
      <c r="I1648" s="24"/>
    </row>
    <row r="1649" spans="1:9" ht="14.5">
      <c r="A1649" s="20" t="s">
        <v>12187</v>
      </c>
      <c r="B1649" s="20">
        <v>55</v>
      </c>
      <c r="C1649" s="20">
        <v>5</v>
      </c>
      <c r="D1649" s="20">
        <v>75</v>
      </c>
      <c r="E1649" s="24"/>
      <c r="F1649" s="20" t="s">
        <v>12188</v>
      </c>
      <c r="G1649" s="24" t="str">
        <f ca="1">IFERROR(__xludf.DUMMYFUNCTION("GOOGLETRANSLATE(F1649,""en"",""pt"")"),"sistemas de tanques de armazenamento de gás")</f>
        <v>sistemas de tanques de armazenamento de gás</v>
      </c>
      <c r="H1649" s="24"/>
      <c r="I1649" s="24"/>
    </row>
    <row r="1650" spans="1:9" ht="14.5">
      <c r="A1650" s="20" t="s">
        <v>12189</v>
      </c>
      <c r="B1650" s="20">
        <v>55</v>
      </c>
      <c r="C1650" s="20">
        <v>5</v>
      </c>
      <c r="D1650" s="20">
        <v>85</v>
      </c>
      <c r="E1650" s="24"/>
      <c r="F1650" s="20" t="s">
        <v>12190</v>
      </c>
      <c r="G1650" s="24" t="str">
        <f ca="1">IFERROR(__xludf.DUMMYFUNCTION("GOOGLETRANSLATE(F1650,""en"",""pt"")"),"sistemas de tratamento de gás")</f>
        <v>sistemas de tratamento de gás</v>
      </c>
      <c r="H1650" s="24"/>
      <c r="I1650" s="24"/>
    </row>
    <row r="1651" spans="1:9" ht="14.5">
      <c r="A1651" s="20" t="s">
        <v>12191</v>
      </c>
      <c r="B1651" s="20">
        <v>55</v>
      </c>
      <c r="C1651" s="20">
        <v>5</v>
      </c>
      <c r="D1651" s="20">
        <v>95</v>
      </c>
      <c r="E1651" s="24"/>
      <c r="F1651" s="20" t="s">
        <v>12192</v>
      </c>
      <c r="G1651" s="24" t="str">
        <f ca="1">IFERROR(__xludf.DUMMYFUNCTION("GOOGLETRANSLATE(F1651,""en"",""pt"")"),"sistemas de poços de gás")</f>
        <v>sistemas de poços de gás</v>
      </c>
      <c r="H1651" s="24"/>
      <c r="I1651" s="24"/>
    </row>
    <row r="1652" spans="1:9" ht="14.5">
      <c r="A1652" s="20" t="s">
        <v>12193</v>
      </c>
      <c r="B1652" s="20">
        <v>55</v>
      </c>
      <c r="C1652" s="20">
        <v>10</v>
      </c>
      <c r="D1652" s="24"/>
      <c r="E1652" s="24"/>
      <c r="F1652" s="20" t="s">
        <v>12194</v>
      </c>
      <c r="G1652" s="24" t="str">
        <f ca="1">IFERROR(__xludf.DUMMYFUNCTION("GOOGLETRANSLATE(F1652,""en"",""pt"")"),"extracção de combustíveis líquidos, sistemas de tratamento e de armazenagem")</f>
        <v>extracção de combustíveis líquidos, sistemas de tratamento e de armazenagem</v>
      </c>
      <c r="H1652" s="24"/>
      <c r="I1652" s="24"/>
    </row>
    <row r="1653" spans="1:9" ht="14.5">
      <c r="A1653" s="20" t="s">
        <v>12195</v>
      </c>
      <c r="B1653" s="20">
        <v>55</v>
      </c>
      <c r="C1653" s="20">
        <v>10</v>
      </c>
      <c r="D1653" s="20">
        <v>70</v>
      </c>
      <c r="E1653" s="24"/>
      <c r="F1653" s="20" t="s">
        <v>12196</v>
      </c>
      <c r="G1653" s="24" t="str">
        <f ca="1">IFERROR(__xludf.DUMMYFUNCTION("GOOGLETRANSLATE(F1653,""en"",""pt"")"),"sistemas de extração de combustível líquido")</f>
        <v>sistemas de extração de combustível líquido</v>
      </c>
      <c r="H1653" s="24"/>
      <c r="I1653" s="24"/>
    </row>
    <row r="1654" spans="1:9" ht="14.5">
      <c r="A1654" s="20" t="s">
        <v>12197</v>
      </c>
      <c r="B1654" s="20">
        <v>55</v>
      </c>
      <c r="C1654" s="20">
        <v>10</v>
      </c>
      <c r="D1654" s="20">
        <v>75</v>
      </c>
      <c r="E1654" s="24"/>
      <c r="F1654" s="20" t="s">
        <v>12198</v>
      </c>
      <c r="G1654" s="24" t="str">
        <f ca="1">IFERROR(__xludf.DUMMYFUNCTION("GOOGLETRANSLATE(F1654,""en"",""pt"")"),"sistemas de tanques de armazenamento de combustível líquido")</f>
        <v>sistemas de tanques de armazenamento de combustível líquido</v>
      </c>
      <c r="H1654" s="24"/>
      <c r="I1654" s="24"/>
    </row>
    <row r="1655" spans="1:9" ht="14.5">
      <c r="A1655" s="20" t="s">
        <v>12199</v>
      </c>
      <c r="B1655" s="20">
        <v>55</v>
      </c>
      <c r="C1655" s="20">
        <v>10</v>
      </c>
      <c r="D1655" s="20">
        <v>85</v>
      </c>
      <c r="E1655" s="24"/>
      <c r="F1655" s="20" t="s">
        <v>12200</v>
      </c>
      <c r="G1655" s="24" t="str">
        <f ca="1">IFERROR(__xludf.DUMMYFUNCTION("GOOGLETRANSLATE(F1655,""en"",""pt"")"),"sistemas de tratamento de combustível líquido")</f>
        <v>sistemas de tratamento de combustível líquido</v>
      </c>
      <c r="H1655" s="24"/>
      <c r="I1655" s="24"/>
    </row>
    <row r="1656" spans="1:9" ht="14.5">
      <c r="A1656" s="20" t="s">
        <v>12201</v>
      </c>
      <c r="B1656" s="20">
        <v>55</v>
      </c>
      <c r="C1656" s="20">
        <v>10</v>
      </c>
      <c r="D1656" s="20">
        <v>95</v>
      </c>
      <c r="E1656" s="24"/>
      <c r="F1656" s="20" t="s">
        <v>12202</v>
      </c>
      <c r="G1656" s="24" t="str">
        <f ca="1">IFERROR(__xludf.DUMMYFUNCTION("GOOGLETRANSLATE(F1656,""en"",""pt"")"),"sistemas de poços de combustível líquido")</f>
        <v>sistemas de poços de combustível líquido</v>
      </c>
      <c r="H1656" s="24"/>
      <c r="I1656" s="24"/>
    </row>
    <row r="1657" spans="1:9" ht="14.5">
      <c r="A1657" s="20" t="s">
        <v>12203</v>
      </c>
      <c r="B1657" s="20">
        <v>55</v>
      </c>
      <c r="C1657" s="20">
        <v>15</v>
      </c>
      <c r="D1657" s="24"/>
      <c r="E1657" s="24"/>
      <c r="F1657" s="20" t="s">
        <v>12204</v>
      </c>
      <c r="G1657" s="24" t="str">
        <f ca="1">IFERROR(__xludf.DUMMYFUNCTION("GOOGLETRANSLATE(F1657,""en"",""pt"")"),"Extracção de água, sistemas de tratamento e de armazenagem")</f>
        <v>Extracção de água, sistemas de tratamento e de armazenagem</v>
      </c>
      <c r="H1657" s="24"/>
      <c r="I1657" s="24"/>
    </row>
    <row r="1658" spans="1:9" ht="14.5">
      <c r="A1658" s="20" t="s">
        <v>12205</v>
      </c>
      <c r="B1658" s="20">
        <v>55</v>
      </c>
      <c r="C1658" s="20">
        <v>15</v>
      </c>
      <c r="D1658" s="20">
        <v>65</v>
      </c>
      <c r="E1658" s="24"/>
      <c r="F1658" s="20" t="s">
        <v>12206</v>
      </c>
      <c r="G1658" s="24" t="str">
        <f ca="1">IFERROR(__xludf.DUMMYFUNCTION("GOOGLETRANSLATE(F1658,""en"",""pt"")"),"sistemas de tanque de armazenamento de água potável")</f>
        <v>sistemas de tanque de armazenamento de água potável</v>
      </c>
      <c r="H1658" s="24"/>
      <c r="I1658" s="24"/>
    </row>
    <row r="1659" spans="1:9" ht="14.5">
      <c r="A1659" s="20" t="s">
        <v>12207</v>
      </c>
      <c r="B1659" s="20">
        <v>55</v>
      </c>
      <c r="C1659" s="20">
        <v>15</v>
      </c>
      <c r="D1659" s="20">
        <v>65</v>
      </c>
      <c r="E1659" s="20">
        <v>15</v>
      </c>
      <c r="F1659" s="20" t="s">
        <v>12208</v>
      </c>
      <c r="G1659" s="24" t="str">
        <f ca="1">IFERROR(__xludf.DUMMYFUNCTION("GOOGLETRANSLATE(F1659,""en"",""pt"")"),"Betão sistemas de armazenamento de água potável")</f>
        <v>Betão sistemas de armazenamento de água potável</v>
      </c>
      <c r="H1659" s="20" t="s">
        <v>12209</v>
      </c>
      <c r="I1659" s="24"/>
    </row>
    <row r="1660" spans="1:9" ht="14.5">
      <c r="A1660" s="20" t="s">
        <v>12210</v>
      </c>
      <c r="B1660" s="20">
        <v>55</v>
      </c>
      <c r="C1660" s="20">
        <v>15</v>
      </c>
      <c r="D1660" s="20">
        <v>65</v>
      </c>
      <c r="E1660" s="20">
        <v>65</v>
      </c>
      <c r="F1660" s="20" t="s">
        <v>12211</v>
      </c>
      <c r="G1660" s="24" t="str">
        <f ca="1">IFERROR(__xludf.DUMMYFUNCTION("GOOGLETRANSLATE(F1660,""en"",""pt"")"),"Plásticos sistemas de armazenamento de água potável")</f>
        <v>Plásticos sistemas de armazenamento de água potável</v>
      </c>
      <c r="H1660" s="20" t="s">
        <v>12212</v>
      </c>
      <c r="I1660" s="24"/>
    </row>
    <row r="1661" spans="1:9" ht="14.5">
      <c r="A1661" s="20" t="s">
        <v>12213</v>
      </c>
      <c r="B1661" s="20">
        <v>55</v>
      </c>
      <c r="C1661" s="20">
        <v>15</v>
      </c>
      <c r="D1661" s="20">
        <v>65</v>
      </c>
      <c r="E1661" s="20">
        <v>72</v>
      </c>
      <c r="F1661" s="20" t="s">
        <v>12214</v>
      </c>
      <c r="G1661" s="24" t="str">
        <f ca="1">IFERROR(__xludf.DUMMYFUNCTION("GOOGLETRANSLATE(F1661,""en"",""pt"")"),"sistemas de armazenamento de água potável betão armado")</f>
        <v>sistemas de armazenamento de água potável betão armado</v>
      </c>
      <c r="H1661" s="20" t="s">
        <v>12215</v>
      </c>
      <c r="I1661" s="24"/>
    </row>
    <row r="1662" spans="1:9" ht="14.5">
      <c r="A1662" s="20" t="s">
        <v>12216</v>
      </c>
      <c r="B1662" s="20">
        <v>55</v>
      </c>
      <c r="C1662" s="20">
        <v>15</v>
      </c>
      <c r="D1662" s="20">
        <v>65</v>
      </c>
      <c r="E1662" s="20">
        <v>84</v>
      </c>
      <c r="F1662" s="20" t="s">
        <v>12217</v>
      </c>
      <c r="G1662" s="24" t="str">
        <f ca="1">IFERROR(__xludf.DUMMYFUNCTION("GOOGLETRANSLATE(F1662,""en"",""pt"")"),"sistemas de armazenamento de água potável aço moldado")</f>
        <v>sistemas de armazenamento de água potável aço moldado</v>
      </c>
      <c r="H1662" s="20" t="s">
        <v>12218</v>
      </c>
      <c r="I1662" s="24"/>
    </row>
    <row r="1663" spans="1:9" ht="14.5">
      <c r="A1663" s="20" t="s">
        <v>12219</v>
      </c>
      <c r="B1663" s="20">
        <v>55</v>
      </c>
      <c r="C1663" s="20">
        <v>15</v>
      </c>
      <c r="D1663" s="20">
        <v>70</v>
      </c>
      <c r="E1663" s="24"/>
      <c r="F1663" s="20" t="s">
        <v>12220</v>
      </c>
      <c r="G1663" s="24" t="str">
        <f ca="1">IFERROR(__xludf.DUMMYFUNCTION("GOOGLETRANSLATE(F1663,""en"",""pt"")"),"sistemas de reservatório de água")</f>
        <v>sistemas de reservatório de água</v>
      </c>
      <c r="H1663" s="24"/>
      <c r="I1663" s="24"/>
    </row>
    <row r="1664" spans="1:9" ht="14.5">
      <c r="A1664" s="20" t="s">
        <v>12221</v>
      </c>
      <c r="B1664" s="20">
        <v>55</v>
      </c>
      <c r="C1664" s="20">
        <v>15</v>
      </c>
      <c r="D1664" s="20">
        <v>72</v>
      </c>
      <c r="E1664" s="24"/>
      <c r="F1664" s="20" t="s">
        <v>12222</v>
      </c>
      <c r="G1664" s="24" t="str">
        <f ca="1">IFERROR(__xludf.DUMMYFUNCTION("GOOGLETRANSLATE(F1664,""en"",""pt"")"),"Extracção de água e sistemas de monitorização")</f>
        <v>Extracção de água e sistemas de monitorização</v>
      </c>
      <c r="H1664" s="24"/>
      <c r="I1664" s="24"/>
    </row>
    <row r="1665" spans="1:9" ht="14.5">
      <c r="A1665" s="20" t="s">
        <v>12223</v>
      </c>
      <c r="B1665" s="20">
        <v>55</v>
      </c>
      <c r="C1665" s="20">
        <v>15</v>
      </c>
      <c r="D1665" s="20">
        <v>72</v>
      </c>
      <c r="E1665" s="20">
        <v>20</v>
      </c>
      <c r="F1665" s="20" t="s">
        <v>12224</v>
      </c>
      <c r="G1665" s="24" t="str">
        <f ca="1">IFERROR(__xludf.DUMMYFUNCTION("GOOGLETRANSLATE(F1665,""en"",""pt"")"),"sistemas de extracção de água de poço")</f>
        <v>sistemas de extracção de água de poço</v>
      </c>
      <c r="H1665" s="24"/>
      <c r="I1665" s="24"/>
    </row>
    <row r="1666" spans="1:9" ht="14.5">
      <c r="A1666" s="20" t="s">
        <v>12225</v>
      </c>
      <c r="B1666" s="20">
        <v>55</v>
      </c>
      <c r="C1666" s="20">
        <v>15</v>
      </c>
      <c r="D1666" s="20">
        <v>72</v>
      </c>
      <c r="E1666" s="20">
        <v>50</v>
      </c>
      <c r="F1666" s="20" t="s">
        <v>12226</v>
      </c>
      <c r="G1666" s="24" t="str">
        <f ca="1">IFERROR(__xludf.DUMMYFUNCTION("GOOGLETRANSLATE(F1666,""en"",""pt"")"),"Água sistemas de monitoramento de poços")</f>
        <v>Água sistemas de monitoramento de poços</v>
      </c>
      <c r="H1666" s="24"/>
      <c r="I1666" s="24"/>
    </row>
    <row r="1667" spans="1:9" ht="14.5">
      <c r="A1667" s="20" t="s">
        <v>12227</v>
      </c>
      <c r="B1667" s="20">
        <v>55</v>
      </c>
      <c r="C1667" s="20">
        <v>15</v>
      </c>
      <c r="D1667" s="20">
        <v>85</v>
      </c>
      <c r="E1667" s="24"/>
      <c r="F1667" s="20" t="s">
        <v>12228</v>
      </c>
      <c r="G1667" s="24" t="str">
        <f ca="1">IFERROR(__xludf.DUMMYFUNCTION("GOOGLETRANSLATE(F1667,""en"",""pt"")"),"tratamento de água e sistemas de purificação")</f>
        <v>tratamento de água e sistemas de purificação</v>
      </c>
      <c r="H1667" s="24"/>
      <c r="I1667" s="24"/>
    </row>
    <row r="1668" spans="1:9" ht="14.5">
      <c r="A1668" s="20" t="s">
        <v>12229</v>
      </c>
      <c r="B1668" s="20">
        <v>55</v>
      </c>
      <c r="C1668" s="20">
        <v>15</v>
      </c>
      <c r="D1668" s="20">
        <v>85</v>
      </c>
      <c r="E1668" s="20">
        <v>8</v>
      </c>
      <c r="F1668" s="20" t="s">
        <v>12230</v>
      </c>
      <c r="G1668" s="24" t="str">
        <f ca="1">IFERROR(__xludf.DUMMYFUNCTION("GOOGLETRANSLATE(F1668,""en"",""pt"")"),"Biológica aerada inundado sistemas de filtro")</f>
        <v>Biológica aerada inundado sistemas de filtro</v>
      </c>
      <c r="H1668" s="20" t="s">
        <v>12231</v>
      </c>
      <c r="I1668" s="24"/>
    </row>
    <row r="1669" spans="1:9" ht="14.5">
      <c r="A1669" s="20" t="s">
        <v>12232</v>
      </c>
      <c r="B1669" s="20">
        <v>55</v>
      </c>
      <c r="C1669" s="20">
        <v>15</v>
      </c>
      <c r="D1669" s="20">
        <v>85</v>
      </c>
      <c r="E1669" s="20">
        <v>23</v>
      </c>
      <c r="F1669" s="20" t="s">
        <v>12233</v>
      </c>
      <c r="G1669" s="24" t="str">
        <f ca="1">IFERROR(__xludf.DUMMYFUNCTION("GOOGLETRANSLATE(F1669,""en"",""pt"")"),"sistemas de flotação por ar dissolvido")</f>
        <v>sistemas de flotação por ar dissolvido</v>
      </c>
      <c r="H1669" s="20" t="s">
        <v>12234</v>
      </c>
      <c r="I1669" s="24"/>
    </row>
    <row r="1670" spans="1:9" ht="14.5">
      <c r="A1670" s="20" t="s">
        <v>12235</v>
      </c>
      <c r="B1670" s="20">
        <v>55</v>
      </c>
      <c r="C1670" s="20">
        <v>15</v>
      </c>
      <c r="D1670" s="20">
        <v>85</v>
      </c>
      <c r="E1670" s="20">
        <v>46</v>
      </c>
      <c r="F1670" s="20" t="s">
        <v>12236</v>
      </c>
      <c r="G1670" s="24" t="str">
        <f ca="1">IFERROR(__xludf.DUMMYFUNCTION("GOOGLETRANSLATE(F1670,""en"",""pt"")"),"sistemas de placas de lamelas")</f>
        <v>sistemas de placas de lamelas</v>
      </c>
      <c r="H1670" s="20" t="s">
        <v>12237</v>
      </c>
      <c r="I1670" s="24"/>
    </row>
    <row r="1671" spans="1:9" ht="14.5">
      <c r="A1671" s="20" t="s">
        <v>12238</v>
      </c>
      <c r="B1671" s="20">
        <v>55</v>
      </c>
      <c r="C1671" s="20">
        <v>15</v>
      </c>
      <c r="D1671" s="20">
        <v>85</v>
      </c>
      <c r="E1671" s="20">
        <v>75</v>
      </c>
      <c r="F1671" s="20" t="s">
        <v>12239</v>
      </c>
      <c r="G1671" s="24" t="str">
        <f ca="1">IFERROR(__xludf.DUMMYFUNCTION("GOOGLETRANSLATE(F1671,""en"",""pt"")"),"sistemas Sandfilter")</f>
        <v>sistemas Sandfilter</v>
      </c>
      <c r="H1671" s="20" t="s">
        <v>12240</v>
      </c>
      <c r="I1671" s="24"/>
    </row>
    <row r="1672" spans="1:9" ht="14.5">
      <c r="A1672" s="20" t="s">
        <v>12241</v>
      </c>
      <c r="B1672" s="20">
        <v>55</v>
      </c>
      <c r="C1672" s="20">
        <v>15</v>
      </c>
      <c r="D1672" s="20">
        <v>85</v>
      </c>
      <c r="E1672" s="20">
        <v>85</v>
      </c>
      <c r="F1672" s="20" t="s">
        <v>12242</v>
      </c>
      <c r="G1672" s="24" t="str">
        <f ca="1">IFERROR(__xludf.DUMMYFUNCTION("GOOGLETRANSLATE(F1672,""en"",""pt"")"),"sistemas de filtro submerso ventilado")</f>
        <v>sistemas de filtro submerso ventilado</v>
      </c>
      <c r="H1672" s="20" t="s">
        <v>12243</v>
      </c>
      <c r="I1672" s="24"/>
    </row>
    <row r="1673" spans="1:9" ht="14.5">
      <c r="A1673" s="20" t="s">
        <v>12244</v>
      </c>
      <c r="B1673" s="20">
        <v>55</v>
      </c>
      <c r="C1673" s="20">
        <v>15</v>
      </c>
      <c r="D1673" s="20">
        <v>95</v>
      </c>
      <c r="E1673" s="24"/>
      <c r="F1673" s="20" t="s">
        <v>12245</v>
      </c>
      <c r="G1673" s="24" t="str">
        <f ca="1">IFERROR(__xludf.DUMMYFUNCTION("GOOGLETRANSLATE(F1673,""en"",""pt"")"),"sistemas bem molhadas")</f>
        <v>sistemas bem molhadas</v>
      </c>
      <c r="H1673" s="24"/>
      <c r="I1673" s="24"/>
    </row>
    <row r="1674" spans="1:9" ht="14.5">
      <c r="A1674" s="20" t="s">
        <v>12246</v>
      </c>
      <c r="B1674" s="20">
        <v>55</v>
      </c>
      <c r="C1674" s="20">
        <v>15</v>
      </c>
      <c r="D1674" s="20">
        <v>95</v>
      </c>
      <c r="E1674" s="20">
        <v>64</v>
      </c>
      <c r="F1674" s="20" t="s">
        <v>12247</v>
      </c>
      <c r="G1674" s="24" t="str">
        <f ca="1">IFERROR(__xludf.DUMMYFUNCTION("GOOGLETRANSLATE(F1674,""en"",""pt"")"),"sistemas bem molhadas empilhados")</f>
        <v>sistemas bem molhadas empilhados</v>
      </c>
      <c r="H1674" s="20" t="s">
        <v>12248</v>
      </c>
      <c r="I1674" s="24"/>
    </row>
    <row r="1675" spans="1:9" ht="14.5">
      <c r="A1675" s="20" t="s">
        <v>12249</v>
      </c>
      <c r="B1675" s="20">
        <v>55</v>
      </c>
      <c r="C1675" s="20">
        <v>15</v>
      </c>
      <c r="D1675" s="20">
        <v>95</v>
      </c>
      <c r="E1675" s="20">
        <v>72</v>
      </c>
      <c r="F1675" s="20" t="s">
        <v>12250</v>
      </c>
      <c r="G1675" s="24" t="str">
        <f ca="1">IFERROR(__xludf.DUMMYFUNCTION("GOOGLETRANSLATE(F1675,""en"",""pt"")"),"sistemas bem molhada de betão reforçado")</f>
        <v>sistemas bem molhada de betão reforçado</v>
      </c>
      <c r="H1675" s="20" t="s">
        <v>12251</v>
      </c>
      <c r="I1675" s="24"/>
    </row>
    <row r="1676" spans="1:9" ht="14.5">
      <c r="A1676" s="20" t="s">
        <v>12252</v>
      </c>
      <c r="B1676" s="20">
        <v>55</v>
      </c>
      <c r="C1676" s="20">
        <v>20</v>
      </c>
      <c r="D1676" s="24"/>
      <c r="E1676" s="24"/>
      <c r="F1676" s="20" t="s">
        <v>12253</v>
      </c>
      <c r="G1676" s="24" t="str">
        <f ca="1">IFERROR(__xludf.DUMMYFUNCTION("GOOGLETRANSLATE(F1676,""en"",""pt"")"),"sistemas de distribuição de gás e de abastecimento")</f>
        <v>sistemas de distribuição de gás e de abastecimento</v>
      </c>
      <c r="H1676" s="24"/>
      <c r="I1676" s="24"/>
    </row>
    <row r="1677" spans="1:9" ht="14.5">
      <c r="A1677" s="20" t="s">
        <v>12254</v>
      </c>
      <c r="B1677" s="20">
        <v>55</v>
      </c>
      <c r="C1677" s="20">
        <v>20</v>
      </c>
      <c r="D1677" s="20">
        <v>15</v>
      </c>
      <c r="E1677" s="24"/>
      <c r="F1677" s="20" t="s">
        <v>12255</v>
      </c>
      <c r="G1677" s="24" t="str">
        <f ca="1">IFERROR(__xludf.DUMMYFUNCTION("GOOGLETRANSLATE(F1677,""en"",""pt"")"),"sistemas de abastecimento de ar comprimido")</f>
        <v>sistemas de abastecimento de ar comprimido</v>
      </c>
      <c r="H1677" s="24"/>
      <c r="I1677" s="24"/>
    </row>
    <row r="1678" spans="1:9" ht="14.5">
      <c r="A1678" s="20" t="s">
        <v>12256</v>
      </c>
      <c r="B1678" s="20">
        <v>55</v>
      </c>
      <c r="C1678" s="20">
        <v>20</v>
      </c>
      <c r="D1678" s="20">
        <v>15</v>
      </c>
      <c r="E1678" s="20">
        <v>42</v>
      </c>
      <c r="F1678" s="20" t="s">
        <v>12257</v>
      </c>
      <c r="G1678" s="24" t="str">
        <f ca="1">IFERROR(__xludf.DUMMYFUNCTION("GOOGLETRANSLATE(F1678,""en"",""pt"")"),"sistemas de abastecimento de ar comprimido industrial")</f>
        <v>sistemas de abastecimento de ar comprimido industrial</v>
      </c>
      <c r="H1678" s="20" t="s">
        <v>12258</v>
      </c>
      <c r="I1678" s="20" t="s">
        <v>12259</v>
      </c>
    </row>
    <row r="1679" spans="1:9" ht="14.5">
      <c r="A1679" s="20" t="s">
        <v>12260</v>
      </c>
      <c r="B1679" s="20">
        <v>55</v>
      </c>
      <c r="C1679" s="20">
        <v>20</v>
      </c>
      <c r="D1679" s="20">
        <v>15</v>
      </c>
      <c r="E1679" s="20">
        <v>46</v>
      </c>
      <c r="F1679" s="20" t="s">
        <v>12261</v>
      </c>
      <c r="G1679" s="24" t="str">
        <f ca="1">IFERROR(__xludf.DUMMYFUNCTION("GOOGLETRANSLATE(F1679,""en"",""pt"")"),"sistemas de abastecimento de ar comprimido laboratorial")</f>
        <v>sistemas de abastecimento de ar comprimido laboratorial</v>
      </c>
      <c r="H1679" s="24"/>
      <c r="I1679" s="24"/>
    </row>
    <row r="1680" spans="1:9" ht="14.5">
      <c r="A1680" s="20" t="s">
        <v>12262</v>
      </c>
      <c r="B1680" s="20">
        <v>55</v>
      </c>
      <c r="C1680" s="20">
        <v>20</v>
      </c>
      <c r="D1680" s="20">
        <v>15</v>
      </c>
      <c r="E1680" s="20">
        <v>51</v>
      </c>
      <c r="F1680" s="20" t="s">
        <v>12263</v>
      </c>
      <c r="G1680" s="24" t="str">
        <f ca="1">IFERROR(__xludf.DUMMYFUNCTION("GOOGLETRANSLATE(F1680,""en"",""pt"")"),"sistemas de abastecimento de ar comprimido médicos")</f>
        <v>sistemas de abastecimento de ar comprimido médicos</v>
      </c>
      <c r="H1680" s="20" t="s">
        <v>12264</v>
      </c>
      <c r="I1680" s="20" t="s">
        <v>12259</v>
      </c>
    </row>
    <row r="1681" spans="1:9" ht="14.5">
      <c r="A1681" s="20" t="s">
        <v>12265</v>
      </c>
      <c r="B1681" s="20">
        <v>55</v>
      </c>
      <c r="C1681" s="20">
        <v>20</v>
      </c>
      <c r="D1681" s="20">
        <v>33</v>
      </c>
      <c r="E1681" s="24"/>
      <c r="F1681" s="20" t="s">
        <v>12266</v>
      </c>
      <c r="G1681" s="24" t="str">
        <f ca="1">IFERROR(__xludf.DUMMYFUNCTION("GOOGLETRANSLATE(F1681,""en"",""pt"")"),"sistemas de rede de distribuição de gás")</f>
        <v>sistemas de rede de distribuição de gás</v>
      </c>
      <c r="H1681" s="24"/>
      <c r="I1681" s="24"/>
    </row>
    <row r="1682" spans="1:9" ht="14.5">
      <c r="A1682" s="20" t="s">
        <v>12267</v>
      </c>
      <c r="B1682" s="20">
        <v>55</v>
      </c>
      <c r="C1682" s="20">
        <v>20</v>
      </c>
      <c r="D1682" s="20">
        <v>33</v>
      </c>
      <c r="E1682" s="20">
        <v>56</v>
      </c>
      <c r="F1682" s="20" t="s">
        <v>12268</v>
      </c>
      <c r="G1682" s="24" t="str">
        <f ca="1">IFERROR(__xludf.DUMMYFUNCTION("GOOGLETRANSLATE(F1682,""en"",""pt"")"),"sistemas de rede de distribuição de gás natural")</f>
        <v>sistemas de rede de distribuição de gás natural</v>
      </c>
      <c r="H1682" s="20" t="s">
        <v>12269</v>
      </c>
      <c r="I1682" s="20" t="s">
        <v>12270</v>
      </c>
    </row>
    <row r="1683" spans="1:9" ht="14.5">
      <c r="A1683" s="20" t="s">
        <v>12271</v>
      </c>
      <c r="B1683" s="20">
        <v>55</v>
      </c>
      <c r="C1683" s="20">
        <v>20</v>
      </c>
      <c r="D1683" s="20">
        <v>34</v>
      </c>
      <c r="E1683" s="24"/>
      <c r="F1683" s="20" t="s">
        <v>12272</v>
      </c>
      <c r="G1683" s="24" t="str">
        <f ca="1">IFERROR(__xludf.DUMMYFUNCTION("GOOGLETRANSLATE(F1683,""en"",""pt"")"),"sistemas de abastecimento de gás")</f>
        <v>sistemas de abastecimento de gás</v>
      </c>
      <c r="H1683" s="24"/>
      <c r="I1683" s="24"/>
    </row>
    <row r="1684" spans="1:9" ht="14.5">
      <c r="A1684" s="20" t="s">
        <v>12273</v>
      </c>
      <c r="B1684" s="20">
        <v>55</v>
      </c>
      <c r="C1684" s="20">
        <v>20</v>
      </c>
      <c r="D1684" s="20">
        <v>34</v>
      </c>
      <c r="E1684" s="20">
        <v>5</v>
      </c>
      <c r="F1684" s="20" t="s">
        <v>12274</v>
      </c>
      <c r="G1684" s="24" t="str">
        <f ca="1">IFERROR(__xludf.DUMMYFUNCTION("GOOGLETRANSLATE(F1684,""en"",""pt"")"),"sistemas de abastecimento de biogás")</f>
        <v>sistemas de abastecimento de biogás</v>
      </c>
      <c r="H1684" s="20" t="s">
        <v>12275</v>
      </c>
      <c r="I1684" s="20" t="s">
        <v>12276</v>
      </c>
    </row>
    <row r="1685" spans="1:9" ht="14.5">
      <c r="A1685" s="20" t="s">
        <v>12277</v>
      </c>
      <c r="B1685" s="20">
        <v>55</v>
      </c>
      <c r="C1685" s="20">
        <v>20</v>
      </c>
      <c r="D1685" s="20">
        <v>34</v>
      </c>
      <c r="E1685" s="20">
        <v>46</v>
      </c>
      <c r="F1685" s="20" t="s">
        <v>12278</v>
      </c>
      <c r="G1685" s="24" t="str">
        <f ca="1">IFERROR(__xludf.DUMMYFUNCTION("GOOGLETRANSLATE(F1685,""en"",""pt"")"),"de gás de petróleo liquefeito (GPL) sistemas de abastecimento")</f>
        <v>de gás de petróleo liquefeito (GPL) sistemas de abastecimento</v>
      </c>
      <c r="H1685" s="20" t="s">
        <v>12279</v>
      </c>
      <c r="I1685" s="20" t="s">
        <v>12276</v>
      </c>
    </row>
    <row r="1686" spans="1:9" ht="14.5">
      <c r="A1686" s="20" t="s">
        <v>12280</v>
      </c>
      <c r="B1686" s="20">
        <v>55</v>
      </c>
      <c r="C1686" s="20">
        <v>20</v>
      </c>
      <c r="D1686" s="20">
        <v>34</v>
      </c>
      <c r="E1686" s="20">
        <v>57</v>
      </c>
      <c r="F1686" s="20" t="s">
        <v>12281</v>
      </c>
      <c r="G1686" s="24" t="str">
        <f ca="1">IFERROR(__xludf.DUMMYFUNCTION("GOOGLETRANSLATE(F1686,""en"",""pt"")"),"sistemas de abastecimento de gás natural")</f>
        <v>sistemas de abastecimento de gás natural</v>
      </c>
      <c r="H1686" s="20" t="s">
        <v>12282</v>
      </c>
      <c r="I1686" s="20" t="s">
        <v>12270</v>
      </c>
    </row>
    <row r="1687" spans="1:9" ht="14.5">
      <c r="A1687" s="20" t="s">
        <v>12283</v>
      </c>
      <c r="B1687" s="20">
        <v>55</v>
      </c>
      <c r="C1687" s="20">
        <v>20</v>
      </c>
      <c r="D1687" s="20">
        <v>34</v>
      </c>
      <c r="E1687" s="20">
        <v>95</v>
      </c>
      <c r="F1687" s="20" t="s">
        <v>12284</v>
      </c>
      <c r="G1687" s="24" t="str">
        <f ca="1">IFERROR(__xludf.DUMMYFUNCTION("GOOGLETRANSLATE(F1687,""en"",""pt"")"),"Soldagem sistemas de abastecimento de gás")</f>
        <v>Soldagem sistemas de abastecimento de gás</v>
      </c>
      <c r="H1687" s="24"/>
      <c r="I1687" s="24"/>
    </row>
    <row r="1688" spans="1:9" ht="14.5">
      <c r="A1688" s="20" t="s">
        <v>12285</v>
      </c>
      <c r="B1688" s="20">
        <v>55</v>
      </c>
      <c r="C1688" s="20">
        <v>20</v>
      </c>
      <c r="D1688" s="20">
        <v>40</v>
      </c>
      <c r="E1688" s="24"/>
      <c r="F1688" s="20" t="s">
        <v>12286</v>
      </c>
      <c r="G1688" s="24" t="str">
        <f ca="1">IFERROR(__xludf.DUMMYFUNCTION("GOOGLETRANSLATE(F1688,""en"",""pt"")"),"sistemas de abastecimento de gás inerte")</f>
        <v>sistemas de abastecimento de gás inerte</v>
      </c>
      <c r="H1688" s="24"/>
      <c r="I1688" s="24"/>
    </row>
    <row r="1689" spans="1:9" ht="14.5">
      <c r="A1689" s="20" t="s">
        <v>12287</v>
      </c>
      <c r="B1689" s="20">
        <v>55</v>
      </c>
      <c r="C1689" s="20">
        <v>20</v>
      </c>
      <c r="D1689" s="20">
        <v>45</v>
      </c>
      <c r="E1689" s="24"/>
      <c r="F1689" s="20" t="s">
        <v>12288</v>
      </c>
      <c r="G1689" s="24" t="str">
        <f ca="1">IFERROR(__xludf.DUMMYFUNCTION("GOOGLETRANSLATE(F1689,""en"",""pt"")"),"sistemas de abastecimento de gás de laboratório")</f>
        <v>sistemas de abastecimento de gás de laboratório</v>
      </c>
      <c r="H1689" s="24"/>
      <c r="I1689" s="24"/>
    </row>
    <row r="1690" spans="1:9" ht="14.5">
      <c r="A1690" s="20" t="s">
        <v>12289</v>
      </c>
      <c r="B1690" s="20">
        <v>55</v>
      </c>
      <c r="C1690" s="20">
        <v>20</v>
      </c>
      <c r="D1690" s="20">
        <v>45</v>
      </c>
      <c r="E1690" s="20">
        <v>5</v>
      </c>
      <c r="F1690" s="20" t="s">
        <v>12290</v>
      </c>
      <c r="G1690" s="24" t="str">
        <f ca="1">IFERROR(__xludf.DUMMYFUNCTION("GOOGLETRANSLATE(F1690,""en"",""pt"")"),"Laboratório árgon sistemas de abastecimento")</f>
        <v>Laboratório árgon sistemas de abastecimento</v>
      </c>
      <c r="H1690" s="20" t="s">
        <v>12291</v>
      </c>
      <c r="I1690" s="20" t="s">
        <v>12259</v>
      </c>
    </row>
    <row r="1691" spans="1:9" ht="14.5">
      <c r="A1691" s="20" t="s">
        <v>12292</v>
      </c>
      <c r="B1691" s="20">
        <v>55</v>
      </c>
      <c r="C1691" s="20">
        <v>20</v>
      </c>
      <c r="D1691" s="20">
        <v>45</v>
      </c>
      <c r="E1691" s="20">
        <v>36</v>
      </c>
      <c r="F1691" s="20" t="s">
        <v>12293</v>
      </c>
      <c r="G1691" s="24" t="str">
        <f ca="1">IFERROR(__xludf.DUMMYFUNCTION("GOOGLETRANSLATE(F1691,""en"",""pt"")"),"sistemas de abastecimento de hélio laboratoriais")</f>
        <v>sistemas de abastecimento de hélio laboratoriais</v>
      </c>
      <c r="H1691" s="20" t="s">
        <v>12294</v>
      </c>
      <c r="I1691" s="20" t="s">
        <v>12259</v>
      </c>
    </row>
    <row r="1692" spans="1:9" ht="14.5">
      <c r="A1692" s="20" t="s">
        <v>12295</v>
      </c>
      <c r="B1692" s="20">
        <v>55</v>
      </c>
      <c r="C1692" s="20">
        <v>20</v>
      </c>
      <c r="D1692" s="20">
        <v>45</v>
      </c>
      <c r="E1692" s="20">
        <v>39</v>
      </c>
      <c r="F1692" s="20" t="s">
        <v>12296</v>
      </c>
      <c r="G1692" s="24" t="str">
        <f ca="1">IFERROR(__xludf.DUMMYFUNCTION("GOOGLETRANSLATE(F1692,""en"",""pt"")"),"sistemas de fornecimento de hidrogénio de laboratório")</f>
        <v>sistemas de fornecimento de hidrogénio de laboratório</v>
      </c>
      <c r="H1692" s="20" t="s">
        <v>12297</v>
      </c>
      <c r="I1692" s="20" t="s">
        <v>12259</v>
      </c>
    </row>
    <row r="1693" spans="1:9" ht="14.5">
      <c r="A1693" s="20" t="s">
        <v>12298</v>
      </c>
      <c r="B1693" s="20">
        <v>55</v>
      </c>
      <c r="C1693" s="20">
        <v>20</v>
      </c>
      <c r="D1693" s="20">
        <v>45</v>
      </c>
      <c r="E1693" s="20">
        <v>56</v>
      </c>
      <c r="F1693" s="20" t="s">
        <v>12299</v>
      </c>
      <c r="G1693" s="24" t="str">
        <f ca="1">IFERROR(__xludf.DUMMYFUNCTION("GOOGLETRANSLATE(F1693,""en"",""pt"")"),"sistemas de abastecimento de azoto laboratoriais")</f>
        <v>sistemas de abastecimento de azoto laboratoriais</v>
      </c>
      <c r="H1693" s="20" t="s">
        <v>12300</v>
      </c>
      <c r="I1693" s="20" t="s">
        <v>12259</v>
      </c>
    </row>
    <row r="1694" spans="1:9" ht="14.5">
      <c r="A1694" s="20" t="s">
        <v>12301</v>
      </c>
      <c r="B1694" s="20">
        <v>55</v>
      </c>
      <c r="C1694" s="20">
        <v>20</v>
      </c>
      <c r="D1694" s="20">
        <v>45</v>
      </c>
      <c r="E1694" s="20">
        <v>59</v>
      </c>
      <c r="F1694" s="20" t="s">
        <v>12302</v>
      </c>
      <c r="G1694" s="24" t="str">
        <f ca="1">IFERROR(__xludf.DUMMYFUNCTION("GOOGLETRANSLATE(F1694,""en"",""pt"")"),"sistemas de fornecimento de oxigénio laboratoriais")</f>
        <v>sistemas de fornecimento de oxigénio laboratoriais</v>
      </c>
      <c r="H1694" s="20" t="s">
        <v>12303</v>
      </c>
      <c r="I1694" s="20" t="s">
        <v>12259</v>
      </c>
    </row>
    <row r="1695" spans="1:9" ht="14.5">
      <c r="A1695" s="20" t="s">
        <v>12304</v>
      </c>
      <c r="B1695" s="20">
        <v>55</v>
      </c>
      <c r="C1695" s="20">
        <v>20</v>
      </c>
      <c r="D1695" s="20">
        <v>51</v>
      </c>
      <c r="E1695" s="24"/>
      <c r="F1695" s="20" t="s">
        <v>12305</v>
      </c>
      <c r="G1695" s="24" t="str">
        <f ca="1">IFERROR(__xludf.DUMMYFUNCTION("GOOGLETRANSLATE(F1695,""en"",""pt"")"),"sistemas de abastecimento de gás medicinal")</f>
        <v>sistemas de abastecimento de gás medicinal</v>
      </c>
      <c r="H1695" s="24"/>
      <c r="I1695" s="24"/>
    </row>
    <row r="1696" spans="1:9" ht="14.5">
      <c r="A1696" s="20" t="s">
        <v>12306</v>
      </c>
      <c r="B1696" s="20">
        <v>55</v>
      </c>
      <c r="C1696" s="20">
        <v>20</v>
      </c>
      <c r="D1696" s="20">
        <v>51</v>
      </c>
      <c r="E1696" s="20">
        <v>3</v>
      </c>
      <c r="F1696" s="20" t="s">
        <v>12307</v>
      </c>
      <c r="G1696" s="24" t="str">
        <f ca="1">IFERROR(__xludf.DUMMYFUNCTION("GOOGLETRANSLATE(F1696,""en"",""pt"")"),"sistemas de exaustão de gás anestésico médica")</f>
        <v>sistemas de exaustão de gás anestésico médica</v>
      </c>
      <c r="H1696" s="20" t="s">
        <v>12308</v>
      </c>
      <c r="I1696" s="20" t="s">
        <v>12309</v>
      </c>
    </row>
    <row r="1697" spans="1:9" ht="14.5">
      <c r="A1697" s="20" t="s">
        <v>12310</v>
      </c>
      <c r="B1697" s="20">
        <v>55</v>
      </c>
      <c r="C1697" s="20">
        <v>20</v>
      </c>
      <c r="D1697" s="20">
        <v>51</v>
      </c>
      <c r="E1697" s="20">
        <v>27</v>
      </c>
      <c r="F1697" s="20" t="s">
        <v>12311</v>
      </c>
      <c r="G1697" s="24" t="str">
        <f ca="1">IFERROR(__xludf.DUMMYFUNCTION("GOOGLETRANSLATE(F1697,""en"",""pt"")"),"sistemas de abastecimento de Entonox médica")</f>
        <v>sistemas de abastecimento de Entonox médica</v>
      </c>
      <c r="H1697" s="24"/>
      <c r="I1697" s="24"/>
    </row>
    <row r="1698" spans="1:9" ht="14.5">
      <c r="A1698" s="20" t="s">
        <v>12312</v>
      </c>
      <c r="B1698" s="20">
        <v>55</v>
      </c>
      <c r="C1698" s="20">
        <v>20</v>
      </c>
      <c r="D1698" s="20">
        <v>51</v>
      </c>
      <c r="E1698" s="20">
        <v>36</v>
      </c>
      <c r="F1698" s="20" t="s">
        <v>12313</v>
      </c>
      <c r="G1698" s="24" t="str">
        <f ca="1">IFERROR(__xludf.DUMMYFUNCTION("GOOGLETRANSLATE(F1698,""en"",""pt"")"),"sistemas de abastecimento de mistura de Medicina de hélio / oxigénio")</f>
        <v>sistemas de abastecimento de mistura de Medicina de hélio / oxigénio</v>
      </c>
      <c r="H1698" s="20" t="s">
        <v>12314</v>
      </c>
      <c r="I1698" s="20" t="s">
        <v>12259</v>
      </c>
    </row>
    <row r="1699" spans="1:9" ht="14.5">
      <c r="A1699" s="20" t="s">
        <v>12315</v>
      </c>
      <c r="B1699" s="20">
        <v>55</v>
      </c>
      <c r="C1699" s="20">
        <v>20</v>
      </c>
      <c r="D1699" s="20">
        <v>51</v>
      </c>
      <c r="E1699" s="20">
        <v>56</v>
      </c>
      <c r="F1699" s="20" t="s">
        <v>12316</v>
      </c>
      <c r="G1699" s="24" t="str">
        <f ca="1">IFERROR(__xludf.DUMMYFUNCTION("GOOGLETRANSLATE(F1699,""en"",""pt"")"),"sistemas de abastecimento de óxido nitroso médicos")</f>
        <v>sistemas de abastecimento de óxido nitroso médicos</v>
      </c>
      <c r="H1699" s="20" t="s">
        <v>12317</v>
      </c>
      <c r="I1699" s="20" t="s">
        <v>12259</v>
      </c>
    </row>
    <row r="1700" spans="1:9" ht="14.5">
      <c r="A1700" s="20" t="s">
        <v>12318</v>
      </c>
      <c r="B1700" s="20">
        <v>55</v>
      </c>
      <c r="C1700" s="20">
        <v>20</v>
      </c>
      <c r="D1700" s="20">
        <v>51</v>
      </c>
      <c r="E1700" s="20">
        <v>57</v>
      </c>
      <c r="F1700" s="20" t="s">
        <v>12319</v>
      </c>
      <c r="G1700" s="24" t="str">
        <f ca="1">IFERROR(__xludf.DUMMYFUNCTION("GOOGLETRANSLATE(F1700,""en"",""pt"")"),"sistemas nitrosos Medical Supply mistura de óxido / oxigénio")</f>
        <v>sistemas nitrosos Medical Supply mistura de óxido / oxigénio</v>
      </c>
      <c r="H1700" s="20" t="s">
        <v>12320</v>
      </c>
      <c r="I1700" s="20" t="s">
        <v>12259</v>
      </c>
    </row>
    <row r="1701" spans="1:9" ht="14.5">
      <c r="A1701" s="20" t="s">
        <v>12321</v>
      </c>
      <c r="B1701" s="20">
        <v>55</v>
      </c>
      <c r="C1701" s="20">
        <v>20</v>
      </c>
      <c r="D1701" s="20">
        <v>51</v>
      </c>
      <c r="E1701" s="20">
        <v>59</v>
      </c>
      <c r="F1701" s="20" t="s">
        <v>12322</v>
      </c>
      <c r="G1701" s="24" t="str">
        <f ca="1">IFERROR(__xludf.DUMMYFUNCTION("GOOGLETRANSLATE(F1701,""en"",""pt"")"),"sistemas de abastecimento de oxigénio médico")</f>
        <v>sistemas de abastecimento de oxigénio médico</v>
      </c>
      <c r="H1701" s="20" t="s">
        <v>12323</v>
      </c>
      <c r="I1701" s="20" t="s">
        <v>12259</v>
      </c>
    </row>
    <row r="1702" spans="1:9" ht="14.5">
      <c r="A1702" s="20" t="s">
        <v>12324</v>
      </c>
      <c r="B1702" s="20">
        <v>55</v>
      </c>
      <c r="C1702" s="20">
        <v>20</v>
      </c>
      <c r="D1702" s="20">
        <v>60</v>
      </c>
      <c r="E1702" s="24"/>
      <c r="F1702" s="20" t="s">
        <v>12325</v>
      </c>
      <c r="G1702" s="24" t="str">
        <f ca="1">IFERROR(__xludf.DUMMYFUNCTION("GOOGLETRANSLATE(F1702,""en"",""pt"")"),"sistemas de gás Processo")</f>
        <v>sistemas de gás Processo</v>
      </c>
      <c r="H1702" s="24"/>
      <c r="I1702" s="24"/>
    </row>
    <row r="1703" spans="1:9" ht="14.5">
      <c r="A1703" s="20" t="s">
        <v>12326</v>
      </c>
      <c r="B1703" s="20">
        <v>55</v>
      </c>
      <c r="C1703" s="20">
        <v>20</v>
      </c>
      <c r="D1703" s="20">
        <v>60</v>
      </c>
      <c r="E1703" s="20">
        <v>33</v>
      </c>
      <c r="F1703" s="20" t="s">
        <v>12327</v>
      </c>
      <c r="G1703" s="24" t="str">
        <f ca="1">IFERROR(__xludf.DUMMYFUNCTION("GOOGLETRANSLATE(F1703,""en"",""pt"")"),"Gas sistemas de vaporização")</f>
        <v>Gas sistemas de vaporização</v>
      </c>
      <c r="H1703" s="24"/>
      <c r="I1703" s="24"/>
    </row>
    <row r="1704" spans="1:9" ht="14.5">
      <c r="A1704" s="20" t="s">
        <v>12328</v>
      </c>
      <c r="B1704" s="20">
        <v>55</v>
      </c>
      <c r="C1704" s="20">
        <v>20</v>
      </c>
      <c r="D1704" s="20">
        <v>85</v>
      </c>
      <c r="E1704" s="24"/>
      <c r="F1704" s="20" t="s">
        <v>12329</v>
      </c>
      <c r="G1704" s="24" t="str">
        <f ca="1">IFERROR(__xludf.DUMMYFUNCTION("GOOGLETRANSLATE(F1704,""en"",""pt"")"),"sistemas de abastecimento de gás de pureza especialista e alta")</f>
        <v>sistemas de abastecimento de gás de pureza especialista e alta</v>
      </c>
      <c r="H1704" s="24"/>
      <c r="I1704" s="24"/>
    </row>
    <row r="1705" spans="1:9" ht="14.5">
      <c r="A1705" s="20" t="s">
        <v>12330</v>
      </c>
      <c r="B1705" s="20">
        <v>55</v>
      </c>
      <c r="C1705" s="20">
        <v>20</v>
      </c>
      <c r="D1705" s="20">
        <v>94</v>
      </c>
      <c r="E1705" s="24"/>
      <c r="F1705" s="20" t="s">
        <v>12331</v>
      </c>
      <c r="G1705" s="24" t="str">
        <f ca="1">IFERROR(__xludf.DUMMYFUNCTION("GOOGLETRANSLATE(F1705,""en"",""pt"")"),"sistemas de abastecimento de vácuo")</f>
        <v>sistemas de abastecimento de vácuo</v>
      </c>
      <c r="H1705" s="24"/>
      <c r="I1705" s="24"/>
    </row>
    <row r="1706" spans="1:9" ht="14.5">
      <c r="A1706" s="20" t="s">
        <v>12332</v>
      </c>
      <c r="B1706" s="20">
        <v>55</v>
      </c>
      <c r="C1706" s="20">
        <v>20</v>
      </c>
      <c r="D1706" s="20">
        <v>94</v>
      </c>
      <c r="E1706" s="20">
        <v>51</v>
      </c>
      <c r="F1706" s="20" t="s">
        <v>12333</v>
      </c>
      <c r="G1706" s="24" t="str">
        <f ca="1">IFERROR(__xludf.DUMMYFUNCTION("GOOGLETRANSLATE(F1706,""en"",""pt"")"),"sistemas de abastecimento de vácuo médico")</f>
        <v>sistemas de abastecimento de vácuo médico</v>
      </c>
      <c r="H1706" s="20" t="s">
        <v>12334</v>
      </c>
      <c r="I1706" s="20" t="s">
        <v>12259</v>
      </c>
    </row>
    <row r="1707" spans="1:9" ht="14.5">
      <c r="A1707" s="20" t="s">
        <v>12335</v>
      </c>
      <c r="B1707" s="20">
        <v>55</v>
      </c>
      <c r="C1707" s="20">
        <v>30</v>
      </c>
      <c r="D1707" s="24"/>
      <c r="E1707" s="24"/>
      <c r="F1707" s="20" t="s">
        <v>12336</v>
      </c>
      <c r="G1707" s="24" t="str">
        <f ca="1">IFERROR(__xludf.DUMMYFUNCTION("GOOGLETRANSLATE(F1707,""en"",""pt"")"),"Fogo sistemas de extinção")</f>
        <v>Fogo sistemas de extinção</v>
      </c>
      <c r="H1707" s="24"/>
      <c r="I1707" s="24"/>
    </row>
    <row r="1708" spans="1:9" ht="14.5">
      <c r="A1708" s="20" t="s">
        <v>12337</v>
      </c>
      <c r="B1708" s="20">
        <v>55</v>
      </c>
      <c r="C1708" s="20">
        <v>30</v>
      </c>
      <c r="D1708" s="20">
        <v>35</v>
      </c>
      <c r="E1708" s="24"/>
      <c r="F1708" s="20" t="s">
        <v>12338</v>
      </c>
      <c r="G1708" s="24" t="str">
        <f ca="1">IFERROR(__xludf.DUMMYFUNCTION("GOOGLETRANSLATE(F1708,""en"",""pt"")"),"sistemas de extinção gasosos e de incêndio de espuma")</f>
        <v>sistemas de extinção gasosos e de incêndio de espuma</v>
      </c>
      <c r="H1708" s="24"/>
      <c r="I1708" s="24"/>
    </row>
    <row r="1709" spans="1:9" ht="14.5">
      <c r="A1709" s="20" t="s">
        <v>12339</v>
      </c>
      <c r="B1709" s="20">
        <v>55</v>
      </c>
      <c r="C1709" s="20">
        <v>30</v>
      </c>
      <c r="D1709" s="20">
        <v>35</v>
      </c>
      <c r="E1709" s="20">
        <v>10</v>
      </c>
      <c r="F1709" s="20" t="s">
        <v>12340</v>
      </c>
      <c r="G1709" s="24" t="str">
        <f ca="1">IFERROR(__xludf.DUMMYFUNCTION("GOOGLETRANSLATE(F1709,""en"",""pt"")"),"incêndio de dióxido de carbono sistemas de extinção")</f>
        <v>incêndio de dióxido de carbono sistemas de extinção</v>
      </c>
      <c r="H1709" s="20" t="s">
        <v>12341</v>
      </c>
      <c r="I1709" s="20" t="s">
        <v>12342</v>
      </c>
    </row>
    <row r="1710" spans="1:9" ht="14.5">
      <c r="A1710" s="20" t="s">
        <v>12343</v>
      </c>
      <c r="B1710" s="20">
        <v>55</v>
      </c>
      <c r="C1710" s="20">
        <v>30</v>
      </c>
      <c r="D1710" s="20">
        <v>35</v>
      </c>
      <c r="E1710" s="20">
        <v>31</v>
      </c>
      <c r="F1710" s="20" t="s">
        <v>12344</v>
      </c>
      <c r="G1710" s="24" t="str">
        <f ca="1">IFERROR(__xludf.DUMMYFUNCTION("GOOGLETRANSLATE(F1710,""en"",""pt"")"),"fogo de espuma sistemas de extinção")</f>
        <v>fogo de espuma sistemas de extinção</v>
      </c>
      <c r="H1710" s="20" t="s">
        <v>12345</v>
      </c>
      <c r="I1710" s="20" t="s">
        <v>12346</v>
      </c>
    </row>
    <row r="1711" spans="1:9" ht="14.5">
      <c r="A1711" s="20" t="s">
        <v>12347</v>
      </c>
      <c r="B1711" s="20">
        <v>55</v>
      </c>
      <c r="C1711" s="20">
        <v>30</v>
      </c>
      <c r="D1711" s="20">
        <v>35</v>
      </c>
      <c r="E1711" s="20">
        <v>35</v>
      </c>
      <c r="F1711" s="20" t="s">
        <v>12348</v>
      </c>
      <c r="G1711" s="24" t="str">
        <f ca="1">IFERROR(__xludf.DUMMYFUNCTION("GOOGLETRANSLATE(F1711,""en"",""pt"")"),"Halocarbon fogo inundação total de gás sistemas de extinção")</f>
        <v>Halocarbon fogo inundação total de gás sistemas de extinção</v>
      </c>
      <c r="H1711" s="20" t="s">
        <v>12349</v>
      </c>
      <c r="I1711" s="20" t="s">
        <v>12350</v>
      </c>
    </row>
    <row r="1712" spans="1:9" ht="14.5">
      <c r="A1712" s="20" t="s">
        <v>12351</v>
      </c>
      <c r="B1712" s="20">
        <v>55</v>
      </c>
      <c r="C1712" s="20">
        <v>30</v>
      </c>
      <c r="D1712" s="20">
        <v>35</v>
      </c>
      <c r="E1712" s="20">
        <v>40</v>
      </c>
      <c r="F1712" s="20" t="s">
        <v>12352</v>
      </c>
      <c r="G1712" s="24" t="str">
        <f ca="1">IFERROR(__xludf.DUMMYFUNCTION("GOOGLETRANSLATE(F1712,""en"",""pt"")"),"Inerte sistemas de gás fogo de inundação total de extinção")</f>
        <v>Inerte sistemas de gás fogo de inundação total de extinção</v>
      </c>
      <c r="H1712" s="20" t="s">
        <v>12353</v>
      </c>
      <c r="I1712" s="20" t="s">
        <v>12350</v>
      </c>
    </row>
    <row r="1713" spans="1:9" ht="14.5">
      <c r="A1713" s="20" t="s">
        <v>12354</v>
      </c>
      <c r="B1713" s="20">
        <v>55</v>
      </c>
      <c r="C1713" s="20">
        <v>30</v>
      </c>
      <c r="D1713" s="20">
        <v>65</v>
      </c>
      <c r="E1713" s="24"/>
      <c r="F1713" s="20" t="s">
        <v>12355</v>
      </c>
      <c r="G1713" s="24" t="str">
        <f ca="1">IFERROR(__xludf.DUMMYFUNCTION("GOOGLETRANSLATE(F1713,""en"",""pt"")"),"sistemas de extinção de incêndio portáteis")</f>
        <v>sistemas de extinção de incêndio portáteis</v>
      </c>
      <c r="H1713" s="24"/>
      <c r="I1713" s="24"/>
    </row>
    <row r="1714" spans="1:9" ht="14.5">
      <c r="A1714" s="20" t="s">
        <v>12356</v>
      </c>
      <c r="B1714" s="20">
        <v>55</v>
      </c>
      <c r="C1714" s="20">
        <v>30</v>
      </c>
      <c r="D1714" s="20">
        <v>65</v>
      </c>
      <c r="E1714" s="20">
        <v>30</v>
      </c>
      <c r="F1714" s="20" t="s">
        <v>12357</v>
      </c>
      <c r="G1714" s="24" t="str">
        <f ca="1">IFERROR(__xludf.DUMMYFUNCTION("GOOGLETRANSLATE(F1714,""en"",""pt"")"),"sistemas cobertor anti-fogo")</f>
        <v>sistemas cobertor anti-fogo</v>
      </c>
      <c r="H1714" s="20" t="s">
        <v>12358</v>
      </c>
      <c r="I1714" s="20" t="s">
        <v>9464</v>
      </c>
    </row>
    <row r="1715" spans="1:9" ht="14.5">
      <c r="A1715" s="20" t="s">
        <v>12359</v>
      </c>
      <c r="B1715" s="20">
        <v>55</v>
      </c>
      <c r="C1715" s="20">
        <v>30</v>
      </c>
      <c r="D1715" s="20">
        <v>65</v>
      </c>
      <c r="E1715" s="20">
        <v>35</v>
      </c>
      <c r="F1715" s="20" t="s">
        <v>12360</v>
      </c>
      <c r="G1715" s="24" t="str">
        <f ca="1">IFERROR(__xludf.DUMMYFUNCTION("GOOGLETRANSLATE(F1715,""en"",""pt"")"),"sistemas de balde de incêndio")</f>
        <v>sistemas de balde de incêndio</v>
      </c>
      <c r="H1715" s="20" t="s">
        <v>12361</v>
      </c>
      <c r="I1715" s="20" t="s">
        <v>9464</v>
      </c>
    </row>
    <row r="1716" spans="1:9" ht="14.5">
      <c r="A1716" s="20" t="s">
        <v>12362</v>
      </c>
      <c r="B1716" s="20">
        <v>55</v>
      </c>
      <c r="C1716" s="20">
        <v>30</v>
      </c>
      <c r="D1716" s="20">
        <v>65</v>
      </c>
      <c r="E1716" s="20">
        <v>65</v>
      </c>
      <c r="F1716" s="20" t="s">
        <v>12363</v>
      </c>
      <c r="G1716" s="24" t="str">
        <f ca="1">IFERROR(__xludf.DUMMYFUNCTION("GOOGLETRANSLATE(F1716,""en"",""pt"")"),"sistemas de extintor portátil")</f>
        <v>sistemas de extintor portátil</v>
      </c>
      <c r="H1716" s="20" t="s">
        <v>12364</v>
      </c>
      <c r="I1716" s="20" t="s">
        <v>9464</v>
      </c>
    </row>
    <row r="1717" spans="1:9" ht="14.5">
      <c r="A1717" s="20" t="s">
        <v>12365</v>
      </c>
      <c r="B1717" s="20">
        <v>55</v>
      </c>
      <c r="C1717" s="20">
        <v>30</v>
      </c>
      <c r="D1717" s="20">
        <v>96</v>
      </c>
      <c r="E1717" s="24"/>
      <c r="F1717" s="20" t="s">
        <v>12366</v>
      </c>
      <c r="G1717" s="24" t="str">
        <f ca="1">IFERROR(__xludf.DUMMYFUNCTION("GOOGLETRANSLATE(F1717,""en"",""pt"")"),"sistemas de combate a incêndios Água")</f>
        <v>sistemas de combate a incêndios Água</v>
      </c>
      <c r="H1717" s="24"/>
      <c r="I1717" s="24"/>
    </row>
    <row r="1718" spans="1:9" ht="14.5">
      <c r="A1718" s="20" t="s">
        <v>12367</v>
      </c>
      <c r="B1718" s="20">
        <v>55</v>
      </c>
      <c r="C1718" s="20">
        <v>30</v>
      </c>
      <c r="D1718" s="20">
        <v>96</v>
      </c>
      <c r="E1718" s="20">
        <v>24</v>
      </c>
      <c r="F1718" s="20" t="s">
        <v>12368</v>
      </c>
      <c r="G1718" s="24" t="str">
        <f ca="1">IFERROR(__xludf.DUMMYFUNCTION("GOOGLETRANSLATE(F1718,""en"",""pt"")"),"sistemas de conta-gotas secas")</f>
        <v>sistemas de conta-gotas secas</v>
      </c>
      <c r="H1718" s="24"/>
      <c r="I1718" s="24"/>
    </row>
    <row r="1719" spans="1:9" ht="14.5">
      <c r="A1719" s="20" t="s">
        <v>12369</v>
      </c>
      <c r="B1719" s="20">
        <v>55</v>
      </c>
      <c r="C1719" s="20">
        <v>30</v>
      </c>
      <c r="D1719" s="20">
        <v>96</v>
      </c>
      <c r="E1719" s="20">
        <v>25</v>
      </c>
      <c r="F1719" s="20" t="s">
        <v>12370</v>
      </c>
      <c r="G1719" s="24" t="str">
        <f ca="1">IFERROR(__xludf.DUMMYFUNCTION("GOOGLETRANSLATE(F1719,""en"",""pt"")"),"sistemas de risers secos")</f>
        <v>sistemas de risers secos</v>
      </c>
      <c r="H1719" s="20" t="s">
        <v>12371</v>
      </c>
      <c r="I1719" s="20" t="s">
        <v>12346</v>
      </c>
    </row>
    <row r="1720" spans="1:9" ht="14.5">
      <c r="A1720" s="20" t="s">
        <v>12372</v>
      </c>
      <c r="B1720" s="20">
        <v>55</v>
      </c>
      <c r="C1720" s="20">
        <v>30</v>
      </c>
      <c r="D1720" s="20">
        <v>96</v>
      </c>
      <c r="E1720" s="20">
        <v>29</v>
      </c>
      <c r="F1720" s="20" t="s">
        <v>12373</v>
      </c>
      <c r="G1720" s="24" t="str">
        <f ca="1">IFERROR(__xludf.DUMMYFUNCTION("GOOGLETRANSLATE(F1720,""en"",""pt"")"),"sistemas de carretel da mangueira de incêndio")</f>
        <v>sistemas de carretel da mangueira de incêndio</v>
      </c>
      <c r="H1720" s="20" t="s">
        <v>12374</v>
      </c>
      <c r="I1720" s="20" t="s">
        <v>12346</v>
      </c>
    </row>
    <row r="1721" spans="1:9" ht="14.5">
      <c r="A1721" s="20" t="s">
        <v>12375</v>
      </c>
      <c r="B1721" s="20">
        <v>55</v>
      </c>
      <c r="C1721" s="20">
        <v>30</v>
      </c>
      <c r="D1721" s="20">
        <v>96</v>
      </c>
      <c r="E1721" s="20">
        <v>30</v>
      </c>
      <c r="F1721" s="20" t="s">
        <v>12376</v>
      </c>
      <c r="G1721" s="24" t="str">
        <f ca="1">IFERROR(__xludf.DUMMYFUNCTION("GOOGLETRANSLATE(F1721,""en"",""pt"")"),"Fogo sistemas de hidrantes")</f>
        <v>Fogo sistemas de hidrantes</v>
      </c>
      <c r="H1721" s="20" t="s">
        <v>12377</v>
      </c>
      <c r="I1721" s="20" t="s">
        <v>12378</v>
      </c>
    </row>
    <row r="1722" spans="1:9" ht="14.5">
      <c r="A1722" s="20" t="s">
        <v>12379</v>
      </c>
      <c r="B1722" s="20">
        <v>55</v>
      </c>
      <c r="C1722" s="20">
        <v>30</v>
      </c>
      <c r="D1722" s="20">
        <v>96</v>
      </c>
      <c r="E1722" s="20">
        <v>95</v>
      </c>
      <c r="F1722" s="20" t="s">
        <v>12380</v>
      </c>
      <c r="G1722" s="24" t="str">
        <f ca="1">IFERROR(__xludf.DUMMYFUNCTION("GOOGLETRANSLATE(F1722,""en"",""pt"")"),"sistemas de combate a incêndios canhão de água")</f>
        <v>sistemas de combate a incêndios canhão de água</v>
      </c>
      <c r="H1722" s="24"/>
      <c r="I1722" s="24"/>
    </row>
    <row r="1723" spans="1:9" ht="14.5">
      <c r="A1723" s="20" t="s">
        <v>12381</v>
      </c>
      <c r="B1723" s="20">
        <v>55</v>
      </c>
      <c r="C1723" s="20">
        <v>30</v>
      </c>
      <c r="D1723" s="20">
        <v>96</v>
      </c>
      <c r="E1723" s="20">
        <v>97</v>
      </c>
      <c r="F1723" s="20" t="s">
        <v>12382</v>
      </c>
      <c r="G1723" s="24" t="str">
        <f ca="1">IFERROR(__xludf.DUMMYFUNCTION("GOOGLETRANSLATE(F1723,""en"",""pt"")"),"sistemas de risers molhados")</f>
        <v>sistemas de risers molhados</v>
      </c>
      <c r="H1723" s="20" t="s">
        <v>12383</v>
      </c>
      <c r="I1723" s="20" t="s">
        <v>12346</v>
      </c>
    </row>
    <row r="1724" spans="1:9" ht="14.5">
      <c r="A1724" s="20" t="s">
        <v>12384</v>
      </c>
      <c r="B1724" s="20">
        <v>55</v>
      </c>
      <c r="C1724" s="20">
        <v>30</v>
      </c>
      <c r="D1724" s="20">
        <v>98</v>
      </c>
      <c r="E1724" s="24"/>
      <c r="F1724" s="20" t="s">
        <v>12385</v>
      </c>
      <c r="G1724" s="24" t="str">
        <f ca="1">IFERROR(__xludf.DUMMYFUNCTION("GOOGLETRANSLATE(F1724,""en"",""pt"")"),"Sistemas de supressão de fogo Água")</f>
        <v>Sistemas de supressão de fogo Água</v>
      </c>
      <c r="H1724" s="24"/>
      <c r="I1724" s="24"/>
    </row>
    <row r="1725" spans="1:9" ht="14.5">
      <c r="A1725" s="20" t="s">
        <v>12386</v>
      </c>
      <c r="B1725" s="20">
        <v>55</v>
      </c>
      <c r="C1725" s="20">
        <v>30</v>
      </c>
      <c r="D1725" s="20">
        <v>98</v>
      </c>
      <c r="E1725" s="20">
        <v>21</v>
      </c>
      <c r="F1725" s="20" t="s">
        <v>12387</v>
      </c>
      <c r="G1725" s="24" t="str">
        <f ca="1">IFERROR(__xludf.DUMMYFUNCTION("GOOGLETRANSLATE(F1725,""en"",""pt"")"),"sistemas de dilúvio")</f>
        <v>sistemas de dilúvio</v>
      </c>
      <c r="H1725" s="20" t="s">
        <v>12388</v>
      </c>
      <c r="I1725" s="20" t="s">
        <v>12350</v>
      </c>
    </row>
    <row r="1726" spans="1:9" ht="14.5">
      <c r="A1726" s="20" t="s">
        <v>12389</v>
      </c>
      <c r="B1726" s="20">
        <v>55</v>
      </c>
      <c r="C1726" s="20">
        <v>30</v>
      </c>
      <c r="D1726" s="20">
        <v>98</v>
      </c>
      <c r="E1726" s="20">
        <v>23</v>
      </c>
      <c r="F1726" s="20" t="s">
        <v>12390</v>
      </c>
      <c r="G1726" s="24" t="str">
        <f ca="1">IFERROR(__xludf.DUMMYFUNCTION("GOOGLETRANSLATE(F1726,""en"",""pt"")"),"sistemas de aspersão domésticos")</f>
        <v>sistemas de aspersão domésticos</v>
      </c>
      <c r="H1726" s="20" t="s">
        <v>12391</v>
      </c>
      <c r="I1726" s="24"/>
    </row>
    <row r="1727" spans="1:9" ht="14.5">
      <c r="A1727" s="20" t="s">
        <v>12392</v>
      </c>
      <c r="B1727" s="20">
        <v>55</v>
      </c>
      <c r="C1727" s="20">
        <v>30</v>
      </c>
      <c r="D1727" s="20">
        <v>98</v>
      </c>
      <c r="E1727" s="20">
        <v>85</v>
      </c>
      <c r="F1727" s="20" t="s">
        <v>12393</v>
      </c>
      <c r="G1727" s="24" t="str">
        <f ca="1">IFERROR(__xludf.DUMMYFUNCTION("GOOGLETRANSLATE(F1727,""en"",""pt"")"),"sistemas de rega")</f>
        <v>sistemas de rega</v>
      </c>
      <c r="H1727" s="20" t="s">
        <v>12394</v>
      </c>
      <c r="I1727" s="20" t="s">
        <v>12350</v>
      </c>
    </row>
    <row r="1728" spans="1:9" ht="14.5">
      <c r="A1728" s="20" t="s">
        <v>12395</v>
      </c>
      <c r="B1728" s="20">
        <v>55</v>
      </c>
      <c r="C1728" s="20">
        <v>30</v>
      </c>
      <c r="D1728" s="20">
        <v>98</v>
      </c>
      <c r="E1728" s="20">
        <v>96</v>
      </c>
      <c r="F1728" s="20" t="s">
        <v>12396</v>
      </c>
      <c r="G1728" s="24" t="str">
        <f ca="1">IFERROR(__xludf.DUMMYFUNCTION("GOOGLETRANSLATE(F1728,""en"",""pt"")"),"sistemas de névoa de água")</f>
        <v>sistemas de névoa de água</v>
      </c>
      <c r="H1728" s="20" t="s">
        <v>12397</v>
      </c>
      <c r="I1728" s="20" t="s">
        <v>12350</v>
      </c>
    </row>
    <row r="1729" spans="1:9" ht="14.5">
      <c r="A1729" s="20" t="s">
        <v>12398</v>
      </c>
      <c r="B1729" s="20">
        <v>55</v>
      </c>
      <c r="C1729" s="20">
        <v>40</v>
      </c>
      <c r="D1729" s="24"/>
      <c r="E1729" s="24"/>
      <c r="F1729" s="20" t="s">
        <v>12399</v>
      </c>
      <c r="G1729" s="24" t="str">
        <f ca="1">IFERROR(__xludf.DUMMYFUNCTION("GOOGLETRANSLATE(F1729,""en"",""pt"")"),"sistemas de distribuição de vapor e de abastecimento")</f>
        <v>sistemas de distribuição de vapor e de abastecimento</v>
      </c>
      <c r="H1729" s="24"/>
      <c r="I1729" s="24"/>
    </row>
    <row r="1730" spans="1:9" ht="14.5">
      <c r="A1730" s="20" t="s">
        <v>12400</v>
      </c>
      <c r="B1730" s="20">
        <v>55</v>
      </c>
      <c r="C1730" s="20">
        <v>40</v>
      </c>
      <c r="D1730" s="20">
        <v>85</v>
      </c>
      <c r="E1730" s="24"/>
      <c r="F1730" s="20" t="s">
        <v>12401</v>
      </c>
      <c r="G1730" s="24" t="str">
        <f ca="1">IFERROR(__xludf.DUMMYFUNCTION("GOOGLETRANSLATE(F1730,""en"",""pt"")"),"fornecimento de vapor e sistemas de condensado")</f>
        <v>fornecimento de vapor e sistemas de condensado</v>
      </c>
      <c r="H1730" s="20" t="s">
        <v>12402</v>
      </c>
      <c r="I1730" s="20" t="s">
        <v>12403</v>
      </c>
    </row>
    <row r="1731" spans="1:9" ht="14.5">
      <c r="A1731" s="20" t="s">
        <v>12404</v>
      </c>
      <c r="B1731" s="20">
        <v>55</v>
      </c>
      <c r="C1731" s="20">
        <v>40</v>
      </c>
      <c r="D1731" s="20">
        <v>85</v>
      </c>
      <c r="E1731" s="20">
        <v>38</v>
      </c>
      <c r="F1731" s="20" t="s">
        <v>12405</v>
      </c>
      <c r="G1731" s="24" t="str">
        <f ca="1">IFERROR(__xludf.DUMMYFUNCTION("GOOGLETRANSLATE(F1731,""en"",""pt"")"),"fornecimento de vapor Hospital e sistemas de condensado")</f>
        <v>fornecimento de vapor Hospital e sistemas de condensado</v>
      </c>
      <c r="H1731" s="24"/>
      <c r="I1731" s="24"/>
    </row>
    <row r="1732" spans="1:9" ht="14.5">
      <c r="A1732" s="20" t="s">
        <v>12406</v>
      </c>
      <c r="B1732" s="20">
        <v>55</v>
      </c>
      <c r="C1732" s="20">
        <v>40</v>
      </c>
      <c r="D1732" s="20">
        <v>85</v>
      </c>
      <c r="E1732" s="20">
        <v>41</v>
      </c>
      <c r="F1732" s="20" t="s">
        <v>12407</v>
      </c>
      <c r="G1732" s="24" t="str">
        <f ca="1">IFERROR(__xludf.DUMMYFUNCTION("GOOGLETRANSLATE(F1732,""en"",""pt"")"),"fornecimento de vapor industrial e sistemas de condensado")</f>
        <v>fornecimento de vapor industrial e sistemas de condensado</v>
      </c>
      <c r="H1732" s="24"/>
      <c r="I1732" s="24"/>
    </row>
    <row r="1733" spans="1:9" ht="14.5">
      <c r="A1733" s="20" t="s">
        <v>12408</v>
      </c>
      <c r="B1733" s="20">
        <v>55</v>
      </c>
      <c r="C1733" s="20">
        <v>50</v>
      </c>
      <c r="D1733" s="24"/>
      <c r="E1733" s="24"/>
      <c r="F1733" s="20" t="s">
        <v>12409</v>
      </c>
      <c r="G1733" s="24" t="str">
        <f ca="1">IFERROR(__xludf.DUMMYFUNCTION("GOOGLETRANSLATE(F1733,""en"",""pt"")"),"sistemas de distribuição de combustível líquido e de fornecimento")</f>
        <v>sistemas de distribuição de combustível líquido e de fornecimento</v>
      </c>
      <c r="H1733" s="24"/>
      <c r="I1733" s="24"/>
    </row>
    <row r="1734" spans="1:9" ht="14.5">
      <c r="A1734" s="20" t="s">
        <v>12410</v>
      </c>
      <c r="B1734" s="20">
        <v>55</v>
      </c>
      <c r="C1734" s="20">
        <v>50</v>
      </c>
      <c r="D1734" s="20">
        <v>46</v>
      </c>
      <c r="E1734" s="24"/>
      <c r="F1734" s="20" t="s">
        <v>12411</v>
      </c>
      <c r="G1734" s="24" t="str">
        <f ca="1">IFERROR(__xludf.DUMMYFUNCTION("GOOGLETRANSLATE(F1734,""en"",""pt"")"),"sistemas de rede de distribuição de combustíveis líquidos")</f>
        <v>sistemas de rede de distribuição de combustíveis líquidos</v>
      </c>
      <c r="H1734" s="24"/>
      <c r="I1734" s="24"/>
    </row>
    <row r="1735" spans="1:9" ht="14.5">
      <c r="A1735" s="20" t="s">
        <v>12412</v>
      </c>
      <c r="B1735" s="20">
        <v>55</v>
      </c>
      <c r="C1735" s="20">
        <v>50</v>
      </c>
      <c r="D1735" s="20">
        <v>46</v>
      </c>
      <c r="E1735" s="20">
        <v>58</v>
      </c>
      <c r="F1735" s="20" t="s">
        <v>12413</v>
      </c>
      <c r="G1735" s="24" t="str">
        <f ca="1">IFERROR(__xludf.DUMMYFUNCTION("GOOGLETRANSLATE(F1735,""en"",""pt"")"),"sistemas de rede de distribuição de petróleo")</f>
        <v>sistemas de rede de distribuição de petróleo</v>
      </c>
      <c r="H1735" s="24"/>
      <c r="I1735" s="24"/>
    </row>
    <row r="1736" spans="1:9" ht="14.5">
      <c r="A1736" s="20" t="s">
        <v>12414</v>
      </c>
      <c r="B1736" s="20">
        <v>55</v>
      </c>
      <c r="C1736" s="20">
        <v>50</v>
      </c>
      <c r="D1736" s="20">
        <v>47</v>
      </c>
      <c r="E1736" s="24"/>
      <c r="F1736" s="20" t="s">
        <v>12415</v>
      </c>
      <c r="G1736" s="24" t="str">
        <f ca="1">IFERROR(__xludf.DUMMYFUNCTION("GOOGLETRANSLATE(F1736,""en"",""pt"")"),"sistemas de abastecimento de combustível líquido")</f>
        <v>sistemas de abastecimento de combustível líquido</v>
      </c>
      <c r="H1736" s="24"/>
      <c r="I1736" s="24"/>
    </row>
    <row r="1737" spans="1:9" ht="14.5">
      <c r="A1737" s="20" t="s">
        <v>12416</v>
      </c>
      <c r="B1737" s="20">
        <v>55</v>
      </c>
      <c r="C1737" s="20">
        <v>50</v>
      </c>
      <c r="D1737" s="20">
        <v>47</v>
      </c>
      <c r="E1737" s="20">
        <v>10</v>
      </c>
      <c r="F1737" s="20" t="s">
        <v>12417</v>
      </c>
      <c r="G1737" s="24" t="str">
        <f ca="1">IFERROR(__xludf.DUMMYFUNCTION("GOOGLETRANSLATE(F1737,""en"",""pt"")"),"sistemas de abastecimento de biodiesel")</f>
        <v>sistemas de abastecimento de biodiesel</v>
      </c>
      <c r="H1737" s="24"/>
      <c r="I1737" s="24"/>
    </row>
    <row r="1738" spans="1:9" ht="14.5">
      <c r="A1738" s="20" t="s">
        <v>12418</v>
      </c>
      <c r="B1738" s="20">
        <v>55</v>
      </c>
      <c r="C1738" s="20">
        <v>50</v>
      </c>
      <c r="D1738" s="20">
        <v>47</v>
      </c>
      <c r="E1738" s="20">
        <v>12</v>
      </c>
      <c r="F1738" s="20" t="s">
        <v>12419</v>
      </c>
      <c r="G1738" s="24" t="str">
        <f ca="1">IFERROR(__xludf.DUMMYFUNCTION("GOOGLETRANSLATE(F1738,""en"",""pt"")"),"sistemas de abastecimento de bioetanol")</f>
        <v>sistemas de abastecimento de bioetanol</v>
      </c>
      <c r="H1738" s="20" t="s">
        <v>12420</v>
      </c>
      <c r="I1738" s="24"/>
    </row>
    <row r="1739" spans="1:9" ht="14.5">
      <c r="A1739" s="20" t="s">
        <v>12421</v>
      </c>
      <c r="B1739" s="20">
        <v>55</v>
      </c>
      <c r="C1739" s="20">
        <v>50</v>
      </c>
      <c r="D1739" s="20">
        <v>47</v>
      </c>
      <c r="E1739" s="20">
        <v>21</v>
      </c>
      <c r="F1739" s="20" t="s">
        <v>12422</v>
      </c>
      <c r="G1739" s="24" t="str">
        <f ca="1">IFERROR(__xludf.DUMMYFUNCTION("GOOGLETRANSLATE(F1739,""en"",""pt"")"),"sistemas de abastecimento de diesel")</f>
        <v>sistemas de abastecimento de diesel</v>
      </c>
      <c r="H1739" s="20" t="s">
        <v>12423</v>
      </c>
      <c r="I1739" s="20" t="s">
        <v>12276</v>
      </c>
    </row>
    <row r="1740" spans="1:9" ht="14.5">
      <c r="A1740" s="20" t="s">
        <v>12424</v>
      </c>
      <c r="B1740" s="20">
        <v>55</v>
      </c>
      <c r="C1740" s="20">
        <v>50</v>
      </c>
      <c r="D1740" s="20">
        <v>47</v>
      </c>
      <c r="E1740" s="20">
        <v>32</v>
      </c>
      <c r="F1740" s="20" t="s">
        <v>12425</v>
      </c>
      <c r="G1740" s="24" t="str">
        <f ca="1">IFERROR(__xludf.DUMMYFUNCTION("GOOGLETRANSLATE(F1740,""en"",""pt"")"),"sistemas de abastecimento de óleo combustível")</f>
        <v>sistemas de abastecimento de óleo combustível</v>
      </c>
      <c r="H1740" s="20" t="s">
        <v>12426</v>
      </c>
      <c r="I1740" s="20" t="s">
        <v>12276</v>
      </c>
    </row>
    <row r="1741" spans="1:9" ht="14.5">
      <c r="A1741" s="20" t="s">
        <v>12427</v>
      </c>
      <c r="B1741" s="20">
        <v>55</v>
      </c>
      <c r="C1741" s="20">
        <v>50</v>
      </c>
      <c r="D1741" s="20">
        <v>47</v>
      </c>
      <c r="E1741" s="20">
        <v>45</v>
      </c>
      <c r="F1741" s="20" t="s">
        <v>12428</v>
      </c>
      <c r="G1741" s="24" t="str">
        <f ca="1">IFERROR(__xludf.DUMMYFUNCTION("GOOGLETRANSLATE(F1741,""en"",""pt"")"),"sistemas de abastecimento de combustível de jato / querosene")</f>
        <v>sistemas de abastecimento de combustível de jato / querosene</v>
      </c>
      <c r="H1741" s="24"/>
      <c r="I1741" s="24"/>
    </row>
    <row r="1742" spans="1:9" ht="14.5">
      <c r="A1742" s="20" t="s">
        <v>12429</v>
      </c>
      <c r="B1742" s="20">
        <v>55</v>
      </c>
      <c r="C1742" s="20">
        <v>50</v>
      </c>
      <c r="D1742" s="20">
        <v>47</v>
      </c>
      <c r="E1742" s="20">
        <v>46</v>
      </c>
      <c r="F1742" s="20" t="s">
        <v>12430</v>
      </c>
      <c r="G1742" s="24" t="str">
        <f ca="1">IFERROR(__xludf.DUMMYFUNCTION("GOOGLETRANSLATE(F1742,""en"",""pt"")"),"sistemas de abastecimento de biocombustíveis líquidos")</f>
        <v>sistemas de abastecimento de biocombustíveis líquidos</v>
      </c>
      <c r="H1742" s="20" t="s">
        <v>12431</v>
      </c>
      <c r="I1742" s="20" t="s">
        <v>12276</v>
      </c>
    </row>
    <row r="1743" spans="1:9" ht="14.5">
      <c r="A1743" s="20" t="s">
        <v>12432</v>
      </c>
      <c r="B1743" s="20">
        <v>55</v>
      </c>
      <c r="C1743" s="20">
        <v>50</v>
      </c>
      <c r="D1743" s="20">
        <v>47</v>
      </c>
      <c r="E1743" s="20">
        <v>61</v>
      </c>
      <c r="F1743" s="20" t="s">
        <v>12433</v>
      </c>
      <c r="G1743" s="24" t="str">
        <f ca="1">IFERROR(__xludf.DUMMYFUNCTION("GOOGLETRANSLATE(F1743,""en"",""pt"")"),"sistemas de abastecimento de gasolina")</f>
        <v>sistemas de abastecimento de gasolina</v>
      </c>
      <c r="H1743" s="20" t="s">
        <v>12434</v>
      </c>
      <c r="I1743" s="20" t="s">
        <v>12276</v>
      </c>
    </row>
    <row r="1744" spans="1:9" ht="14.5">
      <c r="A1744" s="20" t="s">
        <v>12435</v>
      </c>
      <c r="B1744" s="20">
        <v>55</v>
      </c>
      <c r="C1744" s="20">
        <v>60</v>
      </c>
      <c r="D1744" s="24"/>
      <c r="E1744" s="24"/>
      <c r="F1744" s="20" t="s">
        <v>12436</v>
      </c>
      <c r="G1744" s="24" t="str">
        <f ca="1">IFERROR(__xludf.DUMMYFUNCTION("GOOGLETRANSLATE(F1744,""en"",""pt"")"),"Processar sistemas de distribuição e abastecimento de líquido")</f>
        <v>Processar sistemas de distribuição e abastecimento de líquido</v>
      </c>
      <c r="H1744" s="24"/>
      <c r="I1744" s="24"/>
    </row>
    <row r="1745" spans="1:9" ht="14.5">
      <c r="A1745" s="20" t="s">
        <v>12437</v>
      </c>
      <c r="B1745" s="20">
        <v>55</v>
      </c>
      <c r="C1745" s="20">
        <v>60</v>
      </c>
      <c r="D1745" s="20">
        <v>45</v>
      </c>
      <c r="E1745" s="24"/>
      <c r="F1745" s="20" t="s">
        <v>12438</v>
      </c>
      <c r="G1745" s="24" t="str">
        <f ca="1">IFERROR(__xludf.DUMMYFUNCTION("GOOGLETRANSLATE(F1745,""en"",""pt"")"),"ácidos e bases líquidas de sistemas de fornecimento")</f>
        <v>ácidos e bases líquidas de sistemas de fornecimento</v>
      </c>
      <c r="H1745" s="24"/>
      <c r="I1745" s="24"/>
    </row>
    <row r="1746" spans="1:9" ht="14.5">
      <c r="A1746" s="20" t="s">
        <v>12439</v>
      </c>
      <c r="B1746" s="20">
        <v>55</v>
      </c>
      <c r="C1746" s="20">
        <v>60</v>
      </c>
      <c r="D1746" s="20">
        <v>47</v>
      </c>
      <c r="E1746" s="24"/>
      <c r="F1746" s="20" t="s">
        <v>12440</v>
      </c>
      <c r="G1746" s="24" t="str">
        <f ca="1">IFERROR(__xludf.DUMMYFUNCTION("GOOGLETRANSLATE(F1746,""en"",""pt"")"),"produtos químicos líquidos fornecer sistemas")</f>
        <v>produtos químicos líquidos fornecer sistemas</v>
      </c>
      <c r="H1746" s="24"/>
      <c r="I1746" s="24"/>
    </row>
    <row r="1747" spans="1:9" ht="14.5">
      <c r="A1747" s="20" t="s">
        <v>12441</v>
      </c>
      <c r="B1747" s="20">
        <v>55</v>
      </c>
      <c r="C1747" s="20">
        <v>60</v>
      </c>
      <c r="D1747" s="20">
        <v>50</v>
      </c>
      <c r="E1747" s="24"/>
      <c r="F1747" s="20" t="s">
        <v>12442</v>
      </c>
      <c r="G1747" s="24" t="str">
        <f ca="1">IFERROR(__xludf.DUMMYFUNCTION("GOOGLETRANSLATE(F1747,""en"",""pt"")"),"sistemas de abastecimento de polímero líquidos")</f>
        <v>sistemas de abastecimento de polímero líquidos</v>
      </c>
      <c r="H1747" s="24"/>
      <c r="I1747" s="24"/>
    </row>
    <row r="1748" spans="1:9" ht="14.5">
      <c r="A1748" s="20" t="s">
        <v>12443</v>
      </c>
      <c r="B1748" s="20">
        <v>55</v>
      </c>
      <c r="C1748" s="20">
        <v>60</v>
      </c>
      <c r="D1748" s="20">
        <v>55</v>
      </c>
      <c r="E1748" s="24"/>
      <c r="F1748" s="20" t="s">
        <v>12444</v>
      </c>
      <c r="G1748" s="24" t="str">
        <f ca="1">IFERROR(__xludf.DUMMYFUNCTION("GOOGLETRANSLATE(F1748,""en"",""pt"")"),"sistemas de abastecimento de lubrificação")</f>
        <v>sistemas de abastecimento de lubrificação</v>
      </c>
      <c r="H1748" s="24"/>
      <c r="I1748" s="24"/>
    </row>
    <row r="1749" spans="1:9" ht="14.5">
      <c r="A1749" s="20" t="s">
        <v>12445</v>
      </c>
      <c r="B1749" s="20">
        <v>55</v>
      </c>
      <c r="C1749" s="20">
        <v>60</v>
      </c>
      <c r="D1749" s="20">
        <v>55</v>
      </c>
      <c r="E1749" s="20">
        <v>70</v>
      </c>
      <c r="F1749" s="20" t="s">
        <v>12446</v>
      </c>
      <c r="G1749" s="24" t="str">
        <f ca="1">IFERROR(__xludf.DUMMYFUNCTION("GOOGLETRANSLATE(F1749,""en"",""pt"")"),"sistemas de abastecimento de lubrificação ferroviárias")</f>
        <v>sistemas de abastecimento de lubrificação ferroviárias</v>
      </c>
      <c r="H1749" s="20" t="s">
        <v>12447</v>
      </c>
      <c r="I1749" s="24"/>
    </row>
    <row r="1750" spans="1:9" ht="14.5">
      <c r="A1750" s="20" t="s">
        <v>12448</v>
      </c>
      <c r="B1750" s="20">
        <v>55</v>
      </c>
      <c r="C1750" s="20">
        <v>70</v>
      </c>
      <c r="D1750" s="24"/>
      <c r="E1750" s="24"/>
      <c r="F1750" s="20" t="s">
        <v>12449</v>
      </c>
      <c r="G1750" s="24" t="str">
        <f ca="1">IFERROR(__xludf.DUMMYFUNCTION("GOOGLETRANSLATE(F1750,""en"",""pt"")"),"sistemas de distribuição de água e de abastecimento")</f>
        <v>sistemas de distribuição de água e de abastecimento</v>
      </c>
      <c r="H1750" s="24"/>
      <c r="I1750" s="24"/>
    </row>
    <row r="1751" spans="1:9" ht="14.5">
      <c r="A1751" s="20" t="s">
        <v>12450</v>
      </c>
      <c r="B1751" s="20">
        <v>55</v>
      </c>
      <c r="C1751" s="20">
        <v>70</v>
      </c>
      <c r="D1751" s="20">
        <v>38</v>
      </c>
      <c r="E1751" s="24"/>
      <c r="F1751" s="20" t="s">
        <v>12451</v>
      </c>
      <c r="G1751" s="24" t="str">
        <f ca="1">IFERROR(__xludf.DUMMYFUNCTION("GOOGLETRANSLATE(F1751,""en"",""pt"")"),"sistemas de abastecimento de água quente e fria")</f>
        <v>sistemas de abastecimento de água quente e fria</v>
      </c>
      <c r="H1751" s="24"/>
      <c r="I1751" s="24"/>
    </row>
    <row r="1752" spans="1:9" ht="14.5">
      <c r="A1752" s="20" t="s">
        <v>12452</v>
      </c>
      <c r="B1752" s="20">
        <v>55</v>
      </c>
      <c r="C1752" s="20">
        <v>70</v>
      </c>
      <c r="D1752" s="20">
        <v>38</v>
      </c>
      <c r="E1752" s="20">
        <v>15</v>
      </c>
      <c r="F1752" s="20" t="s">
        <v>12453</v>
      </c>
      <c r="G1752" s="24" t="str">
        <f ca="1">IFERROR(__xludf.DUMMYFUNCTION("GOOGLETRANSLATE(F1752,""en"",""pt"")"),"sistemas de abastecimento de água fria")</f>
        <v>sistemas de abastecimento de água fria</v>
      </c>
      <c r="H1752" s="20" t="s">
        <v>12454</v>
      </c>
      <c r="I1752" s="20" t="s">
        <v>12455</v>
      </c>
    </row>
    <row r="1753" spans="1:9" ht="14.5">
      <c r="A1753" s="20" t="s">
        <v>12456</v>
      </c>
      <c r="B1753" s="20">
        <v>55</v>
      </c>
      <c r="C1753" s="20">
        <v>70</v>
      </c>
      <c r="D1753" s="20">
        <v>38</v>
      </c>
      <c r="E1753" s="20">
        <v>20</v>
      </c>
      <c r="F1753" s="20" t="s">
        <v>12457</v>
      </c>
      <c r="G1753" s="24" t="str">
        <f ca="1">IFERROR(__xludf.DUMMYFUNCTION("GOOGLETRANSLATE(F1753,""en"",""pt"")"),"sistemas quentes directos de fornecimento de armazenamento de água")</f>
        <v>sistemas quentes directos de fornecimento de armazenamento de água</v>
      </c>
      <c r="H1753" s="20" t="s">
        <v>12458</v>
      </c>
      <c r="I1753" s="20" t="s">
        <v>12459</v>
      </c>
    </row>
    <row r="1754" spans="1:9" ht="14.5">
      <c r="A1754" s="20" t="s">
        <v>12460</v>
      </c>
      <c r="B1754" s="20">
        <v>55</v>
      </c>
      <c r="C1754" s="20">
        <v>70</v>
      </c>
      <c r="D1754" s="20">
        <v>38</v>
      </c>
      <c r="E1754" s="20">
        <v>40</v>
      </c>
      <c r="F1754" s="20" t="s">
        <v>12461</v>
      </c>
      <c r="G1754" s="24" t="str">
        <f ca="1">IFERROR(__xludf.DUMMYFUNCTION("GOOGLETRANSLATE(F1754,""en"",""pt"")"),"sistemas de abastecimento de água de entrada")</f>
        <v>sistemas de abastecimento de água de entrada</v>
      </c>
      <c r="H1754" s="20" t="s">
        <v>12462</v>
      </c>
      <c r="I1754" s="20" t="s">
        <v>12378</v>
      </c>
    </row>
    <row r="1755" spans="1:9" ht="14.5">
      <c r="A1755" s="20" t="s">
        <v>12463</v>
      </c>
      <c r="B1755" s="20">
        <v>55</v>
      </c>
      <c r="C1755" s="20">
        <v>70</v>
      </c>
      <c r="D1755" s="20">
        <v>38</v>
      </c>
      <c r="E1755" s="20">
        <v>42</v>
      </c>
      <c r="F1755" s="20" t="s">
        <v>12464</v>
      </c>
      <c r="G1755" s="24" t="str">
        <f ca="1">IFERROR(__xludf.DUMMYFUNCTION("GOOGLETRANSLATE(F1755,""en"",""pt"")"),"sistemas de fornecimento de armazenamento de água quente indirectos")</f>
        <v>sistemas de fornecimento de armazenamento de água quente indirectos</v>
      </c>
      <c r="H1755" s="20" t="s">
        <v>12465</v>
      </c>
      <c r="I1755" s="20" t="s">
        <v>12459</v>
      </c>
    </row>
    <row r="1756" spans="1:9" ht="14.5">
      <c r="A1756" s="20" t="s">
        <v>12466</v>
      </c>
      <c r="B1756" s="20">
        <v>55</v>
      </c>
      <c r="C1756" s="20">
        <v>70</v>
      </c>
      <c r="D1756" s="20">
        <v>38</v>
      </c>
      <c r="E1756" s="20">
        <v>45</v>
      </c>
      <c r="F1756" s="20" t="s">
        <v>12467</v>
      </c>
      <c r="G1756" s="24" t="str">
        <f ca="1">IFERROR(__xludf.DUMMYFUNCTION("GOOGLETRANSLATE(F1756,""en"",""pt"")"),"sistemas de abastecimento de água quente instantânea")</f>
        <v>sistemas de abastecimento de água quente instantânea</v>
      </c>
      <c r="H1756" s="20" t="s">
        <v>12468</v>
      </c>
      <c r="I1756" s="20" t="s">
        <v>12469</v>
      </c>
    </row>
    <row r="1757" spans="1:9" ht="14.5">
      <c r="A1757" s="20" t="s">
        <v>12470</v>
      </c>
      <c r="B1757" s="20">
        <v>55</v>
      </c>
      <c r="C1757" s="20">
        <v>70</v>
      </c>
      <c r="D1757" s="20">
        <v>38</v>
      </c>
      <c r="E1757" s="20">
        <v>65</v>
      </c>
      <c r="F1757" s="20" t="s">
        <v>12471</v>
      </c>
      <c r="G1757" s="24" t="str">
        <f ca="1">IFERROR(__xludf.DUMMYFUNCTION("GOOGLETRANSLATE(F1757,""en"",""pt"")"),"sistemas de fornecimento de água fria bombeada")</f>
        <v>sistemas de fornecimento de água fria bombeada</v>
      </c>
      <c r="H1757" s="20" t="s">
        <v>12472</v>
      </c>
      <c r="I1757" s="20" t="s">
        <v>12455</v>
      </c>
    </row>
    <row r="1758" spans="1:9" ht="14.5">
      <c r="A1758" s="20" t="s">
        <v>12473</v>
      </c>
      <c r="B1758" s="20">
        <v>55</v>
      </c>
      <c r="C1758" s="20">
        <v>70</v>
      </c>
      <c r="D1758" s="20">
        <v>39</v>
      </c>
      <c r="E1758" s="24"/>
      <c r="F1758" s="20" t="s">
        <v>12474</v>
      </c>
      <c r="G1758" s="24" t="str">
        <f ca="1">IFERROR(__xludf.DUMMYFUNCTION("GOOGLETRANSLATE(F1758,""en"",""pt"")"),"sistemas de abastecimento de água de pressão hidroeléctrica")</f>
        <v>sistemas de abastecimento de água de pressão hidroeléctrica</v>
      </c>
      <c r="H1758" s="24"/>
      <c r="I1758" s="24"/>
    </row>
    <row r="1759" spans="1:9" ht="14.5">
      <c r="A1759" s="20" t="s">
        <v>12475</v>
      </c>
      <c r="B1759" s="20">
        <v>55</v>
      </c>
      <c r="C1759" s="20">
        <v>70</v>
      </c>
      <c r="D1759" s="20">
        <v>39</v>
      </c>
      <c r="E1759" s="20">
        <v>10</v>
      </c>
      <c r="F1759" s="20" t="s">
        <v>12476</v>
      </c>
      <c r="G1759" s="24" t="str">
        <f ca="1">IFERROR(__xludf.DUMMYFUNCTION("GOOGLETRANSLATE(F1759,""en"",""pt"")"),"sistemas de condutas de pressão enterrados")</f>
        <v>sistemas de condutas de pressão enterrados</v>
      </c>
      <c r="H1759" s="20" t="s">
        <v>12477</v>
      </c>
      <c r="I1759" s="24"/>
    </row>
    <row r="1760" spans="1:9" ht="14.5">
      <c r="A1760" s="20" t="s">
        <v>12478</v>
      </c>
      <c r="B1760" s="20">
        <v>55</v>
      </c>
      <c r="C1760" s="20">
        <v>70</v>
      </c>
      <c r="D1760" s="20">
        <v>42</v>
      </c>
      <c r="E1760" s="24"/>
      <c r="F1760" s="20" t="s">
        <v>12479</v>
      </c>
      <c r="G1760" s="24" t="str">
        <f ca="1">IFERROR(__xludf.DUMMYFUNCTION("GOOGLETRANSLATE(F1760,""en"",""pt"")"),"Sistemas de irrigação")</f>
        <v>Sistemas de irrigação</v>
      </c>
      <c r="H1760" s="24"/>
      <c r="I1760" s="24"/>
    </row>
    <row r="1761" spans="1:9" ht="14.5">
      <c r="A1761" s="20" t="s">
        <v>12480</v>
      </c>
      <c r="B1761" s="20">
        <v>55</v>
      </c>
      <c r="C1761" s="20">
        <v>70</v>
      </c>
      <c r="D1761" s="20">
        <v>42</v>
      </c>
      <c r="E1761" s="20">
        <v>20</v>
      </c>
      <c r="F1761" s="20" t="s">
        <v>12481</v>
      </c>
      <c r="G1761" s="24" t="str">
        <f ca="1">IFERROR(__xludf.DUMMYFUNCTION("GOOGLETRANSLATE(F1761,""en"",""pt"")"),"sistemas de irrigação por gotejamento")</f>
        <v>sistemas de irrigação por gotejamento</v>
      </c>
      <c r="H1761" s="20" t="s">
        <v>12482</v>
      </c>
      <c r="I1761" s="20" t="s">
        <v>12483</v>
      </c>
    </row>
    <row r="1762" spans="1:9" ht="14.5">
      <c r="A1762" s="20" t="s">
        <v>12484</v>
      </c>
      <c r="B1762" s="20">
        <v>55</v>
      </c>
      <c r="C1762" s="20">
        <v>70</v>
      </c>
      <c r="D1762" s="20">
        <v>42</v>
      </c>
      <c r="E1762" s="20">
        <v>50</v>
      </c>
      <c r="F1762" s="20" t="s">
        <v>12485</v>
      </c>
      <c r="G1762" s="24" t="str">
        <f ca="1">IFERROR(__xludf.DUMMYFUNCTION("GOOGLETRANSLATE(F1762,""en"",""pt"")"),"sistemas de irrigação manuais")</f>
        <v>sistemas de irrigação manuais</v>
      </c>
      <c r="H1762" s="20" t="s">
        <v>12486</v>
      </c>
      <c r="I1762" s="20" t="s">
        <v>12483</v>
      </c>
    </row>
    <row r="1763" spans="1:9" ht="14.5">
      <c r="A1763" s="20" t="s">
        <v>12487</v>
      </c>
      <c r="B1763" s="20">
        <v>55</v>
      </c>
      <c r="C1763" s="20">
        <v>70</v>
      </c>
      <c r="D1763" s="20">
        <v>42</v>
      </c>
      <c r="E1763" s="20">
        <v>60</v>
      </c>
      <c r="F1763" s="20" t="s">
        <v>12488</v>
      </c>
      <c r="G1763" s="24" t="str">
        <f ca="1">IFERROR(__xludf.DUMMYFUNCTION("GOOGLETRANSLATE(F1763,""en"",""pt"")"),"sistemas de irrigação passivos")</f>
        <v>sistemas de irrigação passivos</v>
      </c>
      <c r="H1763" s="20" t="s">
        <v>12489</v>
      </c>
      <c r="I1763" s="20" t="s">
        <v>12483</v>
      </c>
    </row>
    <row r="1764" spans="1:9" ht="14.5">
      <c r="A1764" s="20" t="s">
        <v>12490</v>
      </c>
      <c r="B1764" s="20">
        <v>55</v>
      </c>
      <c r="C1764" s="20">
        <v>70</v>
      </c>
      <c r="D1764" s="20">
        <v>42</v>
      </c>
      <c r="E1764" s="20">
        <v>85</v>
      </c>
      <c r="F1764" s="20" t="s">
        <v>12491</v>
      </c>
      <c r="G1764" s="24" t="str">
        <f ca="1">IFERROR(__xludf.DUMMYFUNCTION("GOOGLETRANSLATE(F1764,""en"",""pt"")"),"sistemas de irrigação por aspersão")</f>
        <v>sistemas de irrigação por aspersão</v>
      </c>
      <c r="H1764" s="20" t="s">
        <v>12492</v>
      </c>
      <c r="I1764" s="20" t="s">
        <v>12483</v>
      </c>
    </row>
    <row r="1765" spans="1:9" ht="14.5">
      <c r="A1765" s="20" t="s">
        <v>12493</v>
      </c>
      <c r="B1765" s="20">
        <v>55</v>
      </c>
      <c r="C1765" s="20">
        <v>70</v>
      </c>
      <c r="D1765" s="20">
        <v>42</v>
      </c>
      <c r="E1765" s="20">
        <v>87</v>
      </c>
      <c r="F1765" s="20" t="s">
        <v>12494</v>
      </c>
      <c r="G1765" s="24" t="str">
        <f ca="1">IFERROR(__xludf.DUMMYFUNCTION("GOOGLETRANSLATE(F1765,""en"",""pt"")"),"sistemas de sub-irrigação")</f>
        <v>sistemas de sub-irrigação</v>
      </c>
      <c r="H1765" s="20" t="s">
        <v>12495</v>
      </c>
      <c r="I1765" s="20" t="s">
        <v>12483</v>
      </c>
    </row>
    <row r="1766" spans="1:9" ht="14.5">
      <c r="A1766" s="20" t="s">
        <v>12496</v>
      </c>
      <c r="B1766" s="20">
        <v>55</v>
      </c>
      <c r="C1766" s="20">
        <v>70</v>
      </c>
      <c r="D1766" s="20">
        <v>94</v>
      </c>
      <c r="E1766" s="24"/>
      <c r="F1766" s="20" t="s">
        <v>12497</v>
      </c>
      <c r="G1766" s="24" t="str">
        <f ca="1">IFERROR(__xludf.DUMMYFUNCTION("GOOGLETRANSLATE(F1766,""en"",""pt"")"),"sistemas de lavagem")</f>
        <v>sistemas de lavagem</v>
      </c>
      <c r="H1766" s="24"/>
      <c r="I1766" s="24"/>
    </row>
    <row r="1767" spans="1:9" ht="14.5">
      <c r="A1767" s="20" t="s">
        <v>12498</v>
      </c>
      <c r="B1767" s="20">
        <v>55</v>
      </c>
      <c r="C1767" s="20">
        <v>70</v>
      </c>
      <c r="D1767" s="20">
        <v>94</v>
      </c>
      <c r="E1767" s="20">
        <v>94</v>
      </c>
      <c r="F1767" s="20" t="s">
        <v>12499</v>
      </c>
      <c r="G1767" s="24" t="str">
        <f ca="1">IFERROR(__xludf.DUMMYFUNCTION("GOOGLETRANSLATE(F1767,""en"",""pt"")"),"sistemas de lavagem de plantas")</f>
        <v>sistemas de lavagem de plantas</v>
      </c>
      <c r="H1767" s="20" t="s">
        <v>12500</v>
      </c>
      <c r="I1767" s="24"/>
    </row>
    <row r="1768" spans="1:9" ht="14.5">
      <c r="A1768" s="20" t="s">
        <v>12501</v>
      </c>
      <c r="B1768" s="20">
        <v>55</v>
      </c>
      <c r="C1768" s="20">
        <v>70</v>
      </c>
      <c r="D1768" s="20">
        <v>94</v>
      </c>
      <c r="E1768" s="20">
        <v>96</v>
      </c>
      <c r="F1768" s="20" t="s">
        <v>12502</v>
      </c>
      <c r="G1768" s="24" t="str">
        <f ca="1">IFERROR(__xludf.DUMMYFUNCTION("GOOGLETRANSLATE(F1768,""en"",""pt"")"),"sistemas de lavagem de rodas")</f>
        <v>sistemas de lavagem de rodas</v>
      </c>
      <c r="H1768" s="20" t="s">
        <v>12503</v>
      </c>
      <c r="I1768" s="24"/>
    </row>
    <row r="1769" spans="1:9" ht="14.5">
      <c r="A1769" s="20" t="s">
        <v>12504</v>
      </c>
      <c r="B1769" s="20">
        <v>55</v>
      </c>
      <c r="C1769" s="20">
        <v>70</v>
      </c>
      <c r="D1769" s="20">
        <v>95</v>
      </c>
      <c r="E1769" s="24"/>
      <c r="F1769" s="20" t="s">
        <v>12505</v>
      </c>
      <c r="G1769" s="24" t="str">
        <f ca="1">IFERROR(__xludf.DUMMYFUNCTION("GOOGLETRANSLATE(F1769,""en"",""pt"")"),"sistemas de rede de distribuição de água")</f>
        <v>sistemas de rede de distribuição de água</v>
      </c>
      <c r="H1769" s="24"/>
      <c r="I1769" s="24"/>
    </row>
    <row r="1770" spans="1:9" ht="14.5">
      <c r="A1770" s="20" t="s">
        <v>12506</v>
      </c>
      <c r="B1770" s="20">
        <v>55</v>
      </c>
      <c r="C1770" s="20">
        <v>70</v>
      </c>
      <c r="D1770" s="20">
        <v>95</v>
      </c>
      <c r="E1770" s="20">
        <v>50</v>
      </c>
      <c r="F1770" s="20" t="s">
        <v>12507</v>
      </c>
      <c r="G1770" s="24" t="str">
        <f ca="1">IFERROR(__xludf.DUMMYFUNCTION("GOOGLETRANSLATE(F1770,""en"",""pt"")"),"Mains sistemas de redes de distribuição de água")</f>
        <v>Mains sistemas de redes de distribuição de água</v>
      </c>
      <c r="H1770" s="24"/>
      <c r="I1770" s="24"/>
    </row>
    <row r="1771" spans="1:9" ht="14.5">
      <c r="A1771" s="20" t="s">
        <v>12508</v>
      </c>
      <c r="B1771" s="20">
        <v>55</v>
      </c>
      <c r="C1771" s="20">
        <v>70</v>
      </c>
      <c r="D1771" s="20">
        <v>95</v>
      </c>
      <c r="E1771" s="20">
        <v>66</v>
      </c>
      <c r="F1771" s="20" t="s">
        <v>12509</v>
      </c>
      <c r="G1771" s="24" t="str">
        <f ca="1">IFERROR(__xludf.DUMMYFUNCTION("GOOGLETRANSLATE(F1771,""en"",""pt"")"),"sistemas de rede de distribuição de água privada")</f>
        <v>sistemas de rede de distribuição de água privada</v>
      </c>
      <c r="H1771" s="24"/>
      <c r="I1771" s="24"/>
    </row>
    <row r="1772" spans="1:9" ht="14.5">
      <c r="A1772" s="20" t="s">
        <v>12510</v>
      </c>
      <c r="B1772" s="20">
        <v>55</v>
      </c>
      <c r="C1772" s="20">
        <v>70</v>
      </c>
      <c r="D1772" s="20">
        <v>96</v>
      </c>
      <c r="E1772" s="24"/>
      <c r="F1772" s="20" t="s">
        <v>12511</v>
      </c>
      <c r="G1772" s="24" t="str">
        <f ca="1">IFERROR(__xludf.DUMMYFUNCTION("GOOGLETRANSLATE(F1772,""en"",""pt"")"),"sistemas de traços de água")</f>
        <v>sistemas de traços de água</v>
      </c>
      <c r="H1772" s="24"/>
      <c r="I1772" s="24"/>
    </row>
    <row r="1773" spans="1:9" ht="14.5">
      <c r="A1773" s="20" t="s">
        <v>12512</v>
      </c>
      <c r="B1773" s="20">
        <v>55</v>
      </c>
      <c r="C1773" s="20">
        <v>70</v>
      </c>
      <c r="D1773" s="20">
        <v>96</v>
      </c>
      <c r="E1773" s="20">
        <v>15</v>
      </c>
      <c r="F1773" s="20" t="s">
        <v>12513</v>
      </c>
      <c r="G1773" s="24" t="str">
        <f ca="1">IFERROR(__xludf.DUMMYFUNCTION("GOOGLETRANSLATE(F1773,""en"",""pt"")"),"Cascade e sistemas de cachoeira")</f>
        <v>Cascade e sistemas de cachoeira</v>
      </c>
      <c r="H1773" s="20" t="s">
        <v>12514</v>
      </c>
      <c r="I1773" s="20" t="s">
        <v>12515</v>
      </c>
    </row>
    <row r="1774" spans="1:9" ht="14.5">
      <c r="A1774" s="20" t="s">
        <v>12516</v>
      </c>
      <c r="B1774" s="20">
        <v>55</v>
      </c>
      <c r="C1774" s="20">
        <v>70</v>
      </c>
      <c r="D1774" s="20">
        <v>96</v>
      </c>
      <c r="E1774" s="20">
        <v>31</v>
      </c>
      <c r="F1774" s="20" t="s">
        <v>12517</v>
      </c>
      <c r="G1774" s="24" t="str">
        <f ca="1">IFERROR(__xludf.DUMMYFUNCTION("GOOGLETRANSLATE(F1774,""en"",""pt"")"),"sistemas fonte e jato")</f>
        <v>sistemas fonte e jato</v>
      </c>
      <c r="H1774" s="20" t="s">
        <v>12518</v>
      </c>
      <c r="I1774" s="20" t="s">
        <v>12515</v>
      </c>
    </row>
    <row r="1775" spans="1:9" ht="14.5">
      <c r="A1775" s="20" t="s">
        <v>12519</v>
      </c>
      <c r="B1775" s="20">
        <v>55</v>
      </c>
      <c r="C1775" s="20">
        <v>70</v>
      </c>
      <c r="D1775" s="20">
        <v>96</v>
      </c>
      <c r="E1775" s="20">
        <v>83</v>
      </c>
      <c r="F1775" s="20" t="s">
        <v>12520</v>
      </c>
      <c r="G1775" s="24" t="str">
        <f ca="1">IFERROR(__xludf.DUMMYFUNCTION("GOOGLETRANSLATE(F1775,""en"",""pt"")"),"sistemas de traços de água auto-suficiente")</f>
        <v>sistemas de traços de água auto-suficiente</v>
      </c>
      <c r="H1775" s="20" t="s">
        <v>12521</v>
      </c>
      <c r="I1775" s="20" t="s">
        <v>12515</v>
      </c>
    </row>
    <row r="1776" spans="1:9" ht="14.5">
      <c r="A1776" s="20" t="s">
        <v>12522</v>
      </c>
      <c r="B1776" s="20">
        <v>55</v>
      </c>
      <c r="C1776" s="20">
        <v>70</v>
      </c>
      <c r="D1776" s="20">
        <v>96</v>
      </c>
      <c r="E1776" s="20">
        <v>96</v>
      </c>
      <c r="F1776" s="20" t="s">
        <v>12523</v>
      </c>
      <c r="G1776" s="24" t="str">
        <f ca="1">IFERROR(__xludf.DUMMYFUNCTION("GOOGLETRANSLATE(F1776,""en"",""pt"")"),"sistemas de jogo de água")</f>
        <v>sistemas de jogo de água</v>
      </c>
      <c r="H1776" s="20" t="s">
        <v>12524</v>
      </c>
      <c r="I1776" s="20" t="s">
        <v>12515</v>
      </c>
    </row>
    <row r="1777" spans="1:9" ht="14.5">
      <c r="A1777" s="20" t="s">
        <v>12525</v>
      </c>
      <c r="B1777" s="20">
        <v>55</v>
      </c>
      <c r="C1777" s="20">
        <v>70</v>
      </c>
      <c r="D1777" s="20">
        <v>97</v>
      </c>
      <c r="E1777" s="24"/>
      <c r="F1777" s="20" t="s">
        <v>12526</v>
      </c>
      <c r="G1777" s="24" t="str">
        <f ca="1">IFERROR(__xludf.DUMMYFUNCTION("GOOGLETRANSLATE(F1777,""en"",""pt"")"),"sistemas de recuperação de água")</f>
        <v>sistemas de recuperação de água</v>
      </c>
      <c r="H1777" s="24"/>
      <c r="I1777" s="24"/>
    </row>
    <row r="1778" spans="1:9" ht="14.5">
      <c r="A1778" s="20" t="s">
        <v>12527</v>
      </c>
      <c r="B1778" s="20">
        <v>55</v>
      </c>
      <c r="C1778" s="20">
        <v>70</v>
      </c>
      <c r="D1778" s="20">
        <v>97</v>
      </c>
      <c r="E1778" s="20">
        <v>35</v>
      </c>
      <c r="F1778" s="20" t="s">
        <v>12528</v>
      </c>
      <c r="G1778" s="24" t="str">
        <f ca="1">IFERROR(__xludf.DUMMYFUNCTION("GOOGLETRANSLATE(F1778,""en"",""pt"")"),"sistemas de recuperação de água cinzentos")</f>
        <v>sistemas de recuperação de água cinzentos</v>
      </c>
      <c r="H1778" s="20" t="s">
        <v>12529</v>
      </c>
      <c r="I1778" s="20" t="s">
        <v>11824</v>
      </c>
    </row>
    <row r="1779" spans="1:9" ht="14.5">
      <c r="A1779" s="20" t="s">
        <v>12530</v>
      </c>
      <c r="B1779" s="20">
        <v>55</v>
      </c>
      <c r="C1779" s="20">
        <v>70</v>
      </c>
      <c r="D1779" s="20">
        <v>97</v>
      </c>
      <c r="E1779" s="20">
        <v>70</v>
      </c>
      <c r="F1779" s="20" t="s">
        <v>12531</v>
      </c>
      <c r="G1779" s="24" t="str">
        <f ca="1">IFERROR(__xludf.DUMMYFUNCTION("GOOGLETRANSLATE(F1779,""en"",""pt"")"),"sistemas de recuperação de água da chuva")</f>
        <v>sistemas de recuperação de água da chuva</v>
      </c>
      <c r="H1779" s="20" t="s">
        <v>12532</v>
      </c>
      <c r="I1779" s="20" t="s">
        <v>11824</v>
      </c>
    </row>
    <row r="1780" spans="1:9" ht="14.5">
      <c r="A1780" s="20" t="s">
        <v>12533</v>
      </c>
      <c r="B1780" s="20">
        <v>55</v>
      </c>
      <c r="C1780" s="20">
        <v>70</v>
      </c>
      <c r="D1780" s="20">
        <v>98</v>
      </c>
      <c r="E1780" s="24"/>
      <c r="F1780" s="20" t="s">
        <v>12534</v>
      </c>
      <c r="G1780" s="24" t="str">
        <f ca="1">IFERROR(__xludf.DUMMYFUNCTION("GOOGLETRANSLATE(F1780,""en"",""pt"")"),"sistemas de tratamento de águas")</f>
        <v>sistemas de tratamento de águas</v>
      </c>
      <c r="H1780" s="24"/>
      <c r="I1780" s="24"/>
    </row>
    <row r="1781" spans="1:9" ht="14.5">
      <c r="A1781" s="20" t="s">
        <v>12535</v>
      </c>
      <c r="B1781" s="20">
        <v>55</v>
      </c>
      <c r="C1781" s="20">
        <v>70</v>
      </c>
      <c r="D1781" s="20">
        <v>98</v>
      </c>
      <c r="E1781" s="20">
        <v>8</v>
      </c>
      <c r="F1781" s="20" t="s">
        <v>12536</v>
      </c>
      <c r="G1781" s="24" t="str">
        <f ca="1">IFERROR(__xludf.DUMMYFUNCTION("GOOGLETRANSLATE(F1781,""en"",""pt"")"),"sistemas de tratamento de água de furo")</f>
        <v>sistemas de tratamento de água de furo</v>
      </c>
      <c r="H1781" s="24"/>
      <c r="I1781" s="24"/>
    </row>
    <row r="1782" spans="1:9" ht="14.5">
      <c r="A1782" s="20" t="s">
        <v>12537</v>
      </c>
      <c r="B1782" s="20">
        <v>55</v>
      </c>
      <c r="C1782" s="20">
        <v>70</v>
      </c>
      <c r="D1782" s="20">
        <v>98</v>
      </c>
      <c r="E1782" s="20">
        <v>85</v>
      </c>
      <c r="F1782" s="20" t="s">
        <v>12538</v>
      </c>
      <c r="G1782" s="24" t="str">
        <f ca="1">IFERROR(__xludf.DUMMYFUNCTION("GOOGLETRANSLATE(F1782,""en"",""pt"")"),"Natação sistemas de tratamento de água da piscina")</f>
        <v>Natação sistemas de tratamento de água da piscina</v>
      </c>
      <c r="H1782" s="20" t="s">
        <v>12539</v>
      </c>
      <c r="I1782" s="20" t="s">
        <v>12259</v>
      </c>
    </row>
    <row r="1783" spans="1:9" ht="14.5">
      <c r="A1783" s="20" t="s">
        <v>12540</v>
      </c>
      <c r="B1783" s="20">
        <v>55</v>
      </c>
      <c r="C1783" s="20">
        <v>70</v>
      </c>
      <c r="D1783" s="20">
        <v>98</v>
      </c>
      <c r="E1783" s="20">
        <v>92</v>
      </c>
      <c r="F1783" s="20" t="s">
        <v>12541</v>
      </c>
      <c r="G1783" s="24" t="str">
        <f ca="1">IFERROR(__xludf.DUMMYFUNCTION("GOOGLETRANSLATE(F1783,""en"",""pt"")"),"sistemas de tratamento de água ultrapura")</f>
        <v>sistemas de tratamento de água ultrapura</v>
      </c>
      <c r="H1783" s="24"/>
      <c r="I1783" s="24"/>
    </row>
    <row r="1784" spans="1:9" ht="14.5">
      <c r="A1784" s="20" t="s">
        <v>12542</v>
      </c>
      <c r="B1784" s="20">
        <v>55</v>
      </c>
      <c r="C1784" s="20">
        <v>70</v>
      </c>
      <c r="D1784" s="20">
        <v>99</v>
      </c>
      <c r="E1784" s="24"/>
      <c r="F1784" s="20" t="s">
        <v>12543</v>
      </c>
      <c r="G1784" s="24" t="str">
        <f ca="1">IFERROR(__xludf.DUMMYFUNCTION("GOOGLETRANSLATE(F1784,""en"",""pt"")"),"sistemas de gestão da água")</f>
        <v>sistemas de gestão da água</v>
      </c>
      <c r="H1784" s="24"/>
      <c r="I1784" s="24"/>
    </row>
    <row r="1785" spans="1:9" ht="14.5">
      <c r="A1785" s="20" t="s">
        <v>12544</v>
      </c>
      <c r="B1785" s="20">
        <v>55</v>
      </c>
      <c r="C1785" s="20">
        <v>70</v>
      </c>
      <c r="D1785" s="20">
        <v>99</v>
      </c>
      <c r="E1785" s="20">
        <v>84</v>
      </c>
      <c r="F1785" s="20" t="s">
        <v>12545</v>
      </c>
      <c r="G1785" s="24" t="str">
        <f ca="1">IFERROR(__xludf.DUMMYFUNCTION("GOOGLETRANSLATE(F1785,""en"",""pt"")"),"sistemas Stoplog")</f>
        <v>sistemas Stoplog</v>
      </c>
      <c r="H1785" s="24"/>
      <c r="I1785" s="24"/>
    </row>
    <row r="1786" spans="1:9" ht="14.5">
      <c r="A1786" s="20" t="s">
        <v>12546</v>
      </c>
      <c r="B1786" s="20">
        <v>55</v>
      </c>
      <c r="C1786" s="20">
        <v>90</v>
      </c>
      <c r="D1786" s="24"/>
      <c r="E1786" s="24"/>
      <c r="F1786" s="20" t="s">
        <v>12547</v>
      </c>
      <c r="G1786" s="24" t="str">
        <f ca="1">IFERROR(__xludf.DUMMYFUNCTION("GOOGLETRANSLATE(F1786,""en"",""pt"")"),"Canalizada sólidos sistemas de distribuição e abastecimento")</f>
        <v>Canalizada sólidos sistemas de distribuição e abastecimento</v>
      </c>
      <c r="H1786" s="24"/>
      <c r="I1786" s="24"/>
    </row>
    <row r="1787" spans="1:9" ht="14.5">
      <c r="A1787" s="20" t="s">
        <v>12548</v>
      </c>
      <c r="B1787" s="20">
        <v>55</v>
      </c>
      <c r="C1787" s="20">
        <v>90</v>
      </c>
      <c r="D1787" s="20">
        <v>65</v>
      </c>
      <c r="E1787" s="24"/>
      <c r="F1787" s="20" t="s">
        <v>12549</v>
      </c>
      <c r="G1787" s="24" t="str">
        <f ca="1">IFERROR(__xludf.DUMMYFUNCTION("GOOGLETRANSLATE(F1787,""en"",""pt"")"),"sistemas de abastecimento canalizado de grânulos e pó")</f>
        <v>sistemas de abastecimento canalizado de grânulos e pó</v>
      </c>
      <c r="H1787" s="24"/>
      <c r="I1787" s="24"/>
    </row>
    <row r="1788" spans="1:9" ht="14.5">
      <c r="A1788" s="20" t="s">
        <v>12550</v>
      </c>
      <c r="B1788" s="20">
        <v>55</v>
      </c>
      <c r="C1788" s="20">
        <v>95</v>
      </c>
      <c r="D1788" s="24"/>
      <c r="E1788" s="24"/>
      <c r="F1788" s="20" t="s">
        <v>12551</v>
      </c>
      <c r="G1788" s="24" t="str">
        <f ca="1">IFERROR(__xludf.DUMMYFUNCTION("GOOGLETRANSLATE(F1788,""en"",""pt"")"),"sistemas de abastecimento canalizado temporários")</f>
        <v>sistemas de abastecimento canalizado temporários</v>
      </c>
      <c r="H1788" s="24"/>
      <c r="I1788" s="24"/>
    </row>
    <row r="1789" spans="1:9" ht="14.5">
      <c r="A1789" s="20" t="s">
        <v>12552</v>
      </c>
      <c r="B1789" s="20">
        <v>60</v>
      </c>
      <c r="C1789" s="24"/>
      <c r="D1789" s="24"/>
      <c r="E1789" s="24"/>
      <c r="F1789" s="20" t="s">
        <v>12553</v>
      </c>
      <c r="G1789" s="24" t="str">
        <f ca="1">IFERROR(__xludf.DUMMYFUNCTION("GOOGLETRANSLATE(F1789,""en"",""pt"")"),"Aquecimento, arrefecimento e sistemas de refrigeração")</f>
        <v>Aquecimento, arrefecimento e sistemas de refrigeração</v>
      </c>
      <c r="H1789" s="24"/>
      <c r="I1789" s="24"/>
    </row>
    <row r="1790" spans="1:9" ht="14.5">
      <c r="A1790" s="20" t="s">
        <v>12554</v>
      </c>
      <c r="B1790" s="20">
        <v>60</v>
      </c>
      <c r="C1790" s="20">
        <v>30</v>
      </c>
      <c r="D1790" s="24"/>
      <c r="E1790" s="24"/>
      <c r="F1790" s="20" t="s">
        <v>12555</v>
      </c>
      <c r="G1790" s="24" t="str">
        <f ca="1">IFERROR(__xludf.DUMMYFUNCTION("GOOGLETRANSLATE(F1790,""en"",""pt"")"),"pavimentação sistemas de aquecimento ferroviário e")</f>
        <v>pavimentação sistemas de aquecimento ferroviário e</v>
      </c>
      <c r="H1790" s="24"/>
      <c r="I1790" s="24"/>
    </row>
    <row r="1791" spans="1:9" ht="14.5">
      <c r="A1791" s="20" t="s">
        <v>12556</v>
      </c>
      <c r="B1791" s="20">
        <v>60</v>
      </c>
      <c r="C1791" s="20">
        <v>30</v>
      </c>
      <c r="D1791" s="20">
        <v>60</v>
      </c>
      <c r="E1791" s="24"/>
      <c r="F1791" s="20" t="s">
        <v>12557</v>
      </c>
      <c r="G1791" s="24" t="str">
        <f ca="1">IFERROR(__xludf.DUMMYFUNCTION("GOOGLETRANSLATE(F1791,""en"",""pt"")"),"sistemas de aquecimento de pavimentos")</f>
        <v>sistemas de aquecimento de pavimentos</v>
      </c>
      <c r="H1791" s="24"/>
      <c r="I1791" s="24"/>
    </row>
    <row r="1792" spans="1:9" ht="14.5">
      <c r="A1792" s="20" t="s">
        <v>12558</v>
      </c>
      <c r="B1792" s="20">
        <v>60</v>
      </c>
      <c r="C1792" s="20">
        <v>30</v>
      </c>
      <c r="D1792" s="20">
        <v>60</v>
      </c>
      <c r="E1792" s="20">
        <v>27</v>
      </c>
      <c r="F1792" s="20" t="s">
        <v>12559</v>
      </c>
      <c r="G1792" s="24" t="str">
        <f ca="1">IFERROR(__xludf.DUMMYFUNCTION("GOOGLETRANSLATE(F1792,""en"",""pt"")"),"sistemas de aquecimento de pavimento eléctrica")</f>
        <v>sistemas de aquecimento de pavimento eléctrica</v>
      </c>
      <c r="H1792" s="20" t="s">
        <v>12560</v>
      </c>
      <c r="I1792" s="24"/>
    </row>
    <row r="1793" spans="1:9" ht="14.5">
      <c r="A1793" s="20" t="s">
        <v>12561</v>
      </c>
      <c r="B1793" s="20">
        <v>60</v>
      </c>
      <c r="C1793" s="20">
        <v>30</v>
      </c>
      <c r="D1793" s="20">
        <v>70</v>
      </c>
      <c r="E1793" s="24"/>
      <c r="F1793" s="20" t="s">
        <v>12562</v>
      </c>
      <c r="G1793" s="24" t="str">
        <f ca="1">IFERROR(__xludf.DUMMYFUNCTION("GOOGLETRANSLATE(F1793,""en"",""pt"")"),"sistemas de aquecimento ferroviárias")</f>
        <v>sistemas de aquecimento ferroviárias</v>
      </c>
      <c r="H1793" s="24"/>
      <c r="I1793" s="24"/>
    </row>
    <row r="1794" spans="1:9" ht="14.5">
      <c r="A1794" s="20" t="s">
        <v>12563</v>
      </c>
      <c r="B1794" s="20">
        <v>60</v>
      </c>
      <c r="C1794" s="20">
        <v>30</v>
      </c>
      <c r="D1794" s="20">
        <v>70</v>
      </c>
      <c r="E1794" s="20">
        <v>65</v>
      </c>
      <c r="F1794" s="20" t="s">
        <v>12564</v>
      </c>
      <c r="G1794" s="24" t="str">
        <f ca="1">IFERROR(__xludf.DUMMYFUNCTION("GOOGLETRANSLATE(F1794,""en"",""pt"")"),"Pontos sistemas de aquecimento")</f>
        <v>Pontos sistemas de aquecimento</v>
      </c>
      <c r="H1794" s="24"/>
      <c r="I1794" s="24"/>
    </row>
    <row r="1795" spans="1:9" ht="14.5">
      <c r="A1795" s="20" t="s">
        <v>12565</v>
      </c>
      <c r="B1795" s="20">
        <v>60</v>
      </c>
      <c r="C1795" s="20">
        <v>30</v>
      </c>
      <c r="D1795" s="20">
        <v>75</v>
      </c>
      <c r="E1795" s="24"/>
      <c r="F1795" s="20" t="s">
        <v>12566</v>
      </c>
      <c r="G1795" s="24" t="str">
        <f ca="1">IFERROR(__xludf.DUMMYFUNCTION("GOOGLETRANSLATE(F1795,""en"",""pt"")"),"sistemas de aquecimento pista")</f>
        <v>sistemas de aquecimento pista</v>
      </c>
      <c r="H1795" s="24"/>
      <c r="I1795" s="24"/>
    </row>
    <row r="1796" spans="1:9" ht="14.5">
      <c r="A1796" s="20" t="s">
        <v>12567</v>
      </c>
      <c r="B1796" s="20">
        <v>60</v>
      </c>
      <c r="C1796" s="20">
        <v>30</v>
      </c>
      <c r="D1796" s="20">
        <v>90</v>
      </c>
      <c r="E1796" s="24"/>
      <c r="F1796" s="20" t="s">
        <v>12568</v>
      </c>
      <c r="G1796" s="24" t="str">
        <f ca="1">IFERROR(__xludf.DUMMYFUNCTION("GOOGLETRANSLATE(F1796,""en"",""pt"")"),"sistemas de aquecimento de vias férreas")</f>
        <v>sistemas de aquecimento de vias férreas</v>
      </c>
      <c r="H1796" s="24"/>
      <c r="I1796" s="24"/>
    </row>
    <row r="1797" spans="1:9" ht="14.5">
      <c r="A1797" s="20" t="s">
        <v>12569</v>
      </c>
      <c r="B1797" s="20">
        <v>60</v>
      </c>
      <c r="C1797" s="20">
        <v>40</v>
      </c>
      <c r="D1797" s="24"/>
      <c r="E1797" s="24"/>
      <c r="F1797" s="20" t="s">
        <v>12570</v>
      </c>
      <c r="G1797" s="24" t="str">
        <f ca="1">IFERROR(__xludf.DUMMYFUNCTION("GOOGLETRANSLATE(F1797,""en"",""pt"")"),"sistemas de arrefecimento e aquecimento de espaços")</f>
        <v>sistemas de arrefecimento e aquecimento de espaços</v>
      </c>
      <c r="H1797" s="24"/>
      <c r="I1797" s="24"/>
    </row>
    <row r="1798" spans="1:9" ht="14.5">
      <c r="A1798" s="20" t="s">
        <v>12571</v>
      </c>
      <c r="B1798" s="20">
        <v>60</v>
      </c>
      <c r="C1798" s="20">
        <v>40</v>
      </c>
      <c r="D1798" s="20">
        <v>13</v>
      </c>
      <c r="E1798" s="24"/>
      <c r="F1798" s="20" t="s">
        <v>12572</v>
      </c>
      <c r="G1798" s="24" t="str">
        <f ca="1">IFERROR(__xludf.DUMMYFUNCTION("GOOGLETRANSLATE(F1798,""en"",""pt"")"),"sistemas de teto e vigas climáticas")</f>
        <v>sistemas de teto e vigas climáticas</v>
      </c>
      <c r="H1798" s="24"/>
      <c r="I1798" s="24"/>
    </row>
    <row r="1799" spans="1:9" ht="14.5">
      <c r="A1799" s="20" t="s">
        <v>12573</v>
      </c>
      <c r="B1799" s="20">
        <v>60</v>
      </c>
      <c r="C1799" s="20">
        <v>40</v>
      </c>
      <c r="D1799" s="20">
        <v>13</v>
      </c>
      <c r="E1799" s="20">
        <v>13</v>
      </c>
      <c r="F1799" s="20" t="s">
        <v>12574</v>
      </c>
      <c r="G1799" s="24" t="str">
        <f ca="1">IFERROR(__xludf.DUMMYFUNCTION("GOOGLETRANSLATE(F1799,""en"",""pt"")"),"Sistemas de feixes climáticas")</f>
        <v>Sistemas de feixes climáticas</v>
      </c>
      <c r="H1799" s="20" t="s">
        <v>12575</v>
      </c>
      <c r="I1799" s="20" t="s">
        <v>12576</v>
      </c>
    </row>
    <row r="1800" spans="1:9" ht="14.5">
      <c r="A1800" s="20" t="s">
        <v>12577</v>
      </c>
      <c r="B1800" s="20">
        <v>60</v>
      </c>
      <c r="C1800" s="20">
        <v>40</v>
      </c>
      <c r="D1800" s="20">
        <v>13</v>
      </c>
      <c r="E1800" s="20">
        <v>14</v>
      </c>
      <c r="F1800" s="20" t="s">
        <v>12578</v>
      </c>
      <c r="G1800" s="24" t="str">
        <f ca="1">IFERROR(__xludf.DUMMYFUNCTION("GOOGLETRANSLATE(F1800,""en"",""pt"")"),"sistemas de teto climáticas")</f>
        <v>sistemas de teto climáticas</v>
      </c>
      <c r="H1800" s="20" t="s">
        <v>12579</v>
      </c>
      <c r="I1800" s="20" t="s">
        <v>12576</v>
      </c>
    </row>
    <row r="1801" spans="1:9" ht="14.5">
      <c r="A1801" s="20" t="s">
        <v>12580</v>
      </c>
      <c r="B1801" s="20">
        <v>60</v>
      </c>
      <c r="C1801" s="20">
        <v>40</v>
      </c>
      <c r="D1801" s="20">
        <v>15</v>
      </c>
      <c r="E1801" s="24"/>
      <c r="F1801" s="20" t="s">
        <v>12581</v>
      </c>
      <c r="G1801" s="24" t="str">
        <f ca="1">IFERROR(__xludf.DUMMYFUNCTION("GOOGLETRANSLATE(F1801,""en"",""pt"")"),"de aquecimento, de arrefecimento e sistemas de energia combinados")</f>
        <v>de aquecimento, de arrefecimento e sistemas de energia combinados</v>
      </c>
      <c r="H1801" s="24"/>
      <c r="I1801" s="24"/>
    </row>
    <row r="1802" spans="1:9" ht="14.5">
      <c r="A1802" s="20" t="s">
        <v>12582</v>
      </c>
      <c r="B1802" s="20">
        <v>60</v>
      </c>
      <c r="C1802" s="20">
        <v>40</v>
      </c>
      <c r="D1802" s="20">
        <v>15</v>
      </c>
      <c r="E1802" s="20">
        <v>40</v>
      </c>
      <c r="F1802" s="20" t="s">
        <v>12583</v>
      </c>
      <c r="G1802" s="24" t="str">
        <f ca="1">IFERROR(__xludf.DUMMYFUNCTION("GOOGLETRANSLATE(F1802,""en"",""pt"")"),"sistemas de cogeração")</f>
        <v>sistemas de cogeração</v>
      </c>
      <c r="H1802" s="20" t="s">
        <v>12584</v>
      </c>
      <c r="I1802" s="20" t="s">
        <v>12585</v>
      </c>
    </row>
    <row r="1803" spans="1:9" ht="14.5">
      <c r="A1803" s="20" t="s">
        <v>12586</v>
      </c>
      <c r="B1803" s="20">
        <v>60</v>
      </c>
      <c r="C1803" s="20">
        <v>40</v>
      </c>
      <c r="D1803" s="20">
        <v>15</v>
      </c>
      <c r="E1803" s="20">
        <v>90</v>
      </c>
      <c r="F1803" s="20" t="s">
        <v>12587</v>
      </c>
      <c r="G1803" s="24" t="str">
        <f ca="1">IFERROR(__xludf.DUMMYFUNCTION("GOOGLETRANSLATE(F1803,""en"",""pt"")"),"sistemas de arrefecimento combinado de aquecimento radiante e")</f>
        <v>sistemas de arrefecimento combinado de aquecimento radiante e</v>
      </c>
      <c r="H1803" s="20" t="s">
        <v>12588</v>
      </c>
      <c r="I1803" s="20" t="s">
        <v>12576</v>
      </c>
    </row>
    <row r="1804" spans="1:9" ht="14.5">
      <c r="A1804" s="20" t="s">
        <v>12589</v>
      </c>
      <c r="B1804" s="20">
        <v>60</v>
      </c>
      <c r="C1804" s="20">
        <v>40</v>
      </c>
      <c r="D1804" s="20">
        <v>17</v>
      </c>
      <c r="E1804" s="24"/>
      <c r="F1804" s="20" t="s">
        <v>12590</v>
      </c>
      <c r="G1804" s="24" t="str">
        <f ca="1">IFERROR(__xludf.DUMMYFUNCTION("GOOGLETRANSLATE(F1804,""en"",""pt"")"),"sistemas de refrigeração")</f>
        <v>sistemas de refrigeração</v>
      </c>
      <c r="H1804" s="24"/>
      <c r="I1804" s="24"/>
    </row>
    <row r="1805" spans="1:9" ht="14.5">
      <c r="A1805" s="20" t="s">
        <v>12591</v>
      </c>
      <c r="B1805" s="20">
        <v>60</v>
      </c>
      <c r="C1805" s="20">
        <v>40</v>
      </c>
      <c r="D1805" s="20">
        <v>17</v>
      </c>
      <c r="E1805" s="20">
        <v>12</v>
      </c>
      <c r="F1805" s="20" t="s">
        <v>12592</v>
      </c>
      <c r="G1805" s="24" t="str">
        <f ca="1">IFERROR(__xludf.DUMMYFUNCTION("GOOGLETRANSLATE(F1805,""en"",""pt"")"),"sistemas de água gelada")</f>
        <v>sistemas de água gelada</v>
      </c>
      <c r="H1805" s="20" t="s">
        <v>12593</v>
      </c>
      <c r="I1805" s="20" t="s">
        <v>12594</v>
      </c>
    </row>
    <row r="1806" spans="1:9" ht="14.5">
      <c r="A1806" s="20" t="s">
        <v>12595</v>
      </c>
      <c r="B1806" s="20">
        <v>60</v>
      </c>
      <c r="C1806" s="20">
        <v>40</v>
      </c>
      <c r="D1806" s="20">
        <v>17</v>
      </c>
      <c r="E1806" s="20">
        <v>21</v>
      </c>
      <c r="F1806" s="20" t="s">
        <v>12596</v>
      </c>
      <c r="G1806" s="24" t="str">
        <f ca="1">IFERROR(__xludf.DUMMYFUNCTION("GOOGLETRANSLATE(F1806,""en"",""pt"")"),"Distrito sistemas de refrigeração")</f>
        <v>Distrito sistemas de refrigeração</v>
      </c>
      <c r="H1806" s="24"/>
      <c r="I1806" s="24"/>
    </row>
    <row r="1807" spans="1:9" ht="14.5">
      <c r="A1807" s="20" t="s">
        <v>12597</v>
      </c>
      <c r="B1807" s="20">
        <v>60</v>
      </c>
      <c r="C1807" s="20">
        <v>40</v>
      </c>
      <c r="D1807" s="20">
        <v>17</v>
      </c>
      <c r="E1807" s="20">
        <v>71</v>
      </c>
      <c r="F1807" s="20" t="s">
        <v>12598</v>
      </c>
      <c r="G1807" s="24" t="str">
        <f ca="1">IFERROR(__xludf.DUMMYFUNCTION("GOOGLETRANSLATE(F1807,""en"",""pt"")"),"sistemas de arrefecimento de refrigerante")</f>
        <v>sistemas de arrefecimento de refrigerante</v>
      </c>
      <c r="H1807" s="24"/>
      <c r="I1807" s="24"/>
    </row>
    <row r="1808" spans="1:9" ht="14.5">
      <c r="A1808" s="20" t="s">
        <v>12599</v>
      </c>
      <c r="B1808" s="20">
        <v>60</v>
      </c>
      <c r="C1808" s="20">
        <v>40</v>
      </c>
      <c r="D1808" s="20">
        <v>17</v>
      </c>
      <c r="E1808" s="20">
        <v>92</v>
      </c>
      <c r="F1808" s="20" t="s">
        <v>12600</v>
      </c>
      <c r="G1808" s="24" t="str">
        <f ca="1">IFERROR(__xludf.DUMMYFUNCTION("GOOGLETRANSLATE(F1808,""en"",""pt"")"),"Radiante sistemas de água gelada")</f>
        <v>Radiante sistemas de água gelada</v>
      </c>
      <c r="H1808" s="20" t="s">
        <v>12601</v>
      </c>
      <c r="I1808" s="20" t="s">
        <v>12602</v>
      </c>
    </row>
    <row r="1809" spans="1:9" ht="14.5">
      <c r="A1809" s="20" t="s">
        <v>12603</v>
      </c>
      <c r="B1809" s="20">
        <v>60</v>
      </c>
      <c r="C1809" s="20">
        <v>40</v>
      </c>
      <c r="D1809" s="20">
        <v>17</v>
      </c>
      <c r="E1809" s="20">
        <v>94</v>
      </c>
      <c r="F1809" s="20" t="s">
        <v>12604</v>
      </c>
      <c r="G1809" s="24" t="str">
        <f ca="1">IFERROR(__xludf.DUMMYFUNCTION("GOOGLETRANSLATE(F1809,""en"",""pt"")"),"sistemas VRV")</f>
        <v>sistemas VRV</v>
      </c>
      <c r="H1809" s="20" t="s">
        <v>12605</v>
      </c>
      <c r="I1809" s="20" t="s">
        <v>12602</v>
      </c>
    </row>
    <row r="1810" spans="1:9" ht="14.5">
      <c r="A1810" s="20" t="s">
        <v>12606</v>
      </c>
      <c r="B1810" s="20">
        <v>60</v>
      </c>
      <c r="C1810" s="20">
        <v>40</v>
      </c>
      <c r="D1810" s="20">
        <v>17</v>
      </c>
      <c r="E1810" s="20">
        <v>96</v>
      </c>
      <c r="F1810" s="20" t="s">
        <v>12607</v>
      </c>
      <c r="G1810" s="24" t="str">
        <f ca="1">IFERROR(__xludf.DUMMYFUNCTION("GOOGLETRANSLATE(F1810,""en"",""pt"")"),"sistemas de arrefecimento de água")</f>
        <v>sistemas de arrefecimento de água</v>
      </c>
      <c r="H1810" s="24"/>
      <c r="I1810" s="24"/>
    </row>
    <row r="1811" spans="1:9" ht="14.5">
      <c r="A1811" s="20" t="s">
        <v>12608</v>
      </c>
      <c r="B1811" s="20">
        <v>60</v>
      </c>
      <c r="C1811" s="20">
        <v>40</v>
      </c>
      <c r="D1811" s="20">
        <v>36</v>
      </c>
      <c r="E1811" s="24"/>
      <c r="F1811" s="20" t="s">
        <v>12609</v>
      </c>
      <c r="G1811" s="24" t="str">
        <f ca="1">IFERROR(__xludf.DUMMYFUNCTION("GOOGLETRANSLATE(F1811,""en"",""pt"")"),"sistemas de bombas de calor")</f>
        <v>sistemas de bombas de calor</v>
      </c>
      <c r="H1811" s="24"/>
      <c r="I1811" s="24"/>
    </row>
    <row r="1812" spans="1:9" ht="14.5">
      <c r="A1812" s="20" t="s">
        <v>12610</v>
      </c>
      <c r="B1812" s="20">
        <v>60</v>
      </c>
      <c r="C1812" s="20">
        <v>40</v>
      </c>
      <c r="D1812" s="20">
        <v>36</v>
      </c>
      <c r="E1812" s="20">
        <v>5</v>
      </c>
      <c r="F1812" s="20" t="s">
        <v>12611</v>
      </c>
      <c r="G1812" s="24" t="str">
        <f ca="1">IFERROR(__xludf.DUMMYFUNCTION("GOOGLETRANSLATE(F1812,""en"",""pt"")"),"sistemas de bomba de calor da fonte de ar")</f>
        <v>sistemas de bomba de calor da fonte de ar</v>
      </c>
      <c r="H1812" s="20" t="s">
        <v>12612</v>
      </c>
      <c r="I1812" s="20" t="s">
        <v>12613</v>
      </c>
    </row>
    <row r="1813" spans="1:9" ht="14.5">
      <c r="A1813" s="20" t="s">
        <v>12614</v>
      </c>
      <c r="B1813" s="20">
        <v>60</v>
      </c>
      <c r="C1813" s="20">
        <v>40</v>
      </c>
      <c r="D1813" s="20">
        <v>36</v>
      </c>
      <c r="E1813" s="20">
        <v>35</v>
      </c>
      <c r="F1813" s="20" t="s">
        <v>12615</v>
      </c>
      <c r="G1813" s="24" t="str">
        <f ca="1">IFERROR(__xludf.DUMMYFUNCTION("GOOGLETRANSLATE(F1813,""en"",""pt"")"),"sistemas de bombas de calor geotérmicas")</f>
        <v>sistemas de bombas de calor geotérmicas</v>
      </c>
      <c r="H1813" s="20" t="s">
        <v>12616</v>
      </c>
      <c r="I1813" s="20" t="s">
        <v>12613</v>
      </c>
    </row>
    <row r="1814" spans="1:9" ht="14.5">
      <c r="A1814" s="20" t="s">
        <v>12617</v>
      </c>
      <c r="B1814" s="20">
        <v>60</v>
      </c>
      <c r="C1814" s="20">
        <v>40</v>
      </c>
      <c r="D1814" s="20">
        <v>36</v>
      </c>
      <c r="E1814" s="20">
        <v>96</v>
      </c>
      <c r="F1814" s="20" t="s">
        <v>12618</v>
      </c>
      <c r="G1814" s="24" t="str">
        <f ca="1">IFERROR(__xludf.DUMMYFUNCTION("GOOGLETRANSLATE(F1814,""en"",""pt"")"),"bomba de calor, fonte de água")</f>
        <v>bomba de calor, fonte de água</v>
      </c>
      <c r="H1814" s="20" t="s">
        <v>12619</v>
      </c>
      <c r="I1814" s="20" t="s">
        <v>12613</v>
      </c>
    </row>
    <row r="1815" spans="1:9" ht="14.5">
      <c r="A1815" s="20" t="s">
        <v>12620</v>
      </c>
      <c r="B1815" s="20">
        <v>60</v>
      </c>
      <c r="C1815" s="20">
        <v>40</v>
      </c>
      <c r="D1815" s="20">
        <v>37</v>
      </c>
      <c r="E1815" s="24"/>
      <c r="F1815" s="20" t="s">
        <v>12621</v>
      </c>
      <c r="G1815" s="24" t="str">
        <f ca="1">IFERROR(__xludf.DUMMYFUNCTION("GOOGLETRANSLATE(F1815,""en"",""pt"")"),"Sistemas de aquecimento")</f>
        <v>Sistemas de aquecimento</v>
      </c>
      <c r="H1815" s="24"/>
      <c r="I1815" s="24"/>
    </row>
    <row r="1816" spans="1:9" ht="14.5">
      <c r="A1816" s="20" t="s">
        <v>12622</v>
      </c>
      <c r="B1816" s="20">
        <v>60</v>
      </c>
      <c r="C1816" s="20">
        <v>40</v>
      </c>
      <c r="D1816" s="20">
        <v>37</v>
      </c>
      <c r="E1816" s="20">
        <v>21</v>
      </c>
      <c r="F1816" s="20" t="s">
        <v>12623</v>
      </c>
      <c r="G1816" s="24" t="str">
        <f ca="1">IFERROR(__xludf.DUMMYFUNCTION("GOOGLETRANSLATE(F1816,""en"",""pt"")"),"gás direta disparou sistemas de aquecimento")</f>
        <v>gás direta disparou sistemas de aquecimento</v>
      </c>
      <c r="H1816" s="20" t="s">
        <v>12624</v>
      </c>
      <c r="I1816" s="20" t="s">
        <v>12625</v>
      </c>
    </row>
    <row r="1817" spans="1:9" ht="14.5">
      <c r="A1817" s="20" t="s">
        <v>12626</v>
      </c>
      <c r="B1817" s="20">
        <v>60</v>
      </c>
      <c r="C1817" s="20">
        <v>40</v>
      </c>
      <c r="D1817" s="20">
        <v>37</v>
      </c>
      <c r="E1817" s="20">
        <v>22</v>
      </c>
      <c r="F1817" s="20" t="s">
        <v>12627</v>
      </c>
      <c r="G1817" s="24" t="str">
        <f ca="1">IFERROR(__xludf.DUMMYFUNCTION("GOOGLETRANSLATE(F1817,""en"",""pt"")"),"sistemas de aquecimento urbano")</f>
        <v>sistemas de aquecimento urbano</v>
      </c>
      <c r="H1817" s="24"/>
      <c r="I1817" s="24"/>
    </row>
    <row r="1818" spans="1:9" ht="14.5">
      <c r="A1818" s="20" t="s">
        <v>12628</v>
      </c>
      <c r="B1818" s="20">
        <v>60</v>
      </c>
      <c r="C1818" s="20">
        <v>40</v>
      </c>
      <c r="D1818" s="20">
        <v>37</v>
      </c>
      <c r="E1818" s="20">
        <v>26</v>
      </c>
      <c r="F1818" s="20" t="s">
        <v>12629</v>
      </c>
      <c r="G1818" s="24" t="str">
        <f ca="1">IFERROR(__xludf.DUMMYFUNCTION("GOOGLETRANSLATE(F1818,""en"",""pt"")"),"sistemas de aquecimento eléctrico")</f>
        <v>sistemas de aquecimento eléctrico</v>
      </c>
      <c r="H1818" s="20" t="s">
        <v>12630</v>
      </c>
      <c r="I1818" s="20" t="s">
        <v>12631</v>
      </c>
    </row>
    <row r="1819" spans="1:9" ht="14.5">
      <c r="A1819" s="20" t="s">
        <v>12632</v>
      </c>
      <c r="B1819" s="20">
        <v>60</v>
      </c>
      <c r="C1819" s="20">
        <v>40</v>
      </c>
      <c r="D1819" s="20">
        <v>37</v>
      </c>
      <c r="E1819" s="20">
        <v>27</v>
      </c>
      <c r="F1819" s="20" t="s">
        <v>12633</v>
      </c>
      <c r="G1819" s="24" t="str">
        <f ca="1">IFERROR(__xludf.DUMMYFUNCTION("GOOGLETRANSLATE(F1819,""en"",""pt"")"),"sistemas de aquecimento radiante eléctrico")</f>
        <v>sistemas de aquecimento radiante eléctrico</v>
      </c>
      <c r="H1819" s="20" t="s">
        <v>12634</v>
      </c>
      <c r="I1819" s="20" t="s">
        <v>12635</v>
      </c>
    </row>
    <row r="1820" spans="1:9" ht="14.5">
      <c r="A1820" s="20" t="s">
        <v>12636</v>
      </c>
      <c r="B1820" s="20">
        <v>60</v>
      </c>
      <c r="C1820" s="20">
        <v>40</v>
      </c>
      <c r="D1820" s="20">
        <v>37</v>
      </c>
      <c r="E1820" s="20">
        <v>28</v>
      </c>
      <c r="F1820" s="20" t="s">
        <v>12637</v>
      </c>
      <c r="G1820" s="24" t="str">
        <f ca="1">IFERROR(__xludf.DUMMYFUNCTION("GOOGLETRANSLATE(F1820,""en"",""pt"")"),"sistemas de aquecimento de resistência eléctrica traço")</f>
        <v>sistemas de aquecimento de resistência eléctrica traço</v>
      </c>
      <c r="H1820" s="20" t="s">
        <v>12638</v>
      </c>
      <c r="I1820" s="24"/>
    </row>
    <row r="1821" spans="1:9" ht="14.5">
      <c r="A1821" s="20" t="s">
        <v>12639</v>
      </c>
      <c r="B1821" s="20">
        <v>60</v>
      </c>
      <c r="C1821" s="20">
        <v>40</v>
      </c>
      <c r="D1821" s="20">
        <v>37</v>
      </c>
      <c r="E1821" s="20">
        <v>48</v>
      </c>
      <c r="F1821" s="20" t="s">
        <v>12640</v>
      </c>
      <c r="G1821" s="24" t="str">
        <f ca="1">IFERROR(__xludf.DUMMYFUNCTION("GOOGLETRANSLATE(F1821,""en"",""pt"")"),"sistemas de aquecimento de água quente de baixa temperatura")</f>
        <v>sistemas de aquecimento de água quente de baixa temperatura</v>
      </c>
      <c r="H1821" s="20" t="s">
        <v>12641</v>
      </c>
      <c r="I1821" s="20" t="s">
        <v>12635</v>
      </c>
    </row>
    <row r="1822" spans="1:9" ht="14.5">
      <c r="A1822" s="20" t="s">
        <v>12642</v>
      </c>
      <c r="B1822" s="20">
        <v>60</v>
      </c>
      <c r="C1822" s="20">
        <v>40</v>
      </c>
      <c r="D1822" s="20">
        <v>37</v>
      </c>
      <c r="E1822" s="20">
        <v>51</v>
      </c>
      <c r="F1822" s="20" t="s">
        <v>12643</v>
      </c>
      <c r="G1822" s="24" t="str">
        <f ca="1">IFERROR(__xludf.DUMMYFUNCTION("GOOGLETRANSLATE(F1822,""en"",""pt"")"),"sistemas de aquecimento de água quente de temperatura médio")</f>
        <v>sistemas de aquecimento de água quente de temperatura médio</v>
      </c>
      <c r="H1822" s="20" t="s">
        <v>12644</v>
      </c>
      <c r="I1822" s="20" t="s">
        <v>12635</v>
      </c>
    </row>
    <row r="1823" spans="1:9" ht="14.5">
      <c r="A1823" s="20" t="s">
        <v>12645</v>
      </c>
      <c r="B1823" s="20">
        <v>60</v>
      </c>
      <c r="C1823" s="20">
        <v>40</v>
      </c>
      <c r="D1823" s="20">
        <v>37</v>
      </c>
      <c r="E1823" s="20">
        <v>81</v>
      </c>
      <c r="F1823" s="20" t="s">
        <v>12646</v>
      </c>
      <c r="G1823" s="24" t="str">
        <f ca="1">IFERROR(__xludf.DUMMYFUNCTION("GOOGLETRANSLATE(F1823,""en"",""pt"")"),"sistemas de aquecimento solar")</f>
        <v>sistemas de aquecimento solar</v>
      </c>
      <c r="H1823" s="20" t="s">
        <v>12647</v>
      </c>
      <c r="I1823" s="20" t="s">
        <v>12613</v>
      </c>
    </row>
    <row r="1824" spans="1:9" ht="14.5">
      <c r="A1824" s="20" t="s">
        <v>12648</v>
      </c>
      <c r="B1824" s="20">
        <v>60</v>
      </c>
      <c r="C1824" s="20">
        <v>40</v>
      </c>
      <c r="D1824" s="20">
        <v>37</v>
      </c>
      <c r="E1824" s="20">
        <v>85</v>
      </c>
      <c r="F1824" s="20" t="s">
        <v>12649</v>
      </c>
      <c r="G1824" s="24" t="str">
        <f ca="1">IFERROR(__xludf.DUMMYFUNCTION("GOOGLETRANSLATE(F1824,""en"",""pt"")"),"sistemas de aquecimento de vapor")</f>
        <v>sistemas de aquecimento de vapor</v>
      </c>
      <c r="H1824" s="24"/>
      <c r="I1824" s="24"/>
    </row>
    <row r="1825" spans="1:9" ht="14.5">
      <c r="A1825" s="20" t="s">
        <v>12650</v>
      </c>
      <c r="B1825" s="20">
        <v>60</v>
      </c>
      <c r="C1825" s="20">
        <v>40</v>
      </c>
      <c r="D1825" s="20">
        <v>37</v>
      </c>
      <c r="E1825" s="20">
        <v>94</v>
      </c>
      <c r="F1825" s="20" t="s">
        <v>12651</v>
      </c>
      <c r="G1825" s="24" t="str">
        <f ca="1">IFERROR(__xludf.DUMMYFUNCTION("GOOGLETRANSLATE(F1825,""en"",""pt"")"),"sistemas de aquecimento de água quente de baixa temperatura radiante")</f>
        <v>sistemas de aquecimento de água quente de baixa temperatura radiante</v>
      </c>
      <c r="H1825" s="20" t="s">
        <v>12652</v>
      </c>
      <c r="I1825" s="20" t="s">
        <v>12635</v>
      </c>
    </row>
    <row r="1826" spans="1:9" ht="14.5">
      <c r="A1826" s="20" t="s">
        <v>12653</v>
      </c>
      <c r="B1826" s="20">
        <v>60</v>
      </c>
      <c r="C1826" s="20">
        <v>40</v>
      </c>
      <c r="D1826" s="20">
        <v>84</v>
      </c>
      <c r="E1826" s="24"/>
      <c r="F1826" s="20" t="s">
        <v>12654</v>
      </c>
      <c r="G1826" s="24" t="str">
        <f ca="1">IFERROR(__xludf.DUMMYFUNCTION("GOOGLETRANSLATE(F1826,""en"",""pt"")"),"aquecimento e sistemas de redes de distribuição de refrigeração")</f>
        <v>aquecimento e sistemas de redes de distribuição de refrigeração</v>
      </c>
      <c r="H1826" s="24"/>
      <c r="I1826" s="24"/>
    </row>
    <row r="1827" spans="1:9" ht="14.5">
      <c r="A1827" s="20" t="s">
        <v>12655</v>
      </c>
      <c r="B1827" s="20">
        <v>60</v>
      </c>
      <c r="C1827" s="20">
        <v>40</v>
      </c>
      <c r="D1827" s="20">
        <v>84</v>
      </c>
      <c r="E1827" s="20">
        <v>21</v>
      </c>
      <c r="F1827" s="20" t="s">
        <v>12656</v>
      </c>
      <c r="G1827" s="24" t="str">
        <f ca="1">IFERROR(__xludf.DUMMYFUNCTION("GOOGLETRANSLATE(F1827,""en"",""pt"")"),"sistemas de redes de distribuição de arrefecimento District")</f>
        <v>sistemas de redes de distribuição de arrefecimento District</v>
      </c>
      <c r="H1827" s="24"/>
      <c r="I1827" s="24"/>
    </row>
    <row r="1828" spans="1:9" ht="14.5">
      <c r="A1828" s="20" t="s">
        <v>12657</v>
      </c>
      <c r="B1828" s="20">
        <v>60</v>
      </c>
      <c r="C1828" s="20">
        <v>40</v>
      </c>
      <c r="D1828" s="20">
        <v>84</v>
      </c>
      <c r="E1828" s="20">
        <v>22</v>
      </c>
      <c r="F1828" s="20" t="s">
        <v>12658</v>
      </c>
      <c r="G1828" s="24" t="str">
        <f ca="1">IFERROR(__xludf.DUMMYFUNCTION("GOOGLETRANSLATE(F1828,""en"",""pt"")"),"sistemas de rede de distribuição de aquecimento urbano")</f>
        <v>sistemas de rede de distribuição de aquecimento urbano</v>
      </c>
      <c r="H1828" s="24"/>
      <c r="I1828" s="24"/>
    </row>
    <row r="1829" spans="1:9" ht="14.5">
      <c r="A1829" s="20" t="s">
        <v>12659</v>
      </c>
      <c r="B1829" s="20">
        <v>60</v>
      </c>
      <c r="C1829" s="20">
        <v>60</v>
      </c>
      <c r="D1829" s="24"/>
      <c r="E1829" s="24"/>
      <c r="F1829" s="20" t="s">
        <v>12660</v>
      </c>
      <c r="G1829" s="24" t="str">
        <f ca="1">IFERROR(__xludf.DUMMYFUNCTION("GOOGLETRANSLATE(F1829,""en"",""pt"")"),"sistemas de refrigeração")</f>
        <v>sistemas de refrigeração</v>
      </c>
      <c r="H1829" s="24"/>
      <c r="I1829" s="24"/>
    </row>
    <row r="1830" spans="1:9" ht="14.5">
      <c r="A1830" s="20" t="s">
        <v>12661</v>
      </c>
      <c r="B1830" s="20">
        <v>60</v>
      </c>
      <c r="C1830" s="20">
        <v>60</v>
      </c>
      <c r="D1830" s="20">
        <v>15</v>
      </c>
      <c r="E1830" s="24"/>
      <c r="F1830" s="20" t="s">
        <v>12662</v>
      </c>
      <c r="G1830" s="24" t="str">
        <f ca="1">IFERROR(__xludf.DUMMYFUNCTION("GOOGLETRANSLATE(F1830,""en"",""pt"")"),"sistemas de sala fria")</f>
        <v>sistemas de sala fria</v>
      </c>
      <c r="H1830" s="24"/>
      <c r="I1830" s="24"/>
    </row>
    <row r="1831" spans="1:9" ht="14.5">
      <c r="A1831" s="20" t="s">
        <v>12663</v>
      </c>
      <c r="B1831" s="20">
        <v>60</v>
      </c>
      <c r="C1831" s="20">
        <v>60</v>
      </c>
      <c r="D1831" s="20">
        <v>15</v>
      </c>
      <c r="E1831" s="20">
        <v>10</v>
      </c>
      <c r="F1831" s="20" t="s">
        <v>12664</v>
      </c>
      <c r="G1831" s="24" t="str">
        <f ca="1">IFERROR(__xludf.DUMMYFUNCTION("GOOGLETRANSLATE(F1831,""en"",""pt"")"),"Restauração sistemas de sala fria")</f>
        <v>Restauração sistemas de sala fria</v>
      </c>
      <c r="H1831" s="20" t="s">
        <v>12665</v>
      </c>
      <c r="I1831" s="20" t="s">
        <v>12666</v>
      </c>
    </row>
    <row r="1832" spans="1:9" ht="14.5">
      <c r="A1832" s="20" t="s">
        <v>12667</v>
      </c>
      <c r="B1832" s="20">
        <v>60</v>
      </c>
      <c r="C1832" s="20">
        <v>60</v>
      </c>
      <c r="D1832" s="20">
        <v>15</v>
      </c>
      <c r="E1832" s="20">
        <v>50</v>
      </c>
      <c r="F1832" s="20" t="s">
        <v>12668</v>
      </c>
      <c r="G1832" s="24" t="str">
        <f ca="1">IFERROR(__xludf.DUMMYFUNCTION("GOOGLETRANSLATE(F1832,""en"",""pt"")"),"sistemas de sala fria mortuárias")</f>
        <v>sistemas de sala fria mortuárias</v>
      </c>
      <c r="H1832" s="20" t="s">
        <v>12669</v>
      </c>
      <c r="I1832" s="20" t="s">
        <v>12666</v>
      </c>
    </row>
    <row r="1833" spans="1:9" ht="14.5">
      <c r="A1833" s="20" t="s">
        <v>12670</v>
      </c>
      <c r="B1833" s="20">
        <v>60</v>
      </c>
      <c r="C1833" s="20">
        <v>60</v>
      </c>
      <c r="D1833" s="20">
        <v>17</v>
      </c>
      <c r="E1833" s="24"/>
      <c r="F1833" s="20" t="s">
        <v>12671</v>
      </c>
      <c r="G1833" s="24" t="str">
        <f ca="1">IFERROR(__xludf.DUMMYFUNCTION("GOOGLETRANSLATE(F1833,""en"",""pt"")"),"sistemas de armazenamento de frio")</f>
        <v>sistemas de armazenamento de frio</v>
      </c>
      <c r="H1833" s="24"/>
      <c r="I1833" s="24"/>
    </row>
    <row r="1834" spans="1:9" ht="14.5">
      <c r="A1834" s="20" t="s">
        <v>12672</v>
      </c>
      <c r="B1834" s="20">
        <v>60</v>
      </c>
      <c r="C1834" s="20">
        <v>60</v>
      </c>
      <c r="D1834" s="20">
        <v>70</v>
      </c>
      <c r="E1834" s="24"/>
      <c r="F1834" s="20" t="s">
        <v>12673</v>
      </c>
      <c r="G1834" s="24" t="str">
        <f ca="1">IFERROR(__xludf.DUMMYFUNCTION("GOOGLETRANSLATE(F1834,""en"",""pt"")"),"sistemas de refrigeração")</f>
        <v>sistemas de refrigeração</v>
      </c>
      <c r="H1834" s="24"/>
      <c r="I1834" s="24"/>
    </row>
    <row r="1835" spans="1:9" ht="14.5">
      <c r="A1835" s="20" t="s">
        <v>12674</v>
      </c>
      <c r="B1835" s="20">
        <v>60</v>
      </c>
      <c r="C1835" s="20">
        <v>60</v>
      </c>
      <c r="D1835" s="20">
        <v>70</v>
      </c>
      <c r="E1835" s="20">
        <v>15</v>
      </c>
      <c r="F1835" s="20" t="s">
        <v>12675</v>
      </c>
      <c r="G1835" s="24" t="str">
        <f ca="1">IFERROR(__xludf.DUMMYFUNCTION("GOOGLETRANSLATE(F1835,""en"",""pt"")"),"sistemas de tarifação refrigerante")</f>
        <v>sistemas de tarifação refrigerante</v>
      </c>
      <c r="H1835" s="24"/>
      <c r="I1835" s="24"/>
    </row>
    <row r="1836" spans="1:9" ht="14.5">
      <c r="A1836" s="20" t="s">
        <v>12676</v>
      </c>
      <c r="B1836" s="20">
        <v>60</v>
      </c>
      <c r="C1836" s="20">
        <v>60</v>
      </c>
      <c r="D1836" s="20">
        <v>70</v>
      </c>
      <c r="E1836" s="20">
        <v>70</v>
      </c>
      <c r="F1836" s="20" t="s">
        <v>12677</v>
      </c>
      <c r="G1836" s="24" t="str">
        <f ca="1">IFERROR(__xludf.DUMMYFUNCTION("GOOGLETRANSLATE(F1836,""en"",""pt"")"),"Sistemas de recuperação de refrigerante")</f>
        <v>Sistemas de recuperação de refrigerante</v>
      </c>
      <c r="H1836" s="24"/>
      <c r="I1836" s="24"/>
    </row>
    <row r="1837" spans="1:9" ht="14.5">
      <c r="A1837" s="20" t="s">
        <v>12678</v>
      </c>
      <c r="B1837" s="20">
        <v>60</v>
      </c>
      <c r="C1837" s="20">
        <v>80</v>
      </c>
      <c r="D1837" s="24"/>
      <c r="E1837" s="24"/>
      <c r="F1837" s="20" t="s">
        <v>12679</v>
      </c>
      <c r="G1837" s="24" t="str">
        <f ca="1">IFERROR(__xludf.DUMMYFUNCTION("GOOGLETRANSLATE(F1837,""en"",""pt"")"),"sistemas de secagem")</f>
        <v>sistemas de secagem</v>
      </c>
      <c r="H1837" s="24"/>
      <c r="I1837" s="24"/>
    </row>
    <row r="1838" spans="1:9" ht="14.5">
      <c r="A1838" s="20" t="s">
        <v>12680</v>
      </c>
      <c r="B1838" s="20">
        <v>60</v>
      </c>
      <c r="C1838" s="20">
        <v>80</v>
      </c>
      <c r="D1838" s="20">
        <v>8</v>
      </c>
      <c r="E1838" s="24"/>
      <c r="F1838" s="20" t="s">
        <v>12681</v>
      </c>
      <c r="G1838" s="24" t="str">
        <f ca="1">IFERROR(__xludf.DUMMYFUNCTION("GOOGLETRANSLATE(F1838,""en"",""pt"")"),"sistemas de secagem de garrafas e latas")</f>
        <v>sistemas de secagem de garrafas e latas</v>
      </c>
      <c r="H1838" s="24"/>
      <c r="I1838" s="24"/>
    </row>
    <row r="1839" spans="1:9" ht="14.5">
      <c r="A1839" s="20" t="s">
        <v>12682</v>
      </c>
      <c r="B1839" s="20">
        <v>60</v>
      </c>
      <c r="C1839" s="20">
        <v>95</v>
      </c>
      <c r="D1839" s="24"/>
      <c r="E1839" s="24"/>
      <c r="F1839" s="20" t="s">
        <v>12683</v>
      </c>
      <c r="G1839" s="24" t="str">
        <f ca="1">IFERROR(__xludf.DUMMYFUNCTION("GOOGLETRANSLATE(F1839,""en"",""pt"")"),"aquecimento temporário, de arrefecimento e sistemas de refrigeração")</f>
        <v>aquecimento temporário, de arrefecimento e sistemas de refrigeração</v>
      </c>
      <c r="H1839" s="24"/>
      <c r="I1839" s="24"/>
    </row>
    <row r="1840" spans="1:9" ht="14.5">
      <c r="A1840" s="20" t="s">
        <v>12684</v>
      </c>
      <c r="B1840" s="20">
        <v>65</v>
      </c>
      <c r="C1840" s="24"/>
      <c r="D1840" s="24"/>
      <c r="E1840" s="24"/>
      <c r="F1840" s="20" t="s">
        <v>12685</v>
      </c>
      <c r="G1840" s="24" t="str">
        <f ca="1">IFERROR(__xludf.DUMMYFUNCTION("GOOGLETRANSLATE(F1840,""en"",""pt"")"),"Os sistemas de ventilação e ar condicionado")</f>
        <v>Os sistemas de ventilação e ar condicionado</v>
      </c>
      <c r="H1840" s="24"/>
      <c r="I1840" s="24"/>
    </row>
    <row r="1841" spans="1:9" ht="14.5">
      <c r="A1841" s="20" t="s">
        <v>12686</v>
      </c>
      <c r="B1841" s="20">
        <v>65</v>
      </c>
      <c r="C1841" s="20">
        <v>40</v>
      </c>
      <c r="D1841" s="24"/>
      <c r="E1841" s="24"/>
      <c r="F1841" s="20" t="s">
        <v>12687</v>
      </c>
      <c r="G1841" s="24" t="str">
        <f ca="1">IFERROR(__xludf.DUMMYFUNCTION("GOOGLETRANSLATE(F1841,""en"",""pt"")"),"sistemas de ventilação")</f>
        <v>sistemas de ventilação</v>
      </c>
      <c r="H1841" s="24"/>
      <c r="I1841" s="24"/>
    </row>
    <row r="1842" spans="1:9" ht="14.5">
      <c r="A1842" s="20" t="s">
        <v>12688</v>
      </c>
      <c r="B1842" s="20">
        <v>65</v>
      </c>
      <c r="C1842" s="20">
        <v>40</v>
      </c>
      <c r="D1842" s="20">
        <v>25</v>
      </c>
      <c r="E1842" s="24"/>
      <c r="F1842" s="20" t="s">
        <v>12689</v>
      </c>
      <c r="G1842" s="24" t="str">
        <f ca="1">IFERROR(__xludf.DUMMYFUNCTION("GOOGLETRANSLATE(F1842,""en"",""pt"")"),"sistemas de extrato de pó")</f>
        <v>sistemas de extrato de pó</v>
      </c>
      <c r="H1842" s="24"/>
      <c r="I1842" s="24"/>
    </row>
    <row r="1843" spans="1:9" ht="14.5">
      <c r="A1843" s="20" t="s">
        <v>12690</v>
      </c>
      <c r="B1843" s="20">
        <v>65</v>
      </c>
      <c r="C1843" s="20">
        <v>40</v>
      </c>
      <c r="D1843" s="20">
        <v>32</v>
      </c>
      <c r="E1843" s="24"/>
      <c r="F1843" s="20" t="s">
        <v>12691</v>
      </c>
      <c r="G1843" s="24" t="str">
        <f ca="1">IFERROR(__xludf.DUMMYFUNCTION("GOOGLETRANSLATE(F1843,""en"",""pt"")"),"sistemas de extrato de fumos")</f>
        <v>sistemas de extrato de fumos</v>
      </c>
      <c r="H1843" s="24"/>
      <c r="I1843" s="24"/>
    </row>
    <row r="1844" spans="1:9" ht="14.5">
      <c r="A1844" s="20" t="s">
        <v>12692</v>
      </c>
      <c r="B1844" s="20">
        <v>65</v>
      </c>
      <c r="C1844" s="20">
        <v>40</v>
      </c>
      <c r="D1844" s="20">
        <v>32</v>
      </c>
      <c r="E1844" s="20">
        <v>32</v>
      </c>
      <c r="F1844" s="20" t="s">
        <v>12693</v>
      </c>
      <c r="G1844" s="24" t="str">
        <f ca="1">IFERROR(__xludf.DUMMYFUNCTION("GOOGLETRANSLATE(F1844,""en"",""pt"")"),"sistemas de extrato hotte")</f>
        <v>sistemas de extrato hotte</v>
      </c>
      <c r="H1844" s="20" t="s">
        <v>12694</v>
      </c>
      <c r="I1844" s="20" t="s">
        <v>12309</v>
      </c>
    </row>
    <row r="1845" spans="1:9" ht="14.5">
      <c r="A1845" s="20" t="s">
        <v>12695</v>
      </c>
      <c r="B1845" s="20">
        <v>65</v>
      </c>
      <c r="C1845" s="20">
        <v>40</v>
      </c>
      <c r="D1845" s="20">
        <v>32</v>
      </c>
      <c r="E1845" s="20">
        <v>70</v>
      </c>
      <c r="F1845" s="20" t="s">
        <v>12696</v>
      </c>
      <c r="G1845" s="24" t="str">
        <f ca="1">IFERROR(__xludf.DUMMYFUNCTION("GOOGLETRANSLATE(F1845,""en"",""pt"")"),"sistemas hotte Recirculatory")</f>
        <v>sistemas hotte Recirculatory</v>
      </c>
      <c r="H1845" s="20" t="s">
        <v>12697</v>
      </c>
      <c r="I1845" s="20" t="s">
        <v>12309</v>
      </c>
    </row>
    <row r="1846" spans="1:9" ht="14.5">
      <c r="A1846" s="20" t="s">
        <v>12698</v>
      </c>
      <c r="B1846" s="20">
        <v>65</v>
      </c>
      <c r="C1846" s="20">
        <v>40</v>
      </c>
      <c r="D1846" s="20">
        <v>32</v>
      </c>
      <c r="E1846" s="20">
        <v>75</v>
      </c>
      <c r="F1846" s="20" t="s">
        <v>12699</v>
      </c>
      <c r="G1846" s="24" t="str">
        <f ca="1">IFERROR(__xludf.DUMMYFUNCTION("GOOGLETRANSLATE(F1846,""en"",""pt"")"),"sistemas de extrato de gabinete de segurança")</f>
        <v>sistemas de extrato de gabinete de segurança</v>
      </c>
      <c r="H1846" s="20" t="s">
        <v>12700</v>
      </c>
      <c r="I1846" s="20" t="s">
        <v>12309</v>
      </c>
    </row>
    <row r="1847" spans="1:9" ht="14.5">
      <c r="A1847" s="20" t="s">
        <v>12701</v>
      </c>
      <c r="B1847" s="20">
        <v>65</v>
      </c>
      <c r="C1847" s="20">
        <v>40</v>
      </c>
      <c r="D1847" s="20">
        <v>33</v>
      </c>
      <c r="E1847" s="24"/>
      <c r="F1847" s="20" t="s">
        <v>12702</v>
      </c>
      <c r="G1847" s="24" t="str">
        <f ca="1">IFERROR(__xludf.DUMMYFUNCTION("GOOGLETRANSLATE(F1847,""en"",""pt"")"),"sistemas de ventilação do espaço Geral")</f>
        <v>sistemas de ventilação do espaço Geral</v>
      </c>
      <c r="H1847" s="24"/>
      <c r="I1847" s="24"/>
    </row>
    <row r="1848" spans="1:9" ht="14.5">
      <c r="A1848" s="20" t="s">
        <v>12703</v>
      </c>
      <c r="B1848" s="20">
        <v>65</v>
      </c>
      <c r="C1848" s="20">
        <v>40</v>
      </c>
      <c r="D1848" s="20">
        <v>33</v>
      </c>
      <c r="E1848" s="20">
        <v>45</v>
      </c>
      <c r="F1848" s="20" t="s">
        <v>12704</v>
      </c>
      <c r="G1848" s="24" t="str">
        <f ca="1">IFERROR(__xludf.DUMMYFUNCTION("GOOGLETRANSLATE(F1848,""en"",""pt"")"),"sistemas de ventilação de extracção de cozinha")</f>
        <v>sistemas de ventilação de extracção de cozinha</v>
      </c>
      <c r="H1848" s="20" t="s">
        <v>12705</v>
      </c>
      <c r="I1848" s="20" t="s">
        <v>12309</v>
      </c>
    </row>
    <row r="1849" spans="1:9" ht="14.5">
      <c r="A1849" s="20" t="s">
        <v>12706</v>
      </c>
      <c r="B1849" s="20">
        <v>65</v>
      </c>
      <c r="C1849" s="20">
        <v>40</v>
      </c>
      <c r="D1849" s="20">
        <v>33</v>
      </c>
      <c r="E1849" s="20">
        <v>48</v>
      </c>
      <c r="F1849" s="20" t="s">
        <v>12707</v>
      </c>
      <c r="G1849" s="24" t="str">
        <f ca="1">IFERROR(__xludf.DUMMYFUNCTION("GOOGLETRANSLATE(F1849,""en"",""pt"")"),"sistemas de ventilação de extracção locais")</f>
        <v>sistemas de ventilação de extracção locais</v>
      </c>
      <c r="H1849" s="20" t="s">
        <v>12708</v>
      </c>
      <c r="I1849" s="24"/>
    </row>
    <row r="1850" spans="1:9" ht="14.5">
      <c r="A1850" s="20" t="s">
        <v>12709</v>
      </c>
      <c r="B1850" s="20">
        <v>65</v>
      </c>
      <c r="C1850" s="20">
        <v>40</v>
      </c>
      <c r="D1850" s="20">
        <v>33</v>
      </c>
      <c r="E1850" s="20">
        <v>50</v>
      </c>
      <c r="F1850" s="20" t="s">
        <v>12710</v>
      </c>
      <c r="G1850" s="24" t="str">
        <f ca="1">IFERROR(__xludf.DUMMYFUNCTION("GOOGLETRANSLATE(F1850,""en"",""pt"")"),"sistemas de ventilação mecânica extrato")</f>
        <v>sistemas de ventilação mecânica extrato</v>
      </c>
      <c r="H1850" s="20" t="s">
        <v>12711</v>
      </c>
      <c r="I1850" s="20" t="s">
        <v>12712</v>
      </c>
    </row>
    <row r="1851" spans="1:9" ht="14.5">
      <c r="A1851" s="20" t="s">
        <v>12713</v>
      </c>
      <c r="B1851" s="20">
        <v>65</v>
      </c>
      <c r="C1851" s="20">
        <v>40</v>
      </c>
      <c r="D1851" s="20">
        <v>33</v>
      </c>
      <c r="E1851" s="20">
        <v>51</v>
      </c>
      <c r="F1851" s="20" t="s">
        <v>12714</v>
      </c>
      <c r="G1851" s="24" t="str">
        <f ca="1">IFERROR(__xludf.DUMMYFUNCTION("GOOGLETRANSLATE(F1851,""en"",""pt"")"),"sistemas de ventilação de abastecimento mecânicos")</f>
        <v>sistemas de ventilação de abastecimento mecânicos</v>
      </c>
      <c r="H1851" s="20" t="s">
        <v>12715</v>
      </c>
      <c r="I1851" s="20" t="s">
        <v>12712</v>
      </c>
    </row>
    <row r="1852" spans="1:9" ht="14.5">
      <c r="A1852" s="20" t="s">
        <v>12716</v>
      </c>
      <c r="B1852" s="20">
        <v>65</v>
      </c>
      <c r="C1852" s="20">
        <v>40</v>
      </c>
      <c r="D1852" s="20">
        <v>33</v>
      </c>
      <c r="E1852" s="20">
        <v>52</v>
      </c>
      <c r="F1852" s="20" t="s">
        <v>12717</v>
      </c>
      <c r="G1852" s="24" t="str">
        <f ca="1">IFERROR(__xludf.DUMMYFUNCTION("GOOGLETRANSLATE(F1852,""en"",""pt"")"),"sistemas de ventilação mecânico em edifícios e integrais")</f>
        <v>sistemas de ventilação mecânico em edifícios e integrais</v>
      </c>
      <c r="H1852" s="20" t="s">
        <v>12718</v>
      </c>
      <c r="I1852" s="24"/>
    </row>
    <row r="1853" spans="1:9" ht="14.5">
      <c r="A1853" s="20" t="s">
        <v>12719</v>
      </c>
      <c r="B1853" s="20">
        <v>65</v>
      </c>
      <c r="C1853" s="20">
        <v>40</v>
      </c>
      <c r="D1853" s="20">
        <v>33</v>
      </c>
      <c r="E1853" s="20">
        <v>56</v>
      </c>
      <c r="F1853" s="20" t="s">
        <v>12720</v>
      </c>
      <c r="G1853" s="24" t="str">
        <f ca="1">IFERROR(__xludf.DUMMYFUNCTION("GOOGLETRANSLATE(F1853,""en"",""pt"")"),"sistemas de ventilação natural")</f>
        <v>sistemas de ventilação natural</v>
      </c>
      <c r="H1853" s="20" t="s">
        <v>12721</v>
      </c>
      <c r="I1853" s="20" t="s">
        <v>12309</v>
      </c>
    </row>
    <row r="1854" spans="1:9" ht="14.5">
      <c r="A1854" s="20" t="s">
        <v>12722</v>
      </c>
      <c r="B1854" s="20">
        <v>65</v>
      </c>
      <c r="C1854" s="20">
        <v>40</v>
      </c>
      <c r="D1854" s="20">
        <v>33</v>
      </c>
      <c r="E1854" s="20">
        <v>60</v>
      </c>
      <c r="F1854" s="20" t="s">
        <v>12723</v>
      </c>
      <c r="G1854" s="24" t="str">
        <f ca="1">IFERROR(__xludf.DUMMYFUNCTION("GOOGLETRANSLATE(F1854,""en"",""pt"")"),"sistemas de ventilação passiva pilha")</f>
        <v>sistemas de ventilação passiva pilha</v>
      </c>
      <c r="H1854" s="20" t="s">
        <v>12724</v>
      </c>
      <c r="I1854" s="24"/>
    </row>
    <row r="1855" spans="1:9" ht="14.5">
      <c r="A1855" s="20" t="s">
        <v>12725</v>
      </c>
      <c r="B1855" s="20">
        <v>65</v>
      </c>
      <c r="C1855" s="20">
        <v>40</v>
      </c>
      <c r="D1855" s="20">
        <v>33</v>
      </c>
      <c r="E1855" s="20">
        <v>90</v>
      </c>
      <c r="F1855" s="20" t="s">
        <v>12726</v>
      </c>
      <c r="G1855" s="24" t="str">
        <f ca="1">IFERROR(__xludf.DUMMYFUNCTION("GOOGLETRANSLATE(F1855,""en"",""pt"")"),"sistemas de ventilação de extracção de higiene")</f>
        <v>sistemas de ventilação de extracção de higiene</v>
      </c>
      <c r="H1855" s="20" t="s">
        <v>12727</v>
      </c>
      <c r="I1855" s="20" t="s">
        <v>12309</v>
      </c>
    </row>
    <row r="1856" spans="1:9" ht="14.5">
      <c r="A1856" s="20" t="s">
        <v>12728</v>
      </c>
      <c r="B1856" s="20">
        <v>65</v>
      </c>
      <c r="C1856" s="20">
        <v>40</v>
      </c>
      <c r="D1856" s="20">
        <v>42</v>
      </c>
      <c r="E1856" s="24"/>
      <c r="F1856" s="20" t="s">
        <v>12729</v>
      </c>
      <c r="G1856" s="24" t="str">
        <f ca="1">IFERROR(__xludf.DUMMYFUNCTION("GOOGLETRANSLATE(F1856,""en"",""pt"")"),"sistemas de extrato de fumos industriais")</f>
        <v>sistemas de extrato de fumos industriais</v>
      </c>
      <c r="H1856" s="24"/>
      <c r="I1856" s="24"/>
    </row>
    <row r="1857" spans="1:9" ht="14.5">
      <c r="A1857" s="20" t="s">
        <v>12730</v>
      </c>
      <c r="B1857" s="20">
        <v>65</v>
      </c>
      <c r="C1857" s="20">
        <v>40</v>
      </c>
      <c r="D1857" s="20">
        <v>42</v>
      </c>
      <c r="E1857" s="20">
        <v>45</v>
      </c>
      <c r="F1857" s="20" t="s">
        <v>12731</v>
      </c>
      <c r="G1857" s="24" t="str">
        <f ca="1">IFERROR(__xludf.DUMMYFUNCTION("GOOGLETRANSLATE(F1857,""en"",""pt"")"),"sistemas de ventilação de escape locais")</f>
        <v>sistemas de ventilação de escape locais</v>
      </c>
      <c r="H1857" s="20" t="s">
        <v>12732</v>
      </c>
      <c r="I1857" s="20" t="s">
        <v>12309</v>
      </c>
    </row>
    <row r="1858" spans="1:9" ht="14.5">
      <c r="A1858" s="20" t="s">
        <v>12733</v>
      </c>
      <c r="B1858" s="20">
        <v>65</v>
      </c>
      <c r="C1858" s="20">
        <v>40</v>
      </c>
      <c r="D1858" s="20">
        <v>42</v>
      </c>
      <c r="E1858" s="20">
        <v>95</v>
      </c>
      <c r="F1858" s="20" t="s">
        <v>12734</v>
      </c>
      <c r="G1858" s="24" t="str">
        <f ca="1">IFERROR(__xludf.DUMMYFUNCTION("GOOGLETRANSLATE(F1858,""en"",""pt"")"),"sistemas de extracto de escape de veículos")</f>
        <v>sistemas de extracto de escape de veículos</v>
      </c>
      <c r="H1858" s="20" t="s">
        <v>12735</v>
      </c>
      <c r="I1858" s="20" t="s">
        <v>12309</v>
      </c>
    </row>
    <row r="1859" spans="1:9" ht="14.5">
      <c r="A1859" s="20" t="s">
        <v>12736</v>
      </c>
      <c r="B1859" s="20">
        <v>65</v>
      </c>
      <c r="C1859" s="20">
        <v>40</v>
      </c>
      <c r="D1859" s="20">
        <v>55</v>
      </c>
      <c r="E1859" s="24"/>
      <c r="F1859" s="20" t="s">
        <v>12737</v>
      </c>
      <c r="G1859" s="24" t="str">
        <f ca="1">IFERROR(__xludf.DUMMYFUNCTION("GOOGLETRANSLATE(F1859,""en"",""pt"")"),"sistemas de ventilação nucleares")</f>
        <v>sistemas de ventilação nucleares</v>
      </c>
      <c r="H1859" s="24"/>
      <c r="I1859" s="24"/>
    </row>
    <row r="1860" spans="1:9" ht="14.5">
      <c r="A1860" s="20" t="s">
        <v>12738</v>
      </c>
      <c r="B1860" s="20">
        <v>65</v>
      </c>
      <c r="C1860" s="20">
        <v>40</v>
      </c>
      <c r="D1860" s="20">
        <v>55</v>
      </c>
      <c r="E1860" s="20">
        <v>22</v>
      </c>
      <c r="F1860" s="20" t="s">
        <v>12739</v>
      </c>
      <c r="G1860" s="24" t="str">
        <f ca="1">IFERROR(__xludf.DUMMYFUNCTION("GOOGLETRANSLATE(F1860,""en"",""pt"")"),"áreas de descontaminação de sistemas de ventilação")</f>
        <v>áreas de descontaminação de sistemas de ventilação</v>
      </c>
      <c r="H1860" s="24"/>
      <c r="I1860" s="24"/>
    </row>
    <row r="1861" spans="1:9" ht="14.5">
      <c r="A1861" s="20" t="s">
        <v>12740</v>
      </c>
      <c r="B1861" s="20">
        <v>65</v>
      </c>
      <c r="C1861" s="20">
        <v>40</v>
      </c>
      <c r="D1861" s="20">
        <v>80</v>
      </c>
      <c r="E1861" s="24"/>
      <c r="F1861" s="20" t="s">
        <v>12741</v>
      </c>
      <c r="G1861" s="24" t="str">
        <f ca="1">IFERROR(__xludf.DUMMYFUNCTION("GOOGLETRANSLATE(F1861,""en"",""pt"")"),"Fuma sistemas de controlo e de extracto")</f>
        <v>Fuma sistemas de controlo e de extracto</v>
      </c>
      <c r="H1861" s="24"/>
      <c r="I1861" s="24"/>
    </row>
    <row r="1862" spans="1:9" ht="14.5">
      <c r="A1862" s="20" t="s">
        <v>12742</v>
      </c>
      <c r="B1862" s="20">
        <v>65</v>
      </c>
      <c r="C1862" s="20">
        <v>40</v>
      </c>
      <c r="D1862" s="20">
        <v>80</v>
      </c>
      <c r="E1862" s="20">
        <v>65</v>
      </c>
      <c r="F1862" s="20" t="s">
        <v>12743</v>
      </c>
      <c r="G1862" s="24" t="str">
        <f ca="1">IFERROR(__xludf.DUMMYFUNCTION("GOOGLETRANSLATE(F1862,""en"",""pt"")"),"sistemas de diferencial de pressão")</f>
        <v>sistemas de diferencial de pressão</v>
      </c>
      <c r="H1862" s="20" t="s">
        <v>12744</v>
      </c>
      <c r="I1862" s="20" t="s">
        <v>12745</v>
      </c>
    </row>
    <row r="1863" spans="1:9" ht="14.5">
      <c r="A1863" s="20" t="s">
        <v>12746</v>
      </c>
      <c r="B1863" s="20">
        <v>65</v>
      </c>
      <c r="C1863" s="20">
        <v>40</v>
      </c>
      <c r="D1863" s="20">
        <v>80</v>
      </c>
      <c r="E1863" s="20">
        <v>80</v>
      </c>
      <c r="F1863" s="20" t="s">
        <v>12747</v>
      </c>
      <c r="G1863" s="24" t="str">
        <f ca="1">IFERROR(__xludf.DUMMYFUNCTION("GOOGLETRANSLATE(F1863,""en"",""pt"")"),"sistemas de ventilação de fumo e de calor de escape")</f>
        <v>sistemas de ventilação de fumo e de calor de escape</v>
      </c>
      <c r="H1863" s="20" t="s">
        <v>12748</v>
      </c>
      <c r="I1863" s="20" t="s">
        <v>12745</v>
      </c>
    </row>
    <row r="1864" spans="1:9" ht="14.5">
      <c r="A1864" s="20" t="s">
        <v>12749</v>
      </c>
      <c r="B1864" s="20">
        <v>65</v>
      </c>
      <c r="C1864" s="20">
        <v>40</v>
      </c>
      <c r="D1864" s="20">
        <v>94</v>
      </c>
      <c r="E1864" s="24"/>
      <c r="F1864" s="20" t="s">
        <v>12750</v>
      </c>
      <c r="G1864" s="24" t="str">
        <f ca="1">IFERROR(__xludf.DUMMYFUNCTION("GOOGLETRANSLATE(F1864,""en"",""pt"")"),"sistemas de espaço de ventilação veiculares")</f>
        <v>sistemas de espaço de ventilação veiculares</v>
      </c>
      <c r="H1864" s="24"/>
      <c r="I1864" s="24"/>
    </row>
    <row r="1865" spans="1:9" ht="14.5">
      <c r="A1865" s="20" t="s">
        <v>12751</v>
      </c>
      <c r="B1865" s="20">
        <v>65</v>
      </c>
      <c r="C1865" s="20">
        <v>40</v>
      </c>
      <c r="D1865" s="20">
        <v>94</v>
      </c>
      <c r="E1865" s="20">
        <v>10</v>
      </c>
      <c r="F1865" s="20" t="s">
        <v>12752</v>
      </c>
      <c r="G1865" s="24" t="str">
        <f ca="1">IFERROR(__xludf.DUMMYFUNCTION("GOOGLETRANSLATE(F1865,""en"",""pt"")"),"sistemas de extrato de parque de estacionamento")</f>
        <v>sistemas de extrato de parque de estacionamento</v>
      </c>
      <c r="H1865" s="20" t="s">
        <v>12753</v>
      </c>
      <c r="I1865" s="20" t="s">
        <v>12309</v>
      </c>
    </row>
    <row r="1866" spans="1:9" ht="14.5">
      <c r="A1866" s="20" t="s">
        <v>12754</v>
      </c>
      <c r="B1866" s="20">
        <v>65</v>
      </c>
      <c r="C1866" s="20">
        <v>40</v>
      </c>
      <c r="D1866" s="20">
        <v>94</v>
      </c>
      <c r="E1866" s="20">
        <v>11</v>
      </c>
      <c r="F1866" s="20" t="s">
        <v>12755</v>
      </c>
      <c r="G1866" s="24" t="str">
        <f ca="1">IFERROR(__xludf.DUMMYFUNCTION("GOOGLETRANSLATE(F1866,""en"",""pt"")"),"sistemas de abastecimento de parque de estacionamento")</f>
        <v>sistemas de abastecimento de parque de estacionamento</v>
      </c>
      <c r="H1866" s="20" t="s">
        <v>12756</v>
      </c>
      <c r="I1866" s="20" t="s">
        <v>12309</v>
      </c>
    </row>
    <row r="1867" spans="1:9" ht="14.5">
      <c r="A1867" s="20" t="s">
        <v>12757</v>
      </c>
      <c r="B1867" s="20">
        <v>65</v>
      </c>
      <c r="C1867" s="20">
        <v>40</v>
      </c>
      <c r="D1867" s="20">
        <v>94</v>
      </c>
      <c r="E1867" s="20">
        <v>90</v>
      </c>
      <c r="F1867" s="20" t="s">
        <v>12758</v>
      </c>
      <c r="G1867" s="24" t="str">
        <f ca="1">IFERROR(__xludf.DUMMYFUNCTION("GOOGLETRANSLATE(F1867,""en"",""pt"")"),"sistemas de ventilação túnel")</f>
        <v>sistemas de ventilação túnel</v>
      </c>
      <c r="H1867" s="20" t="s">
        <v>12759</v>
      </c>
      <c r="I1867" s="24"/>
    </row>
    <row r="1868" spans="1:9" ht="14.5">
      <c r="A1868" s="20" t="s">
        <v>12760</v>
      </c>
      <c r="B1868" s="20">
        <v>65</v>
      </c>
      <c r="C1868" s="20">
        <v>60</v>
      </c>
      <c r="D1868" s="24"/>
      <c r="E1868" s="24"/>
      <c r="F1868" s="20" t="s">
        <v>12761</v>
      </c>
      <c r="G1868" s="24" t="str">
        <f ca="1">IFERROR(__xludf.DUMMYFUNCTION("GOOGLETRANSLATE(F1868,""en"",""pt"")"),"sistemas de ventilação do especialista")</f>
        <v>sistemas de ventilação do especialista</v>
      </c>
      <c r="H1868" s="24"/>
      <c r="I1868" s="24"/>
    </row>
    <row r="1869" spans="1:9" ht="14.5">
      <c r="A1869" s="20" t="s">
        <v>12762</v>
      </c>
      <c r="B1869" s="20">
        <v>65</v>
      </c>
      <c r="C1869" s="20">
        <v>60</v>
      </c>
      <c r="D1869" s="20">
        <v>95</v>
      </c>
      <c r="E1869" s="24"/>
      <c r="F1869" s="20" t="s">
        <v>12763</v>
      </c>
      <c r="G1869" s="24" t="str">
        <f ca="1">IFERROR(__xludf.DUMMYFUNCTION("GOOGLETRANSLATE(F1869,""en"",""pt"")"),"sistemas de túneis de vento")</f>
        <v>sistemas de túneis de vento</v>
      </c>
      <c r="H1869" s="24"/>
      <c r="I1869" s="24"/>
    </row>
    <row r="1870" spans="1:9" ht="14.5">
      <c r="A1870" s="20" t="s">
        <v>12764</v>
      </c>
      <c r="B1870" s="20">
        <v>65</v>
      </c>
      <c r="C1870" s="20">
        <v>80</v>
      </c>
      <c r="D1870" s="24"/>
      <c r="E1870" s="24"/>
      <c r="F1870" s="20" t="s">
        <v>12765</v>
      </c>
      <c r="G1870" s="24" t="str">
        <f ca="1">IFERROR(__xludf.DUMMYFUNCTION("GOOGLETRANSLATE(F1870,""en"",""pt"")"),"sistemas de ar condicionado")</f>
        <v>sistemas de ar condicionado</v>
      </c>
      <c r="H1870" s="24"/>
      <c r="I1870" s="24"/>
    </row>
    <row r="1871" spans="1:9" ht="14.5">
      <c r="A1871" s="20" t="s">
        <v>12766</v>
      </c>
      <c r="B1871" s="20">
        <v>65</v>
      </c>
      <c r="C1871" s="20">
        <v>80</v>
      </c>
      <c r="D1871" s="20">
        <v>5</v>
      </c>
      <c r="E1871" s="24"/>
      <c r="F1871" s="20" t="s">
        <v>12767</v>
      </c>
      <c r="G1871" s="24" t="str">
        <f ca="1">IFERROR(__xludf.DUMMYFUNCTION("GOOGLETRANSLATE(F1871,""en"",""pt"")"),"sistemas de ar condicionado central")</f>
        <v>sistemas de ar condicionado central</v>
      </c>
      <c r="H1871" s="24"/>
      <c r="I1871" s="24"/>
    </row>
    <row r="1872" spans="1:9" ht="14.5">
      <c r="A1872" s="20" t="s">
        <v>12768</v>
      </c>
      <c r="B1872" s="20">
        <v>65</v>
      </c>
      <c r="C1872" s="20">
        <v>80</v>
      </c>
      <c r="D1872" s="20">
        <v>5</v>
      </c>
      <c r="E1872" s="20">
        <v>10</v>
      </c>
      <c r="F1872" s="20" t="s">
        <v>12769</v>
      </c>
      <c r="G1872" s="24" t="str">
        <f ca="1">IFERROR(__xludf.DUMMYFUNCTION("GOOGLETRANSLATE(F1872,""en"",""pt"")"),"Centralizado e ar condicionado sistemas")</f>
        <v>Centralizado e ar condicionado sistemas</v>
      </c>
      <c r="H1872" s="20" t="s">
        <v>12770</v>
      </c>
      <c r="I1872" s="20" t="s">
        <v>12771</v>
      </c>
    </row>
    <row r="1873" spans="1:9" ht="14.5">
      <c r="A1873" s="20" t="s">
        <v>12772</v>
      </c>
      <c r="B1873" s="20">
        <v>65</v>
      </c>
      <c r="C1873" s="20">
        <v>80</v>
      </c>
      <c r="D1873" s="20">
        <v>5</v>
      </c>
      <c r="E1873" s="20">
        <v>30</v>
      </c>
      <c r="F1873" s="20" t="s">
        <v>12773</v>
      </c>
      <c r="G1873" s="24" t="str">
        <f ca="1">IFERROR(__xludf.DUMMYFUNCTION("GOOGLETRANSLATE(F1873,""en"",""pt"")"),"sistemas de ar condicionado unidade de ventilador bobina")</f>
        <v>sistemas de ar condicionado unidade de ventilador bobina</v>
      </c>
      <c r="H1873" s="20" t="s">
        <v>12774</v>
      </c>
      <c r="I1873" s="20" t="s">
        <v>12775</v>
      </c>
    </row>
    <row r="1874" spans="1:9" ht="14.5">
      <c r="A1874" s="20" t="s">
        <v>12776</v>
      </c>
      <c r="B1874" s="20">
        <v>65</v>
      </c>
      <c r="C1874" s="20">
        <v>80</v>
      </c>
      <c r="D1874" s="20">
        <v>5</v>
      </c>
      <c r="E1874" s="20">
        <v>40</v>
      </c>
      <c r="F1874" s="20" t="s">
        <v>12777</v>
      </c>
      <c r="G1874" s="24" t="str">
        <f ca="1">IFERROR(__xludf.DUMMYFUNCTION("GOOGLETRANSLATE(F1874,""en"",""pt"")"),"sistemas de ar condicionado da unidade de indução")</f>
        <v>sistemas de ar condicionado da unidade de indução</v>
      </c>
      <c r="H1874" s="20" t="s">
        <v>12778</v>
      </c>
      <c r="I1874" s="20" t="s">
        <v>12771</v>
      </c>
    </row>
    <row r="1875" spans="1:9" ht="14.5">
      <c r="A1875" s="20" t="s">
        <v>12779</v>
      </c>
      <c r="B1875" s="20">
        <v>65</v>
      </c>
      <c r="C1875" s="20">
        <v>80</v>
      </c>
      <c r="D1875" s="20">
        <v>15</v>
      </c>
      <c r="E1875" s="24"/>
      <c r="F1875" s="20" t="s">
        <v>12780</v>
      </c>
      <c r="G1875" s="24" t="str">
        <f ca="1">IFERROR(__xludf.DUMMYFUNCTION("GOOGLETRANSLATE(F1875,""en"",""pt"")"),"sistemas de ambiente controlado")</f>
        <v>sistemas de ambiente controlado</v>
      </c>
      <c r="H1875" s="24"/>
      <c r="I1875" s="24"/>
    </row>
    <row r="1876" spans="1:9" ht="14.5">
      <c r="A1876" s="20" t="s">
        <v>12781</v>
      </c>
      <c r="B1876" s="20">
        <v>65</v>
      </c>
      <c r="C1876" s="20">
        <v>80</v>
      </c>
      <c r="D1876" s="20">
        <v>45</v>
      </c>
      <c r="E1876" s="24"/>
      <c r="F1876" s="20" t="s">
        <v>12782</v>
      </c>
      <c r="G1876" s="24" t="str">
        <f ca="1">IFERROR(__xludf.DUMMYFUNCTION("GOOGLETRANSLATE(F1876,""en"",""pt"")"),"sistemas de ar condicionado locais")</f>
        <v>sistemas de ar condicionado locais</v>
      </c>
      <c r="H1876" s="24"/>
      <c r="I1876" s="24"/>
    </row>
    <row r="1877" spans="1:9" ht="14.5">
      <c r="A1877" s="20" t="s">
        <v>12783</v>
      </c>
      <c r="B1877" s="20">
        <v>65</v>
      </c>
      <c r="C1877" s="20">
        <v>80</v>
      </c>
      <c r="D1877" s="20">
        <v>45</v>
      </c>
      <c r="E1877" s="20">
        <v>25</v>
      </c>
      <c r="F1877" s="20" t="s">
        <v>12784</v>
      </c>
      <c r="G1877" s="24" t="str">
        <f ca="1">IFERROR(__xludf.DUMMYFUNCTION("GOOGLETRANSLATE(F1877,""en"",""pt"")"),"Evaporativo sistemas de refrigeração")</f>
        <v>Evaporativo sistemas de refrigeração</v>
      </c>
      <c r="H1877" s="20" t="s">
        <v>12785</v>
      </c>
      <c r="I1877" s="20" t="s">
        <v>12786</v>
      </c>
    </row>
    <row r="1878" spans="1:9" ht="14.5">
      <c r="A1878" s="20" t="s">
        <v>12787</v>
      </c>
      <c r="B1878" s="20">
        <v>65</v>
      </c>
      <c r="C1878" s="20">
        <v>80</v>
      </c>
      <c r="D1878" s="20">
        <v>45</v>
      </c>
      <c r="E1878" s="20">
        <v>48</v>
      </c>
      <c r="F1878" s="20" t="s">
        <v>12788</v>
      </c>
      <c r="G1878" s="24" t="str">
        <f ca="1">IFERROR(__xludf.DUMMYFUNCTION("GOOGLETRANSLATE(F1878,""en"",""pt"")"),"sistemas de ar condicionado de pavimento locais")</f>
        <v>sistemas de ar condicionado de pavimento locais</v>
      </c>
      <c r="H1878" s="20" t="s">
        <v>12789</v>
      </c>
      <c r="I1878" s="20" t="s">
        <v>12790</v>
      </c>
    </row>
    <row r="1879" spans="1:9" ht="14.5">
      <c r="A1879" s="20" t="s">
        <v>12791</v>
      </c>
      <c r="B1879" s="20">
        <v>65</v>
      </c>
      <c r="C1879" s="20">
        <v>80</v>
      </c>
      <c r="D1879" s="20">
        <v>45</v>
      </c>
      <c r="E1879" s="20">
        <v>72</v>
      </c>
      <c r="F1879" s="20" t="s">
        <v>12792</v>
      </c>
      <c r="G1879" s="24" t="str">
        <f ca="1">IFERROR(__xludf.DUMMYFUNCTION("GOOGLETRANSLATE(F1879,""en"",""pt"")"),"sistemas de sala de ar condicionado")</f>
        <v>sistemas de sala de ar condicionado</v>
      </c>
      <c r="H1879" s="20" t="s">
        <v>12793</v>
      </c>
      <c r="I1879" s="20" t="s">
        <v>12790</v>
      </c>
    </row>
    <row r="1880" spans="1:9" ht="14.5">
      <c r="A1880" s="20" t="s">
        <v>12794</v>
      </c>
      <c r="B1880" s="20">
        <v>65</v>
      </c>
      <c r="C1880" s="20">
        <v>95</v>
      </c>
      <c r="D1880" s="24"/>
      <c r="E1880" s="24"/>
      <c r="F1880" s="20" t="s">
        <v>12795</v>
      </c>
      <c r="G1880" s="24" t="str">
        <f ca="1">IFERROR(__xludf.DUMMYFUNCTION("GOOGLETRANSLATE(F1880,""en"",""pt"")"),"ventilação temporária e sistemas de ar condicionado")</f>
        <v>ventilação temporária e sistemas de ar condicionado</v>
      </c>
      <c r="H1880" s="24"/>
      <c r="I1880" s="24"/>
    </row>
    <row r="1881" spans="1:9" ht="14.5">
      <c r="A1881" s="20" t="s">
        <v>12796</v>
      </c>
      <c r="B1881" s="20">
        <v>70</v>
      </c>
      <c r="C1881" s="24"/>
      <c r="D1881" s="24"/>
      <c r="E1881" s="24"/>
      <c r="F1881" s="20" t="s">
        <v>12797</v>
      </c>
      <c r="G1881" s="24" t="str">
        <f ca="1">IFERROR(__xludf.DUMMYFUNCTION("GOOGLETRANSLATE(F1881,""en"",""pt"")"),"Sistemas elétricos")</f>
        <v>Sistemas elétricos</v>
      </c>
      <c r="H1881" s="24"/>
      <c r="I1881" s="24"/>
    </row>
    <row r="1882" spans="1:9" ht="14.5">
      <c r="A1882" s="20" t="s">
        <v>12798</v>
      </c>
      <c r="B1882" s="20">
        <v>70</v>
      </c>
      <c r="C1882" s="20">
        <v>10</v>
      </c>
      <c r="D1882" s="24"/>
      <c r="E1882" s="24"/>
      <c r="F1882" s="20" t="s">
        <v>12799</v>
      </c>
      <c r="G1882" s="24" t="str">
        <f ca="1">IFERROR(__xludf.DUMMYFUNCTION("GOOGLETRANSLATE(F1882,""en"",""pt"")"),"geração de energia elétrica e sistemas de transmissão")</f>
        <v>geração de energia elétrica e sistemas de transmissão</v>
      </c>
      <c r="H1882" s="24"/>
      <c r="I1882" s="24"/>
    </row>
    <row r="1883" spans="1:9" ht="14.5">
      <c r="A1883" s="20" t="s">
        <v>12800</v>
      </c>
      <c r="B1883" s="20">
        <v>70</v>
      </c>
      <c r="C1883" s="20">
        <v>10</v>
      </c>
      <c r="D1883" s="20">
        <v>30</v>
      </c>
      <c r="E1883" s="24"/>
      <c r="F1883" s="20" t="s">
        <v>12801</v>
      </c>
      <c r="G1883" s="24" t="str">
        <f ca="1">IFERROR(__xludf.DUMMYFUNCTION("GOOGLETRANSLATE(F1883,""en"",""pt"")"),"sistemas de geração de energia de combustíveis fósseis")</f>
        <v>sistemas de geração de energia de combustíveis fósseis</v>
      </c>
      <c r="H1883" s="24"/>
      <c r="I1883" s="24"/>
    </row>
    <row r="1884" spans="1:9" ht="14.5">
      <c r="A1884" s="20" t="s">
        <v>12802</v>
      </c>
      <c r="B1884" s="20">
        <v>70</v>
      </c>
      <c r="C1884" s="20">
        <v>10</v>
      </c>
      <c r="D1884" s="20">
        <v>30</v>
      </c>
      <c r="E1884" s="20">
        <v>33</v>
      </c>
      <c r="F1884" s="20" t="s">
        <v>12803</v>
      </c>
      <c r="G1884" s="24" t="str">
        <f ca="1">IFERROR(__xludf.DUMMYFUNCTION("GOOGLETRANSLATE(F1884,""en"",""pt"")"),"sistemas de geração de energia de gás")</f>
        <v>sistemas de geração de energia de gás</v>
      </c>
      <c r="H1884" s="20" t="s">
        <v>12804</v>
      </c>
      <c r="I1884" s="24"/>
    </row>
    <row r="1885" spans="1:9" ht="14.5">
      <c r="A1885" s="20" t="s">
        <v>12805</v>
      </c>
      <c r="B1885" s="20">
        <v>70</v>
      </c>
      <c r="C1885" s="20">
        <v>10</v>
      </c>
      <c r="D1885" s="20">
        <v>30</v>
      </c>
      <c r="E1885" s="20">
        <v>70</v>
      </c>
      <c r="F1885" s="20" t="s">
        <v>12806</v>
      </c>
      <c r="G1885" s="24" t="str">
        <f ca="1">IFERROR(__xludf.DUMMYFUNCTION("GOOGLETRANSLATE(F1885,""en"",""pt"")"),"Reciprocating motor de combustão interna")</f>
        <v>Reciprocating motor de combustão interna</v>
      </c>
      <c r="H1885" s="20" t="s">
        <v>12807</v>
      </c>
      <c r="I1885" s="20" t="s">
        <v>12585</v>
      </c>
    </row>
    <row r="1886" spans="1:9" ht="14.5">
      <c r="A1886" s="20" t="s">
        <v>12808</v>
      </c>
      <c r="B1886" s="20">
        <v>70</v>
      </c>
      <c r="C1886" s="20">
        <v>10</v>
      </c>
      <c r="D1886" s="20">
        <v>30</v>
      </c>
      <c r="E1886" s="20">
        <v>72</v>
      </c>
      <c r="F1886" s="20" t="s">
        <v>12809</v>
      </c>
      <c r="G1886" s="24" t="str">
        <f ca="1">IFERROR(__xludf.DUMMYFUNCTION("GOOGLETRANSLATE(F1886,""en"",""pt"")"),"Reciprocating sistemas gerador de corrente alternada accionado com motor de combustão interna")</f>
        <v>Reciprocating sistemas gerador de corrente alternada accionado com motor de combustão interna</v>
      </c>
      <c r="H1886" s="24"/>
      <c r="I1886" s="24"/>
    </row>
    <row r="1887" spans="1:9" ht="14.5">
      <c r="A1887" s="20" t="s">
        <v>12810</v>
      </c>
      <c r="B1887" s="20">
        <v>70</v>
      </c>
      <c r="C1887" s="20">
        <v>10</v>
      </c>
      <c r="D1887" s="20">
        <v>35</v>
      </c>
      <c r="E1887" s="24"/>
      <c r="F1887" s="20" t="s">
        <v>12811</v>
      </c>
      <c r="G1887" s="24" t="str">
        <f ca="1">IFERROR(__xludf.DUMMYFUNCTION("GOOGLETRANSLATE(F1887,""en"",""pt"")"),"sistemas de transmissão de alta tensão")</f>
        <v>sistemas de transmissão de alta tensão</v>
      </c>
      <c r="H1887" s="24"/>
      <c r="I1887" s="24"/>
    </row>
    <row r="1888" spans="1:9" ht="14.5">
      <c r="A1888" s="20" t="s">
        <v>12812</v>
      </c>
      <c r="B1888" s="20">
        <v>70</v>
      </c>
      <c r="C1888" s="20">
        <v>10</v>
      </c>
      <c r="D1888" s="20">
        <v>70</v>
      </c>
      <c r="E1888" s="24"/>
      <c r="F1888" s="20" t="s">
        <v>12813</v>
      </c>
      <c r="G1888" s="24" t="str">
        <f ca="1">IFERROR(__xludf.DUMMYFUNCTION("GOOGLETRANSLATE(F1888,""en"",""pt"")"),"sistemas de geração de energia renovável")</f>
        <v>sistemas de geração de energia renovável</v>
      </c>
      <c r="H1888" s="24"/>
      <c r="I1888" s="24"/>
    </row>
    <row r="1889" spans="1:9" ht="14.5">
      <c r="A1889" s="20" t="s">
        <v>12814</v>
      </c>
      <c r="B1889" s="20">
        <v>70</v>
      </c>
      <c r="C1889" s="20">
        <v>10</v>
      </c>
      <c r="D1889" s="20">
        <v>70</v>
      </c>
      <c r="E1889" s="20">
        <v>33</v>
      </c>
      <c r="F1889" s="20" t="s">
        <v>12815</v>
      </c>
      <c r="G1889" s="24" t="str">
        <f ca="1">IFERROR(__xludf.DUMMYFUNCTION("GOOGLETRANSLATE(F1889,""en"",""pt"")"),"sistemas de geração de energia geotérmica")</f>
        <v>sistemas de geração de energia geotérmica</v>
      </c>
      <c r="H1889" s="24"/>
      <c r="I1889" s="24"/>
    </row>
    <row r="1890" spans="1:9" ht="14.5">
      <c r="A1890" s="20" t="s">
        <v>12816</v>
      </c>
      <c r="B1890" s="20">
        <v>70</v>
      </c>
      <c r="C1890" s="20">
        <v>10</v>
      </c>
      <c r="D1890" s="20">
        <v>70</v>
      </c>
      <c r="E1890" s="20">
        <v>35</v>
      </c>
      <c r="F1890" s="20" t="s">
        <v>12817</v>
      </c>
      <c r="G1890" s="24" t="str">
        <f ca="1">IFERROR(__xludf.DUMMYFUNCTION("GOOGLETRANSLATE(F1890,""en"",""pt"")"),"sistemas fotovoltaicos ligados à rede")</f>
        <v>sistemas fotovoltaicos ligados à rede</v>
      </c>
      <c r="H1890" s="20" t="s">
        <v>12818</v>
      </c>
      <c r="I1890" s="20" t="s">
        <v>12585</v>
      </c>
    </row>
    <row r="1891" spans="1:9" ht="14.5">
      <c r="A1891" s="20" t="s">
        <v>12819</v>
      </c>
      <c r="B1891" s="20">
        <v>70</v>
      </c>
      <c r="C1891" s="20">
        <v>10</v>
      </c>
      <c r="D1891" s="20">
        <v>70</v>
      </c>
      <c r="E1891" s="20">
        <v>36</v>
      </c>
      <c r="F1891" s="20" t="s">
        <v>12820</v>
      </c>
      <c r="G1891" s="24" t="str">
        <f ca="1">IFERROR(__xludf.DUMMYFUNCTION("GOOGLETRANSLATE(F1891,""en"",""pt"")"),"sistemas de geração de energia hidroeléctrica")</f>
        <v>sistemas de geração de energia hidroeléctrica</v>
      </c>
      <c r="H1891" s="20" t="s">
        <v>12821</v>
      </c>
      <c r="I1891" s="24"/>
    </row>
    <row r="1892" spans="1:9" ht="14.5">
      <c r="A1892" s="20" t="s">
        <v>12822</v>
      </c>
      <c r="B1892" s="20">
        <v>70</v>
      </c>
      <c r="C1892" s="20">
        <v>10</v>
      </c>
      <c r="D1892" s="20">
        <v>70</v>
      </c>
      <c r="E1892" s="20">
        <v>80</v>
      </c>
      <c r="F1892" s="20" t="s">
        <v>12823</v>
      </c>
      <c r="G1892" s="24" t="str">
        <f ca="1">IFERROR(__xludf.DUMMYFUNCTION("GOOGLETRANSLATE(F1892,""en"",""pt"")"),"onda de pequena escala e sistemas de geração de energia das marés")</f>
        <v>onda de pequena escala e sistemas de geração de energia das marés</v>
      </c>
      <c r="H1892" s="24"/>
      <c r="I1892" s="24"/>
    </row>
    <row r="1893" spans="1:9" ht="14.5">
      <c r="A1893" s="20" t="s">
        <v>12824</v>
      </c>
      <c r="B1893" s="20">
        <v>70</v>
      </c>
      <c r="C1893" s="20">
        <v>10</v>
      </c>
      <c r="D1893" s="20">
        <v>70</v>
      </c>
      <c r="E1893" s="20">
        <v>82</v>
      </c>
      <c r="F1893" s="20" t="s">
        <v>12825</v>
      </c>
      <c r="G1893" s="24" t="str">
        <f ca="1">IFERROR(__xludf.DUMMYFUNCTION("GOOGLETRANSLATE(F1893,""en"",""pt"")"),"sistemas de geração de energia eólica em pequena escala")</f>
        <v>sistemas de geração de energia eólica em pequena escala</v>
      </c>
      <c r="H1893" s="20" t="s">
        <v>12826</v>
      </c>
      <c r="I1893" s="20" t="s">
        <v>12585</v>
      </c>
    </row>
    <row r="1894" spans="1:9" ht="14.5">
      <c r="A1894" s="20" t="s">
        <v>12827</v>
      </c>
      <c r="B1894" s="20">
        <v>70</v>
      </c>
      <c r="C1894" s="20">
        <v>10</v>
      </c>
      <c r="D1894" s="20">
        <v>70</v>
      </c>
      <c r="E1894" s="20">
        <v>85</v>
      </c>
      <c r="F1894" s="20" t="s">
        <v>12828</v>
      </c>
      <c r="G1894" s="24" t="str">
        <f ca="1">IFERROR(__xludf.DUMMYFUNCTION("GOOGLETRANSLATE(F1894,""en"",""pt"")"),"sistemas fotovoltaicos autônomos")</f>
        <v>sistemas fotovoltaicos autônomos</v>
      </c>
      <c r="H1894" s="20" t="s">
        <v>12829</v>
      </c>
      <c r="I1894" s="20" t="s">
        <v>12585</v>
      </c>
    </row>
    <row r="1895" spans="1:9" ht="14.5">
      <c r="A1895" s="20" t="s">
        <v>12830</v>
      </c>
      <c r="B1895" s="20">
        <v>70</v>
      </c>
      <c r="C1895" s="20">
        <v>10</v>
      </c>
      <c r="D1895" s="20">
        <v>70</v>
      </c>
      <c r="E1895" s="20">
        <v>95</v>
      </c>
      <c r="F1895" s="20" t="s">
        <v>12831</v>
      </c>
      <c r="G1895" s="24" t="str">
        <f ca="1">IFERROR(__xludf.DUMMYFUNCTION("GOOGLETRANSLATE(F1895,""en"",""pt"")"),"sistemas de moinho de água")</f>
        <v>sistemas de moinho de água</v>
      </c>
      <c r="H1895" s="24"/>
      <c r="I1895" s="24"/>
    </row>
    <row r="1896" spans="1:9" ht="14.5">
      <c r="A1896" s="20" t="s">
        <v>12832</v>
      </c>
      <c r="B1896" s="20">
        <v>70</v>
      </c>
      <c r="C1896" s="20">
        <v>10</v>
      </c>
      <c r="D1896" s="20">
        <v>70</v>
      </c>
      <c r="E1896" s="20">
        <v>97</v>
      </c>
      <c r="F1896" s="20" t="s">
        <v>12833</v>
      </c>
      <c r="G1896" s="24" t="str">
        <f ca="1">IFERROR(__xludf.DUMMYFUNCTION("GOOGLETRANSLATE(F1896,""en"",""pt"")"),"sistemas de turbinas de água")</f>
        <v>sistemas de turbinas de água</v>
      </c>
      <c r="H1896" s="24"/>
      <c r="I1896" s="24"/>
    </row>
    <row r="1897" spans="1:9" ht="14.5">
      <c r="A1897" s="20" t="s">
        <v>12834</v>
      </c>
      <c r="B1897" s="20">
        <v>70</v>
      </c>
      <c r="C1897" s="20">
        <v>10</v>
      </c>
      <c r="D1897" s="20">
        <v>70</v>
      </c>
      <c r="E1897" s="20">
        <v>98</v>
      </c>
      <c r="F1897" s="20" t="s">
        <v>12835</v>
      </c>
      <c r="G1897" s="24" t="str">
        <f ca="1">IFERROR(__xludf.DUMMYFUNCTION("GOOGLETRANSLATE(F1897,""en"",""pt"")"),"sistemas de geração de energia de vento")</f>
        <v>sistemas de geração de energia de vento</v>
      </c>
      <c r="H1897" s="20" t="s">
        <v>12836</v>
      </c>
      <c r="I1897" s="24"/>
    </row>
    <row r="1898" spans="1:9" ht="14.5">
      <c r="A1898" s="20" t="s">
        <v>12837</v>
      </c>
      <c r="B1898" s="20">
        <v>70</v>
      </c>
      <c r="C1898" s="20">
        <v>30</v>
      </c>
      <c r="D1898" s="24"/>
      <c r="E1898" s="24"/>
      <c r="F1898" s="20" t="s">
        <v>12838</v>
      </c>
      <c r="G1898" s="24" t="str">
        <f ca="1">IFERROR(__xludf.DUMMYFUNCTION("GOOGLETRANSLATE(F1898,""en"",""pt"")"),"sistemas de distribuição de energia elétrica")</f>
        <v>sistemas de distribuição de energia elétrica</v>
      </c>
      <c r="H1898" s="24"/>
      <c r="I1898" s="24"/>
    </row>
    <row r="1899" spans="1:9" ht="14.5">
      <c r="A1899" s="20" t="s">
        <v>12839</v>
      </c>
      <c r="B1899" s="20">
        <v>70</v>
      </c>
      <c r="C1899" s="20">
        <v>30</v>
      </c>
      <c r="D1899" s="20">
        <v>25</v>
      </c>
      <c r="E1899" s="24"/>
      <c r="F1899" s="20" t="s">
        <v>12840</v>
      </c>
      <c r="G1899" s="24" t="str">
        <f ca="1">IFERROR(__xludf.DUMMYFUNCTION("GOOGLETRANSLATE(F1899,""en"",""pt"")"),"sistemas de protecção")</f>
        <v>sistemas de protecção</v>
      </c>
      <c r="H1899" s="24"/>
      <c r="I1899" s="24"/>
    </row>
    <row r="1900" spans="1:9" ht="14.5">
      <c r="A1900" s="20" t="s">
        <v>12841</v>
      </c>
      <c r="B1900" s="20">
        <v>70</v>
      </c>
      <c r="C1900" s="20">
        <v>30</v>
      </c>
      <c r="D1900" s="20">
        <v>25</v>
      </c>
      <c r="E1900" s="20">
        <v>25</v>
      </c>
      <c r="F1900" s="20" t="s">
        <v>12842</v>
      </c>
      <c r="G1900" s="24" t="str">
        <f ca="1">IFERROR(__xludf.DUMMYFUNCTION("GOOGLETRANSLATE(F1900,""en"",""pt"")"),"sistemas de chão e unindo")</f>
        <v>sistemas de chão e unindo</v>
      </c>
      <c r="H1900" s="20" t="s">
        <v>12843</v>
      </c>
      <c r="I1900" s="20" t="s">
        <v>12844</v>
      </c>
    </row>
    <row r="1901" spans="1:9" ht="14.5">
      <c r="A1901" s="20" t="s">
        <v>12845</v>
      </c>
      <c r="B1901" s="20">
        <v>70</v>
      </c>
      <c r="C1901" s="20">
        <v>30</v>
      </c>
      <c r="D1901" s="20">
        <v>35</v>
      </c>
      <c r="E1901" s="24"/>
      <c r="F1901" s="20" t="s">
        <v>12846</v>
      </c>
      <c r="G1901" s="24" t="str">
        <f ca="1">IFERROR(__xludf.DUMMYFUNCTION("GOOGLETRANSLATE(F1901,""en"",""pt"")"),"sistemas de alta tensão")</f>
        <v>sistemas de alta tensão</v>
      </c>
      <c r="H1901" s="24"/>
      <c r="I1901" s="24"/>
    </row>
    <row r="1902" spans="1:9" ht="14.5">
      <c r="A1902" s="20" t="s">
        <v>12847</v>
      </c>
      <c r="B1902" s="20">
        <v>70</v>
      </c>
      <c r="C1902" s="20">
        <v>30</v>
      </c>
      <c r="D1902" s="20">
        <v>35</v>
      </c>
      <c r="E1902" s="20">
        <v>30</v>
      </c>
      <c r="F1902" s="20" t="s">
        <v>12848</v>
      </c>
      <c r="G1902" s="24" t="str">
        <f ca="1">IFERROR(__xludf.DUMMYFUNCTION("GOOGLETRANSLATE(F1902,""en"",""pt"")"),"sistemas de conexão local de alta tensão")</f>
        <v>sistemas de conexão local de alta tensão</v>
      </c>
      <c r="H1902" s="20" t="s">
        <v>12849</v>
      </c>
      <c r="I1902" s="20" t="s">
        <v>12850</v>
      </c>
    </row>
    <row r="1903" spans="1:9" ht="14.5">
      <c r="A1903" s="20" t="s">
        <v>12851</v>
      </c>
      <c r="B1903" s="20">
        <v>70</v>
      </c>
      <c r="C1903" s="20">
        <v>30</v>
      </c>
      <c r="D1903" s="20">
        <v>35</v>
      </c>
      <c r="E1903" s="20">
        <v>35</v>
      </c>
      <c r="F1903" s="20" t="s">
        <v>12852</v>
      </c>
      <c r="G1903" s="24" t="str">
        <f ca="1">IFERROR(__xludf.DUMMYFUNCTION("GOOGLETRANSLATE(F1903,""en"",""pt"")"),"sistemas de distribuição de alta voltagem")</f>
        <v>sistemas de distribuição de alta voltagem</v>
      </c>
      <c r="H1903" s="20" t="s">
        <v>12853</v>
      </c>
      <c r="I1903" s="20" t="s">
        <v>12850</v>
      </c>
    </row>
    <row r="1904" spans="1:9" ht="14.5">
      <c r="A1904" s="20" t="s">
        <v>12854</v>
      </c>
      <c r="B1904" s="20">
        <v>70</v>
      </c>
      <c r="C1904" s="20">
        <v>30</v>
      </c>
      <c r="D1904" s="20">
        <v>45</v>
      </c>
      <c r="E1904" s="24"/>
      <c r="F1904" s="20" t="s">
        <v>12855</v>
      </c>
      <c r="G1904" s="24" t="str">
        <f ca="1">IFERROR(__xludf.DUMMYFUNCTION("GOOGLETRANSLATE(F1904,""en"",""pt"")"),"sistemas de baixa tensão")</f>
        <v>sistemas de baixa tensão</v>
      </c>
      <c r="H1904" s="24"/>
      <c r="I1904" s="24"/>
    </row>
    <row r="1905" spans="1:9" ht="14.5">
      <c r="A1905" s="20" t="s">
        <v>12856</v>
      </c>
      <c r="B1905" s="20">
        <v>70</v>
      </c>
      <c r="C1905" s="20">
        <v>30</v>
      </c>
      <c r="D1905" s="20">
        <v>45</v>
      </c>
      <c r="E1905" s="20">
        <v>40</v>
      </c>
      <c r="F1905" s="20" t="s">
        <v>12857</v>
      </c>
      <c r="G1905" s="24" t="str">
        <f ca="1">IFERROR(__xludf.DUMMYFUNCTION("GOOGLETRANSLATE(F1905,""en"",""pt"")"),"sistemas de conexão local de baixa tensão")</f>
        <v>sistemas de conexão local de baixa tensão</v>
      </c>
      <c r="H1905" s="20" t="s">
        <v>12858</v>
      </c>
      <c r="I1905" s="20" t="s">
        <v>5240</v>
      </c>
    </row>
    <row r="1906" spans="1:9" ht="14.5">
      <c r="A1906" s="20" t="s">
        <v>12859</v>
      </c>
      <c r="B1906" s="20">
        <v>70</v>
      </c>
      <c r="C1906" s="20">
        <v>30</v>
      </c>
      <c r="D1906" s="20">
        <v>45</v>
      </c>
      <c r="E1906" s="20">
        <v>45</v>
      </c>
      <c r="F1906" s="20" t="s">
        <v>12860</v>
      </c>
      <c r="G1906" s="24" t="str">
        <f ca="1">IFERROR(__xludf.DUMMYFUNCTION("GOOGLETRANSLATE(F1906,""en"",""pt"")"),"sistemas de distribuição de baixa tensão")</f>
        <v>sistemas de distribuição de baixa tensão</v>
      </c>
      <c r="H1906" s="20" t="s">
        <v>12861</v>
      </c>
      <c r="I1906" s="20" t="s">
        <v>12862</v>
      </c>
    </row>
    <row r="1907" spans="1:9" ht="14.5">
      <c r="A1907" s="20" t="s">
        <v>12863</v>
      </c>
      <c r="B1907" s="20">
        <v>70</v>
      </c>
      <c r="C1907" s="20">
        <v>30</v>
      </c>
      <c r="D1907" s="20">
        <v>45</v>
      </c>
      <c r="E1907" s="20">
        <v>92</v>
      </c>
      <c r="F1907" s="20" t="s">
        <v>12864</v>
      </c>
      <c r="G1907" s="24" t="str">
        <f ca="1">IFERROR(__xludf.DUMMYFUNCTION("GOOGLETRANSLATE(F1907,""en"",""pt"")"),"sistemas de alimentação ininterrupta")</f>
        <v>sistemas de alimentação ininterrupta</v>
      </c>
      <c r="H1907" s="24"/>
      <c r="I1907" s="24"/>
    </row>
    <row r="1908" spans="1:9" ht="14.5">
      <c r="A1908" s="20" t="s">
        <v>12865</v>
      </c>
      <c r="B1908" s="20">
        <v>70</v>
      </c>
      <c r="C1908" s="20">
        <v>30</v>
      </c>
      <c r="D1908" s="20">
        <v>60</v>
      </c>
      <c r="E1908" s="24"/>
      <c r="F1908" s="20" t="s">
        <v>12866</v>
      </c>
      <c r="G1908" s="24" t="str">
        <f ca="1">IFERROR(__xludf.DUMMYFUNCTION("GOOGLETRANSLATE(F1908,""en"",""pt"")"),"sistemas de distribuição de energia de tracção de linha de sobrecarga")</f>
        <v>sistemas de distribuição de energia de tracção de linha de sobrecarga</v>
      </c>
      <c r="H1908" s="24"/>
      <c r="I1908" s="24"/>
    </row>
    <row r="1909" spans="1:9" ht="14.5">
      <c r="A1909" s="20" t="s">
        <v>12867</v>
      </c>
      <c r="B1909" s="20">
        <v>70</v>
      </c>
      <c r="C1909" s="20">
        <v>30</v>
      </c>
      <c r="D1909" s="20">
        <v>60</v>
      </c>
      <c r="E1909" s="20">
        <v>11</v>
      </c>
      <c r="F1909" s="20" t="s">
        <v>12868</v>
      </c>
      <c r="G1909" s="24" t="str">
        <f ca="1">IFERROR(__xludf.DUMMYFUNCTION("GOOGLETRANSLATE(F1909,""en"",""pt"")"),"sistemas de linhas aéreas de catenária")</f>
        <v>sistemas de linhas aéreas de catenária</v>
      </c>
      <c r="H1909" s="20" t="s">
        <v>12869</v>
      </c>
      <c r="I1909" s="24"/>
    </row>
    <row r="1910" spans="1:9" ht="14.5">
      <c r="A1910" s="20" t="s">
        <v>12870</v>
      </c>
      <c r="B1910" s="20">
        <v>70</v>
      </c>
      <c r="C1910" s="20">
        <v>30</v>
      </c>
      <c r="D1910" s="20">
        <v>60</v>
      </c>
      <c r="E1910" s="20">
        <v>89</v>
      </c>
      <c r="F1910" s="20" t="s">
        <v>12871</v>
      </c>
      <c r="G1910" s="24" t="str">
        <f ca="1">IFERROR(__xludf.DUMMYFUNCTION("GOOGLETRANSLATE(F1910,""en"",""pt"")"),"sistemas de linhas de sobrecarga de arame trole")</f>
        <v>sistemas de linhas de sobrecarga de arame trole</v>
      </c>
      <c r="H1910" s="20" t="s">
        <v>12872</v>
      </c>
      <c r="I1910" s="24"/>
    </row>
    <row r="1911" spans="1:9" ht="14.5">
      <c r="A1911" s="20" t="s">
        <v>12873</v>
      </c>
      <c r="B1911" s="20">
        <v>70</v>
      </c>
      <c r="C1911" s="20">
        <v>30</v>
      </c>
      <c r="D1911" s="20">
        <v>80</v>
      </c>
      <c r="E1911" s="24"/>
      <c r="F1911" s="20" t="s">
        <v>12874</v>
      </c>
      <c r="G1911" s="24" t="str">
        <f ca="1">IFERROR(__xludf.DUMMYFUNCTION("GOOGLETRANSLATE(F1911,""en"",""pt"")"),"sistemas de energia pequenas")</f>
        <v>sistemas de energia pequenas</v>
      </c>
      <c r="H1911" s="24"/>
      <c r="I1911" s="24"/>
    </row>
    <row r="1912" spans="1:9" ht="14.5">
      <c r="A1912" s="20" t="s">
        <v>12875</v>
      </c>
      <c r="B1912" s="20">
        <v>70</v>
      </c>
      <c r="C1912" s="20">
        <v>30</v>
      </c>
      <c r="D1912" s="20">
        <v>80</v>
      </c>
      <c r="E1912" s="20">
        <v>35</v>
      </c>
      <c r="F1912" s="20" t="s">
        <v>12876</v>
      </c>
      <c r="G1912" s="24" t="str">
        <f ca="1">IFERROR(__xludf.DUMMYFUNCTION("GOOGLETRANSLATE(F1912,""en"",""pt"")"),"pequenos sistemas de energia de tensão hard-wired")</f>
        <v>pequenos sistemas de energia de tensão hard-wired</v>
      </c>
      <c r="H1912" s="20" t="s">
        <v>12877</v>
      </c>
      <c r="I1912" s="20" t="s">
        <v>12878</v>
      </c>
    </row>
    <row r="1913" spans="1:9" ht="14.5">
      <c r="A1913" s="20" t="s">
        <v>12879</v>
      </c>
      <c r="B1913" s="20">
        <v>70</v>
      </c>
      <c r="C1913" s="20">
        <v>30</v>
      </c>
      <c r="D1913" s="20">
        <v>80</v>
      </c>
      <c r="E1913" s="20">
        <v>45</v>
      </c>
      <c r="F1913" s="20" t="s">
        <v>12880</v>
      </c>
      <c r="G1913" s="24" t="str">
        <f ca="1">IFERROR(__xludf.DUMMYFUNCTION("GOOGLETRANSLATE(F1913,""en"",""pt"")"),"pequenos sistemas de energia de baixa tensão com fiação pré-fabricada")</f>
        <v>pequenos sistemas de energia de baixa tensão com fiação pré-fabricada</v>
      </c>
      <c r="H1913" s="20" t="s">
        <v>12881</v>
      </c>
      <c r="I1913" s="20" t="s">
        <v>12878</v>
      </c>
    </row>
    <row r="1914" spans="1:9" ht="14.5">
      <c r="A1914" s="20" t="s">
        <v>12882</v>
      </c>
      <c r="B1914" s="20">
        <v>70</v>
      </c>
      <c r="C1914" s="20">
        <v>30</v>
      </c>
      <c r="D1914" s="20">
        <v>90</v>
      </c>
      <c r="E1914" s="24"/>
      <c r="F1914" s="20" t="s">
        <v>12883</v>
      </c>
      <c r="G1914" s="24" t="str">
        <f ca="1">IFERROR(__xludf.DUMMYFUNCTION("GOOGLETRANSLATE(F1914,""en"",""pt"")"),"sistemas de distribuição de energia de tração condutor ferroviário")</f>
        <v>sistemas de distribuição de energia de tração condutor ferroviário</v>
      </c>
      <c r="H1914" s="24"/>
      <c r="I1914" s="24"/>
    </row>
    <row r="1915" spans="1:9" ht="14.5">
      <c r="A1915" s="20" t="s">
        <v>12884</v>
      </c>
      <c r="B1915" s="20">
        <v>70</v>
      </c>
      <c r="C1915" s="20">
        <v>30</v>
      </c>
      <c r="D1915" s="20">
        <v>90</v>
      </c>
      <c r="E1915" s="20">
        <v>15</v>
      </c>
      <c r="F1915" s="20" t="s">
        <v>12885</v>
      </c>
      <c r="G1915" s="24" t="str">
        <f ca="1">IFERROR(__xludf.DUMMYFUNCTION("GOOGLETRANSLATE(F1915,""en"",""pt"")"),"sistemas de eletrificação carril condutor")</f>
        <v>sistemas de eletrificação carril condutor</v>
      </c>
      <c r="H1915" s="24"/>
      <c r="I1915" s="24"/>
    </row>
    <row r="1916" spans="1:9" ht="14.5">
      <c r="A1916" s="20" t="s">
        <v>12886</v>
      </c>
      <c r="B1916" s="20">
        <v>70</v>
      </c>
      <c r="C1916" s="20">
        <v>30</v>
      </c>
      <c r="D1916" s="20">
        <v>90</v>
      </c>
      <c r="E1916" s="20">
        <v>90</v>
      </c>
      <c r="F1916" s="20" t="s">
        <v>12887</v>
      </c>
      <c r="G1916" s="24" t="str">
        <f ca="1">IFERROR(__xludf.DUMMYFUNCTION("GOOGLETRANSLATE(F1916,""en"",""pt"")"),"sistemas de eletrificação terceiro trilho")</f>
        <v>sistemas de eletrificação terceiro trilho</v>
      </c>
      <c r="H1916" s="20" t="s">
        <v>12888</v>
      </c>
      <c r="I1916" s="24"/>
    </row>
    <row r="1917" spans="1:9" ht="14.5">
      <c r="A1917" s="20" t="s">
        <v>12889</v>
      </c>
      <c r="B1917" s="20">
        <v>70</v>
      </c>
      <c r="C1917" s="20">
        <v>30</v>
      </c>
      <c r="D1917" s="20">
        <v>94</v>
      </c>
      <c r="E1917" s="24"/>
      <c r="F1917" s="20" t="s">
        <v>12890</v>
      </c>
      <c r="G1917" s="24" t="str">
        <f ca="1">IFERROR(__xludf.DUMMYFUNCTION("GOOGLETRANSLATE(F1917,""en"",""pt"")"),"sistemas de tarifação veículo")</f>
        <v>sistemas de tarifação veículo</v>
      </c>
      <c r="H1917" s="24"/>
      <c r="I1917" s="24"/>
    </row>
    <row r="1918" spans="1:9" ht="14.5">
      <c r="A1918" s="20" t="s">
        <v>12891</v>
      </c>
      <c r="B1918" s="20">
        <v>70</v>
      </c>
      <c r="C1918" s="20">
        <v>30</v>
      </c>
      <c r="D1918" s="20">
        <v>94</v>
      </c>
      <c r="E1918" s="20">
        <v>27</v>
      </c>
      <c r="F1918" s="20" t="s">
        <v>12892</v>
      </c>
      <c r="G1918" s="24" t="str">
        <f ca="1">IFERROR(__xludf.DUMMYFUNCTION("GOOGLETRANSLATE(F1918,""en"",""pt"")"),"Veículo elétrico sistemas de tarifação")</f>
        <v>Veículo elétrico sistemas de tarifação</v>
      </c>
      <c r="H1918" s="20" t="s">
        <v>12893</v>
      </c>
      <c r="I1918" s="24"/>
    </row>
    <row r="1919" spans="1:9" ht="14.5">
      <c r="A1919" s="20" t="s">
        <v>12894</v>
      </c>
      <c r="B1919" s="20">
        <v>70</v>
      </c>
      <c r="C1919" s="20">
        <v>80</v>
      </c>
      <c r="D1919" s="24"/>
      <c r="E1919" s="24"/>
      <c r="F1919" s="20" t="s">
        <v>12895</v>
      </c>
      <c r="G1919" s="24" t="str">
        <f ca="1">IFERROR(__xludf.DUMMYFUNCTION("GOOGLETRANSLATE(F1919,""en"",""pt"")"),"sistemas de iluminação")</f>
        <v>sistemas de iluminação</v>
      </c>
      <c r="H1919" s="24"/>
      <c r="I1919" s="24"/>
    </row>
    <row r="1920" spans="1:9" ht="14.5">
      <c r="A1920" s="20" t="s">
        <v>12896</v>
      </c>
      <c r="B1920" s="20">
        <v>70</v>
      </c>
      <c r="C1920" s="20">
        <v>80</v>
      </c>
      <c r="D1920" s="20">
        <v>1</v>
      </c>
      <c r="E1920" s="24"/>
      <c r="F1920" s="20" t="s">
        <v>12897</v>
      </c>
      <c r="G1920" s="24" t="str">
        <f ca="1">IFERROR(__xludf.DUMMYFUNCTION("GOOGLETRANSLATE(F1920,""en"",""pt"")"),"sistemas de iluminação aeronáuticas")</f>
        <v>sistemas de iluminação aeronáuticas</v>
      </c>
      <c r="H1920" s="24"/>
      <c r="I1920" s="24"/>
    </row>
    <row r="1921" spans="1:9" ht="14.5">
      <c r="A1921" s="20" t="s">
        <v>12898</v>
      </c>
      <c r="B1921" s="20">
        <v>70</v>
      </c>
      <c r="C1921" s="20">
        <v>80</v>
      </c>
      <c r="D1921" s="20">
        <v>1</v>
      </c>
      <c r="E1921" s="20">
        <v>2</v>
      </c>
      <c r="F1921" s="20" t="s">
        <v>12899</v>
      </c>
      <c r="G1921" s="24" t="str">
        <f ca="1">IFERROR(__xludf.DUMMYFUNCTION("GOOGLETRANSLATE(F1921,""en"",""pt"")"),"sistemas de iluminação abordagem")</f>
        <v>sistemas de iluminação abordagem</v>
      </c>
      <c r="H1921" s="20" t="s">
        <v>12900</v>
      </c>
      <c r="I1921" s="24"/>
    </row>
    <row r="1922" spans="1:9" ht="14.5">
      <c r="A1922" s="20" t="s">
        <v>12901</v>
      </c>
      <c r="B1922" s="20">
        <v>70</v>
      </c>
      <c r="C1922" s="20">
        <v>80</v>
      </c>
      <c r="D1922" s="20">
        <v>1</v>
      </c>
      <c r="E1922" s="20">
        <v>3</v>
      </c>
      <c r="F1922" s="20" t="s">
        <v>12902</v>
      </c>
      <c r="G1922" s="24" t="str">
        <f ca="1">IFERROR(__xludf.DUMMYFUNCTION("GOOGLETRANSLATE(F1922,""en"",""pt"")"),"sistemas de iluminação Avental")</f>
        <v>sistemas de iluminação Avental</v>
      </c>
      <c r="H1922" s="20" t="s">
        <v>12903</v>
      </c>
      <c r="I1922" s="24"/>
    </row>
    <row r="1923" spans="1:9" ht="14.5">
      <c r="A1923" s="20" t="s">
        <v>12904</v>
      </c>
      <c r="B1923" s="20">
        <v>70</v>
      </c>
      <c r="C1923" s="20">
        <v>80</v>
      </c>
      <c r="D1923" s="20">
        <v>1</v>
      </c>
      <c r="E1923" s="20">
        <v>47</v>
      </c>
      <c r="F1923" s="20" t="s">
        <v>12905</v>
      </c>
      <c r="G1923" s="24" t="str">
        <f ca="1">IFERROR(__xludf.DUMMYFUNCTION("GOOGLETRANSLATE(F1923,""en"",""pt"")"),"Sistemas de iluminação baliza")</f>
        <v>Sistemas de iluminação baliza</v>
      </c>
      <c r="H1923" s="20" t="s">
        <v>12906</v>
      </c>
      <c r="I1923" s="24"/>
    </row>
    <row r="1924" spans="1:9" ht="14.5">
      <c r="A1924" s="20" t="s">
        <v>12907</v>
      </c>
      <c r="B1924" s="20">
        <v>70</v>
      </c>
      <c r="C1924" s="20">
        <v>80</v>
      </c>
      <c r="D1924" s="20">
        <v>1</v>
      </c>
      <c r="E1924" s="20">
        <v>65</v>
      </c>
      <c r="F1924" s="20" t="s">
        <v>12908</v>
      </c>
      <c r="G1924" s="24" t="str">
        <f ca="1">IFERROR(__xludf.DUMMYFUNCTION("GOOGLETRANSLATE(F1924,""en"",""pt"")"),"Sistemas Precision Approach Path Indicator")</f>
        <v>Sistemas Precision Approach Path Indicator</v>
      </c>
      <c r="H1924" s="20" t="s">
        <v>12909</v>
      </c>
      <c r="I1924" s="24"/>
    </row>
    <row r="1925" spans="1:9" ht="14.5">
      <c r="A1925" s="20" t="s">
        <v>12910</v>
      </c>
      <c r="B1925" s="20">
        <v>70</v>
      </c>
      <c r="C1925" s="20">
        <v>80</v>
      </c>
      <c r="D1925" s="20">
        <v>1</v>
      </c>
      <c r="E1925" s="20">
        <v>74</v>
      </c>
      <c r="F1925" s="20" t="s">
        <v>12911</v>
      </c>
      <c r="G1925" s="24" t="str">
        <f ca="1">IFERROR(__xludf.DUMMYFUNCTION("GOOGLETRANSLATE(F1925,""en"",""pt"")"),"sistemas de iluminação da pista de decolagem")</f>
        <v>sistemas de iluminação da pista de decolagem</v>
      </c>
      <c r="H1925" s="20" t="s">
        <v>12912</v>
      </c>
      <c r="I1925" s="24"/>
    </row>
    <row r="1926" spans="1:9" ht="14.5">
      <c r="A1926" s="20" t="s">
        <v>12913</v>
      </c>
      <c r="B1926" s="20">
        <v>70</v>
      </c>
      <c r="C1926" s="20">
        <v>80</v>
      </c>
      <c r="D1926" s="20">
        <v>1</v>
      </c>
      <c r="E1926" s="20">
        <v>87</v>
      </c>
      <c r="F1926" s="20" t="s">
        <v>12914</v>
      </c>
      <c r="G1926" s="24" t="str">
        <f ca="1">IFERROR(__xludf.DUMMYFUNCTION("GOOGLETRANSLATE(F1926,""en"",""pt"")"),"sistemas de iluminação taxiway")</f>
        <v>sistemas de iluminação taxiway</v>
      </c>
      <c r="H1926" s="20" t="s">
        <v>12915</v>
      </c>
      <c r="I1926" s="24"/>
    </row>
    <row r="1927" spans="1:9" ht="14.5">
      <c r="A1927" s="20" t="s">
        <v>12916</v>
      </c>
      <c r="B1927" s="20">
        <v>70</v>
      </c>
      <c r="C1927" s="20">
        <v>80</v>
      </c>
      <c r="D1927" s="20">
        <v>25</v>
      </c>
      <c r="E1927" s="24"/>
      <c r="F1927" s="20" t="s">
        <v>12917</v>
      </c>
      <c r="G1927" s="24" t="str">
        <f ca="1">IFERROR(__xludf.DUMMYFUNCTION("GOOGLETRANSLATE(F1927,""en"",""pt"")"),"sistemas de iluminação externa")</f>
        <v>sistemas de iluminação externa</v>
      </c>
      <c r="H1927" s="24"/>
      <c r="I1927" s="24"/>
    </row>
    <row r="1928" spans="1:9" ht="14.5">
      <c r="A1928" s="20" t="s">
        <v>12918</v>
      </c>
      <c r="B1928" s="20">
        <v>70</v>
      </c>
      <c r="C1928" s="20">
        <v>80</v>
      </c>
      <c r="D1928" s="20">
        <v>25</v>
      </c>
      <c r="E1928" s="20">
        <v>5</v>
      </c>
      <c r="F1928" s="20" t="s">
        <v>12919</v>
      </c>
      <c r="G1928" s="24" t="str">
        <f ca="1">IFERROR(__xludf.DUMMYFUNCTION("GOOGLETRANSLATE(F1928,""en"",""pt"")"),"sistemas de iluminação Amenity")</f>
        <v>sistemas de iluminação Amenity</v>
      </c>
      <c r="H1928" s="20" t="s">
        <v>12920</v>
      </c>
      <c r="I1928" s="20" t="s">
        <v>12921</v>
      </c>
    </row>
    <row r="1929" spans="1:9" ht="14.5">
      <c r="A1929" s="20" t="s">
        <v>12922</v>
      </c>
      <c r="B1929" s="20">
        <v>70</v>
      </c>
      <c r="C1929" s="20">
        <v>80</v>
      </c>
      <c r="D1929" s="20">
        <v>25</v>
      </c>
      <c r="E1929" s="20">
        <v>70</v>
      </c>
      <c r="F1929" s="20" t="s">
        <v>12923</v>
      </c>
      <c r="G1929" s="24" t="str">
        <f ca="1">IFERROR(__xludf.DUMMYFUNCTION("GOOGLETRANSLATE(F1929,""en"",""pt"")"),"sistemas de iluminação de pista")</f>
        <v>sistemas de iluminação de pista</v>
      </c>
      <c r="H1929" s="20" t="s">
        <v>12924</v>
      </c>
      <c r="I1929" s="20" t="s">
        <v>12921</v>
      </c>
    </row>
    <row r="1930" spans="1:9" ht="14.5">
      <c r="A1930" s="20" t="s">
        <v>12925</v>
      </c>
      <c r="B1930" s="20">
        <v>70</v>
      </c>
      <c r="C1930" s="20">
        <v>80</v>
      </c>
      <c r="D1930" s="20">
        <v>25</v>
      </c>
      <c r="E1930" s="20">
        <v>90</v>
      </c>
      <c r="F1930" s="20" t="s">
        <v>12926</v>
      </c>
      <c r="G1930" s="24" t="str">
        <f ca="1">IFERROR(__xludf.DUMMYFUNCTION("GOOGLETRANSLATE(F1930,""en"",""pt"")"),"sistemas de iluminação do túnel")</f>
        <v>sistemas de iluminação do túnel</v>
      </c>
      <c r="H1930" s="24"/>
      <c r="I1930" s="24"/>
    </row>
    <row r="1931" spans="1:9" ht="14.5">
      <c r="A1931" s="20" t="s">
        <v>12927</v>
      </c>
      <c r="B1931" s="20">
        <v>70</v>
      </c>
      <c r="C1931" s="20">
        <v>80</v>
      </c>
      <c r="D1931" s="20">
        <v>33</v>
      </c>
      <c r="E1931" s="24"/>
      <c r="F1931" s="20" t="s">
        <v>12928</v>
      </c>
      <c r="G1931" s="24" t="str">
        <f ca="1">IFERROR(__xludf.DUMMYFUNCTION("GOOGLETRANSLATE(F1931,""en"",""pt"")"),"sistemas de iluminação espaço Geral")</f>
        <v>sistemas de iluminação espaço Geral</v>
      </c>
      <c r="H1931" s="24"/>
      <c r="I1931" s="24"/>
    </row>
    <row r="1932" spans="1:9" ht="14.5">
      <c r="A1932" s="20" t="s">
        <v>12929</v>
      </c>
      <c r="B1932" s="20">
        <v>70</v>
      </c>
      <c r="C1932" s="20">
        <v>80</v>
      </c>
      <c r="D1932" s="20">
        <v>33</v>
      </c>
      <c r="E1932" s="20">
        <v>12</v>
      </c>
      <c r="F1932" s="20" t="s">
        <v>12930</v>
      </c>
      <c r="G1932" s="24" t="str">
        <f ca="1">IFERROR(__xludf.DUMMYFUNCTION("GOOGLETRANSLATE(F1932,""en"",""pt"")"),"sistemas de iluminação fornecido de emergência bateria Central")</f>
        <v>sistemas de iluminação fornecido de emergência bateria Central</v>
      </c>
      <c r="H1932" s="20" t="s">
        <v>12931</v>
      </c>
      <c r="I1932" s="20" t="s">
        <v>10956</v>
      </c>
    </row>
    <row r="1933" spans="1:9" ht="14.5">
      <c r="A1933" s="20" t="s">
        <v>12932</v>
      </c>
      <c r="B1933" s="20">
        <v>70</v>
      </c>
      <c r="C1933" s="20">
        <v>80</v>
      </c>
      <c r="D1933" s="20">
        <v>33</v>
      </c>
      <c r="E1933" s="20">
        <v>30</v>
      </c>
      <c r="F1933" s="20" t="s">
        <v>12933</v>
      </c>
      <c r="G1933" s="24" t="str">
        <f ca="1">IFERROR(__xludf.DUMMYFUNCTION("GOOGLETRANSLATE(F1933,""en"",""pt"")"),"sistemas de iluminação de fibra óptica")</f>
        <v>sistemas de iluminação de fibra óptica</v>
      </c>
      <c r="H1933" s="24"/>
      <c r="I1933" s="24"/>
    </row>
    <row r="1934" spans="1:9" ht="14.5">
      <c r="A1934" s="20" t="s">
        <v>12934</v>
      </c>
      <c r="B1934" s="20">
        <v>70</v>
      </c>
      <c r="C1934" s="20">
        <v>80</v>
      </c>
      <c r="D1934" s="20">
        <v>33</v>
      </c>
      <c r="E1934" s="20">
        <v>33</v>
      </c>
      <c r="F1934" s="20" t="s">
        <v>12935</v>
      </c>
      <c r="G1934" s="24" t="str">
        <f ca="1">IFERROR(__xludf.DUMMYFUNCTION("GOOGLETRANSLATE(F1934,""en"",""pt"")"),"sistemas de iluminação geral com fiação pré-fabricada")</f>
        <v>sistemas de iluminação geral com fiação pré-fabricada</v>
      </c>
      <c r="H1934" s="20" t="s">
        <v>12936</v>
      </c>
      <c r="I1934" s="20" t="s">
        <v>10956</v>
      </c>
    </row>
    <row r="1935" spans="1:9" ht="14.5">
      <c r="A1935" s="20" t="s">
        <v>12937</v>
      </c>
      <c r="B1935" s="20">
        <v>70</v>
      </c>
      <c r="C1935" s="20">
        <v>80</v>
      </c>
      <c r="D1935" s="20">
        <v>33</v>
      </c>
      <c r="E1935" s="20">
        <v>35</v>
      </c>
      <c r="F1935" s="20" t="s">
        <v>12938</v>
      </c>
      <c r="G1935" s="24" t="str">
        <f ca="1">IFERROR(__xludf.DUMMYFUNCTION("GOOGLETRANSLATE(F1935,""en"",""pt"")"),"Hard-wired sistemas de iluminação geral")</f>
        <v>Hard-wired sistemas de iluminação geral</v>
      </c>
      <c r="H1935" s="20" t="s">
        <v>12939</v>
      </c>
      <c r="I1935" s="20" t="s">
        <v>10956</v>
      </c>
    </row>
    <row r="1936" spans="1:9" ht="14.5">
      <c r="A1936" s="20" t="s">
        <v>12940</v>
      </c>
      <c r="B1936" s="20">
        <v>70</v>
      </c>
      <c r="C1936" s="20">
        <v>80</v>
      </c>
      <c r="D1936" s="20">
        <v>33</v>
      </c>
      <c r="E1936" s="20">
        <v>88</v>
      </c>
      <c r="F1936" s="20" t="s">
        <v>12941</v>
      </c>
      <c r="G1936" s="24" t="str">
        <f ca="1">IFERROR(__xludf.DUMMYFUNCTION("GOOGLETRANSLATE(F1936,""en"",""pt"")"),"sistemas de iluminação de teatro / estágio")</f>
        <v>sistemas de iluminação de teatro / estágio</v>
      </c>
      <c r="H1936" s="24"/>
      <c r="I1936" s="24"/>
    </row>
    <row r="1937" spans="1:9" ht="14.5">
      <c r="A1937" s="20" t="s">
        <v>12942</v>
      </c>
      <c r="B1937" s="20">
        <v>70</v>
      </c>
      <c r="C1937" s="20">
        <v>80</v>
      </c>
      <c r="D1937" s="20">
        <v>33</v>
      </c>
      <c r="E1937" s="20">
        <v>92</v>
      </c>
      <c r="F1937" s="20" t="s">
        <v>12943</v>
      </c>
      <c r="G1937" s="24" t="str">
        <f ca="1">IFERROR(__xludf.DUMMYFUNCTION("GOOGLETRANSLATE(F1937,""en"",""pt"")"),"sistemas de iluminação subaquáticas")</f>
        <v>sistemas de iluminação subaquáticas</v>
      </c>
      <c r="H1937" s="20" t="s">
        <v>12944</v>
      </c>
      <c r="I1937" s="20" t="s">
        <v>12945</v>
      </c>
    </row>
    <row r="1938" spans="1:9" ht="14.5">
      <c r="A1938" s="20" t="s">
        <v>12946</v>
      </c>
      <c r="B1938" s="20">
        <v>70</v>
      </c>
      <c r="C1938" s="20">
        <v>95</v>
      </c>
      <c r="D1938" s="24"/>
      <c r="E1938" s="24"/>
      <c r="F1938" s="20" t="s">
        <v>12947</v>
      </c>
      <c r="G1938" s="24" t="str">
        <f ca="1">IFERROR(__xludf.DUMMYFUNCTION("GOOGLETRANSLATE(F1938,""en"",""pt"")"),"sistemas elétricos temporários")</f>
        <v>sistemas elétricos temporários</v>
      </c>
      <c r="H1938" s="24"/>
      <c r="I1938" s="24"/>
    </row>
    <row r="1939" spans="1:9" ht="14.5">
      <c r="A1939" s="20" t="s">
        <v>12948</v>
      </c>
      <c r="B1939" s="20">
        <v>75</v>
      </c>
      <c r="C1939" s="24"/>
      <c r="D1939" s="24"/>
      <c r="E1939" s="24"/>
      <c r="F1939" s="20" t="s">
        <v>12949</v>
      </c>
      <c r="G1939" s="24" t="str">
        <f ca="1">IFERROR(__xludf.DUMMYFUNCTION("GOOGLETRANSLATE(F1939,""en"",""pt"")"),"Comunicações, sistemas de protecção de segurança, de segurança, de controle e")</f>
        <v>Comunicações, sistemas de protecção de segurança, de segurança, de controle e</v>
      </c>
      <c r="H1939" s="24"/>
      <c r="I1939" s="24"/>
    </row>
    <row r="1940" spans="1:9" ht="14.5">
      <c r="A1940" s="20" t="s">
        <v>12950</v>
      </c>
      <c r="B1940" s="20">
        <v>75</v>
      </c>
      <c r="C1940" s="20">
        <v>10</v>
      </c>
      <c r="D1940" s="24"/>
      <c r="E1940" s="24"/>
      <c r="F1940" s="20" t="s">
        <v>12951</v>
      </c>
      <c r="G1940" s="24" t="str">
        <f ca="1">IFERROR(__xludf.DUMMYFUNCTION("GOOGLETRANSLATE(F1940,""en"",""pt"")"),"sistemas de comunicação")</f>
        <v>sistemas de comunicação</v>
      </c>
      <c r="H1940" s="24"/>
      <c r="I1940" s="24"/>
    </row>
    <row r="1941" spans="1:9" ht="14.5">
      <c r="A1941" s="20" t="s">
        <v>12952</v>
      </c>
      <c r="B1941" s="20">
        <v>75</v>
      </c>
      <c r="C1941" s="20">
        <v>10</v>
      </c>
      <c r="D1941" s="20">
        <v>21</v>
      </c>
      <c r="E1941" s="24"/>
      <c r="F1941" s="20" t="s">
        <v>12953</v>
      </c>
      <c r="G1941" s="24" t="str">
        <f ca="1">IFERROR(__xludf.DUMMYFUNCTION("GOOGLETRANSLATE(F1941,""en"",""pt"")"),"sistemas de distribuição e de telecomunicações de dados")</f>
        <v>sistemas de distribuição e de telecomunicações de dados</v>
      </c>
      <c r="H1941" s="24"/>
      <c r="I1941" s="24"/>
    </row>
    <row r="1942" spans="1:9" ht="14.5">
      <c r="A1942" s="20" t="s">
        <v>12954</v>
      </c>
      <c r="B1942" s="20">
        <v>75</v>
      </c>
      <c r="C1942" s="20">
        <v>10</v>
      </c>
      <c r="D1942" s="20">
        <v>21</v>
      </c>
      <c r="E1942" s="20">
        <v>21</v>
      </c>
      <c r="F1942" s="20" t="s">
        <v>12955</v>
      </c>
      <c r="G1942" s="24" t="str">
        <f ca="1">IFERROR(__xludf.DUMMYFUNCTION("GOOGLETRANSLATE(F1942,""en"",""pt"")"),"sistemas de distribuição de dados")</f>
        <v>sistemas de distribuição de dados</v>
      </c>
      <c r="H1942" s="20" t="s">
        <v>12956</v>
      </c>
      <c r="I1942" s="20" t="s">
        <v>12957</v>
      </c>
    </row>
    <row r="1943" spans="1:9" ht="14.5">
      <c r="A1943" s="20" t="s">
        <v>12958</v>
      </c>
      <c r="B1943" s="20">
        <v>75</v>
      </c>
      <c r="C1943" s="20">
        <v>10</v>
      </c>
      <c r="D1943" s="20">
        <v>21</v>
      </c>
      <c r="E1943" s="20">
        <v>48</v>
      </c>
      <c r="F1943" s="20" t="s">
        <v>12959</v>
      </c>
      <c r="G1943" s="24" t="str">
        <f ca="1">IFERROR(__xludf.DUMMYFUNCTION("GOOGLETRANSLATE(F1943,""en"",""pt"")"),"sistemas de rede de área local (LAN)")</f>
        <v>sistemas de rede de área local (LAN)</v>
      </c>
      <c r="H1943" s="24"/>
      <c r="I1943" s="24"/>
    </row>
    <row r="1944" spans="1:9" ht="14.5">
      <c r="A1944" s="20" t="s">
        <v>12960</v>
      </c>
      <c r="B1944" s="20">
        <v>75</v>
      </c>
      <c r="C1944" s="20">
        <v>10</v>
      </c>
      <c r="D1944" s="20">
        <v>21</v>
      </c>
      <c r="E1944" s="20">
        <v>52</v>
      </c>
      <c r="F1944" s="20" t="s">
        <v>12961</v>
      </c>
      <c r="G1944" s="24" t="str">
        <f ca="1">IFERROR(__xludf.DUMMYFUNCTION("GOOGLETRANSLATE(F1944,""en"",""pt"")"),"sistemas de telecomunicações móveis")</f>
        <v>sistemas de telecomunicações móveis</v>
      </c>
      <c r="H1944" s="24"/>
      <c r="I1944" s="24"/>
    </row>
    <row r="1945" spans="1:9" ht="14.5">
      <c r="A1945" s="20" t="s">
        <v>12962</v>
      </c>
      <c r="B1945" s="20">
        <v>75</v>
      </c>
      <c r="C1945" s="20">
        <v>10</v>
      </c>
      <c r="D1945" s="20">
        <v>21</v>
      </c>
      <c r="E1945" s="20">
        <v>88</v>
      </c>
      <c r="F1945" s="20" t="s">
        <v>12963</v>
      </c>
      <c r="G1945" s="24" t="str">
        <f ca="1">IFERROR(__xludf.DUMMYFUNCTION("GOOGLETRANSLATE(F1945,""en"",""pt"")"),"sistemas de telecomunicações")</f>
        <v>sistemas de telecomunicações</v>
      </c>
      <c r="H1945" s="20" t="s">
        <v>12964</v>
      </c>
      <c r="I1945" s="20" t="s">
        <v>12965</v>
      </c>
    </row>
    <row r="1946" spans="1:9" ht="14.5">
      <c r="A1946" s="20" t="s">
        <v>12966</v>
      </c>
      <c r="B1946" s="20">
        <v>75</v>
      </c>
      <c r="C1946" s="20">
        <v>10</v>
      </c>
      <c r="D1946" s="20">
        <v>21</v>
      </c>
      <c r="E1946" s="20">
        <v>97</v>
      </c>
      <c r="F1946" s="20" t="s">
        <v>12967</v>
      </c>
      <c r="G1946" s="24" t="str">
        <f ca="1">IFERROR(__xludf.DUMMYFUNCTION("GOOGLETRANSLATE(F1946,""en"",""pt"")"),"sistemas de rede de área ampla (WAN)")</f>
        <v>sistemas de rede de área ampla (WAN)</v>
      </c>
      <c r="H1946" s="24"/>
      <c r="I1946" s="24"/>
    </row>
    <row r="1947" spans="1:9" ht="14.5">
      <c r="A1947" s="20" t="s">
        <v>12968</v>
      </c>
      <c r="B1947" s="20">
        <v>75</v>
      </c>
      <c r="C1947" s="20">
        <v>10</v>
      </c>
      <c r="D1947" s="20">
        <v>46</v>
      </c>
      <c r="E1947" s="24"/>
      <c r="F1947" s="20" t="s">
        <v>12969</v>
      </c>
      <c r="G1947" s="24" t="str">
        <f ca="1">IFERROR(__xludf.DUMMYFUNCTION("GOOGLETRANSLATE(F1947,""en"",""pt"")"),"sistemas de escuta")</f>
        <v>sistemas de escuta</v>
      </c>
      <c r="H1947" s="24"/>
      <c r="I1947" s="24"/>
    </row>
    <row r="1948" spans="1:9" ht="14.5">
      <c r="A1948" s="20" t="s">
        <v>12970</v>
      </c>
      <c r="B1948" s="20">
        <v>75</v>
      </c>
      <c r="C1948" s="20">
        <v>10</v>
      </c>
      <c r="D1948" s="20">
        <v>46</v>
      </c>
      <c r="E1948" s="20">
        <v>5</v>
      </c>
      <c r="F1948" s="20" t="s">
        <v>12971</v>
      </c>
      <c r="G1948" s="24" t="str">
        <f ca="1">IFERROR(__xludf.DUMMYFUNCTION("GOOGLETRANSLATE(F1948,""en"",""pt"")"),"sistemas de indução de malha de audiofrequência")</f>
        <v>sistemas de indução de malha de audiofrequência</v>
      </c>
      <c r="H1948" s="20" t="s">
        <v>12972</v>
      </c>
      <c r="I1948" s="20" t="s">
        <v>12965</v>
      </c>
    </row>
    <row r="1949" spans="1:9" ht="14.5">
      <c r="A1949" s="20" t="s">
        <v>12973</v>
      </c>
      <c r="B1949" s="20">
        <v>75</v>
      </c>
      <c r="C1949" s="20">
        <v>10</v>
      </c>
      <c r="D1949" s="20">
        <v>46</v>
      </c>
      <c r="E1949" s="20">
        <v>42</v>
      </c>
      <c r="F1949" s="20" t="s">
        <v>12974</v>
      </c>
      <c r="G1949" s="24" t="str">
        <f ca="1">IFERROR(__xludf.DUMMYFUNCTION("GOOGLETRANSLATE(F1949,""en"",""pt"")"),"sistemas de escuta infravermelhos")</f>
        <v>sistemas de escuta infravermelhos</v>
      </c>
      <c r="H1949" s="20" t="s">
        <v>12975</v>
      </c>
      <c r="I1949" s="20" t="s">
        <v>12965</v>
      </c>
    </row>
    <row r="1950" spans="1:9" ht="14.5">
      <c r="A1950" s="20" t="s">
        <v>12976</v>
      </c>
      <c r="B1950" s="20">
        <v>75</v>
      </c>
      <c r="C1950" s="20">
        <v>10</v>
      </c>
      <c r="D1950" s="20">
        <v>68</v>
      </c>
      <c r="E1950" s="24"/>
      <c r="F1950" s="20" t="s">
        <v>12977</v>
      </c>
      <c r="G1950" s="24" t="str">
        <f ca="1">IFERROR(__xludf.DUMMYFUNCTION("GOOGLETRANSLATE(F1950,""en"",""pt"")"),"sistemas de comunicações públicas")</f>
        <v>sistemas de comunicações públicas</v>
      </c>
      <c r="H1950" s="24"/>
      <c r="I1950" s="24"/>
    </row>
    <row r="1951" spans="1:9" ht="14.5">
      <c r="A1951" s="20" t="s">
        <v>12978</v>
      </c>
      <c r="B1951" s="20">
        <v>75</v>
      </c>
      <c r="C1951" s="20">
        <v>10</v>
      </c>
      <c r="D1951" s="20">
        <v>68</v>
      </c>
      <c r="E1951" s="20">
        <v>2</v>
      </c>
      <c r="F1951" s="20" t="s">
        <v>12979</v>
      </c>
      <c r="G1951" s="24" t="str">
        <f ca="1">IFERROR(__xludf.DUMMYFUNCTION("GOOGLETRANSLATE(F1951,""en"",""pt"")"),"Publicidade sistemas de visualização")</f>
        <v>Publicidade sistemas de visualização</v>
      </c>
      <c r="H1951" s="24"/>
      <c r="I1951" s="24"/>
    </row>
    <row r="1952" spans="1:9" ht="14.5">
      <c r="A1952" s="20" t="s">
        <v>12980</v>
      </c>
      <c r="B1952" s="20">
        <v>75</v>
      </c>
      <c r="C1952" s="20">
        <v>10</v>
      </c>
      <c r="D1952" s="20">
        <v>68</v>
      </c>
      <c r="E1952" s="20">
        <v>13</v>
      </c>
      <c r="F1952" s="20" t="s">
        <v>12981</v>
      </c>
      <c r="G1952" s="24" t="str">
        <f ca="1">IFERROR(__xludf.DUMMYFUNCTION("GOOGLETRANSLATE(F1952,""en"",""pt"")"),"sistemas de relógio")</f>
        <v>sistemas de relógio</v>
      </c>
      <c r="H1952" s="24"/>
      <c r="I1952" s="24"/>
    </row>
    <row r="1953" spans="1:9" ht="14.5">
      <c r="A1953" s="20" t="s">
        <v>12982</v>
      </c>
      <c r="B1953" s="20">
        <v>75</v>
      </c>
      <c r="C1953" s="20">
        <v>10</v>
      </c>
      <c r="D1953" s="20">
        <v>68</v>
      </c>
      <c r="E1953" s="20">
        <v>42</v>
      </c>
      <c r="F1953" s="20" t="s">
        <v>12983</v>
      </c>
      <c r="G1953" s="24" t="str">
        <f ca="1">IFERROR(__xludf.DUMMYFUNCTION("GOOGLETRANSLATE(F1953,""en"",""pt"")"),"sistemas de visualização de informação")</f>
        <v>sistemas de visualização de informação</v>
      </c>
      <c r="H1953" s="24"/>
      <c r="I1953" s="24"/>
    </row>
    <row r="1954" spans="1:9" ht="14.5">
      <c r="A1954" s="20" t="s">
        <v>12984</v>
      </c>
      <c r="B1954" s="20">
        <v>75</v>
      </c>
      <c r="C1954" s="20">
        <v>10</v>
      </c>
      <c r="D1954" s="20">
        <v>68</v>
      </c>
      <c r="E1954" s="20">
        <v>68</v>
      </c>
      <c r="F1954" s="20" t="s">
        <v>12985</v>
      </c>
      <c r="G1954" s="24" t="str">
        <f ca="1">IFERROR(__xludf.DUMMYFUNCTION("GOOGLETRANSLATE(F1954,""en"",""pt"")"),"sistemas de endereços públicos")</f>
        <v>sistemas de endereços públicos</v>
      </c>
      <c r="H1954" s="20" t="s">
        <v>12986</v>
      </c>
      <c r="I1954" s="20" t="s">
        <v>12965</v>
      </c>
    </row>
    <row r="1955" spans="1:9" ht="14.5">
      <c r="A1955" s="20" t="s">
        <v>12987</v>
      </c>
      <c r="B1955" s="20">
        <v>75</v>
      </c>
      <c r="C1955" s="20">
        <v>10</v>
      </c>
      <c r="D1955" s="20">
        <v>68</v>
      </c>
      <c r="E1955" s="20">
        <v>69</v>
      </c>
      <c r="F1955" s="20" t="s">
        <v>12988</v>
      </c>
      <c r="G1955" s="24" t="str">
        <f ca="1">IFERROR(__xludf.DUMMYFUNCTION("GOOGLETRANSLATE(F1955,""en"",""pt"")"),"sistemas de gestão de filas")</f>
        <v>sistemas de gestão de filas</v>
      </c>
      <c r="H1955" s="24"/>
      <c r="I1955" s="24"/>
    </row>
    <row r="1956" spans="1:9" ht="14.5">
      <c r="A1956" s="20" t="s">
        <v>12989</v>
      </c>
      <c r="B1956" s="20">
        <v>75</v>
      </c>
      <c r="C1956" s="20">
        <v>10</v>
      </c>
      <c r="D1956" s="20">
        <v>70</v>
      </c>
      <c r="E1956" s="24"/>
      <c r="F1956" s="20" t="s">
        <v>12990</v>
      </c>
      <c r="G1956" s="24" t="str">
        <f ca="1">IFERROR(__xludf.DUMMYFUNCTION("GOOGLETRANSLATE(F1956,""en"",""pt"")"),"sistemas de distribuição de rádio e televisão")</f>
        <v>sistemas de distribuição de rádio e televisão</v>
      </c>
      <c r="H1956" s="24"/>
      <c r="I1956" s="24"/>
    </row>
    <row r="1957" spans="1:9" ht="14.5">
      <c r="A1957" s="20" t="s">
        <v>12991</v>
      </c>
      <c r="B1957" s="20">
        <v>75</v>
      </c>
      <c r="C1957" s="20">
        <v>10</v>
      </c>
      <c r="D1957" s="20">
        <v>70</v>
      </c>
      <c r="E1957" s="20">
        <v>70</v>
      </c>
      <c r="F1957" s="20" t="s">
        <v>12992</v>
      </c>
      <c r="G1957" s="24" t="str">
        <f ca="1">IFERROR(__xludf.DUMMYFUNCTION("GOOGLETRANSLATE(F1957,""en"",""pt"")"),"sistemas de distribuição de rádio")</f>
        <v>sistemas de distribuição de rádio</v>
      </c>
      <c r="H1957" s="20" t="s">
        <v>12993</v>
      </c>
      <c r="I1957" s="24"/>
    </row>
    <row r="1958" spans="1:9" ht="14.5">
      <c r="A1958" s="20" t="s">
        <v>12994</v>
      </c>
      <c r="B1958" s="20">
        <v>75</v>
      </c>
      <c r="C1958" s="20">
        <v>10</v>
      </c>
      <c r="D1958" s="20">
        <v>70</v>
      </c>
      <c r="E1958" s="20">
        <v>88</v>
      </c>
      <c r="F1958" s="20" t="s">
        <v>12995</v>
      </c>
      <c r="G1958" s="24" t="str">
        <f ca="1">IFERROR(__xludf.DUMMYFUNCTION("GOOGLETRANSLATE(F1958,""en"",""pt"")"),"sistemas de distribuição de televisão")</f>
        <v>sistemas de distribuição de televisão</v>
      </c>
      <c r="H1958" s="20" t="s">
        <v>12996</v>
      </c>
      <c r="I1958" s="20" t="s">
        <v>12997</v>
      </c>
    </row>
    <row r="1959" spans="1:9" ht="14.5">
      <c r="A1959" s="20" t="s">
        <v>12998</v>
      </c>
      <c r="B1959" s="20">
        <v>75</v>
      </c>
      <c r="C1959" s="20">
        <v>10</v>
      </c>
      <c r="D1959" s="20">
        <v>72</v>
      </c>
      <c r="E1959" s="24"/>
      <c r="F1959" s="20" t="s">
        <v>12999</v>
      </c>
      <c r="G1959" s="24" t="str">
        <f ca="1">IFERROR(__xludf.DUMMYFUNCTION("GOOGLETRANSLATE(F1959,""en"",""pt"")"),"sistemas de comunicação de emergência")</f>
        <v>sistemas de comunicação de emergência</v>
      </c>
      <c r="H1959" s="24"/>
      <c r="I1959" s="24"/>
    </row>
    <row r="1960" spans="1:9" ht="14.5">
      <c r="A1960" s="20" t="s">
        <v>13000</v>
      </c>
      <c r="B1960" s="20">
        <v>75</v>
      </c>
      <c r="C1960" s="20">
        <v>10</v>
      </c>
      <c r="D1960" s="20">
        <v>72</v>
      </c>
      <c r="E1960" s="20">
        <v>70</v>
      </c>
      <c r="F1960" s="20" t="s">
        <v>13001</v>
      </c>
      <c r="G1960" s="24" t="str">
        <f ca="1">IFERROR(__xludf.DUMMYFUNCTION("GOOGLETRANSLATE(F1960,""en"",""pt"")"),"sistemas de rádio comunicação")</f>
        <v>sistemas de rádio comunicação</v>
      </c>
      <c r="H1960" s="24"/>
      <c r="I1960" s="24"/>
    </row>
    <row r="1961" spans="1:9" ht="14.5">
      <c r="A1961" s="20" t="s">
        <v>13002</v>
      </c>
      <c r="B1961" s="20">
        <v>75</v>
      </c>
      <c r="C1961" s="20">
        <v>10</v>
      </c>
      <c r="D1961" s="20">
        <v>72</v>
      </c>
      <c r="E1961" s="20">
        <v>72</v>
      </c>
      <c r="F1961" s="20" t="s">
        <v>13003</v>
      </c>
      <c r="G1961" s="24" t="str">
        <f ca="1">IFERROR(__xludf.DUMMYFUNCTION("GOOGLETRANSLATE(F1961,""en"",""pt"")"),"sistemas de comunicação de emergência de estrada")</f>
        <v>sistemas de comunicação de emergência de estrada</v>
      </c>
      <c r="H1961" s="24"/>
      <c r="I1961" s="24"/>
    </row>
    <row r="1962" spans="1:9" ht="14.5">
      <c r="A1962" s="20" t="s">
        <v>13004</v>
      </c>
      <c r="B1962" s="20">
        <v>75</v>
      </c>
      <c r="C1962" s="20">
        <v>10</v>
      </c>
      <c r="D1962" s="20">
        <v>88</v>
      </c>
      <c r="E1962" s="24"/>
      <c r="F1962" s="20" t="s">
        <v>13005</v>
      </c>
      <c r="G1962" s="24" t="str">
        <f ca="1">IFERROR(__xludf.DUMMYFUNCTION("GOOGLETRANSLATE(F1962,""en"",""pt"")"),"sistemas de cronometragem e pontuação")</f>
        <v>sistemas de cronometragem e pontuação</v>
      </c>
      <c r="H1962" s="24"/>
      <c r="I1962" s="24"/>
    </row>
    <row r="1963" spans="1:9" ht="14.5">
      <c r="A1963" s="20" t="s">
        <v>13006</v>
      </c>
      <c r="B1963" s="20">
        <v>75</v>
      </c>
      <c r="C1963" s="20">
        <v>10</v>
      </c>
      <c r="D1963" s="20">
        <v>88</v>
      </c>
      <c r="E1963" s="20">
        <v>5</v>
      </c>
      <c r="F1963" s="20" t="s">
        <v>13007</v>
      </c>
      <c r="G1963" s="24" t="str">
        <f ca="1">IFERROR(__xludf.DUMMYFUNCTION("GOOGLETRANSLATE(F1963,""en"",""pt"")"),"sistemas de cronometragem e de pontuação atletismo")</f>
        <v>sistemas de cronometragem e de pontuação atletismo</v>
      </c>
      <c r="H1963" s="24"/>
      <c r="I1963" s="24"/>
    </row>
    <row r="1964" spans="1:9" ht="14.5">
      <c r="A1964" s="20" t="s">
        <v>13008</v>
      </c>
      <c r="B1964" s="20">
        <v>75</v>
      </c>
      <c r="C1964" s="20">
        <v>10</v>
      </c>
      <c r="D1964" s="20">
        <v>88</v>
      </c>
      <c r="E1964" s="20">
        <v>86</v>
      </c>
      <c r="F1964" s="20" t="s">
        <v>13009</v>
      </c>
      <c r="G1964" s="24" t="str">
        <f ca="1">IFERROR(__xludf.DUMMYFUNCTION("GOOGLETRANSLATE(F1964,""en"",""pt"")"),"Piscina cronometragem e marcando sistemas")</f>
        <v>Piscina cronometragem e marcando sistemas</v>
      </c>
      <c r="H1964" s="20" t="s">
        <v>13010</v>
      </c>
      <c r="I1964" s="20" t="s">
        <v>12997</v>
      </c>
    </row>
    <row r="1965" spans="1:9" ht="14.5">
      <c r="A1965" s="20" t="s">
        <v>13011</v>
      </c>
      <c r="B1965" s="20">
        <v>75</v>
      </c>
      <c r="C1965" s="20">
        <v>30</v>
      </c>
      <c r="D1965" s="24"/>
      <c r="E1965" s="24"/>
      <c r="F1965" s="20" t="s">
        <v>13012</v>
      </c>
      <c r="G1965" s="24" t="str">
        <f ca="1">IFERROR(__xludf.DUMMYFUNCTION("GOOGLETRANSLATE(F1965,""en"",""pt"")"),"sistemas de sinalização")</f>
        <v>sistemas de sinalização</v>
      </c>
      <c r="H1965" s="24"/>
      <c r="I1965" s="24"/>
    </row>
    <row r="1966" spans="1:9" ht="14.5">
      <c r="A1966" s="20" t="s">
        <v>13013</v>
      </c>
      <c r="B1966" s="20">
        <v>75</v>
      </c>
      <c r="C1966" s="20">
        <v>30</v>
      </c>
      <c r="D1966" s="20">
        <v>35</v>
      </c>
      <c r="E1966" s="24"/>
      <c r="F1966" s="20" t="s">
        <v>13014</v>
      </c>
      <c r="G1966" s="24" t="str">
        <f ca="1">IFERROR(__xludf.DUMMYFUNCTION("GOOGLETRANSLATE(F1966,""en"",""pt"")"),"sinal de estrada e sistemas de controle")</f>
        <v>sinal de estrada e sistemas de controle</v>
      </c>
      <c r="H1966" s="24"/>
      <c r="I1966" s="24"/>
    </row>
    <row r="1967" spans="1:9" ht="14.5">
      <c r="A1967" s="20" t="s">
        <v>13015</v>
      </c>
      <c r="B1967" s="20">
        <v>75</v>
      </c>
      <c r="C1967" s="20">
        <v>30</v>
      </c>
      <c r="D1967" s="20">
        <v>35</v>
      </c>
      <c r="E1967" s="20">
        <v>52</v>
      </c>
      <c r="F1967" s="20" t="s">
        <v>13016</v>
      </c>
      <c r="G1967" s="24" t="str">
        <f ca="1">IFERROR(__xludf.DUMMYFUNCTION("GOOGLETRANSLATE(F1967,""en"",""pt"")"),"sistemas de sinalização e de controlo de auto-estrada")</f>
        <v>sistemas de sinalização e de controlo de auto-estrada</v>
      </c>
      <c r="H1967" s="20" t="s">
        <v>13017</v>
      </c>
      <c r="I1967" s="24"/>
    </row>
    <row r="1968" spans="1:9" ht="14.5">
      <c r="A1968" s="20" t="s">
        <v>13018</v>
      </c>
      <c r="B1968" s="20">
        <v>75</v>
      </c>
      <c r="C1968" s="20">
        <v>30</v>
      </c>
      <c r="D1968" s="20">
        <v>35</v>
      </c>
      <c r="E1968" s="20">
        <v>72</v>
      </c>
      <c r="F1968" s="20" t="s">
        <v>13019</v>
      </c>
      <c r="G1968" s="24" t="str">
        <f ca="1">IFERROR(__xludf.DUMMYFUNCTION("GOOGLETRANSLATE(F1968,""en"",""pt"")"),"sinal de estrada e sistemas de controle")</f>
        <v>sinal de estrada e sistemas de controle</v>
      </c>
      <c r="H1968" s="20" t="s">
        <v>13020</v>
      </c>
      <c r="I1968" s="24"/>
    </row>
    <row r="1969" spans="1:9" ht="14.5">
      <c r="A1969" s="20" t="s">
        <v>13021</v>
      </c>
      <c r="B1969" s="20">
        <v>75</v>
      </c>
      <c r="C1969" s="20">
        <v>30</v>
      </c>
      <c r="D1969" s="20">
        <v>50</v>
      </c>
      <c r="E1969" s="24"/>
      <c r="F1969" s="20" t="s">
        <v>13022</v>
      </c>
      <c r="G1969" s="24" t="str">
        <f ca="1">IFERROR(__xludf.DUMMYFUNCTION("GOOGLETRANSLATE(F1969,""en"",""pt"")"),"sistemas de sinal marinhos")</f>
        <v>sistemas de sinal marinhos</v>
      </c>
      <c r="H1969" s="24"/>
      <c r="I1969" s="24"/>
    </row>
    <row r="1970" spans="1:9" ht="14.5">
      <c r="A1970" s="20" t="s">
        <v>13023</v>
      </c>
      <c r="B1970" s="20">
        <v>75</v>
      </c>
      <c r="C1970" s="20">
        <v>30</v>
      </c>
      <c r="D1970" s="20">
        <v>60</v>
      </c>
      <c r="E1970" s="24"/>
      <c r="F1970" s="20" t="s">
        <v>13024</v>
      </c>
      <c r="G1970" s="24" t="str">
        <f ca="1">IFERROR(__xludf.DUMMYFUNCTION("GOOGLETRANSLATE(F1970,""en"",""pt"")"),"sistemas obstáculo baliza")</f>
        <v>sistemas obstáculo baliza</v>
      </c>
      <c r="H1970" s="24"/>
      <c r="I1970" s="24"/>
    </row>
    <row r="1971" spans="1:9" ht="14.5">
      <c r="A1971" s="20" t="s">
        <v>13025</v>
      </c>
      <c r="B1971" s="20">
        <v>75</v>
      </c>
      <c r="C1971" s="20">
        <v>30</v>
      </c>
      <c r="D1971" s="20">
        <v>70</v>
      </c>
      <c r="E1971" s="24"/>
      <c r="F1971" s="20" t="s">
        <v>13026</v>
      </c>
      <c r="G1971" s="24" t="str">
        <f ca="1">IFERROR(__xludf.DUMMYFUNCTION("GOOGLETRANSLATE(F1971,""en"",""pt"")"),"sinal de transporte ferroviário e sistemas de controle")</f>
        <v>sinal de transporte ferroviário e sistemas de controle</v>
      </c>
      <c r="H1971" s="24"/>
      <c r="I1971" s="24"/>
    </row>
    <row r="1972" spans="1:9" ht="14.5">
      <c r="A1972" s="20" t="s">
        <v>13027</v>
      </c>
      <c r="B1972" s="20">
        <v>75</v>
      </c>
      <c r="C1972" s="20">
        <v>30</v>
      </c>
      <c r="D1972" s="20">
        <v>70</v>
      </c>
      <c r="E1972" s="20">
        <v>2</v>
      </c>
      <c r="F1972" s="20" t="s">
        <v>13028</v>
      </c>
      <c r="G1972" s="24" t="str">
        <f ca="1">IFERROR(__xludf.DUMMYFUNCTION("GOOGLETRANSLATE(F1972,""en"",""pt"")"),"sistemas Automatic Train Operation (ATO)")</f>
        <v>sistemas Automatic Train Operation (ATO)</v>
      </c>
      <c r="H1972" s="24"/>
      <c r="I1972" s="24"/>
    </row>
    <row r="1973" spans="1:9" ht="14.5">
      <c r="A1973" s="20" t="s">
        <v>13029</v>
      </c>
      <c r="B1973" s="20">
        <v>75</v>
      </c>
      <c r="C1973" s="20">
        <v>30</v>
      </c>
      <c r="D1973" s="20">
        <v>70</v>
      </c>
      <c r="E1973" s="20">
        <v>3</v>
      </c>
      <c r="F1973" s="20" t="s">
        <v>13030</v>
      </c>
      <c r="G1973" s="24" t="str">
        <f ca="1">IFERROR(__xludf.DUMMYFUNCTION("GOOGLETRANSLATE(F1973,""en"",""pt"")"),"sistemas de protecção automática dos comboios (ATP)")</f>
        <v>sistemas de protecção automática dos comboios (ATP)</v>
      </c>
      <c r="H1973" s="24"/>
      <c r="I1973" s="24"/>
    </row>
    <row r="1974" spans="1:9" ht="14.5">
      <c r="A1974" s="20" t="s">
        <v>13031</v>
      </c>
      <c r="B1974" s="20">
        <v>75</v>
      </c>
      <c r="C1974" s="20">
        <v>30</v>
      </c>
      <c r="D1974" s="20">
        <v>70</v>
      </c>
      <c r="E1974" s="20">
        <v>5</v>
      </c>
      <c r="F1974" s="20" t="s">
        <v>13032</v>
      </c>
      <c r="G1974" s="24" t="str">
        <f ca="1">IFERROR(__xludf.DUMMYFUNCTION("GOOGLETRANSLATE(F1974,""en"",""pt"")"),"sistemas de alerta automáticos (AWS)")</f>
        <v>sistemas de alerta automáticos (AWS)</v>
      </c>
      <c r="H1974" s="24"/>
      <c r="I1974" s="24"/>
    </row>
    <row r="1975" spans="1:9" ht="14.5">
      <c r="A1975" s="20" t="s">
        <v>13033</v>
      </c>
      <c r="B1975" s="20">
        <v>75</v>
      </c>
      <c r="C1975" s="20">
        <v>30</v>
      </c>
      <c r="D1975" s="20">
        <v>70</v>
      </c>
      <c r="E1975" s="20">
        <v>15</v>
      </c>
      <c r="F1975" s="20" t="s">
        <v>13034</v>
      </c>
      <c r="G1975" s="24" t="str">
        <f ca="1">IFERROR(__xludf.DUMMYFUNCTION("GOOGLETRANSLATE(F1975,""en"",""pt"")"),"controle de trens baseado sistemas (CBTC) Comunicações")</f>
        <v>controle de trens baseado sistemas (CBTC) Comunicações</v>
      </c>
      <c r="H1975" s="24"/>
      <c r="I1975" s="24"/>
    </row>
    <row r="1976" spans="1:9" ht="14.5">
      <c r="A1976" s="20" t="s">
        <v>13035</v>
      </c>
      <c r="B1976" s="20">
        <v>75</v>
      </c>
      <c r="C1976" s="20">
        <v>30</v>
      </c>
      <c r="D1976" s="20">
        <v>70</v>
      </c>
      <c r="E1976" s="20">
        <v>27</v>
      </c>
      <c r="F1976" s="20" t="s">
        <v>13036</v>
      </c>
      <c r="G1976" s="24" t="str">
        <f ca="1">IFERROR(__xludf.DUMMYFUNCTION("GOOGLETRANSLATE(F1976,""en"",""pt"")"),"sistemas de descarga de corrente de tração de emergência (ETCDS)")</f>
        <v>sistemas de descarga de corrente de tração de emergência (ETCDS)</v>
      </c>
      <c r="H1976" s="24"/>
      <c r="I1976" s="24"/>
    </row>
    <row r="1977" spans="1:9" ht="14.5">
      <c r="A1977" s="20" t="s">
        <v>13037</v>
      </c>
      <c r="B1977" s="20">
        <v>75</v>
      </c>
      <c r="C1977" s="20">
        <v>30</v>
      </c>
      <c r="D1977" s="20">
        <v>70</v>
      </c>
      <c r="E1977" s="20">
        <v>30</v>
      </c>
      <c r="F1977" s="20" t="s">
        <v>13038</v>
      </c>
      <c r="G1977" s="24" t="str">
        <f ca="1">IFERROR(__xludf.DUMMYFUNCTION("GOOGLETRANSLATE(F1977,""en"",""pt"")"),"sistemas de sinalização de bloco fixo")</f>
        <v>sistemas de sinalização de bloco fixo</v>
      </c>
      <c r="H1977" s="24"/>
      <c r="I1977" s="24"/>
    </row>
    <row r="1978" spans="1:9" ht="14.5">
      <c r="A1978" s="20" t="s">
        <v>13039</v>
      </c>
      <c r="B1978" s="20">
        <v>75</v>
      </c>
      <c r="C1978" s="20">
        <v>30</v>
      </c>
      <c r="D1978" s="20">
        <v>70</v>
      </c>
      <c r="E1978" s="20">
        <v>53</v>
      </c>
      <c r="F1978" s="20" t="s">
        <v>13040</v>
      </c>
      <c r="G1978" s="24" t="str">
        <f ca="1">IFERROR(__xludf.DUMMYFUNCTION("GOOGLETRANSLATE(F1978,""en"",""pt"")"),"Movendo sistemas de sinalização de bloco")</f>
        <v>Movendo sistemas de sinalização de bloco</v>
      </c>
      <c r="H1978" s="24"/>
      <c r="I1978" s="24"/>
    </row>
    <row r="1979" spans="1:9" ht="14.5">
      <c r="A1979" s="20" t="s">
        <v>13041</v>
      </c>
      <c r="B1979" s="20">
        <v>75</v>
      </c>
      <c r="C1979" s="20">
        <v>30</v>
      </c>
      <c r="D1979" s="20">
        <v>70</v>
      </c>
      <c r="E1979" s="20">
        <v>70</v>
      </c>
      <c r="F1979" s="20" t="s">
        <v>13042</v>
      </c>
      <c r="G1979" s="24" t="str">
        <f ca="1">IFERROR(__xludf.DUMMYFUNCTION("GOOGLETRANSLATE(F1979,""en"",""pt"")"),"sistemas de sinais ferroviários")</f>
        <v>sistemas de sinais ferroviários</v>
      </c>
      <c r="H1979" s="20" t="s">
        <v>13043</v>
      </c>
      <c r="I1979" s="24"/>
    </row>
    <row r="1980" spans="1:9" ht="14.5">
      <c r="A1980" s="20" t="s">
        <v>13044</v>
      </c>
      <c r="B1980" s="20">
        <v>75</v>
      </c>
      <c r="C1980" s="20">
        <v>30</v>
      </c>
      <c r="D1980" s="20">
        <v>70</v>
      </c>
      <c r="E1980" s="20">
        <v>90</v>
      </c>
      <c r="F1980" s="20" t="s">
        <v>13045</v>
      </c>
      <c r="G1980" s="24" t="str">
        <f ca="1">IFERROR(__xludf.DUMMYFUNCTION("GOOGLETRANSLATE(F1980,""en"",""pt"")"),"sistemas de alerta de protecção de comboios (TPWS)")</f>
        <v>sistemas de alerta de protecção de comboios (TPWS)</v>
      </c>
      <c r="H1980" s="24"/>
      <c r="I1980" s="24"/>
    </row>
    <row r="1981" spans="1:9" ht="14.5">
      <c r="A1981" s="20" t="s">
        <v>13046</v>
      </c>
      <c r="B1981" s="20">
        <v>75</v>
      </c>
      <c r="C1981" s="20">
        <v>30</v>
      </c>
      <c r="D1981" s="20">
        <v>90</v>
      </c>
      <c r="E1981" s="24"/>
      <c r="F1981" s="20" t="s">
        <v>13047</v>
      </c>
      <c r="G1981" s="24" t="str">
        <f ca="1">IFERROR(__xludf.DUMMYFUNCTION("GOOGLETRANSLATE(F1981,""en"",""pt"")"),"sistemas de sinal Tramway")</f>
        <v>sistemas de sinal Tramway</v>
      </c>
      <c r="H1981" s="24"/>
      <c r="I1981" s="24"/>
    </row>
    <row r="1982" spans="1:9" ht="14.5">
      <c r="A1982" s="20" t="s">
        <v>13048</v>
      </c>
      <c r="B1982" s="20">
        <v>75</v>
      </c>
      <c r="C1982" s="20">
        <v>30</v>
      </c>
      <c r="D1982" s="20">
        <v>97</v>
      </c>
      <c r="E1982" s="24"/>
      <c r="F1982" s="20" t="s">
        <v>13049</v>
      </c>
      <c r="G1982" s="24" t="str">
        <f ca="1">IFERROR(__xludf.DUMMYFUNCTION("GOOGLETRANSLATE(F1982,""en"",""pt"")"),"sistemas de sinalização de navegação")</f>
        <v>sistemas de sinalização de navegação</v>
      </c>
      <c r="H1982" s="24"/>
      <c r="I1982" s="24"/>
    </row>
    <row r="1983" spans="1:9" ht="14.5">
      <c r="A1983" s="20" t="s">
        <v>13050</v>
      </c>
      <c r="B1983" s="20">
        <v>75</v>
      </c>
      <c r="C1983" s="20">
        <v>30</v>
      </c>
      <c r="D1983" s="20">
        <v>98</v>
      </c>
      <c r="E1983" s="24"/>
      <c r="F1983" s="20" t="s">
        <v>13051</v>
      </c>
      <c r="G1983" s="24" t="str">
        <f ca="1">IFERROR(__xludf.DUMMYFUNCTION("GOOGLETRANSLATE(F1983,""en"",""pt"")"),"sistemas de indicação de direcção de vento")</f>
        <v>sistemas de indicação de direcção de vento</v>
      </c>
      <c r="H1983" s="24"/>
      <c r="I1983" s="24"/>
    </row>
    <row r="1984" spans="1:9" ht="14.5">
      <c r="A1984" s="20" t="s">
        <v>13052</v>
      </c>
      <c r="B1984" s="20">
        <v>75</v>
      </c>
      <c r="C1984" s="20">
        <v>30</v>
      </c>
      <c r="D1984" s="20">
        <v>98</v>
      </c>
      <c r="E1984" s="20">
        <v>96</v>
      </c>
      <c r="F1984" s="20" t="s">
        <v>13053</v>
      </c>
      <c r="G1984" s="24" t="str">
        <f ca="1">IFERROR(__xludf.DUMMYFUNCTION("GOOGLETRANSLATE(F1984,""en"",""pt"")"),"sistemas windsock")</f>
        <v>sistemas windsock</v>
      </c>
      <c r="H1984" s="20" t="s">
        <v>13054</v>
      </c>
      <c r="I1984" s="24"/>
    </row>
    <row r="1985" spans="1:9" ht="14.5">
      <c r="A1985" s="20" t="s">
        <v>13055</v>
      </c>
      <c r="B1985" s="20">
        <v>75</v>
      </c>
      <c r="C1985" s="20">
        <v>40</v>
      </c>
      <c r="D1985" s="24"/>
      <c r="E1985" s="24"/>
      <c r="F1985" s="20" t="s">
        <v>13056</v>
      </c>
      <c r="G1985" s="24" t="str">
        <f ca="1">IFERROR(__xludf.DUMMYFUNCTION("GOOGLETRANSLATE(F1985,""en"",""pt"")"),"Sistemas de segurança")</f>
        <v>Sistemas de segurança</v>
      </c>
      <c r="H1985" s="24"/>
      <c r="I1985" s="24"/>
    </row>
    <row r="1986" spans="1:9" ht="14.5">
      <c r="A1986" s="20" t="s">
        <v>13057</v>
      </c>
      <c r="B1986" s="20">
        <v>75</v>
      </c>
      <c r="C1986" s="20">
        <v>40</v>
      </c>
      <c r="D1986" s="20">
        <v>2</v>
      </c>
      <c r="E1986" s="24"/>
      <c r="F1986" s="20" t="s">
        <v>13058</v>
      </c>
      <c r="G1986" s="24" t="str">
        <f ca="1">IFERROR(__xludf.DUMMYFUNCTION("GOOGLETRANSLATE(F1986,""en"",""pt"")"),"sistemas de controle de acesso")</f>
        <v>sistemas de controle de acesso</v>
      </c>
      <c r="H1986" s="24"/>
      <c r="I1986" s="24"/>
    </row>
    <row r="1987" spans="1:9" ht="14.5">
      <c r="A1987" s="20" t="s">
        <v>13059</v>
      </c>
      <c r="B1987" s="20">
        <v>75</v>
      </c>
      <c r="C1987" s="20">
        <v>40</v>
      </c>
      <c r="D1987" s="20">
        <v>2</v>
      </c>
      <c r="E1987" s="20">
        <v>5</v>
      </c>
      <c r="F1987" s="20" t="s">
        <v>13060</v>
      </c>
      <c r="G1987" s="24" t="str">
        <f ca="1">IFERROR(__xludf.DUMMYFUNCTION("GOOGLETRANSLATE(F1987,""en"",""pt"")"),"sistemas de intercomunicação áudio")</f>
        <v>sistemas de intercomunicação áudio</v>
      </c>
      <c r="H1987" s="20" t="s">
        <v>13061</v>
      </c>
      <c r="I1987" s="20" t="s">
        <v>12965</v>
      </c>
    </row>
    <row r="1988" spans="1:9" ht="14.5">
      <c r="A1988" s="20" t="s">
        <v>13062</v>
      </c>
      <c r="B1988" s="20">
        <v>75</v>
      </c>
      <c r="C1988" s="20">
        <v>40</v>
      </c>
      <c r="D1988" s="20">
        <v>2</v>
      </c>
      <c r="E1988" s="20">
        <v>11</v>
      </c>
      <c r="F1988" s="20" t="s">
        <v>13063</v>
      </c>
      <c r="G1988" s="24" t="str">
        <f ca="1">IFERROR(__xludf.DUMMYFUNCTION("GOOGLETRANSLATE(F1988,""en"",""pt"")"),"sistemas de controle de acesso ao cartão")</f>
        <v>sistemas de controle de acesso ao cartão</v>
      </c>
      <c r="H1988" s="20" t="s">
        <v>13064</v>
      </c>
      <c r="I1988" s="20" t="s">
        <v>13065</v>
      </c>
    </row>
    <row r="1989" spans="1:9" ht="14.5">
      <c r="A1989" s="20" t="s">
        <v>13066</v>
      </c>
      <c r="B1989" s="20">
        <v>75</v>
      </c>
      <c r="C1989" s="20">
        <v>40</v>
      </c>
      <c r="D1989" s="20">
        <v>2</v>
      </c>
      <c r="E1989" s="20">
        <v>94</v>
      </c>
      <c r="F1989" s="20" t="s">
        <v>13067</v>
      </c>
      <c r="G1989" s="24" t="str">
        <f ca="1">IFERROR(__xludf.DUMMYFUNCTION("GOOGLETRANSLATE(F1989,""en"",""pt"")"),"sistemas de intercomunicação de vídeo")</f>
        <v>sistemas de intercomunicação de vídeo</v>
      </c>
      <c r="H1989" s="24"/>
      <c r="I1989" s="24"/>
    </row>
    <row r="1990" spans="1:9" ht="14.5">
      <c r="A1990" s="20" t="s">
        <v>13068</v>
      </c>
      <c r="B1990" s="20">
        <v>75</v>
      </c>
      <c r="C1990" s="20">
        <v>40</v>
      </c>
      <c r="D1990" s="20">
        <v>53</v>
      </c>
      <c r="E1990" s="24"/>
      <c r="F1990" s="20" t="s">
        <v>13069</v>
      </c>
      <c r="G1990" s="24" t="str">
        <f ca="1">IFERROR(__xludf.DUMMYFUNCTION("GOOGLETRANSLATE(F1990,""en"",""pt"")"),"sistemas de monitoramento")</f>
        <v>sistemas de monitoramento</v>
      </c>
      <c r="H1990" s="24"/>
      <c r="I1990" s="24"/>
    </row>
    <row r="1991" spans="1:9" ht="14.5">
      <c r="A1991" s="20" t="s">
        <v>13070</v>
      </c>
      <c r="B1991" s="20">
        <v>75</v>
      </c>
      <c r="C1991" s="20">
        <v>40</v>
      </c>
      <c r="D1991" s="20">
        <v>53</v>
      </c>
      <c r="E1991" s="20">
        <v>86</v>
      </c>
      <c r="F1991" s="20" t="s">
        <v>13071</v>
      </c>
      <c r="G1991" s="24" t="str">
        <f ca="1">IFERROR(__xludf.DUMMYFUNCTION("GOOGLETRANSLATE(F1991,""en"",""pt"")"),"Os sistemas de vigilância")</f>
        <v>Os sistemas de vigilância</v>
      </c>
      <c r="H1991" s="20" t="s">
        <v>13072</v>
      </c>
      <c r="I1991" s="20" t="s">
        <v>13065</v>
      </c>
    </row>
    <row r="1992" spans="1:9" ht="14.5">
      <c r="A1992" s="20" t="s">
        <v>13073</v>
      </c>
      <c r="B1992" s="20">
        <v>75</v>
      </c>
      <c r="C1992" s="20">
        <v>40</v>
      </c>
      <c r="D1992" s="20">
        <v>53</v>
      </c>
      <c r="E1992" s="20">
        <v>90</v>
      </c>
      <c r="F1992" s="20" t="s">
        <v>13074</v>
      </c>
      <c r="G1992" s="24" t="str">
        <f ca="1">IFERROR(__xludf.DUMMYFUNCTION("GOOGLETRANSLATE(F1992,""en"",""pt"")"),"sistemas de expedição de CCTV trem")</f>
        <v>sistemas de expedição de CCTV trem</v>
      </c>
      <c r="H1992" s="24"/>
      <c r="I1992" s="24"/>
    </row>
    <row r="1993" spans="1:9" ht="14.5">
      <c r="A1993" s="20" t="s">
        <v>13075</v>
      </c>
      <c r="B1993" s="20">
        <v>75</v>
      </c>
      <c r="C1993" s="20">
        <v>40</v>
      </c>
      <c r="D1993" s="20">
        <v>53</v>
      </c>
      <c r="E1993" s="20">
        <v>95</v>
      </c>
      <c r="F1993" s="20" t="s">
        <v>13076</v>
      </c>
      <c r="G1993" s="24" t="str">
        <f ca="1">IFERROR(__xludf.DUMMYFUNCTION("GOOGLETRANSLATE(F1993,""en"",""pt"")"),"sistemas de gravação de voz")</f>
        <v>sistemas de gravação de voz</v>
      </c>
      <c r="H1993" s="24"/>
      <c r="I1993" s="24"/>
    </row>
    <row r="1994" spans="1:9" ht="14.5">
      <c r="A1994" s="20" t="s">
        <v>13077</v>
      </c>
      <c r="B1994" s="20">
        <v>75</v>
      </c>
      <c r="C1994" s="20">
        <v>40</v>
      </c>
      <c r="D1994" s="20">
        <v>73</v>
      </c>
      <c r="E1994" s="24"/>
      <c r="F1994" s="20" t="s">
        <v>13078</v>
      </c>
      <c r="G1994" s="24" t="str">
        <f ca="1">IFERROR(__xludf.DUMMYFUNCTION("GOOGLETRANSLATE(F1994,""en"",""pt"")"),"sistemas de rastreio de segurança")</f>
        <v>sistemas de rastreio de segurança</v>
      </c>
      <c r="H1994" s="24"/>
      <c r="I1994" s="24"/>
    </row>
    <row r="1995" spans="1:9" ht="14.5">
      <c r="A1995" s="20" t="s">
        <v>13079</v>
      </c>
      <c r="B1995" s="20">
        <v>75</v>
      </c>
      <c r="C1995" s="20">
        <v>40</v>
      </c>
      <c r="D1995" s="20">
        <v>73</v>
      </c>
      <c r="E1995" s="20">
        <v>11</v>
      </c>
      <c r="F1995" s="20" t="s">
        <v>13080</v>
      </c>
      <c r="G1995" s="24" t="str">
        <f ca="1">IFERROR(__xludf.DUMMYFUNCTION("GOOGLETRANSLATE(F1995,""en"",""pt"")"),"bagagens de mão sistemas de triagem")</f>
        <v>bagagens de mão sistemas de triagem</v>
      </c>
      <c r="H1995" s="20" t="s">
        <v>13081</v>
      </c>
      <c r="I1995" s="24"/>
    </row>
    <row r="1996" spans="1:9" ht="14.5">
      <c r="A1996" s="20" t="s">
        <v>13082</v>
      </c>
      <c r="B1996" s="20">
        <v>75</v>
      </c>
      <c r="C1996" s="20">
        <v>40</v>
      </c>
      <c r="D1996" s="20">
        <v>73</v>
      </c>
      <c r="E1996" s="20">
        <v>60</v>
      </c>
      <c r="F1996" s="20" t="s">
        <v>13083</v>
      </c>
      <c r="G1996" s="24" t="str">
        <f ca="1">IFERROR(__xludf.DUMMYFUNCTION("GOOGLETRANSLATE(F1996,""en"",""pt"")"),"sistemas de rastreio de passageiros")</f>
        <v>sistemas de rastreio de passageiros</v>
      </c>
      <c r="H1996" s="20" t="s">
        <v>13084</v>
      </c>
      <c r="I1996" s="24"/>
    </row>
    <row r="1997" spans="1:9" ht="14.5">
      <c r="A1997" s="20" t="s">
        <v>13085</v>
      </c>
      <c r="B1997" s="20">
        <v>75</v>
      </c>
      <c r="C1997" s="20">
        <v>40</v>
      </c>
      <c r="D1997" s="20">
        <v>75</v>
      </c>
      <c r="E1997" s="24"/>
      <c r="F1997" s="20" t="s">
        <v>13086</v>
      </c>
      <c r="G1997" s="24" t="str">
        <f ca="1">IFERROR(__xludf.DUMMYFUNCTION("GOOGLETRANSLATE(F1997,""en"",""pt"")"),"sistemas de alarme de detecção de segurança")</f>
        <v>sistemas de alarme de detecção de segurança</v>
      </c>
      <c r="H1997" s="24"/>
      <c r="I1997" s="24"/>
    </row>
    <row r="1998" spans="1:9" ht="14.5">
      <c r="A1998" s="20" t="s">
        <v>13087</v>
      </c>
      <c r="B1998" s="20">
        <v>75</v>
      </c>
      <c r="C1998" s="20">
        <v>40</v>
      </c>
      <c r="D1998" s="20">
        <v>75</v>
      </c>
      <c r="E1998" s="20">
        <v>2</v>
      </c>
      <c r="F1998" s="20" t="s">
        <v>13088</v>
      </c>
      <c r="G1998" s="24" t="str">
        <f ca="1">IFERROR(__xludf.DUMMYFUNCTION("GOOGLETRANSLATE(F1998,""en"",""pt"")"),"sistemas de alerta de detecção e segurança aeroespacial")</f>
        <v>sistemas de alerta de detecção e segurança aeroespacial</v>
      </c>
      <c r="H1998" s="24"/>
      <c r="I1998" s="24"/>
    </row>
    <row r="1999" spans="1:9" ht="14.5">
      <c r="A1999" s="20" t="s">
        <v>13089</v>
      </c>
      <c r="B1999" s="20">
        <v>75</v>
      </c>
      <c r="C1999" s="20">
        <v>40</v>
      </c>
      <c r="D1999" s="20">
        <v>75</v>
      </c>
      <c r="E1999" s="20">
        <v>40</v>
      </c>
      <c r="F1999" s="20" t="s">
        <v>13090</v>
      </c>
      <c r="G1999" s="24" t="str">
        <f ca="1">IFERROR(__xludf.DUMMYFUNCTION("GOOGLETRANSLATE(F1999,""en"",""pt"")"),"Intruder sistemas de detecção e alarme")</f>
        <v>Intruder sistemas de detecção e alarme</v>
      </c>
      <c r="H1999" s="20" t="s">
        <v>13091</v>
      </c>
      <c r="I1999" s="20" t="s">
        <v>13065</v>
      </c>
    </row>
    <row r="2000" spans="1:9" ht="14.5">
      <c r="A2000" s="20" t="s">
        <v>13092</v>
      </c>
      <c r="B2000" s="20">
        <v>75</v>
      </c>
      <c r="C2000" s="20">
        <v>40</v>
      </c>
      <c r="D2000" s="20">
        <v>75</v>
      </c>
      <c r="E2000" s="20">
        <v>50</v>
      </c>
      <c r="F2000" s="20" t="s">
        <v>13093</v>
      </c>
      <c r="G2000" s="24" t="str">
        <f ca="1">IFERROR(__xludf.DUMMYFUNCTION("GOOGLETRANSLATE(F2000,""en"",""pt"")"),"sistemas de alerta Marinha e detecção de segurança interior e")</f>
        <v>sistemas de alerta Marinha e detecção de segurança interior e</v>
      </c>
      <c r="H2000" s="24"/>
      <c r="I2000" s="24"/>
    </row>
    <row r="2001" spans="1:9" ht="14.5">
      <c r="A2001" s="20" t="s">
        <v>13094</v>
      </c>
      <c r="B2001" s="20">
        <v>75</v>
      </c>
      <c r="C2001" s="20">
        <v>50</v>
      </c>
      <c r="D2001" s="24"/>
      <c r="E2001" s="24"/>
      <c r="F2001" s="20" t="s">
        <v>13095</v>
      </c>
      <c r="G2001" s="24" t="str">
        <f ca="1">IFERROR(__xludf.DUMMYFUNCTION("GOOGLETRANSLATE(F2001,""en"",""pt"")"),"sistemas de segurança e protecção")</f>
        <v>sistemas de segurança e protecção</v>
      </c>
      <c r="H2001" s="24"/>
      <c r="I2001" s="24"/>
    </row>
    <row r="2002" spans="1:9" ht="14.5">
      <c r="A2002" s="20" t="s">
        <v>13096</v>
      </c>
      <c r="B2002" s="20">
        <v>75</v>
      </c>
      <c r="C2002" s="20">
        <v>50</v>
      </c>
      <c r="D2002" s="20">
        <v>11</v>
      </c>
      <c r="E2002" s="24"/>
      <c r="F2002" s="20" t="s">
        <v>13097</v>
      </c>
      <c r="G2002" s="24" t="str">
        <f ca="1">IFERROR(__xludf.DUMMYFUNCTION("GOOGLETRANSLATE(F2002,""en"",""pt"")"),"sistemas de chamada e de alarme")</f>
        <v>sistemas de chamada e de alarme</v>
      </c>
      <c r="H2002" s="24"/>
      <c r="I2002" s="24"/>
    </row>
    <row r="2003" spans="1:9" ht="14.5">
      <c r="A2003" s="20" t="s">
        <v>13098</v>
      </c>
      <c r="B2003" s="20">
        <v>75</v>
      </c>
      <c r="C2003" s="20">
        <v>50</v>
      </c>
      <c r="D2003" s="20">
        <v>11</v>
      </c>
      <c r="E2003" s="20">
        <v>5</v>
      </c>
      <c r="F2003" s="20" t="s">
        <v>13099</v>
      </c>
      <c r="G2003" s="24" t="str">
        <f ca="1">IFERROR(__xludf.DUMMYFUNCTION("GOOGLETRANSLATE(F2003,""en"",""pt"")"),"sistemas de assistência de chamadas")</f>
        <v>sistemas de assistência de chamadas</v>
      </c>
      <c r="H2003" s="20" t="s">
        <v>13100</v>
      </c>
      <c r="I2003" s="20" t="s">
        <v>12965</v>
      </c>
    </row>
    <row r="2004" spans="1:9" ht="14.5">
      <c r="A2004" s="20" t="s">
        <v>13101</v>
      </c>
      <c r="B2004" s="20">
        <v>75</v>
      </c>
      <c r="C2004" s="20">
        <v>50</v>
      </c>
      <c r="D2004" s="20">
        <v>11</v>
      </c>
      <c r="E2004" s="20">
        <v>27</v>
      </c>
      <c r="F2004" s="20" t="s">
        <v>13102</v>
      </c>
      <c r="G2004" s="24" t="str">
        <f ca="1">IFERROR(__xludf.DUMMYFUNCTION("GOOGLETRANSLATE(F2004,""en"",""pt"")"),"sistemas de comunicação de voz de emergência")</f>
        <v>sistemas de comunicação de voz de emergência</v>
      </c>
      <c r="H2004" s="20" t="s">
        <v>13103</v>
      </c>
      <c r="I2004" s="20" t="s">
        <v>12965</v>
      </c>
    </row>
    <row r="2005" spans="1:9" ht="14.5">
      <c r="A2005" s="20" t="s">
        <v>13104</v>
      </c>
      <c r="B2005" s="20">
        <v>75</v>
      </c>
      <c r="C2005" s="20">
        <v>50</v>
      </c>
      <c r="D2005" s="20">
        <v>11</v>
      </c>
      <c r="E2005" s="20">
        <v>57</v>
      </c>
      <c r="F2005" s="20" t="s">
        <v>13105</v>
      </c>
      <c r="G2005" s="24" t="str">
        <f ca="1">IFERROR(__xludf.DUMMYFUNCTION("GOOGLETRANSLATE(F2005,""en"",""pt"")"),"sistemas de chamada de enfermeira")</f>
        <v>sistemas de chamada de enfermeira</v>
      </c>
      <c r="H2005" s="20" t="s">
        <v>13106</v>
      </c>
      <c r="I2005" s="20" t="s">
        <v>12965</v>
      </c>
    </row>
    <row r="2006" spans="1:9" ht="14.5">
      <c r="A2006" s="20" t="s">
        <v>13107</v>
      </c>
      <c r="B2006" s="20">
        <v>75</v>
      </c>
      <c r="C2006" s="20">
        <v>50</v>
      </c>
      <c r="D2006" s="20">
        <v>11</v>
      </c>
      <c r="E2006" s="20">
        <v>95</v>
      </c>
      <c r="F2006" s="20" t="s">
        <v>13108</v>
      </c>
      <c r="G2006" s="24" t="str">
        <f ca="1">IFERROR(__xludf.DUMMYFUNCTION("GOOGLETRANSLATE(F2006,""en"",""pt"")"),"sistemas de alarme por voz")</f>
        <v>sistemas de alarme por voz</v>
      </c>
      <c r="H2006" s="20" t="s">
        <v>13109</v>
      </c>
      <c r="I2006" s="20" t="s">
        <v>12965</v>
      </c>
    </row>
    <row r="2007" spans="1:9" ht="14.5">
      <c r="A2007" s="20" t="s">
        <v>13110</v>
      </c>
      <c r="B2007" s="20">
        <v>75</v>
      </c>
      <c r="C2007" s="20">
        <v>50</v>
      </c>
      <c r="D2007" s="20">
        <v>15</v>
      </c>
      <c r="E2007" s="24"/>
      <c r="F2007" s="20" t="s">
        <v>13111</v>
      </c>
      <c r="G2007" s="24" t="str">
        <f ca="1">IFERROR(__xludf.DUMMYFUNCTION("GOOGLETRANSLATE(F2007,""en"",""pt"")"),"sistemas de proteção catódica")</f>
        <v>sistemas de proteção catódica</v>
      </c>
      <c r="H2007" s="24"/>
      <c r="I2007" s="24"/>
    </row>
    <row r="2008" spans="1:9" ht="14.5">
      <c r="A2008" s="20" t="s">
        <v>13112</v>
      </c>
      <c r="B2008" s="20">
        <v>75</v>
      </c>
      <c r="C2008" s="20">
        <v>50</v>
      </c>
      <c r="D2008" s="20">
        <v>15</v>
      </c>
      <c r="E2008" s="20">
        <v>2</v>
      </c>
      <c r="F2008" s="20" t="s">
        <v>13113</v>
      </c>
      <c r="G2008" s="24" t="str">
        <f ca="1">IFERROR(__xludf.DUMMYFUNCTION("GOOGLETRANSLATE(F2008,""en"",""pt"")"),"Adesivo feito de zinco sistemas anódicos folha")</f>
        <v>Adesivo feito de zinco sistemas anódicos folha</v>
      </c>
      <c r="H2008" s="20" t="s">
        <v>13114</v>
      </c>
      <c r="I2008" s="24"/>
    </row>
    <row r="2009" spans="1:9" ht="14.5">
      <c r="A2009" s="20" t="s">
        <v>13115</v>
      </c>
      <c r="B2009" s="20">
        <v>75</v>
      </c>
      <c r="C2009" s="20">
        <v>50</v>
      </c>
      <c r="D2009" s="20">
        <v>15</v>
      </c>
      <c r="E2009" s="20">
        <v>9</v>
      </c>
      <c r="F2009" s="20" t="s">
        <v>13116</v>
      </c>
      <c r="G2009" s="24" t="str">
        <f ca="1">IFERROR(__xludf.DUMMYFUNCTION("GOOGLETRANSLATE(F2009,""en"",""pt"")"),"sistemas de anodo galvânicas enterrados")</f>
        <v>sistemas de anodo galvânicas enterrados</v>
      </c>
      <c r="H2009" s="20" t="s">
        <v>13117</v>
      </c>
      <c r="I2009" s="24"/>
    </row>
    <row r="2010" spans="1:9" ht="14.5">
      <c r="A2010" s="20" t="s">
        <v>13118</v>
      </c>
      <c r="B2010" s="20">
        <v>75</v>
      </c>
      <c r="C2010" s="20">
        <v>50</v>
      </c>
      <c r="D2010" s="20">
        <v>15</v>
      </c>
      <c r="E2010" s="20">
        <v>10</v>
      </c>
      <c r="F2010" s="20" t="s">
        <v>13119</v>
      </c>
      <c r="G2010" s="24" t="str">
        <f ca="1">IFERROR(__xludf.DUMMYFUNCTION("GOOGLETRANSLATE(F2010,""en"",""pt"")"),"sistemas de ânodo de corrente enterrado")</f>
        <v>sistemas de ânodo de corrente enterrado</v>
      </c>
      <c r="H2010" s="20" t="s">
        <v>13120</v>
      </c>
      <c r="I2010" s="24"/>
    </row>
    <row r="2011" spans="1:9" ht="14.5">
      <c r="A2011" s="20" t="s">
        <v>13121</v>
      </c>
      <c r="B2011" s="20">
        <v>75</v>
      </c>
      <c r="C2011" s="20">
        <v>50</v>
      </c>
      <c r="D2011" s="20">
        <v>15</v>
      </c>
      <c r="E2011" s="20">
        <v>27</v>
      </c>
      <c r="F2011" s="20" t="s">
        <v>13122</v>
      </c>
      <c r="G2011" s="24" t="str">
        <f ca="1">IFERROR(__xludf.DUMMYFUNCTION("GOOGLETRANSLATE(F2011,""en"",""pt"")"),"sistemas de ânodo de corrente embutidos")</f>
        <v>sistemas de ânodo de corrente embutidos</v>
      </c>
      <c r="H2011" s="20" t="s">
        <v>13123</v>
      </c>
      <c r="I2011" s="24"/>
    </row>
    <row r="2012" spans="1:9" ht="14.5">
      <c r="A2012" s="20" t="s">
        <v>13124</v>
      </c>
      <c r="B2012" s="20">
        <v>75</v>
      </c>
      <c r="C2012" s="20">
        <v>50</v>
      </c>
      <c r="D2012" s="20">
        <v>15</v>
      </c>
      <c r="E2012" s="20">
        <v>28</v>
      </c>
      <c r="F2012" s="20" t="s">
        <v>13125</v>
      </c>
      <c r="G2012" s="24" t="str">
        <f ca="1">IFERROR(__xludf.DUMMYFUNCTION("GOOGLETRANSLATE(F2012,""en"",""pt"")"),"sistemas de ânodo de zinco embutidos")</f>
        <v>sistemas de ânodo de zinco embutidos</v>
      </c>
      <c r="H2012" s="20" t="s">
        <v>13126</v>
      </c>
      <c r="I2012" s="24"/>
    </row>
    <row r="2013" spans="1:9" ht="14.5">
      <c r="A2013" s="20" t="s">
        <v>13127</v>
      </c>
      <c r="B2013" s="20">
        <v>75</v>
      </c>
      <c r="C2013" s="20">
        <v>50</v>
      </c>
      <c r="D2013" s="20">
        <v>15</v>
      </c>
      <c r="E2013" s="20">
        <v>41</v>
      </c>
      <c r="F2013" s="20" t="s">
        <v>13128</v>
      </c>
      <c r="G2013" s="24" t="str">
        <f ca="1">IFERROR(__xludf.DUMMYFUNCTION("GOOGLETRANSLATE(F2013,""en"",""pt"")"),"sistemas de anodo galvânicas imersos")</f>
        <v>sistemas de anodo galvânicas imersos</v>
      </c>
      <c r="H2013" s="20" t="s">
        <v>13129</v>
      </c>
      <c r="I2013" s="24"/>
    </row>
    <row r="2014" spans="1:9" ht="14.5">
      <c r="A2014" s="20" t="s">
        <v>13130</v>
      </c>
      <c r="B2014" s="20">
        <v>75</v>
      </c>
      <c r="C2014" s="20">
        <v>50</v>
      </c>
      <c r="D2014" s="20">
        <v>15</v>
      </c>
      <c r="E2014" s="20">
        <v>42</v>
      </c>
      <c r="F2014" s="20" t="s">
        <v>13131</v>
      </c>
      <c r="G2014" s="24" t="str">
        <f ca="1">IFERROR(__xludf.DUMMYFUNCTION("GOOGLETRANSLATE(F2014,""en"",""pt"")"),"sistemas de ânodo de corrente imersos")</f>
        <v>sistemas de ânodo de corrente imersos</v>
      </c>
      <c r="H2014" s="20" t="s">
        <v>13132</v>
      </c>
      <c r="I2014" s="24"/>
    </row>
    <row r="2015" spans="1:9" ht="14.5">
      <c r="A2015" s="20" t="s">
        <v>13133</v>
      </c>
      <c r="B2015" s="20">
        <v>75</v>
      </c>
      <c r="C2015" s="20">
        <v>50</v>
      </c>
      <c r="D2015" s="20">
        <v>15</v>
      </c>
      <c r="E2015" s="20">
        <v>72</v>
      </c>
      <c r="F2015" s="20" t="s">
        <v>13134</v>
      </c>
      <c r="G2015" s="24" t="str">
        <f ca="1">IFERROR(__xludf.DUMMYFUNCTION("GOOGLETRANSLATE(F2015,""en"",""pt"")"),"Recesso montado impressionado sistemas anódicos actuais")</f>
        <v>Recesso montado impressionado sistemas anódicos actuais</v>
      </c>
      <c r="H2015" s="20" t="s">
        <v>13135</v>
      </c>
      <c r="I2015" s="24"/>
    </row>
    <row r="2016" spans="1:9" ht="14.5">
      <c r="A2016" s="20" t="s">
        <v>13136</v>
      </c>
      <c r="B2016" s="20">
        <v>75</v>
      </c>
      <c r="C2016" s="20">
        <v>50</v>
      </c>
      <c r="D2016" s="20">
        <v>15</v>
      </c>
      <c r="E2016" s="20">
        <v>85</v>
      </c>
      <c r="F2016" s="20" t="s">
        <v>13137</v>
      </c>
      <c r="G2016" s="24" t="str">
        <f ca="1">IFERROR(__xludf.DUMMYFUNCTION("GOOGLETRANSLATE(F2016,""en"",""pt"")"),"Montado à superfície do ânodo impressionado sistemas actuais")</f>
        <v>Montado à superfície do ânodo impressionado sistemas actuais</v>
      </c>
      <c r="H2016" s="20" t="s">
        <v>13138</v>
      </c>
      <c r="I2016" s="24"/>
    </row>
    <row r="2017" spans="1:9" ht="14.5">
      <c r="A2017" s="20" t="s">
        <v>13139</v>
      </c>
      <c r="B2017" s="20">
        <v>75</v>
      </c>
      <c r="C2017" s="20">
        <v>50</v>
      </c>
      <c r="D2017" s="20">
        <v>15</v>
      </c>
      <c r="E2017" s="20">
        <v>99</v>
      </c>
      <c r="F2017" s="20" t="s">
        <v>13140</v>
      </c>
      <c r="G2017" s="24" t="str">
        <f ca="1">IFERROR(__xludf.DUMMYFUNCTION("GOOGLETRANSLATE(F2017,""en"",""pt"")"),"Zinco malha em sistemas de sobreposição")</f>
        <v>Zinco malha em sistemas de sobreposição</v>
      </c>
      <c r="H2017" s="20" t="s">
        <v>13141</v>
      </c>
      <c r="I2017" s="24"/>
    </row>
    <row r="2018" spans="1:9" ht="14.5">
      <c r="A2018" s="20" t="s">
        <v>13142</v>
      </c>
      <c r="B2018" s="20">
        <v>75</v>
      </c>
      <c r="C2018" s="20">
        <v>50</v>
      </c>
      <c r="D2018" s="20">
        <v>26</v>
      </c>
      <c r="E2018" s="24"/>
      <c r="F2018" s="20" t="s">
        <v>13143</v>
      </c>
      <c r="G2018" s="24" t="str">
        <f ca="1">IFERROR(__xludf.DUMMYFUNCTION("GOOGLETRANSLATE(F2018,""en"",""pt"")"),"sistemas de detecção de detritos")</f>
        <v>sistemas de detecção de detritos</v>
      </c>
      <c r="H2018" s="24"/>
      <c r="I2018" s="24"/>
    </row>
    <row r="2019" spans="1:9" ht="14.5">
      <c r="A2019" s="20" t="s">
        <v>13144</v>
      </c>
      <c r="B2019" s="20">
        <v>75</v>
      </c>
      <c r="C2019" s="20">
        <v>50</v>
      </c>
      <c r="D2019" s="20">
        <v>26</v>
      </c>
      <c r="E2019" s="20">
        <v>30</v>
      </c>
      <c r="F2019" s="20" t="s">
        <v>13145</v>
      </c>
      <c r="G2019" s="24" t="str">
        <f ca="1">IFERROR(__xludf.DUMMYFUNCTION("GOOGLETRANSLATE(F2019,""en"",""pt"")"),"Os sistemas de detecção de detritos (FOD) objecto estranho")</f>
        <v>Os sistemas de detecção de detritos (FOD) objecto estranho</v>
      </c>
      <c r="H2019" s="20" t="s">
        <v>13146</v>
      </c>
      <c r="I2019" s="24"/>
    </row>
    <row r="2020" spans="1:9" ht="14.5">
      <c r="A2020" s="20" t="s">
        <v>13147</v>
      </c>
      <c r="B2020" s="20">
        <v>75</v>
      </c>
      <c r="C2020" s="20">
        <v>50</v>
      </c>
      <c r="D2020" s="20">
        <v>28</v>
      </c>
      <c r="E2020" s="24"/>
      <c r="F2020" s="20" t="s">
        <v>13148</v>
      </c>
      <c r="G2020" s="24" t="str">
        <f ca="1">IFERROR(__xludf.DUMMYFUNCTION("GOOGLETRANSLATE(F2020,""en"",""pt"")"),"sistemas de alarme de detecção e")</f>
        <v>sistemas de alarme de detecção e</v>
      </c>
      <c r="H2020" s="24"/>
      <c r="I2020" s="24"/>
    </row>
    <row r="2021" spans="1:9" ht="14.5">
      <c r="A2021" s="20" t="s">
        <v>13149</v>
      </c>
      <c r="B2021" s="20">
        <v>75</v>
      </c>
      <c r="C2021" s="20">
        <v>50</v>
      </c>
      <c r="D2021" s="20">
        <v>28</v>
      </c>
      <c r="E2021" s="20">
        <v>5</v>
      </c>
      <c r="F2021" s="20" t="s">
        <v>13150</v>
      </c>
      <c r="G2021" s="24" t="str">
        <f ca="1">IFERROR(__xludf.DUMMYFUNCTION("GOOGLETRANSLATE(F2021,""en"",""pt"")"),"Os sistemas de detecção por Aspiração")</f>
        <v>Os sistemas de detecção por Aspiração</v>
      </c>
      <c r="H2021" s="20" t="s">
        <v>13151</v>
      </c>
      <c r="I2021" s="20" t="s">
        <v>12965</v>
      </c>
    </row>
    <row r="2022" spans="1:9" ht="14.5">
      <c r="A2022" s="20" t="s">
        <v>13152</v>
      </c>
      <c r="B2022" s="20">
        <v>75</v>
      </c>
      <c r="C2022" s="20">
        <v>50</v>
      </c>
      <c r="D2022" s="20">
        <v>28</v>
      </c>
      <c r="E2022" s="20">
        <v>22</v>
      </c>
      <c r="F2022" s="20" t="s">
        <v>13153</v>
      </c>
      <c r="G2022" s="24" t="str">
        <f ca="1">IFERROR(__xludf.DUMMYFUNCTION("GOOGLETRANSLATE(F2022,""en"",""pt"")"),"instalações domésticas de detecção de incêndio e sistemas de alarme")</f>
        <v>instalações domésticas de detecção de incêndio e sistemas de alarme</v>
      </c>
      <c r="H2022" s="20" t="s">
        <v>13154</v>
      </c>
      <c r="I2022" s="24"/>
    </row>
    <row r="2023" spans="1:9" ht="14.5">
      <c r="A2023" s="20" t="s">
        <v>13155</v>
      </c>
      <c r="B2023" s="20">
        <v>75</v>
      </c>
      <c r="C2023" s="20">
        <v>50</v>
      </c>
      <c r="D2023" s="20">
        <v>28</v>
      </c>
      <c r="E2023" s="20">
        <v>24</v>
      </c>
      <c r="F2023" s="20" t="s">
        <v>13156</v>
      </c>
      <c r="G2023" s="24" t="str">
        <f ca="1">IFERROR(__xludf.DUMMYFUNCTION("GOOGLETRANSLATE(F2023,""en"",""pt"")"),"sistemas de detecção de fumaça de dutos")</f>
        <v>sistemas de detecção de fumaça de dutos</v>
      </c>
      <c r="H2023" s="20" t="s">
        <v>13157</v>
      </c>
      <c r="I2023" s="24"/>
    </row>
    <row r="2024" spans="1:9" ht="14.5">
      <c r="A2024" s="20" t="s">
        <v>13158</v>
      </c>
      <c r="B2024" s="20">
        <v>75</v>
      </c>
      <c r="C2024" s="20">
        <v>50</v>
      </c>
      <c r="D2024" s="20">
        <v>28</v>
      </c>
      <c r="E2024" s="20">
        <v>29</v>
      </c>
      <c r="F2024" s="20" t="s">
        <v>13159</v>
      </c>
      <c r="G2024" s="24" t="str">
        <f ca="1">IFERROR(__xludf.DUMMYFUNCTION("GOOGLETRANSLATE(F2024,""en"",""pt"")"),"detecção de incêndio e sistemas de alarme")</f>
        <v>detecção de incêndio e sistemas de alarme</v>
      </c>
      <c r="H2024" s="20" t="s">
        <v>13160</v>
      </c>
      <c r="I2024" s="20" t="s">
        <v>12965</v>
      </c>
    </row>
    <row r="2025" spans="1:9" ht="14.5">
      <c r="A2025" s="20" t="s">
        <v>13161</v>
      </c>
      <c r="B2025" s="20">
        <v>75</v>
      </c>
      <c r="C2025" s="20">
        <v>50</v>
      </c>
      <c r="D2025" s="20">
        <v>28</v>
      </c>
      <c r="E2025" s="20">
        <v>30</v>
      </c>
      <c r="F2025" s="20" t="s">
        <v>13162</v>
      </c>
      <c r="G2025" s="24" t="str">
        <f ca="1">IFERROR(__xludf.DUMMYFUNCTION("GOOGLETRANSLATE(F2025,""en"",""pt"")"),"detecção de gás fixa e sistemas de alarme")</f>
        <v>detecção de gás fixa e sistemas de alarme</v>
      </c>
      <c r="H2025" s="20" t="s">
        <v>13163</v>
      </c>
      <c r="I2025" s="20" t="s">
        <v>12259</v>
      </c>
    </row>
    <row r="2026" spans="1:9" ht="14.5">
      <c r="A2026" s="20" t="s">
        <v>13164</v>
      </c>
      <c r="B2026" s="20">
        <v>75</v>
      </c>
      <c r="C2026" s="20">
        <v>50</v>
      </c>
      <c r="D2026" s="20">
        <v>28</v>
      </c>
      <c r="E2026" s="20">
        <v>32</v>
      </c>
      <c r="F2026" s="20" t="s">
        <v>13165</v>
      </c>
      <c r="G2026" s="24" t="str">
        <f ca="1">IFERROR(__xludf.DUMMYFUNCTION("GOOGLETRANSLATE(F2026,""en"",""pt"")"),"Fluxo de sistemas de detecção de gás e de alarme de amostras")</f>
        <v>Fluxo de sistemas de detecção de gás e de alarme de amostras</v>
      </c>
      <c r="H2026" s="20" t="s">
        <v>13166</v>
      </c>
      <c r="I2026" s="20" t="s">
        <v>12259</v>
      </c>
    </row>
    <row r="2027" spans="1:9" ht="14.5">
      <c r="A2027" s="20" t="s">
        <v>13167</v>
      </c>
      <c r="B2027" s="20">
        <v>75</v>
      </c>
      <c r="C2027" s="20">
        <v>50</v>
      </c>
      <c r="D2027" s="20">
        <v>28</v>
      </c>
      <c r="E2027" s="20">
        <v>96</v>
      </c>
      <c r="F2027" s="20" t="s">
        <v>13168</v>
      </c>
      <c r="G2027" s="24" t="str">
        <f ca="1">IFERROR(__xludf.DUMMYFUNCTION("GOOGLETRANSLATE(F2027,""en"",""pt"")"),"Água vazamento sistemas de detecção e alarme")</f>
        <v>Água vazamento sistemas de detecção e alarme</v>
      </c>
      <c r="H2027" s="20" t="s">
        <v>13169</v>
      </c>
      <c r="I2027" s="20" t="s">
        <v>12965</v>
      </c>
    </row>
    <row r="2028" spans="1:9" ht="14.5">
      <c r="A2028" s="20" t="s">
        <v>13170</v>
      </c>
      <c r="B2028" s="20">
        <v>75</v>
      </c>
      <c r="C2028" s="20">
        <v>50</v>
      </c>
      <c r="D2028" s="20">
        <v>28</v>
      </c>
      <c r="E2028" s="20">
        <v>97</v>
      </c>
      <c r="F2028" s="20" t="s">
        <v>13171</v>
      </c>
      <c r="G2028" s="24" t="str">
        <f ca="1">IFERROR(__xludf.DUMMYFUNCTION("GOOGLETRANSLATE(F2028,""en"",""pt"")"),"detecção de presença de água e sistemas de alarme")</f>
        <v>detecção de presença de água e sistemas de alarme</v>
      </c>
      <c r="H2028" s="20" t="s">
        <v>13172</v>
      </c>
      <c r="I2028" s="20" t="s">
        <v>12965</v>
      </c>
    </row>
    <row r="2029" spans="1:9" ht="14.5">
      <c r="A2029" s="20" t="s">
        <v>13173</v>
      </c>
      <c r="B2029" s="20">
        <v>75</v>
      </c>
      <c r="C2029" s="20">
        <v>50</v>
      </c>
      <c r="D2029" s="20">
        <v>35</v>
      </c>
      <c r="E2029" s="24"/>
      <c r="F2029" s="20" t="s">
        <v>13174</v>
      </c>
      <c r="G2029" s="24" t="str">
        <f ca="1">IFERROR(__xludf.DUMMYFUNCTION("GOOGLETRANSLATE(F2029,""en"",""pt"")"),"sistemas de imagem de saúde")</f>
        <v>sistemas de imagem de saúde</v>
      </c>
      <c r="H2029" s="24"/>
      <c r="I2029" s="24"/>
    </row>
    <row r="2030" spans="1:9" ht="14.5">
      <c r="A2030" s="20" t="s">
        <v>13175</v>
      </c>
      <c r="B2030" s="20">
        <v>75</v>
      </c>
      <c r="C2030" s="20">
        <v>50</v>
      </c>
      <c r="D2030" s="20">
        <v>45</v>
      </c>
      <c r="E2030" s="24"/>
      <c r="F2030" s="20" t="s">
        <v>13176</v>
      </c>
      <c r="G2030" s="24" t="str">
        <f ca="1">IFERROR(__xludf.DUMMYFUNCTION("GOOGLETRANSLATE(F2030,""en"",""pt"")"),"sistemas de protecção eléctrica")</f>
        <v>sistemas de protecção eléctrica</v>
      </c>
      <c r="H2030" s="24"/>
      <c r="I2030" s="24"/>
    </row>
    <row r="2031" spans="1:9" ht="14.5">
      <c r="A2031" s="20" t="s">
        <v>13177</v>
      </c>
      <c r="B2031" s="20">
        <v>75</v>
      </c>
      <c r="C2031" s="20">
        <v>50</v>
      </c>
      <c r="D2031" s="20">
        <v>45</v>
      </c>
      <c r="E2031" s="20">
        <v>45</v>
      </c>
      <c r="F2031" s="20" t="s">
        <v>13178</v>
      </c>
      <c r="G2031" s="24" t="str">
        <f ca="1">IFERROR(__xludf.DUMMYFUNCTION("GOOGLETRANSLATE(F2031,""en"",""pt"")"),"sistemas de proteção contra descargas atmosféricas")</f>
        <v>sistemas de proteção contra descargas atmosféricas</v>
      </c>
      <c r="H2031" s="20" t="s">
        <v>13179</v>
      </c>
      <c r="I2031" s="20" t="s">
        <v>13180</v>
      </c>
    </row>
    <row r="2032" spans="1:9" ht="14.5">
      <c r="A2032" s="20" t="s">
        <v>13181</v>
      </c>
      <c r="B2032" s="20">
        <v>75</v>
      </c>
      <c r="C2032" s="20">
        <v>50</v>
      </c>
      <c r="D2032" s="20">
        <v>60</v>
      </c>
      <c r="E2032" s="24"/>
      <c r="F2032" s="20" t="s">
        <v>13182</v>
      </c>
      <c r="G2032" s="24" t="str">
        <f ca="1">IFERROR(__xludf.DUMMYFUNCTION("GOOGLETRANSLATE(F2032,""en"",""pt"")"),"sistemas de monitoramento e telemetria paciente")</f>
        <v>sistemas de monitoramento e telemetria paciente</v>
      </c>
      <c r="H2032" s="24"/>
      <c r="I2032" s="24"/>
    </row>
    <row r="2033" spans="1:9" ht="14.5">
      <c r="A2033" s="20" t="s">
        <v>13183</v>
      </c>
      <c r="B2033" s="20">
        <v>75</v>
      </c>
      <c r="C2033" s="20">
        <v>60</v>
      </c>
      <c r="D2033" s="24"/>
      <c r="E2033" s="24"/>
      <c r="F2033" s="20" t="s">
        <v>13184</v>
      </c>
      <c r="G2033" s="24" t="str">
        <f ca="1">IFERROR(__xludf.DUMMYFUNCTION("GOOGLETRANSLATE(F2033,""en"",""pt"")"),"sistemas de segurança ambiental")</f>
        <v>sistemas de segurança ambiental</v>
      </c>
      <c r="H2033" s="24"/>
      <c r="I2033" s="24"/>
    </row>
    <row r="2034" spans="1:9" ht="14.5">
      <c r="A2034" s="20" t="s">
        <v>13185</v>
      </c>
      <c r="B2034" s="20">
        <v>75</v>
      </c>
      <c r="C2034" s="20">
        <v>60</v>
      </c>
      <c r="D2034" s="20">
        <v>25</v>
      </c>
      <c r="E2034" s="24"/>
      <c r="F2034" s="20" t="s">
        <v>13186</v>
      </c>
      <c r="G2034" s="24" t="str">
        <f ca="1">IFERROR(__xludf.DUMMYFUNCTION("GOOGLETRANSLATE(F2034,""en"",""pt"")"),"sistemas de alerta terremoto")</f>
        <v>sistemas de alerta terremoto</v>
      </c>
      <c r="H2034" s="24"/>
      <c r="I2034" s="24"/>
    </row>
    <row r="2035" spans="1:9" ht="14.5">
      <c r="A2035" s="20" t="s">
        <v>13187</v>
      </c>
      <c r="B2035" s="20">
        <v>75</v>
      </c>
      <c r="C2035" s="20">
        <v>60</v>
      </c>
      <c r="D2035" s="20">
        <v>30</v>
      </c>
      <c r="E2035" s="24"/>
      <c r="F2035" s="20" t="s">
        <v>13188</v>
      </c>
      <c r="G2035" s="24" t="str">
        <f ca="1">IFERROR(__xludf.DUMMYFUNCTION("GOOGLETRANSLATE(F2035,""en"",""pt"")"),"sistemas de alerta de inundação")</f>
        <v>sistemas de alerta de inundação</v>
      </c>
      <c r="H2035" s="24"/>
      <c r="I2035" s="24"/>
    </row>
    <row r="2036" spans="1:9" ht="14.5">
      <c r="A2036" s="20" t="s">
        <v>13189</v>
      </c>
      <c r="B2036" s="20">
        <v>75</v>
      </c>
      <c r="C2036" s="20">
        <v>60</v>
      </c>
      <c r="D2036" s="20">
        <v>50</v>
      </c>
      <c r="E2036" s="24"/>
      <c r="F2036" s="20" t="s">
        <v>13190</v>
      </c>
      <c r="G2036" s="24" t="str">
        <f ca="1">IFERROR(__xludf.DUMMYFUNCTION("GOOGLETRANSLATE(F2036,""en"",""pt"")"),"sistemas de alerta de detecção de Meteorologia e")</f>
        <v>sistemas de alerta de detecção de Meteorologia e</v>
      </c>
      <c r="H2036" s="24"/>
      <c r="I2036" s="24"/>
    </row>
    <row r="2037" spans="1:9" ht="14.5">
      <c r="A2037" s="20" t="s">
        <v>13191</v>
      </c>
      <c r="B2037" s="20">
        <v>75</v>
      </c>
      <c r="C2037" s="20">
        <v>60</v>
      </c>
      <c r="D2037" s="20">
        <v>52</v>
      </c>
      <c r="E2037" s="24"/>
      <c r="F2037" s="20" t="s">
        <v>13192</v>
      </c>
      <c r="G2037" s="24" t="str">
        <f ca="1">IFERROR(__xludf.DUMMYFUNCTION("GOOGLETRANSLATE(F2037,""en"",""pt"")"),"sistemas de instrumentação meteorológicas")</f>
        <v>sistemas de instrumentação meteorológicas</v>
      </c>
      <c r="H2037" s="24"/>
      <c r="I2037" s="24"/>
    </row>
    <row r="2038" spans="1:9" ht="14.5">
      <c r="A2038" s="20" t="s">
        <v>13193</v>
      </c>
      <c r="B2038" s="20">
        <v>75</v>
      </c>
      <c r="C2038" s="20">
        <v>60</v>
      </c>
      <c r="D2038" s="20">
        <v>52</v>
      </c>
      <c r="E2038" s="20">
        <v>95</v>
      </c>
      <c r="F2038" s="20" t="s">
        <v>13194</v>
      </c>
      <c r="G2038" s="24" t="str">
        <f ca="1">IFERROR(__xludf.DUMMYFUNCTION("GOOGLETRANSLATE(F2038,""en"",""pt"")"),"sistemas de observação do tempo")</f>
        <v>sistemas de observação do tempo</v>
      </c>
      <c r="H2038" s="20" t="s">
        <v>13195</v>
      </c>
      <c r="I2038" s="24"/>
    </row>
    <row r="2039" spans="1:9" ht="14.5">
      <c r="A2039" s="20" t="s">
        <v>13196</v>
      </c>
      <c r="B2039" s="20">
        <v>75</v>
      </c>
      <c r="C2039" s="20">
        <v>60</v>
      </c>
      <c r="D2039" s="20">
        <v>70</v>
      </c>
      <c r="E2039" s="24"/>
      <c r="F2039" s="20" t="s">
        <v>13197</v>
      </c>
      <c r="G2039" s="24" t="str">
        <f ca="1">IFERROR(__xludf.DUMMYFUNCTION("GOOGLETRANSLATE(F2039,""en"",""pt"")"),"detecção de radiação e sistemas de alarme")</f>
        <v>detecção de radiação e sistemas de alarme</v>
      </c>
      <c r="H2039" s="24"/>
      <c r="I2039" s="24"/>
    </row>
    <row r="2040" spans="1:9" ht="14.5">
      <c r="A2040" s="20" t="s">
        <v>13198</v>
      </c>
      <c r="B2040" s="20">
        <v>75</v>
      </c>
      <c r="C2040" s="20">
        <v>60</v>
      </c>
      <c r="D2040" s="20">
        <v>75</v>
      </c>
      <c r="E2040" s="24"/>
      <c r="F2040" s="20" t="s">
        <v>13199</v>
      </c>
      <c r="G2040" s="24" t="str">
        <f ca="1">IFERROR(__xludf.DUMMYFUNCTION("GOOGLETRANSLATE(F2040,""en"",""pt"")"),"sistemas de instrumentação sísmica")</f>
        <v>sistemas de instrumentação sísmica</v>
      </c>
      <c r="H2040" s="24"/>
      <c r="I2040" s="24"/>
    </row>
    <row r="2041" spans="1:9" ht="14.5">
      <c r="A2041" s="20" t="s">
        <v>13200</v>
      </c>
      <c r="B2041" s="20">
        <v>75</v>
      </c>
      <c r="C2041" s="20">
        <v>60</v>
      </c>
      <c r="D2041" s="20">
        <v>90</v>
      </c>
      <c r="E2041" s="24"/>
      <c r="F2041" s="20" t="s">
        <v>13201</v>
      </c>
      <c r="G2041" s="24" t="str">
        <f ca="1">IFERROR(__xludf.DUMMYFUNCTION("GOOGLETRANSLATE(F2041,""en"",""pt"")"),"sistemas de alerta de tsunami")</f>
        <v>sistemas de alerta de tsunami</v>
      </c>
      <c r="H2041" s="24"/>
      <c r="I2041" s="24"/>
    </row>
    <row r="2042" spans="1:9" ht="14.5">
      <c r="A2042" s="20" t="s">
        <v>13202</v>
      </c>
      <c r="B2042" s="20">
        <v>75</v>
      </c>
      <c r="C2042" s="20">
        <v>60</v>
      </c>
      <c r="D2042" s="20">
        <v>95</v>
      </c>
      <c r="E2042" s="24"/>
      <c r="F2042" s="20" t="s">
        <v>13203</v>
      </c>
      <c r="G2042" s="24" t="str">
        <f ca="1">IFERROR(__xludf.DUMMYFUNCTION("GOOGLETRANSLATE(F2042,""en"",""pt"")"),"sistemas de alerta erupção vulcânica")</f>
        <v>sistemas de alerta erupção vulcânica</v>
      </c>
      <c r="H2042" s="24"/>
      <c r="I2042" s="24"/>
    </row>
    <row r="2043" spans="1:9" ht="14.5">
      <c r="A2043" s="20" t="s">
        <v>13204</v>
      </c>
      <c r="B2043" s="20">
        <v>75</v>
      </c>
      <c r="C2043" s="20">
        <v>70</v>
      </c>
      <c r="D2043" s="24"/>
      <c r="E2043" s="24"/>
      <c r="F2043" s="20" t="s">
        <v>13205</v>
      </c>
      <c r="G2043" s="24" t="str">
        <f ca="1">IFERROR(__xludf.DUMMYFUNCTION("GOOGLETRANSLATE(F2043,""en"",""pt"")"),"sistemas de controlo e gestão")</f>
        <v>sistemas de controlo e gestão</v>
      </c>
      <c r="H2043" s="24"/>
      <c r="I2043" s="24"/>
    </row>
    <row r="2044" spans="1:9" ht="14.5">
      <c r="A2044" s="20" t="s">
        <v>13206</v>
      </c>
      <c r="B2044" s="20">
        <v>75</v>
      </c>
      <c r="C2044" s="20">
        <v>70</v>
      </c>
      <c r="D2044" s="20">
        <v>5</v>
      </c>
      <c r="E2044" s="24"/>
      <c r="F2044" s="20" t="s">
        <v>13207</v>
      </c>
      <c r="G2044" s="24" t="str">
        <f ca="1">IFERROR(__xludf.DUMMYFUNCTION("GOOGLETRANSLATE(F2044,""en"",""pt"")"),"sistemas de controlo do aeroporto")</f>
        <v>sistemas de controlo do aeroporto</v>
      </c>
      <c r="H2044" s="24"/>
      <c r="I2044" s="24"/>
    </row>
    <row r="2045" spans="1:9" ht="14.5">
      <c r="A2045" s="20" t="s">
        <v>13208</v>
      </c>
      <c r="B2045" s="20">
        <v>75</v>
      </c>
      <c r="C2045" s="20">
        <v>70</v>
      </c>
      <c r="D2045" s="20">
        <v>5</v>
      </c>
      <c r="E2045" s="20">
        <v>4</v>
      </c>
      <c r="F2045" s="20" t="s">
        <v>13209</v>
      </c>
      <c r="G2045" s="24" t="str">
        <f ca="1">IFERROR(__xludf.DUMMYFUNCTION("GOOGLETRANSLATE(F2045,""en"",""pt"")"),"sistemas de ancoragem aeronaves automática")</f>
        <v>sistemas de ancoragem aeronaves automática</v>
      </c>
      <c r="H2045" s="24"/>
      <c r="I2045" s="24"/>
    </row>
    <row r="2046" spans="1:9" ht="14.5">
      <c r="A2046" s="20" t="s">
        <v>13210</v>
      </c>
      <c r="B2046" s="20">
        <v>75</v>
      </c>
      <c r="C2046" s="20">
        <v>70</v>
      </c>
      <c r="D2046" s="20">
        <v>10</v>
      </c>
      <c r="E2046" s="24"/>
      <c r="F2046" s="20" t="s">
        <v>13211</v>
      </c>
      <c r="G2046" s="24" t="str">
        <f ca="1">IFERROR(__xludf.DUMMYFUNCTION("GOOGLETRANSLATE(F2046,""en"",""pt"")"),"sistemas de controle de ponte")</f>
        <v>sistemas de controle de ponte</v>
      </c>
      <c r="H2046" s="24"/>
      <c r="I2046" s="24"/>
    </row>
    <row r="2047" spans="1:9" ht="14.5">
      <c r="A2047" s="20" t="s">
        <v>13212</v>
      </c>
      <c r="B2047" s="20">
        <v>75</v>
      </c>
      <c r="C2047" s="20">
        <v>70</v>
      </c>
      <c r="D2047" s="20">
        <v>20</v>
      </c>
      <c r="E2047" s="24"/>
      <c r="F2047" s="20" t="s">
        <v>13213</v>
      </c>
      <c r="G2047" s="24" t="str">
        <f ca="1">IFERROR(__xludf.DUMMYFUNCTION("GOOGLETRANSLATE(F2047,""en"",""pt"")"),"sistemas de controle de barragens")</f>
        <v>sistemas de controle de barragens</v>
      </c>
      <c r="H2047" s="24"/>
      <c r="I2047" s="24"/>
    </row>
    <row r="2048" spans="1:9" ht="14.5">
      <c r="A2048" s="20" t="s">
        <v>13214</v>
      </c>
      <c r="B2048" s="20">
        <v>75</v>
      </c>
      <c r="C2048" s="20">
        <v>70</v>
      </c>
      <c r="D2048" s="20">
        <v>35</v>
      </c>
      <c r="E2048" s="24"/>
      <c r="F2048" s="20" t="s">
        <v>13215</v>
      </c>
      <c r="G2048" s="24" t="str">
        <f ca="1">IFERROR(__xludf.DUMMYFUNCTION("GOOGLETRANSLATE(F2048,""en"",""pt"")"),"sistemas de controlo da rede viária")</f>
        <v>sistemas de controlo da rede viária</v>
      </c>
      <c r="H2048" s="24"/>
      <c r="I2048" s="24"/>
    </row>
    <row r="2049" spans="1:9" ht="14.5">
      <c r="A2049" s="20" t="s">
        <v>13216</v>
      </c>
      <c r="B2049" s="20">
        <v>75</v>
      </c>
      <c r="C2049" s="20">
        <v>70</v>
      </c>
      <c r="D2049" s="20">
        <v>50</v>
      </c>
      <c r="E2049" s="24"/>
      <c r="F2049" s="20" t="s">
        <v>13217</v>
      </c>
      <c r="G2049" s="24" t="str">
        <f ca="1">IFERROR(__xludf.DUMMYFUNCTION("GOOGLETRANSLATE(F2049,""en"",""pt"")"),"sistemas de controlo marinhos")</f>
        <v>sistemas de controlo marinhos</v>
      </c>
      <c r="H2049" s="24"/>
      <c r="I2049" s="24"/>
    </row>
    <row r="2050" spans="1:9" ht="14.5">
      <c r="A2050" s="20" t="s">
        <v>13218</v>
      </c>
      <c r="B2050" s="20">
        <v>75</v>
      </c>
      <c r="C2050" s="20">
        <v>70</v>
      </c>
      <c r="D2050" s="20">
        <v>52</v>
      </c>
      <c r="E2050" s="24"/>
      <c r="F2050" s="20" t="s">
        <v>13219</v>
      </c>
      <c r="G2050" s="24" t="str">
        <f ca="1">IFERROR(__xludf.DUMMYFUNCTION("GOOGLETRANSLATE(F2050,""en"",""pt"")"),"sistemas mecânicos de controle e gestão de serviços de engenharia")</f>
        <v>sistemas mecânicos de controle e gestão de serviços de engenharia</v>
      </c>
      <c r="H2050" s="24"/>
      <c r="I2050" s="24"/>
    </row>
    <row r="2051" spans="1:9" ht="14.5">
      <c r="A2051" s="20" t="s">
        <v>13220</v>
      </c>
      <c r="B2051" s="20">
        <v>75</v>
      </c>
      <c r="C2051" s="20">
        <v>70</v>
      </c>
      <c r="D2051" s="20">
        <v>52</v>
      </c>
      <c r="E2051" s="20">
        <v>3</v>
      </c>
      <c r="F2051" s="20" t="s">
        <v>13221</v>
      </c>
      <c r="G2051" s="24" t="str">
        <f ca="1">IFERROR(__xludf.DUMMYFUNCTION("GOOGLETRANSLATE(F2051,""en"",""pt"")"),"Ar para sistemas de controle de bomba de calor ar")</f>
        <v>Ar para sistemas de controle de bomba de calor ar</v>
      </c>
      <c r="H2051" s="20" t="s">
        <v>13222</v>
      </c>
      <c r="I2051" s="20" t="s">
        <v>12613</v>
      </c>
    </row>
    <row r="2052" spans="1:9" ht="14.5">
      <c r="A2052" s="20" t="s">
        <v>13223</v>
      </c>
      <c r="B2052" s="20">
        <v>75</v>
      </c>
      <c r="C2052" s="20">
        <v>70</v>
      </c>
      <c r="D2052" s="20">
        <v>52</v>
      </c>
      <c r="E2052" s="20">
        <v>14</v>
      </c>
      <c r="F2052" s="20" t="s">
        <v>13224</v>
      </c>
      <c r="G2052" s="24" t="str">
        <f ca="1">IFERROR(__xludf.DUMMYFUNCTION("GOOGLETRANSLATE(F2052,""en"",""pt"")"),"painéis de teto climáticas e vigas sistemas de controle")</f>
        <v>painéis de teto climáticas e vigas sistemas de controle</v>
      </c>
      <c r="H2052" s="20" t="s">
        <v>13225</v>
      </c>
      <c r="I2052" s="20" t="s">
        <v>12576</v>
      </c>
    </row>
    <row r="2053" spans="1:9" ht="14.5">
      <c r="A2053" s="20" t="s">
        <v>13226</v>
      </c>
      <c r="B2053" s="20">
        <v>75</v>
      </c>
      <c r="C2053" s="20">
        <v>70</v>
      </c>
      <c r="D2053" s="20">
        <v>52</v>
      </c>
      <c r="E2053" s="20">
        <v>15</v>
      </c>
      <c r="F2053" s="20" t="s">
        <v>13227</v>
      </c>
      <c r="G2053" s="24" t="str">
        <f ca="1">IFERROR(__xludf.DUMMYFUNCTION("GOOGLETRANSLATE(F2053,""en"",""pt"")"),"sistemas de controlo de calor e electricidade")</f>
        <v>sistemas de controlo de calor e electricidade</v>
      </c>
      <c r="H2053" s="20" t="s">
        <v>13228</v>
      </c>
      <c r="I2053" s="20" t="s">
        <v>12613</v>
      </c>
    </row>
    <row r="2054" spans="1:9" ht="14.5">
      <c r="A2054" s="20" t="s">
        <v>13229</v>
      </c>
      <c r="B2054" s="20">
        <v>75</v>
      </c>
      <c r="C2054" s="20">
        <v>70</v>
      </c>
      <c r="D2054" s="20">
        <v>52</v>
      </c>
      <c r="E2054" s="20">
        <v>16</v>
      </c>
      <c r="F2054" s="20" t="s">
        <v>13230</v>
      </c>
      <c r="G2054" s="24" t="str">
        <f ca="1">IFERROR(__xludf.DUMMYFUNCTION("GOOGLETRANSLATE(F2054,""en"",""pt"")"),"sistemas de controlo de ar condicionado de volume constante")</f>
        <v>sistemas de controlo de ar condicionado de volume constante</v>
      </c>
      <c r="H2054" s="20" t="s">
        <v>13231</v>
      </c>
      <c r="I2054" s="20" t="s">
        <v>12771</v>
      </c>
    </row>
    <row r="2055" spans="1:9" ht="14.5">
      <c r="A2055" s="20" t="s">
        <v>13232</v>
      </c>
      <c r="B2055" s="20">
        <v>75</v>
      </c>
      <c r="C2055" s="20">
        <v>70</v>
      </c>
      <c r="D2055" s="20">
        <v>52</v>
      </c>
      <c r="E2055" s="20">
        <v>17</v>
      </c>
      <c r="F2055" s="20" t="s">
        <v>13233</v>
      </c>
      <c r="G2055" s="24" t="str">
        <f ca="1">IFERROR(__xludf.DUMMYFUNCTION("GOOGLETRANSLATE(F2055,""en"",""pt"")"),"Sistemas de arrefecimento de controlo do sistema")</f>
        <v>Sistemas de arrefecimento de controlo do sistema</v>
      </c>
      <c r="H2055" s="20" t="s">
        <v>13234</v>
      </c>
      <c r="I2055" s="20" t="s">
        <v>12602</v>
      </c>
    </row>
    <row r="2056" spans="1:9" ht="14.5">
      <c r="A2056" s="20" t="s">
        <v>13235</v>
      </c>
      <c r="B2056" s="20">
        <v>75</v>
      </c>
      <c r="C2056" s="20">
        <v>70</v>
      </c>
      <c r="D2056" s="20">
        <v>52</v>
      </c>
      <c r="E2056" s="20">
        <v>23</v>
      </c>
      <c r="F2056" s="20" t="s">
        <v>13236</v>
      </c>
      <c r="G2056" s="24" t="str">
        <f ca="1">IFERROR(__xludf.DUMMYFUNCTION("GOOGLETRANSLATE(F2056,""en"",""pt"")"),"os sistemas de controle do sistema de aquecimento doméstico")</f>
        <v>os sistemas de controle do sistema de aquecimento doméstico</v>
      </c>
      <c r="H2056" s="20" t="s">
        <v>13237</v>
      </c>
      <c r="I2056" s="24"/>
    </row>
    <row r="2057" spans="1:9" ht="14.5">
      <c r="A2057" s="20" t="s">
        <v>13238</v>
      </c>
      <c r="B2057" s="20">
        <v>75</v>
      </c>
      <c r="C2057" s="20">
        <v>70</v>
      </c>
      <c r="D2057" s="20">
        <v>52</v>
      </c>
      <c r="E2057" s="20">
        <v>28</v>
      </c>
      <c r="F2057" s="20" t="s">
        <v>13239</v>
      </c>
      <c r="G2057" s="24" t="str">
        <f ca="1">IFERROR(__xludf.DUMMYFUNCTION("GOOGLETRANSLATE(F2057,""en"",""pt"")"),"sistemas de controlo de ventilação Extrair")</f>
        <v>sistemas de controlo de ventilação Extrair</v>
      </c>
      <c r="H2057" s="20" t="s">
        <v>13240</v>
      </c>
      <c r="I2057" s="20" t="s">
        <v>12712</v>
      </c>
    </row>
    <row r="2058" spans="1:9" ht="14.5">
      <c r="A2058" s="20" t="s">
        <v>13241</v>
      </c>
      <c r="B2058" s="20">
        <v>75</v>
      </c>
      <c r="C2058" s="20">
        <v>70</v>
      </c>
      <c r="D2058" s="20">
        <v>52</v>
      </c>
      <c r="E2058" s="20">
        <v>29</v>
      </c>
      <c r="F2058" s="20" t="s">
        <v>13242</v>
      </c>
      <c r="G2058" s="24" t="str">
        <f ca="1">IFERROR(__xludf.DUMMYFUNCTION("GOOGLETRANSLATE(F2058,""en"",""pt"")"),"sistemas de controlo de aparelho de ar condicionado Ventilador bobina")</f>
        <v>sistemas de controlo de aparelho de ar condicionado Ventilador bobina</v>
      </c>
      <c r="H2058" s="20" t="s">
        <v>13243</v>
      </c>
      <c r="I2058" s="20" t="s">
        <v>12771</v>
      </c>
    </row>
    <row r="2059" spans="1:9" ht="14.5">
      <c r="A2059" s="20" t="s">
        <v>13244</v>
      </c>
      <c r="B2059" s="20">
        <v>75</v>
      </c>
      <c r="C2059" s="20">
        <v>70</v>
      </c>
      <c r="D2059" s="20">
        <v>52</v>
      </c>
      <c r="E2059" s="20">
        <v>32</v>
      </c>
      <c r="F2059" s="20" t="s">
        <v>13245</v>
      </c>
      <c r="G2059" s="24" t="str">
        <f ca="1">IFERROR(__xludf.DUMMYFUNCTION("GOOGLETRANSLATE(F2059,""en"",""pt"")"),"sistemas de controle de abastecimento de combustível")</f>
        <v>sistemas de controle de abastecimento de combustível</v>
      </c>
      <c r="H2059" s="24"/>
      <c r="I2059" s="24"/>
    </row>
    <row r="2060" spans="1:9" ht="14.5">
      <c r="A2060" s="20" t="s">
        <v>13246</v>
      </c>
      <c r="B2060" s="20">
        <v>75</v>
      </c>
      <c r="C2060" s="20">
        <v>70</v>
      </c>
      <c r="D2060" s="20">
        <v>52</v>
      </c>
      <c r="E2060" s="20">
        <v>33</v>
      </c>
      <c r="F2060" s="20" t="s">
        <v>13247</v>
      </c>
      <c r="G2060" s="24" t="str">
        <f ca="1">IFERROR(__xludf.DUMMYFUNCTION("GOOGLETRANSLATE(F2060,""en"",""pt"")"),"Gás de aquecimento sistemas de controle")</f>
        <v>Gás de aquecimento sistemas de controle</v>
      </c>
      <c r="H2060" s="20" t="s">
        <v>13248</v>
      </c>
      <c r="I2060" s="20" t="s">
        <v>12635</v>
      </c>
    </row>
    <row r="2061" spans="1:9" ht="14.5">
      <c r="A2061" s="20" t="s">
        <v>13249</v>
      </c>
      <c r="B2061" s="20">
        <v>75</v>
      </c>
      <c r="C2061" s="20">
        <v>70</v>
      </c>
      <c r="D2061" s="20">
        <v>52</v>
      </c>
      <c r="E2061" s="20">
        <v>36</v>
      </c>
      <c r="F2061" s="20" t="s">
        <v>13250</v>
      </c>
      <c r="G2061" s="24" t="str">
        <f ca="1">IFERROR(__xludf.DUMMYFUNCTION("GOOGLETRANSLATE(F2061,""en"",""pt"")"),"Aquecimento sistemas de controle do sistema")</f>
        <v>Aquecimento sistemas de controle do sistema</v>
      </c>
      <c r="H2061" s="20" t="s">
        <v>13251</v>
      </c>
      <c r="I2061" s="20" t="s">
        <v>12635</v>
      </c>
    </row>
    <row r="2062" spans="1:9" ht="14.5">
      <c r="A2062" s="20" t="s">
        <v>13252</v>
      </c>
      <c r="B2062" s="20">
        <v>75</v>
      </c>
      <c r="C2062" s="20">
        <v>70</v>
      </c>
      <c r="D2062" s="20">
        <v>52</v>
      </c>
      <c r="E2062" s="20">
        <v>38</v>
      </c>
      <c r="F2062" s="20" t="s">
        <v>13253</v>
      </c>
      <c r="G2062" s="24" t="str">
        <f ca="1">IFERROR(__xludf.DUMMYFUNCTION("GOOGLETRANSLATE(F2062,""en"",""pt"")"),"sistemas de controle de bomba de calor")</f>
        <v>sistemas de controle de bomba de calor</v>
      </c>
      <c r="H2062" s="20" t="s">
        <v>13254</v>
      </c>
      <c r="I2062" s="20" t="s">
        <v>12613</v>
      </c>
    </row>
    <row r="2063" spans="1:9" ht="14.5">
      <c r="A2063" s="20" t="s">
        <v>13255</v>
      </c>
      <c r="B2063" s="20">
        <v>75</v>
      </c>
      <c r="C2063" s="20">
        <v>70</v>
      </c>
      <c r="D2063" s="20">
        <v>52</v>
      </c>
      <c r="E2063" s="20">
        <v>52</v>
      </c>
      <c r="F2063" s="20" t="s">
        <v>13256</v>
      </c>
      <c r="G2063" s="24" t="str">
        <f ca="1">IFERROR(__xludf.DUMMYFUNCTION("GOOGLETRANSLATE(F2063,""en"",""pt"")"),"sistemas de controlo de ventilação modo misto")</f>
        <v>sistemas de controlo de ventilação modo misto</v>
      </c>
      <c r="H2063" s="20" t="s">
        <v>13257</v>
      </c>
      <c r="I2063" s="20" t="s">
        <v>13258</v>
      </c>
    </row>
    <row r="2064" spans="1:9" ht="14.5">
      <c r="A2064" s="20" t="s">
        <v>13259</v>
      </c>
      <c r="B2064" s="20">
        <v>75</v>
      </c>
      <c r="C2064" s="20">
        <v>70</v>
      </c>
      <c r="D2064" s="20">
        <v>52</v>
      </c>
      <c r="E2064" s="20">
        <v>56</v>
      </c>
      <c r="F2064" s="20" t="s">
        <v>13260</v>
      </c>
      <c r="G2064" s="24" t="str">
        <f ca="1">IFERROR(__xludf.DUMMYFUNCTION("GOOGLETRANSLATE(F2064,""en"",""pt"")"),"sistemas de controlo de ventilação natural")</f>
        <v>sistemas de controlo de ventilação natural</v>
      </c>
      <c r="H2064" s="20" t="s">
        <v>13261</v>
      </c>
      <c r="I2064" s="20" t="s">
        <v>12309</v>
      </c>
    </row>
    <row r="2065" spans="1:9" ht="14.5">
      <c r="A2065" s="20" t="s">
        <v>13262</v>
      </c>
      <c r="B2065" s="20">
        <v>75</v>
      </c>
      <c r="C2065" s="20">
        <v>70</v>
      </c>
      <c r="D2065" s="20">
        <v>52</v>
      </c>
      <c r="E2065" s="20">
        <v>70</v>
      </c>
      <c r="F2065" s="20" t="s">
        <v>13263</v>
      </c>
      <c r="G2065" s="24" t="str">
        <f ca="1">IFERROR(__xludf.DUMMYFUNCTION("GOOGLETRANSLATE(F2065,""en"",""pt"")"),"sistemas de controlo de aquecimento radiante")</f>
        <v>sistemas de controlo de aquecimento radiante</v>
      </c>
      <c r="H2065" s="20" t="s">
        <v>13264</v>
      </c>
      <c r="I2065" s="20" t="s">
        <v>12635</v>
      </c>
    </row>
    <row r="2066" spans="1:9" ht="14.5">
      <c r="A2066" s="20" t="s">
        <v>13265</v>
      </c>
      <c r="B2066" s="20">
        <v>75</v>
      </c>
      <c r="C2066" s="20">
        <v>70</v>
      </c>
      <c r="D2066" s="20">
        <v>52</v>
      </c>
      <c r="E2066" s="20">
        <v>80</v>
      </c>
      <c r="F2066" s="20" t="s">
        <v>13266</v>
      </c>
      <c r="G2066" s="24" t="str">
        <f ca="1">IFERROR(__xludf.DUMMYFUNCTION("GOOGLETRANSLATE(F2066,""en"",""pt"")"),"sistemas de controlo do fumo e de extracto de detecção de calor")</f>
        <v>sistemas de controlo do fumo e de extracto de detecção de calor</v>
      </c>
      <c r="H2066" s="20" t="s">
        <v>13267</v>
      </c>
      <c r="I2066" s="20" t="s">
        <v>12745</v>
      </c>
    </row>
    <row r="2067" spans="1:9" ht="14.5">
      <c r="A2067" s="20" t="s">
        <v>13268</v>
      </c>
      <c r="B2067" s="20">
        <v>75</v>
      </c>
      <c r="C2067" s="20">
        <v>70</v>
      </c>
      <c r="D2067" s="20">
        <v>52</v>
      </c>
      <c r="E2067" s="20">
        <v>81</v>
      </c>
      <c r="F2067" s="20" t="s">
        <v>13269</v>
      </c>
      <c r="G2067" s="24" t="str">
        <f ca="1">IFERROR(__xludf.DUMMYFUNCTION("GOOGLETRANSLATE(F2067,""en"",""pt"")"),"Fumo e de detecção de calor desligado sistemas de controle")</f>
        <v>Fumo e de detecção de calor desligado sistemas de controle</v>
      </c>
      <c r="H2067" s="20" t="s">
        <v>13270</v>
      </c>
      <c r="I2067" s="20" t="s">
        <v>12745</v>
      </c>
    </row>
    <row r="2068" spans="1:9" ht="14.5">
      <c r="A2068" s="20" t="s">
        <v>13271</v>
      </c>
      <c r="B2068" s="20">
        <v>75</v>
      </c>
      <c r="C2068" s="20">
        <v>70</v>
      </c>
      <c r="D2068" s="20">
        <v>52</v>
      </c>
      <c r="E2068" s="20">
        <v>85</v>
      </c>
      <c r="F2068" s="20" t="s">
        <v>13272</v>
      </c>
      <c r="G2068" s="24" t="str">
        <f ca="1">IFERROR(__xludf.DUMMYFUNCTION("GOOGLETRANSLATE(F2068,""en"",""pt"")"),"sistemas de controlo e de condensado de vapor")</f>
        <v>sistemas de controlo e de condensado de vapor</v>
      </c>
      <c r="H2068" s="20" t="s">
        <v>13273</v>
      </c>
      <c r="I2068" s="20" t="s">
        <v>13274</v>
      </c>
    </row>
    <row r="2069" spans="1:9" ht="14.5">
      <c r="A2069" s="20" t="s">
        <v>13275</v>
      </c>
      <c r="B2069" s="20">
        <v>75</v>
      </c>
      <c r="C2069" s="20">
        <v>70</v>
      </c>
      <c r="D2069" s="20">
        <v>52</v>
      </c>
      <c r="E2069" s="20">
        <v>93</v>
      </c>
      <c r="F2069" s="20" t="s">
        <v>13276</v>
      </c>
      <c r="G2069" s="24" t="str">
        <f ca="1">IFERROR(__xludf.DUMMYFUNCTION("GOOGLETRANSLATE(F2069,""en"",""pt"")"),"sistemas de controlo de ar condicionado de volume variável")</f>
        <v>sistemas de controlo de ar condicionado de volume variável</v>
      </c>
      <c r="H2069" s="20" t="s">
        <v>13277</v>
      </c>
      <c r="I2069" s="20" t="s">
        <v>12771</v>
      </c>
    </row>
    <row r="2070" spans="1:9" ht="14.5">
      <c r="A2070" s="20" t="s">
        <v>13278</v>
      </c>
      <c r="B2070" s="20">
        <v>75</v>
      </c>
      <c r="C2070" s="20">
        <v>70</v>
      </c>
      <c r="D2070" s="20">
        <v>52</v>
      </c>
      <c r="E2070" s="20">
        <v>94</v>
      </c>
      <c r="F2070" s="20" t="s">
        <v>13279</v>
      </c>
      <c r="G2070" s="24" t="str">
        <f ca="1">IFERROR(__xludf.DUMMYFUNCTION("GOOGLETRANSLATE(F2070,""en"",""pt"")"),"sistemas de controlo de ventilação")</f>
        <v>sistemas de controlo de ventilação</v>
      </c>
      <c r="H2070" s="20" t="s">
        <v>13280</v>
      </c>
      <c r="I2070" s="20" t="s">
        <v>13281</v>
      </c>
    </row>
    <row r="2071" spans="1:9" ht="14.5">
      <c r="A2071" s="20" t="s">
        <v>13282</v>
      </c>
      <c r="B2071" s="20">
        <v>75</v>
      </c>
      <c r="C2071" s="20">
        <v>70</v>
      </c>
      <c r="D2071" s="20">
        <v>52</v>
      </c>
      <c r="E2071" s="20">
        <v>96</v>
      </c>
      <c r="F2071" s="20" t="s">
        <v>13283</v>
      </c>
      <c r="G2071" s="24" t="str">
        <f ca="1">IFERROR(__xludf.DUMMYFUNCTION("GOOGLETRANSLATE(F2071,""en"",""pt"")"),"sistemas de controlo de alimentação de água")</f>
        <v>sistemas de controlo de alimentação de água</v>
      </c>
      <c r="H2071" s="20" t="s">
        <v>13284</v>
      </c>
      <c r="I2071" s="20" t="s">
        <v>13285</v>
      </c>
    </row>
    <row r="2072" spans="1:9" ht="14.5">
      <c r="A2072" s="20" t="s">
        <v>13286</v>
      </c>
      <c r="B2072" s="20">
        <v>75</v>
      </c>
      <c r="C2072" s="20">
        <v>70</v>
      </c>
      <c r="D2072" s="20">
        <v>52</v>
      </c>
      <c r="E2072" s="20">
        <v>97</v>
      </c>
      <c r="F2072" s="20" t="s">
        <v>13287</v>
      </c>
      <c r="G2072" s="24" t="str">
        <f ca="1">IFERROR(__xludf.DUMMYFUNCTION("GOOGLETRANSLATE(F2072,""en"",""pt"")"),"Água para sistemas de controlo de ar de bomba de calor")</f>
        <v>Água para sistemas de controlo de ar de bomba de calor</v>
      </c>
      <c r="H2072" s="24"/>
      <c r="I2072" s="24"/>
    </row>
    <row r="2073" spans="1:9" ht="14.5">
      <c r="A2073" s="20" t="s">
        <v>13288</v>
      </c>
      <c r="B2073" s="20">
        <v>75</v>
      </c>
      <c r="C2073" s="20">
        <v>70</v>
      </c>
      <c r="D2073" s="20">
        <v>54</v>
      </c>
      <c r="E2073" s="24"/>
      <c r="F2073" s="20" t="s">
        <v>13289</v>
      </c>
      <c r="G2073" s="24" t="str">
        <f ca="1">IFERROR(__xludf.DUMMYFUNCTION("GOOGLETRANSLATE(F2073,""en"",""pt"")"),"Medição, sistemas de gestão de monitoramento e")</f>
        <v>Medição, sistemas de gestão de monitoramento e</v>
      </c>
      <c r="H2073" s="24"/>
      <c r="I2073" s="24"/>
    </row>
    <row r="2074" spans="1:9" ht="14.5">
      <c r="A2074" s="20" t="s">
        <v>13290</v>
      </c>
      <c r="B2074" s="20">
        <v>75</v>
      </c>
      <c r="C2074" s="20">
        <v>70</v>
      </c>
      <c r="D2074" s="20">
        <v>54</v>
      </c>
      <c r="E2074" s="20">
        <v>3</v>
      </c>
      <c r="F2074" s="20" t="s">
        <v>13291</v>
      </c>
      <c r="G2074" s="24" t="str">
        <f ca="1">IFERROR(__xludf.DUMMYFUNCTION("GOOGLETRANSLATE(F2074,""en"",""pt"")"),"sistemas de monitoramento de água ativos")</f>
        <v>sistemas de monitoramento de água ativos</v>
      </c>
      <c r="H2074" s="24"/>
      <c r="I2074" s="24"/>
    </row>
    <row r="2075" spans="1:9" ht="14.5">
      <c r="A2075" s="20" t="s">
        <v>13292</v>
      </c>
      <c r="B2075" s="20">
        <v>75</v>
      </c>
      <c r="C2075" s="20">
        <v>70</v>
      </c>
      <c r="D2075" s="20">
        <v>54</v>
      </c>
      <c r="E2075" s="20">
        <v>10</v>
      </c>
      <c r="F2075" s="20" t="s">
        <v>13293</v>
      </c>
      <c r="G2075" s="24" t="str">
        <f ca="1">IFERROR(__xludf.DUMMYFUNCTION("GOOGLETRANSLATE(F2075,""en"",""pt"")"),"Construção de sistemas de monitorização e gestão")</f>
        <v>Construção de sistemas de monitorização e gestão</v>
      </c>
      <c r="H2075" s="20" t="s">
        <v>13294</v>
      </c>
      <c r="I2075" s="20" t="s">
        <v>13295</v>
      </c>
    </row>
    <row r="2076" spans="1:9" ht="14.5">
      <c r="A2076" s="20" t="s">
        <v>13296</v>
      </c>
      <c r="B2076" s="20">
        <v>75</v>
      </c>
      <c r="C2076" s="20">
        <v>70</v>
      </c>
      <c r="D2076" s="20">
        <v>54</v>
      </c>
      <c r="E2076" s="20">
        <v>15</v>
      </c>
      <c r="F2076" s="20" t="s">
        <v>13297</v>
      </c>
      <c r="G2076" s="24" t="str">
        <f ca="1">IFERROR(__xludf.DUMMYFUNCTION("GOOGLETRANSLATE(F2076,""en"",""pt"")"),"Comunicações de monitoramento e sistemas de gestão")</f>
        <v>Comunicações de monitoramento e sistemas de gestão</v>
      </c>
      <c r="H2076" s="24"/>
      <c r="I2076" s="24"/>
    </row>
    <row r="2077" spans="1:9" ht="14.5">
      <c r="A2077" s="20" t="s">
        <v>13298</v>
      </c>
      <c r="B2077" s="20">
        <v>75</v>
      </c>
      <c r="C2077" s="20">
        <v>70</v>
      </c>
      <c r="D2077" s="20">
        <v>54</v>
      </c>
      <c r="E2077" s="20">
        <v>25</v>
      </c>
      <c r="F2077" s="20" t="s">
        <v>13299</v>
      </c>
      <c r="G2077" s="24" t="str">
        <f ca="1">IFERROR(__xludf.DUMMYFUNCTION("GOOGLETRANSLATE(F2077,""en"",""pt"")"),"sistemas de contadores de electricidade")</f>
        <v>sistemas de contadores de electricidade</v>
      </c>
      <c r="H2077" s="20" t="s">
        <v>13300</v>
      </c>
      <c r="I2077" s="20" t="s">
        <v>13301</v>
      </c>
    </row>
    <row r="2078" spans="1:9" ht="14.5">
      <c r="A2078" s="20" t="s">
        <v>13302</v>
      </c>
      <c r="B2078" s="20">
        <v>75</v>
      </c>
      <c r="C2078" s="20">
        <v>70</v>
      </c>
      <c r="D2078" s="20">
        <v>54</v>
      </c>
      <c r="E2078" s="20">
        <v>30</v>
      </c>
      <c r="F2078" s="20" t="s">
        <v>13303</v>
      </c>
      <c r="G2078" s="24" t="str">
        <f ca="1">IFERROR(__xludf.DUMMYFUNCTION("GOOGLETRANSLATE(F2078,""en"",""pt"")"),"sistemas de medição de combustível")</f>
        <v>sistemas de medição de combustível</v>
      </c>
      <c r="H2078" s="20" t="s">
        <v>13304</v>
      </c>
      <c r="I2078" s="20" t="s">
        <v>13305</v>
      </c>
    </row>
    <row r="2079" spans="1:9" ht="14.5">
      <c r="A2079" s="20" t="s">
        <v>13306</v>
      </c>
      <c r="B2079" s="20">
        <v>75</v>
      </c>
      <c r="C2079" s="20">
        <v>70</v>
      </c>
      <c r="D2079" s="20">
        <v>54</v>
      </c>
      <c r="E2079" s="20">
        <v>60</v>
      </c>
      <c r="F2079" s="20" t="s">
        <v>13307</v>
      </c>
      <c r="G2079" s="24" t="str">
        <f ca="1">IFERROR(__xludf.DUMMYFUNCTION("GOOGLETRANSLATE(F2079,""en"",""pt"")"),"sistemas de monitorização das águas passivas")</f>
        <v>sistemas de monitorização das águas passivas</v>
      </c>
      <c r="H2079" s="24"/>
      <c r="I2079" s="24"/>
    </row>
    <row r="2080" spans="1:9" ht="14.5">
      <c r="A2080" s="20" t="s">
        <v>13308</v>
      </c>
      <c r="B2080" s="20">
        <v>75</v>
      </c>
      <c r="C2080" s="20">
        <v>70</v>
      </c>
      <c r="D2080" s="20">
        <v>54</v>
      </c>
      <c r="E2080" s="20">
        <v>95</v>
      </c>
      <c r="F2080" s="20" t="s">
        <v>13309</v>
      </c>
      <c r="G2080" s="24" t="str">
        <f ca="1">IFERROR(__xludf.DUMMYFUNCTION("GOOGLETRANSLATE(F2080,""en"",""pt"")"),"sistemas de contadores de água")</f>
        <v>sistemas de contadores de água</v>
      </c>
      <c r="H2080" s="20" t="s">
        <v>13310</v>
      </c>
      <c r="I2080" s="20" t="s">
        <v>13311</v>
      </c>
    </row>
    <row r="2081" spans="1:9" ht="14.5">
      <c r="A2081" s="20" t="s">
        <v>13312</v>
      </c>
      <c r="B2081" s="20">
        <v>75</v>
      </c>
      <c r="C2081" s="20">
        <v>70</v>
      </c>
      <c r="D2081" s="20">
        <v>72</v>
      </c>
      <c r="E2081" s="24"/>
      <c r="F2081" s="20" t="s">
        <v>13313</v>
      </c>
      <c r="G2081" s="24" t="str">
        <f ca="1">IFERROR(__xludf.DUMMYFUNCTION("GOOGLETRANSLATE(F2081,""en"",""pt"")"),"sistemas de controle de estrada")</f>
        <v>sistemas de controle de estrada</v>
      </c>
      <c r="H2081" s="24"/>
      <c r="I2081" s="24"/>
    </row>
    <row r="2082" spans="1:9" ht="14.5">
      <c r="A2082" s="20" t="s">
        <v>13314</v>
      </c>
      <c r="B2082" s="20">
        <v>75</v>
      </c>
      <c r="C2082" s="20">
        <v>70</v>
      </c>
      <c r="D2082" s="20">
        <v>85</v>
      </c>
      <c r="E2082" s="24"/>
      <c r="F2082" s="20" t="s">
        <v>13315</v>
      </c>
      <c r="G2082" s="24" t="str">
        <f ca="1">IFERROR(__xludf.DUMMYFUNCTION("GOOGLETRANSLATE(F2082,""en"",""pt"")"),"sistemas de monitoramento estruturais")</f>
        <v>sistemas de monitoramento estruturais</v>
      </c>
      <c r="H2082" s="24"/>
      <c r="I2082" s="24"/>
    </row>
    <row r="2083" spans="1:9" ht="14.5">
      <c r="A2083" s="20" t="s">
        <v>13316</v>
      </c>
      <c r="B2083" s="20">
        <v>75</v>
      </c>
      <c r="C2083" s="20">
        <v>70</v>
      </c>
      <c r="D2083" s="20">
        <v>85</v>
      </c>
      <c r="E2083" s="20">
        <v>18</v>
      </c>
      <c r="F2083" s="20" t="s">
        <v>13317</v>
      </c>
      <c r="G2083" s="24" t="str">
        <f ca="1">IFERROR(__xludf.DUMMYFUNCTION("GOOGLETRANSLATE(F2083,""en"",""pt"")"),"sistemas de monitorização de calibre de crack")</f>
        <v>sistemas de monitorização de calibre de crack</v>
      </c>
      <c r="H2083" s="20" t="s">
        <v>13318</v>
      </c>
      <c r="I2083" s="24"/>
    </row>
    <row r="2084" spans="1:9" ht="14.5">
      <c r="A2084" s="20" t="s">
        <v>13319</v>
      </c>
      <c r="B2084" s="20">
        <v>75</v>
      </c>
      <c r="C2084" s="20">
        <v>70</v>
      </c>
      <c r="D2084" s="20">
        <v>85</v>
      </c>
      <c r="E2084" s="20">
        <v>27</v>
      </c>
      <c r="F2084" s="20" t="s">
        <v>13320</v>
      </c>
      <c r="G2084" s="24" t="str">
        <f ca="1">IFERROR(__xludf.DUMMYFUNCTION("GOOGLETRANSLATE(F2084,""en"",""pt"")"),"sistemas de monitoramento Electrolevel")</f>
        <v>sistemas de monitoramento Electrolevel</v>
      </c>
      <c r="H2084" s="20" t="s">
        <v>13321</v>
      </c>
      <c r="I2084" s="24"/>
    </row>
    <row r="2085" spans="1:9" ht="14.5">
      <c r="A2085" s="20" t="s">
        <v>13322</v>
      </c>
      <c r="B2085" s="20">
        <v>75</v>
      </c>
      <c r="C2085" s="20">
        <v>70</v>
      </c>
      <c r="D2085" s="20">
        <v>85</v>
      </c>
      <c r="E2085" s="20">
        <v>30</v>
      </c>
      <c r="F2085" s="20" t="s">
        <v>13323</v>
      </c>
      <c r="G2085" s="24" t="str">
        <f ca="1">IFERROR(__xludf.DUMMYFUNCTION("GOOGLETRANSLATE(F2085,""en"",""pt"")"),"de fibra óptica sistemas de monitoramento")</f>
        <v>de fibra óptica sistemas de monitoramento</v>
      </c>
      <c r="H2085" s="24"/>
      <c r="I2085" s="24"/>
    </row>
    <row r="2086" spans="1:9" ht="14.5">
      <c r="A2086" s="20" t="s">
        <v>13324</v>
      </c>
      <c r="B2086" s="20">
        <v>75</v>
      </c>
      <c r="C2086" s="20">
        <v>70</v>
      </c>
      <c r="D2086" s="20">
        <v>85</v>
      </c>
      <c r="E2086" s="20">
        <v>47</v>
      </c>
      <c r="F2086" s="20" t="s">
        <v>13325</v>
      </c>
      <c r="G2086" s="24" t="str">
        <f ca="1">IFERROR(__xludf.DUMMYFUNCTION("GOOGLETRANSLATE(F2086,""en"",""pt"")"),"sistemas de monitoramento de nivelamento líquidos")</f>
        <v>sistemas de monitoramento de nivelamento líquidos</v>
      </c>
      <c r="H2086" s="20" t="s">
        <v>13326</v>
      </c>
      <c r="I2086" s="24"/>
    </row>
    <row r="2087" spans="1:9" ht="14.5">
      <c r="A2087" s="20" t="s">
        <v>13327</v>
      </c>
      <c r="B2087" s="20">
        <v>75</v>
      </c>
      <c r="C2087" s="20">
        <v>70</v>
      </c>
      <c r="D2087" s="20">
        <v>85</v>
      </c>
      <c r="E2087" s="20">
        <v>48</v>
      </c>
      <c r="F2087" s="20" t="s">
        <v>13328</v>
      </c>
      <c r="G2087" s="24" t="str">
        <f ca="1">IFERROR(__xludf.DUMMYFUNCTION("GOOGLETRANSLATE(F2087,""en"",""pt"")"),"célula de carga sistemas de monitoramento")</f>
        <v>célula de carga sistemas de monitoramento</v>
      </c>
      <c r="H2087" s="20" t="s">
        <v>13329</v>
      </c>
      <c r="I2087" s="24"/>
    </row>
    <row r="2088" spans="1:9" ht="14.5">
      <c r="A2088" s="20" t="s">
        <v>13330</v>
      </c>
      <c r="B2088" s="20">
        <v>75</v>
      </c>
      <c r="C2088" s="20">
        <v>70</v>
      </c>
      <c r="D2088" s="20">
        <v>85</v>
      </c>
      <c r="E2088" s="20">
        <v>62</v>
      </c>
      <c r="F2088" s="20" t="s">
        <v>13331</v>
      </c>
      <c r="G2088" s="24" t="str">
        <f ca="1">IFERROR(__xludf.DUMMYFUNCTION("GOOGLETRANSLATE(F2088,""en"",""pt"")"),"Piezômetro sistemas de monitoramento")</f>
        <v>Piezômetro sistemas de monitoramento</v>
      </c>
      <c r="H2088" s="20" t="s">
        <v>13332</v>
      </c>
      <c r="I2088" s="24"/>
    </row>
    <row r="2089" spans="1:9" ht="14.5">
      <c r="A2089" s="20" t="s">
        <v>13333</v>
      </c>
      <c r="B2089" s="20">
        <v>75</v>
      </c>
      <c r="C2089" s="20">
        <v>70</v>
      </c>
      <c r="D2089" s="20">
        <v>85</v>
      </c>
      <c r="E2089" s="20">
        <v>66</v>
      </c>
      <c r="F2089" s="20" t="s">
        <v>13334</v>
      </c>
      <c r="G2089" s="24" t="str">
        <f ca="1">IFERROR(__xludf.DUMMYFUNCTION("GOOGLETRANSLATE(F2089,""en"",""pt"")"),"sistemas de monitoramento de nivelamento precisas")</f>
        <v>sistemas de monitoramento de nivelamento precisas</v>
      </c>
      <c r="H2089" s="20" t="s">
        <v>13335</v>
      </c>
      <c r="I2089" s="24"/>
    </row>
    <row r="2090" spans="1:9" ht="14.5">
      <c r="A2090" s="20" t="s">
        <v>13336</v>
      </c>
      <c r="B2090" s="20">
        <v>75</v>
      </c>
      <c r="C2090" s="20">
        <v>70</v>
      </c>
      <c r="D2090" s="20">
        <v>85</v>
      </c>
      <c r="E2090" s="20">
        <v>67</v>
      </c>
      <c r="F2090" s="20" t="s">
        <v>13337</v>
      </c>
      <c r="G2090" s="24" t="str">
        <f ca="1">IFERROR(__xludf.DUMMYFUNCTION("GOOGLETRANSLATE(F2090,""en"",""pt"")"),"sistemas de monitoramento Prism")</f>
        <v>sistemas de monitoramento Prism</v>
      </c>
      <c r="H2090" s="20" t="s">
        <v>13338</v>
      </c>
      <c r="I2090" s="24"/>
    </row>
    <row r="2091" spans="1:9" ht="14.5">
      <c r="A2091" s="20" t="s">
        <v>13339</v>
      </c>
      <c r="B2091" s="20">
        <v>75</v>
      </c>
      <c r="C2091" s="20">
        <v>70</v>
      </c>
      <c r="D2091" s="20">
        <v>85</v>
      </c>
      <c r="E2091" s="20">
        <v>84</v>
      </c>
      <c r="F2091" s="20" t="s">
        <v>13340</v>
      </c>
      <c r="G2091" s="24" t="str">
        <f ca="1">IFERROR(__xludf.DUMMYFUNCTION("GOOGLETRANSLATE(F2091,""en"",""pt"")"),"medidor de tensão sistemas de monitorização")</f>
        <v>medidor de tensão sistemas de monitorização</v>
      </c>
      <c r="H2091" s="20" t="s">
        <v>13341</v>
      </c>
      <c r="I2091" s="24"/>
    </row>
    <row r="2092" spans="1:9" ht="14.5">
      <c r="A2092" s="20" t="s">
        <v>13342</v>
      </c>
      <c r="B2092" s="20">
        <v>75</v>
      </c>
      <c r="C2092" s="20">
        <v>70</v>
      </c>
      <c r="D2092" s="20">
        <v>85</v>
      </c>
      <c r="E2092" s="20">
        <v>86</v>
      </c>
      <c r="F2092" s="20" t="s">
        <v>13343</v>
      </c>
      <c r="G2092" s="24" t="str">
        <f ca="1">IFERROR(__xludf.DUMMYFUNCTION("GOOGLETRANSLATE(F2092,""en"",""pt"")"),"sistemas de matriz de monitorização de sub-superfície")</f>
        <v>sistemas de matriz de monitorização de sub-superfície</v>
      </c>
      <c r="H2092" s="20" t="s">
        <v>13344</v>
      </c>
      <c r="I2092" s="24"/>
    </row>
    <row r="2093" spans="1:9" ht="14.5">
      <c r="A2093" s="20" t="s">
        <v>13345</v>
      </c>
      <c r="B2093" s="20">
        <v>75</v>
      </c>
      <c r="C2093" s="20">
        <v>70</v>
      </c>
      <c r="D2093" s="20">
        <v>85</v>
      </c>
      <c r="E2093" s="20">
        <v>87</v>
      </c>
      <c r="F2093" s="20" t="s">
        <v>13346</v>
      </c>
      <c r="G2093" s="24" t="str">
        <f ca="1">IFERROR(__xludf.DUMMYFUNCTION("GOOGLETRANSLATE(F2093,""en"",""pt"")"),"Tape extensômetro sistemas de monitoramento")</f>
        <v>Tape extensômetro sistemas de monitoramento</v>
      </c>
      <c r="H2093" s="20" t="s">
        <v>13347</v>
      </c>
      <c r="I2093" s="24"/>
    </row>
    <row r="2094" spans="1:9" ht="14.5">
      <c r="A2094" s="20" t="s">
        <v>13348</v>
      </c>
      <c r="B2094" s="20">
        <v>75</v>
      </c>
      <c r="C2094" s="20">
        <v>70</v>
      </c>
      <c r="D2094" s="20">
        <v>85</v>
      </c>
      <c r="E2094" s="20">
        <v>90</v>
      </c>
      <c r="F2094" s="20" t="s">
        <v>13349</v>
      </c>
      <c r="G2094" s="24" t="str">
        <f ca="1">IFERROR(__xludf.DUMMYFUNCTION("GOOGLETRANSLATE(F2094,""en"",""pt"")"),"Inclinação sistemas de monitorização do sensor")</f>
        <v>Inclinação sistemas de monitorização do sensor</v>
      </c>
      <c r="H2094" s="20" t="s">
        <v>13350</v>
      </c>
      <c r="I2094" s="24"/>
    </row>
    <row r="2095" spans="1:9" ht="14.5">
      <c r="A2095" s="20" t="s">
        <v>13351</v>
      </c>
      <c r="B2095" s="20">
        <v>75</v>
      </c>
      <c r="C2095" s="20">
        <v>70</v>
      </c>
      <c r="D2095" s="20">
        <v>85</v>
      </c>
      <c r="E2095" s="20">
        <v>92</v>
      </c>
      <c r="F2095" s="20" t="s">
        <v>13352</v>
      </c>
      <c r="G2095" s="24" t="str">
        <f ca="1">IFERROR(__xludf.DUMMYFUNCTION("GOOGLETRANSLATE(F2095,""en"",""pt"")"),"sistemas totais de monitoramento de estação")</f>
        <v>sistemas totais de monitoramento de estação</v>
      </c>
      <c r="H2095" s="24"/>
      <c r="I2095" s="24"/>
    </row>
    <row r="2096" spans="1:9" ht="14.5">
      <c r="A2096" s="20" t="s">
        <v>13353</v>
      </c>
      <c r="B2096" s="20">
        <v>75</v>
      </c>
      <c r="C2096" s="20">
        <v>70</v>
      </c>
      <c r="D2096" s="20">
        <v>90</v>
      </c>
      <c r="E2096" s="24"/>
      <c r="F2096" s="20" t="s">
        <v>13354</v>
      </c>
      <c r="G2096" s="24" t="str">
        <f ca="1">IFERROR(__xludf.DUMMYFUNCTION("GOOGLETRANSLATE(F2096,""en"",""pt"")"),"sistemas de monitoramento de tráfego")</f>
        <v>sistemas de monitoramento de tráfego</v>
      </c>
      <c r="H2096" s="24"/>
      <c r="I2096" s="24"/>
    </row>
    <row r="2097" spans="1:9" ht="14.5">
      <c r="A2097" s="20" t="s">
        <v>13355</v>
      </c>
      <c r="B2097" s="20">
        <v>75</v>
      </c>
      <c r="C2097" s="20">
        <v>70</v>
      </c>
      <c r="D2097" s="20">
        <v>90</v>
      </c>
      <c r="E2097" s="20">
        <v>90</v>
      </c>
      <c r="F2097" s="20" t="s">
        <v>13356</v>
      </c>
      <c r="G2097" s="24" t="str">
        <f ca="1">IFERROR(__xludf.DUMMYFUNCTION("GOOGLETRANSLATE(F2097,""en"",""pt"")"),"sistemas de câmeras de controle de tráfego")</f>
        <v>sistemas de câmeras de controle de tráfego</v>
      </c>
      <c r="H2097" s="20" t="s">
        <v>13357</v>
      </c>
      <c r="I2097" s="24"/>
    </row>
    <row r="2098" spans="1:9" ht="14.5">
      <c r="A2098" s="20" t="s">
        <v>13358</v>
      </c>
      <c r="B2098" s="20">
        <v>75</v>
      </c>
      <c r="C2098" s="20">
        <v>70</v>
      </c>
      <c r="D2098" s="20">
        <v>96</v>
      </c>
      <c r="E2098" s="24"/>
      <c r="F2098" s="20" t="s">
        <v>13359</v>
      </c>
      <c r="G2098" s="24" t="str">
        <f ca="1">IFERROR(__xludf.DUMMYFUNCTION("GOOGLETRANSLATE(F2098,""en"",""pt"")"),"O abastecimento de água e sistemas de controlo de águas residuais")</f>
        <v>O abastecimento de água e sistemas de controlo de águas residuais</v>
      </c>
      <c r="H2098" s="24"/>
      <c r="I2098" s="24"/>
    </row>
    <row r="2099" spans="1:9" ht="14.5">
      <c r="A2099" s="20" t="s">
        <v>13360</v>
      </c>
      <c r="B2099" s="20">
        <v>75</v>
      </c>
      <c r="C2099" s="20">
        <v>70</v>
      </c>
      <c r="D2099" s="20">
        <v>96</v>
      </c>
      <c r="E2099" s="20">
        <v>21</v>
      </c>
      <c r="F2099" s="20" t="s">
        <v>13361</v>
      </c>
      <c r="G2099" s="24" t="str">
        <f ca="1">IFERROR(__xludf.DUMMYFUNCTION("GOOGLETRANSLATE(F2099,""en"",""pt"")"),"Desludging sistemas de controle")</f>
        <v>Desludging sistemas de controle</v>
      </c>
      <c r="H2099" s="20" t="s">
        <v>13362</v>
      </c>
      <c r="I2099" s="24"/>
    </row>
    <row r="2100" spans="1:9" ht="14.5">
      <c r="A2100" s="20" t="s">
        <v>13363</v>
      </c>
      <c r="B2100" s="20">
        <v>75</v>
      </c>
      <c r="C2100" s="20">
        <v>70</v>
      </c>
      <c r="D2100" s="20">
        <v>96</v>
      </c>
      <c r="E2100" s="20">
        <v>30</v>
      </c>
      <c r="F2100" s="20" t="s">
        <v>13364</v>
      </c>
      <c r="G2100" s="24" t="str">
        <f ca="1">IFERROR(__xludf.DUMMYFUNCTION("GOOGLETRANSLATE(F2100,""en"",""pt"")"),"Fluxo de sistemas de medição e de controlo")</f>
        <v>Fluxo de sistemas de medição e de controlo</v>
      </c>
      <c r="H2100" s="20" t="s">
        <v>13365</v>
      </c>
      <c r="I2100" s="24"/>
    </row>
    <row r="2101" spans="1:9" ht="14.5">
      <c r="A2101" s="20" t="s">
        <v>13366</v>
      </c>
      <c r="B2101" s="20">
        <v>75</v>
      </c>
      <c r="C2101" s="20">
        <v>70</v>
      </c>
      <c r="D2101" s="20">
        <v>96</v>
      </c>
      <c r="E2101" s="20">
        <v>96</v>
      </c>
      <c r="F2101" s="20" t="s">
        <v>13367</v>
      </c>
      <c r="G2101" s="24" t="str">
        <f ca="1">IFERROR(__xludf.DUMMYFUNCTION("GOOGLETRANSLATE(F2101,""en"",""pt"")"),"sistemas de controlo de alimentação de águas residuais")</f>
        <v>sistemas de controlo de alimentação de águas residuais</v>
      </c>
      <c r="H2101" s="20" t="s">
        <v>13368</v>
      </c>
      <c r="I2101" s="24"/>
    </row>
    <row r="2102" spans="1:9" ht="14.5">
      <c r="A2102" s="20" t="s">
        <v>13369</v>
      </c>
      <c r="B2102" s="20">
        <v>75</v>
      </c>
      <c r="C2102" s="20">
        <v>70</v>
      </c>
      <c r="D2102" s="20">
        <v>96</v>
      </c>
      <c r="E2102" s="20">
        <v>98</v>
      </c>
      <c r="F2102" s="20" t="s">
        <v>13370</v>
      </c>
      <c r="G2102" s="24" t="str">
        <f ca="1">IFERROR(__xludf.DUMMYFUNCTION("GOOGLETRANSLATE(F2102,""en"",""pt"")"),"sistemas de controle de qualidade de abastecimento de água")</f>
        <v>sistemas de controle de qualidade de abastecimento de água</v>
      </c>
      <c r="H2102" s="24"/>
      <c r="I2102" s="24"/>
    </row>
    <row r="2103" spans="1:9" ht="14.5">
      <c r="A2103" s="20" t="s">
        <v>13371</v>
      </c>
      <c r="B2103" s="20">
        <v>75</v>
      </c>
      <c r="C2103" s="20">
        <v>70</v>
      </c>
      <c r="D2103" s="20">
        <v>97</v>
      </c>
      <c r="E2103" s="24"/>
      <c r="F2103" s="20" t="s">
        <v>13372</v>
      </c>
      <c r="G2103" s="24" t="str">
        <f ca="1">IFERROR(__xludf.DUMMYFUNCTION("GOOGLETRANSLATE(F2103,""en"",""pt"")"),"sistemas de controlo de navegação")</f>
        <v>sistemas de controlo de navegação</v>
      </c>
      <c r="H2103" s="24"/>
      <c r="I2103" s="24"/>
    </row>
    <row r="2104" spans="1:9" ht="14.5">
      <c r="A2104" s="20" t="s">
        <v>13373</v>
      </c>
      <c r="B2104" s="20">
        <v>75</v>
      </c>
      <c r="C2104" s="20">
        <v>90</v>
      </c>
      <c r="D2104" s="24"/>
      <c r="E2104" s="24"/>
      <c r="F2104" s="20" t="s">
        <v>13374</v>
      </c>
      <c r="G2104" s="24" t="str">
        <f ca="1">IFERROR(__xludf.DUMMYFUNCTION("GOOGLETRANSLATE(F2104,""en"",""pt"")"),"sistemas de gestão de Bilheteira")</f>
        <v>sistemas de gestão de Bilheteira</v>
      </c>
      <c r="H2104" s="24"/>
      <c r="I2104" s="24"/>
    </row>
    <row r="2105" spans="1:9" ht="14.5">
      <c r="A2105" s="20" t="s">
        <v>13375</v>
      </c>
      <c r="B2105" s="20">
        <v>75</v>
      </c>
      <c r="C2105" s="20">
        <v>90</v>
      </c>
      <c r="D2105" s="20">
        <v>80</v>
      </c>
      <c r="E2105" s="24"/>
      <c r="F2105" s="20" t="s">
        <v>13376</v>
      </c>
      <c r="G2105" s="24" t="str">
        <f ca="1">IFERROR(__xludf.DUMMYFUNCTION("GOOGLETRANSLATE(F2105,""en"",""pt"")"),"sistemas de bilhética")</f>
        <v>sistemas de bilhética</v>
      </c>
      <c r="H2105" s="24"/>
      <c r="I2105" s="24"/>
    </row>
    <row r="2106" spans="1:9" ht="14.5">
      <c r="A2106" s="20" t="s">
        <v>13377</v>
      </c>
      <c r="B2106" s="20">
        <v>75</v>
      </c>
      <c r="C2106" s="20">
        <v>90</v>
      </c>
      <c r="D2106" s="20">
        <v>93</v>
      </c>
      <c r="E2106" s="24"/>
      <c r="F2106" s="20" t="s">
        <v>13378</v>
      </c>
      <c r="G2106" s="24" t="str">
        <f ca="1">IFERROR(__xludf.DUMMYFUNCTION("GOOGLETRANSLATE(F2106,""en"",""pt"")"),"sistemas de validação de bilhetes")</f>
        <v>sistemas de validação de bilhetes</v>
      </c>
      <c r="H2106" s="24"/>
      <c r="I2106" s="24"/>
    </row>
    <row r="2107" spans="1:9" ht="14.5">
      <c r="A2107" s="20" t="s">
        <v>13379</v>
      </c>
      <c r="B2107" s="20">
        <v>75</v>
      </c>
      <c r="C2107" s="20">
        <v>90</v>
      </c>
      <c r="D2107" s="20">
        <v>93</v>
      </c>
      <c r="E2107" s="20">
        <v>11</v>
      </c>
      <c r="F2107" s="20" t="s">
        <v>13380</v>
      </c>
      <c r="G2107" s="24" t="str">
        <f ca="1">IFERROR(__xludf.DUMMYFUNCTION("GOOGLETRANSLATE(F2107,""en"",""pt"")"),"sistemas de leitura de cartão")</f>
        <v>sistemas de leitura de cartão</v>
      </c>
      <c r="H2107" s="24"/>
      <c r="I2107" s="24"/>
    </row>
    <row r="2108" spans="1:9" ht="14.5">
      <c r="A2108" s="20" t="s">
        <v>13381</v>
      </c>
      <c r="B2108" s="20">
        <v>75</v>
      </c>
      <c r="C2108" s="20">
        <v>90</v>
      </c>
      <c r="D2108" s="20">
        <v>93</v>
      </c>
      <c r="E2108" s="20">
        <v>60</v>
      </c>
      <c r="F2108" s="20" t="s">
        <v>13382</v>
      </c>
      <c r="G2108" s="24" t="str">
        <f ca="1">IFERROR(__xludf.DUMMYFUNCTION("GOOGLETRANSLATE(F2108,""en"",""pt"")"),"check-in de passageiros sistemas")</f>
        <v>check-in de passageiros sistemas</v>
      </c>
      <c r="H2108" s="24"/>
      <c r="I2108" s="24"/>
    </row>
    <row r="2109" spans="1:9" ht="14.5">
      <c r="A2109" s="20" t="s">
        <v>13383</v>
      </c>
      <c r="B2109" s="20">
        <v>75</v>
      </c>
      <c r="C2109" s="20">
        <v>90</v>
      </c>
      <c r="D2109" s="20">
        <v>93</v>
      </c>
      <c r="E2109" s="20">
        <v>88</v>
      </c>
      <c r="F2109" s="20" t="s">
        <v>13384</v>
      </c>
      <c r="G2109" s="24" t="str">
        <f ca="1">IFERROR(__xludf.DUMMYFUNCTION("GOOGLETRANSLATE(F2109,""en"",""pt"")"),"sistemas de leitura de Bilheteira")</f>
        <v>sistemas de leitura de Bilheteira</v>
      </c>
      <c r="H2109" s="24"/>
      <c r="I2109" s="24"/>
    </row>
    <row r="2110" spans="1:9" ht="14.5">
      <c r="A2110" s="20" t="s">
        <v>13385</v>
      </c>
      <c r="B2110" s="20">
        <v>75</v>
      </c>
      <c r="C2110" s="20">
        <v>95</v>
      </c>
      <c r="D2110" s="24"/>
      <c r="E2110" s="24"/>
      <c r="F2110" s="20" t="s">
        <v>13386</v>
      </c>
      <c r="G2110" s="24" t="str">
        <f ca="1">IFERROR(__xludf.DUMMYFUNCTION("GOOGLETRANSLATE(F2110,""en"",""pt"")"),"comunicações temporárias, segurança, segurança, controle e sistemas de protecção")</f>
        <v>comunicações temporárias, segurança, segurança, controle e sistemas de protecção</v>
      </c>
      <c r="H2110" s="24"/>
      <c r="I2110" s="24"/>
    </row>
    <row r="2111" spans="1:9" ht="14.5">
      <c r="A2111" s="20" t="s">
        <v>13387</v>
      </c>
      <c r="B2111" s="20">
        <v>80</v>
      </c>
      <c r="C2111" s="24"/>
      <c r="D2111" s="24"/>
      <c r="E2111" s="24"/>
      <c r="F2111" s="20" t="s">
        <v>13388</v>
      </c>
      <c r="G2111" s="24" t="str">
        <f ca="1">IFERROR(__xludf.DUMMYFUNCTION("GOOGLETRANSLATE(F2111,""en"",""pt"")"),"sistemas de transporte")</f>
        <v>sistemas de transporte</v>
      </c>
      <c r="H2111" s="24"/>
      <c r="I2111" s="24"/>
    </row>
    <row r="2112" spans="1:9" ht="14.5">
      <c r="A2112" s="20" t="s">
        <v>13389</v>
      </c>
      <c r="B2112" s="20">
        <v>80</v>
      </c>
      <c r="C2112" s="20">
        <v>10</v>
      </c>
      <c r="D2112" s="24"/>
      <c r="E2112" s="24"/>
      <c r="F2112" s="20" t="s">
        <v>13390</v>
      </c>
      <c r="G2112" s="24" t="str">
        <f ca="1">IFERROR(__xludf.DUMMYFUNCTION("GOOGLETRANSLATE(F2112,""en"",""pt"")"),"sistemas de transporte por cabos")</f>
        <v>sistemas de transporte por cabos</v>
      </c>
      <c r="H2112" s="24"/>
      <c r="I2112" s="24"/>
    </row>
    <row r="2113" spans="1:9" ht="14.5">
      <c r="A2113" s="20" t="s">
        <v>13391</v>
      </c>
      <c r="B2113" s="20">
        <v>80</v>
      </c>
      <c r="C2113" s="20">
        <v>10</v>
      </c>
      <c r="D2113" s="20">
        <v>5</v>
      </c>
      <c r="E2113" s="24"/>
      <c r="F2113" s="20" t="s">
        <v>13392</v>
      </c>
      <c r="G2113" s="24" t="str">
        <f ca="1">IFERROR(__xludf.DUMMYFUNCTION("GOOGLETRANSLATE(F2113,""en"",""pt"")"),"sistemas de bonde aéreo")</f>
        <v>sistemas de bonde aéreo</v>
      </c>
      <c r="H2113" s="24"/>
      <c r="I2113" s="24"/>
    </row>
    <row r="2114" spans="1:9" ht="14.5">
      <c r="A2114" s="20" t="s">
        <v>13393</v>
      </c>
      <c r="B2114" s="20">
        <v>80</v>
      </c>
      <c r="C2114" s="20">
        <v>10</v>
      </c>
      <c r="D2114" s="20">
        <v>10</v>
      </c>
      <c r="E2114" s="24"/>
      <c r="F2114" s="20" t="s">
        <v>13394</v>
      </c>
      <c r="G2114" s="24" t="str">
        <f ca="1">IFERROR(__xludf.DUMMYFUNCTION("GOOGLETRANSLATE(F2114,""en"",""pt"")"),"sistemas de teleférico")</f>
        <v>sistemas de teleférico</v>
      </c>
      <c r="H2114" s="24"/>
      <c r="I2114" s="24"/>
    </row>
    <row r="2115" spans="1:9" ht="14.5">
      <c r="A2115" s="20" t="s">
        <v>13395</v>
      </c>
      <c r="B2115" s="20">
        <v>80</v>
      </c>
      <c r="C2115" s="20">
        <v>10</v>
      </c>
      <c r="D2115" s="20">
        <v>15</v>
      </c>
      <c r="E2115" s="24"/>
      <c r="F2115" s="20" t="s">
        <v>13396</v>
      </c>
      <c r="G2115" s="24" t="str">
        <f ca="1">IFERROR(__xludf.DUMMYFUNCTION("GOOGLETRANSLATE(F2115,""en"",""pt"")"),"sistemas chairlift")</f>
        <v>sistemas chairlift</v>
      </c>
      <c r="H2115" s="24"/>
      <c r="I2115" s="24"/>
    </row>
    <row r="2116" spans="1:9" ht="14.5">
      <c r="A2116" s="20" t="s">
        <v>13397</v>
      </c>
      <c r="B2116" s="20">
        <v>80</v>
      </c>
      <c r="C2116" s="20">
        <v>10</v>
      </c>
      <c r="D2116" s="20">
        <v>30</v>
      </c>
      <c r="E2116" s="24"/>
      <c r="F2116" s="20" t="s">
        <v>13398</v>
      </c>
      <c r="G2116" s="24" t="str">
        <f ca="1">IFERROR(__xludf.DUMMYFUNCTION("GOOGLETRANSLATE(F2116,""en"",""pt"")"),"sistemas funicular")</f>
        <v>sistemas funicular</v>
      </c>
      <c r="H2116" s="24"/>
      <c r="I2116" s="24"/>
    </row>
    <row r="2117" spans="1:9" ht="14.5">
      <c r="A2117" s="20" t="s">
        <v>13399</v>
      </c>
      <c r="B2117" s="20">
        <v>80</v>
      </c>
      <c r="C2117" s="20">
        <v>10</v>
      </c>
      <c r="D2117" s="20">
        <v>35</v>
      </c>
      <c r="E2117" s="24"/>
      <c r="F2117" s="20" t="s">
        <v>13400</v>
      </c>
      <c r="G2117" s="24" t="str">
        <f ca="1">IFERROR(__xludf.DUMMYFUNCTION("GOOGLETRANSLATE(F2117,""en"",""pt"")"),"sistemas de gôndola")</f>
        <v>sistemas de gôndola</v>
      </c>
      <c r="H2117" s="24"/>
      <c r="I2117" s="24"/>
    </row>
    <row r="2118" spans="1:9" ht="14.5">
      <c r="A2118" s="20" t="s">
        <v>13401</v>
      </c>
      <c r="B2118" s="20">
        <v>80</v>
      </c>
      <c r="C2118" s="20">
        <v>10</v>
      </c>
      <c r="D2118" s="20">
        <v>70</v>
      </c>
      <c r="E2118" s="24"/>
      <c r="F2118" s="20" t="s">
        <v>13402</v>
      </c>
      <c r="G2118" s="24" t="str">
        <f ca="1">IFERROR(__xludf.DUMMYFUNCTION("GOOGLETRANSLATE(F2118,""en"",""pt"")"),"sistemas de reboque teleféricos")</f>
        <v>sistemas de reboque teleféricos</v>
      </c>
      <c r="H2118" s="24"/>
      <c r="I2118" s="24"/>
    </row>
    <row r="2119" spans="1:9" ht="14.5">
      <c r="A2119" s="20" t="s">
        <v>13403</v>
      </c>
      <c r="B2119" s="20">
        <v>80</v>
      </c>
      <c r="C2119" s="20">
        <v>10</v>
      </c>
      <c r="D2119" s="20">
        <v>85</v>
      </c>
      <c r="E2119" s="24"/>
      <c r="F2119" s="20" t="s">
        <v>13404</v>
      </c>
      <c r="G2119" s="24" t="str">
        <f ca="1">IFERROR(__xludf.DUMMYFUNCTION("GOOGLETRANSLATE(F2119,""en"",""pt"")"),"sistemas de elevação de superfície")</f>
        <v>sistemas de elevação de superfície</v>
      </c>
      <c r="H2119" s="24"/>
      <c r="I2119" s="24"/>
    </row>
    <row r="2120" spans="1:9" ht="14.5">
      <c r="A2120" s="20" t="s">
        <v>13405</v>
      </c>
      <c r="B2120" s="20">
        <v>80</v>
      </c>
      <c r="C2120" s="20">
        <v>20</v>
      </c>
      <c r="D2120" s="24"/>
      <c r="E2120" s="24"/>
      <c r="F2120" s="20" t="s">
        <v>13406</v>
      </c>
      <c r="G2120" s="24" t="str">
        <f ca="1">IFERROR(__xludf.DUMMYFUNCTION("GOOGLETRANSLATE(F2120,""en"",""pt"")"),"sistemas de transporte")</f>
        <v>sistemas de transporte</v>
      </c>
      <c r="H2120" s="24"/>
      <c r="I2120" s="24"/>
    </row>
    <row r="2121" spans="1:9" ht="14.5">
      <c r="A2121" s="20" t="s">
        <v>13407</v>
      </c>
      <c r="B2121" s="20">
        <v>80</v>
      </c>
      <c r="C2121" s="20">
        <v>20</v>
      </c>
      <c r="D2121" s="20">
        <v>5</v>
      </c>
      <c r="E2121" s="24"/>
      <c r="F2121" s="20" t="s">
        <v>13408</v>
      </c>
      <c r="G2121" s="24" t="str">
        <f ca="1">IFERROR(__xludf.DUMMYFUNCTION("GOOGLETRANSLATE(F2121,""en"",""pt"")"),"sistemas automáticos de veículos guiados")</f>
        <v>sistemas automáticos de veículos guiados</v>
      </c>
      <c r="H2121" s="24"/>
      <c r="I2121" s="24"/>
    </row>
    <row r="2122" spans="1:9" ht="14.5">
      <c r="A2122" s="20" t="s">
        <v>13409</v>
      </c>
      <c r="B2122" s="20">
        <v>80</v>
      </c>
      <c r="C2122" s="20">
        <v>20</v>
      </c>
      <c r="D2122" s="20">
        <v>6</v>
      </c>
      <c r="E2122" s="24"/>
      <c r="F2122" s="20" t="s">
        <v>13410</v>
      </c>
      <c r="G2122" s="24" t="str">
        <f ca="1">IFERROR(__xludf.DUMMYFUNCTION("GOOGLETRANSLATE(F2122,""en"",""pt"")"),"sistemas de manuseio de bagagem")</f>
        <v>sistemas de manuseio de bagagem</v>
      </c>
      <c r="H2122" s="24"/>
      <c r="I2122" s="24"/>
    </row>
    <row r="2123" spans="1:9" ht="14.5">
      <c r="A2123" s="20" t="s">
        <v>13411</v>
      </c>
      <c r="B2123" s="20">
        <v>80</v>
      </c>
      <c r="C2123" s="20">
        <v>20</v>
      </c>
      <c r="D2123" s="20">
        <v>6</v>
      </c>
      <c r="E2123" s="20">
        <v>4</v>
      </c>
      <c r="F2123" s="20" t="s">
        <v>13412</v>
      </c>
      <c r="G2123" s="24" t="str">
        <f ca="1">IFERROR(__xludf.DUMMYFUNCTION("GOOGLETRANSLATE(F2123,""en"",""pt"")"),"sistemas de manuseio de bagagens do aeroporto")</f>
        <v>sistemas de manuseio de bagagens do aeroporto</v>
      </c>
      <c r="H2123" s="20" t="s">
        <v>13413</v>
      </c>
      <c r="I2123" s="24"/>
    </row>
    <row r="2124" spans="1:9" ht="14.5">
      <c r="A2124" s="20" t="s">
        <v>13414</v>
      </c>
      <c r="B2124" s="20">
        <v>80</v>
      </c>
      <c r="C2124" s="20">
        <v>20</v>
      </c>
      <c r="D2124" s="20">
        <v>10</v>
      </c>
      <c r="E2124" s="24"/>
      <c r="F2124" s="20" t="s">
        <v>13415</v>
      </c>
      <c r="G2124" s="24" t="str">
        <f ca="1">IFERROR(__xludf.DUMMYFUNCTION("GOOGLETRANSLATE(F2124,""en"",""pt"")"),"material a granel sistemas de transporte")</f>
        <v>material a granel sistemas de transporte</v>
      </c>
      <c r="H2124" s="24"/>
      <c r="I2124" s="24"/>
    </row>
    <row r="2125" spans="1:9" ht="14.5">
      <c r="A2125" s="20" t="s">
        <v>13416</v>
      </c>
      <c r="B2125" s="20">
        <v>80</v>
      </c>
      <c r="C2125" s="20">
        <v>20</v>
      </c>
      <c r="D2125" s="20">
        <v>11</v>
      </c>
      <c r="E2125" s="24"/>
      <c r="F2125" s="20" t="s">
        <v>13417</v>
      </c>
      <c r="G2125" s="24" t="str">
        <f ca="1">IFERROR(__xludf.DUMMYFUNCTION("GOOGLETRANSLATE(F2125,""en"",""pt"")"),"sistemas de movimentação de carga")</f>
        <v>sistemas de movimentação de carga</v>
      </c>
      <c r="H2125" s="24"/>
      <c r="I2125" s="24"/>
    </row>
    <row r="2126" spans="1:9" ht="14.5">
      <c r="A2126" s="20" t="s">
        <v>13418</v>
      </c>
      <c r="B2126" s="20">
        <v>80</v>
      </c>
      <c r="C2126" s="20">
        <v>20</v>
      </c>
      <c r="D2126" s="20">
        <v>23</v>
      </c>
      <c r="E2126" s="24"/>
      <c r="F2126" s="20" t="s">
        <v>13419</v>
      </c>
      <c r="G2126" s="24" t="str">
        <f ca="1">IFERROR(__xludf.DUMMYFUNCTION("GOOGLETRANSLATE(F2126,""en"",""pt"")"),"sistemas de transporte documento")</f>
        <v>sistemas de transporte documento</v>
      </c>
      <c r="H2126" s="24"/>
      <c r="I2126" s="24"/>
    </row>
    <row r="2127" spans="1:9" ht="14.5">
      <c r="A2127" s="20" t="s">
        <v>13420</v>
      </c>
      <c r="B2127" s="20">
        <v>80</v>
      </c>
      <c r="C2127" s="20">
        <v>20</v>
      </c>
      <c r="D2127" s="20">
        <v>23</v>
      </c>
      <c r="E2127" s="20">
        <v>65</v>
      </c>
      <c r="F2127" s="20" t="s">
        <v>13421</v>
      </c>
      <c r="G2127" s="24" t="str">
        <f ca="1">IFERROR(__xludf.DUMMYFUNCTION("GOOGLETRANSLATE(F2127,""en"",""pt"")"),"sistemas de documentos de transporte pneumático")</f>
        <v>sistemas de documentos de transporte pneumático</v>
      </c>
      <c r="H2127" s="20" t="s">
        <v>13422</v>
      </c>
      <c r="I2127" s="20" t="s">
        <v>13423</v>
      </c>
    </row>
    <row r="2128" spans="1:9" ht="14.5">
      <c r="A2128" s="20" t="s">
        <v>13424</v>
      </c>
      <c r="B2128" s="20">
        <v>80</v>
      </c>
      <c r="C2128" s="20">
        <v>20</v>
      </c>
      <c r="D2128" s="20">
        <v>60</v>
      </c>
      <c r="E2128" s="24"/>
      <c r="F2128" s="20" t="s">
        <v>13425</v>
      </c>
      <c r="G2128" s="24" t="str">
        <f ca="1">IFERROR(__xludf.DUMMYFUNCTION("GOOGLETRANSLATE(F2128,""en"",""pt"")"),"sistemas de parcelas de classificação")</f>
        <v>sistemas de parcelas de classificação</v>
      </c>
      <c r="H2128" s="24"/>
      <c r="I2128" s="24"/>
    </row>
    <row r="2129" spans="1:9" ht="14.5">
      <c r="A2129" s="20" t="s">
        <v>13426</v>
      </c>
      <c r="B2129" s="20">
        <v>80</v>
      </c>
      <c r="C2129" s="20">
        <v>20</v>
      </c>
      <c r="D2129" s="20">
        <v>62</v>
      </c>
      <c r="E2129" s="24"/>
      <c r="F2129" s="20" t="s">
        <v>13427</v>
      </c>
      <c r="G2129" s="24" t="str">
        <f ca="1">IFERROR(__xludf.DUMMYFUNCTION("GOOGLETRANSLATE(F2129,""en"",""pt"")"),"Pessoas sistemas de transporte")</f>
        <v>Pessoas sistemas de transporte</v>
      </c>
      <c r="H2129" s="24"/>
      <c r="I2129" s="24"/>
    </row>
    <row r="2130" spans="1:9" ht="14.5">
      <c r="A2130" s="20" t="s">
        <v>13428</v>
      </c>
      <c r="B2130" s="20">
        <v>80</v>
      </c>
      <c r="C2130" s="20">
        <v>20</v>
      </c>
      <c r="D2130" s="20">
        <v>62</v>
      </c>
      <c r="E2130" s="20">
        <v>28</v>
      </c>
      <c r="F2130" s="20" t="s">
        <v>13429</v>
      </c>
      <c r="G2130" s="24" t="str">
        <f ca="1">IFERROR(__xludf.DUMMYFUNCTION("GOOGLETRANSLATE(F2130,""en"",""pt"")"),"sistemas de escada rolante")</f>
        <v>sistemas de escada rolante</v>
      </c>
      <c r="H2130" s="20" t="s">
        <v>13430</v>
      </c>
      <c r="I2130" s="20" t="s">
        <v>13431</v>
      </c>
    </row>
    <row r="2131" spans="1:9" ht="14.5">
      <c r="A2131" s="20" t="s">
        <v>13432</v>
      </c>
      <c r="B2131" s="20">
        <v>80</v>
      </c>
      <c r="C2131" s="20">
        <v>20</v>
      </c>
      <c r="D2131" s="20">
        <v>62</v>
      </c>
      <c r="E2131" s="20">
        <v>53</v>
      </c>
      <c r="F2131" s="20" t="s">
        <v>13433</v>
      </c>
      <c r="G2131" s="24" t="str">
        <f ca="1">IFERROR(__xludf.DUMMYFUNCTION("GOOGLETRANSLATE(F2131,""en"",""pt"")"),"Movendo sistemas passagem")</f>
        <v>Movendo sistemas passagem</v>
      </c>
      <c r="H2131" s="20" t="s">
        <v>13434</v>
      </c>
      <c r="I2131" s="20" t="s">
        <v>13435</v>
      </c>
    </row>
    <row r="2132" spans="1:9" ht="14.5">
      <c r="A2132" s="20" t="s">
        <v>13436</v>
      </c>
      <c r="B2132" s="20">
        <v>80</v>
      </c>
      <c r="C2132" s="20">
        <v>20</v>
      </c>
      <c r="D2132" s="20">
        <v>63</v>
      </c>
      <c r="E2132" s="24"/>
      <c r="F2132" s="20" t="s">
        <v>13437</v>
      </c>
      <c r="G2132" s="24" t="str">
        <f ca="1">IFERROR(__xludf.DUMMYFUNCTION("GOOGLETRANSLATE(F2132,""en"",""pt"")"),"sistemas de transporte peça")</f>
        <v>sistemas de transporte peça</v>
      </c>
      <c r="H2132" s="24"/>
      <c r="I2132" s="24"/>
    </row>
    <row r="2133" spans="1:9" ht="14.5">
      <c r="A2133" s="20" t="s">
        <v>13438</v>
      </c>
      <c r="B2133" s="20">
        <v>80</v>
      </c>
      <c r="C2133" s="20">
        <v>20</v>
      </c>
      <c r="D2133" s="20">
        <v>63</v>
      </c>
      <c r="E2133" s="20">
        <v>59</v>
      </c>
      <c r="F2133" s="20" t="s">
        <v>13439</v>
      </c>
      <c r="G2133" s="24" t="str">
        <f ca="1">IFERROR(__xludf.DUMMYFUNCTION("GOOGLETRANSLATE(F2133,""en"",""pt"")"),"sistemas peça de transporte aéreos")</f>
        <v>sistemas peça de transporte aéreos</v>
      </c>
      <c r="H2133" s="24"/>
      <c r="I2133" s="24"/>
    </row>
    <row r="2134" spans="1:9" ht="14.5">
      <c r="A2134" s="20" t="s">
        <v>13440</v>
      </c>
      <c r="B2134" s="20">
        <v>80</v>
      </c>
      <c r="C2134" s="20">
        <v>20</v>
      </c>
      <c r="D2134" s="20">
        <v>65</v>
      </c>
      <c r="E2134" s="24"/>
      <c r="F2134" s="20" t="s">
        <v>13441</v>
      </c>
      <c r="G2134" s="24" t="str">
        <f ca="1">IFERROR(__xludf.DUMMYFUNCTION("GOOGLETRANSLATE(F2134,""en"",""pt"")"),"sistemas de transporte pneumático")</f>
        <v>sistemas de transporte pneumático</v>
      </c>
      <c r="H2134" s="24"/>
      <c r="I2134" s="24"/>
    </row>
    <row r="2135" spans="1:9" ht="14.5">
      <c r="A2135" s="20" t="s">
        <v>13442</v>
      </c>
      <c r="B2135" s="20">
        <v>80</v>
      </c>
      <c r="C2135" s="20">
        <v>30</v>
      </c>
      <c r="D2135" s="24"/>
      <c r="E2135" s="24"/>
      <c r="F2135" s="20" t="s">
        <v>13443</v>
      </c>
      <c r="G2135" s="24" t="str">
        <f ca="1">IFERROR(__xludf.DUMMYFUNCTION("GOOGLETRANSLATE(F2135,""en"",""pt"")"),"Guindaste e sistemas de elevação")</f>
        <v>Guindaste e sistemas de elevação</v>
      </c>
      <c r="H2135" s="24"/>
      <c r="I2135" s="24"/>
    </row>
    <row r="2136" spans="1:9" ht="14.5">
      <c r="A2136" s="20" t="s">
        <v>13444</v>
      </c>
      <c r="B2136" s="20">
        <v>80</v>
      </c>
      <c r="C2136" s="20">
        <v>30</v>
      </c>
      <c r="D2136" s="20">
        <v>15</v>
      </c>
      <c r="E2136" s="24"/>
      <c r="F2136" s="20" t="s">
        <v>13445</v>
      </c>
      <c r="G2136" s="24" t="str">
        <f ca="1">IFERROR(__xludf.DUMMYFUNCTION("GOOGLETRANSLATE(F2136,""en"",""pt"")"),"sistemas de guindaste")</f>
        <v>sistemas de guindaste</v>
      </c>
      <c r="H2136" s="24"/>
      <c r="I2136" s="24"/>
    </row>
    <row r="2137" spans="1:9" ht="14.5">
      <c r="A2137" s="20" t="s">
        <v>13446</v>
      </c>
      <c r="B2137" s="20">
        <v>80</v>
      </c>
      <c r="C2137" s="20">
        <v>30</v>
      </c>
      <c r="D2137" s="20">
        <v>15</v>
      </c>
      <c r="E2137" s="20">
        <v>10</v>
      </c>
      <c r="F2137" s="20" t="s">
        <v>13447</v>
      </c>
      <c r="G2137" s="24" t="str">
        <f ca="1">IFERROR(__xludf.DUMMYFUNCTION("GOOGLETRANSLATE(F2137,""en"",""pt"")"),"sistemas de guindaste movimentação de granéis")</f>
        <v>sistemas de guindaste movimentação de granéis</v>
      </c>
      <c r="H2137" s="24"/>
      <c r="I2137" s="24"/>
    </row>
    <row r="2138" spans="1:9" ht="14.5">
      <c r="A2138" s="20" t="s">
        <v>13448</v>
      </c>
      <c r="B2138" s="20">
        <v>80</v>
      </c>
      <c r="C2138" s="20">
        <v>30</v>
      </c>
      <c r="D2138" s="20">
        <v>15</v>
      </c>
      <c r="E2138" s="20">
        <v>15</v>
      </c>
      <c r="F2138" s="20" t="s">
        <v>13449</v>
      </c>
      <c r="G2138" s="24" t="str">
        <f ca="1">IFERROR(__xludf.DUMMYFUNCTION("GOOGLETRANSLATE(F2138,""en"",""pt"")"),"sistemas de manejo de guindastes para contentores")</f>
        <v>sistemas de manejo de guindastes para contentores</v>
      </c>
      <c r="H2138" s="24"/>
      <c r="I2138" s="24"/>
    </row>
    <row r="2139" spans="1:9" ht="14.5">
      <c r="A2139" s="20" t="s">
        <v>13450</v>
      </c>
      <c r="B2139" s="20">
        <v>80</v>
      </c>
      <c r="C2139" s="20">
        <v>30</v>
      </c>
      <c r="D2139" s="20">
        <v>15</v>
      </c>
      <c r="E2139" s="20">
        <v>59</v>
      </c>
      <c r="F2139" s="20" t="s">
        <v>13451</v>
      </c>
      <c r="G2139" s="24" t="str">
        <f ca="1">IFERROR(__xludf.DUMMYFUNCTION("GOOGLETRANSLATE(F2139,""en"",""pt"")"),"sistemas de pontes rolantes")</f>
        <v>sistemas de pontes rolantes</v>
      </c>
      <c r="H2139" s="20" t="s">
        <v>13452</v>
      </c>
      <c r="I2139" s="24"/>
    </row>
    <row r="2140" spans="1:9" ht="14.5">
      <c r="A2140" s="20" t="s">
        <v>13453</v>
      </c>
      <c r="B2140" s="20">
        <v>80</v>
      </c>
      <c r="C2140" s="20">
        <v>30</v>
      </c>
      <c r="D2140" s="20">
        <v>20</v>
      </c>
      <c r="E2140" s="24"/>
      <c r="F2140" s="20" t="s">
        <v>13454</v>
      </c>
      <c r="G2140" s="24" t="str">
        <f ca="1">IFERROR(__xludf.DUMMYFUNCTION("GOOGLETRANSLATE(F2140,""en"",""pt"")"),"sistemas Derrick")</f>
        <v>sistemas Derrick</v>
      </c>
      <c r="H2140" s="24"/>
      <c r="I2140" s="24"/>
    </row>
    <row r="2141" spans="1:9" ht="14.5">
      <c r="A2141" s="20" t="s">
        <v>13455</v>
      </c>
      <c r="B2141" s="20">
        <v>80</v>
      </c>
      <c r="C2141" s="20">
        <v>30</v>
      </c>
      <c r="D2141" s="20">
        <v>25</v>
      </c>
      <c r="E2141" s="24"/>
      <c r="F2141" s="20" t="s">
        <v>13456</v>
      </c>
      <c r="G2141" s="24" t="str">
        <f ca="1">IFERROR(__xludf.DUMMYFUNCTION("GOOGLETRANSLATE(F2141,""en"",""pt"")"),"sistemas de equipamentos de acesso permanente dinâmica e segurança")</f>
        <v>sistemas de equipamentos de acesso permanente dinâmica e segurança</v>
      </c>
      <c r="H2141" s="24"/>
      <c r="I2141" s="24"/>
    </row>
    <row r="2142" spans="1:9" ht="14.5">
      <c r="A2142" s="20" t="s">
        <v>13457</v>
      </c>
      <c r="B2142" s="20">
        <v>80</v>
      </c>
      <c r="C2142" s="20">
        <v>30</v>
      </c>
      <c r="D2142" s="20">
        <v>25</v>
      </c>
      <c r="E2142" s="20">
        <v>30</v>
      </c>
      <c r="F2142" s="20" t="s">
        <v>13458</v>
      </c>
      <c r="G2142" s="24" t="str">
        <f ca="1">IFERROR(__xludf.DUMMYFUNCTION("GOOGLETRANSLATE(F2142,""en"",""pt"")"),"Os sistemas de acesso da sonda suspensos fixos")</f>
        <v>Os sistemas de acesso da sonda suspensos fixos</v>
      </c>
      <c r="H2142" s="20" t="s">
        <v>13459</v>
      </c>
      <c r="I2142" s="20" t="s">
        <v>13460</v>
      </c>
    </row>
    <row r="2143" spans="1:9" ht="14.5">
      <c r="A2143" s="20" t="s">
        <v>13461</v>
      </c>
      <c r="B2143" s="20">
        <v>80</v>
      </c>
      <c r="C2143" s="20">
        <v>30</v>
      </c>
      <c r="D2143" s="20">
        <v>25</v>
      </c>
      <c r="E2143" s="20">
        <v>32</v>
      </c>
      <c r="F2143" s="20" t="s">
        <v>13462</v>
      </c>
      <c r="G2143" s="24" t="str">
        <f ca="1">IFERROR(__xludf.DUMMYFUNCTION("GOOGLETRANSLATE(F2143,""en"",""pt"")"),"sistemas de acesso de pórtico")</f>
        <v>sistemas de acesso de pórtico</v>
      </c>
      <c r="H2143" s="20" t="s">
        <v>13463</v>
      </c>
      <c r="I2143" s="20" t="s">
        <v>13464</v>
      </c>
    </row>
    <row r="2144" spans="1:9" ht="14.5">
      <c r="A2144" s="20" t="s">
        <v>13465</v>
      </c>
      <c r="B2144" s="20">
        <v>80</v>
      </c>
      <c r="C2144" s="20">
        <v>30</v>
      </c>
      <c r="D2144" s="20">
        <v>25</v>
      </c>
      <c r="E2144" s="20">
        <v>35</v>
      </c>
      <c r="F2144" s="20" t="s">
        <v>13466</v>
      </c>
      <c r="G2144" s="24" t="str">
        <f ca="1">IFERROR(__xludf.DUMMYFUNCTION("GOOGLETRANSLATE(F2144,""en"",""pt"")"),"sistemas antiqueda do tipo guiada")</f>
        <v>sistemas antiqueda do tipo guiada</v>
      </c>
      <c r="H2144" s="20" t="s">
        <v>13467</v>
      </c>
      <c r="I2144" s="20" t="s">
        <v>13464</v>
      </c>
    </row>
    <row r="2145" spans="1:9" ht="14.5">
      <c r="A2145" s="20" t="s">
        <v>13468</v>
      </c>
      <c r="B2145" s="20">
        <v>80</v>
      </c>
      <c r="C2145" s="20">
        <v>30</v>
      </c>
      <c r="D2145" s="20">
        <v>25</v>
      </c>
      <c r="E2145" s="20">
        <v>50</v>
      </c>
      <c r="F2145" s="20" t="s">
        <v>13469</v>
      </c>
      <c r="G2145" s="24" t="str">
        <f ca="1">IFERROR(__xludf.DUMMYFUNCTION("GOOGLETRANSLATE(F2145,""en"",""pt"")"),"sistemas de acesso móvel plataforma de monotrilho suspenso")</f>
        <v>sistemas de acesso móvel plataforma de monotrilho suspenso</v>
      </c>
      <c r="H2145" s="20" t="s">
        <v>13470</v>
      </c>
      <c r="I2145" s="20" t="s">
        <v>13460</v>
      </c>
    </row>
    <row r="2146" spans="1:9" ht="14.5">
      <c r="A2146" s="20" t="s">
        <v>13471</v>
      </c>
      <c r="B2146" s="20">
        <v>80</v>
      </c>
      <c r="C2146" s="20">
        <v>30</v>
      </c>
      <c r="D2146" s="20">
        <v>25</v>
      </c>
      <c r="E2146" s="20">
        <v>52</v>
      </c>
      <c r="F2146" s="20" t="s">
        <v>13472</v>
      </c>
      <c r="G2146" s="24" t="str">
        <f ca="1">IFERROR(__xludf.DUMMYFUNCTION("GOOGLETRANSLATE(F2146,""en"",""pt"")"),"plataforma móvel rastos suspenso sistemas de acesso")</f>
        <v>plataforma móvel rastos suspenso sistemas de acesso</v>
      </c>
      <c r="H2146" s="20" t="s">
        <v>13473</v>
      </c>
      <c r="I2146" s="20" t="s">
        <v>13460</v>
      </c>
    </row>
    <row r="2147" spans="1:9" ht="14.5">
      <c r="A2147" s="20" t="s">
        <v>13474</v>
      </c>
      <c r="B2147" s="20">
        <v>80</v>
      </c>
      <c r="C2147" s="20">
        <v>30</v>
      </c>
      <c r="D2147" s="20">
        <v>25</v>
      </c>
      <c r="E2147" s="20">
        <v>55</v>
      </c>
      <c r="F2147" s="20" t="s">
        <v>13475</v>
      </c>
      <c r="G2147" s="24" t="str">
        <f ca="1">IFERROR(__xludf.DUMMYFUNCTION("GOOGLETRANSLATE(F2147,""en"",""pt"")"),"sistemas de acesso móvel plataforma sem trilhas suspensas")</f>
        <v>sistemas de acesso móvel plataforma sem trilhas suspensas</v>
      </c>
      <c r="H2147" s="20" t="s">
        <v>13476</v>
      </c>
      <c r="I2147" s="20" t="s">
        <v>13460</v>
      </c>
    </row>
    <row r="2148" spans="1:9" ht="14.5">
      <c r="A2148" s="20" t="s">
        <v>13477</v>
      </c>
      <c r="B2148" s="20">
        <v>80</v>
      </c>
      <c r="C2148" s="20">
        <v>30</v>
      </c>
      <c r="D2148" s="20">
        <v>25</v>
      </c>
      <c r="E2148" s="20">
        <v>75</v>
      </c>
      <c r="F2148" s="20" t="s">
        <v>13478</v>
      </c>
      <c r="G2148" s="24" t="str">
        <f ca="1">IFERROR(__xludf.DUMMYFUNCTION("GOOGLETRANSLATE(F2148,""en"",""pt"")"),"sistemas robóticos de limpeza")</f>
        <v>sistemas robóticos de limpeza</v>
      </c>
      <c r="H2148" s="20" t="s">
        <v>13479</v>
      </c>
      <c r="I2148" s="20" t="s">
        <v>13480</v>
      </c>
    </row>
    <row r="2149" spans="1:9" ht="14.5">
      <c r="A2149" s="20" t="s">
        <v>13481</v>
      </c>
      <c r="B2149" s="20">
        <v>80</v>
      </c>
      <c r="C2149" s="20">
        <v>30</v>
      </c>
      <c r="D2149" s="20">
        <v>25</v>
      </c>
      <c r="E2149" s="20">
        <v>80</v>
      </c>
      <c r="F2149" s="20" t="s">
        <v>13482</v>
      </c>
      <c r="G2149" s="24" t="str">
        <f ca="1">IFERROR(__xludf.DUMMYFUNCTION("GOOGLETRANSLATE(F2149,""en"",""pt"")"),"sistemas de detenção de queda ancoragem ponto único")</f>
        <v>sistemas de detenção de queda ancoragem ponto único</v>
      </c>
      <c r="H2149" s="20" t="s">
        <v>13483</v>
      </c>
      <c r="I2149" s="20" t="s">
        <v>13464</v>
      </c>
    </row>
    <row r="2150" spans="1:9" ht="14.5">
      <c r="A2150" s="20" t="s">
        <v>13484</v>
      </c>
      <c r="B2150" s="20">
        <v>80</v>
      </c>
      <c r="C2150" s="20">
        <v>30</v>
      </c>
      <c r="D2150" s="20">
        <v>25</v>
      </c>
      <c r="E2150" s="20">
        <v>90</v>
      </c>
      <c r="F2150" s="20" t="s">
        <v>13485</v>
      </c>
      <c r="G2150" s="24" t="str">
        <f ca="1">IFERROR(__xludf.DUMMYFUNCTION("GOOGLETRANSLATE(F2150,""en"",""pt"")"),"Viajando sistemas de acesso de escada")</f>
        <v>Viajando sistemas de acesso de escada</v>
      </c>
      <c r="H2150" s="20" t="s">
        <v>13486</v>
      </c>
      <c r="I2150" s="20" t="s">
        <v>13460</v>
      </c>
    </row>
    <row r="2151" spans="1:9" ht="14.5">
      <c r="A2151" s="20" t="s">
        <v>13487</v>
      </c>
      <c r="B2151" s="20">
        <v>80</v>
      </c>
      <c r="C2151" s="20">
        <v>30</v>
      </c>
      <c r="D2151" s="20">
        <v>40</v>
      </c>
      <c r="E2151" s="24"/>
      <c r="F2151" s="20" t="s">
        <v>13488</v>
      </c>
      <c r="G2151" s="24" t="str">
        <f ca="1">IFERROR(__xludf.DUMMYFUNCTION("GOOGLETRANSLATE(F2151,""en"",""pt"")"),"sistemas de elevação")</f>
        <v>sistemas de elevação</v>
      </c>
      <c r="H2151" s="24"/>
      <c r="I2151" s="24"/>
    </row>
    <row r="2152" spans="1:9" ht="14.5">
      <c r="A2152" s="20" t="s">
        <v>13489</v>
      </c>
      <c r="B2152" s="20">
        <v>80</v>
      </c>
      <c r="C2152" s="20">
        <v>50</v>
      </c>
      <c r="D2152" s="24"/>
      <c r="E2152" s="24"/>
      <c r="F2152" s="20" t="s">
        <v>13490</v>
      </c>
      <c r="G2152" s="24" t="str">
        <f ca="1">IFERROR(__xludf.DUMMYFUNCTION("GOOGLETRANSLATE(F2152,""en"",""pt"")"),"sistemas de elevação")</f>
        <v>sistemas de elevação</v>
      </c>
      <c r="H2152" s="24"/>
      <c r="I2152" s="24"/>
    </row>
    <row r="2153" spans="1:9" ht="14.5">
      <c r="A2153" s="20" t="s">
        <v>13491</v>
      </c>
      <c r="B2153" s="20">
        <v>80</v>
      </c>
      <c r="C2153" s="20">
        <v>50</v>
      </c>
      <c r="D2153" s="20">
        <v>60</v>
      </c>
      <c r="E2153" s="24"/>
      <c r="F2153" s="20" t="s">
        <v>13492</v>
      </c>
      <c r="G2153" s="24" t="str">
        <f ca="1">IFERROR(__xludf.DUMMYFUNCTION("GOOGLETRANSLATE(F2153,""en"",""pt"")"),"sistemas de elevação passageiros e de mercadorias")</f>
        <v>sistemas de elevação passageiros e de mercadorias</v>
      </c>
      <c r="H2153" s="24"/>
      <c r="I2153" s="24"/>
    </row>
    <row r="2154" spans="1:9" ht="14.5">
      <c r="A2154" s="20" t="s">
        <v>13493</v>
      </c>
      <c r="B2154" s="20">
        <v>80</v>
      </c>
      <c r="C2154" s="20">
        <v>50</v>
      </c>
      <c r="D2154" s="20">
        <v>60</v>
      </c>
      <c r="E2154" s="20">
        <v>26</v>
      </c>
      <c r="F2154" s="20" t="s">
        <v>13494</v>
      </c>
      <c r="G2154" s="24" t="str">
        <f ca="1">IFERROR(__xludf.DUMMYFUNCTION("GOOGLETRANSLATE(F2154,""en"",""pt"")"),"sistemas de elevador elétrico")</f>
        <v>sistemas de elevador elétrico</v>
      </c>
      <c r="H2154" s="20" t="s">
        <v>13495</v>
      </c>
      <c r="I2154" s="20" t="s">
        <v>13496</v>
      </c>
    </row>
    <row r="2155" spans="1:9" ht="14.5">
      <c r="A2155" s="20" t="s">
        <v>13497</v>
      </c>
      <c r="B2155" s="20">
        <v>80</v>
      </c>
      <c r="C2155" s="20">
        <v>50</v>
      </c>
      <c r="D2155" s="20">
        <v>60</v>
      </c>
      <c r="E2155" s="20">
        <v>39</v>
      </c>
      <c r="F2155" s="20" t="s">
        <v>13498</v>
      </c>
      <c r="G2155" s="24" t="str">
        <f ca="1">IFERROR(__xludf.DUMMYFUNCTION("GOOGLETRANSLATE(F2155,""en"",""pt"")"),"sistemas de elevador hidráulico")</f>
        <v>sistemas de elevador hidráulico</v>
      </c>
      <c r="H2155" s="20" t="s">
        <v>13499</v>
      </c>
      <c r="I2155" s="20" t="s">
        <v>13500</v>
      </c>
    </row>
    <row r="2156" spans="1:9" ht="14.5">
      <c r="A2156" s="20" t="s">
        <v>13501</v>
      </c>
      <c r="B2156" s="20">
        <v>80</v>
      </c>
      <c r="C2156" s="20">
        <v>50</v>
      </c>
      <c r="D2156" s="20">
        <v>60</v>
      </c>
      <c r="E2156" s="20">
        <v>50</v>
      </c>
      <c r="F2156" s="20" t="s">
        <v>13502</v>
      </c>
      <c r="G2156" s="24" t="str">
        <f ca="1">IFERROR(__xludf.DUMMYFUNCTION("GOOGLETRANSLATE(F2156,""en"",""pt"")"),"sistemas aparador manuais")</f>
        <v>sistemas aparador manuais</v>
      </c>
      <c r="H2156" s="24"/>
      <c r="I2156" s="24"/>
    </row>
    <row r="2157" spans="1:9" ht="14.5">
      <c r="A2157" s="20" t="s">
        <v>13503</v>
      </c>
      <c r="B2157" s="20">
        <v>80</v>
      </c>
      <c r="C2157" s="20">
        <v>50</v>
      </c>
      <c r="D2157" s="20">
        <v>60</v>
      </c>
      <c r="E2157" s="20">
        <v>60</v>
      </c>
      <c r="F2157" s="20" t="s">
        <v>13504</v>
      </c>
      <c r="G2157" s="24" t="str">
        <f ca="1">IFERROR(__xludf.DUMMYFUNCTION("GOOGLETRANSLATE(F2157,""en"",""pt"")"),"sistemas de Paternoster")</f>
        <v>sistemas de Paternoster</v>
      </c>
      <c r="H2157" s="24"/>
      <c r="I2157" s="24"/>
    </row>
    <row r="2158" spans="1:9" ht="14.5">
      <c r="A2158" s="20" t="s">
        <v>13505</v>
      </c>
      <c r="B2158" s="20">
        <v>80</v>
      </c>
      <c r="C2158" s="20">
        <v>50</v>
      </c>
      <c r="D2158" s="20">
        <v>60</v>
      </c>
      <c r="E2158" s="20">
        <v>65</v>
      </c>
      <c r="F2158" s="20" t="s">
        <v>13506</v>
      </c>
      <c r="G2158" s="24" t="str">
        <f ca="1">IFERROR(__xludf.DUMMYFUNCTION("GOOGLETRANSLATE(F2158,""en"",""pt"")"),"sistemas homelift motorizadas")</f>
        <v>sistemas homelift motorizadas</v>
      </c>
      <c r="H2158" s="20" t="s">
        <v>13507</v>
      </c>
      <c r="I2158" s="20" t="s">
        <v>13496</v>
      </c>
    </row>
    <row r="2159" spans="1:9" ht="14.5">
      <c r="A2159" s="20" t="s">
        <v>13508</v>
      </c>
      <c r="B2159" s="20">
        <v>80</v>
      </c>
      <c r="C2159" s="20">
        <v>50</v>
      </c>
      <c r="D2159" s="20">
        <v>60</v>
      </c>
      <c r="E2159" s="20">
        <v>83</v>
      </c>
      <c r="F2159" s="20" t="s">
        <v>13509</v>
      </c>
      <c r="G2159" s="24" t="str">
        <f ca="1">IFERROR(__xludf.DUMMYFUNCTION("GOOGLETRANSLATE(F2159,""en"",""pt"")"),"sistemas de elevador de escadas")</f>
        <v>sistemas de elevador de escadas</v>
      </c>
      <c r="H2159" s="20" t="s">
        <v>13510</v>
      </c>
      <c r="I2159" s="20" t="s">
        <v>13511</v>
      </c>
    </row>
    <row r="2160" spans="1:9" ht="14.5">
      <c r="A2160" s="20" t="s">
        <v>13512</v>
      </c>
      <c r="B2160" s="20">
        <v>80</v>
      </c>
      <c r="C2160" s="20">
        <v>50</v>
      </c>
      <c r="D2160" s="20">
        <v>60</v>
      </c>
      <c r="E2160" s="20">
        <v>85</v>
      </c>
      <c r="F2160" s="20" t="s">
        <v>13513</v>
      </c>
      <c r="G2160" s="24" t="str">
        <f ca="1">IFERROR(__xludf.DUMMYFUNCTION("GOOGLETRANSLATE(F2160,""en"",""pt"")"),"Passo sistemas de elevador")</f>
        <v>Passo sistemas de elevador</v>
      </c>
      <c r="H2160" s="20" t="s">
        <v>13514</v>
      </c>
      <c r="I2160" s="20" t="s">
        <v>13511</v>
      </c>
    </row>
    <row r="2161" spans="1:9" ht="14.5">
      <c r="A2161" s="20" t="s">
        <v>13515</v>
      </c>
      <c r="B2161" s="20">
        <v>80</v>
      </c>
      <c r="C2161" s="20">
        <v>50</v>
      </c>
      <c r="D2161" s="20">
        <v>60</v>
      </c>
      <c r="E2161" s="20">
        <v>94</v>
      </c>
      <c r="F2161" s="20" t="s">
        <v>13516</v>
      </c>
      <c r="G2161" s="24" t="str">
        <f ca="1">IFERROR(__xludf.DUMMYFUNCTION("GOOGLETRANSLATE(F2161,""en"",""pt"")"),"sistemas de plataforma elevatória vertical")</f>
        <v>sistemas de plataforma elevatória vertical</v>
      </c>
      <c r="H2161" s="20" t="s">
        <v>13517</v>
      </c>
      <c r="I2161" s="20" t="s">
        <v>13496</v>
      </c>
    </row>
    <row r="2162" spans="1:9" ht="14.5">
      <c r="A2162" s="20" t="s">
        <v>13518</v>
      </c>
      <c r="B2162" s="20">
        <v>80</v>
      </c>
      <c r="C2162" s="20">
        <v>50</v>
      </c>
      <c r="D2162" s="20">
        <v>94</v>
      </c>
      <c r="E2162" s="24"/>
      <c r="F2162" s="20" t="s">
        <v>13519</v>
      </c>
      <c r="G2162" s="24" t="str">
        <f ca="1">IFERROR(__xludf.DUMMYFUNCTION("GOOGLETRANSLATE(F2162,""en"",""pt"")"),"sistemas de empilhamento de veículos e barco")</f>
        <v>sistemas de empilhamento de veículos e barco</v>
      </c>
      <c r="H2162" s="24"/>
      <c r="I2162" s="24"/>
    </row>
    <row r="2163" spans="1:9" ht="14.5">
      <c r="A2163" s="20" t="s">
        <v>13520</v>
      </c>
      <c r="B2163" s="20">
        <v>80</v>
      </c>
      <c r="C2163" s="20">
        <v>50</v>
      </c>
      <c r="D2163" s="20">
        <v>96</v>
      </c>
      <c r="E2163" s="24"/>
      <c r="F2163" s="20" t="s">
        <v>13521</v>
      </c>
      <c r="G2163" s="24" t="str">
        <f ca="1">IFERROR(__xludf.DUMMYFUNCTION("GOOGLETRANSLATE(F2163,""en"",""pt"")"),"sistemas de armazém de empilhamento")</f>
        <v>sistemas de armazém de empilhamento</v>
      </c>
      <c r="H2163" s="24"/>
      <c r="I2163" s="24"/>
    </row>
    <row r="2164" spans="1:9" ht="14.5">
      <c r="A2164" s="20" t="s">
        <v>13522</v>
      </c>
      <c r="B2164" s="20">
        <v>80</v>
      </c>
      <c r="C2164" s="20">
        <v>70</v>
      </c>
      <c r="D2164" s="24"/>
      <c r="E2164" s="24"/>
      <c r="F2164" s="20" t="s">
        <v>13523</v>
      </c>
      <c r="G2164" s="24" t="str">
        <f ca="1">IFERROR(__xludf.DUMMYFUNCTION("GOOGLETRANSLATE(F2164,""en"",""pt"")"),"sistemas de pista")</f>
        <v>sistemas de pista</v>
      </c>
      <c r="H2164" s="24"/>
      <c r="I2164" s="24"/>
    </row>
    <row r="2165" spans="1:9" ht="14.5">
      <c r="A2165" s="20" t="s">
        <v>13524</v>
      </c>
      <c r="B2165" s="20">
        <v>80</v>
      </c>
      <c r="C2165" s="20">
        <v>70</v>
      </c>
      <c r="D2165" s="20">
        <v>46</v>
      </c>
      <c r="E2165" s="24"/>
      <c r="F2165" s="20" t="s">
        <v>13525</v>
      </c>
      <c r="G2165" s="24" t="str">
        <f ca="1">IFERROR(__xludf.DUMMYFUNCTION("GOOGLETRANSLATE(F2165,""en"",""pt"")"),"sistemas de passagem de nível")</f>
        <v>sistemas de passagem de nível</v>
      </c>
      <c r="H2165" s="24"/>
      <c r="I2165" s="24"/>
    </row>
    <row r="2166" spans="1:9" ht="14.5">
      <c r="A2166" s="20" t="s">
        <v>13526</v>
      </c>
      <c r="B2166" s="20">
        <v>80</v>
      </c>
      <c r="C2166" s="20">
        <v>70</v>
      </c>
      <c r="D2166" s="20">
        <v>46</v>
      </c>
      <c r="E2166" s="20">
        <v>60</v>
      </c>
      <c r="F2166" s="20" t="s">
        <v>13527</v>
      </c>
      <c r="G2166" s="24" t="str">
        <f ca="1">IFERROR(__xludf.DUMMYFUNCTION("GOOGLETRANSLATE(F2166,""en"",""pt"")"),"sistemas de passagens de nível pedonal")</f>
        <v>sistemas de passagens de nível pedonal</v>
      </c>
      <c r="H2166" s="20" t="s">
        <v>13528</v>
      </c>
      <c r="I2166" s="24"/>
    </row>
    <row r="2167" spans="1:9" ht="14.5">
      <c r="A2167" s="20" t="s">
        <v>13529</v>
      </c>
      <c r="B2167" s="20">
        <v>80</v>
      </c>
      <c r="C2167" s="20">
        <v>70</v>
      </c>
      <c r="D2167" s="20">
        <v>46</v>
      </c>
      <c r="E2167" s="20">
        <v>93</v>
      </c>
      <c r="F2167" s="20" t="s">
        <v>13530</v>
      </c>
      <c r="G2167" s="24" t="str">
        <f ca="1">IFERROR(__xludf.DUMMYFUNCTION("GOOGLETRANSLATE(F2167,""en"",""pt"")"),"sistemas de passagens de nível trabalhou usuário")</f>
        <v>sistemas de passagens de nível trabalhou usuário</v>
      </c>
      <c r="H2167" s="20" t="s">
        <v>13531</v>
      </c>
      <c r="I2167" s="24"/>
    </row>
    <row r="2168" spans="1:9" ht="14.5">
      <c r="A2168" s="20" t="s">
        <v>13532</v>
      </c>
      <c r="B2168" s="20">
        <v>80</v>
      </c>
      <c r="C2168" s="20">
        <v>70</v>
      </c>
      <c r="D2168" s="20">
        <v>46</v>
      </c>
      <c r="E2168" s="20">
        <v>95</v>
      </c>
      <c r="F2168" s="20" t="s">
        <v>13533</v>
      </c>
      <c r="G2168" s="24" t="str">
        <f ca="1">IFERROR(__xludf.DUMMYFUNCTION("GOOGLETRANSLATE(F2168,""en"",""pt"")"),"sistemas de passagens de nível veicular")</f>
        <v>sistemas de passagens de nível veicular</v>
      </c>
      <c r="H2168" s="20" t="s">
        <v>13534</v>
      </c>
      <c r="I2168" s="24"/>
    </row>
    <row r="2169" spans="1:9" ht="14.5">
      <c r="A2169" s="20" t="s">
        <v>13535</v>
      </c>
      <c r="B2169" s="20">
        <v>80</v>
      </c>
      <c r="C2169" s="20">
        <v>70</v>
      </c>
      <c r="D2169" s="20">
        <v>50</v>
      </c>
      <c r="E2169" s="24"/>
      <c r="F2169" s="20" t="s">
        <v>13536</v>
      </c>
      <c r="G2169" s="24" t="str">
        <f ca="1">IFERROR(__xludf.DUMMYFUNCTION("GOOGLETRANSLATE(F2169,""en"",""pt"")"),"monotrilhos")</f>
        <v>monotrilhos</v>
      </c>
      <c r="H2169" s="24"/>
      <c r="I2169" s="24"/>
    </row>
    <row r="2170" spans="1:9" ht="14.5">
      <c r="A2170" s="20" t="s">
        <v>13537</v>
      </c>
      <c r="B2170" s="20">
        <v>80</v>
      </c>
      <c r="C2170" s="20">
        <v>70</v>
      </c>
      <c r="D2170" s="20">
        <v>70</v>
      </c>
      <c r="E2170" s="24"/>
      <c r="F2170" s="20" t="s">
        <v>13538</v>
      </c>
      <c r="G2170" s="24" t="str">
        <f ca="1">IFERROR(__xludf.DUMMYFUNCTION("GOOGLETRANSLATE(F2170,""en"",""pt"")"),"sistemas de via férrea")</f>
        <v>sistemas de via férrea</v>
      </c>
      <c r="H2170" s="24"/>
      <c r="I2170" s="24"/>
    </row>
    <row r="2171" spans="1:9" ht="14.5">
      <c r="A2171" s="20" t="s">
        <v>13539</v>
      </c>
      <c r="B2171" s="20">
        <v>80</v>
      </c>
      <c r="C2171" s="20">
        <v>70</v>
      </c>
      <c r="D2171" s="20">
        <v>70</v>
      </c>
      <c r="E2171" s="20">
        <v>6</v>
      </c>
      <c r="F2171" s="20" t="s">
        <v>13540</v>
      </c>
      <c r="G2171" s="24" t="str">
        <f ca="1">IFERROR(__xludf.DUMMYFUNCTION("GOOGLETRANSLATE(F2171,""en"",""pt"")"),"sistemas de via férrea lastrado")</f>
        <v>sistemas de via férrea lastrado</v>
      </c>
      <c r="H2171" s="20" t="s">
        <v>13541</v>
      </c>
      <c r="I2171" s="24"/>
    </row>
    <row r="2172" spans="1:9" ht="14.5">
      <c r="A2172" s="20" t="s">
        <v>13542</v>
      </c>
      <c r="B2172" s="20">
        <v>80</v>
      </c>
      <c r="C2172" s="20">
        <v>70</v>
      </c>
      <c r="D2172" s="20">
        <v>70</v>
      </c>
      <c r="E2172" s="20">
        <v>27</v>
      </c>
      <c r="F2172" s="20" t="s">
        <v>13543</v>
      </c>
      <c r="G2172" s="24" t="str">
        <f ca="1">IFERROR(__xludf.DUMMYFUNCTION("GOOGLETRANSLATE(F2172,""en"",""pt"")"),"sistemas ferroviários embarcados")</f>
        <v>sistemas ferroviários embarcados</v>
      </c>
      <c r="H2172" s="20" t="s">
        <v>13544</v>
      </c>
      <c r="I2172" s="24"/>
    </row>
    <row r="2173" spans="1:9" ht="14.5">
      <c r="A2173" s="20" t="s">
        <v>13545</v>
      </c>
      <c r="B2173" s="20">
        <v>80</v>
      </c>
      <c r="C2173" s="20">
        <v>70</v>
      </c>
      <c r="D2173" s="20">
        <v>70</v>
      </c>
      <c r="E2173" s="20">
        <v>56</v>
      </c>
      <c r="F2173" s="20" t="s">
        <v>13546</v>
      </c>
      <c r="G2173" s="24" t="str">
        <f ca="1">IFERROR(__xludf.DUMMYFUNCTION("GOOGLETRANSLATE(F2173,""en"",""pt"")"),"Não embutido sistemas ferroviários pista laje")</f>
        <v>Não embutido sistemas ferroviários pista laje</v>
      </c>
      <c r="H2173" s="20" t="s">
        <v>13547</v>
      </c>
      <c r="I2173" s="24"/>
    </row>
    <row r="2174" spans="1:9" ht="14.5">
      <c r="A2174" s="20" t="s">
        <v>13548</v>
      </c>
      <c r="B2174" s="20">
        <v>80</v>
      </c>
      <c r="C2174" s="20">
        <v>70</v>
      </c>
      <c r="D2174" s="20">
        <v>70</v>
      </c>
      <c r="E2174" s="20">
        <v>65</v>
      </c>
      <c r="F2174" s="20" t="s">
        <v>13549</v>
      </c>
      <c r="G2174" s="24" t="str">
        <f ca="1">IFERROR(__xludf.DUMMYFUNCTION("GOOGLETRANSLATE(F2174,""en"",""pt"")"),"sistemas de leito de pista pré-moldado")</f>
        <v>sistemas de leito de pista pré-moldado</v>
      </c>
      <c r="H2174" s="20" t="s">
        <v>13550</v>
      </c>
      <c r="I2174" s="24"/>
    </row>
    <row r="2175" spans="1:9" ht="14.5">
      <c r="A2175" s="20" t="s">
        <v>13551</v>
      </c>
      <c r="B2175" s="20">
        <v>80</v>
      </c>
      <c r="C2175" s="20">
        <v>70</v>
      </c>
      <c r="D2175" s="20">
        <v>89</v>
      </c>
      <c r="E2175" s="24"/>
      <c r="F2175" s="20" t="s">
        <v>13552</v>
      </c>
      <c r="G2175" s="24" t="str">
        <f ca="1">IFERROR(__xludf.DUMMYFUNCTION("GOOGLETRANSLATE(F2175,""en"",""pt"")"),"sistemas de pára-trem")</f>
        <v>sistemas de pára-trem</v>
      </c>
      <c r="H2175" s="24"/>
      <c r="I2175" s="24"/>
    </row>
    <row r="2176" spans="1:9" ht="14.5">
      <c r="A2176" s="20" t="s">
        <v>13553</v>
      </c>
      <c r="B2176" s="20">
        <v>80</v>
      </c>
      <c r="C2176" s="20">
        <v>70</v>
      </c>
      <c r="D2176" s="20">
        <v>89</v>
      </c>
      <c r="E2176" s="20">
        <v>30</v>
      </c>
      <c r="F2176" s="20" t="s">
        <v>13554</v>
      </c>
      <c r="G2176" s="24" t="str">
        <f ca="1">IFERROR(__xludf.DUMMYFUNCTION("GOOGLETRANSLATE(F2176,""en"",""pt"")"),"sistemas de pára-trem fixos")</f>
        <v>sistemas de pára-trem fixos</v>
      </c>
      <c r="H2176" s="20" t="s">
        <v>13555</v>
      </c>
      <c r="I2176" s="24"/>
    </row>
    <row r="2177" spans="1:9" ht="14.5">
      <c r="A2177" s="20" t="s">
        <v>13556</v>
      </c>
      <c r="B2177" s="20">
        <v>80</v>
      </c>
      <c r="C2177" s="20">
        <v>70</v>
      </c>
      <c r="D2177" s="20">
        <v>89</v>
      </c>
      <c r="E2177" s="20">
        <v>50</v>
      </c>
      <c r="F2177" s="20" t="s">
        <v>13557</v>
      </c>
      <c r="G2177" s="24" t="str">
        <f ca="1">IFERROR(__xludf.DUMMYFUNCTION("GOOGLETRANSLATE(F2177,""en"",""pt"")"),"sistemas de pára-trem móvel")</f>
        <v>sistemas de pára-trem móvel</v>
      </c>
      <c r="H2177" s="20" t="s">
        <v>13558</v>
      </c>
      <c r="I2177" s="24"/>
    </row>
    <row r="2178" spans="1:9" ht="14.5">
      <c r="A2178" s="20" t="s">
        <v>13559</v>
      </c>
      <c r="B2178" s="20">
        <v>80</v>
      </c>
      <c r="C2178" s="20">
        <v>80</v>
      </c>
      <c r="D2178" s="24"/>
      <c r="E2178" s="24"/>
      <c r="F2178" s="20" t="s">
        <v>13560</v>
      </c>
      <c r="G2178" s="24" t="str">
        <f ca="1">IFERROR(__xludf.DUMMYFUNCTION("GOOGLETRANSLATE(F2178,""en"",""pt"")"),"sistemas de plataforma giratória")</f>
        <v>sistemas de plataforma giratória</v>
      </c>
      <c r="H2178" s="24"/>
      <c r="I2178" s="24"/>
    </row>
    <row r="2179" spans="1:9" ht="14.5">
      <c r="A2179" s="20" t="s">
        <v>13561</v>
      </c>
      <c r="B2179" s="20">
        <v>80</v>
      </c>
      <c r="C2179" s="20">
        <v>80</v>
      </c>
      <c r="D2179" s="20">
        <v>20</v>
      </c>
      <c r="E2179" s="24"/>
      <c r="F2179" s="20" t="s">
        <v>13562</v>
      </c>
      <c r="G2179" s="24" t="str">
        <f ca="1">IFERROR(__xludf.DUMMYFUNCTION("GOOGLETRANSLATE(F2179,""en"",""pt"")"),"Exibir sistemas de plataforma giratória")</f>
        <v>Exibir sistemas de plataforma giratória</v>
      </c>
      <c r="H2179" s="24"/>
      <c r="I2179" s="24"/>
    </row>
    <row r="2180" spans="1:9" ht="14.5">
      <c r="A2180" s="20" t="s">
        <v>13563</v>
      </c>
      <c r="B2180" s="20">
        <v>80</v>
      </c>
      <c r="C2180" s="20">
        <v>80</v>
      </c>
      <c r="D2180" s="20">
        <v>30</v>
      </c>
      <c r="E2180" s="24"/>
      <c r="F2180" s="20" t="s">
        <v>13564</v>
      </c>
      <c r="G2180" s="24" t="str">
        <f ca="1">IFERROR(__xludf.DUMMYFUNCTION("GOOGLETRANSLATE(F2180,""en"",""pt"")"),"sistemas de chão plataforma giratória")</f>
        <v>sistemas de chão plataforma giratória</v>
      </c>
      <c r="H2180" s="24"/>
      <c r="I2180" s="24"/>
    </row>
    <row r="2181" spans="1:9" ht="14.5">
      <c r="A2181" s="20" t="s">
        <v>13565</v>
      </c>
      <c r="B2181" s="20">
        <v>80</v>
      </c>
      <c r="C2181" s="20">
        <v>80</v>
      </c>
      <c r="D2181" s="20">
        <v>40</v>
      </c>
      <c r="E2181" s="24"/>
      <c r="F2181" s="20" t="s">
        <v>13566</v>
      </c>
      <c r="G2181" s="24" t="str">
        <f ca="1">IFERROR(__xludf.DUMMYFUNCTION("GOOGLETRANSLATE(F2181,""en"",""pt"")"),"sistemas de plataforma giratória industriais")</f>
        <v>sistemas de plataforma giratória industriais</v>
      </c>
      <c r="H2181" s="24"/>
      <c r="I2181" s="24"/>
    </row>
    <row r="2182" spans="1:9" ht="14.5">
      <c r="A2182" s="20" t="s">
        <v>13567</v>
      </c>
      <c r="B2182" s="20">
        <v>80</v>
      </c>
      <c r="C2182" s="20">
        <v>80</v>
      </c>
      <c r="D2182" s="20">
        <v>70</v>
      </c>
      <c r="E2182" s="24"/>
      <c r="F2182" s="20" t="s">
        <v>13568</v>
      </c>
      <c r="G2182" s="24" t="str">
        <f ca="1">IFERROR(__xludf.DUMMYFUNCTION("GOOGLETRANSLATE(F2182,""en"",""pt"")"),"sistemas de plataforma giratória Railway")</f>
        <v>sistemas de plataforma giratória Railway</v>
      </c>
      <c r="H2182" s="24"/>
      <c r="I2182" s="24"/>
    </row>
    <row r="2183" spans="1:9" ht="14.5">
      <c r="A2183" s="20" t="s">
        <v>13569</v>
      </c>
      <c r="B2183" s="20">
        <v>80</v>
      </c>
      <c r="C2183" s="20">
        <v>80</v>
      </c>
      <c r="D2183" s="20">
        <v>85</v>
      </c>
      <c r="E2183" s="24"/>
      <c r="F2183" s="20" t="s">
        <v>13570</v>
      </c>
      <c r="G2183" s="24" t="str">
        <f ca="1">IFERROR(__xludf.DUMMYFUNCTION("GOOGLETRANSLATE(F2183,""en"",""pt"")"),"Encenar sistemas de plataforma giratória")</f>
        <v>Encenar sistemas de plataforma giratória</v>
      </c>
      <c r="H2183" s="24"/>
      <c r="I2183" s="24"/>
    </row>
    <row r="2184" spans="1:9" ht="14.5">
      <c r="A2184" s="20" t="s">
        <v>13571</v>
      </c>
      <c r="B2184" s="20">
        <v>80</v>
      </c>
      <c r="C2184" s="20">
        <v>90</v>
      </c>
      <c r="D2184" s="24"/>
      <c r="E2184" s="24"/>
      <c r="F2184" s="20" t="s">
        <v>13572</v>
      </c>
      <c r="G2184" s="24" t="str">
        <f ca="1">IFERROR(__xludf.DUMMYFUNCTION("GOOGLETRANSLATE(F2184,""en"",""pt"")"),"sistemas de acesso de veículos")</f>
        <v>sistemas de acesso de veículos</v>
      </c>
      <c r="H2184" s="24"/>
      <c r="I2184" s="24"/>
    </row>
    <row r="2185" spans="1:9" ht="14.5">
      <c r="A2185" s="20" t="s">
        <v>13573</v>
      </c>
      <c r="B2185" s="20">
        <v>80</v>
      </c>
      <c r="C2185" s="20">
        <v>90</v>
      </c>
      <c r="D2185" s="20">
        <v>5</v>
      </c>
      <c r="E2185" s="24"/>
      <c r="F2185" s="20" t="s">
        <v>13574</v>
      </c>
      <c r="G2185" s="24" t="str">
        <f ca="1">IFERROR(__xludf.DUMMYFUNCTION("GOOGLETRANSLATE(F2185,""en"",""pt"")"),"sistemas de pontes para passageiros para aviões de carregamento")</f>
        <v>sistemas de pontes para passageiros para aviões de carregamento</v>
      </c>
      <c r="H2185" s="24"/>
      <c r="I2185" s="24"/>
    </row>
    <row r="2186" spans="1:9" ht="14.5">
      <c r="A2186" s="20" t="s">
        <v>13575</v>
      </c>
      <c r="B2186" s="20">
        <v>80</v>
      </c>
      <c r="C2186" s="20">
        <v>90</v>
      </c>
      <c r="D2186" s="20">
        <v>5</v>
      </c>
      <c r="E2186" s="20">
        <v>60</v>
      </c>
      <c r="F2186" s="20" t="s">
        <v>13576</v>
      </c>
      <c r="G2186" s="24" t="str">
        <f ca="1">IFERROR(__xludf.DUMMYFUNCTION("GOOGLETRANSLATE(F2186,""en"",""pt"")"),"sistemas de ponte de passageiros de carregamento")</f>
        <v>sistemas de ponte de passageiros de carregamento</v>
      </c>
      <c r="H2186" s="20" t="s">
        <v>13577</v>
      </c>
      <c r="I2186" s="24"/>
    </row>
    <row r="2187" spans="1:9" ht="14.5">
      <c r="A2187" s="20" t="s">
        <v>13578</v>
      </c>
      <c r="B2187" s="20">
        <v>80</v>
      </c>
      <c r="C2187" s="20">
        <v>90</v>
      </c>
      <c r="D2187" s="20">
        <v>70</v>
      </c>
      <c r="E2187" s="24"/>
      <c r="F2187" s="20" t="s">
        <v>13579</v>
      </c>
      <c r="G2187" s="24" t="str">
        <f ca="1">IFERROR(__xludf.DUMMYFUNCTION("GOOGLETRANSLATE(F2187,""en"",""pt"")"),"sistemas de acesso de passageiros foguetes")</f>
        <v>sistemas de acesso de passageiros foguetes</v>
      </c>
      <c r="H2187" s="24"/>
      <c r="I2187" s="24"/>
    </row>
    <row r="2188" spans="1:9" ht="14.5">
      <c r="A2188" s="20" t="s">
        <v>13580</v>
      </c>
      <c r="B2188" s="20">
        <v>80</v>
      </c>
      <c r="C2188" s="20">
        <v>90</v>
      </c>
      <c r="D2188" s="20">
        <v>75</v>
      </c>
      <c r="E2188" s="24"/>
      <c r="F2188" s="20" t="s">
        <v>13581</v>
      </c>
      <c r="G2188" s="24" t="str">
        <f ca="1">IFERROR(__xludf.DUMMYFUNCTION("GOOGLETRANSLATE(F2188,""en"",""pt"")"),"sistemas de ponte de navio de passageiros de carregamento")</f>
        <v>sistemas de ponte de navio de passageiros de carregamento</v>
      </c>
      <c r="H2188" s="24"/>
      <c r="I2188" s="24"/>
    </row>
    <row r="2189" spans="1:9" ht="14.5">
      <c r="A2189" s="20" t="s">
        <v>13582</v>
      </c>
      <c r="B2189" s="20">
        <v>80</v>
      </c>
      <c r="C2189" s="20">
        <v>95</v>
      </c>
      <c r="D2189" s="24"/>
      <c r="E2189" s="24"/>
      <c r="F2189" s="20" t="s">
        <v>13583</v>
      </c>
      <c r="G2189" s="24" t="str">
        <f ca="1">IFERROR(__xludf.DUMMYFUNCTION("GOOGLETRANSLATE(F2189,""en"",""pt"")"),"sistemas de transporte temporários")</f>
        <v>sistemas de transporte temporários</v>
      </c>
      <c r="H2189" s="24"/>
      <c r="I2189" s="24"/>
    </row>
    <row r="2190" spans="1:9" ht="14.5">
      <c r="A2190" s="20" t="s">
        <v>13584</v>
      </c>
      <c r="B2190" s="20">
        <v>85</v>
      </c>
      <c r="C2190" s="24"/>
      <c r="D2190" s="24"/>
      <c r="E2190" s="24"/>
      <c r="F2190" s="20" t="s">
        <v>13585</v>
      </c>
      <c r="G2190" s="24" t="str">
        <f ca="1">IFERROR(__xludf.DUMMYFUNCTION("GOOGLETRANSLATE(F2190,""en"",""pt"")"),"sistemas de engenharia de processo")</f>
        <v>sistemas de engenharia de processo</v>
      </c>
      <c r="H2190" s="24"/>
      <c r="I2190" s="24"/>
    </row>
    <row r="2191" spans="1:9" ht="14.5">
      <c r="A2191" s="20" t="s">
        <v>13586</v>
      </c>
      <c r="B2191" s="20">
        <v>85</v>
      </c>
      <c r="C2191" s="20">
        <v>72</v>
      </c>
      <c r="D2191" s="24"/>
      <c r="E2191" s="24"/>
      <c r="F2191" s="20" t="s">
        <v>13587</v>
      </c>
      <c r="G2191" s="24" t="str">
        <f ca="1">IFERROR(__xludf.DUMMYFUNCTION("GOOGLETRANSLATE(F2191,""en"",""pt"")"),"sistemas robóticos")</f>
        <v>sistemas robóticos</v>
      </c>
      <c r="H2191" s="24"/>
      <c r="I2191" s="24"/>
    </row>
    <row r="2192" spans="1:9" ht="14.5">
      <c r="A2192" s="20" t="s">
        <v>13588</v>
      </c>
      <c r="B2192" s="20">
        <v>85</v>
      </c>
      <c r="C2192" s="20">
        <v>95</v>
      </c>
      <c r="D2192" s="24"/>
      <c r="E2192" s="24"/>
      <c r="F2192" s="20" t="s">
        <v>13589</v>
      </c>
      <c r="G2192" s="24" t="str">
        <f ca="1">IFERROR(__xludf.DUMMYFUNCTION("GOOGLETRANSLATE(F2192,""en"",""pt"")"),"sistemas de engenharia de processo temporário")</f>
        <v>sistemas de engenharia de processo temporário</v>
      </c>
      <c r="H2192" s="24"/>
      <c r="I2192" s="24"/>
    </row>
    <row r="2193" spans="1:9" ht="14.5">
      <c r="A2193" s="20" t="s">
        <v>13590</v>
      </c>
      <c r="B2193" s="20">
        <v>90</v>
      </c>
      <c r="C2193" s="24"/>
      <c r="D2193" s="24"/>
      <c r="E2193" s="24"/>
      <c r="F2193" s="20" t="s">
        <v>13591</v>
      </c>
      <c r="G2193" s="24" t="str">
        <f ca="1">IFERROR(__xludf.DUMMYFUNCTION("GOOGLETRANSLATE(F2193,""en"",""pt"")"),"sistemas de gestão de instalações suave")</f>
        <v>sistemas de gestão de instalações suave</v>
      </c>
      <c r="H2193" s="24"/>
      <c r="I2193" s="24"/>
    </row>
    <row r="2194" spans="1:9" ht="14.5">
      <c r="A2194" s="20" t="s">
        <v>13592</v>
      </c>
      <c r="B2194" s="20">
        <v>90</v>
      </c>
      <c r="C2194" s="20">
        <v>5</v>
      </c>
      <c r="D2194" s="24"/>
      <c r="E2194" s="24"/>
      <c r="F2194" s="20" t="s">
        <v>13593</v>
      </c>
      <c r="G2194" s="24" t="str">
        <f ca="1">IFERROR(__xludf.DUMMYFUNCTION("GOOGLETRANSLATE(F2194,""en"",""pt"")"),"A demanda por espaço")</f>
        <v>A demanda por espaço</v>
      </c>
      <c r="H2194" s="24"/>
      <c r="I2194" s="24"/>
    </row>
    <row r="2195" spans="1:9" ht="14.5">
      <c r="A2195" s="20" t="s">
        <v>13594</v>
      </c>
      <c r="B2195" s="20">
        <v>90</v>
      </c>
      <c r="C2195" s="20">
        <v>6</v>
      </c>
      <c r="D2195" s="24"/>
      <c r="E2195" s="24"/>
      <c r="F2195" s="20" t="s">
        <v>13595</v>
      </c>
      <c r="G2195" s="24" t="str">
        <f ca="1">IFERROR(__xludf.DUMMYFUNCTION("GOOGLETRANSLATE(F2195,""en"",""pt"")"),"A demanda por infra-estrutura técnica")</f>
        <v>A demanda por infra-estrutura técnica</v>
      </c>
      <c r="H2195" s="24"/>
      <c r="I2195" s="24"/>
    </row>
    <row r="2196" spans="1:9" ht="14.5">
      <c r="A2196" s="20" t="s">
        <v>13596</v>
      </c>
      <c r="B2196" s="20">
        <v>90</v>
      </c>
      <c r="C2196" s="20">
        <v>7</v>
      </c>
      <c r="D2196" s="24"/>
      <c r="E2196" s="24"/>
      <c r="F2196" s="20" t="s">
        <v>13597</v>
      </c>
      <c r="G2196" s="24" t="str">
        <f ca="1">IFERROR(__xludf.DUMMYFUNCTION("GOOGLETRANSLATE(F2196,""en"",""pt"")"),"A demanda por limpeza")</f>
        <v>A demanda por limpeza</v>
      </c>
      <c r="H2196" s="24"/>
      <c r="I2196" s="24"/>
    </row>
    <row r="2197" spans="1:9" ht="14.5">
      <c r="A2197" s="20" t="s">
        <v>13598</v>
      </c>
      <c r="B2197" s="20">
        <v>90</v>
      </c>
      <c r="C2197" s="20">
        <v>8</v>
      </c>
      <c r="D2197" s="24"/>
      <c r="E2197" s="24"/>
      <c r="F2197" s="20" t="s">
        <v>13599</v>
      </c>
      <c r="G2197" s="24" t="str">
        <f ca="1">IFERROR(__xludf.DUMMYFUNCTION("GOOGLETRANSLATE(F2197,""en"",""pt"")"),"Demanda relacionada ao espaço ao ar livre")</f>
        <v>Demanda relacionada ao espaço ao ar livre</v>
      </c>
      <c r="H2197" s="24"/>
      <c r="I2197" s="24"/>
    </row>
    <row r="2198" spans="1:9" ht="14.5">
      <c r="A2198" s="20" t="s">
        <v>13600</v>
      </c>
      <c r="B2198" s="20">
        <v>90</v>
      </c>
      <c r="C2198" s="20">
        <v>9</v>
      </c>
      <c r="D2198" s="24"/>
      <c r="E2198" s="24"/>
      <c r="F2198" s="20" t="s">
        <v>13601</v>
      </c>
      <c r="G2198" s="24" t="str">
        <f ca="1">IFERROR(__xludf.DUMMYFUNCTION("GOOGLETRANSLATE(F2198,""en"",""pt"")"),"Local de trabalho")</f>
        <v>Local de trabalho</v>
      </c>
      <c r="H2198" s="24"/>
      <c r="I2198" s="24"/>
    </row>
    <row r="2199" spans="1:9" ht="14.5">
      <c r="A2199" s="20" t="s">
        <v>13602</v>
      </c>
      <c r="B2199" s="20">
        <v>90</v>
      </c>
      <c r="C2199" s="20">
        <v>10</v>
      </c>
      <c r="D2199" s="24"/>
      <c r="E2199" s="24"/>
      <c r="F2199" s="20" t="s">
        <v>13603</v>
      </c>
      <c r="G2199" s="24" t="str">
        <f ca="1">IFERROR(__xludf.DUMMYFUNCTION("GOOGLETRANSLATE(F2199,""en"",""pt"")"),"demanda específica relacionada com o espaço e infra-estrutura")</f>
        <v>demanda específica relacionada com o espaço e infra-estrutura</v>
      </c>
      <c r="H2199" s="24"/>
      <c r="I2199" s="24"/>
    </row>
    <row r="2200" spans="1:9" ht="14.5">
      <c r="A2200" s="20" t="s">
        <v>13604</v>
      </c>
      <c r="B2200" s="20">
        <v>90</v>
      </c>
      <c r="C2200" s="20">
        <v>11</v>
      </c>
      <c r="D2200" s="24"/>
      <c r="E2200" s="24"/>
      <c r="F2200" s="20" t="s">
        <v>13605</v>
      </c>
      <c r="G2200" s="24" t="str">
        <f ca="1">IFERROR(__xludf.DUMMYFUNCTION("GOOGLETRANSLATE(F2200,""en"",""pt"")"),"A demanda por saúde, segurança e segurança")</f>
        <v>A demanda por saúde, segurança e segurança</v>
      </c>
      <c r="H2200" s="24"/>
      <c r="I2200" s="24"/>
    </row>
    <row r="2201" spans="1:9" ht="14.5">
      <c r="A2201" s="20" t="s">
        <v>13606</v>
      </c>
      <c r="B2201" s="20">
        <v>90</v>
      </c>
      <c r="C2201" s="20">
        <v>12</v>
      </c>
      <c r="D2201" s="24"/>
      <c r="E2201" s="24"/>
      <c r="F2201" s="20" t="s">
        <v>13607</v>
      </c>
      <c r="G2201" s="24" t="str">
        <f ca="1">IFERROR(__xludf.DUMMYFUNCTION("GOOGLETRANSLATE(F2201,""en"",""pt"")"),"exigências de hospitalidade")</f>
        <v>exigências de hospitalidade</v>
      </c>
      <c r="H2201" s="24"/>
      <c r="I2201" s="24"/>
    </row>
    <row r="2202" spans="1:9" ht="14.5">
      <c r="A2202" s="20" t="s">
        <v>13608</v>
      </c>
      <c r="B2202" s="20">
        <v>90</v>
      </c>
      <c r="C2202" s="20">
        <v>13</v>
      </c>
      <c r="D2202" s="24"/>
      <c r="E2202" s="24"/>
      <c r="F2202" s="20" t="s">
        <v>13609</v>
      </c>
      <c r="G2202" s="24" t="str">
        <f ca="1">IFERROR(__xludf.DUMMYFUNCTION("GOOGLETRANSLATE(F2202,""en"",""pt"")"),"A demanda por informação e comunicação")</f>
        <v>A demanda por informação e comunicação</v>
      </c>
      <c r="H2202" s="24"/>
      <c r="I2202" s="24"/>
    </row>
    <row r="2203" spans="1:9" ht="14.5">
      <c r="A2203" s="20" t="s">
        <v>13610</v>
      </c>
      <c r="B2203" s="20">
        <v>90</v>
      </c>
      <c r="C2203" s="20">
        <v>14</v>
      </c>
      <c r="D2203" s="24"/>
      <c r="E2203" s="24"/>
      <c r="F2203" s="20" t="s">
        <v>13611</v>
      </c>
      <c r="G2203" s="24" t="str">
        <f ca="1">IFERROR(__xludf.DUMMYFUNCTION("GOOGLETRANSLATE(F2203,""en"",""pt"")"),"A demanda por logística")</f>
        <v>A demanda por logística</v>
      </c>
      <c r="H2203" s="24"/>
      <c r="I2203" s="24"/>
    </row>
    <row r="2204" spans="1:9" ht="14.5">
      <c r="A2204" s="20" t="s">
        <v>13612</v>
      </c>
      <c r="B2204" s="20">
        <v>90</v>
      </c>
      <c r="C2204" s="20">
        <v>15</v>
      </c>
      <c r="D2204" s="24"/>
      <c r="E2204" s="24"/>
      <c r="F2204" s="20" t="s">
        <v>13613</v>
      </c>
      <c r="G2204" s="24" t="str">
        <f ca="1">IFERROR(__xludf.DUMMYFUNCTION("GOOGLETRANSLATE(F2204,""en"",""pt"")"),"A demanda por gestão integrada, consultoria e administração")</f>
        <v>A demanda por gestão integrada, consultoria e administração</v>
      </c>
      <c r="H2204" s="24"/>
      <c r="I2204" s="24"/>
    </row>
    <row r="2205" spans="1:9" ht="14.5">
      <c r="A2205" s="20" t="s">
        <v>13614</v>
      </c>
      <c r="B2205" s="20">
        <v>90</v>
      </c>
      <c r="C2205" s="20">
        <v>20</v>
      </c>
      <c r="D2205" s="24"/>
      <c r="E2205" s="24"/>
      <c r="F2205" s="20" t="s">
        <v>13615</v>
      </c>
      <c r="G2205" s="24" t="str">
        <f ca="1">IFERROR(__xludf.DUMMYFUNCTION("GOOGLETRANSLATE(F2205,""en"",""pt"")"),"demanda específica de serviços administrativos, comerciais e de proteção")</f>
        <v>demanda específica de serviços administrativos, comerciais e de proteção</v>
      </c>
      <c r="H2205" s="24"/>
      <c r="I2205" s="24"/>
    </row>
    <row r="2206" spans="1:9" ht="14.5">
      <c r="A2206" s="20" t="s">
        <v>13616</v>
      </c>
      <c r="B2206" s="20">
        <v>90</v>
      </c>
      <c r="C2206" s="20">
        <v>25</v>
      </c>
      <c r="D2206" s="24"/>
      <c r="E2206" s="24"/>
      <c r="F2206" s="20" t="s">
        <v>13617</v>
      </c>
      <c r="G2206" s="24" t="str">
        <f ca="1">IFERROR(__xludf.DUMMYFUNCTION("GOOGLETRANSLATE(F2206,""en"",""pt"")"),"demanda específica das organizações culturais, educacionais, científicas e de informação")</f>
        <v>demanda específica das organizações culturais, educacionais, científicas e de informação</v>
      </c>
      <c r="H2206" s="24"/>
      <c r="I2206" s="24"/>
    </row>
    <row r="2207" spans="1:9" ht="14.5">
      <c r="A2207" s="20" t="s">
        <v>13618</v>
      </c>
      <c r="B2207" s="20">
        <v>90</v>
      </c>
      <c r="C2207" s="20">
        <v>30</v>
      </c>
      <c r="D2207" s="24"/>
      <c r="E2207" s="24"/>
      <c r="F2207" s="20" t="s">
        <v>13619</v>
      </c>
      <c r="G2207" s="24" t="str">
        <f ca="1">IFERROR(__xludf.DUMMYFUNCTION("GOOGLETRANSLATE(F2207,""en"",""pt"")"),"demanda específica de organizações industriais")</f>
        <v>demanda específica de organizações industriais</v>
      </c>
      <c r="H2207" s="24"/>
      <c r="I2207" s="24"/>
    </row>
    <row r="2208" spans="1:9" ht="14.5">
      <c r="A2208" s="20" t="s">
        <v>13620</v>
      </c>
      <c r="B2208" s="20">
        <v>90</v>
      </c>
      <c r="C2208" s="20">
        <v>35</v>
      </c>
      <c r="D2208" s="24"/>
      <c r="E2208" s="24"/>
      <c r="F2208" s="20" t="s">
        <v>13621</v>
      </c>
      <c r="G2208" s="24" t="str">
        <f ca="1">IFERROR(__xludf.DUMMYFUNCTION("GOOGLETRANSLATE(F2208,""en"",""pt"")"),"demanda específica de médico, saúde, bem-estar e organizações sanitárias")</f>
        <v>demanda específica de médico, saúde, bem-estar e organizações sanitárias</v>
      </c>
      <c r="H2208" s="24"/>
      <c r="I2208" s="24"/>
    </row>
    <row r="2209" spans="1:9" ht="14.5">
      <c r="A2209" s="20" t="s">
        <v>13622</v>
      </c>
      <c r="B2209" s="20">
        <v>90</v>
      </c>
      <c r="C2209" s="20">
        <v>40</v>
      </c>
      <c r="D2209" s="24"/>
      <c r="E2209" s="24"/>
      <c r="F2209" s="20" t="s">
        <v>13623</v>
      </c>
      <c r="G2209" s="24" t="str">
        <f ca="1">IFERROR(__xludf.DUMMYFUNCTION("GOOGLETRANSLATE(F2209,""en"",""pt"")"),"demanda específica de organizações recreativas")</f>
        <v>demanda específica de organizações recreativas</v>
      </c>
      <c r="H2209" s="24"/>
      <c r="I2209" s="24"/>
    </row>
    <row r="2210" spans="1:9" ht="14.5">
      <c r="A2210" s="20" t="s">
        <v>13624</v>
      </c>
      <c r="B2210" s="20">
        <v>90</v>
      </c>
      <c r="C2210" s="20">
        <v>45</v>
      </c>
      <c r="D2210" s="24"/>
      <c r="E2210" s="24"/>
      <c r="F2210" s="20" t="s">
        <v>13625</v>
      </c>
      <c r="G2210" s="24" t="str">
        <f ca="1">IFERROR(__xludf.DUMMYFUNCTION("GOOGLETRANSLATE(F2210,""en"",""pt"")"),"demanda específica das organizações residenciais")</f>
        <v>demanda específica das organizações residenciais</v>
      </c>
      <c r="H2210" s="24"/>
      <c r="I2210" s="24"/>
    </row>
    <row r="2211" spans="1:9" ht="14.5">
      <c r="A2211" s="20" t="s">
        <v>13626</v>
      </c>
      <c r="B2211" s="20">
        <v>90</v>
      </c>
      <c r="C2211" s="20">
        <v>50</v>
      </c>
      <c r="D2211" s="24"/>
      <c r="E2211" s="24"/>
      <c r="F2211" s="20" t="s">
        <v>13627</v>
      </c>
      <c r="G2211" s="24" t="str">
        <f ca="1">IFERROR(__xludf.DUMMYFUNCTION("GOOGLETRANSLATE(F2211,""en"",""pt"")"),"demanda específica das organizações eliminação")</f>
        <v>demanda específica das organizações eliminação</v>
      </c>
      <c r="H2211" s="24"/>
      <c r="I2211" s="24"/>
    </row>
    <row r="2212" spans="1:9" ht="14.5">
      <c r="A2212" s="20" t="s">
        <v>13628</v>
      </c>
      <c r="B2212" s="20">
        <v>90</v>
      </c>
      <c r="C2212" s="20">
        <v>55</v>
      </c>
      <c r="D2212" s="24"/>
      <c r="E2212" s="24"/>
      <c r="F2212" s="20" t="s">
        <v>13629</v>
      </c>
      <c r="G2212" s="24" t="str">
        <f ca="1">IFERROR(__xludf.DUMMYFUNCTION("GOOGLETRANSLATE(F2212,""en"",""pt"")"),"demanda específica das organizações de abastecimento canalizado")</f>
        <v>demanda específica das organizações de abastecimento canalizado</v>
      </c>
      <c r="H2212" s="24"/>
      <c r="I2212" s="24"/>
    </row>
    <row r="2213" spans="1:9" ht="14.5">
      <c r="A2213" s="20" t="s">
        <v>13630</v>
      </c>
      <c r="B2213" s="20">
        <v>90</v>
      </c>
      <c r="C2213" s="20">
        <v>60</v>
      </c>
      <c r="D2213" s="24"/>
      <c r="E2213" s="24"/>
      <c r="F2213" s="20" t="s">
        <v>13631</v>
      </c>
      <c r="G2213" s="24" t="str">
        <f ca="1">IFERROR(__xludf.DUMMYFUNCTION("GOOGLETRANSLATE(F2213,""en"",""pt"")"),"demanda específica de aquecimento, arrefecimento e organizações de refrigeração")</f>
        <v>demanda específica de aquecimento, arrefecimento e organizações de refrigeração</v>
      </c>
      <c r="H2213" s="24"/>
      <c r="I2213" s="24"/>
    </row>
    <row r="2214" spans="1:9" ht="14.5">
      <c r="A2214" s="20" t="s">
        <v>13632</v>
      </c>
      <c r="B2214" s="20">
        <v>90</v>
      </c>
      <c r="C2214" s="20">
        <v>65</v>
      </c>
      <c r="D2214" s="24"/>
      <c r="E2214" s="24"/>
      <c r="F2214" s="20" t="s">
        <v>13633</v>
      </c>
      <c r="G2214" s="24" t="str">
        <f ca="1">IFERROR(__xludf.DUMMYFUNCTION("GOOGLETRANSLATE(F2214,""en"",""pt"")"),"demanda específica das organizações ventilação e ar condicionado")</f>
        <v>demanda específica das organizações ventilação e ar condicionado</v>
      </c>
      <c r="H2214" s="24"/>
      <c r="I2214" s="24"/>
    </row>
    <row r="2215" spans="1:9" ht="14.5">
      <c r="A2215" s="20" t="s">
        <v>13634</v>
      </c>
      <c r="B2215" s="20">
        <v>90</v>
      </c>
      <c r="C2215" s="20">
        <v>70</v>
      </c>
      <c r="D2215" s="24"/>
      <c r="E2215" s="24"/>
      <c r="F2215" s="20" t="s">
        <v>13635</v>
      </c>
      <c r="G2215" s="24" t="str">
        <f ca="1">IFERROR(__xludf.DUMMYFUNCTION("GOOGLETRANSLATE(F2215,""en"",""pt"")"),"demanda específica das organizações elétricos")</f>
        <v>demanda específica das organizações elétricos</v>
      </c>
      <c r="H2215" s="24"/>
      <c r="I2215" s="24"/>
    </row>
    <row r="2216" spans="1:9" ht="14.5">
      <c r="A2216" s="20" t="s">
        <v>13636</v>
      </c>
      <c r="B2216" s="20">
        <v>90</v>
      </c>
      <c r="C2216" s="20">
        <v>75</v>
      </c>
      <c r="D2216" s="24"/>
      <c r="E2216" s="24"/>
      <c r="F2216" s="20" t="s">
        <v>13637</v>
      </c>
      <c r="G2216" s="24" t="str">
        <f ca="1">IFERROR(__xludf.DUMMYFUNCTION("GOOGLETRANSLATE(F2216,""en"",""pt"")"),"demanda específica de comunicações, segurança, segurança e organizações de proteção")</f>
        <v>demanda específica de comunicações, segurança, segurança e organizações de proteção</v>
      </c>
      <c r="H2216" s="24"/>
      <c r="I2216" s="24"/>
    </row>
    <row r="2217" spans="1:9" ht="14.5">
      <c r="A2217" s="20" t="s">
        <v>13638</v>
      </c>
      <c r="B2217" s="20">
        <v>90</v>
      </c>
      <c r="C2217" s="20">
        <v>80</v>
      </c>
      <c r="D2217" s="24"/>
      <c r="E2217" s="24"/>
      <c r="F2217" s="20" t="s">
        <v>13639</v>
      </c>
      <c r="G2217" s="24" t="str">
        <f ca="1">IFERROR(__xludf.DUMMYFUNCTION("GOOGLETRANSLATE(F2217,""en"",""pt"")"),"demanda específica das organizações ferroviárias")</f>
        <v>demanda específica das organizações ferroviárias</v>
      </c>
      <c r="H2217" s="24"/>
      <c r="I2217" s="24"/>
    </row>
    <row r="2218" spans="1:9" ht="14.5">
      <c r="A2218" s="20" t="s">
        <v>13640</v>
      </c>
      <c r="B2218" s="20">
        <v>90</v>
      </c>
      <c r="C2218" s="20">
        <v>81</v>
      </c>
      <c r="D2218" s="24"/>
      <c r="E2218" s="24"/>
      <c r="F2218" s="20" t="s">
        <v>13641</v>
      </c>
      <c r="G2218" s="24" t="str">
        <f ca="1">IFERROR(__xludf.DUMMYFUNCTION("GOOGLETRANSLATE(F2218,""en"",""pt"")"),"demanda específica das organizações de estrada")</f>
        <v>demanda específica das organizações de estrada</v>
      </c>
      <c r="H2218" s="24"/>
      <c r="I2218" s="24"/>
    </row>
    <row r="2219" spans="1:9" ht="14.5">
      <c r="A2219" s="20" t="s">
        <v>13642</v>
      </c>
      <c r="B2219" s="20">
        <v>90</v>
      </c>
      <c r="C2219" s="20">
        <v>82</v>
      </c>
      <c r="D2219" s="24"/>
      <c r="E2219" s="24"/>
      <c r="F2219" s="20" t="s">
        <v>13643</v>
      </c>
      <c r="G2219" s="24" t="str">
        <f ca="1">IFERROR(__xludf.DUMMYFUNCTION("GOOGLETRANSLATE(F2219,""en"",""pt"")"),"demanda específica das organizações marítimas e de navegação")</f>
        <v>demanda específica das organizações marítimas e de navegação</v>
      </c>
      <c r="H2219" s="24"/>
      <c r="I2219" s="24"/>
    </row>
    <row r="2220" spans="1:9" ht="14.5">
      <c r="A2220" s="20" t="s">
        <v>13644</v>
      </c>
      <c r="B2220" s="20">
        <v>90</v>
      </c>
      <c r="C2220" s="20">
        <v>83</v>
      </c>
      <c r="D2220" s="24"/>
      <c r="E2220" s="24"/>
      <c r="F2220" s="20" t="s">
        <v>13645</v>
      </c>
      <c r="G2220" s="24" t="str">
        <f ca="1">IFERROR(__xludf.DUMMYFUNCTION("GOOGLETRANSLATE(F2220,""en"",""pt"")"),"demanda específica das organizações de transporte por cabos")</f>
        <v>demanda específica das organizações de transporte por cabos</v>
      </c>
      <c r="H2220" s="24"/>
      <c r="I2220" s="24"/>
    </row>
    <row r="2221" spans="1:9" ht="14.5">
      <c r="A2221" s="20" t="s">
        <v>13646</v>
      </c>
      <c r="B2221" s="20">
        <v>90</v>
      </c>
      <c r="C2221" s="20">
        <v>84</v>
      </c>
      <c r="D2221" s="24"/>
      <c r="E2221" s="24"/>
      <c r="F2221" s="20" t="s">
        <v>13647</v>
      </c>
      <c r="G2221" s="24" t="str">
        <f ca="1">IFERROR(__xludf.DUMMYFUNCTION("GOOGLETRANSLATE(F2221,""en"",""pt"")"),"demanda específica das organizações aeroespaciais")</f>
        <v>demanda específica das organizações aeroespaciais</v>
      </c>
      <c r="H2221" s="24"/>
      <c r="I2221" s="24"/>
    </row>
  </sheetData>
  <mergeCells count="1">
    <mergeCell ref="A1:C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K7380"/>
  <sheetViews>
    <sheetView workbookViewId="0">
      <pane ySplit="3" topLeftCell="A4" activePane="bottomLeft" state="frozen"/>
      <selection pane="bottomLeft" activeCell="B5" sqref="B5"/>
    </sheetView>
  </sheetViews>
  <sheetFormatPr defaultColWidth="14.453125" defaultRowHeight="15.75" customHeight="1"/>
  <cols>
    <col min="6" max="6" width="49.81640625" customWidth="1"/>
    <col min="9" max="9" width="25.54296875" customWidth="1"/>
    <col min="10" max="10" width="42.08984375" customWidth="1"/>
    <col min="11" max="11" width="25.81640625" customWidth="1"/>
  </cols>
  <sheetData>
    <row r="1" spans="1:11" ht="15.75" customHeight="1">
      <c r="A1" s="207" t="s">
        <v>13648</v>
      </c>
      <c r="B1" s="208"/>
      <c r="C1" s="208"/>
      <c r="D1" s="22"/>
      <c r="E1" s="22"/>
      <c r="F1" s="21" t="s">
        <v>13648</v>
      </c>
      <c r="G1" s="22"/>
      <c r="H1" s="22"/>
      <c r="I1" s="22"/>
    </row>
    <row r="2" spans="1:11" ht="15.75" customHeight="1">
      <c r="A2" s="24"/>
      <c r="B2" s="24"/>
      <c r="C2" s="24"/>
      <c r="D2" s="24"/>
      <c r="E2" s="24"/>
      <c r="F2" s="24"/>
      <c r="G2" s="24"/>
      <c r="H2" s="24"/>
      <c r="I2" s="24"/>
    </row>
    <row r="3" spans="1:11" ht="15.75" customHeight="1">
      <c r="A3" s="25" t="s">
        <v>61</v>
      </c>
      <c r="B3" s="25" t="s">
        <v>62</v>
      </c>
      <c r="C3" s="25" t="s">
        <v>63</v>
      </c>
      <c r="D3" s="25" t="s">
        <v>64</v>
      </c>
      <c r="E3" s="25" t="s">
        <v>65</v>
      </c>
      <c r="F3" s="25" t="s">
        <v>66</v>
      </c>
      <c r="G3" s="25" t="s">
        <v>78</v>
      </c>
      <c r="H3" s="25" t="s">
        <v>79</v>
      </c>
      <c r="I3" s="25" t="s">
        <v>67</v>
      </c>
      <c r="J3" s="108" t="s">
        <v>13649</v>
      </c>
      <c r="K3" s="108" t="s">
        <v>13650</v>
      </c>
    </row>
    <row r="4" spans="1:11" ht="15.75" customHeight="1">
      <c r="A4" s="20" t="s">
        <v>13651</v>
      </c>
      <c r="B4" s="20">
        <v>15</v>
      </c>
      <c r="C4" s="24"/>
      <c r="D4" s="24"/>
      <c r="E4" s="24"/>
      <c r="F4" s="28" t="s">
        <v>13652</v>
      </c>
      <c r="G4" s="24"/>
      <c r="H4" s="24"/>
      <c r="I4" s="24" t="str">
        <f ca="1">IFERROR(__xludf.DUMMYFUNCTION("GOOGLETRANSLATE(F4,""en"",""pt"")"),"produtos de preparação")</f>
        <v>produtos de preparação</v>
      </c>
      <c r="J4" t="str">
        <f>VLOOKUP(A4,Pr_Base_LNEC!$A$4:$J$6971,6,FALSE)</f>
        <v>Produtos Preparatórios</v>
      </c>
      <c r="K4">
        <f>VLOOKUP(A4,Pr_Base_LNEC!$A$4:$J$6971,7,FALSE)</f>
        <v>0</v>
      </c>
    </row>
    <row r="5" spans="1:11" ht="15.75" customHeight="1">
      <c r="A5" s="20" t="s">
        <v>13653</v>
      </c>
      <c r="B5" s="20">
        <v>15</v>
      </c>
      <c r="C5" s="20">
        <v>31</v>
      </c>
      <c r="D5" s="24"/>
      <c r="E5" s="24"/>
      <c r="F5" s="20" t="s">
        <v>13654</v>
      </c>
      <c r="G5" s="24"/>
      <c r="H5" s="24"/>
      <c r="I5" s="24" t="str">
        <f ca="1">IFERROR(__xludf.DUMMYFUNCTION("GOOGLETRANSLATE(F5,""en"",""pt"")"),"produtos de preparação informes")</f>
        <v>produtos de preparação informes</v>
      </c>
      <c r="J5" t="str">
        <f>VLOOKUP(A5,Pr_Base_LNEC!$A$4:$J$6971,6,FALSE)</f>
        <v>Produtos Preparatórios sem forma</v>
      </c>
      <c r="K5">
        <f>VLOOKUP(A5,Pr_Base_LNEC!$A$4:$J$6971,7,FALSE)</f>
        <v>0</v>
      </c>
    </row>
    <row r="6" spans="1:11" ht="15.75" customHeight="1">
      <c r="A6" s="20" t="s">
        <v>13655</v>
      </c>
      <c r="B6" s="20">
        <v>15</v>
      </c>
      <c r="C6" s="20">
        <v>31</v>
      </c>
      <c r="D6" s="20">
        <v>4</v>
      </c>
      <c r="E6" s="24"/>
      <c r="F6" s="20" t="s">
        <v>13656</v>
      </c>
      <c r="G6" s="24"/>
      <c r="H6" s="24"/>
      <c r="I6" s="24" t="str">
        <f ca="1">IFERROR(__xludf.DUMMYFUNCTION("GOOGLETRANSLATE(F6,""en"",""pt"")"),"produtos de limpeza e de tratamento aplicado")</f>
        <v>produtos de limpeza e de tratamento aplicado</v>
      </c>
      <c r="J6" t="str">
        <f>VLOOKUP(A6,Pr_Base_LNEC!$A$4:$J$6971,6,FALSE)</f>
        <v>Produtos para Tratamento de Limpeza e Reparações</v>
      </c>
      <c r="K6">
        <f>VLOOKUP(A6,Pr_Base_LNEC!$A$4:$J$6971,7,FALSE)</f>
        <v>0</v>
      </c>
    </row>
    <row r="7" spans="1:11" ht="15.75" customHeight="1">
      <c r="A7" s="20" t="s">
        <v>13657</v>
      </c>
      <c r="B7" s="20">
        <v>15</v>
      </c>
      <c r="C7" s="20">
        <v>31</v>
      </c>
      <c r="D7" s="20">
        <v>4</v>
      </c>
      <c r="E7" s="20">
        <v>2</v>
      </c>
      <c r="F7" s="20" t="s">
        <v>13658</v>
      </c>
      <c r="G7" s="24"/>
      <c r="H7" s="24"/>
      <c r="I7" s="24" t="str">
        <f ca="1">IFERROR(__xludf.DUMMYFUNCTION("GOOGLETRANSLATE(F7,""en"",""pt"")"),"produtos de neutralização do ácido")</f>
        <v>produtos de neutralização do ácido</v>
      </c>
      <c r="J7" t="str">
        <f>VLOOKUP(A7,Pr_Base_LNEC!$A$4:$J$6971,6,FALSE)</f>
        <v>-</v>
      </c>
      <c r="K7">
        <f>VLOOKUP(A7,Pr_Base_LNEC!$A$4:$J$6971,7,FALSE)</f>
        <v>0</v>
      </c>
    </row>
    <row r="8" spans="1:11" ht="15.75" customHeight="1">
      <c r="A8" s="20" t="s">
        <v>13659</v>
      </c>
      <c r="B8" s="20">
        <v>15</v>
      </c>
      <c r="C8" s="20">
        <v>31</v>
      </c>
      <c r="D8" s="20">
        <v>4</v>
      </c>
      <c r="E8" s="20">
        <v>6</v>
      </c>
      <c r="F8" s="20" t="s">
        <v>13660</v>
      </c>
      <c r="G8" s="20" t="s">
        <v>13661</v>
      </c>
      <c r="H8" s="24"/>
      <c r="I8" s="24" t="str">
        <f ca="1">IFERROR(__xludf.DUMMYFUNCTION("GOOGLETRANSLATE(F8,""en"",""pt"")"),"soluções de limpeza biocidas")</f>
        <v>soluções de limpeza biocidas</v>
      </c>
      <c r="J8" t="str">
        <f>VLOOKUP(A8,Pr_Base_LNEC!$A$4:$J$6971,6,FALSE)</f>
        <v>-</v>
      </c>
      <c r="K8">
        <f>VLOOKUP(A8,Pr_Base_LNEC!$A$4:$J$6971,7,FALSE)</f>
        <v>0</v>
      </c>
    </row>
    <row r="9" spans="1:11" ht="15.75" customHeight="1">
      <c r="A9" s="20" t="s">
        <v>13662</v>
      </c>
      <c r="B9" s="20">
        <v>15</v>
      </c>
      <c r="C9" s="20">
        <v>31</v>
      </c>
      <c r="D9" s="20">
        <v>4</v>
      </c>
      <c r="E9" s="20">
        <v>10</v>
      </c>
      <c r="F9" s="20" t="s">
        <v>13663</v>
      </c>
      <c r="G9" s="24"/>
      <c r="H9" s="24"/>
      <c r="I9" s="24" t="str">
        <f ca="1">IFERROR(__xludf.DUMMYFUNCTION("GOOGLETRANSLATE(F9,""en"",""pt"")"),"produtos absorventes químicos")</f>
        <v>produtos absorventes químicos</v>
      </c>
      <c r="J9" t="str">
        <f>VLOOKUP(A9,Pr_Base_LNEC!$A$4:$J$6971,6,FALSE)</f>
        <v>-</v>
      </c>
      <c r="K9">
        <f>VLOOKUP(A9,Pr_Base_LNEC!$A$4:$J$6971,7,FALSE)</f>
        <v>0</v>
      </c>
    </row>
    <row r="10" spans="1:11" ht="15.75" customHeight="1">
      <c r="A10" s="20" t="s">
        <v>13664</v>
      </c>
      <c r="B10" s="20">
        <v>15</v>
      </c>
      <c r="C10" s="20">
        <v>31</v>
      </c>
      <c r="D10" s="20">
        <v>4</v>
      </c>
      <c r="E10" s="20">
        <v>11</v>
      </c>
      <c r="F10" s="20" t="s">
        <v>13665</v>
      </c>
      <c r="G10" s="20" t="s">
        <v>13666</v>
      </c>
      <c r="H10" s="24"/>
      <c r="I10" s="24" t="str">
        <f ca="1">IFERROR(__xludf.DUMMYFUNCTION("GOOGLETRANSLATE(F10,""en"",""pt"")"),"Limpeza química géis e líquidos")</f>
        <v>Limpeza química géis e líquidos</v>
      </c>
      <c r="J10" t="str">
        <f>VLOOKUP(A10,Pr_Base_LNEC!$A$4:$J$6971,6,FALSE)</f>
        <v>-</v>
      </c>
      <c r="K10">
        <f>VLOOKUP(A10,Pr_Base_LNEC!$A$4:$J$6971,7,FALSE)</f>
        <v>0</v>
      </c>
    </row>
    <row r="11" spans="1:11" ht="15.75" customHeight="1">
      <c r="A11" s="20" t="s">
        <v>13667</v>
      </c>
      <c r="B11" s="20">
        <v>15</v>
      </c>
      <c r="C11" s="20">
        <v>31</v>
      </c>
      <c r="D11" s="20">
        <v>4</v>
      </c>
      <c r="E11" s="20">
        <v>12</v>
      </c>
      <c r="F11" s="20" t="s">
        <v>13668</v>
      </c>
      <c r="G11" s="20" t="s">
        <v>13669</v>
      </c>
      <c r="H11" s="24"/>
      <c r="I11" s="24" t="str">
        <f ca="1">IFERROR(__xludf.DUMMYFUNCTION("GOOGLETRANSLATE(F11,""en"",""pt"")"),"cataplasmas químicos")</f>
        <v>cataplasmas químicos</v>
      </c>
      <c r="J11" t="str">
        <f>VLOOKUP(A11,Pr_Base_LNEC!$A$4:$J$6971,6,FALSE)</f>
        <v>-</v>
      </c>
      <c r="K11">
        <f>VLOOKUP(A11,Pr_Base_LNEC!$A$4:$J$6971,7,FALSE)</f>
        <v>0</v>
      </c>
    </row>
    <row r="12" spans="1:11" ht="15.75" customHeight="1">
      <c r="A12" s="20" t="s">
        <v>13670</v>
      </c>
      <c r="B12" s="20">
        <v>15</v>
      </c>
      <c r="C12" s="20">
        <v>31</v>
      </c>
      <c r="D12" s="20">
        <v>4</v>
      </c>
      <c r="E12" s="20">
        <v>13</v>
      </c>
      <c r="F12" s="20" t="s">
        <v>13671</v>
      </c>
      <c r="G12" s="20" t="s">
        <v>13672</v>
      </c>
      <c r="H12" s="24"/>
      <c r="I12" s="24" t="str">
        <f ca="1">IFERROR(__xludf.DUMMYFUNCTION("GOOGLETRANSLATE(F12,""en"",""pt"")"),"limpadores")</f>
        <v>limpadores</v>
      </c>
      <c r="J12" t="str">
        <f>VLOOKUP(A12,Pr_Base_LNEC!$A$4:$J$6971,6,FALSE)</f>
        <v>-</v>
      </c>
      <c r="K12">
        <f>VLOOKUP(A12,Pr_Base_LNEC!$A$4:$J$6971,7,FALSE)</f>
        <v>0</v>
      </c>
    </row>
    <row r="13" spans="1:11" ht="15.75" customHeight="1">
      <c r="A13" s="20" t="s">
        <v>13673</v>
      </c>
      <c r="B13" s="20">
        <v>15</v>
      </c>
      <c r="C13" s="20">
        <v>31</v>
      </c>
      <c r="D13" s="20">
        <v>4</v>
      </c>
      <c r="E13" s="20">
        <v>14</v>
      </c>
      <c r="F13" s="20" t="s">
        <v>13674</v>
      </c>
      <c r="G13" s="20" t="s">
        <v>13675</v>
      </c>
      <c r="H13" s="24"/>
      <c r="I13" s="24" t="str">
        <f ca="1">IFERROR(__xludf.DUMMYFUNCTION("GOOGLETRANSLATE(F13,""en"",""pt"")"),"Agentes de limpeza")</f>
        <v>Agentes de limpeza</v>
      </c>
      <c r="J13" t="str">
        <f>VLOOKUP(A13,Pr_Base_LNEC!$A$4:$J$6971,6,FALSE)</f>
        <v>-</v>
      </c>
      <c r="K13">
        <f>VLOOKUP(A13,Pr_Base_LNEC!$A$4:$J$6971,7,FALSE)</f>
        <v>0</v>
      </c>
    </row>
    <row r="14" spans="1:11" ht="15.75" customHeight="1">
      <c r="A14" s="20" t="s">
        <v>13676</v>
      </c>
      <c r="B14" s="20">
        <v>15</v>
      </c>
      <c r="C14" s="20">
        <v>31</v>
      </c>
      <c r="D14" s="20">
        <v>4</v>
      </c>
      <c r="E14" s="20">
        <v>15</v>
      </c>
      <c r="F14" s="20" t="s">
        <v>13677</v>
      </c>
      <c r="G14" s="20" t="s">
        <v>13678</v>
      </c>
      <c r="H14" s="24"/>
      <c r="I14" s="24" t="str">
        <f ca="1">IFERROR(__xludf.DUMMYFUNCTION("GOOGLETRANSLATE(F14,""en"",""pt"")"),"retardadores de superfície de betão")</f>
        <v>retardadores de superfície de betão</v>
      </c>
      <c r="J14" t="str">
        <f>VLOOKUP(A14,Pr_Base_LNEC!$A$4:$J$6971,6,FALSE)</f>
        <v>-</v>
      </c>
      <c r="K14">
        <f>VLOOKUP(A14,Pr_Base_LNEC!$A$4:$J$6971,7,FALSE)</f>
        <v>0</v>
      </c>
    </row>
    <row r="15" spans="1:11" ht="15.75" customHeight="1">
      <c r="A15" s="20" t="s">
        <v>13679</v>
      </c>
      <c r="B15" s="20">
        <v>15</v>
      </c>
      <c r="C15" s="20">
        <v>31</v>
      </c>
      <c r="D15" s="20">
        <v>4</v>
      </c>
      <c r="E15" s="20">
        <v>16</v>
      </c>
      <c r="F15" s="20" t="s">
        <v>13680</v>
      </c>
      <c r="G15" s="20" t="s">
        <v>13681</v>
      </c>
      <c r="H15" s="24"/>
      <c r="I15" s="24" t="str">
        <f ca="1">IFERROR(__xludf.DUMMYFUNCTION("GOOGLETRANSLATE(F15,""en"",""pt"")"),"produtos químicos concreto tratamento de superfície e de injecção")</f>
        <v>produtos químicos concreto tratamento de superfície e de injecção</v>
      </c>
      <c r="J15" t="str">
        <f>VLOOKUP(A15,Pr_Base_LNEC!$A$4:$J$6971,6,FALSE)</f>
        <v>Sistemas de Proteção Superficial do Betão</v>
      </c>
      <c r="K15" t="str">
        <f>VLOOKUP(A15,Pr_Base_LNEC!$A$4:$J$6971,7,FALSE)</f>
        <v>EN 1504-2:2004</v>
      </c>
    </row>
    <row r="16" spans="1:11" ht="15.75" customHeight="1">
      <c r="A16" s="20" t="s">
        <v>13682</v>
      </c>
      <c r="B16" s="20">
        <v>15</v>
      </c>
      <c r="C16" s="20">
        <v>31</v>
      </c>
      <c r="D16" s="20">
        <v>4</v>
      </c>
      <c r="E16" s="20">
        <v>20</v>
      </c>
      <c r="F16" s="20" t="s">
        <v>13683</v>
      </c>
      <c r="G16" s="20" t="s">
        <v>13684</v>
      </c>
      <c r="H16" s="24"/>
      <c r="I16" s="24" t="str">
        <f ca="1">IFERROR(__xludf.DUMMYFUNCTION("GOOGLETRANSLATE(F16,""en"",""pt"")"),"compostos de cura")</f>
        <v>compostos de cura</v>
      </c>
      <c r="J16" t="str">
        <f>VLOOKUP(A16,Pr_Base_LNEC!$A$4:$J$6971,6,FALSE)</f>
        <v>-</v>
      </c>
      <c r="K16">
        <f>VLOOKUP(A16,Pr_Base_LNEC!$A$4:$J$6971,7,FALSE)</f>
        <v>0</v>
      </c>
    </row>
    <row r="17" spans="1:11" ht="15.75" customHeight="1">
      <c r="A17" s="20" t="s">
        <v>13685</v>
      </c>
      <c r="B17" s="20">
        <v>15</v>
      </c>
      <c r="C17" s="20">
        <v>31</v>
      </c>
      <c r="D17" s="20">
        <v>4</v>
      </c>
      <c r="E17" s="20">
        <v>23</v>
      </c>
      <c r="F17" s="20" t="s">
        <v>13686</v>
      </c>
      <c r="G17" s="24"/>
      <c r="H17" s="24"/>
      <c r="I17" s="24" t="str">
        <f ca="1">IFERROR(__xludf.DUMMYFUNCTION("GOOGLETRANSLATE(F17,""en"",""pt"")"),"produtos químicos de degelo")</f>
        <v>produtos químicos de degelo</v>
      </c>
      <c r="J17" t="e">
        <f>VLOOKUP(A17,Pr_Base_LNEC!$A$4:$J$6971,6,FALSE)</f>
        <v>#N/A</v>
      </c>
      <c r="K17" t="e">
        <f>VLOOKUP(A17,Pr_Base_LNEC!$A$4:$J$6971,7,FALSE)</f>
        <v>#N/A</v>
      </c>
    </row>
    <row r="18" spans="1:11" ht="15.75" customHeight="1">
      <c r="A18" s="20" t="s">
        <v>13687</v>
      </c>
      <c r="B18" s="20">
        <v>15</v>
      </c>
      <c r="C18" s="20">
        <v>31</v>
      </c>
      <c r="D18" s="20">
        <v>4</v>
      </c>
      <c r="E18" s="20">
        <v>34</v>
      </c>
      <c r="F18" s="20" t="s">
        <v>13688</v>
      </c>
      <c r="G18" s="20" t="s">
        <v>13689</v>
      </c>
      <c r="H18" s="24"/>
      <c r="I18" s="24" t="str">
        <f ca="1">IFERROR(__xludf.DUMMYFUNCTION("GOOGLETRANSLATE(F18,""en"",""pt"")"),"Graffiti de remoção de produtos químicos")</f>
        <v>Graffiti de remoção de produtos químicos</v>
      </c>
      <c r="J18" t="str">
        <f>VLOOKUP(A18,Pr_Base_LNEC!$A$4:$J$6971,6,FALSE)</f>
        <v>-</v>
      </c>
      <c r="K18">
        <f>VLOOKUP(A18,Pr_Base_LNEC!$A$4:$J$6971,7,FALSE)</f>
        <v>0</v>
      </c>
    </row>
    <row r="19" spans="1:11" ht="15.75" customHeight="1">
      <c r="A19" s="20" t="s">
        <v>13690</v>
      </c>
      <c r="B19" s="20">
        <v>15</v>
      </c>
      <c r="C19" s="20">
        <v>31</v>
      </c>
      <c r="D19" s="20">
        <v>4</v>
      </c>
      <c r="E19" s="20">
        <v>35</v>
      </c>
      <c r="F19" s="20" t="s">
        <v>13691</v>
      </c>
      <c r="G19" s="24"/>
      <c r="H19" s="24"/>
      <c r="I19" s="24" t="str">
        <f ca="1">IFERROR(__xludf.DUMMYFUNCTION("GOOGLETRANSLATE(F19,""en"",""pt"")"),"areia")</f>
        <v>areia</v>
      </c>
      <c r="J19" t="e">
        <f>VLOOKUP(A19,Pr_Base_LNEC!$A$4:$J$6971,6,FALSE)</f>
        <v>#N/A</v>
      </c>
      <c r="K19" t="e">
        <f>VLOOKUP(A19,Pr_Base_LNEC!$A$4:$J$6971,7,FALSE)</f>
        <v>#N/A</v>
      </c>
    </row>
    <row r="20" spans="1:11" ht="15.75" customHeight="1">
      <c r="A20" s="20" t="s">
        <v>13692</v>
      </c>
      <c r="B20" s="20">
        <v>15</v>
      </c>
      <c r="C20" s="20">
        <v>31</v>
      </c>
      <c r="D20" s="20">
        <v>4</v>
      </c>
      <c r="E20" s="20">
        <v>53</v>
      </c>
      <c r="F20" s="20" t="s">
        <v>13693</v>
      </c>
      <c r="G20" s="20" t="s">
        <v>13694</v>
      </c>
      <c r="H20" s="24"/>
      <c r="I20" s="24" t="str">
        <f ca="1">IFERROR(__xludf.DUMMYFUNCTION("GOOGLETRANSLATE(F20,""en"",""pt"")"),"Removedor de mofo")</f>
        <v>Removedor de mofo</v>
      </c>
      <c r="J20" t="str">
        <f>VLOOKUP(A20,Pr_Base_LNEC!$A$4:$J$6971,6,FALSE)</f>
        <v>-</v>
      </c>
      <c r="K20">
        <f>VLOOKUP(A20,Pr_Base_LNEC!$A$4:$J$6971,7,FALSE)</f>
        <v>0</v>
      </c>
    </row>
    <row r="21" spans="1:11" ht="15.75" customHeight="1">
      <c r="A21" s="20" t="s">
        <v>13695</v>
      </c>
      <c r="B21" s="20">
        <v>15</v>
      </c>
      <c r="C21" s="20">
        <v>31</v>
      </c>
      <c r="D21" s="20">
        <v>4</v>
      </c>
      <c r="E21" s="20">
        <v>58</v>
      </c>
      <c r="F21" s="20" t="s">
        <v>13696</v>
      </c>
      <c r="G21" s="24"/>
      <c r="H21" s="24"/>
      <c r="I21" s="24" t="str">
        <f ca="1">IFERROR(__xludf.DUMMYFUNCTION("GOOGLETRANSLATE(F21,""en"",""pt"")"),"produtos petrolíferos absorvente")</f>
        <v>produtos petrolíferos absorvente</v>
      </c>
      <c r="J21" t="str">
        <f>VLOOKUP(A21,Pr_Base_LNEC!$A$4:$J$6971,6,FALSE)</f>
        <v>-</v>
      </c>
      <c r="K21">
        <f>VLOOKUP(A21,Pr_Base_LNEC!$A$4:$J$6971,7,FALSE)</f>
        <v>0</v>
      </c>
    </row>
    <row r="22" spans="1:11" ht="15.75" customHeight="1">
      <c r="A22" s="20" t="s">
        <v>13697</v>
      </c>
      <c r="B22" s="20">
        <v>15</v>
      </c>
      <c r="C22" s="20">
        <v>31</v>
      </c>
      <c r="D22" s="20">
        <v>4</v>
      </c>
      <c r="E22" s="20">
        <v>60</v>
      </c>
      <c r="F22" s="20" t="s">
        <v>13698</v>
      </c>
      <c r="G22" s="24"/>
      <c r="H22" s="24"/>
      <c r="I22" s="24" t="str">
        <f ca="1">IFERROR(__xludf.DUMMYFUNCTION("GOOGLETRANSLATE(F22,""en"",""pt"")"),"decapantes")</f>
        <v>decapantes</v>
      </c>
      <c r="J22" t="str">
        <f>VLOOKUP(A22,Pr_Base_LNEC!$A$4:$J$6971,6,FALSE)</f>
        <v>-</v>
      </c>
      <c r="K22">
        <f>VLOOKUP(A22,Pr_Base_LNEC!$A$4:$J$6971,7,FALSE)</f>
        <v>0</v>
      </c>
    </row>
    <row r="23" spans="1:11" ht="15.75" customHeight="1">
      <c r="A23" s="20" t="s">
        <v>13699</v>
      </c>
      <c r="B23" s="20">
        <v>15</v>
      </c>
      <c r="C23" s="20">
        <v>31</v>
      </c>
      <c r="D23" s="20">
        <v>4</v>
      </c>
      <c r="E23" s="20">
        <v>64</v>
      </c>
      <c r="F23" s="20" t="s">
        <v>13700</v>
      </c>
      <c r="G23" s="20" t="s">
        <v>13701</v>
      </c>
      <c r="H23" s="24"/>
      <c r="I23" s="24" t="str">
        <f ca="1">IFERROR(__xludf.DUMMYFUNCTION("GOOGLETRANSLATE(F23,""en"",""pt"")"),"cataplasmas Plain")</f>
        <v>cataplasmas Plain</v>
      </c>
      <c r="J23" t="str">
        <f>VLOOKUP(A23,Pr_Base_LNEC!$A$4:$J$6971,6,FALSE)</f>
        <v>-</v>
      </c>
      <c r="K23">
        <f>VLOOKUP(A23,Pr_Base_LNEC!$A$4:$J$6971,7,FALSE)</f>
        <v>0</v>
      </c>
    </row>
    <row r="24" spans="1:11" ht="15.75" customHeight="1">
      <c r="A24" s="20" t="s">
        <v>13702</v>
      </c>
      <c r="B24" s="20">
        <v>15</v>
      </c>
      <c r="C24" s="20">
        <v>31</v>
      </c>
      <c r="D24" s="20">
        <v>4</v>
      </c>
      <c r="E24" s="20">
        <v>72</v>
      </c>
      <c r="F24" s="20" t="s">
        <v>13703</v>
      </c>
      <c r="G24" s="24"/>
      <c r="H24" s="24"/>
      <c r="I24" s="24" t="str">
        <f ca="1">IFERROR(__xludf.DUMMYFUNCTION("GOOGLETRANSLATE(F24,""en"",""pt"")"),"sal-gema")</f>
        <v>sal-gema</v>
      </c>
      <c r="J24" t="e">
        <f>VLOOKUP(A24,Pr_Base_LNEC!$A$4:$J$6971,6,FALSE)</f>
        <v>#N/A</v>
      </c>
      <c r="K24" t="e">
        <f>VLOOKUP(A24,Pr_Base_LNEC!$A$4:$J$6971,7,FALSE)</f>
        <v>#N/A</v>
      </c>
    </row>
    <row r="25" spans="1:11" ht="15.75" customHeight="1">
      <c r="A25" s="20" t="s">
        <v>13704</v>
      </c>
      <c r="B25" s="20">
        <v>15</v>
      </c>
      <c r="C25" s="20">
        <v>31</v>
      </c>
      <c r="D25" s="20">
        <v>4</v>
      </c>
      <c r="E25" s="20">
        <v>77</v>
      </c>
      <c r="F25" s="20" t="s">
        <v>13705</v>
      </c>
      <c r="G25" s="24"/>
      <c r="H25" s="24"/>
      <c r="I25" s="24" t="str">
        <f ca="1">IFERROR(__xludf.DUMMYFUNCTION("GOOGLETRANSLATE(F25,""en"",""pt"")"),"shampoos")</f>
        <v>shampoos</v>
      </c>
      <c r="J25" t="str">
        <f>VLOOKUP(A25,Pr_Base_LNEC!$A$4:$J$6971,6,FALSE)</f>
        <v>-</v>
      </c>
      <c r="K25">
        <f>VLOOKUP(A25,Pr_Base_LNEC!$A$4:$J$6971,7,FALSE)</f>
        <v>0</v>
      </c>
    </row>
    <row r="26" spans="1:11" ht="15.75" customHeight="1">
      <c r="A26" s="20" t="s">
        <v>13706</v>
      </c>
      <c r="B26" s="20">
        <v>15</v>
      </c>
      <c r="C26" s="20">
        <v>31</v>
      </c>
      <c r="D26" s="20">
        <v>4</v>
      </c>
      <c r="E26" s="20">
        <v>80</v>
      </c>
      <c r="F26" s="20" t="s">
        <v>13707</v>
      </c>
      <c r="G26" s="20" t="s">
        <v>13708</v>
      </c>
      <c r="H26" s="24"/>
      <c r="I26" s="24" t="str">
        <f ca="1">IFERROR(__xludf.DUMMYFUNCTION("GOOGLETRANSLATE(F26,""en"",""pt"")"),"produtos químicos limpeza de neve")</f>
        <v>produtos químicos limpeza de neve</v>
      </c>
      <c r="J26" t="str">
        <f>VLOOKUP(A26,Pr_Base_LNEC!$A$4:$J$6971,6,FALSE)</f>
        <v>-</v>
      </c>
      <c r="K26">
        <f>VLOOKUP(A26,Pr_Base_LNEC!$A$4:$J$6971,7,FALSE)</f>
        <v>0</v>
      </c>
    </row>
    <row r="27" spans="1:11" ht="15.75" customHeight="1">
      <c r="A27" s="20" t="s">
        <v>13709</v>
      </c>
      <c r="B27" s="20">
        <v>15</v>
      </c>
      <c r="C27" s="20">
        <v>31</v>
      </c>
      <c r="D27" s="20">
        <v>4</v>
      </c>
      <c r="E27" s="20">
        <v>81</v>
      </c>
      <c r="F27" s="20" t="s">
        <v>13710</v>
      </c>
      <c r="G27" s="24"/>
      <c r="H27" s="24"/>
      <c r="I27" s="24" t="str">
        <f ca="1">IFERROR(__xludf.DUMMYFUNCTION("GOOGLETRANSLATE(F27,""en"",""pt"")"),"solventes")</f>
        <v>solventes</v>
      </c>
      <c r="J27" t="str">
        <f>VLOOKUP(A27,Pr_Base_LNEC!$A$4:$J$6971,6,FALSE)</f>
        <v>-</v>
      </c>
      <c r="K27">
        <f>VLOOKUP(A27,Pr_Base_LNEC!$A$4:$J$6971,7,FALSE)</f>
        <v>0</v>
      </c>
    </row>
    <row r="28" spans="1:11" ht="15.75" customHeight="1">
      <c r="A28" s="20" t="s">
        <v>13711</v>
      </c>
      <c r="B28" s="20">
        <v>15</v>
      </c>
      <c r="C28" s="20">
        <v>31</v>
      </c>
      <c r="D28" s="20">
        <v>4</v>
      </c>
      <c r="E28" s="20">
        <v>84</v>
      </c>
      <c r="F28" s="20" t="s">
        <v>13712</v>
      </c>
      <c r="G28" s="24"/>
      <c r="H28" s="24"/>
      <c r="I28" s="24" t="str">
        <f ca="1">IFERROR(__xludf.DUMMYFUNCTION("GOOGLETRANSLATE(F28,""en"",""pt"")"),"Spot-remoção de produtos químicos")</f>
        <v>Spot-remoção de produtos químicos</v>
      </c>
      <c r="J28" t="str">
        <f>VLOOKUP(A28,Pr_Base_LNEC!$A$4:$J$6971,6,FALSE)</f>
        <v>-</v>
      </c>
      <c r="K28">
        <f>VLOOKUP(A28,Pr_Base_LNEC!$A$4:$J$6971,7,FALSE)</f>
        <v>0</v>
      </c>
    </row>
    <row r="29" spans="1:11" ht="15.75" customHeight="1">
      <c r="A29" s="20" t="s">
        <v>13713</v>
      </c>
      <c r="B29" s="20">
        <v>15</v>
      </c>
      <c r="C29" s="20">
        <v>31</v>
      </c>
      <c r="D29" s="20">
        <v>4</v>
      </c>
      <c r="E29" s="20">
        <v>85</v>
      </c>
      <c r="F29" s="20" t="s">
        <v>13714</v>
      </c>
      <c r="G29" s="20" t="s">
        <v>13715</v>
      </c>
      <c r="H29" s="24"/>
      <c r="I29" s="24" t="str">
        <f ca="1">IFERROR(__xludf.DUMMYFUNCTION("GOOGLETRANSLATE(F29,""en"",""pt"")"),"sabão açúcar")</f>
        <v>sabão açúcar</v>
      </c>
      <c r="J29" t="str">
        <f>VLOOKUP(A29,Pr_Base_LNEC!$A$4:$J$6971,6,FALSE)</f>
        <v>-</v>
      </c>
      <c r="K29">
        <f>VLOOKUP(A29,Pr_Base_LNEC!$A$4:$J$6971,7,FALSE)</f>
        <v>0</v>
      </c>
    </row>
    <row r="30" spans="1:11" ht="15.75" customHeight="1">
      <c r="A30" s="20" t="s">
        <v>13716</v>
      </c>
      <c r="B30" s="20">
        <v>15</v>
      </c>
      <c r="C30" s="20">
        <v>31</v>
      </c>
      <c r="D30" s="20">
        <v>4</v>
      </c>
      <c r="E30" s="20">
        <v>86</v>
      </c>
      <c r="F30" s="20" t="s">
        <v>13717</v>
      </c>
      <c r="G30" s="24"/>
      <c r="H30" s="24"/>
      <c r="I30" s="24" t="str">
        <f ca="1">IFERROR(__xludf.DUMMYFUNCTION("GOOGLETRANSLATE(F30,""en"",""pt"")"),"limpadores de superfícies")</f>
        <v>limpadores de superfícies</v>
      </c>
      <c r="J30" t="str">
        <f>VLOOKUP(A30,Pr_Base_LNEC!$A$4:$J$6971,6,FALSE)</f>
        <v>-</v>
      </c>
      <c r="K30">
        <f>VLOOKUP(A30,Pr_Base_LNEC!$A$4:$J$6971,7,FALSE)</f>
        <v>0</v>
      </c>
    </row>
    <row r="31" spans="1:11" ht="15.75" customHeight="1">
      <c r="A31" s="20" t="s">
        <v>13718</v>
      </c>
      <c r="B31" s="20">
        <v>15</v>
      </c>
      <c r="C31" s="20">
        <v>31</v>
      </c>
      <c r="D31" s="20">
        <v>12</v>
      </c>
      <c r="E31" s="24"/>
      <c r="F31" s="20" t="s">
        <v>13719</v>
      </c>
      <c r="G31" s="24"/>
      <c r="H31" s="24"/>
      <c r="I31" s="24" t="str">
        <f ca="1">IFERROR(__xludf.DUMMYFUNCTION("GOOGLETRANSLATE(F31,""en"",""pt"")"),"Os estabilizadores químicos solos")</f>
        <v>Os estabilizadores químicos solos</v>
      </c>
      <c r="J31" t="str">
        <f>VLOOKUP(A31,Pr_Base_LNEC!$A$4:$J$6971,6,FALSE)</f>
        <v>Estabelizadores quimicos para o solo</v>
      </c>
      <c r="K31">
        <f>VLOOKUP(A31,Pr_Base_LNEC!$A$4:$J$6971,7,FALSE)</f>
        <v>0</v>
      </c>
    </row>
    <row r="32" spans="1:11" ht="15.75" customHeight="1">
      <c r="A32" s="20" t="s">
        <v>13720</v>
      </c>
      <c r="B32" s="20">
        <v>15</v>
      </c>
      <c r="C32" s="20">
        <v>31</v>
      </c>
      <c r="D32" s="20">
        <v>12</v>
      </c>
      <c r="E32" s="20">
        <v>42</v>
      </c>
      <c r="F32" s="20" t="s">
        <v>13721</v>
      </c>
      <c r="G32" s="24"/>
      <c r="H32" s="24"/>
      <c r="I32" s="24" t="str">
        <f ca="1">IFERROR(__xludf.DUMMYFUNCTION("GOOGLETRANSLATE(F32,""en"",""pt"")"),"estabilizadores do solo resinosos injectáveis")</f>
        <v>estabilizadores do solo resinosos injectáveis</v>
      </c>
      <c r="J32" t="str">
        <f>VLOOKUP(A32,Pr_Base_LNEC!$A$4:$J$6971,6,FALSE)</f>
        <v>-</v>
      </c>
      <c r="K32">
        <f>VLOOKUP(A32,Pr_Base_LNEC!$A$4:$J$6971,7,FALSE)</f>
        <v>0</v>
      </c>
    </row>
    <row r="33" spans="1:11" ht="15.75" customHeight="1">
      <c r="A33" s="20" t="s">
        <v>13722</v>
      </c>
      <c r="B33" s="20">
        <v>15</v>
      </c>
      <c r="C33" s="20">
        <v>31</v>
      </c>
      <c r="D33" s="20">
        <v>26</v>
      </c>
      <c r="E33" s="24"/>
      <c r="F33" s="20" t="s">
        <v>13723</v>
      </c>
      <c r="G33" s="24"/>
      <c r="H33" s="24"/>
      <c r="I33" s="24" t="str">
        <f ca="1">IFERROR(__xludf.DUMMYFUNCTION("GOOGLETRANSLATE(F33,""en"",""pt"")"),"materiais de terras e preencha escavados")</f>
        <v>materiais de terras e preencha escavados</v>
      </c>
      <c r="J33" t="str">
        <f>VLOOKUP(A33,Pr_Base_LNEC!$A$4:$J$6971,6,FALSE)</f>
        <v>Produtos para Escavação e Enchimento/Aterro do solo</v>
      </c>
      <c r="K33">
        <f>VLOOKUP(A33,Pr_Base_LNEC!$A$4:$J$6971,7,FALSE)</f>
        <v>0</v>
      </c>
    </row>
    <row r="34" spans="1:11" ht="15.75" customHeight="1">
      <c r="A34" s="20" t="s">
        <v>13724</v>
      </c>
      <c r="B34" s="20">
        <v>15</v>
      </c>
      <c r="C34" s="20">
        <v>31</v>
      </c>
      <c r="D34" s="20">
        <v>26</v>
      </c>
      <c r="E34" s="20">
        <v>2</v>
      </c>
      <c r="F34" s="20" t="s">
        <v>13725</v>
      </c>
      <c r="G34" s="20" t="s">
        <v>13726</v>
      </c>
      <c r="H34" s="24"/>
      <c r="I34" s="24" t="str">
        <f ca="1">IFERROR(__xludf.DUMMYFUNCTION("GOOGLETRANSLATE(F34,""en"",""pt"")"),"misturas de asfalto não ligados granulares surgimentos")</f>
        <v>misturas de asfalto não ligados granulares surgimentos</v>
      </c>
      <c r="J34" t="e">
        <f>VLOOKUP(A34,Pr_Base_LNEC!$A$4:$J$6971,6,FALSE)</f>
        <v>#N/A</v>
      </c>
      <c r="K34" t="e">
        <f>VLOOKUP(A34,Pr_Base_LNEC!$A$4:$J$6971,7,FALSE)</f>
        <v>#N/A</v>
      </c>
    </row>
    <row r="35" spans="1:11" ht="15.75" customHeight="1">
      <c r="A35" s="20" t="s">
        <v>13727</v>
      </c>
      <c r="B35" s="20">
        <v>15</v>
      </c>
      <c r="C35" s="20">
        <v>31</v>
      </c>
      <c r="D35" s="20">
        <v>26</v>
      </c>
      <c r="E35" s="20">
        <v>7</v>
      </c>
      <c r="F35" s="20" t="s">
        <v>13728</v>
      </c>
      <c r="G35" s="24"/>
      <c r="H35" s="24"/>
      <c r="I35" s="24" t="str">
        <f ca="1">IFERROR(__xludf.DUMMYFUNCTION("GOOGLETRANSLATE(F35,""en"",""pt"")"),"bentonita")</f>
        <v>bentonita</v>
      </c>
      <c r="J35" t="str">
        <f>VLOOKUP(A35,Pr_Base_LNEC!$A$4:$J$6971,6,FALSE)</f>
        <v>-</v>
      </c>
      <c r="K35">
        <f>VLOOKUP(A35,Pr_Base_LNEC!$A$4:$J$6971,7,FALSE)</f>
        <v>0</v>
      </c>
    </row>
    <row r="36" spans="1:11" ht="15.75" customHeight="1">
      <c r="A36" s="20" t="s">
        <v>13729</v>
      </c>
      <c r="B36" s="20">
        <v>15</v>
      </c>
      <c r="C36" s="20">
        <v>31</v>
      </c>
      <c r="D36" s="20">
        <v>26</v>
      </c>
      <c r="E36" s="20">
        <v>13</v>
      </c>
      <c r="F36" s="20" t="s">
        <v>13730</v>
      </c>
      <c r="G36" s="20" t="s">
        <v>13731</v>
      </c>
      <c r="H36" s="24"/>
      <c r="I36" s="24" t="str">
        <f ca="1">IFERROR(__xludf.DUMMYFUNCTION("GOOGLETRANSLATE(F36,""en"",""pt"")"),"Giz")</f>
        <v>Giz</v>
      </c>
      <c r="J36" t="str">
        <f>VLOOKUP(A36,Pr_Base_LNEC!$A$4:$J$6971,6,FALSE)</f>
        <v>-</v>
      </c>
      <c r="K36">
        <f>VLOOKUP(A36,Pr_Base_LNEC!$A$4:$J$6971,7,FALSE)</f>
        <v>0</v>
      </c>
    </row>
    <row r="37" spans="1:11" ht="15.75" customHeight="1">
      <c r="A37" s="20" t="s">
        <v>13732</v>
      </c>
      <c r="B37" s="20">
        <v>15</v>
      </c>
      <c r="C37" s="20">
        <v>31</v>
      </c>
      <c r="D37" s="20">
        <v>26</v>
      </c>
      <c r="E37" s="20">
        <v>14</v>
      </c>
      <c r="F37" s="20" t="s">
        <v>13733</v>
      </c>
      <c r="G37" s="20" t="s">
        <v>13734</v>
      </c>
      <c r="H37" s="24"/>
      <c r="I37" s="24" t="str">
        <f ca="1">IFERROR(__xludf.DUMMYFUNCTION("GOOGLETRANSLATE(F37,""en"",""pt"")"),"Argila")</f>
        <v>Argila</v>
      </c>
      <c r="J37" t="str">
        <f>VLOOKUP(A37,Pr_Base_LNEC!$A$4:$J$6971,6,FALSE)</f>
        <v>-</v>
      </c>
      <c r="K37">
        <f>VLOOKUP(A37,Pr_Base_LNEC!$A$4:$J$6971,7,FALSE)</f>
        <v>0</v>
      </c>
    </row>
    <row r="38" spans="1:11" ht="15.75" customHeight="1">
      <c r="A38" s="20" t="s">
        <v>13735</v>
      </c>
      <c r="B38" s="20">
        <v>15</v>
      </c>
      <c r="C38" s="20">
        <v>31</v>
      </c>
      <c r="D38" s="20">
        <v>26</v>
      </c>
      <c r="E38" s="20">
        <v>15</v>
      </c>
      <c r="F38" s="20" t="s">
        <v>13736</v>
      </c>
      <c r="G38" s="24"/>
      <c r="H38" s="24"/>
      <c r="I38" s="24" t="str">
        <f ca="1">IFERROR(__xludf.DUMMYFUNCTION("GOOGLETRANSLATE(F38,""en"",""pt"")"),"Grossa nenhum material de preenchimento multas entulho")</f>
        <v>Grossa nenhum material de preenchimento multas entulho</v>
      </c>
      <c r="J38" t="str">
        <f>VLOOKUP(A38,Pr_Base_LNEC!$A$4:$J$6971,6,FALSE)</f>
        <v>-</v>
      </c>
      <c r="K38">
        <f>VLOOKUP(A38,Pr_Base_LNEC!$A$4:$J$6971,7,FALSE)</f>
        <v>0</v>
      </c>
    </row>
    <row r="39" spans="1:11" ht="14.5">
      <c r="A39" s="20" t="s">
        <v>13737</v>
      </c>
      <c r="B39" s="20">
        <v>15</v>
      </c>
      <c r="C39" s="20">
        <v>31</v>
      </c>
      <c r="D39" s="20">
        <v>26</v>
      </c>
      <c r="E39" s="20">
        <v>17</v>
      </c>
      <c r="F39" s="20" t="s">
        <v>13738</v>
      </c>
      <c r="G39" s="24"/>
      <c r="H39" s="24"/>
      <c r="I39" s="24" t="str">
        <f ca="1">IFERROR(__xludf.DUMMYFUNCTION("GOOGLETRANSLATE(F39,""en"",""pt"")"),"material coesivo")</f>
        <v>material coesivo</v>
      </c>
      <c r="J39" t="str">
        <f>VLOOKUP(A39,Pr_Base_LNEC!$A$4:$J$6971,6,FALSE)</f>
        <v>-</v>
      </c>
      <c r="K39">
        <f>VLOOKUP(A39,Pr_Base_LNEC!$A$4:$J$6971,7,FALSE)</f>
        <v>0</v>
      </c>
    </row>
    <row r="40" spans="1:11" ht="14.5">
      <c r="A40" s="20" t="s">
        <v>13739</v>
      </c>
      <c r="B40" s="20">
        <v>15</v>
      </c>
      <c r="C40" s="20">
        <v>31</v>
      </c>
      <c r="D40" s="20">
        <v>26</v>
      </c>
      <c r="E40" s="20">
        <v>18</v>
      </c>
      <c r="F40" s="20" t="s">
        <v>13740</v>
      </c>
      <c r="G40" s="20" t="s">
        <v>13741</v>
      </c>
      <c r="H40" s="24"/>
      <c r="I40" s="24" t="str">
        <f ca="1">IFERROR(__xludf.DUMMYFUNCTION("GOOGLETRANSLATE(F40,""en"",""pt"")"),"Primeiro graduada misturas granulares não ligados")</f>
        <v>Primeiro graduada misturas granulares não ligados</v>
      </c>
      <c r="J40" t="e">
        <f>VLOOKUP(A40,Pr_Base_LNEC!$A$4:$J$6971,6,FALSE)</f>
        <v>#N/A</v>
      </c>
      <c r="K40" t="e">
        <f>VLOOKUP(A40,Pr_Base_LNEC!$A$4:$J$6971,7,FALSE)</f>
        <v>#N/A</v>
      </c>
    </row>
    <row r="41" spans="1:11" ht="14.5">
      <c r="A41" s="20" t="s">
        <v>13742</v>
      </c>
      <c r="B41" s="20">
        <v>15</v>
      </c>
      <c r="C41" s="20">
        <v>31</v>
      </c>
      <c r="D41" s="20">
        <v>26</v>
      </c>
      <c r="E41" s="20">
        <v>26</v>
      </c>
      <c r="F41" s="20" t="s">
        <v>13743</v>
      </c>
      <c r="G41" s="20" t="s">
        <v>13744</v>
      </c>
      <c r="H41" s="24"/>
      <c r="I41" s="24" t="str">
        <f ca="1">IFERROR(__xludf.DUMMYFUNCTION("GOOGLETRANSLATE(F41,""en"",""pt"")"),"Terra")</f>
        <v>Terra</v>
      </c>
      <c r="J41" t="str">
        <f>VLOOKUP(A41,Pr_Base_LNEC!$A$4:$J$6971,6,FALSE)</f>
        <v>-</v>
      </c>
      <c r="K41">
        <f>VLOOKUP(A41,Pr_Base_LNEC!$A$4:$J$6971,7,FALSE)</f>
        <v>0</v>
      </c>
    </row>
    <row r="42" spans="1:11" ht="14.5">
      <c r="A42" s="20" t="s">
        <v>13745</v>
      </c>
      <c r="B42" s="20">
        <v>15</v>
      </c>
      <c r="C42" s="20">
        <v>31</v>
      </c>
      <c r="D42" s="20">
        <v>26</v>
      </c>
      <c r="E42" s="20">
        <v>31</v>
      </c>
      <c r="F42" s="20" t="s">
        <v>13746</v>
      </c>
      <c r="G42" s="20" t="s">
        <v>13747</v>
      </c>
      <c r="H42" s="24"/>
      <c r="I42" s="24" t="str">
        <f ca="1">IFERROR(__xludf.DUMMYFUNCTION("GOOGLETRANSLATE(F42,""en"",""pt"")"),"Garrafas de vidro")</f>
        <v>Garrafas de vidro</v>
      </c>
      <c r="J42" t="str">
        <f>VLOOKUP(A42,Pr_Base_LNEC!$A$4:$J$6971,6,FALSE)</f>
        <v>-</v>
      </c>
      <c r="K42">
        <f>VLOOKUP(A42,Pr_Base_LNEC!$A$4:$J$6971,7,FALSE)</f>
        <v>0</v>
      </c>
    </row>
    <row r="43" spans="1:11" ht="14.5">
      <c r="A43" s="20" t="s">
        <v>13748</v>
      </c>
      <c r="B43" s="20">
        <v>15</v>
      </c>
      <c r="C43" s="20">
        <v>31</v>
      </c>
      <c r="D43" s="20">
        <v>26</v>
      </c>
      <c r="E43" s="20">
        <v>33</v>
      </c>
      <c r="F43" s="20" t="s">
        <v>13749</v>
      </c>
      <c r="G43" s="24"/>
      <c r="H43" s="24"/>
      <c r="I43" s="24" t="str">
        <f ca="1">IFERROR(__xludf.DUMMYFUNCTION("GOOGLETRANSLATE(F43,""en"",""pt"")"),"materiais de enchimento granulares graduadas")</f>
        <v>materiais de enchimento granulares graduadas</v>
      </c>
      <c r="J43" t="str">
        <f>VLOOKUP(A43,Pr_Base_LNEC!$A$4:$J$6971,6,FALSE)</f>
        <v>-</v>
      </c>
      <c r="K43">
        <f>VLOOKUP(A43,Pr_Base_LNEC!$A$4:$J$6971,7,FALSE)</f>
        <v>0</v>
      </c>
    </row>
    <row r="44" spans="1:11" ht="14.5">
      <c r="A44" s="20" t="s">
        <v>13750</v>
      </c>
      <c r="B44" s="20">
        <v>15</v>
      </c>
      <c r="C44" s="20">
        <v>31</v>
      </c>
      <c r="D44" s="20">
        <v>26</v>
      </c>
      <c r="E44" s="20">
        <v>34</v>
      </c>
      <c r="F44" s="20" t="s">
        <v>13751</v>
      </c>
      <c r="G44" s="24"/>
      <c r="H44" s="24"/>
      <c r="I44" s="24" t="str">
        <f ca="1">IFERROR(__xludf.DUMMYFUNCTION("GOOGLETRANSLATE(F44,""en"",""pt"")"),"materiais de enchimento granulares naturais graduadas")</f>
        <v>materiais de enchimento granulares naturais graduadas</v>
      </c>
      <c r="J44" t="str">
        <f>VLOOKUP(A44,Pr_Base_LNEC!$A$4:$J$6971,6,FALSE)</f>
        <v>-</v>
      </c>
      <c r="K44">
        <f>VLOOKUP(A44,Pr_Base_LNEC!$A$4:$J$6971,7,FALSE)</f>
        <v>0</v>
      </c>
    </row>
    <row r="45" spans="1:11" ht="14.5">
      <c r="A45" s="20" t="s">
        <v>13752</v>
      </c>
      <c r="B45" s="20">
        <v>15</v>
      </c>
      <c r="C45" s="20">
        <v>31</v>
      </c>
      <c r="D45" s="20">
        <v>26</v>
      </c>
      <c r="E45" s="20">
        <v>35</v>
      </c>
      <c r="F45" s="20" t="s">
        <v>13753</v>
      </c>
      <c r="G45" s="24"/>
      <c r="H45" s="24"/>
      <c r="I45" s="24" t="str">
        <f ca="1">IFERROR(__xludf.DUMMYFUNCTION("GOOGLETRANSLATE(F45,""en"",""pt"")"),"materiais de enchimento granulares reciclados graduadas")</f>
        <v>materiais de enchimento granulares reciclados graduadas</v>
      </c>
      <c r="J45" t="str">
        <f>VLOOKUP(A45,Pr_Base_LNEC!$A$4:$J$6971,6,FALSE)</f>
        <v>-</v>
      </c>
      <c r="K45">
        <f>VLOOKUP(A45,Pr_Base_LNEC!$A$4:$J$6971,7,FALSE)</f>
        <v>0</v>
      </c>
    </row>
    <row r="46" spans="1:11" ht="14.5">
      <c r="A46" s="20" t="s">
        <v>13754</v>
      </c>
      <c r="B46" s="20">
        <v>15</v>
      </c>
      <c r="C46" s="20">
        <v>31</v>
      </c>
      <c r="D46" s="20">
        <v>26</v>
      </c>
      <c r="E46" s="20">
        <v>36</v>
      </c>
      <c r="F46" s="20" t="s">
        <v>13755</v>
      </c>
      <c r="G46" s="20" t="s">
        <v>13756</v>
      </c>
      <c r="H46" s="24"/>
      <c r="I46" s="24" t="str">
        <f ca="1">IFERROR(__xludf.DUMMYFUNCTION("GOOGLETRANSLATE(F46,""en"",""pt"")"),"hardcore")</f>
        <v>hardcore</v>
      </c>
      <c r="J46" t="str">
        <f>VLOOKUP(A46,Pr_Base_LNEC!$A$4:$J$6971,6,FALSE)</f>
        <v>-</v>
      </c>
      <c r="K46">
        <f>VLOOKUP(A46,Pr_Base_LNEC!$A$4:$J$6971,7,FALSE)</f>
        <v>0</v>
      </c>
    </row>
    <row r="47" spans="1:11" ht="14.5">
      <c r="A47" s="20" t="s">
        <v>13757</v>
      </c>
      <c r="B47" s="20">
        <v>15</v>
      </c>
      <c r="C47" s="20">
        <v>31</v>
      </c>
      <c r="D47" s="20">
        <v>26</v>
      </c>
      <c r="E47" s="20">
        <v>39</v>
      </c>
      <c r="F47" s="20" t="s">
        <v>13758</v>
      </c>
      <c r="G47" s="20" t="s">
        <v>13759</v>
      </c>
      <c r="H47" s="24"/>
      <c r="I47" s="24" t="str">
        <f ca="1">IFERROR(__xludf.DUMMYFUNCTION("GOOGLETRANSLATE(F47,""en"",""pt"")"),"coimas mais elevadas graduada poços misturas de grãos de conteúdo")</f>
        <v>coimas mais elevadas graduada poços misturas de grãos de conteúdo</v>
      </c>
      <c r="J47" t="str">
        <f>VLOOKUP(A47,Pr_Base_LNEC!$A$4:$J$6971,6,FALSE)</f>
        <v>-</v>
      </c>
      <c r="K47">
        <f>VLOOKUP(A47,Pr_Base_LNEC!$A$4:$J$6971,7,FALSE)</f>
        <v>0</v>
      </c>
    </row>
    <row r="48" spans="1:11" ht="14.5">
      <c r="A48" s="20" t="s">
        <v>13760</v>
      </c>
      <c r="B48" s="20">
        <v>15</v>
      </c>
      <c r="C48" s="20">
        <v>31</v>
      </c>
      <c r="D48" s="20">
        <v>26</v>
      </c>
      <c r="E48" s="20">
        <v>42</v>
      </c>
      <c r="F48" s="20" t="s">
        <v>13761</v>
      </c>
      <c r="G48" s="20" t="s">
        <v>13762</v>
      </c>
      <c r="H48" s="24"/>
      <c r="I48" s="24" t="str">
        <f ca="1">IFERROR(__xludf.DUMMYFUNCTION("GOOGLETRANSLATE(F48,""en"",""pt"")"),"Hoggin")</f>
        <v>Hoggin</v>
      </c>
      <c r="J48" t="str">
        <f>VLOOKUP(A48,Pr_Base_LNEC!$A$4:$J$6971,6,FALSE)</f>
        <v>-</v>
      </c>
      <c r="K48">
        <f>VLOOKUP(A48,Pr_Base_LNEC!$A$4:$J$6971,7,FALSE)</f>
        <v>0</v>
      </c>
    </row>
    <row r="49" spans="1:11" ht="14.5">
      <c r="A49" s="20" t="s">
        <v>13763</v>
      </c>
      <c r="B49" s="20">
        <v>15</v>
      </c>
      <c r="C49" s="20">
        <v>31</v>
      </c>
      <c r="D49" s="20">
        <v>26</v>
      </c>
      <c r="E49" s="20">
        <v>46</v>
      </c>
      <c r="F49" s="20" t="s">
        <v>13764</v>
      </c>
      <c r="G49" s="20" t="s">
        <v>13765</v>
      </c>
      <c r="H49" s="24"/>
      <c r="I49" s="24" t="str">
        <f ca="1">IFERROR(__xludf.DUMMYFUNCTION("GOOGLETRANSLATE(F49,""en"",""pt"")"),"materiais de enchimento Área de Paisagem")</f>
        <v>materiais de enchimento Área de Paisagem</v>
      </c>
      <c r="J49" t="str">
        <f>VLOOKUP(A49,Pr_Base_LNEC!$A$4:$J$6971,6,FALSE)</f>
        <v>-</v>
      </c>
      <c r="K49">
        <f>VLOOKUP(A49,Pr_Base_LNEC!$A$4:$J$6971,7,FALSE)</f>
        <v>0</v>
      </c>
    </row>
    <row r="50" spans="1:11" ht="14.5">
      <c r="A50" s="20" t="s">
        <v>13766</v>
      </c>
      <c r="B50" s="20">
        <v>15</v>
      </c>
      <c r="C50" s="20">
        <v>31</v>
      </c>
      <c r="D50" s="20">
        <v>26</v>
      </c>
      <c r="E50" s="20">
        <v>50</v>
      </c>
      <c r="F50" s="20" t="s">
        <v>13767</v>
      </c>
      <c r="G50" s="24"/>
      <c r="H50" s="24"/>
      <c r="I50" s="24" t="str">
        <f ca="1">IFERROR(__xludf.DUMMYFUNCTION("GOOGLETRANSLATE(F50,""en"",""pt"")"),"solo fez")</f>
        <v>solo fez</v>
      </c>
      <c r="J50" t="e">
        <f>VLOOKUP(A50,Pr_Base_LNEC!$A$4:$J$6971,6,FALSE)</f>
        <v>#N/A</v>
      </c>
      <c r="K50" t="e">
        <f>VLOOKUP(A50,Pr_Base_LNEC!$A$4:$J$6971,7,FALSE)</f>
        <v>#N/A</v>
      </c>
    </row>
    <row r="51" spans="1:11" ht="14.5">
      <c r="A51" s="20" t="s">
        <v>13768</v>
      </c>
      <c r="B51" s="20">
        <v>15</v>
      </c>
      <c r="C51" s="20">
        <v>31</v>
      </c>
      <c r="D51" s="20">
        <v>26</v>
      </c>
      <c r="E51" s="20">
        <v>58</v>
      </c>
      <c r="F51" s="20" t="s">
        <v>13769</v>
      </c>
      <c r="G51" s="20" t="s">
        <v>13770</v>
      </c>
      <c r="H51" s="24"/>
      <c r="I51" s="24" t="str">
        <f ca="1">IFERROR(__xludf.DUMMYFUNCTION("GOOGLETRANSLATE(F51,""en"",""pt"")"),"De grau aberto misturas granulares não ligados")</f>
        <v>De grau aberto misturas granulares não ligados</v>
      </c>
      <c r="J51" t="e">
        <f>VLOOKUP(A51,Pr_Base_LNEC!$A$4:$J$6971,6,FALSE)</f>
        <v>#N/A</v>
      </c>
      <c r="K51" t="e">
        <f>VLOOKUP(A51,Pr_Base_LNEC!$A$4:$J$6971,7,FALSE)</f>
        <v>#N/A</v>
      </c>
    </row>
    <row r="52" spans="1:11" ht="14.5">
      <c r="A52" s="20" t="s">
        <v>13771</v>
      </c>
      <c r="B52" s="20">
        <v>15</v>
      </c>
      <c r="C52" s="20">
        <v>31</v>
      </c>
      <c r="D52" s="20">
        <v>26</v>
      </c>
      <c r="E52" s="20">
        <v>71</v>
      </c>
      <c r="F52" s="20" t="s">
        <v>13772</v>
      </c>
      <c r="G52" s="24"/>
      <c r="H52" s="24"/>
      <c r="I52" s="24" t="str">
        <f ca="1">IFERROR(__xludf.DUMMYFUNCTION("GOOGLETRANSLATE(F52,""en"",""pt"")"),"depósitos fluviais")</f>
        <v>depósitos fluviais</v>
      </c>
      <c r="J52" t="e">
        <f>VLOOKUP(A52,Pr_Base_LNEC!$A$4:$J$6971,6,FALSE)</f>
        <v>#N/A</v>
      </c>
      <c r="K52" t="e">
        <f>VLOOKUP(A52,Pr_Base_LNEC!$A$4:$J$6971,7,FALSE)</f>
        <v>#N/A</v>
      </c>
    </row>
    <row r="53" spans="1:11" ht="14.5">
      <c r="A53" s="20" t="s">
        <v>13773</v>
      </c>
      <c r="B53" s="20">
        <v>15</v>
      </c>
      <c r="C53" s="20">
        <v>31</v>
      </c>
      <c r="D53" s="20">
        <v>26</v>
      </c>
      <c r="E53" s="20">
        <v>75</v>
      </c>
      <c r="F53" s="20" t="s">
        <v>13774</v>
      </c>
      <c r="G53" s="24"/>
      <c r="H53" s="24"/>
      <c r="I53" s="24" t="str">
        <f ca="1">IFERROR(__xludf.DUMMYFUNCTION("GOOGLETRANSLATE(F53,""en"",""pt"")"),"Areia")</f>
        <v>Areia</v>
      </c>
      <c r="J53" t="e">
        <f>VLOOKUP(A53,Pr_Base_LNEC!$A$4:$J$6971,6,FALSE)</f>
        <v>#N/A</v>
      </c>
      <c r="K53" t="e">
        <f>VLOOKUP(A53,Pr_Base_LNEC!$A$4:$J$6971,7,FALSE)</f>
        <v>#N/A</v>
      </c>
    </row>
    <row r="54" spans="1:11" ht="14.5">
      <c r="A54" s="20" t="s">
        <v>13775</v>
      </c>
      <c r="B54" s="20">
        <v>15</v>
      </c>
      <c r="C54" s="20">
        <v>31</v>
      </c>
      <c r="D54" s="20">
        <v>26</v>
      </c>
      <c r="E54" s="20">
        <v>90</v>
      </c>
      <c r="F54" s="20" t="s">
        <v>13776</v>
      </c>
      <c r="G54" s="24"/>
      <c r="H54" s="24"/>
      <c r="I54" s="24" t="str">
        <f ca="1">IFERROR(__xludf.DUMMYFUNCTION("GOOGLETRANSLATE(F54,""en"",""pt"")"),"topsoil")</f>
        <v>topsoil</v>
      </c>
      <c r="J54" t="str">
        <f>VLOOKUP(A54,Pr_Base_LNEC!$A$4:$J$6971,6,FALSE)</f>
        <v>-</v>
      </c>
      <c r="K54">
        <f>VLOOKUP(A54,Pr_Base_LNEC!$A$4:$J$6971,7,FALSE)</f>
        <v>0</v>
      </c>
    </row>
    <row r="55" spans="1:11" ht="14.5">
      <c r="A55" s="20" t="s">
        <v>13777</v>
      </c>
      <c r="B55" s="20">
        <v>15</v>
      </c>
      <c r="C55" s="20">
        <v>31</v>
      </c>
      <c r="D55" s="20">
        <v>26</v>
      </c>
      <c r="E55" s="20">
        <v>96</v>
      </c>
      <c r="F55" s="20" t="s">
        <v>13778</v>
      </c>
      <c r="G55" s="20" t="s">
        <v>13779</v>
      </c>
      <c r="H55" s="24"/>
      <c r="I55" s="24" t="str">
        <f ca="1">IFERROR(__xludf.DUMMYFUNCTION("GOOGLETRANSLATE(F55,""en"",""pt"")"),"Bem-graduada misturas granulares não ligados")</f>
        <v>Bem-graduada misturas granulares não ligados</v>
      </c>
      <c r="J55" t="e">
        <f>VLOOKUP(A55,Pr_Base_LNEC!$A$4:$J$6971,6,FALSE)</f>
        <v>#N/A</v>
      </c>
      <c r="K55" t="e">
        <f>VLOOKUP(A55,Pr_Base_LNEC!$A$4:$J$6971,7,FALSE)</f>
        <v>#N/A</v>
      </c>
    </row>
    <row r="56" spans="1:11" ht="14.5">
      <c r="A56" s="20" t="s">
        <v>13780</v>
      </c>
      <c r="B56" s="20">
        <v>15</v>
      </c>
      <c r="C56" s="20">
        <v>57</v>
      </c>
      <c r="D56" s="24"/>
      <c r="E56" s="24"/>
      <c r="F56" s="20" t="s">
        <v>13781</v>
      </c>
      <c r="G56" s="24"/>
      <c r="H56" s="24"/>
      <c r="I56" s="24" t="str">
        <f ca="1">IFERROR(__xludf.DUMMYFUNCTION("GOOGLETRANSLATE(F56,""en"",""pt"")"),"folha, esteira e tira produtos de preparação não rígidos")</f>
        <v>folha, esteira e tira produtos de preparação não rígidos</v>
      </c>
      <c r="J56" t="str">
        <f>VLOOKUP(A56,Pr_Base_LNEC!$A$4:$J$6971,6,FALSE)</f>
        <v>Produtos Preparatórios não Rigidos: Membranas, Chapas, Fibras</v>
      </c>
      <c r="K56">
        <f>VLOOKUP(A56,Pr_Base_LNEC!$A$4:$J$6971,7,FALSE)</f>
        <v>0</v>
      </c>
    </row>
    <row r="57" spans="1:11" ht="14.5">
      <c r="A57" s="20" t="s">
        <v>13782</v>
      </c>
      <c r="B57" s="20">
        <v>15</v>
      </c>
      <c r="C57" s="20">
        <v>57</v>
      </c>
      <c r="D57" s="20">
        <v>4</v>
      </c>
      <c r="E57" s="24"/>
      <c r="F57" s="20" t="s">
        <v>13783</v>
      </c>
      <c r="G57" s="24"/>
      <c r="H57" s="24"/>
      <c r="I57" s="24" t="str">
        <f ca="1">IFERROR(__xludf.DUMMYFUNCTION("GOOGLETRANSLATE(F57,""en"",""pt"")"),"produtos de limpeza e reparação Aplicadas")</f>
        <v>produtos de limpeza e reparação Aplicadas</v>
      </c>
      <c r="J57" t="str">
        <f>VLOOKUP(A57,Pr_Base_LNEC!$A$4:$J$6971,6,FALSE)</f>
        <v>Produtos para Limpeza e Reparação</v>
      </c>
      <c r="K57">
        <f>VLOOKUP(A57,Pr_Base_LNEC!$A$4:$J$6971,7,FALSE)</f>
        <v>0</v>
      </c>
    </row>
    <row r="58" spans="1:11" ht="14.5">
      <c r="A58" s="20" t="s">
        <v>13784</v>
      </c>
      <c r="B58" s="20">
        <v>15</v>
      </c>
      <c r="C58" s="20">
        <v>57</v>
      </c>
      <c r="D58" s="20">
        <v>4</v>
      </c>
      <c r="E58" s="20">
        <v>34</v>
      </c>
      <c r="F58" s="20" t="s">
        <v>13785</v>
      </c>
      <c r="G58" s="24"/>
      <c r="H58" s="24"/>
      <c r="I58" s="24" t="str">
        <f ca="1">IFERROR(__xludf.DUMMYFUNCTION("GOOGLETRANSLATE(F58,""en"",""pt"")"),"Graffiti de remoção de toalhetes")</f>
        <v>Graffiti de remoção de toalhetes</v>
      </c>
      <c r="J58">
        <f>VLOOKUP(A58,Pr_Base_LNEC!$A$4:$J$6971,6,FALSE)</f>
        <v>0</v>
      </c>
      <c r="K58">
        <f>VLOOKUP(A58,Pr_Base_LNEC!$A$4:$J$6971,7,FALSE)</f>
        <v>0</v>
      </c>
    </row>
    <row r="59" spans="1:11" ht="14.5">
      <c r="A59" s="20" t="s">
        <v>13786</v>
      </c>
      <c r="B59" s="20">
        <v>15</v>
      </c>
      <c r="C59" s="20">
        <v>57</v>
      </c>
      <c r="D59" s="20">
        <v>25</v>
      </c>
      <c r="E59" s="24"/>
      <c r="F59" s="20" t="s">
        <v>13787</v>
      </c>
      <c r="G59" s="24"/>
      <c r="H59" s="24"/>
      <c r="I59" s="24" t="str">
        <f ca="1">IFERROR(__xludf.DUMMYFUNCTION("GOOGLETRANSLATE(F59,""en"",""pt"")"),"geocélulas")</f>
        <v>geocélulas</v>
      </c>
      <c r="J59" t="str">
        <f>VLOOKUP(A59,Pr_Base_LNEC!$A$4:$J$6971,6,FALSE)</f>
        <v>Geocélulas</v>
      </c>
      <c r="K59">
        <f>VLOOKUP(A59,Pr_Base_LNEC!$A$4:$J$6971,7,FALSE)</f>
        <v>0</v>
      </c>
    </row>
    <row r="60" spans="1:11" ht="14.5">
      <c r="A60" s="20" t="s">
        <v>13788</v>
      </c>
      <c r="B60" s="20">
        <v>15</v>
      </c>
      <c r="C60" s="20">
        <v>57</v>
      </c>
      <c r="D60" s="20">
        <v>25</v>
      </c>
      <c r="E60" s="20">
        <v>3</v>
      </c>
      <c r="F60" s="20" t="s">
        <v>13789</v>
      </c>
      <c r="G60" s="20" t="s">
        <v>13790</v>
      </c>
      <c r="H60" s="24"/>
      <c r="I60" s="24" t="str">
        <f ca="1">IFERROR(__xludf.DUMMYFUNCTION("GOOGLETRANSLATE(F60,""en"",""pt"")"),"placas de acrilonitrila butadieno estireno (ABS) geocélula")</f>
        <v>placas de acrilonitrila butadieno estireno (ABS) geocélula</v>
      </c>
      <c r="J60">
        <f>VLOOKUP(A60,Pr_Base_LNEC!$A$4:$J$6971,6,FALSE)</f>
        <v>0</v>
      </c>
      <c r="K60">
        <f>VLOOKUP(A60,Pr_Base_LNEC!$A$4:$J$6971,7,FALSE)</f>
        <v>0</v>
      </c>
    </row>
    <row r="61" spans="1:11" ht="14.5">
      <c r="A61" s="20" t="s">
        <v>13791</v>
      </c>
      <c r="B61" s="20">
        <v>15</v>
      </c>
      <c r="C61" s="20">
        <v>57</v>
      </c>
      <c r="D61" s="20">
        <v>25</v>
      </c>
      <c r="E61" s="20">
        <v>4</v>
      </c>
      <c r="F61" s="20" t="s">
        <v>13792</v>
      </c>
      <c r="G61" s="20" t="s">
        <v>13793</v>
      </c>
      <c r="H61" s="24"/>
      <c r="I61" s="24" t="str">
        <f ca="1">IFERROR(__xludf.DUMMYFUNCTION("GOOGLETRANSLATE(F61,""en"",""pt"")"),"folhas de acrilonitrila butadieno estireno (ABS) geocélula")</f>
        <v>folhas de acrilonitrila butadieno estireno (ABS) geocélula</v>
      </c>
      <c r="J61">
        <f>VLOOKUP(A61,Pr_Base_LNEC!$A$4:$J$6971,6,FALSE)</f>
        <v>0</v>
      </c>
      <c r="K61">
        <f>VLOOKUP(A61,Pr_Base_LNEC!$A$4:$J$6971,7,FALSE)</f>
        <v>0</v>
      </c>
    </row>
    <row r="62" spans="1:11" ht="14.5">
      <c r="A62" s="20" t="s">
        <v>13794</v>
      </c>
      <c r="B62" s="20">
        <v>15</v>
      </c>
      <c r="C62" s="20">
        <v>57</v>
      </c>
      <c r="D62" s="20">
        <v>25</v>
      </c>
      <c r="E62" s="20">
        <v>32</v>
      </c>
      <c r="F62" s="20" t="s">
        <v>13795</v>
      </c>
      <c r="G62" s="24"/>
      <c r="H62" s="24"/>
      <c r="I62" s="24" t="str">
        <f ca="1">IFERROR(__xludf.DUMMYFUNCTION("GOOGLETRANSLATE(F62,""en"",""pt"")"),"placas geocell")</f>
        <v>placas geocell</v>
      </c>
      <c r="J62">
        <f>VLOOKUP(A62,Pr_Base_LNEC!$A$4:$J$6971,6,FALSE)</f>
        <v>0</v>
      </c>
      <c r="K62">
        <f>VLOOKUP(A62,Pr_Base_LNEC!$A$4:$J$6971,7,FALSE)</f>
        <v>0</v>
      </c>
    </row>
    <row r="63" spans="1:11" ht="14.5">
      <c r="A63" s="20" t="s">
        <v>13796</v>
      </c>
      <c r="B63" s="20">
        <v>15</v>
      </c>
      <c r="C63" s="20">
        <v>57</v>
      </c>
      <c r="D63" s="20">
        <v>25</v>
      </c>
      <c r="E63" s="20">
        <v>33</v>
      </c>
      <c r="F63" s="20" t="s">
        <v>13797</v>
      </c>
      <c r="G63" s="24"/>
      <c r="H63" s="24"/>
      <c r="I63" s="24" t="str">
        <f ca="1">IFERROR(__xludf.DUMMYFUNCTION("GOOGLETRANSLATE(F63,""en"",""pt"")"),"folhas geocell")</f>
        <v>folhas geocell</v>
      </c>
      <c r="J63">
        <f>VLOOKUP(A63,Pr_Base_LNEC!$A$4:$J$6971,6,FALSE)</f>
        <v>0</v>
      </c>
      <c r="K63">
        <f>VLOOKUP(A63,Pr_Base_LNEC!$A$4:$J$6971,7,FALSE)</f>
        <v>0</v>
      </c>
    </row>
    <row r="64" spans="1:11" ht="14.5">
      <c r="A64" s="20" t="s">
        <v>13798</v>
      </c>
      <c r="B64" s="20">
        <v>15</v>
      </c>
      <c r="C64" s="20">
        <v>57</v>
      </c>
      <c r="D64" s="20">
        <v>25</v>
      </c>
      <c r="E64" s="20">
        <v>35</v>
      </c>
      <c r="F64" s="20" t="s">
        <v>13799</v>
      </c>
      <c r="G64" s="20" t="s">
        <v>13790</v>
      </c>
      <c r="H64" s="24"/>
      <c r="I64" s="24" t="str">
        <f ca="1">IFERROR(__xludf.DUMMYFUNCTION("GOOGLETRANSLATE(F64,""en"",""pt"")"),"Pesados ​​placas de poliestireno geocélula")</f>
        <v>Pesados ​​placas de poliestireno geocélula</v>
      </c>
      <c r="J64">
        <f>VLOOKUP(A64,Pr_Base_LNEC!$A$4:$J$6971,6,FALSE)</f>
        <v>0</v>
      </c>
      <c r="K64">
        <f>VLOOKUP(A64,Pr_Base_LNEC!$A$4:$J$6971,7,FALSE)</f>
        <v>0</v>
      </c>
    </row>
    <row r="65" spans="1:11" ht="14.5">
      <c r="A65" s="20" t="s">
        <v>13800</v>
      </c>
      <c r="B65" s="20">
        <v>15</v>
      </c>
      <c r="C65" s="20">
        <v>57</v>
      </c>
      <c r="D65" s="20">
        <v>25</v>
      </c>
      <c r="E65" s="20">
        <v>36</v>
      </c>
      <c r="F65" s="20" t="s">
        <v>13801</v>
      </c>
      <c r="G65" s="20" t="s">
        <v>13793</v>
      </c>
      <c r="H65" s="24"/>
      <c r="I65" s="24" t="str">
        <f ca="1">IFERROR(__xludf.DUMMYFUNCTION("GOOGLETRANSLATE(F65,""en"",""pt"")"),"folhas de poliestireno geocélula pesados")</f>
        <v>folhas de poliestireno geocélula pesados</v>
      </c>
      <c r="J65">
        <f>VLOOKUP(A65,Pr_Base_LNEC!$A$4:$J$6971,6,FALSE)</f>
        <v>0</v>
      </c>
      <c r="K65">
        <f>VLOOKUP(A65,Pr_Base_LNEC!$A$4:$J$6971,7,FALSE)</f>
        <v>0</v>
      </c>
    </row>
    <row r="66" spans="1:11" ht="14.5">
      <c r="A66" s="20" t="s">
        <v>13802</v>
      </c>
      <c r="B66" s="20">
        <v>15</v>
      </c>
      <c r="C66" s="20">
        <v>57</v>
      </c>
      <c r="D66" s="20">
        <v>25</v>
      </c>
      <c r="E66" s="20">
        <v>39</v>
      </c>
      <c r="F66" s="20" t="s">
        <v>13803</v>
      </c>
      <c r="G66" s="20" t="s">
        <v>13790</v>
      </c>
      <c r="H66" s="24"/>
      <c r="I66" s="24" t="str">
        <f ca="1">IFERROR(__xludf.DUMMYFUNCTION("GOOGLETRANSLATE(F66,""en"",""pt"")"),"O polietileno de alta densidade (PE-HD) geocell placas")</f>
        <v>O polietileno de alta densidade (PE-HD) geocell placas</v>
      </c>
      <c r="J66">
        <f>VLOOKUP(A66,Pr_Base_LNEC!$A$4:$J$6971,6,FALSE)</f>
        <v>0</v>
      </c>
      <c r="K66">
        <f>VLOOKUP(A66,Pr_Base_LNEC!$A$4:$J$6971,7,FALSE)</f>
        <v>0</v>
      </c>
    </row>
    <row r="67" spans="1:11" ht="14.5">
      <c r="A67" s="20" t="s">
        <v>13804</v>
      </c>
      <c r="B67" s="20">
        <v>15</v>
      </c>
      <c r="C67" s="20">
        <v>57</v>
      </c>
      <c r="D67" s="20">
        <v>25</v>
      </c>
      <c r="E67" s="20">
        <v>40</v>
      </c>
      <c r="F67" s="20" t="s">
        <v>13805</v>
      </c>
      <c r="G67" s="20" t="s">
        <v>13793</v>
      </c>
      <c r="H67" s="24"/>
      <c r="I67" s="24" t="str">
        <f ca="1">IFERROR(__xludf.DUMMYFUNCTION("GOOGLETRANSLATE(F67,""en"",""pt"")"),"O polietileno de alta densidade (PE-HD) geocell folhas")</f>
        <v>O polietileno de alta densidade (PE-HD) geocell folhas</v>
      </c>
      <c r="J67">
        <f>VLOOKUP(A67,Pr_Base_LNEC!$A$4:$J$6971,6,FALSE)</f>
        <v>0</v>
      </c>
      <c r="K67">
        <f>VLOOKUP(A67,Pr_Base_LNEC!$A$4:$J$6971,7,FALSE)</f>
        <v>0</v>
      </c>
    </row>
    <row r="68" spans="1:11" ht="14.5">
      <c r="A68" s="20" t="s">
        <v>13806</v>
      </c>
      <c r="B68" s="20">
        <v>15</v>
      </c>
      <c r="C68" s="20">
        <v>57</v>
      </c>
      <c r="D68" s="20">
        <v>25</v>
      </c>
      <c r="E68" s="20">
        <v>57</v>
      </c>
      <c r="F68" s="20" t="s">
        <v>13807</v>
      </c>
      <c r="G68" s="24"/>
      <c r="H68" s="24"/>
      <c r="I68" s="24" t="str">
        <f ca="1">IFERROR(__xludf.DUMMYFUNCTION("GOOGLETRANSLATE(F68,""en"",""pt"")"),"linho de poliéster agulhados")</f>
        <v>linho de poliéster agulhados</v>
      </c>
      <c r="J68">
        <f>VLOOKUP(A68,Pr_Base_LNEC!$A$4:$J$6971,6,FALSE)</f>
        <v>0</v>
      </c>
      <c r="K68">
        <f>VLOOKUP(A68,Pr_Base_LNEC!$A$4:$J$6971,7,FALSE)</f>
        <v>0</v>
      </c>
    </row>
    <row r="69" spans="1:11" ht="14.5">
      <c r="A69" s="20" t="s">
        <v>13808</v>
      </c>
      <c r="B69" s="20">
        <v>15</v>
      </c>
      <c r="C69" s="20">
        <v>57</v>
      </c>
      <c r="D69" s="20">
        <v>25</v>
      </c>
      <c r="E69" s="20">
        <v>70</v>
      </c>
      <c r="F69" s="20" t="s">
        <v>13809</v>
      </c>
      <c r="G69" s="24"/>
      <c r="H69" s="24"/>
      <c r="I69" s="24" t="str">
        <f ca="1">IFERROR(__xludf.DUMMYFUNCTION("GOOGLETRANSLATE(F69,""en"",""pt"")"),"tiras de poliéster")</f>
        <v>tiras de poliéster</v>
      </c>
      <c r="J69">
        <f>VLOOKUP(A69,Pr_Base_LNEC!$A$4:$J$6971,6,FALSE)</f>
        <v>0</v>
      </c>
      <c r="K69">
        <f>VLOOKUP(A69,Pr_Base_LNEC!$A$4:$J$6971,7,FALSE)</f>
        <v>0</v>
      </c>
    </row>
    <row r="70" spans="1:11" ht="14.5">
      <c r="A70" s="20" t="s">
        <v>13810</v>
      </c>
      <c r="B70" s="20">
        <v>15</v>
      </c>
      <c r="C70" s="20">
        <v>57</v>
      </c>
      <c r="D70" s="20">
        <v>25</v>
      </c>
      <c r="E70" s="20">
        <v>74</v>
      </c>
      <c r="F70" s="20" t="s">
        <v>13811</v>
      </c>
      <c r="G70" s="24"/>
      <c r="H70" s="24"/>
      <c r="I70" s="24" t="str">
        <f ca="1">IFERROR(__xludf.DUMMYFUNCTION("GOOGLETRANSLATE(F70,""en"",""pt"")"),"placas de polipropileno geocell")</f>
        <v>placas de polipropileno geocell</v>
      </c>
      <c r="J70">
        <f>VLOOKUP(A70,Pr_Base_LNEC!$A$4:$J$6971,6,FALSE)</f>
        <v>0</v>
      </c>
      <c r="K70">
        <f>VLOOKUP(A70,Pr_Base_LNEC!$A$4:$J$6971,7,FALSE)</f>
        <v>0</v>
      </c>
    </row>
    <row r="71" spans="1:11" ht="14.5">
      <c r="A71" s="20" t="s">
        <v>13812</v>
      </c>
      <c r="B71" s="20">
        <v>15</v>
      </c>
      <c r="C71" s="20">
        <v>57</v>
      </c>
      <c r="D71" s="20">
        <v>25</v>
      </c>
      <c r="E71" s="20">
        <v>75</v>
      </c>
      <c r="F71" s="20" t="s">
        <v>13813</v>
      </c>
      <c r="G71" s="24"/>
      <c r="H71" s="24"/>
      <c r="I71" s="24" t="str">
        <f ca="1">IFERROR(__xludf.DUMMYFUNCTION("GOOGLETRANSLATE(F71,""en"",""pt"")"),"Folhas de polietileno geocell")</f>
        <v>Folhas de polietileno geocell</v>
      </c>
      <c r="J71">
        <f>VLOOKUP(A71,Pr_Base_LNEC!$A$4:$J$6971,6,FALSE)</f>
        <v>0</v>
      </c>
      <c r="K71">
        <f>VLOOKUP(A71,Pr_Base_LNEC!$A$4:$J$6971,7,FALSE)</f>
        <v>0</v>
      </c>
    </row>
    <row r="72" spans="1:11" ht="14.5">
      <c r="A72" s="20" t="s">
        <v>13814</v>
      </c>
      <c r="B72" s="20">
        <v>15</v>
      </c>
      <c r="C72" s="20">
        <v>57</v>
      </c>
      <c r="D72" s="20">
        <v>27</v>
      </c>
      <c r="E72" s="24"/>
      <c r="F72" s="20" t="s">
        <v>13815</v>
      </c>
      <c r="G72" s="24"/>
      <c r="H72" s="24"/>
      <c r="I72" s="24" t="str">
        <f ca="1">IFERROR(__xludf.DUMMYFUNCTION("GOOGLETRANSLATE(F72,""en"",""pt"")"),"geocompostos")</f>
        <v>geocompostos</v>
      </c>
      <c r="J72" t="str">
        <f>VLOOKUP(A72,Pr_Base_LNEC!$A$4:$J$6971,6,FALSE)</f>
        <v>Geocompostos</v>
      </c>
      <c r="K72">
        <f>VLOOKUP(A72,Pr_Base_LNEC!$A$4:$J$6971,7,FALSE)</f>
        <v>0</v>
      </c>
    </row>
    <row r="73" spans="1:11" ht="14.5">
      <c r="A73" s="20" t="s">
        <v>13816</v>
      </c>
      <c r="B73" s="20">
        <v>15</v>
      </c>
      <c r="C73" s="20">
        <v>57</v>
      </c>
      <c r="D73" s="20">
        <v>27</v>
      </c>
      <c r="E73" s="20">
        <v>33</v>
      </c>
      <c r="F73" s="20" t="s">
        <v>13817</v>
      </c>
      <c r="G73" s="24"/>
      <c r="H73" s="24"/>
      <c r="I73" s="24" t="str">
        <f ca="1">IFERROR(__xludf.DUMMYFUNCTION("GOOGLETRANSLATE(F73,""en"",""pt"")"),"folhas geocompostos")</f>
        <v>folhas geocompostos</v>
      </c>
      <c r="J73" t="str">
        <f>VLOOKUP(A73,Pr_Base_LNEC!$A$4:$J$6971,6,FALSE)</f>
        <v>-</v>
      </c>
      <c r="K73">
        <f>VLOOKUP(A73,Pr_Base_LNEC!$A$4:$J$6971,7,FALSE)</f>
        <v>0</v>
      </c>
    </row>
    <row r="74" spans="1:11" ht="14.5">
      <c r="A74" s="20" t="s">
        <v>13818</v>
      </c>
      <c r="B74" s="20">
        <v>15</v>
      </c>
      <c r="C74" s="20">
        <v>57</v>
      </c>
      <c r="D74" s="20">
        <v>27</v>
      </c>
      <c r="E74" s="20">
        <v>36</v>
      </c>
      <c r="F74" s="20" t="s">
        <v>13819</v>
      </c>
      <c r="G74" s="24"/>
      <c r="H74" s="24"/>
      <c r="I74" s="24" t="str">
        <f ca="1">IFERROR(__xludf.DUMMYFUNCTION("GOOGLETRANSLATE(F74,""en"",""pt"")"),"Geocomposite folhas cravejado")</f>
        <v>Geocomposite folhas cravejado</v>
      </c>
      <c r="J74" t="str">
        <f>VLOOKUP(A74,Pr_Base_LNEC!$A$4:$J$6971,6,FALSE)</f>
        <v>-</v>
      </c>
      <c r="K74">
        <f>VLOOKUP(A74,Pr_Base_LNEC!$A$4:$J$6971,7,FALSE)</f>
        <v>0</v>
      </c>
    </row>
    <row r="75" spans="1:11" ht="14.5">
      <c r="A75" s="20" t="s">
        <v>13820</v>
      </c>
      <c r="B75" s="20">
        <v>15</v>
      </c>
      <c r="C75" s="20">
        <v>57</v>
      </c>
      <c r="D75" s="20">
        <v>27</v>
      </c>
      <c r="E75" s="20">
        <v>38</v>
      </c>
      <c r="F75" s="20" t="s">
        <v>13821</v>
      </c>
      <c r="G75" s="24"/>
      <c r="H75" s="24"/>
      <c r="I75" s="24" t="str">
        <f ca="1">IFERROR(__xludf.DUMMYFUNCTION("GOOGLETRANSLATE(F75,""en"",""pt"")"),"folhas compósitas geomembrana geogrelha")</f>
        <v>folhas compósitas geomembrana geogrelha</v>
      </c>
      <c r="J75" t="str">
        <f>VLOOKUP(A75,Pr_Base_LNEC!$A$4:$J$6971,6,FALSE)</f>
        <v>-</v>
      </c>
      <c r="K75">
        <f>VLOOKUP(A75,Pr_Base_LNEC!$A$4:$J$6971,7,FALSE)</f>
        <v>0</v>
      </c>
    </row>
    <row r="76" spans="1:11" ht="14.5">
      <c r="A76" s="20" t="s">
        <v>13822</v>
      </c>
      <c r="B76" s="20">
        <v>15</v>
      </c>
      <c r="C76" s="20">
        <v>57</v>
      </c>
      <c r="D76" s="20">
        <v>27</v>
      </c>
      <c r="E76" s="20">
        <v>39</v>
      </c>
      <c r="F76" s="20" t="s">
        <v>13823</v>
      </c>
      <c r="G76" s="20" t="s">
        <v>13824</v>
      </c>
      <c r="H76" s="24"/>
      <c r="I76" s="24" t="str">
        <f ca="1">IFERROR(__xludf.DUMMYFUNCTION("GOOGLETRANSLATE(F76,""en"",""pt"")"),"revestimentos geossintéticos de argila (GCLs)")</f>
        <v>revestimentos geossintéticos de argila (GCLs)</v>
      </c>
      <c r="J76" t="str">
        <f>VLOOKUP(A76,Pr_Base_LNEC!$A$4:$J$6971,6,FALSE)</f>
        <v>-</v>
      </c>
      <c r="K76">
        <f>VLOOKUP(A76,Pr_Base_LNEC!$A$4:$J$6971,7,FALSE)</f>
        <v>0</v>
      </c>
    </row>
    <row r="77" spans="1:11" ht="14.5">
      <c r="A77" s="20" t="s">
        <v>13825</v>
      </c>
      <c r="B77" s="20">
        <v>15</v>
      </c>
      <c r="C77" s="20">
        <v>57</v>
      </c>
      <c r="D77" s="20">
        <v>27</v>
      </c>
      <c r="E77" s="20">
        <v>43</v>
      </c>
      <c r="F77" s="20" t="s">
        <v>13826</v>
      </c>
      <c r="G77" s="24"/>
      <c r="H77" s="24"/>
      <c r="I77" s="24" t="str">
        <f ca="1">IFERROR(__xludf.DUMMYFUNCTION("GOOGLETRANSLATE(F77,""en"",""pt"")"),"folhas de geotêxtil geogrelha")</f>
        <v>folhas de geotêxtil geogrelha</v>
      </c>
      <c r="J77" t="str">
        <f>VLOOKUP(A77,Pr_Base_LNEC!$A$4:$J$6971,6,FALSE)</f>
        <v>-</v>
      </c>
      <c r="K77">
        <f>VLOOKUP(A77,Pr_Base_LNEC!$A$4:$J$6971,7,FALSE)</f>
        <v>0</v>
      </c>
    </row>
    <row r="78" spans="1:11" ht="14.5">
      <c r="A78" s="20" t="s">
        <v>13827</v>
      </c>
      <c r="B78" s="20">
        <v>15</v>
      </c>
      <c r="C78" s="20">
        <v>57</v>
      </c>
      <c r="D78" s="20">
        <v>27</v>
      </c>
      <c r="E78" s="20">
        <v>45</v>
      </c>
      <c r="F78" s="20" t="s">
        <v>13828</v>
      </c>
      <c r="G78" s="24"/>
      <c r="H78" s="24"/>
      <c r="I78" s="24" t="str">
        <f ca="1">IFERROR(__xludf.DUMMYFUNCTION("GOOGLETRANSLATE(F78,""en"",""pt"")"),"folhas compósitas geomembrana geotêxtil")</f>
        <v>folhas compósitas geomembrana geotêxtil</v>
      </c>
      <c r="J78" t="str">
        <f>VLOOKUP(A78,Pr_Base_LNEC!$A$4:$J$6971,6,FALSE)</f>
        <v>-</v>
      </c>
      <c r="K78">
        <f>VLOOKUP(A78,Pr_Base_LNEC!$A$4:$J$6971,7,FALSE)</f>
        <v>0</v>
      </c>
    </row>
    <row r="79" spans="1:11" ht="14.5">
      <c r="A79" s="20" t="s">
        <v>13829</v>
      </c>
      <c r="B79" s="20">
        <v>15</v>
      </c>
      <c r="C79" s="20">
        <v>57</v>
      </c>
      <c r="D79" s="20">
        <v>27</v>
      </c>
      <c r="E79" s="20">
        <v>47</v>
      </c>
      <c r="F79" s="20" t="s">
        <v>13830</v>
      </c>
      <c r="G79" s="24"/>
      <c r="H79" s="24"/>
      <c r="I79" s="24" t="str">
        <f ca="1">IFERROR(__xludf.DUMMYFUNCTION("GOOGLETRANSLATE(F79,""en"",""pt"")"),"Geotêxtil georrede folhas compósitas")</f>
        <v>Geotêxtil georrede folhas compósitas</v>
      </c>
      <c r="J79" t="str">
        <f>VLOOKUP(A79,Pr_Base_LNEC!$A$4:$J$6971,6,FALSE)</f>
        <v>-</v>
      </c>
      <c r="K79">
        <f>VLOOKUP(A79,Pr_Base_LNEC!$A$4:$J$6971,7,FALSE)</f>
        <v>0</v>
      </c>
    </row>
    <row r="80" spans="1:11" ht="14.5">
      <c r="A80" s="20" t="s">
        <v>13831</v>
      </c>
      <c r="B80" s="20">
        <v>15</v>
      </c>
      <c r="C80" s="20">
        <v>57</v>
      </c>
      <c r="D80" s="20">
        <v>27</v>
      </c>
      <c r="E80" s="20">
        <v>49</v>
      </c>
      <c r="F80" s="20" t="s">
        <v>13832</v>
      </c>
      <c r="G80" s="24"/>
      <c r="H80" s="24"/>
      <c r="I80" s="24" t="str">
        <f ca="1">IFERROR(__xludf.DUMMYFUNCTION("GOOGLETRANSLATE(F80,""en"",""pt"")"),"plásticos geotêxtil folhas compósitas")</f>
        <v>plásticos geotêxtil folhas compósitas</v>
      </c>
      <c r="J80" t="str">
        <f>VLOOKUP(A80,Pr_Base_LNEC!$A$4:$J$6971,6,FALSE)</f>
        <v>-</v>
      </c>
      <c r="K80">
        <f>VLOOKUP(A80,Pr_Base_LNEC!$A$4:$J$6971,7,FALSE)</f>
        <v>0</v>
      </c>
    </row>
    <row r="81" spans="1:11" ht="14.5">
      <c r="A81" s="20" t="s">
        <v>13833</v>
      </c>
      <c r="B81" s="20">
        <v>15</v>
      </c>
      <c r="C81" s="20">
        <v>57</v>
      </c>
      <c r="D81" s="20">
        <v>27</v>
      </c>
      <c r="E81" s="20">
        <v>60</v>
      </c>
      <c r="F81" s="20" t="s">
        <v>13834</v>
      </c>
      <c r="G81" s="24"/>
      <c r="H81" s="24"/>
      <c r="I81" s="24" t="str">
        <f ca="1">IFERROR(__xludf.DUMMYFUNCTION("GOOGLETRANSLATE(F81,""en"",""pt"")"),"Plásticos geocomposite folhas")</f>
        <v>Plásticos geocomposite folhas</v>
      </c>
      <c r="J81" t="str">
        <f>VLOOKUP(A81,Pr_Base_LNEC!$A$4:$J$6971,6,FALSE)</f>
        <v>-</v>
      </c>
      <c r="K81">
        <f>VLOOKUP(A81,Pr_Base_LNEC!$A$4:$J$6971,7,FALSE)</f>
        <v>0</v>
      </c>
    </row>
    <row r="82" spans="1:11" ht="14.5">
      <c r="A82" s="20" t="s">
        <v>13835</v>
      </c>
      <c r="B82" s="20">
        <v>15</v>
      </c>
      <c r="C82" s="20">
        <v>57</v>
      </c>
      <c r="D82" s="20">
        <v>30</v>
      </c>
      <c r="E82" s="24"/>
      <c r="F82" s="20" t="s">
        <v>13836</v>
      </c>
      <c r="G82" s="24"/>
      <c r="H82" s="24"/>
      <c r="I82" s="24" t="str">
        <f ca="1">IFERROR(__xludf.DUMMYFUNCTION("GOOGLETRANSLATE(F82,""en"",""pt"")"),"geomembranas")</f>
        <v>geomembranas</v>
      </c>
      <c r="J82" t="str">
        <f>VLOOKUP(A82,Pr_Base_LNEC!$A$4:$J$6971,6,FALSE)</f>
        <v>Geomembranas</v>
      </c>
      <c r="K82">
        <f>VLOOKUP(A82,Pr_Base_LNEC!$A$4:$J$6971,7,FALSE)</f>
        <v>0</v>
      </c>
    </row>
    <row r="83" spans="1:11" ht="14.5">
      <c r="A83" s="20" t="s">
        <v>13837</v>
      </c>
      <c r="B83" s="20">
        <v>15</v>
      </c>
      <c r="C83" s="20">
        <v>57</v>
      </c>
      <c r="D83" s="20">
        <v>33</v>
      </c>
      <c r="E83" s="24"/>
      <c r="F83" s="20" t="s">
        <v>13838</v>
      </c>
      <c r="G83" s="24"/>
      <c r="H83" s="24"/>
      <c r="I83" s="24" t="str">
        <f ca="1">IFERROR(__xludf.DUMMYFUNCTION("GOOGLETRANSLATE(F83,""en"",""pt"")"),"geossintéticos")</f>
        <v>geossintéticos</v>
      </c>
      <c r="J83" t="str">
        <f>VLOOKUP(A83,Pr_Base_LNEC!$A$4:$J$6971,6,FALSE)</f>
        <v>Geosintéticos</v>
      </c>
      <c r="K83">
        <f>VLOOKUP(A83,Pr_Base_LNEC!$A$4:$J$6971,7,FALSE)</f>
        <v>0</v>
      </c>
    </row>
    <row r="84" spans="1:11" ht="14.5">
      <c r="A84" s="20" t="s">
        <v>13839</v>
      </c>
      <c r="B84" s="20">
        <v>15</v>
      </c>
      <c r="C84" s="20">
        <v>57</v>
      </c>
      <c r="D84" s="20">
        <v>33</v>
      </c>
      <c r="E84" s="20">
        <v>36</v>
      </c>
      <c r="F84" s="20" t="s">
        <v>13840</v>
      </c>
      <c r="G84" s="24"/>
      <c r="H84" s="24"/>
      <c r="I84" s="24" t="str">
        <f ca="1">IFERROR(__xludf.DUMMYFUNCTION("GOOGLETRANSLATE(F84,""en"",""pt"")"),"geogrelhas")</f>
        <v>geogrelhas</v>
      </c>
      <c r="J84" t="e">
        <f>VLOOKUP(A84,Pr_Base_LNEC!$A$4:$J$6971,6,FALSE)</f>
        <v>#N/A</v>
      </c>
      <c r="K84" t="e">
        <f>VLOOKUP(A84,Pr_Base_LNEC!$A$4:$J$6971,7,FALSE)</f>
        <v>#N/A</v>
      </c>
    </row>
    <row r="85" spans="1:11" ht="14.5">
      <c r="A85" s="20" t="s">
        <v>13841</v>
      </c>
      <c r="B85" s="20">
        <v>15</v>
      </c>
      <c r="C85" s="20">
        <v>57</v>
      </c>
      <c r="D85" s="20">
        <v>33</v>
      </c>
      <c r="E85" s="20">
        <v>37</v>
      </c>
      <c r="F85" s="20" t="s">
        <v>13842</v>
      </c>
      <c r="G85" s="20" t="s">
        <v>13843</v>
      </c>
      <c r="H85" s="24"/>
      <c r="I85" s="24" t="str">
        <f ca="1">IFERROR(__xludf.DUMMYFUNCTION("GOOGLETRANSLATE(F85,""en"",""pt"")"),"Geomats")</f>
        <v>Geomats</v>
      </c>
      <c r="J85" t="str">
        <f>VLOOKUP(A85,Pr_Base_LNEC!$A$4:$J$6971,6,FALSE)</f>
        <v>-</v>
      </c>
      <c r="K85">
        <f>VLOOKUP(A85,Pr_Base_LNEC!$A$4:$J$6971,7,FALSE)</f>
        <v>0</v>
      </c>
    </row>
    <row r="86" spans="1:11" ht="14.5">
      <c r="A86" s="20" t="s">
        <v>13844</v>
      </c>
      <c r="B86" s="20">
        <v>15</v>
      </c>
      <c r="C86" s="20">
        <v>57</v>
      </c>
      <c r="D86" s="20">
        <v>33</v>
      </c>
      <c r="E86" s="20">
        <v>38</v>
      </c>
      <c r="F86" s="20" t="s">
        <v>13845</v>
      </c>
      <c r="G86" s="20" t="s">
        <v>13846</v>
      </c>
      <c r="H86" s="24"/>
      <c r="I86" s="24" t="str">
        <f ca="1">IFERROR(__xludf.DUMMYFUNCTION("GOOGLETRANSLATE(F86,""en"",""pt"")"),"georredes")</f>
        <v>georredes</v>
      </c>
      <c r="J86" t="str">
        <f>VLOOKUP(A86,Pr_Base_LNEC!$A$4:$J$6971,6,FALSE)</f>
        <v>-</v>
      </c>
      <c r="K86">
        <f>VLOOKUP(A86,Pr_Base_LNEC!$A$4:$J$6971,7,FALSE)</f>
        <v>0</v>
      </c>
    </row>
    <row r="87" spans="1:11" ht="14.5">
      <c r="A87" s="20" t="s">
        <v>13847</v>
      </c>
      <c r="B87" s="20">
        <v>15</v>
      </c>
      <c r="C87" s="20">
        <v>57</v>
      </c>
      <c r="D87" s="20">
        <v>33</v>
      </c>
      <c r="E87" s="20">
        <v>41</v>
      </c>
      <c r="F87" s="20" t="s">
        <v>13848</v>
      </c>
      <c r="G87" s="24"/>
      <c r="H87" s="24"/>
      <c r="I87" s="24" t="str">
        <f ca="1">IFERROR(__xludf.DUMMYFUNCTION("GOOGLETRANSLATE(F87,""en"",""pt"")"),"polietileno de alta densidade (PE-HD) geogrelhas")</f>
        <v>polietileno de alta densidade (PE-HD) geogrelhas</v>
      </c>
      <c r="J87" t="str">
        <f>VLOOKUP(A87,Pr_Base_LNEC!$A$4:$J$6971,6,FALSE)</f>
        <v>-</v>
      </c>
      <c r="K87">
        <f>VLOOKUP(A87,Pr_Base_LNEC!$A$4:$J$6971,7,FALSE)</f>
        <v>0</v>
      </c>
    </row>
    <row r="88" spans="1:11" ht="14.5">
      <c r="A88" s="20" t="s">
        <v>13849</v>
      </c>
      <c r="B88" s="20">
        <v>15</v>
      </c>
      <c r="C88" s="20">
        <v>57</v>
      </c>
      <c r="D88" s="20">
        <v>33</v>
      </c>
      <c r="E88" s="20">
        <v>42</v>
      </c>
      <c r="F88" s="20" t="s">
        <v>13850</v>
      </c>
      <c r="G88" s="24"/>
      <c r="H88" s="24"/>
      <c r="I88" s="24" t="str">
        <f ca="1">IFERROR(__xludf.DUMMYFUNCTION("GOOGLETRANSLATE(F88,""en"",""pt"")"),"polietileno de alta densidade (PE-HD) georredes")</f>
        <v>polietileno de alta densidade (PE-HD) georredes</v>
      </c>
      <c r="J88" t="str">
        <f>VLOOKUP(A88,Pr_Base_LNEC!$A$4:$J$6971,6,FALSE)</f>
        <v>-</v>
      </c>
      <c r="K88">
        <f>VLOOKUP(A88,Pr_Base_LNEC!$A$4:$J$6971,7,FALSE)</f>
        <v>0</v>
      </c>
    </row>
    <row r="89" spans="1:11" ht="14.5">
      <c r="A89" s="20" t="s">
        <v>13851</v>
      </c>
      <c r="B89" s="20">
        <v>15</v>
      </c>
      <c r="C89" s="20">
        <v>57</v>
      </c>
      <c r="D89" s="20">
        <v>33</v>
      </c>
      <c r="E89" s="20">
        <v>64</v>
      </c>
      <c r="F89" s="20" t="s">
        <v>13852</v>
      </c>
      <c r="G89" s="20" t="s">
        <v>13853</v>
      </c>
      <c r="H89" s="24"/>
      <c r="I89" s="24" t="str">
        <f ca="1">IFERROR(__xludf.DUMMYFUNCTION("GOOGLETRANSLATE(F89,""en"",""pt"")"),"plásticos geogrelhas")</f>
        <v>plásticos geogrelhas</v>
      </c>
      <c r="J89" t="str">
        <f>VLOOKUP(A89,Pr_Base_LNEC!$A$4:$J$6971,6,FALSE)</f>
        <v>-</v>
      </c>
      <c r="K89">
        <f>VLOOKUP(A89,Pr_Base_LNEC!$A$4:$J$6971,7,FALSE)</f>
        <v>0</v>
      </c>
    </row>
    <row r="90" spans="1:11" ht="14.5">
      <c r="A90" s="20" t="s">
        <v>13854</v>
      </c>
      <c r="B90" s="20">
        <v>15</v>
      </c>
      <c r="C90" s="20">
        <v>57</v>
      </c>
      <c r="D90" s="20">
        <v>33</v>
      </c>
      <c r="E90" s="20">
        <v>75</v>
      </c>
      <c r="F90" s="20" t="s">
        <v>13855</v>
      </c>
      <c r="G90" s="24"/>
      <c r="H90" s="24"/>
      <c r="I90" s="24" t="str">
        <f ca="1">IFERROR(__xludf.DUMMYFUNCTION("GOOGLETRANSLATE(F90,""en"",""pt"")"),"geogrelhas de poliéster")</f>
        <v>geogrelhas de poliéster</v>
      </c>
      <c r="J90" t="str">
        <f>VLOOKUP(A90,Pr_Base_LNEC!$A$4:$J$6971,6,FALSE)</f>
        <v>-</v>
      </c>
      <c r="K90">
        <f>VLOOKUP(A90,Pr_Base_LNEC!$A$4:$J$6971,7,FALSE)</f>
        <v>0</v>
      </c>
    </row>
    <row r="91" spans="1:11" ht="14.5">
      <c r="A91" s="20" t="s">
        <v>13856</v>
      </c>
      <c r="B91" s="20">
        <v>15</v>
      </c>
      <c r="C91" s="20">
        <v>57</v>
      </c>
      <c r="D91" s="20">
        <v>33</v>
      </c>
      <c r="E91" s="20">
        <v>77</v>
      </c>
      <c r="F91" s="20" t="s">
        <v>13857</v>
      </c>
      <c r="G91" s="24"/>
      <c r="H91" s="24"/>
      <c r="I91" s="24" t="str">
        <f ca="1">IFERROR(__xludf.DUMMYFUNCTION("GOOGLETRANSLATE(F91,""en"",""pt"")"),"geomats polietileno")</f>
        <v>geomats polietileno</v>
      </c>
      <c r="J91" t="str">
        <f>VLOOKUP(A91,Pr_Base_LNEC!$A$4:$J$6971,6,FALSE)</f>
        <v>-</v>
      </c>
      <c r="K91">
        <f>VLOOKUP(A91,Pr_Base_LNEC!$A$4:$J$6971,7,FALSE)</f>
        <v>0</v>
      </c>
    </row>
    <row r="92" spans="1:11" ht="14.5">
      <c r="A92" s="20" t="s">
        <v>13858</v>
      </c>
      <c r="B92" s="20">
        <v>15</v>
      </c>
      <c r="C92" s="20">
        <v>57</v>
      </c>
      <c r="D92" s="20">
        <v>33</v>
      </c>
      <c r="E92" s="20">
        <v>79</v>
      </c>
      <c r="F92" s="20" t="s">
        <v>13859</v>
      </c>
      <c r="G92" s="24"/>
      <c r="H92" s="24"/>
      <c r="I92" s="24" t="str">
        <f ca="1">IFERROR(__xludf.DUMMYFUNCTION("GOOGLETRANSLATE(F92,""en"",""pt"")"),"georredes costela poliméricos")</f>
        <v>georredes costela poliméricos</v>
      </c>
      <c r="J92" t="str">
        <f>VLOOKUP(A92,Pr_Base_LNEC!$A$4:$J$6971,6,FALSE)</f>
        <v>-</v>
      </c>
      <c r="K92">
        <f>VLOOKUP(A92,Pr_Base_LNEC!$A$4:$J$6971,7,FALSE)</f>
        <v>0</v>
      </c>
    </row>
    <row r="93" spans="1:11" ht="14.5">
      <c r="A93" s="20" t="s">
        <v>13860</v>
      </c>
      <c r="B93" s="20">
        <v>15</v>
      </c>
      <c r="C93" s="20">
        <v>57</v>
      </c>
      <c r="D93" s="20">
        <v>33</v>
      </c>
      <c r="E93" s="20">
        <v>80</v>
      </c>
      <c r="F93" s="20" t="s">
        <v>13861</v>
      </c>
      <c r="G93" s="24"/>
      <c r="H93" s="24"/>
      <c r="I93" s="24" t="str">
        <f ca="1">IFERROR(__xludf.DUMMYFUNCTION("GOOGLETRANSLATE(F93,""en"",""pt"")"),"geomats poliolefinas")</f>
        <v>geomats poliolefinas</v>
      </c>
      <c r="J93" t="str">
        <f>VLOOKUP(A93,Pr_Base_LNEC!$A$4:$J$6971,6,FALSE)</f>
        <v>-</v>
      </c>
      <c r="K93">
        <f>VLOOKUP(A93,Pr_Base_LNEC!$A$4:$J$6971,7,FALSE)</f>
        <v>0</v>
      </c>
    </row>
    <row r="94" spans="1:11" ht="14.5">
      <c r="A94" s="20" t="s">
        <v>13862</v>
      </c>
      <c r="B94" s="20">
        <v>15</v>
      </c>
      <c r="C94" s="20">
        <v>57</v>
      </c>
      <c r="D94" s="20">
        <v>33</v>
      </c>
      <c r="E94" s="20">
        <v>85</v>
      </c>
      <c r="F94" s="20" t="s">
        <v>13863</v>
      </c>
      <c r="G94" s="24"/>
      <c r="H94" s="24"/>
      <c r="I94" s="24" t="str">
        <f ca="1">IFERROR(__xludf.DUMMYFUNCTION("GOOGLETRANSLATE(F94,""en"",""pt"")"),"polipropileno fiado-ligado (PP) membranas")</f>
        <v>polipropileno fiado-ligado (PP) membranas</v>
      </c>
      <c r="J94" t="str">
        <f>VLOOKUP(A94,Pr_Base_LNEC!$A$4:$J$6971,6,FALSE)</f>
        <v>-</v>
      </c>
      <c r="K94">
        <f>VLOOKUP(A94,Pr_Base_LNEC!$A$4:$J$6971,7,FALSE)</f>
        <v>0</v>
      </c>
    </row>
    <row r="95" spans="1:11" ht="14.5">
      <c r="A95" s="20" t="s">
        <v>13864</v>
      </c>
      <c r="B95" s="20">
        <v>15</v>
      </c>
      <c r="C95" s="20">
        <v>57</v>
      </c>
      <c r="D95" s="20">
        <v>33</v>
      </c>
      <c r="E95" s="20">
        <v>97</v>
      </c>
      <c r="F95" s="20" t="s">
        <v>13865</v>
      </c>
      <c r="G95" s="24"/>
      <c r="H95" s="24"/>
      <c r="I95" s="24" t="str">
        <f ca="1">IFERROR(__xludf.DUMMYFUNCTION("GOOGLETRANSLATE(F95,""en"",""pt"")"),"polipropileno (PP) tecida membranas")</f>
        <v>polipropileno (PP) tecida membranas</v>
      </c>
      <c r="J95" t="str">
        <f>VLOOKUP(A95,Pr_Base_LNEC!$A$4:$J$6971,6,FALSE)</f>
        <v>-</v>
      </c>
      <c r="K95">
        <f>VLOOKUP(A95,Pr_Base_LNEC!$A$4:$J$6971,7,FALSE)</f>
        <v>0</v>
      </c>
    </row>
    <row r="96" spans="1:11" ht="14.5">
      <c r="A96" s="20" t="s">
        <v>13866</v>
      </c>
      <c r="B96" s="20">
        <v>15</v>
      </c>
      <c r="C96" s="20">
        <v>57</v>
      </c>
      <c r="D96" s="20">
        <v>35</v>
      </c>
      <c r="E96" s="24"/>
      <c r="F96" s="20" t="s">
        <v>13867</v>
      </c>
      <c r="G96" s="24"/>
      <c r="H96" s="24"/>
      <c r="I96" s="24" t="str">
        <f ca="1">IFERROR(__xludf.DUMMYFUNCTION("GOOGLETRANSLATE(F96,""en"",""pt"")"),"geotêxteis")</f>
        <v>geotêxteis</v>
      </c>
      <c r="J96" t="str">
        <f>VLOOKUP(A96,Pr_Base_LNEC!$A$4:$J$6971,6,FALSE)</f>
        <v>Geotexteis</v>
      </c>
      <c r="K96">
        <f>VLOOKUP(A96,Pr_Base_LNEC!$A$4:$J$6971,7,FALSE)</f>
        <v>0</v>
      </c>
    </row>
    <row r="97" spans="1:11" ht="14.5">
      <c r="A97" s="20" t="s">
        <v>13868</v>
      </c>
      <c r="B97" s="20">
        <v>15</v>
      </c>
      <c r="C97" s="20">
        <v>57</v>
      </c>
      <c r="D97" s="20">
        <v>35</v>
      </c>
      <c r="E97" s="20">
        <v>56</v>
      </c>
      <c r="F97" s="20" t="s">
        <v>13869</v>
      </c>
      <c r="G97" s="24"/>
      <c r="H97" s="24"/>
      <c r="I97" s="24" t="str">
        <f ca="1">IFERROR(__xludf.DUMMYFUNCTION("GOOGLETRANSLATE(F97,""en"",""pt"")"),"geotêxteis materiais naturais")</f>
        <v>geotêxteis materiais naturais</v>
      </c>
      <c r="J97">
        <f>VLOOKUP(A97,Pr_Base_LNEC!$A$4:$J$6971,6,FALSE)</f>
        <v>0</v>
      </c>
      <c r="K97">
        <f>VLOOKUP(A97,Pr_Base_LNEC!$A$4:$J$6971,7,FALSE)</f>
        <v>0</v>
      </c>
    </row>
    <row r="98" spans="1:11" ht="14.5">
      <c r="A98" s="20" t="s">
        <v>13870</v>
      </c>
      <c r="B98" s="20">
        <v>15</v>
      </c>
      <c r="C98" s="20">
        <v>57</v>
      </c>
      <c r="D98" s="20">
        <v>35</v>
      </c>
      <c r="E98" s="20">
        <v>57</v>
      </c>
      <c r="F98" s="20" t="s">
        <v>13871</v>
      </c>
      <c r="G98" s="24"/>
      <c r="H98" s="24"/>
      <c r="I98" s="24" t="str">
        <f ca="1">IFERROR(__xludf.DUMMYFUNCTION("GOOGLETRANSLATE(F98,""en"",""pt"")"),"geotêxteis não tecidos agulhados")</f>
        <v>geotêxteis não tecidos agulhados</v>
      </c>
      <c r="J98">
        <f>VLOOKUP(A98,Pr_Base_LNEC!$A$4:$J$6971,6,FALSE)</f>
        <v>0</v>
      </c>
      <c r="K98">
        <f>VLOOKUP(A98,Pr_Base_LNEC!$A$4:$J$6971,7,FALSE)</f>
        <v>0</v>
      </c>
    </row>
    <row r="99" spans="1:11" ht="14.5">
      <c r="A99" s="20" t="s">
        <v>13872</v>
      </c>
      <c r="B99" s="20">
        <v>15</v>
      </c>
      <c r="C99" s="20">
        <v>57</v>
      </c>
      <c r="D99" s="20">
        <v>35</v>
      </c>
      <c r="E99" s="20">
        <v>61</v>
      </c>
      <c r="F99" s="20" t="s">
        <v>13873</v>
      </c>
      <c r="G99" s="24"/>
      <c r="H99" s="24"/>
      <c r="I99" s="24" t="str">
        <f ca="1">IFERROR(__xludf.DUMMYFUNCTION("GOOGLETRANSLATE(F99,""en"",""pt"")"),"plásticos geotêxteis")</f>
        <v>plásticos geotêxteis</v>
      </c>
      <c r="J99">
        <f>VLOOKUP(A99,Pr_Base_LNEC!$A$4:$J$6971,6,FALSE)</f>
        <v>0</v>
      </c>
      <c r="K99">
        <f>VLOOKUP(A99,Pr_Base_LNEC!$A$4:$J$6971,7,FALSE)</f>
        <v>0</v>
      </c>
    </row>
    <row r="100" spans="1:11" ht="14.5">
      <c r="A100" s="20" t="s">
        <v>13874</v>
      </c>
      <c r="B100" s="20">
        <v>15</v>
      </c>
      <c r="C100" s="20">
        <v>57</v>
      </c>
      <c r="D100" s="20">
        <v>35</v>
      </c>
      <c r="E100" s="20">
        <v>88</v>
      </c>
      <c r="F100" s="20" t="s">
        <v>13875</v>
      </c>
      <c r="G100" s="24"/>
      <c r="H100" s="24"/>
      <c r="I100" s="24" t="str">
        <f ca="1">IFERROR(__xludf.DUMMYFUNCTION("GOOGLETRANSLATE(F100,""en"",""pt"")"),"Termicamente ligado não tecido geotêxtil")</f>
        <v>Termicamente ligado não tecido geotêxtil</v>
      </c>
      <c r="J100">
        <f>VLOOKUP(A100,Pr_Base_LNEC!$A$4:$J$6971,6,FALSE)</f>
        <v>0</v>
      </c>
      <c r="K100">
        <f>VLOOKUP(A100,Pr_Base_LNEC!$A$4:$J$6971,7,FALSE)</f>
        <v>0</v>
      </c>
    </row>
    <row r="101" spans="1:11" ht="14.5">
      <c r="A101" s="20" t="s">
        <v>13876</v>
      </c>
      <c r="B101" s="20">
        <v>15</v>
      </c>
      <c r="C101" s="20">
        <v>71</v>
      </c>
      <c r="D101" s="24"/>
      <c r="E101" s="24"/>
      <c r="F101" s="20" t="s">
        <v>13877</v>
      </c>
      <c r="G101" s="24"/>
      <c r="H101" s="24"/>
      <c r="I101" s="24" t="str">
        <f ca="1">IFERROR(__xludf.DUMMYFUNCTION("GOOGLETRANSLATE(F101,""en"",""pt"")"),"placa rida, o painel e a folha de produtos de preparação")</f>
        <v>placa rida, o painel e a folha de produtos de preparação</v>
      </c>
      <c r="J101" t="str">
        <f>VLOOKUP(A101,Pr_Base_LNEC!$A$4:$J$6971,6,FALSE)</f>
        <v>Produtos Preparatórios Rígidos: Membranas, Chapas, Placas, Paineis</v>
      </c>
      <c r="K101">
        <f>VLOOKUP(A101,Pr_Base_LNEC!$A$4:$J$6971,7,FALSE)</f>
        <v>0</v>
      </c>
    </row>
    <row r="102" spans="1:11" ht="14.5">
      <c r="A102" s="20" t="s">
        <v>13878</v>
      </c>
      <c r="B102" s="20">
        <v>15</v>
      </c>
      <c r="C102" s="20">
        <v>71</v>
      </c>
      <c r="D102" s="20">
        <v>90</v>
      </c>
      <c r="E102" s="24"/>
      <c r="F102" s="20" t="s">
        <v>13879</v>
      </c>
      <c r="G102" s="24"/>
      <c r="H102" s="24"/>
      <c r="I102" s="24" t="str">
        <f ca="1">IFERROR(__xludf.DUMMYFUNCTION("GOOGLETRANSLATE(F102,""en"",""pt"")"),"placas de trincheira e folhas")</f>
        <v>placas de trincheira e folhas</v>
      </c>
      <c r="J102" t="str">
        <f>VLOOKUP(A102,Pr_Base_LNEC!$A$4:$J$6971,6,FALSE)</f>
        <v>Valas em chapa e valas em placa</v>
      </c>
      <c r="K102">
        <f>VLOOKUP(A102,Pr_Base_LNEC!$A$4:$J$6971,7,FALSE)</f>
        <v>0</v>
      </c>
    </row>
    <row r="103" spans="1:11" ht="14.5">
      <c r="A103" s="20" t="s">
        <v>13880</v>
      </c>
      <c r="B103" s="20">
        <v>15</v>
      </c>
      <c r="C103" s="20">
        <v>71</v>
      </c>
      <c r="D103" s="20">
        <v>90</v>
      </c>
      <c r="E103" s="20">
        <v>90</v>
      </c>
      <c r="F103" s="20" t="s">
        <v>13881</v>
      </c>
      <c r="G103" s="24"/>
      <c r="H103" s="24"/>
      <c r="I103" s="24" t="str">
        <f ca="1">IFERROR(__xludf.DUMMYFUNCTION("GOOGLETRANSLATE(F103,""en"",""pt"")"),"placas de trincheira")</f>
        <v>placas de trincheira</v>
      </c>
      <c r="J103" t="str">
        <f>VLOOKUP(A103,Pr_Base_LNEC!$A$4:$J$6971,6,FALSE)</f>
        <v>-</v>
      </c>
      <c r="K103">
        <f>VLOOKUP(A103,Pr_Base_LNEC!$A$4:$J$6971,7,FALSE)</f>
        <v>0</v>
      </c>
    </row>
    <row r="104" spans="1:11" ht="14.5">
      <c r="A104" s="20" t="s">
        <v>13882</v>
      </c>
      <c r="B104" s="20">
        <v>15</v>
      </c>
      <c r="C104" s="20">
        <v>71</v>
      </c>
      <c r="D104" s="20">
        <v>90</v>
      </c>
      <c r="E104" s="20">
        <v>91</v>
      </c>
      <c r="F104" s="20" t="s">
        <v>13883</v>
      </c>
      <c r="G104" s="24"/>
      <c r="H104" s="24"/>
      <c r="I104" s="24" t="str">
        <f ca="1">IFERROR(__xludf.DUMMYFUNCTION("GOOGLETRANSLATE(F104,""en"",""pt"")"),"folhas de trincheira")</f>
        <v>folhas de trincheira</v>
      </c>
      <c r="J104" t="str">
        <f>VLOOKUP(A104,Pr_Base_LNEC!$A$4:$J$6971,6,FALSE)</f>
        <v>-</v>
      </c>
      <c r="K104">
        <f>VLOOKUP(A104,Pr_Base_LNEC!$A$4:$J$6971,7,FALSE)</f>
        <v>0</v>
      </c>
    </row>
    <row r="105" spans="1:11" ht="14.5">
      <c r="A105" s="20" t="s">
        <v>13884</v>
      </c>
      <c r="B105" s="20">
        <v>15</v>
      </c>
      <c r="C105" s="20">
        <v>93</v>
      </c>
      <c r="D105" s="24"/>
      <c r="E105" s="24"/>
      <c r="F105" s="20" t="s">
        <v>13885</v>
      </c>
      <c r="G105" s="24"/>
      <c r="H105" s="24"/>
      <c r="I105" s="24" t="str">
        <f ca="1">IFERROR(__xludf.DUMMYFUNCTION("GOOGLETRANSLATE(F105,""en"",""pt"")"),"produtos de preparação de unidade")</f>
        <v>produtos de preparação de unidade</v>
      </c>
      <c r="J105" t="str">
        <f>VLOOKUP(A105,Pr_Base_LNEC!$A$4:$J$6971,6,FALSE)</f>
        <v>Produtos Unitárias Preparatórios</v>
      </c>
      <c r="K105">
        <f>VLOOKUP(A105,Pr_Base_LNEC!$A$4:$J$6971,7,FALSE)</f>
        <v>0</v>
      </c>
    </row>
    <row r="106" spans="1:11" ht="14.5">
      <c r="A106" s="20" t="s">
        <v>13886</v>
      </c>
      <c r="B106" s="20">
        <v>15</v>
      </c>
      <c r="C106" s="20">
        <v>93</v>
      </c>
      <c r="D106" s="20">
        <v>30</v>
      </c>
      <c r="E106" s="24"/>
      <c r="F106" s="20" t="s">
        <v>13887</v>
      </c>
      <c r="G106" s="24"/>
      <c r="H106" s="24"/>
      <c r="I106" s="24" t="str">
        <f ca="1">IFERROR(__xludf.DUMMYFUNCTION("GOOGLETRANSLATE(F106,""en"",""pt"")"),"blocos de preenchimento")</f>
        <v>blocos de preenchimento</v>
      </c>
      <c r="J106" t="str">
        <f>VLOOKUP(A106,Pr_Base_LNEC!$A$4:$J$6971,6,FALSE)</f>
        <v>Blocos com enchimento</v>
      </c>
      <c r="K106">
        <f>VLOOKUP(A106,Pr_Base_LNEC!$A$4:$J$6971,7,FALSE)</f>
        <v>0</v>
      </c>
    </row>
    <row r="107" spans="1:11" ht="14.5">
      <c r="A107" s="20" t="s">
        <v>13888</v>
      </c>
      <c r="B107" s="20">
        <v>15</v>
      </c>
      <c r="C107" s="20">
        <v>93</v>
      </c>
      <c r="D107" s="20">
        <v>30</v>
      </c>
      <c r="E107" s="20">
        <v>28</v>
      </c>
      <c r="F107" s="20" t="s">
        <v>13889</v>
      </c>
      <c r="G107" s="20" t="s">
        <v>13890</v>
      </c>
      <c r="H107" s="24"/>
      <c r="I107" s="24" t="str">
        <f ca="1">IFERROR(__xludf.DUMMYFUNCTION("GOOGLETRANSLATE(F107,""en"",""pt"")"),"poliestireno expandido (EPS) blocos de preenchimento expandidas")</f>
        <v>poliestireno expandido (EPS) blocos de preenchimento expandidas</v>
      </c>
      <c r="J107" t="str">
        <f>VLOOKUP(A107,Pr_Base_LNEC!$A$4:$J$6971,6,FALSE)</f>
        <v>Produtos Manufaturados em Poliestireno Expandido (EPS)</v>
      </c>
      <c r="K107" t="str">
        <f>VLOOKUP(A107,Pr_Base_LNEC!$A$4:$J$6971,7,FALSE)</f>
        <v>EN 14933:2007</v>
      </c>
    </row>
    <row r="108" spans="1:11" ht="14.5">
      <c r="A108" s="20" t="s">
        <v>13891</v>
      </c>
      <c r="B108" s="20">
        <v>20</v>
      </c>
      <c r="C108" s="24"/>
      <c r="D108" s="24"/>
      <c r="E108" s="24"/>
      <c r="F108" s="20" t="s">
        <v>13892</v>
      </c>
      <c r="G108" s="24"/>
      <c r="H108" s="24"/>
      <c r="I108" s="24" t="str">
        <f ca="1">IFERROR(__xludf.DUMMYFUNCTION("GOOGLETRANSLATE(F108,""en"",""pt"")"),"Estrutura e gerais produtos")</f>
        <v>Estrutura e gerais produtos</v>
      </c>
      <c r="J108" t="str">
        <f>VLOOKUP(A108,Pr_Base_LNEC!$A$4:$J$6971,6,FALSE)</f>
        <v>Produtos Estruturais e Gerais</v>
      </c>
      <c r="K108">
        <f>VLOOKUP(A108,Pr_Base_LNEC!$A$4:$J$6971,7,FALSE)</f>
        <v>0</v>
      </c>
    </row>
    <row r="109" spans="1:11" ht="14.5">
      <c r="A109" s="20" t="s">
        <v>13893</v>
      </c>
      <c r="B109" s="20">
        <v>20</v>
      </c>
      <c r="C109" s="20">
        <v>29</v>
      </c>
      <c r="D109" s="24"/>
      <c r="E109" s="24"/>
      <c r="F109" s="20" t="s">
        <v>13894</v>
      </c>
      <c r="G109" s="24"/>
      <c r="H109" s="24"/>
      <c r="I109" s="24" t="str">
        <f ca="1">IFERROR(__xludf.DUMMYFUNCTION("GOOGLETRANSLATE(F109,""en"",""pt"")"),"produtos de fixação")</f>
        <v>produtos de fixação</v>
      </c>
      <c r="J109" t="str">
        <f>VLOOKUP(A109,Pr_Base_LNEC!$A$4:$J$6971,6,FALSE)</f>
        <v>Produtos para Ligações</v>
      </c>
      <c r="K109">
        <f>VLOOKUP(A109,Pr_Base_LNEC!$A$4:$J$6971,7,FALSE)</f>
        <v>0</v>
      </c>
    </row>
    <row r="110" spans="1:11" ht="14.5">
      <c r="A110" s="20" t="s">
        <v>13895</v>
      </c>
      <c r="B110" s="20">
        <v>20</v>
      </c>
      <c r="C110" s="20">
        <v>29</v>
      </c>
      <c r="D110" s="20">
        <v>3</v>
      </c>
      <c r="E110" s="24"/>
      <c r="F110" s="20" t="s">
        <v>13896</v>
      </c>
      <c r="G110" s="24"/>
      <c r="H110" s="24"/>
      <c r="I110" s="24" t="str">
        <f ca="1">IFERROR(__xludf.DUMMYFUNCTION("GOOGLETRANSLATE(F110,""en"",""pt"")"),"Âncoras e componentes")</f>
        <v>Âncoras e componentes</v>
      </c>
      <c r="J110" t="str">
        <f>VLOOKUP(A110,Pr_Base_LNEC!$A$4:$J$6971,6,FALSE)</f>
        <v>Ancoragens e Componentes</v>
      </c>
      <c r="K110">
        <f>VLOOKUP(A110,Pr_Base_LNEC!$A$4:$J$6971,7,FALSE)</f>
        <v>0</v>
      </c>
    </row>
    <row r="111" spans="1:11" ht="14.5">
      <c r="A111" s="20" t="s">
        <v>13897</v>
      </c>
      <c r="B111" s="20">
        <v>20</v>
      </c>
      <c r="C111" s="20">
        <v>29</v>
      </c>
      <c r="D111" s="20">
        <v>3</v>
      </c>
      <c r="E111" s="20">
        <v>4</v>
      </c>
      <c r="F111" s="20" t="s">
        <v>13898</v>
      </c>
      <c r="G111" s="24"/>
      <c r="H111" s="24"/>
      <c r="I111" s="24" t="str">
        <f ca="1">IFERROR(__xludf.DUMMYFUNCTION("GOOGLETRANSLATE(F111,""en"",""pt"")"),"blocos de ancoragem")</f>
        <v>blocos de ancoragem</v>
      </c>
      <c r="J111" t="str">
        <f>VLOOKUP(A111,Pr_Base_LNEC!$A$4:$J$6971,6,FALSE)</f>
        <v>-</v>
      </c>
      <c r="K111">
        <f>VLOOKUP(A111,Pr_Base_LNEC!$A$4:$J$6971,7,FALSE)</f>
        <v>0</v>
      </c>
    </row>
    <row r="112" spans="1:11" ht="14.5">
      <c r="A112" s="20" t="s">
        <v>13899</v>
      </c>
      <c r="B112" s="20">
        <v>20</v>
      </c>
      <c r="C112" s="20">
        <v>29</v>
      </c>
      <c r="D112" s="20">
        <v>3</v>
      </c>
      <c r="E112" s="20">
        <v>5</v>
      </c>
      <c r="F112" s="20" t="s">
        <v>13900</v>
      </c>
      <c r="G112" s="24"/>
      <c r="H112" s="24"/>
      <c r="I112" s="24" t="str">
        <f ca="1">IFERROR(__xludf.DUMMYFUNCTION("GOOGLETRANSLATE(F112,""en"",""pt"")"),"rails âncora")</f>
        <v>rails âncora</v>
      </c>
      <c r="J112" t="str">
        <f>VLOOKUP(A112,Pr_Base_LNEC!$A$4:$J$6971,6,FALSE)</f>
        <v>-</v>
      </c>
      <c r="K112">
        <f>VLOOKUP(A112,Pr_Base_LNEC!$A$4:$J$6971,7,FALSE)</f>
        <v>0</v>
      </c>
    </row>
    <row r="113" spans="1:11" ht="14.5">
      <c r="A113" s="20" t="s">
        <v>13901</v>
      </c>
      <c r="B113" s="20">
        <v>20</v>
      </c>
      <c r="C113" s="20">
        <v>29</v>
      </c>
      <c r="D113" s="20">
        <v>3</v>
      </c>
      <c r="E113" s="20">
        <v>10</v>
      </c>
      <c r="F113" s="20" t="s">
        <v>13902</v>
      </c>
      <c r="G113" s="20" t="s">
        <v>13903</v>
      </c>
      <c r="H113" s="24"/>
      <c r="I113" s="24" t="str">
        <f ca="1">IFERROR(__xludf.DUMMYFUNCTION("GOOGLETRANSLATE(F113,""en"",""pt"")"),"placas de ancoragem de aço carbono")</f>
        <v>placas de ancoragem de aço carbono</v>
      </c>
      <c r="J113" t="str">
        <f>VLOOKUP(A113,Pr_Base_LNEC!$A$4:$J$6971,6,FALSE)</f>
        <v>-</v>
      </c>
      <c r="K113">
        <f>VLOOKUP(A113,Pr_Base_LNEC!$A$4:$J$6971,7,FALSE)</f>
        <v>0</v>
      </c>
    </row>
    <row r="114" spans="1:11" ht="14.5">
      <c r="A114" s="20" t="s">
        <v>13904</v>
      </c>
      <c r="B114" s="20">
        <v>20</v>
      </c>
      <c r="C114" s="20">
        <v>29</v>
      </c>
      <c r="D114" s="20">
        <v>3</v>
      </c>
      <c r="E114" s="20">
        <v>11</v>
      </c>
      <c r="F114" s="20" t="s">
        <v>13905</v>
      </c>
      <c r="G114" s="20" t="s">
        <v>13906</v>
      </c>
      <c r="H114" s="24"/>
      <c r="I114" s="24" t="str">
        <f ca="1">IFERROR(__xludf.DUMMYFUNCTION("GOOGLETRANSLATE(F114,""en"",""pt"")"),"aço carbono hastes de ancoragem química")</f>
        <v>aço carbono hastes de ancoragem química</v>
      </c>
      <c r="J114" t="str">
        <f>VLOOKUP(A114,Pr_Base_LNEC!$A$4:$J$6971,6,FALSE)</f>
        <v>-</v>
      </c>
      <c r="K114">
        <f>VLOOKUP(A114,Pr_Base_LNEC!$A$4:$J$6971,7,FALSE)</f>
        <v>0</v>
      </c>
    </row>
    <row r="115" spans="1:11" ht="14.5">
      <c r="A115" s="20" t="s">
        <v>13907</v>
      </c>
      <c r="B115" s="20">
        <v>20</v>
      </c>
      <c r="C115" s="20">
        <v>29</v>
      </c>
      <c r="D115" s="20">
        <v>3</v>
      </c>
      <c r="E115" s="20">
        <v>12</v>
      </c>
      <c r="F115" s="20" t="s">
        <v>13908</v>
      </c>
      <c r="G115" s="20" t="s">
        <v>13909</v>
      </c>
      <c r="H115" s="24"/>
      <c r="I115" s="24" t="str">
        <f ca="1">IFERROR(__xludf.DUMMYFUNCTION("GOOGLETRANSLATE(F115,""en"",""pt"")"),"soquetes âncora química do aço de carbono")</f>
        <v>soquetes âncora química do aço de carbono</v>
      </c>
      <c r="J115" t="str">
        <f>VLOOKUP(A115,Pr_Base_LNEC!$A$4:$J$6971,6,FALSE)</f>
        <v>-</v>
      </c>
      <c r="K115">
        <f>VLOOKUP(A115,Pr_Base_LNEC!$A$4:$J$6971,7,FALSE)</f>
        <v>0</v>
      </c>
    </row>
    <row r="116" spans="1:11" ht="14.5">
      <c r="A116" s="20" t="s">
        <v>13910</v>
      </c>
      <c r="B116" s="20">
        <v>20</v>
      </c>
      <c r="C116" s="20">
        <v>29</v>
      </c>
      <c r="D116" s="20">
        <v>3</v>
      </c>
      <c r="E116" s="20">
        <v>13</v>
      </c>
      <c r="F116" s="20" t="s">
        <v>13911</v>
      </c>
      <c r="G116" s="20" t="s">
        <v>13912</v>
      </c>
      <c r="H116" s="24"/>
      <c r="I116" s="24" t="str">
        <f ca="1">IFERROR(__xludf.DUMMYFUNCTION("GOOGLETRANSLATE(F116,""en"",""pt"")"),"placas de base de aço carbono pós")</f>
        <v>placas de base de aço carbono pós</v>
      </c>
      <c r="J116" t="str">
        <f>VLOOKUP(A116,Pr_Base_LNEC!$A$4:$J$6971,6,FALSE)</f>
        <v>-</v>
      </c>
      <c r="K116">
        <f>VLOOKUP(A116,Pr_Base_LNEC!$A$4:$J$6971,7,FALSE)</f>
        <v>0</v>
      </c>
    </row>
    <row r="117" spans="1:11" ht="14.5">
      <c r="A117" s="20" t="s">
        <v>13913</v>
      </c>
      <c r="B117" s="20">
        <v>20</v>
      </c>
      <c r="C117" s="20">
        <v>29</v>
      </c>
      <c r="D117" s="20">
        <v>3</v>
      </c>
      <c r="E117" s="20">
        <v>14</v>
      </c>
      <c r="F117" s="20" t="s">
        <v>13914</v>
      </c>
      <c r="G117" s="20" t="s">
        <v>13915</v>
      </c>
      <c r="H117" s="24"/>
      <c r="I117" s="24" t="str">
        <f ca="1">IFERROR(__xludf.DUMMYFUNCTION("GOOGLETRANSLATE(F117,""en"",""pt"")"),"De carbono pós aço spikes")</f>
        <v>De carbono pós aço spikes</v>
      </c>
      <c r="J117" t="str">
        <f>VLOOKUP(A117,Pr_Base_LNEC!$A$4:$J$6971,6,FALSE)</f>
        <v>-</v>
      </c>
      <c r="K117">
        <f>VLOOKUP(A117,Pr_Base_LNEC!$A$4:$J$6971,7,FALSE)</f>
        <v>0</v>
      </c>
    </row>
    <row r="118" spans="1:11" ht="14.5">
      <c r="A118" s="20" t="s">
        <v>13916</v>
      </c>
      <c r="B118" s="20">
        <v>20</v>
      </c>
      <c r="C118" s="20">
        <v>29</v>
      </c>
      <c r="D118" s="20">
        <v>3</v>
      </c>
      <c r="E118" s="20">
        <v>15</v>
      </c>
      <c r="F118" s="20" t="s">
        <v>13917</v>
      </c>
      <c r="G118" s="20" t="s">
        <v>13918</v>
      </c>
      <c r="H118" s="24"/>
      <c r="I118" s="24" t="str">
        <f ca="1">IFERROR(__xludf.DUMMYFUNCTION("GOOGLETRANSLATE(F118,""en"",""pt"")"),"âncoras cavidade")</f>
        <v>âncoras cavidade</v>
      </c>
      <c r="J118" t="str">
        <f>VLOOKUP(A118,Pr_Base_LNEC!$A$4:$J$6971,6,FALSE)</f>
        <v>-</v>
      </c>
      <c r="K118">
        <f>VLOOKUP(A118,Pr_Base_LNEC!$A$4:$J$6971,7,FALSE)</f>
        <v>0</v>
      </c>
    </row>
    <row r="119" spans="1:11" ht="14.5">
      <c r="A119" s="20" t="s">
        <v>13919</v>
      </c>
      <c r="B119" s="20">
        <v>20</v>
      </c>
      <c r="C119" s="20">
        <v>29</v>
      </c>
      <c r="D119" s="20">
        <v>3</v>
      </c>
      <c r="E119" s="20">
        <v>16</v>
      </c>
      <c r="F119" s="20" t="s">
        <v>13920</v>
      </c>
      <c r="G119" s="20" t="s">
        <v>13921</v>
      </c>
      <c r="H119" s="24"/>
      <c r="I119" s="24" t="str">
        <f ca="1">IFERROR(__xludf.DUMMYFUNCTION("GOOGLETRANSLATE(F119,""en"",""pt"")"),"cápsulas âncora químicos")</f>
        <v>cápsulas âncora químicos</v>
      </c>
      <c r="J119" t="str">
        <f>VLOOKUP(A119,Pr_Base_LNEC!$A$4:$J$6971,6,FALSE)</f>
        <v>-</v>
      </c>
      <c r="K119">
        <f>VLOOKUP(A119,Pr_Base_LNEC!$A$4:$J$6971,7,FALSE)</f>
        <v>0</v>
      </c>
    </row>
    <row r="120" spans="1:11" ht="14.5">
      <c r="A120" s="20" t="s">
        <v>13922</v>
      </c>
      <c r="B120" s="20">
        <v>20</v>
      </c>
      <c r="C120" s="20">
        <v>29</v>
      </c>
      <c r="D120" s="20">
        <v>3</v>
      </c>
      <c r="E120" s="20">
        <v>17</v>
      </c>
      <c r="F120" s="20" t="s">
        <v>13923</v>
      </c>
      <c r="G120" s="20" t="s">
        <v>13924</v>
      </c>
      <c r="H120" s="24"/>
      <c r="I120" s="24" t="str">
        <f ca="1">IFERROR(__xludf.DUMMYFUNCTION("GOOGLETRANSLATE(F120,""en"",""pt"")"),"cartuchos de ancoragem químicos")</f>
        <v>cartuchos de ancoragem químicos</v>
      </c>
      <c r="J120" t="str">
        <f>VLOOKUP(A120,Pr_Base_LNEC!$A$4:$J$6971,6,FALSE)</f>
        <v>-</v>
      </c>
      <c r="K120">
        <f>VLOOKUP(A120,Pr_Base_LNEC!$A$4:$J$6971,7,FALSE)</f>
        <v>0</v>
      </c>
    </row>
    <row r="121" spans="1:11" ht="14.5">
      <c r="A121" s="20" t="s">
        <v>13925</v>
      </c>
      <c r="B121" s="20">
        <v>20</v>
      </c>
      <c r="C121" s="20">
        <v>29</v>
      </c>
      <c r="D121" s="20">
        <v>3</v>
      </c>
      <c r="E121" s="20">
        <v>18</v>
      </c>
      <c r="F121" s="20" t="s">
        <v>13926</v>
      </c>
      <c r="G121" s="24"/>
      <c r="H121" s="24"/>
      <c r="I121" s="24" t="str">
        <f ca="1">IFERROR(__xludf.DUMMYFUNCTION("GOOGLETRANSLATE(F121,""en"",""pt"")"),"âncoras químicas")</f>
        <v>âncoras químicas</v>
      </c>
      <c r="J121" t="str">
        <f>VLOOKUP(A121,Pr_Base_LNEC!$A$4:$J$6971,6,FALSE)</f>
        <v>-</v>
      </c>
      <c r="K121">
        <f>VLOOKUP(A121,Pr_Base_LNEC!$A$4:$J$6971,7,FALSE)</f>
        <v>0</v>
      </c>
    </row>
    <row r="122" spans="1:11" ht="14.5">
      <c r="A122" s="20" t="s">
        <v>13927</v>
      </c>
      <c r="B122" s="20">
        <v>20</v>
      </c>
      <c r="C122" s="20">
        <v>29</v>
      </c>
      <c r="D122" s="20">
        <v>3</v>
      </c>
      <c r="E122" s="20">
        <v>28</v>
      </c>
      <c r="F122" s="20" t="s">
        <v>13928</v>
      </c>
      <c r="G122" s="20" t="s">
        <v>13929</v>
      </c>
      <c r="H122" s="24"/>
      <c r="I122" s="24" t="str">
        <f ca="1">IFERROR(__xludf.DUMMYFUNCTION("GOOGLETRANSLATE(F122,""en"",""pt"")"),"âncoras de expansão")</f>
        <v>âncoras de expansão</v>
      </c>
      <c r="J122" t="str">
        <f>VLOOKUP(A122,Pr_Base_LNEC!$A$4:$J$6971,6,FALSE)</f>
        <v>-</v>
      </c>
      <c r="K122">
        <f>VLOOKUP(A122,Pr_Base_LNEC!$A$4:$J$6971,7,FALSE)</f>
        <v>0</v>
      </c>
    </row>
    <row r="123" spans="1:11" ht="14.5">
      <c r="A123" s="20" t="s">
        <v>13930</v>
      </c>
      <c r="B123" s="20">
        <v>20</v>
      </c>
      <c r="C123" s="20">
        <v>29</v>
      </c>
      <c r="D123" s="20">
        <v>3</v>
      </c>
      <c r="E123" s="20">
        <v>30</v>
      </c>
      <c r="F123" s="20" t="s">
        <v>13931</v>
      </c>
      <c r="G123" s="24"/>
      <c r="H123" s="24"/>
      <c r="I123" s="24" t="str">
        <f ca="1">IFERROR(__xludf.DUMMYFUNCTION("GOOGLETRANSLATE(F123,""en"",""pt"")"),"fixação discos")</f>
        <v>fixação discos</v>
      </c>
      <c r="J123" t="e">
        <f>VLOOKUP(A123,Pr_Base_LNEC!$A$4:$J$6971,6,FALSE)</f>
        <v>#N/A</v>
      </c>
      <c r="K123" t="e">
        <f>VLOOKUP(A123,Pr_Base_LNEC!$A$4:$J$6971,7,FALSE)</f>
        <v>#N/A</v>
      </c>
    </row>
    <row r="124" spans="1:11" ht="14.5">
      <c r="A124" s="20" t="s">
        <v>13932</v>
      </c>
      <c r="B124" s="20">
        <v>20</v>
      </c>
      <c r="C124" s="20">
        <v>29</v>
      </c>
      <c r="D124" s="20">
        <v>3</v>
      </c>
      <c r="E124" s="20">
        <v>31</v>
      </c>
      <c r="F124" s="20" t="s">
        <v>13933</v>
      </c>
      <c r="G124" s="20" t="s">
        <v>13934</v>
      </c>
      <c r="H124" s="24"/>
      <c r="I124" s="24" t="str">
        <f ca="1">IFERROR(__xludf.DUMMYFUNCTION("GOOGLETRANSLATE(F124,""en"",""pt"")"),"âncoras de enquadramento")</f>
        <v>âncoras de enquadramento</v>
      </c>
      <c r="J124" t="str">
        <f>VLOOKUP(A124,Pr_Base_LNEC!$A$4:$J$6971,6,FALSE)</f>
        <v>-</v>
      </c>
      <c r="K124">
        <f>VLOOKUP(A124,Pr_Base_LNEC!$A$4:$J$6971,7,FALSE)</f>
        <v>0</v>
      </c>
    </row>
    <row r="125" spans="1:11" ht="14.5">
      <c r="A125" s="20" t="s">
        <v>13935</v>
      </c>
      <c r="B125" s="20">
        <v>20</v>
      </c>
      <c r="C125" s="20">
        <v>29</v>
      </c>
      <c r="D125" s="20">
        <v>3</v>
      </c>
      <c r="E125" s="20">
        <v>32</v>
      </c>
      <c r="F125" s="20" t="s">
        <v>13936</v>
      </c>
      <c r="G125" s="20" t="s">
        <v>13937</v>
      </c>
      <c r="H125" s="24"/>
      <c r="I125" s="24" t="str">
        <f ca="1">IFERROR(__xludf.DUMMYFUNCTION("GOOGLETRANSLATE(F125,""en"",""pt"")"),"prendedores de enquadramento")</f>
        <v>prendedores de enquadramento</v>
      </c>
      <c r="J125" t="str">
        <f>VLOOKUP(A125,Pr_Base_LNEC!$A$4:$J$6971,6,FALSE)</f>
        <v>-</v>
      </c>
      <c r="K125">
        <f>VLOOKUP(A125,Pr_Base_LNEC!$A$4:$J$6971,7,FALSE)</f>
        <v>0</v>
      </c>
    </row>
    <row r="126" spans="1:11" ht="14.5">
      <c r="A126" s="20" t="s">
        <v>13938</v>
      </c>
      <c r="B126" s="20">
        <v>20</v>
      </c>
      <c r="C126" s="20">
        <v>29</v>
      </c>
      <c r="D126" s="20">
        <v>3</v>
      </c>
      <c r="E126" s="20">
        <v>33</v>
      </c>
      <c r="F126" s="20" t="s">
        <v>13939</v>
      </c>
      <c r="G126" s="20" t="s">
        <v>13940</v>
      </c>
      <c r="H126" s="24"/>
      <c r="I126" s="24" t="str">
        <f ca="1">IFERROR(__xludf.DUMMYFUNCTION("GOOGLETRANSLATE(F126,""en"",""pt"")"),"cabeças de ancoragem chão")</f>
        <v>cabeças de ancoragem chão</v>
      </c>
      <c r="J126" t="str">
        <f>VLOOKUP(A126,Pr_Base_LNEC!$A$4:$J$6971,6,FALSE)</f>
        <v>-</v>
      </c>
      <c r="K126">
        <f>VLOOKUP(A126,Pr_Base_LNEC!$A$4:$J$6971,7,FALSE)</f>
        <v>0</v>
      </c>
    </row>
    <row r="127" spans="1:11" ht="14.5">
      <c r="A127" s="20" t="s">
        <v>13941</v>
      </c>
      <c r="B127" s="20">
        <v>20</v>
      </c>
      <c r="C127" s="20">
        <v>29</v>
      </c>
      <c r="D127" s="20">
        <v>3</v>
      </c>
      <c r="E127" s="20">
        <v>34</v>
      </c>
      <c r="F127" s="20" t="s">
        <v>13942</v>
      </c>
      <c r="G127" s="20" t="s">
        <v>13940</v>
      </c>
      <c r="H127" s="24"/>
      <c r="I127" s="24" t="str">
        <f ca="1">IFERROR(__xludf.DUMMYFUNCTION("GOOGLETRANSLATE(F127,""en"",""pt"")"),"âncoras placa de terra")</f>
        <v>âncoras placa de terra</v>
      </c>
      <c r="J127" t="str">
        <f>VLOOKUP(A127,Pr_Base_LNEC!$A$4:$J$6971,6,FALSE)</f>
        <v>-</v>
      </c>
      <c r="K127">
        <f>VLOOKUP(A127,Pr_Base_LNEC!$A$4:$J$6971,7,FALSE)</f>
        <v>0</v>
      </c>
    </row>
    <row r="128" spans="1:11" ht="14.5">
      <c r="A128" s="20" t="s">
        <v>13943</v>
      </c>
      <c r="B128" s="20">
        <v>20</v>
      </c>
      <c r="C128" s="20">
        <v>29</v>
      </c>
      <c r="D128" s="20">
        <v>3</v>
      </c>
      <c r="E128" s="20">
        <v>35</v>
      </c>
      <c r="F128" s="20" t="s">
        <v>13944</v>
      </c>
      <c r="G128" s="20" t="s">
        <v>13940</v>
      </c>
      <c r="H128" s="24"/>
      <c r="I128" s="24" t="str">
        <f ca="1">IFERROR(__xludf.DUMMYFUNCTION("GOOGLETRANSLATE(F128,""en"",""pt"")"),"âncoras de solo grouted")</f>
        <v>âncoras de solo grouted</v>
      </c>
      <c r="J128" t="str">
        <f>VLOOKUP(A128,Pr_Base_LNEC!$A$4:$J$6971,6,FALSE)</f>
        <v>-</v>
      </c>
      <c r="K128">
        <f>VLOOKUP(A128,Pr_Base_LNEC!$A$4:$J$6971,7,FALSE)</f>
        <v>0</v>
      </c>
    </row>
    <row r="129" spans="1:11" ht="14.5">
      <c r="A129" s="20" t="s">
        <v>13945</v>
      </c>
      <c r="B129" s="20">
        <v>20</v>
      </c>
      <c r="C129" s="20">
        <v>29</v>
      </c>
      <c r="D129" s="20">
        <v>3</v>
      </c>
      <c r="E129" s="20">
        <v>36</v>
      </c>
      <c r="F129" s="20" t="s">
        <v>13946</v>
      </c>
      <c r="G129" s="20" t="s">
        <v>13947</v>
      </c>
      <c r="H129" s="24"/>
      <c r="I129" s="24" t="str">
        <f ca="1">IFERROR(__xludf.DUMMYFUNCTION("GOOGLETRANSLATE(F129,""en"",""pt"")"),"Hammer-nos fixadores")</f>
        <v>Hammer-nos fixadores</v>
      </c>
      <c r="J129" t="str">
        <f>VLOOKUP(A129,Pr_Base_LNEC!$A$4:$J$6971,6,FALSE)</f>
        <v>-</v>
      </c>
      <c r="K129">
        <f>VLOOKUP(A129,Pr_Base_LNEC!$A$4:$J$6971,7,FALSE)</f>
        <v>0</v>
      </c>
    </row>
    <row r="130" spans="1:11" ht="14.5">
      <c r="A130" s="20" t="s">
        <v>13948</v>
      </c>
      <c r="B130" s="20">
        <v>20</v>
      </c>
      <c r="C130" s="20">
        <v>29</v>
      </c>
      <c r="D130" s="20">
        <v>3</v>
      </c>
      <c r="E130" s="20">
        <v>44</v>
      </c>
      <c r="F130" s="20" t="s">
        <v>13949</v>
      </c>
      <c r="G130" s="20" t="s">
        <v>13950</v>
      </c>
      <c r="H130" s="24"/>
      <c r="I130" s="24" t="str">
        <f ca="1">IFERROR(__xludf.DUMMYFUNCTION("GOOGLETRANSLATE(F130,""en"",""pt"")"),"J-pins")</f>
        <v>J-pins</v>
      </c>
      <c r="J130" t="str">
        <f>VLOOKUP(A130,Pr_Base_LNEC!$A$4:$J$6971,6,FALSE)</f>
        <v>-</v>
      </c>
      <c r="K130">
        <f>VLOOKUP(A130,Pr_Base_LNEC!$A$4:$J$6971,7,FALSE)</f>
        <v>0</v>
      </c>
    </row>
    <row r="131" spans="1:11" ht="14.5">
      <c r="A131" s="20" t="s">
        <v>13951</v>
      </c>
      <c r="B131" s="20">
        <v>20</v>
      </c>
      <c r="C131" s="20">
        <v>29</v>
      </c>
      <c r="D131" s="20">
        <v>3</v>
      </c>
      <c r="E131" s="20">
        <v>47</v>
      </c>
      <c r="F131" s="20" t="s">
        <v>13952</v>
      </c>
      <c r="G131" s="24"/>
      <c r="H131" s="24"/>
      <c r="I131" s="24" t="str">
        <f ca="1">IFERROR(__xludf.DUMMYFUNCTION("GOOGLETRANSLATE(F131,""en"",""pt"")"),"âncoras de elevação")</f>
        <v>âncoras de elevação</v>
      </c>
      <c r="J131" t="str">
        <f>VLOOKUP(A131,Pr_Base_LNEC!$A$4:$J$6971,6,FALSE)</f>
        <v>-</v>
      </c>
      <c r="K131">
        <f>VLOOKUP(A131,Pr_Base_LNEC!$A$4:$J$6971,7,FALSE)</f>
        <v>0</v>
      </c>
    </row>
    <row r="132" spans="1:11" ht="14.5">
      <c r="A132" s="20" t="s">
        <v>13953</v>
      </c>
      <c r="B132" s="20">
        <v>20</v>
      </c>
      <c r="C132" s="20">
        <v>29</v>
      </c>
      <c r="D132" s="20">
        <v>3</v>
      </c>
      <c r="E132" s="20">
        <v>48</v>
      </c>
      <c r="F132" s="20" t="s">
        <v>13954</v>
      </c>
      <c r="G132" s="24"/>
      <c r="H132" s="24"/>
      <c r="I132" s="24" t="str">
        <f ca="1">IFERROR(__xludf.DUMMYFUNCTION("GOOGLETRANSLATE(F132,""en"",""pt"")"),"aros de elevação")</f>
        <v>aros de elevação</v>
      </c>
      <c r="J132" t="str">
        <f>VLOOKUP(A132,Pr_Base_LNEC!$A$4:$J$6971,6,FALSE)</f>
        <v>-</v>
      </c>
      <c r="K132">
        <f>VLOOKUP(A132,Pr_Base_LNEC!$A$4:$J$6971,7,FALSE)</f>
        <v>0</v>
      </c>
    </row>
    <row r="133" spans="1:11" ht="14.5">
      <c r="A133" s="20" t="s">
        <v>13955</v>
      </c>
      <c r="B133" s="20">
        <v>20</v>
      </c>
      <c r="C133" s="20">
        <v>29</v>
      </c>
      <c r="D133" s="20">
        <v>3</v>
      </c>
      <c r="E133" s="20">
        <v>66</v>
      </c>
      <c r="F133" s="20" t="s">
        <v>13956</v>
      </c>
      <c r="G133" s="24"/>
      <c r="H133" s="24"/>
      <c r="I133" s="24" t="str">
        <f ca="1">IFERROR(__xludf.DUMMYFUNCTION("GOOGLETRANSLATE(F133,""en"",""pt"")"),"pré-esforço âncoras")</f>
        <v>pré-esforço âncoras</v>
      </c>
      <c r="J133" t="str">
        <f>VLOOKUP(A133,Pr_Base_LNEC!$A$4:$J$6971,6,FALSE)</f>
        <v>-</v>
      </c>
      <c r="K133">
        <f>VLOOKUP(A133,Pr_Base_LNEC!$A$4:$J$6971,7,FALSE)</f>
        <v>0</v>
      </c>
    </row>
    <row r="134" spans="1:11" ht="14.5">
      <c r="A134" s="20" t="s">
        <v>13957</v>
      </c>
      <c r="B134" s="20">
        <v>20</v>
      </c>
      <c r="C134" s="20">
        <v>29</v>
      </c>
      <c r="D134" s="20">
        <v>3</v>
      </c>
      <c r="E134" s="20">
        <v>72</v>
      </c>
      <c r="F134" s="20" t="s">
        <v>13958</v>
      </c>
      <c r="G134" s="20" t="s">
        <v>13959</v>
      </c>
      <c r="H134" s="24"/>
      <c r="I134" s="24" t="str">
        <f ca="1">IFERROR(__xludf.DUMMYFUNCTION("GOOGLETRANSLATE(F134,""en"",""pt"")"),"parafusos de rock")</f>
        <v>parafusos de rock</v>
      </c>
      <c r="J134" t="str">
        <f>VLOOKUP(A134,Pr_Base_LNEC!$A$4:$J$6971,6,FALSE)</f>
        <v>-</v>
      </c>
      <c r="K134">
        <f>VLOOKUP(A134,Pr_Base_LNEC!$A$4:$J$6971,7,FALSE)</f>
        <v>0</v>
      </c>
    </row>
    <row r="135" spans="1:11" ht="14.5">
      <c r="A135" s="20" t="s">
        <v>13960</v>
      </c>
      <c r="B135" s="20">
        <v>20</v>
      </c>
      <c r="C135" s="20">
        <v>29</v>
      </c>
      <c r="D135" s="20">
        <v>3</v>
      </c>
      <c r="E135" s="20">
        <v>73</v>
      </c>
      <c r="F135" s="20" t="s">
        <v>13961</v>
      </c>
      <c r="G135" s="20" t="s">
        <v>13962</v>
      </c>
      <c r="H135" s="24"/>
      <c r="I135" s="24" t="str">
        <f ca="1">IFERROR(__xludf.DUMMYFUNCTION("GOOGLETRANSLATE(F135,""en"",""pt"")"),"buchas de rock")</f>
        <v>buchas de rock</v>
      </c>
      <c r="J135" t="str">
        <f>VLOOKUP(A135,Pr_Base_LNEC!$A$4:$J$6971,6,FALSE)</f>
        <v>-</v>
      </c>
      <c r="K135">
        <f>VLOOKUP(A135,Pr_Base_LNEC!$A$4:$J$6971,7,FALSE)</f>
        <v>0</v>
      </c>
    </row>
    <row r="136" spans="1:11" ht="14.5">
      <c r="A136" s="20" t="s">
        <v>13963</v>
      </c>
      <c r="B136" s="20">
        <v>20</v>
      </c>
      <c r="C136" s="20">
        <v>29</v>
      </c>
      <c r="D136" s="20">
        <v>3</v>
      </c>
      <c r="E136" s="20">
        <v>77</v>
      </c>
      <c r="F136" s="20" t="s">
        <v>13964</v>
      </c>
      <c r="G136" s="20" t="s">
        <v>13965</v>
      </c>
      <c r="H136" s="24"/>
      <c r="I136" s="24" t="str">
        <f ca="1">IFERROR(__xludf.DUMMYFUNCTION("GOOGLETRANSLATE(F136,""en"",""pt"")"),"âncoras de soquete")</f>
        <v>âncoras de soquete</v>
      </c>
      <c r="J136" t="str">
        <f>VLOOKUP(A136,Pr_Base_LNEC!$A$4:$J$6971,6,FALSE)</f>
        <v>-</v>
      </c>
      <c r="K136">
        <f>VLOOKUP(A136,Pr_Base_LNEC!$A$4:$J$6971,7,FALSE)</f>
        <v>0</v>
      </c>
    </row>
    <row r="137" spans="1:11" ht="14.5">
      <c r="A137" s="20" t="s">
        <v>13966</v>
      </c>
      <c r="B137" s="20">
        <v>20</v>
      </c>
      <c r="C137" s="20">
        <v>29</v>
      </c>
      <c r="D137" s="20">
        <v>3</v>
      </c>
      <c r="E137" s="20">
        <v>78</v>
      </c>
      <c r="F137" s="20" t="s">
        <v>13967</v>
      </c>
      <c r="G137" s="24"/>
      <c r="H137" s="24"/>
      <c r="I137" s="24" t="str">
        <f ca="1">IFERROR(__xludf.DUMMYFUNCTION("GOOGLETRANSLATE(F137,""en"",""pt"")"),"âncoras de telhado módulo solar")</f>
        <v>âncoras de telhado módulo solar</v>
      </c>
      <c r="J137" t="str">
        <f>VLOOKUP(A137,Pr_Base_LNEC!$A$4:$J$6971,6,FALSE)</f>
        <v>-</v>
      </c>
      <c r="K137">
        <f>VLOOKUP(A137,Pr_Base_LNEC!$A$4:$J$6971,7,FALSE)</f>
        <v>0</v>
      </c>
    </row>
    <row r="138" spans="1:11" ht="14.5">
      <c r="A138" s="20" t="s">
        <v>13968</v>
      </c>
      <c r="B138" s="20">
        <v>20</v>
      </c>
      <c r="C138" s="20">
        <v>29</v>
      </c>
      <c r="D138" s="20">
        <v>3</v>
      </c>
      <c r="E138" s="20">
        <v>79</v>
      </c>
      <c r="F138" s="20" t="s">
        <v>13969</v>
      </c>
      <c r="G138" s="20" t="s">
        <v>13970</v>
      </c>
      <c r="H138" s="24"/>
      <c r="I138" s="24" t="str">
        <f ca="1">IFERROR(__xludf.DUMMYFUNCTION("GOOGLETRANSLATE(F138,""en"",""pt"")"),"anéis de divisão")</f>
        <v>anéis de divisão</v>
      </c>
      <c r="J138" t="str">
        <f>VLOOKUP(A138,Pr_Base_LNEC!$A$4:$J$6971,6,FALSE)</f>
        <v>-</v>
      </c>
      <c r="K138">
        <f>VLOOKUP(A138,Pr_Base_LNEC!$A$4:$J$6971,7,FALSE)</f>
        <v>0</v>
      </c>
    </row>
    <row r="139" spans="1:11" ht="14.5">
      <c r="A139" s="20" t="s">
        <v>13971</v>
      </c>
      <c r="B139" s="20">
        <v>20</v>
      </c>
      <c r="C139" s="20">
        <v>29</v>
      </c>
      <c r="D139" s="20">
        <v>3</v>
      </c>
      <c r="E139" s="20">
        <v>80</v>
      </c>
      <c r="F139" s="20" t="s">
        <v>13972</v>
      </c>
      <c r="G139" s="20" t="s">
        <v>13973</v>
      </c>
      <c r="H139" s="24"/>
      <c r="I139" s="24" t="str">
        <f ca="1">IFERROR(__xludf.DUMMYFUNCTION("GOOGLETRANSLATE(F139,""en"",""pt"")"),"Pulverizadas pinos de ancoragem de concreto")</f>
        <v>Pulverizadas pinos de ancoragem de concreto</v>
      </c>
      <c r="J139" t="str">
        <f>VLOOKUP(A139,Pr_Base_LNEC!$A$4:$J$6971,6,FALSE)</f>
        <v>-</v>
      </c>
      <c r="K139">
        <f>VLOOKUP(A139,Pr_Base_LNEC!$A$4:$J$6971,7,FALSE)</f>
        <v>0</v>
      </c>
    </row>
    <row r="140" spans="1:11" ht="14.5">
      <c r="A140" s="20" t="s">
        <v>13974</v>
      </c>
      <c r="B140" s="20">
        <v>20</v>
      </c>
      <c r="C140" s="20">
        <v>29</v>
      </c>
      <c r="D140" s="20">
        <v>3</v>
      </c>
      <c r="E140" s="20">
        <v>81</v>
      </c>
      <c r="F140" s="20" t="s">
        <v>13975</v>
      </c>
      <c r="G140" s="20" t="s">
        <v>13976</v>
      </c>
      <c r="H140" s="24"/>
      <c r="I140" s="24" t="str">
        <f ca="1">IFERROR(__xludf.DUMMYFUNCTION("GOOGLETRANSLATE(F140,""en"",""pt"")"),"dormentes de concreto pulverizado")</f>
        <v>dormentes de concreto pulverizado</v>
      </c>
      <c r="J140" t="str">
        <f>VLOOKUP(A140,Pr_Base_LNEC!$A$4:$J$6971,6,FALSE)</f>
        <v>-</v>
      </c>
      <c r="K140">
        <f>VLOOKUP(A140,Pr_Base_LNEC!$A$4:$J$6971,7,FALSE)</f>
        <v>0</v>
      </c>
    </row>
    <row r="141" spans="1:11" ht="14.5">
      <c r="A141" s="20" t="s">
        <v>13977</v>
      </c>
      <c r="B141" s="20">
        <v>20</v>
      </c>
      <c r="C141" s="20">
        <v>29</v>
      </c>
      <c r="D141" s="20">
        <v>3</v>
      </c>
      <c r="E141" s="20">
        <v>82</v>
      </c>
      <c r="F141" s="20" t="s">
        <v>13978</v>
      </c>
      <c r="G141" s="20" t="s">
        <v>13979</v>
      </c>
      <c r="H141" s="24"/>
      <c r="I141" s="24" t="str">
        <f ca="1">IFERROR(__xludf.DUMMYFUNCTION("GOOGLETRANSLATE(F141,""en"",""pt"")"),"placas de ancoragem de aço inoxidável")</f>
        <v>placas de ancoragem de aço inoxidável</v>
      </c>
      <c r="J141" t="str">
        <f>VLOOKUP(A141,Pr_Base_LNEC!$A$4:$J$6971,6,FALSE)</f>
        <v>Barras para Ancoragem em Aço Inoxidável</v>
      </c>
      <c r="K141" t="str">
        <f>VLOOKUP(A141,Pr_Base_LNEC!$A$4:$J$6971,7,FALSE)</f>
        <v>EN 10088-5:2009</v>
      </c>
    </row>
    <row r="142" spans="1:11" ht="14.5">
      <c r="A142" s="20" t="s">
        <v>13980</v>
      </c>
      <c r="B142" s="20">
        <v>20</v>
      </c>
      <c r="C142" s="20">
        <v>29</v>
      </c>
      <c r="D142" s="20">
        <v>3</v>
      </c>
      <c r="E142" s="20">
        <v>83</v>
      </c>
      <c r="F142" s="20" t="s">
        <v>13981</v>
      </c>
      <c r="G142" s="20" t="s">
        <v>13982</v>
      </c>
      <c r="H142" s="24"/>
      <c r="I142" s="24" t="str">
        <f ca="1">IFERROR(__xludf.DUMMYFUNCTION("GOOGLETRANSLATE(F142,""en"",""pt"")"),"hastes de fixação química de aço inoxidável")</f>
        <v>hastes de fixação química de aço inoxidável</v>
      </c>
      <c r="J142" t="str">
        <f>VLOOKUP(A142,Pr_Base_LNEC!$A$4:$J$6971,6,FALSE)</f>
        <v>-</v>
      </c>
      <c r="K142">
        <f>VLOOKUP(A142,Pr_Base_LNEC!$A$4:$J$6971,7,FALSE)</f>
        <v>0</v>
      </c>
    </row>
    <row r="143" spans="1:11" ht="14.5">
      <c r="A143" s="20" t="s">
        <v>13983</v>
      </c>
      <c r="B143" s="20">
        <v>20</v>
      </c>
      <c r="C143" s="20">
        <v>29</v>
      </c>
      <c r="D143" s="20">
        <v>3</v>
      </c>
      <c r="E143" s="20">
        <v>84</v>
      </c>
      <c r="F143" s="20" t="s">
        <v>13984</v>
      </c>
      <c r="G143" s="20" t="s">
        <v>13985</v>
      </c>
      <c r="H143" s="24"/>
      <c r="I143" s="24" t="str">
        <f ca="1">IFERROR(__xludf.DUMMYFUNCTION("GOOGLETRANSLATE(F143,""en"",""pt"")"),"soquetes âncora química de aço inoxidável")</f>
        <v>soquetes âncora química de aço inoxidável</v>
      </c>
      <c r="J143" t="str">
        <f>VLOOKUP(A143,Pr_Base_LNEC!$A$4:$J$6971,6,FALSE)</f>
        <v>-</v>
      </c>
      <c r="K143">
        <f>VLOOKUP(A143,Pr_Base_LNEC!$A$4:$J$6971,7,FALSE)</f>
        <v>0</v>
      </c>
    </row>
    <row r="144" spans="1:11" ht="14.5">
      <c r="A144" s="20" t="s">
        <v>13986</v>
      </c>
      <c r="B144" s="20">
        <v>20</v>
      </c>
      <c r="C144" s="20">
        <v>29</v>
      </c>
      <c r="D144" s="20">
        <v>3</v>
      </c>
      <c r="E144" s="20">
        <v>86</v>
      </c>
      <c r="F144" s="20" t="s">
        <v>13987</v>
      </c>
      <c r="G144" s="20" t="s">
        <v>13988</v>
      </c>
      <c r="H144" s="24"/>
      <c r="I144" s="24" t="str">
        <f ca="1">IFERROR(__xludf.DUMMYFUNCTION("GOOGLETRANSLATE(F144,""en"",""pt"")"),"âncoras estruturais")</f>
        <v>âncoras estruturais</v>
      </c>
      <c r="J144" t="str">
        <f>VLOOKUP(A144,Pr_Base_LNEC!$A$4:$J$6971,6,FALSE)</f>
        <v>-</v>
      </c>
      <c r="K144">
        <f>VLOOKUP(A144,Pr_Base_LNEC!$A$4:$J$6971,7,FALSE)</f>
        <v>0</v>
      </c>
    </row>
    <row r="145" spans="1:11" ht="14.5">
      <c r="A145" s="20" t="s">
        <v>13989</v>
      </c>
      <c r="B145" s="20">
        <v>20</v>
      </c>
      <c r="C145" s="20">
        <v>29</v>
      </c>
      <c r="D145" s="20">
        <v>3</v>
      </c>
      <c r="E145" s="20">
        <v>88</v>
      </c>
      <c r="F145" s="20" t="s">
        <v>13990</v>
      </c>
      <c r="G145" s="20" t="s">
        <v>13991</v>
      </c>
      <c r="H145" s="24"/>
      <c r="I145" s="24" t="str">
        <f ca="1">IFERROR(__xludf.DUMMYFUNCTION("GOOGLETRANSLATE(F145,""en"",""pt"")"),"âncoras rosqueadas")</f>
        <v>âncoras rosqueadas</v>
      </c>
      <c r="J145" t="str">
        <f>VLOOKUP(A145,Pr_Base_LNEC!$A$4:$J$6971,6,FALSE)</f>
        <v>-</v>
      </c>
      <c r="K145">
        <f>VLOOKUP(A145,Pr_Base_LNEC!$A$4:$J$6971,7,FALSE)</f>
        <v>0</v>
      </c>
    </row>
    <row r="146" spans="1:11" ht="14.5">
      <c r="A146" s="20" t="s">
        <v>13992</v>
      </c>
      <c r="B146" s="20">
        <v>20</v>
      </c>
      <c r="C146" s="20">
        <v>29</v>
      </c>
      <c r="D146" s="20">
        <v>3</v>
      </c>
      <c r="E146" s="20">
        <v>92</v>
      </c>
      <c r="F146" s="20" t="s">
        <v>13993</v>
      </c>
      <c r="G146" s="20" t="s">
        <v>13994</v>
      </c>
      <c r="H146" s="24"/>
      <c r="I146" s="24" t="str">
        <f ca="1">IFERROR(__xludf.DUMMYFUNCTION("GOOGLETRANSLATE(F146,""en"",""pt"")"),"âncoras undercut")</f>
        <v>âncoras undercut</v>
      </c>
      <c r="J146" t="str">
        <f>VLOOKUP(A146,Pr_Base_LNEC!$A$4:$J$6971,6,FALSE)</f>
        <v>-</v>
      </c>
      <c r="K146">
        <f>VLOOKUP(A146,Pr_Base_LNEC!$A$4:$J$6971,7,FALSE)</f>
        <v>0</v>
      </c>
    </row>
    <row r="147" spans="1:11" ht="14.5">
      <c r="A147" s="20" t="s">
        <v>13995</v>
      </c>
      <c r="B147" s="20">
        <v>20</v>
      </c>
      <c r="C147" s="20">
        <v>29</v>
      </c>
      <c r="D147" s="20">
        <v>3</v>
      </c>
      <c r="E147" s="20">
        <v>97</v>
      </c>
      <c r="F147" s="20" t="s">
        <v>13996</v>
      </c>
      <c r="G147" s="20" t="s">
        <v>13997</v>
      </c>
      <c r="H147" s="24"/>
      <c r="I147" s="24" t="str">
        <f ca="1">IFERROR(__xludf.DUMMYFUNCTION("GOOGLETRANSLATE(F147,""en"",""pt"")"),"âncoras da cunha")</f>
        <v>âncoras da cunha</v>
      </c>
      <c r="J147" t="str">
        <f>VLOOKUP(A147,Pr_Base_LNEC!$A$4:$J$6971,6,FALSE)</f>
        <v>-</v>
      </c>
      <c r="K147">
        <f>VLOOKUP(A147,Pr_Base_LNEC!$A$4:$J$6971,7,FALSE)</f>
        <v>0</v>
      </c>
    </row>
    <row r="148" spans="1:11" ht="14.5">
      <c r="A148" s="20" t="s">
        <v>13998</v>
      </c>
      <c r="B148" s="20">
        <v>20</v>
      </c>
      <c r="C148" s="20">
        <v>29</v>
      </c>
      <c r="D148" s="20">
        <v>4</v>
      </c>
      <c r="E148" s="24"/>
      <c r="F148" s="20" t="s">
        <v>13999</v>
      </c>
      <c r="G148" s="24"/>
      <c r="H148" s="24"/>
      <c r="I148" s="24" t="str">
        <f ca="1">IFERROR(__xludf.DUMMYFUNCTION("GOOGLETRANSLATE(F148,""en"",""pt"")"),"prendedores ângulo")</f>
        <v>prendedores ângulo</v>
      </c>
      <c r="J148" t="str">
        <f>VLOOKUP(A148,Pr_Base_LNEC!$A$4:$J$6971,6,FALSE)</f>
        <v>Ligações para elementos ângulares</v>
      </c>
      <c r="K148">
        <f>VLOOKUP(A148,Pr_Base_LNEC!$A$4:$J$6971,7,FALSE)</f>
        <v>0</v>
      </c>
    </row>
    <row r="149" spans="1:11" ht="14.5">
      <c r="A149" s="20" t="s">
        <v>14000</v>
      </c>
      <c r="B149" s="20">
        <v>20</v>
      </c>
      <c r="C149" s="20">
        <v>29</v>
      </c>
      <c r="D149" s="20">
        <v>4</v>
      </c>
      <c r="E149" s="20">
        <v>26</v>
      </c>
      <c r="F149" s="20" t="s">
        <v>14001</v>
      </c>
      <c r="G149" s="20" t="s">
        <v>14002</v>
      </c>
      <c r="H149" s="24"/>
      <c r="I149" s="24" t="str">
        <f ca="1">IFERROR(__xludf.DUMMYFUNCTION("GOOGLETRANSLATE(F149,""en"",""pt"")"),"Igual ângulos fixadores")</f>
        <v>Igual ângulos fixadores</v>
      </c>
      <c r="J149" t="str">
        <f>VLOOKUP(A149,Pr_Base_LNEC!$A$4:$J$6971,6,FALSE)</f>
        <v>-</v>
      </c>
      <c r="K149">
        <f>VLOOKUP(A149,Pr_Base_LNEC!$A$4:$J$6971,7,FALSE)</f>
        <v>0</v>
      </c>
    </row>
    <row r="150" spans="1:11" ht="14.5">
      <c r="A150" s="20" t="s">
        <v>14003</v>
      </c>
      <c r="B150" s="20">
        <v>20</v>
      </c>
      <c r="C150" s="20">
        <v>29</v>
      </c>
      <c r="D150" s="20">
        <v>4</v>
      </c>
      <c r="E150" s="20">
        <v>27</v>
      </c>
      <c r="F150" s="20" t="s">
        <v>14004</v>
      </c>
      <c r="G150" s="20" t="s">
        <v>14005</v>
      </c>
      <c r="H150" s="24"/>
      <c r="I150" s="24" t="str">
        <f ca="1">IFERROR(__xludf.DUMMYFUNCTION("GOOGLETRANSLATE(F150,""en"",""pt"")"),"prendedores de equipamento")</f>
        <v>prendedores de equipamento</v>
      </c>
      <c r="J150" t="str">
        <f>VLOOKUP(A150,Pr_Base_LNEC!$A$4:$J$6971,6,FALSE)</f>
        <v>-</v>
      </c>
      <c r="K150">
        <f>VLOOKUP(A150,Pr_Base_LNEC!$A$4:$J$6971,7,FALSE)</f>
        <v>0</v>
      </c>
    </row>
    <row r="151" spans="1:11" ht="14.5">
      <c r="A151" s="20" t="s">
        <v>14006</v>
      </c>
      <c r="B151" s="20">
        <v>20</v>
      </c>
      <c r="C151" s="20">
        <v>29</v>
      </c>
      <c r="D151" s="20">
        <v>8</v>
      </c>
      <c r="E151" s="24"/>
      <c r="F151" s="20" t="s">
        <v>14007</v>
      </c>
      <c r="G151" s="24"/>
      <c r="H151" s="24"/>
      <c r="I151" s="24" t="str">
        <f ca="1">IFERROR(__xludf.DUMMYFUNCTION("GOOGLETRANSLATE(F151,""en"",""pt"")"),"Parafusos e acessórios")</f>
        <v>Parafusos e acessórios</v>
      </c>
      <c r="J151" t="str">
        <f>VLOOKUP(A151,Pr_Base_LNEC!$A$4:$J$6971,6,FALSE)</f>
        <v>Elementos para ligações Roscados e Acessórios</v>
      </c>
      <c r="K151">
        <f>VLOOKUP(A151,Pr_Base_LNEC!$A$4:$J$6971,7,FALSE)</f>
        <v>0</v>
      </c>
    </row>
    <row r="152" spans="1:11" ht="14.5">
      <c r="A152" s="20" t="s">
        <v>14008</v>
      </c>
      <c r="B152" s="20">
        <v>20</v>
      </c>
      <c r="C152" s="20">
        <v>29</v>
      </c>
      <c r="D152" s="20">
        <v>8</v>
      </c>
      <c r="E152" s="20">
        <v>4</v>
      </c>
      <c r="F152" s="20" t="s">
        <v>14009</v>
      </c>
      <c r="G152" s="24"/>
      <c r="H152" s="24"/>
      <c r="I152" s="24" t="str">
        <f ca="1">IFERROR(__xludf.DUMMYFUNCTION("GOOGLETRANSLATE(F152,""en"",""pt"")"),"Os chumbadores")</f>
        <v>Os chumbadores</v>
      </c>
      <c r="J152" t="str">
        <f>VLOOKUP(A152,Pr_Base_LNEC!$A$4:$J$6971,6,FALSE)</f>
        <v>-</v>
      </c>
      <c r="K152">
        <f>VLOOKUP(A152,Pr_Base_LNEC!$A$4:$J$6971,7,FALSE)</f>
        <v>0</v>
      </c>
    </row>
    <row r="153" spans="1:11" ht="14.5">
      <c r="A153" s="20" t="s">
        <v>14010</v>
      </c>
      <c r="B153" s="20">
        <v>20</v>
      </c>
      <c r="C153" s="20">
        <v>29</v>
      </c>
      <c r="D153" s="20">
        <v>8</v>
      </c>
      <c r="E153" s="20">
        <v>7</v>
      </c>
      <c r="F153" s="20" t="s">
        <v>14011</v>
      </c>
      <c r="G153" s="20" t="s">
        <v>14012</v>
      </c>
      <c r="H153" s="24"/>
      <c r="I153" s="24" t="str">
        <f ca="1">IFERROR(__xludf.DUMMYFUNCTION("GOOGLETRANSLATE(F153,""en"",""pt"")"),"porcas sextavadas preto e parafusos")</f>
        <v>porcas sextavadas preto e parafusos</v>
      </c>
      <c r="J153" t="str">
        <f>VLOOKUP(A153,Pr_Base_LNEC!$A$4:$J$6971,6,FALSE)</f>
        <v>-</v>
      </c>
      <c r="K153">
        <f>VLOOKUP(A153,Pr_Base_LNEC!$A$4:$J$6971,7,FALSE)</f>
        <v>0</v>
      </c>
    </row>
    <row r="154" spans="1:11" ht="14.5">
      <c r="A154" s="20" t="s">
        <v>14013</v>
      </c>
      <c r="B154" s="20">
        <v>20</v>
      </c>
      <c r="C154" s="20">
        <v>29</v>
      </c>
      <c r="D154" s="20">
        <v>8</v>
      </c>
      <c r="E154" s="20">
        <v>8</v>
      </c>
      <c r="F154" s="20" t="s">
        <v>14014</v>
      </c>
      <c r="G154" s="20" t="s">
        <v>14015</v>
      </c>
      <c r="H154" s="24"/>
      <c r="I154" s="24" t="str">
        <f ca="1">IFERROR(__xludf.DUMMYFUNCTION("GOOGLETRANSLATE(F154,""en"",""pt"")"),"caixas de parafusos")</f>
        <v>caixas de parafusos</v>
      </c>
      <c r="J154" t="str">
        <f>VLOOKUP(A154,Pr_Base_LNEC!$A$4:$J$6971,6,FALSE)</f>
        <v>-</v>
      </c>
      <c r="K154">
        <f>VLOOKUP(A154,Pr_Base_LNEC!$A$4:$J$6971,7,FALSE)</f>
        <v>0</v>
      </c>
    </row>
    <row r="155" spans="1:11" ht="14.5">
      <c r="A155" s="20" t="s">
        <v>14016</v>
      </c>
      <c r="B155" s="20">
        <v>20</v>
      </c>
      <c r="C155" s="20">
        <v>29</v>
      </c>
      <c r="D155" s="20">
        <v>8</v>
      </c>
      <c r="E155" s="20">
        <v>11</v>
      </c>
      <c r="F155" s="20" t="s">
        <v>14017</v>
      </c>
      <c r="G155" s="20" t="s">
        <v>14018</v>
      </c>
      <c r="H155" s="24"/>
      <c r="I155" s="24" t="str">
        <f ca="1">IFERROR(__xludf.DUMMYFUNCTION("GOOGLETRANSLATE(F155,""en"",""pt"")"),"hexágono aço carbono dirigido porcas e parafusos")</f>
        <v>hexágono aço carbono dirigido porcas e parafusos</v>
      </c>
      <c r="J155" t="str">
        <f>VLOOKUP(A155,Pr_Base_LNEC!$A$4:$J$6971,6,FALSE)</f>
        <v>-</v>
      </c>
      <c r="K155">
        <f>VLOOKUP(A155,Pr_Base_LNEC!$A$4:$J$6971,7,FALSE)</f>
        <v>0</v>
      </c>
    </row>
    <row r="156" spans="1:11" ht="14.5">
      <c r="A156" s="20" t="s">
        <v>14019</v>
      </c>
      <c r="B156" s="20">
        <v>20</v>
      </c>
      <c r="C156" s="20">
        <v>29</v>
      </c>
      <c r="D156" s="20">
        <v>8</v>
      </c>
      <c r="E156" s="20">
        <v>12</v>
      </c>
      <c r="F156" s="20" t="s">
        <v>14020</v>
      </c>
      <c r="G156" s="20" t="s">
        <v>14021</v>
      </c>
      <c r="H156" s="24"/>
      <c r="I156" s="24" t="str">
        <f ca="1">IFERROR(__xludf.DUMMYFUNCTION("GOOGLETRANSLATE(F156,""en"",""pt"")"),"parafusos de gancho de aço de carbono (J-parafusos)")</f>
        <v>parafusos de gancho de aço de carbono (J-parafusos)</v>
      </c>
      <c r="J156" t="str">
        <f>VLOOKUP(A156,Pr_Base_LNEC!$A$4:$J$6971,6,FALSE)</f>
        <v>-</v>
      </c>
      <c r="K156">
        <f>VLOOKUP(A156,Pr_Base_LNEC!$A$4:$J$6971,7,FALSE)</f>
        <v>0</v>
      </c>
    </row>
    <row r="157" spans="1:11" ht="14.5">
      <c r="A157" s="20" t="s">
        <v>14022</v>
      </c>
      <c r="B157" s="20">
        <v>20</v>
      </c>
      <c r="C157" s="20">
        <v>29</v>
      </c>
      <c r="D157" s="20">
        <v>8</v>
      </c>
      <c r="E157" s="20">
        <v>15</v>
      </c>
      <c r="F157" s="20" t="s">
        <v>14023</v>
      </c>
      <c r="G157" s="20" t="s">
        <v>14024</v>
      </c>
      <c r="H157" s="24"/>
      <c r="I157" s="24" t="str">
        <f ca="1">IFERROR(__xludf.DUMMYFUNCTION("GOOGLETRANSLATE(F157,""en"",""pt"")"),"Treinador (transporte) parafusos e porcas")</f>
        <v>Treinador (transporte) parafusos e porcas</v>
      </c>
      <c r="J157" t="str">
        <f>VLOOKUP(A157,Pr_Base_LNEC!$A$4:$J$6971,6,FALSE)</f>
        <v>-</v>
      </c>
      <c r="K157">
        <f>VLOOKUP(A157,Pr_Base_LNEC!$A$4:$J$6971,7,FALSE)</f>
        <v>0</v>
      </c>
    </row>
    <row r="158" spans="1:11" ht="14.5">
      <c r="A158" s="20" t="s">
        <v>14025</v>
      </c>
      <c r="B158" s="20">
        <v>20</v>
      </c>
      <c r="C158" s="20">
        <v>29</v>
      </c>
      <c r="D158" s="20">
        <v>8</v>
      </c>
      <c r="E158" s="20">
        <v>18</v>
      </c>
      <c r="F158" s="20" t="s">
        <v>14026</v>
      </c>
      <c r="G158" s="24"/>
      <c r="H158" s="24"/>
      <c r="I158" s="24" t="str">
        <f ca="1">IFERROR(__xludf.DUMMYFUNCTION("GOOGLETRANSLATE(F158,""en"",""pt"")"),"parafusos de passagem")</f>
        <v>parafusos de passagem</v>
      </c>
      <c r="J158" t="str">
        <f>VLOOKUP(A158,Pr_Base_LNEC!$A$4:$J$6971,6,FALSE)</f>
        <v>-</v>
      </c>
      <c r="K158">
        <f>VLOOKUP(A158,Pr_Base_LNEC!$A$4:$J$6971,7,FALSE)</f>
        <v>0</v>
      </c>
    </row>
    <row r="159" spans="1:11" ht="14.5">
      <c r="A159" s="20" t="s">
        <v>14027</v>
      </c>
      <c r="B159" s="20">
        <v>20</v>
      </c>
      <c r="C159" s="20">
        <v>29</v>
      </c>
      <c r="D159" s="20">
        <v>8</v>
      </c>
      <c r="E159" s="20">
        <v>26</v>
      </c>
      <c r="F159" s="20" t="s">
        <v>14028</v>
      </c>
      <c r="G159" s="24"/>
      <c r="H159" s="24"/>
      <c r="I159" s="24" t="str">
        <f ca="1">IFERROR(__xludf.DUMMYFUNCTION("GOOGLETRANSLATE(F159,""en"",""pt"")"),"parafusos Elevador")</f>
        <v>parafusos Elevador</v>
      </c>
      <c r="J159" t="str">
        <f>VLOOKUP(A159,Pr_Base_LNEC!$A$4:$J$6971,6,FALSE)</f>
        <v>-</v>
      </c>
      <c r="K159">
        <f>VLOOKUP(A159,Pr_Base_LNEC!$A$4:$J$6971,7,FALSE)</f>
        <v>0</v>
      </c>
    </row>
    <row r="160" spans="1:11" ht="14.5">
      <c r="A160" s="20" t="s">
        <v>14029</v>
      </c>
      <c r="B160" s="20">
        <v>20</v>
      </c>
      <c r="C160" s="20">
        <v>29</v>
      </c>
      <c r="D160" s="20">
        <v>8</v>
      </c>
      <c r="E160" s="20">
        <v>27</v>
      </c>
      <c r="F160" s="20" t="s">
        <v>14030</v>
      </c>
      <c r="G160" s="24"/>
      <c r="H160" s="24"/>
      <c r="I160" s="24" t="str">
        <f ca="1">IFERROR(__xludf.DUMMYFUNCTION("GOOGLETRANSLATE(F160,""en"",""pt"")"),"olhais")</f>
        <v>olhais</v>
      </c>
      <c r="J160" t="str">
        <f>VLOOKUP(A160,Pr_Base_LNEC!$A$4:$J$6971,6,FALSE)</f>
        <v>-</v>
      </c>
      <c r="K160">
        <f>VLOOKUP(A160,Pr_Base_LNEC!$A$4:$J$6971,7,FALSE)</f>
        <v>0</v>
      </c>
    </row>
    <row r="161" spans="1:11" ht="14.5">
      <c r="A161" s="20" t="s">
        <v>14031</v>
      </c>
      <c r="B161" s="20">
        <v>20</v>
      </c>
      <c r="C161" s="20">
        <v>29</v>
      </c>
      <c r="D161" s="20">
        <v>8</v>
      </c>
      <c r="E161" s="20">
        <v>28</v>
      </c>
      <c r="F161" s="20" t="s">
        <v>14032</v>
      </c>
      <c r="G161" s="24"/>
      <c r="H161" s="24"/>
      <c r="I161" s="24" t="str">
        <f ca="1">IFERROR(__xludf.DUMMYFUNCTION("GOOGLETRANSLATE(F161,""en"",""pt"")"),"expandindo parafusos")</f>
        <v>expandindo parafusos</v>
      </c>
      <c r="J161" t="str">
        <f>VLOOKUP(A161,Pr_Base_LNEC!$A$4:$J$6971,6,FALSE)</f>
        <v>-</v>
      </c>
      <c r="K161">
        <f>VLOOKUP(A161,Pr_Base_LNEC!$A$4:$J$6971,7,FALSE)</f>
        <v>0</v>
      </c>
    </row>
    <row r="162" spans="1:11" ht="14.5">
      <c r="A162" s="20" t="s">
        <v>14033</v>
      </c>
      <c r="B162" s="20">
        <v>20</v>
      </c>
      <c r="C162" s="20">
        <v>29</v>
      </c>
      <c r="D162" s="20">
        <v>8</v>
      </c>
      <c r="E162" s="20">
        <v>30</v>
      </c>
      <c r="F162" s="20" t="s">
        <v>14034</v>
      </c>
      <c r="G162" s="24"/>
      <c r="H162" s="24"/>
      <c r="I162" s="24" t="str">
        <f ca="1">IFERROR(__xludf.DUMMYFUNCTION("GOOGLETRANSLATE(F162,""en"",""pt"")"),"parafusos fishplate")</f>
        <v>parafusos fishplate</v>
      </c>
      <c r="J162" t="str">
        <f>VLOOKUP(A162,Pr_Base_LNEC!$A$4:$J$6971,6,FALSE)</f>
        <v>-</v>
      </c>
      <c r="K162">
        <f>VLOOKUP(A162,Pr_Base_LNEC!$A$4:$J$6971,7,FALSE)</f>
        <v>0</v>
      </c>
    </row>
    <row r="163" spans="1:11" ht="14.5">
      <c r="A163" s="20" t="s">
        <v>14035</v>
      </c>
      <c r="B163" s="20">
        <v>20</v>
      </c>
      <c r="C163" s="20">
        <v>29</v>
      </c>
      <c r="D163" s="20">
        <v>8</v>
      </c>
      <c r="E163" s="20">
        <v>32</v>
      </c>
      <c r="F163" s="20" t="s">
        <v>14036</v>
      </c>
      <c r="G163" s="24"/>
      <c r="H163" s="24"/>
      <c r="I163" s="24" t="str">
        <f ca="1">IFERROR(__xludf.DUMMYFUNCTION("GOOGLETRANSLATE(F163,""en"",""pt"")"),"parafusos de abertura de guiamento")</f>
        <v>parafusos de abertura de guiamento</v>
      </c>
      <c r="J163" t="str">
        <f>VLOOKUP(A163,Pr_Base_LNEC!$A$4:$J$6971,6,FALSE)</f>
        <v>-</v>
      </c>
      <c r="K163">
        <f>VLOOKUP(A163,Pr_Base_LNEC!$A$4:$J$6971,7,FALSE)</f>
        <v>0</v>
      </c>
    </row>
    <row r="164" spans="1:11" ht="14.5">
      <c r="A164" s="20" t="s">
        <v>14037</v>
      </c>
      <c r="B164" s="20">
        <v>20</v>
      </c>
      <c r="C164" s="20">
        <v>29</v>
      </c>
      <c r="D164" s="20">
        <v>8</v>
      </c>
      <c r="E164" s="20">
        <v>36</v>
      </c>
      <c r="F164" s="20" t="s">
        <v>14038</v>
      </c>
      <c r="G164" s="24"/>
      <c r="H164" s="24"/>
      <c r="I164" s="24" t="str">
        <f ca="1">IFERROR(__xludf.DUMMYFUNCTION("GOOGLETRANSLATE(F164,""en"",""pt"")"),"parafusos de gancho")</f>
        <v>parafusos de gancho</v>
      </c>
      <c r="J164" t="str">
        <f>VLOOKUP(A164,Pr_Base_LNEC!$A$4:$J$6971,6,FALSE)</f>
        <v>-</v>
      </c>
      <c r="K164">
        <f>VLOOKUP(A164,Pr_Base_LNEC!$A$4:$J$6971,7,FALSE)</f>
        <v>0</v>
      </c>
    </row>
    <row r="165" spans="1:11" ht="14.5">
      <c r="A165" s="20" t="s">
        <v>14039</v>
      </c>
      <c r="B165" s="20">
        <v>20</v>
      </c>
      <c r="C165" s="20">
        <v>29</v>
      </c>
      <c r="D165" s="20">
        <v>8</v>
      </c>
      <c r="E165" s="20">
        <v>38</v>
      </c>
      <c r="F165" s="20" t="s">
        <v>14040</v>
      </c>
      <c r="G165" s="20" t="s">
        <v>14041</v>
      </c>
      <c r="H165" s="24"/>
      <c r="I165" s="24" t="str">
        <f ca="1">IFERROR(__xludf.DUMMYFUNCTION("GOOGLETRANSLATE(F165,""en"",""pt"")"),"Mantendo pressionada conjuntos de parafusos")</f>
        <v>Mantendo pressionada conjuntos de parafusos</v>
      </c>
      <c r="J165" t="str">
        <f>VLOOKUP(A165,Pr_Base_LNEC!$A$4:$J$6971,6,FALSE)</f>
        <v>-</v>
      </c>
      <c r="K165">
        <f>VLOOKUP(A165,Pr_Base_LNEC!$A$4:$J$6971,7,FALSE)</f>
        <v>0</v>
      </c>
    </row>
    <row r="166" spans="1:11" ht="14.5">
      <c r="A166" s="20" t="s">
        <v>14042</v>
      </c>
      <c r="B166" s="20">
        <v>20</v>
      </c>
      <c r="C166" s="20">
        <v>29</v>
      </c>
      <c r="D166" s="20">
        <v>8</v>
      </c>
      <c r="E166" s="20">
        <v>42</v>
      </c>
      <c r="F166" s="20" t="s">
        <v>14043</v>
      </c>
      <c r="G166" s="20" t="s">
        <v>14044</v>
      </c>
      <c r="H166" s="24"/>
      <c r="I166" s="24" t="str">
        <f ca="1">IFERROR(__xludf.DUMMYFUNCTION("GOOGLETRANSLATE(F166,""en"",""pt"")"),"parafusos recuadas")</f>
        <v>parafusos recuadas</v>
      </c>
      <c r="J166" t="str">
        <f>VLOOKUP(A166,Pr_Base_LNEC!$A$4:$J$6971,6,FALSE)</f>
        <v>-</v>
      </c>
      <c r="K166">
        <f>VLOOKUP(A166,Pr_Base_LNEC!$A$4:$J$6971,7,FALSE)</f>
        <v>0</v>
      </c>
    </row>
    <row r="167" spans="1:11" ht="14.5">
      <c r="A167" s="20" t="s">
        <v>14045</v>
      </c>
      <c r="B167" s="20">
        <v>20</v>
      </c>
      <c r="C167" s="20">
        <v>29</v>
      </c>
      <c r="D167" s="20">
        <v>8</v>
      </c>
      <c r="E167" s="20">
        <v>46</v>
      </c>
      <c r="F167" s="20" t="s">
        <v>14046</v>
      </c>
      <c r="G167" s="24"/>
      <c r="H167" s="24"/>
      <c r="I167" s="24" t="str">
        <f ca="1">IFERROR(__xludf.DUMMYFUNCTION("GOOGLETRANSLATE(F167,""en"",""pt"")"),"parafusos de retardação")</f>
        <v>parafusos de retardação</v>
      </c>
      <c r="J167" t="str">
        <f>VLOOKUP(A167,Pr_Base_LNEC!$A$4:$J$6971,6,FALSE)</f>
        <v>-</v>
      </c>
      <c r="K167">
        <f>VLOOKUP(A167,Pr_Base_LNEC!$A$4:$J$6971,7,FALSE)</f>
        <v>0</v>
      </c>
    </row>
    <row r="168" spans="1:11" ht="14.5">
      <c r="A168" s="20" t="s">
        <v>14047</v>
      </c>
      <c r="B168" s="20">
        <v>20</v>
      </c>
      <c r="C168" s="20">
        <v>29</v>
      </c>
      <c r="D168" s="20">
        <v>8</v>
      </c>
      <c r="E168" s="20">
        <v>57</v>
      </c>
      <c r="F168" s="20" t="s">
        <v>14048</v>
      </c>
      <c r="G168" s="20" t="s">
        <v>14049</v>
      </c>
      <c r="H168" s="24"/>
      <c r="I168" s="24" t="str">
        <f ca="1">IFERROR(__xludf.DUMMYFUNCTION("GOOGLETRANSLATE(F168,""en"",""pt"")"),"parafusos de nylon calha")</f>
        <v>parafusos de nylon calha</v>
      </c>
      <c r="J168" t="str">
        <f>VLOOKUP(A168,Pr_Base_LNEC!$A$4:$J$6971,6,FALSE)</f>
        <v>-</v>
      </c>
      <c r="K168">
        <f>VLOOKUP(A168,Pr_Base_LNEC!$A$4:$J$6971,7,FALSE)</f>
        <v>0</v>
      </c>
    </row>
    <row r="169" spans="1:11" ht="14.5">
      <c r="A169" s="20" t="s">
        <v>14050</v>
      </c>
      <c r="B169" s="20">
        <v>20</v>
      </c>
      <c r="C169" s="20">
        <v>29</v>
      </c>
      <c r="D169" s="20">
        <v>8</v>
      </c>
      <c r="E169" s="20">
        <v>66</v>
      </c>
      <c r="F169" s="20" t="s">
        <v>14051</v>
      </c>
      <c r="G169" s="20" t="s">
        <v>14052</v>
      </c>
      <c r="H169" s="24"/>
      <c r="I169" s="24" t="str">
        <f ca="1">IFERROR(__xludf.DUMMYFUNCTION("GOOGLETRANSLATE(F169,""en"",""pt"")"),"conjuntos de parafusos pré-carregados")</f>
        <v>conjuntos de parafusos pré-carregados</v>
      </c>
      <c r="J169" t="str">
        <f>VLOOKUP(A169,Pr_Base_LNEC!$A$4:$J$6971,6,FALSE)</f>
        <v>Ligações Roscadas de Alta Resistência aptos a pré-esforço</v>
      </c>
      <c r="K169" t="str">
        <f>VLOOKUP(A169,Pr_Base_LNEC!$A$4:$J$6971,7,FALSE)</f>
        <v>EN 14399-1:2015</v>
      </c>
    </row>
    <row r="170" spans="1:11" ht="14.5">
      <c r="A170" s="20" t="s">
        <v>14053</v>
      </c>
      <c r="B170" s="20">
        <v>20</v>
      </c>
      <c r="C170" s="20">
        <v>29</v>
      </c>
      <c r="D170" s="20">
        <v>8</v>
      </c>
      <c r="E170" s="20">
        <v>70</v>
      </c>
      <c r="F170" s="20" t="s">
        <v>14054</v>
      </c>
      <c r="G170" s="24"/>
      <c r="H170" s="24"/>
      <c r="I170" s="24" t="str">
        <f ca="1">IFERROR(__xludf.DUMMYFUNCTION("GOOGLETRANSLATE(F170,""en"",""pt"")"),"parafusos de fixação ferroviários")</f>
        <v>parafusos de fixação ferroviários</v>
      </c>
      <c r="J170" t="str">
        <f>VLOOKUP(A170,Pr_Base_LNEC!$A$4:$J$6971,6,FALSE)</f>
        <v>-</v>
      </c>
      <c r="K170">
        <f>VLOOKUP(A170,Pr_Base_LNEC!$A$4:$J$6971,7,FALSE)</f>
        <v>0</v>
      </c>
    </row>
    <row r="171" spans="1:11" ht="14.5">
      <c r="A171" s="20" t="s">
        <v>14055</v>
      </c>
      <c r="B171" s="20">
        <v>20</v>
      </c>
      <c r="C171" s="20">
        <v>29</v>
      </c>
      <c r="D171" s="20">
        <v>8</v>
      </c>
      <c r="E171" s="20">
        <v>78</v>
      </c>
      <c r="F171" s="20" t="s">
        <v>14056</v>
      </c>
      <c r="G171" s="24"/>
      <c r="H171" s="24"/>
      <c r="I171" s="24" t="str">
        <f ca="1">IFERROR(__xludf.DUMMYFUNCTION("GOOGLETRANSLATE(F171,""en"",""pt"")"),"parafusos de ressalto")</f>
        <v>parafusos de ressalto</v>
      </c>
      <c r="J171" t="str">
        <f>VLOOKUP(A171,Pr_Base_LNEC!$A$4:$J$6971,6,FALSE)</f>
        <v>-</v>
      </c>
      <c r="K171">
        <f>VLOOKUP(A171,Pr_Base_LNEC!$A$4:$J$6971,7,FALSE)</f>
        <v>0</v>
      </c>
    </row>
    <row r="172" spans="1:11" ht="14.5">
      <c r="A172" s="20" t="s">
        <v>14057</v>
      </c>
      <c r="B172" s="20">
        <v>20</v>
      </c>
      <c r="C172" s="20">
        <v>29</v>
      </c>
      <c r="D172" s="20">
        <v>8</v>
      </c>
      <c r="E172" s="20">
        <v>83</v>
      </c>
      <c r="F172" s="20" t="s">
        <v>14058</v>
      </c>
      <c r="G172" s="20" t="s">
        <v>14059</v>
      </c>
      <c r="H172" s="24"/>
      <c r="I172" s="24" t="str">
        <f ca="1">IFERROR(__xludf.DUMMYFUNCTION("GOOGLETRANSLATE(F172,""en"",""pt"")"),"parafusos de calha de aço inoxidável")</f>
        <v>parafusos de calha de aço inoxidável</v>
      </c>
      <c r="J172" t="str">
        <f>VLOOKUP(A172,Pr_Base_LNEC!$A$4:$J$6971,6,FALSE)</f>
        <v>-</v>
      </c>
      <c r="K172">
        <f>VLOOKUP(A172,Pr_Base_LNEC!$A$4:$J$6971,7,FALSE)</f>
        <v>0</v>
      </c>
    </row>
    <row r="173" spans="1:11" ht="14.5">
      <c r="A173" s="20" t="s">
        <v>14060</v>
      </c>
      <c r="B173" s="20">
        <v>20</v>
      </c>
      <c r="C173" s="20">
        <v>29</v>
      </c>
      <c r="D173" s="20">
        <v>8</v>
      </c>
      <c r="E173" s="20">
        <v>84</v>
      </c>
      <c r="F173" s="20" t="s">
        <v>14061</v>
      </c>
      <c r="G173" s="20" t="s">
        <v>14062</v>
      </c>
      <c r="H173" s="24"/>
      <c r="I173" s="24" t="str">
        <f ca="1">IFERROR(__xludf.DUMMYFUNCTION("GOOGLETRANSLATE(F173,""en"",""pt"")"),"hexágono aço inoxidável dirigido porcas e parafusos")</f>
        <v>hexágono aço inoxidável dirigido porcas e parafusos</v>
      </c>
      <c r="J173" t="str">
        <f>VLOOKUP(A173,Pr_Base_LNEC!$A$4:$J$6971,6,FALSE)</f>
        <v>-</v>
      </c>
      <c r="K173">
        <f>VLOOKUP(A173,Pr_Base_LNEC!$A$4:$J$6971,7,FALSE)</f>
        <v>0</v>
      </c>
    </row>
    <row r="174" spans="1:11" ht="14.5">
      <c r="A174" s="20" t="s">
        <v>14063</v>
      </c>
      <c r="B174" s="20">
        <v>20</v>
      </c>
      <c r="C174" s="20">
        <v>29</v>
      </c>
      <c r="D174" s="20">
        <v>8</v>
      </c>
      <c r="E174" s="20">
        <v>85</v>
      </c>
      <c r="F174" s="20" t="s">
        <v>14064</v>
      </c>
      <c r="G174" s="20" t="s">
        <v>14065</v>
      </c>
      <c r="H174" s="24"/>
      <c r="I174" s="24" t="str">
        <f ca="1">IFERROR(__xludf.DUMMYFUNCTION("GOOGLETRANSLATE(F174,""en"",""pt"")"),"parafusos de gancho de aço inoxidável (J-parafusos)")</f>
        <v>parafusos de gancho de aço inoxidável (J-parafusos)</v>
      </c>
      <c r="J174" t="str">
        <f>VLOOKUP(A174,Pr_Base_LNEC!$A$4:$J$6971,6,FALSE)</f>
        <v>-</v>
      </c>
      <c r="K174">
        <f>VLOOKUP(A174,Pr_Base_LNEC!$A$4:$J$6971,7,FALSE)</f>
        <v>0</v>
      </c>
    </row>
    <row r="175" spans="1:11" ht="14.5">
      <c r="A175" s="20" t="s">
        <v>14066</v>
      </c>
      <c r="B175" s="20">
        <v>20</v>
      </c>
      <c r="C175" s="20">
        <v>29</v>
      </c>
      <c r="D175" s="20">
        <v>8</v>
      </c>
      <c r="E175" s="20">
        <v>86</v>
      </c>
      <c r="F175" s="20" t="s">
        <v>14067</v>
      </c>
      <c r="G175" s="24"/>
      <c r="H175" s="24"/>
      <c r="I175" s="24" t="str">
        <f ca="1">IFERROR(__xludf.DUMMYFUNCTION("GOOGLETRANSLATE(F175,""en"",""pt"")"),"pernos")</f>
        <v>pernos</v>
      </c>
      <c r="J175" t="str">
        <f>VLOOKUP(A175,Pr_Base_LNEC!$A$4:$J$6971,6,FALSE)</f>
        <v>-</v>
      </c>
      <c r="K175">
        <f>VLOOKUP(A175,Pr_Base_LNEC!$A$4:$J$6971,7,FALSE)</f>
        <v>0</v>
      </c>
    </row>
    <row r="176" spans="1:11" ht="14.5">
      <c r="A176" s="20" t="s">
        <v>14068</v>
      </c>
      <c r="B176" s="20">
        <v>20</v>
      </c>
      <c r="C176" s="20">
        <v>29</v>
      </c>
      <c r="D176" s="20">
        <v>8</v>
      </c>
      <c r="E176" s="20">
        <v>92</v>
      </c>
      <c r="F176" s="20" t="s">
        <v>14069</v>
      </c>
      <c r="G176" s="24"/>
      <c r="H176" s="24"/>
      <c r="I176" s="24" t="str">
        <f ca="1">IFERROR(__xludf.DUMMYFUNCTION("GOOGLETRANSLATE(F176,""en"",""pt"")"),"U-parafusos")</f>
        <v>U-parafusos</v>
      </c>
      <c r="J176" t="str">
        <f>VLOOKUP(A176,Pr_Base_LNEC!$A$4:$J$6971,6,FALSE)</f>
        <v>-</v>
      </c>
      <c r="K176">
        <f>VLOOKUP(A176,Pr_Base_LNEC!$A$4:$J$6971,7,FALSE)</f>
        <v>0</v>
      </c>
    </row>
    <row r="177" spans="1:11" ht="14.5">
      <c r="A177" s="20" t="s">
        <v>14070</v>
      </c>
      <c r="B177" s="20">
        <v>20</v>
      </c>
      <c r="C177" s="20">
        <v>29</v>
      </c>
      <c r="D177" s="20">
        <v>10</v>
      </c>
      <c r="E177" s="24"/>
      <c r="F177" s="20" t="s">
        <v>14071</v>
      </c>
      <c r="G177" s="24"/>
      <c r="H177" s="24"/>
      <c r="I177" s="24" t="str">
        <f ca="1">IFERROR(__xludf.DUMMYFUNCTION("GOOGLETRANSLATE(F177,""en"",""pt"")"),"Ponte de acessórios de cabo de suspensão")</f>
        <v>Ponte de acessórios de cabo de suspensão</v>
      </c>
      <c r="J177" t="str">
        <f>VLOOKUP(A177,Pr_Base_LNEC!$A$4:$J$6971,6,FALSE)</f>
        <v>Acessórios: Cabos para a Suspensão de Pontes</v>
      </c>
      <c r="K177">
        <f>VLOOKUP(A177,Pr_Base_LNEC!$A$4:$J$6971,7,FALSE)</f>
        <v>0</v>
      </c>
    </row>
    <row r="178" spans="1:11" ht="14.5">
      <c r="A178" s="20" t="s">
        <v>14072</v>
      </c>
      <c r="B178" s="20">
        <v>20</v>
      </c>
      <c r="C178" s="20">
        <v>29</v>
      </c>
      <c r="D178" s="20">
        <v>10</v>
      </c>
      <c r="E178" s="20">
        <v>11</v>
      </c>
      <c r="F178" s="20" t="s">
        <v>14073</v>
      </c>
      <c r="G178" s="20" t="s">
        <v>14074</v>
      </c>
      <c r="H178" s="24"/>
      <c r="I178" s="24" t="str">
        <f ca="1">IFERROR(__xludf.DUMMYFUNCTION("GOOGLETRANSLATE(F178,""en"",""pt"")"),"mangas de cabo")</f>
        <v>mangas de cabo</v>
      </c>
      <c r="J178" t="str">
        <f>VLOOKUP(A178,Pr_Base_LNEC!$A$4:$J$6971,6,FALSE)</f>
        <v>-</v>
      </c>
      <c r="K178">
        <f>VLOOKUP(A178,Pr_Base_LNEC!$A$4:$J$6971,7,FALSE)</f>
        <v>0</v>
      </c>
    </row>
    <row r="179" spans="1:11" ht="14.5">
      <c r="A179" s="20" t="s">
        <v>14075</v>
      </c>
      <c r="B179" s="20">
        <v>20</v>
      </c>
      <c r="C179" s="20">
        <v>29</v>
      </c>
      <c r="D179" s="20">
        <v>10</v>
      </c>
      <c r="E179" s="20">
        <v>12</v>
      </c>
      <c r="F179" s="20" t="s">
        <v>14076</v>
      </c>
      <c r="G179" s="20" t="s">
        <v>14077</v>
      </c>
      <c r="H179" s="24"/>
      <c r="I179" s="24" t="str">
        <f ca="1">IFERROR(__xludf.DUMMYFUNCTION("GOOGLETRANSLATE(F179,""en"",""pt"")"),"soquetes cabo fio")</f>
        <v>soquetes cabo fio</v>
      </c>
      <c r="J179" t="str">
        <f>VLOOKUP(A179,Pr_Base_LNEC!$A$4:$J$6971,6,FALSE)</f>
        <v>-</v>
      </c>
      <c r="K179">
        <f>VLOOKUP(A179,Pr_Base_LNEC!$A$4:$J$6971,7,FALSE)</f>
        <v>0</v>
      </c>
    </row>
    <row r="180" spans="1:11" ht="14.5">
      <c r="A180" s="20" t="s">
        <v>14078</v>
      </c>
      <c r="B180" s="20">
        <v>20</v>
      </c>
      <c r="C180" s="20">
        <v>29</v>
      </c>
      <c r="D180" s="20">
        <v>10</v>
      </c>
      <c r="E180" s="20">
        <v>13</v>
      </c>
      <c r="F180" s="20" t="s">
        <v>14079</v>
      </c>
      <c r="G180" s="20" t="s">
        <v>14080</v>
      </c>
      <c r="H180" s="24"/>
      <c r="I180" s="24" t="str">
        <f ca="1">IFERROR(__xludf.DUMMYFUNCTION("GOOGLETRANSLATE(F180,""en"",""pt"")"),"engates de ancoragem de aço fundido")</f>
        <v>engates de ancoragem de aço fundido</v>
      </c>
      <c r="J180" t="str">
        <f>VLOOKUP(A180,Pr_Base_LNEC!$A$4:$J$6971,6,FALSE)</f>
        <v>-</v>
      </c>
      <c r="K180">
        <f>VLOOKUP(A180,Pr_Base_LNEC!$A$4:$J$6971,7,FALSE)</f>
        <v>0</v>
      </c>
    </row>
    <row r="181" spans="1:11" ht="14.5">
      <c r="A181" s="20" t="s">
        <v>14081</v>
      </c>
      <c r="B181" s="20">
        <v>20</v>
      </c>
      <c r="C181" s="20">
        <v>29</v>
      </c>
      <c r="D181" s="20">
        <v>10</v>
      </c>
      <c r="E181" s="20">
        <v>14</v>
      </c>
      <c r="F181" s="20" t="s">
        <v>14082</v>
      </c>
      <c r="G181" s="20" t="s">
        <v>14083</v>
      </c>
      <c r="H181" s="24"/>
      <c r="I181" s="24" t="str">
        <f ca="1">IFERROR(__xludf.DUMMYFUNCTION("GOOGLETRANSLATE(F181,""en"",""pt"")"),"bandas de cabo de aço fundido")</f>
        <v>bandas de cabo de aço fundido</v>
      </c>
      <c r="J181" t="str">
        <f>VLOOKUP(A181,Pr_Base_LNEC!$A$4:$J$6971,6,FALSE)</f>
        <v>-</v>
      </c>
      <c r="K181">
        <f>VLOOKUP(A181,Pr_Base_LNEC!$A$4:$J$6971,7,FALSE)</f>
        <v>0</v>
      </c>
    </row>
    <row r="182" spans="1:11" ht="14.5">
      <c r="A182" s="20" t="s">
        <v>14084</v>
      </c>
      <c r="B182" s="20">
        <v>20</v>
      </c>
      <c r="C182" s="20">
        <v>29</v>
      </c>
      <c r="D182" s="20">
        <v>10</v>
      </c>
      <c r="E182" s="20">
        <v>15</v>
      </c>
      <c r="F182" s="20" t="s">
        <v>14085</v>
      </c>
      <c r="G182" s="20" t="s">
        <v>14086</v>
      </c>
      <c r="H182" s="24"/>
      <c r="I182" s="24" t="str">
        <f ca="1">IFERROR(__xludf.DUMMYFUNCTION("GOOGLETRANSLATE(F182,""en"",""pt"")"),"selas de aço fundido")</f>
        <v>selas de aço fundido</v>
      </c>
      <c r="J182" t="str">
        <f>VLOOKUP(A182,Pr_Base_LNEC!$A$4:$J$6971,6,FALSE)</f>
        <v>-</v>
      </c>
      <c r="K182">
        <f>VLOOKUP(A182,Pr_Base_LNEC!$A$4:$J$6971,7,FALSE)</f>
        <v>0</v>
      </c>
    </row>
    <row r="183" spans="1:11" ht="14.5">
      <c r="A183" s="20" t="s">
        <v>14087</v>
      </c>
      <c r="B183" s="20">
        <v>20</v>
      </c>
      <c r="C183" s="20">
        <v>29</v>
      </c>
      <c r="D183" s="20">
        <v>10</v>
      </c>
      <c r="E183" s="20">
        <v>16</v>
      </c>
      <c r="F183" s="20" t="s">
        <v>14088</v>
      </c>
      <c r="G183" s="20" t="s">
        <v>14089</v>
      </c>
      <c r="H183" s="24"/>
      <c r="I183" s="24" t="str">
        <f ca="1">IFERROR(__xludf.DUMMYFUNCTION("GOOGLETRANSLATE(F183,""en"",""pt"")"),"soquetes suspender aço fundido")</f>
        <v>soquetes suspender aço fundido</v>
      </c>
      <c r="J183" t="str">
        <f>VLOOKUP(A183,Pr_Base_LNEC!$A$4:$J$6971,6,FALSE)</f>
        <v>-</v>
      </c>
      <c r="K183">
        <f>VLOOKUP(A183,Pr_Base_LNEC!$A$4:$J$6971,7,FALSE)</f>
        <v>0</v>
      </c>
    </row>
    <row r="184" spans="1:11" ht="14.5">
      <c r="A184" s="20" t="s">
        <v>14090</v>
      </c>
      <c r="B184" s="20">
        <v>20</v>
      </c>
      <c r="C184" s="20">
        <v>29</v>
      </c>
      <c r="D184" s="20">
        <v>10</v>
      </c>
      <c r="E184" s="20">
        <v>21</v>
      </c>
      <c r="F184" s="20" t="s">
        <v>14091</v>
      </c>
      <c r="G184" s="20" t="s">
        <v>14092</v>
      </c>
      <c r="H184" s="24"/>
      <c r="I184" s="24" t="str">
        <f ca="1">IFERROR(__xludf.DUMMYFUNCTION("GOOGLETRANSLATE(F184,""en"",""pt"")"),"amortecedores")</f>
        <v>amortecedores</v>
      </c>
      <c r="J184" t="str">
        <f>VLOOKUP(A184,Pr_Base_LNEC!$A$4:$J$6971,6,FALSE)</f>
        <v>-</v>
      </c>
      <c r="K184">
        <f>VLOOKUP(A184,Pr_Base_LNEC!$A$4:$J$6971,7,FALSE)</f>
        <v>0</v>
      </c>
    </row>
    <row r="185" spans="1:11" ht="14.5">
      <c r="A185" s="20" t="s">
        <v>14093</v>
      </c>
      <c r="B185" s="20">
        <v>20</v>
      </c>
      <c r="C185" s="20">
        <v>29</v>
      </c>
      <c r="D185" s="20">
        <v>10</v>
      </c>
      <c r="E185" s="20">
        <v>79</v>
      </c>
      <c r="F185" s="20" t="s">
        <v>14094</v>
      </c>
      <c r="G185" s="20" t="s">
        <v>14095</v>
      </c>
      <c r="H185" s="24"/>
      <c r="I185" s="24" t="str">
        <f ca="1">IFERROR(__xludf.DUMMYFUNCTION("GOOGLETRANSLATE(F185,""en"",""pt"")"),"grampos luva")</f>
        <v>grampos luva</v>
      </c>
      <c r="J185" t="str">
        <f>VLOOKUP(A185,Pr_Base_LNEC!$A$4:$J$6971,6,FALSE)</f>
        <v>-</v>
      </c>
      <c r="K185">
        <f>VLOOKUP(A185,Pr_Base_LNEC!$A$4:$J$6971,7,FALSE)</f>
        <v>0</v>
      </c>
    </row>
    <row r="186" spans="1:11" ht="14.5">
      <c r="A186" s="20" t="s">
        <v>14096</v>
      </c>
      <c r="B186" s="20">
        <v>20</v>
      </c>
      <c r="C186" s="20">
        <v>29</v>
      </c>
      <c r="D186" s="20">
        <v>14</v>
      </c>
      <c r="E186" s="24"/>
      <c r="F186" s="20" t="s">
        <v>14097</v>
      </c>
      <c r="G186" s="24"/>
      <c r="H186" s="24"/>
      <c r="I186" s="24" t="str">
        <f ca="1">IFERROR(__xludf.DUMMYFUNCTION("GOOGLETRANSLATE(F186,""en"",""pt"")"),"Clips, grampos e acopladores")</f>
        <v>Clips, grampos e acopladores</v>
      </c>
      <c r="J186" t="str">
        <f>VLOOKUP(A186,Pr_Base_LNEC!$A$4:$J$6971,6,FALSE)</f>
        <v>Chapas para Ligações, Amarrações e Juntas</v>
      </c>
      <c r="K186">
        <f>VLOOKUP(A186,Pr_Base_LNEC!$A$4:$J$6971,7,FALSE)</f>
        <v>0</v>
      </c>
    </row>
    <row r="187" spans="1:11" ht="14.5">
      <c r="A187" s="20" t="s">
        <v>14098</v>
      </c>
      <c r="B187" s="20">
        <v>20</v>
      </c>
      <c r="C187" s="20">
        <v>29</v>
      </c>
      <c r="D187" s="20">
        <v>14</v>
      </c>
      <c r="E187" s="20">
        <v>7</v>
      </c>
      <c r="F187" s="20" t="s">
        <v>14099</v>
      </c>
      <c r="G187" s="20" t="s">
        <v>14100</v>
      </c>
      <c r="H187" s="24"/>
      <c r="I187" s="24" t="str">
        <f ca="1">IFERROR(__xludf.DUMMYFUNCTION("GOOGLETRANSLATE(F187,""en"",""pt"")"),"braçadeiras de feixe")</f>
        <v>braçadeiras de feixe</v>
      </c>
      <c r="J187" t="e">
        <f>VLOOKUP(A187,Pr_Base_LNEC!$A$4:$J$6971,6,FALSE)</f>
        <v>#N/A</v>
      </c>
      <c r="K187" t="e">
        <f>VLOOKUP(A187,Pr_Base_LNEC!$A$4:$J$6971,7,FALSE)</f>
        <v>#N/A</v>
      </c>
    </row>
    <row r="188" spans="1:11" ht="14.5">
      <c r="A188" s="20" t="s">
        <v>14101</v>
      </c>
      <c r="B188" s="20">
        <v>20</v>
      </c>
      <c r="C188" s="20">
        <v>29</v>
      </c>
      <c r="D188" s="20">
        <v>14</v>
      </c>
      <c r="E188" s="20">
        <v>8</v>
      </c>
      <c r="F188" s="20" t="s">
        <v>14102</v>
      </c>
      <c r="G188" s="20" t="s">
        <v>14103</v>
      </c>
      <c r="H188" s="24"/>
      <c r="I188" s="24" t="str">
        <f ca="1">IFERROR(__xludf.DUMMYFUNCTION("GOOGLETRANSLATE(F188,""en"",""pt"")"),"clips de feixe")</f>
        <v>clips de feixe</v>
      </c>
      <c r="J188" t="e">
        <f>VLOOKUP(A188,Pr_Base_LNEC!$A$4:$J$6971,6,FALSE)</f>
        <v>#N/A</v>
      </c>
      <c r="K188" t="e">
        <f>VLOOKUP(A188,Pr_Base_LNEC!$A$4:$J$6971,7,FALSE)</f>
        <v>#N/A</v>
      </c>
    </row>
    <row r="189" spans="1:11" ht="14.5">
      <c r="A189" s="20" t="s">
        <v>14104</v>
      </c>
      <c r="B189" s="20">
        <v>20</v>
      </c>
      <c r="C189" s="20">
        <v>29</v>
      </c>
      <c r="D189" s="20">
        <v>14</v>
      </c>
      <c r="E189" s="20">
        <v>13</v>
      </c>
      <c r="F189" s="20" t="s">
        <v>14105</v>
      </c>
      <c r="G189" s="24"/>
      <c r="H189" s="24"/>
      <c r="I189" s="24" t="str">
        <f ca="1">IFERROR(__xludf.DUMMYFUNCTION("GOOGLETRANSLATE(F189,""en"",""pt"")"),"freios")</f>
        <v>freios</v>
      </c>
      <c r="J189" t="str">
        <f>VLOOKUP(A189,Pr_Base_LNEC!$A$4:$J$6971,6,FALSE)</f>
        <v>-</v>
      </c>
      <c r="K189">
        <f>VLOOKUP(A189,Pr_Base_LNEC!$A$4:$J$6971,7,FALSE)</f>
        <v>0</v>
      </c>
    </row>
    <row r="190" spans="1:11" ht="14.5">
      <c r="A190" s="20" t="s">
        <v>14106</v>
      </c>
      <c r="B190" s="20">
        <v>20</v>
      </c>
      <c r="C190" s="20">
        <v>29</v>
      </c>
      <c r="D190" s="20">
        <v>14</v>
      </c>
      <c r="E190" s="20">
        <v>15</v>
      </c>
      <c r="F190" s="20" t="s">
        <v>14107</v>
      </c>
      <c r="G190" s="20" t="s">
        <v>14108</v>
      </c>
      <c r="H190" s="24"/>
      <c r="I190" s="24" t="str">
        <f ca="1">IFERROR(__xludf.DUMMYFUNCTION("GOOGLETRANSLATE(F190,""en"",""pt"")"),"conexões de acoplador")</f>
        <v>conexões de acoplador</v>
      </c>
      <c r="J190" t="str">
        <f>VLOOKUP(A190,Pr_Base_LNEC!$A$4:$J$6971,6,FALSE)</f>
        <v>-</v>
      </c>
      <c r="K190">
        <f>VLOOKUP(A190,Pr_Base_LNEC!$A$4:$J$6971,7,FALSE)</f>
        <v>0</v>
      </c>
    </row>
    <row r="191" spans="1:11" ht="14.5">
      <c r="A191" s="20" t="s">
        <v>14109</v>
      </c>
      <c r="B191" s="20">
        <v>20</v>
      </c>
      <c r="C191" s="20">
        <v>29</v>
      </c>
      <c r="D191" s="20">
        <v>14</v>
      </c>
      <c r="E191" s="20">
        <v>16</v>
      </c>
      <c r="F191" s="20" t="s">
        <v>14110</v>
      </c>
      <c r="G191" s="24"/>
      <c r="H191" s="24"/>
      <c r="I191" s="24" t="str">
        <f ca="1">IFERROR(__xludf.DUMMYFUNCTION("GOOGLETRANSLATE(F191,""en"",""pt"")"),"clips de tubos de cor")</f>
        <v>clips de tubos de cor</v>
      </c>
      <c r="J191" t="str">
        <f>VLOOKUP(A191,Pr_Base_LNEC!$A$4:$J$6971,6,FALSE)</f>
        <v>-</v>
      </c>
      <c r="K191">
        <f>VLOOKUP(A191,Pr_Base_LNEC!$A$4:$J$6971,7,FALSE)</f>
        <v>0</v>
      </c>
    </row>
    <row r="192" spans="1:11" ht="14.5">
      <c r="A192" s="20" t="s">
        <v>14111</v>
      </c>
      <c r="B192" s="20">
        <v>20</v>
      </c>
      <c r="C192" s="20">
        <v>29</v>
      </c>
      <c r="D192" s="20">
        <v>14</v>
      </c>
      <c r="E192" s="20">
        <v>17</v>
      </c>
      <c r="F192" s="20" t="s">
        <v>14112</v>
      </c>
      <c r="G192" s="20" t="s">
        <v>14113</v>
      </c>
      <c r="H192" s="24"/>
      <c r="I192" s="24" t="str">
        <f ca="1">IFERROR(__xludf.DUMMYFUNCTION("GOOGLETRANSLATE(F192,""en"",""pt"")"),"clips de cobre")</f>
        <v>clips de cobre</v>
      </c>
      <c r="J192" t="str">
        <f>VLOOKUP(A192,Pr_Base_LNEC!$A$4:$J$6971,6,FALSE)</f>
        <v>-</v>
      </c>
      <c r="K192">
        <f>VLOOKUP(A192,Pr_Base_LNEC!$A$4:$J$6971,7,FALSE)</f>
        <v>0</v>
      </c>
    </row>
    <row r="193" spans="1:11" ht="14.5">
      <c r="A193" s="20" t="s">
        <v>14114</v>
      </c>
      <c r="B193" s="20">
        <v>20</v>
      </c>
      <c r="C193" s="20">
        <v>29</v>
      </c>
      <c r="D193" s="20">
        <v>14</v>
      </c>
      <c r="E193" s="20">
        <v>22</v>
      </c>
      <c r="F193" s="20" t="s">
        <v>14115</v>
      </c>
      <c r="G193" s="20" t="s">
        <v>14116</v>
      </c>
      <c r="H193" s="24"/>
      <c r="I193" s="24" t="str">
        <f ca="1">IFERROR(__xludf.DUMMYFUNCTION("GOOGLETRANSLATE(F193,""en"",""pt"")"),"clips Boards")</f>
        <v>clips Boards</v>
      </c>
      <c r="J193" t="str">
        <f>VLOOKUP(A193,Pr_Base_LNEC!$A$4:$J$6971,6,FALSE)</f>
        <v>-</v>
      </c>
      <c r="K193">
        <f>VLOOKUP(A193,Pr_Base_LNEC!$A$4:$J$6971,7,FALSE)</f>
        <v>0</v>
      </c>
    </row>
    <row r="194" spans="1:11" ht="14.5">
      <c r="A194" s="20" t="s">
        <v>14117</v>
      </c>
      <c r="B194" s="20">
        <v>20</v>
      </c>
      <c r="C194" s="20">
        <v>29</v>
      </c>
      <c r="D194" s="20">
        <v>14</v>
      </c>
      <c r="E194" s="20">
        <v>24</v>
      </c>
      <c r="F194" s="20" t="s">
        <v>14118</v>
      </c>
      <c r="G194" s="24"/>
      <c r="H194" s="24"/>
      <c r="I194" s="24" t="str">
        <f ca="1">IFERROR(__xludf.DUMMYFUNCTION("GOOGLETRANSLATE(F194,""en"",""pt"")"),"clips tubo de drenagem")</f>
        <v>clips tubo de drenagem</v>
      </c>
      <c r="J194" t="str">
        <f>VLOOKUP(A194,Pr_Base_LNEC!$A$4:$J$6971,6,FALSE)</f>
        <v>-</v>
      </c>
      <c r="K194">
        <f>VLOOKUP(A194,Pr_Base_LNEC!$A$4:$J$6971,7,FALSE)</f>
        <v>0</v>
      </c>
    </row>
    <row r="195" spans="1:11" ht="14.5">
      <c r="A195" s="20" t="s">
        <v>14119</v>
      </c>
      <c r="B195" s="20">
        <v>20</v>
      </c>
      <c r="C195" s="20">
        <v>29</v>
      </c>
      <c r="D195" s="20">
        <v>14</v>
      </c>
      <c r="E195" s="20">
        <v>30</v>
      </c>
      <c r="F195" s="20" t="s">
        <v>14120</v>
      </c>
      <c r="G195" s="20" t="s">
        <v>14121</v>
      </c>
      <c r="H195" s="24"/>
      <c r="I195" s="24" t="str">
        <f ca="1">IFERROR(__xludf.DUMMYFUNCTION("GOOGLETRANSLATE(F195,""en"",""pt"")"),"clips de painel de vedação")</f>
        <v>clips de painel de vedação</v>
      </c>
      <c r="J195" t="str">
        <f>VLOOKUP(A195,Pr_Base_LNEC!$A$4:$J$6971,6,FALSE)</f>
        <v>-</v>
      </c>
      <c r="K195">
        <f>VLOOKUP(A195,Pr_Base_LNEC!$A$4:$J$6971,7,FALSE)</f>
        <v>0</v>
      </c>
    </row>
    <row r="196" spans="1:11" ht="14.5">
      <c r="A196" s="20" t="s">
        <v>14122</v>
      </c>
      <c r="B196" s="20">
        <v>20</v>
      </c>
      <c r="C196" s="20">
        <v>29</v>
      </c>
      <c r="D196" s="20">
        <v>14</v>
      </c>
      <c r="E196" s="20">
        <v>31</v>
      </c>
      <c r="F196" s="20" t="s">
        <v>14123</v>
      </c>
      <c r="G196" s="24"/>
      <c r="H196" s="24"/>
      <c r="I196" s="24" t="str">
        <f ca="1">IFERROR(__xludf.DUMMYFUNCTION("GOOGLETRANSLATE(F196,""en"",""pt"")"),"clips de chão")</f>
        <v>clips de chão</v>
      </c>
      <c r="J196" t="str">
        <f>VLOOKUP(A196,Pr_Base_LNEC!$A$4:$J$6971,6,FALSE)</f>
        <v>-</v>
      </c>
      <c r="K196">
        <f>VLOOKUP(A196,Pr_Base_LNEC!$A$4:$J$6971,7,FALSE)</f>
        <v>0</v>
      </c>
    </row>
    <row r="197" spans="1:11" ht="14.5">
      <c r="A197" s="20" t="s">
        <v>14124</v>
      </c>
      <c r="B197" s="20">
        <v>20</v>
      </c>
      <c r="C197" s="20">
        <v>29</v>
      </c>
      <c r="D197" s="20">
        <v>14</v>
      </c>
      <c r="E197" s="20">
        <v>32</v>
      </c>
      <c r="F197" s="20" t="s">
        <v>14125</v>
      </c>
      <c r="G197" s="20" t="s">
        <v>14126</v>
      </c>
      <c r="H197" s="24"/>
      <c r="I197" s="24" t="str">
        <f ca="1">IFERROR(__xludf.DUMMYFUNCTION("GOOGLETRANSLATE(F197,""en"",""pt"")"),"cãibras quadro")</f>
        <v>cãibras quadro</v>
      </c>
      <c r="J197" t="str">
        <f>VLOOKUP(A197,Pr_Base_LNEC!$A$4:$J$6971,6,FALSE)</f>
        <v>-</v>
      </c>
      <c r="K197">
        <f>VLOOKUP(A197,Pr_Base_LNEC!$A$4:$J$6971,7,FALSE)</f>
        <v>0</v>
      </c>
    </row>
    <row r="198" spans="1:11" ht="14.5">
      <c r="A198" s="20" t="s">
        <v>14127</v>
      </c>
      <c r="B198" s="20">
        <v>20</v>
      </c>
      <c r="C198" s="20">
        <v>29</v>
      </c>
      <c r="D198" s="20">
        <v>14</v>
      </c>
      <c r="E198" s="20">
        <v>33</v>
      </c>
      <c r="F198" s="20" t="s">
        <v>14128</v>
      </c>
      <c r="G198" s="20" t="s">
        <v>14129</v>
      </c>
      <c r="H198" s="24"/>
      <c r="I198" s="24" t="str">
        <f ca="1">IFERROR(__xludf.DUMMYFUNCTION("GOOGLETRANSLATE(F198,""en"",""pt"")"),"Vidro clipes de fixação do painel")</f>
        <v>Vidro clipes de fixação do painel</v>
      </c>
      <c r="J198" t="str">
        <f>VLOOKUP(A198,Pr_Base_LNEC!$A$4:$J$6971,6,FALSE)</f>
        <v>-</v>
      </c>
      <c r="K198">
        <f>VLOOKUP(A198,Pr_Base_LNEC!$A$4:$J$6971,7,FALSE)</f>
        <v>0</v>
      </c>
    </row>
    <row r="199" spans="1:11" ht="14.5">
      <c r="A199" s="20" t="s">
        <v>14130</v>
      </c>
      <c r="B199" s="20">
        <v>20</v>
      </c>
      <c r="C199" s="20">
        <v>29</v>
      </c>
      <c r="D199" s="20">
        <v>14</v>
      </c>
      <c r="E199" s="20">
        <v>34</v>
      </c>
      <c r="F199" s="20" t="s">
        <v>14131</v>
      </c>
      <c r="G199" s="24"/>
      <c r="H199" s="24"/>
      <c r="I199" s="24" t="str">
        <f ca="1">IFERROR(__xludf.DUMMYFUNCTION("GOOGLETRANSLATE(F199,""en"",""pt"")"),"clips de vidro-vidro")</f>
        <v>clips de vidro-vidro</v>
      </c>
      <c r="J199" t="str">
        <f>VLOOKUP(A199,Pr_Base_LNEC!$A$4:$J$6971,6,FALSE)</f>
        <v>-</v>
      </c>
      <c r="K199">
        <f>VLOOKUP(A199,Pr_Base_LNEC!$A$4:$J$6971,7,FALSE)</f>
        <v>0</v>
      </c>
    </row>
    <row r="200" spans="1:11" ht="14.5">
      <c r="A200" s="20" t="s">
        <v>14132</v>
      </c>
      <c r="B200" s="20">
        <v>20</v>
      </c>
      <c r="C200" s="20">
        <v>29</v>
      </c>
      <c r="D200" s="20">
        <v>14</v>
      </c>
      <c r="E200" s="20">
        <v>35</v>
      </c>
      <c r="F200" s="20" t="s">
        <v>14133</v>
      </c>
      <c r="G200" s="24"/>
      <c r="H200" s="24"/>
      <c r="I200" s="24" t="str">
        <f ca="1">IFERROR(__xludf.DUMMYFUNCTION("GOOGLETRANSLATE(F200,""en"",""pt"")"),"clips de vidro a parede")</f>
        <v>clips de vidro a parede</v>
      </c>
      <c r="J200" t="str">
        <f>VLOOKUP(A200,Pr_Base_LNEC!$A$4:$J$6971,6,FALSE)</f>
        <v>-</v>
      </c>
      <c r="K200">
        <f>VLOOKUP(A200,Pr_Base_LNEC!$A$4:$J$6971,7,FALSE)</f>
        <v>0</v>
      </c>
    </row>
    <row r="201" spans="1:11" ht="14.5">
      <c r="A201" s="20" t="s">
        <v>14134</v>
      </c>
      <c r="B201" s="20">
        <v>20</v>
      </c>
      <c r="C201" s="20">
        <v>29</v>
      </c>
      <c r="D201" s="20">
        <v>14</v>
      </c>
      <c r="E201" s="20">
        <v>36</v>
      </c>
      <c r="F201" s="20" t="s">
        <v>14135</v>
      </c>
      <c r="G201" s="24"/>
      <c r="H201" s="24"/>
      <c r="I201" s="24" t="str">
        <f ca="1">IFERROR(__xludf.DUMMYFUNCTION("GOOGLETRANSLATE(F201,""en"",""pt"")"),"braçadeiras de viga")</f>
        <v>braçadeiras de viga</v>
      </c>
      <c r="J201" t="str">
        <f>VLOOKUP(A201,Pr_Base_LNEC!$A$4:$J$6971,6,FALSE)</f>
        <v>-</v>
      </c>
      <c r="K201">
        <f>VLOOKUP(A201,Pr_Base_LNEC!$A$4:$J$6971,7,FALSE)</f>
        <v>0</v>
      </c>
    </row>
    <row r="202" spans="1:11" ht="14.5">
      <c r="A202" s="20" t="s">
        <v>14136</v>
      </c>
      <c r="B202" s="20">
        <v>20</v>
      </c>
      <c r="C202" s="20">
        <v>29</v>
      </c>
      <c r="D202" s="20">
        <v>14</v>
      </c>
      <c r="E202" s="20">
        <v>40</v>
      </c>
      <c r="F202" s="20" t="s">
        <v>14137</v>
      </c>
      <c r="G202" s="24"/>
      <c r="H202" s="24"/>
      <c r="I202" s="24" t="str">
        <f ca="1">IFERROR(__xludf.DUMMYFUNCTION("GOOGLETRANSLATE(F202,""en"",""pt"")"),"clips de ferro")</f>
        <v>clips de ferro</v>
      </c>
      <c r="J202" t="e">
        <f>VLOOKUP(A202,Pr_Base_LNEC!$A$4:$J$6971,6,FALSE)</f>
        <v>#N/A</v>
      </c>
      <c r="K202" t="e">
        <f>VLOOKUP(A202,Pr_Base_LNEC!$A$4:$J$6971,7,FALSE)</f>
        <v>#N/A</v>
      </c>
    </row>
    <row r="203" spans="1:11" ht="14.5">
      <c r="A203" s="20" t="s">
        <v>14138</v>
      </c>
      <c r="B203" s="20">
        <v>20</v>
      </c>
      <c r="C203" s="20">
        <v>29</v>
      </c>
      <c r="D203" s="20">
        <v>14</v>
      </c>
      <c r="E203" s="20">
        <v>45</v>
      </c>
      <c r="F203" s="20" t="s">
        <v>14139</v>
      </c>
      <c r="G203" s="20" t="s">
        <v>14140</v>
      </c>
      <c r="H203" s="24"/>
      <c r="I203" s="24" t="str">
        <f ca="1">IFERROR(__xludf.DUMMYFUNCTION("GOOGLETRANSLATE(F203,""en"",""pt"")"),"clips de painel de levantamento")</f>
        <v>clips de painel de levantamento</v>
      </c>
      <c r="J203" t="str">
        <f>VLOOKUP(A203,Pr_Base_LNEC!$A$4:$J$6971,6,FALSE)</f>
        <v>-</v>
      </c>
      <c r="K203">
        <f>VLOOKUP(A203,Pr_Base_LNEC!$A$4:$J$6971,7,FALSE)</f>
        <v>0</v>
      </c>
    </row>
    <row r="204" spans="1:11" ht="14.5">
      <c r="A204" s="20" t="s">
        <v>14141</v>
      </c>
      <c r="B204" s="20">
        <v>20</v>
      </c>
      <c r="C204" s="20">
        <v>29</v>
      </c>
      <c r="D204" s="20">
        <v>14</v>
      </c>
      <c r="E204" s="20">
        <v>50</v>
      </c>
      <c r="F204" s="20" t="s">
        <v>14142</v>
      </c>
      <c r="G204" s="20" t="s">
        <v>14143</v>
      </c>
      <c r="H204" s="24"/>
      <c r="I204" s="24" t="str">
        <f ca="1">IFERROR(__xludf.DUMMYFUNCTION("GOOGLETRANSLATE(F204,""en"",""pt"")"),"cãibras alvenaria")</f>
        <v>cãibras alvenaria</v>
      </c>
      <c r="J204" t="str">
        <f>VLOOKUP(A204,Pr_Base_LNEC!$A$4:$J$6971,6,FALSE)</f>
        <v>-</v>
      </c>
      <c r="K204">
        <f>VLOOKUP(A204,Pr_Base_LNEC!$A$4:$J$6971,7,FALSE)</f>
        <v>0</v>
      </c>
    </row>
    <row r="205" spans="1:11" ht="14.5">
      <c r="A205" s="20" t="s">
        <v>14144</v>
      </c>
      <c r="B205" s="20">
        <v>20</v>
      </c>
      <c r="C205" s="20">
        <v>29</v>
      </c>
      <c r="D205" s="20">
        <v>14</v>
      </c>
      <c r="E205" s="20">
        <v>65</v>
      </c>
      <c r="F205" s="20" t="s">
        <v>14145</v>
      </c>
      <c r="G205" s="20" t="s">
        <v>14146</v>
      </c>
      <c r="H205" s="24"/>
      <c r="I205" s="24" t="str">
        <f ca="1">IFERROR(__xludf.DUMMYFUNCTION("GOOGLETRANSLATE(F205,""en"",""pt"")"),"clips de tubulação")</f>
        <v>clips de tubulação</v>
      </c>
      <c r="J205" t="e">
        <f>VLOOKUP(A205,Pr_Base_LNEC!$A$4:$J$6971,6,FALSE)</f>
        <v>#N/A</v>
      </c>
      <c r="K205" t="e">
        <f>VLOOKUP(A205,Pr_Base_LNEC!$A$4:$J$6971,7,FALSE)</f>
        <v>#N/A</v>
      </c>
    </row>
    <row r="206" spans="1:11" ht="14.5">
      <c r="A206" s="20" t="s">
        <v>14147</v>
      </c>
      <c r="B206" s="20">
        <v>20</v>
      </c>
      <c r="C206" s="20">
        <v>29</v>
      </c>
      <c r="D206" s="20">
        <v>14</v>
      </c>
      <c r="E206" s="20">
        <v>68</v>
      </c>
      <c r="F206" s="20" t="s">
        <v>14148</v>
      </c>
      <c r="G206" s="20" t="s">
        <v>14149</v>
      </c>
      <c r="H206" s="24"/>
      <c r="I206" s="24" t="str">
        <f ca="1">IFERROR(__xludf.DUMMYFUNCTION("GOOGLETRANSLATE(F206,""en"",""pt"")"),"clips de painel push-fit?")</f>
        <v>clips de painel push-fit?</v>
      </c>
      <c r="J206" t="str">
        <f>VLOOKUP(A206,Pr_Base_LNEC!$A$4:$J$6971,6,FALSE)</f>
        <v>-</v>
      </c>
      <c r="K206">
        <f>VLOOKUP(A206,Pr_Base_LNEC!$A$4:$J$6971,7,FALSE)</f>
        <v>0</v>
      </c>
    </row>
    <row r="207" spans="1:11" ht="14.5">
      <c r="A207" s="20" t="s">
        <v>14150</v>
      </c>
      <c r="B207" s="20">
        <v>20</v>
      </c>
      <c r="C207" s="20">
        <v>29</v>
      </c>
      <c r="D207" s="20">
        <v>14</v>
      </c>
      <c r="E207" s="20">
        <v>76</v>
      </c>
      <c r="F207" s="20" t="s">
        <v>14151</v>
      </c>
      <c r="G207" s="20" t="s">
        <v>14152</v>
      </c>
      <c r="H207" s="24"/>
      <c r="I207" s="24" t="str">
        <f ca="1">IFERROR(__xludf.DUMMYFUNCTION("GOOGLETRANSLATE(F207,""en"",""pt"")"),"Segurança vidros clips")</f>
        <v>Segurança vidros clips</v>
      </c>
      <c r="J207" t="str">
        <f>VLOOKUP(A207,Pr_Base_LNEC!$A$4:$J$6971,6,FALSE)</f>
        <v>-</v>
      </c>
      <c r="K207">
        <f>VLOOKUP(A207,Pr_Base_LNEC!$A$4:$J$6971,7,FALSE)</f>
        <v>0</v>
      </c>
    </row>
    <row r="208" spans="1:11" ht="14.5">
      <c r="A208" s="20" t="s">
        <v>14153</v>
      </c>
      <c r="B208" s="20">
        <v>20</v>
      </c>
      <c r="C208" s="20">
        <v>29</v>
      </c>
      <c r="D208" s="20">
        <v>14</v>
      </c>
      <c r="E208" s="20">
        <v>79</v>
      </c>
      <c r="F208" s="20" t="s">
        <v>14154</v>
      </c>
      <c r="G208" s="24"/>
      <c r="H208" s="24"/>
      <c r="I208" s="24" t="str">
        <f ca="1">IFERROR(__xludf.DUMMYFUNCTION("GOOGLETRANSLATE(F208,""en"",""pt"")"),"shackles")</f>
        <v>shackles</v>
      </c>
      <c r="J208" t="str">
        <f>VLOOKUP(A208,Pr_Base_LNEC!$A$4:$J$6971,6,FALSE)</f>
        <v>-</v>
      </c>
      <c r="K208">
        <f>VLOOKUP(A208,Pr_Base_LNEC!$A$4:$J$6971,7,FALSE)</f>
        <v>0</v>
      </c>
    </row>
    <row r="209" spans="1:11" ht="14.5">
      <c r="A209" s="20" t="s">
        <v>14155</v>
      </c>
      <c r="B209" s="20">
        <v>20</v>
      </c>
      <c r="C209" s="20">
        <v>29</v>
      </c>
      <c r="D209" s="20">
        <v>14</v>
      </c>
      <c r="E209" s="20">
        <v>82</v>
      </c>
      <c r="F209" s="20" t="s">
        <v>14156</v>
      </c>
      <c r="G209" s="20" t="s">
        <v>14157</v>
      </c>
      <c r="H209" s="24"/>
      <c r="I209" s="24" t="str">
        <f ca="1">IFERROR(__xludf.DUMMYFUNCTION("GOOGLETRANSLATE(F209,""en"",""pt"")"),"grampos de mola de aço inoxidável")</f>
        <v>grampos de mola de aço inoxidável</v>
      </c>
      <c r="J209" t="str">
        <f>VLOOKUP(A209,Pr_Base_LNEC!$A$4:$J$6971,6,FALSE)</f>
        <v>-</v>
      </c>
      <c r="K209">
        <f>VLOOKUP(A209,Pr_Base_LNEC!$A$4:$J$6971,7,FALSE)</f>
        <v>0</v>
      </c>
    </row>
    <row r="210" spans="1:11" ht="14.5">
      <c r="A210" s="20" t="s">
        <v>14158</v>
      </c>
      <c r="B210" s="20">
        <v>20</v>
      </c>
      <c r="C210" s="20">
        <v>29</v>
      </c>
      <c r="D210" s="20">
        <v>14</v>
      </c>
      <c r="E210" s="20">
        <v>84</v>
      </c>
      <c r="F210" s="20" t="s">
        <v>14159</v>
      </c>
      <c r="G210" s="20" t="s">
        <v>14160</v>
      </c>
      <c r="H210" s="24"/>
      <c r="I210" s="24" t="str">
        <f ca="1">IFERROR(__xludf.DUMMYFUNCTION("GOOGLETRANSLATE(F210,""en"",""pt"")"),"Em pé de costura fixo clips")</f>
        <v>Em pé de costura fixo clips</v>
      </c>
      <c r="J210" t="str">
        <f>VLOOKUP(A210,Pr_Base_LNEC!$A$4:$J$6971,6,FALSE)</f>
        <v>-</v>
      </c>
      <c r="K210">
        <f>VLOOKUP(A210,Pr_Base_LNEC!$A$4:$J$6971,7,FALSE)</f>
        <v>0</v>
      </c>
    </row>
    <row r="211" spans="1:11" ht="14.5">
      <c r="A211" s="20" t="s">
        <v>14161</v>
      </c>
      <c r="B211" s="20">
        <v>20</v>
      </c>
      <c r="C211" s="20">
        <v>29</v>
      </c>
      <c r="D211" s="20">
        <v>14</v>
      </c>
      <c r="E211" s="20">
        <v>85</v>
      </c>
      <c r="F211" s="20" t="s">
        <v>14162</v>
      </c>
      <c r="G211" s="20" t="s">
        <v>14163</v>
      </c>
      <c r="H211" s="24"/>
      <c r="I211" s="24" t="str">
        <f ca="1">IFERROR(__xludf.DUMMYFUNCTION("GOOGLETRANSLATE(F211,""en"",""pt"")"),"Em pé de costura de deslizamento clips")</f>
        <v>Em pé de costura de deslizamento clips</v>
      </c>
      <c r="J211" t="str">
        <f>VLOOKUP(A211,Pr_Base_LNEC!$A$4:$J$6971,6,FALSE)</f>
        <v>-</v>
      </c>
      <c r="K211">
        <f>VLOOKUP(A211,Pr_Base_LNEC!$A$4:$J$6971,7,FALSE)</f>
        <v>0</v>
      </c>
    </row>
    <row r="212" spans="1:11" ht="14.5">
      <c r="A212" s="20" t="s">
        <v>14164</v>
      </c>
      <c r="B212" s="20">
        <v>20</v>
      </c>
      <c r="C212" s="20">
        <v>29</v>
      </c>
      <c r="D212" s="20">
        <v>14</v>
      </c>
      <c r="E212" s="20">
        <v>86</v>
      </c>
      <c r="F212" s="20" t="s">
        <v>14165</v>
      </c>
      <c r="G212" s="20" t="s">
        <v>14166</v>
      </c>
      <c r="H212" s="24"/>
      <c r="I212" s="24" t="str">
        <f ca="1">IFERROR(__xludf.DUMMYFUNCTION("GOOGLETRANSLATE(F212,""en"",""pt"")"),"grampos de aço")</f>
        <v>grampos de aço</v>
      </c>
      <c r="J212" t="str">
        <f>VLOOKUP(A212,Pr_Base_LNEC!$A$4:$J$6971,6,FALSE)</f>
        <v>-</v>
      </c>
      <c r="K212">
        <f>VLOOKUP(A212,Pr_Base_LNEC!$A$4:$J$6971,7,FALSE)</f>
        <v>0</v>
      </c>
    </row>
    <row r="213" spans="1:11" ht="14.5">
      <c r="A213" s="20" t="s">
        <v>14167</v>
      </c>
      <c r="B213" s="20">
        <v>20</v>
      </c>
      <c r="C213" s="20">
        <v>29</v>
      </c>
      <c r="D213" s="20">
        <v>14</v>
      </c>
      <c r="E213" s="20">
        <v>87</v>
      </c>
      <c r="F213" s="20" t="s">
        <v>14168</v>
      </c>
      <c r="G213" s="20" t="s">
        <v>14169</v>
      </c>
      <c r="H213" s="24"/>
      <c r="I213" s="24" t="str">
        <f ca="1">IFERROR(__xludf.DUMMYFUNCTION("GOOGLETRANSLATE(F213,""en"",""pt"")"),"clips tecto falso")</f>
        <v>clips tecto falso</v>
      </c>
      <c r="J213" t="str">
        <f>VLOOKUP(A213,Pr_Base_LNEC!$A$4:$J$6971,6,FALSE)</f>
        <v>-</v>
      </c>
      <c r="K213">
        <f>VLOOKUP(A213,Pr_Base_LNEC!$A$4:$J$6971,7,FALSE)</f>
        <v>0</v>
      </c>
    </row>
    <row r="214" spans="1:11" ht="14.5">
      <c r="A214" s="20" t="s">
        <v>14170</v>
      </c>
      <c r="B214" s="20">
        <v>20</v>
      </c>
      <c r="C214" s="20">
        <v>29</v>
      </c>
      <c r="D214" s="20">
        <v>14</v>
      </c>
      <c r="E214" s="20">
        <v>90</v>
      </c>
      <c r="F214" s="20" t="s">
        <v>14171</v>
      </c>
      <c r="G214" s="20" t="s">
        <v>14172</v>
      </c>
      <c r="H214" s="24"/>
      <c r="I214" s="24" t="str">
        <f ca="1">IFERROR(__xludf.DUMMYFUNCTION("GOOGLETRANSLATE(F214,""en"",""pt"")"),"clips truss")</f>
        <v>clips truss</v>
      </c>
      <c r="J214" t="str">
        <f>VLOOKUP(A214,Pr_Base_LNEC!$A$4:$J$6971,6,FALSE)</f>
        <v>Amarrações para Alvenaria</v>
      </c>
      <c r="K214" t="str">
        <f>VLOOKUP(A214,Pr_Base_LNEC!$A$4:$J$6971,7,FALSE)</f>
        <v>EN 845-1:2013+A1:2016</v>
      </c>
    </row>
    <row r="215" spans="1:11" ht="14.5">
      <c r="A215" s="20" t="s">
        <v>14173</v>
      </c>
      <c r="B215" s="20">
        <v>20</v>
      </c>
      <c r="C215" s="20">
        <v>29</v>
      </c>
      <c r="D215" s="20">
        <v>23</v>
      </c>
      <c r="E215" s="24"/>
      <c r="F215" s="20" t="s">
        <v>14174</v>
      </c>
      <c r="G215" s="24"/>
      <c r="H215" s="24"/>
      <c r="I215" s="24" t="str">
        <f ca="1">IFERROR(__xludf.DUMMYFUNCTION("GOOGLETRANSLATE(F215,""en"",""pt"")"),"Cavilhas e hastes")</f>
        <v>Cavilhas e hastes</v>
      </c>
      <c r="J215" t="str">
        <f>VLOOKUP(A215,Pr_Base_LNEC!$A$4:$J$6971,6,FALSE)</f>
        <v>Varões e Perfis</v>
      </c>
      <c r="K215">
        <f>VLOOKUP(A215,Pr_Base_LNEC!$A$4:$J$6971,7,FALSE)</f>
        <v>0</v>
      </c>
    </row>
    <row r="216" spans="1:11" ht="14.5">
      <c r="A216" s="20" t="s">
        <v>14175</v>
      </c>
      <c r="B216" s="20">
        <v>20</v>
      </c>
      <c r="C216" s="20">
        <v>29</v>
      </c>
      <c r="D216" s="20">
        <v>23</v>
      </c>
      <c r="E216" s="20">
        <v>11</v>
      </c>
      <c r="F216" s="20" t="s">
        <v>14176</v>
      </c>
      <c r="G216" s="20" t="s">
        <v>14177</v>
      </c>
      <c r="H216" s="24"/>
      <c r="I216" s="24" t="str">
        <f ca="1">IFERROR(__xludf.DUMMYFUNCTION("GOOGLETRANSLATE(F216,""en"",""pt"")"),"armaduras de ligação de aço carbono")</f>
        <v>armaduras de ligação de aço carbono</v>
      </c>
      <c r="J216" t="str">
        <f>VLOOKUP(A216,Pr_Base_LNEC!$A$4:$J$6971,6,FALSE)</f>
        <v>-</v>
      </c>
      <c r="K216">
        <f>VLOOKUP(A216,Pr_Base_LNEC!$A$4:$J$6971,7,FALSE)</f>
        <v>0</v>
      </c>
    </row>
    <row r="217" spans="1:11" ht="14.5">
      <c r="A217" s="20" t="s">
        <v>14178</v>
      </c>
      <c r="B217" s="20">
        <v>20</v>
      </c>
      <c r="C217" s="20">
        <v>29</v>
      </c>
      <c r="D217" s="20">
        <v>23</v>
      </c>
      <c r="E217" s="20">
        <v>12</v>
      </c>
      <c r="F217" s="20" t="s">
        <v>14179</v>
      </c>
      <c r="G217" s="20" t="s">
        <v>14180</v>
      </c>
      <c r="H217" s="24"/>
      <c r="I217" s="24" t="str">
        <f ca="1">IFERROR(__xludf.DUMMYFUNCTION("GOOGLETRANSLATE(F217,""en"",""pt"")"),"hastes de aço de carbono")</f>
        <v>hastes de aço de carbono</v>
      </c>
      <c r="J217" t="str">
        <f>VLOOKUP(A217,Pr_Base_LNEC!$A$4:$J$6971,6,FALSE)</f>
        <v>-</v>
      </c>
      <c r="K217">
        <f>VLOOKUP(A217,Pr_Base_LNEC!$A$4:$J$6971,7,FALSE)</f>
        <v>0</v>
      </c>
    </row>
    <row r="218" spans="1:11" ht="14.5">
      <c r="A218" s="20" t="s">
        <v>14181</v>
      </c>
      <c r="B218" s="20">
        <v>20</v>
      </c>
      <c r="C218" s="20">
        <v>29</v>
      </c>
      <c r="D218" s="20">
        <v>23</v>
      </c>
      <c r="E218" s="20">
        <v>22</v>
      </c>
      <c r="F218" s="20" t="s">
        <v>14182</v>
      </c>
      <c r="G218" s="24"/>
      <c r="H218" s="24"/>
      <c r="I218" s="24" t="str">
        <f ca="1">IFERROR(__xludf.DUMMYFUNCTION("GOOGLETRANSLATE(F218,""en"",""pt"")"),"tampas de barras de passador")</f>
        <v>tampas de barras de passador</v>
      </c>
      <c r="J218" t="str">
        <f>VLOOKUP(A218,Pr_Base_LNEC!$A$4:$J$6971,6,FALSE)</f>
        <v>-</v>
      </c>
      <c r="K218">
        <f>VLOOKUP(A218,Pr_Base_LNEC!$A$4:$J$6971,7,FALSE)</f>
        <v>0</v>
      </c>
    </row>
    <row r="219" spans="1:11" ht="14.5">
      <c r="A219" s="20" t="s">
        <v>14183</v>
      </c>
      <c r="B219" s="20">
        <v>20</v>
      </c>
      <c r="C219" s="20">
        <v>29</v>
      </c>
      <c r="D219" s="20">
        <v>23</v>
      </c>
      <c r="E219" s="20">
        <v>23</v>
      </c>
      <c r="F219" s="20" t="s">
        <v>14184</v>
      </c>
      <c r="G219" s="20" t="s">
        <v>14185</v>
      </c>
      <c r="H219" s="24"/>
      <c r="I219" s="24" t="str">
        <f ca="1">IFERROR(__xludf.DUMMYFUNCTION("GOOGLETRANSLATE(F219,""en"",""pt"")"),"fechos de retenção de chavetas")</f>
        <v>fechos de retenção de chavetas</v>
      </c>
      <c r="J219" t="str">
        <f>VLOOKUP(A219,Pr_Base_LNEC!$A$4:$J$6971,6,FALSE)</f>
        <v>-</v>
      </c>
      <c r="K219">
        <f>VLOOKUP(A219,Pr_Base_LNEC!$A$4:$J$6971,7,FALSE)</f>
        <v>0</v>
      </c>
    </row>
    <row r="220" spans="1:11" ht="14.5">
      <c r="A220" s="20" t="s">
        <v>14186</v>
      </c>
      <c r="B220" s="20">
        <v>20</v>
      </c>
      <c r="C220" s="20">
        <v>29</v>
      </c>
      <c r="D220" s="20">
        <v>23</v>
      </c>
      <c r="E220" s="20">
        <v>30</v>
      </c>
      <c r="F220" s="20" t="s">
        <v>14187</v>
      </c>
      <c r="G220" s="20" t="s">
        <v>14188</v>
      </c>
      <c r="H220" s="24"/>
      <c r="I220" s="24" t="str">
        <f ca="1">IFERROR(__xludf.DUMMYFUNCTION("GOOGLETRANSLATE(F220,""en"",""pt"")"),"cavilhas de plásticos reforçados com fibras")</f>
        <v>cavilhas de plásticos reforçados com fibras</v>
      </c>
      <c r="J220" t="str">
        <f>VLOOKUP(A220,Pr_Base_LNEC!$A$4:$J$6971,6,FALSE)</f>
        <v>-</v>
      </c>
      <c r="K220">
        <f>VLOOKUP(A220,Pr_Base_LNEC!$A$4:$J$6971,7,FALSE)</f>
        <v>0</v>
      </c>
    </row>
    <row r="221" spans="1:11" ht="14.5">
      <c r="A221" s="20" t="s">
        <v>14189</v>
      </c>
      <c r="B221" s="20">
        <v>20</v>
      </c>
      <c r="C221" s="20">
        <v>29</v>
      </c>
      <c r="D221" s="20">
        <v>23</v>
      </c>
      <c r="E221" s="20">
        <v>36</v>
      </c>
      <c r="F221" s="20" t="s">
        <v>14190</v>
      </c>
      <c r="G221" s="20" t="s">
        <v>14191</v>
      </c>
      <c r="H221" s="24"/>
      <c r="I221" s="24" t="str">
        <f ca="1">IFERROR(__xludf.DUMMYFUNCTION("GOOGLETRANSLATE(F221,""en"",""pt"")"),"cavilhas de madeira")</f>
        <v>cavilhas de madeira</v>
      </c>
      <c r="J221" t="str">
        <f>VLOOKUP(A221,Pr_Base_LNEC!$A$4:$J$6971,6,FALSE)</f>
        <v>-</v>
      </c>
      <c r="K221">
        <f>VLOOKUP(A221,Pr_Base_LNEC!$A$4:$J$6971,7,FALSE)</f>
        <v>0</v>
      </c>
    </row>
    <row r="222" spans="1:11" ht="14.5">
      <c r="A222" s="20" t="s">
        <v>14192</v>
      </c>
      <c r="B222" s="20">
        <v>20</v>
      </c>
      <c r="C222" s="20">
        <v>29</v>
      </c>
      <c r="D222" s="20">
        <v>23</v>
      </c>
      <c r="E222" s="20">
        <v>40</v>
      </c>
      <c r="F222" s="20" t="s">
        <v>14193</v>
      </c>
      <c r="G222" s="20" t="s">
        <v>14194</v>
      </c>
      <c r="H222" s="24"/>
      <c r="I222" s="24" t="str">
        <f ca="1">IFERROR(__xludf.DUMMYFUNCTION("GOOGLETRANSLATE(F222,""en"",""pt"")"),"hastes de soldadura quentes")</f>
        <v>hastes de soldadura quentes</v>
      </c>
      <c r="J222" t="str">
        <f>VLOOKUP(A222,Pr_Base_LNEC!$A$4:$J$6971,6,FALSE)</f>
        <v>-</v>
      </c>
      <c r="K222">
        <f>VLOOKUP(A222,Pr_Base_LNEC!$A$4:$J$6971,7,FALSE)</f>
        <v>0</v>
      </c>
    </row>
    <row r="223" spans="1:11" ht="14.5">
      <c r="A223" s="20" t="s">
        <v>14195</v>
      </c>
      <c r="B223" s="20">
        <v>20</v>
      </c>
      <c r="C223" s="20">
        <v>29</v>
      </c>
      <c r="D223" s="20">
        <v>23</v>
      </c>
      <c r="E223" s="20">
        <v>50</v>
      </c>
      <c r="F223" s="20" t="s">
        <v>14196</v>
      </c>
      <c r="G223" s="20" t="s">
        <v>14143</v>
      </c>
      <c r="H223" s="24"/>
      <c r="I223" s="24" t="str">
        <f ca="1">IFERROR(__xludf.DUMMYFUNCTION("GOOGLETRANSLATE(F223,""en"",""pt"")"),"buchas de alvenaria")</f>
        <v>buchas de alvenaria</v>
      </c>
      <c r="J223" t="str">
        <f>VLOOKUP(A223,Pr_Base_LNEC!$A$4:$J$6971,6,FALSE)</f>
        <v>-</v>
      </c>
      <c r="K223">
        <f>VLOOKUP(A223,Pr_Base_LNEC!$A$4:$J$6971,7,FALSE)</f>
        <v>0</v>
      </c>
    </row>
    <row r="224" spans="1:11" ht="14.5">
      <c r="A224" s="20" t="s">
        <v>14197</v>
      </c>
      <c r="B224" s="20">
        <v>20</v>
      </c>
      <c r="C224" s="20">
        <v>29</v>
      </c>
      <c r="D224" s="20">
        <v>23</v>
      </c>
      <c r="E224" s="20">
        <v>52</v>
      </c>
      <c r="F224" s="20" t="s">
        <v>14198</v>
      </c>
      <c r="G224" s="20" t="s">
        <v>14199</v>
      </c>
      <c r="H224" s="24"/>
      <c r="I224" s="24" t="str">
        <f ca="1">IFERROR(__xludf.DUMMYFUNCTION("GOOGLETRANSLATE(F224,""en"",""pt"")"),"cavilhas de metal, pinos e hastes")</f>
        <v>cavilhas de metal, pinos e hastes</v>
      </c>
      <c r="J224" t="str">
        <f>VLOOKUP(A224,Pr_Base_LNEC!$A$4:$J$6971,6,FALSE)</f>
        <v>-</v>
      </c>
      <c r="K224">
        <f>VLOOKUP(A224,Pr_Base_LNEC!$A$4:$J$6971,7,FALSE)</f>
        <v>0</v>
      </c>
    </row>
    <row r="225" spans="1:11" ht="14.5">
      <c r="A225" s="20" t="s">
        <v>14200</v>
      </c>
      <c r="B225" s="20">
        <v>20</v>
      </c>
      <c r="C225" s="20">
        <v>29</v>
      </c>
      <c r="D225" s="20">
        <v>23</v>
      </c>
      <c r="E225" s="20">
        <v>65</v>
      </c>
      <c r="F225" s="20" t="s">
        <v>14201</v>
      </c>
      <c r="G225" s="20" t="s">
        <v>14202</v>
      </c>
      <c r="H225" s="24"/>
      <c r="I225" s="24" t="str">
        <f ca="1">IFERROR(__xludf.DUMMYFUNCTION("GOOGLETRANSLATE(F225,""en"",""pt"")"),"Plásticos passador tampas de barras")</f>
        <v>Plásticos passador tampas de barras</v>
      </c>
      <c r="J225" t="str">
        <f>VLOOKUP(A225,Pr_Base_LNEC!$A$4:$J$6971,6,FALSE)</f>
        <v>-</v>
      </c>
      <c r="K225">
        <f>VLOOKUP(A225,Pr_Base_LNEC!$A$4:$J$6971,7,FALSE)</f>
        <v>0</v>
      </c>
    </row>
    <row r="226" spans="1:11" ht="14.5">
      <c r="A226" s="20" t="s">
        <v>14203</v>
      </c>
      <c r="B226" s="20">
        <v>20</v>
      </c>
      <c r="C226" s="20">
        <v>29</v>
      </c>
      <c r="D226" s="20">
        <v>23</v>
      </c>
      <c r="E226" s="20">
        <v>80</v>
      </c>
      <c r="F226" s="20" t="s">
        <v>14204</v>
      </c>
      <c r="G226" s="24"/>
      <c r="H226" s="24"/>
      <c r="I226" s="24" t="str">
        <f ca="1">IFERROR(__xludf.DUMMYFUNCTION("GOOGLETRANSLATE(F226,""en"",""pt"")"),"cavilhas de madeira mole")</f>
        <v>cavilhas de madeira mole</v>
      </c>
      <c r="J226" t="str">
        <f>VLOOKUP(A226,Pr_Base_LNEC!$A$4:$J$6971,6,FALSE)</f>
        <v>-</v>
      </c>
      <c r="K226">
        <f>VLOOKUP(A226,Pr_Base_LNEC!$A$4:$J$6971,7,FALSE)</f>
        <v>0</v>
      </c>
    </row>
    <row r="227" spans="1:11" ht="14.5">
      <c r="A227" s="20" t="s">
        <v>14205</v>
      </c>
      <c r="B227" s="20">
        <v>20</v>
      </c>
      <c r="C227" s="20">
        <v>29</v>
      </c>
      <c r="D227" s="20">
        <v>23</v>
      </c>
      <c r="E227" s="20">
        <v>83</v>
      </c>
      <c r="F227" s="20" t="s">
        <v>14206</v>
      </c>
      <c r="G227" s="20" t="s">
        <v>14207</v>
      </c>
      <c r="H227" s="24"/>
      <c r="I227" s="24" t="str">
        <f ca="1">IFERROR(__xludf.DUMMYFUNCTION("GOOGLETRANSLATE(F227,""en"",""pt"")"),"bares passador de aço inoxidável")</f>
        <v>bares passador de aço inoxidável</v>
      </c>
      <c r="J227" t="str">
        <f>VLOOKUP(A227,Pr_Base_LNEC!$A$4:$J$6971,6,FALSE)</f>
        <v>-</v>
      </c>
      <c r="K227">
        <f>VLOOKUP(A227,Pr_Base_LNEC!$A$4:$J$6971,7,FALSE)</f>
        <v>0</v>
      </c>
    </row>
    <row r="228" spans="1:11" ht="14.5">
      <c r="A228" s="20" t="s">
        <v>14208</v>
      </c>
      <c r="B228" s="20">
        <v>20</v>
      </c>
      <c r="C228" s="20">
        <v>29</v>
      </c>
      <c r="D228" s="20">
        <v>23</v>
      </c>
      <c r="E228" s="20">
        <v>84</v>
      </c>
      <c r="F228" s="20" t="s">
        <v>14209</v>
      </c>
      <c r="G228" s="20" t="s">
        <v>14210</v>
      </c>
      <c r="H228" s="24"/>
      <c r="I228" s="24" t="str">
        <f ca="1">IFERROR(__xludf.DUMMYFUNCTION("GOOGLETRANSLATE(F228,""en"",""pt"")"),"hastes de aço inoxidável")</f>
        <v>hastes de aço inoxidável</v>
      </c>
      <c r="J228" t="str">
        <f>VLOOKUP(A228,Pr_Base_LNEC!$A$4:$J$6971,6,FALSE)</f>
        <v>-</v>
      </c>
      <c r="K228">
        <f>VLOOKUP(A228,Pr_Base_LNEC!$A$4:$J$6971,7,FALSE)</f>
        <v>0</v>
      </c>
    </row>
    <row r="229" spans="1:11" ht="14.5">
      <c r="A229" s="20" t="s">
        <v>14211</v>
      </c>
      <c r="B229" s="20">
        <v>20</v>
      </c>
      <c r="C229" s="20">
        <v>29</v>
      </c>
      <c r="D229" s="20">
        <v>23</v>
      </c>
      <c r="E229" s="20">
        <v>92</v>
      </c>
      <c r="F229" s="20" t="s">
        <v>14212</v>
      </c>
      <c r="G229" s="20" t="s">
        <v>14213</v>
      </c>
      <c r="H229" s="24"/>
      <c r="I229" s="24" t="str">
        <f ca="1">IFERROR(__xludf.DUMMYFUNCTION("GOOGLETRANSLATE(F229,""en"",""pt"")"),"U-pins")</f>
        <v>U-pins</v>
      </c>
      <c r="J229" t="str">
        <f>VLOOKUP(A229,Pr_Base_LNEC!$A$4:$J$6971,6,FALSE)</f>
        <v>-</v>
      </c>
      <c r="K229">
        <f>VLOOKUP(A229,Pr_Base_LNEC!$A$4:$J$6971,7,FALSE)</f>
        <v>0</v>
      </c>
    </row>
    <row r="230" spans="1:11" ht="14.5">
      <c r="A230" s="20" t="s">
        <v>14214</v>
      </c>
      <c r="B230" s="20">
        <v>20</v>
      </c>
      <c r="C230" s="20">
        <v>29</v>
      </c>
      <c r="D230" s="20">
        <v>29</v>
      </c>
      <c r="E230" s="24"/>
      <c r="F230" s="20" t="s">
        <v>14215</v>
      </c>
      <c r="G230" s="24"/>
      <c r="H230" s="24"/>
      <c r="I230" s="24" t="str">
        <f ca="1">IFERROR(__xludf.DUMMYFUNCTION("GOOGLETRANSLATE(F230,""en"",""pt"")"),"Virolas e mangas")</f>
        <v>Virolas e mangas</v>
      </c>
      <c r="J230" t="str">
        <f>VLOOKUP(A230,Pr_Base_LNEC!$A$4:$J$6971,6,FALSE)</f>
        <v>Virolas e Buchas</v>
      </c>
      <c r="K230">
        <f>VLOOKUP(A230,Pr_Base_LNEC!$A$4:$J$6971,7,FALSE)</f>
        <v>0</v>
      </c>
    </row>
    <row r="231" spans="1:11" ht="14.5">
      <c r="A231" s="20" t="s">
        <v>14216</v>
      </c>
      <c r="B231" s="20">
        <v>20</v>
      </c>
      <c r="C231" s="20">
        <v>29</v>
      </c>
      <c r="D231" s="20">
        <v>29</v>
      </c>
      <c r="E231" s="20">
        <v>23</v>
      </c>
      <c r="F231" s="20" t="s">
        <v>14217</v>
      </c>
      <c r="G231" s="20" t="s">
        <v>14218</v>
      </c>
      <c r="H231" s="24"/>
      <c r="I231" s="24" t="str">
        <f ca="1">IFERROR(__xludf.DUMMYFUNCTION("GOOGLETRANSLATE(F231,""en"",""pt"")"),"mangas de barra de espiga")</f>
        <v>mangas de barra de espiga</v>
      </c>
      <c r="J231" t="str">
        <f>VLOOKUP(A231,Pr_Base_LNEC!$A$4:$J$6971,6,FALSE)</f>
        <v>-</v>
      </c>
      <c r="K231">
        <f>VLOOKUP(A231,Pr_Base_LNEC!$A$4:$J$6971,7,FALSE)</f>
        <v>0</v>
      </c>
    </row>
    <row r="232" spans="1:11" ht="14.5">
      <c r="A232" s="20" t="s">
        <v>14219</v>
      </c>
      <c r="B232" s="20">
        <v>20</v>
      </c>
      <c r="C232" s="20">
        <v>29</v>
      </c>
      <c r="D232" s="20">
        <v>29</v>
      </c>
      <c r="E232" s="20">
        <v>29</v>
      </c>
      <c r="F232" s="20" t="s">
        <v>14220</v>
      </c>
      <c r="G232" s="20" t="s">
        <v>14221</v>
      </c>
      <c r="H232" s="24"/>
      <c r="I232" s="24" t="str">
        <f ca="1">IFERROR(__xludf.DUMMYFUNCTION("GOOGLETRANSLATE(F232,""en"",""pt"")"),"virolas")</f>
        <v>virolas</v>
      </c>
      <c r="J232" t="str">
        <f>VLOOKUP(A232,Pr_Base_LNEC!$A$4:$J$6971,6,FALSE)</f>
        <v>-</v>
      </c>
      <c r="K232">
        <f>VLOOKUP(A232,Pr_Base_LNEC!$A$4:$J$6971,7,FALSE)</f>
        <v>0</v>
      </c>
    </row>
    <row r="233" spans="1:11" ht="14.5">
      <c r="A233" s="20" t="s">
        <v>14222</v>
      </c>
      <c r="B233" s="20">
        <v>20</v>
      </c>
      <c r="C233" s="20">
        <v>29</v>
      </c>
      <c r="D233" s="20">
        <v>29</v>
      </c>
      <c r="E233" s="20">
        <v>62</v>
      </c>
      <c r="F233" s="20" t="s">
        <v>14223</v>
      </c>
      <c r="G233" s="20" t="s">
        <v>14224</v>
      </c>
      <c r="H233" s="24"/>
      <c r="I233" s="24" t="str">
        <f ca="1">IFERROR(__xludf.DUMMYFUNCTION("GOOGLETRANSLATE(F233,""en"",""pt"")"),"Plásticos empilhar mangas")</f>
        <v>Plásticos empilhar mangas</v>
      </c>
      <c r="J233" t="str">
        <f>VLOOKUP(A233,Pr_Base_LNEC!$A$4:$J$6971,6,FALSE)</f>
        <v>-</v>
      </c>
      <c r="K233">
        <f>VLOOKUP(A233,Pr_Base_LNEC!$A$4:$J$6971,7,FALSE)</f>
        <v>0</v>
      </c>
    </row>
    <row r="234" spans="1:11" ht="14.5">
      <c r="A234" s="20" t="s">
        <v>14225</v>
      </c>
      <c r="B234" s="20">
        <v>20</v>
      </c>
      <c r="C234" s="20">
        <v>29</v>
      </c>
      <c r="D234" s="20">
        <v>29</v>
      </c>
      <c r="E234" s="20">
        <v>66</v>
      </c>
      <c r="F234" s="20" t="s">
        <v>14226</v>
      </c>
      <c r="G234" s="24"/>
      <c r="H234" s="24"/>
      <c r="I234" s="24" t="str">
        <f ca="1">IFERROR(__xludf.DUMMYFUNCTION("GOOGLETRANSLATE(F234,""en"",""pt"")"),"Pré-esforçado condutas de cabos de reforço")</f>
        <v>Pré-esforçado condutas de cabos de reforço</v>
      </c>
      <c r="J234" t="str">
        <f>VLOOKUP(A234,Pr_Base_LNEC!$A$4:$J$6971,6,FALSE)</f>
        <v>-</v>
      </c>
      <c r="K234">
        <f>VLOOKUP(A234,Pr_Base_LNEC!$A$4:$J$6971,7,FALSE)</f>
        <v>0</v>
      </c>
    </row>
    <row r="235" spans="1:11" ht="14.5">
      <c r="A235" s="20" t="s">
        <v>14227</v>
      </c>
      <c r="B235" s="20">
        <v>20</v>
      </c>
      <c r="C235" s="20">
        <v>29</v>
      </c>
      <c r="D235" s="20">
        <v>29</v>
      </c>
      <c r="E235" s="20">
        <v>84</v>
      </c>
      <c r="F235" s="20" t="s">
        <v>14228</v>
      </c>
      <c r="G235" s="20" t="s">
        <v>14229</v>
      </c>
      <c r="H235" s="24"/>
      <c r="I235" s="24" t="str">
        <f ca="1">IFERROR(__xludf.DUMMYFUNCTION("GOOGLETRANSLATE(F235,""en"",""pt"")"),"buchas espaçadoras")</f>
        <v>buchas espaçadoras</v>
      </c>
      <c r="J235" t="str">
        <f>VLOOKUP(A235,Pr_Base_LNEC!$A$4:$J$6971,6,FALSE)</f>
        <v>-</v>
      </c>
      <c r="K235">
        <f>VLOOKUP(A235,Pr_Base_LNEC!$A$4:$J$6971,7,FALSE)</f>
        <v>0</v>
      </c>
    </row>
    <row r="236" spans="1:11" ht="14.5">
      <c r="A236" s="20" t="s">
        <v>14230</v>
      </c>
      <c r="B236" s="20">
        <v>20</v>
      </c>
      <c r="C236" s="20">
        <v>29</v>
      </c>
      <c r="D236" s="20">
        <v>29</v>
      </c>
      <c r="E236" s="20">
        <v>96</v>
      </c>
      <c r="F236" s="20" t="s">
        <v>14231</v>
      </c>
      <c r="G236" s="24"/>
      <c r="H236" s="24"/>
      <c r="I236" s="24" t="str">
        <f ca="1">IFERROR(__xludf.DUMMYFUNCTION("GOOGLETRANSLATE(F236,""en"",""pt"")"),"Fio-friso virolas")</f>
        <v>Fio-friso virolas</v>
      </c>
      <c r="J236" t="str">
        <f>VLOOKUP(A236,Pr_Base_LNEC!$A$4:$J$6971,6,FALSE)</f>
        <v>-</v>
      </c>
      <c r="K236">
        <f>VLOOKUP(A236,Pr_Base_LNEC!$A$4:$J$6971,7,FALSE)</f>
        <v>0</v>
      </c>
    </row>
    <row r="237" spans="1:11" ht="14.5">
      <c r="A237" s="20" t="s">
        <v>14232</v>
      </c>
      <c r="B237" s="20">
        <v>20</v>
      </c>
      <c r="C237" s="20">
        <v>29</v>
      </c>
      <c r="D237" s="20">
        <v>30</v>
      </c>
      <c r="E237" s="24"/>
      <c r="F237" s="20" t="s">
        <v>14233</v>
      </c>
      <c r="G237" s="24"/>
      <c r="H237" s="24"/>
      <c r="I237" s="24" t="str">
        <f ca="1">IFERROR(__xludf.DUMMYFUNCTION("GOOGLETRANSLATE(F237,""en"",""pt"")"),"fixação lugs")</f>
        <v>fixação lugs</v>
      </c>
      <c r="J237" t="str">
        <f>VLOOKUP(A237,Pr_Base_LNEC!$A$4:$J$6971,6,FALSE)</f>
        <v>Dispositivos para Ligações de Saliências</v>
      </c>
      <c r="K237">
        <f>VLOOKUP(A237,Pr_Base_LNEC!$A$4:$J$6971,7,FALSE)</f>
        <v>0</v>
      </c>
    </row>
    <row r="238" spans="1:11" ht="14.5">
      <c r="A238" s="20" t="s">
        <v>14234</v>
      </c>
      <c r="B238" s="20">
        <v>20</v>
      </c>
      <c r="C238" s="20">
        <v>29</v>
      </c>
      <c r="D238" s="20">
        <v>30</v>
      </c>
      <c r="E238" s="20">
        <v>11</v>
      </c>
      <c r="F238" s="20" t="s">
        <v>14235</v>
      </c>
      <c r="G238" s="24"/>
      <c r="H238" s="24"/>
      <c r="I238" s="24" t="str">
        <f ca="1">IFERROR(__xludf.DUMMYFUNCTION("GOOGLETRANSLATE(F238,""en"",""pt"")"),"patilhas de fixação de cabos")</f>
        <v>patilhas de fixação de cabos</v>
      </c>
      <c r="J238" t="str">
        <f>VLOOKUP(A238,Pr_Base_LNEC!$A$4:$J$6971,6,FALSE)</f>
        <v>-</v>
      </c>
      <c r="K238">
        <f>VLOOKUP(A238,Pr_Base_LNEC!$A$4:$J$6971,7,FALSE)</f>
        <v>0</v>
      </c>
    </row>
    <row r="239" spans="1:11" ht="14.5">
      <c r="A239" s="20" t="s">
        <v>14236</v>
      </c>
      <c r="B239" s="20">
        <v>20</v>
      </c>
      <c r="C239" s="20">
        <v>29</v>
      </c>
      <c r="D239" s="20">
        <v>30</v>
      </c>
      <c r="E239" s="20">
        <v>12</v>
      </c>
      <c r="F239" s="20" t="s">
        <v>14237</v>
      </c>
      <c r="G239" s="20" t="s">
        <v>14238</v>
      </c>
      <c r="H239" s="24"/>
      <c r="I239" s="24" t="str">
        <f ca="1">IFERROR(__xludf.DUMMYFUNCTION("GOOGLETRANSLATE(F239,""en"",""pt"")"),"patilhas de fixação de aço carbono")</f>
        <v>patilhas de fixação de aço carbono</v>
      </c>
      <c r="J239" t="str">
        <f>VLOOKUP(A239,Pr_Base_LNEC!$A$4:$J$6971,6,FALSE)</f>
        <v>-</v>
      </c>
      <c r="K239">
        <f>VLOOKUP(A239,Pr_Base_LNEC!$A$4:$J$6971,7,FALSE)</f>
        <v>0</v>
      </c>
    </row>
    <row r="240" spans="1:11" ht="14.5">
      <c r="A240" s="20" t="s">
        <v>14239</v>
      </c>
      <c r="B240" s="20">
        <v>20</v>
      </c>
      <c r="C240" s="20">
        <v>29</v>
      </c>
      <c r="D240" s="20">
        <v>30</v>
      </c>
      <c r="E240" s="20">
        <v>24</v>
      </c>
      <c r="F240" s="20" t="s">
        <v>14240</v>
      </c>
      <c r="G240" s="24"/>
      <c r="H240" s="24"/>
      <c r="I240" s="24" t="str">
        <f ca="1">IFERROR(__xludf.DUMMYFUNCTION("GOOGLETRANSLATE(F240,""en"",""pt"")"),"patilhas de fixação de porta")</f>
        <v>patilhas de fixação de porta</v>
      </c>
      <c r="J240" t="str">
        <f>VLOOKUP(A240,Pr_Base_LNEC!$A$4:$J$6971,6,FALSE)</f>
        <v>-</v>
      </c>
      <c r="K240">
        <f>VLOOKUP(A240,Pr_Base_LNEC!$A$4:$J$6971,7,FALSE)</f>
        <v>0</v>
      </c>
    </row>
    <row r="241" spans="1:11" ht="14.5">
      <c r="A241" s="20" t="s">
        <v>14241</v>
      </c>
      <c r="B241" s="20">
        <v>20</v>
      </c>
      <c r="C241" s="20">
        <v>29</v>
      </c>
      <c r="D241" s="20">
        <v>30</v>
      </c>
      <c r="E241" s="20">
        <v>31</v>
      </c>
      <c r="F241" s="20" t="s">
        <v>14242</v>
      </c>
      <c r="G241" s="24"/>
      <c r="H241" s="24"/>
      <c r="I241" s="24" t="str">
        <f ca="1">IFERROR(__xludf.DUMMYFUNCTION("GOOGLETRANSLATE(F241,""en"",""pt"")"),"patilhas de fixação para pavimentos, móveis")</f>
        <v>patilhas de fixação para pavimentos, móveis</v>
      </c>
      <c r="J241" t="str">
        <f>VLOOKUP(A241,Pr_Base_LNEC!$A$4:$J$6971,6,FALSE)</f>
        <v>-</v>
      </c>
      <c r="K241">
        <f>VLOOKUP(A241,Pr_Base_LNEC!$A$4:$J$6971,7,FALSE)</f>
        <v>0</v>
      </c>
    </row>
    <row r="242" spans="1:11" ht="14.5">
      <c r="A242" s="20" t="s">
        <v>14243</v>
      </c>
      <c r="B242" s="20">
        <v>20</v>
      </c>
      <c r="C242" s="20">
        <v>29</v>
      </c>
      <c r="D242" s="20">
        <v>30</v>
      </c>
      <c r="E242" s="20">
        <v>32</v>
      </c>
      <c r="F242" s="20" t="s">
        <v>14244</v>
      </c>
      <c r="G242" s="24"/>
      <c r="H242" s="24"/>
      <c r="I242" s="24" t="str">
        <f ca="1">IFERROR(__xludf.DUMMYFUNCTION("GOOGLETRANSLATE(F242,""en"",""pt"")"),"patilhas de fixação de parede móveis")</f>
        <v>patilhas de fixação de parede móveis</v>
      </c>
      <c r="J242" t="str">
        <f>VLOOKUP(A242,Pr_Base_LNEC!$A$4:$J$6971,6,FALSE)</f>
        <v>-</v>
      </c>
      <c r="K242">
        <f>VLOOKUP(A242,Pr_Base_LNEC!$A$4:$J$6971,7,FALSE)</f>
        <v>0</v>
      </c>
    </row>
    <row r="243" spans="1:11" ht="14.5">
      <c r="A243" s="20" t="s">
        <v>14245</v>
      </c>
      <c r="B243" s="20">
        <v>20</v>
      </c>
      <c r="C243" s="20">
        <v>29</v>
      </c>
      <c r="D243" s="20">
        <v>30</v>
      </c>
      <c r="E243" s="20">
        <v>96</v>
      </c>
      <c r="F243" s="20" t="s">
        <v>14246</v>
      </c>
      <c r="G243" s="24"/>
      <c r="H243" s="24"/>
      <c r="I243" s="24" t="str">
        <f ca="1">IFERROR(__xludf.DUMMYFUNCTION("GOOGLETRANSLATE(F243,""en"",""pt"")"),"patilhas de fixao janela")</f>
        <v>patilhas de fixao janela</v>
      </c>
      <c r="J243" t="str">
        <f>VLOOKUP(A243,Pr_Base_LNEC!$A$4:$J$6971,6,FALSE)</f>
        <v>-</v>
      </c>
      <c r="K243">
        <f>VLOOKUP(A243,Pr_Base_LNEC!$A$4:$J$6971,7,FALSE)</f>
        <v>0</v>
      </c>
    </row>
    <row r="244" spans="1:11" ht="14.5">
      <c r="A244" s="20" t="s">
        <v>14247</v>
      </c>
      <c r="B244" s="20">
        <v>20</v>
      </c>
      <c r="C244" s="20">
        <v>29</v>
      </c>
      <c r="D244" s="20">
        <v>31</v>
      </c>
      <c r="E244" s="24"/>
      <c r="F244" s="20" t="s">
        <v>14248</v>
      </c>
      <c r="G244" s="24"/>
      <c r="H244" s="24"/>
      <c r="I244" s="24" t="str">
        <f ca="1">IFERROR(__xludf.DUMMYFUNCTION("GOOGLETRANSLATE(F244,""en"",""pt"")"),"elementos de fixação de placas planas e dobradas")</f>
        <v>elementos de fixação de placas planas e dobradas</v>
      </c>
      <c r="J244" t="str">
        <f>VLOOKUP(A244,Pr_Base_LNEC!$A$4:$J$6971,6,FALSE)</f>
        <v>Dispositivos para Ligações em Chapa: Dobrados e Planos</v>
      </c>
      <c r="K244">
        <f>VLOOKUP(A244,Pr_Base_LNEC!$A$4:$J$6971,7,FALSE)</f>
        <v>0</v>
      </c>
    </row>
    <row r="245" spans="1:11" ht="14.5">
      <c r="A245" s="20" t="s">
        <v>14249</v>
      </c>
      <c r="B245" s="20">
        <v>20</v>
      </c>
      <c r="C245" s="20">
        <v>29</v>
      </c>
      <c r="D245" s="20">
        <v>31</v>
      </c>
      <c r="E245" s="20">
        <v>8</v>
      </c>
      <c r="F245" s="20" t="s">
        <v>14250</v>
      </c>
      <c r="G245" s="20" t="s">
        <v>14251</v>
      </c>
      <c r="H245" s="24"/>
      <c r="I245" s="24" t="str">
        <f ca="1">IFERROR(__xludf.DUMMYFUNCTION("GOOGLETRANSLATE(F245,""en"",""pt"")"),"conectores de união aparafusadas")</f>
        <v>conectores de união aparafusadas</v>
      </c>
      <c r="J245" t="str">
        <f>VLOOKUP(A245,Pr_Base_LNEC!$A$4:$J$6971,6,FALSE)</f>
        <v>-</v>
      </c>
      <c r="K245">
        <f>VLOOKUP(A245,Pr_Base_LNEC!$A$4:$J$6971,7,FALSE)</f>
        <v>0</v>
      </c>
    </row>
    <row r="246" spans="1:11" ht="14.5">
      <c r="A246" s="20" t="s">
        <v>14252</v>
      </c>
      <c r="B246" s="20">
        <v>20</v>
      </c>
      <c r="C246" s="20">
        <v>29</v>
      </c>
      <c r="D246" s="20">
        <v>31</v>
      </c>
      <c r="E246" s="20">
        <v>12</v>
      </c>
      <c r="F246" s="20" t="s">
        <v>14253</v>
      </c>
      <c r="G246" s="20" t="s">
        <v>14254</v>
      </c>
      <c r="H246" s="24"/>
      <c r="I246" s="24" t="str">
        <f ca="1">IFERROR(__xludf.DUMMYFUNCTION("GOOGLETRANSLATE(F246,""en"",""pt"")"),"placas de aço de carbono cravando")</f>
        <v>placas de aço de carbono cravando</v>
      </c>
      <c r="J246" t="str">
        <f>VLOOKUP(A246,Pr_Base_LNEC!$A$4:$J$6971,6,FALSE)</f>
        <v>Dispositivos para Ligações: Pregos em Aço para Estruturas de madeira</v>
      </c>
      <c r="K246" t="str">
        <f>VLOOKUP(A246,Pr_Base_LNEC!$A$4:$J$6971,7,FALSE)</f>
        <v>EN 14545:2008</v>
      </c>
    </row>
    <row r="247" spans="1:11" ht="14.5">
      <c r="A247" s="20" t="s">
        <v>14255</v>
      </c>
      <c r="B247" s="20">
        <v>20</v>
      </c>
      <c r="C247" s="20">
        <v>29</v>
      </c>
      <c r="D247" s="20">
        <v>31</v>
      </c>
      <c r="E247" s="20">
        <v>13</v>
      </c>
      <c r="F247" s="20" t="s">
        <v>14256</v>
      </c>
      <c r="G247" s="20" t="s">
        <v>14257</v>
      </c>
      <c r="H247" s="24"/>
      <c r="I247" s="24" t="str">
        <f ca="1">IFERROR(__xludf.DUMMYFUNCTION("GOOGLETRANSLATE(F247,""en"",""pt"")"),"aço carbono perfurado fixadores da placa de metal")</f>
        <v>aço carbono perfurado fixadores da placa de metal</v>
      </c>
      <c r="J247" t="str">
        <f>VLOOKUP(A247,Pr_Base_LNEC!$A$4:$J$6971,6,FALSE)</f>
        <v>Dispositivos para ligações: Pregos Perfurados para Estruturas de madeira</v>
      </c>
      <c r="K247" t="str">
        <f>VLOOKUP(A247,Pr_Base_LNEC!$A$4:$J$6971,7,FALSE)</f>
        <v>EN 14545:2008</v>
      </c>
    </row>
    <row r="248" spans="1:11" ht="14.5">
      <c r="A248" s="20" t="s">
        <v>14258</v>
      </c>
      <c r="B248" s="20">
        <v>20</v>
      </c>
      <c r="C248" s="20">
        <v>29</v>
      </c>
      <c r="D248" s="20">
        <v>31</v>
      </c>
      <c r="E248" s="20">
        <v>44</v>
      </c>
      <c r="F248" s="20" t="s">
        <v>14259</v>
      </c>
      <c r="G248" s="20" t="s">
        <v>14260</v>
      </c>
      <c r="H248" s="24"/>
      <c r="I248" s="24" t="str">
        <f ca="1">IFERROR(__xludf.DUMMYFUNCTION("GOOGLETRANSLATE(F248,""en"",""pt"")"),"vigamento")</f>
        <v>vigamento</v>
      </c>
      <c r="J248" t="str">
        <f>VLOOKUP(A248,Pr_Base_LNEC!$A$4:$J$6971,6,FALSE)</f>
        <v>Chapas para Ligações da Alvenaria</v>
      </c>
      <c r="K248" t="str">
        <f>VLOOKUP(A248,Pr_Base_LNEC!$A$4:$J$6971,7,FALSE)</f>
        <v>EN 845-1:2013+A1:2016</v>
      </c>
    </row>
    <row r="249" spans="1:11" ht="14.5">
      <c r="A249" s="20" t="s">
        <v>14261</v>
      </c>
      <c r="B249" s="20">
        <v>20</v>
      </c>
      <c r="C249" s="20">
        <v>29</v>
      </c>
      <c r="D249" s="20">
        <v>31</v>
      </c>
      <c r="E249" s="20">
        <v>52</v>
      </c>
      <c r="F249" s="20" t="s">
        <v>14262</v>
      </c>
      <c r="G249" s="20" t="s">
        <v>14263</v>
      </c>
      <c r="H249" s="24"/>
      <c r="I249" s="24" t="str">
        <f ca="1">IFERROR(__xludf.DUMMYFUNCTION("GOOGLETRANSLATE(F249,""en"",""pt"")"),"Mortise e estacas de carvalho joint espiga")</f>
        <v>Mortise e estacas de carvalho joint espiga</v>
      </c>
      <c r="J249" t="str">
        <f>VLOOKUP(A249,Pr_Base_LNEC!$A$4:$J$6971,6,FALSE)</f>
        <v>-</v>
      </c>
      <c r="K249">
        <f>VLOOKUP(A249,Pr_Base_LNEC!$A$4:$J$6971,7,FALSE)</f>
        <v>0</v>
      </c>
    </row>
    <row r="250" spans="1:11" ht="14.5">
      <c r="A250" s="20" t="s">
        <v>14264</v>
      </c>
      <c r="B250" s="20">
        <v>20</v>
      </c>
      <c r="C250" s="20">
        <v>29</v>
      </c>
      <c r="D250" s="20">
        <v>31</v>
      </c>
      <c r="E250" s="20">
        <v>84</v>
      </c>
      <c r="F250" s="20" t="s">
        <v>14265</v>
      </c>
      <c r="G250" s="20" t="s">
        <v>14266</v>
      </c>
      <c r="H250" s="24"/>
      <c r="I250" s="24" t="str">
        <f ca="1">IFERROR(__xludf.DUMMYFUNCTION("GOOGLETRANSLATE(F250,""en"",""pt"")"),"placas cravando aço inoxidável")</f>
        <v>placas cravando aço inoxidável</v>
      </c>
      <c r="J250" t="str">
        <f>VLOOKUP(A250,Pr_Base_LNEC!$A$4:$J$6971,6,FALSE)</f>
        <v>Dispositivos para Ligações: Pregos em Aço Inóxidável para Estruturas de Madeira</v>
      </c>
      <c r="K250" t="str">
        <f>VLOOKUP(A250,Pr_Base_LNEC!$A$4:$J$6971,7,FALSE)</f>
        <v>EN 14545:2008</v>
      </c>
    </row>
    <row r="251" spans="1:11" ht="14.5">
      <c r="A251" s="20" t="s">
        <v>14267</v>
      </c>
      <c r="B251" s="20">
        <v>20</v>
      </c>
      <c r="C251" s="20">
        <v>29</v>
      </c>
      <c r="D251" s="20">
        <v>31</v>
      </c>
      <c r="E251" s="20">
        <v>85</v>
      </c>
      <c r="F251" s="20" t="s">
        <v>14268</v>
      </c>
      <c r="G251" s="20" t="s">
        <v>14269</v>
      </c>
      <c r="H251" s="24"/>
      <c r="I251" s="24" t="str">
        <f ca="1">IFERROR(__xludf.DUMMYFUNCTION("GOOGLETRANSLATE(F251,""en"",""pt"")"),"aço perfurado fixadores da placa de metal inoxidável")</f>
        <v>aço perfurado fixadores da placa de metal inoxidável</v>
      </c>
      <c r="J251" t="str">
        <f>VLOOKUP(A251,Pr_Base_LNEC!$A$4:$J$6971,6,FALSE)</f>
        <v>Dispositivos para Ligações: Ligadores em Aço Inóxidavel para Placas de Aço Perfurado em Estruturas de Madeira</v>
      </c>
      <c r="K251" t="str">
        <f>VLOOKUP(A251,Pr_Base_LNEC!$A$4:$J$6971,7,FALSE)</f>
        <v>EN 14545:2008</v>
      </c>
    </row>
    <row r="252" spans="1:11" ht="14.5">
      <c r="A252" s="20" t="s">
        <v>14270</v>
      </c>
      <c r="B252" s="20">
        <v>20</v>
      </c>
      <c r="C252" s="20">
        <v>29</v>
      </c>
      <c r="D252" s="20">
        <v>34</v>
      </c>
      <c r="E252" s="24"/>
      <c r="F252" s="20" t="s">
        <v>14271</v>
      </c>
      <c r="G252" s="24"/>
      <c r="H252" s="24"/>
      <c r="I252" s="24" t="str">
        <f ca="1">IFERROR(__xludf.DUMMYFUNCTION("GOOGLETRANSLATE(F252,""en"",""pt"")"),"Vidro fixa placas, suportes e âncoras")</f>
        <v>Vidro fixa placas, suportes e âncoras</v>
      </c>
      <c r="J252" t="str">
        <f>VLOOKUP(A252,Pr_Base_LNEC!$A$4:$J$6971,6,FALSE)</f>
        <v>Dispositivos para Ligações para Placas de Vidro, Suportes e Âncoras</v>
      </c>
      <c r="K252">
        <f>VLOOKUP(A252,Pr_Base_LNEC!$A$4:$J$6971,7,FALSE)</f>
        <v>0</v>
      </c>
    </row>
    <row r="253" spans="1:11" ht="14.5">
      <c r="A253" s="20" t="s">
        <v>14272</v>
      </c>
      <c r="B253" s="20">
        <v>20</v>
      </c>
      <c r="C253" s="20">
        <v>29</v>
      </c>
      <c r="D253" s="20">
        <v>34</v>
      </c>
      <c r="E253" s="20">
        <v>16</v>
      </c>
      <c r="F253" s="20" t="s">
        <v>14273</v>
      </c>
      <c r="G253" s="20" t="s">
        <v>14274</v>
      </c>
      <c r="H253" s="24"/>
      <c r="I253" s="24" t="str">
        <f ca="1">IFERROR(__xludf.DUMMYFUNCTION("GOOGLETRANSLATE(F253,""en"",""pt"")"),"Elenco latão suportes de fixação de vidro")</f>
        <v>Elenco latão suportes de fixação de vidro</v>
      </c>
      <c r="J253" t="str">
        <f>VLOOKUP(A253,Pr_Base_LNEC!$A$4:$J$6971,6,FALSE)</f>
        <v>-</v>
      </c>
      <c r="K253">
        <f>VLOOKUP(A253,Pr_Base_LNEC!$A$4:$J$6971,7,FALSE)</f>
        <v>0</v>
      </c>
    </row>
    <row r="254" spans="1:11" ht="14.5">
      <c r="A254" s="20" t="s">
        <v>14275</v>
      </c>
      <c r="B254" s="20">
        <v>20</v>
      </c>
      <c r="C254" s="20">
        <v>29</v>
      </c>
      <c r="D254" s="20">
        <v>34</v>
      </c>
      <c r="E254" s="20">
        <v>34</v>
      </c>
      <c r="F254" s="20" t="s">
        <v>14276</v>
      </c>
      <c r="G254" s="20" t="s">
        <v>14277</v>
      </c>
      <c r="H254" s="24"/>
      <c r="I254" s="24" t="str">
        <f ca="1">IFERROR(__xludf.DUMMYFUNCTION("GOOGLETRANSLATE(F254,""en"",""pt"")"),"placas de vidro de splicing barbatana")</f>
        <v>placas de vidro de splicing barbatana</v>
      </c>
      <c r="J254" t="str">
        <f>VLOOKUP(A254,Pr_Base_LNEC!$A$4:$J$6971,6,FALSE)</f>
        <v>-</v>
      </c>
      <c r="K254">
        <f>VLOOKUP(A254,Pr_Base_LNEC!$A$4:$J$6971,7,FALSE)</f>
        <v>0</v>
      </c>
    </row>
    <row r="255" spans="1:11" ht="14.5">
      <c r="A255" s="20" t="s">
        <v>14278</v>
      </c>
      <c r="B255" s="20">
        <v>20</v>
      </c>
      <c r="C255" s="20">
        <v>29</v>
      </c>
      <c r="D255" s="20">
        <v>34</v>
      </c>
      <c r="E255" s="20">
        <v>35</v>
      </c>
      <c r="F255" s="20" t="s">
        <v>14279</v>
      </c>
      <c r="G255" s="20" t="s">
        <v>14280</v>
      </c>
      <c r="H255" s="24"/>
      <c r="I255" s="24" t="str">
        <f ca="1">IFERROR(__xludf.DUMMYFUNCTION("GOOGLETRANSLATE(F255,""en"",""pt"")"),"placas de vidro de patch")</f>
        <v>placas de vidro de patch</v>
      </c>
      <c r="J255" t="str">
        <f>VLOOKUP(A255,Pr_Base_LNEC!$A$4:$J$6971,6,FALSE)</f>
        <v>-</v>
      </c>
      <c r="K255">
        <f>VLOOKUP(A255,Pr_Base_LNEC!$A$4:$J$6971,7,FALSE)</f>
        <v>0</v>
      </c>
    </row>
    <row r="256" spans="1:11" ht="14.5">
      <c r="A256" s="20" t="s">
        <v>14281</v>
      </c>
      <c r="B256" s="20">
        <v>20</v>
      </c>
      <c r="C256" s="20">
        <v>29</v>
      </c>
      <c r="D256" s="20">
        <v>34</v>
      </c>
      <c r="E256" s="20">
        <v>85</v>
      </c>
      <c r="F256" s="20" t="s">
        <v>14282</v>
      </c>
      <c r="G256" s="20" t="s">
        <v>14283</v>
      </c>
      <c r="H256" s="24"/>
      <c r="I256" s="24" t="str">
        <f ca="1">IFERROR(__xludf.DUMMYFUNCTION("GOOGLETRANSLATE(F256,""en"",""pt"")"),"âncoras painel bloco de vidro de aço inoxidável")</f>
        <v>âncoras painel bloco de vidro de aço inoxidável</v>
      </c>
      <c r="J256" t="str">
        <f>VLOOKUP(A256,Pr_Base_LNEC!$A$4:$J$6971,6,FALSE)</f>
        <v>-</v>
      </c>
      <c r="K256">
        <f>VLOOKUP(A256,Pr_Base_LNEC!$A$4:$J$6971,7,FALSE)</f>
        <v>0</v>
      </c>
    </row>
    <row r="257" spans="1:11" ht="14.5">
      <c r="A257" s="20" t="s">
        <v>14284</v>
      </c>
      <c r="B257" s="20">
        <v>20</v>
      </c>
      <c r="C257" s="20">
        <v>29</v>
      </c>
      <c r="D257" s="20">
        <v>34</v>
      </c>
      <c r="E257" s="20">
        <v>86</v>
      </c>
      <c r="F257" s="20" t="s">
        <v>14285</v>
      </c>
      <c r="G257" s="20" t="s">
        <v>14286</v>
      </c>
      <c r="H257" s="24"/>
      <c r="I257" s="24" t="str">
        <f ca="1">IFERROR(__xludf.DUMMYFUNCTION("GOOGLETRANSLATE(F257,""en"",""pt"")"),"conectores de ponto de aço inoxidável")</f>
        <v>conectores de ponto de aço inoxidável</v>
      </c>
      <c r="J257" t="str">
        <f>VLOOKUP(A257,Pr_Base_LNEC!$A$4:$J$6971,6,FALSE)</f>
        <v>-</v>
      </c>
      <c r="K257">
        <f>VLOOKUP(A257,Pr_Base_LNEC!$A$4:$J$6971,7,FALSE)</f>
        <v>0</v>
      </c>
    </row>
    <row r="258" spans="1:11" ht="14.5">
      <c r="A258" s="20" t="s">
        <v>14287</v>
      </c>
      <c r="B258" s="20">
        <v>20</v>
      </c>
      <c r="C258" s="20">
        <v>29</v>
      </c>
      <c r="D258" s="20">
        <v>56</v>
      </c>
      <c r="E258" s="24"/>
      <c r="F258" s="20" t="s">
        <v>14288</v>
      </c>
      <c r="G258" s="24"/>
      <c r="H258" s="24"/>
      <c r="I258" s="24" t="str">
        <f ca="1">IFERROR(__xludf.DUMMYFUNCTION("GOOGLETRANSLATE(F258,""en"",""pt"")"),"Unhas")</f>
        <v>Unhas</v>
      </c>
      <c r="J258" t="str">
        <f>VLOOKUP(A258,Pr_Base_LNEC!$A$4:$J$6971,6,FALSE)</f>
        <v>Pregos</v>
      </c>
      <c r="K258">
        <f>VLOOKUP(A258,Pr_Base_LNEC!$A$4:$J$6971,7,FALSE)</f>
        <v>0</v>
      </c>
    </row>
    <row r="259" spans="1:11" ht="14.5">
      <c r="A259" s="20" t="s">
        <v>14289</v>
      </c>
      <c r="B259" s="20">
        <v>20</v>
      </c>
      <c r="C259" s="20">
        <v>29</v>
      </c>
      <c r="D259" s="20">
        <v>56</v>
      </c>
      <c r="E259" s="20">
        <v>2</v>
      </c>
      <c r="F259" s="20" t="s">
        <v>14290</v>
      </c>
      <c r="G259" s="20" t="s">
        <v>14291</v>
      </c>
      <c r="H259" s="24"/>
      <c r="I259" s="24" t="str">
        <f ca="1">IFERROR(__xludf.DUMMYFUNCTION("GOOGLETRANSLATE(F259,""en"",""pt"")"),"pregos de alumínio")</f>
        <v>pregos de alumínio</v>
      </c>
      <c r="J259" t="str">
        <f>VLOOKUP(A259,Pr_Base_LNEC!$A$4:$J$6971,6,FALSE)</f>
        <v>-</v>
      </c>
      <c r="K259">
        <f>VLOOKUP(A259,Pr_Base_LNEC!$A$4:$J$6971,7,FALSE)</f>
        <v>0</v>
      </c>
    </row>
    <row r="260" spans="1:11" ht="14.5">
      <c r="A260" s="20" t="s">
        <v>14292</v>
      </c>
      <c r="B260" s="20">
        <v>20</v>
      </c>
      <c r="C260" s="20">
        <v>29</v>
      </c>
      <c r="D260" s="20">
        <v>56</v>
      </c>
      <c r="E260" s="20">
        <v>3</v>
      </c>
      <c r="F260" s="20" t="s">
        <v>14293</v>
      </c>
      <c r="G260" s="24"/>
      <c r="H260" s="24"/>
      <c r="I260" s="24" t="str">
        <f ca="1">IFERROR(__xludf.DUMMYFUNCTION("GOOGLETRANSLATE(F260,""en"",""pt"")"),"unhas anulares")</f>
        <v>unhas anulares</v>
      </c>
      <c r="J260" t="str">
        <f>VLOOKUP(A260,Pr_Base_LNEC!$A$4:$J$6971,6,FALSE)</f>
        <v>-</v>
      </c>
      <c r="K260">
        <f>VLOOKUP(A260,Pr_Base_LNEC!$A$4:$J$6971,7,FALSE)</f>
        <v>0</v>
      </c>
    </row>
    <row r="261" spans="1:11" ht="14.5">
      <c r="A261" s="20" t="s">
        <v>14294</v>
      </c>
      <c r="B261" s="20">
        <v>20</v>
      </c>
      <c r="C261" s="20">
        <v>29</v>
      </c>
      <c r="D261" s="20">
        <v>56</v>
      </c>
      <c r="E261" s="20">
        <v>11</v>
      </c>
      <c r="F261" s="20" t="s">
        <v>14295</v>
      </c>
      <c r="G261" s="20" t="s">
        <v>14296</v>
      </c>
      <c r="H261" s="24"/>
      <c r="I261" s="24" t="str">
        <f ca="1">IFERROR(__xludf.DUMMYFUNCTION("GOOGLETRANSLATE(F261,""en"",""pt"")"),"pregos de aço de carbono")</f>
        <v>pregos de aço de carbono</v>
      </c>
      <c r="J261" t="str">
        <f>VLOOKUP(A261,Pr_Base_LNEC!$A$4:$J$6971,6,FALSE)</f>
        <v>-</v>
      </c>
      <c r="K261">
        <f>VLOOKUP(A261,Pr_Base_LNEC!$A$4:$J$6971,7,FALSE)</f>
        <v>0</v>
      </c>
    </row>
    <row r="262" spans="1:11" ht="14.5">
      <c r="A262" s="20" t="s">
        <v>14297</v>
      </c>
      <c r="B262" s="20">
        <v>20</v>
      </c>
      <c r="C262" s="20">
        <v>29</v>
      </c>
      <c r="D262" s="20">
        <v>56</v>
      </c>
      <c r="E262" s="20">
        <v>12</v>
      </c>
      <c r="F262" s="20" t="s">
        <v>14298</v>
      </c>
      <c r="G262" s="20" t="s">
        <v>14299</v>
      </c>
      <c r="H262" s="24"/>
      <c r="I262" s="24" t="str">
        <f ca="1">IFERROR(__xludf.DUMMYFUNCTION("GOOGLETRANSLATE(F262,""en"",""pt"")"),"pregos de arame de aço carbono")</f>
        <v>pregos de arame de aço carbono</v>
      </c>
      <c r="J262" t="str">
        <f>VLOOKUP(A262,Pr_Base_LNEC!$A$4:$J$6971,6,FALSE)</f>
        <v>-</v>
      </c>
      <c r="K262">
        <f>VLOOKUP(A262,Pr_Base_LNEC!$A$4:$J$6971,7,FALSE)</f>
        <v>0</v>
      </c>
    </row>
    <row r="263" spans="1:11" ht="14.5">
      <c r="A263" s="20" t="s">
        <v>14300</v>
      </c>
      <c r="B263" s="20">
        <v>20</v>
      </c>
      <c r="C263" s="20">
        <v>29</v>
      </c>
      <c r="D263" s="20">
        <v>56</v>
      </c>
      <c r="E263" s="20">
        <v>14</v>
      </c>
      <c r="F263" s="20" t="s">
        <v>14301</v>
      </c>
      <c r="G263" s="24"/>
      <c r="H263" s="24"/>
      <c r="I263" s="24" t="str">
        <f ca="1">IFERROR(__xludf.DUMMYFUNCTION("GOOGLETRANSLATE(F263,""en"",""pt"")"),"pregos cabeça influência")</f>
        <v>pregos cabeça influência</v>
      </c>
      <c r="J263" t="str">
        <f>VLOOKUP(A263,Pr_Base_LNEC!$A$4:$J$6971,6,FALSE)</f>
        <v>-</v>
      </c>
      <c r="K263">
        <f>VLOOKUP(A263,Pr_Base_LNEC!$A$4:$J$6971,7,FALSE)</f>
        <v>0</v>
      </c>
    </row>
    <row r="264" spans="1:11" ht="14.5">
      <c r="A264" s="20" t="s">
        <v>14302</v>
      </c>
      <c r="B264" s="20">
        <v>20</v>
      </c>
      <c r="C264" s="20">
        <v>29</v>
      </c>
      <c r="D264" s="20">
        <v>56</v>
      </c>
      <c r="E264" s="20">
        <v>15</v>
      </c>
      <c r="F264" s="20" t="s">
        <v>14303</v>
      </c>
      <c r="G264" s="20" t="s">
        <v>14304</v>
      </c>
      <c r="H264" s="24"/>
      <c r="I264" s="24" t="str">
        <f ca="1">IFERROR(__xludf.DUMMYFUNCTION("GOOGLETRANSLATE(F264,""en"",""pt"")"),"pregos de cobre")</f>
        <v>pregos de cobre</v>
      </c>
      <c r="J264" t="str">
        <f>VLOOKUP(A264,Pr_Base_LNEC!$A$4:$J$6971,6,FALSE)</f>
        <v>-</v>
      </c>
      <c r="K264">
        <f>VLOOKUP(A264,Pr_Base_LNEC!$A$4:$J$6971,7,FALSE)</f>
        <v>0</v>
      </c>
    </row>
    <row r="265" spans="1:11" ht="14.5">
      <c r="A265" s="20" t="s">
        <v>14305</v>
      </c>
      <c r="B265" s="20">
        <v>20</v>
      </c>
      <c r="C265" s="20">
        <v>29</v>
      </c>
      <c r="D265" s="20">
        <v>56</v>
      </c>
      <c r="E265" s="20">
        <v>16</v>
      </c>
      <c r="F265" s="20" t="s">
        <v>14306</v>
      </c>
      <c r="G265" s="24"/>
      <c r="H265" s="24"/>
      <c r="I265" s="24" t="str">
        <f ca="1">IFERROR(__xludf.DUMMYFUNCTION("GOOGLETRANSLATE(F265,""en"",""pt"")"),"prendedores de papelão ondulado")</f>
        <v>prendedores de papelão ondulado</v>
      </c>
      <c r="J265" t="str">
        <f>VLOOKUP(A265,Pr_Base_LNEC!$A$4:$J$6971,6,FALSE)</f>
        <v>-</v>
      </c>
      <c r="K265">
        <f>VLOOKUP(A265,Pr_Base_LNEC!$A$4:$J$6971,7,FALSE)</f>
        <v>0</v>
      </c>
    </row>
    <row r="266" spans="1:11" ht="14.5">
      <c r="A266" s="20" t="s">
        <v>14307</v>
      </c>
      <c r="B266" s="20">
        <v>20</v>
      </c>
      <c r="C266" s="20">
        <v>29</v>
      </c>
      <c r="D266" s="20">
        <v>56</v>
      </c>
      <c r="E266" s="20">
        <v>19</v>
      </c>
      <c r="F266" s="20" t="s">
        <v>14308</v>
      </c>
      <c r="G266" s="24"/>
      <c r="H266" s="24"/>
      <c r="I266" s="24" t="str">
        <f ca="1">IFERROR(__xludf.DUMMYFUNCTION("GOOGLETRANSLATE(F266,""en"",""pt"")"),"unhas fecho de corte")</f>
        <v>unhas fecho de corte</v>
      </c>
      <c r="J266" t="str">
        <f>VLOOKUP(A266,Pr_Base_LNEC!$A$4:$J$6971,6,FALSE)</f>
        <v>-</v>
      </c>
      <c r="K266">
        <f>VLOOKUP(A266,Pr_Base_LNEC!$A$4:$J$6971,7,FALSE)</f>
        <v>0</v>
      </c>
    </row>
    <row r="267" spans="1:11" ht="14.5">
      <c r="A267" s="20" t="s">
        <v>14309</v>
      </c>
      <c r="B267" s="20">
        <v>20</v>
      </c>
      <c r="C267" s="20">
        <v>29</v>
      </c>
      <c r="D267" s="20">
        <v>56</v>
      </c>
      <c r="E267" s="20">
        <v>20</v>
      </c>
      <c r="F267" s="20" t="s">
        <v>14310</v>
      </c>
      <c r="G267" s="24"/>
      <c r="H267" s="24"/>
      <c r="I267" s="24" t="str">
        <f ca="1">IFERROR(__xludf.DUMMYFUNCTION("GOOGLETRANSLATE(F267,""en"",""pt"")"),"pregos para pavimentos Corte")</f>
        <v>pregos para pavimentos Corte</v>
      </c>
      <c r="J267" t="str">
        <f>VLOOKUP(A267,Pr_Base_LNEC!$A$4:$J$6971,6,FALSE)</f>
        <v>-</v>
      </c>
      <c r="K267">
        <f>VLOOKUP(A267,Pr_Base_LNEC!$A$4:$J$6971,7,FALSE)</f>
        <v>0</v>
      </c>
    </row>
    <row r="268" spans="1:11" ht="14.5">
      <c r="A268" s="20" t="s">
        <v>14311</v>
      </c>
      <c r="B268" s="20">
        <v>20</v>
      </c>
      <c r="C268" s="20">
        <v>29</v>
      </c>
      <c r="D268" s="20">
        <v>56</v>
      </c>
      <c r="E268" s="20">
        <v>36</v>
      </c>
      <c r="F268" s="20" t="s">
        <v>14312</v>
      </c>
      <c r="G268" s="24"/>
      <c r="H268" s="24"/>
      <c r="I268" s="24" t="str">
        <f ca="1">IFERROR(__xludf.DUMMYFUNCTION("GOOGLETRANSLATE(F268,""en"",""pt"")"),"unhas hardboard")</f>
        <v>unhas hardboard</v>
      </c>
      <c r="J268" t="str">
        <f>VLOOKUP(A268,Pr_Base_LNEC!$A$4:$J$6971,6,FALSE)</f>
        <v>-</v>
      </c>
      <c r="K268">
        <f>VLOOKUP(A268,Pr_Base_LNEC!$A$4:$J$6971,7,FALSE)</f>
        <v>0</v>
      </c>
    </row>
    <row r="269" spans="1:11" ht="14.5">
      <c r="A269" s="20" t="s">
        <v>14313</v>
      </c>
      <c r="B269" s="20">
        <v>20</v>
      </c>
      <c r="C269" s="20">
        <v>29</v>
      </c>
      <c r="D269" s="20">
        <v>56</v>
      </c>
      <c r="E269" s="20">
        <v>48</v>
      </c>
      <c r="F269" s="20" t="s">
        <v>14314</v>
      </c>
      <c r="G269" s="24"/>
      <c r="H269" s="24"/>
      <c r="I269" s="24" t="str">
        <f ca="1">IFERROR(__xludf.DUMMYFUNCTION("GOOGLETRANSLATE(F269,""en"",""pt"")"),"cabeça perdida (redondo) pregos")</f>
        <v>cabeça perdida (redondo) pregos</v>
      </c>
      <c r="J269" t="str">
        <f>VLOOKUP(A269,Pr_Base_LNEC!$A$4:$J$6971,6,FALSE)</f>
        <v>-</v>
      </c>
      <c r="K269">
        <f>VLOOKUP(A269,Pr_Base_LNEC!$A$4:$J$6971,7,FALSE)</f>
        <v>0</v>
      </c>
    </row>
    <row r="270" spans="1:11" ht="14.5">
      <c r="A270" s="20" t="s">
        <v>14315</v>
      </c>
      <c r="B270" s="20">
        <v>20</v>
      </c>
      <c r="C270" s="20">
        <v>29</v>
      </c>
      <c r="D270" s="20">
        <v>56</v>
      </c>
      <c r="E270" s="20">
        <v>50</v>
      </c>
      <c r="F270" s="20" t="s">
        <v>14316</v>
      </c>
      <c r="G270" s="24"/>
      <c r="H270" s="24"/>
      <c r="I270" s="24" t="str">
        <f ca="1">IFERROR(__xludf.DUMMYFUNCTION("GOOGLETRANSLATE(F270,""en"",""pt"")"),"pregos de alvenaria")</f>
        <v>pregos de alvenaria</v>
      </c>
      <c r="J270" t="str">
        <f>VLOOKUP(A270,Pr_Base_LNEC!$A$4:$J$6971,6,FALSE)</f>
        <v>-</v>
      </c>
      <c r="K270">
        <f>VLOOKUP(A270,Pr_Base_LNEC!$A$4:$J$6971,7,FALSE)</f>
        <v>0</v>
      </c>
    </row>
    <row r="271" spans="1:11" ht="14.5">
      <c r="A271" s="20" t="s">
        <v>14317</v>
      </c>
      <c r="B271" s="20">
        <v>20</v>
      </c>
      <c r="C271" s="20">
        <v>29</v>
      </c>
      <c r="D271" s="20">
        <v>56</v>
      </c>
      <c r="E271" s="20">
        <v>59</v>
      </c>
      <c r="F271" s="20" t="s">
        <v>14318</v>
      </c>
      <c r="G271" s="24"/>
      <c r="H271" s="24"/>
      <c r="I271" s="24" t="str">
        <f ca="1">IFERROR(__xludf.DUMMYFUNCTION("GOOGLETRANSLATE(F271,""en"",""pt"")"),"pregos de arame oval")</f>
        <v>pregos de arame oval</v>
      </c>
      <c r="J271" t="str">
        <f>VLOOKUP(A271,Pr_Base_LNEC!$A$4:$J$6971,6,FALSE)</f>
        <v>-</v>
      </c>
      <c r="K271">
        <f>VLOOKUP(A271,Pr_Base_LNEC!$A$4:$J$6971,7,FALSE)</f>
        <v>0</v>
      </c>
    </row>
    <row r="272" spans="1:11" ht="14.5">
      <c r="A272" s="20" t="s">
        <v>14319</v>
      </c>
      <c r="B272" s="20">
        <v>20</v>
      </c>
      <c r="C272" s="20">
        <v>29</v>
      </c>
      <c r="D272" s="20">
        <v>56</v>
      </c>
      <c r="E272" s="20">
        <v>60</v>
      </c>
      <c r="F272" s="20" t="s">
        <v>14320</v>
      </c>
      <c r="G272" s="24"/>
      <c r="H272" s="24"/>
      <c r="I272" s="24" t="str">
        <f ca="1">IFERROR(__xludf.DUMMYFUNCTION("GOOGLETRANSLATE(F272,""en"",""pt"")"),"pinos do painel")</f>
        <v>pinos do painel</v>
      </c>
      <c r="J272" t="str">
        <f>VLOOKUP(A272,Pr_Base_LNEC!$A$4:$J$6971,6,FALSE)</f>
        <v>-</v>
      </c>
      <c r="K272">
        <f>VLOOKUP(A272,Pr_Base_LNEC!$A$4:$J$6971,7,FALSE)</f>
        <v>0</v>
      </c>
    </row>
    <row r="273" spans="1:11" ht="14.5">
      <c r="A273" s="20" t="s">
        <v>14321</v>
      </c>
      <c r="B273" s="20">
        <v>20</v>
      </c>
      <c r="C273" s="20">
        <v>29</v>
      </c>
      <c r="D273" s="20">
        <v>56</v>
      </c>
      <c r="E273" s="20">
        <v>65</v>
      </c>
      <c r="F273" s="20" t="s">
        <v>14322</v>
      </c>
      <c r="G273" s="20" t="s">
        <v>14323</v>
      </c>
      <c r="H273" s="24"/>
      <c r="I273" s="24" t="str">
        <f ca="1">IFERROR(__xludf.DUMMYFUNCTION("GOOGLETRANSLATE(F273,""en"",""pt"")"),"a motor unhas")</f>
        <v>a motor unhas</v>
      </c>
      <c r="J273" t="str">
        <f>VLOOKUP(A273,Pr_Base_LNEC!$A$4:$J$6971,6,FALSE)</f>
        <v>-</v>
      </c>
      <c r="K273">
        <f>VLOOKUP(A273,Pr_Base_LNEC!$A$4:$J$6971,7,FALSE)</f>
        <v>0</v>
      </c>
    </row>
    <row r="274" spans="1:11" ht="14.5">
      <c r="A274" s="20" t="s">
        <v>14324</v>
      </c>
      <c r="B274" s="20">
        <v>20</v>
      </c>
      <c r="C274" s="20">
        <v>29</v>
      </c>
      <c r="D274" s="20">
        <v>56</v>
      </c>
      <c r="E274" s="20">
        <v>78</v>
      </c>
      <c r="F274" s="20" t="s">
        <v>14325</v>
      </c>
      <c r="G274" s="20" t="s">
        <v>14326</v>
      </c>
      <c r="H274" s="24"/>
      <c r="I274" s="24" t="str">
        <f ca="1">IFERROR(__xludf.DUMMYFUNCTION("GOOGLETRANSLATE(F274,""en"",""pt"")"),"unhas Shot-fogo")</f>
        <v>unhas Shot-fogo</v>
      </c>
      <c r="J274" t="str">
        <f>VLOOKUP(A274,Pr_Base_LNEC!$A$4:$J$6971,6,FALSE)</f>
        <v>-</v>
      </c>
      <c r="K274">
        <f>VLOOKUP(A274,Pr_Base_LNEC!$A$4:$J$6971,7,FALSE)</f>
        <v>0</v>
      </c>
    </row>
    <row r="275" spans="1:11" ht="14.5">
      <c r="A275" s="20" t="s">
        <v>14327</v>
      </c>
      <c r="B275" s="20">
        <v>20</v>
      </c>
      <c r="C275" s="20">
        <v>29</v>
      </c>
      <c r="D275" s="20">
        <v>56</v>
      </c>
      <c r="E275" s="20">
        <v>82</v>
      </c>
      <c r="F275" s="20" t="s">
        <v>14328</v>
      </c>
      <c r="G275" s="24"/>
      <c r="H275" s="24"/>
      <c r="I275" s="24" t="str">
        <f ca="1">IFERROR(__xludf.DUMMYFUNCTION("GOOGLETRANSLATE(F275,""en"",""pt"")"),"sprigs")</f>
        <v>sprigs</v>
      </c>
      <c r="J275" t="str">
        <f>VLOOKUP(A275,Pr_Base_LNEC!$A$4:$J$6971,6,FALSE)</f>
        <v>-</v>
      </c>
      <c r="K275">
        <f>VLOOKUP(A275,Pr_Base_LNEC!$A$4:$J$6971,7,FALSE)</f>
        <v>0</v>
      </c>
    </row>
    <row r="276" spans="1:11" ht="14.5">
      <c r="A276" s="20" t="s">
        <v>14329</v>
      </c>
      <c r="B276" s="20">
        <v>20</v>
      </c>
      <c r="C276" s="20">
        <v>29</v>
      </c>
      <c r="D276" s="20">
        <v>56</v>
      </c>
      <c r="E276" s="20">
        <v>83</v>
      </c>
      <c r="F276" s="20" t="s">
        <v>14330</v>
      </c>
      <c r="G276" s="24"/>
      <c r="H276" s="24"/>
      <c r="I276" s="24" t="str">
        <f ca="1">IFERROR(__xludf.DUMMYFUNCTION("GOOGLETRANSLATE(F276,""en"",""pt"")"),"pregos mola de cabeça")</f>
        <v>pregos mola de cabeça</v>
      </c>
      <c r="J276" t="str">
        <f>VLOOKUP(A276,Pr_Base_LNEC!$A$4:$J$6971,6,FALSE)</f>
        <v>-</v>
      </c>
      <c r="K276">
        <f>VLOOKUP(A276,Pr_Base_LNEC!$A$4:$J$6971,7,FALSE)</f>
        <v>0</v>
      </c>
    </row>
    <row r="277" spans="1:11" ht="14.5">
      <c r="A277" s="20" t="s">
        <v>14331</v>
      </c>
      <c r="B277" s="20">
        <v>20</v>
      </c>
      <c r="C277" s="20">
        <v>29</v>
      </c>
      <c r="D277" s="20">
        <v>56</v>
      </c>
      <c r="E277" s="20">
        <v>84</v>
      </c>
      <c r="F277" s="20" t="s">
        <v>14332</v>
      </c>
      <c r="G277" s="24"/>
      <c r="H277" s="24"/>
      <c r="I277" s="24" t="str">
        <f ca="1">IFERROR(__xludf.DUMMYFUNCTION("GOOGLETRANSLATE(F277,""en"",""pt"")"),"pregos retorcidos quadrados")</f>
        <v>pregos retorcidos quadrados</v>
      </c>
      <c r="J277" t="str">
        <f>VLOOKUP(A277,Pr_Base_LNEC!$A$4:$J$6971,6,FALSE)</f>
        <v>-</v>
      </c>
      <c r="K277">
        <f>VLOOKUP(A277,Pr_Base_LNEC!$A$4:$J$6971,7,FALSE)</f>
        <v>0</v>
      </c>
    </row>
    <row r="278" spans="1:11" ht="14.5">
      <c r="A278" s="20" t="s">
        <v>14333</v>
      </c>
      <c r="B278" s="20">
        <v>20</v>
      </c>
      <c r="C278" s="20">
        <v>29</v>
      </c>
      <c r="D278" s="20">
        <v>56</v>
      </c>
      <c r="E278" s="20">
        <v>85</v>
      </c>
      <c r="F278" s="20" t="s">
        <v>14334</v>
      </c>
      <c r="G278" s="20" t="s">
        <v>14335</v>
      </c>
      <c r="H278" s="24"/>
      <c r="I278" s="24" t="str">
        <f ca="1">IFERROR(__xludf.DUMMYFUNCTION("GOOGLETRANSLATE(F278,""en"",""pt"")"),"pregos de aço inoxidável")</f>
        <v>pregos de aço inoxidável</v>
      </c>
      <c r="J278" t="str">
        <f>VLOOKUP(A278,Pr_Base_LNEC!$A$4:$J$6971,6,FALSE)</f>
        <v>-</v>
      </c>
      <c r="K278">
        <f>VLOOKUP(A278,Pr_Base_LNEC!$A$4:$J$6971,7,FALSE)</f>
        <v>0</v>
      </c>
    </row>
    <row r="279" spans="1:11" ht="14.5">
      <c r="A279" s="20" t="s">
        <v>14336</v>
      </c>
      <c r="B279" s="20">
        <v>20</v>
      </c>
      <c r="C279" s="20">
        <v>29</v>
      </c>
      <c r="D279" s="20">
        <v>56</v>
      </c>
      <c r="E279" s="20">
        <v>86</v>
      </c>
      <c r="F279" s="20" t="s">
        <v>14337</v>
      </c>
      <c r="G279" s="20" t="s">
        <v>14338</v>
      </c>
      <c r="H279" s="24"/>
      <c r="I279" s="24" t="str">
        <f ca="1">IFERROR(__xludf.DUMMYFUNCTION("GOOGLETRANSLATE(F279,""en"",""pt"")"),"Staples")</f>
        <v>Staples</v>
      </c>
      <c r="J279" t="str">
        <f>VLOOKUP(A279,Pr_Base_LNEC!$A$4:$J$6971,6,FALSE)</f>
        <v>-</v>
      </c>
      <c r="K279">
        <f>VLOOKUP(A279,Pr_Base_LNEC!$A$4:$J$6971,7,FALSE)</f>
        <v>0</v>
      </c>
    </row>
    <row r="280" spans="1:11" ht="14.5">
      <c r="A280" s="20" t="s">
        <v>14339</v>
      </c>
      <c r="B280" s="20">
        <v>20</v>
      </c>
      <c r="C280" s="20">
        <v>29</v>
      </c>
      <c r="D280" s="20">
        <v>56</v>
      </c>
      <c r="E280" s="20">
        <v>87</v>
      </c>
      <c r="F280" s="20" t="s">
        <v>14340</v>
      </c>
      <c r="G280" s="24"/>
      <c r="H280" s="24"/>
      <c r="I280" s="24" t="str">
        <f ca="1">IFERROR(__xludf.DUMMYFUNCTION("GOOGLETRANSLATE(F280,""en"",""pt"")"),"tachas")</f>
        <v>tachas</v>
      </c>
      <c r="J280" t="str">
        <f>VLOOKUP(A280,Pr_Base_LNEC!$A$4:$J$6971,6,FALSE)</f>
        <v>-</v>
      </c>
      <c r="K280">
        <f>VLOOKUP(A280,Pr_Base_LNEC!$A$4:$J$6971,7,FALSE)</f>
        <v>0</v>
      </c>
    </row>
    <row r="281" spans="1:11" ht="14.5">
      <c r="A281" s="20" t="s">
        <v>14341</v>
      </c>
      <c r="B281" s="20">
        <v>20</v>
      </c>
      <c r="C281" s="20">
        <v>29</v>
      </c>
      <c r="D281" s="20">
        <v>56</v>
      </c>
      <c r="E281" s="20">
        <v>93</v>
      </c>
      <c r="F281" s="20" t="s">
        <v>14342</v>
      </c>
      <c r="G281" s="24"/>
      <c r="H281" s="24"/>
      <c r="I281" s="24" t="str">
        <f ca="1">IFERROR(__xludf.DUMMYFUNCTION("GOOGLETRANSLATE(F281,""en"",""pt"")"),"unhas estofos")</f>
        <v>unhas estofos</v>
      </c>
      <c r="J281" t="str">
        <f>VLOOKUP(A281,Pr_Base_LNEC!$A$4:$J$6971,6,FALSE)</f>
        <v>-</v>
      </c>
      <c r="K281">
        <f>VLOOKUP(A281,Pr_Base_LNEC!$A$4:$J$6971,7,FALSE)</f>
        <v>0</v>
      </c>
    </row>
    <row r="282" spans="1:11" ht="14.5">
      <c r="A282" s="20" t="s">
        <v>14343</v>
      </c>
      <c r="B282" s="20">
        <v>20</v>
      </c>
      <c r="C282" s="20">
        <v>29</v>
      </c>
      <c r="D282" s="20">
        <v>57</v>
      </c>
      <c r="E282" s="24"/>
      <c r="F282" s="20" t="s">
        <v>14344</v>
      </c>
      <c r="G282" s="24"/>
      <c r="H282" s="24"/>
      <c r="I282" s="24" t="str">
        <f ca="1">IFERROR(__xludf.DUMMYFUNCTION("GOOGLETRANSLATE(F282,""en"",""pt"")"),"nozes")</f>
        <v>nozes</v>
      </c>
      <c r="J282" t="str">
        <f>VLOOKUP(A282,Pr_Base_LNEC!$A$4:$J$6971,6,FALSE)</f>
        <v>Porcas</v>
      </c>
      <c r="K282">
        <f>VLOOKUP(A282,Pr_Base_LNEC!$A$4:$J$6971,7,FALSE)</f>
        <v>0</v>
      </c>
    </row>
    <row r="283" spans="1:11" ht="14.5">
      <c r="A283" s="20" t="s">
        <v>14345</v>
      </c>
      <c r="B283" s="20">
        <v>20</v>
      </c>
      <c r="C283" s="20">
        <v>29</v>
      </c>
      <c r="D283" s="20">
        <v>57</v>
      </c>
      <c r="E283" s="20">
        <v>1</v>
      </c>
      <c r="F283" s="20" t="s">
        <v>14346</v>
      </c>
      <c r="G283" s="24"/>
      <c r="H283" s="24"/>
      <c r="I283" s="24" t="str">
        <f ca="1">IFERROR(__xludf.DUMMYFUNCTION("GOOGLETRANSLATE(F283,""en"",""pt"")"),"porcas bolota")</f>
        <v>porcas bolota</v>
      </c>
      <c r="J283">
        <f>VLOOKUP(A283,Pr_Base_LNEC!$A$4:$J$6971,6,FALSE)</f>
        <v>0</v>
      </c>
      <c r="K283">
        <f>VLOOKUP(A283,Pr_Base_LNEC!$A$4:$J$6971,7,FALSE)</f>
        <v>0</v>
      </c>
    </row>
    <row r="284" spans="1:11" ht="14.5">
      <c r="A284" s="20" t="s">
        <v>14347</v>
      </c>
      <c r="B284" s="20">
        <v>20</v>
      </c>
      <c r="C284" s="20">
        <v>29</v>
      </c>
      <c r="D284" s="20">
        <v>57</v>
      </c>
      <c r="E284" s="20">
        <v>2</v>
      </c>
      <c r="F284" s="20" t="s">
        <v>14348</v>
      </c>
      <c r="G284" s="24"/>
      <c r="H284" s="24"/>
      <c r="I284" s="24" t="str">
        <f ca="1">IFERROR(__xludf.DUMMYFUNCTION("GOOGLETRANSLATE(F284,""en"",""pt"")"),"porcas Aerotite")</f>
        <v>porcas Aerotite</v>
      </c>
      <c r="J284">
        <f>VLOOKUP(A284,Pr_Base_LNEC!$A$4:$J$6971,6,FALSE)</f>
        <v>0</v>
      </c>
      <c r="K284">
        <f>VLOOKUP(A284,Pr_Base_LNEC!$A$4:$J$6971,7,FALSE)</f>
        <v>0</v>
      </c>
    </row>
    <row r="285" spans="1:11" ht="14.5">
      <c r="A285" s="20" t="s">
        <v>14349</v>
      </c>
      <c r="B285" s="20">
        <v>20</v>
      </c>
      <c r="C285" s="20">
        <v>29</v>
      </c>
      <c r="D285" s="20">
        <v>57</v>
      </c>
      <c r="E285" s="20">
        <v>11</v>
      </c>
      <c r="F285" s="20" t="s">
        <v>14350</v>
      </c>
      <c r="G285" s="24"/>
      <c r="H285" s="24"/>
      <c r="I285" s="24" t="str">
        <f ca="1">IFERROR(__xludf.DUMMYFUNCTION("GOOGLETRANSLATE(F285,""en"",""pt"")"),"porcas de gaiola")</f>
        <v>porcas de gaiola</v>
      </c>
      <c r="J285">
        <f>VLOOKUP(A285,Pr_Base_LNEC!$A$4:$J$6971,6,FALSE)</f>
        <v>0</v>
      </c>
      <c r="K285">
        <f>VLOOKUP(A285,Pr_Base_LNEC!$A$4:$J$6971,7,FALSE)</f>
        <v>0</v>
      </c>
    </row>
    <row r="286" spans="1:11" ht="14.5">
      <c r="A286" s="20" t="s">
        <v>14351</v>
      </c>
      <c r="B286" s="20">
        <v>20</v>
      </c>
      <c r="C286" s="20">
        <v>29</v>
      </c>
      <c r="D286" s="20">
        <v>57</v>
      </c>
      <c r="E286" s="20">
        <v>12</v>
      </c>
      <c r="F286" s="20" t="s">
        <v>14352</v>
      </c>
      <c r="G286" s="24"/>
      <c r="H286" s="24"/>
      <c r="I286" s="24" t="str">
        <f ca="1">IFERROR(__xludf.DUMMYFUNCTION("GOOGLETRANSLATE(F286,""en"",""pt"")"),"porcas cativas")</f>
        <v>porcas cativas</v>
      </c>
      <c r="J286">
        <f>VLOOKUP(A286,Pr_Base_LNEC!$A$4:$J$6971,6,FALSE)</f>
        <v>0</v>
      </c>
      <c r="K286">
        <f>VLOOKUP(A286,Pr_Base_LNEC!$A$4:$J$6971,7,FALSE)</f>
        <v>0</v>
      </c>
    </row>
    <row r="287" spans="1:11" ht="14.5">
      <c r="A287" s="20" t="s">
        <v>14353</v>
      </c>
      <c r="B287" s="20">
        <v>20</v>
      </c>
      <c r="C287" s="20">
        <v>29</v>
      </c>
      <c r="D287" s="20">
        <v>57</v>
      </c>
      <c r="E287" s="20">
        <v>13</v>
      </c>
      <c r="F287" s="20" t="s">
        <v>14354</v>
      </c>
      <c r="G287" s="24"/>
      <c r="H287" s="24"/>
      <c r="I287" s="24" t="str">
        <f ca="1">IFERROR(__xludf.DUMMYFUNCTION("GOOGLETRANSLATE(F287,""en"",""pt"")"),"porcas castelo")</f>
        <v>porcas castelo</v>
      </c>
      <c r="J287">
        <f>VLOOKUP(A287,Pr_Base_LNEC!$A$4:$J$6971,6,FALSE)</f>
        <v>0</v>
      </c>
      <c r="K287">
        <f>VLOOKUP(A287,Pr_Base_LNEC!$A$4:$J$6971,7,FALSE)</f>
        <v>0</v>
      </c>
    </row>
    <row r="288" spans="1:11" ht="14.5">
      <c r="A288" s="20" t="s">
        <v>14355</v>
      </c>
      <c r="B288" s="20">
        <v>20</v>
      </c>
      <c r="C288" s="20">
        <v>29</v>
      </c>
      <c r="D288" s="20">
        <v>57</v>
      </c>
      <c r="E288" s="20">
        <v>23</v>
      </c>
      <c r="F288" s="20" t="s">
        <v>14356</v>
      </c>
      <c r="G288" s="24"/>
      <c r="H288" s="24"/>
      <c r="I288" s="24" t="str">
        <f ca="1">IFERROR(__xludf.DUMMYFUNCTION("GOOGLETRANSLATE(F288,""en"",""pt"")"),"Dome (cap) nozes")</f>
        <v>Dome (cap) nozes</v>
      </c>
      <c r="J288">
        <f>VLOOKUP(A288,Pr_Base_LNEC!$A$4:$J$6971,6,FALSE)</f>
        <v>0</v>
      </c>
      <c r="K288">
        <f>VLOOKUP(A288,Pr_Base_LNEC!$A$4:$J$6971,7,FALSE)</f>
        <v>0</v>
      </c>
    </row>
    <row r="289" spans="1:11" ht="14.5">
      <c r="A289" s="20" t="s">
        <v>14357</v>
      </c>
      <c r="B289" s="20">
        <v>20</v>
      </c>
      <c r="C289" s="20">
        <v>29</v>
      </c>
      <c r="D289" s="20">
        <v>57</v>
      </c>
      <c r="E289" s="20">
        <v>30</v>
      </c>
      <c r="F289" s="20" t="s">
        <v>14358</v>
      </c>
      <c r="G289" s="24"/>
      <c r="H289" s="24"/>
      <c r="I289" s="24" t="str">
        <f ca="1">IFERROR(__xludf.DUMMYFUNCTION("GOOGLETRANSLATE(F289,""en"",""pt"")"),"porcas de flange")</f>
        <v>porcas de flange</v>
      </c>
      <c r="J289">
        <f>VLOOKUP(A289,Pr_Base_LNEC!$A$4:$J$6971,6,FALSE)</f>
        <v>0</v>
      </c>
      <c r="K289">
        <f>VLOOKUP(A289,Pr_Base_LNEC!$A$4:$J$6971,7,FALSE)</f>
        <v>0</v>
      </c>
    </row>
    <row r="290" spans="1:11" ht="14.5">
      <c r="A290" s="20" t="s">
        <v>14359</v>
      </c>
      <c r="B290" s="20">
        <v>20</v>
      </c>
      <c r="C290" s="20">
        <v>29</v>
      </c>
      <c r="D290" s="20">
        <v>57</v>
      </c>
      <c r="E290" s="20">
        <v>35</v>
      </c>
      <c r="F290" s="20" t="s">
        <v>14360</v>
      </c>
      <c r="G290" s="24"/>
      <c r="H290" s="24"/>
      <c r="I290" s="24" t="str">
        <f ca="1">IFERROR(__xludf.DUMMYFUNCTION("GOOGLETRANSLATE(F290,""en"",""pt"")"),"porcas de segurança rígidos")</f>
        <v>porcas de segurança rígidos</v>
      </c>
      <c r="J290" t="e">
        <f>VLOOKUP(A290,Pr_Base_LNEC!$A$4:$J$6971,6,FALSE)</f>
        <v>#N/A</v>
      </c>
      <c r="K290" t="e">
        <f>VLOOKUP(A290,Pr_Base_LNEC!$A$4:$J$6971,7,FALSE)</f>
        <v>#N/A</v>
      </c>
    </row>
    <row r="291" spans="1:11" ht="14.5">
      <c r="A291" s="20" t="s">
        <v>14361</v>
      </c>
      <c r="B291" s="20">
        <v>20</v>
      </c>
      <c r="C291" s="20">
        <v>29</v>
      </c>
      <c r="D291" s="20">
        <v>57</v>
      </c>
      <c r="E291" s="20">
        <v>36</v>
      </c>
      <c r="F291" s="20" t="s">
        <v>14362</v>
      </c>
      <c r="G291" s="24"/>
      <c r="H291" s="24"/>
      <c r="I291" s="24" t="str">
        <f ca="1">IFERROR(__xludf.DUMMYFUNCTION("GOOGLETRANSLATE(F291,""en"",""pt"")"),"nozes metade")</f>
        <v>nozes metade</v>
      </c>
      <c r="J291">
        <f>VLOOKUP(A291,Pr_Base_LNEC!$A$4:$J$6971,6,FALSE)</f>
        <v>0</v>
      </c>
      <c r="K291">
        <f>VLOOKUP(A291,Pr_Base_LNEC!$A$4:$J$6971,7,FALSE)</f>
        <v>0</v>
      </c>
    </row>
    <row r="292" spans="1:11" ht="14.5">
      <c r="A292" s="20" t="s">
        <v>14363</v>
      </c>
      <c r="B292" s="20">
        <v>20</v>
      </c>
      <c r="C292" s="20">
        <v>29</v>
      </c>
      <c r="D292" s="20">
        <v>57</v>
      </c>
      <c r="E292" s="20">
        <v>37</v>
      </c>
      <c r="F292" s="20" t="s">
        <v>14364</v>
      </c>
      <c r="G292" s="24"/>
      <c r="H292" s="24"/>
      <c r="I292" s="24" t="str">
        <f ca="1">IFERROR(__xludf.DUMMYFUNCTION("GOOGLETRANSLATE(F292,""en"",""pt"")"),"porcas sextavadas pesados")</f>
        <v>porcas sextavadas pesados</v>
      </c>
      <c r="J292">
        <f>VLOOKUP(A292,Pr_Base_LNEC!$A$4:$J$6971,6,FALSE)</f>
        <v>0</v>
      </c>
      <c r="K292">
        <f>VLOOKUP(A292,Pr_Base_LNEC!$A$4:$J$6971,7,FALSE)</f>
        <v>0</v>
      </c>
    </row>
    <row r="293" spans="1:11" ht="14.5">
      <c r="A293" s="20" t="s">
        <v>14365</v>
      </c>
      <c r="B293" s="20">
        <v>20</v>
      </c>
      <c r="C293" s="20">
        <v>29</v>
      </c>
      <c r="D293" s="20">
        <v>57</v>
      </c>
      <c r="E293" s="20">
        <v>38</v>
      </c>
      <c r="F293" s="20" t="s">
        <v>14366</v>
      </c>
      <c r="G293" s="24"/>
      <c r="H293" s="24"/>
      <c r="I293" s="24" t="str">
        <f ca="1">IFERROR(__xludf.DUMMYFUNCTION("GOOGLETRANSLATE(F293,""en"",""pt"")"),"porcas sextavadas")</f>
        <v>porcas sextavadas</v>
      </c>
      <c r="J293">
        <f>VLOOKUP(A293,Pr_Base_LNEC!$A$4:$J$6971,6,FALSE)</f>
        <v>0</v>
      </c>
      <c r="K293">
        <f>VLOOKUP(A293,Pr_Base_LNEC!$A$4:$J$6971,7,FALSE)</f>
        <v>0</v>
      </c>
    </row>
    <row r="294" spans="1:11" ht="14.5">
      <c r="A294" s="20" t="s">
        <v>14367</v>
      </c>
      <c r="B294" s="20">
        <v>20</v>
      </c>
      <c r="C294" s="20">
        <v>29</v>
      </c>
      <c r="D294" s="20">
        <v>57</v>
      </c>
      <c r="E294" s="20">
        <v>44</v>
      </c>
      <c r="F294" s="20" t="s">
        <v>14368</v>
      </c>
      <c r="G294" s="24"/>
      <c r="H294" s="24"/>
      <c r="I294" s="24" t="str">
        <f ca="1">IFERROR(__xludf.DUMMYFUNCTION("GOOGLETRANSLATE(F294,""en"",""pt"")"),"porcas de aperto")</f>
        <v>porcas de aperto</v>
      </c>
      <c r="J294">
        <f>VLOOKUP(A294,Pr_Base_LNEC!$A$4:$J$6971,6,FALSE)</f>
        <v>0</v>
      </c>
      <c r="K294">
        <f>VLOOKUP(A294,Pr_Base_LNEC!$A$4:$J$6971,7,FALSE)</f>
        <v>0</v>
      </c>
    </row>
    <row r="295" spans="1:11" ht="14.5">
      <c r="A295" s="20" t="s">
        <v>14369</v>
      </c>
      <c r="B295" s="20">
        <v>20</v>
      </c>
      <c r="C295" s="20">
        <v>29</v>
      </c>
      <c r="D295" s="20">
        <v>57</v>
      </c>
      <c r="E295" s="20">
        <v>45</v>
      </c>
      <c r="F295" s="20" t="s">
        <v>14370</v>
      </c>
      <c r="G295" s="24"/>
      <c r="H295" s="24"/>
      <c r="I295" s="24" t="str">
        <f ca="1">IFERROR(__xludf.DUMMYFUNCTION("GOOGLETRANSLATE(F295,""en"",""pt"")"),"porcas K-lock")</f>
        <v>porcas K-lock</v>
      </c>
      <c r="J295">
        <f>VLOOKUP(A295,Pr_Base_LNEC!$A$4:$J$6971,6,FALSE)</f>
        <v>0</v>
      </c>
      <c r="K295">
        <f>VLOOKUP(A295,Pr_Base_LNEC!$A$4:$J$6971,7,FALSE)</f>
        <v>0</v>
      </c>
    </row>
    <row r="296" spans="1:11" ht="14.5">
      <c r="A296" s="20" t="s">
        <v>14371</v>
      </c>
      <c r="B296" s="20">
        <v>20</v>
      </c>
      <c r="C296" s="20">
        <v>29</v>
      </c>
      <c r="D296" s="20">
        <v>57</v>
      </c>
      <c r="E296" s="20">
        <v>50</v>
      </c>
      <c r="F296" s="20" t="s">
        <v>14372</v>
      </c>
      <c r="G296" s="24"/>
      <c r="H296" s="24"/>
      <c r="I296" s="24" t="str">
        <f ca="1">IFERROR(__xludf.DUMMYFUNCTION("GOOGLETRANSLATE(F296,""en"",""pt"")"),"porcas Manifold")</f>
        <v>porcas Manifold</v>
      </c>
      <c r="J296">
        <f>VLOOKUP(A296,Pr_Base_LNEC!$A$4:$J$6971,6,FALSE)</f>
        <v>0</v>
      </c>
      <c r="K296">
        <f>VLOOKUP(A296,Pr_Base_LNEC!$A$4:$J$6971,7,FALSE)</f>
        <v>0</v>
      </c>
    </row>
    <row r="297" spans="1:11" ht="14.5">
      <c r="A297" s="20" t="s">
        <v>14373</v>
      </c>
      <c r="B297" s="20">
        <v>20</v>
      </c>
      <c r="C297" s="20">
        <v>29</v>
      </c>
      <c r="D297" s="20">
        <v>57</v>
      </c>
      <c r="E297" s="20">
        <v>56</v>
      </c>
      <c r="F297" s="20" t="s">
        <v>14374</v>
      </c>
      <c r="G297" s="24"/>
      <c r="H297" s="24"/>
      <c r="I297" s="24" t="str">
        <f ca="1">IFERROR(__xludf.DUMMYFUNCTION("GOOGLETRANSLATE(F297,""en"",""pt"")"),"porcas de aperto nylon-inserção")</f>
        <v>porcas de aperto nylon-inserção</v>
      </c>
      <c r="J297">
        <f>VLOOKUP(A297,Pr_Base_LNEC!$A$4:$J$6971,6,FALSE)</f>
        <v>0</v>
      </c>
      <c r="K297">
        <f>VLOOKUP(A297,Pr_Base_LNEC!$A$4:$J$6971,7,FALSE)</f>
        <v>0</v>
      </c>
    </row>
    <row r="298" spans="1:11" ht="14.5">
      <c r="A298" s="20" t="s">
        <v>14375</v>
      </c>
      <c r="B298" s="20">
        <v>20</v>
      </c>
      <c r="C298" s="20">
        <v>29</v>
      </c>
      <c r="D298" s="20">
        <v>57</v>
      </c>
      <c r="E298" s="20">
        <v>57</v>
      </c>
      <c r="F298" s="20" t="s">
        <v>14376</v>
      </c>
      <c r="G298" s="24"/>
      <c r="H298" s="24"/>
      <c r="I298" s="24" t="str">
        <f ca="1">IFERROR(__xludf.DUMMYFUNCTION("GOOGLETRANSLATE(F298,""en"",""pt"")"),"Porcas de segurança de nylon-inserção")</f>
        <v>Porcas de segurança de nylon-inserção</v>
      </c>
      <c r="J298">
        <f>VLOOKUP(A298,Pr_Base_LNEC!$A$4:$J$6971,6,FALSE)</f>
        <v>0</v>
      </c>
      <c r="K298">
        <f>VLOOKUP(A298,Pr_Base_LNEC!$A$4:$J$6971,7,FALSE)</f>
        <v>0</v>
      </c>
    </row>
    <row r="299" spans="1:11" ht="14.5">
      <c r="A299" s="20" t="s">
        <v>14377</v>
      </c>
      <c r="B299" s="20">
        <v>20</v>
      </c>
      <c r="C299" s="20">
        <v>29</v>
      </c>
      <c r="D299" s="20">
        <v>57</v>
      </c>
      <c r="E299" s="20">
        <v>66</v>
      </c>
      <c r="F299" s="20" t="s">
        <v>14378</v>
      </c>
      <c r="G299" s="24"/>
      <c r="H299" s="24"/>
      <c r="I299" s="24" t="str">
        <f ca="1">IFERROR(__xludf.DUMMYFUNCTION("GOOGLETRANSLATE(F299,""en"",""pt"")"),"Prevalecente porcas de segurança de torque")</f>
        <v>Prevalecente porcas de segurança de torque</v>
      </c>
      <c r="J299">
        <f>VLOOKUP(A299,Pr_Base_LNEC!$A$4:$J$6971,6,FALSE)</f>
        <v>0</v>
      </c>
      <c r="K299">
        <f>VLOOKUP(A299,Pr_Base_LNEC!$A$4:$J$6971,7,FALSE)</f>
        <v>0</v>
      </c>
    </row>
    <row r="300" spans="1:11" ht="14.5">
      <c r="A300" s="20" t="s">
        <v>14379</v>
      </c>
      <c r="B300" s="20">
        <v>20</v>
      </c>
      <c r="C300" s="20">
        <v>29</v>
      </c>
      <c r="D300" s="20">
        <v>57</v>
      </c>
      <c r="E300" s="20">
        <v>75</v>
      </c>
      <c r="F300" s="20" t="s">
        <v>14380</v>
      </c>
      <c r="G300" s="24"/>
      <c r="H300" s="24"/>
      <c r="I300" s="24" t="str">
        <f ca="1">IFERROR(__xludf.DUMMYFUNCTION("GOOGLETRANSLATE(F300,""en"",""pt"")"),"porcas de travamento")</f>
        <v>porcas de travamento</v>
      </c>
      <c r="J300" t="e">
        <f>VLOOKUP(A300,Pr_Base_LNEC!$A$4:$J$6971,6,FALSE)</f>
        <v>#N/A</v>
      </c>
      <c r="K300" t="e">
        <f>VLOOKUP(A300,Pr_Base_LNEC!$A$4:$J$6971,7,FALSE)</f>
        <v>#N/A</v>
      </c>
    </row>
    <row r="301" spans="1:11" ht="14.5">
      <c r="A301" s="20" t="s">
        <v>14381</v>
      </c>
      <c r="B301" s="20">
        <v>20</v>
      </c>
      <c r="C301" s="20">
        <v>29</v>
      </c>
      <c r="D301" s="20">
        <v>57</v>
      </c>
      <c r="E301" s="20">
        <v>76</v>
      </c>
      <c r="F301" s="20" t="s">
        <v>14382</v>
      </c>
      <c r="G301" s="24"/>
      <c r="H301" s="24"/>
      <c r="I301" s="24" t="str">
        <f ca="1">IFERROR(__xludf.DUMMYFUNCTION("GOOGLETRANSLATE(F301,""en"",""pt"")"),"porcas serrilhadas flange")</f>
        <v>porcas serrilhadas flange</v>
      </c>
      <c r="J301">
        <f>VLOOKUP(A301,Pr_Base_LNEC!$A$4:$J$6971,6,FALSE)</f>
        <v>0</v>
      </c>
      <c r="K301">
        <f>VLOOKUP(A301,Pr_Base_LNEC!$A$4:$J$6971,7,FALSE)</f>
        <v>0</v>
      </c>
    </row>
    <row r="302" spans="1:11" ht="14.5">
      <c r="A302" s="20" t="s">
        <v>14383</v>
      </c>
      <c r="B302" s="20">
        <v>20</v>
      </c>
      <c r="C302" s="20">
        <v>29</v>
      </c>
      <c r="D302" s="20">
        <v>57</v>
      </c>
      <c r="E302" s="20">
        <v>80</v>
      </c>
      <c r="F302" s="20" t="s">
        <v>14384</v>
      </c>
      <c r="G302" s="24"/>
      <c r="H302" s="24"/>
      <c r="I302" s="24" t="str">
        <f ca="1">IFERROR(__xludf.DUMMYFUNCTION("GOOGLETRANSLATE(F302,""en"",""pt"")"),"porcas ranhuradas")</f>
        <v>porcas ranhuradas</v>
      </c>
      <c r="J302">
        <f>VLOOKUP(A302,Pr_Base_LNEC!$A$4:$J$6971,6,FALSE)</f>
        <v>0</v>
      </c>
      <c r="K302">
        <f>VLOOKUP(A302,Pr_Base_LNEC!$A$4:$J$6971,7,FALSE)</f>
        <v>0</v>
      </c>
    </row>
    <row r="303" spans="1:11" ht="14.5">
      <c r="A303" s="20" t="s">
        <v>14385</v>
      </c>
      <c r="B303" s="20">
        <v>20</v>
      </c>
      <c r="C303" s="20">
        <v>29</v>
      </c>
      <c r="D303" s="20">
        <v>57</v>
      </c>
      <c r="E303" s="20">
        <v>83</v>
      </c>
      <c r="F303" s="20" t="s">
        <v>14386</v>
      </c>
      <c r="G303" s="24"/>
      <c r="H303" s="24"/>
      <c r="I303" s="24" t="str">
        <f ca="1">IFERROR(__xludf.DUMMYFUNCTION("GOOGLETRANSLATE(F303,""en"",""pt"")"),"porcas quadradas")</f>
        <v>porcas quadradas</v>
      </c>
      <c r="J303">
        <f>VLOOKUP(A303,Pr_Base_LNEC!$A$4:$J$6971,6,FALSE)</f>
        <v>0</v>
      </c>
      <c r="K303">
        <f>VLOOKUP(A303,Pr_Base_LNEC!$A$4:$J$6971,7,FALSE)</f>
        <v>0</v>
      </c>
    </row>
    <row r="304" spans="1:11" ht="14.5">
      <c r="A304" s="20" t="s">
        <v>14387</v>
      </c>
      <c r="B304" s="20">
        <v>20</v>
      </c>
      <c r="C304" s="20">
        <v>29</v>
      </c>
      <c r="D304" s="20">
        <v>57</v>
      </c>
      <c r="E304" s="20">
        <v>84</v>
      </c>
      <c r="F304" s="20" t="s">
        <v>14388</v>
      </c>
      <c r="G304" s="24"/>
      <c r="H304" s="24"/>
      <c r="I304" s="24" t="str">
        <f ca="1">IFERROR(__xludf.DUMMYFUNCTION("GOOGLETRANSLATE(F304,""en"",""pt"")"),"porcas Stover")</f>
        <v>porcas Stover</v>
      </c>
      <c r="J304">
        <f>VLOOKUP(A304,Pr_Base_LNEC!$A$4:$J$6971,6,FALSE)</f>
        <v>0</v>
      </c>
      <c r="K304">
        <f>VLOOKUP(A304,Pr_Base_LNEC!$A$4:$J$6971,7,FALSE)</f>
        <v>0</v>
      </c>
    </row>
    <row r="305" spans="1:11" ht="14.5">
      <c r="A305" s="20" t="s">
        <v>14389</v>
      </c>
      <c r="B305" s="20">
        <v>20</v>
      </c>
      <c r="C305" s="20">
        <v>29</v>
      </c>
      <c r="D305" s="20">
        <v>57</v>
      </c>
      <c r="E305" s="20">
        <v>85</v>
      </c>
      <c r="F305" s="20" t="s">
        <v>14390</v>
      </c>
      <c r="G305" s="24"/>
      <c r="H305" s="24"/>
      <c r="I305" s="24" t="str">
        <f ca="1">IFERROR(__xludf.DUMMYFUNCTION("GOOGLETRANSLATE(F305,""en"",""pt"")"),"conector perno (acoplamento) nozes")</f>
        <v>conector perno (acoplamento) nozes</v>
      </c>
      <c r="J305">
        <f>VLOOKUP(A305,Pr_Base_LNEC!$A$4:$J$6971,6,FALSE)</f>
        <v>0</v>
      </c>
      <c r="K305">
        <f>VLOOKUP(A305,Pr_Base_LNEC!$A$4:$J$6971,7,FALSE)</f>
        <v>0</v>
      </c>
    </row>
    <row r="306" spans="1:11" ht="14.5">
      <c r="A306" s="20" t="s">
        <v>14391</v>
      </c>
      <c r="B306" s="20">
        <v>20</v>
      </c>
      <c r="C306" s="20">
        <v>29</v>
      </c>
      <c r="D306" s="20">
        <v>57</v>
      </c>
      <c r="E306" s="20">
        <v>88</v>
      </c>
      <c r="F306" s="20" t="s">
        <v>14392</v>
      </c>
      <c r="G306" s="24"/>
      <c r="H306" s="24"/>
      <c r="I306" s="24" t="str">
        <f ca="1">IFERROR(__xludf.DUMMYFUNCTION("GOOGLETRANSLATE(F306,""en"",""pt"")"),"nozes tee")</f>
        <v>nozes tee</v>
      </c>
      <c r="J306">
        <f>VLOOKUP(A306,Pr_Base_LNEC!$A$4:$J$6971,6,FALSE)</f>
        <v>0</v>
      </c>
      <c r="K306">
        <f>VLOOKUP(A306,Pr_Base_LNEC!$A$4:$J$6971,7,FALSE)</f>
        <v>0</v>
      </c>
    </row>
    <row r="307" spans="1:11" ht="14.5">
      <c r="A307" s="20" t="s">
        <v>14393</v>
      </c>
      <c r="B307" s="20">
        <v>20</v>
      </c>
      <c r="C307" s="20">
        <v>29</v>
      </c>
      <c r="D307" s="20">
        <v>57</v>
      </c>
      <c r="E307" s="20">
        <v>96</v>
      </c>
      <c r="F307" s="20" t="s">
        <v>14394</v>
      </c>
      <c r="G307" s="24"/>
      <c r="H307" s="24"/>
      <c r="I307" s="24" t="str">
        <f ca="1">IFERROR(__xludf.DUMMYFUNCTION("GOOGLETRANSLATE(F307,""en"",""pt"")"),"porcas")</f>
        <v>porcas</v>
      </c>
      <c r="J307">
        <f>VLOOKUP(A307,Pr_Base_LNEC!$A$4:$J$6971,6,FALSE)</f>
        <v>0</v>
      </c>
      <c r="K307">
        <f>VLOOKUP(A307,Pr_Base_LNEC!$A$4:$J$6971,7,FALSE)</f>
        <v>0</v>
      </c>
    </row>
    <row r="308" spans="1:11" ht="14.5">
      <c r="A308" s="20" t="s">
        <v>14395</v>
      </c>
      <c r="B308" s="20">
        <v>20</v>
      </c>
      <c r="C308" s="20">
        <v>29</v>
      </c>
      <c r="D308" s="20">
        <v>60</v>
      </c>
      <c r="E308" s="24"/>
      <c r="F308" s="20" t="s">
        <v>14396</v>
      </c>
      <c r="G308" s="24"/>
      <c r="H308" s="24"/>
      <c r="I308" s="24" t="str">
        <f ca="1">IFERROR(__xludf.DUMMYFUNCTION("GOOGLETRANSLATE(F308,""en"",""pt"")"),"Embalagens, os anéis espaçadores")</f>
        <v>Embalagens, os anéis espaçadores</v>
      </c>
      <c r="J308" t="str">
        <f>VLOOKUP(A308,Pr_Base_LNEC!$A$4:$J$6971,6,FALSE)</f>
        <v>Embalagens, Arruelas e Espaçadores</v>
      </c>
      <c r="K308">
        <f>VLOOKUP(A308,Pr_Base_LNEC!$A$4:$J$6971,7,FALSE)</f>
        <v>0</v>
      </c>
    </row>
    <row r="309" spans="1:11" ht="14.5">
      <c r="A309" s="20" t="s">
        <v>14397</v>
      </c>
      <c r="B309" s="20">
        <v>20</v>
      </c>
      <c r="C309" s="20">
        <v>29</v>
      </c>
      <c r="D309" s="20">
        <v>60</v>
      </c>
      <c r="E309" s="20">
        <v>7</v>
      </c>
      <c r="F309" s="20" t="s">
        <v>14398</v>
      </c>
      <c r="G309" s="20" t="s">
        <v>14399</v>
      </c>
      <c r="H309" s="24"/>
      <c r="I309" s="24" t="str">
        <f ca="1">IFERROR(__xludf.DUMMYFUNCTION("GOOGLETRANSLATE(F309,""en"",""pt"")"),"embaladores de feltro betuminosos")</f>
        <v>embaladores de feltro betuminosos</v>
      </c>
      <c r="J309" t="str">
        <f>VLOOKUP(A309,Pr_Base_LNEC!$A$4:$J$6971,6,FALSE)</f>
        <v>-</v>
      </c>
      <c r="K309">
        <f>VLOOKUP(A309,Pr_Base_LNEC!$A$4:$J$6971,7,FALSE)</f>
        <v>0</v>
      </c>
    </row>
    <row r="310" spans="1:11" ht="14.5">
      <c r="A310" s="20" t="s">
        <v>14400</v>
      </c>
      <c r="B310" s="20">
        <v>20</v>
      </c>
      <c r="C310" s="20">
        <v>29</v>
      </c>
      <c r="D310" s="20">
        <v>60</v>
      </c>
      <c r="E310" s="20">
        <v>17</v>
      </c>
      <c r="F310" s="20" t="s">
        <v>14401</v>
      </c>
      <c r="G310" s="24"/>
      <c r="H310" s="24"/>
      <c r="I310" s="24" t="str">
        <f ca="1">IFERROR(__xludf.DUMMYFUNCTION("GOOGLETRANSLATE(F310,""en"",""pt"")"),"anilhas onduladas")</f>
        <v>anilhas onduladas</v>
      </c>
      <c r="J310" t="str">
        <f>VLOOKUP(A310,Pr_Base_LNEC!$A$4:$J$6971,6,FALSE)</f>
        <v>-</v>
      </c>
      <c r="K310">
        <f>VLOOKUP(A310,Pr_Base_LNEC!$A$4:$J$6971,7,FALSE)</f>
        <v>0</v>
      </c>
    </row>
    <row r="311" spans="1:11" ht="14.5">
      <c r="A311" s="20" t="s">
        <v>14402</v>
      </c>
      <c r="B311" s="20">
        <v>20</v>
      </c>
      <c r="C311" s="20">
        <v>29</v>
      </c>
      <c r="D311" s="20">
        <v>60</v>
      </c>
      <c r="E311" s="20">
        <v>20</v>
      </c>
      <c r="F311" s="20" t="s">
        <v>14403</v>
      </c>
      <c r="G311" s="20" t="s">
        <v>14404</v>
      </c>
      <c r="H311" s="24"/>
      <c r="I311" s="24" t="str">
        <f ca="1">IFERROR(__xludf.DUMMYFUNCTION("GOOGLETRANSLATE(F311,""en"",""pt"")"),"Cup (acabamento) arruelas")</f>
        <v>Cup (acabamento) arruelas</v>
      </c>
      <c r="J311" t="str">
        <f>VLOOKUP(A311,Pr_Base_LNEC!$A$4:$J$6971,6,FALSE)</f>
        <v>-</v>
      </c>
      <c r="K311">
        <f>VLOOKUP(A311,Pr_Base_LNEC!$A$4:$J$6971,7,FALSE)</f>
        <v>0</v>
      </c>
    </row>
    <row r="312" spans="1:11" ht="14.5">
      <c r="A312" s="20" t="s">
        <v>14405</v>
      </c>
      <c r="B312" s="20">
        <v>20</v>
      </c>
      <c r="C312" s="20">
        <v>29</v>
      </c>
      <c r="D312" s="20">
        <v>60</v>
      </c>
      <c r="E312" s="20">
        <v>28</v>
      </c>
      <c r="F312" s="20" t="s">
        <v>14406</v>
      </c>
      <c r="G312" s="24"/>
      <c r="H312" s="24"/>
      <c r="I312" s="24" t="str">
        <f ca="1">IFERROR(__xludf.DUMMYFUNCTION("GOOGLETRANSLATE(F312,""en"",""pt"")"),"bloqueio de dente externo (oscilação da prova-) anilhas")</f>
        <v>bloqueio de dente externo (oscilação da prova-) anilhas</v>
      </c>
      <c r="J312" t="str">
        <f>VLOOKUP(A312,Pr_Base_LNEC!$A$4:$J$6971,6,FALSE)</f>
        <v>-</v>
      </c>
      <c r="K312">
        <f>VLOOKUP(A312,Pr_Base_LNEC!$A$4:$J$6971,7,FALSE)</f>
        <v>0</v>
      </c>
    </row>
    <row r="313" spans="1:11" ht="14.5">
      <c r="A313" s="20" t="s">
        <v>14407</v>
      </c>
      <c r="B313" s="20">
        <v>20</v>
      </c>
      <c r="C313" s="20">
        <v>29</v>
      </c>
      <c r="D313" s="20">
        <v>60</v>
      </c>
      <c r="E313" s="20">
        <v>29</v>
      </c>
      <c r="F313" s="20" t="s">
        <v>14408</v>
      </c>
      <c r="G313" s="24"/>
      <c r="H313" s="24"/>
      <c r="I313" s="24" t="str">
        <f ca="1">IFERROR(__xludf.DUMMYFUNCTION("GOOGLETRANSLATE(F313,""en"",""pt"")"),"arruelas fender")</f>
        <v>arruelas fender</v>
      </c>
      <c r="J313" t="str">
        <f>VLOOKUP(A313,Pr_Base_LNEC!$A$4:$J$6971,6,FALSE)</f>
        <v>-</v>
      </c>
      <c r="K313">
        <f>VLOOKUP(A313,Pr_Base_LNEC!$A$4:$J$6971,7,FALSE)</f>
        <v>0</v>
      </c>
    </row>
    <row r="314" spans="1:11" ht="14.5">
      <c r="A314" s="20" t="s">
        <v>14409</v>
      </c>
      <c r="B314" s="20">
        <v>20</v>
      </c>
      <c r="C314" s="20">
        <v>29</v>
      </c>
      <c r="D314" s="20">
        <v>60</v>
      </c>
      <c r="E314" s="20">
        <v>30</v>
      </c>
      <c r="F314" s="20" t="s">
        <v>14410</v>
      </c>
      <c r="G314" s="24"/>
      <c r="H314" s="24"/>
      <c r="I314" s="24" t="str">
        <f ca="1">IFERROR(__xludf.DUMMYFUNCTION("GOOGLETRANSLATE(F314,""en"",""pt"")"),"anilhas de fibra")</f>
        <v>anilhas de fibra</v>
      </c>
      <c r="J314" t="str">
        <f>VLOOKUP(A314,Pr_Base_LNEC!$A$4:$J$6971,6,FALSE)</f>
        <v>-</v>
      </c>
      <c r="K314">
        <f>VLOOKUP(A314,Pr_Base_LNEC!$A$4:$J$6971,7,FALSE)</f>
        <v>0</v>
      </c>
    </row>
    <row r="315" spans="1:11" ht="14.5">
      <c r="A315" s="20" t="s">
        <v>14411</v>
      </c>
      <c r="B315" s="20">
        <v>20</v>
      </c>
      <c r="C315" s="20">
        <v>29</v>
      </c>
      <c r="D315" s="20">
        <v>60</v>
      </c>
      <c r="E315" s="20">
        <v>31</v>
      </c>
      <c r="F315" s="20" t="s">
        <v>14412</v>
      </c>
      <c r="G315" s="24"/>
      <c r="H315" s="24"/>
      <c r="I315" s="24" t="str">
        <f ca="1">IFERROR(__xludf.DUMMYFUNCTION("GOOGLETRANSLATE(F315,""en"",""pt"")"),"arruelas planas")</f>
        <v>arruelas planas</v>
      </c>
      <c r="J315" t="str">
        <f>VLOOKUP(A315,Pr_Base_LNEC!$A$4:$J$6971,6,FALSE)</f>
        <v>-</v>
      </c>
      <c r="K315">
        <f>VLOOKUP(A315,Pr_Base_LNEC!$A$4:$J$6971,7,FALSE)</f>
        <v>0</v>
      </c>
    </row>
    <row r="316" spans="1:11" ht="14.5">
      <c r="A316" s="20" t="s">
        <v>14413</v>
      </c>
      <c r="B316" s="20">
        <v>20</v>
      </c>
      <c r="C316" s="20">
        <v>29</v>
      </c>
      <c r="D316" s="20">
        <v>60</v>
      </c>
      <c r="E316" s="20">
        <v>32</v>
      </c>
      <c r="F316" s="20" t="s">
        <v>14414</v>
      </c>
      <c r="G316" s="20" t="s">
        <v>14415</v>
      </c>
      <c r="H316" s="24"/>
      <c r="I316" s="24" t="str">
        <f ca="1">IFERROR(__xludf.DUMMYFUNCTION("GOOGLETRANSLATE(F316,""en"",""pt"")"),"espaçadores de cobertura de cofragem")</f>
        <v>espaçadores de cobertura de cofragem</v>
      </c>
      <c r="J316" t="str">
        <f>VLOOKUP(A316,Pr_Base_LNEC!$A$4:$J$6971,6,FALSE)</f>
        <v>-</v>
      </c>
      <c r="K316">
        <f>VLOOKUP(A316,Pr_Base_LNEC!$A$4:$J$6971,7,FALSE)</f>
        <v>0</v>
      </c>
    </row>
    <row r="317" spans="1:11" ht="14.5">
      <c r="A317" s="20" t="s">
        <v>14416</v>
      </c>
      <c r="B317" s="20">
        <v>20</v>
      </c>
      <c r="C317" s="20">
        <v>29</v>
      </c>
      <c r="D317" s="20">
        <v>60</v>
      </c>
      <c r="E317" s="20">
        <v>34</v>
      </c>
      <c r="F317" s="20" t="s">
        <v>14417</v>
      </c>
      <c r="G317" s="20" t="s">
        <v>14418</v>
      </c>
      <c r="H317" s="24"/>
      <c r="I317" s="24" t="str">
        <f ca="1">IFERROR(__xludf.DUMMYFUNCTION("GOOGLETRANSLATE(F317,""en"",""pt"")"),"grommets")</f>
        <v>grommets</v>
      </c>
      <c r="J317" t="str">
        <f>VLOOKUP(A317,Pr_Base_LNEC!$A$4:$J$6971,6,FALSE)</f>
        <v>-</v>
      </c>
      <c r="K317">
        <f>VLOOKUP(A317,Pr_Base_LNEC!$A$4:$J$6971,7,FALSE)</f>
        <v>0</v>
      </c>
    </row>
    <row r="318" spans="1:11" ht="14.5">
      <c r="A318" s="20" t="s">
        <v>14419</v>
      </c>
      <c r="B318" s="20">
        <v>20</v>
      </c>
      <c r="C318" s="20">
        <v>29</v>
      </c>
      <c r="D318" s="20">
        <v>60</v>
      </c>
      <c r="E318" s="20">
        <v>36</v>
      </c>
      <c r="F318" s="20" t="s">
        <v>14420</v>
      </c>
      <c r="G318" s="20" t="s">
        <v>14421</v>
      </c>
      <c r="H318" s="24"/>
      <c r="I318" s="24" t="str">
        <f ca="1">IFERROR(__xludf.DUMMYFUNCTION("GOOGLETRANSLATE(F318,""en"",""pt"")"),"embaladores de madeira")</f>
        <v>embaladores de madeira</v>
      </c>
      <c r="J318" t="str">
        <f>VLOOKUP(A318,Pr_Base_LNEC!$A$4:$J$6971,6,FALSE)</f>
        <v>-</v>
      </c>
      <c r="K318">
        <f>VLOOKUP(A318,Pr_Base_LNEC!$A$4:$J$6971,7,FALSE)</f>
        <v>0</v>
      </c>
    </row>
    <row r="319" spans="1:11" ht="14.5">
      <c r="A319" s="20" t="s">
        <v>14422</v>
      </c>
      <c r="B319" s="20">
        <v>20</v>
      </c>
      <c r="C319" s="20">
        <v>29</v>
      </c>
      <c r="D319" s="20">
        <v>60</v>
      </c>
      <c r="E319" s="20">
        <v>37</v>
      </c>
      <c r="F319" s="20" t="s">
        <v>14423</v>
      </c>
      <c r="G319" s="24"/>
      <c r="H319" s="24"/>
      <c r="I319" s="24" t="str">
        <f ca="1">IFERROR(__xludf.DUMMYFUNCTION("GOOGLETRANSLATE(F319,""en"",""pt"")"),"cunhas de madeira")</f>
        <v>cunhas de madeira</v>
      </c>
      <c r="J319" t="str">
        <f>VLOOKUP(A319,Pr_Base_LNEC!$A$4:$J$6971,6,FALSE)</f>
        <v>-</v>
      </c>
      <c r="K319">
        <f>VLOOKUP(A319,Pr_Base_LNEC!$A$4:$J$6971,7,FALSE)</f>
        <v>0</v>
      </c>
    </row>
    <row r="320" spans="1:11" ht="14.5">
      <c r="A320" s="20" t="s">
        <v>14424</v>
      </c>
      <c r="B320" s="20">
        <v>20</v>
      </c>
      <c r="C320" s="20">
        <v>29</v>
      </c>
      <c r="D320" s="20">
        <v>60</v>
      </c>
      <c r="E320" s="20">
        <v>42</v>
      </c>
      <c r="F320" s="20" t="s">
        <v>14425</v>
      </c>
      <c r="G320" s="24"/>
      <c r="H320" s="24"/>
      <c r="I320" s="24" t="str">
        <f ca="1">IFERROR(__xludf.DUMMYFUNCTION("GOOGLETRANSLATE(F320,""en"",""pt"")"),"bloqueio de dente interno (oscilação da prova) arruelas")</f>
        <v>bloqueio de dente interno (oscilação da prova) arruelas</v>
      </c>
      <c r="J320" t="str">
        <f>VLOOKUP(A320,Pr_Base_LNEC!$A$4:$J$6971,6,FALSE)</f>
        <v>-</v>
      </c>
      <c r="K320">
        <f>VLOOKUP(A320,Pr_Base_LNEC!$A$4:$J$6971,7,FALSE)</f>
        <v>0</v>
      </c>
    </row>
    <row r="321" spans="1:11" ht="14.5">
      <c r="A321" s="20" t="s">
        <v>14426</v>
      </c>
      <c r="B321" s="20">
        <v>20</v>
      </c>
      <c r="C321" s="20">
        <v>29</v>
      </c>
      <c r="D321" s="20">
        <v>60</v>
      </c>
      <c r="E321" s="20">
        <v>58</v>
      </c>
      <c r="F321" s="20" t="s">
        <v>14427</v>
      </c>
      <c r="G321" s="24"/>
      <c r="H321" s="24"/>
      <c r="I321" s="24" t="str">
        <f ca="1">IFERROR(__xludf.DUMMYFUNCTION("GOOGLETRANSLATE(F321,""en"",""pt"")"),"anilhas ogivais")</f>
        <v>anilhas ogivais</v>
      </c>
      <c r="J321" t="str">
        <f>VLOOKUP(A321,Pr_Base_LNEC!$A$4:$J$6971,6,FALSE)</f>
        <v>-</v>
      </c>
      <c r="K321">
        <f>VLOOKUP(A321,Pr_Base_LNEC!$A$4:$J$6971,7,FALSE)</f>
        <v>0</v>
      </c>
    </row>
    <row r="322" spans="1:11" ht="14.5">
      <c r="A322" s="20" t="s">
        <v>14428</v>
      </c>
      <c r="B322" s="20">
        <v>20</v>
      </c>
      <c r="C322" s="20">
        <v>29</v>
      </c>
      <c r="D322" s="20">
        <v>60</v>
      </c>
      <c r="E322" s="20">
        <v>59</v>
      </c>
      <c r="F322" s="20" t="s">
        <v>14429</v>
      </c>
      <c r="G322" s="24"/>
      <c r="H322" s="24"/>
      <c r="I322" s="24" t="str">
        <f ca="1">IFERROR(__xludf.DUMMYFUNCTION("GOOGLETRANSLATE(F322,""en"",""pt"")"),"PUSH OPEN")</f>
        <v>PUSH OPEN</v>
      </c>
      <c r="J322" t="str">
        <f>VLOOKUP(A322,Pr_Base_LNEC!$A$4:$J$6971,6,FALSE)</f>
        <v>-</v>
      </c>
      <c r="K322">
        <f>VLOOKUP(A322,Pr_Base_LNEC!$A$4:$J$6971,7,FALSE)</f>
        <v>0</v>
      </c>
    </row>
    <row r="323" spans="1:11" ht="14.5">
      <c r="A323" s="20" t="s">
        <v>14430</v>
      </c>
      <c r="B323" s="20">
        <v>20</v>
      </c>
      <c r="C323" s="20">
        <v>29</v>
      </c>
      <c r="D323" s="20">
        <v>60</v>
      </c>
      <c r="E323" s="20">
        <v>60</v>
      </c>
      <c r="F323" s="20" t="s">
        <v>14431</v>
      </c>
      <c r="G323" s="20" t="s">
        <v>14432</v>
      </c>
      <c r="H323" s="24"/>
      <c r="I323" s="24" t="str">
        <f ca="1">IFERROR(__xludf.DUMMYFUNCTION("GOOGLETRANSLATE(F323,""en"",""pt"")"),"embalagens")</f>
        <v>embalagens</v>
      </c>
      <c r="J323" t="str">
        <f>VLOOKUP(A323,Pr_Base_LNEC!$A$4:$J$6971,6,FALSE)</f>
        <v>-</v>
      </c>
      <c r="K323">
        <f>VLOOKUP(A323,Pr_Base_LNEC!$A$4:$J$6971,7,FALSE)</f>
        <v>0</v>
      </c>
    </row>
    <row r="324" spans="1:11" ht="14.5">
      <c r="A324" s="20" t="s">
        <v>14433</v>
      </c>
      <c r="B324" s="20">
        <v>20</v>
      </c>
      <c r="C324" s="20">
        <v>29</v>
      </c>
      <c r="D324" s="20">
        <v>60</v>
      </c>
      <c r="E324" s="20">
        <v>61</v>
      </c>
      <c r="F324" s="20" t="s">
        <v>14434</v>
      </c>
      <c r="G324" s="24"/>
      <c r="H324" s="24"/>
      <c r="I324" s="24" t="str">
        <f ca="1">IFERROR(__xludf.DUMMYFUNCTION("GOOGLETRANSLATE(F324,""en"",""pt"")"),"embalagens circunferenciais paralelas")</f>
        <v>embalagens circunferenciais paralelas</v>
      </c>
      <c r="J324" t="str">
        <f>VLOOKUP(A324,Pr_Base_LNEC!$A$4:$J$6971,6,FALSE)</f>
        <v>-</v>
      </c>
      <c r="K324">
        <f>VLOOKUP(A324,Pr_Base_LNEC!$A$4:$J$6971,7,FALSE)</f>
        <v>0</v>
      </c>
    </row>
    <row r="325" spans="1:11" ht="14.5">
      <c r="A325" s="20" t="s">
        <v>14435</v>
      </c>
      <c r="B325" s="20">
        <v>20</v>
      </c>
      <c r="C325" s="20">
        <v>29</v>
      </c>
      <c r="D325" s="20">
        <v>60</v>
      </c>
      <c r="E325" s="20">
        <v>62</v>
      </c>
      <c r="F325" s="20" t="s">
        <v>14436</v>
      </c>
      <c r="G325" s="24"/>
      <c r="H325" s="24"/>
      <c r="I325" s="24" t="str">
        <f ca="1">IFERROR(__xludf.DUMMYFUNCTION("GOOGLETRANSLATE(F325,""en"",""pt"")"),"Penny (Dock) anilhas")</f>
        <v>Penny (Dock) anilhas</v>
      </c>
      <c r="J325" t="str">
        <f>VLOOKUP(A325,Pr_Base_LNEC!$A$4:$J$6971,6,FALSE)</f>
        <v>-</v>
      </c>
      <c r="K325">
        <f>VLOOKUP(A325,Pr_Base_LNEC!$A$4:$J$6971,7,FALSE)</f>
        <v>0</v>
      </c>
    </row>
    <row r="326" spans="1:11" ht="14.5">
      <c r="A326" s="20" t="s">
        <v>14437</v>
      </c>
      <c r="B326" s="20">
        <v>20</v>
      </c>
      <c r="C326" s="20">
        <v>29</v>
      </c>
      <c r="D326" s="20">
        <v>60</v>
      </c>
      <c r="E326" s="20">
        <v>63</v>
      </c>
      <c r="F326" s="20" t="s">
        <v>14438</v>
      </c>
      <c r="G326" s="24"/>
      <c r="H326" s="24"/>
      <c r="I326" s="24" t="str">
        <f ca="1">IFERROR(__xludf.DUMMYFUNCTION("GOOGLETRANSLATE(F326,""en"",""pt"")"),"Placa (quadrados) anilhas")</f>
        <v>Placa (quadrados) anilhas</v>
      </c>
      <c r="J326" t="str">
        <f>VLOOKUP(A326,Pr_Base_LNEC!$A$4:$J$6971,6,FALSE)</f>
        <v>-</v>
      </c>
      <c r="K326">
        <f>VLOOKUP(A326,Pr_Base_LNEC!$A$4:$J$6971,7,FALSE)</f>
        <v>0</v>
      </c>
    </row>
    <row r="327" spans="1:11" ht="14.5">
      <c r="A327" s="20" t="s">
        <v>14439</v>
      </c>
      <c r="B327" s="20">
        <v>20</v>
      </c>
      <c r="C327" s="20">
        <v>29</v>
      </c>
      <c r="D327" s="20">
        <v>60</v>
      </c>
      <c r="E327" s="20">
        <v>64</v>
      </c>
      <c r="F327" s="20" t="s">
        <v>14440</v>
      </c>
      <c r="G327" s="20" t="s">
        <v>14441</v>
      </c>
      <c r="H327" s="24"/>
      <c r="I327" s="24" t="str">
        <f ca="1">IFERROR(__xludf.DUMMYFUNCTION("GOOGLETRANSLATE(F327,""en"",""pt"")"),"embaladores de contraplacado")</f>
        <v>embaladores de contraplacado</v>
      </c>
      <c r="J327" t="str">
        <f>VLOOKUP(A327,Pr_Base_LNEC!$A$4:$J$6971,6,FALSE)</f>
        <v>-</v>
      </c>
      <c r="K327">
        <f>VLOOKUP(A327,Pr_Base_LNEC!$A$4:$J$6971,7,FALSE)</f>
        <v>0</v>
      </c>
    </row>
    <row r="328" spans="1:11" ht="14.5">
      <c r="A328" s="20" t="s">
        <v>14442</v>
      </c>
      <c r="B328" s="20">
        <v>20</v>
      </c>
      <c r="C328" s="20">
        <v>29</v>
      </c>
      <c r="D328" s="20">
        <v>60</v>
      </c>
      <c r="E328" s="20">
        <v>65</v>
      </c>
      <c r="F328" s="20" t="s">
        <v>14443</v>
      </c>
      <c r="G328" s="20" t="s">
        <v>14444</v>
      </c>
      <c r="H328" s="24"/>
      <c r="I328" s="24" t="str">
        <f ca="1">IFERROR(__xludf.DUMMYFUNCTION("GOOGLETRANSLATE(F328,""en"",""pt"")"),"embaladores de polietileno")</f>
        <v>embaladores de polietileno</v>
      </c>
      <c r="J328" t="str">
        <f>VLOOKUP(A328,Pr_Base_LNEC!$A$4:$J$6971,6,FALSE)</f>
        <v>-</v>
      </c>
      <c r="K328">
        <f>VLOOKUP(A328,Pr_Base_LNEC!$A$4:$J$6971,7,FALSE)</f>
        <v>0</v>
      </c>
    </row>
    <row r="329" spans="1:11" ht="14.5">
      <c r="A329" s="20" t="s">
        <v>14445</v>
      </c>
      <c r="B329" s="20">
        <v>20</v>
      </c>
      <c r="C329" s="20">
        <v>29</v>
      </c>
      <c r="D329" s="20">
        <v>60</v>
      </c>
      <c r="E329" s="20">
        <v>75</v>
      </c>
      <c r="F329" s="20" t="s">
        <v>14446</v>
      </c>
      <c r="G329" s="24"/>
      <c r="H329" s="24"/>
      <c r="I329" s="24" t="str">
        <f ca="1">IFERROR(__xludf.DUMMYFUNCTION("GOOGLETRANSLATE(F329,""en"",""pt"")"),"anilhas dentadas")</f>
        <v>anilhas dentadas</v>
      </c>
      <c r="J329" t="str">
        <f>VLOOKUP(A329,Pr_Base_LNEC!$A$4:$J$6971,6,FALSE)</f>
        <v>-</v>
      </c>
      <c r="K329">
        <f>VLOOKUP(A329,Pr_Base_LNEC!$A$4:$J$6971,7,FALSE)</f>
        <v>0</v>
      </c>
    </row>
    <row r="330" spans="1:11" ht="14.5">
      <c r="A330" s="20" t="s">
        <v>14447</v>
      </c>
      <c r="B330" s="20">
        <v>20</v>
      </c>
      <c r="C330" s="20">
        <v>29</v>
      </c>
      <c r="D330" s="20">
        <v>60</v>
      </c>
      <c r="E330" s="20">
        <v>76</v>
      </c>
      <c r="F330" s="20" t="s">
        <v>14448</v>
      </c>
      <c r="G330" s="24"/>
      <c r="H330" s="24"/>
      <c r="I330" s="24" t="str">
        <f ca="1">IFERROR(__xludf.DUMMYFUNCTION("GOOGLETRANSLATE(F330,""en"",""pt"")"),"arruelas de vedação")</f>
        <v>arruelas de vedação</v>
      </c>
      <c r="J330" t="str">
        <f>VLOOKUP(A330,Pr_Base_LNEC!$A$4:$J$6971,6,FALSE)</f>
        <v>-</v>
      </c>
      <c r="K330">
        <f>VLOOKUP(A330,Pr_Base_LNEC!$A$4:$J$6971,7,FALSE)</f>
        <v>0</v>
      </c>
    </row>
    <row r="331" spans="1:11" ht="14.5">
      <c r="A331" s="20" t="s">
        <v>14449</v>
      </c>
      <c r="B331" s="20">
        <v>20</v>
      </c>
      <c r="C331" s="20">
        <v>29</v>
      </c>
      <c r="D331" s="20">
        <v>60</v>
      </c>
      <c r="E331" s="20">
        <v>77</v>
      </c>
      <c r="F331" s="20" t="s">
        <v>14450</v>
      </c>
      <c r="G331" s="20" t="s">
        <v>14451</v>
      </c>
      <c r="H331" s="24"/>
      <c r="I331" s="24" t="str">
        <f ca="1">IFERROR(__xludf.DUMMYFUNCTION("GOOGLETRANSLATE(F331,""en"",""pt"")"),"Calços e cunhas de dobragem")</f>
        <v>Calços e cunhas de dobragem</v>
      </c>
      <c r="J331" t="str">
        <f>VLOOKUP(A331,Pr_Base_LNEC!$A$4:$J$6971,6,FALSE)</f>
        <v>-</v>
      </c>
      <c r="K331">
        <f>VLOOKUP(A331,Pr_Base_LNEC!$A$4:$J$6971,7,FALSE)</f>
        <v>0</v>
      </c>
    </row>
    <row r="332" spans="1:11" ht="14.5">
      <c r="A332" s="20" t="s">
        <v>14452</v>
      </c>
      <c r="B332" s="20">
        <v>20</v>
      </c>
      <c r="C332" s="20">
        <v>29</v>
      </c>
      <c r="D332" s="20">
        <v>60</v>
      </c>
      <c r="E332" s="20">
        <v>81</v>
      </c>
      <c r="F332" s="20" t="s">
        <v>14453</v>
      </c>
      <c r="G332" s="24"/>
      <c r="H332" s="24"/>
      <c r="I332" s="24" t="str">
        <f ca="1">IFERROR(__xludf.DUMMYFUNCTION("GOOGLETRANSLATE(F332,""en"",""pt"")"),"embalagens de fibra longa")</f>
        <v>embalagens de fibra longa</v>
      </c>
      <c r="J332" t="str">
        <f>VLOOKUP(A332,Pr_Base_LNEC!$A$4:$J$6971,6,FALSE)</f>
        <v>-</v>
      </c>
      <c r="K332">
        <f>VLOOKUP(A332,Pr_Base_LNEC!$A$4:$J$6971,7,FALSE)</f>
        <v>0</v>
      </c>
    </row>
    <row r="333" spans="1:11" ht="14.5">
      <c r="A333" s="20" t="s">
        <v>14454</v>
      </c>
      <c r="B333" s="20">
        <v>20</v>
      </c>
      <c r="C333" s="20">
        <v>29</v>
      </c>
      <c r="D333" s="20">
        <v>60</v>
      </c>
      <c r="E333" s="20">
        <v>82</v>
      </c>
      <c r="F333" s="20" t="s">
        <v>14455</v>
      </c>
      <c r="G333" s="24"/>
      <c r="H333" s="24"/>
      <c r="I333" s="24" t="str">
        <f ca="1">IFERROR(__xludf.DUMMYFUNCTION("GOOGLETRANSLATE(F333,""en"",""pt"")"),"cunhas resinosas")</f>
        <v>cunhas resinosas</v>
      </c>
      <c r="J333" t="str">
        <f>VLOOKUP(A333,Pr_Base_LNEC!$A$4:$J$6971,6,FALSE)</f>
        <v>-</v>
      </c>
      <c r="K333">
        <f>VLOOKUP(A333,Pr_Base_LNEC!$A$4:$J$6971,7,FALSE)</f>
        <v>0</v>
      </c>
    </row>
    <row r="334" spans="1:11" ht="14.5">
      <c r="A334" s="20" t="s">
        <v>14456</v>
      </c>
      <c r="B334" s="20">
        <v>20</v>
      </c>
      <c r="C334" s="20">
        <v>29</v>
      </c>
      <c r="D334" s="20">
        <v>60</v>
      </c>
      <c r="E334" s="20">
        <v>84</v>
      </c>
      <c r="F334" s="20" t="s">
        <v>14457</v>
      </c>
      <c r="G334" s="24"/>
      <c r="H334" s="24"/>
      <c r="I334" s="24" t="str">
        <f ca="1">IFERROR(__xludf.DUMMYFUNCTION("GOOGLETRANSLATE(F334,""en"",""pt"")"),"Arqueadas (bloqueio) de divisão anilhas")</f>
        <v>Arqueadas (bloqueio) de divisão anilhas</v>
      </c>
      <c r="J334" t="str">
        <f>VLOOKUP(A334,Pr_Base_LNEC!$A$4:$J$6971,6,FALSE)</f>
        <v>-</v>
      </c>
      <c r="K334">
        <f>VLOOKUP(A334,Pr_Base_LNEC!$A$4:$J$6971,7,FALSE)</f>
        <v>0</v>
      </c>
    </row>
    <row r="335" spans="1:11" ht="14.5">
      <c r="A335" s="20" t="s">
        <v>14458</v>
      </c>
      <c r="B335" s="20">
        <v>20</v>
      </c>
      <c r="C335" s="20">
        <v>29</v>
      </c>
      <c r="D335" s="20">
        <v>60</v>
      </c>
      <c r="E335" s="20">
        <v>87</v>
      </c>
      <c r="F335" s="20" t="s">
        <v>14459</v>
      </c>
      <c r="G335" s="24"/>
      <c r="H335" s="24"/>
      <c r="I335" s="24" t="str">
        <f ca="1">IFERROR(__xludf.DUMMYFUNCTION("GOOGLETRANSLATE(F335,""en"",""pt"")"),"embalagens circunferenciais cónicos")</f>
        <v>embalagens circunferenciais cónicos</v>
      </c>
      <c r="J335" t="str">
        <f>VLOOKUP(A335,Pr_Base_LNEC!$A$4:$J$6971,6,FALSE)</f>
        <v>-</v>
      </c>
      <c r="K335">
        <f>VLOOKUP(A335,Pr_Base_LNEC!$A$4:$J$6971,7,FALSE)</f>
        <v>0</v>
      </c>
    </row>
    <row r="336" spans="1:11" ht="14.5">
      <c r="A336" s="20" t="s">
        <v>14460</v>
      </c>
      <c r="B336" s="20">
        <v>20</v>
      </c>
      <c r="C336" s="20">
        <v>29</v>
      </c>
      <c r="D336" s="20">
        <v>60</v>
      </c>
      <c r="E336" s="20">
        <v>96</v>
      </c>
      <c r="F336" s="20" t="s">
        <v>14461</v>
      </c>
      <c r="G336" s="20" t="s">
        <v>14462</v>
      </c>
      <c r="H336" s="24"/>
      <c r="I336" s="24" t="str">
        <f ca="1">IFERROR(__xludf.DUMMYFUNCTION("GOOGLETRANSLATE(F336,""en"",""pt"")"),"arruelas")</f>
        <v>arruelas</v>
      </c>
      <c r="J336" t="str">
        <f>VLOOKUP(A336,Pr_Base_LNEC!$A$4:$J$6971,6,FALSE)</f>
        <v>-</v>
      </c>
      <c r="K336">
        <f>VLOOKUP(A336,Pr_Base_LNEC!$A$4:$J$6971,7,FALSE)</f>
        <v>0</v>
      </c>
    </row>
    <row r="337" spans="1:11" ht="14.5">
      <c r="A337" s="20" t="s">
        <v>14463</v>
      </c>
      <c r="B337" s="20">
        <v>20</v>
      </c>
      <c r="C337" s="20">
        <v>29</v>
      </c>
      <c r="D337" s="20">
        <v>63</v>
      </c>
      <c r="E337" s="24"/>
      <c r="F337" s="20" t="s">
        <v>14464</v>
      </c>
      <c r="G337" s="24"/>
      <c r="H337" s="24"/>
      <c r="I337" s="24" t="str">
        <f ca="1">IFERROR(__xludf.DUMMYFUNCTION("GOOGLETRANSLATE(F337,""en"",""pt"")"),"plugs")</f>
        <v>plugs</v>
      </c>
      <c r="J337" t="str">
        <f>VLOOKUP(A337,Pr_Base_LNEC!$A$4:$J$6971,6,FALSE)</f>
        <v>Buchas</v>
      </c>
      <c r="K337">
        <f>VLOOKUP(A337,Pr_Base_LNEC!$A$4:$J$6971,7,FALSE)</f>
        <v>0</v>
      </c>
    </row>
    <row r="338" spans="1:11" ht="14.5">
      <c r="A338" s="20" t="s">
        <v>14465</v>
      </c>
      <c r="B338" s="20">
        <v>20</v>
      </c>
      <c r="C338" s="20">
        <v>29</v>
      </c>
      <c r="D338" s="20">
        <v>63</v>
      </c>
      <c r="E338" s="20">
        <v>50</v>
      </c>
      <c r="F338" s="20" t="s">
        <v>14466</v>
      </c>
      <c r="G338" s="20" t="s">
        <v>14467</v>
      </c>
      <c r="H338" s="24"/>
      <c r="I338" s="24" t="str">
        <f ca="1">IFERROR(__xludf.DUMMYFUNCTION("GOOGLETRANSLATE(F338,""en"",""pt"")"),"plugs de alvenaria")</f>
        <v>plugs de alvenaria</v>
      </c>
      <c r="J338" t="str">
        <f>VLOOKUP(A338,Pr_Base_LNEC!$A$4:$J$6971,6,FALSE)</f>
        <v>-</v>
      </c>
      <c r="K338">
        <f>VLOOKUP(A338,Pr_Base_LNEC!$A$4:$J$6971,7,FALSE)</f>
        <v>0</v>
      </c>
    </row>
    <row r="339" spans="1:11" ht="14.5">
      <c r="A339" s="20" t="s">
        <v>14468</v>
      </c>
      <c r="B339" s="20">
        <v>20</v>
      </c>
      <c r="C339" s="20">
        <v>29</v>
      </c>
      <c r="D339" s="20">
        <v>63</v>
      </c>
      <c r="E339" s="20">
        <v>63</v>
      </c>
      <c r="F339" s="20" t="s">
        <v>14469</v>
      </c>
      <c r="G339" s="20" t="s">
        <v>14470</v>
      </c>
      <c r="H339" s="24"/>
      <c r="I339" s="24" t="str">
        <f ca="1">IFERROR(__xludf.DUMMYFUNCTION("GOOGLETRANSLATE(F339,""en"",""pt"")"),"plásticos tampões")</f>
        <v>plásticos tampões</v>
      </c>
      <c r="J339" t="str">
        <f>VLOOKUP(A339,Pr_Base_LNEC!$A$4:$J$6971,6,FALSE)</f>
        <v>-</v>
      </c>
      <c r="K339">
        <f>VLOOKUP(A339,Pr_Base_LNEC!$A$4:$J$6971,7,FALSE)</f>
        <v>0</v>
      </c>
    </row>
    <row r="340" spans="1:11" ht="14.5">
      <c r="A340" s="20" t="s">
        <v>14471</v>
      </c>
      <c r="B340" s="20">
        <v>20</v>
      </c>
      <c r="C340" s="20">
        <v>29</v>
      </c>
      <c r="D340" s="20">
        <v>63</v>
      </c>
      <c r="E340" s="20">
        <v>84</v>
      </c>
      <c r="F340" s="20" t="s">
        <v>14472</v>
      </c>
      <c r="G340" s="20" t="s">
        <v>14473</v>
      </c>
      <c r="H340" s="24"/>
      <c r="I340" s="24" t="str">
        <f ca="1">IFERROR(__xludf.DUMMYFUNCTION("GOOGLETRANSLATE(F340,""en"",""pt"")"),"obturadores de membrana de drenagem cavidade cardados")</f>
        <v>obturadores de membrana de drenagem cavidade cardados</v>
      </c>
      <c r="J340" t="str">
        <f>VLOOKUP(A340,Pr_Base_LNEC!$A$4:$J$6971,6,FALSE)</f>
        <v>-</v>
      </c>
      <c r="K340">
        <f>VLOOKUP(A340,Pr_Base_LNEC!$A$4:$J$6971,7,FALSE)</f>
        <v>0</v>
      </c>
    </row>
    <row r="341" spans="1:11" ht="14.5">
      <c r="A341" s="20" t="s">
        <v>14474</v>
      </c>
      <c r="B341" s="20">
        <v>20</v>
      </c>
      <c r="C341" s="20">
        <v>29</v>
      </c>
      <c r="D341" s="20">
        <v>63</v>
      </c>
      <c r="E341" s="20">
        <v>85</v>
      </c>
      <c r="F341" s="20" t="s">
        <v>14475</v>
      </c>
      <c r="G341" s="20" t="s">
        <v>14476</v>
      </c>
      <c r="H341" s="24"/>
      <c r="I341" s="24" t="str">
        <f ca="1">IFERROR(__xludf.DUMMYFUNCTION("GOOGLETRANSLATE(F341,""en"",""pt"")"),"plugs de superfície e pelotas")</f>
        <v>plugs de superfície e pelotas</v>
      </c>
      <c r="J341" t="str">
        <f>VLOOKUP(A341,Pr_Base_LNEC!$A$4:$J$6971,6,FALSE)</f>
        <v>-</v>
      </c>
      <c r="K341">
        <f>VLOOKUP(A341,Pr_Base_LNEC!$A$4:$J$6971,7,FALSE)</f>
        <v>0</v>
      </c>
    </row>
    <row r="342" spans="1:11" ht="14.5">
      <c r="A342" s="20" t="s">
        <v>14477</v>
      </c>
      <c r="B342" s="20">
        <v>20</v>
      </c>
      <c r="C342" s="20">
        <v>29</v>
      </c>
      <c r="D342" s="20">
        <v>70</v>
      </c>
      <c r="E342" s="24"/>
      <c r="F342" s="20" t="s">
        <v>14478</v>
      </c>
      <c r="G342" s="24"/>
      <c r="H342" s="24"/>
      <c r="I342" s="24" t="str">
        <f ca="1">IFERROR(__xludf.DUMMYFUNCTION("GOOGLETRANSLATE(F342,""en"",""pt"")"),"fixadores ferroviários")</f>
        <v>fixadores ferroviários</v>
      </c>
      <c r="J342" t="str">
        <f>VLOOKUP(A342,Pr_Base_LNEC!$A$4:$J$6971,6,FALSE)</f>
        <v>Ligações para Carris em Ferrovias</v>
      </c>
      <c r="K342">
        <f>VLOOKUP(A342,Pr_Base_LNEC!$A$4:$J$6971,7,FALSE)</f>
        <v>0</v>
      </c>
    </row>
    <row r="343" spans="1:11" ht="14.5">
      <c r="A343" s="20" t="s">
        <v>14479</v>
      </c>
      <c r="B343" s="20">
        <v>20</v>
      </c>
      <c r="C343" s="20">
        <v>29</v>
      </c>
      <c r="D343" s="20">
        <v>70</v>
      </c>
      <c r="E343" s="20">
        <v>2</v>
      </c>
      <c r="F343" s="20" t="s">
        <v>14480</v>
      </c>
      <c r="G343" s="20" t="s">
        <v>14481</v>
      </c>
      <c r="H343" s="24"/>
      <c r="I343" s="24" t="str">
        <f ca="1">IFERROR(__xludf.DUMMYFUNCTION("GOOGLETRANSLATE(F343,""en"",""pt"")"),"clips ferroviários ajustáveis")</f>
        <v>clips ferroviários ajustáveis</v>
      </c>
      <c r="J343" t="str">
        <f>VLOOKUP(A343,Pr_Base_LNEC!$A$4:$J$6971,6,FALSE)</f>
        <v>-</v>
      </c>
      <c r="K343">
        <f>VLOOKUP(A343,Pr_Base_LNEC!$A$4:$J$6971,7,FALSE)</f>
        <v>0</v>
      </c>
    </row>
    <row r="344" spans="1:11" ht="14.5">
      <c r="A344" s="20" t="s">
        <v>14482</v>
      </c>
      <c r="B344" s="20">
        <v>20</v>
      </c>
      <c r="C344" s="20">
        <v>29</v>
      </c>
      <c r="D344" s="20">
        <v>70</v>
      </c>
      <c r="E344" s="20">
        <v>9</v>
      </c>
      <c r="F344" s="20" t="s">
        <v>14483</v>
      </c>
      <c r="G344" s="24"/>
      <c r="H344" s="24"/>
      <c r="I344" s="24" t="str">
        <f ca="1">IFERROR(__xludf.DUMMYFUNCTION("GOOGLETRANSLATE(F344,""en"",""pt"")"),"chaves ferroviário cabeça de touro")</f>
        <v>chaves ferroviário cabeça de touro</v>
      </c>
      <c r="J344" t="str">
        <f>VLOOKUP(A344,Pr_Base_LNEC!$A$4:$J$6971,6,FALSE)</f>
        <v>-</v>
      </c>
      <c r="K344">
        <f>VLOOKUP(A344,Pr_Base_LNEC!$A$4:$J$6971,7,FALSE)</f>
        <v>0</v>
      </c>
    </row>
    <row r="345" spans="1:11" ht="14.5">
      <c r="A345" s="20" t="s">
        <v>14484</v>
      </c>
      <c r="B345" s="20">
        <v>20</v>
      </c>
      <c r="C345" s="20">
        <v>29</v>
      </c>
      <c r="D345" s="20">
        <v>70</v>
      </c>
      <c r="E345" s="20">
        <v>11</v>
      </c>
      <c r="F345" s="20" t="s">
        <v>14485</v>
      </c>
      <c r="G345" s="24"/>
      <c r="H345" s="24"/>
      <c r="I345" s="24" t="str">
        <f ca="1">IFERROR(__xludf.DUMMYFUNCTION("GOOGLETRANSLATE(F345,""en"",""pt"")"),"Cast-nos ombros grampo do trilho")</f>
        <v>Cast-nos ombros grampo do trilho</v>
      </c>
      <c r="J345" t="str">
        <f>VLOOKUP(A345,Pr_Base_LNEC!$A$4:$J$6971,6,FALSE)</f>
        <v>-</v>
      </c>
      <c r="K345">
        <f>VLOOKUP(A345,Pr_Base_LNEC!$A$4:$J$6971,7,FALSE)</f>
        <v>0</v>
      </c>
    </row>
    <row r="346" spans="1:11" ht="14.5">
      <c r="A346" s="20" t="s">
        <v>14486</v>
      </c>
      <c r="B346" s="20">
        <v>20</v>
      </c>
      <c r="C346" s="20">
        <v>29</v>
      </c>
      <c r="D346" s="20">
        <v>70</v>
      </c>
      <c r="E346" s="20">
        <v>13</v>
      </c>
      <c r="F346" s="20" t="s">
        <v>14487</v>
      </c>
      <c r="G346" s="24"/>
      <c r="H346" s="24"/>
      <c r="I346" s="24" t="str">
        <f ca="1">IFERROR(__xludf.DUMMYFUNCTION("GOOGLETRANSLATE(F346,""en"",""pt"")"),"suportes tipo grampo")</f>
        <v>suportes tipo grampo</v>
      </c>
      <c r="J346" t="str">
        <f>VLOOKUP(A346,Pr_Base_LNEC!$A$4:$J$6971,6,FALSE)</f>
        <v>-</v>
      </c>
      <c r="K346">
        <f>VLOOKUP(A346,Pr_Base_LNEC!$A$4:$J$6971,7,FALSE)</f>
        <v>0</v>
      </c>
    </row>
    <row r="347" spans="1:11" ht="14.5">
      <c r="A347" s="20" t="s">
        <v>14488</v>
      </c>
      <c r="B347" s="20">
        <v>20</v>
      </c>
      <c r="C347" s="20">
        <v>29</v>
      </c>
      <c r="D347" s="20">
        <v>70</v>
      </c>
      <c r="E347" s="20">
        <v>22</v>
      </c>
      <c r="F347" s="20" t="s">
        <v>14489</v>
      </c>
      <c r="G347" s="24"/>
      <c r="H347" s="24"/>
      <c r="I347" s="24" t="str">
        <f ca="1">IFERROR(__xludf.DUMMYFUNCTION("GOOGLETRANSLATE(F347,""en"",""pt"")"),"parafusos de bloco distância")</f>
        <v>parafusos de bloco distância</v>
      </c>
      <c r="J347" t="str">
        <f>VLOOKUP(A347,Pr_Base_LNEC!$A$4:$J$6971,6,FALSE)</f>
        <v>-</v>
      </c>
      <c r="K347">
        <f>VLOOKUP(A347,Pr_Base_LNEC!$A$4:$J$6971,7,FALSE)</f>
        <v>0</v>
      </c>
    </row>
    <row r="348" spans="1:11" ht="14.5">
      <c r="A348" s="20" t="s">
        <v>14490</v>
      </c>
      <c r="B348" s="20">
        <v>20</v>
      </c>
      <c r="C348" s="20">
        <v>29</v>
      </c>
      <c r="D348" s="20">
        <v>70</v>
      </c>
      <c r="E348" s="20">
        <v>31</v>
      </c>
      <c r="F348" s="20" t="s">
        <v>14491</v>
      </c>
      <c r="G348" s="20" t="s">
        <v>14492</v>
      </c>
      <c r="H348" s="24"/>
      <c r="I348" s="24" t="str">
        <f ca="1">IFERROR(__xludf.DUMMYFUNCTION("GOOGLETRANSLATE(F348,""en"",""pt"")"),"fishplates")</f>
        <v>fishplates</v>
      </c>
      <c r="J348" t="str">
        <f>VLOOKUP(A348,Pr_Base_LNEC!$A$4:$J$6971,6,FALSE)</f>
        <v>-</v>
      </c>
      <c r="K348">
        <f>VLOOKUP(A348,Pr_Base_LNEC!$A$4:$J$6971,7,FALSE)</f>
        <v>0</v>
      </c>
    </row>
    <row r="349" spans="1:11" ht="14.5">
      <c r="A349" s="20" t="s">
        <v>14493</v>
      </c>
      <c r="B349" s="20">
        <v>20</v>
      </c>
      <c r="C349" s="20">
        <v>29</v>
      </c>
      <c r="D349" s="20">
        <v>70</v>
      </c>
      <c r="E349" s="20">
        <v>32</v>
      </c>
      <c r="F349" s="20" t="s">
        <v>14494</v>
      </c>
      <c r="G349" s="24"/>
      <c r="H349" s="24"/>
      <c r="I349" s="24" t="str">
        <f ca="1">IFERROR(__xludf.DUMMYFUNCTION("GOOGLETRANSLATE(F349,""en"",""pt"")"),"Fishwashers")</f>
        <v>Fishwashers</v>
      </c>
      <c r="J349" t="str">
        <f>VLOOKUP(A349,Pr_Base_LNEC!$A$4:$J$6971,6,FALSE)</f>
        <v>-</v>
      </c>
      <c r="K349">
        <f>VLOOKUP(A349,Pr_Base_LNEC!$A$4:$J$6971,7,FALSE)</f>
        <v>0</v>
      </c>
    </row>
    <row r="350" spans="1:11" ht="14.5">
      <c r="A350" s="20" t="s">
        <v>14495</v>
      </c>
      <c r="B350" s="20">
        <v>20</v>
      </c>
      <c r="C350" s="20">
        <v>29</v>
      </c>
      <c r="D350" s="20">
        <v>70</v>
      </c>
      <c r="E350" s="20">
        <v>36</v>
      </c>
      <c r="F350" s="20" t="s">
        <v>14496</v>
      </c>
      <c r="G350" s="24"/>
      <c r="H350" s="24"/>
      <c r="I350" s="24" t="str">
        <f ca="1">IFERROR(__xludf.DUMMYFUNCTION("GOOGLETRANSLATE(F350,""en"",""pt"")"),"cunhas de bloqueio")</f>
        <v>cunhas de bloqueio</v>
      </c>
      <c r="J350" t="str">
        <f>VLOOKUP(A350,Pr_Base_LNEC!$A$4:$J$6971,6,FALSE)</f>
        <v>-</v>
      </c>
      <c r="K350">
        <f>VLOOKUP(A350,Pr_Base_LNEC!$A$4:$J$6971,7,FALSE)</f>
        <v>0</v>
      </c>
    </row>
    <row r="351" spans="1:11" ht="14.5">
      <c r="A351" s="20" t="s">
        <v>14497</v>
      </c>
      <c r="B351" s="20">
        <v>20</v>
      </c>
      <c r="C351" s="20">
        <v>29</v>
      </c>
      <c r="D351" s="20">
        <v>70</v>
      </c>
      <c r="E351" s="20">
        <v>37</v>
      </c>
      <c r="F351" s="20" t="s">
        <v>14498</v>
      </c>
      <c r="G351" s="24"/>
      <c r="H351" s="24"/>
      <c r="I351" s="24" t="str">
        <f ca="1">IFERROR(__xludf.DUMMYFUNCTION("GOOGLETRANSLATE(F351,""en"",""pt"")"),"parafusos de bloco calcanhar")</f>
        <v>parafusos de bloco calcanhar</v>
      </c>
      <c r="J351" t="str">
        <f>VLOOKUP(A351,Pr_Base_LNEC!$A$4:$J$6971,6,FALSE)</f>
        <v>-</v>
      </c>
      <c r="K351">
        <f>VLOOKUP(A351,Pr_Base_LNEC!$A$4:$J$6971,7,FALSE)</f>
        <v>0</v>
      </c>
    </row>
    <row r="352" spans="1:11" ht="14.5">
      <c r="A352" s="20" t="s">
        <v>14499</v>
      </c>
      <c r="B352" s="20">
        <v>20</v>
      </c>
      <c r="C352" s="20">
        <v>29</v>
      </c>
      <c r="D352" s="20">
        <v>70</v>
      </c>
      <c r="E352" s="20">
        <v>41</v>
      </c>
      <c r="F352" s="20" t="s">
        <v>14500</v>
      </c>
      <c r="G352" s="24"/>
      <c r="H352" s="24"/>
      <c r="I352" s="24" t="str">
        <f ca="1">IFERROR(__xludf.DUMMYFUNCTION("GOOGLETRANSLATE(F352,""en"",""pt"")"),"fishplates isolados")</f>
        <v>fishplates isolados</v>
      </c>
      <c r="J352" t="str">
        <f>VLOOKUP(A352,Pr_Base_LNEC!$A$4:$J$6971,6,FALSE)</f>
        <v>-</v>
      </c>
      <c r="K352">
        <f>VLOOKUP(A352,Pr_Base_LNEC!$A$4:$J$6971,7,FALSE)</f>
        <v>0</v>
      </c>
    </row>
    <row r="353" spans="1:11" ht="14.5">
      <c r="A353" s="20" t="s">
        <v>14501</v>
      </c>
      <c r="B353" s="20">
        <v>20</v>
      </c>
      <c r="C353" s="20">
        <v>29</v>
      </c>
      <c r="D353" s="20">
        <v>70</v>
      </c>
      <c r="E353" s="20">
        <v>46</v>
      </c>
      <c r="F353" s="20" t="s">
        <v>14502</v>
      </c>
      <c r="G353" s="24"/>
      <c r="H353" s="24"/>
      <c r="I353" s="24" t="str">
        <f ca="1">IFERROR(__xludf.DUMMYFUNCTION("GOOGLETRANSLATE(F353,""en"",""pt"")"),"fishplates longos defeito")</f>
        <v>fishplates longos defeito</v>
      </c>
      <c r="J353" t="str">
        <f>VLOOKUP(A353,Pr_Base_LNEC!$A$4:$J$6971,6,FALSE)</f>
        <v>-</v>
      </c>
      <c r="K353">
        <f>VLOOKUP(A353,Pr_Base_LNEC!$A$4:$J$6971,7,FALSE)</f>
        <v>0</v>
      </c>
    </row>
    <row r="354" spans="1:11" ht="14.5">
      <c r="A354" s="20" t="s">
        <v>14503</v>
      </c>
      <c r="B354" s="20">
        <v>20</v>
      </c>
      <c r="C354" s="20">
        <v>29</v>
      </c>
      <c r="D354" s="20">
        <v>70</v>
      </c>
      <c r="E354" s="20">
        <v>68</v>
      </c>
      <c r="F354" s="20" t="s">
        <v>14504</v>
      </c>
      <c r="G354" s="24"/>
      <c r="H354" s="24"/>
      <c r="I354" s="24" t="str">
        <f ca="1">IFERROR(__xludf.DUMMYFUNCTION("GOOGLETRANSLATE(F354,""en"",""pt"")"),"âncoras ferroviárias")</f>
        <v>âncoras ferroviárias</v>
      </c>
      <c r="J354" t="str">
        <f>VLOOKUP(A354,Pr_Base_LNEC!$A$4:$J$6971,6,FALSE)</f>
        <v>-</v>
      </c>
      <c r="K354">
        <f>VLOOKUP(A354,Pr_Base_LNEC!$A$4:$J$6971,7,FALSE)</f>
        <v>0</v>
      </c>
    </row>
    <row r="355" spans="1:11" ht="14.5">
      <c r="A355" s="20" t="s">
        <v>14505</v>
      </c>
      <c r="B355" s="20">
        <v>20</v>
      </c>
      <c r="C355" s="20">
        <v>29</v>
      </c>
      <c r="D355" s="20">
        <v>70</v>
      </c>
      <c r="E355" s="20">
        <v>69</v>
      </c>
      <c r="F355" s="20" t="s">
        <v>14506</v>
      </c>
      <c r="G355" s="24"/>
      <c r="H355" s="24"/>
      <c r="I355" s="24" t="str">
        <f ca="1">IFERROR(__xludf.DUMMYFUNCTION("GOOGLETRANSLATE(F355,""en"",""pt"")"),"conjuntos para prender ferroviários")</f>
        <v>conjuntos para prender ferroviários</v>
      </c>
      <c r="J355" t="str">
        <f>VLOOKUP(A355,Pr_Base_LNEC!$A$4:$J$6971,6,FALSE)</f>
        <v>-</v>
      </c>
      <c r="K355">
        <f>VLOOKUP(A355,Pr_Base_LNEC!$A$4:$J$6971,7,FALSE)</f>
        <v>0</v>
      </c>
    </row>
    <row r="356" spans="1:11" ht="14.5">
      <c r="A356" s="20" t="s">
        <v>14507</v>
      </c>
      <c r="B356" s="20">
        <v>20</v>
      </c>
      <c r="C356" s="20">
        <v>29</v>
      </c>
      <c r="D356" s="20">
        <v>70</v>
      </c>
      <c r="E356" s="20">
        <v>70</v>
      </c>
      <c r="F356" s="20" t="s">
        <v>14508</v>
      </c>
      <c r="G356" s="20" t="s">
        <v>14509</v>
      </c>
      <c r="H356" s="24"/>
      <c r="I356" s="24" t="str">
        <f ca="1">IFERROR(__xludf.DUMMYFUNCTION("GOOGLETRANSLATE(F356,""en"",""pt"")"),"clips ferroviários")</f>
        <v>clips ferroviários</v>
      </c>
      <c r="J356" t="str">
        <f>VLOOKUP(A356,Pr_Base_LNEC!$A$4:$J$6971,6,FALSE)</f>
        <v>-</v>
      </c>
      <c r="K356">
        <f>VLOOKUP(A356,Pr_Base_LNEC!$A$4:$J$6971,7,FALSE)</f>
        <v>0</v>
      </c>
    </row>
    <row r="357" spans="1:11" ht="14.5">
      <c r="A357" s="20" t="s">
        <v>14510</v>
      </c>
      <c r="B357" s="20">
        <v>20</v>
      </c>
      <c r="C357" s="20">
        <v>29</v>
      </c>
      <c r="D357" s="20">
        <v>70</v>
      </c>
      <c r="E357" s="20">
        <v>72</v>
      </c>
      <c r="F357" s="20" t="s">
        <v>14511</v>
      </c>
      <c r="G357" s="24"/>
      <c r="H357" s="24"/>
      <c r="I357" s="24" t="str">
        <f ca="1">IFERROR(__xludf.DUMMYFUNCTION("GOOGLETRANSLATE(F357,""en"",""pt"")"),"braçadeiras conjuntos ferroviários")</f>
        <v>braçadeiras conjuntos ferroviários</v>
      </c>
      <c r="J357" t="str">
        <f>VLOOKUP(A357,Pr_Base_LNEC!$A$4:$J$6971,6,FALSE)</f>
        <v>-</v>
      </c>
      <c r="K357">
        <f>VLOOKUP(A357,Pr_Base_LNEC!$A$4:$J$6971,7,FALSE)</f>
        <v>0</v>
      </c>
    </row>
    <row r="358" spans="1:11" ht="14.5">
      <c r="A358" s="20" t="s">
        <v>14512</v>
      </c>
      <c r="B358" s="20">
        <v>20</v>
      </c>
      <c r="C358" s="20">
        <v>29</v>
      </c>
      <c r="D358" s="20">
        <v>70</v>
      </c>
      <c r="E358" s="20">
        <v>73</v>
      </c>
      <c r="F358" s="20" t="s">
        <v>14513</v>
      </c>
      <c r="G358" s="24"/>
      <c r="H358" s="24"/>
      <c r="I358" s="24" t="str">
        <f ca="1">IFERROR(__xludf.DUMMYFUNCTION("GOOGLETRANSLATE(F358,""en"",""pt"")"),"isoladores pé ferroviárias")</f>
        <v>isoladores pé ferroviárias</v>
      </c>
      <c r="J358" t="str">
        <f>VLOOKUP(A358,Pr_Base_LNEC!$A$4:$J$6971,6,FALSE)</f>
        <v>-</v>
      </c>
      <c r="K358">
        <f>VLOOKUP(A358,Pr_Base_LNEC!$A$4:$J$6971,7,FALSE)</f>
        <v>0</v>
      </c>
    </row>
    <row r="359" spans="1:11" ht="14.5">
      <c r="A359" s="20" t="s">
        <v>14514</v>
      </c>
      <c r="B359" s="20">
        <v>20</v>
      </c>
      <c r="C359" s="20">
        <v>29</v>
      </c>
      <c r="D359" s="20">
        <v>70</v>
      </c>
      <c r="E359" s="20">
        <v>85</v>
      </c>
      <c r="F359" s="20" t="s">
        <v>14515</v>
      </c>
      <c r="G359" s="24"/>
      <c r="H359" s="24"/>
      <c r="I359" s="24" t="str">
        <f ca="1">IFERROR(__xludf.DUMMYFUNCTION("GOOGLETRANSLATE(F359,""en"",""pt"")"),"chumbadores da ferroviários")</f>
        <v>chumbadores da ferroviários</v>
      </c>
      <c r="J359" t="str">
        <f>VLOOKUP(A359,Pr_Base_LNEC!$A$4:$J$6971,6,FALSE)</f>
        <v>-</v>
      </c>
      <c r="K359">
        <f>VLOOKUP(A359,Pr_Base_LNEC!$A$4:$J$6971,7,FALSE)</f>
        <v>0</v>
      </c>
    </row>
    <row r="360" spans="1:11" ht="14.5">
      <c r="A360" s="20" t="s">
        <v>14516</v>
      </c>
      <c r="B360" s="20">
        <v>20</v>
      </c>
      <c r="C360" s="20">
        <v>29</v>
      </c>
      <c r="D360" s="20">
        <v>70</v>
      </c>
      <c r="E360" s="20">
        <v>87</v>
      </c>
      <c r="F360" s="20" t="s">
        <v>14517</v>
      </c>
      <c r="G360" s="24"/>
      <c r="H360" s="24"/>
      <c r="I360" s="24" t="str">
        <f ca="1">IFERROR(__xludf.DUMMYFUNCTION("GOOGLETRANSLATE(F360,""en"",""pt"")"),"âncora calha do detector")</f>
        <v>âncora calha do detector</v>
      </c>
      <c r="J360" t="e">
        <f>VLOOKUP(A360,Pr_Base_LNEC!$A$4:$J$6971,6,FALSE)</f>
        <v>#N/A</v>
      </c>
      <c r="K360" t="e">
        <f>VLOOKUP(A360,Pr_Base_LNEC!$A$4:$J$6971,7,FALSE)</f>
        <v>#N/A</v>
      </c>
    </row>
    <row r="361" spans="1:11" ht="14.5">
      <c r="A361" s="20" t="s">
        <v>14518</v>
      </c>
      <c r="B361" s="20">
        <v>20</v>
      </c>
      <c r="C361" s="20">
        <v>29</v>
      </c>
      <c r="D361" s="20">
        <v>70</v>
      </c>
      <c r="E361" s="20">
        <v>96</v>
      </c>
      <c r="F361" s="20" t="s">
        <v>14519</v>
      </c>
      <c r="G361" s="24"/>
      <c r="H361" s="24"/>
      <c r="I361" s="24" t="str">
        <f ca="1">IFERROR(__xludf.DUMMYFUNCTION("GOOGLETRANSLATE(F361,""en"",""pt"")"),"ombros Soldáveis ​​clipe ferroviário")</f>
        <v>ombros Soldáveis ​​clipe ferroviário</v>
      </c>
      <c r="J361" t="str">
        <f>VLOOKUP(A361,Pr_Base_LNEC!$A$4:$J$6971,6,FALSE)</f>
        <v>-</v>
      </c>
      <c r="K361">
        <f>VLOOKUP(A361,Pr_Base_LNEC!$A$4:$J$6971,7,FALSE)</f>
        <v>0</v>
      </c>
    </row>
    <row r="362" spans="1:11" ht="14.5">
      <c r="A362" s="20" t="s">
        <v>14520</v>
      </c>
      <c r="B362" s="20">
        <v>20</v>
      </c>
      <c r="C362" s="20">
        <v>29</v>
      </c>
      <c r="D362" s="20">
        <v>71</v>
      </c>
      <c r="E362" s="24"/>
      <c r="F362" s="20" t="s">
        <v>14521</v>
      </c>
      <c r="G362" s="24"/>
      <c r="H362" s="24"/>
      <c r="I362" s="24" t="str">
        <f ca="1">IFERROR(__xludf.DUMMYFUNCTION("GOOGLETRANSLATE(F362,""en"",""pt"")"),"rebites")</f>
        <v>rebites</v>
      </c>
      <c r="J362" t="str">
        <f>VLOOKUP(A362,Pr_Base_LNEC!$A$4:$J$6971,6,FALSE)</f>
        <v>Gatos</v>
      </c>
      <c r="K362">
        <f>VLOOKUP(A362,Pr_Base_LNEC!$A$4:$J$6971,7,FALSE)</f>
        <v>0</v>
      </c>
    </row>
    <row r="363" spans="1:11" ht="14.5">
      <c r="A363" s="20" t="s">
        <v>14522</v>
      </c>
      <c r="B363" s="20">
        <v>20</v>
      </c>
      <c r="C363" s="20">
        <v>29</v>
      </c>
      <c r="D363" s="20">
        <v>71</v>
      </c>
      <c r="E363" s="20">
        <v>8</v>
      </c>
      <c r="F363" s="20" t="s">
        <v>14523</v>
      </c>
      <c r="G363" s="20" t="s">
        <v>14524</v>
      </c>
      <c r="H363" s="24"/>
      <c r="I363" s="24" t="str">
        <f ca="1">IFERROR(__xludf.DUMMYFUNCTION("GOOGLETRANSLATE(F363,""en"",""pt"")"),"Cegos (pop) rebites")</f>
        <v>Cegos (pop) rebites</v>
      </c>
      <c r="J363" t="str">
        <f>VLOOKUP(A363,Pr_Base_LNEC!$A$4:$J$6971,6,FALSE)</f>
        <v>-</v>
      </c>
      <c r="K363">
        <f>VLOOKUP(A363,Pr_Base_LNEC!$A$4:$J$6971,7,FALSE)</f>
        <v>0</v>
      </c>
    </row>
    <row r="364" spans="1:11" ht="14.5">
      <c r="A364" s="20" t="s">
        <v>14525</v>
      </c>
      <c r="B364" s="20">
        <v>20</v>
      </c>
      <c r="C364" s="20">
        <v>29</v>
      </c>
      <c r="D364" s="20">
        <v>71</v>
      </c>
      <c r="E364" s="20">
        <v>24</v>
      </c>
      <c r="F364" s="20" t="s">
        <v>14526</v>
      </c>
      <c r="G364" s="24"/>
      <c r="H364" s="24"/>
      <c r="I364" s="24" t="str">
        <f ca="1">IFERROR(__xludf.DUMMYFUNCTION("GOOGLETRANSLATE(F364,""en"",""pt"")"),"rebites unidade")</f>
        <v>rebites unidade</v>
      </c>
      <c r="J364" t="str">
        <f>VLOOKUP(A364,Pr_Base_LNEC!$A$4:$J$6971,6,FALSE)</f>
        <v>-</v>
      </c>
      <c r="K364">
        <f>VLOOKUP(A364,Pr_Base_LNEC!$A$4:$J$6971,7,FALSE)</f>
        <v>0</v>
      </c>
    </row>
    <row r="365" spans="1:11" ht="14.5">
      <c r="A365" s="20" t="s">
        <v>14527</v>
      </c>
      <c r="B365" s="20">
        <v>20</v>
      </c>
      <c r="C365" s="20">
        <v>29</v>
      </c>
      <c r="D365" s="20">
        <v>71</v>
      </c>
      <c r="E365" s="20">
        <v>30</v>
      </c>
      <c r="F365" s="20" t="s">
        <v>14528</v>
      </c>
      <c r="G365" s="24"/>
      <c r="H365" s="24"/>
      <c r="I365" s="24" t="str">
        <f ca="1">IFERROR(__xludf.DUMMYFUNCTION("GOOGLETRANSLATE(F365,""en"",""pt"")"),"rebites nivelados")</f>
        <v>rebites nivelados</v>
      </c>
      <c r="J365" t="str">
        <f>VLOOKUP(A365,Pr_Base_LNEC!$A$4:$J$6971,6,FALSE)</f>
        <v>-</v>
      </c>
      <c r="K365">
        <f>VLOOKUP(A365,Pr_Base_LNEC!$A$4:$J$6971,7,FALSE)</f>
        <v>0</v>
      </c>
    </row>
    <row r="366" spans="1:11" ht="14.5">
      <c r="A366" s="20" t="s">
        <v>14529</v>
      </c>
      <c r="B366" s="20">
        <v>20</v>
      </c>
      <c r="C366" s="20">
        <v>29</v>
      </c>
      <c r="D366" s="20">
        <v>71</v>
      </c>
      <c r="E366" s="20">
        <v>31</v>
      </c>
      <c r="F366" s="20" t="s">
        <v>14530</v>
      </c>
      <c r="G366" s="24"/>
      <c r="H366" s="24"/>
      <c r="I366" s="24" t="str">
        <f ca="1">IFERROR(__xludf.DUMMYFUNCTION("GOOGLETRANSLATE(F366,""en"",""pt"")"),"rebites de fricção")</f>
        <v>rebites de fricção</v>
      </c>
      <c r="J366" t="str">
        <f>VLOOKUP(A366,Pr_Base_LNEC!$A$4:$J$6971,6,FALSE)</f>
        <v>-</v>
      </c>
      <c r="K366">
        <f>VLOOKUP(A366,Pr_Base_LNEC!$A$4:$J$6971,7,FALSE)</f>
        <v>0</v>
      </c>
    </row>
    <row r="367" spans="1:11" ht="14.5">
      <c r="A367" s="20" t="s">
        <v>14531</v>
      </c>
      <c r="B367" s="20">
        <v>20</v>
      </c>
      <c r="C367" s="20">
        <v>29</v>
      </c>
      <c r="D367" s="20">
        <v>71</v>
      </c>
      <c r="E367" s="20">
        <v>59</v>
      </c>
      <c r="F367" s="20" t="s">
        <v>14532</v>
      </c>
      <c r="G367" s="24"/>
      <c r="H367" s="24"/>
      <c r="I367" s="24" t="str">
        <f ca="1">IFERROR(__xludf.DUMMYFUNCTION("GOOGLETRANSLATE(F367,""en"",""pt"")"),"rebites Oscar")</f>
        <v>rebites Oscar</v>
      </c>
      <c r="J367" t="str">
        <f>VLOOKUP(A367,Pr_Base_LNEC!$A$4:$J$6971,6,FALSE)</f>
        <v>-</v>
      </c>
      <c r="K367">
        <f>VLOOKUP(A367,Pr_Base_LNEC!$A$4:$J$6971,7,FALSE)</f>
        <v>0</v>
      </c>
    </row>
    <row r="368" spans="1:11" ht="14.5">
      <c r="A368" s="20" t="s">
        <v>14533</v>
      </c>
      <c r="B368" s="20">
        <v>20</v>
      </c>
      <c r="C368" s="20">
        <v>29</v>
      </c>
      <c r="D368" s="20">
        <v>71</v>
      </c>
      <c r="E368" s="20">
        <v>76</v>
      </c>
      <c r="F368" s="20" t="s">
        <v>14534</v>
      </c>
      <c r="G368" s="24"/>
      <c r="H368" s="24"/>
      <c r="I368" s="24" t="str">
        <f ca="1">IFERROR(__xludf.DUMMYFUNCTION("GOOGLETRANSLATE(F368,""en"",""pt"")"),"rebites auto-Pierce")</f>
        <v>rebites auto-Pierce</v>
      </c>
      <c r="J368" t="str">
        <f>VLOOKUP(A368,Pr_Base_LNEC!$A$4:$J$6971,6,FALSE)</f>
        <v>-</v>
      </c>
      <c r="K368">
        <f>VLOOKUP(A368,Pr_Base_LNEC!$A$4:$J$6971,7,FALSE)</f>
        <v>0</v>
      </c>
    </row>
    <row r="369" spans="1:11" ht="14.5">
      <c r="A369" s="20" t="s">
        <v>14535</v>
      </c>
      <c r="B369" s="20">
        <v>20</v>
      </c>
      <c r="C369" s="20">
        <v>29</v>
      </c>
      <c r="D369" s="20">
        <v>71</v>
      </c>
      <c r="E369" s="20">
        <v>77</v>
      </c>
      <c r="F369" s="20" t="s">
        <v>14536</v>
      </c>
      <c r="G369" s="20" t="s">
        <v>14537</v>
      </c>
      <c r="H369" s="24"/>
      <c r="I369" s="24" t="str">
        <f ca="1">IFERROR(__xludf.DUMMYFUNCTION("GOOGLETRANSLATE(F369,""en"",""pt"")"),"rebites semi-tubulares")</f>
        <v>rebites semi-tubulares</v>
      </c>
      <c r="J369">
        <f>VLOOKUP(A369,Pr_Base_LNEC!$A$4:$J$6971,6,FALSE)</f>
        <v>0</v>
      </c>
      <c r="K369">
        <f>VLOOKUP(A369,Pr_Base_LNEC!$A$4:$J$6971,7,FALSE)</f>
        <v>0</v>
      </c>
    </row>
    <row r="370" spans="1:11" ht="14.5">
      <c r="A370" s="20" t="s">
        <v>14538</v>
      </c>
      <c r="B370" s="20">
        <v>20</v>
      </c>
      <c r="C370" s="20">
        <v>29</v>
      </c>
      <c r="D370" s="20">
        <v>71</v>
      </c>
      <c r="E370" s="20">
        <v>81</v>
      </c>
      <c r="F370" s="20" t="s">
        <v>14539</v>
      </c>
      <c r="G370" s="20" t="s">
        <v>14537</v>
      </c>
      <c r="H370" s="24"/>
      <c r="I370" s="24" t="str">
        <f ca="1">IFERROR(__xludf.DUMMYFUNCTION("GOOGLETRANSLATE(F370,""en"",""pt"")"),"rebites sólidos")</f>
        <v>rebites sólidos</v>
      </c>
      <c r="J370" t="str">
        <f>VLOOKUP(A370,Pr_Base_LNEC!$A$4:$J$6971,6,FALSE)</f>
        <v>-</v>
      </c>
      <c r="K370">
        <f>VLOOKUP(A370,Pr_Base_LNEC!$A$4:$J$6971,7,FALSE)</f>
        <v>0</v>
      </c>
    </row>
    <row r="371" spans="1:11" ht="14.5">
      <c r="A371" s="20" t="s">
        <v>14540</v>
      </c>
      <c r="B371" s="20">
        <v>20</v>
      </c>
      <c r="C371" s="20">
        <v>29</v>
      </c>
      <c r="D371" s="20">
        <v>76</v>
      </c>
      <c r="E371" s="24"/>
      <c r="F371" s="20" t="s">
        <v>14541</v>
      </c>
      <c r="G371" s="24"/>
      <c r="H371" s="24"/>
      <c r="I371" s="24" t="str">
        <f ca="1">IFERROR(__xludf.DUMMYFUNCTION("GOOGLETRANSLATE(F371,""en"",""pt"")"),"parafusos")</f>
        <v>parafusos</v>
      </c>
      <c r="J371" t="str">
        <f>VLOOKUP(A371,Pr_Base_LNEC!$A$4:$J$6971,6,FALSE)</f>
        <v>Parafusos</v>
      </c>
      <c r="K371">
        <f>VLOOKUP(A371,Pr_Base_LNEC!$A$4:$J$6971,7,FALSE)</f>
        <v>0</v>
      </c>
    </row>
    <row r="372" spans="1:11" ht="14.5">
      <c r="A372" s="20" t="s">
        <v>14542</v>
      </c>
      <c r="B372" s="20">
        <v>20</v>
      </c>
      <c r="C372" s="20">
        <v>29</v>
      </c>
      <c r="D372" s="20">
        <v>76</v>
      </c>
      <c r="E372" s="20">
        <v>11</v>
      </c>
      <c r="F372" s="20" t="s">
        <v>14543</v>
      </c>
      <c r="G372" s="20" t="s">
        <v>14544</v>
      </c>
      <c r="H372" s="24"/>
      <c r="I372" s="24" t="str">
        <f ca="1">IFERROR(__xludf.DUMMYFUNCTION("GOOGLETRANSLATE(F372,""en"",""pt"")"),"parafusos de cabeça sextavada aço de carbono")</f>
        <v>parafusos de cabeça sextavada aço de carbono</v>
      </c>
      <c r="J372" t="str">
        <f>VLOOKUP(A372,Pr_Base_LNEC!$A$4:$J$6971,6,FALSE)</f>
        <v>-</v>
      </c>
      <c r="K372">
        <f>VLOOKUP(A372,Pr_Base_LNEC!$A$4:$J$6971,7,FALSE)</f>
        <v>0</v>
      </c>
    </row>
    <row r="373" spans="1:11" ht="14.5">
      <c r="A373" s="20" t="s">
        <v>14545</v>
      </c>
      <c r="B373" s="20">
        <v>20</v>
      </c>
      <c r="C373" s="20">
        <v>29</v>
      </c>
      <c r="D373" s="20">
        <v>76</v>
      </c>
      <c r="E373" s="20">
        <v>15</v>
      </c>
      <c r="F373" s="20" t="s">
        <v>14546</v>
      </c>
      <c r="G373" s="20" t="s">
        <v>14547</v>
      </c>
      <c r="H373" s="24"/>
      <c r="I373" s="24" t="str">
        <f ca="1">IFERROR(__xludf.DUMMYFUNCTION("GOOGLETRANSLATE(F373,""en"",""pt"")"),"tirafundos")</f>
        <v>tirafundos</v>
      </c>
      <c r="J373" t="str">
        <f>VLOOKUP(A373,Pr_Base_LNEC!$A$4:$J$6971,6,FALSE)</f>
        <v>-</v>
      </c>
      <c r="K373">
        <f>VLOOKUP(A373,Pr_Base_LNEC!$A$4:$J$6971,7,FALSE)</f>
        <v>0</v>
      </c>
    </row>
    <row r="374" spans="1:11" ht="14.5">
      <c r="A374" s="20" t="s">
        <v>14548</v>
      </c>
      <c r="B374" s="20">
        <v>20</v>
      </c>
      <c r="C374" s="20">
        <v>29</v>
      </c>
      <c r="D374" s="20">
        <v>76</v>
      </c>
      <c r="E374" s="20">
        <v>28</v>
      </c>
      <c r="F374" s="20" t="s">
        <v>14549</v>
      </c>
      <c r="G374" s="24"/>
      <c r="H374" s="24"/>
      <c r="I374" s="24" t="str">
        <f ca="1">IFERROR(__xludf.DUMMYFUNCTION("GOOGLETRANSLATE(F374,""en"",""pt"")"),"defasagens olho")</f>
        <v>defasagens olho</v>
      </c>
      <c r="J374" t="str">
        <f>VLOOKUP(A374,Pr_Base_LNEC!$A$4:$J$6971,6,FALSE)</f>
        <v>-</v>
      </c>
      <c r="K374">
        <f>VLOOKUP(A374,Pr_Base_LNEC!$A$4:$J$6971,7,FALSE)</f>
        <v>0</v>
      </c>
    </row>
    <row r="375" spans="1:11" ht="14.5">
      <c r="A375" s="20" t="s">
        <v>14550</v>
      </c>
      <c r="B375" s="20">
        <v>20</v>
      </c>
      <c r="C375" s="20">
        <v>29</v>
      </c>
      <c r="D375" s="20">
        <v>76</v>
      </c>
      <c r="E375" s="20">
        <v>50</v>
      </c>
      <c r="F375" s="20" t="s">
        <v>14551</v>
      </c>
      <c r="G375" s="24"/>
      <c r="H375" s="24"/>
      <c r="I375" s="24" t="str">
        <f ca="1">IFERROR(__xludf.DUMMYFUNCTION("GOOGLETRANSLATE(F375,""en"",""pt"")"),"parafusos de máquina")</f>
        <v>parafusos de máquina</v>
      </c>
      <c r="J375" t="str">
        <f>VLOOKUP(A375,Pr_Base_LNEC!$A$4:$J$6971,6,FALSE)</f>
        <v>-</v>
      </c>
      <c r="K375">
        <f>VLOOKUP(A375,Pr_Base_LNEC!$A$4:$J$6971,7,FALSE)</f>
        <v>0</v>
      </c>
    </row>
    <row r="376" spans="1:11" ht="14.5">
      <c r="A376" s="20" t="s">
        <v>14552</v>
      </c>
      <c r="B376" s="20">
        <v>20</v>
      </c>
      <c r="C376" s="20">
        <v>29</v>
      </c>
      <c r="D376" s="20">
        <v>76</v>
      </c>
      <c r="E376" s="20">
        <v>65</v>
      </c>
      <c r="F376" s="20" t="s">
        <v>14553</v>
      </c>
      <c r="G376" s="20" t="s">
        <v>14554</v>
      </c>
      <c r="H376" s="24"/>
      <c r="I376" s="24" t="str">
        <f ca="1">IFERROR(__xludf.DUMMYFUNCTION("GOOGLETRANSLATE(F376,""en"",""pt"")"),"parafusos de gesso cartonado")</f>
        <v>parafusos de gesso cartonado</v>
      </c>
      <c r="J376" t="str">
        <f>VLOOKUP(A376,Pr_Base_LNEC!$A$4:$J$6971,6,FALSE)</f>
        <v>Fixações Mecânicas: Parafusos para Sistemas de Placas de Gesso</v>
      </c>
      <c r="K376" t="str">
        <f>VLOOKUP(A376,Pr_Base_LNEC!$A$4:$J$6971,7,FALSE)</f>
        <v>EN 14566:2008+A1:2009</v>
      </c>
    </row>
    <row r="377" spans="1:11" ht="14.5">
      <c r="A377" s="20" t="s">
        <v>14555</v>
      </c>
      <c r="B377" s="20">
        <v>20</v>
      </c>
      <c r="C377" s="20">
        <v>29</v>
      </c>
      <c r="D377" s="20">
        <v>76</v>
      </c>
      <c r="E377" s="20">
        <v>72</v>
      </c>
      <c r="F377" s="20" t="s">
        <v>14556</v>
      </c>
      <c r="G377" s="24"/>
      <c r="H377" s="24"/>
      <c r="I377" s="24" t="str">
        <f ca="1">IFERROR(__xludf.DUMMYFUNCTION("GOOGLETRANSLATE(F377,""en"",""pt"")"),"parafusos aparelhamento")</f>
        <v>parafusos aparelhamento</v>
      </c>
      <c r="J377" t="str">
        <f>VLOOKUP(A377,Pr_Base_LNEC!$A$4:$J$6971,6,FALSE)</f>
        <v>-</v>
      </c>
      <c r="K377">
        <f>VLOOKUP(A377,Pr_Base_LNEC!$A$4:$J$6971,7,FALSE)</f>
        <v>0</v>
      </c>
    </row>
    <row r="378" spans="1:11" ht="14.5">
      <c r="A378" s="20" t="s">
        <v>14557</v>
      </c>
      <c r="B378" s="20">
        <v>20</v>
      </c>
      <c r="C378" s="20">
        <v>29</v>
      </c>
      <c r="D378" s="20">
        <v>76</v>
      </c>
      <c r="E378" s="20">
        <v>75</v>
      </c>
      <c r="F378" s="20" t="s">
        <v>14558</v>
      </c>
      <c r="G378" s="24"/>
      <c r="H378" s="24"/>
      <c r="I378" s="24" t="str">
        <f ca="1">IFERROR(__xludf.DUMMYFUNCTION("GOOGLETRANSLATE(F378,""en"",""pt"")"),"parafusos auto-roscantes")</f>
        <v>parafusos auto-roscantes</v>
      </c>
      <c r="J378" t="e">
        <f>VLOOKUP(A378,Pr_Base_LNEC!$A$4:$J$6971,6,FALSE)</f>
        <v>#N/A</v>
      </c>
      <c r="K378" t="e">
        <f>VLOOKUP(A378,Pr_Base_LNEC!$A$4:$J$6971,7,FALSE)</f>
        <v>#N/A</v>
      </c>
    </row>
    <row r="379" spans="1:11" ht="14.5">
      <c r="A379" s="20" t="s">
        <v>14559</v>
      </c>
      <c r="B379" s="20">
        <v>20</v>
      </c>
      <c r="C379" s="20">
        <v>29</v>
      </c>
      <c r="D379" s="20">
        <v>76</v>
      </c>
      <c r="E379" s="20">
        <v>76</v>
      </c>
      <c r="F379" s="20" t="s">
        <v>14560</v>
      </c>
      <c r="G379" s="20" t="s">
        <v>14561</v>
      </c>
      <c r="H379" s="24"/>
      <c r="I379" s="24" t="str">
        <f ca="1">IFERROR(__xludf.DUMMYFUNCTION("GOOGLETRANSLATE(F379,""en"",""pt"")"),"parafusos auto-perfurantes")</f>
        <v>parafusos auto-perfurantes</v>
      </c>
      <c r="J379" t="str">
        <f>VLOOKUP(A379,Pr_Base_LNEC!$A$4:$J$6971,6,FALSE)</f>
        <v>-</v>
      </c>
      <c r="K379">
        <f>VLOOKUP(A379,Pr_Base_LNEC!$A$4:$J$6971,7,FALSE)</f>
        <v>0</v>
      </c>
    </row>
    <row r="380" spans="1:11" ht="14.5">
      <c r="A380" s="20" t="s">
        <v>14562</v>
      </c>
      <c r="B380" s="20">
        <v>20</v>
      </c>
      <c r="C380" s="20">
        <v>29</v>
      </c>
      <c r="D380" s="20">
        <v>76</v>
      </c>
      <c r="E380" s="20">
        <v>77</v>
      </c>
      <c r="F380" s="20" t="s">
        <v>14563</v>
      </c>
      <c r="G380" s="20" t="s">
        <v>14564</v>
      </c>
      <c r="H380" s="24"/>
      <c r="I380" s="24" t="str">
        <f ca="1">IFERROR(__xludf.DUMMYFUNCTION("GOOGLETRANSLATE(F380,""en"",""pt"")"),"Parafusos de ajuste")</f>
        <v>Parafusos de ajuste</v>
      </c>
      <c r="J380" t="str">
        <f>VLOOKUP(A380,Pr_Base_LNEC!$A$4:$J$6971,6,FALSE)</f>
        <v>-</v>
      </c>
      <c r="K380">
        <f>VLOOKUP(A380,Pr_Base_LNEC!$A$4:$J$6971,7,FALSE)</f>
        <v>0</v>
      </c>
    </row>
    <row r="381" spans="1:11" ht="14.5">
      <c r="A381" s="20" t="s">
        <v>14565</v>
      </c>
      <c r="B381" s="20">
        <v>20</v>
      </c>
      <c r="C381" s="20">
        <v>29</v>
      </c>
      <c r="D381" s="20">
        <v>76</v>
      </c>
      <c r="E381" s="20">
        <v>78</v>
      </c>
      <c r="F381" s="20" t="s">
        <v>14566</v>
      </c>
      <c r="G381" s="24"/>
      <c r="H381" s="24"/>
      <c r="I381" s="24" t="str">
        <f ca="1">IFERROR(__xludf.DUMMYFUNCTION("GOOGLETRANSLATE(F381,""en"",""pt"")"),"parafusos para chapa metálica")</f>
        <v>parafusos para chapa metálica</v>
      </c>
      <c r="J381" t="str">
        <f>VLOOKUP(A381,Pr_Base_LNEC!$A$4:$J$6971,6,FALSE)</f>
        <v>-</v>
      </c>
      <c r="K381">
        <f>VLOOKUP(A381,Pr_Base_LNEC!$A$4:$J$6971,7,FALSE)</f>
        <v>0</v>
      </c>
    </row>
    <row r="382" spans="1:11" ht="14.5">
      <c r="A382" s="20" t="s">
        <v>14567</v>
      </c>
      <c r="B382" s="20">
        <v>20</v>
      </c>
      <c r="C382" s="20">
        <v>29</v>
      </c>
      <c r="D382" s="20">
        <v>76</v>
      </c>
      <c r="E382" s="20">
        <v>81</v>
      </c>
      <c r="F382" s="20" t="s">
        <v>14568</v>
      </c>
      <c r="G382" s="24"/>
      <c r="H382" s="24"/>
      <c r="I382" s="24" t="str">
        <f ca="1">IFERROR(__xludf.DUMMYFUNCTION("GOOGLETRANSLATE(F382,""en"",""pt"")"),"parafusos Allen")</f>
        <v>parafusos Allen</v>
      </c>
      <c r="J382" t="str">
        <f>VLOOKUP(A382,Pr_Base_LNEC!$A$4:$J$6971,6,FALSE)</f>
        <v>-</v>
      </c>
      <c r="K382">
        <f>VLOOKUP(A382,Pr_Base_LNEC!$A$4:$J$6971,7,FALSE)</f>
        <v>0</v>
      </c>
    </row>
    <row r="383" spans="1:11" ht="14.5">
      <c r="A383" s="20" t="s">
        <v>14569</v>
      </c>
      <c r="B383" s="20">
        <v>20</v>
      </c>
      <c r="C383" s="20">
        <v>29</v>
      </c>
      <c r="D383" s="20">
        <v>76</v>
      </c>
      <c r="E383" s="20">
        <v>85</v>
      </c>
      <c r="F383" s="20" t="s">
        <v>14570</v>
      </c>
      <c r="G383" s="20" t="s">
        <v>14571</v>
      </c>
      <c r="H383" s="24"/>
      <c r="I383" s="24" t="str">
        <f ca="1">IFERROR(__xludf.DUMMYFUNCTION("GOOGLETRANSLATE(F383,""en"",""pt"")"),"parafusos hexagonais de aço inoxidável")</f>
        <v>parafusos hexagonais de aço inoxidável</v>
      </c>
      <c r="J383" t="str">
        <f>VLOOKUP(A383,Pr_Base_LNEC!$A$4:$J$6971,6,FALSE)</f>
        <v>-</v>
      </c>
      <c r="K383">
        <f>VLOOKUP(A383,Pr_Base_LNEC!$A$4:$J$6971,7,FALSE)</f>
        <v>0</v>
      </c>
    </row>
    <row r="384" spans="1:11" ht="14.5">
      <c r="A384" s="20" t="s">
        <v>14572</v>
      </c>
      <c r="B384" s="20">
        <v>20</v>
      </c>
      <c r="C384" s="20">
        <v>29</v>
      </c>
      <c r="D384" s="20">
        <v>76</v>
      </c>
      <c r="E384" s="20">
        <v>86</v>
      </c>
      <c r="F384" s="20" t="s">
        <v>14573</v>
      </c>
      <c r="G384" s="24"/>
      <c r="H384" s="24"/>
      <c r="I384" s="24" t="str">
        <f ca="1">IFERROR(__xludf.DUMMYFUNCTION("GOOGLETRANSLATE(F384,""en"",""pt"")"),"parafusos de aço inoxidável")</f>
        <v>parafusos de aço inoxidável</v>
      </c>
      <c r="J384" t="str">
        <f>VLOOKUP(A384,Pr_Base_LNEC!$A$4:$J$6971,6,FALSE)</f>
        <v>-</v>
      </c>
      <c r="K384">
        <f>VLOOKUP(A384,Pr_Base_LNEC!$A$4:$J$6971,7,FALSE)</f>
        <v>0</v>
      </c>
    </row>
    <row r="385" spans="1:11" ht="14.5">
      <c r="A385" s="20" t="s">
        <v>14574</v>
      </c>
      <c r="B385" s="20">
        <v>20</v>
      </c>
      <c r="C385" s="20">
        <v>29</v>
      </c>
      <c r="D385" s="20">
        <v>76</v>
      </c>
      <c r="E385" s="20">
        <v>88</v>
      </c>
      <c r="F385" s="20" t="s">
        <v>14575</v>
      </c>
      <c r="G385" s="24"/>
      <c r="H385" s="24"/>
      <c r="I385" s="24" t="str">
        <f ca="1">IFERROR(__xludf.DUMMYFUNCTION("GOOGLETRANSLATE(F385,""en"",""pt"")"),"parafusos de máquina de corte de rosca")</f>
        <v>parafusos de máquina de corte de rosca</v>
      </c>
      <c r="J385">
        <f>VLOOKUP(A385,Pr_Base_LNEC!$A$4:$J$6971,6,FALSE)</f>
        <v>0</v>
      </c>
      <c r="K385">
        <f>VLOOKUP(A385,Pr_Base_LNEC!$A$4:$J$6971,7,FALSE)</f>
        <v>0</v>
      </c>
    </row>
    <row r="386" spans="1:11" ht="14.5">
      <c r="A386" s="20" t="s">
        <v>14576</v>
      </c>
      <c r="B386" s="20">
        <v>20</v>
      </c>
      <c r="C386" s="20">
        <v>29</v>
      </c>
      <c r="D386" s="20">
        <v>76</v>
      </c>
      <c r="E386" s="20">
        <v>98</v>
      </c>
      <c r="F386" s="20" t="s">
        <v>14577</v>
      </c>
      <c r="G386" s="20" t="s">
        <v>14578</v>
      </c>
      <c r="H386" s="24"/>
      <c r="I386" s="24" t="str">
        <f ca="1">IFERROR(__xludf.DUMMYFUNCTION("GOOGLETRANSLATE(F386,""en"",""pt"")"),"Parafusos de madeira")</f>
        <v>Parafusos de madeira</v>
      </c>
      <c r="J386">
        <f>VLOOKUP(A386,Pr_Base_LNEC!$A$4:$J$6971,6,FALSE)</f>
        <v>0</v>
      </c>
      <c r="K386">
        <f>VLOOKUP(A386,Pr_Base_LNEC!$A$4:$J$6971,7,FALSE)</f>
        <v>0</v>
      </c>
    </row>
    <row r="387" spans="1:11" ht="14.5">
      <c r="A387" s="20" t="s">
        <v>14579</v>
      </c>
      <c r="B387" s="20">
        <v>20</v>
      </c>
      <c r="C387" s="20">
        <v>29</v>
      </c>
      <c r="D387" s="20">
        <v>81</v>
      </c>
      <c r="E387" s="24"/>
      <c r="F387" s="20" t="s">
        <v>14580</v>
      </c>
      <c r="G387" s="24"/>
      <c r="H387" s="24"/>
      <c r="I387" s="24" t="str">
        <f ca="1">IFERROR(__xludf.DUMMYFUNCTION("GOOGLETRANSLATE(F387,""en"",""pt"")"),"unhas do solo")</f>
        <v>unhas do solo</v>
      </c>
      <c r="J387" t="str">
        <f>VLOOKUP(A387,Pr_Base_LNEC!$A$4:$J$6971,6,FALSE)</f>
        <v>Pregos para Ancoragens</v>
      </c>
      <c r="K387">
        <f>VLOOKUP(A387,Pr_Base_LNEC!$A$4:$J$6971,7,FALSE)</f>
        <v>0</v>
      </c>
    </row>
    <row r="388" spans="1:11" ht="14.5">
      <c r="A388" s="20" t="s">
        <v>14581</v>
      </c>
      <c r="B388" s="20">
        <v>20</v>
      </c>
      <c r="C388" s="20">
        <v>29</v>
      </c>
      <c r="D388" s="20">
        <v>81</v>
      </c>
      <c r="E388" s="20">
        <v>11</v>
      </c>
      <c r="F388" s="20" t="s">
        <v>14582</v>
      </c>
      <c r="G388" s="20" t="s">
        <v>14583</v>
      </c>
      <c r="H388" s="24"/>
      <c r="I388" s="24" t="str">
        <f ca="1">IFERROR(__xludf.DUMMYFUNCTION("GOOGLETRANSLATE(F388,""en"",""pt"")"),"pregos de aço carbono do solo")</f>
        <v>pregos de aço carbono do solo</v>
      </c>
      <c r="J388" t="str">
        <f>VLOOKUP(A388,Pr_Base_LNEC!$A$4:$J$6971,6,FALSE)</f>
        <v>-</v>
      </c>
      <c r="K388">
        <f>VLOOKUP(A388,Pr_Base_LNEC!$A$4:$J$6971,7,FALSE)</f>
        <v>0</v>
      </c>
    </row>
    <row r="389" spans="1:11" ht="14.5">
      <c r="A389" s="20" t="s">
        <v>14584</v>
      </c>
      <c r="B389" s="20">
        <v>20</v>
      </c>
      <c r="C389" s="20">
        <v>29</v>
      </c>
      <c r="D389" s="20">
        <v>81</v>
      </c>
      <c r="E389" s="20">
        <v>63</v>
      </c>
      <c r="F389" s="20" t="s">
        <v>14585</v>
      </c>
      <c r="G389" s="20" t="s">
        <v>14586</v>
      </c>
      <c r="H389" s="24"/>
      <c r="I389" s="24" t="str">
        <f ca="1">IFERROR(__xludf.DUMMYFUNCTION("GOOGLETRANSLATE(F389,""en"",""pt"")"),"Plásticos unhas do solo")</f>
        <v>Plásticos unhas do solo</v>
      </c>
      <c r="J389" t="str">
        <f>VLOOKUP(A389,Pr_Base_LNEC!$A$4:$J$6971,6,FALSE)</f>
        <v>-</v>
      </c>
      <c r="K389">
        <f>VLOOKUP(A389,Pr_Base_LNEC!$A$4:$J$6971,7,FALSE)</f>
        <v>0</v>
      </c>
    </row>
    <row r="390" spans="1:11" ht="14.5">
      <c r="A390" s="20" t="s">
        <v>14587</v>
      </c>
      <c r="B390" s="20">
        <v>20</v>
      </c>
      <c r="C390" s="20">
        <v>29</v>
      </c>
      <c r="D390" s="20">
        <v>81</v>
      </c>
      <c r="E390" s="20">
        <v>84</v>
      </c>
      <c r="F390" s="20" t="s">
        <v>14588</v>
      </c>
      <c r="G390" s="20" t="s">
        <v>14589</v>
      </c>
      <c r="H390" s="24"/>
      <c r="I390" s="24" t="str">
        <f ca="1">IFERROR(__xludf.DUMMYFUNCTION("GOOGLETRANSLATE(F390,""en"",""pt"")"),"unhas de solo de aço inoxidável")</f>
        <v>unhas de solo de aço inoxidável</v>
      </c>
      <c r="J390" t="str">
        <f>VLOOKUP(A390,Pr_Base_LNEC!$A$4:$J$6971,6,FALSE)</f>
        <v>-</v>
      </c>
      <c r="K390">
        <f>VLOOKUP(A390,Pr_Base_LNEC!$A$4:$J$6971,7,FALSE)</f>
        <v>0</v>
      </c>
    </row>
    <row r="391" spans="1:11" ht="14.5">
      <c r="A391" s="20" t="s">
        <v>14590</v>
      </c>
      <c r="B391" s="20">
        <v>20</v>
      </c>
      <c r="C391" s="20">
        <v>29</v>
      </c>
      <c r="D391" s="20">
        <v>85</v>
      </c>
      <c r="E391" s="24"/>
      <c r="F391" s="20" t="s">
        <v>14591</v>
      </c>
      <c r="G391" s="24"/>
      <c r="H391" s="24"/>
      <c r="I391" s="24" t="str">
        <f ca="1">IFERROR(__xludf.DUMMYFUNCTION("GOOGLETRANSLATE(F391,""en"",""pt"")"),"fixações de fardos de palha")</f>
        <v>fixações de fardos de palha</v>
      </c>
      <c r="J391" t="str">
        <f>VLOOKUP(A391,Pr_Base_LNEC!$A$4:$J$6971,6,FALSE)</f>
        <v>Dispositivos de Ligações para Fardos</v>
      </c>
      <c r="K391">
        <f>VLOOKUP(A391,Pr_Base_LNEC!$A$4:$J$6971,7,FALSE)</f>
        <v>0</v>
      </c>
    </row>
    <row r="392" spans="1:11" ht="14.5">
      <c r="A392" s="20" t="s">
        <v>14592</v>
      </c>
      <c r="B392" s="20">
        <v>20</v>
      </c>
      <c r="C392" s="20">
        <v>29</v>
      </c>
      <c r="D392" s="20">
        <v>85</v>
      </c>
      <c r="E392" s="20">
        <v>64</v>
      </c>
      <c r="F392" s="20" t="s">
        <v>14593</v>
      </c>
      <c r="G392" s="20" t="s">
        <v>14594</v>
      </c>
      <c r="H392" s="24"/>
      <c r="I392" s="24" t="str">
        <f ca="1">IFERROR(__xludf.DUMMYFUNCTION("GOOGLETRANSLATE(F392,""en"",""pt"")"),"Plastics sleeving")</f>
        <v>Plastics sleeving</v>
      </c>
      <c r="J392" t="str">
        <f>VLOOKUP(A392,Pr_Base_LNEC!$A$4:$J$6971,6,FALSE)</f>
        <v>-</v>
      </c>
      <c r="K392">
        <f>VLOOKUP(A392,Pr_Base_LNEC!$A$4:$J$6971,7,FALSE)</f>
        <v>0</v>
      </c>
    </row>
    <row r="393" spans="1:11" ht="14.5">
      <c r="A393" s="20" t="s">
        <v>14595</v>
      </c>
      <c r="B393" s="20">
        <v>20</v>
      </c>
      <c r="C393" s="20">
        <v>29</v>
      </c>
      <c r="D393" s="20">
        <v>85</v>
      </c>
      <c r="E393" s="20">
        <v>65</v>
      </c>
      <c r="F393" s="20" t="s">
        <v>14596</v>
      </c>
      <c r="G393" s="20" t="s">
        <v>14597</v>
      </c>
      <c r="H393" s="24"/>
      <c r="I393" s="24" t="str">
        <f ca="1">IFERROR(__xludf.DUMMYFUNCTION("GOOGLETRANSLATE(F393,""en"",""pt"")"),"cintas de poliéster")</f>
        <v>cintas de poliéster</v>
      </c>
      <c r="J393" t="str">
        <f>VLOOKUP(A393,Pr_Base_LNEC!$A$4:$J$6971,6,FALSE)</f>
        <v>-</v>
      </c>
      <c r="K393">
        <f>VLOOKUP(A393,Pr_Base_LNEC!$A$4:$J$6971,7,FALSE)</f>
        <v>0</v>
      </c>
    </row>
    <row r="394" spans="1:11" ht="14.5">
      <c r="A394" s="20" t="s">
        <v>14598</v>
      </c>
      <c r="B394" s="20">
        <v>20</v>
      </c>
      <c r="C394" s="20">
        <v>29</v>
      </c>
      <c r="D394" s="20">
        <v>87</v>
      </c>
      <c r="E394" s="24"/>
      <c r="F394" s="20" t="s">
        <v>14599</v>
      </c>
      <c r="G394" s="24"/>
      <c r="H394" s="24"/>
      <c r="I394" s="24" t="str">
        <f ca="1">IFERROR(__xludf.DUMMYFUNCTION("GOOGLETRANSLATE(F394,""en"",""pt"")"),"Colmo fixadores para telhados")</f>
        <v>Colmo fixadores para telhados</v>
      </c>
      <c r="J394" t="str">
        <f>VLOOKUP(A394,Pr_Base_LNEC!$A$4:$J$6971,6,FALSE)</f>
        <v>Dispositivos de Ligações para Telhas em Palha</v>
      </c>
      <c r="K394">
        <f>VLOOKUP(A394,Pr_Base_LNEC!$A$4:$J$6971,7,FALSE)</f>
        <v>0</v>
      </c>
    </row>
    <row r="395" spans="1:11" ht="14.5">
      <c r="A395" s="20" t="s">
        <v>14600</v>
      </c>
      <c r="B395" s="20">
        <v>20</v>
      </c>
      <c r="C395" s="20">
        <v>29</v>
      </c>
      <c r="D395" s="20">
        <v>87</v>
      </c>
      <c r="E395" s="20">
        <v>36</v>
      </c>
      <c r="F395" s="20" t="s">
        <v>14601</v>
      </c>
      <c r="G395" s="20" t="s">
        <v>14602</v>
      </c>
      <c r="H395" s="24"/>
      <c r="I395" s="24" t="str">
        <f ca="1">IFERROR(__xludf.DUMMYFUNCTION("GOOGLETRANSLATE(F395,""en"",""pt"")"),"grampos cor de avelã")</f>
        <v>grampos cor de avelã</v>
      </c>
      <c r="J395">
        <f>VLOOKUP(A395,Pr_Base_LNEC!$A$4:$J$6971,6,FALSE)</f>
        <v>0</v>
      </c>
      <c r="K395">
        <f>VLOOKUP(A395,Pr_Base_LNEC!$A$4:$J$6971,7,FALSE)</f>
        <v>0</v>
      </c>
    </row>
    <row r="396" spans="1:11" ht="14.5">
      <c r="A396" s="20" t="s">
        <v>14603</v>
      </c>
      <c r="B396" s="20">
        <v>20</v>
      </c>
      <c r="C396" s="20">
        <v>29</v>
      </c>
      <c r="D396" s="20">
        <v>87</v>
      </c>
      <c r="E396" s="20">
        <v>37</v>
      </c>
      <c r="F396" s="20" t="s">
        <v>14604</v>
      </c>
      <c r="G396" s="20" t="s">
        <v>14605</v>
      </c>
      <c r="H396" s="24"/>
      <c r="I396" s="24" t="str">
        <f ca="1">IFERROR(__xludf.DUMMYFUNCTION("GOOGLETRANSLATE(F396,""en"",""pt"")"),"balanços Hazel")</f>
        <v>balanços Hazel</v>
      </c>
      <c r="J396">
        <f>VLOOKUP(A396,Pr_Base_LNEC!$A$4:$J$6971,6,FALSE)</f>
        <v>0</v>
      </c>
      <c r="K396">
        <f>VLOOKUP(A396,Pr_Base_LNEC!$A$4:$J$6971,7,FALSE)</f>
        <v>0</v>
      </c>
    </row>
    <row r="397" spans="1:11" ht="14.5">
      <c r="A397" s="20" t="s">
        <v>14606</v>
      </c>
      <c r="B397" s="20">
        <v>20</v>
      </c>
      <c r="C397" s="20">
        <v>29</v>
      </c>
      <c r="D397" s="20">
        <v>87</v>
      </c>
      <c r="E397" s="20">
        <v>52</v>
      </c>
      <c r="F397" s="20" t="s">
        <v>14607</v>
      </c>
      <c r="G397" s="20" t="s">
        <v>14608</v>
      </c>
      <c r="H397" s="24"/>
      <c r="I397" s="24" t="str">
        <f ca="1">IFERROR(__xludf.DUMMYFUNCTION("GOOGLETRANSLATE(F397,""en"",""pt"")"),"balanços de metal")</f>
        <v>balanços de metal</v>
      </c>
      <c r="J397">
        <f>VLOOKUP(A397,Pr_Base_LNEC!$A$4:$J$6971,6,FALSE)</f>
        <v>0</v>
      </c>
      <c r="K397">
        <f>VLOOKUP(A397,Pr_Base_LNEC!$A$4:$J$6971,7,FALSE)</f>
        <v>0</v>
      </c>
    </row>
    <row r="398" spans="1:11" ht="14.5">
      <c r="A398" s="20" t="s">
        <v>14609</v>
      </c>
      <c r="B398" s="20">
        <v>20</v>
      </c>
      <c r="C398" s="20">
        <v>29</v>
      </c>
      <c r="D398" s="20">
        <v>87</v>
      </c>
      <c r="E398" s="20">
        <v>87</v>
      </c>
      <c r="F398" s="20" t="s">
        <v>14610</v>
      </c>
      <c r="G398" s="20" t="s">
        <v>14611</v>
      </c>
      <c r="H398" s="24"/>
      <c r="I398" s="24" t="str">
        <f ca="1">IFERROR(__xludf.DUMMYFUNCTION("GOOGLETRANSLATE(F398,""en"",""pt"")"),"ganchos thatching")</f>
        <v>ganchos thatching</v>
      </c>
      <c r="J398">
        <f>VLOOKUP(A398,Pr_Base_LNEC!$A$4:$J$6971,6,FALSE)</f>
        <v>0</v>
      </c>
      <c r="K398">
        <f>VLOOKUP(A398,Pr_Base_LNEC!$A$4:$J$6971,7,FALSE)</f>
        <v>0</v>
      </c>
    </row>
    <row r="399" spans="1:11" ht="14.5">
      <c r="A399" s="20" t="s">
        <v>14612</v>
      </c>
      <c r="B399" s="20">
        <v>20</v>
      </c>
      <c r="C399" s="20">
        <v>29</v>
      </c>
      <c r="D399" s="20">
        <v>87</v>
      </c>
      <c r="E399" s="20">
        <v>96</v>
      </c>
      <c r="F399" s="20" t="s">
        <v>14613</v>
      </c>
      <c r="G399" s="20" t="s">
        <v>14614</v>
      </c>
      <c r="H399" s="24"/>
      <c r="I399" s="24" t="str">
        <f ca="1">IFERROR(__xludf.DUMMYFUNCTION("GOOGLETRANSLATE(F399,""en"",""pt"")"),"balanços de salgueiro")</f>
        <v>balanços de salgueiro</v>
      </c>
      <c r="J399">
        <f>VLOOKUP(A399,Pr_Base_LNEC!$A$4:$J$6971,6,FALSE)</f>
        <v>0</v>
      </c>
      <c r="K399">
        <f>VLOOKUP(A399,Pr_Base_LNEC!$A$4:$J$6971,7,FALSE)</f>
        <v>0</v>
      </c>
    </row>
    <row r="400" spans="1:11" ht="14.5">
      <c r="A400" s="20" t="s">
        <v>14615</v>
      </c>
      <c r="B400" s="20">
        <v>20</v>
      </c>
      <c r="C400" s="20">
        <v>29</v>
      </c>
      <c r="D400" s="20">
        <v>88</v>
      </c>
      <c r="E400" s="24"/>
      <c r="F400" s="20" t="s">
        <v>14616</v>
      </c>
      <c r="G400" s="24"/>
      <c r="H400" s="24"/>
      <c r="I400" s="24" t="str">
        <f ca="1">IFERROR(__xludf.DUMMYFUNCTION("GOOGLETRANSLATE(F400,""en"",""pt"")"),"Mosaicos e tecido fixadores")</f>
        <v>Mosaicos e tecido fixadores</v>
      </c>
      <c r="J400" t="str">
        <f>VLOOKUP(A400,Pr_Base_LNEC!$A$4:$J$6971,6,FALSE)</f>
        <v>Dispositivos de Ligações para Revestimentos Cerâmicos e Carpetes</v>
      </c>
      <c r="K400">
        <f>VLOOKUP(A400,Pr_Base_LNEC!$A$4:$J$6971,7,FALSE)</f>
        <v>0</v>
      </c>
    </row>
    <row r="401" spans="1:11" ht="14.5">
      <c r="A401" s="20" t="s">
        <v>14617</v>
      </c>
      <c r="B401" s="20">
        <v>20</v>
      </c>
      <c r="C401" s="20">
        <v>29</v>
      </c>
      <c r="D401" s="20">
        <v>88</v>
      </c>
      <c r="E401" s="20">
        <v>26</v>
      </c>
      <c r="F401" s="20" t="s">
        <v>14618</v>
      </c>
      <c r="G401" s="20" t="s">
        <v>14619</v>
      </c>
      <c r="H401" s="24"/>
      <c r="I401" s="24" t="str">
        <f ca="1">IFERROR(__xludf.DUMMYFUNCTION("GOOGLETRANSLATE(F401,""en"",""pt"")"),"beading borda")</f>
        <v>beading borda</v>
      </c>
      <c r="J401">
        <f>VLOOKUP(A401,Pr_Base_LNEC!$A$4:$J$6971,6,FALSE)</f>
        <v>0</v>
      </c>
      <c r="K401">
        <f>VLOOKUP(A401,Pr_Base_LNEC!$A$4:$J$6971,7,FALSE)</f>
        <v>0</v>
      </c>
    </row>
    <row r="402" spans="1:11" ht="14.5">
      <c r="A402" s="20" t="s">
        <v>14620</v>
      </c>
      <c r="B402" s="20">
        <v>20</v>
      </c>
      <c r="C402" s="20">
        <v>29</v>
      </c>
      <c r="D402" s="20">
        <v>88</v>
      </c>
      <c r="E402" s="20">
        <v>27</v>
      </c>
      <c r="F402" s="20" t="s">
        <v>14621</v>
      </c>
      <c r="G402" s="20" t="s">
        <v>14622</v>
      </c>
      <c r="H402" s="24"/>
      <c r="I402" s="24" t="str">
        <f ca="1">IFERROR(__xludf.DUMMYFUNCTION("GOOGLETRANSLATE(F402,""en"",""pt"")"),"rails borda beading")</f>
        <v>rails borda beading</v>
      </c>
      <c r="J402">
        <f>VLOOKUP(A402,Pr_Base_LNEC!$A$4:$J$6971,6,FALSE)</f>
        <v>0</v>
      </c>
      <c r="K402">
        <f>VLOOKUP(A402,Pr_Base_LNEC!$A$4:$J$6971,7,FALSE)</f>
        <v>0</v>
      </c>
    </row>
    <row r="403" spans="1:11" ht="14.5">
      <c r="A403" s="20" t="s">
        <v>14623</v>
      </c>
      <c r="B403" s="20">
        <v>20</v>
      </c>
      <c r="C403" s="20">
        <v>29</v>
      </c>
      <c r="D403" s="20">
        <v>88</v>
      </c>
      <c r="E403" s="20">
        <v>31</v>
      </c>
      <c r="F403" s="20" t="s">
        <v>14624</v>
      </c>
      <c r="G403" s="20" t="s">
        <v>14625</v>
      </c>
      <c r="H403" s="24"/>
      <c r="I403" s="24" t="str">
        <f ca="1">IFERROR(__xludf.DUMMYFUNCTION("GOOGLETRANSLATE(F403,""en"",""pt"")"),"conectores telhados bifurcadas")</f>
        <v>conectores telhados bifurcadas</v>
      </c>
      <c r="J403" t="str">
        <f>VLOOKUP(A403,Pr_Base_LNEC!$A$4:$J$6971,6,FALSE)</f>
        <v>Conectores bifurcados para Coberturas em Aço Laminados a Quente de Construção não Ligados</v>
      </c>
      <c r="K403" t="str">
        <f>VLOOKUP(A403,Pr_Base_LNEC!$A$4:$J$6971,7,FALSE)</f>
        <v>EN 10025-1:2004</v>
      </c>
    </row>
    <row r="404" spans="1:11" ht="14.5">
      <c r="A404" s="20" t="s">
        <v>14626</v>
      </c>
      <c r="B404" s="20">
        <v>20</v>
      </c>
      <c r="C404" s="20">
        <v>29</v>
      </c>
      <c r="D404" s="20">
        <v>88</v>
      </c>
      <c r="E404" s="20">
        <v>37</v>
      </c>
      <c r="F404" s="20" t="s">
        <v>14627</v>
      </c>
      <c r="G404" s="20" t="s">
        <v>14628</v>
      </c>
      <c r="H404" s="24"/>
      <c r="I404" s="24" t="str">
        <f ca="1">IFERROR(__xludf.DUMMYFUNCTION("GOOGLETRANSLATE(F404,""en"",""pt"")"),"ferros de quadril")</f>
        <v>ferros de quadril</v>
      </c>
      <c r="J404" t="str">
        <f>VLOOKUP(A404,Pr_Base_LNEC!$A$4:$J$6971,6,FALSE)</f>
        <v>-</v>
      </c>
      <c r="K404">
        <f>VLOOKUP(A404,Pr_Base_LNEC!$A$4:$J$6971,7,FALSE)</f>
        <v>0</v>
      </c>
    </row>
    <row r="405" spans="1:11" ht="14.5">
      <c r="A405" s="20" t="s">
        <v>14629</v>
      </c>
      <c r="B405" s="20">
        <v>20</v>
      </c>
      <c r="C405" s="20">
        <v>29</v>
      </c>
      <c r="D405" s="20">
        <v>88</v>
      </c>
      <c r="E405" s="20">
        <v>41</v>
      </c>
      <c r="F405" s="20" t="s">
        <v>14630</v>
      </c>
      <c r="G405" s="24"/>
      <c r="H405" s="24"/>
      <c r="I405" s="24" t="str">
        <f ca="1">IFERROR(__xludf.DUMMYFUNCTION("GOOGLETRANSLATE(F405,""en"",""pt"")"),"Isolamento fixa clipes sela")</f>
        <v>Isolamento fixa clipes sela</v>
      </c>
      <c r="J405" t="str">
        <f>VLOOKUP(A405,Pr_Base_LNEC!$A$4:$J$6971,6,FALSE)</f>
        <v>-</v>
      </c>
      <c r="K405">
        <f>VLOOKUP(A405,Pr_Base_LNEC!$A$4:$J$6971,7,FALSE)</f>
        <v>0</v>
      </c>
    </row>
    <row r="406" spans="1:11" ht="14.5">
      <c r="A406" s="20" t="s">
        <v>14631</v>
      </c>
      <c r="B406" s="20">
        <v>20</v>
      </c>
      <c r="C406" s="20">
        <v>29</v>
      </c>
      <c r="D406" s="20">
        <v>88</v>
      </c>
      <c r="E406" s="20">
        <v>42</v>
      </c>
      <c r="F406" s="20" t="s">
        <v>14632</v>
      </c>
      <c r="G406" s="20" t="s">
        <v>14633</v>
      </c>
      <c r="H406" s="24"/>
      <c r="I406" s="24" t="str">
        <f ca="1">IFERROR(__xludf.DUMMYFUNCTION("GOOGLETRANSLATE(F406,""en"",""pt"")"),"espigas de fixação isolamento")</f>
        <v>espigas de fixação isolamento</v>
      </c>
      <c r="J406" t="str">
        <f>VLOOKUP(A406,Pr_Base_LNEC!$A$4:$J$6971,6,FALSE)</f>
        <v>-</v>
      </c>
      <c r="K406">
        <f>VLOOKUP(A406,Pr_Base_LNEC!$A$4:$J$6971,7,FALSE)</f>
        <v>0</v>
      </c>
    </row>
    <row r="407" spans="1:11" ht="14.5">
      <c r="A407" s="20" t="s">
        <v>14634</v>
      </c>
      <c r="B407" s="20">
        <v>20</v>
      </c>
      <c r="C407" s="20">
        <v>29</v>
      </c>
      <c r="D407" s="20">
        <v>88</v>
      </c>
      <c r="E407" s="20">
        <v>43</v>
      </c>
      <c r="F407" s="20" t="s">
        <v>14635</v>
      </c>
      <c r="G407" s="20" t="s">
        <v>14636</v>
      </c>
      <c r="H407" s="24"/>
      <c r="I407" s="24" t="str">
        <f ca="1">IFERROR(__xludf.DUMMYFUNCTION("GOOGLETRANSLATE(F407,""en"",""pt"")"),"cintas de fixação de isolamento")</f>
        <v>cintas de fixação de isolamento</v>
      </c>
      <c r="J407" t="str">
        <f>VLOOKUP(A407,Pr_Base_LNEC!$A$4:$J$6971,6,FALSE)</f>
        <v>-</v>
      </c>
      <c r="K407">
        <f>VLOOKUP(A407,Pr_Base_LNEC!$A$4:$J$6971,7,FALSE)</f>
        <v>0</v>
      </c>
    </row>
    <row r="408" spans="1:11" ht="14.5">
      <c r="A408" s="20" t="s">
        <v>14637</v>
      </c>
      <c r="B408" s="20">
        <v>20</v>
      </c>
      <c r="C408" s="20">
        <v>29</v>
      </c>
      <c r="D408" s="20">
        <v>88</v>
      </c>
      <c r="E408" s="20">
        <v>59</v>
      </c>
      <c r="F408" s="20" t="s">
        <v>14638</v>
      </c>
      <c r="G408" s="20" t="s">
        <v>14639</v>
      </c>
      <c r="H408" s="24"/>
      <c r="I408" s="24" t="str">
        <f ca="1">IFERROR(__xludf.DUMMYFUNCTION("GOOGLETRANSLATE(F408,""en"",""pt"")"),"fixadores de sobreposição")</f>
        <v>fixadores de sobreposição</v>
      </c>
      <c r="J408" t="str">
        <f>VLOOKUP(A408,Pr_Base_LNEC!$A$4:$J$6971,6,FALSE)</f>
        <v>-</v>
      </c>
      <c r="K408">
        <f>VLOOKUP(A408,Pr_Base_LNEC!$A$4:$J$6971,7,FALSE)</f>
        <v>0</v>
      </c>
    </row>
    <row r="409" spans="1:11" ht="14.5">
      <c r="A409" s="20" t="s">
        <v>14640</v>
      </c>
      <c r="B409" s="20">
        <v>20</v>
      </c>
      <c r="C409" s="20">
        <v>29</v>
      </c>
      <c r="D409" s="20">
        <v>88</v>
      </c>
      <c r="E409" s="20">
        <v>70</v>
      </c>
      <c r="F409" s="20" t="s">
        <v>14641</v>
      </c>
      <c r="G409" s="20" t="s">
        <v>14642</v>
      </c>
      <c r="H409" s="24"/>
      <c r="I409" s="24" t="str">
        <f ca="1">IFERROR(__xludf.DUMMYFUNCTION("GOOGLETRANSLATE(F409,""en"",""pt"")"),"cintos para telhados")</f>
        <v>cintos para telhados</v>
      </c>
      <c r="J409" t="str">
        <f>VLOOKUP(A409,Pr_Base_LNEC!$A$4:$J$6971,6,FALSE)</f>
        <v>-</v>
      </c>
      <c r="K409">
        <f>VLOOKUP(A409,Pr_Base_LNEC!$A$4:$J$6971,7,FALSE)</f>
        <v>0</v>
      </c>
    </row>
    <row r="410" spans="1:11" ht="14.5">
      <c r="A410" s="20" t="s">
        <v>14643</v>
      </c>
      <c r="B410" s="20">
        <v>20</v>
      </c>
      <c r="C410" s="20">
        <v>29</v>
      </c>
      <c r="D410" s="20">
        <v>88</v>
      </c>
      <c r="E410" s="20">
        <v>71</v>
      </c>
      <c r="F410" s="20" t="s">
        <v>14644</v>
      </c>
      <c r="G410" s="20" t="s">
        <v>14645</v>
      </c>
      <c r="H410" s="24"/>
      <c r="I410" s="24" t="str">
        <f ca="1">IFERROR(__xludf.DUMMYFUNCTION("GOOGLETRANSLATE(F410,""en"",""pt"")"),"braçadeiras para telhados")</f>
        <v>braçadeiras para telhados</v>
      </c>
      <c r="J410" t="str">
        <f>VLOOKUP(A410,Pr_Base_LNEC!$A$4:$J$6971,6,FALSE)</f>
        <v>-</v>
      </c>
      <c r="K410">
        <f>VLOOKUP(A410,Pr_Base_LNEC!$A$4:$J$6971,7,FALSE)</f>
        <v>0</v>
      </c>
    </row>
    <row r="411" spans="1:11" ht="14.5">
      <c r="A411" s="20" t="s">
        <v>14646</v>
      </c>
      <c r="B411" s="20">
        <v>20</v>
      </c>
      <c r="C411" s="20">
        <v>29</v>
      </c>
      <c r="D411" s="20">
        <v>88</v>
      </c>
      <c r="E411" s="20">
        <v>72</v>
      </c>
      <c r="F411" s="20" t="s">
        <v>14647</v>
      </c>
      <c r="G411" s="20" t="s">
        <v>14648</v>
      </c>
      <c r="H411" s="24"/>
      <c r="I411" s="24" t="str">
        <f ca="1">IFERROR(__xludf.DUMMYFUNCTION("GOOGLETRANSLATE(F411,""en"",""pt"")"),"Telhado placas de aperto")</f>
        <v>Telhado placas de aperto</v>
      </c>
      <c r="J411" t="str">
        <f>VLOOKUP(A411,Pr_Base_LNEC!$A$4:$J$6971,6,FALSE)</f>
        <v>-</v>
      </c>
      <c r="K411">
        <f>VLOOKUP(A411,Pr_Base_LNEC!$A$4:$J$6971,7,FALSE)</f>
        <v>0</v>
      </c>
    </row>
    <row r="412" spans="1:11" ht="14.5">
      <c r="A412" s="20" t="s">
        <v>14649</v>
      </c>
      <c r="B412" s="20">
        <v>20</v>
      </c>
      <c r="C412" s="20">
        <v>29</v>
      </c>
      <c r="D412" s="20">
        <v>88</v>
      </c>
      <c r="E412" s="20">
        <v>73</v>
      </c>
      <c r="F412" s="20" t="s">
        <v>14650</v>
      </c>
      <c r="G412" s="20" t="s">
        <v>14651</v>
      </c>
      <c r="H412" s="24"/>
      <c r="I412" s="24" t="str">
        <f ca="1">IFERROR(__xludf.DUMMYFUNCTION("GOOGLETRANSLATE(F412,""en"",""pt"")"),"Telhado cantoneiras")</f>
        <v>Telhado cantoneiras</v>
      </c>
      <c r="J412" t="str">
        <f>VLOOKUP(A412,Pr_Base_LNEC!$A$4:$J$6971,6,FALSE)</f>
        <v>Placas de Canto para Coberturas em Aço Laminados a Euente de Construção não Ligados</v>
      </c>
      <c r="K412" t="str">
        <f>VLOOKUP(A412,Pr_Base_LNEC!$A$4:$J$6971,7,FALSE)</f>
        <v>EN 10025-1:2004</v>
      </c>
    </row>
    <row r="413" spans="1:11" ht="14.5">
      <c r="A413" s="20" t="s">
        <v>14652</v>
      </c>
      <c r="B413" s="20">
        <v>20</v>
      </c>
      <c r="C413" s="20">
        <v>29</v>
      </c>
      <c r="D413" s="20">
        <v>88</v>
      </c>
      <c r="E413" s="20">
        <v>74</v>
      </c>
      <c r="F413" s="20" t="s">
        <v>14653</v>
      </c>
      <c r="G413" s="20" t="s">
        <v>14654</v>
      </c>
      <c r="H413" s="24"/>
      <c r="I413" s="24" t="str">
        <f ca="1">IFERROR(__xludf.DUMMYFUNCTION("GOOGLETRANSLATE(F413,""en"",""pt"")"),"tiras para telhados")</f>
        <v>tiras para telhados</v>
      </c>
      <c r="J413">
        <f>VLOOKUP(A413,Pr_Base_LNEC!$A$4:$J$6971,6,FALSE)</f>
        <v>0</v>
      </c>
      <c r="K413">
        <f>VLOOKUP(A413,Pr_Base_LNEC!$A$4:$J$6971,7,FALSE)</f>
        <v>0</v>
      </c>
    </row>
    <row r="414" spans="1:11" ht="14.5">
      <c r="A414" s="20" t="s">
        <v>14655</v>
      </c>
      <c r="B414" s="20">
        <v>20</v>
      </c>
      <c r="C414" s="20">
        <v>29</v>
      </c>
      <c r="D414" s="20">
        <v>88</v>
      </c>
      <c r="E414" s="20">
        <v>75</v>
      </c>
      <c r="F414" s="20" t="s">
        <v>14656</v>
      </c>
      <c r="G414" s="20" t="s">
        <v>14657</v>
      </c>
      <c r="H414" s="24"/>
      <c r="I414" s="24" t="str">
        <f ca="1">IFERROR(__xludf.DUMMYFUNCTION("GOOGLETRANSLATE(F414,""en"",""pt"")"),"grinaldas de coberturas")</f>
        <v>grinaldas de coberturas</v>
      </c>
      <c r="J414">
        <f>VLOOKUP(A414,Pr_Base_LNEC!$A$4:$J$6971,6,FALSE)</f>
        <v>0</v>
      </c>
      <c r="K414">
        <f>VLOOKUP(A414,Pr_Base_LNEC!$A$4:$J$6971,7,FALSE)</f>
        <v>0</v>
      </c>
    </row>
    <row r="415" spans="1:11" ht="14.5">
      <c r="A415" s="20" t="s">
        <v>14658</v>
      </c>
      <c r="B415" s="20">
        <v>20</v>
      </c>
      <c r="C415" s="20">
        <v>29</v>
      </c>
      <c r="D415" s="20">
        <v>96</v>
      </c>
      <c r="E415" s="24"/>
      <c r="F415" s="20" t="s">
        <v>14659</v>
      </c>
      <c r="G415" s="24"/>
      <c r="H415" s="24"/>
      <c r="I415" s="24" t="str">
        <f ca="1">IFERROR(__xludf.DUMMYFUNCTION("GOOGLETRANSLATE(F415,""en"",""pt"")"),"juntas soldadas")</f>
        <v>juntas soldadas</v>
      </c>
      <c r="J415" t="str">
        <f>VLOOKUP(A415,Pr_Base_LNEC!$A$4:$J$6971,6,FALSE)</f>
        <v>Juntas Soldadas</v>
      </c>
      <c r="K415">
        <f>VLOOKUP(A415,Pr_Base_LNEC!$A$4:$J$6971,7,FALSE)</f>
        <v>0</v>
      </c>
    </row>
    <row r="416" spans="1:11" ht="14.5">
      <c r="A416" s="20" t="s">
        <v>14660</v>
      </c>
      <c r="B416" s="20">
        <v>20</v>
      </c>
      <c r="C416" s="20">
        <v>29</v>
      </c>
      <c r="D416" s="20">
        <v>96</v>
      </c>
      <c r="E416" s="20">
        <v>3</v>
      </c>
      <c r="F416" s="20" t="s">
        <v>14661</v>
      </c>
      <c r="G416" s="24"/>
      <c r="H416" s="24"/>
      <c r="I416" s="24" t="str">
        <f ca="1">IFERROR(__xludf.DUMMYFUNCTION("GOOGLETRANSLATE(F416,""en"",""pt"")"),"soldas ferroviárias aluminotérmicas")</f>
        <v>soldas ferroviárias aluminotérmicas</v>
      </c>
      <c r="J416" t="str">
        <f>VLOOKUP(A416,Pr_Base_LNEC!$A$4:$J$6971,6,FALSE)</f>
        <v>-</v>
      </c>
      <c r="K416">
        <f>VLOOKUP(A416,Pr_Base_LNEC!$A$4:$J$6971,7,FALSE)</f>
        <v>0</v>
      </c>
    </row>
    <row r="417" spans="1:11" ht="14.5">
      <c r="A417" s="20" t="s">
        <v>14662</v>
      </c>
      <c r="B417" s="20">
        <v>20</v>
      </c>
      <c r="C417" s="20">
        <v>29</v>
      </c>
      <c r="D417" s="20">
        <v>97</v>
      </c>
      <c r="E417" s="24"/>
      <c r="F417" s="20" t="s">
        <v>14663</v>
      </c>
      <c r="G417" s="24"/>
      <c r="H417" s="24"/>
      <c r="I417" s="24" t="str">
        <f ca="1">IFERROR(__xludf.DUMMYFUNCTION("GOOGLETRANSLATE(F417,""en"",""pt"")"),"Soldagem enchimentos conjuntas")</f>
        <v>Soldagem enchimentos conjuntas</v>
      </c>
      <c r="J417" t="str">
        <f>VLOOKUP(A417,Pr_Base_LNEC!$A$4:$J$6971,6,FALSE)</f>
        <v>Enchimento para Juntas Soldadas</v>
      </c>
      <c r="K417">
        <f>VLOOKUP(A417,Pr_Base_LNEC!$A$4:$J$6971,7,FALSE)</f>
        <v>0</v>
      </c>
    </row>
    <row r="418" spans="1:11" ht="14.5">
      <c r="A418" s="20" t="s">
        <v>14664</v>
      </c>
      <c r="B418" s="20">
        <v>20</v>
      </c>
      <c r="C418" s="20">
        <v>29</v>
      </c>
      <c r="D418" s="20">
        <v>97</v>
      </c>
      <c r="E418" s="20">
        <v>9</v>
      </c>
      <c r="F418" s="20" t="s">
        <v>14665</v>
      </c>
      <c r="G418" s="24"/>
      <c r="H418" s="24"/>
      <c r="I418" s="24" t="str">
        <f ca="1">IFERROR(__xludf.DUMMYFUNCTION("GOOGLETRANSLATE(F418,""en"",""pt"")"),"Brasagem enchimentos conjuntas")</f>
        <v>Brasagem enchimentos conjuntas</v>
      </c>
      <c r="J418" t="str">
        <f>VLOOKUP(A418,Pr_Base_LNEC!$A$4:$J$6971,6,FALSE)</f>
        <v>-</v>
      </c>
      <c r="K418">
        <f>VLOOKUP(A418,Pr_Base_LNEC!$A$4:$J$6971,7,FALSE)</f>
        <v>0</v>
      </c>
    </row>
    <row r="419" spans="1:11" ht="14.5">
      <c r="A419" s="20" t="s">
        <v>14666</v>
      </c>
      <c r="B419" s="20">
        <v>20</v>
      </c>
      <c r="C419" s="20">
        <v>29</v>
      </c>
      <c r="D419" s="20">
        <v>97</v>
      </c>
      <c r="E419" s="20">
        <v>26</v>
      </c>
      <c r="F419" s="20" t="s">
        <v>14667</v>
      </c>
      <c r="G419" s="24"/>
      <c r="H419" s="24"/>
      <c r="I419" s="24" t="str">
        <f ca="1">IFERROR(__xludf.DUMMYFUNCTION("GOOGLETRANSLATE(F419,""en"",""pt"")"),"Solda elétrica enchimentos conjuntas")</f>
        <v>Solda elétrica enchimentos conjuntas</v>
      </c>
      <c r="J419" t="str">
        <f>VLOOKUP(A419,Pr_Base_LNEC!$A$4:$J$6971,6,FALSE)</f>
        <v>-</v>
      </c>
      <c r="K419">
        <f>VLOOKUP(A419,Pr_Base_LNEC!$A$4:$J$6971,7,FALSE)</f>
        <v>0</v>
      </c>
    </row>
    <row r="420" spans="1:11" ht="14.5">
      <c r="A420" s="20" t="s">
        <v>14668</v>
      </c>
      <c r="B420" s="20">
        <v>20</v>
      </c>
      <c r="C420" s="20">
        <v>29</v>
      </c>
      <c r="D420" s="20">
        <v>97</v>
      </c>
      <c r="E420" s="20">
        <v>33</v>
      </c>
      <c r="F420" s="20" t="s">
        <v>14669</v>
      </c>
      <c r="G420" s="24"/>
      <c r="H420" s="24"/>
      <c r="I420" s="24" t="str">
        <f ca="1">IFERROR(__xludf.DUMMYFUNCTION("GOOGLETRANSLATE(F420,""en"",""pt"")"),"Soldadura e enchimento de juntas")</f>
        <v>Soldadura e enchimento de juntas</v>
      </c>
      <c r="J420" t="str">
        <f>VLOOKUP(A420,Pr_Base_LNEC!$A$4:$J$6971,6,FALSE)</f>
        <v>-</v>
      </c>
      <c r="K420">
        <f>VLOOKUP(A420,Pr_Base_LNEC!$A$4:$J$6971,7,FALSE)</f>
        <v>0</v>
      </c>
    </row>
    <row r="421" spans="1:11" ht="14.5">
      <c r="A421" s="20" t="s">
        <v>14670</v>
      </c>
      <c r="B421" s="20">
        <v>20</v>
      </c>
      <c r="C421" s="20">
        <v>29</v>
      </c>
      <c r="D421" s="20">
        <v>97</v>
      </c>
      <c r="E421" s="20">
        <v>81</v>
      </c>
      <c r="F421" s="20" t="s">
        <v>14671</v>
      </c>
      <c r="G421" s="24"/>
      <c r="H421" s="24"/>
      <c r="I421" s="24" t="str">
        <f ca="1">IFERROR(__xludf.DUMMYFUNCTION("GOOGLETRANSLATE(F421,""en"",""pt"")"),"enchimento de juntas de solda")</f>
        <v>enchimento de juntas de solda</v>
      </c>
      <c r="J421" t="str">
        <f>VLOOKUP(A421,Pr_Base_LNEC!$A$4:$J$6971,6,FALSE)</f>
        <v>-</v>
      </c>
      <c r="K421">
        <f>VLOOKUP(A421,Pr_Base_LNEC!$A$4:$J$6971,7,FALSE)</f>
        <v>0</v>
      </c>
    </row>
    <row r="422" spans="1:11" ht="14.5">
      <c r="A422" s="20" t="s">
        <v>14672</v>
      </c>
      <c r="B422" s="20">
        <v>20</v>
      </c>
      <c r="C422" s="20">
        <v>31</v>
      </c>
      <c r="D422" s="24"/>
      <c r="E422" s="24"/>
      <c r="F422" s="20" t="s">
        <v>14673</v>
      </c>
      <c r="G422" s="24"/>
      <c r="H422" s="24"/>
      <c r="I422" s="24" t="str">
        <f ca="1">IFERROR(__xludf.DUMMYFUNCTION("GOOGLETRANSLATE(F422,""en"",""pt"")"),"estrutura disforme e produtos gerais")</f>
        <v>estrutura disforme e produtos gerais</v>
      </c>
      <c r="J422" t="str">
        <f>VLOOKUP(A422,Pr_Base_LNEC!$A$4:$J$6971,6,FALSE)</f>
        <v>Produtos Estruturais e Gerais sem forma</v>
      </c>
      <c r="K422">
        <f>VLOOKUP(A422,Pr_Base_LNEC!$A$4:$J$6971,7,FALSE)</f>
        <v>0</v>
      </c>
    </row>
    <row r="423" spans="1:11" ht="14.5">
      <c r="A423" s="20" t="s">
        <v>14674</v>
      </c>
      <c r="B423" s="20">
        <v>20</v>
      </c>
      <c r="C423" s="20">
        <v>31</v>
      </c>
      <c r="D423" s="20">
        <v>1</v>
      </c>
      <c r="E423" s="24"/>
      <c r="F423" s="20" t="s">
        <v>14675</v>
      </c>
      <c r="G423" s="24"/>
      <c r="H423" s="24"/>
      <c r="I423" s="24" t="str">
        <f ca="1">IFERROR(__xludf.DUMMYFUNCTION("GOOGLETRANSLATE(F423,""en"",""pt"")"),"aditivos")</f>
        <v>aditivos</v>
      </c>
      <c r="J423" t="str">
        <f>VLOOKUP(A423,Pr_Base_LNEC!$A$4:$J$6971,6,FALSE)</f>
        <v>Aditivos</v>
      </c>
      <c r="K423">
        <f>VLOOKUP(A423,Pr_Base_LNEC!$A$4:$J$6971,7,FALSE)</f>
        <v>0</v>
      </c>
    </row>
    <row r="424" spans="1:11" ht="14.5">
      <c r="A424" s="20" t="s">
        <v>14676</v>
      </c>
      <c r="B424" s="20">
        <v>20</v>
      </c>
      <c r="C424" s="20">
        <v>31</v>
      </c>
      <c r="D424" s="20">
        <v>1</v>
      </c>
      <c r="E424" s="20">
        <v>11</v>
      </c>
      <c r="F424" s="20" t="s">
        <v>14677</v>
      </c>
      <c r="G424" s="20" t="s">
        <v>14678</v>
      </c>
      <c r="H424" s="24"/>
      <c r="I424" s="24" t="str">
        <f ca="1">IFERROR(__xludf.DUMMYFUNCTION("GOOGLETRANSLATE(F424,""en"",""pt"")"),"fibras de aço de carbono")</f>
        <v>fibras de aço de carbono</v>
      </c>
      <c r="J424" t="str">
        <f>VLOOKUP(A424,Pr_Base_LNEC!$A$4:$J$6971,6,FALSE)</f>
        <v>Fibras em Aço para Betão</v>
      </c>
      <c r="K424" t="str">
        <f>VLOOKUP(A424,Pr_Base_LNEC!$A$4:$J$6971,7,FALSE)</f>
        <v>EN 14889-1:2006</v>
      </c>
    </row>
    <row r="425" spans="1:11" ht="14.5">
      <c r="A425" s="20" t="s">
        <v>14679</v>
      </c>
      <c r="B425" s="20">
        <v>20</v>
      </c>
      <c r="C425" s="20">
        <v>31</v>
      </c>
      <c r="D425" s="20">
        <v>1</v>
      </c>
      <c r="E425" s="20">
        <v>22</v>
      </c>
      <c r="F425" s="20" t="s">
        <v>14680</v>
      </c>
      <c r="G425" s="24"/>
      <c r="H425" s="24"/>
      <c r="I425" s="24" t="str">
        <f ca="1">IFERROR(__xludf.DUMMYFUNCTION("GOOGLETRANSLATE(F425,""en"",""pt"")"),"aditivo supressão de pó")</f>
        <v>aditivo supressão de pó</v>
      </c>
      <c r="J425" t="e">
        <f>VLOOKUP(A425,Pr_Base_LNEC!$A$4:$J$6971,6,FALSE)</f>
        <v>#N/A</v>
      </c>
      <c r="K425" t="e">
        <f>VLOOKUP(A425,Pr_Base_LNEC!$A$4:$J$6971,7,FALSE)</f>
        <v>#N/A</v>
      </c>
    </row>
    <row r="426" spans="1:11" ht="14.5">
      <c r="A426" s="20" t="s">
        <v>14681</v>
      </c>
      <c r="B426" s="20">
        <v>20</v>
      </c>
      <c r="C426" s="20">
        <v>31</v>
      </c>
      <c r="D426" s="20">
        <v>1</v>
      </c>
      <c r="E426" s="20">
        <v>32</v>
      </c>
      <c r="F426" s="20" t="s">
        <v>14682</v>
      </c>
      <c r="G426" s="20" t="s">
        <v>14683</v>
      </c>
      <c r="H426" s="24"/>
      <c r="I426" s="24" t="str">
        <f ca="1">IFERROR(__xludf.DUMMYFUNCTION("GOOGLETRANSLATE(F426,""en"",""pt"")"),"fibras de vidro")</f>
        <v>fibras de vidro</v>
      </c>
      <c r="J426" t="str">
        <f>VLOOKUP(A426,Pr_Base_LNEC!$A$4:$J$6971,6,FALSE)</f>
        <v>Fibras em Vidro para Betão</v>
      </c>
      <c r="K426" t="str">
        <f>VLOOKUP(A426,Pr_Base_LNEC!$A$4:$J$6971,7,FALSE)</f>
        <v>EN 14889-1:2006</v>
      </c>
    </row>
    <row r="427" spans="1:11" ht="14.5">
      <c r="A427" s="20" t="s">
        <v>14684</v>
      </c>
      <c r="B427" s="20">
        <v>20</v>
      </c>
      <c r="C427" s="20">
        <v>31</v>
      </c>
      <c r="D427" s="20">
        <v>1</v>
      </c>
      <c r="E427" s="20">
        <v>39</v>
      </c>
      <c r="F427" s="20" t="s">
        <v>14685</v>
      </c>
      <c r="G427" s="20" t="s">
        <v>14686</v>
      </c>
      <c r="H427" s="24"/>
      <c r="I427" s="24" t="str">
        <f ca="1">IFERROR(__xludf.DUMMYFUNCTION("GOOGLETRANSLATE(F427,""en"",""pt"")"),"ligantes hidráulicos de estrada")</f>
        <v>ligantes hidráulicos de estrada</v>
      </c>
      <c r="J427" t="str">
        <f>VLOOKUP(A427,Pr_Base_LNEC!$A$4:$J$6971,6,FALSE)</f>
        <v>Fibras Poliméricas para Betão</v>
      </c>
      <c r="K427" t="str">
        <f>VLOOKUP(A427,Pr_Base_LNEC!$A$4:$J$6971,7,FALSE)</f>
        <v>EN 14889-2:2006</v>
      </c>
    </row>
    <row r="428" spans="1:11" ht="14.5">
      <c r="A428" s="20" t="s">
        <v>14687</v>
      </c>
      <c r="B428" s="20">
        <v>20</v>
      </c>
      <c r="C428" s="20">
        <v>31</v>
      </c>
      <c r="D428" s="20">
        <v>1</v>
      </c>
      <c r="E428" s="20">
        <v>75</v>
      </c>
      <c r="F428" s="20" t="s">
        <v>14688</v>
      </c>
      <c r="G428" s="24"/>
      <c r="H428" s="24"/>
      <c r="I428" s="24" t="str">
        <f ca="1">IFERROR(__xludf.DUMMYFUNCTION("GOOGLETRANSLATE(F428,""en"",""pt"")"),"Polipropileno (PP) fibras")</f>
        <v>Polipropileno (PP) fibras</v>
      </c>
      <c r="J428" t="str">
        <f>VLOOKUP(A428,Pr_Base_LNEC!$A$4:$J$6971,6,FALSE)</f>
        <v>-</v>
      </c>
      <c r="K428">
        <f>VLOOKUP(A428,Pr_Base_LNEC!$A$4:$J$6971,7,FALSE)</f>
        <v>0</v>
      </c>
    </row>
    <row r="429" spans="1:11" ht="14.5">
      <c r="A429" s="20" t="s">
        <v>14689</v>
      </c>
      <c r="B429" s="20">
        <v>20</v>
      </c>
      <c r="C429" s="20">
        <v>31</v>
      </c>
      <c r="D429" s="20">
        <v>1</v>
      </c>
      <c r="E429" s="20">
        <v>85</v>
      </c>
      <c r="F429" s="20" t="s">
        <v>14690</v>
      </c>
      <c r="G429" s="20" t="s">
        <v>14691</v>
      </c>
      <c r="H429" s="24"/>
      <c r="I429" s="24" t="str">
        <f ca="1">IFERROR(__xludf.DUMMYFUNCTION("GOOGLETRANSLATE(F429,""en"",""pt"")"),"as fibras de aço inoxidável")</f>
        <v>as fibras de aço inoxidável</v>
      </c>
      <c r="J429" t="str">
        <f>VLOOKUP(A429,Pr_Base_LNEC!$A$4:$J$6971,6,FALSE)</f>
        <v>Fibras em Aço Inoxidavel para Betão</v>
      </c>
      <c r="K429" t="str">
        <f>VLOOKUP(A429,Pr_Base_LNEC!$A$4:$J$6971,7,FALSE)</f>
        <v>EN 14889-1:2006</v>
      </c>
    </row>
    <row r="430" spans="1:11" ht="14.5">
      <c r="A430" s="20" t="s">
        <v>14692</v>
      </c>
      <c r="B430" s="20">
        <v>20</v>
      </c>
      <c r="C430" s="20">
        <v>31</v>
      </c>
      <c r="D430" s="20">
        <v>1</v>
      </c>
      <c r="E430" s="20">
        <v>86</v>
      </c>
      <c r="F430" s="20" t="s">
        <v>14693</v>
      </c>
      <c r="G430" s="20" t="s">
        <v>14694</v>
      </c>
      <c r="H430" s="24"/>
      <c r="I430" s="24" t="str">
        <f ca="1">IFERROR(__xludf.DUMMYFUNCTION("GOOGLETRANSLATE(F430,""en"",""pt"")"),"fibras sintéticas")</f>
        <v>fibras sintéticas</v>
      </c>
      <c r="J430" t="str">
        <f>VLOOKUP(A430,Pr_Base_LNEC!$A$4:$J$6971,6,FALSE)</f>
        <v>Fibras Sintéticas para Betão</v>
      </c>
      <c r="K430" t="str">
        <f>VLOOKUP(A430,Pr_Base_LNEC!$A$4:$J$6971,7,FALSE)</f>
        <v>EN 14889-2:2006</v>
      </c>
    </row>
    <row r="431" spans="1:11" ht="14.5">
      <c r="A431" s="20" t="s">
        <v>14695</v>
      </c>
      <c r="B431" s="20">
        <v>20</v>
      </c>
      <c r="C431" s="20">
        <v>31</v>
      </c>
      <c r="D431" s="20">
        <v>1</v>
      </c>
      <c r="E431" s="20">
        <v>96</v>
      </c>
      <c r="F431" s="20" t="s">
        <v>14696</v>
      </c>
      <c r="G431" s="24"/>
      <c r="H431" s="24"/>
      <c r="I431" s="24" t="str">
        <f ca="1">IFERROR(__xludf.DUMMYFUNCTION("GOOGLETRANSLATE(F431,""en"",""pt"")"),"absorção de fluidos à base de água")</f>
        <v>absorção de fluidos à base de água</v>
      </c>
      <c r="J431" t="e">
        <f>VLOOKUP(A431,Pr_Base_LNEC!$A$4:$J$6971,6,FALSE)</f>
        <v>#N/A</v>
      </c>
      <c r="K431" t="e">
        <f>VLOOKUP(A431,Pr_Base_LNEC!$A$4:$J$6971,7,FALSE)</f>
        <v>#N/A</v>
      </c>
    </row>
    <row r="432" spans="1:11" ht="14.5">
      <c r="A432" s="20" t="s">
        <v>14697</v>
      </c>
      <c r="B432" s="20">
        <v>20</v>
      </c>
      <c r="C432" s="20">
        <v>31</v>
      </c>
      <c r="D432" s="20">
        <v>1</v>
      </c>
      <c r="E432" s="20">
        <v>99</v>
      </c>
      <c r="F432" s="20" t="s">
        <v>14698</v>
      </c>
      <c r="G432" s="24"/>
      <c r="H432" s="24"/>
      <c r="I432" s="24" t="str">
        <f ca="1">IFERROR(__xludf.DUMMYFUNCTION("GOOGLETRANSLATE(F432,""en"",""pt"")"),"pós de zinco")</f>
        <v>pós de zinco</v>
      </c>
      <c r="J432" t="e">
        <f>VLOOKUP(A432,Pr_Base_LNEC!$A$4:$J$6971,6,FALSE)</f>
        <v>#N/A</v>
      </c>
      <c r="K432" t="e">
        <f>VLOOKUP(A432,Pr_Base_LNEC!$A$4:$J$6971,7,FALSE)</f>
        <v>#N/A</v>
      </c>
    </row>
    <row r="433" spans="1:11" ht="14.5">
      <c r="A433" s="20" t="s">
        <v>14699</v>
      </c>
      <c r="B433" s="20">
        <v>20</v>
      </c>
      <c r="C433" s="20">
        <v>31</v>
      </c>
      <c r="D433" s="20">
        <v>2</v>
      </c>
      <c r="E433" s="24"/>
      <c r="F433" s="20" t="s">
        <v>14700</v>
      </c>
      <c r="G433" s="24"/>
      <c r="H433" s="24"/>
      <c r="I433" s="24" t="str">
        <f ca="1">IFERROR(__xludf.DUMMYFUNCTION("GOOGLETRANSLATE(F433,""en"",""pt"")"),"Adesivos e compostos de ligação")</f>
        <v>Adesivos e compostos de ligação</v>
      </c>
      <c r="J433" t="str">
        <f>VLOOKUP(A433,Pr_Base_LNEC!$A$4:$J$6971,6,FALSE)</f>
        <v>Compostos Ligantes e Colas</v>
      </c>
      <c r="K433">
        <f>VLOOKUP(A433,Pr_Base_LNEC!$A$4:$J$6971,7,FALSE)</f>
        <v>0</v>
      </c>
    </row>
    <row r="434" spans="1:11" ht="14.5">
      <c r="A434" s="20" t="s">
        <v>14701</v>
      </c>
      <c r="B434" s="20">
        <v>20</v>
      </c>
      <c r="C434" s="20">
        <v>31</v>
      </c>
      <c r="D434" s="20">
        <v>2</v>
      </c>
      <c r="E434" s="20">
        <v>2</v>
      </c>
      <c r="F434" s="20" t="s">
        <v>14702</v>
      </c>
      <c r="G434" s="20" t="s">
        <v>14703</v>
      </c>
      <c r="H434" s="24"/>
      <c r="I434" s="24" t="str">
        <f ca="1">IFERROR(__xludf.DUMMYFUNCTION("GOOGLETRANSLATE(F434,""en"",""pt"")"),"adesivos acrílicos anaeróbicas")</f>
        <v>adesivos acrílicos anaeróbicas</v>
      </c>
      <c r="J434" t="str">
        <f>VLOOKUP(A434,Pr_Base_LNEC!$A$4:$J$6971,6,FALSE)</f>
        <v>Colas Anaeróbicas para Montagens Metálicas Coaxiais</v>
      </c>
      <c r="K434" t="str">
        <f>VLOOKUP(A434,Pr_Base_LNEC!$A$4:$J$6971,7,FALSE)</f>
        <v>EN 15275:2015</v>
      </c>
    </row>
    <row r="435" spans="1:11" ht="14.5">
      <c r="A435" s="20" t="s">
        <v>14704</v>
      </c>
      <c r="B435" s="20">
        <v>20</v>
      </c>
      <c r="C435" s="20">
        <v>31</v>
      </c>
      <c r="D435" s="20">
        <v>2</v>
      </c>
      <c r="E435" s="20">
        <v>3</v>
      </c>
      <c r="F435" s="20" t="s">
        <v>14705</v>
      </c>
      <c r="G435" s="20" t="s">
        <v>14706</v>
      </c>
      <c r="H435" s="24"/>
      <c r="I435" s="24" t="str">
        <f ca="1">IFERROR(__xludf.DUMMYFUNCTION("GOOGLETRANSLATE(F435,""en"",""pt"")"),"Acrílico e adesivos de metacrilato")</f>
        <v>Acrílico e adesivos de metacrilato</v>
      </c>
      <c r="J435" t="str">
        <f>VLOOKUP(A435,Pr_Base_LNEC!$A$4:$J$6971,6,FALSE)</f>
        <v>Colas Acrilicas para Ladrilhos</v>
      </c>
      <c r="K435" t="str">
        <f>VLOOKUP(A435,Pr_Base_LNEC!$A$4:$J$6971,7,FALSE)</f>
        <v>EN 12004:2007+A1:2012</v>
      </c>
    </row>
    <row r="436" spans="1:11" ht="14.5">
      <c r="A436" s="20" t="s">
        <v>14707</v>
      </c>
      <c r="B436" s="20">
        <v>20</v>
      </c>
      <c r="C436" s="20">
        <v>31</v>
      </c>
      <c r="D436" s="20">
        <v>2</v>
      </c>
      <c r="E436" s="20">
        <v>4</v>
      </c>
      <c r="F436" s="20" t="s">
        <v>14708</v>
      </c>
      <c r="G436" s="20" t="s">
        <v>14709</v>
      </c>
      <c r="H436" s="24"/>
      <c r="I436" s="24" t="str">
        <f ca="1">IFERROR(__xludf.DUMMYFUNCTION("GOOGLETRANSLATE(F436,""en"",""pt"")"),"Para todos os fins pastas")</f>
        <v>Para todos os fins pastas</v>
      </c>
      <c r="J436" t="str">
        <f>VLOOKUP(A436,Pr_Base_LNEC!$A$4:$J$6971,6,FALSE)</f>
        <v>-</v>
      </c>
      <c r="K436">
        <f>VLOOKUP(A436,Pr_Base_LNEC!$A$4:$J$6971,7,FALSE)</f>
        <v>0</v>
      </c>
    </row>
    <row r="437" spans="1:11" ht="14.5">
      <c r="A437" s="20" t="s">
        <v>14710</v>
      </c>
      <c r="B437" s="20">
        <v>20</v>
      </c>
      <c r="C437" s="20">
        <v>31</v>
      </c>
      <c r="D437" s="20">
        <v>2</v>
      </c>
      <c r="E437" s="20">
        <v>6</v>
      </c>
      <c r="F437" s="20" t="s">
        <v>14711</v>
      </c>
      <c r="G437" s="20" t="s">
        <v>14712</v>
      </c>
      <c r="H437" s="24"/>
      <c r="I437" s="24" t="str">
        <f ca="1">IFERROR(__xludf.DUMMYFUNCTION("GOOGLETRANSLATE(F437,""en"",""pt"")"),"adesivos Bio-resina")</f>
        <v>adesivos Bio-resina</v>
      </c>
      <c r="J437" t="str">
        <f>VLOOKUP(A437,Pr_Base_LNEC!$A$4:$J$6971,6,FALSE)</f>
        <v>-</v>
      </c>
      <c r="K437">
        <f>VLOOKUP(A437,Pr_Base_LNEC!$A$4:$J$6971,7,FALSE)</f>
        <v>0</v>
      </c>
    </row>
    <row r="438" spans="1:11" ht="14.5">
      <c r="A438" s="20" t="s">
        <v>14713</v>
      </c>
      <c r="B438" s="20">
        <v>20</v>
      </c>
      <c r="C438" s="20">
        <v>31</v>
      </c>
      <c r="D438" s="20">
        <v>2</v>
      </c>
      <c r="E438" s="20">
        <v>7</v>
      </c>
      <c r="F438" s="20" t="s">
        <v>14714</v>
      </c>
      <c r="G438" s="24"/>
      <c r="H438" s="24"/>
      <c r="I438" s="24" t="str">
        <f ca="1">IFERROR(__xludf.DUMMYFUNCTION("GOOGLETRANSLATE(F438,""en"",""pt"")"),"compostos de ligação de betume")</f>
        <v>compostos de ligação de betume</v>
      </c>
      <c r="J438" t="str">
        <f>VLOOKUP(A438,Pr_Base_LNEC!$A$4:$J$6971,6,FALSE)</f>
        <v>-</v>
      </c>
      <c r="K438">
        <f>VLOOKUP(A438,Pr_Base_LNEC!$A$4:$J$6971,7,FALSE)</f>
        <v>0</v>
      </c>
    </row>
    <row r="439" spans="1:11" ht="14.5">
      <c r="A439" s="20" t="s">
        <v>14715</v>
      </c>
      <c r="B439" s="20">
        <v>20</v>
      </c>
      <c r="C439" s="20">
        <v>31</v>
      </c>
      <c r="D439" s="20">
        <v>2</v>
      </c>
      <c r="E439" s="20">
        <v>8</v>
      </c>
      <c r="F439" s="20" t="s">
        <v>14716</v>
      </c>
      <c r="G439" s="20" t="s">
        <v>14717</v>
      </c>
      <c r="H439" s="24"/>
      <c r="I439" s="24" t="str">
        <f ca="1">IFERROR(__xludf.DUMMYFUNCTION("GOOGLETRANSLATE(F439,""en"",""pt"")"),"compostos de ligação à base de betume-")</f>
        <v>compostos de ligação à base de betume-</v>
      </c>
      <c r="J439" t="str">
        <f>VLOOKUP(A439,Pr_Base_LNEC!$A$4:$J$6971,6,FALSE)</f>
        <v>Betumes e Ligantes Betuminosos de Pavimentação</v>
      </c>
      <c r="K439" t="str">
        <f>VLOOKUP(A439,Pr_Base_LNEC!$A$4:$J$6971,7,FALSE)</f>
        <v>EN 12591:2009</v>
      </c>
    </row>
    <row r="440" spans="1:11" ht="14.5">
      <c r="A440" s="20" t="s">
        <v>14718</v>
      </c>
      <c r="B440" s="20">
        <v>20</v>
      </c>
      <c r="C440" s="20">
        <v>31</v>
      </c>
      <c r="D440" s="20">
        <v>2</v>
      </c>
      <c r="E440" s="20">
        <v>9</v>
      </c>
      <c r="F440" s="20" t="s">
        <v>14719</v>
      </c>
      <c r="G440" s="20" t="s">
        <v>14720</v>
      </c>
      <c r="H440" s="24"/>
      <c r="I440" s="24" t="str">
        <f ca="1">IFERROR(__xludf.DUMMYFUNCTION("GOOGLETRANSLATE(F440,""en"",""pt"")"),"adesivos de borracha emulsão de betume")</f>
        <v>adesivos de borracha emulsão de betume</v>
      </c>
      <c r="J440" t="str">
        <f>VLOOKUP(A440,Pr_Base_LNEC!$A$4:$J$6971,6,FALSE)</f>
        <v>-</v>
      </c>
      <c r="K440">
        <f>VLOOKUP(A440,Pr_Base_LNEC!$A$4:$J$6971,7,FALSE)</f>
        <v>0</v>
      </c>
    </row>
    <row r="441" spans="1:11" ht="14.5">
      <c r="A441" s="20" t="s">
        <v>14721</v>
      </c>
      <c r="B441" s="20">
        <v>20</v>
      </c>
      <c r="C441" s="20">
        <v>31</v>
      </c>
      <c r="D441" s="20">
        <v>2</v>
      </c>
      <c r="E441" s="20">
        <v>11</v>
      </c>
      <c r="F441" s="20" t="s">
        <v>14722</v>
      </c>
      <c r="G441" s="24"/>
      <c r="H441" s="24"/>
      <c r="I441" s="24" t="str">
        <f ca="1">IFERROR(__xludf.DUMMYFUNCTION("GOOGLETRANSLATE(F441,""en"",""pt"")"),"colas de caseína")</f>
        <v>colas de caseína</v>
      </c>
      <c r="J441" t="str">
        <f>VLOOKUP(A441,Pr_Base_LNEC!$A$4:$J$6971,6,FALSE)</f>
        <v>-</v>
      </c>
      <c r="K441">
        <f>VLOOKUP(A441,Pr_Base_LNEC!$A$4:$J$6971,7,FALSE)</f>
        <v>0</v>
      </c>
    </row>
    <row r="442" spans="1:11" ht="14.5">
      <c r="A442" s="20" t="s">
        <v>14723</v>
      </c>
      <c r="B442" s="20">
        <v>20</v>
      </c>
      <c r="C442" s="20">
        <v>31</v>
      </c>
      <c r="D442" s="20">
        <v>2</v>
      </c>
      <c r="E442" s="20">
        <v>12</v>
      </c>
      <c r="F442" s="20" t="s">
        <v>14724</v>
      </c>
      <c r="G442" s="20" t="s">
        <v>14725</v>
      </c>
      <c r="H442" s="24"/>
      <c r="I442" s="24" t="str">
        <f ca="1">IFERROR(__xludf.DUMMYFUNCTION("GOOGLETRANSLATE(F442,""en"",""pt"")"),"adesivos cimentícios")</f>
        <v>adesivos cimentícios</v>
      </c>
      <c r="J442" t="str">
        <f>VLOOKUP(A442,Pr_Base_LNEC!$A$4:$J$6971,6,FALSE)</f>
        <v>Colas de Cimento para Ladrilhos</v>
      </c>
      <c r="K442" t="str">
        <f>VLOOKUP(A442,Pr_Base_LNEC!$A$4:$J$6971,7,FALSE)</f>
        <v>EN 12004:2007+A1:2012</v>
      </c>
    </row>
    <row r="443" spans="1:11" ht="14.5">
      <c r="A443" s="20" t="s">
        <v>14726</v>
      </c>
      <c r="B443" s="20">
        <v>20</v>
      </c>
      <c r="C443" s="20">
        <v>31</v>
      </c>
      <c r="D443" s="20">
        <v>2</v>
      </c>
      <c r="E443" s="20">
        <v>13</v>
      </c>
      <c r="F443" s="20" t="s">
        <v>14727</v>
      </c>
      <c r="G443" s="20" t="s">
        <v>14728</v>
      </c>
      <c r="H443" s="24"/>
      <c r="I443" s="24" t="str">
        <f ca="1">IFERROR(__xludf.DUMMYFUNCTION("GOOGLETRANSLATE(F443,""en"",""pt"")"),"compostos de ligação de cimento")</f>
        <v>compostos de ligação de cimento</v>
      </c>
      <c r="J443" t="str">
        <f>VLOOKUP(A443,Pr_Base_LNEC!$A$4:$J$6971,6,FALSE)</f>
        <v>-</v>
      </c>
      <c r="K443">
        <f>VLOOKUP(A443,Pr_Base_LNEC!$A$4:$J$6971,7,FALSE)</f>
        <v>0</v>
      </c>
    </row>
    <row r="444" spans="1:11" ht="14.5">
      <c r="A444" s="20" t="s">
        <v>14729</v>
      </c>
      <c r="B444" s="20">
        <v>20</v>
      </c>
      <c r="C444" s="20">
        <v>31</v>
      </c>
      <c r="D444" s="20">
        <v>2</v>
      </c>
      <c r="E444" s="20">
        <v>15</v>
      </c>
      <c r="F444" s="20" t="s">
        <v>14730</v>
      </c>
      <c r="G444" s="20" t="s">
        <v>14731</v>
      </c>
      <c r="H444" s="24"/>
      <c r="I444" s="24" t="str">
        <f ca="1">IFERROR(__xludf.DUMMYFUNCTION("GOOGLETRANSLATE(F444,""en"",""pt"")"),"A frio aplicado betume compostos de colagem")</f>
        <v>A frio aplicado betume compostos de colagem</v>
      </c>
      <c r="J444" t="str">
        <f>VLOOKUP(A444,Pr_Base_LNEC!$A$4:$J$6971,6,FALSE)</f>
        <v>-</v>
      </c>
      <c r="K444">
        <f>VLOOKUP(A444,Pr_Base_LNEC!$A$4:$J$6971,7,FALSE)</f>
        <v>0</v>
      </c>
    </row>
    <row r="445" spans="1:11" ht="14.5">
      <c r="A445" s="20" t="s">
        <v>14732</v>
      </c>
      <c r="B445" s="20">
        <v>20</v>
      </c>
      <c r="C445" s="20">
        <v>31</v>
      </c>
      <c r="D445" s="20">
        <v>2</v>
      </c>
      <c r="E445" s="20">
        <v>18</v>
      </c>
      <c r="F445" s="20" t="s">
        <v>14733</v>
      </c>
      <c r="G445" s="20" t="s">
        <v>14734</v>
      </c>
      <c r="H445" s="24"/>
      <c r="I445" s="24" t="str">
        <f ca="1">IFERROR(__xludf.DUMMYFUNCTION("GOOGLETRANSLATE(F445,""en"",""pt"")"),"pastas de água fria")</f>
        <v>pastas de água fria</v>
      </c>
      <c r="J445" t="str">
        <f>VLOOKUP(A445,Pr_Base_LNEC!$A$4:$J$6971,6,FALSE)</f>
        <v>-</v>
      </c>
      <c r="K445">
        <f>VLOOKUP(A445,Pr_Base_LNEC!$A$4:$J$6971,7,FALSE)</f>
        <v>0</v>
      </c>
    </row>
    <row r="446" spans="1:11" ht="14.5">
      <c r="A446" s="20" t="s">
        <v>14735</v>
      </c>
      <c r="B446" s="20">
        <v>20</v>
      </c>
      <c r="C446" s="20">
        <v>31</v>
      </c>
      <c r="D446" s="20">
        <v>2</v>
      </c>
      <c r="E446" s="20">
        <v>21</v>
      </c>
      <c r="F446" s="20" t="s">
        <v>14736</v>
      </c>
      <c r="G446" s="24"/>
      <c r="H446" s="24"/>
      <c r="I446" s="24" t="str">
        <f ca="1">IFERROR(__xludf.DUMMYFUNCTION("GOOGLETRANSLATE(F446,""en"",""pt"")"),"Damp curso prova adesivos joint sealer")</f>
        <v>Damp curso prova adesivos joint sealer</v>
      </c>
      <c r="J446" t="str">
        <f>VLOOKUP(A446,Pr_Base_LNEC!$A$4:$J$6971,6,FALSE)</f>
        <v>-</v>
      </c>
      <c r="K446">
        <f>VLOOKUP(A446,Pr_Base_LNEC!$A$4:$J$6971,7,FALSE)</f>
        <v>0</v>
      </c>
    </row>
    <row r="447" spans="1:11" ht="14.5">
      <c r="A447" s="20" t="s">
        <v>14737</v>
      </c>
      <c r="B447" s="20">
        <v>20</v>
      </c>
      <c r="C447" s="20">
        <v>31</v>
      </c>
      <c r="D447" s="20">
        <v>2</v>
      </c>
      <c r="E447" s="20">
        <v>26</v>
      </c>
      <c r="F447" s="20" t="s">
        <v>14738</v>
      </c>
      <c r="G447" s="20" t="s">
        <v>14739</v>
      </c>
      <c r="H447" s="24"/>
      <c r="I447" s="24" t="str">
        <f ca="1">IFERROR(__xludf.DUMMYFUNCTION("GOOGLETRANSLATE(F447,""en"",""pt"")"),"colas à base de resina epoxi")</f>
        <v>colas à base de resina epoxi</v>
      </c>
      <c r="J447" t="str">
        <f>VLOOKUP(A447,Pr_Base_LNEC!$A$4:$J$6971,6,FALSE)</f>
        <v>Colas de resina epoxi para Ladrilhos</v>
      </c>
      <c r="K447" t="str">
        <f>VLOOKUP(A447,Pr_Base_LNEC!$A$4:$J$6971,7,FALSE)</f>
        <v>EN 12004:2007+A1:2012</v>
      </c>
    </row>
    <row r="448" spans="1:11" ht="14.5">
      <c r="A448" s="20" t="s">
        <v>14740</v>
      </c>
      <c r="B448" s="20">
        <v>20</v>
      </c>
      <c r="C448" s="20">
        <v>31</v>
      </c>
      <c r="D448" s="20">
        <v>2</v>
      </c>
      <c r="E448" s="20">
        <v>28</v>
      </c>
      <c r="F448" s="20" t="s">
        <v>14741</v>
      </c>
      <c r="G448" s="20" t="s">
        <v>14742</v>
      </c>
      <c r="H448" s="24"/>
      <c r="I448" s="24" t="str">
        <f ca="1">IFERROR(__xludf.DUMMYFUNCTION("GOOGLETRANSLATE(F448,""en"",""pt"")"),"compostos de colagem à base de resina epoxi")</f>
        <v>compostos de colagem à base de resina epoxi</v>
      </c>
      <c r="J448" t="str">
        <f>VLOOKUP(A448,Pr_Base_LNEC!$A$4:$J$6971,6,FALSE)</f>
        <v>-</v>
      </c>
      <c r="K448">
        <f>VLOOKUP(A448,Pr_Base_LNEC!$A$4:$J$6971,7,FALSE)</f>
        <v>0</v>
      </c>
    </row>
    <row r="449" spans="1:11" ht="14.5">
      <c r="A449" s="20" t="s">
        <v>14743</v>
      </c>
      <c r="B449" s="20">
        <v>20</v>
      </c>
      <c r="C449" s="20">
        <v>31</v>
      </c>
      <c r="D449" s="20">
        <v>2</v>
      </c>
      <c r="E449" s="20">
        <v>29</v>
      </c>
      <c r="F449" s="20" t="s">
        <v>14744</v>
      </c>
      <c r="G449" s="24"/>
      <c r="H449" s="24"/>
      <c r="I449" s="24" t="str">
        <f ca="1">IFERROR(__xludf.DUMMYFUNCTION("GOOGLETRANSLATE(F449,""en"",""pt"")"),"Resina epoxi de lastro colas")</f>
        <v>Resina epoxi de lastro colas</v>
      </c>
      <c r="J449" t="str">
        <f>VLOOKUP(A449,Pr_Base_LNEC!$A$4:$J$6971,6,FALSE)</f>
        <v>-</v>
      </c>
      <c r="K449">
        <f>VLOOKUP(A449,Pr_Base_LNEC!$A$4:$J$6971,7,FALSE)</f>
        <v>0</v>
      </c>
    </row>
    <row r="450" spans="1:11" ht="14.5">
      <c r="A450" s="20" t="s">
        <v>14745</v>
      </c>
      <c r="B450" s="20">
        <v>20</v>
      </c>
      <c r="C450" s="20">
        <v>31</v>
      </c>
      <c r="D450" s="20">
        <v>2</v>
      </c>
      <c r="E450" s="20">
        <v>35</v>
      </c>
      <c r="F450" s="20" t="s">
        <v>14746</v>
      </c>
      <c r="G450" s="20" t="s">
        <v>14747</v>
      </c>
      <c r="H450" s="24"/>
      <c r="I450" s="24" t="str">
        <f ca="1">IFERROR(__xludf.DUMMYFUNCTION("GOOGLETRANSLATE(F450,""en"",""pt"")"),"adesivos à base de gesso")</f>
        <v>adesivos à base de gesso</v>
      </c>
      <c r="J450" t="str">
        <f>VLOOKUP(A450,Pr_Base_LNEC!$A$4:$J$6971,6,FALSE)</f>
        <v>Colas à base de gesso para placas de gesso</v>
      </c>
      <c r="K450" t="str">
        <f>VLOOKUP(A450,Pr_Base_LNEC!$A$4:$J$6971,7,FALSE)</f>
        <v>EN 12860:2001</v>
      </c>
    </row>
    <row r="451" spans="1:11" ht="14.5">
      <c r="A451" s="20" t="s">
        <v>14748</v>
      </c>
      <c r="B451" s="20">
        <v>20</v>
      </c>
      <c r="C451" s="20">
        <v>31</v>
      </c>
      <c r="D451" s="20">
        <v>2</v>
      </c>
      <c r="E451" s="20">
        <v>36</v>
      </c>
      <c r="F451" s="20" t="s">
        <v>14749</v>
      </c>
      <c r="G451" s="20" t="s">
        <v>14750</v>
      </c>
      <c r="H451" s="24"/>
      <c r="I451" s="24" t="str">
        <f ca="1">IFERROR(__xludf.DUMMYFUNCTION("GOOGLETRANSLATE(F451,""en"",""pt"")"),"pastas pesados")</f>
        <v>pastas pesados</v>
      </c>
      <c r="J451" t="str">
        <f>VLOOKUP(A451,Pr_Base_LNEC!$A$4:$J$6971,6,FALSE)</f>
        <v>-</v>
      </c>
      <c r="K451">
        <f>VLOOKUP(A451,Pr_Base_LNEC!$A$4:$J$6971,7,FALSE)</f>
        <v>0</v>
      </c>
    </row>
    <row r="452" spans="1:11" ht="14.5">
      <c r="A452" s="20" t="s">
        <v>14751</v>
      </c>
      <c r="B452" s="20">
        <v>20</v>
      </c>
      <c r="C452" s="20">
        <v>31</v>
      </c>
      <c r="D452" s="20">
        <v>2</v>
      </c>
      <c r="E452" s="20">
        <v>37</v>
      </c>
      <c r="F452" s="20" t="s">
        <v>14752</v>
      </c>
      <c r="G452" s="20" t="s">
        <v>14753</v>
      </c>
      <c r="H452" s="24"/>
      <c r="I452" s="24" t="str">
        <f ca="1">IFERROR(__xludf.DUMMYFUNCTION("GOOGLETRANSLATE(F452,""en"",""pt"")"),"Hot-betume aplicado compostos de colagem")</f>
        <v>Hot-betume aplicado compostos de colagem</v>
      </c>
      <c r="J452" t="str">
        <f>VLOOKUP(A452,Pr_Base_LNEC!$A$4:$J$6971,6,FALSE)</f>
        <v>-</v>
      </c>
      <c r="K452">
        <f>VLOOKUP(A452,Pr_Base_LNEC!$A$4:$J$6971,7,FALSE)</f>
        <v>0</v>
      </c>
    </row>
    <row r="453" spans="1:11" ht="14.5">
      <c r="A453" s="20" t="s">
        <v>14754</v>
      </c>
      <c r="B453" s="20">
        <v>20</v>
      </c>
      <c r="C453" s="20">
        <v>31</v>
      </c>
      <c r="D453" s="20">
        <v>2</v>
      </c>
      <c r="E453" s="20">
        <v>38</v>
      </c>
      <c r="F453" s="20" t="s">
        <v>14755</v>
      </c>
      <c r="G453" s="20" t="s">
        <v>14756</v>
      </c>
      <c r="H453" s="24"/>
      <c r="I453" s="24" t="str">
        <f ca="1">IFERROR(__xludf.DUMMYFUNCTION("GOOGLETRANSLATE(F453,""en"",""pt"")"),"De alta performance adesivos pré-misturados")</f>
        <v>De alta performance adesivos pré-misturados</v>
      </c>
      <c r="J453" t="str">
        <f>VLOOKUP(A453,Pr_Base_LNEC!$A$4:$J$6971,6,FALSE)</f>
        <v>-</v>
      </c>
      <c r="K453">
        <f>VLOOKUP(A453,Pr_Base_LNEC!$A$4:$J$6971,7,FALSE)</f>
        <v>0</v>
      </c>
    </row>
    <row r="454" spans="1:11" ht="14.5">
      <c r="A454" s="20" t="s">
        <v>14757</v>
      </c>
      <c r="B454" s="20">
        <v>20</v>
      </c>
      <c r="C454" s="20">
        <v>31</v>
      </c>
      <c r="D454" s="20">
        <v>2</v>
      </c>
      <c r="E454" s="20">
        <v>50</v>
      </c>
      <c r="F454" s="20" t="s">
        <v>14758</v>
      </c>
      <c r="G454" s="20" t="s">
        <v>14759</v>
      </c>
      <c r="H454" s="24"/>
      <c r="I454" s="24" t="str">
        <f ca="1">IFERROR(__xludf.DUMMYFUNCTION("GOOGLETRANSLATE(F454,""en"",""pt"")"),"resinas de injecção de alvenaria")</f>
        <v>resinas de injecção de alvenaria</v>
      </c>
      <c r="J454" t="str">
        <f>VLOOKUP(A454,Pr_Base_LNEC!$A$4:$J$6971,6,FALSE)</f>
        <v>-</v>
      </c>
      <c r="K454">
        <f>VLOOKUP(A454,Pr_Base_LNEC!$A$4:$J$6971,7,FALSE)</f>
        <v>0</v>
      </c>
    </row>
    <row r="455" spans="1:11" ht="14.5">
      <c r="A455" s="20" t="s">
        <v>14760</v>
      </c>
      <c r="B455" s="20">
        <v>20</v>
      </c>
      <c r="C455" s="20">
        <v>31</v>
      </c>
      <c r="D455" s="20">
        <v>2</v>
      </c>
      <c r="E455" s="20">
        <v>52</v>
      </c>
      <c r="F455" s="20" t="s">
        <v>14761</v>
      </c>
      <c r="G455" s="20" t="s">
        <v>14762</v>
      </c>
      <c r="H455" s="24"/>
      <c r="I455" s="24" t="str">
        <f ca="1">IFERROR(__xludf.DUMMYFUNCTION("GOOGLETRANSLATE(F455,""en"",""pt"")"),"silano modificado (MS) adesivos poliméricos")</f>
        <v>silano modificado (MS) adesivos poliméricos</v>
      </c>
      <c r="J455" t="str">
        <f>VLOOKUP(A455,Pr_Base_LNEC!$A$4:$J$6971,6,FALSE)</f>
        <v>-</v>
      </c>
      <c r="K455">
        <f>VLOOKUP(A455,Pr_Base_LNEC!$A$4:$J$6971,7,FALSE)</f>
        <v>0</v>
      </c>
    </row>
    <row r="456" spans="1:11" ht="14.5">
      <c r="A456" s="20" t="s">
        <v>14763</v>
      </c>
      <c r="B456" s="20">
        <v>20</v>
      </c>
      <c r="C456" s="20">
        <v>31</v>
      </c>
      <c r="D456" s="20">
        <v>2</v>
      </c>
      <c r="E456" s="20">
        <v>56</v>
      </c>
      <c r="F456" s="20" t="s">
        <v>14764</v>
      </c>
      <c r="G456" s="20" t="s">
        <v>14765</v>
      </c>
      <c r="H456" s="24"/>
      <c r="I456" s="24" t="str">
        <f ca="1">IFERROR(__xludf.DUMMYFUNCTION("GOOGLETRANSLATE(F456,""en"",""pt"")"),"adesivos à base de borracha e látex naturais")</f>
        <v>adesivos à base de borracha e látex naturais</v>
      </c>
      <c r="J456" t="str">
        <f>VLOOKUP(A456,Pr_Base_LNEC!$A$4:$J$6971,6,FALSE)</f>
        <v>-</v>
      </c>
      <c r="K456">
        <f>VLOOKUP(A456,Pr_Base_LNEC!$A$4:$J$6971,7,FALSE)</f>
        <v>0</v>
      </c>
    </row>
    <row r="457" spans="1:11" ht="14.5">
      <c r="A457" s="20" t="s">
        <v>14766</v>
      </c>
      <c r="B457" s="20">
        <v>20</v>
      </c>
      <c r="C457" s="20">
        <v>31</v>
      </c>
      <c r="D457" s="20">
        <v>2</v>
      </c>
      <c r="E457" s="20">
        <v>57</v>
      </c>
      <c r="F457" s="20" t="s">
        <v>14767</v>
      </c>
      <c r="G457" s="20" t="s">
        <v>14768</v>
      </c>
      <c r="H457" s="24"/>
      <c r="I457" s="24" t="str">
        <f ca="1">IFERROR(__xludf.DUMMYFUNCTION("GOOGLETRANSLATE(F457,""en"",""pt"")"),"Não à base de betume compostos de colagem")</f>
        <v>Não à base de betume compostos de colagem</v>
      </c>
      <c r="J457" t="str">
        <f>VLOOKUP(A457,Pr_Base_LNEC!$A$4:$J$6971,6,FALSE)</f>
        <v>-</v>
      </c>
      <c r="K457">
        <f>VLOOKUP(A457,Pr_Base_LNEC!$A$4:$J$6971,7,FALSE)</f>
        <v>0</v>
      </c>
    </row>
    <row r="458" spans="1:11" ht="14.5">
      <c r="A458" s="20" t="s">
        <v>14769</v>
      </c>
      <c r="B458" s="20">
        <v>20</v>
      </c>
      <c r="C458" s="20">
        <v>31</v>
      </c>
      <c r="D458" s="20">
        <v>2</v>
      </c>
      <c r="E458" s="20">
        <v>59</v>
      </c>
      <c r="F458" s="20" t="s">
        <v>14770</v>
      </c>
      <c r="G458" s="20" t="s">
        <v>14771</v>
      </c>
      <c r="H458" s="24"/>
      <c r="I458" s="24" t="str">
        <f ca="1">IFERROR(__xludf.DUMMYFUNCTION("GOOGLETRANSLATE(F458,""en"",""pt"")"),"adesivos de sobreposição e de fronteira")</f>
        <v>adesivos de sobreposição e de fronteira</v>
      </c>
      <c r="J458" t="str">
        <f>VLOOKUP(A458,Pr_Base_LNEC!$A$4:$J$6971,6,FALSE)</f>
        <v>-</v>
      </c>
      <c r="K458">
        <f>VLOOKUP(A458,Pr_Base_LNEC!$A$4:$J$6971,7,FALSE)</f>
        <v>0</v>
      </c>
    </row>
    <row r="459" spans="1:11" ht="14.5">
      <c r="A459" s="20" t="s">
        <v>14772</v>
      </c>
      <c r="B459" s="20">
        <v>20</v>
      </c>
      <c r="C459" s="20">
        <v>31</v>
      </c>
      <c r="D459" s="20">
        <v>2</v>
      </c>
      <c r="E459" s="20">
        <v>60</v>
      </c>
      <c r="F459" s="20" t="s">
        <v>14773</v>
      </c>
      <c r="G459" s="20" t="s">
        <v>14774</v>
      </c>
      <c r="H459" s="24"/>
      <c r="I459" s="24" t="str">
        <f ca="1">IFERROR(__xludf.DUMMYFUNCTION("GOOGLETRANSLATE(F459,""en"",""pt"")"),"tamanho pergaminho")</f>
        <v>tamanho pergaminho</v>
      </c>
      <c r="J459" t="str">
        <f>VLOOKUP(A459,Pr_Base_LNEC!$A$4:$J$6971,6,FALSE)</f>
        <v>-</v>
      </c>
      <c r="K459">
        <f>VLOOKUP(A459,Pr_Base_LNEC!$A$4:$J$6971,7,FALSE)</f>
        <v>0</v>
      </c>
    </row>
    <row r="460" spans="1:11" ht="14.5">
      <c r="A460" s="20" t="s">
        <v>14775</v>
      </c>
      <c r="B460" s="20">
        <v>20</v>
      </c>
      <c r="C460" s="20">
        <v>31</v>
      </c>
      <c r="D460" s="20">
        <v>2</v>
      </c>
      <c r="E460" s="20">
        <v>61</v>
      </c>
      <c r="F460" s="20" t="s">
        <v>14776</v>
      </c>
      <c r="G460" s="20" t="s">
        <v>14777</v>
      </c>
      <c r="H460" s="24"/>
      <c r="I460" s="24" t="str">
        <f ca="1">IFERROR(__xludf.DUMMYFUNCTION("GOOGLETRANSLATE(F460,""en"",""pt"")"),"Fenólico, resorcinol e resina à base de formaldeído (PRF) adesivos termoendurecíveis")</f>
        <v>Fenólico, resorcinol e resina à base de formaldeído (PRF) adesivos termoendurecíveis</v>
      </c>
      <c r="J460" t="str">
        <f>VLOOKUP(A460,Pr_Base_LNEC!$A$4:$J$6971,6,FALSE)</f>
        <v>-</v>
      </c>
      <c r="K460">
        <f>VLOOKUP(A460,Pr_Base_LNEC!$A$4:$J$6971,7,FALSE)</f>
        <v>0</v>
      </c>
    </row>
    <row r="461" spans="1:11" ht="14.5">
      <c r="A461" s="20" t="s">
        <v>14778</v>
      </c>
      <c r="B461" s="20">
        <v>20</v>
      </c>
      <c r="C461" s="20">
        <v>31</v>
      </c>
      <c r="D461" s="20">
        <v>2</v>
      </c>
      <c r="E461" s="20">
        <v>62</v>
      </c>
      <c r="F461" s="20" t="s">
        <v>14779</v>
      </c>
      <c r="G461" s="20" t="s">
        <v>14780</v>
      </c>
      <c r="H461" s="24"/>
      <c r="I461" s="24" t="str">
        <f ca="1">IFERROR(__xludf.DUMMYFUNCTION("GOOGLETRANSLATE(F461,""en"",""pt"")"),"Poliuretano (PUR) adesivos")</f>
        <v>Poliuretano (PUR) adesivos</v>
      </c>
      <c r="J461" t="str">
        <f>VLOOKUP(A461,Pr_Base_LNEC!$A$4:$J$6971,6,FALSE)</f>
        <v>-</v>
      </c>
      <c r="K461">
        <f>VLOOKUP(A461,Pr_Base_LNEC!$A$4:$J$6971,7,FALSE)</f>
        <v>0</v>
      </c>
    </row>
    <row r="462" spans="1:11" ht="14.5">
      <c r="A462" s="20" t="s">
        <v>14781</v>
      </c>
      <c r="B462" s="20">
        <v>20</v>
      </c>
      <c r="C462" s="20">
        <v>31</v>
      </c>
      <c r="D462" s="20">
        <v>2</v>
      </c>
      <c r="E462" s="20">
        <v>63</v>
      </c>
      <c r="F462" s="20" t="s">
        <v>14782</v>
      </c>
      <c r="G462" s="24"/>
      <c r="H462" s="24"/>
      <c r="I462" s="24" t="str">
        <f ca="1">IFERROR(__xludf.DUMMYFUNCTION("GOOGLETRANSLATE(F462,""en"",""pt"")"),"Poliuretano (PUR) lastro reforço")</f>
        <v>Poliuretano (PUR) lastro reforço</v>
      </c>
      <c r="J462" t="str">
        <f>VLOOKUP(A462,Pr_Base_LNEC!$A$4:$J$6971,6,FALSE)</f>
        <v>-</v>
      </c>
      <c r="K462">
        <f>VLOOKUP(A462,Pr_Base_LNEC!$A$4:$J$6971,7,FALSE)</f>
        <v>0</v>
      </c>
    </row>
    <row r="463" spans="1:11" ht="14.5">
      <c r="A463" s="20" t="s">
        <v>14783</v>
      </c>
      <c r="B463" s="20">
        <v>20</v>
      </c>
      <c r="C463" s="20">
        <v>31</v>
      </c>
      <c r="D463" s="20">
        <v>2</v>
      </c>
      <c r="E463" s="20">
        <v>64</v>
      </c>
      <c r="F463" s="20" t="s">
        <v>14784</v>
      </c>
      <c r="G463" s="20" t="s">
        <v>14785</v>
      </c>
      <c r="H463" s="24"/>
      <c r="I463" s="24" t="str">
        <f ca="1">IFERROR(__xludf.DUMMYFUNCTION("GOOGLETRANSLATE(F463,""en"",""pt"")"),"Poliuretano (PUR) com base ligantes de resina")</f>
        <v>Poliuretano (PUR) com base ligantes de resina</v>
      </c>
      <c r="J463" t="str">
        <f>VLOOKUP(A463,Pr_Base_LNEC!$A$4:$J$6971,6,FALSE)</f>
        <v>-</v>
      </c>
      <c r="K463">
        <f>VLOOKUP(A463,Pr_Base_LNEC!$A$4:$J$6971,7,FALSE)</f>
        <v>0</v>
      </c>
    </row>
    <row r="464" spans="1:11" ht="14.5">
      <c r="A464" s="20" t="s">
        <v>14786</v>
      </c>
      <c r="B464" s="20">
        <v>20</v>
      </c>
      <c r="C464" s="20">
        <v>31</v>
      </c>
      <c r="D464" s="20">
        <v>2</v>
      </c>
      <c r="E464" s="20">
        <v>65</v>
      </c>
      <c r="F464" s="20" t="s">
        <v>14787</v>
      </c>
      <c r="G464" s="20" t="s">
        <v>14788</v>
      </c>
      <c r="H464" s="24"/>
      <c r="I464" s="24" t="str">
        <f ca="1">IFERROR(__xludf.DUMMYFUNCTION("GOOGLETRANSLATE(F464,""en"",""pt"")"),"acetato de polivinilo (PVAc) adesivos")</f>
        <v>acetato de polivinilo (PVAc) adesivos</v>
      </c>
      <c r="J464" t="str">
        <f>VLOOKUP(A464,Pr_Base_LNEC!$A$4:$J$6971,6,FALSE)</f>
        <v>-</v>
      </c>
      <c r="K464">
        <f>VLOOKUP(A464,Pr_Base_LNEC!$A$4:$J$6971,7,FALSE)</f>
        <v>0</v>
      </c>
    </row>
    <row r="465" spans="1:11" ht="14.5">
      <c r="A465" s="20" t="s">
        <v>14789</v>
      </c>
      <c r="B465" s="20">
        <v>20</v>
      </c>
      <c r="C465" s="20">
        <v>31</v>
      </c>
      <c r="D465" s="20">
        <v>2</v>
      </c>
      <c r="E465" s="20">
        <v>66</v>
      </c>
      <c r="F465" s="20" t="s">
        <v>14790</v>
      </c>
      <c r="G465" s="20" t="s">
        <v>14791</v>
      </c>
      <c r="H465" s="24"/>
      <c r="I465" s="24" t="str">
        <f ca="1">IFERROR(__xludf.DUMMYFUNCTION("GOOGLETRANSLATE(F465,""en"",""pt"")"),"acetato de polivinilo (PVAc) de colagem compostos")</f>
        <v>acetato de polivinilo (PVAc) de colagem compostos</v>
      </c>
      <c r="J465" t="str">
        <f>VLOOKUP(A465,Pr_Base_LNEC!$A$4:$J$6971,6,FALSE)</f>
        <v>-</v>
      </c>
      <c r="K465">
        <f>VLOOKUP(A465,Pr_Base_LNEC!$A$4:$J$6971,7,FALSE)</f>
        <v>0</v>
      </c>
    </row>
    <row r="466" spans="1:11" ht="14.5">
      <c r="A466" s="20" t="s">
        <v>14792</v>
      </c>
      <c r="B466" s="20">
        <v>20</v>
      </c>
      <c r="C466" s="20">
        <v>31</v>
      </c>
      <c r="D466" s="20">
        <v>2</v>
      </c>
      <c r="E466" s="20">
        <v>71</v>
      </c>
      <c r="F466" s="20" t="s">
        <v>14793</v>
      </c>
      <c r="G466" s="20" t="s">
        <v>14794</v>
      </c>
      <c r="H466" s="24"/>
      <c r="I466" s="24" t="str">
        <f ca="1">IFERROR(__xludf.DUMMYFUNCTION("GOOGLETRANSLATE(F466,""en"",""pt"")"),"pastas da resina")</f>
        <v>pastas da resina</v>
      </c>
      <c r="J466" t="str">
        <f>VLOOKUP(A466,Pr_Base_LNEC!$A$4:$J$6971,6,FALSE)</f>
        <v>-</v>
      </c>
      <c r="K466">
        <f>VLOOKUP(A466,Pr_Base_LNEC!$A$4:$J$6971,7,FALSE)</f>
        <v>0</v>
      </c>
    </row>
    <row r="467" spans="1:11" ht="14.5">
      <c r="A467" s="20" t="s">
        <v>14795</v>
      </c>
      <c r="B467" s="20">
        <v>20</v>
      </c>
      <c r="C467" s="20">
        <v>31</v>
      </c>
      <c r="D467" s="20">
        <v>2</v>
      </c>
      <c r="E467" s="20">
        <v>76</v>
      </c>
      <c r="F467" s="20" t="s">
        <v>14796</v>
      </c>
      <c r="G467" s="24"/>
      <c r="H467" s="24"/>
      <c r="I467" s="24" t="str">
        <f ca="1">IFERROR(__xludf.DUMMYFUNCTION("GOOGLETRANSLATE(F467,""en"",""pt"")"),"ligantes de silicato de sódio")</f>
        <v>ligantes de silicato de sódio</v>
      </c>
      <c r="J467" t="e">
        <f>VLOOKUP(A467,Pr_Base_LNEC!$A$4:$J$6971,6,FALSE)</f>
        <v>#N/A</v>
      </c>
      <c r="K467" t="e">
        <f>VLOOKUP(A467,Pr_Base_LNEC!$A$4:$J$6971,7,FALSE)</f>
        <v>#N/A</v>
      </c>
    </row>
    <row r="468" spans="1:11" ht="14.5">
      <c r="A468" s="20" t="s">
        <v>14797</v>
      </c>
      <c r="B468" s="20">
        <v>20</v>
      </c>
      <c r="C468" s="20">
        <v>31</v>
      </c>
      <c r="D468" s="20">
        <v>2</v>
      </c>
      <c r="E468" s="20">
        <v>80</v>
      </c>
      <c r="F468" s="20" t="s">
        <v>14798</v>
      </c>
      <c r="G468" s="20" t="s">
        <v>14799</v>
      </c>
      <c r="H468" s="24"/>
      <c r="I468" s="24" t="str">
        <f ca="1">IFERROR(__xludf.DUMMYFUNCTION("GOOGLETRANSLATE(F468,""en"",""pt"")"),"colas de resina de borracha sintética à base de solventes")</f>
        <v>colas de resina de borracha sintética à base de solventes</v>
      </c>
      <c r="J468" t="str">
        <f>VLOOKUP(A468,Pr_Base_LNEC!$A$4:$J$6971,6,FALSE)</f>
        <v>-</v>
      </c>
      <c r="K468">
        <f>VLOOKUP(A468,Pr_Base_LNEC!$A$4:$J$6971,7,FALSE)</f>
        <v>0</v>
      </c>
    </row>
    <row r="469" spans="1:11" ht="14.5">
      <c r="A469" s="20" t="s">
        <v>14800</v>
      </c>
      <c r="B469" s="20">
        <v>20</v>
      </c>
      <c r="C469" s="20">
        <v>31</v>
      </c>
      <c r="D469" s="20">
        <v>2</v>
      </c>
      <c r="E469" s="20">
        <v>81</v>
      </c>
      <c r="F469" s="20" t="s">
        <v>14801</v>
      </c>
      <c r="G469" s="20" t="s">
        <v>14802</v>
      </c>
      <c r="H469" s="24"/>
      <c r="I469" s="24" t="str">
        <f ca="1">IFERROR(__xludf.DUMMYFUNCTION("GOOGLETRANSLATE(F469,""en"",""pt"")"),"colas de celulose sem solventes")</f>
        <v>colas de celulose sem solventes</v>
      </c>
      <c r="J469" t="str">
        <f>VLOOKUP(A469,Pr_Base_LNEC!$A$4:$J$6971,6,FALSE)</f>
        <v>-</v>
      </c>
      <c r="K469">
        <f>VLOOKUP(A469,Pr_Base_LNEC!$A$4:$J$6971,7,FALSE)</f>
        <v>0</v>
      </c>
    </row>
    <row r="470" spans="1:11" ht="14.5">
      <c r="A470" s="20" t="s">
        <v>14803</v>
      </c>
      <c r="B470" s="20">
        <v>20</v>
      </c>
      <c r="C470" s="20">
        <v>31</v>
      </c>
      <c r="D470" s="20">
        <v>2</v>
      </c>
      <c r="E470" s="20">
        <v>82</v>
      </c>
      <c r="F470" s="20" t="s">
        <v>14804</v>
      </c>
      <c r="G470" s="24"/>
      <c r="H470" s="24"/>
      <c r="I470" s="24" t="str">
        <f ca="1">IFERROR(__xludf.DUMMYFUNCTION("GOOGLETRANSLATE(F470,""en"",""pt"")"),"colas de resina de borracha sintética sem solventes")</f>
        <v>colas de resina de borracha sintética sem solventes</v>
      </c>
      <c r="J470" t="str">
        <f>VLOOKUP(A470,Pr_Base_LNEC!$A$4:$J$6971,6,FALSE)</f>
        <v>-</v>
      </c>
      <c r="K470">
        <f>VLOOKUP(A470,Pr_Base_LNEC!$A$4:$J$6971,7,FALSE)</f>
        <v>0</v>
      </c>
    </row>
    <row r="471" spans="1:11" ht="14.5">
      <c r="A471" s="20" t="s">
        <v>14805</v>
      </c>
      <c r="B471" s="20">
        <v>20</v>
      </c>
      <c r="C471" s="20">
        <v>31</v>
      </c>
      <c r="D471" s="20">
        <v>2</v>
      </c>
      <c r="E471" s="20">
        <v>84</v>
      </c>
      <c r="F471" s="20" t="s">
        <v>14806</v>
      </c>
      <c r="G471" s="20" t="s">
        <v>14807</v>
      </c>
      <c r="H471" s="24"/>
      <c r="I471" s="24" t="str">
        <f ca="1">IFERROR(__xludf.DUMMYFUNCTION("GOOGLETRANSLATE(F471,""en"",""pt"")"),"borracha de estireno butadieno (SBR) compostos de colagem")</f>
        <v>borracha de estireno butadieno (SBR) compostos de colagem</v>
      </c>
      <c r="J471" t="str">
        <f>VLOOKUP(A471,Pr_Base_LNEC!$A$4:$J$6971,6,FALSE)</f>
        <v>-</v>
      </c>
      <c r="K471">
        <f>VLOOKUP(A471,Pr_Base_LNEC!$A$4:$J$6971,7,FALSE)</f>
        <v>0</v>
      </c>
    </row>
    <row r="472" spans="1:11" ht="14.5">
      <c r="A472" s="20" t="s">
        <v>14808</v>
      </c>
      <c r="B472" s="20">
        <v>20</v>
      </c>
      <c r="C472" s="20">
        <v>31</v>
      </c>
      <c r="D472" s="20">
        <v>2</v>
      </c>
      <c r="E472" s="20">
        <v>85</v>
      </c>
      <c r="F472" s="20" t="s">
        <v>14809</v>
      </c>
      <c r="G472" s="20" t="s">
        <v>14810</v>
      </c>
      <c r="H472" s="24"/>
      <c r="I472" s="24" t="str">
        <f ca="1">IFERROR(__xludf.DUMMYFUNCTION("GOOGLETRANSLATE(F472,""en"",""pt"")"),"compostos de ligação sintéticos")</f>
        <v>compostos de ligação sintéticos</v>
      </c>
      <c r="J472" t="str">
        <f>VLOOKUP(A472,Pr_Base_LNEC!$A$4:$J$6971,6,FALSE)</f>
        <v>-</v>
      </c>
      <c r="K472">
        <f>VLOOKUP(A472,Pr_Base_LNEC!$A$4:$J$6971,7,FALSE)</f>
        <v>0</v>
      </c>
    </row>
    <row r="473" spans="1:11" ht="14.5">
      <c r="A473" s="20" t="s">
        <v>14811</v>
      </c>
      <c r="B473" s="20">
        <v>20</v>
      </c>
      <c r="C473" s="20">
        <v>31</v>
      </c>
      <c r="D473" s="20">
        <v>2</v>
      </c>
      <c r="E473" s="20">
        <v>89</v>
      </c>
      <c r="F473" s="20" t="s">
        <v>14812</v>
      </c>
      <c r="G473" s="20" t="s">
        <v>14813</v>
      </c>
      <c r="H473" s="24"/>
      <c r="I473" s="24" t="str">
        <f ca="1">IFERROR(__xludf.DUMMYFUNCTION("GOOGLETRANSLATE(F473,""en"",""pt"")"),"adesivos da telha")</f>
        <v>adesivos da telha</v>
      </c>
      <c r="J473" t="e">
        <f>VLOOKUP(A473,Pr_Base_LNEC!$A$4:$J$6971,6,FALSE)</f>
        <v>#N/A</v>
      </c>
      <c r="K473" t="e">
        <f>VLOOKUP(A473,Pr_Base_LNEC!$A$4:$J$6971,7,FALSE)</f>
        <v>#N/A</v>
      </c>
    </row>
    <row r="474" spans="1:11" ht="14.5">
      <c r="A474" s="20" t="s">
        <v>14814</v>
      </c>
      <c r="B474" s="20">
        <v>20</v>
      </c>
      <c r="C474" s="20">
        <v>31</v>
      </c>
      <c r="D474" s="20">
        <v>2</v>
      </c>
      <c r="E474" s="20">
        <v>94</v>
      </c>
      <c r="F474" s="20" t="s">
        <v>14815</v>
      </c>
      <c r="G474" s="20" t="s">
        <v>14816</v>
      </c>
      <c r="H474" s="24"/>
      <c r="I474" s="24" t="str">
        <f ca="1">IFERROR(__xludf.DUMMYFUNCTION("GOOGLETRANSLATE(F474,""en"",""pt"")"),"adesivos baseados em vermiculite")</f>
        <v>adesivos baseados em vermiculite</v>
      </c>
      <c r="J474" t="str">
        <f>VLOOKUP(A474,Pr_Base_LNEC!$A$4:$J$6971,6,FALSE)</f>
        <v>-</v>
      </c>
      <c r="K474">
        <f>VLOOKUP(A474,Pr_Base_LNEC!$A$4:$J$6971,7,FALSE)</f>
        <v>0</v>
      </c>
    </row>
    <row r="475" spans="1:11" ht="14.5">
      <c r="A475" s="20" t="s">
        <v>14817</v>
      </c>
      <c r="B475" s="20">
        <v>20</v>
      </c>
      <c r="C475" s="20">
        <v>31</v>
      </c>
      <c r="D475" s="20">
        <v>2</v>
      </c>
      <c r="E475" s="20">
        <v>95</v>
      </c>
      <c r="F475" s="20" t="s">
        <v>14818</v>
      </c>
      <c r="G475" s="20" t="s">
        <v>14819</v>
      </c>
      <c r="H475" s="24"/>
      <c r="I475" s="24" t="str">
        <f ca="1">IFERROR(__xludf.DUMMYFUNCTION("GOOGLETRANSLATE(F475,""en"",""pt"")"),"adesivos de vinil")</f>
        <v>adesivos de vinil</v>
      </c>
      <c r="J475" t="str">
        <f>VLOOKUP(A475,Pr_Base_LNEC!$A$4:$J$6971,6,FALSE)</f>
        <v>-</v>
      </c>
      <c r="K475">
        <f>VLOOKUP(A475,Pr_Base_LNEC!$A$4:$J$6971,7,FALSE)</f>
        <v>0</v>
      </c>
    </row>
    <row r="476" spans="1:11" ht="14.5">
      <c r="A476" s="20" t="s">
        <v>14820</v>
      </c>
      <c r="B476" s="20">
        <v>20</v>
      </c>
      <c r="C476" s="20">
        <v>31</v>
      </c>
      <c r="D476" s="20">
        <v>2</v>
      </c>
      <c r="E476" s="20">
        <v>97</v>
      </c>
      <c r="F476" s="20" t="s">
        <v>14821</v>
      </c>
      <c r="G476" s="24"/>
      <c r="H476" s="24"/>
      <c r="I476" s="24" t="str">
        <f ca="1">IFERROR(__xludf.DUMMYFUNCTION("GOOGLETRANSLATE(F476,""en"",""pt"")"),"Soldadura pasta e solventes")</f>
        <v>Soldadura pasta e solventes</v>
      </c>
      <c r="J476" t="str">
        <f>VLOOKUP(A476,Pr_Base_LNEC!$A$4:$J$6971,6,FALSE)</f>
        <v>-</v>
      </c>
      <c r="K476">
        <f>VLOOKUP(A476,Pr_Base_LNEC!$A$4:$J$6971,7,FALSE)</f>
        <v>0</v>
      </c>
    </row>
    <row r="477" spans="1:11" ht="14.5">
      <c r="A477" s="20" t="s">
        <v>14822</v>
      </c>
      <c r="B477" s="20">
        <v>20</v>
      </c>
      <c r="C477" s="20">
        <v>31</v>
      </c>
      <c r="D477" s="20">
        <v>3</v>
      </c>
      <c r="E477" s="24"/>
      <c r="F477" s="20" t="s">
        <v>14823</v>
      </c>
      <c r="G477" s="24"/>
      <c r="H477" s="24"/>
      <c r="I477" s="24" t="str">
        <f ca="1">IFERROR(__xludf.DUMMYFUNCTION("GOOGLETRANSLATE(F477,""en"",""pt"")"),"Misturas")</f>
        <v>Misturas</v>
      </c>
      <c r="J477" t="str">
        <f>VLOOKUP(A477,Pr_Base_LNEC!$A$4:$J$6971,6,FALSE)</f>
        <v>Misturas</v>
      </c>
      <c r="K477">
        <f>VLOOKUP(A477,Pr_Base_LNEC!$A$4:$J$6971,7,FALSE)</f>
        <v>0</v>
      </c>
    </row>
    <row r="478" spans="1:11" ht="14.5">
      <c r="A478" s="20" t="s">
        <v>14824</v>
      </c>
      <c r="B478" s="20">
        <v>20</v>
      </c>
      <c r="C478" s="20">
        <v>31</v>
      </c>
      <c r="D478" s="20">
        <v>3</v>
      </c>
      <c r="E478" s="20">
        <v>1</v>
      </c>
      <c r="F478" s="20" t="s">
        <v>14825</v>
      </c>
      <c r="G478" s="24"/>
      <c r="H478" s="24"/>
      <c r="I478" s="24" t="str">
        <f ca="1">IFERROR(__xludf.DUMMYFUNCTION("GOOGLETRANSLATE(F478,""en"",""pt"")"),"aditivos para concreto adesão de prova")</f>
        <v>aditivos para concreto adesão de prova</v>
      </c>
      <c r="J478" t="str">
        <f>VLOOKUP(A478,Pr_Base_LNEC!$A$4:$J$6971,6,FALSE)</f>
        <v>-</v>
      </c>
      <c r="K478">
        <f>VLOOKUP(A478,Pr_Base_LNEC!$A$4:$J$6971,7,FALSE)</f>
        <v>0</v>
      </c>
    </row>
    <row r="479" spans="1:11" ht="14.5">
      <c r="A479" s="20" t="s">
        <v>14826</v>
      </c>
      <c r="B479" s="20">
        <v>20</v>
      </c>
      <c r="C479" s="20">
        <v>31</v>
      </c>
      <c r="D479" s="20">
        <v>3</v>
      </c>
      <c r="E479" s="20">
        <v>2</v>
      </c>
      <c r="F479" s="20" t="s">
        <v>14827</v>
      </c>
      <c r="G479" s="20" t="s">
        <v>14828</v>
      </c>
      <c r="H479" s="24"/>
      <c r="I479" s="24" t="str">
        <f ca="1">IFERROR(__xludf.DUMMYFUNCTION("GOOGLETRANSLATE(F479,""en"",""pt"")"),"Air incorporadores e plastificação aditivos para concreto")</f>
        <v>Air incorporadores e plastificação aditivos para concreto</v>
      </c>
      <c r="J479" t="str">
        <f>VLOOKUP(A479,Pr_Base_LNEC!$A$4:$J$6971,6,FALSE)</f>
        <v>-</v>
      </c>
      <c r="K479">
        <f>VLOOKUP(A479,Pr_Base_LNEC!$A$4:$J$6971,7,FALSE)</f>
        <v>0</v>
      </c>
    </row>
    <row r="480" spans="1:11" ht="14.5">
      <c r="A480" s="20" t="s">
        <v>14829</v>
      </c>
      <c r="B480" s="20">
        <v>20</v>
      </c>
      <c r="C480" s="20">
        <v>31</v>
      </c>
      <c r="D480" s="20">
        <v>3</v>
      </c>
      <c r="E480" s="20">
        <v>3</v>
      </c>
      <c r="F480" s="20" t="s">
        <v>14830</v>
      </c>
      <c r="G480" s="20" t="s">
        <v>14831</v>
      </c>
      <c r="H480" s="24"/>
      <c r="I480" s="24" t="str">
        <f ca="1">IFERROR(__xludf.DUMMYFUNCTION("GOOGLETRANSLATE(F480,""en"",""pt"")"),"incorporadores de ar e argamassa plastificante e aditivos betonilha")</f>
        <v>incorporadores de ar e argamassa plastificante e aditivos betonilha</v>
      </c>
      <c r="J480" t="str">
        <f>VLOOKUP(A480,Pr_Base_LNEC!$A$4:$J$6971,6,FALSE)</f>
        <v>-</v>
      </c>
      <c r="K480">
        <f>VLOOKUP(A480,Pr_Base_LNEC!$A$4:$J$6971,7,FALSE)</f>
        <v>0</v>
      </c>
    </row>
    <row r="481" spans="1:11" ht="14.5">
      <c r="A481" s="20" t="s">
        <v>14832</v>
      </c>
      <c r="B481" s="20">
        <v>20</v>
      </c>
      <c r="C481" s="20">
        <v>31</v>
      </c>
      <c r="D481" s="20">
        <v>3</v>
      </c>
      <c r="E481" s="20">
        <v>15</v>
      </c>
      <c r="F481" s="20" t="s">
        <v>14833</v>
      </c>
      <c r="G481" s="24"/>
      <c r="H481" s="24"/>
      <c r="I481" s="24" t="str">
        <f ca="1">IFERROR(__xludf.DUMMYFUNCTION("GOOGLETRANSLATE(F481,""en"",""pt"")"),"agentes de expansão de concreto")</f>
        <v>agentes de expansão de concreto</v>
      </c>
      <c r="J481" t="str">
        <f>VLOOKUP(A481,Pr_Base_LNEC!$A$4:$J$6971,6,FALSE)</f>
        <v>-</v>
      </c>
      <c r="K481">
        <f>VLOOKUP(A481,Pr_Base_LNEC!$A$4:$J$6971,7,FALSE)</f>
        <v>0</v>
      </c>
    </row>
    <row r="482" spans="1:11" ht="14.5">
      <c r="A482" s="20" t="s">
        <v>14834</v>
      </c>
      <c r="B482" s="20">
        <v>20</v>
      </c>
      <c r="C482" s="20">
        <v>31</v>
      </c>
      <c r="D482" s="20">
        <v>3</v>
      </c>
      <c r="E482" s="20">
        <v>16</v>
      </c>
      <c r="F482" s="20" t="s">
        <v>14835</v>
      </c>
      <c r="G482" s="20" t="s">
        <v>14836</v>
      </c>
      <c r="H482" s="24"/>
      <c r="I482" s="24" t="str">
        <f ca="1">IFERROR(__xludf.DUMMYFUNCTION("GOOGLETRANSLATE(F482,""en"",""pt"")"),"agentes de formação de espuma de betão")</f>
        <v>agentes de formação de espuma de betão</v>
      </c>
      <c r="J482" t="str">
        <f>VLOOKUP(A482,Pr_Base_LNEC!$A$4:$J$6971,6,FALSE)</f>
        <v>-</v>
      </c>
      <c r="K482">
        <f>VLOOKUP(A482,Pr_Base_LNEC!$A$4:$J$6971,7,FALSE)</f>
        <v>0</v>
      </c>
    </row>
    <row r="483" spans="1:11" ht="14.5">
      <c r="A483" s="20" t="s">
        <v>14837</v>
      </c>
      <c r="B483" s="20">
        <v>20</v>
      </c>
      <c r="C483" s="20">
        <v>31</v>
      </c>
      <c r="D483" s="20">
        <v>3</v>
      </c>
      <c r="E483" s="20">
        <v>17</v>
      </c>
      <c r="F483" s="20" t="s">
        <v>14838</v>
      </c>
      <c r="G483" s="20" t="s">
        <v>14839</v>
      </c>
      <c r="H483" s="24"/>
      <c r="I483" s="24" t="str">
        <f ca="1">IFERROR(__xludf.DUMMYFUNCTION("GOOGLETRANSLATE(F483,""en"",""pt"")"),"Inibidores de corrosão misturas")</f>
        <v>Inibidores de corrosão misturas</v>
      </c>
      <c r="J483" t="str">
        <f>VLOOKUP(A483,Pr_Base_LNEC!$A$4:$J$6971,6,FALSE)</f>
        <v>-</v>
      </c>
      <c r="K483">
        <f>VLOOKUP(A483,Pr_Base_LNEC!$A$4:$J$6971,7,FALSE)</f>
        <v>0</v>
      </c>
    </row>
    <row r="484" spans="1:11" ht="14.5">
      <c r="A484" s="20" t="s">
        <v>14840</v>
      </c>
      <c r="B484" s="20">
        <v>20</v>
      </c>
      <c r="C484" s="20">
        <v>31</v>
      </c>
      <c r="D484" s="20">
        <v>3</v>
      </c>
      <c r="E484" s="20">
        <v>31</v>
      </c>
      <c r="F484" s="20" t="s">
        <v>14841</v>
      </c>
      <c r="G484" s="24"/>
      <c r="H484" s="24"/>
      <c r="I484" s="24" t="str">
        <f ca="1">IFERROR(__xludf.DUMMYFUNCTION("GOOGLETRANSLATE(F484,""en"",""pt"")"),"Frostproofing aditivos para concreto")</f>
        <v>Frostproofing aditivos para concreto</v>
      </c>
      <c r="J484" t="str">
        <f>VLOOKUP(A484,Pr_Base_LNEC!$A$4:$J$6971,6,FALSE)</f>
        <v>-</v>
      </c>
      <c r="K484">
        <f>VLOOKUP(A484,Pr_Base_LNEC!$A$4:$J$6971,7,FALSE)</f>
        <v>0</v>
      </c>
    </row>
    <row r="485" spans="1:11" ht="14.5">
      <c r="A485" s="20" t="s">
        <v>14842</v>
      </c>
      <c r="B485" s="20">
        <v>20</v>
      </c>
      <c r="C485" s="20">
        <v>31</v>
      </c>
      <c r="D485" s="20">
        <v>3</v>
      </c>
      <c r="E485" s="20">
        <v>36</v>
      </c>
      <c r="F485" s="20" t="s">
        <v>14843</v>
      </c>
      <c r="G485" s="20" t="s">
        <v>14844</v>
      </c>
      <c r="H485" s="24"/>
      <c r="I485" s="24" t="str">
        <f ca="1">IFERROR(__xludf.DUMMYFUNCTION("GOOGLETRANSLATE(F485,""en"",""pt"")"),"Endurecimento e acelerando aditivos para concreto")</f>
        <v>Endurecimento e acelerando aditivos para concreto</v>
      </c>
      <c r="J485" t="str">
        <f>VLOOKUP(A485,Pr_Base_LNEC!$A$4:$J$6971,6,FALSE)</f>
        <v>-</v>
      </c>
      <c r="K485">
        <f>VLOOKUP(A485,Pr_Base_LNEC!$A$4:$J$6971,7,FALSE)</f>
        <v>0</v>
      </c>
    </row>
    <row r="486" spans="1:11" ht="14.5">
      <c r="A486" s="20" t="s">
        <v>14845</v>
      </c>
      <c r="B486" s="20">
        <v>20</v>
      </c>
      <c r="C486" s="20">
        <v>31</v>
      </c>
      <c r="D486" s="20">
        <v>3</v>
      </c>
      <c r="E486" s="20">
        <v>38</v>
      </c>
      <c r="F486" s="20" t="s">
        <v>14846</v>
      </c>
      <c r="G486" s="20" t="s">
        <v>14847</v>
      </c>
      <c r="H486" s="24"/>
      <c r="I486" s="24" t="str">
        <f ca="1">IFERROR(__xludf.DUMMYFUNCTION("GOOGLETRANSLATE(F486,""en"",""pt"")"),"de água de alta gama redução e superplastificante aditivos para betão")</f>
        <v>de água de alta gama redução e superplastificante aditivos para betão</v>
      </c>
      <c r="J486" t="str">
        <f>VLOOKUP(A486,Pr_Base_LNEC!$A$4:$J$6971,6,FALSE)</f>
        <v>-</v>
      </c>
      <c r="K486">
        <f>VLOOKUP(A486,Pr_Base_LNEC!$A$4:$J$6971,7,FALSE)</f>
        <v>0</v>
      </c>
    </row>
    <row r="487" spans="1:11" ht="14.5">
      <c r="A487" s="20" t="s">
        <v>14848</v>
      </c>
      <c r="B487" s="20">
        <v>20</v>
      </c>
      <c r="C487" s="20">
        <v>31</v>
      </c>
      <c r="D487" s="20">
        <v>3</v>
      </c>
      <c r="E487" s="20">
        <v>52</v>
      </c>
      <c r="F487" s="20" t="s">
        <v>14849</v>
      </c>
      <c r="G487" s="20" t="s">
        <v>14850</v>
      </c>
      <c r="H487" s="24"/>
      <c r="I487" s="24" t="str">
        <f ca="1">IFERROR(__xludf.DUMMYFUNCTION("GOOGLETRANSLATE(F487,""en"",""pt"")"),"De gama média de redução de água e aditivos para betão superplastificante")</f>
        <v>De gama média de redução de água e aditivos para betão superplastificante</v>
      </c>
      <c r="J487" t="str">
        <f>VLOOKUP(A487,Pr_Base_LNEC!$A$4:$J$6971,6,FALSE)</f>
        <v>-</v>
      </c>
      <c r="K487">
        <f>VLOOKUP(A487,Pr_Base_LNEC!$A$4:$J$6971,7,FALSE)</f>
        <v>0</v>
      </c>
    </row>
    <row r="488" spans="1:11" ht="14.5">
      <c r="A488" s="20" t="s">
        <v>14851</v>
      </c>
      <c r="B488" s="20">
        <v>20</v>
      </c>
      <c r="C488" s="20">
        <v>31</v>
      </c>
      <c r="D488" s="20">
        <v>3</v>
      </c>
      <c r="E488" s="20">
        <v>58</v>
      </c>
      <c r="F488" s="20" t="s">
        <v>14852</v>
      </c>
      <c r="G488" s="24"/>
      <c r="H488" s="24"/>
      <c r="I488" s="24" t="str">
        <f ca="1">IFERROR(__xludf.DUMMYFUNCTION("GOOGLETRANSLATE(F488,""en"",""pt"")"),"aditivos para concreto de prova Oil")</f>
        <v>aditivos para concreto de prova Oil</v>
      </c>
      <c r="J488" t="str">
        <f>VLOOKUP(A488,Pr_Base_LNEC!$A$4:$J$6971,6,FALSE)</f>
        <v>-</v>
      </c>
      <c r="K488">
        <f>VLOOKUP(A488,Pr_Base_LNEC!$A$4:$J$6971,7,FALSE)</f>
        <v>0</v>
      </c>
    </row>
    <row r="489" spans="1:11" ht="14.5">
      <c r="A489" s="20" t="s">
        <v>14853</v>
      </c>
      <c r="B489" s="20">
        <v>20</v>
      </c>
      <c r="C489" s="20">
        <v>31</v>
      </c>
      <c r="D489" s="20">
        <v>3</v>
      </c>
      <c r="E489" s="20">
        <v>64</v>
      </c>
      <c r="F489" s="20" t="s">
        <v>14854</v>
      </c>
      <c r="G489" s="20" t="s">
        <v>14855</v>
      </c>
      <c r="H489" s="24"/>
      <c r="I489" s="24" t="str">
        <f ca="1">IFERROR(__xludf.DUMMYFUNCTION("GOOGLETRANSLATE(F489,""en"",""pt"")"),"misturas de polímeros")</f>
        <v>misturas de polímeros</v>
      </c>
      <c r="J489" t="str">
        <f>VLOOKUP(A489,Pr_Base_LNEC!$A$4:$J$6971,6,FALSE)</f>
        <v>-</v>
      </c>
      <c r="K489">
        <f>VLOOKUP(A489,Pr_Base_LNEC!$A$4:$J$6971,7,FALSE)</f>
        <v>0</v>
      </c>
    </row>
    <row r="490" spans="1:11" ht="14.5">
      <c r="A490" s="20" t="s">
        <v>14856</v>
      </c>
      <c r="B490" s="20">
        <v>20</v>
      </c>
      <c r="C490" s="20">
        <v>31</v>
      </c>
      <c r="D490" s="20">
        <v>3</v>
      </c>
      <c r="E490" s="20">
        <v>76</v>
      </c>
      <c r="F490" s="20" t="s">
        <v>14857</v>
      </c>
      <c r="G490" s="20" t="s">
        <v>14858</v>
      </c>
      <c r="H490" s="24"/>
      <c r="I490" s="24" t="str">
        <f ca="1">IFERROR(__xludf.DUMMYFUNCTION("GOOGLETRANSLATE(F490,""en"",""pt"")"),"aditivos para concreto de aceleração set")</f>
        <v>aditivos para concreto de aceleração set</v>
      </c>
      <c r="J490" t="str">
        <f>VLOOKUP(A490,Pr_Base_LNEC!$A$4:$J$6971,6,FALSE)</f>
        <v>-</v>
      </c>
      <c r="K490">
        <f>VLOOKUP(A490,Pr_Base_LNEC!$A$4:$J$6971,7,FALSE)</f>
        <v>0</v>
      </c>
    </row>
    <row r="491" spans="1:11" ht="14.5">
      <c r="A491" s="20" t="s">
        <v>14859</v>
      </c>
      <c r="B491" s="20">
        <v>20</v>
      </c>
      <c r="C491" s="20">
        <v>31</v>
      </c>
      <c r="D491" s="20">
        <v>3</v>
      </c>
      <c r="E491" s="20">
        <v>77</v>
      </c>
      <c r="F491" s="20" t="s">
        <v>14860</v>
      </c>
      <c r="G491" s="20" t="s">
        <v>14861</v>
      </c>
      <c r="H491" s="24"/>
      <c r="I491" s="24" t="str">
        <f ca="1">IFERROR(__xludf.DUMMYFUNCTION("GOOGLETRANSLATE(F491,""en"",""pt"")"),"Conjunto de aceleração, redutora de água e plastificar aditivos para betão")</f>
        <v>Conjunto de aceleração, redutora de água e plastificar aditivos para betão</v>
      </c>
      <c r="J491" t="str">
        <f>VLOOKUP(A491,Pr_Base_LNEC!$A$4:$J$6971,6,FALSE)</f>
        <v>-</v>
      </c>
      <c r="K491">
        <f>VLOOKUP(A491,Pr_Base_LNEC!$A$4:$J$6971,7,FALSE)</f>
        <v>0</v>
      </c>
    </row>
    <row r="492" spans="1:11" ht="14.5">
      <c r="A492" s="20" t="s">
        <v>14862</v>
      </c>
      <c r="B492" s="20">
        <v>20</v>
      </c>
      <c r="C492" s="20">
        <v>31</v>
      </c>
      <c r="D492" s="20">
        <v>3</v>
      </c>
      <c r="E492" s="20">
        <v>78</v>
      </c>
      <c r="F492" s="20" t="s">
        <v>14863</v>
      </c>
      <c r="G492" s="20" t="s">
        <v>14864</v>
      </c>
      <c r="H492" s="24"/>
      <c r="I492" s="24" t="str">
        <f ca="1">IFERROR(__xludf.DUMMYFUNCTION("GOOGLETRANSLATE(F492,""en"",""pt"")"),"Conjunto de retardamento de betão, argamassa de gesso e misturas")</f>
        <v>Conjunto de retardamento de betão, argamassa de gesso e misturas</v>
      </c>
      <c r="J492" t="str">
        <f>VLOOKUP(A492,Pr_Base_LNEC!$A$4:$J$6971,6,FALSE)</f>
        <v>-</v>
      </c>
      <c r="K492">
        <f>VLOOKUP(A492,Pr_Base_LNEC!$A$4:$J$6971,7,FALSE)</f>
        <v>0</v>
      </c>
    </row>
    <row r="493" spans="1:11" ht="14.5">
      <c r="A493" s="20" t="s">
        <v>14865</v>
      </c>
      <c r="B493" s="20">
        <v>20</v>
      </c>
      <c r="C493" s="20">
        <v>31</v>
      </c>
      <c r="D493" s="20">
        <v>3</v>
      </c>
      <c r="E493" s="20">
        <v>79</v>
      </c>
      <c r="F493" s="20" t="s">
        <v>14866</v>
      </c>
      <c r="G493" s="20" t="s">
        <v>14867</v>
      </c>
      <c r="H493" s="24"/>
      <c r="I493" s="24" t="str">
        <f ca="1">IFERROR(__xludf.DUMMYFUNCTION("GOOGLETRANSLATE(F493,""en"",""pt"")"),"Definir-retardante, de água de alta gama redução e superplastificante aditivos para betão")</f>
        <v>Definir-retardante, de água de alta gama redução e superplastificante aditivos para betão</v>
      </c>
      <c r="J493" t="str">
        <f>VLOOKUP(A493,Pr_Base_LNEC!$A$4:$J$6971,6,FALSE)</f>
        <v>-</v>
      </c>
      <c r="K493">
        <f>VLOOKUP(A493,Pr_Base_LNEC!$A$4:$J$6971,7,FALSE)</f>
        <v>0</v>
      </c>
    </row>
    <row r="494" spans="1:11" ht="14.5">
      <c r="A494" s="20" t="s">
        <v>14868</v>
      </c>
      <c r="B494" s="20">
        <v>20</v>
      </c>
      <c r="C494" s="20">
        <v>31</v>
      </c>
      <c r="D494" s="20">
        <v>3</v>
      </c>
      <c r="E494" s="20">
        <v>80</v>
      </c>
      <c r="F494" s="20" t="s">
        <v>14869</v>
      </c>
      <c r="G494" s="20" t="s">
        <v>14870</v>
      </c>
      <c r="H494" s="24"/>
      <c r="I494" s="24" t="str">
        <f ca="1">IFERROR(__xludf.DUMMYFUNCTION("GOOGLETRANSLATE(F494,""en"",""pt"")"),"Conjunto de retardamento, redução de água e plastificar aditivos para betão")</f>
        <v>Conjunto de retardamento, redução de água e plastificar aditivos para betão</v>
      </c>
      <c r="J494" t="str">
        <f>VLOOKUP(A494,Pr_Base_LNEC!$A$4:$J$6971,6,FALSE)</f>
        <v>-</v>
      </c>
      <c r="K494">
        <f>VLOOKUP(A494,Pr_Base_LNEC!$A$4:$J$6971,7,FALSE)</f>
        <v>0</v>
      </c>
    </row>
    <row r="495" spans="1:11" ht="14.5">
      <c r="A495" s="20" t="s">
        <v>14871</v>
      </c>
      <c r="B495" s="20">
        <v>20</v>
      </c>
      <c r="C495" s="20">
        <v>31</v>
      </c>
      <c r="D495" s="20">
        <v>3</v>
      </c>
      <c r="E495" s="20">
        <v>84</v>
      </c>
      <c r="F495" s="20" t="s">
        <v>14872</v>
      </c>
      <c r="G495" s="20" t="s">
        <v>14873</v>
      </c>
      <c r="H495" s="24"/>
      <c r="I495" s="24" t="str">
        <f ca="1">IFERROR(__xludf.DUMMYFUNCTION("GOOGLETRANSLATE(F495,""en"",""pt"")"),"aditivos para concreto pulverizado")</f>
        <v>aditivos para concreto pulverizado</v>
      </c>
      <c r="J495" t="str">
        <f>VLOOKUP(A495,Pr_Base_LNEC!$A$4:$J$6971,6,FALSE)</f>
        <v>-</v>
      </c>
      <c r="K495">
        <f>VLOOKUP(A495,Pr_Base_LNEC!$A$4:$J$6971,7,FALSE)</f>
        <v>0</v>
      </c>
    </row>
    <row r="496" spans="1:11" ht="14.5">
      <c r="A496" s="20" t="s">
        <v>14874</v>
      </c>
      <c r="B496" s="20">
        <v>20</v>
      </c>
      <c r="C496" s="20">
        <v>31</v>
      </c>
      <c r="D496" s="20">
        <v>3</v>
      </c>
      <c r="E496" s="20">
        <v>94</v>
      </c>
      <c r="F496" s="20" t="s">
        <v>14875</v>
      </c>
      <c r="G496" s="20" t="s">
        <v>14876</v>
      </c>
      <c r="H496" s="24"/>
      <c r="I496" s="24" t="str">
        <f ca="1">IFERROR(__xludf.DUMMYFUNCTION("GOOGLETRANSLATE(F496,""en"",""pt"")"),"aditivos modificadores de viscosidade")</f>
        <v>aditivos modificadores de viscosidade</v>
      </c>
      <c r="J496" t="str">
        <f>VLOOKUP(A496,Pr_Base_LNEC!$A$4:$J$6971,6,FALSE)</f>
        <v>-</v>
      </c>
      <c r="K496">
        <f>VLOOKUP(A496,Pr_Base_LNEC!$A$4:$J$6971,7,FALSE)</f>
        <v>0</v>
      </c>
    </row>
    <row r="497" spans="1:11" ht="14.5">
      <c r="A497" s="20" t="s">
        <v>14877</v>
      </c>
      <c r="B497" s="20">
        <v>20</v>
      </c>
      <c r="C497" s="20">
        <v>31</v>
      </c>
      <c r="D497" s="20">
        <v>3</v>
      </c>
      <c r="E497" s="20">
        <v>95</v>
      </c>
      <c r="F497" s="20" t="s">
        <v>14878</v>
      </c>
      <c r="G497" s="24"/>
      <c r="H497" s="24"/>
      <c r="I497" s="24" t="str">
        <f ca="1">IFERROR(__xludf.DUMMYFUNCTION("GOOGLETRANSLATE(F497,""en"",""pt"")"),"Impermeabilização de aditivos para concreto")</f>
        <v>Impermeabilização de aditivos para concreto</v>
      </c>
      <c r="J497" t="str">
        <f>VLOOKUP(A497,Pr_Base_LNEC!$A$4:$J$6971,6,FALSE)</f>
        <v>-</v>
      </c>
      <c r="K497">
        <f>VLOOKUP(A497,Pr_Base_LNEC!$A$4:$J$6971,7,FALSE)</f>
        <v>0</v>
      </c>
    </row>
    <row r="498" spans="1:11" ht="14.5">
      <c r="A498" s="20" t="s">
        <v>14879</v>
      </c>
      <c r="B498" s="20">
        <v>20</v>
      </c>
      <c r="C498" s="20">
        <v>31</v>
      </c>
      <c r="D498" s="20">
        <v>3</v>
      </c>
      <c r="E498" s="20">
        <v>96</v>
      </c>
      <c r="F498" s="20" t="s">
        <v>14880</v>
      </c>
      <c r="G498" s="20" t="s">
        <v>14881</v>
      </c>
      <c r="H498" s="24"/>
      <c r="I498" s="24" t="str">
        <f ca="1">IFERROR(__xludf.DUMMYFUNCTION("GOOGLETRANSLATE(F498,""en"",""pt"")"),"Impermeabilização de misturas de argamassa")</f>
        <v>Impermeabilização de misturas de argamassa</v>
      </c>
      <c r="J498" t="str">
        <f>VLOOKUP(A498,Pr_Base_LNEC!$A$4:$J$6971,6,FALSE)</f>
        <v>-</v>
      </c>
      <c r="K498">
        <f>VLOOKUP(A498,Pr_Base_LNEC!$A$4:$J$6971,7,FALSE)</f>
        <v>0</v>
      </c>
    </row>
    <row r="499" spans="1:11" ht="14.5">
      <c r="A499" s="20" t="s">
        <v>14882</v>
      </c>
      <c r="B499" s="20">
        <v>20</v>
      </c>
      <c r="C499" s="20">
        <v>31</v>
      </c>
      <c r="D499" s="20">
        <v>3</v>
      </c>
      <c r="E499" s="20">
        <v>97</v>
      </c>
      <c r="F499" s="20" t="s">
        <v>14883</v>
      </c>
      <c r="G499" s="20" t="s">
        <v>14884</v>
      </c>
      <c r="H499" s="24"/>
      <c r="I499" s="24" t="str">
        <f ca="1">IFERROR(__xludf.DUMMYFUNCTION("GOOGLETRANSLATE(F499,""en"",""pt"")"),"Água-redução e plastificação aditivos para betão")</f>
        <v>Água-redução e plastificação aditivos para betão</v>
      </c>
      <c r="J499" t="str">
        <f>VLOOKUP(A499,Pr_Base_LNEC!$A$4:$J$6971,6,FALSE)</f>
        <v>-</v>
      </c>
      <c r="K499">
        <f>VLOOKUP(A499,Pr_Base_LNEC!$A$4:$J$6971,7,FALSE)</f>
        <v>0</v>
      </c>
    </row>
    <row r="500" spans="1:11" ht="14.5">
      <c r="A500" s="20" t="s">
        <v>14885</v>
      </c>
      <c r="B500" s="20">
        <v>20</v>
      </c>
      <c r="C500" s="20">
        <v>31</v>
      </c>
      <c r="D500" s="20">
        <v>3</v>
      </c>
      <c r="E500" s="20">
        <v>98</v>
      </c>
      <c r="F500" s="20" t="s">
        <v>14886</v>
      </c>
      <c r="G500" s="20" t="s">
        <v>14887</v>
      </c>
      <c r="H500" s="24"/>
      <c r="I500" s="24" t="str">
        <f ca="1">IFERROR(__xludf.DUMMYFUNCTION("GOOGLETRANSLATE(F500,""en"",""pt"")"),"Água de retenção de aditivos para betão")</f>
        <v>Água de retenção de aditivos para betão</v>
      </c>
      <c r="J500" t="str">
        <f>VLOOKUP(A500,Pr_Base_LNEC!$A$4:$J$6971,6,FALSE)</f>
        <v>-</v>
      </c>
      <c r="K500">
        <f>VLOOKUP(A500,Pr_Base_LNEC!$A$4:$J$6971,7,FALSE)</f>
        <v>0</v>
      </c>
    </row>
    <row r="501" spans="1:11" ht="14.5">
      <c r="A501" s="20" t="s">
        <v>14888</v>
      </c>
      <c r="B501" s="20">
        <v>20</v>
      </c>
      <c r="C501" s="20">
        <v>31</v>
      </c>
      <c r="D501" s="20">
        <v>4</v>
      </c>
      <c r="E501" s="24"/>
      <c r="F501" s="20" t="s">
        <v>14889</v>
      </c>
      <c r="G501" s="24"/>
      <c r="H501" s="24"/>
      <c r="I501" s="24" t="str">
        <f ca="1">IFERROR(__xludf.DUMMYFUNCTION("GOOGLETRANSLATE(F501,""en"",""pt"")"),"agregados")</f>
        <v>agregados</v>
      </c>
      <c r="J501" t="str">
        <f>VLOOKUP(A501,Pr_Base_LNEC!$A$4:$J$6971,6,FALSE)</f>
        <v>Agregados</v>
      </c>
      <c r="K501">
        <f>VLOOKUP(A501,Pr_Base_LNEC!$A$4:$J$6971,7,FALSE)</f>
        <v>0</v>
      </c>
    </row>
    <row r="502" spans="1:11" ht="14.5">
      <c r="A502" s="20" t="s">
        <v>14890</v>
      </c>
      <c r="B502" s="20">
        <v>20</v>
      </c>
      <c r="C502" s="20">
        <v>31</v>
      </c>
      <c r="D502" s="20">
        <v>4</v>
      </c>
      <c r="E502" s="20">
        <v>1</v>
      </c>
      <c r="F502" s="20" t="s">
        <v>14891</v>
      </c>
      <c r="G502" s="20" t="s">
        <v>14892</v>
      </c>
      <c r="H502" s="24"/>
      <c r="I502" s="24" t="str">
        <f ca="1">IFERROR(__xludf.DUMMYFUNCTION("GOOGLETRANSLATE(F502,""en"",""pt"")"),"Ar arrefecida escória de aço")</f>
        <v>Ar arrefecida escória de aço</v>
      </c>
      <c r="J502" t="str">
        <f>VLOOKUP(A502,Pr_Base_LNEC!$A$4:$J$6971,6,FALSE)</f>
        <v>-</v>
      </c>
      <c r="K502">
        <f>VLOOKUP(A502,Pr_Base_LNEC!$A$4:$J$6971,7,FALSE)</f>
        <v>0</v>
      </c>
    </row>
    <row r="503" spans="1:11" ht="14.5">
      <c r="A503" s="20" t="s">
        <v>14893</v>
      </c>
      <c r="B503" s="20">
        <v>20</v>
      </c>
      <c r="C503" s="20">
        <v>31</v>
      </c>
      <c r="D503" s="20">
        <v>4</v>
      </c>
      <c r="E503" s="20">
        <v>2</v>
      </c>
      <c r="F503" s="20" t="s">
        <v>14894</v>
      </c>
      <c r="G503" s="20" t="s">
        <v>14895</v>
      </c>
      <c r="H503" s="24"/>
      <c r="I503" s="24" t="str">
        <f ca="1">IFERROR(__xludf.DUMMYFUNCTION("GOOGLETRANSLATE(F503,""en"",""pt"")"),"All-in agregados normais e pesados")</f>
        <v>All-in agregados normais e pesados</v>
      </c>
      <c r="J503" t="str">
        <f>VLOOKUP(A503,Pr_Base_LNEC!$A$4:$J$6971,6,FALSE)</f>
        <v>Agregados normais e pesados para betão</v>
      </c>
      <c r="K503" t="str">
        <f>VLOOKUP(A503,Pr_Base_LNEC!$A$4:$J$6971,7,FALSE)</f>
        <v>EN 12620:2002+A1:2008</v>
      </c>
    </row>
    <row r="504" spans="1:11" ht="14.5">
      <c r="A504" s="20" t="s">
        <v>14896</v>
      </c>
      <c r="B504" s="20">
        <v>20</v>
      </c>
      <c r="C504" s="20">
        <v>31</v>
      </c>
      <c r="D504" s="20">
        <v>4</v>
      </c>
      <c r="E504" s="20">
        <v>4</v>
      </c>
      <c r="F504" s="20" t="s">
        <v>14897</v>
      </c>
      <c r="G504" s="20" t="s">
        <v>14898</v>
      </c>
      <c r="H504" s="24"/>
      <c r="I504" s="24" t="str">
        <f ca="1">IFERROR(__xludf.DUMMYFUNCTION("GOOGLETRANSLATE(F504,""en"",""pt"")"),"agregados graúdos Enrocamentos")</f>
        <v>agregados graúdos Enrocamentos</v>
      </c>
      <c r="J504" t="str">
        <f>VLOOKUP(A504,Pr_Base_LNEC!$A$4:$J$6971,6,FALSE)</f>
        <v>Enrocamentos</v>
      </c>
      <c r="K504" t="str">
        <f>VLOOKUP(A504,Pr_Base_LNEC!$A$4:$J$6971,7,FALSE)</f>
        <v>EN 13383-1:2002</v>
      </c>
    </row>
    <row r="505" spans="1:11" ht="14.5">
      <c r="A505" s="20" t="s">
        <v>14899</v>
      </c>
      <c r="B505" s="20">
        <v>20</v>
      </c>
      <c r="C505" s="20">
        <v>31</v>
      </c>
      <c r="D505" s="20">
        <v>4</v>
      </c>
      <c r="E505" s="20">
        <v>5</v>
      </c>
      <c r="F505" s="20" t="s">
        <v>14900</v>
      </c>
      <c r="G505" s="24"/>
      <c r="H505" s="24"/>
      <c r="I505" s="24" t="str">
        <f ca="1">IFERROR(__xludf.DUMMYFUNCTION("GOOGLETRANSLATE(F505,""en"",""pt"")"),"barytes agregados")</f>
        <v>barytes agregados</v>
      </c>
      <c r="J505" t="str">
        <f>VLOOKUP(A505,Pr_Base_LNEC!$A$4:$J$6971,6,FALSE)</f>
        <v>-</v>
      </c>
      <c r="K505">
        <f>VLOOKUP(A505,Pr_Base_LNEC!$A$4:$J$6971,7,FALSE)</f>
        <v>0</v>
      </c>
    </row>
    <row r="506" spans="1:11" ht="14.5">
      <c r="A506" s="20" t="s">
        <v>14901</v>
      </c>
      <c r="B506" s="20">
        <v>20</v>
      </c>
      <c r="C506" s="20">
        <v>31</v>
      </c>
      <c r="D506" s="20">
        <v>4</v>
      </c>
      <c r="E506" s="20">
        <v>6</v>
      </c>
      <c r="F506" s="20" t="s">
        <v>14902</v>
      </c>
      <c r="G506" s="20" t="s">
        <v>14903</v>
      </c>
      <c r="H506" s="24"/>
      <c r="I506" s="24" t="str">
        <f ca="1">IFERROR(__xludf.DUMMYFUNCTION("GOOGLETRANSLATE(F506,""en"",""pt"")"),"Base, cama e encher tudo-em agregados")</f>
        <v>Base, cama e encher tudo-em agregados</v>
      </c>
      <c r="J506" t="str">
        <f>VLOOKUP(A506,Pr_Base_LNEC!$A$4:$J$6971,6,FALSE)</f>
        <v>Agregados para materiais não ligados ou tratados com ligantes hidráulicos utilizados em trabalhos de engenharia civil e na construção rodoviária</v>
      </c>
      <c r="K506" t="str">
        <f>VLOOKUP(A506,Pr_Base_LNEC!$A$4:$J$6971,7,FALSE)</f>
        <v>NP EN 13242:2002+A1:2010</v>
      </c>
    </row>
    <row r="507" spans="1:11" ht="14.5">
      <c r="A507" s="20" t="s">
        <v>14904</v>
      </c>
      <c r="B507" s="20">
        <v>20</v>
      </c>
      <c r="C507" s="20">
        <v>31</v>
      </c>
      <c r="D507" s="20">
        <v>4</v>
      </c>
      <c r="E507" s="20">
        <v>7</v>
      </c>
      <c r="F507" s="20" t="s">
        <v>14905</v>
      </c>
      <c r="G507" s="20" t="s">
        <v>14906</v>
      </c>
      <c r="H507" s="24"/>
      <c r="I507" s="24" t="str">
        <f ca="1">IFERROR(__xludf.DUMMYFUNCTION("GOOGLETRANSLATE(F507,""en"",""pt"")"),"Base de Dados de agregados grossos, cama e preenchimento")</f>
        <v>Base de Dados de agregados grossos, cama e preenchimento</v>
      </c>
      <c r="J507" t="str">
        <f>VLOOKUP(A507,Pr_Base_LNEC!$A$4:$J$6971,6,FALSE)</f>
        <v>Agregados grosseiros para materiais não ligados ou tratados com ligantes hidráulicos utilizados em trabalhos de engenharia civil e na construção rodoviária</v>
      </c>
      <c r="K507" t="str">
        <f>VLOOKUP(A507,Pr_Base_LNEC!$A$4:$J$6971,7,FALSE)</f>
        <v>NP EN 13242:2002+A1:2010</v>
      </c>
    </row>
    <row r="508" spans="1:11" ht="14.5">
      <c r="A508" s="20" t="s">
        <v>14907</v>
      </c>
      <c r="B508" s="20">
        <v>20</v>
      </c>
      <c r="C508" s="20">
        <v>31</v>
      </c>
      <c r="D508" s="20">
        <v>4</v>
      </c>
      <c r="E508" s="20">
        <v>8</v>
      </c>
      <c r="F508" s="20" t="s">
        <v>14908</v>
      </c>
      <c r="G508" s="20" t="s">
        <v>14909</v>
      </c>
      <c r="H508" s="24"/>
      <c r="I508" s="24" t="str">
        <f ca="1">IFERROR(__xludf.DUMMYFUNCTION("GOOGLETRANSLATE(F508,""en"",""pt"")"),"Base, cama e encher agregados finos")</f>
        <v>Base, cama e encher agregados finos</v>
      </c>
      <c r="J508" t="str">
        <f>VLOOKUP(A508,Pr_Base_LNEC!$A$4:$J$6971,6,FALSE)</f>
        <v>Agregados finos para materiais não ligados ou tratados com ligantes hidráulicos utilizados em trabalhos de engenharia civil e na construção rodoviária</v>
      </c>
      <c r="K508" t="str">
        <f>VLOOKUP(A508,Pr_Base_LNEC!$A$4:$J$6971,7,FALSE)</f>
        <v>NP EN 13242:2002+A1:2010</v>
      </c>
    </row>
    <row r="509" spans="1:11" ht="14.5">
      <c r="A509" s="20" t="s">
        <v>14910</v>
      </c>
      <c r="B509" s="20">
        <v>20</v>
      </c>
      <c r="C509" s="20">
        <v>31</v>
      </c>
      <c r="D509" s="20">
        <v>4</v>
      </c>
      <c r="E509" s="20">
        <v>9</v>
      </c>
      <c r="F509" s="20" t="s">
        <v>14911</v>
      </c>
      <c r="G509" s="20" t="s">
        <v>14912</v>
      </c>
      <c r="H509" s="24"/>
      <c r="I509" s="24" t="str">
        <f ca="1">IFERROR(__xludf.DUMMYFUNCTION("GOOGLETRANSLATE(F509,""en"",""pt"")"),"Cegando agregados graúdos")</f>
        <v>Cegando agregados graúdos</v>
      </c>
      <c r="J509" t="str">
        <f>VLOOKUP(A509,Pr_Base_LNEC!$A$4:$J$6971,6,FALSE)</f>
        <v>Agregados Grosseiros para Betão</v>
      </c>
      <c r="K509" t="str">
        <f>VLOOKUP(A509,Pr_Base_LNEC!$A$4:$J$6971,7,FALSE)</f>
        <v>EN 12620:2002+A1:2008</v>
      </c>
    </row>
    <row r="510" spans="1:11" ht="14.5">
      <c r="A510" s="20" t="s">
        <v>14913</v>
      </c>
      <c r="B510" s="20">
        <v>20</v>
      </c>
      <c r="C510" s="20">
        <v>31</v>
      </c>
      <c r="D510" s="20">
        <v>4</v>
      </c>
      <c r="E510" s="20">
        <v>10</v>
      </c>
      <c r="F510" s="20" t="s">
        <v>14914</v>
      </c>
      <c r="G510" s="20" t="s">
        <v>14915</v>
      </c>
      <c r="H510" s="24"/>
      <c r="I510" s="24" t="str">
        <f ca="1">IFERROR(__xludf.DUMMYFUNCTION("GOOGLETRANSLATE(F510,""en"",""pt"")"),"Cegando agregados finos")</f>
        <v>Cegando agregados finos</v>
      </c>
      <c r="J510" t="str">
        <f>VLOOKUP(A510,Pr_Base_LNEC!$A$4:$J$6971,6,FALSE)</f>
        <v>Agregados Finos para Betão</v>
      </c>
      <c r="K510" t="str">
        <f>VLOOKUP(A510,Pr_Base_LNEC!$A$4:$J$6971,7,FALSE)</f>
        <v>EN 12620:2002+A1:2008</v>
      </c>
    </row>
    <row r="511" spans="1:11" ht="14.5">
      <c r="A511" s="20" t="s">
        <v>14916</v>
      </c>
      <c r="B511" s="20">
        <v>20</v>
      </c>
      <c r="C511" s="20">
        <v>31</v>
      </c>
      <c r="D511" s="20">
        <v>4</v>
      </c>
      <c r="E511" s="20">
        <v>11</v>
      </c>
      <c r="F511" s="20" t="s">
        <v>14917</v>
      </c>
      <c r="G511" s="20" t="s">
        <v>14918</v>
      </c>
      <c r="H511" s="24"/>
      <c r="I511" s="24" t="str">
        <f ca="1">IFERROR(__xludf.DUMMYFUNCTION("GOOGLETRANSLATE(F511,""en"",""pt"")"),"Bonded revestimento decorativo agregados")</f>
        <v>Bonded revestimento decorativo agregados</v>
      </c>
      <c r="J511" t="str">
        <f>VLOOKUP(A511,Pr_Base_LNEC!$A$4:$J$6971,6,FALSE)</f>
        <v>-</v>
      </c>
      <c r="K511">
        <f>VLOOKUP(A511,Pr_Base_LNEC!$A$4:$J$6971,7,FALSE)</f>
        <v>0</v>
      </c>
    </row>
    <row r="512" spans="1:11" ht="14.5">
      <c r="A512" s="20" t="s">
        <v>14919</v>
      </c>
      <c r="B512" s="20">
        <v>20</v>
      </c>
      <c r="C512" s="20">
        <v>31</v>
      </c>
      <c r="D512" s="20">
        <v>4</v>
      </c>
      <c r="E512" s="20">
        <v>13</v>
      </c>
      <c r="F512" s="20" t="s">
        <v>14920</v>
      </c>
      <c r="G512" s="20" t="s">
        <v>14921</v>
      </c>
      <c r="H512" s="24"/>
      <c r="I512" s="24" t="str">
        <f ca="1">IFERROR(__xludf.DUMMYFUNCTION("GOOGLETRANSLATE(F512,""en"",""pt"")"),"agregados gerais grosseiros")</f>
        <v>agregados gerais grosseiros</v>
      </c>
      <c r="J512" t="str">
        <f>VLOOKUP(A512,Pr_Base_LNEC!$A$4:$J$6971,6,FALSE)</f>
        <v>-</v>
      </c>
      <c r="K512">
        <f>VLOOKUP(A512,Pr_Base_LNEC!$A$4:$J$6971,7,FALSE)</f>
        <v>0</v>
      </c>
    </row>
    <row r="513" spans="1:11" ht="14.5">
      <c r="A513" s="20" t="s">
        <v>14922</v>
      </c>
      <c r="B513" s="20">
        <v>20</v>
      </c>
      <c r="C513" s="20">
        <v>31</v>
      </c>
      <c r="D513" s="20">
        <v>4</v>
      </c>
      <c r="E513" s="20">
        <v>15</v>
      </c>
      <c r="F513" s="20" t="s">
        <v>14923</v>
      </c>
      <c r="G513" s="20" t="s">
        <v>14924</v>
      </c>
      <c r="H513" s="24"/>
      <c r="I513" s="24" t="str">
        <f ca="1">IFERROR(__xludf.DUMMYFUNCTION("GOOGLETRANSLATE(F513,""en"",""pt"")"),"agregados leves grosseiros para concreto e argamassa")</f>
        <v>agregados leves grosseiros para concreto e argamassa</v>
      </c>
      <c r="J513" t="str">
        <f>VLOOKUP(A513,Pr_Base_LNEC!$A$4:$J$6971,6,FALSE)</f>
        <v>Agregados Leves e Densos para Betão, Argamassas e Caldas de Injeção</v>
      </c>
      <c r="K513" t="str">
        <f>VLOOKUP(A513,Pr_Base_LNEC!$A$4:$J$6971,7,FALSE)</f>
        <v>NP EN 13055-1:2005 e NP EN 13055-1:2005/AC:2010</v>
      </c>
    </row>
    <row r="514" spans="1:11" ht="14.5">
      <c r="A514" s="20" t="s">
        <v>14925</v>
      </c>
      <c r="B514" s="20">
        <v>20</v>
      </c>
      <c r="C514" s="20">
        <v>31</v>
      </c>
      <c r="D514" s="20">
        <v>4</v>
      </c>
      <c r="E514" s="20">
        <v>16</v>
      </c>
      <c r="F514" s="20" t="s">
        <v>14926</v>
      </c>
      <c r="G514" s="20" t="s">
        <v>14927</v>
      </c>
      <c r="H514" s="24"/>
      <c r="I514" s="24" t="str">
        <f ca="1">IFERROR(__xludf.DUMMYFUNCTION("GOOGLETRANSLATE(F514,""en"",""pt"")"),"agregados normais e pesados ​​grossos")</f>
        <v>agregados normais e pesados ​​grossos</v>
      </c>
      <c r="J514" t="str">
        <f>VLOOKUP(A514,Pr_Base_LNEC!$A$4:$J$6971,6,FALSE)</f>
        <v>Agregados Grosseiros e Pesados para Betão</v>
      </c>
      <c r="K514" t="str">
        <f>VLOOKUP(A514,Pr_Base_LNEC!$A$4:$J$6971,7,FALSE)</f>
        <v>EN 12620:2002+A1:2008</v>
      </c>
    </row>
    <row r="515" spans="1:11" ht="14.5">
      <c r="A515" s="20" t="s">
        <v>14928</v>
      </c>
      <c r="B515" s="20">
        <v>20</v>
      </c>
      <c r="C515" s="20">
        <v>31</v>
      </c>
      <c r="D515" s="20">
        <v>4</v>
      </c>
      <c r="E515" s="20">
        <v>20</v>
      </c>
      <c r="F515" s="20" t="s">
        <v>14929</v>
      </c>
      <c r="G515" s="24"/>
      <c r="H515" s="24"/>
      <c r="I515" s="24" t="str">
        <f ca="1">IFERROR(__xludf.DUMMYFUNCTION("GOOGLETRANSLATE(F515,""en"",""pt"")"),"agregados de brita")</f>
        <v>agregados de brita</v>
      </c>
      <c r="J515" t="str">
        <f>VLOOKUP(A515,Pr_Base_LNEC!$A$4:$J$6971,6,FALSE)</f>
        <v>-</v>
      </c>
      <c r="K515">
        <f>VLOOKUP(A515,Pr_Base_LNEC!$A$4:$J$6971,7,FALSE)</f>
        <v>0</v>
      </c>
    </row>
    <row r="516" spans="1:11" ht="14.5">
      <c r="A516" s="20" t="s">
        <v>14930</v>
      </c>
      <c r="B516" s="20">
        <v>20</v>
      </c>
      <c r="C516" s="20">
        <v>31</v>
      </c>
      <c r="D516" s="20">
        <v>4</v>
      </c>
      <c r="E516" s="20">
        <v>25</v>
      </c>
      <c r="F516" s="20" t="s">
        <v>14931</v>
      </c>
      <c r="G516" s="20" t="s">
        <v>14932</v>
      </c>
      <c r="H516" s="24"/>
      <c r="I516" s="24" t="str">
        <f ca="1">IFERROR(__xludf.DUMMYFUNCTION("GOOGLETRANSLATE(F516,""en"",""pt"")"),"argila expandida agregados leves")</f>
        <v>argila expandida agregados leves</v>
      </c>
      <c r="J516" t="str">
        <f>VLOOKUP(A516,Pr_Base_LNEC!$A$4:$J$6971,6,FALSE)</f>
        <v>Agregados Leves em Argila Expandida para Betão, Argamassas e Caldas de injeção</v>
      </c>
      <c r="K516" t="str">
        <f>VLOOKUP(A516,Pr_Base_LNEC!$A$4:$J$6971,7,FALSE)</f>
        <v>NP EN 13055-1:2005 e NP EN 13055-1:2005/AC:2010</v>
      </c>
    </row>
    <row r="517" spans="1:11" ht="14.5">
      <c r="A517" s="20" t="s">
        <v>14933</v>
      </c>
      <c r="B517" s="20">
        <v>20</v>
      </c>
      <c r="C517" s="20">
        <v>31</v>
      </c>
      <c r="D517" s="20">
        <v>4</v>
      </c>
      <c r="E517" s="20">
        <v>26</v>
      </c>
      <c r="F517" s="20" t="s">
        <v>14934</v>
      </c>
      <c r="G517" s="24"/>
      <c r="H517" s="24"/>
      <c r="I517" s="24" t="str">
        <f ca="1">IFERROR(__xludf.DUMMYFUNCTION("GOOGLETRANSLATE(F517,""en"",""pt"")"),"agregados de vidro expandidas")</f>
        <v>agregados de vidro expandidas</v>
      </c>
      <c r="J517" t="str">
        <f>VLOOKUP(A517,Pr_Base_LNEC!$A$4:$J$6971,6,FALSE)</f>
        <v>-</v>
      </c>
      <c r="K517">
        <f>VLOOKUP(A517,Pr_Base_LNEC!$A$4:$J$6971,7,FALSE)</f>
        <v>0</v>
      </c>
    </row>
    <row r="518" spans="1:11" ht="14.5">
      <c r="A518" s="20" t="s">
        <v>14935</v>
      </c>
      <c r="B518" s="20">
        <v>20</v>
      </c>
      <c r="C518" s="20">
        <v>31</v>
      </c>
      <c r="D518" s="20">
        <v>4</v>
      </c>
      <c r="E518" s="20">
        <v>27</v>
      </c>
      <c r="F518" s="20" t="s">
        <v>14936</v>
      </c>
      <c r="G518" s="24"/>
      <c r="H518" s="24"/>
      <c r="I518" s="24" t="str">
        <f ca="1">IFERROR(__xludf.DUMMYFUNCTION("GOOGLETRANSLATE(F518,""en"",""pt"")"),"agregados escória expandidas")</f>
        <v>agregados escória expandidas</v>
      </c>
      <c r="J518" t="str">
        <f>VLOOKUP(A518,Pr_Base_LNEC!$A$4:$J$6971,6,FALSE)</f>
        <v>-</v>
      </c>
      <c r="K518">
        <f>VLOOKUP(A518,Pr_Base_LNEC!$A$4:$J$6971,7,FALSE)</f>
        <v>0</v>
      </c>
    </row>
    <row r="519" spans="1:11" ht="14.5">
      <c r="A519" s="20" t="s">
        <v>14937</v>
      </c>
      <c r="B519" s="20">
        <v>20</v>
      </c>
      <c r="C519" s="20">
        <v>31</v>
      </c>
      <c r="D519" s="20">
        <v>4</v>
      </c>
      <c r="E519" s="20">
        <v>28</v>
      </c>
      <c r="F519" s="20" t="s">
        <v>14938</v>
      </c>
      <c r="G519" s="24"/>
      <c r="H519" s="24"/>
      <c r="I519" s="24" t="str">
        <f ca="1">IFERROR(__xludf.DUMMYFUNCTION("GOOGLETRANSLATE(F519,""en"",""pt"")"),"agregados ardósia expandidas")</f>
        <v>agregados ardósia expandidas</v>
      </c>
      <c r="J519" t="str">
        <f>VLOOKUP(A519,Pr_Base_LNEC!$A$4:$J$6971,6,FALSE)</f>
        <v>-</v>
      </c>
      <c r="K519">
        <f>VLOOKUP(A519,Pr_Base_LNEC!$A$4:$J$6971,7,FALSE)</f>
        <v>0</v>
      </c>
    </row>
    <row r="520" spans="1:11" ht="14.5">
      <c r="A520" s="20" t="s">
        <v>14939</v>
      </c>
      <c r="B520" s="20">
        <v>20</v>
      </c>
      <c r="C520" s="20">
        <v>31</v>
      </c>
      <c r="D520" s="20">
        <v>4</v>
      </c>
      <c r="E520" s="20">
        <v>29</v>
      </c>
      <c r="F520" s="20" t="s">
        <v>14940</v>
      </c>
      <c r="G520" s="20" t="s">
        <v>14941</v>
      </c>
      <c r="H520" s="24"/>
      <c r="I520" s="24" t="str">
        <f ca="1">IFERROR(__xludf.DUMMYFUNCTION("GOOGLETRANSLATE(F520,""en"",""pt"")"),"agregados finos")</f>
        <v>agregados finos</v>
      </c>
      <c r="J520" t="str">
        <f>VLOOKUP(A520,Pr_Base_LNEC!$A$4:$J$6971,6,FALSE)</f>
        <v>-</v>
      </c>
      <c r="K520">
        <f>VLOOKUP(A520,Pr_Base_LNEC!$A$4:$J$6971,7,FALSE)</f>
        <v>0</v>
      </c>
    </row>
    <row r="521" spans="1:11" ht="14.5">
      <c r="A521" s="20" t="s">
        <v>14942</v>
      </c>
      <c r="B521" s="20">
        <v>20</v>
      </c>
      <c r="C521" s="20">
        <v>31</v>
      </c>
      <c r="D521" s="20">
        <v>4</v>
      </c>
      <c r="E521" s="20">
        <v>30</v>
      </c>
      <c r="F521" s="20" t="s">
        <v>14943</v>
      </c>
      <c r="G521" s="20" t="s">
        <v>14944</v>
      </c>
      <c r="H521" s="24"/>
      <c r="I521" s="24" t="str">
        <f ca="1">IFERROR(__xludf.DUMMYFUNCTION("GOOGLETRANSLATE(F521,""en"",""pt"")"),"agregados gerais finas")</f>
        <v>agregados gerais finas</v>
      </c>
      <c r="J521" t="str">
        <f>VLOOKUP(A521,Pr_Base_LNEC!$A$4:$J$6971,6,FALSE)</f>
        <v>-</v>
      </c>
      <c r="K521">
        <f>VLOOKUP(A521,Pr_Base_LNEC!$A$4:$J$6971,7,FALSE)</f>
        <v>0</v>
      </c>
    </row>
    <row r="522" spans="1:11" ht="14.5">
      <c r="A522" s="20" t="s">
        <v>14945</v>
      </c>
      <c r="B522" s="20">
        <v>20</v>
      </c>
      <c r="C522" s="20">
        <v>31</v>
      </c>
      <c r="D522" s="20">
        <v>4</v>
      </c>
      <c r="E522" s="20">
        <v>31</v>
      </c>
      <c r="F522" s="20" t="s">
        <v>14946</v>
      </c>
      <c r="G522" s="20" t="s">
        <v>14947</v>
      </c>
      <c r="H522" s="24"/>
      <c r="I522" s="24" t="str">
        <f ca="1">IFERROR(__xludf.DUMMYFUNCTION("GOOGLETRANSLATE(F522,""en"",""pt"")"),"agregados leves finos para betão e argamassas")</f>
        <v>agregados leves finos para betão e argamassas</v>
      </c>
      <c r="J522" t="str">
        <f>VLOOKUP(A522,Pr_Base_LNEC!$A$4:$J$6971,6,FALSE)</f>
        <v>Agregados Leves e Finos para Betão, Argamassas e Caldas de Injeção</v>
      </c>
      <c r="K522" t="str">
        <f>VLOOKUP(A522,Pr_Base_LNEC!$A$4:$J$6971,7,FALSE)</f>
        <v>NP EN 13055-1:2005 e NP EN 13055-1:2005/AC:2010</v>
      </c>
    </row>
    <row r="523" spans="1:11" ht="14.5">
      <c r="A523" s="20" t="s">
        <v>14948</v>
      </c>
      <c r="B523" s="20">
        <v>20</v>
      </c>
      <c r="C523" s="20">
        <v>31</v>
      </c>
      <c r="D523" s="20">
        <v>4</v>
      </c>
      <c r="E523" s="20">
        <v>32</v>
      </c>
      <c r="F523" s="20" t="s">
        <v>14949</v>
      </c>
      <c r="G523" s="20" t="s">
        <v>14950</v>
      </c>
      <c r="H523" s="24"/>
      <c r="I523" s="24" t="str">
        <f ca="1">IFERROR(__xludf.DUMMYFUNCTION("GOOGLETRANSLATE(F523,""en"",""pt"")"),"agregados normais e pesados ​​finas")</f>
        <v>agregados normais e pesados ​​finas</v>
      </c>
      <c r="J523" t="str">
        <f>VLOOKUP(A523,Pr_Base_LNEC!$A$4:$J$6971,6,FALSE)</f>
        <v>Agregados Finos e Densos para Betão</v>
      </c>
      <c r="K523" t="str">
        <f>VLOOKUP(A523,Pr_Base_LNEC!$A$4:$J$6971,7,FALSE)</f>
        <v>EN 12620:2002+A1:2008</v>
      </c>
    </row>
    <row r="524" spans="1:11" ht="14.5">
      <c r="A524" s="20" t="s">
        <v>14951</v>
      </c>
      <c r="B524" s="20">
        <v>20</v>
      </c>
      <c r="C524" s="20">
        <v>31</v>
      </c>
      <c r="D524" s="20">
        <v>4</v>
      </c>
      <c r="E524" s="20">
        <v>35</v>
      </c>
      <c r="F524" s="20" t="s">
        <v>14952</v>
      </c>
      <c r="G524" s="24"/>
      <c r="H524" s="24"/>
      <c r="I524" s="24" t="str">
        <f ca="1">IFERROR(__xludf.DUMMYFUNCTION("GOOGLETRANSLATE(F524,""en"",""pt"")"),"agregados granulares de cortiça")</f>
        <v>agregados granulares de cortiça</v>
      </c>
      <c r="J524" t="str">
        <f>VLOOKUP(A524,Pr_Base_LNEC!$A$4:$J$6971,6,FALSE)</f>
        <v>-</v>
      </c>
      <c r="K524">
        <f>VLOOKUP(A524,Pr_Base_LNEC!$A$4:$J$6971,7,FALSE)</f>
        <v>0</v>
      </c>
    </row>
    <row r="525" spans="1:11" ht="14.5">
      <c r="A525" s="20" t="s">
        <v>14953</v>
      </c>
      <c r="B525" s="20">
        <v>20</v>
      </c>
      <c r="C525" s="20">
        <v>31</v>
      </c>
      <c r="D525" s="20">
        <v>4</v>
      </c>
      <c r="E525" s="20">
        <v>42</v>
      </c>
      <c r="F525" s="20" t="s">
        <v>14954</v>
      </c>
      <c r="G525" s="24"/>
      <c r="H525" s="24"/>
      <c r="I525" s="24" t="str">
        <f ca="1">IFERROR(__xludf.DUMMYFUNCTION("GOOGLETRANSLATE(F525,""en"",""pt"")"),"agregados de minério de ferro")</f>
        <v>agregados de minério de ferro</v>
      </c>
      <c r="J525" t="str">
        <f>VLOOKUP(A525,Pr_Base_LNEC!$A$4:$J$6971,6,FALSE)</f>
        <v>-</v>
      </c>
      <c r="K525">
        <f>VLOOKUP(A525,Pr_Base_LNEC!$A$4:$J$6971,7,FALSE)</f>
        <v>0</v>
      </c>
    </row>
    <row r="526" spans="1:11" ht="14.5">
      <c r="A526" s="20" t="s">
        <v>14955</v>
      </c>
      <c r="B526" s="20">
        <v>20</v>
      </c>
      <c r="C526" s="20">
        <v>31</v>
      </c>
      <c r="D526" s="20">
        <v>4</v>
      </c>
      <c r="E526" s="20">
        <v>44</v>
      </c>
      <c r="F526" s="20" t="s">
        <v>14956</v>
      </c>
      <c r="G526" s="20" t="s">
        <v>14957</v>
      </c>
      <c r="H526" s="24"/>
      <c r="I526" s="24" t="str">
        <f ca="1">IFERROR(__xludf.DUMMYFUNCTION("GOOGLETRANSLATE(F526,""en"",""pt"")"),"Juntas agregados finos")</f>
        <v>Juntas agregados finos</v>
      </c>
      <c r="J526" t="str">
        <f>VLOOKUP(A526,Pr_Base_LNEC!$A$4:$J$6971,6,FALSE)</f>
        <v>Agregados Finos conexos para Betão</v>
      </c>
      <c r="K526" t="str">
        <f>VLOOKUP(A526,Pr_Base_LNEC!$A$4:$J$6971,7,FALSE)</f>
        <v>EN 12620:2002+A1:2008</v>
      </c>
    </row>
    <row r="527" spans="1:11" ht="14.5">
      <c r="A527" s="20" t="s">
        <v>14958</v>
      </c>
      <c r="B527" s="20">
        <v>20</v>
      </c>
      <c r="C527" s="20">
        <v>31</v>
      </c>
      <c r="D527" s="20">
        <v>4</v>
      </c>
      <c r="E527" s="20">
        <v>46</v>
      </c>
      <c r="F527" s="20" t="s">
        <v>14959</v>
      </c>
      <c r="G527" s="20" t="s">
        <v>14960</v>
      </c>
      <c r="H527" s="24"/>
      <c r="I527" s="24" t="str">
        <f ca="1">IFERROR(__xludf.DUMMYFUNCTION("GOOGLETRANSLATE(F527,""en"",""pt"")"),"Deitado agregados curso finas")</f>
        <v>Deitado agregados curso finas</v>
      </c>
      <c r="J527" t="str">
        <f>VLOOKUP(A527,Pr_Base_LNEC!$A$4:$J$6971,6,FALSE)</f>
        <v>Acabamento de Agregados Finos para Betão</v>
      </c>
      <c r="K527" t="str">
        <f>VLOOKUP(A527,Pr_Base_LNEC!$A$4:$J$6971,7,FALSE)</f>
        <v>EN 12620:2002+A1:2008</v>
      </c>
    </row>
    <row r="528" spans="1:11" ht="14.5">
      <c r="A528" s="20" t="s">
        <v>14961</v>
      </c>
      <c r="B528" s="20">
        <v>20</v>
      </c>
      <c r="C528" s="20">
        <v>31</v>
      </c>
      <c r="D528" s="20">
        <v>4</v>
      </c>
      <c r="E528" s="20">
        <v>48</v>
      </c>
      <c r="F528" s="20" t="s">
        <v>14962</v>
      </c>
      <c r="G528" s="20" t="s">
        <v>14963</v>
      </c>
      <c r="H528" s="24"/>
      <c r="I528" s="24" t="str">
        <f ca="1">IFERROR(__xludf.DUMMYFUNCTION("GOOGLETRANSLATE(F528,""en"",""pt"")"),"Solta tona agregados decorativos")</f>
        <v>Solta tona agregados decorativos</v>
      </c>
      <c r="J528" t="str">
        <f>VLOOKUP(A528,Pr_Base_LNEC!$A$4:$J$6971,6,FALSE)</f>
        <v>Agregados Solto para Misturas Betuminosas e Tratamentos Superficiais em Estradas, Aeroportos e outras áreas de circulação</v>
      </c>
      <c r="K528" t="str">
        <f>VLOOKUP(A528,Pr_Base_LNEC!$A$4:$J$6971,7,FALSE)</f>
        <v>NP EN 13043:2004 e NP EN 13043:2004/AC:2010</v>
      </c>
    </row>
    <row r="529" spans="1:11" ht="14.5">
      <c r="A529" s="20" t="s">
        <v>14964</v>
      </c>
      <c r="B529" s="20">
        <v>20</v>
      </c>
      <c r="C529" s="20">
        <v>31</v>
      </c>
      <c r="D529" s="20">
        <v>4</v>
      </c>
      <c r="E529" s="20">
        <v>51</v>
      </c>
      <c r="F529" s="20" t="s">
        <v>14965</v>
      </c>
      <c r="G529" s="20" t="s">
        <v>14966</v>
      </c>
      <c r="H529" s="24"/>
      <c r="I529" s="24" t="str">
        <f ca="1">IFERROR(__xludf.DUMMYFUNCTION("GOOGLETRANSLATE(F529,""en"",""pt"")"),"agregados argamassa")</f>
        <v>agregados argamassa</v>
      </c>
      <c r="J529" t="str">
        <f>VLOOKUP(A529,Pr_Base_LNEC!$A$4:$J$6971,6,FALSE)</f>
        <v>Agregados para Argamassa</v>
      </c>
      <c r="K529" t="str">
        <f>VLOOKUP(A529,Pr_Base_LNEC!$A$4:$J$6971,7,FALSE)</f>
        <v>NP EN 13139:2005 e NP EN 13139:2005/AC:2010</v>
      </c>
    </row>
    <row r="530" spans="1:11" ht="14.5">
      <c r="A530" s="20" t="s">
        <v>14967</v>
      </c>
      <c r="B530" s="20">
        <v>20</v>
      </c>
      <c r="C530" s="20">
        <v>31</v>
      </c>
      <c r="D530" s="20">
        <v>4</v>
      </c>
      <c r="E530" s="20">
        <v>52</v>
      </c>
      <c r="F530" s="20" t="s">
        <v>14968</v>
      </c>
      <c r="G530" s="20" t="s">
        <v>14969</v>
      </c>
      <c r="H530" s="24"/>
      <c r="I530" s="24" t="str">
        <f ca="1">IFERROR(__xludf.DUMMYFUNCTION("GOOGLETRANSLATE(F530,""en"",""pt"")"),"agregados graúdos argamassa")</f>
        <v>agregados graúdos argamassa</v>
      </c>
      <c r="J530" t="str">
        <f>VLOOKUP(A530,Pr_Base_LNEC!$A$4:$J$6971,6,FALSE)</f>
        <v>Agregados Grosseiros para Argamassa</v>
      </c>
      <c r="K530" t="str">
        <f>VLOOKUP(A530,Pr_Base_LNEC!$A$4:$J$6971,7,FALSE)</f>
        <v>NP EN 13139:2005 e NP EN 13139:2005/AC:2010</v>
      </c>
    </row>
    <row r="531" spans="1:11" ht="14.5">
      <c r="A531" s="20" t="s">
        <v>14970</v>
      </c>
      <c r="B531" s="20">
        <v>20</v>
      </c>
      <c r="C531" s="20">
        <v>31</v>
      </c>
      <c r="D531" s="20">
        <v>4</v>
      </c>
      <c r="E531" s="20">
        <v>53</v>
      </c>
      <c r="F531" s="20" t="s">
        <v>14971</v>
      </c>
      <c r="G531" s="20" t="s">
        <v>14972</v>
      </c>
      <c r="H531" s="24"/>
      <c r="I531" s="24" t="str">
        <f ca="1">IFERROR(__xludf.DUMMYFUNCTION("GOOGLETRANSLATE(F531,""en"",""pt"")"),"agregados finos argamassa")</f>
        <v>agregados finos argamassa</v>
      </c>
      <c r="J531" t="str">
        <f>VLOOKUP(A531,Pr_Base_LNEC!$A$4:$J$6971,6,FALSE)</f>
        <v>Agregados Finos para Argamassa</v>
      </c>
      <c r="K531" t="str">
        <f>VLOOKUP(A531,Pr_Base_LNEC!$A$4:$J$6971,7,FALSE)</f>
        <v>NP EN 13139:2005 e NP EN 13139:2005/AC:2010</v>
      </c>
    </row>
    <row r="532" spans="1:11" ht="14.5">
      <c r="A532" s="20" t="s">
        <v>14973</v>
      </c>
      <c r="B532" s="20">
        <v>20</v>
      </c>
      <c r="C532" s="20">
        <v>31</v>
      </c>
      <c r="D532" s="20">
        <v>4</v>
      </c>
      <c r="E532" s="20">
        <v>56</v>
      </c>
      <c r="F532" s="20" t="s">
        <v>14974</v>
      </c>
      <c r="G532" s="20" t="s">
        <v>14898</v>
      </c>
      <c r="H532" s="24"/>
      <c r="I532" s="24" t="str">
        <f ca="1">IFERROR(__xludf.DUMMYFUNCTION("GOOGLETRANSLATE(F532,""en"",""pt"")"),"agregados de pedra natural")</f>
        <v>agregados de pedra natural</v>
      </c>
      <c r="J532" t="str">
        <f>VLOOKUP(A532,Pr_Base_LNEC!$A$4:$J$6971,6,FALSE)</f>
        <v>Agregados em Pedra Natural - Enrocamentos</v>
      </c>
      <c r="K532" t="str">
        <f>VLOOKUP(A532,Pr_Base_LNEC!$A$4:$J$6971,7,FALSE)</f>
        <v>NP EN 13383-1:2010</v>
      </c>
    </row>
    <row r="533" spans="1:11" ht="14.5">
      <c r="A533" s="20" t="s">
        <v>14975</v>
      </c>
      <c r="B533" s="20">
        <v>20</v>
      </c>
      <c r="C533" s="20">
        <v>31</v>
      </c>
      <c r="D533" s="20">
        <v>4</v>
      </c>
      <c r="E533" s="20">
        <v>57</v>
      </c>
      <c r="F533" s="20" t="s">
        <v>14976</v>
      </c>
      <c r="G533" s="20" t="s">
        <v>14977</v>
      </c>
      <c r="H533" s="24"/>
      <c r="I533" s="24" t="str">
        <f ca="1">IFERROR(__xludf.DUMMYFUNCTION("GOOGLETRANSLATE(F533,""en"",""pt"")"),"poeiras de pedra natural")</f>
        <v>poeiras de pedra natural</v>
      </c>
      <c r="J533" t="str">
        <f>VLOOKUP(A533,Pr_Base_LNEC!$A$4:$J$6971,6,FALSE)</f>
        <v>-</v>
      </c>
      <c r="K533">
        <f>VLOOKUP(A533,Pr_Base_LNEC!$A$4:$J$6971,7,FALSE)</f>
        <v>0</v>
      </c>
    </row>
    <row r="534" spans="1:11" ht="14.5">
      <c r="A534" s="20" t="s">
        <v>14978</v>
      </c>
      <c r="B534" s="20">
        <v>20</v>
      </c>
      <c r="C534" s="20">
        <v>31</v>
      </c>
      <c r="D534" s="20">
        <v>4</v>
      </c>
      <c r="E534" s="20">
        <v>59</v>
      </c>
      <c r="F534" s="20" t="s">
        <v>14979</v>
      </c>
      <c r="G534" s="20" t="s">
        <v>14980</v>
      </c>
      <c r="H534" s="24"/>
      <c r="I534" s="24" t="str">
        <f ca="1">IFERROR(__xludf.DUMMYFUNCTION("GOOGLETRANSLATE(F534,""en"",""pt"")"),"conchas de ostras")</f>
        <v>conchas de ostras</v>
      </c>
      <c r="J534" t="str">
        <f>VLOOKUP(A534,Pr_Base_LNEC!$A$4:$J$6971,6,FALSE)</f>
        <v>-</v>
      </c>
      <c r="K534">
        <f>VLOOKUP(A534,Pr_Base_LNEC!$A$4:$J$6971,7,FALSE)</f>
        <v>0</v>
      </c>
    </row>
    <row r="535" spans="1:11" ht="14.5">
      <c r="A535" s="20" t="s">
        <v>14981</v>
      </c>
      <c r="B535" s="20">
        <v>20</v>
      </c>
      <c r="C535" s="20">
        <v>31</v>
      </c>
      <c r="D535" s="20">
        <v>4</v>
      </c>
      <c r="E535" s="20">
        <v>60</v>
      </c>
      <c r="F535" s="20" t="s">
        <v>14982</v>
      </c>
      <c r="G535" s="24"/>
      <c r="H535" s="24"/>
      <c r="I535" s="24" t="str">
        <f ca="1">IFERROR(__xludf.DUMMYFUNCTION("GOOGLETRANSLATE(F535,""en"",""pt"")"),"Cascalhinhos")</f>
        <v>Cascalhinhos</v>
      </c>
      <c r="J535" t="str">
        <f>VLOOKUP(A535,Pr_Base_LNEC!$A$4:$J$6971,6,FALSE)</f>
        <v>-</v>
      </c>
      <c r="K535">
        <f>VLOOKUP(A535,Pr_Base_LNEC!$A$4:$J$6971,7,FALSE)</f>
        <v>0</v>
      </c>
    </row>
    <row r="536" spans="1:11" ht="14.5">
      <c r="A536" s="20" t="s">
        <v>14983</v>
      </c>
      <c r="B536" s="20">
        <v>20</v>
      </c>
      <c r="C536" s="20">
        <v>31</v>
      </c>
      <c r="D536" s="20">
        <v>4</v>
      </c>
      <c r="E536" s="20">
        <v>61</v>
      </c>
      <c r="F536" s="20" t="s">
        <v>14984</v>
      </c>
      <c r="G536" s="20" t="s">
        <v>14932</v>
      </c>
      <c r="H536" s="24"/>
      <c r="I536" s="24" t="str">
        <f ca="1">IFERROR(__xludf.DUMMYFUNCTION("GOOGLETRANSLATE(F536,""en"",""pt"")"),"agregados perlite")</f>
        <v>agregados perlite</v>
      </c>
      <c r="J536" t="str">
        <f>VLOOKUP(A536,Pr_Base_LNEC!$A$4:$J$6971,6,FALSE)</f>
        <v>Agregados em Perlite Leve para Betão, Argamassas e Caldas de Injeção</v>
      </c>
      <c r="K536" t="str">
        <f>VLOOKUP(A536,Pr_Base_LNEC!$A$4:$J$6971,7,FALSE)</f>
        <v>NP EN 13055-1:2005 e NP EN 13055-1:2005/AC:2010</v>
      </c>
    </row>
    <row r="537" spans="1:11" ht="14.5">
      <c r="A537" s="20" t="s">
        <v>14985</v>
      </c>
      <c r="B537" s="20">
        <v>20</v>
      </c>
      <c r="C537" s="20">
        <v>31</v>
      </c>
      <c r="D537" s="20">
        <v>4</v>
      </c>
      <c r="E537" s="20">
        <v>62</v>
      </c>
      <c r="F537" s="20" t="s">
        <v>14986</v>
      </c>
      <c r="G537" s="20" t="s">
        <v>14987</v>
      </c>
      <c r="H537" s="24"/>
      <c r="I537" s="24" t="str">
        <f ca="1">IFERROR(__xludf.DUMMYFUNCTION("GOOGLETRANSLATE(F537,""en"",""pt"")"),"Permeáveis ​​poedeiras agregados curso")</f>
        <v>Permeáveis ​​poedeiras agregados curso</v>
      </c>
      <c r="J537" t="str">
        <f>VLOOKUP(A537,Pr_Base_LNEC!$A$4:$J$6971,6,FALSE)</f>
        <v>Agregados Permeáveis para Betão</v>
      </c>
      <c r="K537" t="str">
        <f>VLOOKUP(A537,Pr_Base_LNEC!$A$4:$J$6971,7,FALSE)</f>
        <v>EN 12620:2002+A1:2008</v>
      </c>
    </row>
    <row r="538" spans="1:11" ht="14.5">
      <c r="A538" s="20" t="s">
        <v>14988</v>
      </c>
      <c r="B538" s="20">
        <v>20</v>
      </c>
      <c r="C538" s="20">
        <v>31</v>
      </c>
      <c r="D538" s="20">
        <v>4</v>
      </c>
      <c r="E538" s="20">
        <v>71</v>
      </c>
      <c r="F538" s="20" t="s">
        <v>14989</v>
      </c>
      <c r="G538" s="20" t="s">
        <v>14932</v>
      </c>
      <c r="H538" s="24"/>
      <c r="I538" s="24" t="str">
        <f ca="1">IFERROR(__xludf.DUMMYFUNCTION("GOOGLETRANSLATE(F538,""en"",""pt"")"),"agregados leves reciclados")</f>
        <v>agregados leves reciclados</v>
      </c>
      <c r="J538" t="str">
        <f>VLOOKUP(A538,Pr_Base_LNEC!$A$4:$J$6971,6,FALSE)</f>
        <v>Agregados Reciclados Leves para Betão, Argamassas e Caldas de Injeção</v>
      </c>
      <c r="K538" t="str">
        <f>VLOOKUP(A538,Pr_Base_LNEC!$A$4:$J$6971,7,FALSE)</f>
        <v>NP EN 13055-1:2005 e NP EN 13055-1:2005/AC:2010</v>
      </c>
    </row>
    <row r="539" spans="1:11" ht="14.5">
      <c r="A539" s="20" t="s">
        <v>14990</v>
      </c>
      <c r="B539" s="20">
        <v>20</v>
      </c>
      <c r="C539" s="20">
        <v>31</v>
      </c>
      <c r="D539" s="20">
        <v>4</v>
      </c>
      <c r="E539" s="20">
        <v>72</v>
      </c>
      <c r="F539" s="20" t="s">
        <v>14991</v>
      </c>
      <c r="G539" s="20" t="s">
        <v>14992</v>
      </c>
      <c r="H539" s="24"/>
      <c r="I539" s="24" t="str">
        <f ca="1">IFERROR(__xludf.DUMMYFUNCTION("GOOGLETRANSLATE(F539,""en"",""pt"")"),"grânulos de borracha reciclados")</f>
        <v>grânulos de borracha reciclados</v>
      </c>
      <c r="J539" t="str">
        <f>VLOOKUP(A539,Pr_Base_LNEC!$A$4:$J$6971,6,FALSE)</f>
        <v>-</v>
      </c>
      <c r="K539">
        <f>VLOOKUP(A539,Pr_Base_LNEC!$A$4:$J$6971,7,FALSE)</f>
        <v>0</v>
      </c>
    </row>
    <row r="540" spans="1:11" ht="14.5">
      <c r="A540" s="20" t="s">
        <v>14993</v>
      </c>
      <c r="B540" s="20">
        <v>20</v>
      </c>
      <c r="C540" s="20">
        <v>31</v>
      </c>
      <c r="D540" s="20">
        <v>4</v>
      </c>
      <c r="E540" s="20">
        <v>77</v>
      </c>
      <c r="F540" s="20" t="s">
        <v>14994</v>
      </c>
      <c r="G540" s="24"/>
      <c r="H540" s="24"/>
      <c r="I540" s="24" t="str">
        <f ca="1">IFERROR(__xludf.DUMMYFUNCTION("GOOGLETRANSLATE(F540,""en"",""pt"")"),"agregados de ferro sucata")</f>
        <v>agregados de ferro sucata</v>
      </c>
      <c r="J540" t="str">
        <f>VLOOKUP(A540,Pr_Base_LNEC!$A$4:$J$6971,6,FALSE)</f>
        <v>-</v>
      </c>
      <c r="K540">
        <f>VLOOKUP(A540,Pr_Base_LNEC!$A$4:$J$6971,7,FALSE)</f>
        <v>0</v>
      </c>
    </row>
    <row r="541" spans="1:11" ht="14.5">
      <c r="A541" s="20" t="s">
        <v>14995</v>
      </c>
      <c r="B541" s="20">
        <v>20</v>
      </c>
      <c r="C541" s="20">
        <v>31</v>
      </c>
      <c r="D541" s="20">
        <v>4</v>
      </c>
      <c r="E541" s="20">
        <v>79</v>
      </c>
      <c r="F541" s="20" t="s">
        <v>14996</v>
      </c>
      <c r="G541" s="20" t="s">
        <v>14997</v>
      </c>
      <c r="H541" s="24"/>
      <c r="I541" s="24" t="str">
        <f ca="1">IFERROR(__xludf.DUMMYFUNCTION("GOOGLETRANSLATE(F541,""en"",""pt"")"),"agregados porte individuais")</f>
        <v>agregados porte individuais</v>
      </c>
      <c r="J541" t="str">
        <f>VLOOKUP(A541,Pr_Base_LNEC!$A$4:$J$6971,6,FALSE)</f>
        <v>-</v>
      </c>
      <c r="K541">
        <f>VLOOKUP(A541,Pr_Base_LNEC!$A$4:$J$6971,7,FALSE)</f>
        <v>0</v>
      </c>
    </row>
    <row r="542" spans="1:11" ht="14.5">
      <c r="A542" s="20" t="s">
        <v>14998</v>
      </c>
      <c r="B542" s="20">
        <v>20</v>
      </c>
      <c r="C542" s="20">
        <v>31</v>
      </c>
      <c r="D542" s="20">
        <v>4</v>
      </c>
      <c r="E542" s="20">
        <v>80</v>
      </c>
      <c r="F542" s="20" t="s">
        <v>14999</v>
      </c>
      <c r="G542" s="20" t="s">
        <v>15000</v>
      </c>
      <c r="H542" s="24"/>
      <c r="I542" s="24" t="str">
        <f ca="1">IFERROR(__xludf.DUMMYFUNCTION("GOOGLETRANSLATE(F542,""en"",""pt"")"),"agregados de melhoramento do solo")</f>
        <v>agregados de melhoramento do solo</v>
      </c>
      <c r="J542" t="str">
        <f>VLOOKUP(A542,Pr_Base_LNEC!$A$4:$J$6971,6,FALSE)</f>
        <v>-</v>
      </c>
      <c r="K542">
        <f>VLOOKUP(A542,Pr_Base_LNEC!$A$4:$J$6971,7,FALSE)</f>
        <v>0</v>
      </c>
    </row>
    <row r="543" spans="1:11" ht="14.5">
      <c r="A543" s="20" t="s">
        <v>15001</v>
      </c>
      <c r="B543" s="20">
        <v>20</v>
      </c>
      <c r="C543" s="20">
        <v>31</v>
      </c>
      <c r="D543" s="20">
        <v>4</v>
      </c>
      <c r="E543" s="20">
        <v>85</v>
      </c>
      <c r="F543" s="20" t="s">
        <v>15002</v>
      </c>
      <c r="G543" s="20" t="s">
        <v>15003</v>
      </c>
      <c r="H543" s="24"/>
      <c r="I543" s="24" t="str">
        <f ca="1">IFERROR(__xludf.DUMMYFUNCTION("GOOGLETRANSLATE(F543,""en"",""pt"")"),"agregados superficiais vestir")</f>
        <v>agregados superficiais vestir</v>
      </c>
      <c r="J543" t="str">
        <f>VLOOKUP(A543,Pr_Base_LNEC!$A$4:$J$6971,6,FALSE)</f>
        <v>Agregados para Limpeza de Misturas Betuminosas e Tratamentos Superficiais para Estradas, Aeroportos e outras áreas de circulação</v>
      </c>
      <c r="K543" t="str">
        <f>VLOOKUP(A543,Pr_Base_LNEC!$A$4:$J$6971,7,FALSE)</f>
        <v>NP EN 13043:2004 e NP EN 13043:2004/AC:2010</v>
      </c>
    </row>
    <row r="544" spans="1:11" ht="14.5">
      <c r="A544" s="20" t="s">
        <v>15004</v>
      </c>
      <c r="B544" s="20">
        <v>20</v>
      </c>
      <c r="C544" s="20">
        <v>31</v>
      </c>
      <c r="D544" s="20">
        <v>4</v>
      </c>
      <c r="E544" s="20">
        <v>86</v>
      </c>
      <c r="F544" s="20" t="s">
        <v>15005</v>
      </c>
      <c r="G544" s="20" t="s">
        <v>15006</v>
      </c>
      <c r="H544" s="24"/>
      <c r="I544" s="24" t="str">
        <f ca="1">IFERROR(__xludf.DUMMYFUNCTION("GOOGLETRANSLATE(F544,""en"",""pt"")"),"Superficiais agregados tratamento finas")</f>
        <v>Superficiais agregados tratamento finas</v>
      </c>
      <c r="J544" t="str">
        <f>VLOOKUP(A544,Pr_Base_LNEC!$A$4:$J$6971,6,FALSE)</f>
        <v>-</v>
      </c>
      <c r="K544">
        <f>VLOOKUP(A544,Pr_Base_LNEC!$A$4:$J$6971,7,FALSE)</f>
        <v>0</v>
      </c>
    </row>
    <row r="545" spans="1:11" ht="14.5">
      <c r="A545" s="20" t="s">
        <v>15007</v>
      </c>
      <c r="B545" s="20">
        <v>20</v>
      </c>
      <c r="C545" s="20">
        <v>31</v>
      </c>
      <c r="D545" s="20">
        <v>4</v>
      </c>
      <c r="E545" s="20">
        <v>94</v>
      </c>
      <c r="F545" s="20" t="s">
        <v>15008</v>
      </c>
      <c r="G545" s="20" t="s">
        <v>14932</v>
      </c>
      <c r="H545" s="24"/>
      <c r="I545" s="24" t="str">
        <f ca="1">IFERROR(__xludf.DUMMYFUNCTION("GOOGLETRANSLATE(F545,""en"",""pt"")"),"agregados vermiculita")</f>
        <v>agregados vermiculita</v>
      </c>
      <c r="J545" t="str">
        <f>VLOOKUP(A545,Pr_Base_LNEC!$A$4:$J$6971,6,FALSE)</f>
        <v>Agregados em Vermiculita para Betão</v>
      </c>
      <c r="K545" t="str">
        <f>VLOOKUP(A545,Pr_Base_LNEC!$A$4:$J$6971,7,FALSE)</f>
        <v>EN 12620:2002+A1:2008</v>
      </c>
    </row>
    <row r="546" spans="1:11" ht="14.5">
      <c r="A546" s="20" t="s">
        <v>15009</v>
      </c>
      <c r="B546" s="20">
        <v>20</v>
      </c>
      <c r="C546" s="20">
        <v>31</v>
      </c>
      <c r="D546" s="20">
        <v>12</v>
      </c>
      <c r="E546" s="24"/>
      <c r="F546" s="20" t="s">
        <v>15010</v>
      </c>
      <c r="G546" s="24"/>
      <c r="H546" s="24"/>
      <c r="I546" s="24" t="str">
        <f ca="1">IFERROR(__xludf.DUMMYFUNCTION("GOOGLETRANSLATE(F546,""en"",""pt"")"),"Cimentos e limas")</f>
        <v>Cimentos e limas</v>
      </c>
      <c r="J546" t="str">
        <f>VLOOKUP(A546,Pr_Base_LNEC!$A$4:$J$6971,6,FALSE)</f>
        <v>Cimentos e Cais</v>
      </c>
      <c r="K546">
        <f>VLOOKUP(A546,Pr_Base_LNEC!$A$4:$J$6971,7,FALSE)</f>
        <v>0</v>
      </c>
    </row>
    <row r="547" spans="1:11" ht="14.5">
      <c r="A547" s="20" t="s">
        <v>15011</v>
      </c>
      <c r="B547" s="20">
        <v>20</v>
      </c>
      <c r="C547" s="20">
        <v>31</v>
      </c>
      <c r="D547" s="20">
        <v>12</v>
      </c>
      <c r="E547" s="20">
        <v>11</v>
      </c>
      <c r="F547" s="20" t="s">
        <v>15012</v>
      </c>
      <c r="G547" s="20" t="s">
        <v>15013</v>
      </c>
      <c r="H547" s="24"/>
      <c r="I547" s="24" t="str">
        <f ca="1">IFERROR(__xludf.DUMMYFUNCTION("GOOGLETRANSLATE(F547,""en"",""pt"")"),"cimentos de aluminato de cálcio")</f>
        <v>cimentos de aluminato de cálcio</v>
      </c>
      <c r="J547" t="str">
        <f>VLOOKUP(A547,Pr_Base_LNEC!$A$4:$J$6971,6,FALSE)</f>
        <v>Cimentos em Aluminato de Cálcio</v>
      </c>
      <c r="K547" t="str">
        <f>VLOOKUP(A547,Pr_Base_LNEC!$A$4:$J$6971,7,FALSE)</f>
        <v>EN 14647:2005</v>
      </c>
    </row>
    <row r="548" spans="1:11" ht="14.5">
      <c r="A548" s="20" t="s">
        <v>15014</v>
      </c>
      <c r="B548" s="20">
        <v>20</v>
      </c>
      <c r="C548" s="20">
        <v>31</v>
      </c>
      <c r="D548" s="20">
        <v>12</v>
      </c>
      <c r="E548" s="20">
        <v>13</v>
      </c>
      <c r="F548" s="20" t="s">
        <v>15015</v>
      </c>
      <c r="G548" s="20" t="s">
        <v>15016</v>
      </c>
      <c r="H548" s="24"/>
      <c r="I548" s="24" t="str">
        <f ca="1">IFERROR(__xludf.DUMMYFUNCTION("GOOGLETRANSLATE(F548,""en"",""pt"")"),"materiais de substituição de cimento / cimento")</f>
        <v>materiais de substituição de cimento / cimento</v>
      </c>
      <c r="J548" t="str">
        <f>VLOOKUP(A548,Pr_Base_LNEC!$A$4:$J$6971,6,FALSE)</f>
        <v>-</v>
      </c>
      <c r="K548">
        <f>VLOOKUP(A548,Pr_Base_LNEC!$A$4:$J$6971,7,FALSE)</f>
        <v>0</v>
      </c>
    </row>
    <row r="549" spans="1:11" ht="14.5">
      <c r="A549" s="20" t="s">
        <v>15017</v>
      </c>
      <c r="B549" s="20">
        <v>20</v>
      </c>
      <c r="C549" s="20">
        <v>31</v>
      </c>
      <c r="D549" s="20">
        <v>12</v>
      </c>
      <c r="E549" s="20">
        <v>38</v>
      </c>
      <c r="F549" s="20" t="s">
        <v>15018</v>
      </c>
      <c r="G549" s="24"/>
      <c r="H549" s="24"/>
      <c r="I549" s="24" t="str">
        <f ca="1">IFERROR(__xludf.DUMMYFUNCTION("GOOGLETRANSLATE(F549,""en"",""pt"")"),"limes hidratados")</f>
        <v>limes hidratados</v>
      </c>
      <c r="J549" t="str">
        <f>VLOOKUP(A549,Pr_Base_LNEC!$A$4:$J$6971,6,FALSE)</f>
        <v>-</v>
      </c>
      <c r="K549">
        <f>VLOOKUP(A549,Pr_Base_LNEC!$A$4:$J$6971,7,FALSE)</f>
        <v>0</v>
      </c>
    </row>
    <row r="550" spans="1:11" ht="14.5">
      <c r="A550" s="20" t="s">
        <v>15019</v>
      </c>
      <c r="B550" s="20">
        <v>20</v>
      </c>
      <c r="C550" s="20">
        <v>31</v>
      </c>
      <c r="D550" s="20">
        <v>12</v>
      </c>
      <c r="E550" s="20">
        <v>39</v>
      </c>
      <c r="F550" s="20" t="s">
        <v>15020</v>
      </c>
      <c r="G550" s="20" t="s">
        <v>15021</v>
      </c>
      <c r="H550" s="24"/>
      <c r="I550" s="24" t="str">
        <f ca="1">IFERROR(__xludf.DUMMYFUNCTION("GOOGLETRANSLATE(F550,""en"",""pt"")"),"cales hidráulicas")</f>
        <v>cales hidráulicas</v>
      </c>
      <c r="J550" t="str">
        <f>VLOOKUP(A550,Pr_Base_LNEC!$A$4:$J$6971,6,FALSE)</f>
        <v>Cal Hidráulica de Construção</v>
      </c>
      <c r="K550" t="str">
        <f>VLOOKUP(A550,Pr_Base_LNEC!$A$4:$J$6971,7,FALSE)</f>
        <v>EN 459-1:2010</v>
      </c>
    </row>
    <row r="551" spans="1:11" ht="14.5">
      <c r="A551" s="20" t="s">
        <v>15022</v>
      </c>
      <c r="B551" s="20">
        <v>20</v>
      </c>
      <c r="C551" s="20">
        <v>31</v>
      </c>
      <c r="D551" s="20">
        <v>12</v>
      </c>
      <c r="E551" s="20">
        <v>50</v>
      </c>
      <c r="F551" s="20" t="s">
        <v>15023</v>
      </c>
      <c r="G551" s="20" t="s">
        <v>15024</v>
      </c>
      <c r="H551" s="24"/>
      <c r="I551" s="24" t="str">
        <f ca="1">IFERROR(__xludf.DUMMYFUNCTION("GOOGLETRANSLATE(F551,""en"",""pt"")"),"cimentos de alvenaria")</f>
        <v>cimentos de alvenaria</v>
      </c>
      <c r="J551" t="str">
        <f>VLOOKUP(A551,Pr_Base_LNEC!$A$4:$J$6971,6,FALSE)</f>
        <v>Cimentos para Alvenaria</v>
      </c>
      <c r="K551" t="str">
        <f>VLOOKUP(A551,Pr_Base_LNEC!$A$4:$J$6971,7,FALSE)</f>
        <v>EN 413-1:2011</v>
      </c>
    </row>
    <row r="552" spans="1:11" ht="14.5">
      <c r="A552" s="20" t="s">
        <v>15025</v>
      </c>
      <c r="B552" s="20">
        <v>20</v>
      </c>
      <c r="C552" s="20">
        <v>31</v>
      </c>
      <c r="D552" s="20">
        <v>12</v>
      </c>
      <c r="E552" s="20">
        <v>57</v>
      </c>
      <c r="F552" s="20" t="s">
        <v>15026</v>
      </c>
      <c r="G552" s="20" t="s">
        <v>15027</v>
      </c>
      <c r="H552" s="24"/>
      <c r="I552" s="24" t="str">
        <f ca="1">IFERROR(__xludf.DUMMYFUNCTION("GOOGLETRANSLATE(F552,""en"",""pt"")"),"betumes cal não hidráulicas")</f>
        <v>betumes cal não hidráulicas</v>
      </c>
      <c r="J552" t="str">
        <f>VLOOKUP(A552,Pr_Base_LNEC!$A$4:$J$6971,6,FALSE)</f>
        <v>Cal não Hidráulica de Construção em Pasta</v>
      </c>
      <c r="K552" t="str">
        <f>VLOOKUP(A552,Pr_Base_LNEC!$A$4:$J$6971,7,FALSE)</f>
        <v>EN 459-1:2010</v>
      </c>
    </row>
    <row r="553" spans="1:11" ht="14.5">
      <c r="A553" s="20" t="s">
        <v>15028</v>
      </c>
      <c r="B553" s="20">
        <v>20</v>
      </c>
      <c r="C553" s="20">
        <v>31</v>
      </c>
      <c r="D553" s="20">
        <v>12</v>
      </c>
      <c r="E553" s="20">
        <v>58</v>
      </c>
      <c r="F553" s="20" t="s">
        <v>15029</v>
      </c>
      <c r="G553" s="20" t="s">
        <v>15030</v>
      </c>
      <c r="H553" s="24"/>
      <c r="I553" s="24" t="str">
        <f ca="1">IFERROR(__xludf.DUMMYFUNCTION("GOOGLETRANSLATE(F553,""en"",""pt"")"),"limes não-hidráulicos")</f>
        <v>limes não-hidráulicos</v>
      </c>
      <c r="J553" t="str">
        <f>VLOOKUP(A553,Pr_Base_LNEC!$A$4:$J$6971,6,FALSE)</f>
        <v>Cal não Hidráulica de Construção</v>
      </c>
      <c r="K553" t="str">
        <f>VLOOKUP(A553,Pr_Base_LNEC!$A$4:$J$6971,7,FALSE)</f>
        <v>EN 459-1:2010</v>
      </c>
    </row>
    <row r="554" spans="1:11" ht="14.5">
      <c r="A554" s="20" t="s">
        <v>15031</v>
      </c>
      <c r="B554" s="20">
        <v>20</v>
      </c>
      <c r="C554" s="20">
        <v>31</v>
      </c>
      <c r="D554" s="20">
        <v>12</v>
      </c>
      <c r="E554" s="20">
        <v>60</v>
      </c>
      <c r="F554" s="20" t="s">
        <v>15032</v>
      </c>
      <c r="G554" s="20" t="s">
        <v>15033</v>
      </c>
      <c r="H554" s="24"/>
      <c r="I554" s="24" t="str">
        <f ca="1">IFERROR(__xludf.DUMMYFUNCTION("GOOGLETRANSLATE(F554,""en"",""pt"")"),"cimentos portland")</f>
        <v>cimentos portland</v>
      </c>
      <c r="J554" t="str">
        <f>VLOOKUP(A554,Pr_Base_LNEC!$A$4:$J$6971,6,FALSE)</f>
        <v>Cimento Portland</v>
      </c>
      <c r="K554" t="str">
        <f>VLOOKUP(A554,Pr_Base_LNEC!$A$4:$J$6971,7,FALSE)</f>
        <v>EN 197-1:2011</v>
      </c>
    </row>
    <row r="555" spans="1:11" ht="14.5">
      <c r="A555" s="20" t="s">
        <v>15034</v>
      </c>
      <c r="B555" s="20">
        <v>20</v>
      </c>
      <c r="C555" s="20">
        <v>31</v>
      </c>
      <c r="D555" s="20">
        <v>12</v>
      </c>
      <c r="E555" s="20">
        <v>69</v>
      </c>
      <c r="F555" s="20" t="s">
        <v>15035</v>
      </c>
      <c r="G555" s="24"/>
      <c r="H555" s="24"/>
      <c r="I555" s="24" t="str">
        <f ca="1">IFERROR(__xludf.DUMMYFUNCTION("GOOGLETRANSLATE(F555,""en"",""pt"")"),"Cal viva")</f>
        <v>Cal viva</v>
      </c>
      <c r="J555" t="e">
        <f>VLOOKUP(A555,Pr_Base_LNEC!$A$4:$J$6971,6,FALSE)</f>
        <v>#N/A</v>
      </c>
      <c r="K555" t="e">
        <f>VLOOKUP(A555,Pr_Base_LNEC!$A$4:$J$6971,7,FALSE)</f>
        <v>#N/A</v>
      </c>
    </row>
    <row r="556" spans="1:11" ht="14.5">
      <c r="A556" s="20" t="s">
        <v>15036</v>
      </c>
      <c r="B556" s="20">
        <v>20</v>
      </c>
      <c r="C556" s="20">
        <v>31</v>
      </c>
      <c r="D556" s="20">
        <v>12</v>
      </c>
      <c r="E556" s="20">
        <v>80</v>
      </c>
      <c r="F556" s="20" t="s">
        <v>15037</v>
      </c>
      <c r="G556" s="24"/>
      <c r="H556" s="24"/>
      <c r="I556" s="24" t="str">
        <f ca="1">IFERROR(__xludf.DUMMYFUNCTION("GOOGLETRANSLATE(F556,""en"",""pt"")"),"cimentos para fins especiais")</f>
        <v>cimentos para fins especiais</v>
      </c>
      <c r="J556" t="e">
        <f>VLOOKUP(A556,Pr_Base_LNEC!$A$4:$J$6971,6,FALSE)</f>
        <v>#N/A</v>
      </c>
      <c r="K556" t="e">
        <f>VLOOKUP(A556,Pr_Base_LNEC!$A$4:$J$6971,7,FALSE)</f>
        <v>#N/A</v>
      </c>
    </row>
    <row r="557" spans="1:11" ht="14.5">
      <c r="A557" s="20" t="s">
        <v>15038</v>
      </c>
      <c r="B557" s="20">
        <v>20</v>
      </c>
      <c r="C557" s="20">
        <v>31</v>
      </c>
      <c r="D557" s="20">
        <v>12</v>
      </c>
      <c r="E557" s="20">
        <v>86</v>
      </c>
      <c r="F557" s="20" t="s">
        <v>15039</v>
      </c>
      <c r="G557" s="20" t="s">
        <v>15040</v>
      </c>
      <c r="H557" s="24"/>
      <c r="I557" s="24" t="str">
        <f ca="1">IFERROR(__xludf.DUMMYFUNCTION("GOOGLETRANSLATE(F557,""en"",""pt"")"),"Sulfato-resistindo cimentos Portland")</f>
        <v>Sulfato-resistindo cimentos Portland</v>
      </c>
      <c r="J557" t="str">
        <f>VLOOKUP(A557,Pr_Base_LNEC!$A$4:$J$6971,6,FALSE)</f>
        <v>-</v>
      </c>
      <c r="K557">
        <f>VLOOKUP(A557,Pr_Base_LNEC!$A$4:$J$6971,7,FALSE)</f>
        <v>0</v>
      </c>
    </row>
    <row r="558" spans="1:11" ht="14.5">
      <c r="A558" s="20" t="s">
        <v>15041</v>
      </c>
      <c r="B558" s="20">
        <v>20</v>
      </c>
      <c r="C558" s="20">
        <v>31</v>
      </c>
      <c r="D558" s="20">
        <v>16</v>
      </c>
      <c r="E558" s="24"/>
      <c r="F558" s="20" t="s">
        <v>15042</v>
      </c>
      <c r="G558" s="24"/>
      <c r="H558" s="24"/>
      <c r="I558" s="24" t="str">
        <f ca="1">IFERROR(__xludf.DUMMYFUNCTION("GOOGLETRANSLATE(F558,""en"",""pt"")"),"concretos")</f>
        <v>concretos</v>
      </c>
      <c r="J558" t="str">
        <f>VLOOKUP(A558,Pr_Base_LNEC!$A$4:$J$6971,6,FALSE)</f>
        <v>Betões</v>
      </c>
      <c r="K558" t="str">
        <f>VLOOKUP(A558,Pr_Base_LNEC!$A$4:$J$6971,7,FALSE)</f>
        <v>-</v>
      </c>
    </row>
    <row r="559" spans="1:11" ht="14.5">
      <c r="A559" s="20" t="s">
        <v>15043</v>
      </c>
      <c r="B559" s="20">
        <v>20</v>
      </c>
      <c r="C559" s="20">
        <v>31</v>
      </c>
      <c r="D559" s="20">
        <v>16</v>
      </c>
      <c r="E559" s="20">
        <v>12</v>
      </c>
      <c r="F559" s="20" t="s">
        <v>15044</v>
      </c>
      <c r="G559" s="20" t="s">
        <v>15045</v>
      </c>
      <c r="H559" s="24"/>
      <c r="I559" s="24" t="str">
        <f ca="1">IFERROR(__xludf.DUMMYFUNCTION("GOOGLETRANSLATE(F559,""en"",""pt"")"),"misturas granulares ligados por cimento")</f>
        <v>misturas granulares ligados por cimento</v>
      </c>
      <c r="J559" t="str">
        <f>VLOOKUP(A559,Pr_Base_LNEC!$A$4:$J$6971,6,FALSE)</f>
        <v>-</v>
      </c>
      <c r="K559">
        <f>VLOOKUP(A559,Pr_Base_LNEC!$A$4:$J$6971,7,FALSE)</f>
        <v>0</v>
      </c>
    </row>
    <row r="560" spans="1:11" ht="14.5">
      <c r="A560" s="20" t="s">
        <v>15046</v>
      </c>
      <c r="B560" s="20">
        <v>20</v>
      </c>
      <c r="C560" s="20">
        <v>31</v>
      </c>
      <c r="D560" s="20">
        <v>16</v>
      </c>
      <c r="E560" s="20">
        <v>21</v>
      </c>
      <c r="F560" s="20" t="s">
        <v>15047</v>
      </c>
      <c r="G560" s="20" t="s">
        <v>15048</v>
      </c>
      <c r="H560" s="24"/>
      <c r="I560" s="24" t="str">
        <f ca="1">IFERROR(__xludf.DUMMYFUNCTION("GOOGLETRANSLATE(F560,""en"",""pt"")"),"concreto designado")</f>
        <v>concreto designado</v>
      </c>
      <c r="J560" t="str">
        <f>VLOOKUP(A560,Pr_Base_LNEC!$A$4:$J$6971,6,FALSE)</f>
        <v>-</v>
      </c>
      <c r="K560">
        <f>VLOOKUP(A560,Pr_Base_LNEC!$A$4:$J$6971,7,FALSE)</f>
        <v>0</v>
      </c>
    </row>
    <row r="561" spans="1:11" ht="14.5">
      <c r="A561" s="20" t="s">
        <v>15049</v>
      </c>
      <c r="B561" s="20">
        <v>20</v>
      </c>
      <c r="C561" s="20">
        <v>31</v>
      </c>
      <c r="D561" s="20">
        <v>16</v>
      </c>
      <c r="E561" s="20">
        <v>22</v>
      </c>
      <c r="F561" s="20" t="s">
        <v>15050</v>
      </c>
      <c r="G561" s="20" t="s">
        <v>15051</v>
      </c>
      <c r="H561" s="24"/>
      <c r="I561" s="24" t="str">
        <f ca="1">IFERROR(__xludf.DUMMYFUNCTION("GOOGLETRANSLATE(F561,""en"",""pt"")"),"concreto projetado")</f>
        <v>concreto projetado</v>
      </c>
      <c r="J561" t="str">
        <f>VLOOKUP(A561,Pr_Base_LNEC!$A$4:$J$6971,6,FALSE)</f>
        <v>-</v>
      </c>
      <c r="K561">
        <f>VLOOKUP(A561,Pr_Base_LNEC!$A$4:$J$6971,7,FALSE)</f>
        <v>0</v>
      </c>
    </row>
    <row r="562" spans="1:11" ht="14.5">
      <c r="A562" s="20" t="s">
        <v>15052</v>
      </c>
      <c r="B562" s="20">
        <v>20</v>
      </c>
      <c r="C562" s="20">
        <v>31</v>
      </c>
      <c r="D562" s="20">
        <v>16</v>
      </c>
      <c r="E562" s="20">
        <v>29</v>
      </c>
      <c r="F562" s="20" t="s">
        <v>15053</v>
      </c>
      <c r="G562" s="20" t="s">
        <v>15054</v>
      </c>
      <c r="H562" s="24"/>
      <c r="I562" s="24" t="str">
        <f ca="1">IFERROR(__xludf.DUMMYFUNCTION("GOOGLETRANSLATE(F562,""en"",""pt"")"),"concretos de cama finas")</f>
        <v>concretos de cama finas</v>
      </c>
      <c r="J562" t="str">
        <f>VLOOKUP(A562,Pr_Base_LNEC!$A$4:$J$6971,6,FALSE)</f>
        <v>-</v>
      </c>
      <c r="K562">
        <f>VLOOKUP(A562,Pr_Base_LNEC!$A$4:$J$6971,7,FALSE)</f>
        <v>0</v>
      </c>
    </row>
    <row r="563" spans="1:11" ht="14.5">
      <c r="A563" s="20" t="s">
        <v>15055</v>
      </c>
      <c r="B563" s="20">
        <v>20</v>
      </c>
      <c r="C563" s="20">
        <v>31</v>
      </c>
      <c r="D563" s="20">
        <v>16</v>
      </c>
      <c r="E563" s="20">
        <v>30</v>
      </c>
      <c r="F563" s="20" t="s">
        <v>15056</v>
      </c>
      <c r="G563" s="20" t="s">
        <v>15057</v>
      </c>
      <c r="H563" s="24"/>
      <c r="I563" s="24" t="str">
        <f ca="1">IFERROR(__xludf.DUMMYFUNCTION("GOOGLETRANSLATE(F563,""en"",""pt"")"),"Mosca misturas de cinzas ligado")</f>
        <v>Mosca misturas de cinzas ligado</v>
      </c>
      <c r="J563" t="str">
        <f>VLOOKUP(A563,Pr_Base_LNEC!$A$4:$J$6971,6,FALSE)</f>
        <v>-</v>
      </c>
      <c r="K563">
        <f>VLOOKUP(A563,Pr_Base_LNEC!$A$4:$J$6971,7,FALSE)</f>
        <v>0</v>
      </c>
    </row>
    <row r="564" spans="1:11" ht="14.5">
      <c r="A564" s="20" t="s">
        <v>15058</v>
      </c>
      <c r="B564" s="20">
        <v>20</v>
      </c>
      <c r="C564" s="20">
        <v>31</v>
      </c>
      <c r="D564" s="20">
        <v>16</v>
      </c>
      <c r="E564" s="20">
        <v>31</v>
      </c>
      <c r="F564" s="20" t="s">
        <v>15059</v>
      </c>
      <c r="G564" s="20" t="s">
        <v>15060</v>
      </c>
      <c r="H564" s="24"/>
      <c r="I564" s="24" t="str">
        <f ca="1">IFERROR(__xludf.DUMMYFUNCTION("GOOGLETRANSLATE(F564,""en"",""pt"")"),"concreto espumado")</f>
        <v>concreto espumado</v>
      </c>
      <c r="J564" t="str">
        <f>VLOOKUP(A564,Pr_Base_LNEC!$A$4:$J$6971,6,FALSE)</f>
        <v>-</v>
      </c>
      <c r="K564">
        <f>VLOOKUP(A564,Pr_Base_LNEC!$A$4:$J$6971,7,FALSE)</f>
        <v>0</v>
      </c>
    </row>
    <row r="565" spans="1:11" ht="14.5">
      <c r="A565" s="20" t="s">
        <v>15061</v>
      </c>
      <c r="B565" s="20">
        <v>20</v>
      </c>
      <c r="C565" s="20">
        <v>31</v>
      </c>
      <c r="D565" s="20">
        <v>16</v>
      </c>
      <c r="E565" s="20">
        <v>37</v>
      </c>
      <c r="F565" s="20" t="s">
        <v>15062</v>
      </c>
      <c r="G565" s="20" t="s">
        <v>15060</v>
      </c>
      <c r="H565" s="24"/>
      <c r="I565" s="24" t="str">
        <f ca="1">IFERROR(__xludf.DUMMYFUNCTION("GOOGLETRANSLATE(F565,""en"",""pt"")"),"concreto de alta resistência")</f>
        <v>concreto de alta resistência</v>
      </c>
      <c r="J565" t="str">
        <f>VLOOKUP(A565,Pr_Base_LNEC!$A$4:$J$6971,6,FALSE)</f>
        <v>-</v>
      </c>
      <c r="K565">
        <f>VLOOKUP(A565,Pr_Base_LNEC!$A$4:$J$6971,7,FALSE)</f>
        <v>0</v>
      </c>
    </row>
    <row r="566" spans="1:11" ht="14.5">
      <c r="A566" s="20" t="s">
        <v>15063</v>
      </c>
      <c r="B566" s="20">
        <v>20</v>
      </c>
      <c r="C566" s="20">
        <v>31</v>
      </c>
      <c r="D566" s="20">
        <v>16</v>
      </c>
      <c r="E566" s="20">
        <v>39</v>
      </c>
      <c r="F566" s="20" t="s">
        <v>15064</v>
      </c>
      <c r="G566" s="20" t="s">
        <v>15065</v>
      </c>
      <c r="H566" s="24"/>
      <c r="I566" s="24" t="str">
        <f ca="1">IFERROR(__xludf.DUMMYFUNCTION("GOOGLETRANSLATE(F566,""en"",""pt"")"),"misturas de ligante hidráulico rodoviário ligados")</f>
        <v>misturas de ligante hidráulico rodoviário ligados</v>
      </c>
      <c r="J566" t="str">
        <f>VLOOKUP(A566,Pr_Base_LNEC!$A$4:$J$6971,6,FALSE)</f>
        <v>-</v>
      </c>
      <c r="K566">
        <f>VLOOKUP(A566,Pr_Base_LNEC!$A$4:$J$6971,7,FALSE)</f>
        <v>0</v>
      </c>
    </row>
    <row r="567" spans="1:11" ht="14.5">
      <c r="A567" s="20" t="s">
        <v>15066</v>
      </c>
      <c r="B567" s="20">
        <v>20</v>
      </c>
      <c r="C567" s="20">
        <v>31</v>
      </c>
      <c r="D567" s="20">
        <v>16</v>
      </c>
      <c r="E567" s="20">
        <v>56</v>
      </c>
      <c r="F567" s="20" t="s">
        <v>15067</v>
      </c>
      <c r="G567" s="24"/>
      <c r="H567" s="24"/>
      <c r="I567" s="24" t="str">
        <f ca="1">IFERROR(__xludf.DUMMYFUNCTION("GOOGLETRANSLATE(F567,""en"",""pt"")"),"betões de classe normal")</f>
        <v>betões de classe normal</v>
      </c>
      <c r="J567" t="e">
        <f>VLOOKUP(A567,Pr_Base_LNEC!$A$4:$J$6971,6,FALSE)</f>
        <v>#N/A</v>
      </c>
      <c r="K567" t="e">
        <f>VLOOKUP(A567,Pr_Base_LNEC!$A$4:$J$6971,7,FALSE)</f>
        <v>#N/A</v>
      </c>
    </row>
    <row r="568" spans="1:11" ht="14.5">
      <c r="A568" s="20" t="s">
        <v>15068</v>
      </c>
      <c r="B568" s="20">
        <v>20</v>
      </c>
      <c r="C568" s="20">
        <v>31</v>
      </c>
      <c r="D568" s="20">
        <v>16</v>
      </c>
      <c r="E568" s="20">
        <v>66</v>
      </c>
      <c r="F568" s="20" t="s">
        <v>15069</v>
      </c>
      <c r="G568" s="20" t="s">
        <v>15070</v>
      </c>
      <c r="H568" s="24"/>
      <c r="I568" s="24" t="str">
        <f ca="1">IFERROR(__xludf.DUMMYFUNCTION("GOOGLETRANSLATE(F568,""en"",""pt"")"),"betões pré-misturados")</f>
        <v>betões pré-misturados</v>
      </c>
      <c r="J568" t="str">
        <f>VLOOKUP(A568,Pr_Base_LNEC!$A$4:$J$6971,6,FALSE)</f>
        <v>-</v>
      </c>
      <c r="K568">
        <f>VLOOKUP(A568,Pr_Base_LNEC!$A$4:$J$6971,7,FALSE)</f>
        <v>0</v>
      </c>
    </row>
    <row r="569" spans="1:11" ht="14.5">
      <c r="A569" s="20" t="s">
        <v>15071</v>
      </c>
      <c r="B569" s="20">
        <v>20</v>
      </c>
      <c r="C569" s="20">
        <v>31</v>
      </c>
      <c r="D569" s="20">
        <v>16</v>
      </c>
      <c r="E569" s="20">
        <v>67</v>
      </c>
      <c r="F569" s="20" t="s">
        <v>15072</v>
      </c>
      <c r="G569" s="20" t="s">
        <v>15073</v>
      </c>
      <c r="H569" s="24"/>
      <c r="I569" s="24" t="str">
        <f ca="1">IFERROR(__xludf.DUMMYFUNCTION("GOOGLETRANSLATE(F569,""en"",""pt"")"),"concreto prescrito")</f>
        <v>concreto prescrito</v>
      </c>
      <c r="J569" t="str">
        <f>VLOOKUP(A569,Pr_Base_LNEC!$A$4:$J$6971,6,FALSE)</f>
        <v>-</v>
      </c>
      <c r="K569">
        <f>VLOOKUP(A569,Pr_Base_LNEC!$A$4:$J$6971,7,FALSE)</f>
        <v>0</v>
      </c>
    </row>
    <row r="570" spans="1:11" ht="14.5">
      <c r="A570" s="20" t="s">
        <v>15074</v>
      </c>
      <c r="B570" s="20">
        <v>20</v>
      </c>
      <c r="C570" s="20">
        <v>31</v>
      </c>
      <c r="D570" s="20">
        <v>16</v>
      </c>
      <c r="E570" s="20">
        <v>68</v>
      </c>
      <c r="F570" s="20" t="s">
        <v>15075</v>
      </c>
      <c r="G570" s="20" t="s">
        <v>15076</v>
      </c>
      <c r="H570" s="24"/>
      <c r="I570" s="24" t="str">
        <f ca="1">IFERROR(__xludf.DUMMYFUNCTION("GOOGLETRANSLATE(F570,""en"",""pt"")"),"concretos proprietárias")</f>
        <v>concretos proprietárias</v>
      </c>
      <c r="J570" t="str">
        <f>VLOOKUP(A570,Pr_Base_LNEC!$A$4:$J$6971,6,FALSE)</f>
        <v>-</v>
      </c>
      <c r="K570">
        <f>VLOOKUP(A570,Pr_Base_LNEC!$A$4:$J$6971,7,FALSE)</f>
        <v>0</v>
      </c>
    </row>
    <row r="571" spans="1:11" ht="14.5">
      <c r="A571" s="20" t="s">
        <v>15077</v>
      </c>
      <c r="B571" s="20">
        <v>20</v>
      </c>
      <c r="C571" s="20">
        <v>31</v>
      </c>
      <c r="D571" s="20">
        <v>16</v>
      </c>
      <c r="E571" s="20">
        <v>70</v>
      </c>
      <c r="F571" s="20" t="s">
        <v>15078</v>
      </c>
      <c r="G571" s="24"/>
      <c r="H571" s="24"/>
      <c r="I571" s="24" t="str">
        <f ca="1">IFERROR(__xludf.DUMMYFUNCTION("GOOGLETRANSLATE(F571,""en"",""pt"")"),"concretos de resina")</f>
        <v>concretos de resina</v>
      </c>
      <c r="J571" t="str">
        <f>VLOOKUP(A571,Pr_Base_LNEC!$A$4:$J$6971,6,FALSE)</f>
        <v>-</v>
      </c>
      <c r="K571">
        <f>VLOOKUP(A571,Pr_Base_LNEC!$A$4:$J$6971,7,FALSE)</f>
        <v>0</v>
      </c>
    </row>
    <row r="572" spans="1:11" ht="14.5">
      <c r="A572" s="20" t="s">
        <v>15079</v>
      </c>
      <c r="B572" s="20">
        <v>20</v>
      </c>
      <c r="C572" s="20">
        <v>31</v>
      </c>
      <c r="D572" s="20">
        <v>16</v>
      </c>
      <c r="E572" s="20">
        <v>72</v>
      </c>
      <c r="F572" s="20" t="s">
        <v>15080</v>
      </c>
      <c r="G572" s="24"/>
      <c r="H572" s="24"/>
      <c r="I572" s="24" t="str">
        <f ca="1">IFERROR(__xludf.DUMMYFUNCTION("GOOGLETRANSLATE(F572,""en"",""pt"")"),"concretos romanos")</f>
        <v>concretos romanos</v>
      </c>
      <c r="J572" t="str">
        <f>VLOOKUP(A572,Pr_Base_LNEC!$A$4:$J$6971,6,FALSE)</f>
        <v>-</v>
      </c>
      <c r="K572">
        <f>VLOOKUP(A572,Pr_Base_LNEC!$A$4:$J$6971,7,FALSE)</f>
        <v>0</v>
      </c>
    </row>
    <row r="573" spans="1:11" ht="14.5">
      <c r="A573" s="20" t="s">
        <v>15081</v>
      </c>
      <c r="B573" s="20">
        <v>20</v>
      </c>
      <c r="C573" s="20">
        <v>31</v>
      </c>
      <c r="D573" s="20">
        <v>16</v>
      </c>
      <c r="E573" s="20">
        <v>76</v>
      </c>
      <c r="F573" s="20" t="s">
        <v>15082</v>
      </c>
      <c r="G573" s="20" t="s">
        <v>15060</v>
      </c>
      <c r="H573" s="24"/>
      <c r="I573" s="24" t="str">
        <f ca="1">IFERROR(__xludf.DUMMYFUNCTION("GOOGLETRANSLATE(F573,""en"",""pt"")"),"betões auto-adensável")</f>
        <v>betões auto-adensável</v>
      </c>
      <c r="J573" t="str">
        <f>VLOOKUP(A573,Pr_Base_LNEC!$A$4:$J$6971,6,FALSE)</f>
        <v>-</v>
      </c>
      <c r="K573">
        <f>VLOOKUP(A573,Pr_Base_LNEC!$A$4:$J$6971,7,FALSE)</f>
        <v>0</v>
      </c>
    </row>
    <row r="574" spans="1:11" ht="14.5">
      <c r="A574" s="20" t="s">
        <v>15083</v>
      </c>
      <c r="B574" s="20">
        <v>20</v>
      </c>
      <c r="C574" s="20">
        <v>31</v>
      </c>
      <c r="D574" s="20">
        <v>16</v>
      </c>
      <c r="E574" s="20">
        <v>78</v>
      </c>
      <c r="F574" s="20" t="s">
        <v>15084</v>
      </c>
      <c r="G574" s="20" t="s">
        <v>15085</v>
      </c>
      <c r="H574" s="24"/>
      <c r="I574" s="24" t="str">
        <f ca="1">IFERROR(__xludf.DUMMYFUNCTION("GOOGLETRANSLATE(F574,""en"",""pt"")"),"Escória ligado misturas")</f>
        <v>Escória ligado misturas</v>
      </c>
      <c r="J574" t="str">
        <f>VLOOKUP(A574,Pr_Base_LNEC!$A$4:$J$6971,6,FALSE)</f>
        <v>-</v>
      </c>
      <c r="K574">
        <f>VLOOKUP(A574,Pr_Base_LNEC!$A$4:$J$6971,7,FALSE)</f>
        <v>0</v>
      </c>
    </row>
    <row r="575" spans="1:11" ht="14.5">
      <c r="A575" s="20" t="s">
        <v>15086</v>
      </c>
      <c r="B575" s="20">
        <v>20</v>
      </c>
      <c r="C575" s="20">
        <v>31</v>
      </c>
      <c r="D575" s="20">
        <v>16</v>
      </c>
      <c r="E575" s="20">
        <v>80</v>
      </c>
      <c r="F575" s="20" t="s">
        <v>15087</v>
      </c>
      <c r="G575" s="20" t="s">
        <v>15088</v>
      </c>
      <c r="H575" s="24"/>
      <c r="I575" s="24" t="str">
        <f ca="1">IFERROR(__xludf.DUMMYFUNCTION("GOOGLETRANSLATE(F575,""en"",""pt"")"),"concretos de reparação de área pequena")</f>
        <v>concretos de reparação de área pequena</v>
      </c>
      <c r="J575" t="str">
        <f>VLOOKUP(A575,Pr_Base_LNEC!$A$4:$J$6971,6,FALSE)</f>
        <v>-</v>
      </c>
      <c r="K575">
        <f>VLOOKUP(A575,Pr_Base_LNEC!$A$4:$J$6971,7,FALSE)</f>
        <v>0</v>
      </c>
    </row>
    <row r="576" spans="1:11" ht="14.5">
      <c r="A576" s="20" t="s">
        <v>15089</v>
      </c>
      <c r="B576" s="20">
        <v>20</v>
      </c>
      <c r="C576" s="20">
        <v>31</v>
      </c>
      <c r="D576" s="20">
        <v>16</v>
      </c>
      <c r="E576" s="20">
        <v>82</v>
      </c>
      <c r="F576" s="20" t="s">
        <v>15090</v>
      </c>
      <c r="G576" s="24"/>
      <c r="H576" s="24"/>
      <c r="I576" s="24" t="str">
        <f ca="1">IFERROR(__xludf.DUMMYFUNCTION("GOOGLETRANSLATE(F576,""en"",""pt"")"),"concretos de desempenho de classe especial")</f>
        <v>concretos de desempenho de classe especial</v>
      </c>
      <c r="J576" t="e">
        <f>VLOOKUP(A576,Pr_Base_LNEC!$A$4:$J$6971,6,FALSE)</f>
        <v>#N/A</v>
      </c>
      <c r="K576" t="e">
        <f>VLOOKUP(A576,Pr_Base_LNEC!$A$4:$J$6971,7,FALSE)</f>
        <v>#N/A</v>
      </c>
    </row>
    <row r="577" spans="1:11" ht="14.5">
      <c r="A577" s="20" t="s">
        <v>15091</v>
      </c>
      <c r="B577" s="20">
        <v>20</v>
      </c>
      <c r="C577" s="20">
        <v>31</v>
      </c>
      <c r="D577" s="20">
        <v>16</v>
      </c>
      <c r="E577" s="20">
        <v>83</v>
      </c>
      <c r="F577" s="20" t="s">
        <v>15092</v>
      </c>
      <c r="G577" s="24"/>
      <c r="H577" s="24"/>
      <c r="I577" s="24" t="str">
        <f ca="1">IFERROR(__xludf.DUMMYFUNCTION("GOOGLETRANSLATE(F577,""en"",""pt"")"),"Concretos para classe especial prescrição")</f>
        <v>Concretos para classe especial prescrição</v>
      </c>
      <c r="J577" t="e">
        <f>VLOOKUP(A577,Pr_Base_LNEC!$A$4:$J$6971,6,FALSE)</f>
        <v>#N/A</v>
      </c>
      <c r="K577" t="e">
        <f>VLOOKUP(A577,Pr_Base_LNEC!$A$4:$J$6971,7,FALSE)</f>
        <v>#N/A</v>
      </c>
    </row>
    <row r="578" spans="1:11" ht="14.5">
      <c r="A578" s="20" t="s">
        <v>15093</v>
      </c>
      <c r="B578" s="20">
        <v>20</v>
      </c>
      <c r="C578" s="20">
        <v>31</v>
      </c>
      <c r="D578" s="20">
        <v>16</v>
      </c>
      <c r="E578" s="20">
        <v>84</v>
      </c>
      <c r="F578" s="20" t="s">
        <v>15094</v>
      </c>
      <c r="G578" s="24"/>
      <c r="H578" s="24"/>
      <c r="I578" s="24" t="str">
        <f ca="1">IFERROR(__xludf.DUMMYFUNCTION("GOOGLETRANSLATE(F578,""en"",""pt"")"),"concretos pulverizadas")</f>
        <v>concretos pulverizadas</v>
      </c>
      <c r="J578" t="str">
        <f>VLOOKUP(A578,Pr_Base_LNEC!$A$4:$J$6971,6,FALSE)</f>
        <v>-</v>
      </c>
      <c r="K578">
        <f>VLOOKUP(A578,Pr_Base_LNEC!$A$4:$J$6971,7,FALSE)</f>
        <v>0</v>
      </c>
    </row>
    <row r="579" spans="1:11" ht="14.5">
      <c r="A579" s="20" t="s">
        <v>15095</v>
      </c>
      <c r="B579" s="20">
        <v>20</v>
      </c>
      <c r="C579" s="20">
        <v>31</v>
      </c>
      <c r="D579" s="20">
        <v>16</v>
      </c>
      <c r="E579" s="20">
        <v>85</v>
      </c>
      <c r="F579" s="20" t="s">
        <v>15096</v>
      </c>
      <c r="G579" s="20" t="s">
        <v>15097</v>
      </c>
      <c r="H579" s="24"/>
      <c r="I579" s="24" t="str">
        <f ca="1">IFERROR(__xludf.DUMMYFUNCTION("GOOGLETRANSLATE(F579,""en"",""pt"")"),"Padronizado de concreto prescrito")</f>
        <v>Padronizado de concreto prescrito</v>
      </c>
      <c r="J579" t="str">
        <f>VLOOKUP(A579,Pr_Base_LNEC!$A$4:$J$6971,6,FALSE)</f>
        <v>-</v>
      </c>
      <c r="K579">
        <f>VLOOKUP(A579,Pr_Base_LNEC!$A$4:$J$6971,7,FALSE)</f>
        <v>0</v>
      </c>
    </row>
    <row r="580" spans="1:11" ht="14.5">
      <c r="A580" s="20" t="s">
        <v>15098</v>
      </c>
      <c r="B580" s="20">
        <v>20</v>
      </c>
      <c r="C580" s="20">
        <v>31</v>
      </c>
      <c r="D580" s="20">
        <v>16</v>
      </c>
      <c r="E580" s="20">
        <v>92</v>
      </c>
      <c r="F580" s="20" t="s">
        <v>15099</v>
      </c>
      <c r="G580" s="20" t="s">
        <v>15060</v>
      </c>
      <c r="H580" s="24"/>
      <c r="I580" s="24" t="str">
        <f ca="1">IFERROR(__xludf.DUMMYFUNCTION("GOOGLETRANSLATE(F580,""en"",""pt"")"),"concreto Ultra alto desempenho")</f>
        <v>concreto Ultra alto desempenho</v>
      </c>
      <c r="J580" t="str">
        <f>VLOOKUP(A580,Pr_Base_LNEC!$A$4:$J$6971,6,FALSE)</f>
        <v>-</v>
      </c>
      <c r="K580">
        <f>VLOOKUP(A580,Pr_Base_LNEC!$A$4:$J$6971,7,FALSE)</f>
        <v>0</v>
      </c>
    </row>
    <row r="581" spans="1:11" ht="14.5">
      <c r="A581" s="20" t="s">
        <v>15100</v>
      </c>
      <c r="B581" s="20">
        <v>20</v>
      </c>
      <c r="C581" s="20">
        <v>31</v>
      </c>
      <c r="D581" s="20">
        <v>35</v>
      </c>
      <c r="E581" s="24"/>
      <c r="F581" s="20" t="s">
        <v>15101</v>
      </c>
      <c r="G581" s="24"/>
      <c r="H581" s="24"/>
      <c r="I581" s="24" t="str">
        <f ca="1">IFERROR(__xludf.DUMMYFUNCTION("GOOGLETRANSLATE(F581,""en"",""pt"")"),"Grânulos e pós")</f>
        <v>Grânulos e pós</v>
      </c>
      <c r="J581" t="str">
        <f>VLOOKUP(A581,Pr_Base_LNEC!$A$4:$J$6971,6,FALSE)</f>
        <v>Granulados e Pós</v>
      </c>
      <c r="K581" t="str">
        <f>VLOOKUP(A581,Pr_Base_LNEC!$A$4:$J$6971,7,FALSE)</f>
        <v>-</v>
      </c>
    </row>
    <row r="582" spans="1:11" ht="14.5">
      <c r="A582" s="20" t="s">
        <v>15102</v>
      </c>
      <c r="B582" s="20">
        <v>20</v>
      </c>
      <c r="C582" s="20">
        <v>31</v>
      </c>
      <c r="D582" s="20">
        <v>35</v>
      </c>
      <c r="E582" s="20">
        <v>11</v>
      </c>
      <c r="F582" s="20" t="s">
        <v>15103</v>
      </c>
      <c r="G582" s="24"/>
      <c r="H582" s="24"/>
      <c r="I582" s="24" t="str">
        <f ca="1">IFERROR(__xludf.DUMMYFUNCTION("GOOGLETRANSLATE(F582,""en"",""pt"")"),"carborundo")</f>
        <v>carborundo</v>
      </c>
      <c r="J582" t="str">
        <f>VLOOKUP(A582,Pr_Base_LNEC!$A$4:$J$6971,6,FALSE)</f>
        <v>-</v>
      </c>
      <c r="K582">
        <f>VLOOKUP(A582,Pr_Base_LNEC!$A$4:$J$6971,7,FALSE)</f>
        <v>0</v>
      </c>
    </row>
    <row r="583" spans="1:11" ht="14.5">
      <c r="A583" s="20" t="s">
        <v>15104</v>
      </c>
      <c r="B583" s="20">
        <v>20</v>
      </c>
      <c r="C583" s="20">
        <v>31</v>
      </c>
      <c r="D583" s="20">
        <v>35</v>
      </c>
      <c r="E583" s="20">
        <v>22</v>
      </c>
      <c r="F583" s="20" t="s">
        <v>15105</v>
      </c>
      <c r="G583" s="24"/>
      <c r="H583" s="24"/>
      <c r="I583" s="24" t="str">
        <f ca="1">IFERROR(__xludf.DUMMYFUNCTION("GOOGLETRANSLATE(F583,""en"",""pt"")"),"Terra de diatomáceas")</f>
        <v>Terra de diatomáceas</v>
      </c>
      <c r="J583" t="str">
        <f>VLOOKUP(A583,Pr_Base_LNEC!$A$4:$J$6971,6,FALSE)</f>
        <v>-</v>
      </c>
      <c r="K583">
        <f>VLOOKUP(A583,Pr_Base_LNEC!$A$4:$J$6971,7,FALSE)</f>
        <v>0</v>
      </c>
    </row>
    <row r="584" spans="1:11" ht="14.5">
      <c r="A584" s="20" t="s">
        <v>15106</v>
      </c>
      <c r="B584" s="20">
        <v>20</v>
      </c>
      <c r="C584" s="20">
        <v>31</v>
      </c>
      <c r="D584" s="20">
        <v>35</v>
      </c>
      <c r="E584" s="20">
        <v>30</v>
      </c>
      <c r="F584" s="20" t="s">
        <v>15107</v>
      </c>
      <c r="G584" s="20" t="s">
        <v>15108</v>
      </c>
      <c r="H584" s="24"/>
      <c r="I584" s="24" t="str">
        <f ca="1">IFERROR(__xludf.DUMMYFUNCTION("GOOGLETRANSLATE(F584,""en"",""pt"")"),"Cinzas volantes")</f>
        <v>Cinzas volantes</v>
      </c>
      <c r="J584" t="str">
        <f>VLOOKUP(A584,Pr_Base_LNEC!$A$4:$J$6971,6,FALSE)</f>
        <v>Cinzas volantes para betão</v>
      </c>
      <c r="K584" t="str">
        <f>VLOOKUP(A584,Pr_Base_LNEC!$A$4:$J$6971,7,FALSE)</f>
        <v>EN 450-1:2012</v>
      </c>
    </row>
    <row r="585" spans="1:11" ht="14.5">
      <c r="A585" s="20" t="s">
        <v>15109</v>
      </c>
      <c r="B585" s="20">
        <v>20</v>
      </c>
      <c r="C585" s="20">
        <v>31</v>
      </c>
      <c r="D585" s="20">
        <v>35</v>
      </c>
      <c r="E585" s="20">
        <v>33</v>
      </c>
      <c r="F585" s="20" t="s">
        <v>15110</v>
      </c>
      <c r="G585" s="20" t="s">
        <v>15111</v>
      </c>
      <c r="H585" s="24"/>
      <c r="I585" s="24" t="str">
        <f ca="1">IFERROR(__xludf.DUMMYFUNCTION("GOOGLETRANSLATE(F585,""en"",""pt"")"),"explosão escória granulada forno")</f>
        <v>explosão escória granulada forno</v>
      </c>
      <c r="J585">
        <f>VLOOKUP(A585,Pr_Base_LNEC!$A$4:$J$6971,6,FALSE)</f>
        <v>0</v>
      </c>
      <c r="K585">
        <f>VLOOKUP(A585,Pr_Base_LNEC!$A$4:$J$6971,7,FALSE)</f>
        <v>0</v>
      </c>
    </row>
    <row r="586" spans="1:11" ht="14.5">
      <c r="A586" s="20" t="s">
        <v>15112</v>
      </c>
      <c r="B586" s="20">
        <v>20</v>
      </c>
      <c r="C586" s="20">
        <v>31</v>
      </c>
      <c r="D586" s="20">
        <v>35</v>
      </c>
      <c r="E586" s="20">
        <v>34</v>
      </c>
      <c r="F586" s="20" t="s">
        <v>15113</v>
      </c>
      <c r="G586" s="20" t="s">
        <v>15114</v>
      </c>
      <c r="H586" s="24"/>
      <c r="I586" s="24" t="str">
        <f ca="1">IFERROR(__xludf.DUMMYFUNCTION("GOOGLETRANSLATE(F586,""en"",""pt"")"),"Escória granulada de alto forno")</f>
        <v>Escória granulada de alto forno</v>
      </c>
      <c r="J586" t="str">
        <f>VLOOKUP(A586,Pr_Base_LNEC!$A$4:$J$6971,6,FALSE)</f>
        <v>Escória granulada de alto forno moída para betão, argamassa e caldas de injeção</v>
      </c>
      <c r="K586" t="str">
        <f>VLOOKUP(A586,Pr_Base_LNEC!$A$4:$J$6971,7,FALSE)</f>
        <v>EN 15167-1:2006</v>
      </c>
    </row>
    <row r="587" spans="1:11" ht="14.5">
      <c r="A587" s="20" t="s">
        <v>15115</v>
      </c>
      <c r="B587" s="20">
        <v>20</v>
      </c>
      <c r="C587" s="20">
        <v>31</v>
      </c>
      <c r="D587" s="20">
        <v>35</v>
      </c>
      <c r="E587" s="20">
        <v>35</v>
      </c>
      <c r="F587" s="20" t="s">
        <v>15116</v>
      </c>
      <c r="G587" s="20" t="s">
        <v>15117</v>
      </c>
      <c r="H587" s="24"/>
      <c r="I587" s="24" t="str">
        <f ca="1">IFERROR(__xludf.DUMMYFUNCTION("GOOGLETRANSLATE(F587,""en"",""pt"")"),"gipsita")</f>
        <v>gipsita</v>
      </c>
      <c r="J587" t="str">
        <f>VLOOKUP(A587,Pr_Base_LNEC!$A$4:$J$6971,6,FALSE)</f>
        <v>-</v>
      </c>
      <c r="K587">
        <f>VLOOKUP(A587,Pr_Base_LNEC!$A$4:$J$6971,7,FALSE)</f>
        <v>0</v>
      </c>
    </row>
    <row r="588" spans="1:11" ht="14.5">
      <c r="A588" s="20" t="s">
        <v>15118</v>
      </c>
      <c r="B588" s="20">
        <v>20</v>
      </c>
      <c r="C588" s="20">
        <v>31</v>
      </c>
      <c r="D588" s="20">
        <v>35</v>
      </c>
      <c r="E588" s="20">
        <v>47</v>
      </c>
      <c r="F588" s="20" t="s">
        <v>15119</v>
      </c>
      <c r="G588" s="20" t="s">
        <v>15120</v>
      </c>
      <c r="H588" s="24"/>
      <c r="I588" s="24" t="str">
        <f ca="1">IFERROR(__xludf.DUMMYFUNCTION("GOOGLETRANSLATE(F588,""en"",""pt"")"),"multas de calcário")</f>
        <v>multas de calcário</v>
      </c>
      <c r="J588" t="str">
        <f>VLOOKUP(A588,Pr_Base_LNEC!$A$4:$J$6971,6,FALSE)</f>
        <v>-</v>
      </c>
      <c r="K588">
        <f>VLOOKUP(A588,Pr_Base_LNEC!$A$4:$J$6971,7,FALSE)</f>
        <v>0</v>
      </c>
    </row>
    <row r="589" spans="1:11" ht="14.5">
      <c r="A589" s="20" t="s">
        <v>15121</v>
      </c>
      <c r="B589" s="20">
        <v>20</v>
      </c>
      <c r="C589" s="20">
        <v>31</v>
      </c>
      <c r="D589" s="20">
        <v>35</v>
      </c>
      <c r="E589" s="20">
        <v>50</v>
      </c>
      <c r="F589" s="20" t="s">
        <v>15122</v>
      </c>
      <c r="G589" s="20" t="s">
        <v>15123</v>
      </c>
      <c r="H589" s="24"/>
      <c r="I589" s="24" t="str">
        <f ca="1">IFERROR(__xludf.DUMMYFUNCTION("GOOGLETRANSLATE(F589,""en"",""pt"")"),"pó de mármore")</f>
        <v>pó de mármore</v>
      </c>
      <c r="J589" t="str">
        <f>VLOOKUP(A589,Pr_Base_LNEC!$A$4:$J$6971,6,FALSE)</f>
        <v>-</v>
      </c>
      <c r="K589">
        <f>VLOOKUP(A589,Pr_Base_LNEC!$A$4:$J$6971,7,FALSE)</f>
        <v>0</v>
      </c>
    </row>
    <row r="590" spans="1:11" ht="14.5">
      <c r="A590" s="20" t="s">
        <v>15124</v>
      </c>
      <c r="B590" s="20">
        <v>20</v>
      </c>
      <c r="C590" s="20">
        <v>31</v>
      </c>
      <c r="D590" s="20">
        <v>35</v>
      </c>
      <c r="E590" s="20">
        <v>51</v>
      </c>
      <c r="F590" s="20" t="s">
        <v>15125</v>
      </c>
      <c r="G590" s="20" t="s">
        <v>15126</v>
      </c>
      <c r="H590" s="24"/>
      <c r="I590" s="24" t="str">
        <f ca="1">IFERROR(__xludf.DUMMYFUNCTION("GOOGLETRANSLATE(F590,""en"",""pt"")"),"metacaulinita")</f>
        <v>metacaulinita</v>
      </c>
      <c r="J590" t="str">
        <f>VLOOKUP(A590,Pr_Base_LNEC!$A$4:$J$6971,6,FALSE)</f>
        <v>-</v>
      </c>
      <c r="K590">
        <f>VLOOKUP(A590,Pr_Base_LNEC!$A$4:$J$6971,7,FALSE)</f>
        <v>0</v>
      </c>
    </row>
    <row r="591" spans="1:11" ht="14.5">
      <c r="A591" s="20" t="s">
        <v>15127</v>
      </c>
      <c r="B591" s="20">
        <v>20</v>
      </c>
      <c r="C591" s="20">
        <v>31</v>
      </c>
      <c r="D591" s="20">
        <v>35</v>
      </c>
      <c r="E591" s="20">
        <v>52</v>
      </c>
      <c r="F591" s="20" t="s">
        <v>15128</v>
      </c>
      <c r="G591" s="24"/>
      <c r="H591" s="24"/>
      <c r="I591" s="24" t="str">
        <f ca="1">IFERROR(__xludf.DUMMYFUNCTION("GOOGLETRANSLATE(F591,""en"",""pt"")"),"Microsilica")</f>
        <v>Microsilica</v>
      </c>
      <c r="J591" t="str">
        <f>VLOOKUP(A591,Pr_Base_LNEC!$A$4:$J$6971,6,FALSE)</f>
        <v>-</v>
      </c>
      <c r="K591">
        <f>VLOOKUP(A591,Pr_Base_LNEC!$A$4:$J$6971,7,FALSE)</f>
        <v>0</v>
      </c>
    </row>
    <row r="592" spans="1:11" ht="14.5">
      <c r="A592" s="20" t="s">
        <v>15129</v>
      </c>
      <c r="B592" s="20">
        <v>20</v>
      </c>
      <c r="C592" s="20">
        <v>31</v>
      </c>
      <c r="D592" s="20">
        <v>35</v>
      </c>
      <c r="E592" s="20">
        <v>53</v>
      </c>
      <c r="F592" s="20" t="s">
        <v>15130</v>
      </c>
      <c r="G592" s="20" t="s">
        <v>15131</v>
      </c>
      <c r="H592" s="24"/>
      <c r="I592" s="24" t="str">
        <f ca="1">IFERROR(__xludf.DUMMYFUNCTION("GOOGLETRANSLATE(F592,""en"",""pt"")"),"pigmentos minerais")</f>
        <v>pigmentos minerais</v>
      </c>
      <c r="J592" t="str">
        <f>VLOOKUP(A592,Pr_Base_LNEC!$A$4:$J$6971,6,FALSE)</f>
        <v>Pigmentos minerais para a coloração de materiais de construção à base de cimento e/ou cal</v>
      </c>
      <c r="K592" t="str">
        <f>VLOOKUP(A592,Pr_Base_LNEC!$A$4:$J$6971,7,FALSE)</f>
        <v>EN 12878:2005</v>
      </c>
    </row>
    <row r="593" spans="1:11" ht="14.5">
      <c r="A593" s="20" t="s">
        <v>15132</v>
      </c>
      <c r="B593" s="20">
        <v>20</v>
      </c>
      <c r="C593" s="20">
        <v>31</v>
      </c>
      <c r="D593" s="20">
        <v>35</v>
      </c>
      <c r="E593" s="20">
        <v>56</v>
      </c>
      <c r="F593" s="20" t="s">
        <v>15133</v>
      </c>
      <c r="G593" s="24"/>
      <c r="H593" s="24"/>
      <c r="I593" s="24" t="str">
        <f ca="1">IFERROR(__xludf.DUMMYFUNCTION("GOOGLETRANSLATE(F593,""en"",""pt"")"),"pozolana Natural")</f>
        <v>pozolana Natural</v>
      </c>
      <c r="J593" t="str">
        <f>VLOOKUP(A593,Pr_Base_LNEC!$A$4:$J$6971,6,FALSE)</f>
        <v>-</v>
      </c>
      <c r="K593">
        <f>VLOOKUP(A593,Pr_Base_LNEC!$A$4:$J$6971,7,FALSE)</f>
        <v>0</v>
      </c>
    </row>
    <row r="594" spans="1:11" ht="14.5">
      <c r="A594" s="20" t="s">
        <v>15134</v>
      </c>
      <c r="B594" s="20">
        <v>20</v>
      </c>
      <c r="C594" s="20">
        <v>31</v>
      </c>
      <c r="D594" s="20">
        <v>35</v>
      </c>
      <c r="E594" s="20">
        <v>60</v>
      </c>
      <c r="F594" s="20" t="s">
        <v>15135</v>
      </c>
      <c r="G594" s="20" t="s">
        <v>15136</v>
      </c>
      <c r="H594" s="24"/>
      <c r="I594" s="24" t="str">
        <f ca="1">IFERROR(__xludf.DUMMYFUNCTION("GOOGLETRANSLATE(F594,""en"",""pt"")"),"Parcialmente moído escória de alto forno granulada")</f>
        <v>Parcialmente moído escória de alto forno granulada</v>
      </c>
      <c r="J594" t="str">
        <f>VLOOKUP(A594,Pr_Base_LNEC!$A$4:$J$6971,6,FALSE)</f>
        <v>-</v>
      </c>
      <c r="K594">
        <f>VLOOKUP(A594,Pr_Base_LNEC!$A$4:$J$6971,7,FALSE)</f>
        <v>0</v>
      </c>
    </row>
    <row r="595" spans="1:11" ht="14.5">
      <c r="A595" s="20" t="s">
        <v>15137</v>
      </c>
      <c r="B595" s="20">
        <v>20</v>
      </c>
      <c r="C595" s="20">
        <v>31</v>
      </c>
      <c r="D595" s="20">
        <v>35</v>
      </c>
      <c r="E595" s="20">
        <v>62</v>
      </c>
      <c r="F595" s="20" t="s">
        <v>15138</v>
      </c>
      <c r="G595" s="20" t="s">
        <v>15139</v>
      </c>
      <c r="H595" s="24"/>
      <c r="I595" s="24" t="str">
        <f ca="1">IFERROR(__xludf.DUMMYFUNCTION("GOOGLETRANSLATE(F595,""en"",""pt"")"),"Gesso")</f>
        <v>Gesso</v>
      </c>
      <c r="J595" t="str">
        <f>VLOOKUP(A595,Pr_Base_LNEC!$A$4:$J$6971,6,FALSE)</f>
        <v>Gesso e produtos à base de gesso para a construção</v>
      </c>
      <c r="K595" t="str">
        <f>VLOOKUP(A595,Pr_Base_LNEC!$A$4:$J$6971,7,FALSE)</f>
        <v>EN 13279-1:2008</v>
      </c>
    </row>
    <row r="596" spans="1:11" ht="14.5">
      <c r="A596" s="20" t="s">
        <v>15140</v>
      </c>
      <c r="B596" s="20">
        <v>20</v>
      </c>
      <c r="C596" s="20">
        <v>31</v>
      </c>
      <c r="D596" s="20">
        <v>35</v>
      </c>
      <c r="E596" s="20">
        <v>75</v>
      </c>
      <c r="F596" s="20" t="s">
        <v>15141</v>
      </c>
      <c r="G596" s="24"/>
      <c r="H596" s="24"/>
      <c r="I596" s="24" t="str">
        <f ca="1">IFERROR(__xludf.DUMMYFUNCTION("GOOGLETRANSLATE(F596,""en"",""pt"")"),"Serragem")</f>
        <v>Serragem</v>
      </c>
      <c r="J596" t="str">
        <f>VLOOKUP(A596,Pr_Base_LNEC!$A$4:$J$6971,6,FALSE)</f>
        <v>-</v>
      </c>
      <c r="K596">
        <f>VLOOKUP(A596,Pr_Base_LNEC!$A$4:$J$6971,7,FALSE)</f>
        <v>0</v>
      </c>
    </row>
    <row r="597" spans="1:11" ht="14.5">
      <c r="A597" s="20" t="s">
        <v>15142</v>
      </c>
      <c r="B597" s="20">
        <v>20</v>
      </c>
      <c r="C597" s="20">
        <v>31</v>
      </c>
      <c r="D597" s="20">
        <v>35</v>
      </c>
      <c r="E597" s="20">
        <v>81</v>
      </c>
      <c r="F597" s="20" t="s">
        <v>15143</v>
      </c>
      <c r="G597" s="20" t="s">
        <v>15144</v>
      </c>
      <c r="H597" s="24"/>
      <c r="I597" s="24" t="str">
        <f ca="1">IFERROR(__xludf.DUMMYFUNCTION("GOOGLETRANSLATE(F597,""en"",""pt"")"),"sílica ativa")</f>
        <v>sílica ativa</v>
      </c>
      <c r="J597" t="str">
        <f>VLOOKUP(A597,Pr_Base_LNEC!$A$4:$J$6971,6,FALSE)</f>
        <v>Sílica de fumo para betão</v>
      </c>
      <c r="K597" t="str">
        <f>VLOOKUP(A597,Pr_Base_LNEC!$A$4:$J$6971,7,FALSE)</f>
        <v>EN 13263-1:2005+A1:2009</v>
      </c>
    </row>
    <row r="598" spans="1:11" ht="14.5">
      <c r="A598" s="20" t="s">
        <v>15145</v>
      </c>
      <c r="B598" s="20">
        <v>20</v>
      </c>
      <c r="C598" s="20">
        <v>31</v>
      </c>
      <c r="D598" s="20">
        <v>35</v>
      </c>
      <c r="E598" s="20">
        <v>82</v>
      </c>
      <c r="F598" s="20" t="s">
        <v>15146</v>
      </c>
      <c r="G598" s="24"/>
      <c r="H598" s="24"/>
      <c r="I598" s="24" t="str">
        <f ca="1">IFERROR(__xludf.DUMMYFUNCTION("GOOGLETRANSLATE(F598,""en"",""pt"")"),"cinzas de combustível pulverizado sinterizados")</f>
        <v>cinzas de combustível pulverizado sinterizados</v>
      </c>
      <c r="J598" t="str">
        <f>VLOOKUP(A598,Pr_Base_LNEC!$A$4:$J$6971,6,FALSE)</f>
        <v>-</v>
      </c>
      <c r="K598">
        <f>VLOOKUP(A598,Pr_Base_LNEC!$A$4:$J$6971,7,FALSE)</f>
        <v>0</v>
      </c>
    </row>
    <row r="599" spans="1:11" ht="14.5">
      <c r="A599" s="20" t="s">
        <v>15147</v>
      </c>
      <c r="B599" s="20">
        <v>20</v>
      </c>
      <c r="C599" s="20">
        <v>31</v>
      </c>
      <c r="D599" s="20">
        <v>35</v>
      </c>
      <c r="E599" s="20">
        <v>86</v>
      </c>
      <c r="F599" s="20" t="s">
        <v>15148</v>
      </c>
      <c r="G599" s="24"/>
      <c r="H599" s="24"/>
      <c r="I599" s="24" t="str">
        <f ca="1">IFERROR(__xludf.DUMMYFUNCTION("GOOGLETRANSLATE(F599,""en"",""pt"")"),"grânulos de espuma sintética")</f>
        <v>grânulos de espuma sintética</v>
      </c>
      <c r="J599" t="str">
        <f>VLOOKUP(A599,Pr_Base_LNEC!$A$4:$J$6971,6,FALSE)</f>
        <v>-</v>
      </c>
      <c r="K599">
        <f>VLOOKUP(A599,Pr_Base_LNEC!$A$4:$J$6971,7,FALSE)</f>
        <v>0</v>
      </c>
    </row>
    <row r="600" spans="1:11" ht="14.5">
      <c r="A600" s="20" t="s">
        <v>15149</v>
      </c>
      <c r="B600" s="20">
        <v>20</v>
      </c>
      <c r="C600" s="20">
        <v>31</v>
      </c>
      <c r="D600" s="20">
        <v>53</v>
      </c>
      <c r="E600" s="24"/>
      <c r="F600" s="20" t="s">
        <v>15150</v>
      </c>
      <c r="G600" s="24"/>
      <c r="H600" s="24"/>
      <c r="I600" s="24" t="str">
        <f ca="1">IFERROR(__xludf.DUMMYFUNCTION("GOOGLETRANSLATE(F600,""en"",""pt"")"),"Argamassas e caldas")</f>
        <v>Argamassas e caldas</v>
      </c>
      <c r="J600" t="str">
        <f>VLOOKUP(A600,Pr_Base_LNEC!$A$4:$J$6971,6,FALSE)</f>
        <v>Argamassas e rebocos</v>
      </c>
      <c r="K600" t="str">
        <f>VLOOKUP(A600,Pr_Base_LNEC!$A$4:$J$6971,7,FALSE)</f>
        <v>-</v>
      </c>
    </row>
    <row r="601" spans="1:11" ht="14.5">
      <c r="A601" s="20" t="s">
        <v>15151</v>
      </c>
      <c r="B601" s="20">
        <v>20</v>
      </c>
      <c r="C601" s="20">
        <v>31</v>
      </c>
      <c r="D601" s="20">
        <v>53</v>
      </c>
      <c r="E601" s="20">
        <v>8</v>
      </c>
      <c r="F601" s="20" t="s">
        <v>15152</v>
      </c>
      <c r="G601" s="20" t="s">
        <v>15153</v>
      </c>
      <c r="H601" s="24"/>
      <c r="I601" s="24" t="str">
        <f ca="1">IFERROR(__xludf.DUMMYFUNCTION("GOOGLETRANSLATE(F601,""en"",""pt"")"),"Tijolo escorregar morteiros adesivas")</f>
        <v>Tijolo escorregar morteiros adesivas</v>
      </c>
      <c r="J601" t="str">
        <f>VLOOKUP(A601,Pr_Base_LNEC!$A$4:$J$6971,6,FALSE)</f>
        <v>Argamassas adesivas para alvenaria de assentamento</v>
      </c>
      <c r="K601" t="str">
        <f>VLOOKUP(A601,Pr_Base_LNEC!$A$4:$J$6971,7,FALSE)</f>
        <v>EN 998-2:2016</v>
      </c>
    </row>
    <row r="602" spans="1:11" ht="14.5">
      <c r="A602" s="20" t="s">
        <v>15154</v>
      </c>
      <c r="B602" s="20">
        <v>20</v>
      </c>
      <c r="C602" s="20">
        <v>31</v>
      </c>
      <c r="D602" s="20">
        <v>53</v>
      </c>
      <c r="E602" s="20">
        <v>10</v>
      </c>
      <c r="F602" s="20" t="s">
        <v>15155</v>
      </c>
      <c r="G602" s="20" t="s">
        <v>15156</v>
      </c>
      <c r="H602" s="24"/>
      <c r="I602" s="24" t="str">
        <f ca="1">IFERROR(__xludf.DUMMYFUNCTION("GOOGLETRANSLATE(F602,""en"",""pt"")"),"Cimento morteiros projetados aferidos")</f>
        <v>Cimento morteiros projetados aferidos</v>
      </c>
      <c r="J602" t="str">
        <f>VLOOKUP(A602,Pr_Base_LNEC!$A$4:$J$6971,6,FALSE)</f>
        <v>Argamassas de cimento para alvenaria de assentamento</v>
      </c>
      <c r="K602" t="str">
        <f>VLOOKUP(A602,Pr_Base_LNEC!$A$4:$J$6971,7,FALSE)</f>
        <v>EN 998-2:2016</v>
      </c>
    </row>
    <row r="603" spans="1:11" ht="14.5">
      <c r="A603" s="20" t="s">
        <v>15157</v>
      </c>
      <c r="B603" s="20">
        <v>20</v>
      </c>
      <c r="C603" s="20">
        <v>31</v>
      </c>
      <c r="D603" s="20">
        <v>53</v>
      </c>
      <c r="E603" s="20">
        <v>11</v>
      </c>
      <c r="F603" s="20" t="s">
        <v>15158</v>
      </c>
      <c r="G603" s="20" t="s">
        <v>15159</v>
      </c>
      <c r="H603" s="24"/>
      <c r="I603" s="24" t="str">
        <f ca="1">IFERROR(__xludf.DUMMYFUNCTION("GOOGLETRANSLATE(F603,""en"",""pt"")"),"Cimento morteiros aferidos")</f>
        <v>Cimento morteiros aferidos</v>
      </c>
      <c r="J603" t="str">
        <f>VLOOKUP(A603,Pr_Base_LNEC!$A$4:$J$6971,6,FALSE)</f>
        <v>-</v>
      </c>
      <c r="K603">
        <f>VLOOKUP(A603,Pr_Base_LNEC!$A$4:$J$6971,7,FALSE)</f>
        <v>0</v>
      </c>
    </row>
    <row r="604" spans="1:11" ht="14.5">
      <c r="A604" s="20" t="s">
        <v>15160</v>
      </c>
      <c r="B604" s="20">
        <v>20</v>
      </c>
      <c r="C604" s="20">
        <v>31</v>
      </c>
      <c r="D604" s="20">
        <v>53</v>
      </c>
      <c r="E604" s="20">
        <v>12</v>
      </c>
      <c r="F604" s="20" t="s">
        <v>15161</v>
      </c>
      <c r="G604" s="20" t="s">
        <v>15162</v>
      </c>
      <c r="H604" s="24"/>
      <c r="I604" s="24" t="str">
        <f ca="1">IFERROR(__xludf.DUMMYFUNCTION("GOOGLETRANSLATE(F604,""en"",""pt"")"),"caldas de cimento de resina e de reacção")</f>
        <v>caldas de cimento de resina e de reacção</v>
      </c>
      <c r="J604" t="str">
        <f>VLOOKUP(A604,Pr_Base_LNEC!$A$4:$J$6971,6,FALSE)</f>
        <v>-</v>
      </c>
      <c r="K604">
        <f>VLOOKUP(A604,Pr_Base_LNEC!$A$4:$J$6971,7,FALSE)</f>
        <v>0</v>
      </c>
    </row>
    <row r="605" spans="1:11" ht="14.5">
      <c r="A605" s="20" t="s">
        <v>15163</v>
      </c>
      <c r="B605" s="20">
        <v>20</v>
      </c>
      <c r="C605" s="20">
        <v>31</v>
      </c>
      <c r="D605" s="20">
        <v>53</v>
      </c>
      <c r="E605" s="20">
        <v>13</v>
      </c>
      <c r="F605" s="20" t="s">
        <v>15164</v>
      </c>
      <c r="G605" s="20" t="s">
        <v>15165</v>
      </c>
      <c r="H605" s="24"/>
      <c r="I605" s="24" t="str">
        <f ca="1">IFERROR(__xludf.DUMMYFUNCTION("GOOGLETRANSLATE(F605,""en"",""pt"")"),"argamassas cimentícias")</f>
        <v>argamassas cimentícias</v>
      </c>
      <c r="J605" t="str">
        <f>VLOOKUP(A605,Pr_Base_LNEC!$A$4:$J$6971,6,FALSE)</f>
        <v>-</v>
      </c>
      <c r="K605">
        <f>VLOOKUP(A605,Pr_Base_LNEC!$A$4:$J$6971,7,FALSE)</f>
        <v>0</v>
      </c>
    </row>
    <row r="606" spans="1:11" ht="14.5">
      <c r="A606" s="20" t="s">
        <v>15166</v>
      </c>
      <c r="B606" s="20">
        <v>20</v>
      </c>
      <c r="C606" s="20">
        <v>31</v>
      </c>
      <c r="D606" s="20">
        <v>53</v>
      </c>
      <c r="E606" s="20">
        <v>14</v>
      </c>
      <c r="F606" s="20" t="s">
        <v>15167</v>
      </c>
      <c r="G606" s="20" t="s">
        <v>15168</v>
      </c>
      <c r="H606" s="24"/>
      <c r="I606" s="24" t="str">
        <f ca="1">IFERROR(__xludf.DUMMYFUNCTION("GOOGLETRANSLATE(F606,""en"",""pt"")"),"argamassas cimentícias tank")</f>
        <v>argamassas cimentícias tank</v>
      </c>
      <c r="J606" t="str">
        <f>VLOOKUP(A606,Pr_Base_LNEC!$A$4:$J$6971,6,FALSE)</f>
        <v>-</v>
      </c>
      <c r="K606">
        <f>VLOOKUP(A606,Pr_Base_LNEC!$A$4:$J$6971,7,FALSE)</f>
        <v>0</v>
      </c>
    </row>
    <row r="607" spans="1:11" ht="14.5">
      <c r="A607" s="20" t="s">
        <v>15169</v>
      </c>
      <c r="B607" s="20">
        <v>20</v>
      </c>
      <c r="C607" s="20">
        <v>31</v>
      </c>
      <c r="D607" s="20">
        <v>53</v>
      </c>
      <c r="E607" s="20">
        <v>15</v>
      </c>
      <c r="F607" s="20" t="s">
        <v>15170</v>
      </c>
      <c r="G607" s="20" t="s">
        <v>15171</v>
      </c>
      <c r="H607" s="24"/>
      <c r="I607" s="24" t="str">
        <f ca="1">IFERROR(__xludf.DUMMYFUNCTION("GOOGLETRANSLATE(F607,""en"",""pt"")"),"Concretas argamassas de reparo")</f>
        <v>Concretas argamassas de reparo</v>
      </c>
      <c r="J607" t="str">
        <f>VLOOKUP(A607,Pr_Base_LNEC!$A$4:$J$6971,6,FALSE)</f>
        <v>Argamassa de reparação para estruturas de betão</v>
      </c>
      <c r="K607" t="str">
        <f>VLOOKUP(A607,Pr_Base_LNEC!$A$4:$J$6971,7,FALSE)</f>
        <v>EN 1504-3:2005</v>
      </c>
    </row>
    <row r="608" spans="1:11" ht="14.5">
      <c r="A608" s="20" t="s">
        <v>15172</v>
      </c>
      <c r="B608" s="20">
        <v>20</v>
      </c>
      <c r="C608" s="20">
        <v>31</v>
      </c>
      <c r="D608" s="20">
        <v>53</v>
      </c>
      <c r="E608" s="20">
        <v>18</v>
      </c>
      <c r="F608" s="20" t="s">
        <v>15173</v>
      </c>
      <c r="G608" s="20" t="s">
        <v>15174</v>
      </c>
      <c r="H608" s="24"/>
      <c r="I608" s="24" t="str">
        <f ca="1">IFERROR(__xludf.DUMMYFUNCTION("GOOGLETRANSLATE(F608,""en"",""pt"")"),"Cristalização chapiscos activas")</f>
        <v>Cristalização chapiscos activas</v>
      </c>
      <c r="J608" t="str">
        <f>VLOOKUP(A608,Pr_Base_LNEC!$A$4:$J$6971,6,FALSE)</f>
        <v>-</v>
      </c>
      <c r="K608">
        <f>VLOOKUP(A608,Pr_Base_LNEC!$A$4:$J$6971,7,FALSE)</f>
        <v>0</v>
      </c>
    </row>
    <row r="609" spans="1:11" ht="14.5">
      <c r="A609" s="20" t="s">
        <v>15175</v>
      </c>
      <c r="B609" s="20">
        <v>20</v>
      </c>
      <c r="C609" s="20">
        <v>31</v>
      </c>
      <c r="D609" s="20">
        <v>53</v>
      </c>
      <c r="E609" s="20">
        <v>26</v>
      </c>
      <c r="F609" s="20" t="s">
        <v>15176</v>
      </c>
      <c r="G609" s="20" t="s">
        <v>15177</v>
      </c>
      <c r="H609" s="24"/>
      <c r="I609" s="24" t="str">
        <f ca="1">IFERROR(__xludf.DUMMYFUNCTION("GOOGLETRANSLATE(F609,""en"",""pt"")"),"argamassas epóxi")</f>
        <v>argamassas epóxi</v>
      </c>
      <c r="J609" t="str">
        <f>VLOOKUP(A609,Pr_Base_LNEC!$A$4:$J$6971,6,FALSE)</f>
        <v>-</v>
      </c>
      <c r="K609">
        <f>VLOOKUP(A609,Pr_Base_LNEC!$A$4:$J$6971,7,FALSE)</f>
        <v>0</v>
      </c>
    </row>
    <row r="610" spans="1:11" ht="14.5">
      <c r="A610" s="20" t="s">
        <v>15178</v>
      </c>
      <c r="B610" s="20">
        <v>20</v>
      </c>
      <c r="C610" s="20">
        <v>31</v>
      </c>
      <c r="D610" s="20">
        <v>53</v>
      </c>
      <c r="E610" s="20">
        <v>27</v>
      </c>
      <c r="F610" s="20" t="s">
        <v>15179</v>
      </c>
      <c r="G610" s="20" t="s">
        <v>15180</v>
      </c>
      <c r="H610" s="24"/>
      <c r="I610" s="24" t="str">
        <f ca="1">IFERROR(__xludf.DUMMYFUNCTION("GOOGLETRANSLATE(F610,""en"",""pt"")"),"caldas de resina epoxi")</f>
        <v>caldas de resina epoxi</v>
      </c>
      <c r="J610" t="str">
        <f>VLOOKUP(A610,Pr_Base_LNEC!$A$4:$J$6971,6,FALSE)</f>
        <v>-</v>
      </c>
      <c r="K610">
        <f>VLOOKUP(A610,Pr_Base_LNEC!$A$4:$J$6971,7,FALSE)</f>
        <v>0</v>
      </c>
    </row>
    <row r="611" spans="1:11" ht="14.5">
      <c r="A611" s="20" t="s">
        <v>15181</v>
      </c>
      <c r="B611" s="20">
        <v>20</v>
      </c>
      <c r="C611" s="20">
        <v>31</v>
      </c>
      <c r="D611" s="20">
        <v>53</v>
      </c>
      <c r="E611" s="20">
        <v>28</v>
      </c>
      <c r="F611" s="20" t="s">
        <v>15182</v>
      </c>
      <c r="G611" s="20" t="s">
        <v>15183</v>
      </c>
      <c r="H611" s="24"/>
      <c r="I611" s="24" t="str">
        <f ca="1">IFERROR(__xludf.DUMMYFUNCTION("GOOGLETRANSLATE(F611,""en"",""pt"")"),"pastas de cimento modificado com resina epoxi")</f>
        <v>pastas de cimento modificado com resina epoxi</v>
      </c>
      <c r="J611" t="str">
        <f>VLOOKUP(A611,Pr_Base_LNEC!$A$4:$J$6971,6,FALSE)</f>
        <v>-</v>
      </c>
      <c r="K611">
        <f>VLOOKUP(A611,Pr_Base_LNEC!$A$4:$J$6971,7,FALSE)</f>
        <v>0</v>
      </c>
    </row>
    <row r="612" spans="1:11" ht="14.5">
      <c r="A612" s="20" t="s">
        <v>15184</v>
      </c>
      <c r="B612" s="20">
        <v>20</v>
      </c>
      <c r="C612" s="20">
        <v>31</v>
      </c>
      <c r="D612" s="20">
        <v>53</v>
      </c>
      <c r="E612" s="20">
        <v>30</v>
      </c>
      <c r="F612" s="20" t="s">
        <v>15185</v>
      </c>
      <c r="G612" s="20" t="s">
        <v>15186</v>
      </c>
      <c r="H612" s="24"/>
      <c r="I612" s="24" t="str">
        <f ca="1">IFERROR(__xludf.DUMMYFUNCTION("GOOGLETRANSLATE(F612,""en"",""pt"")"),"argamassas de cimento modificados por polímeros reforçados com fibras")</f>
        <v>argamassas de cimento modificados por polímeros reforçados com fibras</v>
      </c>
      <c r="J612" t="str">
        <f>VLOOKUP(A612,Pr_Base_LNEC!$A$4:$J$6971,6,FALSE)</f>
        <v>-</v>
      </c>
      <c r="K612">
        <f>VLOOKUP(A612,Pr_Base_LNEC!$A$4:$J$6971,7,FALSE)</f>
        <v>0</v>
      </c>
    </row>
    <row r="613" spans="1:11" ht="14.5">
      <c r="A613" s="20" t="s">
        <v>15187</v>
      </c>
      <c r="B613" s="20">
        <v>20</v>
      </c>
      <c r="C613" s="20">
        <v>31</v>
      </c>
      <c r="D613" s="20">
        <v>53</v>
      </c>
      <c r="E613" s="20">
        <v>31</v>
      </c>
      <c r="F613" s="20" t="s">
        <v>15188</v>
      </c>
      <c r="G613" s="20" t="s">
        <v>15189</v>
      </c>
      <c r="H613" s="24"/>
      <c r="I613" s="24" t="str">
        <f ca="1">IFERROR(__xludf.DUMMYFUNCTION("GOOGLETRANSLATE(F613,""en"",""pt"")"),"argamassas resistentes ao fogo")</f>
        <v>argamassas resistentes ao fogo</v>
      </c>
      <c r="J613" t="str">
        <f>VLOOKUP(A613,Pr_Base_LNEC!$A$4:$J$6971,6,FALSE)</f>
        <v>-</v>
      </c>
      <c r="K613">
        <f>VLOOKUP(A613,Pr_Base_LNEC!$A$4:$J$6971,7,FALSE)</f>
        <v>0</v>
      </c>
    </row>
    <row r="614" spans="1:11" ht="14.5">
      <c r="A614" s="20" t="s">
        <v>15190</v>
      </c>
      <c r="B614" s="20">
        <v>20</v>
      </c>
      <c r="C614" s="20">
        <v>31</v>
      </c>
      <c r="D614" s="20">
        <v>53</v>
      </c>
      <c r="E614" s="20">
        <v>32</v>
      </c>
      <c r="F614" s="20" t="s">
        <v>15191</v>
      </c>
      <c r="G614" s="24"/>
      <c r="H614" s="24"/>
      <c r="I614" s="24" t="str">
        <f ca="1">IFERROR(__xludf.DUMMYFUNCTION("GOOGLETRANSLATE(F614,""en"",""pt"")"),"Geral cimento propósito: morteiros de areia")</f>
        <v>Geral cimento propósito: morteiros de areia</v>
      </c>
      <c r="J614" t="str">
        <f>VLOOKUP(A614,Pr_Base_LNEC!$A$4:$J$6971,6,FALSE)</f>
        <v>-</v>
      </c>
      <c r="K614">
        <f>VLOOKUP(A614,Pr_Base_LNEC!$A$4:$J$6971,7,FALSE)</f>
        <v>0</v>
      </c>
    </row>
    <row r="615" spans="1:11" ht="14.5">
      <c r="A615" s="20" t="s">
        <v>15192</v>
      </c>
      <c r="B615" s="20">
        <v>20</v>
      </c>
      <c r="C615" s="20">
        <v>31</v>
      </c>
      <c r="D615" s="20">
        <v>53</v>
      </c>
      <c r="E615" s="20">
        <v>33</v>
      </c>
      <c r="F615" s="20" t="s">
        <v>15193</v>
      </c>
      <c r="G615" s="20" t="s">
        <v>15194</v>
      </c>
      <c r="H615" s="24"/>
      <c r="I615" s="24" t="str">
        <f ca="1">IFERROR(__xludf.DUMMYFUNCTION("GOOGLETRANSLATE(F615,""en"",""pt"")"),"bloco juntas morteiros de vidro")</f>
        <v>bloco juntas morteiros de vidro</v>
      </c>
      <c r="J615" t="str">
        <f>VLOOKUP(A615,Pr_Base_LNEC!$A$4:$J$6971,6,FALSE)</f>
        <v>-</v>
      </c>
      <c r="K615">
        <f>VLOOKUP(A615,Pr_Base_LNEC!$A$4:$J$6971,7,FALSE)</f>
        <v>0</v>
      </c>
    </row>
    <row r="616" spans="1:11" ht="14.5">
      <c r="A616" s="20" t="s">
        <v>15195</v>
      </c>
      <c r="B616" s="20">
        <v>20</v>
      </c>
      <c r="C616" s="20">
        <v>31</v>
      </c>
      <c r="D616" s="20">
        <v>53</v>
      </c>
      <c r="E616" s="20">
        <v>34</v>
      </c>
      <c r="F616" s="20" t="s">
        <v>15196</v>
      </c>
      <c r="G616" s="20" t="s">
        <v>15197</v>
      </c>
      <c r="H616" s="24"/>
      <c r="I616" s="24" t="str">
        <f ca="1">IFERROR(__xludf.DUMMYFUNCTION("GOOGLETRANSLATE(F616,""en"",""pt"")"),"Vidro morteiros bloco de apontadores")</f>
        <v>Vidro morteiros bloco de apontadores</v>
      </c>
      <c r="J616" t="str">
        <f>VLOOKUP(A616,Pr_Base_LNEC!$A$4:$J$6971,6,FALSE)</f>
        <v>-</v>
      </c>
      <c r="K616">
        <f>VLOOKUP(A616,Pr_Base_LNEC!$A$4:$J$6971,7,FALSE)</f>
        <v>0</v>
      </c>
    </row>
    <row r="617" spans="1:11" ht="14.5">
      <c r="A617" s="20" t="s">
        <v>15198</v>
      </c>
      <c r="B617" s="20">
        <v>20</v>
      </c>
      <c r="C617" s="20">
        <v>31</v>
      </c>
      <c r="D617" s="20">
        <v>53</v>
      </c>
      <c r="E617" s="20">
        <v>39</v>
      </c>
      <c r="F617" s="20" t="s">
        <v>15199</v>
      </c>
      <c r="G617" s="20" t="s">
        <v>15200</v>
      </c>
      <c r="H617" s="24"/>
      <c r="I617" s="24" t="str">
        <f ca="1">IFERROR(__xludf.DUMMYFUNCTION("GOOGLETRANSLATE(F617,""en"",""pt"")"),"argamassas de cal hidráulica")</f>
        <v>argamassas de cal hidráulica</v>
      </c>
      <c r="J617" t="str">
        <f>VLOOKUP(A617,Pr_Base_LNEC!$A$4:$J$6971,6,FALSE)</f>
        <v>-</v>
      </c>
      <c r="K617">
        <f>VLOOKUP(A617,Pr_Base_LNEC!$A$4:$J$6971,7,FALSE)</f>
        <v>0</v>
      </c>
    </row>
    <row r="618" spans="1:11" ht="14.5">
      <c r="A618" s="20" t="s">
        <v>15201</v>
      </c>
      <c r="B618" s="20">
        <v>20</v>
      </c>
      <c r="C618" s="20">
        <v>31</v>
      </c>
      <c r="D618" s="20">
        <v>53</v>
      </c>
      <c r="E618" s="20">
        <v>40</v>
      </c>
      <c r="F618" s="20" t="s">
        <v>15202</v>
      </c>
      <c r="G618" s="20" t="s">
        <v>15203</v>
      </c>
      <c r="H618" s="24"/>
      <c r="I618" s="24" t="str">
        <f ca="1">IFERROR(__xludf.DUMMYFUNCTION("GOOGLETRANSLATE(F618,""en"",""pt"")"),"caldas de injeção")</f>
        <v>caldas de injeção</v>
      </c>
      <c r="J618" t="str">
        <f>VLOOKUP(A618,Pr_Base_LNEC!$A$4:$J$6971,6,FALSE)</f>
        <v>-</v>
      </c>
      <c r="K618">
        <f>VLOOKUP(A618,Pr_Base_LNEC!$A$4:$J$6971,7,FALSE)</f>
        <v>0</v>
      </c>
    </row>
    <row r="619" spans="1:11" ht="14.5">
      <c r="A619" s="20" t="s">
        <v>15204</v>
      </c>
      <c r="B619" s="20">
        <v>20</v>
      </c>
      <c r="C619" s="20">
        <v>31</v>
      </c>
      <c r="D619" s="20">
        <v>53</v>
      </c>
      <c r="E619" s="20">
        <v>41</v>
      </c>
      <c r="F619" s="20" t="s">
        <v>15205</v>
      </c>
      <c r="G619" s="20" t="s">
        <v>15206</v>
      </c>
      <c r="H619" s="24"/>
      <c r="I619" s="24" t="str">
        <f ca="1">IFERROR(__xludf.DUMMYFUNCTION("GOOGLETRANSLATE(F619,""en"",""pt"")"),"Injeção argamassa úmido cursos prova")</f>
        <v>Injeção argamassa úmido cursos prova</v>
      </c>
      <c r="J619" t="str">
        <f>VLOOKUP(A619,Pr_Base_LNEC!$A$4:$J$6971,6,FALSE)</f>
        <v>-</v>
      </c>
      <c r="K619">
        <f>VLOOKUP(A619,Pr_Base_LNEC!$A$4:$J$6971,7,FALSE)</f>
        <v>0</v>
      </c>
    </row>
    <row r="620" spans="1:11" ht="14.5">
      <c r="A620" s="20" t="s">
        <v>15207</v>
      </c>
      <c r="B620" s="20">
        <v>20</v>
      </c>
      <c r="C620" s="20">
        <v>31</v>
      </c>
      <c r="D620" s="20">
        <v>53</v>
      </c>
      <c r="E620" s="20">
        <v>42</v>
      </c>
      <c r="F620" s="20" t="s">
        <v>15208</v>
      </c>
      <c r="G620" s="20" t="s">
        <v>15209</v>
      </c>
      <c r="H620" s="24"/>
      <c r="I620" s="24" t="str">
        <f ca="1">IFERROR(__xludf.DUMMYFUNCTION("GOOGLETRANSLATE(F620,""en"",""pt"")"),"morteiros de injeção")</f>
        <v>morteiros de injeção</v>
      </c>
      <c r="J620" t="str">
        <f>VLOOKUP(A620,Pr_Base_LNEC!$A$4:$J$6971,6,FALSE)</f>
        <v>-</v>
      </c>
      <c r="K620">
        <f>VLOOKUP(A620,Pr_Base_LNEC!$A$4:$J$6971,7,FALSE)</f>
        <v>0</v>
      </c>
    </row>
    <row r="621" spans="1:11" ht="14.5">
      <c r="A621" s="20" t="s">
        <v>15210</v>
      </c>
      <c r="B621" s="20">
        <v>20</v>
      </c>
      <c r="C621" s="20">
        <v>31</v>
      </c>
      <c r="D621" s="20">
        <v>53</v>
      </c>
      <c r="E621" s="20">
        <v>43</v>
      </c>
      <c r="F621" s="20" t="s">
        <v>15211</v>
      </c>
      <c r="G621" s="20" t="s">
        <v>15212</v>
      </c>
      <c r="H621" s="24"/>
      <c r="I621" s="24" t="str">
        <f ca="1">IFERROR(__xludf.DUMMYFUNCTION("GOOGLETRANSLATE(F621,""en"",""pt"")"),"morteiros intumescentes")</f>
        <v>morteiros intumescentes</v>
      </c>
      <c r="J621" t="str">
        <f>VLOOKUP(A621,Pr_Base_LNEC!$A$4:$J$6971,6,FALSE)</f>
        <v>-</v>
      </c>
      <c r="K621">
        <f>VLOOKUP(A621,Pr_Base_LNEC!$A$4:$J$6971,7,FALSE)</f>
        <v>0</v>
      </c>
    </row>
    <row r="622" spans="1:11" ht="14.5">
      <c r="A622" s="20" t="s">
        <v>15213</v>
      </c>
      <c r="B622" s="20">
        <v>20</v>
      </c>
      <c r="C622" s="20">
        <v>31</v>
      </c>
      <c r="D622" s="20">
        <v>53</v>
      </c>
      <c r="E622" s="20">
        <v>47</v>
      </c>
      <c r="F622" s="20" t="s">
        <v>15214</v>
      </c>
      <c r="G622" s="20" t="s">
        <v>15215</v>
      </c>
      <c r="H622" s="24"/>
      <c r="I622" s="24" t="str">
        <f ca="1">IFERROR(__xludf.DUMMYFUNCTION("GOOGLETRANSLATE(F622,""en"",""pt"")"),"argamassas leves")</f>
        <v>argamassas leves</v>
      </c>
      <c r="J622" t="str">
        <f>VLOOKUP(A622,Pr_Base_LNEC!$A$4:$J$6971,6,FALSE)</f>
        <v>Argamassas leves para alvenaria de assentamento</v>
      </c>
      <c r="K622" t="str">
        <f>VLOOKUP(A622,Pr_Base_LNEC!$A$4:$J$6971,7,FALSE)</f>
        <v>EN 998-2:2016</v>
      </c>
    </row>
    <row r="623" spans="1:11" ht="14.5">
      <c r="A623" s="20" t="s">
        <v>15216</v>
      </c>
      <c r="B623" s="20">
        <v>20</v>
      </c>
      <c r="C623" s="20">
        <v>31</v>
      </c>
      <c r="D623" s="20">
        <v>53</v>
      </c>
      <c r="E623" s="20">
        <v>50</v>
      </c>
      <c r="F623" s="20" t="s">
        <v>15217</v>
      </c>
      <c r="G623" s="20" t="s">
        <v>15218</v>
      </c>
      <c r="H623" s="24"/>
      <c r="I623" s="24" t="str">
        <f ca="1">IFERROR(__xludf.DUMMYFUNCTION("GOOGLETRANSLATE(F623,""en"",""pt"")"),"alvenaria argamassa")</f>
        <v>alvenaria argamassa</v>
      </c>
      <c r="J623" t="str">
        <f>VLOOKUP(A623,Pr_Base_LNEC!$A$4:$J$6971,6,FALSE)</f>
        <v>-</v>
      </c>
      <c r="K623">
        <f>VLOOKUP(A623,Pr_Base_LNEC!$A$4:$J$6971,7,FALSE)</f>
        <v>0</v>
      </c>
    </row>
    <row r="624" spans="1:11" ht="14.5">
      <c r="A624" s="20" t="s">
        <v>15219</v>
      </c>
      <c r="B624" s="20">
        <v>20</v>
      </c>
      <c r="C624" s="20">
        <v>31</v>
      </c>
      <c r="D624" s="20">
        <v>53</v>
      </c>
      <c r="E624" s="20">
        <v>52</v>
      </c>
      <c r="F624" s="20" t="s">
        <v>15220</v>
      </c>
      <c r="G624" s="20" t="s">
        <v>15221</v>
      </c>
      <c r="H624" s="24"/>
      <c r="I624" s="24" t="str">
        <f ca="1">IFERROR(__xludf.DUMMYFUNCTION("GOOGLETRANSLATE(F624,""en"",""pt"")"),"Metal de ancoragem e fixações rejuntes")</f>
        <v>Metal de ancoragem e fixações rejuntes</v>
      </c>
      <c r="J624" t="str">
        <f>VLOOKUP(A624,Pr_Base_LNEC!$A$4:$J$6971,6,FALSE)</f>
        <v>Ancoragens para Armaduras de Aço</v>
      </c>
      <c r="K624" t="str">
        <f>VLOOKUP(A624,Pr_Base_LNEC!$A$4:$J$6971,7,FALSE)</f>
        <v>EN 1504-6:2006</v>
      </c>
    </row>
    <row r="625" spans="1:11" ht="14.5">
      <c r="A625" s="20" t="s">
        <v>15222</v>
      </c>
      <c r="B625" s="20">
        <v>20</v>
      </c>
      <c r="C625" s="20">
        <v>31</v>
      </c>
      <c r="D625" s="20">
        <v>53</v>
      </c>
      <c r="E625" s="20">
        <v>54</v>
      </c>
      <c r="F625" s="20" t="s">
        <v>15223</v>
      </c>
      <c r="G625" s="20" t="s">
        <v>15224</v>
      </c>
      <c r="H625" s="24"/>
      <c r="I625" s="24" t="str">
        <f ca="1">IFERROR(__xludf.DUMMYFUNCTION("GOOGLETRANSLATE(F625,""en"",""pt"")"),"Argamassa argamassa de reparação")</f>
        <v>Argamassa argamassa de reparação</v>
      </c>
      <c r="J625" t="str">
        <f>VLOOKUP(A625,Pr_Base_LNEC!$A$4:$J$6971,6,FALSE)</f>
        <v>Argamassas de reparação para argamassas</v>
      </c>
      <c r="K625" t="str">
        <f>VLOOKUP(A625,Pr_Base_LNEC!$A$4:$J$6971,7,FALSE)</f>
        <v>EN 998-2:2016</v>
      </c>
    </row>
    <row r="626" spans="1:11" ht="14.5">
      <c r="A626" s="20" t="s">
        <v>15225</v>
      </c>
      <c r="B626" s="20">
        <v>20</v>
      </c>
      <c r="C626" s="20">
        <v>31</v>
      </c>
      <c r="D626" s="20">
        <v>53</v>
      </c>
      <c r="E626" s="20">
        <v>60</v>
      </c>
      <c r="F626" s="20" t="s">
        <v>15226</v>
      </c>
      <c r="G626" s="20" t="s">
        <v>15227</v>
      </c>
      <c r="H626" s="24"/>
      <c r="I626" s="24" t="str">
        <f ca="1">IFERROR(__xludf.DUMMYFUNCTION("GOOGLETRANSLATE(F626,""en"",""pt"")"),"Pavimentação de argamassas de junção")</f>
        <v>Pavimentação de argamassas de junção</v>
      </c>
      <c r="J626" t="str">
        <f>VLOOKUP(A626,Pr_Base_LNEC!$A$4:$J$6971,6,FALSE)</f>
        <v>-</v>
      </c>
      <c r="K626">
        <f>VLOOKUP(A626,Pr_Base_LNEC!$A$4:$J$6971,7,FALSE)</f>
        <v>0</v>
      </c>
    </row>
    <row r="627" spans="1:11" ht="14.5">
      <c r="A627" s="20" t="s">
        <v>15228</v>
      </c>
      <c r="B627" s="20">
        <v>20</v>
      </c>
      <c r="C627" s="20">
        <v>31</v>
      </c>
      <c r="D627" s="20">
        <v>53</v>
      </c>
      <c r="E627" s="20">
        <v>61</v>
      </c>
      <c r="F627" s="20" t="s">
        <v>15229</v>
      </c>
      <c r="G627" s="20" t="s">
        <v>15230</v>
      </c>
      <c r="H627" s="24"/>
      <c r="I627" s="24" t="str">
        <f ca="1">IFERROR(__xludf.DUMMYFUNCTION("GOOGLETRANSLATE(F627,""en"",""pt"")"),"Pavimentação poedeiras morteiros curso")</f>
        <v>Pavimentação poedeiras morteiros curso</v>
      </c>
      <c r="J627" t="str">
        <f>VLOOKUP(A627,Pr_Base_LNEC!$A$4:$J$6971,6,FALSE)</f>
        <v>-</v>
      </c>
      <c r="K627">
        <f>VLOOKUP(A627,Pr_Base_LNEC!$A$4:$J$6971,7,FALSE)</f>
        <v>0</v>
      </c>
    </row>
    <row r="628" spans="1:11" ht="14.5">
      <c r="A628" s="20" t="s">
        <v>15231</v>
      </c>
      <c r="B628" s="20">
        <v>20</v>
      </c>
      <c r="C628" s="20">
        <v>31</v>
      </c>
      <c r="D628" s="20">
        <v>53</v>
      </c>
      <c r="E628" s="20">
        <v>62</v>
      </c>
      <c r="F628" s="20" t="s">
        <v>15232</v>
      </c>
      <c r="G628" s="20" t="s">
        <v>15233</v>
      </c>
      <c r="H628" s="24"/>
      <c r="I628" s="24" t="str">
        <f ca="1">IFERROR(__xludf.DUMMYFUNCTION("GOOGLETRANSLATE(F628,""en"",""pt"")"),"Pavimentação priming unidade chapiscos")</f>
        <v>Pavimentação priming unidade chapiscos</v>
      </c>
      <c r="J628" t="str">
        <f>VLOOKUP(A628,Pr_Base_LNEC!$A$4:$J$6971,6,FALSE)</f>
        <v>-</v>
      </c>
      <c r="K628">
        <f>VLOOKUP(A628,Pr_Base_LNEC!$A$4:$J$6971,7,FALSE)</f>
        <v>0</v>
      </c>
    </row>
    <row r="629" spans="1:11" ht="14.5">
      <c r="A629" s="20" t="s">
        <v>15234</v>
      </c>
      <c r="B629" s="20">
        <v>20</v>
      </c>
      <c r="C629" s="20">
        <v>31</v>
      </c>
      <c r="D629" s="20">
        <v>53</v>
      </c>
      <c r="E629" s="20">
        <v>64</v>
      </c>
      <c r="F629" s="20" t="s">
        <v>15235</v>
      </c>
      <c r="G629" s="20" t="s">
        <v>15236</v>
      </c>
      <c r="H629" s="24"/>
      <c r="I629" s="24" t="str">
        <f ca="1">IFERROR(__xludf.DUMMYFUNCTION("GOOGLETRANSLATE(F629,""en"",""pt"")"),"caldas de resina de poliéster")</f>
        <v>caldas de resina de poliéster</v>
      </c>
      <c r="J629" t="str">
        <f>VLOOKUP(A629,Pr_Base_LNEC!$A$4:$J$6971,6,FALSE)</f>
        <v>-</v>
      </c>
      <c r="K629">
        <f>VLOOKUP(A629,Pr_Base_LNEC!$A$4:$J$6971,7,FALSE)</f>
        <v>0</v>
      </c>
    </row>
    <row r="630" spans="1:11" ht="14.5">
      <c r="A630" s="20" t="s">
        <v>15237</v>
      </c>
      <c r="B630" s="20">
        <v>20</v>
      </c>
      <c r="C630" s="20">
        <v>31</v>
      </c>
      <c r="D630" s="20">
        <v>53</v>
      </c>
      <c r="E630" s="20">
        <v>65</v>
      </c>
      <c r="F630" s="20" t="s">
        <v>15238</v>
      </c>
      <c r="G630" s="20" t="s">
        <v>15239</v>
      </c>
      <c r="H630" s="24"/>
      <c r="I630" s="24" t="str">
        <f ca="1">IFERROR(__xludf.DUMMYFUNCTION("GOOGLETRANSLATE(F630,""en"",""pt"")"),"argamassas de cimento modificados por polímeros")</f>
        <v>argamassas de cimento modificados por polímeros</v>
      </c>
      <c r="J630" t="str">
        <f>VLOOKUP(A630,Pr_Base_LNEC!$A$4:$J$6971,6,FALSE)</f>
        <v>-</v>
      </c>
      <c r="K630">
        <f>VLOOKUP(A630,Pr_Base_LNEC!$A$4:$J$6971,7,FALSE)</f>
        <v>0</v>
      </c>
    </row>
    <row r="631" spans="1:11" ht="14.5">
      <c r="A631" s="20" t="s">
        <v>15240</v>
      </c>
      <c r="B631" s="20">
        <v>20</v>
      </c>
      <c r="C631" s="20">
        <v>31</v>
      </c>
      <c r="D631" s="20">
        <v>53</v>
      </c>
      <c r="E631" s="20">
        <v>66</v>
      </c>
      <c r="F631" s="20" t="s">
        <v>15241</v>
      </c>
      <c r="G631" s="20" t="s">
        <v>15242</v>
      </c>
      <c r="H631" s="24"/>
      <c r="I631" s="24" t="str">
        <f ca="1">IFERROR(__xludf.DUMMYFUNCTION("GOOGLETRANSLATE(F631,""en"",""pt"")"),"pastas de cimento modificados por polímeros")</f>
        <v>pastas de cimento modificados por polímeros</v>
      </c>
      <c r="J631" t="str">
        <f>VLOOKUP(A631,Pr_Base_LNEC!$A$4:$J$6971,6,FALSE)</f>
        <v>-</v>
      </c>
      <c r="K631">
        <f>VLOOKUP(A631,Pr_Base_LNEC!$A$4:$J$6971,7,FALSE)</f>
        <v>0</v>
      </c>
    </row>
    <row r="632" spans="1:11" ht="14.5">
      <c r="A632" s="20" t="s">
        <v>15243</v>
      </c>
      <c r="B632" s="20">
        <v>20</v>
      </c>
      <c r="C632" s="20">
        <v>31</v>
      </c>
      <c r="D632" s="20">
        <v>53</v>
      </c>
      <c r="E632" s="20">
        <v>71</v>
      </c>
      <c r="F632" s="20" t="s">
        <v>15244</v>
      </c>
      <c r="G632" s="20" t="s">
        <v>15245</v>
      </c>
      <c r="H632" s="24"/>
      <c r="I632" s="24" t="str">
        <f ca="1">IFERROR(__xludf.DUMMYFUNCTION("GOOGLETRANSLATE(F632,""en"",""pt"")"),"caldas de resina")</f>
        <v>caldas de resina</v>
      </c>
      <c r="J632" t="str">
        <f>VLOOKUP(A632,Pr_Base_LNEC!$A$4:$J$6971,6,FALSE)</f>
        <v>-</v>
      </c>
      <c r="K632">
        <f>VLOOKUP(A632,Pr_Base_LNEC!$A$4:$J$6971,7,FALSE)</f>
        <v>0</v>
      </c>
    </row>
    <row r="633" spans="1:11" ht="14.5">
      <c r="A633" s="20" t="s">
        <v>15246</v>
      </c>
      <c r="B633" s="20">
        <v>20</v>
      </c>
      <c r="C633" s="20">
        <v>31</v>
      </c>
      <c r="D633" s="20">
        <v>53</v>
      </c>
      <c r="E633" s="20">
        <v>76</v>
      </c>
      <c r="F633" s="20" t="s">
        <v>15247</v>
      </c>
      <c r="G633" s="20" t="s">
        <v>15248</v>
      </c>
      <c r="H633" s="24"/>
      <c r="I633" s="24" t="str">
        <f ca="1">IFERROR(__xludf.DUMMYFUNCTION("GOOGLETRANSLATE(F633,""en"",""pt"")"),"misturas de polpa de auto-endurecimento")</f>
        <v>misturas de polpa de auto-endurecimento</v>
      </c>
      <c r="J633" t="str">
        <f>VLOOKUP(A633,Pr_Base_LNEC!$A$4:$J$6971,6,FALSE)</f>
        <v>-</v>
      </c>
      <c r="K633">
        <f>VLOOKUP(A633,Pr_Base_LNEC!$A$4:$J$6971,7,FALSE)</f>
        <v>0</v>
      </c>
    </row>
    <row r="634" spans="1:11" ht="14.5">
      <c r="A634" s="20" t="s">
        <v>15249</v>
      </c>
      <c r="B634" s="20">
        <v>20</v>
      </c>
      <c r="C634" s="20">
        <v>31</v>
      </c>
      <c r="D634" s="20">
        <v>53</v>
      </c>
      <c r="E634" s="20">
        <v>79</v>
      </c>
      <c r="F634" s="20" t="s">
        <v>15250</v>
      </c>
      <c r="G634" s="24"/>
      <c r="H634" s="24"/>
      <c r="I634" s="24" t="str">
        <f ca="1">IFERROR(__xludf.DUMMYFUNCTION("GOOGLETRANSLATE(F634,""en"",""pt"")"),"caldas de sílica")</f>
        <v>caldas de sílica</v>
      </c>
      <c r="J634" t="str">
        <f>VLOOKUP(A634,Pr_Base_LNEC!$A$4:$J$6971,6,FALSE)</f>
        <v>-</v>
      </c>
      <c r="K634">
        <f>VLOOKUP(A634,Pr_Base_LNEC!$A$4:$J$6971,7,FALSE)</f>
        <v>0</v>
      </c>
    </row>
    <row r="635" spans="1:11" ht="14.5">
      <c r="A635" s="20" t="s">
        <v>15251</v>
      </c>
      <c r="B635" s="20">
        <v>20</v>
      </c>
      <c r="C635" s="20">
        <v>31</v>
      </c>
      <c r="D635" s="20">
        <v>53</v>
      </c>
      <c r="E635" s="20">
        <v>88</v>
      </c>
      <c r="F635" s="20" t="s">
        <v>15252</v>
      </c>
      <c r="G635" s="20" t="s">
        <v>15253</v>
      </c>
      <c r="H635" s="24"/>
      <c r="I635" s="24" t="str">
        <f ca="1">IFERROR(__xludf.DUMMYFUNCTION("GOOGLETRANSLATE(F635,""en"",""pt"")"),"argamassas de camada fina")</f>
        <v>argamassas de camada fina</v>
      </c>
      <c r="J635" t="str">
        <f>VLOOKUP(A635,Pr_Base_LNEC!$A$4:$J$6971,6,FALSE)</f>
        <v>Argamassas de camada fina para alvenaria</v>
      </c>
      <c r="K635" t="str">
        <f>VLOOKUP(A635,Pr_Base_LNEC!$A$4:$J$6971,7,FALSE)</f>
        <v>EN 998-2:2016</v>
      </c>
    </row>
    <row r="636" spans="1:11" ht="14.5">
      <c r="A636" s="20" t="s">
        <v>15254</v>
      </c>
      <c r="B636" s="20">
        <v>20</v>
      </c>
      <c r="C636" s="20">
        <v>31</v>
      </c>
      <c r="D636" s="20">
        <v>53</v>
      </c>
      <c r="E636" s="20">
        <v>90</v>
      </c>
      <c r="F636" s="20" t="s">
        <v>15255</v>
      </c>
      <c r="G636" s="20" t="s">
        <v>15256</v>
      </c>
      <c r="H636" s="24"/>
      <c r="I636" s="24" t="str">
        <f ca="1">IFERROR(__xludf.DUMMYFUNCTION("GOOGLETRANSLATE(F636,""en"",""pt"")"),"caldas de resina tixotrópicos")</f>
        <v>caldas de resina tixotrópicos</v>
      </c>
      <c r="J636" t="str">
        <f>VLOOKUP(A636,Pr_Base_LNEC!$A$4:$J$6971,6,FALSE)</f>
        <v>-</v>
      </c>
      <c r="K636">
        <f>VLOOKUP(A636,Pr_Base_LNEC!$A$4:$J$6971,7,FALSE)</f>
        <v>0</v>
      </c>
    </row>
    <row r="637" spans="1:11" ht="14.5">
      <c r="A637" s="20" t="s">
        <v>15257</v>
      </c>
      <c r="B637" s="20">
        <v>20</v>
      </c>
      <c r="C637" s="20">
        <v>31</v>
      </c>
      <c r="D637" s="20">
        <v>53</v>
      </c>
      <c r="E637" s="20">
        <v>96</v>
      </c>
      <c r="F637" s="20" t="s">
        <v>15258</v>
      </c>
      <c r="G637" s="20" t="s">
        <v>15259</v>
      </c>
      <c r="H637" s="24"/>
      <c r="I637" s="24" t="str">
        <f ca="1">IFERROR(__xludf.DUMMYFUNCTION("GOOGLETRANSLATE(F637,""en"",""pt"")"),"argamassas impermeáveis")</f>
        <v>argamassas impermeáveis</v>
      </c>
      <c r="J637" t="str">
        <f>VLOOKUP(A637,Pr_Base_LNEC!$A$4:$J$6971,6,FALSE)</f>
        <v>-</v>
      </c>
      <c r="K637">
        <f>VLOOKUP(A637,Pr_Base_LNEC!$A$4:$J$6971,7,FALSE)</f>
        <v>0</v>
      </c>
    </row>
    <row r="638" spans="1:11" ht="14.5">
      <c r="A638" s="20" t="s">
        <v>15260</v>
      </c>
      <c r="B638" s="20">
        <v>20</v>
      </c>
      <c r="C638" s="20">
        <v>31</v>
      </c>
      <c r="D638" s="20">
        <v>56</v>
      </c>
      <c r="E638" s="24"/>
      <c r="F638" s="20" t="s">
        <v>15261</v>
      </c>
      <c r="G638" s="24"/>
      <c r="H638" s="24"/>
      <c r="I638" s="24" t="str">
        <f ca="1">IFERROR(__xludf.DUMMYFUNCTION("GOOGLETRANSLATE(F638,""en"",""pt"")"),"resinas naturais")</f>
        <v>resinas naturais</v>
      </c>
      <c r="J638" t="str">
        <f>VLOOKUP(A638,Pr_Base_LNEC!$A$4:$J$6971,6,FALSE)</f>
        <v>Resinas Naturais</v>
      </c>
      <c r="K638" t="str">
        <f>VLOOKUP(A638,Pr_Base_LNEC!$A$4:$J$6971,7,FALSE)</f>
        <v>-</v>
      </c>
    </row>
    <row r="639" spans="1:11" ht="14.5">
      <c r="A639" s="20" t="s">
        <v>15262</v>
      </c>
      <c r="B639" s="20">
        <v>20</v>
      </c>
      <c r="C639" s="20">
        <v>31</v>
      </c>
      <c r="D639" s="20">
        <v>56</v>
      </c>
      <c r="E639" s="20">
        <v>11</v>
      </c>
      <c r="F639" s="20" t="s">
        <v>15263</v>
      </c>
      <c r="G639" s="24"/>
      <c r="H639" s="24"/>
      <c r="I639" s="24" t="str">
        <f ca="1">IFERROR(__xludf.DUMMYFUNCTION("GOOGLETRANSLATE(F639,""en"",""pt"")"),"resinas Balsam")</f>
        <v>resinas Balsam</v>
      </c>
      <c r="J639" t="str">
        <f>VLOOKUP(A639,Pr_Base_LNEC!$A$4:$J$6971,6,FALSE)</f>
        <v>-</v>
      </c>
      <c r="K639">
        <f>VLOOKUP(A639,Pr_Base_LNEC!$A$4:$J$6971,7,FALSE)</f>
        <v>0</v>
      </c>
    </row>
    <row r="640" spans="1:11" ht="14.5">
      <c r="A640" s="20" t="s">
        <v>15264</v>
      </c>
      <c r="B640" s="20">
        <v>20</v>
      </c>
      <c r="C640" s="20">
        <v>31</v>
      </c>
      <c r="D640" s="20">
        <v>56</v>
      </c>
      <c r="E640" s="20">
        <v>13</v>
      </c>
      <c r="F640" s="20" t="s">
        <v>15265</v>
      </c>
      <c r="G640" s="24"/>
      <c r="H640" s="24"/>
      <c r="I640" s="24" t="str">
        <f ca="1">IFERROR(__xludf.DUMMYFUNCTION("GOOGLETRANSLATE(F640,""en"",""pt"")"),"resinas de benzoína")</f>
        <v>resinas de benzoína</v>
      </c>
      <c r="J640" t="str">
        <f>VLOOKUP(A640,Pr_Base_LNEC!$A$4:$J$6971,6,FALSE)</f>
        <v>-</v>
      </c>
      <c r="K640">
        <f>VLOOKUP(A640,Pr_Base_LNEC!$A$4:$J$6971,7,FALSE)</f>
        <v>0</v>
      </c>
    </row>
    <row r="641" spans="1:11" ht="14.5">
      <c r="A641" s="20" t="s">
        <v>15266</v>
      </c>
      <c r="B641" s="20">
        <v>20</v>
      </c>
      <c r="C641" s="20">
        <v>31</v>
      </c>
      <c r="D641" s="20">
        <v>56</v>
      </c>
      <c r="E641" s="20">
        <v>16</v>
      </c>
      <c r="F641" s="20" t="s">
        <v>15267</v>
      </c>
      <c r="G641" s="24"/>
      <c r="H641" s="24"/>
      <c r="I641" s="24" t="str">
        <f ca="1">IFERROR(__xludf.DUMMYFUNCTION("GOOGLETRANSLATE(F641,""en"",""pt"")"),"resinas Copal")</f>
        <v>resinas Copal</v>
      </c>
      <c r="J641" t="str">
        <f>VLOOKUP(A641,Pr_Base_LNEC!$A$4:$J$6971,6,FALSE)</f>
        <v>-</v>
      </c>
      <c r="K641">
        <f>VLOOKUP(A641,Pr_Base_LNEC!$A$4:$J$6971,7,FALSE)</f>
        <v>0</v>
      </c>
    </row>
    <row r="642" spans="1:11" ht="14.5">
      <c r="A642" s="20" t="s">
        <v>15268</v>
      </c>
      <c r="B642" s="20">
        <v>20</v>
      </c>
      <c r="C642" s="20">
        <v>31</v>
      </c>
      <c r="D642" s="20">
        <v>56</v>
      </c>
      <c r="E642" s="20">
        <v>21</v>
      </c>
      <c r="F642" s="20" t="s">
        <v>15269</v>
      </c>
      <c r="G642" s="24"/>
      <c r="H642" s="24"/>
      <c r="I642" s="24" t="str">
        <f ca="1">IFERROR(__xludf.DUMMYFUNCTION("GOOGLETRANSLATE(F642,""en"",""pt"")"),"resinas damar")</f>
        <v>resinas damar</v>
      </c>
      <c r="J642" t="str">
        <f>VLOOKUP(A642,Pr_Base_LNEC!$A$4:$J$6971,6,FALSE)</f>
        <v>-</v>
      </c>
      <c r="K642">
        <f>VLOOKUP(A642,Pr_Base_LNEC!$A$4:$J$6971,7,FALSE)</f>
        <v>0</v>
      </c>
    </row>
    <row r="643" spans="1:11" ht="14.5">
      <c r="A643" s="20" t="s">
        <v>15270</v>
      </c>
      <c r="B643" s="20">
        <v>20</v>
      </c>
      <c r="C643" s="20">
        <v>31</v>
      </c>
      <c r="D643" s="20">
        <v>56</v>
      </c>
      <c r="E643" s="20">
        <v>46</v>
      </c>
      <c r="F643" s="20" t="s">
        <v>15271</v>
      </c>
      <c r="G643" s="24"/>
      <c r="H643" s="24"/>
      <c r="I643" s="24" t="str">
        <f ca="1">IFERROR(__xludf.DUMMYFUNCTION("GOOGLETRANSLATE(F643,""en"",""pt"")"),"resinas de laca")</f>
        <v>resinas de laca</v>
      </c>
      <c r="J643" t="str">
        <f>VLOOKUP(A643,Pr_Base_LNEC!$A$4:$J$6971,6,FALSE)</f>
        <v>-</v>
      </c>
      <c r="K643">
        <f>VLOOKUP(A643,Pr_Base_LNEC!$A$4:$J$6971,7,FALSE)</f>
        <v>0</v>
      </c>
    </row>
    <row r="644" spans="1:11" ht="14.5">
      <c r="A644" s="20" t="s">
        <v>15272</v>
      </c>
      <c r="B644" s="20">
        <v>20</v>
      </c>
      <c r="C644" s="20">
        <v>31</v>
      </c>
      <c r="D644" s="20">
        <v>56</v>
      </c>
      <c r="E644" s="20">
        <v>50</v>
      </c>
      <c r="F644" s="20" t="s">
        <v>15273</v>
      </c>
      <c r="G644" s="24"/>
      <c r="H644" s="24"/>
      <c r="I644" s="24" t="str">
        <f ca="1">IFERROR(__xludf.DUMMYFUNCTION("GOOGLETRANSLATE(F644,""en"",""pt"")"),"resinas Mastic")</f>
        <v>resinas Mastic</v>
      </c>
      <c r="J644" t="str">
        <f>VLOOKUP(A644,Pr_Base_LNEC!$A$4:$J$6971,6,FALSE)</f>
        <v>-</v>
      </c>
      <c r="K644">
        <f>VLOOKUP(A644,Pr_Base_LNEC!$A$4:$J$6971,7,FALSE)</f>
        <v>0</v>
      </c>
    </row>
    <row r="645" spans="1:11" ht="14.5">
      <c r="A645" s="20" t="s">
        <v>15274</v>
      </c>
      <c r="B645" s="20">
        <v>20</v>
      </c>
      <c r="C645" s="20">
        <v>31</v>
      </c>
      <c r="D645" s="20">
        <v>56</v>
      </c>
      <c r="E645" s="20">
        <v>77</v>
      </c>
      <c r="F645" s="20" t="s">
        <v>15275</v>
      </c>
      <c r="G645" s="24"/>
      <c r="H645" s="24"/>
      <c r="I645" s="24" t="str">
        <f ca="1">IFERROR(__xludf.DUMMYFUNCTION("GOOGLETRANSLATE(F645,""en"",""pt"")"),"resinas Shellac")</f>
        <v>resinas Shellac</v>
      </c>
      <c r="J645" t="str">
        <f>VLOOKUP(A645,Pr_Base_LNEC!$A$4:$J$6971,6,FALSE)</f>
        <v>-</v>
      </c>
      <c r="K645">
        <f>VLOOKUP(A645,Pr_Base_LNEC!$A$4:$J$6971,7,FALSE)</f>
        <v>0</v>
      </c>
    </row>
    <row r="646" spans="1:11" ht="14.5">
      <c r="A646" s="20" t="s">
        <v>15276</v>
      </c>
      <c r="B646" s="20">
        <v>20</v>
      </c>
      <c r="C646" s="20">
        <v>31</v>
      </c>
      <c r="D646" s="20">
        <v>56</v>
      </c>
      <c r="E646" s="20">
        <v>91</v>
      </c>
      <c r="F646" s="20" t="s">
        <v>15277</v>
      </c>
      <c r="G646" s="24"/>
      <c r="H646" s="24"/>
      <c r="I646" s="24" t="str">
        <f ca="1">IFERROR(__xludf.DUMMYFUNCTION("GOOGLETRANSLATE(F646,""en"",""pt"")"),"resinas de terebintina")</f>
        <v>resinas de terebintina</v>
      </c>
      <c r="J646" t="str">
        <f>VLOOKUP(A646,Pr_Base_LNEC!$A$4:$J$6971,6,FALSE)</f>
        <v>-</v>
      </c>
      <c r="K646">
        <f>VLOOKUP(A646,Pr_Base_LNEC!$A$4:$J$6971,7,FALSE)</f>
        <v>0</v>
      </c>
    </row>
    <row r="647" spans="1:11" ht="14.5">
      <c r="A647" s="20" t="s">
        <v>15278</v>
      </c>
      <c r="B647" s="20">
        <v>20</v>
      </c>
      <c r="C647" s="20">
        <v>31</v>
      </c>
      <c r="D647" s="20">
        <v>86</v>
      </c>
      <c r="E647" s="24"/>
      <c r="F647" s="20" t="s">
        <v>15279</v>
      </c>
      <c r="G647" s="24"/>
      <c r="H647" s="24"/>
      <c r="I647" s="24" t="str">
        <f ca="1">IFERROR(__xludf.DUMMYFUNCTION("GOOGLETRANSLATE(F647,""en"",""pt"")"),"resinas sintéticas")</f>
        <v>resinas sintéticas</v>
      </c>
      <c r="J647" t="str">
        <f>VLOOKUP(A647,Pr_Base_LNEC!$A$4:$J$6971,6,FALSE)</f>
        <v>Resinas Sintéticas</v>
      </c>
      <c r="K647" t="str">
        <f>VLOOKUP(A647,Pr_Base_LNEC!$A$4:$J$6971,7,FALSE)</f>
        <v>-</v>
      </c>
    </row>
    <row r="648" spans="1:11" ht="14.5">
      <c r="A648" s="20" t="s">
        <v>15280</v>
      </c>
      <c r="B648" s="20">
        <v>20</v>
      </c>
      <c r="C648" s="20">
        <v>31</v>
      </c>
      <c r="D648" s="20">
        <v>86</v>
      </c>
      <c r="E648" s="20">
        <v>1</v>
      </c>
      <c r="F648" s="20" t="s">
        <v>15281</v>
      </c>
      <c r="G648" s="24"/>
      <c r="H648" s="24"/>
      <c r="I648" s="24" t="str">
        <f ca="1">IFERROR(__xludf.DUMMYFUNCTION("GOOGLETRANSLATE(F648,""en"",""pt"")"),"resinas de acetal")</f>
        <v>resinas de acetal</v>
      </c>
      <c r="J648" t="str">
        <f>VLOOKUP(A648,Pr_Base_LNEC!$A$4:$J$6971,6,FALSE)</f>
        <v>-</v>
      </c>
      <c r="K648">
        <f>VLOOKUP(A648,Pr_Base_LNEC!$A$4:$J$6971,7,FALSE)</f>
        <v>0</v>
      </c>
    </row>
    <row r="649" spans="1:11" ht="14.5">
      <c r="A649" s="20" t="s">
        <v>15282</v>
      </c>
      <c r="B649" s="20">
        <v>20</v>
      </c>
      <c r="C649" s="20">
        <v>31</v>
      </c>
      <c r="D649" s="20">
        <v>86</v>
      </c>
      <c r="E649" s="20">
        <v>2</v>
      </c>
      <c r="F649" s="20" t="s">
        <v>15283</v>
      </c>
      <c r="G649" s="20" t="s">
        <v>15284</v>
      </c>
      <c r="H649" s="24"/>
      <c r="I649" s="24" t="str">
        <f ca="1">IFERROR(__xludf.DUMMYFUNCTION("GOOGLETRANSLATE(F649,""en"",""pt"")"),"resinas acrílicas")</f>
        <v>resinas acrílicas</v>
      </c>
      <c r="J649" t="str">
        <f>VLOOKUP(A649,Pr_Base_LNEC!$A$4:$J$6971,6,FALSE)</f>
        <v>-</v>
      </c>
      <c r="K649">
        <f>VLOOKUP(A649,Pr_Base_LNEC!$A$4:$J$6971,7,FALSE)</f>
        <v>0</v>
      </c>
    </row>
    <row r="650" spans="1:11" ht="14.5">
      <c r="A650" s="20" t="s">
        <v>15285</v>
      </c>
      <c r="B650" s="20">
        <v>20</v>
      </c>
      <c r="C650" s="20">
        <v>31</v>
      </c>
      <c r="D650" s="20">
        <v>86</v>
      </c>
      <c r="E650" s="20">
        <v>3</v>
      </c>
      <c r="F650" s="20" t="s">
        <v>15286</v>
      </c>
      <c r="G650" s="24"/>
      <c r="H650" s="24"/>
      <c r="I650" s="24" t="str">
        <f ca="1">IFERROR(__xludf.DUMMYFUNCTION("GOOGLETRANSLATE(F650,""en"",""pt"")"),"Acrilonitrilo butadieno estireno (ABS), resinas")</f>
        <v>Acrilonitrilo butadieno estireno (ABS), resinas</v>
      </c>
      <c r="J650" t="str">
        <f>VLOOKUP(A650,Pr_Base_LNEC!$A$4:$J$6971,6,FALSE)</f>
        <v>-</v>
      </c>
      <c r="K650">
        <f>VLOOKUP(A650,Pr_Base_LNEC!$A$4:$J$6971,7,FALSE)</f>
        <v>0</v>
      </c>
    </row>
    <row r="651" spans="1:11" ht="14.5">
      <c r="A651" s="20" t="s">
        <v>15287</v>
      </c>
      <c r="B651" s="20">
        <v>20</v>
      </c>
      <c r="C651" s="20">
        <v>31</v>
      </c>
      <c r="D651" s="20">
        <v>86</v>
      </c>
      <c r="E651" s="20">
        <v>4</v>
      </c>
      <c r="F651" s="20" t="s">
        <v>15288</v>
      </c>
      <c r="G651" s="24"/>
      <c r="H651" s="24"/>
      <c r="I651" s="24" t="str">
        <f ca="1">IFERROR(__xludf.DUMMYFUNCTION("GOOGLETRANSLATE(F651,""en"",""pt"")"),"resinas alquídicas")</f>
        <v>resinas alquídicas</v>
      </c>
      <c r="J651" t="str">
        <f>VLOOKUP(A651,Pr_Base_LNEC!$A$4:$J$6971,6,FALSE)</f>
        <v>-</v>
      </c>
      <c r="K651">
        <f>VLOOKUP(A651,Pr_Base_LNEC!$A$4:$J$6971,7,FALSE)</f>
        <v>0</v>
      </c>
    </row>
    <row r="652" spans="1:11" ht="14.5">
      <c r="A652" s="20" t="s">
        <v>15289</v>
      </c>
      <c r="B652" s="20">
        <v>20</v>
      </c>
      <c r="C652" s="20">
        <v>31</v>
      </c>
      <c r="D652" s="20">
        <v>86</v>
      </c>
      <c r="E652" s="20">
        <v>27</v>
      </c>
      <c r="F652" s="20" t="s">
        <v>15290</v>
      </c>
      <c r="G652" s="20" t="s">
        <v>15291</v>
      </c>
      <c r="H652" s="24"/>
      <c r="I652" s="24" t="str">
        <f ca="1">IFERROR(__xludf.DUMMYFUNCTION("GOOGLETRANSLATE(F652,""en"",""pt"")"),"As resinas epóxi")</f>
        <v>As resinas epóxi</v>
      </c>
      <c r="J652" t="str">
        <f>VLOOKUP(A652,Pr_Base_LNEC!$A$4:$J$6971,6,FALSE)</f>
        <v>-</v>
      </c>
      <c r="K652">
        <f>VLOOKUP(A652,Pr_Base_LNEC!$A$4:$J$6971,7,FALSE)</f>
        <v>0</v>
      </c>
    </row>
    <row r="653" spans="1:11" ht="14.5">
      <c r="A653" s="20" t="s">
        <v>15292</v>
      </c>
      <c r="B653" s="20">
        <v>20</v>
      </c>
      <c r="C653" s="20">
        <v>31</v>
      </c>
      <c r="D653" s="20">
        <v>86</v>
      </c>
      <c r="E653" s="20">
        <v>28</v>
      </c>
      <c r="F653" s="20" t="s">
        <v>15293</v>
      </c>
      <c r="G653" s="24"/>
      <c r="H653" s="24"/>
      <c r="I653" s="24" t="str">
        <f ca="1">IFERROR(__xludf.DUMMYFUNCTION("GOOGLETRANSLATE(F653,""en"",""pt"")"),"acetato de etileno vinilo (EVA) resinas")</f>
        <v>acetato de etileno vinilo (EVA) resinas</v>
      </c>
      <c r="J653" t="str">
        <f>VLOOKUP(A653,Pr_Base_LNEC!$A$4:$J$6971,6,FALSE)</f>
        <v>-</v>
      </c>
      <c r="K653">
        <f>VLOOKUP(A653,Pr_Base_LNEC!$A$4:$J$6971,7,FALSE)</f>
        <v>0</v>
      </c>
    </row>
    <row r="654" spans="1:11" ht="14.5">
      <c r="A654" s="20" t="s">
        <v>15294</v>
      </c>
      <c r="B654" s="20">
        <v>20</v>
      </c>
      <c r="C654" s="20">
        <v>31</v>
      </c>
      <c r="D654" s="20">
        <v>86</v>
      </c>
      <c r="E654" s="20">
        <v>46</v>
      </c>
      <c r="F654" s="20" t="s">
        <v>15295</v>
      </c>
      <c r="G654" s="24"/>
      <c r="H654" s="24"/>
      <c r="I654" s="24" t="str">
        <f ca="1">IFERROR(__xludf.DUMMYFUNCTION("GOOGLETRANSLATE(F654,""en"",""pt"")"),"As resinas de polímero de cristais líquidos")</f>
        <v>As resinas de polímero de cristais líquidos</v>
      </c>
      <c r="J654" t="str">
        <f>VLOOKUP(A654,Pr_Base_LNEC!$A$4:$J$6971,6,FALSE)</f>
        <v>-</v>
      </c>
      <c r="K654">
        <f>VLOOKUP(A654,Pr_Base_LNEC!$A$4:$J$6971,7,FALSE)</f>
        <v>0</v>
      </c>
    </row>
    <row r="655" spans="1:11" ht="14.5">
      <c r="A655" s="20" t="s">
        <v>15296</v>
      </c>
      <c r="B655" s="20">
        <v>20</v>
      </c>
      <c r="C655" s="20">
        <v>31</v>
      </c>
      <c r="D655" s="20">
        <v>86</v>
      </c>
      <c r="E655" s="20">
        <v>48</v>
      </c>
      <c r="F655" s="20" t="s">
        <v>15297</v>
      </c>
      <c r="G655" s="24"/>
      <c r="H655" s="24"/>
      <c r="I655" s="24" t="str">
        <f ca="1">IFERROR(__xludf.DUMMYFUNCTION("GOOGLETRANSLATE(F655,""en"",""pt"")"),"De fibras longas reforçado resinas de plásticos")</f>
        <v>De fibras longas reforçado resinas de plásticos</v>
      </c>
      <c r="J655" t="str">
        <f>VLOOKUP(A655,Pr_Base_LNEC!$A$4:$J$6971,6,FALSE)</f>
        <v>-</v>
      </c>
      <c r="K655">
        <f>VLOOKUP(A655,Pr_Base_LNEC!$A$4:$J$6971,7,FALSE)</f>
        <v>0</v>
      </c>
    </row>
    <row r="656" spans="1:11" ht="14.5">
      <c r="A656" s="20" t="s">
        <v>15298</v>
      </c>
      <c r="B656" s="20">
        <v>20</v>
      </c>
      <c r="C656" s="20">
        <v>31</v>
      </c>
      <c r="D656" s="20">
        <v>86</v>
      </c>
      <c r="E656" s="20">
        <v>51</v>
      </c>
      <c r="F656" s="20" t="s">
        <v>15299</v>
      </c>
      <c r="G656" s="24"/>
      <c r="H656" s="24"/>
      <c r="I656" s="24" t="str">
        <f ca="1">IFERROR(__xludf.DUMMYFUNCTION("GOOGLETRANSLATE(F656,""en"",""pt"")"),"Melamina formaldeído (MF) resinas")</f>
        <v>Melamina formaldeído (MF) resinas</v>
      </c>
      <c r="J656" t="str">
        <f>VLOOKUP(A656,Pr_Base_LNEC!$A$4:$J$6971,6,FALSE)</f>
        <v>-</v>
      </c>
      <c r="K656">
        <f>VLOOKUP(A656,Pr_Base_LNEC!$A$4:$J$6971,7,FALSE)</f>
        <v>0</v>
      </c>
    </row>
    <row r="657" spans="1:11" ht="14.5">
      <c r="A657" s="20" t="s">
        <v>15300</v>
      </c>
      <c r="B657" s="20">
        <v>20</v>
      </c>
      <c r="C657" s="20">
        <v>31</v>
      </c>
      <c r="D657" s="20">
        <v>86</v>
      </c>
      <c r="E657" s="20">
        <v>58</v>
      </c>
      <c r="F657" s="20" t="s">
        <v>15301</v>
      </c>
      <c r="G657" s="20" t="s">
        <v>15302</v>
      </c>
      <c r="H657" s="24"/>
      <c r="I657" s="24" t="str">
        <f ca="1">IFERROR(__xludf.DUMMYFUNCTION("GOOGLETRANSLATE(F657,""en"",""pt"")"),"De fenol-formaldeído (resinas PF)")</f>
        <v>De fenol-formaldeído (resinas PF)</v>
      </c>
      <c r="J657" t="str">
        <f>VLOOKUP(A657,Pr_Base_LNEC!$A$4:$J$6971,6,FALSE)</f>
        <v>-</v>
      </c>
      <c r="K657">
        <f>VLOOKUP(A657,Pr_Base_LNEC!$A$4:$J$6971,7,FALSE)</f>
        <v>0</v>
      </c>
    </row>
    <row r="658" spans="1:11" ht="14.5">
      <c r="A658" s="20" t="s">
        <v>15303</v>
      </c>
      <c r="B658" s="20">
        <v>20</v>
      </c>
      <c r="C658" s="20">
        <v>31</v>
      </c>
      <c r="D658" s="20">
        <v>86</v>
      </c>
      <c r="E658" s="20">
        <v>59</v>
      </c>
      <c r="F658" s="20" t="s">
        <v>15304</v>
      </c>
      <c r="G658" s="24"/>
      <c r="H658" s="24"/>
      <c r="I658" s="24" t="str">
        <f ca="1">IFERROR(__xludf.DUMMYFUNCTION("GOOGLETRANSLATE(F658,""en"",""pt"")"),"Poliamida (PA) resinas")</f>
        <v>Poliamida (PA) resinas</v>
      </c>
      <c r="J658" t="str">
        <f>VLOOKUP(A658,Pr_Base_LNEC!$A$4:$J$6971,6,FALSE)</f>
        <v>-</v>
      </c>
      <c r="K658">
        <f>VLOOKUP(A658,Pr_Base_LNEC!$A$4:$J$6971,7,FALSE)</f>
        <v>0</v>
      </c>
    </row>
    <row r="659" spans="1:11" ht="14.5">
      <c r="A659" s="20" t="s">
        <v>15305</v>
      </c>
      <c r="B659" s="20">
        <v>20</v>
      </c>
      <c r="C659" s="20">
        <v>31</v>
      </c>
      <c r="D659" s="20">
        <v>86</v>
      </c>
      <c r="E659" s="20">
        <v>60</v>
      </c>
      <c r="F659" s="20" t="s">
        <v>15306</v>
      </c>
      <c r="G659" s="24"/>
      <c r="H659" s="24"/>
      <c r="I659" s="24" t="str">
        <f ca="1">IFERROR(__xludf.DUMMYFUNCTION("GOOGLETRANSLATE(F659,""en"",""pt"")"),"resinas de policarbonato")</f>
        <v>resinas de policarbonato</v>
      </c>
      <c r="J659" t="str">
        <f>VLOOKUP(A659,Pr_Base_LNEC!$A$4:$J$6971,6,FALSE)</f>
        <v>-</v>
      </c>
      <c r="K659">
        <f>VLOOKUP(A659,Pr_Base_LNEC!$A$4:$J$6971,7,FALSE)</f>
        <v>0</v>
      </c>
    </row>
    <row r="660" spans="1:11" ht="14.5">
      <c r="A660" s="20" t="s">
        <v>15307</v>
      </c>
      <c r="B660" s="20">
        <v>20</v>
      </c>
      <c r="C660" s="20">
        <v>31</v>
      </c>
      <c r="D660" s="20">
        <v>86</v>
      </c>
      <c r="E660" s="20">
        <v>61</v>
      </c>
      <c r="F660" s="20" t="s">
        <v>15308</v>
      </c>
      <c r="G660" s="20" t="s">
        <v>15302</v>
      </c>
      <c r="H660" s="24"/>
      <c r="I660" s="24" t="str">
        <f ca="1">IFERROR(__xludf.DUMMYFUNCTION("GOOGLETRANSLATE(F660,""en"",""pt"")"),"As resinas de poliéster")</f>
        <v>As resinas de poliéster</v>
      </c>
      <c r="J660" t="str">
        <f>VLOOKUP(A660,Pr_Base_LNEC!$A$4:$J$6971,6,FALSE)</f>
        <v>-</v>
      </c>
      <c r="K660">
        <f>VLOOKUP(A660,Pr_Base_LNEC!$A$4:$J$6971,7,FALSE)</f>
        <v>0</v>
      </c>
    </row>
    <row r="661" spans="1:11" ht="14.5">
      <c r="A661" s="20" t="s">
        <v>15309</v>
      </c>
      <c r="B661" s="20">
        <v>20</v>
      </c>
      <c r="C661" s="20">
        <v>31</v>
      </c>
      <c r="D661" s="20">
        <v>86</v>
      </c>
      <c r="E661" s="20">
        <v>62</v>
      </c>
      <c r="F661" s="20" t="s">
        <v>15310</v>
      </c>
      <c r="G661" s="24"/>
      <c r="H661" s="24"/>
      <c r="I661" s="24" t="str">
        <f ca="1">IFERROR(__xludf.DUMMYFUNCTION("GOOGLETRANSLATE(F661,""en"",""pt"")"),"O polietileno (PE) resinas")</f>
        <v>O polietileno (PE) resinas</v>
      </c>
      <c r="J661" t="str">
        <f>VLOOKUP(A661,Pr_Base_LNEC!$A$4:$J$6971,6,FALSE)</f>
        <v>-</v>
      </c>
      <c r="K661">
        <f>VLOOKUP(A661,Pr_Base_LNEC!$A$4:$J$6971,7,FALSE)</f>
        <v>0</v>
      </c>
    </row>
    <row r="662" spans="1:11" ht="14.5">
      <c r="A662" s="20" t="s">
        <v>15311</v>
      </c>
      <c r="B662" s="20">
        <v>20</v>
      </c>
      <c r="C662" s="20">
        <v>31</v>
      </c>
      <c r="D662" s="20">
        <v>86</v>
      </c>
      <c r="E662" s="20">
        <v>63</v>
      </c>
      <c r="F662" s="20" t="s">
        <v>15312</v>
      </c>
      <c r="G662" s="24"/>
      <c r="H662" s="24"/>
      <c r="I662" s="24" t="str">
        <f ca="1">IFERROR(__xludf.DUMMYFUNCTION("GOOGLETRANSLATE(F662,""en"",""pt"")"),"Tereftalato de polietileno (PET) resinas")</f>
        <v>Tereftalato de polietileno (PET) resinas</v>
      </c>
      <c r="J662" t="str">
        <f>VLOOKUP(A662,Pr_Base_LNEC!$A$4:$J$6971,6,FALSE)</f>
        <v>-</v>
      </c>
      <c r="K662">
        <f>VLOOKUP(A662,Pr_Base_LNEC!$A$4:$J$6971,7,FALSE)</f>
        <v>0</v>
      </c>
    </row>
    <row r="663" spans="1:11" ht="14.5">
      <c r="A663" s="20" t="s">
        <v>15313</v>
      </c>
      <c r="B663" s="20">
        <v>20</v>
      </c>
      <c r="C663" s="20">
        <v>31</v>
      </c>
      <c r="D663" s="20">
        <v>86</v>
      </c>
      <c r="E663" s="20">
        <v>64</v>
      </c>
      <c r="F663" s="20" t="s">
        <v>15314</v>
      </c>
      <c r="G663" s="24"/>
      <c r="H663" s="24"/>
      <c r="I663" s="24" t="str">
        <f ca="1">IFERROR(__xludf.DUMMYFUNCTION("GOOGLETRANSLATE(F663,""en"",""pt"")"),"resinas de sulfureto de polifenileno")</f>
        <v>resinas de sulfureto de polifenileno</v>
      </c>
      <c r="J663" t="str">
        <f>VLOOKUP(A663,Pr_Base_LNEC!$A$4:$J$6971,6,FALSE)</f>
        <v>-</v>
      </c>
      <c r="K663">
        <f>VLOOKUP(A663,Pr_Base_LNEC!$A$4:$J$6971,7,FALSE)</f>
        <v>0</v>
      </c>
    </row>
    <row r="664" spans="1:11" ht="14.5">
      <c r="A664" s="20" t="s">
        <v>15315</v>
      </c>
      <c r="B664" s="20">
        <v>20</v>
      </c>
      <c r="C664" s="20">
        <v>31</v>
      </c>
      <c r="D664" s="20">
        <v>86</v>
      </c>
      <c r="E664" s="20">
        <v>65</v>
      </c>
      <c r="F664" s="20" t="s">
        <v>15316</v>
      </c>
      <c r="G664" s="24"/>
      <c r="H664" s="24"/>
      <c r="I664" s="24" t="str">
        <f ca="1">IFERROR(__xludf.DUMMYFUNCTION("GOOGLETRANSLATE(F664,""en"",""pt"")"),"resinas de polipropileno")</f>
        <v>resinas de polipropileno</v>
      </c>
      <c r="J664" t="str">
        <f>VLOOKUP(A664,Pr_Base_LNEC!$A$4:$J$6971,6,FALSE)</f>
        <v>-</v>
      </c>
      <c r="K664">
        <f>VLOOKUP(A664,Pr_Base_LNEC!$A$4:$J$6971,7,FALSE)</f>
        <v>0</v>
      </c>
    </row>
    <row r="665" spans="1:11" ht="14.5">
      <c r="A665" s="20" t="s">
        <v>15317</v>
      </c>
      <c r="B665" s="20">
        <v>20</v>
      </c>
      <c r="C665" s="20">
        <v>31</v>
      </c>
      <c r="D665" s="20">
        <v>86</v>
      </c>
      <c r="E665" s="20">
        <v>66</v>
      </c>
      <c r="F665" s="20" t="s">
        <v>15318</v>
      </c>
      <c r="G665" s="24"/>
      <c r="H665" s="24"/>
      <c r="I665" s="24" t="str">
        <f ca="1">IFERROR(__xludf.DUMMYFUNCTION("GOOGLETRANSLATE(F665,""en"",""pt"")"),"Poliestireno (PS) resinas")</f>
        <v>Poliestireno (PS) resinas</v>
      </c>
      <c r="J665" t="str">
        <f>VLOOKUP(A665,Pr_Base_LNEC!$A$4:$J$6971,6,FALSE)</f>
        <v>-</v>
      </c>
      <c r="K665">
        <f>VLOOKUP(A665,Pr_Base_LNEC!$A$4:$J$6971,7,FALSE)</f>
        <v>0</v>
      </c>
    </row>
    <row r="666" spans="1:11" ht="14.5">
      <c r="A666" s="20" t="s">
        <v>15319</v>
      </c>
      <c r="B666" s="20">
        <v>20</v>
      </c>
      <c r="C666" s="20">
        <v>31</v>
      </c>
      <c r="D666" s="20">
        <v>86</v>
      </c>
      <c r="E666" s="20">
        <v>67</v>
      </c>
      <c r="F666" s="20" t="s">
        <v>15320</v>
      </c>
      <c r="G666" s="20" t="s">
        <v>15284</v>
      </c>
      <c r="H666" s="24"/>
      <c r="I666" s="24" t="str">
        <f ca="1">IFERROR(__xludf.DUMMYFUNCTION("GOOGLETRANSLATE(F666,""en"",""pt"")"),"Poliuretano (PU) resinas")</f>
        <v>Poliuretano (PU) resinas</v>
      </c>
      <c r="J666" t="str">
        <f>VLOOKUP(A666,Pr_Base_LNEC!$A$4:$J$6971,6,FALSE)</f>
        <v>-</v>
      </c>
      <c r="K666">
        <f>VLOOKUP(A666,Pr_Base_LNEC!$A$4:$J$6971,7,FALSE)</f>
        <v>0</v>
      </c>
    </row>
    <row r="667" spans="1:11" ht="14.5">
      <c r="A667" s="20" t="s">
        <v>15321</v>
      </c>
      <c r="B667" s="20">
        <v>20</v>
      </c>
      <c r="C667" s="20">
        <v>31</v>
      </c>
      <c r="D667" s="20">
        <v>86</v>
      </c>
      <c r="E667" s="20">
        <v>68</v>
      </c>
      <c r="F667" s="20" t="s">
        <v>15322</v>
      </c>
      <c r="G667" s="24"/>
      <c r="H667" s="24"/>
      <c r="I667" s="24" t="str">
        <f ca="1">IFERROR(__xludf.DUMMYFUNCTION("GOOGLETRANSLATE(F667,""en"",""pt"")"),"cloreto de polivinilo (PVC) resinas")</f>
        <v>cloreto de polivinilo (PVC) resinas</v>
      </c>
      <c r="J667" t="str">
        <f>VLOOKUP(A667,Pr_Base_LNEC!$A$4:$J$6971,6,FALSE)</f>
        <v>-</v>
      </c>
      <c r="K667">
        <f>VLOOKUP(A667,Pr_Base_LNEC!$A$4:$J$6971,7,FALSE)</f>
        <v>0</v>
      </c>
    </row>
    <row r="668" spans="1:11" ht="14.5">
      <c r="A668" s="20" t="s">
        <v>15323</v>
      </c>
      <c r="B668" s="20">
        <v>20</v>
      </c>
      <c r="C668" s="20">
        <v>31</v>
      </c>
      <c r="D668" s="20">
        <v>86</v>
      </c>
      <c r="E668" s="20">
        <v>77</v>
      </c>
      <c r="F668" s="20" t="s">
        <v>15324</v>
      </c>
      <c r="G668" s="24"/>
      <c r="H668" s="24"/>
      <c r="I668" s="24" t="str">
        <f ca="1">IFERROR(__xludf.DUMMYFUNCTION("GOOGLETRANSLATE(F668,""en"",""pt"")"),"As resinas de silicone")</f>
        <v>As resinas de silicone</v>
      </c>
      <c r="J668" t="str">
        <f>VLOOKUP(A668,Pr_Base_LNEC!$A$4:$J$6971,6,FALSE)</f>
        <v>-</v>
      </c>
      <c r="K668">
        <f>VLOOKUP(A668,Pr_Base_LNEC!$A$4:$J$6971,7,FALSE)</f>
        <v>0</v>
      </c>
    </row>
    <row r="669" spans="1:11" ht="14.5">
      <c r="A669" s="20" t="s">
        <v>15325</v>
      </c>
      <c r="B669" s="20">
        <v>20</v>
      </c>
      <c r="C669" s="20">
        <v>31</v>
      </c>
      <c r="D669" s="20">
        <v>86</v>
      </c>
      <c r="E669" s="20">
        <v>88</v>
      </c>
      <c r="F669" s="20" t="s">
        <v>15326</v>
      </c>
      <c r="G669" s="24"/>
      <c r="H669" s="24"/>
      <c r="I669" s="24" t="str">
        <f ca="1">IFERROR(__xludf.DUMMYFUNCTION("GOOGLETRANSLATE(F669,""en"",""pt"")"),"de elastómero termoplástico (TPE) resinas")</f>
        <v>de elastómero termoplástico (TPE) resinas</v>
      </c>
      <c r="J669" t="str">
        <f>VLOOKUP(A669,Pr_Base_LNEC!$A$4:$J$6971,6,FALSE)</f>
        <v>-</v>
      </c>
      <c r="K669">
        <f>VLOOKUP(A669,Pr_Base_LNEC!$A$4:$J$6971,7,FALSE)</f>
        <v>0</v>
      </c>
    </row>
    <row r="670" spans="1:11" ht="14.5">
      <c r="A670" s="20" t="s">
        <v>15327</v>
      </c>
      <c r="B670" s="20">
        <v>20</v>
      </c>
      <c r="C670" s="20">
        <v>31</v>
      </c>
      <c r="D670" s="20">
        <v>86</v>
      </c>
      <c r="E670" s="20">
        <v>92</v>
      </c>
      <c r="F670" s="20" t="s">
        <v>15328</v>
      </c>
      <c r="G670" s="24"/>
      <c r="H670" s="24"/>
      <c r="I670" s="24" t="str">
        <f ca="1">IFERROR(__xludf.DUMMYFUNCTION("GOOGLETRANSLATE(F670,""en"",""pt"")"),"poliéster insaturado (UP) resinas")</f>
        <v>poliéster insaturado (UP) resinas</v>
      </c>
      <c r="J670" t="str">
        <f>VLOOKUP(A670,Pr_Base_LNEC!$A$4:$J$6971,6,FALSE)</f>
        <v>-</v>
      </c>
      <c r="K670">
        <f>VLOOKUP(A670,Pr_Base_LNEC!$A$4:$J$6971,7,FALSE)</f>
        <v>0</v>
      </c>
    </row>
    <row r="671" spans="1:11" ht="14.5">
      <c r="A671" s="20" t="s">
        <v>15329</v>
      </c>
      <c r="B671" s="20">
        <v>20</v>
      </c>
      <c r="C671" s="20">
        <v>31</v>
      </c>
      <c r="D671" s="20">
        <v>86</v>
      </c>
      <c r="E671" s="20">
        <v>93</v>
      </c>
      <c r="F671" s="20" t="s">
        <v>15330</v>
      </c>
      <c r="G671" s="24"/>
      <c r="H671" s="24"/>
      <c r="I671" s="24" t="str">
        <f ca="1">IFERROR(__xludf.DUMMYFUNCTION("GOOGLETRANSLATE(F671,""en"",""pt"")"),"Ureia-formaldeído (UF) resinas")</f>
        <v>Ureia-formaldeído (UF) resinas</v>
      </c>
      <c r="J671" t="str">
        <f>VLOOKUP(A671,Pr_Base_LNEC!$A$4:$J$6971,6,FALSE)</f>
        <v>-</v>
      </c>
      <c r="K671">
        <f>VLOOKUP(A671,Pr_Base_LNEC!$A$4:$J$6971,7,FALSE)</f>
        <v>0</v>
      </c>
    </row>
    <row r="672" spans="1:11" ht="14.5">
      <c r="A672" s="20" t="s">
        <v>15331</v>
      </c>
      <c r="B672" s="20">
        <v>20</v>
      </c>
      <c r="C672" s="20">
        <v>31</v>
      </c>
      <c r="D672" s="20">
        <v>86</v>
      </c>
      <c r="E672" s="20">
        <v>94</v>
      </c>
      <c r="F672" s="20" t="s">
        <v>15332</v>
      </c>
      <c r="G672" s="20" t="s">
        <v>15302</v>
      </c>
      <c r="H672" s="24"/>
      <c r="I672" s="24" t="str">
        <f ca="1">IFERROR(__xludf.DUMMYFUNCTION("GOOGLETRANSLATE(F672,""en"",""pt"")"),"As resinas de éster de vinilo")</f>
        <v>As resinas de éster de vinilo</v>
      </c>
      <c r="J672" t="str">
        <f>VLOOKUP(A672,Pr_Base_LNEC!$A$4:$J$6971,6,FALSE)</f>
        <v>-</v>
      </c>
      <c r="K672">
        <f>VLOOKUP(A672,Pr_Base_LNEC!$A$4:$J$6971,7,FALSE)</f>
        <v>0</v>
      </c>
    </row>
    <row r="673" spans="1:11" ht="14.5">
      <c r="A673" s="20" t="s">
        <v>15333</v>
      </c>
      <c r="B673" s="20">
        <v>20</v>
      </c>
      <c r="C673" s="20">
        <v>65</v>
      </c>
      <c r="D673" s="24"/>
      <c r="E673" s="24"/>
      <c r="F673" s="20" t="s">
        <v>15334</v>
      </c>
      <c r="G673" s="24"/>
      <c r="H673" s="24"/>
      <c r="I673" s="24" t="str">
        <f ca="1">IFERROR(__xludf.DUMMYFUNCTION("GOOGLETRANSLATE(F673,""en"",""pt"")"),"edifícios e estruturas pré-fabricadas")</f>
        <v>edifícios e estruturas pré-fabricadas</v>
      </c>
      <c r="J673" t="str">
        <f>VLOOKUP(A673,Pr_Base_LNEC!$A$4:$J$6971,6,FALSE)</f>
        <v>Edificios e Estruturas Pré-Fabricadas</v>
      </c>
      <c r="K673" t="str">
        <f>VLOOKUP(A673,Pr_Base_LNEC!$A$4:$J$6971,7,FALSE)</f>
        <v>-</v>
      </c>
    </row>
    <row r="674" spans="1:11" ht="14.5">
      <c r="A674" s="20" t="s">
        <v>15335</v>
      </c>
      <c r="B674" s="20">
        <v>20</v>
      </c>
      <c r="C674" s="20">
        <v>65</v>
      </c>
      <c r="D674" s="20">
        <v>34</v>
      </c>
      <c r="E674" s="24"/>
      <c r="F674" s="20" t="s">
        <v>15336</v>
      </c>
      <c r="G674" s="24"/>
      <c r="H674" s="24"/>
      <c r="I674" s="24" t="str">
        <f ca="1">IFERROR(__xludf.DUMMYFUNCTION("GOOGLETRANSLATE(F674,""en"",""pt"")"),"estruturas envidraçadas")</f>
        <v>estruturas envidraçadas</v>
      </c>
      <c r="J674" t="str">
        <f>VLOOKUP(A674,Pr_Base_LNEC!$A$4:$J$6971,6,FALSE)</f>
        <v>Estruturas em Vidro</v>
      </c>
      <c r="K674" t="str">
        <f>VLOOKUP(A674,Pr_Base_LNEC!$A$4:$J$6971,7,FALSE)</f>
        <v>-</v>
      </c>
    </row>
    <row r="675" spans="1:11" ht="14.5">
      <c r="A675" s="20" t="s">
        <v>15337</v>
      </c>
      <c r="B675" s="20">
        <v>20</v>
      </c>
      <c r="C675" s="20">
        <v>65</v>
      </c>
      <c r="D675" s="20">
        <v>34</v>
      </c>
      <c r="E675" s="20">
        <v>34</v>
      </c>
      <c r="F675" s="20" t="s">
        <v>15338</v>
      </c>
      <c r="G675" s="20" t="s">
        <v>15339</v>
      </c>
      <c r="H675" s="24"/>
      <c r="I675" s="24" t="str">
        <f ca="1">IFERROR(__xludf.DUMMYFUNCTION("GOOGLETRANSLATE(F675,""en"",""pt"")"),"caixas envidraçadas")</f>
        <v>caixas envidraçadas</v>
      </c>
      <c r="J675" t="str">
        <f>VLOOKUP(A675,Pr_Base_LNEC!$A$4:$J$6971,6,FALSE)</f>
        <v>-</v>
      </c>
      <c r="K675">
        <f>VLOOKUP(A675,Pr_Base_LNEC!$A$4:$J$6971,7,FALSE)</f>
        <v>0</v>
      </c>
    </row>
    <row r="676" spans="1:11" ht="14.5">
      <c r="A676" s="20" t="s">
        <v>15340</v>
      </c>
      <c r="B676" s="20">
        <v>20</v>
      </c>
      <c r="C676" s="20">
        <v>65</v>
      </c>
      <c r="D676" s="20">
        <v>34</v>
      </c>
      <c r="E676" s="20">
        <v>51</v>
      </c>
      <c r="F676" s="20" t="s">
        <v>15341</v>
      </c>
      <c r="G676" s="20" t="s">
        <v>15342</v>
      </c>
      <c r="H676" s="24"/>
      <c r="I676" s="24" t="str">
        <f ca="1">IFERROR(__xludf.DUMMYFUNCTION("GOOGLETRANSLATE(F676,""en"",""pt"")"),"Estruturas metálicas estruturas")</f>
        <v>Estruturas metálicas estruturas</v>
      </c>
      <c r="J676" t="str">
        <f>VLOOKUP(A676,Pr_Base_LNEC!$A$4:$J$6971,6,FALSE)</f>
        <v>-</v>
      </c>
      <c r="K676">
        <f>VLOOKUP(A676,Pr_Base_LNEC!$A$4:$J$6971,7,FALSE)</f>
        <v>0</v>
      </c>
    </row>
    <row r="677" spans="1:11" ht="14.5">
      <c r="A677" s="20" t="s">
        <v>15343</v>
      </c>
      <c r="B677" s="20">
        <v>20</v>
      </c>
      <c r="C677" s="20">
        <v>65</v>
      </c>
      <c r="D677" s="20">
        <v>34</v>
      </c>
      <c r="E677" s="20">
        <v>72</v>
      </c>
      <c r="F677" s="20" t="s">
        <v>15344</v>
      </c>
      <c r="G677" s="20" t="s">
        <v>15345</v>
      </c>
      <c r="H677" s="24"/>
      <c r="I677" s="24" t="str">
        <f ca="1">IFERROR(__xludf.DUMMYFUNCTION("GOOGLETRANSLATE(F677,""en"",""pt"")"),"lanternas telhado")</f>
        <v>lanternas telhado</v>
      </c>
      <c r="J677" t="str">
        <f>VLOOKUP(A677,Pr_Base_LNEC!$A$4:$J$6971,6,FALSE)</f>
        <v>-</v>
      </c>
      <c r="K677">
        <f>VLOOKUP(A677,Pr_Base_LNEC!$A$4:$J$6971,7,FALSE)</f>
        <v>0</v>
      </c>
    </row>
    <row r="678" spans="1:11" ht="14.5">
      <c r="A678" s="20" t="s">
        <v>15346</v>
      </c>
      <c r="B678" s="20">
        <v>20</v>
      </c>
      <c r="C678" s="20">
        <v>65</v>
      </c>
      <c r="D678" s="20">
        <v>50</v>
      </c>
      <c r="E678" s="24"/>
      <c r="F678" s="20" t="s">
        <v>15347</v>
      </c>
      <c r="G678" s="24"/>
      <c r="H678" s="24"/>
      <c r="I678" s="24" t="str">
        <f ca="1">IFERROR(__xludf.DUMMYFUNCTION("GOOGLETRANSLATE(F678,""en"",""pt"")"),"produtos modulares")</f>
        <v>produtos modulares</v>
      </c>
      <c r="J678" t="e">
        <f>VLOOKUP(A678,Pr_Base_LNEC!$A$4:$J$6971,6,FALSE)</f>
        <v>#N/A</v>
      </c>
      <c r="K678" t="e">
        <f>VLOOKUP(A678,Pr_Base_LNEC!$A$4:$J$6971,7,FALSE)</f>
        <v>#N/A</v>
      </c>
    </row>
    <row r="679" spans="1:11" ht="14.5">
      <c r="A679" s="20" t="s">
        <v>15348</v>
      </c>
      <c r="B679" s="20">
        <v>20</v>
      </c>
      <c r="C679" s="20">
        <v>65</v>
      </c>
      <c r="D679" s="20">
        <v>50</v>
      </c>
      <c r="E679" s="20">
        <v>10</v>
      </c>
      <c r="F679" s="20" t="s">
        <v>15349</v>
      </c>
      <c r="G679" s="24"/>
      <c r="H679" s="24"/>
      <c r="I679" s="24" t="str">
        <f ca="1">IFERROR(__xludf.DUMMYFUNCTION("GOOGLETRANSLATE(F679,""en"",""pt"")"),"vagens banheiro")</f>
        <v>vagens banheiro</v>
      </c>
      <c r="J679" t="e">
        <f>VLOOKUP(A679,Pr_Base_LNEC!$A$4:$J$6971,6,FALSE)</f>
        <v>#N/A</v>
      </c>
      <c r="K679" t="e">
        <f>VLOOKUP(A679,Pr_Base_LNEC!$A$4:$J$6971,7,FALSE)</f>
        <v>#N/A</v>
      </c>
    </row>
    <row r="680" spans="1:11" ht="14.5">
      <c r="A680" s="20" t="s">
        <v>15350</v>
      </c>
      <c r="B680" s="20">
        <v>20</v>
      </c>
      <c r="C680" s="20">
        <v>65</v>
      </c>
      <c r="D680" s="20">
        <v>60</v>
      </c>
      <c r="E680" s="24"/>
      <c r="F680" s="20" t="s">
        <v>15351</v>
      </c>
      <c r="G680" s="24"/>
      <c r="H680" s="24"/>
      <c r="I680" s="24" t="str">
        <f ca="1">IFERROR(__xludf.DUMMYFUNCTION("GOOGLETRANSLATE(F680,""en"",""pt"")"),"estruturas com painéis e emolduradas")</f>
        <v>estruturas com painéis e emolduradas</v>
      </c>
      <c r="J680" t="str">
        <f>VLOOKUP(A680,Pr_Base_LNEC!$A$4:$J$6971,6,FALSE)</f>
        <v>Estruturas em Painéis e em Moldura</v>
      </c>
      <c r="K680">
        <f>VLOOKUP(A680,Pr_Base_LNEC!$A$4:$J$6971,7,FALSE)</f>
        <v>0</v>
      </c>
    </row>
    <row r="681" spans="1:11" ht="14.5">
      <c r="A681" s="20" t="s">
        <v>15352</v>
      </c>
      <c r="B681" s="20">
        <v>20</v>
      </c>
      <c r="C681" s="20">
        <v>65</v>
      </c>
      <c r="D681" s="20">
        <v>60</v>
      </c>
      <c r="E681" s="20">
        <v>15</v>
      </c>
      <c r="F681" s="20" t="s">
        <v>15353</v>
      </c>
      <c r="G681" s="20" t="s">
        <v>15354</v>
      </c>
      <c r="H681" s="24"/>
      <c r="I681" s="24" t="str">
        <f ca="1">IFERROR(__xludf.DUMMYFUNCTION("GOOGLETRANSLATE(F681,""en"",""pt"")"),"Concreto com painéis edifícios")</f>
        <v>Concreto com painéis edifícios</v>
      </c>
      <c r="J681" t="str">
        <f>VLOOKUP(A681,Pr_Base_LNEC!$A$4:$J$6971,6,FALSE)</f>
        <v>-</v>
      </c>
      <c r="K681">
        <f>VLOOKUP(A681,Pr_Base_LNEC!$A$4:$J$6971,7,FALSE)</f>
        <v>0</v>
      </c>
    </row>
    <row r="682" spans="1:11" ht="14.5">
      <c r="A682" s="20" t="s">
        <v>15355</v>
      </c>
      <c r="B682" s="20">
        <v>20</v>
      </c>
      <c r="C682" s="20">
        <v>65</v>
      </c>
      <c r="D682" s="20">
        <v>60</v>
      </c>
      <c r="E682" s="20">
        <v>17</v>
      </c>
      <c r="F682" s="20" t="s">
        <v>15356</v>
      </c>
      <c r="G682" s="20" t="s">
        <v>15357</v>
      </c>
      <c r="H682" s="24"/>
      <c r="I682" s="24" t="str">
        <f ca="1">IFERROR(__xludf.DUMMYFUNCTION("GOOGLETRANSLATE(F682,""en"",""pt"")"),"Cruz laminado de madeira (CLT) com painéis edifícios")</f>
        <v>Cruz laminado de madeira (CLT) com painéis edifícios</v>
      </c>
      <c r="J682" t="str">
        <f>VLOOKUP(A682,Pr_Base_LNEC!$A$4:$J$6971,6,FALSE)</f>
        <v>-</v>
      </c>
      <c r="K682">
        <f>VLOOKUP(A682,Pr_Base_LNEC!$A$4:$J$6971,7,FALSE)</f>
        <v>0</v>
      </c>
    </row>
    <row r="683" spans="1:11" ht="14.5">
      <c r="A683" s="20" t="s">
        <v>15358</v>
      </c>
      <c r="B683" s="20">
        <v>20</v>
      </c>
      <c r="C683" s="20">
        <v>65</v>
      </c>
      <c r="D683" s="20">
        <v>60</v>
      </c>
      <c r="E683" s="20">
        <v>47</v>
      </c>
      <c r="F683" s="20" t="s">
        <v>15359</v>
      </c>
      <c r="G683" s="20" t="s">
        <v>15360</v>
      </c>
      <c r="H683" s="24"/>
      <c r="I683" s="24" t="str">
        <f ca="1">IFERROR(__xludf.DUMMYFUNCTION("GOOGLETRANSLATE(F683,""en"",""pt"")"),"pisos de aço leves e telhados")</f>
        <v>pisos de aço leves e telhados</v>
      </c>
      <c r="J683" t="str">
        <f>VLOOKUP(A683,Pr_Base_LNEC!$A$4:$J$6971,6,FALSE)</f>
        <v>-</v>
      </c>
      <c r="K683">
        <f>VLOOKUP(A683,Pr_Base_LNEC!$A$4:$J$6971,7,FALSE)</f>
        <v>0</v>
      </c>
    </row>
    <row r="684" spans="1:11" ht="14.5">
      <c r="A684" s="20" t="s">
        <v>15361</v>
      </c>
      <c r="B684" s="20">
        <v>20</v>
      </c>
      <c r="C684" s="20">
        <v>65</v>
      </c>
      <c r="D684" s="20">
        <v>60</v>
      </c>
      <c r="E684" s="20">
        <v>48</v>
      </c>
      <c r="F684" s="20" t="s">
        <v>15362</v>
      </c>
      <c r="G684" s="20" t="s">
        <v>15363</v>
      </c>
      <c r="H684" s="24"/>
      <c r="I684" s="24" t="str">
        <f ca="1">IFERROR(__xludf.DUMMYFUNCTION("GOOGLETRANSLATE(F684,""en"",""pt"")"),"leves paredes de armação de aço")</f>
        <v>leves paredes de armação de aço</v>
      </c>
      <c r="J684" t="str">
        <f>VLOOKUP(A684,Pr_Base_LNEC!$A$4:$J$6971,6,FALSE)</f>
        <v>-</v>
      </c>
      <c r="K684">
        <f>VLOOKUP(A684,Pr_Base_LNEC!$A$4:$J$6971,7,FALSE)</f>
        <v>0</v>
      </c>
    </row>
    <row r="685" spans="1:11" ht="14.5">
      <c r="A685" s="20" t="s">
        <v>15364</v>
      </c>
      <c r="B685" s="20">
        <v>20</v>
      </c>
      <c r="C685" s="20">
        <v>65</v>
      </c>
      <c r="D685" s="20">
        <v>60</v>
      </c>
      <c r="E685" s="20">
        <v>60</v>
      </c>
      <c r="F685" s="20" t="s">
        <v>15365</v>
      </c>
      <c r="G685" s="20" t="s">
        <v>15366</v>
      </c>
      <c r="H685" s="24"/>
      <c r="I685" s="24" t="str">
        <f ca="1">IFERROR(__xludf.DUMMYFUNCTION("GOOGLETRANSLATE(F685,""en"",""pt"")"),"componentes embalados")</f>
        <v>componentes embalados</v>
      </c>
      <c r="J685" t="str">
        <f>VLOOKUP(A685,Pr_Base_LNEC!$A$4:$J$6971,6,FALSE)</f>
        <v>-</v>
      </c>
      <c r="K685">
        <f>VLOOKUP(A685,Pr_Base_LNEC!$A$4:$J$6971,7,FALSE)</f>
        <v>0</v>
      </c>
    </row>
    <row r="686" spans="1:11" ht="14.5">
      <c r="A686" s="20" t="s">
        <v>15367</v>
      </c>
      <c r="B686" s="20">
        <v>20</v>
      </c>
      <c r="C686" s="20">
        <v>65</v>
      </c>
      <c r="D686" s="20">
        <v>60</v>
      </c>
      <c r="E686" s="20">
        <v>84</v>
      </c>
      <c r="F686" s="20" t="s">
        <v>15368</v>
      </c>
      <c r="G686" s="20" t="s">
        <v>15369</v>
      </c>
      <c r="H686" s="24"/>
      <c r="I686" s="24" t="str">
        <f ca="1">IFERROR(__xludf.DUMMYFUNCTION("GOOGLETRANSLATE(F686,""en"",""pt"")"),"painéis isolados estruturais (PIS)")</f>
        <v>painéis isolados estruturais (PIS)</v>
      </c>
      <c r="J686" t="str">
        <f>VLOOKUP(A686,Pr_Base_LNEC!$A$4:$J$6971,6,FALSE)</f>
        <v>-</v>
      </c>
      <c r="K686">
        <f>VLOOKUP(A686,Pr_Base_LNEC!$A$4:$J$6971,7,FALSE)</f>
        <v>0</v>
      </c>
    </row>
    <row r="687" spans="1:11" ht="14.5">
      <c r="A687" s="20" t="s">
        <v>15370</v>
      </c>
      <c r="B687" s="20">
        <v>20</v>
      </c>
      <c r="C687" s="20">
        <v>65</v>
      </c>
      <c r="D687" s="20">
        <v>60</v>
      </c>
      <c r="E687" s="20">
        <v>88</v>
      </c>
      <c r="F687" s="20" t="s">
        <v>15371</v>
      </c>
      <c r="G687" s="20" t="s">
        <v>15372</v>
      </c>
      <c r="H687" s="24"/>
      <c r="I687" s="24" t="str">
        <f ca="1">IFERROR(__xludf.DUMMYFUNCTION("GOOGLETRANSLATE(F687,""en"",""pt"")"),"pisos estrutura de madeira e telhados")</f>
        <v>pisos estrutura de madeira e telhados</v>
      </c>
      <c r="J687" t="str">
        <f>VLOOKUP(A687,Pr_Base_LNEC!$A$4:$J$6971,6,FALSE)</f>
        <v>-</v>
      </c>
      <c r="K687">
        <f>VLOOKUP(A687,Pr_Base_LNEC!$A$4:$J$6971,7,FALSE)</f>
        <v>0</v>
      </c>
    </row>
    <row r="688" spans="1:11" ht="14.5">
      <c r="A688" s="20" t="s">
        <v>15373</v>
      </c>
      <c r="B688" s="20">
        <v>20</v>
      </c>
      <c r="C688" s="20">
        <v>65</v>
      </c>
      <c r="D688" s="20">
        <v>60</v>
      </c>
      <c r="E688" s="20">
        <v>89</v>
      </c>
      <c r="F688" s="20" t="s">
        <v>15374</v>
      </c>
      <c r="G688" s="20" t="s">
        <v>15375</v>
      </c>
      <c r="H688" s="24"/>
      <c r="I688" s="24" t="str">
        <f ca="1">IFERROR(__xludf.DUMMYFUNCTION("GOOGLETRANSLATE(F688,""en"",""pt"")"),"painéis de estrutura de madeira")</f>
        <v>painéis de estrutura de madeira</v>
      </c>
      <c r="J688" t="str">
        <f>VLOOKUP(A688,Pr_Base_LNEC!$A$4:$J$6971,6,FALSE)</f>
        <v>-</v>
      </c>
      <c r="K688">
        <f>VLOOKUP(A688,Pr_Base_LNEC!$A$4:$J$6971,7,FALSE)</f>
        <v>0</v>
      </c>
    </row>
    <row r="689" spans="1:11" ht="14.5">
      <c r="A689" s="20" t="s">
        <v>15376</v>
      </c>
      <c r="B689" s="20">
        <v>20</v>
      </c>
      <c r="C689" s="20">
        <v>65</v>
      </c>
      <c r="D689" s="20">
        <v>78</v>
      </c>
      <c r="E689" s="24"/>
      <c r="F689" s="20" t="s">
        <v>15377</v>
      </c>
      <c r="G689" s="24"/>
      <c r="H689" s="24"/>
      <c r="I689" s="24" t="str">
        <f ca="1">IFERROR(__xludf.DUMMYFUNCTION("GOOGLETRANSLATE(F689,""en"",""pt"")"),"estruturas de acolhimento")</f>
        <v>estruturas de acolhimento</v>
      </c>
      <c r="J689" t="str">
        <f>VLOOKUP(A689,Pr_Base_LNEC!$A$4:$J$6971,6,FALSE)</f>
        <v>Estruturas para Abrigo</v>
      </c>
      <c r="K689" t="str">
        <f>VLOOKUP(A689,Pr_Base_LNEC!$A$4:$J$6971,7,FALSE)</f>
        <v>-</v>
      </c>
    </row>
    <row r="690" spans="1:11" ht="14.5">
      <c r="A690" s="20" t="s">
        <v>15378</v>
      </c>
      <c r="B690" s="20">
        <v>20</v>
      </c>
      <c r="C690" s="20">
        <v>65</v>
      </c>
      <c r="D690" s="20">
        <v>78</v>
      </c>
      <c r="E690" s="20">
        <v>15</v>
      </c>
      <c r="F690" s="20" t="s">
        <v>15379</v>
      </c>
      <c r="G690" s="20" t="s">
        <v>15380</v>
      </c>
      <c r="H690" s="24"/>
      <c r="I690" s="24" t="str">
        <f ca="1">IFERROR(__xludf.DUMMYFUNCTION("GOOGLETRANSLATE(F690,""en"",""pt"")"),"abrigos painéis compósitos")</f>
        <v>abrigos painéis compósitos</v>
      </c>
      <c r="J690" t="str">
        <f>VLOOKUP(A690,Pr_Base_LNEC!$A$4:$J$6971,6,FALSE)</f>
        <v>-</v>
      </c>
      <c r="K690">
        <f>VLOOKUP(A690,Pr_Base_LNEC!$A$4:$J$6971,7,FALSE)</f>
        <v>0</v>
      </c>
    </row>
    <row r="691" spans="1:11" ht="14.5">
      <c r="A691" s="20" t="s">
        <v>15381</v>
      </c>
      <c r="B691" s="20">
        <v>20</v>
      </c>
      <c r="C691" s="20">
        <v>65</v>
      </c>
      <c r="D691" s="20">
        <v>78</v>
      </c>
      <c r="E691" s="20">
        <v>34</v>
      </c>
      <c r="F691" s="20" t="s">
        <v>15382</v>
      </c>
      <c r="G691" s="20" t="s">
        <v>15383</v>
      </c>
      <c r="H691" s="24"/>
      <c r="I691" s="24" t="str">
        <f ca="1">IFERROR(__xludf.DUMMYFUNCTION("GOOGLETRANSLATE(F691,""en"",""pt"")"),"abrigos de vidros")</f>
        <v>abrigos de vidros</v>
      </c>
      <c r="J691" t="str">
        <f>VLOOKUP(A691,Pr_Base_LNEC!$A$4:$J$6971,6,FALSE)</f>
        <v>-</v>
      </c>
      <c r="K691">
        <f>VLOOKUP(A691,Pr_Base_LNEC!$A$4:$J$6971,7,FALSE)</f>
        <v>0</v>
      </c>
    </row>
    <row r="692" spans="1:11" ht="14.5">
      <c r="A692" s="20" t="s">
        <v>15384</v>
      </c>
      <c r="B692" s="20">
        <v>20</v>
      </c>
      <c r="C692" s="20">
        <v>65</v>
      </c>
      <c r="D692" s="20">
        <v>78</v>
      </c>
      <c r="E692" s="20">
        <v>58</v>
      </c>
      <c r="F692" s="20" t="s">
        <v>15385</v>
      </c>
      <c r="G692" s="20" t="s">
        <v>15386</v>
      </c>
      <c r="H692" s="24"/>
      <c r="I692" s="24" t="str">
        <f ca="1">IFERROR(__xludf.DUMMYFUNCTION("GOOGLETRANSLATE(F692,""en"",""pt"")"),"Abrir lados abrigos")</f>
        <v>Abrir lados abrigos</v>
      </c>
      <c r="J692" t="str">
        <f>VLOOKUP(A692,Pr_Base_LNEC!$A$4:$J$6971,6,FALSE)</f>
        <v>-</v>
      </c>
      <c r="K692">
        <f>VLOOKUP(A692,Pr_Base_LNEC!$A$4:$J$6971,7,FALSE)</f>
        <v>0</v>
      </c>
    </row>
    <row r="693" spans="1:11" ht="14.5">
      <c r="A693" s="20" t="s">
        <v>15387</v>
      </c>
      <c r="B693" s="20">
        <v>20</v>
      </c>
      <c r="C693" s="20">
        <v>65</v>
      </c>
      <c r="D693" s="20">
        <v>78</v>
      </c>
      <c r="E693" s="20">
        <v>77</v>
      </c>
      <c r="F693" s="20" t="s">
        <v>15388</v>
      </c>
      <c r="G693" s="20" t="s">
        <v>15389</v>
      </c>
      <c r="H693" s="24"/>
      <c r="I693" s="24" t="str">
        <f ca="1">IFERROR(__xludf.DUMMYFUNCTION("GOOGLETRANSLATE(F693,""en"",""pt"")"),"abrigos semi fechados")</f>
        <v>abrigos semi fechados</v>
      </c>
      <c r="J693" t="str">
        <f>VLOOKUP(A693,Pr_Base_LNEC!$A$4:$J$6971,6,FALSE)</f>
        <v>-</v>
      </c>
      <c r="K693">
        <f>VLOOKUP(A693,Pr_Base_LNEC!$A$4:$J$6971,7,FALSE)</f>
        <v>0</v>
      </c>
    </row>
    <row r="694" spans="1:11" ht="14.5">
      <c r="A694" s="20" t="s">
        <v>15390</v>
      </c>
      <c r="B694" s="20">
        <v>20</v>
      </c>
      <c r="C694" s="20">
        <v>65</v>
      </c>
      <c r="D694" s="20">
        <v>78</v>
      </c>
      <c r="E694" s="20">
        <v>88</v>
      </c>
      <c r="F694" s="20" t="s">
        <v>15391</v>
      </c>
      <c r="G694" s="20" t="s">
        <v>15392</v>
      </c>
      <c r="H694" s="24"/>
      <c r="I694" s="24" t="str">
        <f ca="1">IFERROR(__xludf.DUMMYFUNCTION("GOOGLETRANSLATE(F694,""en"",""pt"")"),"Quadro madeira e painéis abrigos")</f>
        <v>Quadro madeira e painéis abrigos</v>
      </c>
      <c r="J694" t="str">
        <f>VLOOKUP(A694,Pr_Base_LNEC!$A$4:$J$6971,6,FALSE)</f>
        <v>-</v>
      </c>
      <c r="K694">
        <f>VLOOKUP(A694,Pr_Base_LNEC!$A$4:$J$6971,7,FALSE)</f>
        <v>0</v>
      </c>
    </row>
    <row r="695" spans="1:11" ht="14.5">
      <c r="A695" s="20" t="s">
        <v>15393</v>
      </c>
      <c r="B695" s="20">
        <v>20</v>
      </c>
      <c r="C695" s="20">
        <v>76</v>
      </c>
      <c r="D695" s="24"/>
      <c r="E695" s="24"/>
      <c r="F695" s="20" t="s">
        <v>15394</v>
      </c>
      <c r="G695" s="24"/>
      <c r="H695" s="24"/>
      <c r="I695" s="24" t="str">
        <f ca="1">IFERROR(__xludf.DUMMYFUNCTION("GOOGLETRANSLATE(F695,""en"",""pt"")"),"produtos seccionais")</f>
        <v>produtos seccionais</v>
      </c>
      <c r="J695" t="str">
        <f>VLOOKUP(A695,Pr_Base_LNEC!$A$4:$J$6971,6,FALSE)</f>
        <v>Produtos em Secções</v>
      </c>
      <c r="K695" t="str">
        <f>VLOOKUP(A695,Pr_Base_LNEC!$A$4:$J$6971,7,FALSE)</f>
        <v>-</v>
      </c>
    </row>
    <row r="696" spans="1:11" ht="14.5">
      <c r="A696" s="20" t="s">
        <v>15395</v>
      </c>
      <c r="B696" s="20">
        <v>20</v>
      </c>
      <c r="C696" s="20">
        <v>76</v>
      </c>
      <c r="D696" s="20">
        <v>6</v>
      </c>
      <c r="E696" s="24"/>
      <c r="F696" s="20" t="s">
        <v>15396</v>
      </c>
      <c r="G696" s="24"/>
      <c r="H696" s="24"/>
      <c r="I696" s="24" t="str">
        <f ca="1">IFERROR(__xludf.DUMMYFUNCTION("GOOGLETRANSLATE(F696,""en"",""pt"")"),"Balaústres e posts newel")</f>
        <v>Balaústres e posts newel</v>
      </c>
      <c r="J696" t="str">
        <f>VLOOKUP(A696,Pr_Base_LNEC!$A$4:$J$6971,6,FALSE)</f>
        <v>Guardas para Escadas</v>
      </c>
      <c r="K696">
        <f>VLOOKUP(A696,Pr_Base_LNEC!$A$4:$J$6971,7,FALSE)</f>
        <v>0</v>
      </c>
    </row>
    <row r="697" spans="1:11" ht="14.5">
      <c r="A697" s="20" t="s">
        <v>15397</v>
      </c>
      <c r="B697" s="20">
        <v>20</v>
      </c>
      <c r="C697" s="20">
        <v>76</v>
      </c>
      <c r="D697" s="20">
        <v>6</v>
      </c>
      <c r="E697" s="20">
        <v>3</v>
      </c>
      <c r="F697" s="20" t="s">
        <v>15398</v>
      </c>
      <c r="G697" s="24"/>
      <c r="H697" s="24"/>
      <c r="I697" s="24" t="str">
        <f ca="1">IFERROR(__xludf.DUMMYFUNCTION("GOOGLETRANSLATE(F697,""en"",""pt"")"),"balaústres de alumínio e posts newel")</f>
        <v>balaústres de alumínio e posts newel</v>
      </c>
      <c r="J697" t="str">
        <f>VLOOKUP(A697,Pr_Base_LNEC!$A$4:$J$6971,6,FALSE)</f>
        <v>-</v>
      </c>
      <c r="K697">
        <f>VLOOKUP(A697,Pr_Base_LNEC!$A$4:$J$6971,7,FALSE)</f>
        <v>0</v>
      </c>
    </row>
    <row r="698" spans="1:11" ht="14.5">
      <c r="A698" s="20" t="s">
        <v>15399</v>
      </c>
      <c r="B698" s="20">
        <v>20</v>
      </c>
      <c r="C698" s="20">
        <v>76</v>
      </c>
      <c r="D698" s="20">
        <v>6</v>
      </c>
      <c r="E698" s="20">
        <v>11</v>
      </c>
      <c r="F698" s="20" t="s">
        <v>15400</v>
      </c>
      <c r="G698" s="24"/>
      <c r="H698" s="24"/>
      <c r="I698" s="24" t="str">
        <f ca="1">IFERROR(__xludf.DUMMYFUNCTION("GOOGLETRANSLATE(F698,""en"",""pt"")"),"balaústres de aço carbono e postos newel")</f>
        <v>balaústres de aço carbono e postos newel</v>
      </c>
      <c r="J698" t="str">
        <f>VLOOKUP(A698,Pr_Base_LNEC!$A$4:$J$6971,6,FALSE)</f>
        <v>-</v>
      </c>
      <c r="K698">
        <f>VLOOKUP(A698,Pr_Base_LNEC!$A$4:$J$6971,7,FALSE)</f>
        <v>0</v>
      </c>
    </row>
    <row r="699" spans="1:11" ht="14.5">
      <c r="A699" s="20" t="s">
        <v>15401</v>
      </c>
      <c r="B699" s="20">
        <v>20</v>
      </c>
      <c r="C699" s="20">
        <v>76</v>
      </c>
      <c r="D699" s="20">
        <v>6</v>
      </c>
      <c r="E699" s="20">
        <v>12</v>
      </c>
      <c r="F699" s="20" t="s">
        <v>15402</v>
      </c>
      <c r="G699" s="24"/>
      <c r="H699" s="24"/>
      <c r="I699" s="24" t="str">
        <f ca="1">IFERROR(__xludf.DUMMYFUNCTION("GOOGLETRANSLATE(F699,""en"",""pt"")"),"balaústres de ferro fundido e posts newel")</f>
        <v>balaústres de ferro fundido e posts newel</v>
      </c>
      <c r="J699" t="str">
        <f>VLOOKUP(A699,Pr_Base_LNEC!$A$4:$J$6971,6,FALSE)</f>
        <v>-</v>
      </c>
      <c r="K699">
        <f>VLOOKUP(A699,Pr_Base_LNEC!$A$4:$J$6971,7,FALSE)</f>
        <v>0</v>
      </c>
    </row>
    <row r="700" spans="1:11" ht="14.5">
      <c r="A700" s="20" t="s">
        <v>15403</v>
      </c>
      <c r="B700" s="20">
        <v>20</v>
      </c>
      <c r="C700" s="20">
        <v>76</v>
      </c>
      <c r="D700" s="20">
        <v>6</v>
      </c>
      <c r="E700" s="20">
        <v>16</v>
      </c>
      <c r="F700" s="20" t="s">
        <v>15404</v>
      </c>
      <c r="G700" s="24"/>
      <c r="H700" s="24"/>
      <c r="I700" s="24" t="str">
        <f ca="1">IFERROR(__xludf.DUMMYFUNCTION("GOOGLETRANSLATE(F700,""en"",""pt"")"),"Concreto balaústres e posts newel")</f>
        <v>Concreto balaústres e posts newel</v>
      </c>
      <c r="J700" t="str">
        <f>VLOOKUP(A700,Pr_Base_LNEC!$A$4:$J$6971,6,FALSE)</f>
        <v>-</v>
      </c>
      <c r="K700">
        <f>VLOOKUP(A700,Pr_Base_LNEC!$A$4:$J$6971,7,FALSE)</f>
        <v>0</v>
      </c>
    </row>
    <row r="701" spans="1:11" ht="14.5">
      <c r="A701" s="20" t="s">
        <v>15405</v>
      </c>
      <c r="B701" s="20">
        <v>20</v>
      </c>
      <c r="C701" s="20">
        <v>76</v>
      </c>
      <c r="D701" s="20">
        <v>6</v>
      </c>
      <c r="E701" s="20">
        <v>36</v>
      </c>
      <c r="F701" s="20" t="s">
        <v>15406</v>
      </c>
      <c r="G701" s="24"/>
      <c r="H701" s="24"/>
      <c r="I701" s="24" t="str">
        <f ca="1">IFERROR(__xludf.DUMMYFUNCTION("GOOGLETRANSLATE(F701,""en"",""pt"")"),"Hardwood balaústres e posts newel")</f>
        <v>Hardwood balaústres e posts newel</v>
      </c>
      <c r="J701" t="str">
        <f>VLOOKUP(A701,Pr_Base_LNEC!$A$4:$J$6971,6,FALSE)</f>
        <v>-</v>
      </c>
      <c r="K701">
        <f>VLOOKUP(A701,Pr_Base_LNEC!$A$4:$J$6971,7,FALSE)</f>
        <v>0</v>
      </c>
    </row>
    <row r="702" spans="1:11" ht="14.5">
      <c r="A702" s="20" t="s">
        <v>15407</v>
      </c>
      <c r="B702" s="20">
        <v>20</v>
      </c>
      <c r="C702" s="20">
        <v>76</v>
      </c>
      <c r="D702" s="20">
        <v>6</v>
      </c>
      <c r="E702" s="20">
        <v>63</v>
      </c>
      <c r="F702" s="20" t="s">
        <v>15408</v>
      </c>
      <c r="G702" s="24"/>
      <c r="H702" s="24"/>
      <c r="I702" s="24" t="str">
        <f ca="1">IFERROR(__xludf.DUMMYFUNCTION("GOOGLETRANSLATE(F702,""en"",""pt"")"),"Plásticos balaústres e posts newel")</f>
        <v>Plásticos balaústres e posts newel</v>
      </c>
      <c r="J702" t="str">
        <f>VLOOKUP(A702,Pr_Base_LNEC!$A$4:$J$6971,6,FALSE)</f>
        <v>-</v>
      </c>
      <c r="K702">
        <f>VLOOKUP(A702,Pr_Base_LNEC!$A$4:$J$6971,7,FALSE)</f>
        <v>0</v>
      </c>
    </row>
    <row r="703" spans="1:11" ht="14.5">
      <c r="A703" s="20" t="s">
        <v>15409</v>
      </c>
      <c r="B703" s="20">
        <v>20</v>
      </c>
      <c r="C703" s="20">
        <v>76</v>
      </c>
      <c r="D703" s="20">
        <v>6</v>
      </c>
      <c r="E703" s="20">
        <v>80</v>
      </c>
      <c r="F703" s="20" t="s">
        <v>15410</v>
      </c>
      <c r="G703" s="24"/>
      <c r="H703" s="24"/>
      <c r="I703" s="24" t="str">
        <f ca="1">IFERROR(__xludf.DUMMYFUNCTION("GOOGLETRANSLATE(F703,""en"",""pt"")"),"Softwood balaústres e posts newel")</f>
        <v>Softwood balaústres e posts newel</v>
      </c>
      <c r="J703" t="str">
        <f>VLOOKUP(A703,Pr_Base_LNEC!$A$4:$J$6971,6,FALSE)</f>
        <v>-</v>
      </c>
      <c r="K703">
        <f>VLOOKUP(A703,Pr_Base_LNEC!$A$4:$J$6971,7,FALSE)</f>
        <v>0</v>
      </c>
    </row>
    <row r="704" spans="1:11" ht="14.5">
      <c r="A704" s="20" t="s">
        <v>15411</v>
      </c>
      <c r="B704" s="20">
        <v>20</v>
      </c>
      <c r="C704" s="20">
        <v>76</v>
      </c>
      <c r="D704" s="20">
        <v>6</v>
      </c>
      <c r="E704" s="20">
        <v>83</v>
      </c>
      <c r="F704" s="20" t="s">
        <v>15412</v>
      </c>
      <c r="G704" s="24"/>
      <c r="H704" s="24"/>
      <c r="I704" s="24" t="str">
        <f ca="1">IFERROR(__xludf.DUMMYFUNCTION("GOOGLETRANSLATE(F704,""en"",""pt"")"),"Inoxidável balaústres de aço e posts newel")</f>
        <v>Inoxidável balaústres de aço e posts newel</v>
      </c>
      <c r="J704" t="str">
        <f>VLOOKUP(A704,Pr_Base_LNEC!$A$4:$J$6971,6,FALSE)</f>
        <v>-</v>
      </c>
      <c r="K704">
        <f>VLOOKUP(A704,Pr_Base_LNEC!$A$4:$J$6971,7,FALSE)</f>
        <v>0</v>
      </c>
    </row>
    <row r="705" spans="1:11" ht="14.5">
      <c r="A705" s="20" t="s">
        <v>15413</v>
      </c>
      <c r="B705" s="20">
        <v>20</v>
      </c>
      <c r="C705" s="20">
        <v>76</v>
      </c>
      <c r="D705" s="20">
        <v>6</v>
      </c>
      <c r="E705" s="20">
        <v>86</v>
      </c>
      <c r="F705" s="20" t="s">
        <v>15414</v>
      </c>
      <c r="G705" s="20" t="s">
        <v>15415</v>
      </c>
      <c r="H705" s="24"/>
      <c r="I705" s="24" t="str">
        <f ca="1">IFERROR(__xludf.DUMMYFUNCTION("GOOGLETRANSLATE(F705,""en"",""pt"")"),"balaústres de pedra e mensagens newel")</f>
        <v>balaústres de pedra e mensagens newel</v>
      </c>
      <c r="J705" t="str">
        <f>VLOOKUP(A705,Pr_Base_LNEC!$A$4:$J$6971,6,FALSE)</f>
        <v>Guardas para Escadas em blocos de Pedra Reconstituida para Unidades de Alvenaria</v>
      </c>
      <c r="K705" t="str">
        <f>VLOOKUP(A705,Pr_Base_LNEC!$A$4:$J$6971,7,FALSE)</f>
        <v>EN 771-5:2011+A1:2015</v>
      </c>
    </row>
    <row r="706" spans="1:11" ht="14.5">
      <c r="A706" s="20" t="s">
        <v>15416</v>
      </c>
      <c r="B706" s="20">
        <v>20</v>
      </c>
      <c r="C706" s="20">
        <v>76</v>
      </c>
      <c r="D706" s="20">
        <v>6</v>
      </c>
      <c r="E706" s="20">
        <v>88</v>
      </c>
      <c r="F706" s="20" t="s">
        <v>15417</v>
      </c>
      <c r="G706" s="20" t="s">
        <v>15418</v>
      </c>
      <c r="H706" s="24"/>
      <c r="I706" s="24" t="str">
        <f ca="1">IFERROR(__xludf.DUMMYFUNCTION("GOOGLETRANSLATE(F706,""en"",""pt"")"),"fusos de madeira")</f>
        <v>fusos de madeira</v>
      </c>
      <c r="J706" t="str">
        <f>VLOOKUP(A706,Pr_Base_LNEC!$A$4:$J$6971,6,FALSE)</f>
        <v>-</v>
      </c>
      <c r="K706">
        <f>VLOOKUP(A706,Pr_Base_LNEC!$A$4:$J$6971,7,FALSE)</f>
        <v>0</v>
      </c>
    </row>
    <row r="707" spans="1:11" ht="14.5">
      <c r="A707" s="20" t="s">
        <v>15419</v>
      </c>
      <c r="B707" s="20">
        <v>20</v>
      </c>
      <c r="C707" s="20">
        <v>76</v>
      </c>
      <c r="D707" s="20">
        <v>8</v>
      </c>
      <c r="E707" s="24"/>
      <c r="F707" s="20" t="s">
        <v>15420</v>
      </c>
      <c r="G707" s="24"/>
      <c r="H707" s="24"/>
      <c r="I707" s="24" t="str">
        <f ca="1">IFERROR(__xludf.DUMMYFUNCTION("GOOGLETRANSLATE(F707,""en"",""pt"")"),"Cabeços e protectores de impacto")</f>
        <v>Cabeços e protectores de impacto</v>
      </c>
      <c r="J707" t="str">
        <f>VLOOKUP(A707,Pr_Base_LNEC!$A$4:$J$6971,6,FALSE)</f>
        <v>Postes de impacto</v>
      </c>
      <c r="K707">
        <f>VLOOKUP(A707,Pr_Base_LNEC!$A$4:$J$6971,7,FALSE)</f>
        <v>0</v>
      </c>
    </row>
    <row r="708" spans="1:11" ht="14.5">
      <c r="A708" s="20" t="s">
        <v>15421</v>
      </c>
      <c r="B708" s="20">
        <v>20</v>
      </c>
      <c r="C708" s="20">
        <v>76</v>
      </c>
      <c r="D708" s="20">
        <v>8</v>
      </c>
      <c r="E708" s="20">
        <v>2</v>
      </c>
      <c r="F708" s="20" t="s">
        <v>15422</v>
      </c>
      <c r="G708" s="20" t="s">
        <v>15423</v>
      </c>
      <c r="H708" s="24"/>
      <c r="I708" s="24" t="str">
        <f ca="1">IFERROR(__xludf.DUMMYFUNCTION("GOOGLETRANSLATE(F708,""en"",""pt"")"),"cabeços de liga de alumínio")</f>
        <v>cabeços de liga de alumínio</v>
      </c>
      <c r="J708" t="str">
        <f>VLOOKUP(A708,Pr_Base_LNEC!$A$4:$J$6971,6,FALSE)</f>
        <v>-</v>
      </c>
      <c r="K708">
        <f>VLOOKUP(A708,Pr_Base_LNEC!$A$4:$J$6971,7,FALSE)</f>
        <v>0</v>
      </c>
    </row>
    <row r="709" spans="1:11" ht="14.5">
      <c r="A709" s="20" t="s">
        <v>15424</v>
      </c>
      <c r="B709" s="20">
        <v>20</v>
      </c>
      <c r="C709" s="20">
        <v>76</v>
      </c>
      <c r="D709" s="20">
        <v>8</v>
      </c>
      <c r="E709" s="20">
        <v>3</v>
      </c>
      <c r="F709" s="20" t="s">
        <v>15425</v>
      </c>
      <c r="G709" s="20" t="s">
        <v>15426</v>
      </c>
      <c r="H709" s="24"/>
      <c r="I709" s="24" t="str">
        <f ca="1">IFERROR(__xludf.DUMMYFUNCTION("GOOGLETRANSLATE(F709,""en"",""pt"")"),"A liga de alumínio articulada cabeços")</f>
        <v>A liga de alumínio articulada cabeços</v>
      </c>
      <c r="J709" t="str">
        <f>VLOOKUP(A709,Pr_Base_LNEC!$A$4:$J$6971,6,FALSE)</f>
        <v>-</v>
      </c>
      <c r="K709">
        <f>VLOOKUP(A709,Pr_Base_LNEC!$A$4:$J$6971,7,FALSE)</f>
        <v>0</v>
      </c>
    </row>
    <row r="710" spans="1:11" ht="14.5">
      <c r="A710" s="20" t="s">
        <v>15427</v>
      </c>
      <c r="B710" s="20">
        <v>20</v>
      </c>
      <c r="C710" s="20">
        <v>76</v>
      </c>
      <c r="D710" s="20">
        <v>8</v>
      </c>
      <c r="E710" s="20">
        <v>4</v>
      </c>
      <c r="F710" s="20" t="s">
        <v>15428</v>
      </c>
      <c r="G710" s="20" t="s">
        <v>15429</v>
      </c>
      <c r="H710" s="24"/>
      <c r="I710" s="24" t="str">
        <f ca="1">IFERROR(__xludf.DUMMYFUNCTION("GOOGLETRANSLATE(F710,""en"",""pt"")"),"Cabeços de alumínio de liga telescópicos")</f>
        <v>Cabeços de alumínio de liga telescópicos</v>
      </c>
      <c r="J710" t="str">
        <f>VLOOKUP(A710,Pr_Base_LNEC!$A$4:$J$6971,6,FALSE)</f>
        <v>-</v>
      </c>
      <c r="K710">
        <f>VLOOKUP(A710,Pr_Base_LNEC!$A$4:$J$6971,7,FALSE)</f>
        <v>0</v>
      </c>
    </row>
    <row r="711" spans="1:11" ht="14.5">
      <c r="A711" s="20" t="s">
        <v>15430</v>
      </c>
      <c r="B711" s="20">
        <v>20</v>
      </c>
      <c r="C711" s="20">
        <v>76</v>
      </c>
      <c r="D711" s="20">
        <v>8</v>
      </c>
      <c r="E711" s="20">
        <v>10</v>
      </c>
      <c r="F711" s="20" t="s">
        <v>15431</v>
      </c>
      <c r="G711" s="20" t="s">
        <v>15432</v>
      </c>
      <c r="H711" s="24"/>
      <c r="I711" s="24" t="str">
        <f ca="1">IFERROR(__xludf.DUMMYFUNCTION("GOOGLETRANSLATE(F711,""en"",""pt"")"),"cabeços de aço de carbono")</f>
        <v>cabeços de aço de carbono</v>
      </c>
      <c r="J711" t="str">
        <f>VLOOKUP(A711,Pr_Base_LNEC!$A$4:$J$6971,6,FALSE)</f>
        <v>-</v>
      </c>
      <c r="K711">
        <f>VLOOKUP(A711,Pr_Base_LNEC!$A$4:$J$6971,7,FALSE)</f>
        <v>0</v>
      </c>
    </row>
    <row r="712" spans="1:11" ht="14.5">
      <c r="A712" s="20" t="s">
        <v>15433</v>
      </c>
      <c r="B712" s="20">
        <v>20</v>
      </c>
      <c r="C712" s="20">
        <v>76</v>
      </c>
      <c r="D712" s="20">
        <v>8</v>
      </c>
      <c r="E712" s="20">
        <v>11</v>
      </c>
      <c r="F712" s="20" t="s">
        <v>15434</v>
      </c>
      <c r="G712" s="20" t="s">
        <v>15435</v>
      </c>
      <c r="H712" s="24"/>
      <c r="I712" s="24" t="str">
        <f ca="1">IFERROR(__xludf.DUMMYFUNCTION("GOOGLETRANSLATE(F712,""en"",""pt"")"),"aço carbono articulada cabeços")</f>
        <v>aço carbono articulada cabeços</v>
      </c>
      <c r="J712" t="str">
        <f>VLOOKUP(A712,Pr_Base_LNEC!$A$4:$J$6971,6,FALSE)</f>
        <v>-</v>
      </c>
      <c r="K712">
        <f>VLOOKUP(A712,Pr_Base_LNEC!$A$4:$J$6971,7,FALSE)</f>
        <v>0</v>
      </c>
    </row>
    <row r="713" spans="1:11" ht="14.5">
      <c r="A713" s="20" t="s">
        <v>15436</v>
      </c>
      <c r="B713" s="20">
        <v>20</v>
      </c>
      <c r="C713" s="20">
        <v>76</v>
      </c>
      <c r="D713" s="20">
        <v>8</v>
      </c>
      <c r="E713" s="20">
        <v>12</v>
      </c>
      <c r="F713" s="20" t="s">
        <v>15437</v>
      </c>
      <c r="G713" s="20" t="s">
        <v>15438</v>
      </c>
      <c r="H713" s="24"/>
      <c r="I713" s="24" t="str">
        <f ca="1">IFERROR(__xludf.DUMMYFUNCTION("GOOGLETRANSLATE(F713,""en"",""pt"")"),"Carbono cabeços de aço subindo")</f>
        <v>Carbono cabeços de aço subindo</v>
      </c>
      <c r="J713" t="str">
        <f>VLOOKUP(A713,Pr_Base_LNEC!$A$4:$J$6971,6,FALSE)</f>
        <v>-</v>
      </c>
      <c r="K713">
        <f>VLOOKUP(A713,Pr_Base_LNEC!$A$4:$J$6971,7,FALSE)</f>
        <v>0</v>
      </c>
    </row>
    <row r="714" spans="1:11" ht="14.5">
      <c r="A714" s="20" t="s">
        <v>15439</v>
      </c>
      <c r="B714" s="20">
        <v>20</v>
      </c>
      <c r="C714" s="20">
        <v>76</v>
      </c>
      <c r="D714" s="20">
        <v>8</v>
      </c>
      <c r="E714" s="20">
        <v>13</v>
      </c>
      <c r="F714" s="20" t="s">
        <v>15440</v>
      </c>
      <c r="G714" s="20" t="s">
        <v>15441</v>
      </c>
      <c r="H714" s="24"/>
      <c r="I714" s="24" t="str">
        <f ca="1">IFERROR(__xludf.DUMMYFUNCTION("GOOGLETRANSLATE(F714,""en"",""pt"")"),"postes telescópicos de aço carbono")</f>
        <v>postes telescópicos de aço carbono</v>
      </c>
      <c r="J714" t="str">
        <f>VLOOKUP(A714,Pr_Base_LNEC!$A$4:$J$6971,6,FALSE)</f>
        <v>-</v>
      </c>
      <c r="K714">
        <f>VLOOKUP(A714,Pr_Base_LNEC!$A$4:$J$6971,7,FALSE)</f>
        <v>0</v>
      </c>
    </row>
    <row r="715" spans="1:11" ht="14.5">
      <c r="A715" s="20" t="s">
        <v>15442</v>
      </c>
      <c r="B715" s="20">
        <v>20</v>
      </c>
      <c r="C715" s="20">
        <v>76</v>
      </c>
      <c r="D715" s="20">
        <v>8</v>
      </c>
      <c r="E715" s="20">
        <v>14</v>
      </c>
      <c r="F715" s="20" t="s">
        <v>15443</v>
      </c>
      <c r="G715" s="20" t="s">
        <v>15444</v>
      </c>
      <c r="H715" s="24"/>
      <c r="I715" s="24" t="str">
        <f ca="1">IFERROR(__xludf.DUMMYFUNCTION("GOOGLETRANSLATE(F715,""en"",""pt"")"),"cabeços de ferro fundido")</f>
        <v>cabeços de ferro fundido</v>
      </c>
      <c r="J715" t="str">
        <f>VLOOKUP(A715,Pr_Base_LNEC!$A$4:$J$6971,6,FALSE)</f>
        <v>-</v>
      </c>
      <c r="K715">
        <f>VLOOKUP(A715,Pr_Base_LNEC!$A$4:$J$6971,7,FALSE)</f>
        <v>0</v>
      </c>
    </row>
    <row r="716" spans="1:11" ht="14.5">
      <c r="A716" s="20" t="s">
        <v>15445</v>
      </c>
      <c r="B716" s="20">
        <v>20</v>
      </c>
      <c r="C716" s="20">
        <v>76</v>
      </c>
      <c r="D716" s="20">
        <v>8</v>
      </c>
      <c r="E716" s="20">
        <v>15</v>
      </c>
      <c r="F716" s="20" t="s">
        <v>15446</v>
      </c>
      <c r="G716" s="24"/>
      <c r="H716" s="24"/>
      <c r="I716" s="24" t="str">
        <f ca="1">IFERROR(__xludf.DUMMYFUNCTION("GOOGLETRANSLATE(F716,""en"",""pt"")"),"cabeços de metal dobráveis")</f>
        <v>cabeços de metal dobráveis</v>
      </c>
      <c r="J716" t="str">
        <f>VLOOKUP(A716,Pr_Base_LNEC!$A$4:$J$6971,6,FALSE)</f>
        <v>-</v>
      </c>
      <c r="K716">
        <f>VLOOKUP(A716,Pr_Base_LNEC!$A$4:$J$6971,7,FALSE)</f>
        <v>0</v>
      </c>
    </row>
    <row r="717" spans="1:11" ht="14.5">
      <c r="A717" s="20" t="s">
        <v>15447</v>
      </c>
      <c r="B717" s="20">
        <v>20</v>
      </c>
      <c r="C717" s="20">
        <v>76</v>
      </c>
      <c r="D717" s="20">
        <v>8</v>
      </c>
      <c r="E717" s="20">
        <v>16</v>
      </c>
      <c r="F717" s="20" t="s">
        <v>15448</v>
      </c>
      <c r="G717" s="24"/>
      <c r="H717" s="24"/>
      <c r="I717" s="24" t="str">
        <f ca="1">IFERROR(__xludf.DUMMYFUNCTION("GOOGLETRANSLATE(F717,""en"",""pt"")"),"cabeços de polímeros dobráveis")</f>
        <v>cabeços de polímeros dobráveis</v>
      </c>
      <c r="J717" t="str">
        <f>VLOOKUP(A717,Pr_Base_LNEC!$A$4:$J$6971,6,FALSE)</f>
        <v>-</v>
      </c>
      <c r="K717">
        <f>VLOOKUP(A717,Pr_Base_LNEC!$A$4:$J$6971,7,FALSE)</f>
        <v>0</v>
      </c>
    </row>
    <row r="718" spans="1:11" ht="14.5">
      <c r="A718" s="20" t="s">
        <v>15449</v>
      </c>
      <c r="B718" s="20">
        <v>20</v>
      </c>
      <c r="C718" s="20">
        <v>76</v>
      </c>
      <c r="D718" s="20">
        <v>8</v>
      </c>
      <c r="E718" s="20">
        <v>17</v>
      </c>
      <c r="F718" s="20" t="s">
        <v>15450</v>
      </c>
      <c r="G718" s="24"/>
      <c r="H718" s="24"/>
      <c r="I718" s="24" t="str">
        <f ca="1">IFERROR(__xludf.DUMMYFUNCTION("GOOGLETRANSLATE(F718,""en"",""pt"")"),"cabeços de madeira dobráveis")</f>
        <v>cabeços de madeira dobráveis</v>
      </c>
      <c r="J718" t="str">
        <f>VLOOKUP(A718,Pr_Base_LNEC!$A$4:$J$6971,6,FALSE)</f>
        <v>-</v>
      </c>
      <c r="K718">
        <f>VLOOKUP(A718,Pr_Base_LNEC!$A$4:$J$6971,7,FALSE)</f>
        <v>0</v>
      </c>
    </row>
    <row r="719" spans="1:11" ht="14.5">
      <c r="A719" s="20" t="s">
        <v>15451</v>
      </c>
      <c r="B719" s="20">
        <v>20</v>
      </c>
      <c r="C719" s="20">
        <v>76</v>
      </c>
      <c r="D719" s="20">
        <v>8</v>
      </c>
      <c r="E719" s="20">
        <v>18</v>
      </c>
      <c r="F719" s="20" t="s">
        <v>15452</v>
      </c>
      <c r="G719" s="24"/>
      <c r="H719" s="24"/>
      <c r="I719" s="24" t="str">
        <f ca="1">IFERROR(__xludf.DUMMYFUNCTION("GOOGLETRANSLATE(F719,""en"",""pt"")"),"cabeços composite")</f>
        <v>cabeços composite</v>
      </c>
      <c r="J719" t="str">
        <f>VLOOKUP(A719,Pr_Base_LNEC!$A$4:$J$6971,6,FALSE)</f>
        <v>-</v>
      </c>
      <c r="K719">
        <f>VLOOKUP(A719,Pr_Base_LNEC!$A$4:$J$6971,7,FALSE)</f>
        <v>0</v>
      </c>
    </row>
    <row r="720" spans="1:11" ht="14.5">
      <c r="A720" s="20" t="s">
        <v>15453</v>
      </c>
      <c r="B720" s="20">
        <v>20</v>
      </c>
      <c r="C720" s="20">
        <v>76</v>
      </c>
      <c r="D720" s="20">
        <v>8</v>
      </c>
      <c r="E720" s="20">
        <v>19</v>
      </c>
      <c r="F720" s="20" t="s">
        <v>15454</v>
      </c>
      <c r="G720" s="24"/>
      <c r="H720" s="24"/>
      <c r="I720" s="24" t="str">
        <f ca="1">IFERROR(__xludf.DUMMYFUNCTION("GOOGLETRANSLATE(F720,""en"",""pt"")"),"cabeços de concreto")</f>
        <v>cabeços de concreto</v>
      </c>
      <c r="J720" t="str">
        <f>VLOOKUP(A720,Pr_Base_LNEC!$A$4:$J$6971,6,FALSE)</f>
        <v>-</v>
      </c>
      <c r="K720">
        <f>VLOOKUP(A720,Pr_Base_LNEC!$A$4:$J$6971,7,FALSE)</f>
        <v>0</v>
      </c>
    </row>
    <row r="721" spans="1:11" ht="14.5">
      <c r="A721" s="20" t="s">
        <v>15455</v>
      </c>
      <c r="B721" s="20">
        <v>20</v>
      </c>
      <c r="C721" s="20">
        <v>76</v>
      </c>
      <c r="D721" s="20">
        <v>8</v>
      </c>
      <c r="E721" s="20">
        <v>36</v>
      </c>
      <c r="F721" s="20" t="s">
        <v>15456</v>
      </c>
      <c r="G721" s="20" t="s">
        <v>15457</v>
      </c>
      <c r="H721" s="24"/>
      <c r="I721" s="24" t="str">
        <f ca="1">IFERROR(__xludf.DUMMYFUNCTION("GOOGLETRANSLATE(F721,""en"",""pt"")"),"cabeços de madeira")</f>
        <v>cabeços de madeira</v>
      </c>
      <c r="J721" t="str">
        <f>VLOOKUP(A721,Pr_Base_LNEC!$A$4:$J$6971,6,FALSE)</f>
        <v>-</v>
      </c>
      <c r="K721">
        <f>VLOOKUP(A721,Pr_Base_LNEC!$A$4:$J$6971,7,FALSE)</f>
        <v>0</v>
      </c>
    </row>
    <row r="722" spans="1:11" ht="14.5">
      <c r="A722" s="20" t="s">
        <v>15458</v>
      </c>
      <c r="B722" s="20">
        <v>20</v>
      </c>
      <c r="C722" s="20">
        <v>76</v>
      </c>
      <c r="D722" s="20">
        <v>8</v>
      </c>
      <c r="E722" s="20">
        <v>51</v>
      </c>
      <c r="F722" s="20" t="s">
        <v>15459</v>
      </c>
      <c r="G722" s="24"/>
      <c r="H722" s="24"/>
      <c r="I722" s="24" t="str">
        <f ca="1">IFERROR(__xludf.DUMMYFUNCTION("GOOGLETRANSLATE(F722,""en"",""pt"")"),"cabeços de metal")</f>
        <v>cabeços de metal</v>
      </c>
      <c r="J722" t="str">
        <f>VLOOKUP(A722,Pr_Base_LNEC!$A$4:$J$6971,6,FALSE)</f>
        <v>-</v>
      </c>
      <c r="K722">
        <f>VLOOKUP(A722,Pr_Base_LNEC!$A$4:$J$6971,7,FALSE)</f>
        <v>0</v>
      </c>
    </row>
    <row r="723" spans="1:11" ht="14.5">
      <c r="A723" s="20" t="s">
        <v>15460</v>
      </c>
      <c r="B723" s="20">
        <v>20</v>
      </c>
      <c r="C723" s="20">
        <v>76</v>
      </c>
      <c r="D723" s="20">
        <v>8</v>
      </c>
      <c r="E723" s="20">
        <v>52</v>
      </c>
      <c r="F723" s="20" t="s">
        <v>15461</v>
      </c>
      <c r="G723" s="24"/>
      <c r="H723" s="24"/>
      <c r="I723" s="24" t="str">
        <f ca="1">IFERROR(__xludf.DUMMYFUNCTION("GOOGLETRANSLATE(F723,""en"",""pt"")"),"protectores de impacto de metal")</f>
        <v>protectores de impacto de metal</v>
      </c>
      <c r="J723" t="str">
        <f>VLOOKUP(A723,Pr_Base_LNEC!$A$4:$J$6971,6,FALSE)</f>
        <v>-</v>
      </c>
      <c r="K723">
        <f>VLOOKUP(A723,Pr_Base_LNEC!$A$4:$J$6971,7,FALSE)</f>
        <v>0</v>
      </c>
    </row>
    <row r="724" spans="1:11" ht="14.5">
      <c r="A724" s="20" t="s">
        <v>15462</v>
      </c>
      <c r="B724" s="20">
        <v>20</v>
      </c>
      <c r="C724" s="20">
        <v>76</v>
      </c>
      <c r="D724" s="20">
        <v>8</v>
      </c>
      <c r="E724" s="20">
        <v>53</v>
      </c>
      <c r="F724" s="20" t="s">
        <v>15463</v>
      </c>
      <c r="G724" s="24"/>
      <c r="H724" s="24"/>
      <c r="I724" s="24" t="str">
        <f ca="1">IFERROR(__xludf.DUMMYFUNCTION("GOOGLETRANSLATE(F724,""en"",""pt"")"),"protectores de impacto de metal com interior")</f>
        <v>protectores de impacto de metal com interior</v>
      </c>
      <c r="J724" t="str">
        <f>VLOOKUP(A724,Pr_Base_LNEC!$A$4:$J$6971,6,FALSE)</f>
        <v>-</v>
      </c>
      <c r="K724">
        <f>VLOOKUP(A724,Pr_Base_LNEC!$A$4:$J$6971,7,FALSE)</f>
        <v>0</v>
      </c>
    </row>
    <row r="725" spans="1:11" ht="14.5">
      <c r="A725" s="20" t="s">
        <v>15464</v>
      </c>
      <c r="B725" s="20">
        <v>20</v>
      </c>
      <c r="C725" s="20">
        <v>76</v>
      </c>
      <c r="D725" s="20">
        <v>8</v>
      </c>
      <c r="E725" s="20">
        <v>60</v>
      </c>
      <c r="F725" s="20" t="s">
        <v>15465</v>
      </c>
      <c r="G725" s="24"/>
      <c r="H725" s="24"/>
      <c r="I725" s="24" t="str">
        <f ca="1">IFERROR(__xludf.DUMMYFUNCTION("GOOGLETRANSLATE(F725,""en"",""pt"")"),"pára-lamas do painel")</f>
        <v>pára-lamas do painel</v>
      </c>
      <c r="J725" t="str">
        <f>VLOOKUP(A725,Pr_Base_LNEC!$A$4:$J$6971,6,FALSE)</f>
        <v>-</v>
      </c>
      <c r="K725">
        <f>VLOOKUP(A725,Pr_Base_LNEC!$A$4:$J$6971,7,FALSE)</f>
        <v>0</v>
      </c>
    </row>
    <row r="726" spans="1:11" ht="14.5">
      <c r="A726" s="20" t="s">
        <v>15466</v>
      </c>
      <c r="B726" s="20">
        <v>20</v>
      </c>
      <c r="C726" s="20">
        <v>76</v>
      </c>
      <c r="D726" s="20">
        <v>8</v>
      </c>
      <c r="E726" s="20">
        <v>62</v>
      </c>
      <c r="F726" s="20" t="s">
        <v>15467</v>
      </c>
      <c r="G726" s="20" t="s">
        <v>15468</v>
      </c>
      <c r="H726" s="24"/>
      <c r="I726" s="24" t="str">
        <f ca="1">IFERROR(__xludf.DUMMYFUNCTION("GOOGLETRANSLATE(F726,""en"",""pt"")"),"plásticos cabeços")</f>
        <v>plásticos cabeços</v>
      </c>
      <c r="J726" t="str">
        <f>VLOOKUP(A726,Pr_Base_LNEC!$A$4:$J$6971,6,FALSE)</f>
        <v>-</v>
      </c>
      <c r="K726">
        <f>VLOOKUP(A726,Pr_Base_LNEC!$A$4:$J$6971,7,FALSE)</f>
        <v>0</v>
      </c>
    </row>
    <row r="727" spans="1:11" ht="14.5">
      <c r="A727" s="20" t="s">
        <v>15469</v>
      </c>
      <c r="B727" s="20">
        <v>20</v>
      </c>
      <c r="C727" s="20">
        <v>76</v>
      </c>
      <c r="D727" s="20">
        <v>8</v>
      </c>
      <c r="E727" s="20">
        <v>63</v>
      </c>
      <c r="F727" s="20" t="s">
        <v>15470</v>
      </c>
      <c r="G727" s="20" t="s">
        <v>15471</v>
      </c>
      <c r="H727" s="24"/>
      <c r="I727" s="24" t="str">
        <f ca="1">IFERROR(__xludf.DUMMYFUNCTION("GOOGLETRANSLATE(F727,""en"",""pt"")"),"Plásticos articuladas cabeços carro")</f>
        <v>Plásticos articuladas cabeços carro</v>
      </c>
      <c r="J727" t="str">
        <f>VLOOKUP(A727,Pr_Base_LNEC!$A$4:$J$6971,6,FALSE)</f>
        <v>-</v>
      </c>
      <c r="K727">
        <f>VLOOKUP(A727,Pr_Base_LNEC!$A$4:$J$6971,7,FALSE)</f>
        <v>0</v>
      </c>
    </row>
    <row r="728" spans="1:11" ht="14.5">
      <c r="A728" s="20" t="s">
        <v>15472</v>
      </c>
      <c r="B728" s="20">
        <v>20</v>
      </c>
      <c r="C728" s="20">
        <v>76</v>
      </c>
      <c r="D728" s="20">
        <v>8</v>
      </c>
      <c r="E728" s="20">
        <v>64</v>
      </c>
      <c r="F728" s="20" t="s">
        <v>15473</v>
      </c>
      <c r="G728" s="20" t="s">
        <v>15474</v>
      </c>
      <c r="H728" s="24"/>
      <c r="I728" s="24" t="str">
        <f ca="1">IFERROR(__xludf.DUMMYFUNCTION("GOOGLETRANSLATE(F728,""en"",""pt"")"),"Plásticos aumento dos cabeços")</f>
        <v>Plásticos aumento dos cabeços</v>
      </c>
      <c r="J728" t="str">
        <f>VLOOKUP(A728,Pr_Base_LNEC!$A$4:$J$6971,6,FALSE)</f>
        <v>-</v>
      </c>
      <c r="K728">
        <f>VLOOKUP(A728,Pr_Base_LNEC!$A$4:$J$6971,7,FALSE)</f>
        <v>0</v>
      </c>
    </row>
    <row r="729" spans="1:11" ht="14.5">
      <c r="A729" s="20" t="s">
        <v>15475</v>
      </c>
      <c r="B729" s="20">
        <v>20</v>
      </c>
      <c r="C729" s="20">
        <v>76</v>
      </c>
      <c r="D729" s="20">
        <v>8</v>
      </c>
      <c r="E729" s="20">
        <v>65</v>
      </c>
      <c r="F729" s="20" t="s">
        <v>15476</v>
      </c>
      <c r="G729" s="20" t="s">
        <v>15477</v>
      </c>
      <c r="H729" s="24"/>
      <c r="I729" s="24" t="str">
        <f ca="1">IFERROR(__xludf.DUMMYFUNCTION("GOOGLETRANSLATE(F729,""en"",""pt"")"),"Plásticos postes telescópicos")</f>
        <v>Plásticos postes telescópicos</v>
      </c>
      <c r="J729" t="str">
        <f>VLOOKUP(A729,Pr_Base_LNEC!$A$4:$J$6971,6,FALSE)</f>
        <v>-</v>
      </c>
      <c r="K729">
        <f>VLOOKUP(A729,Pr_Base_LNEC!$A$4:$J$6971,7,FALSE)</f>
        <v>0</v>
      </c>
    </row>
    <row r="730" spans="1:11" ht="14.5">
      <c r="A730" s="20" t="s">
        <v>15478</v>
      </c>
      <c r="B730" s="20">
        <v>20</v>
      </c>
      <c r="C730" s="20">
        <v>76</v>
      </c>
      <c r="D730" s="20">
        <v>8</v>
      </c>
      <c r="E730" s="20">
        <v>66</v>
      </c>
      <c r="F730" s="20" t="s">
        <v>15479</v>
      </c>
      <c r="G730" s="24"/>
      <c r="H730" s="24"/>
      <c r="I730" s="24" t="str">
        <f ca="1">IFERROR(__xludf.DUMMYFUNCTION("GOOGLETRANSLATE(F730,""en"",""pt"")"),"cabeços Polymer")</f>
        <v>cabeços Polymer</v>
      </c>
      <c r="J730" t="str">
        <f>VLOOKUP(A730,Pr_Base_LNEC!$A$4:$J$6971,6,FALSE)</f>
        <v>-</v>
      </c>
      <c r="K730">
        <f>VLOOKUP(A730,Pr_Base_LNEC!$A$4:$J$6971,7,FALSE)</f>
        <v>0</v>
      </c>
    </row>
    <row r="731" spans="1:11" ht="14.5">
      <c r="A731" s="20" t="s">
        <v>15480</v>
      </c>
      <c r="B731" s="20">
        <v>20</v>
      </c>
      <c r="C731" s="20">
        <v>76</v>
      </c>
      <c r="D731" s="20">
        <v>8</v>
      </c>
      <c r="E731" s="20">
        <v>67</v>
      </c>
      <c r="F731" s="20" t="s">
        <v>15481</v>
      </c>
      <c r="G731" s="20" t="s">
        <v>15482</v>
      </c>
      <c r="H731" s="24"/>
      <c r="I731" s="24" t="str">
        <f ca="1">IFERROR(__xludf.DUMMYFUNCTION("GOOGLETRANSLATE(F731,""en"",""pt"")"),"cabeços concreto pré-moldado")</f>
        <v>cabeços concreto pré-moldado</v>
      </c>
      <c r="J731" t="str">
        <f>VLOOKUP(A731,Pr_Base_LNEC!$A$4:$J$6971,6,FALSE)</f>
        <v>-</v>
      </c>
      <c r="K731">
        <f>VLOOKUP(A731,Pr_Base_LNEC!$A$4:$J$6971,7,FALSE)</f>
        <v>0</v>
      </c>
    </row>
    <row r="732" spans="1:11" ht="14.5">
      <c r="A732" s="20" t="s">
        <v>15483</v>
      </c>
      <c r="B732" s="20">
        <v>20</v>
      </c>
      <c r="C732" s="20">
        <v>76</v>
      </c>
      <c r="D732" s="20">
        <v>8</v>
      </c>
      <c r="E732" s="20">
        <v>71</v>
      </c>
      <c r="F732" s="20" t="s">
        <v>15484</v>
      </c>
      <c r="G732" s="24"/>
      <c r="H732" s="24"/>
      <c r="I732" s="24" t="str">
        <f ca="1">IFERROR(__xludf.DUMMYFUNCTION("GOOGLETRANSLATE(F732,""en"",""pt"")"),"Retraindo cabeços de metal")</f>
        <v>Retraindo cabeços de metal</v>
      </c>
      <c r="J732" t="str">
        <f>VLOOKUP(A732,Pr_Base_LNEC!$A$4:$J$6971,6,FALSE)</f>
        <v>-</v>
      </c>
      <c r="K732">
        <f>VLOOKUP(A732,Pr_Base_LNEC!$A$4:$J$6971,7,FALSE)</f>
        <v>0</v>
      </c>
    </row>
    <row r="733" spans="1:11" ht="14.5">
      <c r="A733" s="20" t="s">
        <v>15485</v>
      </c>
      <c r="B733" s="20">
        <v>20</v>
      </c>
      <c r="C733" s="20">
        <v>76</v>
      </c>
      <c r="D733" s="20">
        <v>8</v>
      </c>
      <c r="E733" s="20">
        <v>82</v>
      </c>
      <c r="F733" s="20" t="s">
        <v>15486</v>
      </c>
      <c r="G733" s="20" t="s">
        <v>15487</v>
      </c>
      <c r="H733" s="24"/>
      <c r="I733" s="24" t="str">
        <f ca="1">IFERROR(__xludf.DUMMYFUNCTION("GOOGLETRANSLATE(F733,""en"",""pt"")"),"cabeços de aço inoxidável")</f>
        <v>cabeços de aço inoxidável</v>
      </c>
      <c r="J733" t="str">
        <f>VLOOKUP(A733,Pr_Base_LNEC!$A$4:$J$6971,6,FALSE)</f>
        <v>-</v>
      </c>
      <c r="K733">
        <f>VLOOKUP(A733,Pr_Base_LNEC!$A$4:$J$6971,7,FALSE)</f>
        <v>0</v>
      </c>
    </row>
    <row r="734" spans="1:11" ht="14.5">
      <c r="A734" s="20" t="s">
        <v>15488</v>
      </c>
      <c r="B734" s="20">
        <v>20</v>
      </c>
      <c r="C734" s="20">
        <v>76</v>
      </c>
      <c r="D734" s="20">
        <v>8</v>
      </c>
      <c r="E734" s="20">
        <v>83</v>
      </c>
      <c r="F734" s="20" t="s">
        <v>15489</v>
      </c>
      <c r="G734" s="20" t="s">
        <v>15490</v>
      </c>
      <c r="H734" s="24"/>
      <c r="I734" s="24" t="str">
        <f ca="1">IFERROR(__xludf.DUMMYFUNCTION("GOOGLETRANSLATE(F734,""en"",""pt"")"),"aço inoxidável articulada cabeços")</f>
        <v>aço inoxidável articulada cabeços</v>
      </c>
      <c r="J734" t="str">
        <f>VLOOKUP(A734,Pr_Base_LNEC!$A$4:$J$6971,6,FALSE)</f>
        <v>-</v>
      </c>
      <c r="K734">
        <f>VLOOKUP(A734,Pr_Base_LNEC!$A$4:$J$6971,7,FALSE)</f>
        <v>0</v>
      </c>
    </row>
    <row r="735" spans="1:11" ht="14.5">
      <c r="A735" s="20" t="s">
        <v>15491</v>
      </c>
      <c r="B735" s="20">
        <v>20</v>
      </c>
      <c r="C735" s="20">
        <v>76</v>
      </c>
      <c r="D735" s="20">
        <v>8</v>
      </c>
      <c r="E735" s="20">
        <v>84</v>
      </c>
      <c r="F735" s="20" t="s">
        <v>15492</v>
      </c>
      <c r="G735" s="20" t="s">
        <v>15493</v>
      </c>
      <c r="H735" s="24"/>
      <c r="I735" s="24" t="str">
        <f ca="1">IFERROR(__xludf.DUMMYFUNCTION("GOOGLETRANSLATE(F735,""en"",""pt"")"),"aumento dos cabeços de aço inoxidável")</f>
        <v>aumento dos cabeços de aço inoxidável</v>
      </c>
      <c r="J735" t="str">
        <f>VLOOKUP(A735,Pr_Base_LNEC!$A$4:$J$6971,6,FALSE)</f>
        <v>-</v>
      </c>
      <c r="K735">
        <f>VLOOKUP(A735,Pr_Base_LNEC!$A$4:$J$6971,7,FALSE)</f>
        <v>0</v>
      </c>
    </row>
    <row r="736" spans="1:11" ht="14.5">
      <c r="A736" s="20" t="s">
        <v>15494</v>
      </c>
      <c r="B736" s="20">
        <v>20</v>
      </c>
      <c r="C736" s="20">
        <v>76</v>
      </c>
      <c r="D736" s="20">
        <v>8</v>
      </c>
      <c r="E736" s="20">
        <v>85</v>
      </c>
      <c r="F736" s="20" t="s">
        <v>15495</v>
      </c>
      <c r="G736" s="20" t="s">
        <v>15496</v>
      </c>
      <c r="H736" s="24"/>
      <c r="I736" s="24" t="str">
        <f ca="1">IFERROR(__xludf.DUMMYFUNCTION("GOOGLETRANSLATE(F736,""en"",""pt"")"),"cabeços telescópicos de aço inoxidável")</f>
        <v>cabeços telescópicos de aço inoxidável</v>
      </c>
      <c r="J736" t="str">
        <f>VLOOKUP(A736,Pr_Base_LNEC!$A$4:$J$6971,6,FALSE)</f>
        <v>-</v>
      </c>
      <c r="K736">
        <f>VLOOKUP(A736,Pr_Base_LNEC!$A$4:$J$6971,7,FALSE)</f>
        <v>0</v>
      </c>
    </row>
    <row r="737" spans="1:11" ht="14.5">
      <c r="A737" s="20" t="s">
        <v>15497</v>
      </c>
      <c r="B737" s="20">
        <v>20</v>
      </c>
      <c r="C737" s="20">
        <v>76</v>
      </c>
      <c r="D737" s="20">
        <v>8</v>
      </c>
      <c r="E737" s="20">
        <v>86</v>
      </c>
      <c r="F737" s="20" t="s">
        <v>15498</v>
      </c>
      <c r="G737" s="24"/>
      <c r="H737" s="24"/>
      <c r="I737" s="24" t="str">
        <f ca="1">IFERROR(__xludf.DUMMYFUNCTION("GOOGLETRANSLATE(F737,""en"",""pt"")"),"cabeços de pedra")</f>
        <v>cabeços de pedra</v>
      </c>
      <c r="J737" t="str">
        <f>VLOOKUP(A737,Pr_Base_LNEC!$A$4:$J$6971,6,FALSE)</f>
        <v>-</v>
      </c>
      <c r="K737">
        <f>VLOOKUP(A737,Pr_Base_LNEC!$A$4:$J$6971,7,FALSE)</f>
        <v>0</v>
      </c>
    </row>
    <row r="738" spans="1:11" ht="14.5">
      <c r="A738" s="20" t="s">
        <v>15499</v>
      </c>
      <c r="B738" s="20">
        <v>20</v>
      </c>
      <c r="C738" s="20">
        <v>76</v>
      </c>
      <c r="D738" s="20">
        <v>8</v>
      </c>
      <c r="E738" s="20">
        <v>88</v>
      </c>
      <c r="F738" s="20" t="s">
        <v>15500</v>
      </c>
      <c r="G738" s="24"/>
      <c r="H738" s="24"/>
      <c r="I738" s="24" t="str">
        <f ca="1">IFERROR(__xludf.DUMMYFUNCTION("GOOGLETRANSLATE(F738,""en"",""pt"")"),"cabeços de madeira")</f>
        <v>cabeços de madeira</v>
      </c>
      <c r="J738" t="str">
        <f>VLOOKUP(A738,Pr_Base_LNEC!$A$4:$J$6971,6,FALSE)</f>
        <v>-</v>
      </c>
      <c r="K738">
        <f>VLOOKUP(A738,Pr_Base_LNEC!$A$4:$J$6971,7,FALSE)</f>
        <v>0</v>
      </c>
    </row>
    <row r="739" spans="1:11" ht="14.5">
      <c r="A739" s="20" t="s">
        <v>15501</v>
      </c>
      <c r="B739" s="20">
        <v>20</v>
      </c>
      <c r="C739" s="20">
        <v>76</v>
      </c>
      <c r="D739" s="20">
        <v>51</v>
      </c>
      <c r="E739" s="24"/>
      <c r="F739" s="20" t="s">
        <v>15502</v>
      </c>
      <c r="G739" s="24"/>
      <c r="H739" s="24"/>
      <c r="I739" s="24" t="str">
        <f ca="1">IFERROR(__xludf.DUMMYFUNCTION("GOOGLETRANSLATE(F739,""en"",""pt"")"),"seções de metal")</f>
        <v>seções de metal</v>
      </c>
      <c r="J739" t="str">
        <f>VLOOKUP(A739,Pr_Base_LNEC!$A$4:$J$6971,6,FALSE)</f>
        <v>Secções em metal</v>
      </c>
      <c r="K739">
        <f>VLOOKUP(A739,Pr_Base_LNEC!$A$4:$J$6971,7,FALSE)</f>
        <v>0</v>
      </c>
    </row>
    <row r="740" spans="1:11" ht="14.5">
      <c r="A740" s="20" t="s">
        <v>15503</v>
      </c>
      <c r="B740" s="20">
        <v>20</v>
      </c>
      <c r="C740" s="20">
        <v>76</v>
      </c>
      <c r="D740" s="20">
        <v>51</v>
      </c>
      <c r="E740" s="20">
        <v>1</v>
      </c>
      <c r="F740" s="20" t="s">
        <v>15504</v>
      </c>
      <c r="G740" s="20" t="s">
        <v>15505</v>
      </c>
      <c r="H740" s="24"/>
      <c r="I740" s="24" t="str">
        <f ca="1">IFERROR(__xludf.DUMMYFUNCTION("GOOGLETRANSLATE(F740,""en"",""pt"")"),"De alumínio estirados barras")</f>
        <v>De alumínio estirados barras</v>
      </c>
      <c r="J740" t="str">
        <f>VLOOKUP(A740,Pr_Base_LNEC!$A$4:$J$6971,6,FALSE)</f>
        <v>-</v>
      </c>
      <c r="K740">
        <f>VLOOKUP(A740,Pr_Base_LNEC!$A$4:$J$6971,7,FALSE)</f>
        <v>0</v>
      </c>
    </row>
    <row r="741" spans="1:11" ht="14.5">
      <c r="A741" s="20" t="s">
        <v>15506</v>
      </c>
      <c r="B741" s="20">
        <v>20</v>
      </c>
      <c r="C741" s="20">
        <v>76</v>
      </c>
      <c r="D741" s="20">
        <v>51</v>
      </c>
      <c r="E741" s="20">
        <v>2</v>
      </c>
      <c r="F741" s="20" t="s">
        <v>15507</v>
      </c>
      <c r="G741" s="20" t="s">
        <v>15508</v>
      </c>
      <c r="H741" s="24"/>
      <c r="I741" s="24" t="str">
        <f ca="1">IFERROR(__xludf.DUMMYFUNCTION("GOOGLETRANSLATE(F741,""en"",""pt"")"),"Alumínio secções de armação de parede cortina")</f>
        <v>Alumínio secções de armação de parede cortina</v>
      </c>
      <c r="J741" t="str">
        <f>VLOOKUP(A741,Pr_Base_LNEC!$A$4:$J$6971,6,FALSE)</f>
        <v>-</v>
      </c>
      <c r="K741">
        <f>VLOOKUP(A741,Pr_Base_LNEC!$A$4:$J$6971,7,FALSE)</f>
        <v>0</v>
      </c>
    </row>
    <row r="742" spans="1:11" ht="14.5">
      <c r="A742" s="20" t="s">
        <v>15509</v>
      </c>
      <c r="B742" s="20">
        <v>20</v>
      </c>
      <c r="C742" s="20">
        <v>76</v>
      </c>
      <c r="D742" s="20">
        <v>51</v>
      </c>
      <c r="E742" s="20">
        <v>3</v>
      </c>
      <c r="F742" s="20" t="s">
        <v>15510</v>
      </c>
      <c r="G742" s="20" t="s">
        <v>15511</v>
      </c>
      <c r="H742" s="24"/>
      <c r="I742" s="24" t="str">
        <f ca="1">IFERROR(__xludf.DUMMYFUNCTION("GOOGLETRANSLATE(F742,""en"",""pt"")"),"Alumínio extrudido barras")</f>
        <v>Alumínio extrudido barras</v>
      </c>
      <c r="J742" t="str">
        <f>VLOOKUP(A742,Pr_Base_LNEC!$A$4:$J$6971,6,FALSE)</f>
        <v>-</v>
      </c>
      <c r="K742">
        <f>VLOOKUP(A742,Pr_Base_LNEC!$A$4:$J$6971,7,FALSE)</f>
        <v>0</v>
      </c>
    </row>
    <row r="743" spans="1:11" ht="14.5">
      <c r="A743" s="20" t="s">
        <v>15512</v>
      </c>
      <c r="B743" s="20">
        <v>20</v>
      </c>
      <c r="C743" s="20">
        <v>76</v>
      </c>
      <c r="D743" s="20">
        <v>51</v>
      </c>
      <c r="E743" s="20">
        <v>4</v>
      </c>
      <c r="F743" s="20" t="s">
        <v>15513</v>
      </c>
      <c r="G743" s="20" t="s">
        <v>15514</v>
      </c>
      <c r="H743" s="24"/>
      <c r="I743" s="24" t="str">
        <f ca="1">IFERROR(__xludf.DUMMYFUNCTION("GOOGLETRANSLATE(F743,""en"",""pt"")"),"Alumínio extrudado perfis de precisão")</f>
        <v>Alumínio extrudado perfis de precisão</v>
      </c>
      <c r="J743" t="str">
        <f>VLOOKUP(A743,Pr_Base_LNEC!$A$4:$J$6971,6,FALSE)</f>
        <v>-</v>
      </c>
      <c r="K743">
        <f>VLOOKUP(A743,Pr_Base_LNEC!$A$4:$J$6971,7,FALSE)</f>
        <v>0</v>
      </c>
    </row>
    <row r="744" spans="1:11" ht="14.5">
      <c r="A744" s="20" t="s">
        <v>15515</v>
      </c>
      <c r="B744" s="20">
        <v>20</v>
      </c>
      <c r="C744" s="20">
        <v>76</v>
      </c>
      <c r="D744" s="20">
        <v>51</v>
      </c>
      <c r="E744" s="20">
        <v>5</v>
      </c>
      <c r="F744" s="20" t="s">
        <v>15516</v>
      </c>
      <c r="G744" s="20" t="s">
        <v>15517</v>
      </c>
      <c r="H744" s="24"/>
      <c r="I744" s="24" t="str">
        <f ca="1">IFERROR(__xludf.DUMMYFUNCTION("GOOGLETRANSLATE(F744,""en"",""pt"")"),"Alumínio Barras de patentes vidros")</f>
        <v>Alumínio Barras de patentes vidros</v>
      </c>
      <c r="J744" t="str">
        <f>VLOOKUP(A744,Pr_Base_LNEC!$A$4:$J$6971,6,FALSE)</f>
        <v>-</v>
      </c>
      <c r="K744">
        <f>VLOOKUP(A744,Pr_Base_LNEC!$A$4:$J$6971,7,FALSE)</f>
        <v>0</v>
      </c>
    </row>
    <row r="745" spans="1:11" ht="14.5">
      <c r="A745" s="20" t="s">
        <v>15518</v>
      </c>
      <c r="B745" s="20">
        <v>20</v>
      </c>
      <c r="C745" s="20">
        <v>76</v>
      </c>
      <c r="D745" s="20">
        <v>51</v>
      </c>
      <c r="E745" s="20">
        <v>7</v>
      </c>
      <c r="F745" s="20" t="s">
        <v>15519</v>
      </c>
      <c r="G745" s="20" t="s">
        <v>15520</v>
      </c>
      <c r="H745" s="24"/>
      <c r="I745" s="24" t="str">
        <f ca="1">IFERROR(__xludf.DUMMYFUNCTION("GOOGLETRANSLATE(F745,""en"",""pt"")"),"perfis estruturais de alumínio")</f>
        <v>perfis estruturais de alumínio</v>
      </c>
      <c r="J745" t="str">
        <f>VLOOKUP(A745,Pr_Base_LNEC!$A$4:$J$6971,6,FALSE)</f>
        <v>-</v>
      </c>
      <c r="K745">
        <f>VLOOKUP(A745,Pr_Base_LNEC!$A$4:$J$6971,7,FALSE)</f>
        <v>0</v>
      </c>
    </row>
    <row r="746" spans="1:11" ht="14.5">
      <c r="A746" s="20" t="s">
        <v>15521</v>
      </c>
      <c r="B746" s="20">
        <v>20</v>
      </c>
      <c r="C746" s="20">
        <v>76</v>
      </c>
      <c r="D746" s="20">
        <v>51</v>
      </c>
      <c r="E746" s="20">
        <v>8</v>
      </c>
      <c r="F746" s="20" t="s">
        <v>15522</v>
      </c>
      <c r="G746" s="24"/>
      <c r="H746" s="24"/>
      <c r="I746" s="24" t="str">
        <f ca="1">IFERROR(__xludf.DUMMYFUNCTION("GOOGLETRANSLATE(F746,""en"",""pt"")"),"seções em caixa")</f>
        <v>seções em caixa</v>
      </c>
      <c r="J746" t="str">
        <f>VLOOKUP(A746,Pr_Base_LNEC!$A$4:$J$6971,6,FALSE)</f>
        <v>-</v>
      </c>
      <c r="K746">
        <f>VLOOKUP(A746,Pr_Base_LNEC!$A$4:$J$6971,7,FALSE)</f>
        <v>0</v>
      </c>
    </row>
    <row r="747" spans="1:11" ht="14.5">
      <c r="A747" s="20" t="s">
        <v>15523</v>
      </c>
      <c r="B747" s="20">
        <v>20</v>
      </c>
      <c r="C747" s="20">
        <v>76</v>
      </c>
      <c r="D747" s="20">
        <v>51</v>
      </c>
      <c r="E747" s="20">
        <v>9</v>
      </c>
      <c r="F747" s="20" t="s">
        <v>15524</v>
      </c>
      <c r="G747" s="24"/>
      <c r="H747" s="24"/>
      <c r="I747" s="24" t="str">
        <f ca="1">IFERROR(__xludf.DUMMYFUNCTION("GOOGLETRANSLATE(F747,""en"",""pt"")"),"seções de bronze")</f>
        <v>seções de bronze</v>
      </c>
      <c r="J747" t="str">
        <f>VLOOKUP(A747,Pr_Base_LNEC!$A$4:$J$6971,6,FALSE)</f>
        <v>-</v>
      </c>
      <c r="K747">
        <f>VLOOKUP(A747,Pr_Base_LNEC!$A$4:$J$6971,7,FALSE)</f>
        <v>0</v>
      </c>
    </row>
    <row r="748" spans="1:11" ht="14.5">
      <c r="A748" s="20" t="s">
        <v>15525</v>
      </c>
      <c r="B748" s="20">
        <v>20</v>
      </c>
      <c r="C748" s="20">
        <v>76</v>
      </c>
      <c r="D748" s="20">
        <v>51</v>
      </c>
      <c r="E748" s="20">
        <v>10</v>
      </c>
      <c r="F748" s="20" t="s">
        <v>15526</v>
      </c>
      <c r="G748" s="24"/>
      <c r="H748" s="24"/>
      <c r="I748" s="24" t="str">
        <f ca="1">IFERROR(__xludf.DUMMYFUNCTION("GOOGLETRANSLATE(F748,""en"",""pt"")"),"seções de bronze")</f>
        <v>seções de bronze</v>
      </c>
      <c r="J748" t="str">
        <f>VLOOKUP(A748,Pr_Base_LNEC!$A$4:$J$6971,6,FALSE)</f>
        <v>-</v>
      </c>
      <c r="K748">
        <f>VLOOKUP(A748,Pr_Base_LNEC!$A$4:$J$6971,7,FALSE)</f>
        <v>0</v>
      </c>
    </row>
    <row r="749" spans="1:11" ht="14.5">
      <c r="A749" s="20" t="s">
        <v>15527</v>
      </c>
      <c r="B749" s="20">
        <v>20</v>
      </c>
      <c r="C749" s="20">
        <v>76</v>
      </c>
      <c r="D749" s="20">
        <v>51</v>
      </c>
      <c r="E749" s="20">
        <v>11</v>
      </c>
      <c r="F749" s="20" t="s">
        <v>15528</v>
      </c>
      <c r="G749" s="20" t="s">
        <v>15529</v>
      </c>
      <c r="H749" s="24"/>
      <c r="I749" s="24" t="str">
        <f ca="1">IFERROR(__xludf.DUMMYFUNCTION("GOOGLETRANSLATE(F749,""en"",""pt"")"),"barras de aço de carbono")</f>
        <v>barras de aço de carbono</v>
      </c>
      <c r="J749" t="str">
        <f>VLOOKUP(A749,Pr_Base_LNEC!$A$4:$J$6971,6,FALSE)</f>
        <v>Lingotes e barras de aço laminados a quente de construção não ligados</v>
      </c>
      <c r="K749" t="str">
        <f>VLOOKUP(A749,Pr_Base_LNEC!$A$4:$J$6971,7,FALSE)</f>
        <v>EN 10025-1:2004</v>
      </c>
    </row>
    <row r="750" spans="1:11" ht="14.5">
      <c r="A750" s="20" t="s">
        <v>15530</v>
      </c>
      <c r="B750" s="20">
        <v>20</v>
      </c>
      <c r="C750" s="20">
        <v>76</v>
      </c>
      <c r="D750" s="20">
        <v>51</v>
      </c>
      <c r="E750" s="20">
        <v>12</v>
      </c>
      <c r="F750" s="20" t="s">
        <v>15531</v>
      </c>
      <c r="G750" s="20" t="s">
        <v>15532</v>
      </c>
      <c r="H750" s="24"/>
      <c r="I750" s="24" t="str">
        <f ca="1">IFERROR(__xludf.DUMMYFUNCTION("GOOGLETRANSLATE(F750,""en"",""pt"")"),"vigas de aço de carbono, colunas, canais e tees")</f>
        <v>vigas de aço de carbono, colunas, canais e tees</v>
      </c>
      <c r="J750" t="str">
        <f>VLOOKUP(A750,Pr_Base_LNEC!$A$4:$J$6971,6,FALSE)</f>
        <v>Vigas, colunas, calhas e tubos em T de aço laminados a quente de construção não ligados</v>
      </c>
      <c r="K750" t="str">
        <f>VLOOKUP(A750,Pr_Base_LNEC!$A$4:$J$6971,7,FALSE)</f>
        <v>EN 10025-1:2004</v>
      </c>
    </row>
    <row r="751" spans="1:11" ht="14.5">
      <c r="A751" s="20" t="s">
        <v>15533</v>
      </c>
      <c r="B751" s="20">
        <v>20</v>
      </c>
      <c r="C751" s="20">
        <v>76</v>
      </c>
      <c r="D751" s="20">
        <v>51</v>
      </c>
      <c r="E751" s="20">
        <v>13</v>
      </c>
      <c r="F751" s="20" t="s">
        <v>15534</v>
      </c>
      <c r="G751" s="24"/>
      <c r="H751" s="24"/>
      <c r="I751" s="24" t="str">
        <f ca="1">IFERROR(__xludf.DUMMYFUNCTION("GOOGLETRANSLATE(F751,""en"",""pt"")"),"canais de aço de carbono")</f>
        <v>canais de aço de carbono</v>
      </c>
      <c r="J751" t="str">
        <f>VLOOKUP(A751,Pr_Base_LNEC!$A$4:$J$6971,6,FALSE)</f>
        <v>-</v>
      </c>
      <c r="K751">
        <f>VLOOKUP(A751,Pr_Base_LNEC!$A$4:$J$6971,7,FALSE)</f>
        <v>0</v>
      </c>
    </row>
    <row r="752" spans="1:11" ht="14.5">
      <c r="A752" s="20" t="s">
        <v>15535</v>
      </c>
      <c r="B752" s="20">
        <v>20</v>
      </c>
      <c r="C752" s="20">
        <v>76</v>
      </c>
      <c r="D752" s="20">
        <v>51</v>
      </c>
      <c r="E752" s="20">
        <v>14</v>
      </c>
      <c r="F752" s="20" t="s">
        <v>15536</v>
      </c>
      <c r="G752" s="20" t="s">
        <v>15537</v>
      </c>
      <c r="H752" s="24"/>
      <c r="I752" s="24" t="str">
        <f ca="1">IFERROR(__xludf.DUMMYFUNCTION("GOOGLETRANSLATE(F752,""en"",""pt"")"),"aço carbono secções de armação parede cortina")</f>
        <v>aço carbono secções de armação parede cortina</v>
      </c>
      <c r="J752" t="str">
        <f>VLOOKUP(A752,Pr_Base_LNEC!$A$4:$J$6971,6,FALSE)</f>
        <v>Perfis ocos de aço acabados a quente de construção não ligados e grão fino</v>
      </c>
      <c r="K752" t="str">
        <f>VLOOKUP(A752,Pr_Base_LNEC!$A$4:$J$6971,7,FALSE)</f>
        <v>EN 10210-1:2006</v>
      </c>
    </row>
    <row r="753" spans="1:11" ht="14.5">
      <c r="A753" s="20" t="s">
        <v>15538</v>
      </c>
      <c r="B753" s="20">
        <v>20</v>
      </c>
      <c r="C753" s="20">
        <v>76</v>
      </c>
      <c r="D753" s="20">
        <v>51</v>
      </c>
      <c r="E753" s="20">
        <v>15</v>
      </c>
      <c r="F753" s="20" t="s">
        <v>15539</v>
      </c>
      <c r="G753" s="20" t="s">
        <v>15540</v>
      </c>
      <c r="H753" s="24"/>
      <c r="I753" s="24" t="str">
        <f ca="1">IFERROR(__xludf.DUMMYFUNCTION("GOOGLETRANSLATE(F753,""en"",""pt"")"),"aço carbono curvado secções")</f>
        <v>aço carbono curvado secções</v>
      </c>
      <c r="J753" t="str">
        <f>VLOOKUP(A753,Pr_Base_LNEC!$A$4:$J$6971,6,FALSE)</f>
        <v>-</v>
      </c>
      <c r="K753">
        <f>VLOOKUP(A753,Pr_Base_LNEC!$A$4:$J$6971,7,FALSE)</f>
        <v>0</v>
      </c>
    </row>
    <row r="754" spans="1:11" ht="14.5">
      <c r="A754" s="20" t="s">
        <v>15541</v>
      </c>
      <c r="B754" s="20">
        <v>20</v>
      </c>
      <c r="C754" s="20">
        <v>76</v>
      </c>
      <c r="D754" s="20">
        <v>51</v>
      </c>
      <c r="E754" s="20">
        <v>17</v>
      </c>
      <c r="F754" s="20" t="s">
        <v>15542</v>
      </c>
      <c r="G754" s="20" t="s">
        <v>15543</v>
      </c>
      <c r="H754" s="24"/>
      <c r="I754" s="24" t="str">
        <f ca="1">IFERROR(__xludf.DUMMYFUNCTION("GOOGLETRANSLATE(F754,""en"",""pt"")"),"empalidece aço de carbono")</f>
        <v>empalidece aço de carbono</v>
      </c>
      <c r="J754" t="str">
        <f>VLOOKUP(A754,Pr_Base_LNEC!$A$4:$J$6971,6,FALSE)</f>
        <v>-</v>
      </c>
      <c r="K754">
        <f>VLOOKUP(A754,Pr_Base_LNEC!$A$4:$J$6971,7,FALSE)</f>
        <v>0</v>
      </c>
    </row>
    <row r="755" spans="1:11" ht="14.5">
      <c r="A755" s="20" t="s">
        <v>15544</v>
      </c>
      <c r="B755" s="20">
        <v>20</v>
      </c>
      <c r="C755" s="20">
        <v>76</v>
      </c>
      <c r="D755" s="20">
        <v>51</v>
      </c>
      <c r="E755" s="20">
        <v>18</v>
      </c>
      <c r="F755" s="20" t="s">
        <v>15545</v>
      </c>
      <c r="G755" s="20" t="s">
        <v>15546</v>
      </c>
      <c r="H755" s="24"/>
      <c r="I755" s="24" t="str">
        <f ca="1">IFERROR(__xludf.DUMMYFUNCTION("GOOGLETRANSLATE(F755,""en"",""pt"")"),"patente de aço carbono barras vidradas")</f>
        <v>patente de aço carbono barras vidradas</v>
      </c>
      <c r="J755" t="str">
        <f>VLOOKUP(A755,Pr_Base_LNEC!$A$4:$J$6971,6,FALSE)</f>
        <v>-</v>
      </c>
      <c r="K755">
        <f>VLOOKUP(A755,Pr_Base_LNEC!$A$4:$J$6971,7,FALSE)</f>
        <v>0</v>
      </c>
    </row>
    <row r="756" spans="1:11" ht="14.5">
      <c r="A756" s="20" t="s">
        <v>15547</v>
      </c>
      <c r="B756" s="20">
        <v>20</v>
      </c>
      <c r="C756" s="20">
        <v>76</v>
      </c>
      <c r="D756" s="20">
        <v>51</v>
      </c>
      <c r="E756" s="20">
        <v>19</v>
      </c>
      <c r="F756" s="20" t="s">
        <v>15548</v>
      </c>
      <c r="G756" s="24"/>
      <c r="H756" s="24"/>
      <c r="I756" s="24" t="str">
        <f ca="1">IFERROR(__xludf.DUMMYFUNCTION("GOOGLETRANSLATE(F756,""en"",""pt"")"),"Carbono tees de aço")</f>
        <v>Carbono tees de aço</v>
      </c>
      <c r="J756" t="str">
        <f>VLOOKUP(A756,Pr_Base_LNEC!$A$4:$J$6971,6,FALSE)</f>
        <v>-</v>
      </c>
      <c r="K756">
        <f>VLOOKUP(A756,Pr_Base_LNEC!$A$4:$J$6971,7,FALSE)</f>
        <v>0</v>
      </c>
    </row>
    <row r="757" spans="1:11" ht="14.5">
      <c r="A757" s="20" t="s">
        <v>15549</v>
      </c>
      <c r="B757" s="20">
        <v>20</v>
      </c>
      <c r="C757" s="20">
        <v>76</v>
      </c>
      <c r="D757" s="20">
        <v>51</v>
      </c>
      <c r="E757" s="20">
        <v>20</v>
      </c>
      <c r="F757" s="20" t="s">
        <v>15550</v>
      </c>
      <c r="G757" s="20" t="s">
        <v>15551</v>
      </c>
      <c r="H757" s="24"/>
      <c r="I757" s="24" t="str">
        <f ca="1">IFERROR(__xludf.DUMMYFUNCTION("GOOGLETRANSLATE(F757,""en"",""pt"")"),"produtos de ferro fundido")</f>
        <v>produtos de ferro fundido</v>
      </c>
      <c r="J757" t="str">
        <f>VLOOKUP(A757,Pr_Base_LNEC!$A$4:$J$6971,6,FALSE)</f>
        <v>-</v>
      </c>
      <c r="K757">
        <f>VLOOKUP(A757,Pr_Base_LNEC!$A$4:$J$6971,7,FALSE)</f>
        <v>0</v>
      </c>
    </row>
    <row r="758" spans="1:11" ht="14.5">
      <c r="A758" s="20" t="s">
        <v>15552</v>
      </c>
      <c r="B758" s="20">
        <v>20</v>
      </c>
      <c r="C758" s="20">
        <v>76</v>
      </c>
      <c r="D758" s="20">
        <v>51</v>
      </c>
      <c r="E758" s="20">
        <v>21</v>
      </c>
      <c r="F758" s="20" t="s">
        <v>15553</v>
      </c>
      <c r="G758" s="20" t="s">
        <v>15554</v>
      </c>
      <c r="H758" s="24"/>
      <c r="I758" s="24" t="str">
        <f ca="1">IFERROR(__xludf.DUMMYFUNCTION("GOOGLETRANSLATE(F758,""en"",""pt"")"),"perfis de aço galvanizado formada-frias")</f>
        <v>perfis de aço galvanizado formada-frias</v>
      </c>
      <c r="J758" t="str">
        <f>VLOOKUP(A758,Pr_Base_LNEC!$A$4:$J$6971,6,FALSE)</f>
        <v>-</v>
      </c>
      <c r="K758">
        <f>VLOOKUP(A758,Pr_Base_LNEC!$A$4:$J$6971,7,FALSE)</f>
        <v>0</v>
      </c>
    </row>
    <row r="759" spans="1:11" ht="14.5">
      <c r="A759" s="20" t="s">
        <v>15555</v>
      </c>
      <c r="B759" s="20">
        <v>20</v>
      </c>
      <c r="C759" s="20">
        <v>76</v>
      </c>
      <c r="D759" s="20">
        <v>51</v>
      </c>
      <c r="E759" s="20">
        <v>22</v>
      </c>
      <c r="F759" s="20" t="s">
        <v>15556</v>
      </c>
      <c r="G759" s="24"/>
      <c r="H759" s="24"/>
      <c r="I759" s="24" t="str">
        <f ca="1">IFERROR(__xludf.DUMMYFUNCTION("GOOGLETRANSLATE(F759,""en"",""pt"")"),"pregos tira de aço formadas a frio")</f>
        <v>pregos tira de aço formadas a frio</v>
      </c>
      <c r="J759" t="str">
        <f>VLOOKUP(A759,Pr_Base_LNEC!$A$4:$J$6971,6,FALSE)</f>
        <v>-</v>
      </c>
      <c r="K759">
        <f>VLOOKUP(A759,Pr_Base_LNEC!$A$4:$J$6971,7,FALSE)</f>
        <v>0</v>
      </c>
    </row>
    <row r="760" spans="1:11" ht="14.5">
      <c r="A760" s="20" t="s">
        <v>15557</v>
      </c>
      <c r="B760" s="20">
        <v>20</v>
      </c>
      <c r="C760" s="20">
        <v>76</v>
      </c>
      <c r="D760" s="20">
        <v>51</v>
      </c>
      <c r="E760" s="20">
        <v>23</v>
      </c>
      <c r="F760" s="20" t="s">
        <v>15558</v>
      </c>
      <c r="G760" s="20" t="s">
        <v>15559</v>
      </c>
      <c r="H760" s="24"/>
      <c r="I760" s="24" t="str">
        <f ca="1">IFERROR(__xludf.DUMMYFUNCTION("GOOGLETRANSLATE(F760,""en"",""pt"")"),"secções de liga de cobre")</f>
        <v>secções de liga de cobre</v>
      </c>
      <c r="J760" t="str">
        <f>VLOOKUP(A760,Pr_Base_LNEC!$A$4:$J$6971,6,FALSE)</f>
        <v>-</v>
      </c>
      <c r="K760">
        <f>VLOOKUP(A760,Pr_Base_LNEC!$A$4:$J$6971,7,FALSE)</f>
        <v>0</v>
      </c>
    </row>
    <row r="761" spans="1:11" ht="14.5">
      <c r="A761" s="20" t="s">
        <v>15560</v>
      </c>
      <c r="B761" s="20">
        <v>20</v>
      </c>
      <c r="C761" s="20">
        <v>76</v>
      </c>
      <c r="D761" s="20">
        <v>51</v>
      </c>
      <c r="E761" s="20">
        <v>25</v>
      </c>
      <c r="F761" s="20" t="s">
        <v>15561</v>
      </c>
      <c r="G761" s="20" t="s">
        <v>15562</v>
      </c>
      <c r="H761" s="24"/>
      <c r="I761" s="24" t="str">
        <f ca="1">IFERROR(__xludf.DUMMYFUNCTION("GOOGLETRANSLATE(F761,""en"",""pt"")"),"secções de armação resistentes a explosão da parede de cortina")</f>
        <v>secções de armação resistentes a explosão da parede de cortina</v>
      </c>
      <c r="J761" t="str">
        <f>VLOOKUP(A761,Pr_Base_LNEC!$A$4:$J$6971,6,FALSE)</f>
        <v>-</v>
      </c>
      <c r="K761">
        <f>VLOOKUP(A761,Pr_Base_LNEC!$A$4:$J$6971,7,FALSE)</f>
        <v>0</v>
      </c>
    </row>
    <row r="762" spans="1:11" ht="14.5">
      <c r="A762" s="20" t="s">
        <v>15563</v>
      </c>
      <c r="B762" s="20">
        <v>20</v>
      </c>
      <c r="C762" s="20">
        <v>76</v>
      </c>
      <c r="D762" s="20">
        <v>51</v>
      </c>
      <c r="E762" s="20">
        <v>51</v>
      </c>
      <c r="F762" s="20" t="s">
        <v>15564</v>
      </c>
      <c r="G762" s="20" t="s">
        <v>15565</v>
      </c>
      <c r="H762" s="24"/>
      <c r="I762" s="24" t="str">
        <f ca="1">IFERROR(__xludf.DUMMYFUNCTION("GOOGLETRANSLATE(F762,""en"",""pt"")"),"mullions de metal e travessas")</f>
        <v>mullions de metal e travessas</v>
      </c>
      <c r="J762" t="str">
        <f>VLOOKUP(A762,Pr_Base_LNEC!$A$4:$J$6971,6,FALSE)</f>
        <v>-</v>
      </c>
      <c r="K762">
        <f>VLOOKUP(A762,Pr_Base_LNEC!$A$4:$J$6971,7,FALSE)</f>
        <v>0</v>
      </c>
    </row>
    <row r="763" spans="1:11" ht="14.5">
      <c r="A763" s="20" t="s">
        <v>15566</v>
      </c>
      <c r="B763" s="20">
        <v>20</v>
      </c>
      <c r="C763" s="20">
        <v>76</v>
      </c>
      <c r="D763" s="20">
        <v>51</v>
      </c>
      <c r="E763" s="20">
        <v>73</v>
      </c>
      <c r="F763" s="20" t="s">
        <v>15567</v>
      </c>
      <c r="G763" s="20" t="s">
        <v>15568</v>
      </c>
      <c r="H763" s="24"/>
      <c r="I763" s="24" t="str">
        <f ca="1">IFERROR(__xludf.DUMMYFUNCTION("GOOGLETRANSLATE(F763,""en"",""pt"")"),"bares resilientes")</f>
        <v>bares resilientes</v>
      </c>
      <c r="J763" t="str">
        <f>VLOOKUP(A763,Pr_Base_LNEC!$A$4:$J$6971,6,FALSE)</f>
        <v>Lingotes e barras de armação metálica resistentes acústicamente para sistemas em placas de gesso</v>
      </c>
      <c r="K763" t="str">
        <f>VLOOKUP(A763,Pr_Base_LNEC!$A$4:$J$6971,7,FALSE)</f>
        <v>EN 14195:2005</v>
      </c>
    </row>
    <row r="764" spans="1:11" ht="14.5">
      <c r="A764" s="20" t="s">
        <v>15569</v>
      </c>
      <c r="B764" s="20">
        <v>20</v>
      </c>
      <c r="C764" s="20">
        <v>76</v>
      </c>
      <c r="D764" s="20">
        <v>51</v>
      </c>
      <c r="E764" s="20">
        <v>77</v>
      </c>
      <c r="F764" s="20" t="s">
        <v>15570</v>
      </c>
      <c r="G764" s="20" t="s">
        <v>15571</v>
      </c>
      <c r="H764" s="24"/>
      <c r="I764" s="24" t="str">
        <f ca="1">IFERROR(__xludf.DUMMYFUNCTION("GOOGLETRANSLATE(F764,""en"",""pt"")"),"patente de aço carbono com bainha barras vidradas")</f>
        <v>patente de aço carbono com bainha barras vidradas</v>
      </c>
      <c r="J764" t="str">
        <f>VLOOKUP(A764,Pr_Base_LNEC!$A$4:$J$6971,6,FALSE)</f>
        <v>-</v>
      </c>
      <c r="K764">
        <f>VLOOKUP(A764,Pr_Base_LNEC!$A$4:$J$6971,7,FALSE)</f>
        <v>0</v>
      </c>
    </row>
    <row r="765" spans="1:11" ht="14.5">
      <c r="A765" s="20" t="s">
        <v>15572</v>
      </c>
      <c r="B765" s="20">
        <v>20</v>
      </c>
      <c r="C765" s="20">
        <v>76</v>
      </c>
      <c r="D765" s="20">
        <v>51</v>
      </c>
      <c r="E765" s="20">
        <v>81</v>
      </c>
      <c r="F765" s="20" t="s">
        <v>15573</v>
      </c>
      <c r="G765" s="20" t="s">
        <v>15574</v>
      </c>
      <c r="H765" s="24"/>
      <c r="I765" s="24" t="str">
        <f ca="1">IFERROR(__xludf.DUMMYFUNCTION("GOOGLETRANSLATE(F765,""en"",""pt"")"),"Barras de aço inoxidável e hastes para construção")</f>
        <v>Barras de aço inoxidável e hastes para construção</v>
      </c>
      <c r="J765" t="str">
        <f>VLOOKUP(A765,Pr_Base_LNEC!$A$4:$J$6971,6,FALSE)</f>
        <v>Lingotes e barras de aço inóxidável para aplicações na construção</v>
      </c>
      <c r="K765" t="str">
        <f>VLOOKUP(A765,Pr_Base_LNEC!$A$4:$J$6971,7,FALSE)</f>
        <v>EN 10088-5:2009</v>
      </c>
    </row>
    <row r="766" spans="1:11" ht="14.5">
      <c r="A766" s="20" t="s">
        <v>15575</v>
      </c>
      <c r="B766" s="20">
        <v>20</v>
      </c>
      <c r="C766" s="20">
        <v>76</v>
      </c>
      <c r="D766" s="20">
        <v>51</v>
      </c>
      <c r="E766" s="20">
        <v>82</v>
      </c>
      <c r="F766" s="20" t="s">
        <v>15576</v>
      </c>
      <c r="G766" s="20" t="s">
        <v>15577</v>
      </c>
      <c r="H766" s="24"/>
      <c r="I766" s="24" t="str">
        <f ca="1">IFERROR(__xludf.DUMMYFUNCTION("GOOGLETRANSLATE(F766,""en"",""pt"")"),"Barras de aço inoxidável e hastes para fins gerais")</f>
        <v>Barras de aço inoxidável e hastes para fins gerais</v>
      </c>
      <c r="J766" t="str">
        <f>VLOOKUP(A766,Pr_Base_LNEC!$A$4:$J$6971,6,FALSE)</f>
        <v>-</v>
      </c>
      <c r="K766">
        <f>VLOOKUP(A766,Pr_Base_LNEC!$A$4:$J$6971,7,FALSE)</f>
        <v>0</v>
      </c>
    </row>
    <row r="767" spans="1:11" ht="14.5">
      <c r="A767" s="20" t="s">
        <v>15578</v>
      </c>
      <c r="B767" s="20">
        <v>20</v>
      </c>
      <c r="C767" s="20">
        <v>76</v>
      </c>
      <c r="D767" s="20">
        <v>51</v>
      </c>
      <c r="E767" s="20">
        <v>83</v>
      </c>
      <c r="F767" s="20" t="s">
        <v>15579</v>
      </c>
      <c r="G767" s="20" t="s">
        <v>15580</v>
      </c>
      <c r="H767" s="24"/>
      <c r="I767" s="24" t="str">
        <f ca="1">IFERROR(__xludf.DUMMYFUNCTION("GOOGLETRANSLATE(F767,""en"",""pt"")"),"a chapa de aço inoxidável, tira e placa para a construção")</f>
        <v>a chapa de aço inoxidável, tira e placa para a construção</v>
      </c>
      <c r="J767" t="str">
        <f>VLOOKUP(A767,Pr_Base_LNEC!$A$4:$J$6971,6,FALSE)</f>
        <v>Chapas em placa e banda/bobine de aço inoxidável para aplicações na construção</v>
      </c>
      <c r="K767" t="str">
        <f>VLOOKUP(A767,Pr_Base_LNEC!$A$4:$J$6971,7,FALSE)</f>
        <v>EN 10088-4:2009</v>
      </c>
    </row>
    <row r="768" spans="1:11" ht="14.5">
      <c r="A768" s="20" t="s">
        <v>15581</v>
      </c>
      <c r="B768" s="20">
        <v>20</v>
      </c>
      <c r="C768" s="20">
        <v>76</v>
      </c>
      <c r="D768" s="20">
        <v>51</v>
      </c>
      <c r="E768" s="20">
        <v>84</v>
      </c>
      <c r="F768" s="20" t="s">
        <v>15582</v>
      </c>
      <c r="G768" s="20" t="s">
        <v>15583</v>
      </c>
      <c r="H768" s="24"/>
      <c r="I768" s="24" t="str">
        <f ca="1">IFERROR(__xludf.DUMMYFUNCTION("GOOGLETRANSLATE(F768,""en"",""pt"")"),"a chapa de aço inoxidável, tira e placa para fins gerais")</f>
        <v>a chapa de aço inoxidável, tira e placa para fins gerais</v>
      </c>
      <c r="J768" t="str">
        <f>VLOOKUP(A768,Pr_Base_LNEC!$A$4:$J$6971,6,FALSE)</f>
        <v>-</v>
      </c>
      <c r="K768">
        <f>VLOOKUP(A768,Pr_Base_LNEC!$A$4:$J$6971,7,FALSE)</f>
        <v>0</v>
      </c>
    </row>
    <row r="769" spans="1:11" ht="14.5">
      <c r="A769" s="20" t="s">
        <v>15584</v>
      </c>
      <c r="B769" s="20">
        <v>20</v>
      </c>
      <c r="C769" s="20">
        <v>76</v>
      </c>
      <c r="D769" s="20">
        <v>51</v>
      </c>
      <c r="E769" s="20">
        <v>85</v>
      </c>
      <c r="F769" s="20" t="s">
        <v>15585</v>
      </c>
      <c r="G769" s="20" t="s">
        <v>15543</v>
      </c>
      <c r="H769" s="24"/>
      <c r="I769" s="24" t="str">
        <f ca="1">IFERROR(__xludf.DUMMYFUNCTION("GOOGLETRANSLATE(F769,""en"",""pt"")"),"pales de aço inoxidável")</f>
        <v>pales de aço inoxidável</v>
      </c>
      <c r="J769" t="str">
        <f>VLOOKUP(A769,Pr_Base_LNEC!$A$4:$J$6971,6,FALSE)</f>
        <v>-</v>
      </c>
      <c r="K769">
        <f>VLOOKUP(A769,Pr_Base_LNEC!$A$4:$J$6971,7,FALSE)</f>
        <v>0</v>
      </c>
    </row>
    <row r="770" spans="1:11" ht="14.5">
      <c r="A770" s="20" t="s">
        <v>15586</v>
      </c>
      <c r="B770" s="20">
        <v>20</v>
      </c>
      <c r="C770" s="20">
        <v>76</v>
      </c>
      <c r="D770" s="20">
        <v>51</v>
      </c>
      <c r="E770" s="20">
        <v>90</v>
      </c>
      <c r="F770" s="20" t="s">
        <v>15587</v>
      </c>
      <c r="G770" s="24"/>
      <c r="H770" s="24"/>
      <c r="I770" s="24" t="str">
        <f ca="1">IFERROR(__xludf.DUMMYFUNCTION("GOOGLETRANSLATE(F770,""en"",""pt"")"),"seções feixe universais")</f>
        <v>seções feixe universais</v>
      </c>
      <c r="J770" t="e">
        <f>VLOOKUP(A770,Pr_Base_LNEC!$A$4:$J$6971,6,FALSE)</f>
        <v>#N/A</v>
      </c>
      <c r="K770" t="e">
        <f>VLOOKUP(A770,Pr_Base_LNEC!$A$4:$J$6971,7,FALSE)</f>
        <v>#N/A</v>
      </c>
    </row>
    <row r="771" spans="1:11" ht="14.5">
      <c r="A771" s="20" t="s">
        <v>15588</v>
      </c>
      <c r="B771" s="20">
        <v>20</v>
      </c>
      <c r="C771" s="20">
        <v>76</v>
      </c>
      <c r="D771" s="20">
        <v>51</v>
      </c>
      <c r="E771" s="20">
        <v>92</v>
      </c>
      <c r="F771" s="20" t="s">
        <v>15589</v>
      </c>
      <c r="G771" s="24"/>
      <c r="H771" s="24"/>
      <c r="I771" s="24" t="str">
        <f ca="1">IFERROR(__xludf.DUMMYFUNCTION("GOOGLETRANSLATE(F771,""en"",""pt"")"),"seções de coluna universais")</f>
        <v>seções de coluna universais</v>
      </c>
      <c r="J771" t="e">
        <f>VLOOKUP(A771,Pr_Base_LNEC!$A$4:$J$6971,6,FALSE)</f>
        <v>#N/A</v>
      </c>
      <c r="K771" t="e">
        <f>VLOOKUP(A771,Pr_Base_LNEC!$A$4:$J$6971,7,FALSE)</f>
        <v>#N/A</v>
      </c>
    </row>
    <row r="772" spans="1:11" ht="14.5">
      <c r="A772" s="20" t="s">
        <v>15590</v>
      </c>
      <c r="B772" s="20">
        <v>20</v>
      </c>
      <c r="C772" s="20">
        <v>76</v>
      </c>
      <c r="D772" s="20">
        <v>51</v>
      </c>
      <c r="E772" s="20">
        <v>98</v>
      </c>
      <c r="F772" s="20" t="s">
        <v>15591</v>
      </c>
      <c r="G772" s="20" t="s">
        <v>15592</v>
      </c>
      <c r="H772" s="24"/>
      <c r="I772" s="24" t="str">
        <f ca="1">IFERROR(__xludf.DUMMYFUNCTION("GOOGLETRANSLATE(F772,""en"",""pt"")"),"perfis em ferro forjado")</f>
        <v>perfis em ferro forjado</v>
      </c>
      <c r="J772" t="str">
        <f>VLOOKUP(A772,Pr_Base_LNEC!$A$4:$J$6971,6,FALSE)</f>
        <v>-</v>
      </c>
      <c r="K772">
        <f>VLOOKUP(A772,Pr_Base_LNEC!$A$4:$J$6971,7,FALSE)</f>
        <v>0</v>
      </c>
    </row>
    <row r="773" spans="1:11" ht="14.5">
      <c r="A773" s="20" t="s">
        <v>15593</v>
      </c>
      <c r="B773" s="20">
        <v>20</v>
      </c>
      <c r="C773" s="20">
        <v>76</v>
      </c>
      <c r="D773" s="20">
        <v>52</v>
      </c>
      <c r="E773" s="24"/>
      <c r="F773" s="20" t="s">
        <v>15594</v>
      </c>
      <c r="G773" s="24"/>
      <c r="H773" s="24"/>
      <c r="I773" s="24" t="str">
        <f ca="1">IFERROR(__xludf.DUMMYFUNCTION("GOOGLETRANSLATE(F773,""en"",""pt"")"),"tubos de metal e perfis ocos")</f>
        <v>tubos de metal e perfis ocos</v>
      </c>
      <c r="J773" t="str">
        <f>VLOOKUP(A773,Pr_Base_LNEC!$A$4:$J$6971,6,FALSE)</f>
        <v>Tubos metálicos e secções ocas</v>
      </c>
      <c r="K773">
        <f>VLOOKUP(A773,Pr_Base_LNEC!$A$4:$J$6971,7,FALSE)</f>
        <v>0</v>
      </c>
    </row>
    <row r="774" spans="1:11" ht="14.5">
      <c r="A774" s="20" t="s">
        <v>15595</v>
      </c>
      <c r="B774" s="20">
        <v>20</v>
      </c>
      <c r="C774" s="20">
        <v>76</v>
      </c>
      <c r="D774" s="20">
        <v>52</v>
      </c>
      <c r="E774" s="20">
        <v>1</v>
      </c>
      <c r="F774" s="20" t="s">
        <v>15596</v>
      </c>
      <c r="G774" s="24"/>
      <c r="H774" s="24"/>
      <c r="I774" s="24" t="str">
        <f ca="1">IFERROR(__xludf.DUMMYFUNCTION("GOOGLETRANSLATE(F774,""en"",""pt"")"),"Alumínio tubos estirados")</f>
        <v>Alumínio tubos estirados</v>
      </c>
      <c r="J774" t="str">
        <f>VLOOKUP(A774,Pr_Base_LNEC!$A$4:$J$6971,6,FALSE)</f>
        <v>-</v>
      </c>
      <c r="K774">
        <f>VLOOKUP(A774,Pr_Base_LNEC!$A$4:$J$6971,7,FALSE)</f>
        <v>0</v>
      </c>
    </row>
    <row r="775" spans="1:11" ht="14.5">
      <c r="A775" s="20" t="s">
        <v>15597</v>
      </c>
      <c r="B775" s="20">
        <v>20</v>
      </c>
      <c r="C775" s="20">
        <v>76</v>
      </c>
      <c r="D775" s="20">
        <v>52</v>
      </c>
      <c r="E775" s="20">
        <v>3</v>
      </c>
      <c r="F775" s="20" t="s">
        <v>15598</v>
      </c>
      <c r="G775" s="24"/>
      <c r="H775" s="24"/>
      <c r="I775" s="24" t="str">
        <f ca="1">IFERROR(__xludf.DUMMYFUNCTION("GOOGLETRANSLATE(F775,""en"",""pt"")"),"Tubos de alumínio extrudado")</f>
        <v>Tubos de alumínio extrudado</v>
      </c>
      <c r="J775" t="str">
        <f>VLOOKUP(A775,Pr_Base_LNEC!$A$4:$J$6971,6,FALSE)</f>
        <v>-</v>
      </c>
      <c r="K775">
        <f>VLOOKUP(A775,Pr_Base_LNEC!$A$4:$J$6971,7,FALSE)</f>
        <v>0</v>
      </c>
    </row>
    <row r="776" spans="1:11" ht="14.5">
      <c r="A776" s="20" t="s">
        <v>15599</v>
      </c>
      <c r="B776" s="20">
        <v>20</v>
      </c>
      <c r="C776" s="20">
        <v>76</v>
      </c>
      <c r="D776" s="20">
        <v>52</v>
      </c>
      <c r="E776" s="20">
        <v>16</v>
      </c>
      <c r="F776" s="20" t="s">
        <v>15600</v>
      </c>
      <c r="G776" s="20" t="s">
        <v>15601</v>
      </c>
      <c r="H776" s="24"/>
      <c r="I776" s="24" t="str">
        <f ca="1">IFERROR(__xludf.DUMMYFUNCTION("GOOGLETRANSLATE(F776,""en"",""pt"")"),"aço carbono secções ocas quente-acabados")</f>
        <v>aço carbono secções ocas quente-acabados</v>
      </c>
      <c r="J776" t="str">
        <f>VLOOKUP(A776,Pr_Base_LNEC!$A$4:$J$6971,6,FALSE)</f>
        <v>Perfis ocos acabados a quente de aços de construção não ligados e grão fino</v>
      </c>
      <c r="K776" t="str">
        <f>VLOOKUP(A776,Pr_Base_LNEC!$A$4:$J$6971,7,FALSE)</f>
        <v>EN 10210-1:2006</v>
      </c>
    </row>
    <row r="777" spans="1:11" ht="14.5">
      <c r="A777" s="20" t="s">
        <v>15602</v>
      </c>
      <c r="B777" s="20">
        <v>20</v>
      </c>
      <c r="C777" s="20">
        <v>76</v>
      </c>
      <c r="D777" s="20">
        <v>52</v>
      </c>
      <c r="E777" s="20">
        <v>19</v>
      </c>
      <c r="F777" s="20" t="s">
        <v>15603</v>
      </c>
      <c r="G777" s="20" t="s">
        <v>15604</v>
      </c>
      <c r="H777" s="24"/>
      <c r="I777" s="24" t="str">
        <f ca="1">IFERROR(__xludf.DUMMYFUNCTION("GOOGLETRANSLATE(F777,""en"",""pt"")"),"tubos de aço carbono sem costura")</f>
        <v>tubos de aço carbono sem costura</v>
      </c>
      <c r="J777" t="str">
        <f>VLOOKUP(A777,Pr_Base_LNEC!$A$4:$J$6971,6,FALSE)</f>
        <v>-</v>
      </c>
      <c r="K777">
        <f>VLOOKUP(A777,Pr_Base_LNEC!$A$4:$J$6971,7,FALSE)</f>
        <v>0</v>
      </c>
    </row>
    <row r="778" spans="1:11" ht="14.5">
      <c r="A778" s="20" t="s">
        <v>15605</v>
      </c>
      <c r="B778" s="20">
        <v>20</v>
      </c>
      <c r="C778" s="20">
        <v>76</v>
      </c>
      <c r="D778" s="20">
        <v>52</v>
      </c>
      <c r="E778" s="20">
        <v>20</v>
      </c>
      <c r="F778" s="20" t="s">
        <v>15606</v>
      </c>
      <c r="G778" s="20" t="s">
        <v>15607</v>
      </c>
      <c r="H778" s="24"/>
      <c r="I778" s="24" t="str">
        <f ca="1">IFERROR(__xludf.DUMMYFUNCTION("GOOGLETRANSLATE(F778,""en"",""pt"")"),"aço carbono tubos soldados")</f>
        <v>aço carbono tubos soldados</v>
      </c>
      <c r="J778" t="str">
        <f>VLOOKUP(A778,Pr_Base_LNEC!$A$4:$J$6971,6,FALSE)</f>
        <v>Perfis ocos soldados e enformados a frio de aço de construção não ligados e de grão fino</v>
      </c>
      <c r="K778" t="str">
        <f>VLOOKUP(A778,Pr_Base_LNEC!$A$4:$J$6971,7,FALSE)</f>
        <v>EN 10219-1:2006</v>
      </c>
    </row>
    <row r="779" spans="1:11" ht="14.5">
      <c r="A779" s="20" t="s">
        <v>15608</v>
      </c>
      <c r="B779" s="20">
        <v>20</v>
      </c>
      <c r="C779" s="20">
        <v>76</v>
      </c>
      <c r="D779" s="20">
        <v>52</v>
      </c>
      <c r="E779" s="20">
        <v>85</v>
      </c>
      <c r="F779" s="20" t="s">
        <v>15609</v>
      </c>
      <c r="G779" s="20" t="s">
        <v>15610</v>
      </c>
      <c r="H779" s="24"/>
      <c r="I779" s="24" t="str">
        <f ca="1">IFERROR(__xludf.DUMMYFUNCTION("GOOGLETRANSLATE(F779,""en"",""pt"")"),"tubos circulares de aço inoxidável sem costura")</f>
        <v>tubos circulares de aço inoxidável sem costura</v>
      </c>
      <c r="J779" t="str">
        <f>VLOOKUP(A779,Pr_Base_LNEC!$A$4:$J$6971,6,FALSE)</f>
        <v>-</v>
      </c>
      <c r="K779">
        <f>VLOOKUP(A779,Pr_Base_LNEC!$A$4:$J$6971,7,FALSE)</f>
        <v>0</v>
      </c>
    </row>
    <row r="780" spans="1:11" ht="14.5">
      <c r="A780" s="20" t="s">
        <v>15611</v>
      </c>
      <c r="B780" s="20">
        <v>20</v>
      </c>
      <c r="C780" s="20">
        <v>76</v>
      </c>
      <c r="D780" s="20">
        <v>52</v>
      </c>
      <c r="E780" s="20">
        <v>86</v>
      </c>
      <c r="F780" s="20" t="s">
        <v>15612</v>
      </c>
      <c r="G780" s="20" t="s">
        <v>15613</v>
      </c>
      <c r="H780" s="24"/>
      <c r="I780" s="24" t="str">
        <f ca="1">IFERROR(__xludf.DUMMYFUNCTION("GOOGLETRANSLATE(F780,""en"",""pt"")"),"aço inoxidável tubos soldados circulares")</f>
        <v>aço inoxidável tubos soldados circulares</v>
      </c>
      <c r="J780" t="str">
        <f>VLOOKUP(A780,Pr_Base_LNEC!$A$4:$J$6971,6,FALSE)</f>
        <v>-</v>
      </c>
      <c r="K780">
        <f>VLOOKUP(A780,Pr_Base_LNEC!$A$4:$J$6971,7,FALSE)</f>
        <v>0</v>
      </c>
    </row>
    <row r="781" spans="1:11" ht="14.5">
      <c r="A781" s="20" t="s">
        <v>15614</v>
      </c>
      <c r="B781" s="20">
        <v>20</v>
      </c>
      <c r="C781" s="20">
        <v>76</v>
      </c>
      <c r="D781" s="20">
        <v>63</v>
      </c>
      <c r="E781" s="24"/>
      <c r="F781" s="20" t="s">
        <v>15615</v>
      </c>
      <c r="G781" s="24"/>
      <c r="H781" s="24"/>
      <c r="I781" s="24" t="str">
        <f ca="1">IFERROR(__xludf.DUMMYFUNCTION("GOOGLETRANSLATE(F781,""en"",""pt"")"),"seções plásticos")</f>
        <v>seções plásticos</v>
      </c>
      <c r="J781" t="str">
        <f>VLOOKUP(A781,Pr_Base_LNEC!$A$4:$J$6971,6,FALSE)</f>
        <v>Secções em plástico</v>
      </c>
      <c r="K781">
        <f>VLOOKUP(A781,Pr_Base_LNEC!$A$4:$J$6971,7,FALSE)</f>
        <v>0</v>
      </c>
    </row>
    <row r="782" spans="1:11" ht="14.5">
      <c r="A782" s="20" t="s">
        <v>15616</v>
      </c>
      <c r="B782" s="20">
        <v>20</v>
      </c>
      <c r="C782" s="20">
        <v>76</v>
      </c>
      <c r="D782" s="20">
        <v>63</v>
      </c>
      <c r="E782" s="20">
        <v>30</v>
      </c>
      <c r="F782" s="20" t="s">
        <v>15617</v>
      </c>
      <c r="G782" s="20" t="s">
        <v>15618</v>
      </c>
      <c r="H782" s="24"/>
      <c r="I782" s="24" t="str">
        <f ca="1">IFERROR(__xludf.DUMMYFUNCTION("GOOGLETRANSLATE(F782,""en"",""pt"")"),"hastes de espuma flexível")</f>
        <v>hastes de espuma flexível</v>
      </c>
      <c r="J782" t="str">
        <f>VLOOKUP(A782,Pr_Base_LNEC!$A$4:$J$6971,6,FALSE)</f>
        <v>-</v>
      </c>
      <c r="K782">
        <f>VLOOKUP(A782,Pr_Base_LNEC!$A$4:$J$6971,7,FALSE)</f>
        <v>0</v>
      </c>
    </row>
    <row r="783" spans="1:11" ht="14.5">
      <c r="A783" s="20" t="s">
        <v>15619</v>
      </c>
      <c r="B783" s="20">
        <v>20</v>
      </c>
      <c r="C783" s="20">
        <v>76</v>
      </c>
      <c r="D783" s="20">
        <v>63</v>
      </c>
      <c r="E783" s="20">
        <v>63</v>
      </c>
      <c r="F783" s="20" t="s">
        <v>15620</v>
      </c>
      <c r="G783" s="24"/>
      <c r="H783" s="24"/>
      <c r="I783" s="24" t="str">
        <f ca="1">IFERROR(__xludf.DUMMYFUNCTION("GOOGLETRANSLATE(F783,""en"",""pt"")"),"Plásticos montantes e travessas")</f>
        <v>Plásticos montantes e travessas</v>
      </c>
      <c r="J783" t="str">
        <f>VLOOKUP(A783,Pr_Base_LNEC!$A$4:$J$6971,6,FALSE)</f>
        <v>-</v>
      </c>
      <c r="K783">
        <f>VLOOKUP(A783,Pr_Base_LNEC!$A$4:$J$6971,7,FALSE)</f>
        <v>0</v>
      </c>
    </row>
    <row r="784" spans="1:11" ht="14.5">
      <c r="A784" s="20" t="s">
        <v>15621</v>
      </c>
      <c r="B784" s="20">
        <v>20</v>
      </c>
      <c r="C784" s="20">
        <v>76</v>
      </c>
      <c r="D784" s="20">
        <v>63</v>
      </c>
      <c r="E784" s="20">
        <v>65</v>
      </c>
      <c r="F784" s="20" t="s">
        <v>15622</v>
      </c>
      <c r="G784" s="20" t="s">
        <v>15623</v>
      </c>
      <c r="H784" s="24"/>
      <c r="I784" s="24" t="str">
        <f ca="1">IFERROR(__xludf.DUMMYFUNCTION("GOOGLETRANSLATE(F784,""en"",""pt"")"),"plásticos paliçadas")</f>
        <v>plásticos paliçadas</v>
      </c>
      <c r="J784" t="str">
        <f>VLOOKUP(A784,Pr_Base_LNEC!$A$4:$J$6971,6,FALSE)</f>
        <v>-</v>
      </c>
      <c r="K784">
        <f>VLOOKUP(A784,Pr_Base_LNEC!$A$4:$J$6971,7,FALSE)</f>
        <v>0</v>
      </c>
    </row>
    <row r="785" spans="1:11" ht="14.5">
      <c r="A785" s="20" t="s">
        <v>15624</v>
      </c>
      <c r="B785" s="20">
        <v>20</v>
      </c>
      <c r="C785" s="20">
        <v>76</v>
      </c>
      <c r="D785" s="20">
        <v>63</v>
      </c>
      <c r="E785" s="20">
        <v>85</v>
      </c>
      <c r="F785" s="20" t="s">
        <v>15625</v>
      </c>
      <c r="G785" s="20" t="s">
        <v>15626</v>
      </c>
      <c r="H785" s="24"/>
      <c r="I785" s="24" t="str">
        <f ca="1">IFERROR(__xludf.DUMMYFUNCTION("GOOGLETRANSLATE(F785,""en"",""pt"")"),"seções plásticos estruturais")</f>
        <v>seções plásticos estruturais</v>
      </c>
      <c r="J785" t="str">
        <f>VLOOKUP(A785,Pr_Base_LNEC!$A$4:$J$6971,6,FALSE)</f>
        <v>-</v>
      </c>
      <c r="K785">
        <f>VLOOKUP(A785,Pr_Base_LNEC!$A$4:$J$6971,7,FALSE)</f>
        <v>0</v>
      </c>
    </row>
    <row r="786" spans="1:11" ht="14.5">
      <c r="A786" s="20" t="s">
        <v>15627</v>
      </c>
      <c r="B786" s="20">
        <v>20</v>
      </c>
      <c r="C786" s="20">
        <v>76</v>
      </c>
      <c r="D786" s="20">
        <v>63</v>
      </c>
      <c r="E786" s="20">
        <v>92</v>
      </c>
      <c r="F786" s="20" t="s">
        <v>15628</v>
      </c>
      <c r="G786" s="20" t="s">
        <v>15629</v>
      </c>
      <c r="H786" s="24"/>
      <c r="I786" s="24" t="str">
        <f ca="1">IFERROR(__xludf.DUMMYFUNCTION("GOOGLETRANSLATE(F786,""en"",""pt"")"),"de cloreto de polivinilo não plastificado (PVC-U) secções de armação de parede cortina")</f>
        <v>de cloreto de polivinilo não plastificado (PVC-U) secções de armação de parede cortina</v>
      </c>
      <c r="J786" t="str">
        <f>VLOOKUP(A786,Pr_Base_LNEC!$A$4:$J$6971,6,FALSE)</f>
        <v>-</v>
      </c>
      <c r="K786">
        <f>VLOOKUP(A786,Pr_Base_LNEC!$A$4:$J$6971,7,FALSE)</f>
        <v>0</v>
      </c>
    </row>
    <row r="787" spans="1:11" ht="14.5">
      <c r="A787" s="20" t="s">
        <v>15630</v>
      </c>
      <c r="B787" s="20">
        <v>20</v>
      </c>
      <c r="C787" s="20">
        <v>76</v>
      </c>
      <c r="D787" s="20">
        <v>64</v>
      </c>
      <c r="E787" s="24"/>
      <c r="F787" s="20" t="s">
        <v>15631</v>
      </c>
      <c r="G787" s="24"/>
      <c r="H787" s="24"/>
      <c r="I787" s="24" t="str">
        <f ca="1">IFERROR(__xludf.DUMMYFUNCTION("GOOGLETRANSLATE(F787,""en"",""pt"")"),"Postes e acessórios pós")</f>
        <v>Postes e acessórios pós</v>
      </c>
      <c r="J787" t="str">
        <f>VLOOKUP(A787,Pr_Base_LNEC!$A$4:$J$6971,6,FALSE)</f>
        <v>Postes e elementos para postes</v>
      </c>
      <c r="K787">
        <f>VLOOKUP(A787,Pr_Base_LNEC!$A$4:$J$6971,7,FALSE)</f>
        <v>0</v>
      </c>
    </row>
    <row r="788" spans="1:11" ht="14.5">
      <c r="A788" s="20" t="s">
        <v>15632</v>
      </c>
      <c r="B788" s="20">
        <v>20</v>
      </c>
      <c r="C788" s="20">
        <v>76</v>
      </c>
      <c r="D788" s="20">
        <v>64</v>
      </c>
      <c r="E788" s="20">
        <v>1</v>
      </c>
      <c r="F788" s="20" t="s">
        <v>15633</v>
      </c>
      <c r="G788" s="20" t="s">
        <v>15634</v>
      </c>
      <c r="H788" s="24"/>
      <c r="I788" s="24" t="str">
        <f ca="1">IFERROR(__xludf.DUMMYFUNCTION("GOOGLETRANSLATE(F788,""en"",""pt"")"),"bases pós ajustáveis")</f>
        <v>bases pós ajustáveis</v>
      </c>
      <c r="J788" t="str">
        <f>VLOOKUP(A788,Pr_Base_LNEC!$A$4:$J$6971,6,FALSE)</f>
        <v>-</v>
      </c>
      <c r="K788">
        <f>VLOOKUP(A788,Pr_Base_LNEC!$A$4:$J$6971,7,FALSE)</f>
        <v>0</v>
      </c>
    </row>
    <row r="789" spans="1:11" ht="14.5">
      <c r="A789" s="20" t="s">
        <v>15635</v>
      </c>
      <c r="B789" s="20">
        <v>20</v>
      </c>
      <c r="C789" s="20">
        <v>76</v>
      </c>
      <c r="D789" s="20">
        <v>64</v>
      </c>
      <c r="E789" s="20">
        <v>3</v>
      </c>
      <c r="F789" s="20" t="s">
        <v>15636</v>
      </c>
      <c r="G789" s="20" t="s">
        <v>15637</v>
      </c>
      <c r="H789" s="24"/>
      <c r="I789" s="24" t="str">
        <f ca="1">IFERROR(__xludf.DUMMYFUNCTION("GOOGLETRANSLATE(F789,""en"",""pt"")"),"postos de liga de alumínio")</f>
        <v>postos de liga de alumínio</v>
      </c>
      <c r="J789" t="str">
        <f>VLOOKUP(A789,Pr_Base_LNEC!$A$4:$J$6971,6,FALSE)</f>
        <v>-</v>
      </c>
      <c r="K789">
        <f>VLOOKUP(A789,Pr_Base_LNEC!$A$4:$J$6971,7,FALSE)</f>
        <v>0</v>
      </c>
    </row>
    <row r="790" spans="1:11" ht="14.5">
      <c r="A790" s="20" t="s">
        <v>15638</v>
      </c>
      <c r="B790" s="20">
        <v>20</v>
      </c>
      <c r="C790" s="20">
        <v>76</v>
      </c>
      <c r="D790" s="20">
        <v>64</v>
      </c>
      <c r="E790" s="20">
        <v>4</v>
      </c>
      <c r="F790" s="20" t="s">
        <v>15639</v>
      </c>
      <c r="G790" s="20" t="s">
        <v>15640</v>
      </c>
      <c r="H790" s="24"/>
      <c r="I790" s="24" t="str">
        <f ca="1">IFERROR(__xludf.DUMMYFUNCTION("GOOGLETRANSLATE(F790,""en"",""pt"")"),"Alumínio pós topos")</f>
        <v>Alumínio pós topos</v>
      </c>
      <c r="J790" t="str">
        <f>VLOOKUP(A790,Pr_Base_LNEC!$A$4:$J$6971,6,FALSE)</f>
        <v>-</v>
      </c>
      <c r="K790">
        <f>VLOOKUP(A790,Pr_Base_LNEC!$A$4:$J$6971,7,FALSE)</f>
        <v>0</v>
      </c>
    </row>
    <row r="791" spans="1:11" ht="14.5">
      <c r="A791" s="20" t="s">
        <v>15641</v>
      </c>
      <c r="B791" s="20">
        <v>20</v>
      </c>
      <c r="C791" s="20">
        <v>76</v>
      </c>
      <c r="D791" s="20">
        <v>64</v>
      </c>
      <c r="E791" s="20">
        <v>10</v>
      </c>
      <c r="F791" s="20" t="s">
        <v>15642</v>
      </c>
      <c r="G791" s="20" t="s">
        <v>15643</v>
      </c>
      <c r="H791" s="24"/>
      <c r="I791" s="24" t="str">
        <f ca="1">IFERROR(__xludf.DUMMYFUNCTION("GOOGLETRANSLATE(F791,""en"",""pt"")"),"postes de segurança elétrica de aço carbono")</f>
        <v>postes de segurança elétrica de aço carbono</v>
      </c>
      <c r="J791" t="str">
        <f>VLOOKUP(A791,Pr_Base_LNEC!$A$4:$J$6971,6,FALSE)</f>
        <v>-</v>
      </c>
      <c r="K791">
        <f>VLOOKUP(A791,Pr_Base_LNEC!$A$4:$J$6971,7,FALSE)</f>
        <v>0</v>
      </c>
    </row>
    <row r="792" spans="1:11" ht="14.5">
      <c r="A792" s="20" t="s">
        <v>15644</v>
      </c>
      <c r="B792" s="20">
        <v>20</v>
      </c>
      <c r="C792" s="20">
        <v>76</v>
      </c>
      <c r="D792" s="20">
        <v>64</v>
      </c>
      <c r="E792" s="20">
        <v>11</v>
      </c>
      <c r="F792" s="20" t="s">
        <v>15645</v>
      </c>
      <c r="G792" s="20" t="s">
        <v>15646</v>
      </c>
      <c r="H792" s="24"/>
      <c r="I792" s="24" t="str">
        <f ca="1">IFERROR(__xludf.DUMMYFUNCTION("GOOGLETRANSLATE(F792,""en"",""pt"")"),"braços de extensão de aço carbono")</f>
        <v>braços de extensão de aço carbono</v>
      </c>
      <c r="J792" t="str">
        <f>VLOOKUP(A792,Pr_Base_LNEC!$A$4:$J$6971,6,FALSE)</f>
        <v>-</v>
      </c>
      <c r="K792">
        <f>VLOOKUP(A792,Pr_Base_LNEC!$A$4:$J$6971,7,FALSE)</f>
        <v>0</v>
      </c>
    </row>
    <row r="793" spans="1:11" ht="14.5">
      <c r="A793" s="20" t="s">
        <v>15647</v>
      </c>
      <c r="B793" s="20">
        <v>20</v>
      </c>
      <c r="C793" s="20">
        <v>76</v>
      </c>
      <c r="D793" s="20">
        <v>64</v>
      </c>
      <c r="E793" s="20">
        <v>12</v>
      </c>
      <c r="F793" s="20" t="s">
        <v>15648</v>
      </c>
      <c r="G793" s="20" t="s">
        <v>15649</v>
      </c>
      <c r="H793" s="24"/>
      <c r="I793" s="24" t="str">
        <f ca="1">IFERROR(__xludf.DUMMYFUNCTION("GOOGLETRANSLATE(F793,""en"",""pt"")"),"postes de aço de carbono")</f>
        <v>postes de aço de carbono</v>
      </c>
      <c r="J793" t="str">
        <f>VLOOKUP(A793,Pr_Base_LNEC!$A$4:$J$6971,6,FALSE)</f>
        <v>-</v>
      </c>
      <c r="K793">
        <f>VLOOKUP(A793,Pr_Base_LNEC!$A$4:$J$6971,7,FALSE)</f>
        <v>0</v>
      </c>
    </row>
    <row r="794" spans="1:11" ht="14.5">
      <c r="A794" s="20" t="s">
        <v>15650</v>
      </c>
      <c r="B794" s="20">
        <v>20</v>
      </c>
      <c r="C794" s="20">
        <v>76</v>
      </c>
      <c r="D794" s="20">
        <v>64</v>
      </c>
      <c r="E794" s="20">
        <v>13</v>
      </c>
      <c r="F794" s="20" t="s">
        <v>15651</v>
      </c>
      <c r="G794" s="20" t="s">
        <v>15652</v>
      </c>
      <c r="H794" s="24"/>
      <c r="I794" s="24" t="str">
        <f ca="1">IFERROR(__xludf.DUMMYFUNCTION("GOOGLETRANSLATE(F794,""en"",""pt"")"),"De carbono pós aço topos")</f>
        <v>De carbono pós aço topos</v>
      </c>
      <c r="J794" t="str">
        <f>VLOOKUP(A794,Pr_Base_LNEC!$A$4:$J$6971,6,FALSE)</f>
        <v>-</v>
      </c>
      <c r="K794">
        <f>VLOOKUP(A794,Pr_Base_LNEC!$A$4:$J$6971,7,FALSE)</f>
        <v>0</v>
      </c>
    </row>
    <row r="795" spans="1:11" ht="14.5">
      <c r="A795" s="20" t="s">
        <v>15653</v>
      </c>
      <c r="B795" s="20">
        <v>20</v>
      </c>
      <c r="C795" s="20">
        <v>76</v>
      </c>
      <c r="D795" s="20">
        <v>64</v>
      </c>
      <c r="E795" s="20">
        <v>14</v>
      </c>
      <c r="F795" s="20" t="s">
        <v>15654</v>
      </c>
      <c r="G795" s="20" t="s">
        <v>15655</v>
      </c>
      <c r="H795" s="24"/>
      <c r="I795" s="24" t="str">
        <f ca="1">IFERROR(__xludf.DUMMYFUNCTION("GOOGLETRANSLATE(F795,""en"",""pt"")"),"mensagens de vento de aço carbono")</f>
        <v>mensagens de vento de aço carbono</v>
      </c>
      <c r="J795" t="str">
        <f>VLOOKUP(A795,Pr_Base_LNEC!$A$4:$J$6971,6,FALSE)</f>
        <v>-</v>
      </c>
      <c r="K795">
        <f>VLOOKUP(A795,Pr_Base_LNEC!$A$4:$J$6971,7,FALSE)</f>
        <v>0</v>
      </c>
    </row>
    <row r="796" spans="1:11" ht="14.5">
      <c r="A796" s="20" t="s">
        <v>15656</v>
      </c>
      <c r="B796" s="20">
        <v>20</v>
      </c>
      <c r="C796" s="20">
        <v>76</v>
      </c>
      <c r="D796" s="20">
        <v>64</v>
      </c>
      <c r="E796" s="20">
        <v>15</v>
      </c>
      <c r="F796" s="20" t="s">
        <v>15657</v>
      </c>
      <c r="G796" s="20" t="s">
        <v>15658</v>
      </c>
      <c r="H796" s="24"/>
      <c r="I796" s="24" t="str">
        <f ca="1">IFERROR(__xludf.DUMMYFUNCTION("GOOGLETRANSLATE(F796,""en"",""pt"")"),"postes de ferro fundido")</f>
        <v>postes de ferro fundido</v>
      </c>
      <c r="J796" t="str">
        <f>VLOOKUP(A796,Pr_Base_LNEC!$A$4:$J$6971,6,FALSE)</f>
        <v>-</v>
      </c>
      <c r="K796">
        <f>VLOOKUP(A796,Pr_Base_LNEC!$A$4:$J$6971,7,FALSE)</f>
        <v>0</v>
      </c>
    </row>
    <row r="797" spans="1:11" ht="14.5">
      <c r="A797" s="20" t="s">
        <v>15659</v>
      </c>
      <c r="B797" s="20">
        <v>20</v>
      </c>
      <c r="C797" s="20">
        <v>76</v>
      </c>
      <c r="D797" s="20">
        <v>64</v>
      </c>
      <c r="E797" s="20">
        <v>16</v>
      </c>
      <c r="F797" s="20" t="s">
        <v>15660</v>
      </c>
      <c r="G797" s="20" t="s">
        <v>15661</v>
      </c>
      <c r="H797" s="24"/>
      <c r="I797" s="24" t="str">
        <f ca="1">IFERROR(__xludf.DUMMYFUNCTION("GOOGLETRANSLATE(F797,""en"",""pt"")"),"aplicar os seus topos de ferro fundido")</f>
        <v>aplicar os seus topos de ferro fundido</v>
      </c>
      <c r="J797" t="str">
        <f>VLOOKUP(A797,Pr_Base_LNEC!$A$4:$J$6971,6,FALSE)</f>
        <v>-</v>
      </c>
      <c r="K797">
        <f>VLOOKUP(A797,Pr_Base_LNEC!$A$4:$J$6971,7,FALSE)</f>
        <v>0</v>
      </c>
    </row>
    <row r="798" spans="1:11" ht="14.5">
      <c r="A798" s="20" t="s">
        <v>15662</v>
      </c>
      <c r="B798" s="20">
        <v>20</v>
      </c>
      <c r="C798" s="20">
        <v>76</v>
      </c>
      <c r="D798" s="20">
        <v>64</v>
      </c>
      <c r="E798" s="20">
        <v>17</v>
      </c>
      <c r="F798" s="20" t="s">
        <v>15663</v>
      </c>
      <c r="G798" s="24"/>
      <c r="H798" s="24"/>
      <c r="I798" s="24" t="str">
        <f ca="1">IFERROR(__xludf.DUMMYFUNCTION("GOOGLETRANSLATE(F798,""en"",""pt"")"),"pedra fundido ou postes de concreto")</f>
        <v>pedra fundido ou postes de concreto</v>
      </c>
      <c r="J798" t="str">
        <f>VLOOKUP(A798,Pr_Base_LNEC!$A$4:$J$6971,6,FALSE)</f>
        <v>-</v>
      </c>
      <c r="K798">
        <f>VLOOKUP(A798,Pr_Base_LNEC!$A$4:$J$6971,7,FALSE)</f>
        <v>0</v>
      </c>
    </row>
    <row r="799" spans="1:11" ht="14.5">
      <c r="A799" s="20" t="s">
        <v>15664</v>
      </c>
      <c r="B799" s="20">
        <v>20</v>
      </c>
      <c r="C799" s="20">
        <v>76</v>
      </c>
      <c r="D799" s="20">
        <v>64</v>
      </c>
      <c r="E799" s="20">
        <v>18</v>
      </c>
      <c r="F799" s="20" t="s">
        <v>15665</v>
      </c>
      <c r="G799" s="24"/>
      <c r="H799" s="24"/>
      <c r="I799" s="24" t="str">
        <f ca="1">IFERROR(__xludf.DUMMYFUNCTION("GOOGLETRANSLATE(F799,""en"",""pt"")"),"pedra elenco ou pós cabeças em betão")</f>
        <v>pedra elenco ou pós cabeças em betão</v>
      </c>
      <c r="J799" t="str">
        <f>VLOOKUP(A799,Pr_Base_LNEC!$A$4:$J$6971,6,FALSE)</f>
        <v>-</v>
      </c>
      <c r="K799">
        <f>VLOOKUP(A799,Pr_Base_LNEC!$A$4:$J$6971,7,FALSE)</f>
        <v>0</v>
      </c>
    </row>
    <row r="800" spans="1:11" ht="14.5">
      <c r="A800" s="20" t="s">
        <v>15666</v>
      </c>
      <c r="B800" s="20">
        <v>20</v>
      </c>
      <c r="C800" s="20">
        <v>76</v>
      </c>
      <c r="D800" s="20">
        <v>64</v>
      </c>
      <c r="E800" s="20">
        <v>19</v>
      </c>
      <c r="F800" s="20" t="s">
        <v>15667</v>
      </c>
      <c r="G800" s="20" t="s">
        <v>15668</v>
      </c>
      <c r="H800" s="24"/>
      <c r="I800" s="24" t="str">
        <f ca="1">IFERROR(__xludf.DUMMYFUNCTION("GOOGLETRANSLATE(F800,""en"",""pt"")"),"Concretas braços de extensão")</f>
        <v>Concretas braços de extensão</v>
      </c>
      <c r="J800" t="str">
        <f>VLOOKUP(A800,Pr_Base_LNEC!$A$4:$J$6971,6,FALSE)</f>
        <v>Extensão de braços prefabricados de betão para vedações</v>
      </c>
      <c r="K800" t="str">
        <f>VLOOKUP(A800,Pr_Base_LNEC!$A$4:$J$6971,7,FALSE)</f>
        <v>EN 12839:2012</v>
      </c>
    </row>
    <row r="801" spans="1:11" ht="14.5">
      <c r="A801" s="20" t="s">
        <v>15669</v>
      </c>
      <c r="B801" s="20">
        <v>20</v>
      </c>
      <c r="C801" s="20">
        <v>76</v>
      </c>
      <c r="D801" s="20">
        <v>64</v>
      </c>
      <c r="E801" s="20">
        <v>20</v>
      </c>
      <c r="F801" s="20" t="s">
        <v>15670</v>
      </c>
      <c r="G801" s="20" t="s">
        <v>15671</v>
      </c>
      <c r="H801" s="24"/>
      <c r="I801" s="24" t="str">
        <f ca="1">IFERROR(__xludf.DUMMYFUNCTION("GOOGLETRANSLATE(F801,""en"",""pt"")"),"postes de concreto")</f>
        <v>postes de concreto</v>
      </c>
      <c r="J801" t="str">
        <f>VLOOKUP(A801,Pr_Base_LNEC!$A$4:$J$6971,6,FALSE)</f>
        <v>-</v>
      </c>
      <c r="K801">
        <f>VLOOKUP(A801,Pr_Base_LNEC!$A$4:$J$6971,7,FALSE)</f>
        <v>0</v>
      </c>
    </row>
    <row r="802" spans="1:11" ht="14.5">
      <c r="A802" s="20" t="s">
        <v>15672</v>
      </c>
      <c r="B802" s="20">
        <v>20</v>
      </c>
      <c r="C802" s="20">
        <v>76</v>
      </c>
      <c r="D802" s="20">
        <v>64</v>
      </c>
      <c r="E802" s="20">
        <v>21</v>
      </c>
      <c r="F802" s="20" t="s">
        <v>15673</v>
      </c>
      <c r="G802" s="20" t="s">
        <v>15674</v>
      </c>
      <c r="H802" s="24"/>
      <c r="I802" s="24" t="str">
        <f ca="1">IFERROR(__xludf.DUMMYFUNCTION("GOOGLETRANSLATE(F802,""en"",""pt"")"),"Concretas pós topos")</f>
        <v>Concretas pós topos</v>
      </c>
      <c r="J802" t="str">
        <f>VLOOKUP(A802,Pr_Base_LNEC!$A$4:$J$6971,6,FALSE)</f>
        <v>Pilares, colunas e postes prefabricados de betão para vedações</v>
      </c>
      <c r="K802" t="str">
        <f>VLOOKUP(A802,Pr_Base_LNEC!$A$4:$J$6971,7,FALSE)</f>
        <v>EN 12839:2012</v>
      </c>
    </row>
    <row r="803" spans="1:11" ht="14.5">
      <c r="A803" s="20" t="s">
        <v>15675</v>
      </c>
      <c r="B803" s="20">
        <v>20</v>
      </c>
      <c r="C803" s="20">
        <v>76</v>
      </c>
      <c r="D803" s="20">
        <v>64</v>
      </c>
      <c r="E803" s="20">
        <v>36</v>
      </c>
      <c r="F803" s="20" t="s">
        <v>15676</v>
      </c>
      <c r="G803" s="20" t="s">
        <v>15677</v>
      </c>
      <c r="H803" s="24"/>
      <c r="I803" s="24" t="str">
        <f ca="1">IFERROR(__xludf.DUMMYFUNCTION("GOOGLETRANSLATE(F803,""en"",""pt"")"),"mensagens de madeira")</f>
        <v>mensagens de madeira</v>
      </c>
      <c r="J803" t="str">
        <f>VLOOKUP(A803,Pr_Base_LNEC!$A$4:$J$6971,6,FALSE)</f>
        <v>-</v>
      </c>
      <c r="K803">
        <f>VLOOKUP(A803,Pr_Base_LNEC!$A$4:$J$6971,7,FALSE)</f>
        <v>0</v>
      </c>
    </row>
    <row r="804" spans="1:11" ht="14.5">
      <c r="A804" s="20" t="s">
        <v>15678</v>
      </c>
      <c r="B804" s="20">
        <v>20</v>
      </c>
      <c r="C804" s="20">
        <v>76</v>
      </c>
      <c r="D804" s="20">
        <v>64</v>
      </c>
      <c r="E804" s="20">
        <v>37</v>
      </c>
      <c r="F804" s="20" t="s">
        <v>15679</v>
      </c>
      <c r="G804" s="20" t="s">
        <v>15680</v>
      </c>
      <c r="H804" s="24"/>
      <c r="I804" s="24" t="str">
        <f ca="1">IFERROR(__xludf.DUMMYFUNCTION("GOOGLETRANSLATE(F804,""en"",""pt"")"),"Hardwood pós topos")</f>
        <v>Hardwood pós topos</v>
      </c>
      <c r="J804" t="str">
        <f>VLOOKUP(A804,Pr_Base_LNEC!$A$4:$J$6971,6,FALSE)</f>
        <v>-</v>
      </c>
      <c r="K804">
        <f>VLOOKUP(A804,Pr_Base_LNEC!$A$4:$J$6971,7,FALSE)</f>
        <v>0</v>
      </c>
    </row>
    <row r="805" spans="1:11" ht="14.5">
      <c r="A805" s="20" t="s">
        <v>15681</v>
      </c>
      <c r="B805" s="20">
        <v>20</v>
      </c>
      <c r="C805" s="20">
        <v>76</v>
      </c>
      <c r="D805" s="20">
        <v>64</v>
      </c>
      <c r="E805" s="20">
        <v>51</v>
      </c>
      <c r="F805" s="20" t="s">
        <v>15682</v>
      </c>
      <c r="G805" s="24"/>
      <c r="H805" s="24"/>
      <c r="I805" s="24" t="str">
        <f ca="1">IFERROR(__xludf.DUMMYFUNCTION("GOOGLETRANSLATE(F805,""en"",""pt"")"),"De metal postes de segurança elétrica")</f>
        <v>De metal postes de segurança elétrica</v>
      </c>
      <c r="J805" t="str">
        <f>VLOOKUP(A805,Pr_Base_LNEC!$A$4:$J$6971,6,FALSE)</f>
        <v>-</v>
      </c>
      <c r="K805">
        <f>VLOOKUP(A805,Pr_Base_LNEC!$A$4:$J$6971,7,FALSE)</f>
        <v>0</v>
      </c>
    </row>
    <row r="806" spans="1:11" ht="14.5">
      <c r="A806" s="20" t="s">
        <v>15683</v>
      </c>
      <c r="B806" s="20">
        <v>20</v>
      </c>
      <c r="C806" s="20">
        <v>76</v>
      </c>
      <c r="D806" s="20">
        <v>64</v>
      </c>
      <c r="E806" s="20">
        <v>52</v>
      </c>
      <c r="F806" s="20" t="s">
        <v>15684</v>
      </c>
      <c r="G806" s="24"/>
      <c r="H806" s="24"/>
      <c r="I806" s="24" t="str">
        <f ca="1">IFERROR(__xludf.DUMMYFUNCTION("GOOGLETRANSLATE(F806,""en"",""pt"")"),"Metal braços de extensão")</f>
        <v>Metal braços de extensão</v>
      </c>
      <c r="J806" t="str">
        <f>VLOOKUP(A806,Pr_Base_LNEC!$A$4:$J$6971,6,FALSE)</f>
        <v>-</v>
      </c>
      <c r="K806">
        <f>VLOOKUP(A806,Pr_Base_LNEC!$A$4:$J$6971,7,FALSE)</f>
        <v>0</v>
      </c>
    </row>
    <row r="807" spans="1:11" ht="14.5">
      <c r="A807" s="20" t="s">
        <v>15685</v>
      </c>
      <c r="B807" s="20">
        <v>20</v>
      </c>
      <c r="C807" s="20">
        <v>76</v>
      </c>
      <c r="D807" s="20">
        <v>64</v>
      </c>
      <c r="E807" s="20">
        <v>53</v>
      </c>
      <c r="F807" s="20" t="s">
        <v>15686</v>
      </c>
      <c r="G807" s="24"/>
      <c r="H807" s="24"/>
      <c r="I807" s="24" t="str">
        <f ca="1">IFERROR(__xludf.DUMMYFUNCTION("GOOGLETRANSLATE(F807,""en"",""pt"")"),"postes de metal")</f>
        <v>postes de metal</v>
      </c>
      <c r="J807" t="str">
        <f>VLOOKUP(A807,Pr_Base_LNEC!$A$4:$J$6971,6,FALSE)</f>
        <v>-</v>
      </c>
      <c r="K807">
        <f>VLOOKUP(A807,Pr_Base_LNEC!$A$4:$J$6971,7,FALSE)</f>
        <v>0</v>
      </c>
    </row>
    <row r="808" spans="1:11" ht="14.5">
      <c r="A808" s="20" t="s">
        <v>15687</v>
      </c>
      <c r="B808" s="20">
        <v>20</v>
      </c>
      <c r="C808" s="20">
        <v>76</v>
      </c>
      <c r="D808" s="20">
        <v>64</v>
      </c>
      <c r="E808" s="20">
        <v>54</v>
      </c>
      <c r="F808" s="20" t="s">
        <v>15688</v>
      </c>
      <c r="G808" s="24"/>
      <c r="H808" s="24"/>
      <c r="I808" s="24" t="str">
        <f ca="1">IFERROR(__xludf.DUMMYFUNCTION("GOOGLETRANSLATE(F808,""en"",""pt"")"),"bases poste de metal")</f>
        <v>bases poste de metal</v>
      </c>
      <c r="J808" t="str">
        <f>VLOOKUP(A808,Pr_Base_LNEC!$A$4:$J$6971,6,FALSE)</f>
        <v>-</v>
      </c>
      <c r="K808">
        <f>VLOOKUP(A808,Pr_Base_LNEC!$A$4:$J$6971,7,FALSE)</f>
        <v>0</v>
      </c>
    </row>
    <row r="809" spans="1:11" ht="14.5">
      <c r="A809" s="20" t="s">
        <v>15689</v>
      </c>
      <c r="B809" s="20">
        <v>20</v>
      </c>
      <c r="C809" s="20">
        <v>76</v>
      </c>
      <c r="D809" s="20">
        <v>64</v>
      </c>
      <c r="E809" s="20">
        <v>55</v>
      </c>
      <c r="F809" s="20" t="s">
        <v>15690</v>
      </c>
      <c r="G809" s="24"/>
      <c r="H809" s="24"/>
      <c r="I809" s="24" t="str">
        <f ca="1">IFERROR(__xludf.DUMMYFUNCTION("GOOGLETRANSLATE(F809,""en"",""pt"")"),"Post-metal topos")</f>
        <v>Post-metal topos</v>
      </c>
      <c r="J809" t="str">
        <f>VLOOKUP(A809,Pr_Base_LNEC!$A$4:$J$6971,6,FALSE)</f>
        <v>-</v>
      </c>
      <c r="K809">
        <f>VLOOKUP(A809,Pr_Base_LNEC!$A$4:$J$6971,7,FALSE)</f>
        <v>0</v>
      </c>
    </row>
    <row r="810" spans="1:11" ht="14.5">
      <c r="A810" s="20" t="s">
        <v>15691</v>
      </c>
      <c r="B810" s="20">
        <v>20</v>
      </c>
      <c r="C810" s="20">
        <v>76</v>
      </c>
      <c r="D810" s="20">
        <v>64</v>
      </c>
      <c r="E810" s="20">
        <v>62</v>
      </c>
      <c r="F810" s="20" t="s">
        <v>15692</v>
      </c>
      <c r="G810" s="20" t="s">
        <v>15693</v>
      </c>
      <c r="H810" s="24"/>
      <c r="I810" s="24" t="str">
        <f ca="1">IFERROR(__xludf.DUMMYFUNCTION("GOOGLETRANSLATE(F810,""en"",""pt"")"),"mensagens plásticos")</f>
        <v>mensagens plásticos</v>
      </c>
      <c r="J810" t="str">
        <f>VLOOKUP(A810,Pr_Base_LNEC!$A$4:$J$6971,6,FALSE)</f>
        <v>-</v>
      </c>
      <c r="K810">
        <f>VLOOKUP(A810,Pr_Base_LNEC!$A$4:$J$6971,7,FALSE)</f>
        <v>0</v>
      </c>
    </row>
    <row r="811" spans="1:11" ht="14.5">
      <c r="A811" s="20" t="s">
        <v>15694</v>
      </c>
      <c r="B811" s="20">
        <v>20</v>
      </c>
      <c r="C811" s="20">
        <v>76</v>
      </c>
      <c r="D811" s="20">
        <v>64</v>
      </c>
      <c r="E811" s="20">
        <v>63</v>
      </c>
      <c r="F811" s="20" t="s">
        <v>15695</v>
      </c>
      <c r="G811" s="20" t="s">
        <v>15696</v>
      </c>
      <c r="H811" s="24"/>
      <c r="I811" s="24" t="str">
        <f ca="1">IFERROR(__xludf.DUMMYFUNCTION("GOOGLETRANSLATE(F811,""en"",""pt"")"),"Plastics postar topos")</f>
        <v>Plastics postar topos</v>
      </c>
      <c r="J811" t="str">
        <f>VLOOKUP(A811,Pr_Base_LNEC!$A$4:$J$6971,6,FALSE)</f>
        <v>-</v>
      </c>
      <c r="K811">
        <f>VLOOKUP(A811,Pr_Base_LNEC!$A$4:$J$6971,7,FALSE)</f>
        <v>0</v>
      </c>
    </row>
    <row r="812" spans="1:11" ht="14.5">
      <c r="A812" s="20" t="s">
        <v>15697</v>
      </c>
      <c r="B812" s="20">
        <v>20</v>
      </c>
      <c r="C812" s="20">
        <v>76</v>
      </c>
      <c r="D812" s="20">
        <v>64</v>
      </c>
      <c r="E812" s="20">
        <v>65</v>
      </c>
      <c r="F812" s="20" t="s">
        <v>15698</v>
      </c>
      <c r="G812" s="24"/>
      <c r="H812" s="24"/>
      <c r="I812" s="24" t="str">
        <f ca="1">IFERROR(__xludf.DUMMYFUNCTION("GOOGLETRANSLATE(F812,""en"",""pt"")"),"mensagens de polímeros")</f>
        <v>mensagens de polímeros</v>
      </c>
      <c r="J812" t="str">
        <f>VLOOKUP(A812,Pr_Base_LNEC!$A$4:$J$6971,6,FALSE)</f>
        <v>-</v>
      </c>
      <c r="K812">
        <f>VLOOKUP(A812,Pr_Base_LNEC!$A$4:$J$6971,7,FALSE)</f>
        <v>0</v>
      </c>
    </row>
    <row r="813" spans="1:11" ht="14.5">
      <c r="A813" s="20" t="s">
        <v>15699</v>
      </c>
      <c r="B813" s="20">
        <v>20</v>
      </c>
      <c r="C813" s="20">
        <v>76</v>
      </c>
      <c r="D813" s="20">
        <v>64</v>
      </c>
      <c r="E813" s="20">
        <v>66</v>
      </c>
      <c r="F813" s="20" t="s">
        <v>15700</v>
      </c>
      <c r="G813" s="24"/>
      <c r="H813" s="24"/>
      <c r="I813" s="24" t="str">
        <f ca="1">IFERROR(__xludf.DUMMYFUNCTION("GOOGLETRANSLATE(F813,""en"",""pt"")"),"Polímero pós topos")</f>
        <v>Polímero pós topos</v>
      </c>
      <c r="J813" t="str">
        <f>VLOOKUP(A813,Pr_Base_LNEC!$A$4:$J$6971,6,FALSE)</f>
        <v>-</v>
      </c>
      <c r="K813">
        <f>VLOOKUP(A813,Pr_Base_LNEC!$A$4:$J$6971,7,FALSE)</f>
        <v>0</v>
      </c>
    </row>
    <row r="814" spans="1:11" ht="14.5">
      <c r="A814" s="20" t="s">
        <v>15701</v>
      </c>
      <c r="B814" s="20">
        <v>20</v>
      </c>
      <c r="C814" s="20">
        <v>76</v>
      </c>
      <c r="D814" s="20">
        <v>64</v>
      </c>
      <c r="E814" s="20">
        <v>77</v>
      </c>
      <c r="F814" s="20" t="s">
        <v>15702</v>
      </c>
      <c r="G814" s="20" t="s">
        <v>15703</v>
      </c>
      <c r="H814" s="24"/>
      <c r="I814" s="24" t="str">
        <f ca="1">IFERROR(__xludf.DUMMYFUNCTION("GOOGLETRANSLATE(F814,""en"",""pt"")"),"mensagens de resinosas")</f>
        <v>mensagens de resinosas</v>
      </c>
      <c r="J814" t="str">
        <f>VLOOKUP(A814,Pr_Base_LNEC!$A$4:$J$6971,6,FALSE)</f>
        <v>-</v>
      </c>
      <c r="K814">
        <f>VLOOKUP(A814,Pr_Base_LNEC!$A$4:$J$6971,7,FALSE)</f>
        <v>0</v>
      </c>
    </row>
    <row r="815" spans="1:11" ht="14.5">
      <c r="A815" s="20" t="s">
        <v>15704</v>
      </c>
      <c r="B815" s="20">
        <v>20</v>
      </c>
      <c r="C815" s="20">
        <v>76</v>
      </c>
      <c r="D815" s="20">
        <v>64</v>
      </c>
      <c r="E815" s="20">
        <v>78</v>
      </c>
      <c r="F815" s="20" t="s">
        <v>15705</v>
      </c>
      <c r="G815" s="20" t="s">
        <v>15706</v>
      </c>
      <c r="H815" s="24"/>
      <c r="I815" s="24" t="str">
        <f ca="1">IFERROR(__xludf.DUMMYFUNCTION("GOOGLETRANSLATE(F815,""en"",""pt"")"),"topos pós resinosas")</f>
        <v>topos pós resinosas</v>
      </c>
      <c r="J815" t="str">
        <f>VLOOKUP(A815,Pr_Base_LNEC!$A$4:$J$6971,6,FALSE)</f>
        <v>-</v>
      </c>
      <c r="K815">
        <f>VLOOKUP(A815,Pr_Base_LNEC!$A$4:$J$6971,7,FALSE)</f>
        <v>0</v>
      </c>
    </row>
    <row r="816" spans="1:11" ht="14.5">
      <c r="A816" s="20" t="s">
        <v>15707</v>
      </c>
      <c r="B816" s="20">
        <v>20</v>
      </c>
      <c r="C816" s="20">
        <v>76</v>
      </c>
      <c r="D816" s="20">
        <v>64</v>
      </c>
      <c r="E816" s="20">
        <v>80</v>
      </c>
      <c r="F816" s="20" t="s">
        <v>15708</v>
      </c>
      <c r="G816" s="20" t="s">
        <v>15709</v>
      </c>
      <c r="H816" s="24"/>
      <c r="I816" s="24" t="str">
        <f ca="1">IFERROR(__xludf.DUMMYFUNCTION("GOOGLETRANSLATE(F816,""en"",""pt"")"),"postes de aço inoxidável")</f>
        <v>postes de aço inoxidável</v>
      </c>
      <c r="J816" t="str">
        <f>VLOOKUP(A816,Pr_Base_LNEC!$A$4:$J$6971,6,FALSE)</f>
        <v>-</v>
      </c>
      <c r="K816">
        <f>VLOOKUP(A816,Pr_Base_LNEC!$A$4:$J$6971,7,FALSE)</f>
        <v>0</v>
      </c>
    </row>
    <row r="817" spans="1:11" ht="14.5">
      <c r="A817" s="20" t="s">
        <v>15710</v>
      </c>
      <c r="B817" s="20">
        <v>20</v>
      </c>
      <c r="C817" s="20">
        <v>76</v>
      </c>
      <c r="D817" s="20">
        <v>64</v>
      </c>
      <c r="E817" s="20">
        <v>81</v>
      </c>
      <c r="F817" s="20" t="s">
        <v>15711</v>
      </c>
      <c r="G817" s="20" t="s">
        <v>15712</v>
      </c>
      <c r="H817" s="24"/>
      <c r="I817" s="24" t="str">
        <f ca="1">IFERROR(__xludf.DUMMYFUNCTION("GOOGLETRANSLATE(F817,""en"",""pt"")"),"aplicar os seus topos de aço inoxidável")</f>
        <v>aplicar os seus topos de aço inoxidável</v>
      </c>
      <c r="J817" t="str">
        <f>VLOOKUP(A817,Pr_Base_LNEC!$A$4:$J$6971,6,FALSE)</f>
        <v>-</v>
      </c>
      <c r="K817">
        <f>VLOOKUP(A817,Pr_Base_LNEC!$A$4:$J$6971,7,FALSE)</f>
        <v>0</v>
      </c>
    </row>
    <row r="818" spans="1:11" ht="14.5">
      <c r="A818" s="20" t="s">
        <v>15713</v>
      </c>
      <c r="B818" s="20">
        <v>20</v>
      </c>
      <c r="C818" s="20">
        <v>76</v>
      </c>
      <c r="D818" s="20">
        <v>64</v>
      </c>
      <c r="E818" s="20">
        <v>82</v>
      </c>
      <c r="F818" s="20" t="s">
        <v>15714</v>
      </c>
      <c r="G818" s="20" t="s">
        <v>15715</v>
      </c>
      <c r="H818" s="24"/>
      <c r="I818" s="24" t="str">
        <f ca="1">IFERROR(__xludf.DUMMYFUNCTION("GOOGLETRANSLATE(F818,""en"",""pt"")"),"mensagens de vento de aço inoxidável")</f>
        <v>mensagens de vento de aço inoxidável</v>
      </c>
      <c r="J818" t="str">
        <f>VLOOKUP(A818,Pr_Base_LNEC!$A$4:$J$6971,6,FALSE)</f>
        <v>-</v>
      </c>
      <c r="K818">
        <f>VLOOKUP(A818,Pr_Base_LNEC!$A$4:$J$6971,7,FALSE)</f>
        <v>0</v>
      </c>
    </row>
    <row r="819" spans="1:11" ht="14.5">
      <c r="A819" s="20" t="s">
        <v>15716</v>
      </c>
      <c r="B819" s="20">
        <v>20</v>
      </c>
      <c r="C819" s="20">
        <v>76</v>
      </c>
      <c r="D819" s="20">
        <v>64</v>
      </c>
      <c r="E819" s="20">
        <v>83</v>
      </c>
      <c r="F819" s="20" t="s">
        <v>15717</v>
      </c>
      <c r="G819" s="20" t="s">
        <v>15718</v>
      </c>
      <c r="H819" s="24"/>
      <c r="I819" s="24" t="str">
        <f ca="1">IFERROR(__xludf.DUMMYFUNCTION("GOOGLETRANSLATE(F819,""en"",""pt"")"),"Stand-off bases pós")</f>
        <v>Stand-off bases pós</v>
      </c>
      <c r="J819" t="str">
        <f>VLOOKUP(A819,Pr_Base_LNEC!$A$4:$J$6971,6,FALSE)</f>
        <v>-</v>
      </c>
      <c r="K819">
        <f>VLOOKUP(A819,Pr_Base_LNEC!$A$4:$J$6971,7,FALSE)</f>
        <v>0</v>
      </c>
    </row>
    <row r="820" spans="1:11" ht="14.5">
      <c r="A820" s="20" t="s">
        <v>15719</v>
      </c>
      <c r="B820" s="20">
        <v>20</v>
      </c>
      <c r="C820" s="20">
        <v>76</v>
      </c>
      <c r="D820" s="20">
        <v>64</v>
      </c>
      <c r="E820" s="20">
        <v>87</v>
      </c>
      <c r="F820" s="20" t="s">
        <v>15720</v>
      </c>
      <c r="G820" s="24"/>
      <c r="H820" s="24"/>
      <c r="I820" s="24" t="str">
        <f ca="1">IFERROR(__xludf.DUMMYFUNCTION("GOOGLETRANSLATE(F820,""en"",""pt"")"),"mensagens Timber mão")</f>
        <v>mensagens Timber mão</v>
      </c>
      <c r="J820" t="str">
        <f>VLOOKUP(A820,Pr_Base_LNEC!$A$4:$J$6971,6,FALSE)</f>
        <v>-</v>
      </c>
      <c r="K820">
        <f>VLOOKUP(A820,Pr_Base_LNEC!$A$4:$J$6971,7,FALSE)</f>
        <v>0</v>
      </c>
    </row>
    <row r="821" spans="1:11" ht="14.5">
      <c r="A821" s="20" t="s">
        <v>15721</v>
      </c>
      <c r="B821" s="20">
        <v>20</v>
      </c>
      <c r="C821" s="20">
        <v>76</v>
      </c>
      <c r="D821" s="20">
        <v>64</v>
      </c>
      <c r="E821" s="20">
        <v>88</v>
      </c>
      <c r="F821" s="20" t="s">
        <v>15722</v>
      </c>
      <c r="G821" s="24"/>
      <c r="H821" s="24"/>
      <c r="I821" s="24" t="str">
        <f ca="1">IFERROR(__xludf.DUMMYFUNCTION("GOOGLETRANSLATE(F821,""en"",""pt"")"),"mensagens de madeira")</f>
        <v>mensagens de madeira</v>
      </c>
      <c r="J821" t="str">
        <f>VLOOKUP(A821,Pr_Base_LNEC!$A$4:$J$6971,6,FALSE)</f>
        <v>-</v>
      </c>
      <c r="K821">
        <f>VLOOKUP(A821,Pr_Base_LNEC!$A$4:$J$6971,7,FALSE)</f>
        <v>0</v>
      </c>
    </row>
    <row r="822" spans="1:11" ht="14.5">
      <c r="A822" s="20" t="s">
        <v>15723</v>
      </c>
      <c r="B822" s="20">
        <v>20</v>
      </c>
      <c r="C822" s="20">
        <v>76</v>
      </c>
      <c r="D822" s="20">
        <v>64</v>
      </c>
      <c r="E822" s="20">
        <v>89</v>
      </c>
      <c r="F822" s="20" t="s">
        <v>15724</v>
      </c>
      <c r="G822" s="24"/>
      <c r="H822" s="24"/>
      <c r="I822" s="24" t="str">
        <f ca="1">IFERROR(__xludf.DUMMYFUNCTION("GOOGLETRANSLATE(F822,""en"",""pt"")"),"Timber pós topos")</f>
        <v>Timber pós topos</v>
      </c>
      <c r="J822" t="str">
        <f>VLOOKUP(A822,Pr_Base_LNEC!$A$4:$J$6971,6,FALSE)</f>
        <v>-</v>
      </c>
      <c r="K822">
        <f>VLOOKUP(A822,Pr_Base_LNEC!$A$4:$J$6971,7,FALSE)</f>
        <v>0</v>
      </c>
    </row>
    <row r="823" spans="1:11" ht="14.5">
      <c r="A823" s="20" t="s">
        <v>15725</v>
      </c>
      <c r="B823" s="20">
        <v>20</v>
      </c>
      <c r="C823" s="20">
        <v>76</v>
      </c>
      <c r="D823" s="20">
        <v>64</v>
      </c>
      <c r="E823" s="20">
        <v>95</v>
      </c>
      <c r="F823" s="20" t="s">
        <v>15726</v>
      </c>
      <c r="G823" s="20" t="s">
        <v>15727</v>
      </c>
      <c r="H823" s="24"/>
      <c r="I823" s="24" t="str">
        <f ca="1">IFERROR(__xludf.DUMMYFUNCTION("GOOGLETRANSLATE(F823,""en"",""pt"")"),"mensagens de mão de madeira")</f>
        <v>mensagens de mão de madeira</v>
      </c>
      <c r="J823" t="str">
        <f>VLOOKUP(A823,Pr_Base_LNEC!$A$4:$J$6971,6,FALSE)</f>
        <v>-</v>
      </c>
      <c r="K823">
        <f>VLOOKUP(A823,Pr_Base_LNEC!$A$4:$J$6971,7,FALSE)</f>
        <v>0</v>
      </c>
    </row>
    <row r="824" spans="1:11" ht="14.5">
      <c r="A824" s="20" t="s">
        <v>15728</v>
      </c>
      <c r="B824" s="20">
        <v>20</v>
      </c>
      <c r="C824" s="20">
        <v>76</v>
      </c>
      <c r="D824" s="20">
        <v>64</v>
      </c>
      <c r="E824" s="20">
        <v>96</v>
      </c>
      <c r="F824" s="20" t="s">
        <v>15729</v>
      </c>
      <c r="G824" s="20" t="s">
        <v>15730</v>
      </c>
      <c r="H824" s="24"/>
      <c r="I824" s="24" t="str">
        <f ca="1">IFERROR(__xludf.DUMMYFUNCTION("GOOGLETRANSLATE(F824,""en"",""pt"")"),"suportes de madeira do painel")</f>
        <v>suportes de madeira do painel</v>
      </c>
      <c r="J824" t="str">
        <f>VLOOKUP(A824,Pr_Base_LNEC!$A$4:$J$6971,6,FALSE)</f>
        <v>-</v>
      </c>
      <c r="K824">
        <f>VLOOKUP(A824,Pr_Base_LNEC!$A$4:$J$6971,7,FALSE)</f>
        <v>0</v>
      </c>
    </row>
    <row r="825" spans="1:11" ht="14.5">
      <c r="A825" s="20" t="s">
        <v>15731</v>
      </c>
      <c r="B825" s="20">
        <v>20</v>
      </c>
      <c r="C825" s="20">
        <v>76</v>
      </c>
      <c r="D825" s="20">
        <v>70</v>
      </c>
      <c r="E825" s="24"/>
      <c r="F825" s="20" t="s">
        <v>15732</v>
      </c>
      <c r="G825" s="24"/>
      <c r="H825" s="24"/>
      <c r="I825" s="24" t="str">
        <f ca="1">IFERROR(__xludf.DUMMYFUNCTION("GOOGLETRANSLATE(F825,""en"",""pt"")"),"via férrea e auxiliares")</f>
        <v>via férrea e auxiliares</v>
      </c>
      <c r="J825" t="str">
        <f>VLOOKUP(A825,Pr_Base_LNEC!$A$4:$J$6971,6,FALSE)</f>
        <v>Suportes Ferróviárias e Acessórios</v>
      </c>
      <c r="K825">
        <f>VLOOKUP(A825,Pr_Base_LNEC!$A$4:$J$6971,7,FALSE)</f>
        <v>0</v>
      </c>
    </row>
    <row r="826" spans="1:11" ht="14.5">
      <c r="A826" s="20" t="s">
        <v>15733</v>
      </c>
      <c r="B826" s="20">
        <v>20</v>
      </c>
      <c r="C826" s="20">
        <v>76</v>
      </c>
      <c r="D826" s="20">
        <v>70</v>
      </c>
      <c r="E826" s="20">
        <v>9</v>
      </c>
      <c r="F826" s="20" t="s">
        <v>15734</v>
      </c>
      <c r="G826" s="24"/>
      <c r="H826" s="24"/>
      <c r="I826" s="24" t="str">
        <f ca="1">IFERROR(__xludf.DUMMYFUNCTION("GOOGLETRANSLATE(F826,""en"",""pt"")"),"rails Bullhead")</f>
        <v>rails Bullhead</v>
      </c>
      <c r="J826">
        <f>VLOOKUP(A826,Pr_Base_LNEC!$A$4:$J$6971,6,FALSE)</f>
        <v>0</v>
      </c>
      <c r="K826">
        <f>VLOOKUP(A826,Pr_Base_LNEC!$A$4:$J$6971,7,FALSE)</f>
        <v>0</v>
      </c>
    </row>
    <row r="827" spans="1:11" ht="14.5">
      <c r="A827" s="20" t="s">
        <v>15735</v>
      </c>
      <c r="B827" s="20">
        <v>20</v>
      </c>
      <c r="C827" s="20">
        <v>76</v>
      </c>
      <c r="D827" s="20">
        <v>70</v>
      </c>
      <c r="E827" s="20">
        <v>12</v>
      </c>
      <c r="F827" s="20" t="s">
        <v>15736</v>
      </c>
      <c r="G827" s="20" t="s">
        <v>15737</v>
      </c>
      <c r="H827" s="24"/>
      <c r="I827" s="24" t="str">
        <f ca="1">IFERROR(__xludf.DUMMYFUNCTION("GOOGLETRANSLATE(F827,""en"",""pt"")"),"Verifique trilhos")</f>
        <v>Verifique trilhos</v>
      </c>
      <c r="J827">
        <f>VLOOKUP(A827,Pr_Base_LNEC!$A$4:$J$6971,6,FALSE)</f>
        <v>0</v>
      </c>
      <c r="K827">
        <f>VLOOKUP(A827,Pr_Base_LNEC!$A$4:$J$6971,7,FALSE)</f>
        <v>0</v>
      </c>
    </row>
    <row r="828" spans="1:11" ht="14.5">
      <c r="A828" s="20" t="s">
        <v>15738</v>
      </c>
      <c r="B828" s="20">
        <v>20</v>
      </c>
      <c r="C828" s="20">
        <v>76</v>
      </c>
      <c r="D828" s="20">
        <v>70</v>
      </c>
      <c r="E828" s="20">
        <v>15</v>
      </c>
      <c r="F828" s="20" t="s">
        <v>15739</v>
      </c>
      <c r="G828" s="20" t="s">
        <v>15740</v>
      </c>
      <c r="H828" s="24"/>
      <c r="I828" s="24" t="str">
        <f ca="1">IFERROR(__xludf.DUMMYFUNCTION("GOOGLETRANSLATE(F828,""en"",""pt"")"),"carris condutores")</f>
        <v>carris condutores</v>
      </c>
      <c r="J828">
        <f>VLOOKUP(A828,Pr_Base_LNEC!$A$4:$J$6971,6,FALSE)</f>
        <v>0</v>
      </c>
      <c r="K828">
        <f>VLOOKUP(A828,Pr_Base_LNEC!$A$4:$J$6971,7,FALSE)</f>
        <v>0</v>
      </c>
    </row>
    <row r="829" spans="1:11" ht="14.5">
      <c r="A829" s="20" t="s">
        <v>15741</v>
      </c>
      <c r="B829" s="20">
        <v>20</v>
      </c>
      <c r="C829" s="20">
        <v>76</v>
      </c>
      <c r="D829" s="20">
        <v>70</v>
      </c>
      <c r="E829" s="20">
        <v>22</v>
      </c>
      <c r="F829" s="20" t="s">
        <v>15742</v>
      </c>
      <c r="G829" s="20" t="s">
        <v>15743</v>
      </c>
      <c r="H829" s="24"/>
      <c r="I829" s="24" t="str">
        <f ca="1">IFERROR(__xludf.DUMMYFUNCTION("GOOGLETRANSLATE(F829,""en"",""pt"")"),"contenção descarrilamento")</f>
        <v>contenção descarrilamento</v>
      </c>
      <c r="J829">
        <f>VLOOKUP(A829,Pr_Base_LNEC!$A$4:$J$6971,6,FALSE)</f>
        <v>0</v>
      </c>
      <c r="K829">
        <f>VLOOKUP(A829,Pr_Base_LNEC!$A$4:$J$6971,7,FALSE)</f>
        <v>0</v>
      </c>
    </row>
    <row r="830" spans="1:11" ht="14.5">
      <c r="A830" s="20" t="s">
        <v>15744</v>
      </c>
      <c r="B830" s="20">
        <v>20</v>
      </c>
      <c r="C830" s="20">
        <v>76</v>
      </c>
      <c r="D830" s="20">
        <v>70</v>
      </c>
      <c r="E830" s="20">
        <v>27</v>
      </c>
      <c r="F830" s="20" t="s">
        <v>15745</v>
      </c>
      <c r="G830" s="24"/>
      <c r="H830" s="24"/>
      <c r="I830" s="24" t="str">
        <f ca="1">IFERROR(__xludf.DUMMYFUNCTION("GOOGLETRANSLATE(F830,""en"",""pt"")"),"rampas de proteção de equipamentos")</f>
        <v>rampas de proteção de equipamentos</v>
      </c>
      <c r="J830" t="str">
        <f>VLOOKUP(A830,Pr_Base_LNEC!$A$4:$J$6971,6,FALSE)</f>
        <v>-</v>
      </c>
      <c r="K830">
        <f>VLOOKUP(A830,Pr_Base_LNEC!$A$4:$J$6971,7,FALSE)</f>
        <v>0</v>
      </c>
    </row>
    <row r="831" spans="1:11" ht="14.5">
      <c r="A831" s="20" t="s">
        <v>15746</v>
      </c>
      <c r="B831" s="20">
        <v>20</v>
      </c>
      <c r="C831" s="20">
        <v>76</v>
      </c>
      <c r="D831" s="20">
        <v>70</v>
      </c>
      <c r="E831" s="20">
        <v>28</v>
      </c>
      <c r="F831" s="20" t="s">
        <v>15747</v>
      </c>
      <c r="G831" s="24"/>
      <c r="H831" s="24"/>
      <c r="I831" s="24" t="str">
        <f ca="1">IFERROR(__xludf.DUMMYFUNCTION("GOOGLETRANSLATE(F831,""en"",""pt"")"),"interruptores de expansão e os comutadores de ajuste")</f>
        <v>interruptores de expansão e os comutadores de ajuste</v>
      </c>
      <c r="J831" t="str">
        <f>VLOOKUP(A831,Pr_Base_LNEC!$A$4:$J$6971,6,FALSE)</f>
        <v>-</v>
      </c>
      <c r="K831">
        <f>VLOOKUP(A831,Pr_Base_LNEC!$A$4:$J$6971,7,FALSE)</f>
        <v>0</v>
      </c>
    </row>
    <row r="832" spans="1:11" ht="14.5">
      <c r="A832" s="20" t="s">
        <v>15748</v>
      </c>
      <c r="B832" s="20">
        <v>20</v>
      </c>
      <c r="C832" s="20">
        <v>76</v>
      </c>
      <c r="D832" s="20">
        <v>70</v>
      </c>
      <c r="E832" s="20">
        <v>30</v>
      </c>
      <c r="F832" s="20" t="s">
        <v>15749</v>
      </c>
      <c r="G832" s="20" t="s">
        <v>15750</v>
      </c>
      <c r="H832" s="24"/>
      <c r="I832" s="24" t="str">
        <f ca="1">IFERROR(__xludf.DUMMYFUNCTION("GOOGLETRANSLATE(F832,""en"",""pt"")"),"rails fundo plano")</f>
        <v>rails fundo plano</v>
      </c>
      <c r="J832" t="str">
        <f>VLOOKUP(A832,Pr_Base_LNEC!$A$4:$J$6971,6,FALSE)</f>
        <v>-</v>
      </c>
      <c r="K832">
        <f>VLOOKUP(A832,Pr_Base_LNEC!$A$4:$J$6971,7,FALSE)</f>
        <v>0</v>
      </c>
    </row>
    <row r="833" spans="1:11" ht="14.5">
      <c r="A833" s="20" t="s">
        <v>15751</v>
      </c>
      <c r="B833" s="20">
        <v>20</v>
      </c>
      <c r="C833" s="20">
        <v>76</v>
      </c>
      <c r="D833" s="20">
        <v>70</v>
      </c>
      <c r="E833" s="20">
        <v>34</v>
      </c>
      <c r="F833" s="20" t="s">
        <v>15752</v>
      </c>
      <c r="G833" s="20" t="s">
        <v>15753</v>
      </c>
      <c r="H833" s="24"/>
      <c r="I833" s="24" t="str">
        <f ca="1">IFERROR(__xludf.DUMMYFUNCTION("GOOGLETRANSLATE(F833,""en"",""pt"")"),"carris de gola")</f>
        <v>carris de gola</v>
      </c>
      <c r="J833" t="str">
        <f>VLOOKUP(A833,Pr_Base_LNEC!$A$4:$J$6971,6,FALSE)</f>
        <v>-</v>
      </c>
      <c r="K833">
        <f>VLOOKUP(A833,Pr_Base_LNEC!$A$4:$J$6971,7,FALSE)</f>
        <v>0</v>
      </c>
    </row>
    <row r="834" spans="1:11" ht="14.5">
      <c r="A834" s="20" t="s">
        <v>15754</v>
      </c>
      <c r="B834" s="20">
        <v>20</v>
      </c>
      <c r="C834" s="20">
        <v>76</v>
      </c>
      <c r="D834" s="20">
        <v>70</v>
      </c>
      <c r="E834" s="20">
        <v>60</v>
      </c>
      <c r="F834" s="20" t="s">
        <v>15755</v>
      </c>
      <c r="G834" s="24"/>
      <c r="H834" s="24"/>
      <c r="I834" s="24" t="str">
        <f ca="1">IFERROR(__xludf.DUMMYFUNCTION("GOOGLETRANSLATE(F834,""en"",""pt"")"),"partículas ímãs")</f>
        <v>partículas ímãs</v>
      </c>
      <c r="J834" t="e">
        <f>VLOOKUP(A834,Pr_Base_LNEC!$A$4:$J$6971,6,FALSE)</f>
        <v>#N/A</v>
      </c>
      <c r="K834" t="e">
        <f>VLOOKUP(A834,Pr_Base_LNEC!$A$4:$J$6971,7,FALSE)</f>
        <v>#N/A</v>
      </c>
    </row>
    <row r="835" spans="1:11" ht="14.5">
      <c r="A835" s="20" t="s">
        <v>15756</v>
      </c>
      <c r="B835" s="20">
        <v>20</v>
      </c>
      <c r="C835" s="20">
        <v>76</v>
      </c>
      <c r="D835" s="20">
        <v>70</v>
      </c>
      <c r="E835" s="20">
        <v>67</v>
      </c>
      <c r="F835" s="20" t="s">
        <v>15757</v>
      </c>
      <c r="G835" s="24"/>
      <c r="H835" s="24"/>
      <c r="I835" s="24" t="str">
        <f ca="1">IFERROR(__xludf.DUMMYFUNCTION("GOOGLETRANSLATE(F835,""en"",""pt"")"),"amortecedores ferroviárias")</f>
        <v>amortecedores ferroviárias</v>
      </c>
      <c r="J835" t="str">
        <f>VLOOKUP(A835,Pr_Base_LNEC!$A$4:$J$6971,6,FALSE)</f>
        <v>-</v>
      </c>
      <c r="K835">
        <f>VLOOKUP(A835,Pr_Base_LNEC!$A$4:$J$6971,7,FALSE)</f>
        <v>0</v>
      </c>
    </row>
    <row r="836" spans="1:11" ht="14.5">
      <c r="A836" s="20" t="s">
        <v>15758</v>
      </c>
      <c r="B836" s="20">
        <v>20</v>
      </c>
      <c r="C836" s="20">
        <v>76</v>
      </c>
      <c r="D836" s="20">
        <v>70</v>
      </c>
      <c r="E836" s="20">
        <v>69</v>
      </c>
      <c r="F836" s="20" t="s">
        <v>15759</v>
      </c>
      <c r="G836" s="20" t="s">
        <v>15760</v>
      </c>
      <c r="H836" s="24"/>
      <c r="I836" s="24" t="str">
        <f ca="1">IFERROR(__xludf.DUMMYFUNCTION("GOOGLETRANSLATE(F836,""en"",""pt"")"),"drenos sulco ferroviárias")</f>
        <v>drenos sulco ferroviárias</v>
      </c>
      <c r="J836" t="str">
        <f>VLOOKUP(A836,Pr_Base_LNEC!$A$4:$J$6971,6,FALSE)</f>
        <v>-</v>
      </c>
      <c r="K836">
        <f>VLOOKUP(A836,Pr_Base_LNEC!$A$4:$J$6971,7,FALSE)</f>
        <v>0</v>
      </c>
    </row>
    <row r="837" spans="1:11" ht="14.5">
      <c r="A837" s="20" t="s">
        <v>15761</v>
      </c>
      <c r="B837" s="20">
        <v>20</v>
      </c>
      <c r="C837" s="20">
        <v>76</v>
      </c>
      <c r="D837" s="20">
        <v>70</v>
      </c>
      <c r="E837" s="20">
        <v>70</v>
      </c>
      <c r="F837" s="20" t="s">
        <v>15762</v>
      </c>
      <c r="G837" s="20" t="s">
        <v>15763</v>
      </c>
      <c r="H837" s="24"/>
      <c r="I837" s="24" t="str">
        <f ca="1">IFERROR(__xludf.DUMMYFUNCTION("GOOGLETRANSLATE(F837,""en"",""pt"")"),"tirantes via férrea")</f>
        <v>tirantes via férrea</v>
      </c>
      <c r="J837" t="str">
        <f>VLOOKUP(A837,Pr_Base_LNEC!$A$4:$J$6971,6,FALSE)</f>
        <v>-</v>
      </c>
      <c r="K837">
        <f>VLOOKUP(A837,Pr_Base_LNEC!$A$4:$J$6971,7,FALSE)</f>
        <v>0</v>
      </c>
    </row>
    <row r="838" spans="1:11" ht="14.5">
      <c r="A838" s="20" t="s">
        <v>15764</v>
      </c>
      <c r="B838" s="20">
        <v>20</v>
      </c>
      <c r="C838" s="20">
        <v>76</v>
      </c>
      <c r="D838" s="20">
        <v>70</v>
      </c>
      <c r="E838" s="20">
        <v>71</v>
      </c>
      <c r="F838" s="20" t="s">
        <v>15765</v>
      </c>
      <c r="G838" s="24"/>
      <c r="H838" s="24"/>
      <c r="I838" s="24" t="str">
        <f ca="1">IFERROR(__xludf.DUMMYFUNCTION("GOOGLETRANSLATE(F838,""en"",""pt"")"),"conversores seção ferroviárias")</f>
        <v>conversores seção ferroviárias</v>
      </c>
      <c r="J838" t="str">
        <f>VLOOKUP(A838,Pr_Base_LNEC!$A$4:$J$6971,6,FALSE)</f>
        <v>-</v>
      </c>
      <c r="K838">
        <f>VLOOKUP(A838,Pr_Base_LNEC!$A$4:$J$6971,7,FALSE)</f>
        <v>0</v>
      </c>
    </row>
    <row r="839" spans="1:11" ht="14.5">
      <c r="A839" s="20" t="s">
        <v>15766</v>
      </c>
      <c r="B839" s="20">
        <v>20</v>
      </c>
      <c r="C839" s="20">
        <v>76</v>
      </c>
      <c r="D839" s="20">
        <v>70</v>
      </c>
      <c r="E839" s="20">
        <v>80</v>
      </c>
      <c r="F839" s="20" t="s">
        <v>15767</v>
      </c>
      <c r="G839" s="24"/>
      <c r="H839" s="24"/>
      <c r="I839" s="24" t="str">
        <f ca="1">IFERROR(__xludf.DUMMYFUNCTION("GOOGLETRANSLATE(F839,""en"",""pt"")"),"chinelo runs")</f>
        <v>chinelo runs</v>
      </c>
      <c r="J839" t="str">
        <f>VLOOKUP(A839,Pr_Base_LNEC!$A$4:$J$6971,6,FALSE)</f>
        <v>-</v>
      </c>
      <c r="K839">
        <f>VLOOKUP(A839,Pr_Base_LNEC!$A$4:$J$6971,7,FALSE)</f>
        <v>0</v>
      </c>
    </row>
    <row r="840" spans="1:11" ht="14.5">
      <c r="A840" s="20" t="s">
        <v>15768</v>
      </c>
      <c r="B840" s="20">
        <v>20</v>
      </c>
      <c r="C840" s="20">
        <v>76</v>
      </c>
      <c r="D840" s="20">
        <v>70</v>
      </c>
      <c r="E840" s="20">
        <v>90</v>
      </c>
      <c r="F840" s="20" t="s">
        <v>15769</v>
      </c>
      <c r="G840" s="20" t="s">
        <v>15770</v>
      </c>
      <c r="H840" s="24"/>
      <c r="I840" s="24" t="str">
        <f ca="1">IFERROR(__xludf.DUMMYFUNCTION("GOOGLETRANSLATE(F840,""en"",""pt"")"),"rails de transição")</f>
        <v>rails de transição</v>
      </c>
      <c r="J840" t="str">
        <f>VLOOKUP(A840,Pr_Base_LNEC!$A$4:$J$6971,6,FALSE)</f>
        <v>-</v>
      </c>
      <c r="K840">
        <f>VLOOKUP(A840,Pr_Base_LNEC!$A$4:$J$6971,7,FALSE)</f>
        <v>0</v>
      </c>
    </row>
    <row r="841" spans="1:11" ht="14.5">
      <c r="A841" s="20" t="s">
        <v>15771</v>
      </c>
      <c r="B841" s="20">
        <v>20</v>
      </c>
      <c r="C841" s="20">
        <v>76</v>
      </c>
      <c r="D841" s="20">
        <v>71</v>
      </c>
      <c r="E841" s="24"/>
      <c r="F841" s="20" t="s">
        <v>15772</v>
      </c>
      <c r="G841" s="24"/>
      <c r="H841" s="24"/>
      <c r="I841" s="24" t="str">
        <f ca="1">IFERROR(__xludf.DUMMYFUNCTION("GOOGLETRANSLATE(F841,""en"",""pt"")"),"obras entroncamento ferroviário")</f>
        <v>obras entroncamento ferroviário</v>
      </c>
      <c r="J841" t="str">
        <f>VLOOKUP(A841,Pr_Base_LNEC!$A$4:$J$6971,6,FALSE)</f>
        <v>Obras para Ligação da Ferróvia</v>
      </c>
      <c r="K841">
        <f>VLOOKUP(A841,Pr_Base_LNEC!$A$4:$J$6971,7,FALSE)</f>
        <v>0</v>
      </c>
    </row>
    <row r="842" spans="1:11" ht="14.5">
      <c r="A842" s="20" t="s">
        <v>15773</v>
      </c>
      <c r="B842" s="20">
        <v>20</v>
      </c>
      <c r="C842" s="20">
        <v>76</v>
      </c>
      <c r="D842" s="20">
        <v>71</v>
      </c>
      <c r="E842" s="20">
        <v>15</v>
      </c>
      <c r="F842" s="20" t="s">
        <v>15774</v>
      </c>
      <c r="G842" s="20" t="s">
        <v>15775</v>
      </c>
      <c r="H842" s="24"/>
      <c r="I842" s="24" t="str">
        <f ca="1">IFERROR(__xludf.DUMMYFUNCTION("GOOGLETRANSLATE(F842,""en"",""pt"")"),"cruzamentos comuns")</f>
        <v>cruzamentos comuns</v>
      </c>
      <c r="J842" t="str">
        <f>VLOOKUP(A842,Pr_Base_LNEC!$A$4:$J$6971,6,FALSE)</f>
        <v>-</v>
      </c>
      <c r="K842">
        <f>VLOOKUP(A842,Pr_Base_LNEC!$A$4:$J$6971,7,FALSE)</f>
        <v>0</v>
      </c>
    </row>
    <row r="843" spans="1:11" ht="14.5">
      <c r="A843" s="20" t="s">
        <v>15776</v>
      </c>
      <c r="B843" s="20">
        <v>20</v>
      </c>
      <c r="C843" s="20">
        <v>76</v>
      </c>
      <c r="D843" s="20">
        <v>71</v>
      </c>
      <c r="E843" s="20">
        <v>17</v>
      </c>
      <c r="F843" s="20" t="s">
        <v>15777</v>
      </c>
      <c r="G843" s="24"/>
      <c r="H843" s="24"/>
      <c r="I843" s="24" t="str">
        <f ca="1">IFERROR(__xludf.DUMMYFUNCTION("GOOGLETRANSLATE(F843,""en"",""pt"")"),"crossovers")</f>
        <v>crossovers</v>
      </c>
      <c r="J843" t="str">
        <f>VLOOKUP(A843,Pr_Base_LNEC!$A$4:$J$6971,6,FALSE)</f>
        <v>-</v>
      </c>
      <c r="K843">
        <f>VLOOKUP(A843,Pr_Base_LNEC!$A$4:$J$6971,7,FALSE)</f>
        <v>0</v>
      </c>
    </row>
    <row r="844" spans="1:11" ht="14.5">
      <c r="A844" s="20" t="s">
        <v>15778</v>
      </c>
      <c r="B844" s="20">
        <v>20</v>
      </c>
      <c r="C844" s="20">
        <v>76</v>
      </c>
      <c r="D844" s="20">
        <v>71</v>
      </c>
      <c r="E844" s="20">
        <v>21</v>
      </c>
      <c r="F844" s="20" t="s">
        <v>15779</v>
      </c>
      <c r="G844" s="24"/>
      <c r="H844" s="24"/>
      <c r="I844" s="24" t="str">
        <f ca="1">IFERROR(__xludf.DUMMYFUNCTION("GOOGLETRANSLATE(F844,""en"",""pt"")"),"derailers")</f>
        <v>derailers</v>
      </c>
      <c r="J844" t="str">
        <f>VLOOKUP(A844,Pr_Base_LNEC!$A$4:$J$6971,6,FALSE)</f>
        <v>-</v>
      </c>
      <c r="K844">
        <f>VLOOKUP(A844,Pr_Base_LNEC!$A$4:$J$6971,7,FALSE)</f>
        <v>0</v>
      </c>
    </row>
    <row r="845" spans="1:11" ht="14.5">
      <c r="A845" s="20" t="s">
        <v>15780</v>
      </c>
      <c r="B845" s="20">
        <v>20</v>
      </c>
      <c r="C845" s="20">
        <v>76</v>
      </c>
      <c r="D845" s="20">
        <v>71</v>
      </c>
      <c r="E845" s="20">
        <v>23</v>
      </c>
      <c r="F845" s="20" t="s">
        <v>15781</v>
      </c>
      <c r="G845" s="20" t="s">
        <v>15782</v>
      </c>
      <c r="H845" s="24"/>
      <c r="I845" s="24" t="str">
        <f ca="1">IFERROR(__xludf.DUMMYFUNCTION("GOOGLETRANSLATE(F845,""en"",""pt"")"),"travessias de diamante")</f>
        <v>travessias de diamante</v>
      </c>
      <c r="J845" t="str">
        <f>VLOOKUP(A845,Pr_Base_LNEC!$A$4:$J$6971,6,FALSE)</f>
        <v>-</v>
      </c>
      <c r="K845">
        <f>VLOOKUP(A845,Pr_Base_LNEC!$A$4:$J$6971,7,FALSE)</f>
        <v>0</v>
      </c>
    </row>
    <row r="846" spans="1:11" ht="14.5">
      <c r="A846" s="20" t="s">
        <v>15783</v>
      </c>
      <c r="B846" s="20">
        <v>20</v>
      </c>
      <c r="C846" s="20">
        <v>76</v>
      </c>
      <c r="D846" s="20">
        <v>71</v>
      </c>
      <c r="E846" s="20">
        <v>50</v>
      </c>
      <c r="F846" s="20" t="s">
        <v>15784</v>
      </c>
      <c r="G846" s="24"/>
      <c r="H846" s="24"/>
      <c r="I846" s="24" t="str">
        <f ca="1">IFERROR(__xludf.DUMMYFUNCTION("GOOGLETRANSLATE(F846,""en"",""pt"")"),"travessias ferroviárias móveis")</f>
        <v>travessias ferroviárias móveis</v>
      </c>
      <c r="J846" t="str">
        <f>VLOOKUP(A846,Pr_Base_LNEC!$A$4:$J$6971,6,FALSE)</f>
        <v>-</v>
      </c>
      <c r="K846">
        <f>VLOOKUP(A846,Pr_Base_LNEC!$A$4:$J$6971,7,FALSE)</f>
        <v>0</v>
      </c>
    </row>
    <row r="847" spans="1:11" ht="14.5">
      <c r="A847" s="20" t="s">
        <v>15785</v>
      </c>
      <c r="B847" s="20">
        <v>20</v>
      </c>
      <c r="C847" s="20">
        <v>76</v>
      </c>
      <c r="D847" s="20">
        <v>71</v>
      </c>
      <c r="E847" s="20">
        <v>58</v>
      </c>
      <c r="F847" s="20" t="s">
        <v>15786</v>
      </c>
      <c r="G847" s="24"/>
      <c r="H847" s="24"/>
      <c r="I847" s="24" t="str">
        <f ca="1">IFERROR(__xludf.DUMMYFUNCTION("GOOGLETRANSLATE(F847,""en"",""pt"")"),"cruzamentos obtusos")</f>
        <v>cruzamentos obtusos</v>
      </c>
      <c r="J847" t="str">
        <f>VLOOKUP(A847,Pr_Base_LNEC!$A$4:$J$6971,6,FALSE)</f>
        <v>-</v>
      </c>
      <c r="K847">
        <f>VLOOKUP(A847,Pr_Base_LNEC!$A$4:$J$6971,7,FALSE)</f>
        <v>0</v>
      </c>
    </row>
    <row r="848" spans="1:11" ht="14.5">
      <c r="A848" s="20" t="s">
        <v>15787</v>
      </c>
      <c r="B848" s="20">
        <v>20</v>
      </c>
      <c r="C848" s="20">
        <v>76</v>
      </c>
      <c r="D848" s="20">
        <v>71</v>
      </c>
      <c r="E848" s="20">
        <v>76</v>
      </c>
      <c r="F848" s="20" t="s">
        <v>15788</v>
      </c>
      <c r="G848" s="20" t="s">
        <v>15789</v>
      </c>
      <c r="H848" s="24"/>
      <c r="I848" s="24" t="str">
        <f ca="1">IFERROR(__xludf.DUMMYFUNCTION("GOOGLETRANSLATE(F848,""en"",""pt"")"),"crossovers Scissor")</f>
        <v>crossovers Scissor</v>
      </c>
      <c r="J848" t="str">
        <f>VLOOKUP(A848,Pr_Base_LNEC!$A$4:$J$6971,6,FALSE)</f>
        <v>-</v>
      </c>
      <c r="K848">
        <f>VLOOKUP(A848,Pr_Base_LNEC!$A$4:$J$6971,7,FALSE)</f>
        <v>0</v>
      </c>
    </row>
    <row r="849" spans="1:11" ht="14.5">
      <c r="A849" s="20" t="s">
        <v>15790</v>
      </c>
      <c r="B849" s="20">
        <v>20</v>
      </c>
      <c r="C849" s="20">
        <v>76</v>
      </c>
      <c r="D849" s="20">
        <v>71</v>
      </c>
      <c r="E849" s="20">
        <v>78</v>
      </c>
      <c r="F849" s="20" t="s">
        <v>15791</v>
      </c>
      <c r="G849" s="20" t="s">
        <v>15792</v>
      </c>
      <c r="H849" s="24"/>
      <c r="I849" s="24" t="str">
        <f ca="1">IFERROR(__xludf.DUMMYFUNCTION("GOOGLETRANSLATE(F849,""en"",""pt"")"),"deslizamentos")</f>
        <v>deslizamentos</v>
      </c>
      <c r="J849" t="str">
        <f>VLOOKUP(A849,Pr_Base_LNEC!$A$4:$J$6971,6,FALSE)</f>
        <v>-</v>
      </c>
      <c r="K849">
        <f>VLOOKUP(A849,Pr_Base_LNEC!$A$4:$J$6971,7,FALSE)</f>
        <v>0</v>
      </c>
    </row>
    <row r="850" spans="1:11" ht="14.5">
      <c r="A850" s="20" t="s">
        <v>15793</v>
      </c>
      <c r="B850" s="20">
        <v>20</v>
      </c>
      <c r="C850" s="20">
        <v>76</v>
      </c>
      <c r="D850" s="20">
        <v>71</v>
      </c>
      <c r="E850" s="20">
        <v>79</v>
      </c>
      <c r="F850" s="20" t="s">
        <v>15794</v>
      </c>
      <c r="G850" s="24"/>
      <c r="H850" s="24"/>
      <c r="I850" s="24" t="str">
        <f ca="1">IFERROR(__xludf.DUMMYFUNCTION("GOOGLETRANSLATE(F850,""en"",""pt"")"),"rolos de comutação")</f>
        <v>rolos de comutação</v>
      </c>
      <c r="J850" t="e">
        <f>VLOOKUP(A850,Pr_Base_LNEC!$A$4:$J$6971,6,FALSE)</f>
        <v>#N/A</v>
      </c>
      <c r="K850" t="e">
        <f>VLOOKUP(A850,Pr_Base_LNEC!$A$4:$J$6971,7,FALSE)</f>
        <v>#N/A</v>
      </c>
    </row>
    <row r="851" spans="1:11" ht="14.5">
      <c r="A851" s="20" t="s">
        <v>15795</v>
      </c>
      <c r="B851" s="20">
        <v>20</v>
      </c>
      <c r="C851" s="20">
        <v>76</v>
      </c>
      <c r="D851" s="20">
        <v>71</v>
      </c>
      <c r="E851" s="20">
        <v>80</v>
      </c>
      <c r="F851" s="20" t="s">
        <v>15796</v>
      </c>
      <c r="G851" s="24"/>
      <c r="H851" s="24"/>
      <c r="I851" s="24" t="str">
        <f ca="1">IFERROR(__xludf.DUMMYFUNCTION("GOOGLETRANSLATE(F851,""en"",""pt"")"),"barras de maca")</f>
        <v>barras de maca</v>
      </c>
      <c r="J851" t="str">
        <f>VLOOKUP(A851,Pr_Base_LNEC!$A$4:$J$6971,6,FALSE)</f>
        <v>-</v>
      </c>
      <c r="K851">
        <f>VLOOKUP(A851,Pr_Base_LNEC!$A$4:$J$6971,7,FALSE)</f>
        <v>0</v>
      </c>
    </row>
    <row r="852" spans="1:11" ht="14.5">
      <c r="A852" s="20" t="s">
        <v>15797</v>
      </c>
      <c r="B852" s="20">
        <v>20</v>
      </c>
      <c r="C852" s="20">
        <v>76</v>
      </c>
      <c r="D852" s="20">
        <v>71</v>
      </c>
      <c r="E852" s="20">
        <v>81</v>
      </c>
      <c r="F852" s="20" t="s">
        <v>15798</v>
      </c>
      <c r="G852" s="24"/>
      <c r="H852" s="24"/>
      <c r="I852" s="24" t="str">
        <f ca="1">IFERROR(__xludf.DUMMYFUNCTION("GOOGLETRANSLATE(F852,""en"",""pt"")"),"suportes de barras de maca")</f>
        <v>suportes de barras de maca</v>
      </c>
      <c r="J852" t="str">
        <f>VLOOKUP(A852,Pr_Base_LNEC!$A$4:$J$6971,6,FALSE)</f>
        <v>-</v>
      </c>
      <c r="K852">
        <f>VLOOKUP(A852,Pr_Base_LNEC!$A$4:$J$6971,7,FALSE)</f>
        <v>0</v>
      </c>
    </row>
    <row r="853" spans="1:11" ht="14.5">
      <c r="A853" s="20" t="s">
        <v>15799</v>
      </c>
      <c r="B853" s="20">
        <v>20</v>
      </c>
      <c r="C853" s="20">
        <v>76</v>
      </c>
      <c r="D853" s="20">
        <v>71</v>
      </c>
      <c r="E853" s="20">
        <v>82</v>
      </c>
      <c r="F853" s="20" t="s">
        <v>15800</v>
      </c>
      <c r="G853" s="24"/>
      <c r="H853" s="24"/>
      <c r="I853" s="24" t="str">
        <f ca="1">IFERROR(__xludf.DUMMYFUNCTION("GOOGLETRANSLATE(F853,""en"",""pt"")"),"suportes unidade de maca")</f>
        <v>suportes unidade de maca</v>
      </c>
      <c r="J853" t="str">
        <f>VLOOKUP(A853,Pr_Base_LNEC!$A$4:$J$6971,6,FALSE)</f>
        <v>-</v>
      </c>
      <c r="K853">
        <f>VLOOKUP(A853,Pr_Base_LNEC!$A$4:$J$6971,7,FALSE)</f>
        <v>0</v>
      </c>
    </row>
    <row r="854" spans="1:11" ht="14.5">
      <c r="A854" s="20" t="s">
        <v>15801</v>
      </c>
      <c r="B854" s="20">
        <v>20</v>
      </c>
      <c r="C854" s="20">
        <v>76</v>
      </c>
      <c r="D854" s="20">
        <v>71</v>
      </c>
      <c r="E854" s="20">
        <v>83</v>
      </c>
      <c r="F854" s="20" t="s">
        <v>15802</v>
      </c>
      <c r="G854" s="24"/>
      <c r="H854" s="24"/>
      <c r="I854" s="24" t="str">
        <f ca="1">IFERROR(__xludf.DUMMYFUNCTION("GOOGLETRANSLATE(F854,""en"",""pt"")"),"Balançar cruzamentos nariz")</f>
        <v>Balançar cruzamentos nariz</v>
      </c>
      <c r="J854" t="str">
        <f>VLOOKUP(A854,Pr_Base_LNEC!$A$4:$J$6971,6,FALSE)</f>
        <v>-</v>
      </c>
      <c r="K854">
        <f>VLOOKUP(A854,Pr_Base_LNEC!$A$4:$J$6971,7,FALSE)</f>
        <v>0</v>
      </c>
    </row>
    <row r="855" spans="1:11" ht="14.5">
      <c r="A855" s="20" t="s">
        <v>15803</v>
      </c>
      <c r="B855" s="20">
        <v>20</v>
      </c>
      <c r="C855" s="20">
        <v>76</v>
      </c>
      <c r="D855" s="20">
        <v>71</v>
      </c>
      <c r="E855" s="20">
        <v>84</v>
      </c>
      <c r="F855" s="20" t="s">
        <v>15804</v>
      </c>
      <c r="G855" s="24"/>
      <c r="H855" s="24"/>
      <c r="I855" s="24" t="str">
        <f ca="1">IFERROR(__xludf.DUMMYFUNCTION("GOOGLETRANSLATE(F855,""en"",""pt"")"),"Interruptor e ações trilhos")</f>
        <v>Interruptor e ações trilhos</v>
      </c>
      <c r="J855" t="str">
        <f>VLOOKUP(A855,Pr_Base_LNEC!$A$4:$J$6971,6,FALSE)</f>
        <v>-</v>
      </c>
      <c r="K855">
        <f>VLOOKUP(A855,Pr_Base_LNEC!$A$4:$J$6971,7,FALSE)</f>
        <v>0</v>
      </c>
    </row>
    <row r="856" spans="1:11" ht="14.5">
      <c r="A856" s="20" t="s">
        <v>15805</v>
      </c>
      <c r="B856" s="20">
        <v>20</v>
      </c>
      <c r="C856" s="20">
        <v>76</v>
      </c>
      <c r="D856" s="20">
        <v>71</v>
      </c>
      <c r="E856" s="20">
        <v>85</v>
      </c>
      <c r="F856" s="20" t="s">
        <v>15806</v>
      </c>
      <c r="G856" s="20" t="s">
        <v>15807</v>
      </c>
      <c r="H856" s="24"/>
      <c r="I856" s="24" t="str">
        <f ca="1">IFERROR(__xludf.DUMMYFUNCTION("GOOGLETRANSLATE(F856,""en"",""pt"")"),"diamantes de comutação")</f>
        <v>diamantes de comutação</v>
      </c>
      <c r="J856" t="str">
        <f>VLOOKUP(A856,Pr_Base_LNEC!$A$4:$J$6971,6,FALSE)</f>
        <v>-</v>
      </c>
      <c r="K856">
        <f>VLOOKUP(A856,Pr_Base_LNEC!$A$4:$J$6971,7,FALSE)</f>
        <v>0</v>
      </c>
    </row>
    <row r="857" spans="1:11" ht="14.5">
      <c r="A857" s="20" t="s">
        <v>15808</v>
      </c>
      <c r="B857" s="20">
        <v>20</v>
      </c>
      <c r="C857" s="20">
        <v>76</v>
      </c>
      <c r="D857" s="20">
        <v>71</v>
      </c>
      <c r="E857" s="20">
        <v>86</v>
      </c>
      <c r="F857" s="20" t="s">
        <v>15809</v>
      </c>
      <c r="G857" s="24"/>
      <c r="H857" s="24"/>
      <c r="I857" s="24" t="str">
        <f ca="1">IFERROR(__xludf.DUMMYFUNCTION("GOOGLETRANSLATE(F857,""en"",""pt"")"),"Mudar unidades suplementares")</f>
        <v>Mudar unidades suplementares</v>
      </c>
      <c r="J857" t="str">
        <f>VLOOKUP(A857,Pr_Base_LNEC!$A$4:$J$6971,6,FALSE)</f>
        <v>-</v>
      </c>
      <c r="K857">
        <f>VLOOKUP(A857,Pr_Base_LNEC!$A$4:$J$6971,7,FALSE)</f>
        <v>0</v>
      </c>
    </row>
    <row r="858" spans="1:11" ht="14.5">
      <c r="A858" s="20" t="s">
        <v>15810</v>
      </c>
      <c r="B858" s="20">
        <v>20</v>
      </c>
      <c r="C858" s="20">
        <v>76</v>
      </c>
      <c r="D858" s="20">
        <v>71</v>
      </c>
      <c r="E858" s="20">
        <v>87</v>
      </c>
      <c r="F858" s="20" t="s">
        <v>15811</v>
      </c>
      <c r="G858" s="24"/>
      <c r="H858" s="24"/>
      <c r="I858" s="24" t="str">
        <f ca="1">IFERROR(__xludf.DUMMYFUNCTION("GOOGLETRANSLATE(F858,""en"",""pt"")"),"turnouts Tandem")</f>
        <v>turnouts Tandem</v>
      </c>
      <c r="J858" t="str">
        <f>VLOOKUP(A858,Pr_Base_LNEC!$A$4:$J$6971,6,FALSE)</f>
        <v>-</v>
      </c>
      <c r="K858">
        <f>VLOOKUP(A858,Pr_Base_LNEC!$A$4:$J$6971,7,FALSE)</f>
        <v>0</v>
      </c>
    </row>
    <row r="859" spans="1:11" ht="14.5">
      <c r="A859" s="20" t="s">
        <v>15812</v>
      </c>
      <c r="B859" s="20">
        <v>20</v>
      </c>
      <c r="C859" s="20">
        <v>76</v>
      </c>
      <c r="D859" s="20">
        <v>71</v>
      </c>
      <c r="E859" s="20">
        <v>90</v>
      </c>
      <c r="F859" s="20" t="s">
        <v>15813</v>
      </c>
      <c r="G859" s="20" t="s">
        <v>15814</v>
      </c>
      <c r="H859" s="24"/>
      <c r="I859" s="24" t="str">
        <f ca="1">IFERROR(__xludf.DUMMYFUNCTION("GOOGLETRANSLATE(F859,""en"",""pt"")"),"interruptores armadilha")</f>
        <v>interruptores armadilha</v>
      </c>
      <c r="J859" t="str">
        <f>VLOOKUP(A859,Pr_Base_LNEC!$A$4:$J$6971,6,FALSE)</f>
        <v>-</v>
      </c>
      <c r="K859">
        <f>VLOOKUP(A859,Pr_Base_LNEC!$A$4:$J$6971,7,FALSE)</f>
        <v>0</v>
      </c>
    </row>
    <row r="860" spans="1:11" ht="14.5">
      <c r="A860" s="20" t="s">
        <v>15815</v>
      </c>
      <c r="B860" s="20">
        <v>20</v>
      </c>
      <c r="C860" s="20">
        <v>76</v>
      </c>
      <c r="D860" s="20">
        <v>71</v>
      </c>
      <c r="E860" s="20">
        <v>91</v>
      </c>
      <c r="F860" s="20" t="s">
        <v>15816</v>
      </c>
      <c r="G860" s="20" t="s">
        <v>15817</v>
      </c>
      <c r="H860" s="24"/>
      <c r="I860" s="24" t="str">
        <f ca="1">IFERROR(__xludf.DUMMYFUNCTION("GOOGLETRANSLATE(F860,""en"",""pt"")"),"ramais")</f>
        <v>ramais</v>
      </c>
      <c r="J860" t="str">
        <f>VLOOKUP(A860,Pr_Base_LNEC!$A$4:$J$6971,6,FALSE)</f>
        <v>-</v>
      </c>
      <c r="K860">
        <f>VLOOKUP(A860,Pr_Base_LNEC!$A$4:$J$6971,7,FALSE)</f>
        <v>0</v>
      </c>
    </row>
    <row r="861" spans="1:11" ht="14.5">
      <c r="A861" s="20" t="s">
        <v>15818</v>
      </c>
      <c r="B861" s="20">
        <v>20</v>
      </c>
      <c r="C861" s="20">
        <v>76</v>
      </c>
      <c r="D861" s="20">
        <v>78</v>
      </c>
      <c r="E861" s="24"/>
      <c r="F861" s="20" t="s">
        <v>15819</v>
      </c>
      <c r="G861" s="24"/>
      <c r="H861" s="24"/>
      <c r="I861" s="24" t="str">
        <f ca="1">IFERROR(__xludf.DUMMYFUNCTION("GOOGLETRANSLATE(F861,""en"",""pt"")"),"produtos da construção do eixo")</f>
        <v>produtos da construção do eixo</v>
      </c>
      <c r="J861" t="str">
        <f>VLOOKUP(A861,Pr_Base_LNEC!$A$4:$J$6971,6,FALSE)</f>
        <v>Produtos para a Estrutura do Eixo</v>
      </c>
      <c r="K861">
        <f>VLOOKUP(A861,Pr_Base_LNEC!$A$4:$J$6971,7,FALSE)</f>
        <v>0</v>
      </c>
    </row>
    <row r="862" spans="1:11" ht="14.5">
      <c r="A862" s="20" t="s">
        <v>15820</v>
      </c>
      <c r="B862" s="20">
        <v>20</v>
      </c>
      <c r="C862" s="20">
        <v>76</v>
      </c>
      <c r="D862" s="20">
        <v>78</v>
      </c>
      <c r="E862" s="20">
        <v>12</v>
      </c>
      <c r="F862" s="20" t="s">
        <v>15821</v>
      </c>
      <c r="G862" s="20" t="s">
        <v>15822</v>
      </c>
      <c r="H862" s="24"/>
      <c r="I862" s="24" t="str">
        <f ca="1">IFERROR(__xludf.DUMMYFUNCTION("GOOGLETRANSLATE(F862,""en"",""pt"")"),"anéis caixão de concreto")</f>
        <v>anéis caixão de concreto</v>
      </c>
      <c r="J862" t="str">
        <f>VLOOKUP(A862,Pr_Base_LNEC!$A$4:$J$6971,6,FALSE)</f>
        <v>-</v>
      </c>
      <c r="K862">
        <f>VLOOKUP(A862,Pr_Base_LNEC!$A$4:$J$6971,7,FALSE)</f>
        <v>0</v>
      </c>
    </row>
    <row r="863" spans="1:11" ht="14.5">
      <c r="A863" s="20" t="s">
        <v>15823</v>
      </c>
      <c r="B863" s="20">
        <v>20</v>
      </c>
      <c r="C863" s="20">
        <v>76</v>
      </c>
      <c r="D863" s="20">
        <v>78</v>
      </c>
      <c r="E863" s="20">
        <v>14</v>
      </c>
      <c r="F863" s="20" t="s">
        <v>15824</v>
      </c>
      <c r="G863" s="20" t="s">
        <v>15825</v>
      </c>
      <c r="H863" s="24"/>
      <c r="I863" s="24" t="str">
        <f ca="1">IFERROR(__xludf.DUMMYFUNCTION("GOOGLETRANSLATE(F863,""en"",""pt"")"),"placas de cobertura de veio concreto")</f>
        <v>placas de cobertura de veio concreto</v>
      </c>
      <c r="J863" t="str">
        <f>VLOOKUP(A863,Pr_Base_LNEC!$A$4:$J$6971,6,FALSE)</f>
        <v>-</v>
      </c>
      <c r="K863">
        <f>VLOOKUP(A863,Pr_Base_LNEC!$A$4:$J$6971,7,FALSE)</f>
        <v>0</v>
      </c>
    </row>
    <row r="864" spans="1:11" ht="14.5">
      <c r="A864" s="20" t="s">
        <v>15826</v>
      </c>
      <c r="B864" s="20">
        <v>20</v>
      </c>
      <c r="C864" s="20">
        <v>76</v>
      </c>
      <c r="D864" s="20">
        <v>78</v>
      </c>
      <c r="E864" s="20">
        <v>16</v>
      </c>
      <c r="F864" s="20" t="s">
        <v>15827</v>
      </c>
      <c r="G864" s="20" t="s">
        <v>15828</v>
      </c>
      <c r="H864" s="24"/>
      <c r="I864" s="24" t="str">
        <f ca="1">IFERROR(__xludf.DUMMYFUNCTION("GOOGLETRANSLATE(F864,""en"",""pt"")"),"lajes de pouso do eixo de concreto")</f>
        <v>lajes de pouso do eixo de concreto</v>
      </c>
      <c r="J864" t="str">
        <f>VLOOKUP(A864,Pr_Base_LNEC!$A$4:$J$6971,6,FALSE)</f>
        <v>-</v>
      </c>
      <c r="K864">
        <f>VLOOKUP(A864,Pr_Base_LNEC!$A$4:$J$6971,7,FALSE)</f>
        <v>0</v>
      </c>
    </row>
    <row r="865" spans="1:11" ht="14.5">
      <c r="A865" s="20" t="s">
        <v>15829</v>
      </c>
      <c r="B865" s="20">
        <v>20</v>
      </c>
      <c r="C865" s="20">
        <v>76</v>
      </c>
      <c r="D865" s="20">
        <v>78</v>
      </c>
      <c r="E865" s="20">
        <v>65</v>
      </c>
      <c r="F865" s="20" t="s">
        <v>15830</v>
      </c>
      <c r="G865" s="20" t="s">
        <v>15831</v>
      </c>
      <c r="H865" s="24"/>
      <c r="I865" s="24" t="str">
        <f ca="1">IFERROR(__xludf.DUMMYFUNCTION("GOOGLETRANSLATE(F865,""en"",""pt"")"),"unidades do eixo de concreto pré-moldado")</f>
        <v>unidades do eixo de concreto pré-moldado</v>
      </c>
      <c r="J865" t="str">
        <f>VLOOKUP(A865,Pr_Base_LNEC!$A$4:$J$6971,6,FALSE)</f>
        <v>-</v>
      </c>
      <c r="K865">
        <f>VLOOKUP(A865,Pr_Base_LNEC!$A$4:$J$6971,7,FALSE)</f>
        <v>0</v>
      </c>
    </row>
    <row r="866" spans="1:11" ht="14.5">
      <c r="A866" s="20" t="s">
        <v>15832</v>
      </c>
      <c r="B866" s="20">
        <v>20</v>
      </c>
      <c r="C866" s="20">
        <v>76</v>
      </c>
      <c r="D866" s="20">
        <v>88</v>
      </c>
      <c r="E866" s="24"/>
      <c r="F866" s="20" t="s">
        <v>15833</v>
      </c>
      <c r="G866" s="24"/>
      <c r="H866" s="24"/>
      <c r="I866" s="24" t="str">
        <f ca="1">IFERROR(__xludf.DUMMYFUNCTION("GOOGLETRANSLATE(F866,""en"",""pt"")"),"seções de madeira")</f>
        <v>seções de madeira</v>
      </c>
      <c r="J866" t="str">
        <f>VLOOKUP(A866,Pr_Base_LNEC!$A$4:$J$6971,6,FALSE)</f>
        <v>Secções em Madeira</v>
      </c>
      <c r="K866">
        <f>VLOOKUP(A866,Pr_Base_LNEC!$A$4:$J$6971,7,FALSE)</f>
        <v>0</v>
      </c>
    </row>
    <row r="867" spans="1:11" ht="14.5">
      <c r="A867" s="20" t="s">
        <v>15834</v>
      </c>
      <c r="B867" s="20">
        <v>20</v>
      </c>
      <c r="C867" s="20">
        <v>76</v>
      </c>
      <c r="D867" s="20">
        <v>88</v>
      </c>
      <c r="E867" s="20">
        <v>14</v>
      </c>
      <c r="F867" s="20" t="s">
        <v>15835</v>
      </c>
      <c r="G867" s="20" t="s">
        <v>15836</v>
      </c>
      <c r="H867" s="24"/>
      <c r="I867" s="24" t="str">
        <f ca="1">IFERROR(__xludf.DUMMYFUNCTION("GOOGLETRANSLATE(F867,""en"",""pt"")"),"pales castanheiros fissura")</f>
        <v>pales castanheiros fissura</v>
      </c>
      <c r="J867" t="str">
        <f>VLOOKUP(A867,Pr_Base_LNEC!$A$4:$J$6971,6,FALSE)</f>
        <v>-</v>
      </c>
      <c r="K867">
        <f>VLOOKUP(A867,Pr_Base_LNEC!$A$4:$J$6971,7,FALSE)</f>
        <v>0</v>
      </c>
    </row>
    <row r="868" spans="1:11" ht="14.5">
      <c r="A868" s="20" t="s">
        <v>15837</v>
      </c>
      <c r="B868" s="20">
        <v>20</v>
      </c>
      <c r="C868" s="20">
        <v>76</v>
      </c>
      <c r="D868" s="20">
        <v>88</v>
      </c>
      <c r="E868" s="20">
        <v>32</v>
      </c>
      <c r="F868" s="20" t="s">
        <v>15838</v>
      </c>
      <c r="G868" s="20" t="s">
        <v>15839</v>
      </c>
      <c r="H868" s="24"/>
      <c r="I868" s="24" t="str">
        <f ca="1">IFERROR(__xludf.DUMMYFUNCTION("GOOGLETRANSLATE(F868,""en"",""pt"")"),"nivelamento de madeira e balcão esgrima trilhos")</f>
        <v>nivelamento de madeira e balcão esgrima trilhos</v>
      </c>
      <c r="J868" t="str">
        <f>VLOOKUP(A868,Pr_Base_LNEC!$A$4:$J$6971,6,FALSE)</f>
        <v>-</v>
      </c>
      <c r="K868">
        <f>VLOOKUP(A868,Pr_Base_LNEC!$A$4:$J$6971,7,FALSE)</f>
        <v>0</v>
      </c>
    </row>
    <row r="869" spans="1:11" ht="14.5">
      <c r="A869" s="20" t="s">
        <v>15840</v>
      </c>
      <c r="B869" s="20">
        <v>20</v>
      </c>
      <c r="C869" s="20">
        <v>76</v>
      </c>
      <c r="D869" s="20">
        <v>88</v>
      </c>
      <c r="E869" s="20">
        <v>33</v>
      </c>
      <c r="F869" s="20" t="s">
        <v>15841</v>
      </c>
      <c r="G869" s="20" t="s">
        <v>15842</v>
      </c>
      <c r="H869" s="24"/>
      <c r="I869" s="24" t="str">
        <f ca="1">IFERROR(__xludf.DUMMYFUNCTION("GOOGLETRANSLATE(F869,""en"",""pt"")"),"componentes para cercas de madeira de lei e barreiras")</f>
        <v>componentes para cercas de madeira de lei e barreiras</v>
      </c>
      <c r="J869" t="str">
        <f>VLOOKUP(A869,Pr_Base_LNEC!$A$4:$J$6971,6,FALSE)</f>
        <v>-</v>
      </c>
      <c r="K869">
        <f>VLOOKUP(A869,Pr_Base_LNEC!$A$4:$J$6971,7,FALSE)</f>
        <v>0</v>
      </c>
    </row>
    <row r="870" spans="1:11" ht="14.5">
      <c r="A870" s="20" t="s">
        <v>15843</v>
      </c>
      <c r="B870" s="20">
        <v>20</v>
      </c>
      <c r="C870" s="20">
        <v>76</v>
      </c>
      <c r="D870" s="20">
        <v>88</v>
      </c>
      <c r="E870" s="20">
        <v>34</v>
      </c>
      <c r="F870" s="20" t="s">
        <v>15844</v>
      </c>
      <c r="G870" s="20" t="s">
        <v>15845</v>
      </c>
      <c r="H870" s="24"/>
      <c r="I870" s="24" t="str">
        <f ca="1">IFERROR(__xludf.DUMMYFUNCTION("GOOGLETRANSLATE(F870,""en"",""pt"")"),"rails de esgrima de madeira")</f>
        <v>rails de esgrima de madeira</v>
      </c>
      <c r="J870" t="str">
        <f>VLOOKUP(A870,Pr_Base_LNEC!$A$4:$J$6971,6,FALSE)</f>
        <v>-</v>
      </c>
      <c r="K870">
        <f>VLOOKUP(A870,Pr_Base_LNEC!$A$4:$J$6971,7,FALSE)</f>
        <v>0</v>
      </c>
    </row>
    <row r="871" spans="1:11" ht="14.5">
      <c r="A871" s="20" t="s">
        <v>15846</v>
      </c>
      <c r="B871" s="20">
        <v>20</v>
      </c>
      <c r="C871" s="20">
        <v>76</v>
      </c>
      <c r="D871" s="20">
        <v>88</v>
      </c>
      <c r="E871" s="20">
        <v>35</v>
      </c>
      <c r="F871" s="20" t="s">
        <v>15847</v>
      </c>
      <c r="G871" s="24"/>
      <c r="H871" s="24"/>
      <c r="I871" s="24" t="str">
        <f ca="1">IFERROR(__xludf.DUMMYFUNCTION("GOOGLETRANSLATE(F871,""en"",""pt"")"),"Hardwood sarrafos de chão flutuante")</f>
        <v>Hardwood sarrafos de chão flutuante</v>
      </c>
      <c r="J871" t="str">
        <f>VLOOKUP(A871,Pr_Base_LNEC!$A$4:$J$6971,6,FALSE)</f>
        <v>-</v>
      </c>
      <c r="K871">
        <f>VLOOKUP(A871,Pr_Base_LNEC!$A$4:$J$6971,7,FALSE)</f>
        <v>0</v>
      </c>
    </row>
    <row r="872" spans="1:11" ht="14.5">
      <c r="A872" s="20" t="s">
        <v>15848</v>
      </c>
      <c r="B872" s="20">
        <v>20</v>
      </c>
      <c r="C872" s="20">
        <v>76</v>
      </c>
      <c r="D872" s="20">
        <v>88</v>
      </c>
      <c r="E872" s="20">
        <v>36</v>
      </c>
      <c r="F872" s="20" t="s">
        <v>15849</v>
      </c>
      <c r="G872" s="24"/>
      <c r="H872" s="24"/>
      <c r="I872" s="24" t="str">
        <f ca="1">IFERROR(__xludf.DUMMYFUNCTION("GOOGLETRANSLATE(F872,""en"",""pt"")"),"ripas de madeira de lei da gravidade")</f>
        <v>ripas de madeira de lei da gravidade</v>
      </c>
      <c r="J872" t="str">
        <f>VLOOKUP(A872,Pr_Base_LNEC!$A$4:$J$6971,6,FALSE)</f>
        <v>-</v>
      </c>
      <c r="K872">
        <f>VLOOKUP(A872,Pr_Base_LNEC!$A$4:$J$6971,7,FALSE)</f>
        <v>0</v>
      </c>
    </row>
    <row r="873" spans="1:11" ht="14.5">
      <c r="A873" s="20" t="s">
        <v>15850</v>
      </c>
      <c r="B873" s="20">
        <v>20</v>
      </c>
      <c r="C873" s="20">
        <v>76</v>
      </c>
      <c r="D873" s="20">
        <v>88</v>
      </c>
      <c r="E873" s="20">
        <v>37</v>
      </c>
      <c r="F873" s="20" t="s">
        <v>15851</v>
      </c>
      <c r="G873" s="20" t="s">
        <v>15852</v>
      </c>
      <c r="H873" s="24"/>
      <c r="I873" s="24" t="str">
        <f ca="1">IFERROR(__xludf.DUMMYFUNCTION("GOOGLETRANSLATE(F873,""en"",""pt"")"),"pólos de registro de madeira")</f>
        <v>pólos de registro de madeira</v>
      </c>
      <c r="J873" t="str">
        <f>VLOOKUP(A873,Pr_Base_LNEC!$A$4:$J$6971,6,FALSE)</f>
        <v>-</v>
      </c>
      <c r="K873">
        <f>VLOOKUP(A873,Pr_Base_LNEC!$A$4:$J$6971,7,FALSE)</f>
        <v>0</v>
      </c>
    </row>
    <row r="874" spans="1:11" ht="14.5">
      <c r="A874" s="20" t="s">
        <v>15853</v>
      </c>
      <c r="B874" s="20">
        <v>20</v>
      </c>
      <c r="C874" s="20">
        <v>76</v>
      </c>
      <c r="D874" s="20">
        <v>88</v>
      </c>
      <c r="E874" s="20">
        <v>40</v>
      </c>
      <c r="F874" s="20" t="s">
        <v>15854</v>
      </c>
      <c r="G874" s="20" t="s">
        <v>15855</v>
      </c>
      <c r="H874" s="24"/>
      <c r="I874" s="24" t="str">
        <f ca="1">IFERROR(__xludf.DUMMYFUNCTION("GOOGLETRANSLATE(F874,""en"",""pt"")"),"pales de madeira")</f>
        <v>pales de madeira</v>
      </c>
      <c r="J874" t="str">
        <f>VLOOKUP(A874,Pr_Base_LNEC!$A$4:$J$6971,6,FALSE)</f>
        <v>-</v>
      </c>
      <c r="K874">
        <f>VLOOKUP(A874,Pr_Base_LNEC!$A$4:$J$6971,7,FALSE)</f>
        <v>0</v>
      </c>
    </row>
    <row r="875" spans="1:11" ht="14.5">
      <c r="A875" s="20" t="s">
        <v>15856</v>
      </c>
      <c r="B875" s="20">
        <v>20</v>
      </c>
      <c r="C875" s="20">
        <v>76</v>
      </c>
      <c r="D875" s="20">
        <v>88</v>
      </c>
      <c r="E875" s="20">
        <v>41</v>
      </c>
      <c r="F875" s="20" t="s">
        <v>15857</v>
      </c>
      <c r="G875" s="24"/>
      <c r="H875" s="24"/>
      <c r="I875" s="24" t="str">
        <f ca="1">IFERROR(__xludf.DUMMYFUNCTION("GOOGLETRANSLATE(F875,""en"",""pt"")"),"pernos de partição Hardwood")</f>
        <v>pernos de partição Hardwood</v>
      </c>
      <c r="J875" t="str">
        <f>VLOOKUP(A875,Pr_Base_LNEC!$A$4:$J$6971,6,FALSE)</f>
        <v>-</v>
      </c>
      <c r="K875">
        <f>VLOOKUP(A875,Pr_Base_LNEC!$A$4:$J$6971,7,FALSE)</f>
        <v>0</v>
      </c>
    </row>
    <row r="876" spans="1:11" ht="14.5">
      <c r="A876" s="20" t="s">
        <v>15858</v>
      </c>
      <c r="B876" s="20">
        <v>20</v>
      </c>
      <c r="C876" s="20">
        <v>76</v>
      </c>
      <c r="D876" s="20">
        <v>88</v>
      </c>
      <c r="E876" s="20">
        <v>42</v>
      </c>
      <c r="F876" s="20" t="s">
        <v>15859</v>
      </c>
      <c r="G876" s="24"/>
      <c r="H876" s="24"/>
      <c r="I876" s="24" t="str">
        <f ca="1">IFERROR(__xludf.DUMMYFUNCTION("GOOGLETRANSLATE(F876,""en"",""pt"")"),"vigas de madeira")</f>
        <v>vigas de madeira</v>
      </c>
      <c r="J876" t="str">
        <f>VLOOKUP(A876,Pr_Base_LNEC!$A$4:$J$6971,6,FALSE)</f>
        <v>-</v>
      </c>
      <c r="K876">
        <f>VLOOKUP(A876,Pr_Base_LNEC!$A$4:$J$6971,7,FALSE)</f>
        <v>0</v>
      </c>
    </row>
    <row r="877" spans="1:11" ht="14.5">
      <c r="A877" s="20" t="s">
        <v>15860</v>
      </c>
      <c r="B877" s="20">
        <v>20</v>
      </c>
      <c r="C877" s="20">
        <v>76</v>
      </c>
      <c r="D877" s="20">
        <v>88</v>
      </c>
      <c r="E877" s="20">
        <v>43</v>
      </c>
      <c r="F877" s="20" t="s">
        <v>15861</v>
      </c>
      <c r="G877" s="24"/>
      <c r="H877" s="24"/>
      <c r="I877" s="24" t="str">
        <f ca="1">IFERROR(__xludf.DUMMYFUNCTION("GOOGLETRANSLATE(F877,""en"",""pt"")"),"coberturas de madeira e ripas cladding")</f>
        <v>coberturas de madeira e ripas cladding</v>
      </c>
      <c r="J877" t="str">
        <f>VLOOKUP(A877,Pr_Base_LNEC!$A$4:$J$6971,6,FALSE)</f>
        <v>-</v>
      </c>
      <c r="K877">
        <f>VLOOKUP(A877,Pr_Base_LNEC!$A$4:$J$6971,7,FALSE)</f>
        <v>0</v>
      </c>
    </row>
    <row r="878" spans="1:11" ht="14.5">
      <c r="A878" s="20" t="s">
        <v>15862</v>
      </c>
      <c r="B878" s="20">
        <v>20</v>
      </c>
      <c r="C878" s="20">
        <v>76</v>
      </c>
      <c r="D878" s="20">
        <v>88</v>
      </c>
      <c r="E878" s="20">
        <v>44</v>
      </c>
      <c r="F878" s="20" t="s">
        <v>15863</v>
      </c>
      <c r="G878" s="20" t="s">
        <v>15864</v>
      </c>
      <c r="H878" s="24"/>
      <c r="I878" s="24" t="str">
        <f ca="1">IFERROR(__xludf.DUMMYFUNCTION("GOOGLETRANSLATE(F878,""en"",""pt"")"),"seções de madeira")</f>
        <v>seções de madeira</v>
      </c>
      <c r="J878" t="str">
        <f>VLOOKUP(A878,Pr_Base_LNEC!$A$4:$J$6971,6,FALSE)</f>
        <v>-</v>
      </c>
      <c r="K878">
        <f>VLOOKUP(A878,Pr_Base_LNEC!$A$4:$J$6971,7,FALSE)</f>
        <v>0</v>
      </c>
    </row>
    <row r="879" spans="1:11" ht="14.5">
      <c r="A879" s="20" t="s">
        <v>15865</v>
      </c>
      <c r="B879" s="20">
        <v>20</v>
      </c>
      <c r="C879" s="20">
        <v>76</v>
      </c>
      <c r="D879" s="20">
        <v>88</v>
      </c>
      <c r="E879" s="20">
        <v>46</v>
      </c>
      <c r="F879" s="20" t="s">
        <v>15866</v>
      </c>
      <c r="G879" s="24"/>
      <c r="H879" s="24"/>
      <c r="I879" s="24" t="str">
        <f ca="1">IFERROR(__xludf.DUMMYFUNCTION("GOOGLETRANSLATE(F879,""en"",""pt"")"),"ripas de madeira weatherboarding")</f>
        <v>ripas de madeira weatherboarding</v>
      </c>
      <c r="J879" t="str">
        <f>VLOOKUP(A879,Pr_Base_LNEC!$A$4:$J$6971,6,FALSE)</f>
        <v>-</v>
      </c>
      <c r="K879">
        <f>VLOOKUP(A879,Pr_Base_LNEC!$A$4:$J$6971,7,FALSE)</f>
        <v>0</v>
      </c>
    </row>
    <row r="880" spans="1:11" ht="14.5">
      <c r="A880" s="20" t="s">
        <v>15867</v>
      </c>
      <c r="B880" s="20">
        <v>20</v>
      </c>
      <c r="C880" s="20">
        <v>76</v>
      </c>
      <c r="D880" s="20">
        <v>88</v>
      </c>
      <c r="E880" s="20">
        <v>48</v>
      </c>
      <c r="F880" s="20" t="s">
        <v>15868</v>
      </c>
      <c r="G880" s="24"/>
      <c r="H880" s="24"/>
      <c r="I880" s="24" t="str">
        <f ca="1">IFERROR(__xludf.DUMMYFUNCTION("GOOGLETRANSLATE(F880,""en"",""pt"")"),"Laminada vertente da madeira serrada (LSL) seções")</f>
        <v>Laminada vertente da madeira serrada (LSL) seções</v>
      </c>
      <c r="J880" t="str">
        <f>VLOOKUP(A880,Pr_Base_LNEC!$A$4:$J$6971,6,FALSE)</f>
        <v>-</v>
      </c>
      <c r="K880">
        <f>VLOOKUP(A880,Pr_Base_LNEC!$A$4:$J$6971,7,FALSE)</f>
        <v>0</v>
      </c>
    </row>
    <row r="881" spans="1:11" ht="14.5">
      <c r="A881" s="20" t="s">
        <v>15869</v>
      </c>
      <c r="B881" s="20">
        <v>20</v>
      </c>
      <c r="C881" s="20">
        <v>76</v>
      </c>
      <c r="D881" s="20">
        <v>88</v>
      </c>
      <c r="E881" s="20">
        <v>49</v>
      </c>
      <c r="F881" s="20" t="s">
        <v>15870</v>
      </c>
      <c r="G881" s="24"/>
      <c r="H881" s="24"/>
      <c r="I881" s="24" t="str">
        <f ca="1">IFERROR(__xludf.DUMMYFUNCTION("GOOGLETRANSLATE(F881,""en"",""pt"")"),"Laminada verniz da madeira serrada (LVL) seções")</f>
        <v>Laminada verniz da madeira serrada (LVL) seções</v>
      </c>
      <c r="J881" t="str">
        <f>VLOOKUP(A881,Pr_Base_LNEC!$A$4:$J$6971,6,FALSE)</f>
        <v>-</v>
      </c>
      <c r="K881">
        <f>VLOOKUP(A881,Pr_Base_LNEC!$A$4:$J$6971,7,FALSE)</f>
        <v>0</v>
      </c>
    </row>
    <row r="882" spans="1:11" ht="14.5">
      <c r="A882" s="20" t="s">
        <v>15871</v>
      </c>
      <c r="B882" s="20">
        <v>20</v>
      </c>
      <c r="C882" s="20">
        <v>76</v>
      </c>
      <c r="D882" s="20">
        <v>88</v>
      </c>
      <c r="E882" s="20">
        <v>60</v>
      </c>
      <c r="F882" s="20" t="s">
        <v>15872</v>
      </c>
      <c r="G882" s="24"/>
      <c r="H882" s="24"/>
      <c r="I882" s="24" t="str">
        <f ca="1">IFERROR(__xludf.DUMMYFUNCTION("GOOGLETRANSLATE(F882,""en"",""pt"")"),"Paralelo vertente da madeira serrada (PSL) seções")</f>
        <v>Paralelo vertente da madeira serrada (PSL) seções</v>
      </c>
      <c r="J882" t="str">
        <f>VLOOKUP(A882,Pr_Base_LNEC!$A$4:$J$6971,6,FALSE)</f>
        <v>-</v>
      </c>
      <c r="K882">
        <f>VLOOKUP(A882,Pr_Base_LNEC!$A$4:$J$6971,7,FALSE)</f>
        <v>0</v>
      </c>
    </row>
    <row r="883" spans="1:11" ht="14.5">
      <c r="A883" s="20" t="s">
        <v>15873</v>
      </c>
      <c r="B883" s="20">
        <v>20</v>
      </c>
      <c r="C883" s="20">
        <v>76</v>
      </c>
      <c r="D883" s="20">
        <v>88</v>
      </c>
      <c r="E883" s="20">
        <v>72</v>
      </c>
      <c r="F883" s="20" t="s">
        <v>15874</v>
      </c>
      <c r="G883" s="20" t="s">
        <v>15875</v>
      </c>
      <c r="H883" s="24"/>
      <c r="I883" s="24" t="str">
        <f ca="1">IFERROR(__xludf.DUMMYFUNCTION("GOOGLETRANSLATE(F883,""en"",""pt"")"),"nivelamento de fibra longa e contra esgrima trilhos")</f>
        <v>nivelamento de fibra longa e contra esgrima trilhos</v>
      </c>
      <c r="J883" t="str">
        <f>VLOOKUP(A883,Pr_Base_LNEC!$A$4:$J$6971,6,FALSE)</f>
        <v>-</v>
      </c>
      <c r="K883">
        <f>VLOOKUP(A883,Pr_Base_LNEC!$A$4:$J$6971,7,FALSE)</f>
        <v>0</v>
      </c>
    </row>
    <row r="884" spans="1:11" ht="14.5">
      <c r="A884" s="20" t="s">
        <v>15876</v>
      </c>
      <c r="B884" s="20">
        <v>20</v>
      </c>
      <c r="C884" s="20">
        <v>76</v>
      </c>
      <c r="D884" s="20">
        <v>88</v>
      </c>
      <c r="E884" s="20">
        <v>73</v>
      </c>
      <c r="F884" s="20" t="s">
        <v>15877</v>
      </c>
      <c r="G884" s="20" t="s">
        <v>15878</v>
      </c>
      <c r="H884" s="24"/>
      <c r="I884" s="24" t="str">
        <f ca="1">IFERROR(__xludf.DUMMYFUNCTION("GOOGLETRANSLATE(F884,""en"",""pt"")"),"componentes de madeira macia para cercas e barreiras")</f>
        <v>componentes de madeira macia para cercas e barreiras</v>
      </c>
      <c r="J884" t="str">
        <f>VLOOKUP(A884,Pr_Base_LNEC!$A$4:$J$6971,6,FALSE)</f>
        <v>-</v>
      </c>
      <c r="K884">
        <f>VLOOKUP(A884,Pr_Base_LNEC!$A$4:$J$6971,7,FALSE)</f>
        <v>0</v>
      </c>
    </row>
    <row r="885" spans="1:11" ht="14.5">
      <c r="A885" s="20" t="s">
        <v>15879</v>
      </c>
      <c r="B885" s="20">
        <v>20</v>
      </c>
      <c r="C885" s="20">
        <v>76</v>
      </c>
      <c r="D885" s="20">
        <v>88</v>
      </c>
      <c r="E885" s="20">
        <v>74</v>
      </c>
      <c r="F885" s="20" t="s">
        <v>15880</v>
      </c>
      <c r="G885" s="20" t="s">
        <v>15881</v>
      </c>
      <c r="H885" s="24"/>
      <c r="I885" s="24" t="str">
        <f ca="1">IFERROR(__xludf.DUMMYFUNCTION("GOOGLETRANSLATE(F885,""en"",""pt"")"),"rails de esgrima resinosas")</f>
        <v>rails de esgrima resinosas</v>
      </c>
      <c r="J885" t="str">
        <f>VLOOKUP(A885,Pr_Base_LNEC!$A$4:$J$6971,6,FALSE)</f>
        <v>-</v>
      </c>
      <c r="K885">
        <f>VLOOKUP(A885,Pr_Base_LNEC!$A$4:$J$6971,7,FALSE)</f>
        <v>0</v>
      </c>
    </row>
    <row r="886" spans="1:11" ht="14.5">
      <c r="A886" s="20" t="s">
        <v>15882</v>
      </c>
      <c r="B886" s="20">
        <v>20</v>
      </c>
      <c r="C886" s="20">
        <v>76</v>
      </c>
      <c r="D886" s="20">
        <v>88</v>
      </c>
      <c r="E886" s="20">
        <v>75</v>
      </c>
      <c r="F886" s="20" t="s">
        <v>15883</v>
      </c>
      <c r="G886" s="20" t="s">
        <v>15884</v>
      </c>
      <c r="H886" s="24"/>
      <c r="I886" s="24" t="str">
        <f ca="1">IFERROR(__xludf.DUMMYFUNCTION("GOOGLETRANSLATE(F886,""en"",""pt"")"),"Resinosas ripas pavimento flutuante")</f>
        <v>Resinosas ripas pavimento flutuante</v>
      </c>
      <c r="J886" t="str">
        <f>VLOOKUP(A886,Pr_Base_LNEC!$A$4:$J$6971,6,FALSE)</f>
        <v>-</v>
      </c>
      <c r="K886">
        <f>VLOOKUP(A886,Pr_Base_LNEC!$A$4:$J$6971,7,FALSE)</f>
        <v>0</v>
      </c>
    </row>
    <row r="887" spans="1:11" ht="14.5">
      <c r="A887" s="20" t="s">
        <v>15885</v>
      </c>
      <c r="B887" s="20">
        <v>20</v>
      </c>
      <c r="C887" s="20">
        <v>76</v>
      </c>
      <c r="D887" s="20">
        <v>88</v>
      </c>
      <c r="E887" s="20">
        <v>76</v>
      </c>
      <c r="F887" s="20" t="s">
        <v>15886</v>
      </c>
      <c r="G887" s="20" t="s">
        <v>15887</v>
      </c>
      <c r="H887" s="24"/>
      <c r="I887" s="24" t="str">
        <f ca="1">IFERROR(__xludf.DUMMYFUNCTION("GOOGLETRANSLATE(F887,""en"",""pt"")"),"ripas de madeira macia gravidade")</f>
        <v>ripas de madeira macia gravidade</v>
      </c>
      <c r="J887" t="str">
        <f>VLOOKUP(A887,Pr_Base_LNEC!$A$4:$J$6971,6,FALSE)</f>
        <v>-</v>
      </c>
      <c r="K887">
        <f>VLOOKUP(A887,Pr_Base_LNEC!$A$4:$J$6971,7,FALSE)</f>
        <v>0</v>
      </c>
    </row>
    <row r="888" spans="1:11" ht="14.5">
      <c r="A888" s="20" t="s">
        <v>15888</v>
      </c>
      <c r="B888" s="20">
        <v>20</v>
      </c>
      <c r="C888" s="20">
        <v>76</v>
      </c>
      <c r="D888" s="20">
        <v>88</v>
      </c>
      <c r="E888" s="20">
        <v>79</v>
      </c>
      <c r="F888" s="20" t="s">
        <v>15889</v>
      </c>
      <c r="G888" s="20" t="s">
        <v>15890</v>
      </c>
      <c r="H888" s="24"/>
      <c r="I888" s="24" t="str">
        <f ca="1">IFERROR(__xludf.DUMMYFUNCTION("GOOGLETRANSLATE(F888,""en"",""pt"")"),"pales resinosas")</f>
        <v>pales resinosas</v>
      </c>
      <c r="J888" t="str">
        <f>VLOOKUP(A888,Pr_Base_LNEC!$A$4:$J$6971,6,FALSE)</f>
        <v>-</v>
      </c>
      <c r="K888">
        <f>VLOOKUP(A888,Pr_Base_LNEC!$A$4:$J$6971,7,FALSE)</f>
        <v>0</v>
      </c>
    </row>
    <row r="889" spans="1:11" ht="14.5">
      <c r="A889" s="20" t="s">
        <v>15891</v>
      </c>
      <c r="B889" s="20">
        <v>20</v>
      </c>
      <c r="C889" s="20">
        <v>76</v>
      </c>
      <c r="D889" s="20">
        <v>88</v>
      </c>
      <c r="E889" s="20">
        <v>80</v>
      </c>
      <c r="F889" s="20" t="s">
        <v>15892</v>
      </c>
      <c r="G889" s="24"/>
      <c r="H889" s="24"/>
      <c r="I889" s="24" t="str">
        <f ca="1">IFERROR(__xludf.DUMMYFUNCTION("GOOGLETRANSLATE(F889,""en"",""pt"")"),"pinos de madeira macia de partição")</f>
        <v>pinos de madeira macia de partição</v>
      </c>
      <c r="J889" t="str">
        <f>VLOOKUP(A889,Pr_Base_LNEC!$A$4:$J$6971,6,FALSE)</f>
        <v>-</v>
      </c>
      <c r="K889">
        <f>VLOOKUP(A889,Pr_Base_LNEC!$A$4:$J$6971,7,FALSE)</f>
        <v>0</v>
      </c>
    </row>
    <row r="890" spans="1:11" ht="14.5">
      <c r="A890" s="20" t="s">
        <v>15893</v>
      </c>
      <c r="B890" s="20">
        <v>20</v>
      </c>
      <c r="C890" s="20">
        <v>76</v>
      </c>
      <c r="D890" s="20">
        <v>88</v>
      </c>
      <c r="E890" s="20">
        <v>81</v>
      </c>
      <c r="F890" s="20" t="s">
        <v>15894</v>
      </c>
      <c r="G890" s="24"/>
      <c r="H890" s="24"/>
      <c r="I890" s="24" t="str">
        <f ca="1">IFERROR(__xludf.DUMMYFUNCTION("GOOGLETRANSLATE(F890,""en"",""pt"")"),"vigas de madeira mole")</f>
        <v>vigas de madeira mole</v>
      </c>
      <c r="J890" t="str">
        <f>VLOOKUP(A890,Pr_Base_LNEC!$A$4:$J$6971,6,FALSE)</f>
        <v>-</v>
      </c>
      <c r="K890">
        <f>VLOOKUP(A890,Pr_Base_LNEC!$A$4:$J$6971,7,FALSE)</f>
        <v>0</v>
      </c>
    </row>
    <row r="891" spans="1:11" ht="14.5">
      <c r="A891" s="20" t="s">
        <v>15895</v>
      </c>
      <c r="B891" s="20">
        <v>20</v>
      </c>
      <c r="C891" s="20">
        <v>76</v>
      </c>
      <c r="D891" s="20">
        <v>88</v>
      </c>
      <c r="E891" s="20">
        <v>82</v>
      </c>
      <c r="F891" s="20" t="s">
        <v>15896</v>
      </c>
      <c r="G891" s="20" t="s">
        <v>15897</v>
      </c>
      <c r="H891" s="24"/>
      <c r="I891" s="24" t="str">
        <f ca="1">IFERROR(__xludf.DUMMYFUNCTION("GOOGLETRANSLATE(F891,""en"",""pt"")"),"coberturas de madeira macia e ripas cladding")</f>
        <v>coberturas de madeira macia e ripas cladding</v>
      </c>
      <c r="J891" t="str">
        <f>VLOOKUP(A891,Pr_Base_LNEC!$A$4:$J$6971,6,FALSE)</f>
        <v>-</v>
      </c>
      <c r="K891">
        <f>VLOOKUP(A891,Pr_Base_LNEC!$A$4:$J$6971,7,FALSE)</f>
        <v>0</v>
      </c>
    </row>
    <row r="892" spans="1:11" ht="14.5">
      <c r="A892" s="20" t="s">
        <v>15898</v>
      </c>
      <c r="B892" s="20">
        <v>20</v>
      </c>
      <c r="C892" s="20">
        <v>76</v>
      </c>
      <c r="D892" s="20">
        <v>88</v>
      </c>
      <c r="E892" s="20">
        <v>83</v>
      </c>
      <c r="F892" s="20" t="s">
        <v>15899</v>
      </c>
      <c r="G892" s="20" t="s">
        <v>15900</v>
      </c>
      <c r="H892" s="24"/>
      <c r="I892" s="24" t="str">
        <f ca="1">IFERROR(__xludf.DUMMYFUNCTION("GOOGLETRANSLATE(F892,""en"",""pt"")"),"seções de fibra longa")</f>
        <v>seções de fibra longa</v>
      </c>
      <c r="J892" t="str">
        <f>VLOOKUP(A892,Pr_Base_LNEC!$A$4:$J$6971,6,FALSE)</f>
        <v>-</v>
      </c>
      <c r="K892">
        <f>VLOOKUP(A892,Pr_Base_LNEC!$A$4:$J$6971,7,FALSE)</f>
        <v>0</v>
      </c>
    </row>
    <row r="893" spans="1:11" ht="14.5">
      <c r="A893" s="20" t="s">
        <v>15901</v>
      </c>
      <c r="B893" s="20">
        <v>20</v>
      </c>
      <c r="C893" s="20">
        <v>76</v>
      </c>
      <c r="D893" s="20">
        <v>88</v>
      </c>
      <c r="E893" s="20">
        <v>84</v>
      </c>
      <c r="F893" s="20" t="s">
        <v>15902</v>
      </c>
      <c r="G893" s="20" t="s">
        <v>15903</v>
      </c>
      <c r="H893" s="24"/>
      <c r="I893" s="24" t="str">
        <f ca="1">IFERROR(__xludf.DUMMYFUNCTION("GOOGLETRANSLATE(F893,""en"",""pt"")"),"ripas de madeira mole weatherboarding")</f>
        <v>ripas de madeira mole weatherboarding</v>
      </c>
      <c r="J893" t="str">
        <f>VLOOKUP(A893,Pr_Base_LNEC!$A$4:$J$6971,6,FALSE)</f>
        <v>-</v>
      </c>
      <c r="K893">
        <f>VLOOKUP(A893,Pr_Base_LNEC!$A$4:$J$6971,7,FALSE)</f>
        <v>0</v>
      </c>
    </row>
    <row r="894" spans="1:11" ht="14.5">
      <c r="A894" s="20" t="s">
        <v>15904</v>
      </c>
      <c r="B894" s="20">
        <v>20</v>
      </c>
      <c r="C894" s="20">
        <v>76</v>
      </c>
      <c r="D894" s="20">
        <v>88</v>
      </c>
      <c r="E894" s="20">
        <v>85</v>
      </c>
      <c r="F894" s="20" t="s">
        <v>15905</v>
      </c>
      <c r="G894" s="20" t="s">
        <v>15906</v>
      </c>
      <c r="H894" s="24"/>
      <c r="I894" s="24" t="str">
        <f ca="1">IFERROR(__xludf.DUMMYFUNCTION("GOOGLETRANSLATE(F894,""en"",""pt"")"),"vigas de madeira, suportes, noggings, walings, cunhas e embalagens")</f>
        <v>vigas de madeira, suportes, noggings, walings, cunhas e embalagens</v>
      </c>
      <c r="J894" t="str">
        <f>VLOOKUP(A894,Pr_Base_LNEC!$A$4:$J$6971,6,FALSE)</f>
        <v>-</v>
      </c>
      <c r="K894">
        <f>VLOOKUP(A894,Pr_Base_LNEC!$A$4:$J$6971,7,FALSE)</f>
        <v>0</v>
      </c>
    </row>
    <row r="895" spans="1:11" ht="14.5">
      <c r="A895" s="20" t="s">
        <v>15907</v>
      </c>
      <c r="B895" s="20">
        <v>20</v>
      </c>
      <c r="C895" s="20">
        <v>76</v>
      </c>
      <c r="D895" s="20">
        <v>88</v>
      </c>
      <c r="E895" s="20">
        <v>86</v>
      </c>
      <c r="F895" s="20" t="s">
        <v>15908</v>
      </c>
      <c r="G895" s="20" t="s">
        <v>15909</v>
      </c>
      <c r="H895" s="24"/>
      <c r="I895" s="24" t="str">
        <f ca="1">IFERROR(__xludf.DUMMYFUNCTION("GOOGLETRANSLATE(F895,""en"",""pt"")"),"ripas de madeira esgrima")</f>
        <v>ripas de madeira esgrima</v>
      </c>
      <c r="J895" t="str">
        <f>VLOOKUP(A895,Pr_Base_LNEC!$A$4:$J$6971,6,FALSE)</f>
        <v>-</v>
      </c>
      <c r="K895">
        <f>VLOOKUP(A895,Pr_Base_LNEC!$A$4:$J$6971,7,FALSE)</f>
        <v>0</v>
      </c>
    </row>
    <row r="896" spans="1:11" ht="14.5">
      <c r="A896" s="20" t="s">
        <v>15910</v>
      </c>
      <c r="B896" s="20">
        <v>20</v>
      </c>
      <c r="C896" s="20">
        <v>76</v>
      </c>
      <c r="D896" s="20">
        <v>88</v>
      </c>
      <c r="E896" s="20">
        <v>87</v>
      </c>
      <c r="F896" s="20" t="s">
        <v>15911</v>
      </c>
      <c r="G896" s="20" t="s">
        <v>15912</v>
      </c>
      <c r="H896" s="24"/>
      <c r="I896" s="24" t="str">
        <f ca="1">IFERROR(__xludf.DUMMYFUNCTION("GOOGLETRANSLATE(F896,""en"",""pt"")"),"ripas de madeira de partição")</f>
        <v>ripas de madeira de partição</v>
      </c>
      <c r="J896" t="str">
        <f>VLOOKUP(A896,Pr_Base_LNEC!$A$4:$J$6971,6,FALSE)</f>
        <v>-</v>
      </c>
      <c r="K896">
        <f>VLOOKUP(A896,Pr_Base_LNEC!$A$4:$J$6971,7,FALSE)</f>
        <v>0</v>
      </c>
    </row>
    <row r="897" spans="1:11" ht="14.5">
      <c r="A897" s="20" t="s">
        <v>15913</v>
      </c>
      <c r="B897" s="20">
        <v>20</v>
      </c>
      <c r="C897" s="20">
        <v>76</v>
      </c>
      <c r="D897" s="20">
        <v>88</v>
      </c>
      <c r="E897" s="20">
        <v>88</v>
      </c>
      <c r="F897" s="20" t="s">
        <v>15914</v>
      </c>
      <c r="G897" s="24"/>
      <c r="H897" s="24"/>
      <c r="I897" s="24" t="str">
        <f ca="1">IFERROR(__xludf.DUMMYFUNCTION("GOOGLETRANSLATE(F897,""en"",""pt"")"),"pales madeira")</f>
        <v>pales madeira</v>
      </c>
      <c r="J897" t="str">
        <f>VLOOKUP(A897,Pr_Base_LNEC!$A$4:$J$6971,6,FALSE)</f>
        <v>-</v>
      </c>
      <c r="K897">
        <f>VLOOKUP(A897,Pr_Base_LNEC!$A$4:$J$6971,7,FALSE)</f>
        <v>0</v>
      </c>
    </row>
    <row r="898" spans="1:11" ht="14.5">
      <c r="A898" s="20" t="s">
        <v>15915</v>
      </c>
      <c r="B898" s="20">
        <v>20</v>
      </c>
      <c r="C898" s="20">
        <v>76</v>
      </c>
      <c r="D898" s="20">
        <v>88</v>
      </c>
      <c r="E898" s="20">
        <v>89</v>
      </c>
      <c r="F898" s="20" t="s">
        <v>15916</v>
      </c>
      <c r="G898" s="24"/>
      <c r="H898" s="24"/>
      <c r="I898" s="24" t="str">
        <f ca="1">IFERROR(__xludf.DUMMYFUNCTION("GOOGLETRANSLATE(F898,""en"",""pt"")"),"mullions madeira e travessas")</f>
        <v>mullions madeira e travessas</v>
      </c>
      <c r="J898" t="str">
        <f>VLOOKUP(A898,Pr_Base_LNEC!$A$4:$J$6971,6,FALSE)</f>
        <v>-</v>
      </c>
      <c r="K898">
        <f>VLOOKUP(A898,Pr_Base_LNEC!$A$4:$J$6971,7,FALSE)</f>
        <v>0</v>
      </c>
    </row>
    <row r="899" spans="1:11" ht="14.5">
      <c r="A899" s="20" t="s">
        <v>15917</v>
      </c>
      <c r="B899" s="20">
        <v>20</v>
      </c>
      <c r="C899" s="20">
        <v>76</v>
      </c>
      <c r="D899" s="20">
        <v>92</v>
      </c>
      <c r="E899" s="24"/>
      <c r="F899" s="20" t="s">
        <v>15918</v>
      </c>
      <c r="G899" s="24"/>
      <c r="H899" s="24"/>
      <c r="I899" s="24" t="str">
        <f ca="1">IFERROR(__xludf.DUMMYFUNCTION("GOOGLETRANSLATE(F899,""en"",""pt"")"),"produtos da construção de túnel")</f>
        <v>produtos da construção de túnel</v>
      </c>
      <c r="J899" t="str">
        <f>VLOOKUP(A899,Pr_Base_LNEC!$A$4:$J$6971,6,FALSE)</f>
        <v>Produtos Estruturais para Túneis</v>
      </c>
      <c r="K899">
        <f>VLOOKUP(A899,Pr_Base_LNEC!$A$4:$J$6971,7,FALSE)</f>
        <v>0</v>
      </c>
    </row>
    <row r="900" spans="1:11" ht="14.5">
      <c r="A900" s="20" t="s">
        <v>15919</v>
      </c>
      <c r="B900" s="20">
        <v>20</v>
      </c>
      <c r="C900" s="20">
        <v>76</v>
      </c>
      <c r="D900" s="20">
        <v>92</v>
      </c>
      <c r="E900" s="20">
        <v>65</v>
      </c>
      <c r="F900" s="20" t="s">
        <v>15920</v>
      </c>
      <c r="G900" s="24"/>
      <c r="H900" s="24"/>
      <c r="I900" s="24" t="str">
        <f ca="1">IFERROR(__xludf.DUMMYFUNCTION("GOOGLETRANSLATE(F900,""en"",""pt"")"),"unidades túnel de concreto pré-moldado")</f>
        <v>unidades túnel de concreto pré-moldado</v>
      </c>
      <c r="J900" t="str">
        <f>VLOOKUP(A900,Pr_Base_LNEC!$A$4:$J$6971,6,FALSE)</f>
        <v>-</v>
      </c>
      <c r="K900">
        <f>VLOOKUP(A900,Pr_Base_LNEC!$A$4:$J$6971,7,FALSE)</f>
        <v>0</v>
      </c>
    </row>
    <row r="901" spans="1:11" ht="14.5">
      <c r="A901" s="20" t="s">
        <v>15921</v>
      </c>
      <c r="B901" s="20">
        <v>20</v>
      </c>
      <c r="C901" s="20">
        <v>85</v>
      </c>
      <c r="D901" s="24"/>
      <c r="E901" s="24"/>
      <c r="F901" s="20" t="s">
        <v>15922</v>
      </c>
      <c r="G901" s="24"/>
      <c r="H901" s="24"/>
      <c r="I901" s="24" t="str">
        <f ca="1">IFERROR(__xludf.DUMMYFUNCTION("GOOGLETRANSLATE(F901,""en"",""pt"")"),"produtos de suporte e retenção")</f>
        <v>produtos de suporte e retenção</v>
      </c>
      <c r="J901" t="str">
        <f>VLOOKUP(A901,Pr_Base_LNEC!$A$4:$J$6971,6,FALSE)</f>
        <v>Produtos para Suporte e Contenção</v>
      </c>
      <c r="K901">
        <f>VLOOKUP(A901,Pr_Base_LNEC!$A$4:$J$6971,7,FALSE)</f>
        <v>0</v>
      </c>
    </row>
    <row r="902" spans="1:11" ht="14.5">
      <c r="A902" s="20" t="s">
        <v>15923</v>
      </c>
      <c r="B902" s="20">
        <v>20</v>
      </c>
      <c r="C902" s="20">
        <v>85</v>
      </c>
      <c r="D902" s="20">
        <v>3</v>
      </c>
      <c r="E902" s="24"/>
      <c r="F902" s="20" t="s">
        <v>15924</v>
      </c>
      <c r="G902" s="24"/>
      <c r="H902" s="24"/>
      <c r="I902" s="24" t="str">
        <f ca="1">IFERROR(__xludf.DUMMYFUNCTION("GOOGLETRANSLATE(F902,""en"",""pt"")"),"ângulos")</f>
        <v>ângulos</v>
      </c>
      <c r="J902" t="str">
        <f>VLOOKUP(A902,Pr_Base_LNEC!$A$4:$J$6971,6,FALSE)</f>
        <v>Angulos</v>
      </c>
      <c r="K902">
        <f>VLOOKUP(A902,Pr_Base_LNEC!$A$4:$J$6971,7,FALSE)</f>
        <v>0</v>
      </c>
    </row>
    <row r="903" spans="1:11" ht="14.5">
      <c r="A903" s="20" t="s">
        <v>15925</v>
      </c>
      <c r="B903" s="20">
        <v>20</v>
      </c>
      <c r="C903" s="20">
        <v>85</v>
      </c>
      <c r="D903" s="20">
        <v>3</v>
      </c>
      <c r="E903" s="20">
        <v>2</v>
      </c>
      <c r="F903" s="20" t="s">
        <v>15926</v>
      </c>
      <c r="G903" s="24"/>
      <c r="H903" s="24"/>
      <c r="I903" s="24" t="str">
        <f ca="1">IFERROR(__xludf.DUMMYFUNCTION("GOOGLETRANSLATE(F903,""en"",""pt"")"),"ângulos de alumínio")</f>
        <v>ângulos de alumínio</v>
      </c>
      <c r="J903" t="str">
        <f>VLOOKUP(A903,Pr_Base_LNEC!$A$4:$J$6971,6,FALSE)</f>
        <v>-</v>
      </c>
      <c r="K903">
        <f>VLOOKUP(A903,Pr_Base_LNEC!$A$4:$J$6971,7,FALSE)</f>
        <v>0</v>
      </c>
    </row>
    <row r="904" spans="1:11" ht="14.5">
      <c r="A904" s="20" t="s">
        <v>15927</v>
      </c>
      <c r="B904" s="20">
        <v>20</v>
      </c>
      <c r="C904" s="20">
        <v>85</v>
      </c>
      <c r="D904" s="20">
        <v>3</v>
      </c>
      <c r="E904" s="20">
        <v>11</v>
      </c>
      <c r="F904" s="20" t="s">
        <v>15928</v>
      </c>
      <c r="G904" s="20" t="s">
        <v>15929</v>
      </c>
      <c r="H904" s="24"/>
      <c r="I904" s="24" t="str">
        <f ca="1">IFERROR(__xludf.DUMMYFUNCTION("GOOGLETRANSLATE(F904,""en"",""pt"")"),"cantoneiras de aço carbono")</f>
        <v>cantoneiras de aço carbono</v>
      </c>
      <c r="J904" t="str">
        <f>VLOOKUP(A904,Pr_Base_LNEC!$A$4:$J$6971,6,FALSE)</f>
        <v>Secções em ângulo de Aço Laminados a Quente para Construção não Ligados</v>
      </c>
      <c r="K904" t="str">
        <f>VLOOKUP(A904,Pr_Base_LNEC!$A$4:$J$6971,7,FALSE)</f>
        <v>EN 10025-1:2004</v>
      </c>
    </row>
    <row r="905" spans="1:11" ht="14.5">
      <c r="A905" s="20" t="s">
        <v>15930</v>
      </c>
      <c r="B905" s="20">
        <v>20</v>
      </c>
      <c r="C905" s="20">
        <v>85</v>
      </c>
      <c r="D905" s="20">
        <v>3</v>
      </c>
      <c r="E905" s="20">
        <v>50</v>
      </c>
      <c r="F905" s="20" t="s">
        <v>15931</v>
      </c>
      <c r="G905" s="20" t="s">
        <v>15932</v>
      </c>
      <c r="H905" s="24"/>
      <c r="I905" s="24" t="str">
        <f ca="1">IFERROR(__xludf.DUMMYFUNCTION("GOOGLETRANSLATE(F905,""en"",""pt"")"),"suportes ângulo alvenaria")</f>
        <v>suportes ângulo alvenaria</v>
      </c>
      <c r="J905" t="str">
        <f>VLOOKUP(A905,Pr_Base_LNEC!$A$4:$J$6971,6,FALSE)</f>
        <v>-</v>
      </c>
      <c r="K905">
        <f>VLOOKUP(A905,Pr_Base_LNEC!$A$4:$J$6971,7,FALSE)</f>
        <v>0</v>
      </c>
    </row>
    <row r="906" spans="1:11" ht="14.5">
      <c r="A906" s="20" t="s">
        <v>15933</v>
      </c>
      <c r="B906" s="20">
        <v>20</v>
      </c>
      <c r="C906" s="20">
        <v>85</v>
      </c>
      <c r="D906" s="20">
        <v>3</v>
      </c>
      <c r="E906" s="20">
        <v>63</v>
      </c>
      <c r="F906" s="20" t="s">
        <v>15934</v>
      </c>
      <c r="G906" s="20" t="s">
        <v>15935</v>
      </c>
      <c r="H906" s="24"/>
      <c r="I906" s="24" t="str">
        <f ca="1">IFERROR(__xludf.DUMMYFUNCTION("GOOGLETRANSLATE(F906,""en"",""pt"")"),"suportes ângulo Plain")</f>
        <v>suportes ângulo Plain</v>
      </c>
      <c r="J906" t="str">
        <f>VLOOKUP(A906,Pr_Base_LNEC!$A$4:$J$6971,6,FALSE)</f>
        <v>Estribos para Suporte de ângulos simples para Alvenaria</v>
      </c>
      <c r="K906" t="str">
        <f>VLOOKUP(A906,Pr_Base_LNEC!$A$4:$J$6971,7,FALSE)</f>
        <v>EN 845-1:2013+A1:2016</v>
      </c>
    </row>
    <row r="907" spans="1:11" ht="14.5">
      <c r="A907" s="20" t="s">
        <v>15936</v>
      </c>
      <c r="B907" s="20">
        <v>20</v>
      </c>
      <c r="C907" s="20">
        <v>85</v>
      </c>
      <c r="D907" s="20">
        <v>3</v>
      </c>
      <c r="E907" s="20">
        <v>84</v>
      </c>
      <c r="F907" s="20" t="s">
        <v>15937</v>
      </c>
      <c r="G907" s="20" t="s">
        <v>15938</v>
      </c>
      <c r="H907" s="24"/>
      <c r="I907" s="24" t="str">
        <f ca="1">IFERROR(__xludf.DUMMYFUNCTION("GOOGLETRANSLATE(F907,""en"",""pt"")"),"cantoneiras de aço inoxidável")</f>
        <v>cantoneiras de aço inoxidável</v>
      </c>
      <c r="J907" t="str">
        <f>VLOOKUP(A907,Pr_Base_LNEC!$A$4:$J$6971,6,FALSE)</f>
        <v>Ângulos em Aço Inóxidável</v>
      </c>
      <c r="K907" t="str">
        <f>VLOOKUP(A907,Pr_Base_LNEC!$A$4:$J$6971,7,FALSE)</f>
        <v>EN 10088-5:2009</v>
      </c>
    </row>
    <row r="908" spans="1:11" ht="14.5">
      <c r="A908" s="20" t="s">
        <v>15939</v>
      </c>
      <c r="B908" s="20">
        <v>20</v>
      </c>
      <c r="C908" s="20">
        <v>85</v>
      </c>
      <c r="D908" s="20">
        <v>3</v>
      </c>
      <c r="E908" s="20">
        <v>85</v>
      </c>
      <c r="F908" s="20" t="s">
        <v>15940</v>
      </c>
      <c r="G908" s="20" t="s">
        <v>15941</v>
      </c>
      <c r="H908" s="24"/>
      <c r="I908" s="24" t="str">
        <f ca="1">IFERROR(__xludf.DUMMYFUNCTION("GOOGLETRANSLATE(F908,""en"",""pt"")"),"ângulos de revestimento de aço inoxidável")</f>
        <v>ângulos de revestimento de aço inoxidável</v>
      </c>
      <c r="J908" t="str">
        <f>VLOOKUP(A908,Pr_Base_LNEC!$A$4:$J$6971,6,FALSE)</f>
        <v>Ângulos para Revestimento em Aço Inóxidável</v>
      </c>
      <c r="K908" t="str">
        <f>VLOOKUP(A908,Pr_Base_LNEC!$A$4:$J$6971,7,FALSE)</f>
        <v>EN 10088-5:2009</v>
      </c>
    </row>
    <row r="909" spans="1:11" ht="14.5">
      <c r="A909" s="20" t="s">
        <v>15942</v>
      </c>
      <c r="B909" s="20">
        <v>20</v>
      </c>
      <c r="C909" s="20">
        <v>85</v>
      </c>
      <c r="D909" s="20">
        <v>6</v>
      </c>
      <c r="E909" s="24"/>
      <c r="F909" s="20" t="s">
        <v>15943</v>
      </c>
      <c r="G909" s="24"/>
      <c r="H909" s="24"/>
      <c r="I909" s="24" t="str">
        <f ca="1">IFERROR(__xludf.DUMMYFUNCTION("GOOGLETRANSLATE(F909,""en"",""pt"")"),"Bandas e aros")</f>
        <v>Bandas e aros</v>
      </c>
      <c r="J909" t="str">
        <f>VLOOKUP(A909,Pr_Base_LNEC!$A$4:$J$6971,6,FALSE)</f>
        <v>Bandas e aros</v>
      </c>
      <c r="K909">
        <f>VLOOKUP(A909,Pr_Base_LNEC!$A$4:$J$6971,7,FALSE)</f>
        <v>0</v>
      </c>
    </row>
    <row r="910" spans="1:11" ht="14.5">
      <c r="A910" s="20" t="s">
        <v>15944</v>
      </c>
      <c r="B910" s="20">
        <v>20</v>
      </c>
      <c r="C910" s="20">
        <v>85</v>
      </c>
      <c r="D910" s="20">
        <v>6</v>
      </c>
      <c r="E910" s="20">
        <v>6</v>
      </c>
      <c r="F910" s="20" t="s">
        <v>15945</v>
      </c>
      <c r="G910" s="20" t="s">
        <v>15946</v>
      </c>
      <c r="H910" s="24"/>
      <c r="I910" s="24" t="str">
        <f ca="1">IFERROR(__xludf.DUMMYFUNCTION("GOOGLETRANSLATE(F910,""en"",""pt"")"),"bandings")</f>
        <v>bandings</v>
      </c>
      <c r="J910" t="str">
        <f>VLOOKUP(A910,Pr_Base_LNEC!$A$4:$J$6971,6,FALSE)</f>
        <v>-</v>
      </c>
      <c r="K910">
        <f>VLOOKUP(A910,Pr_Base_LNEC!$A$4:$J$6971,7,FALSE)</f>
        <v>0</v>
      </c>
    </row>
    <row r="911" spans="1:11" ht="14.5">
      <c r="A911" s="20" t="s">
        <v>15947</v>
      </c>
      <c r="B911" s="20">
        <v>20</v>
      </c>
      <c r="C911" s="20">
        <v>85</v>
      </c>
      <c r="D911" s="20">
        <v>6</v>
      </c>
      <c r="E911" s="20">
        <v>11</v>
      </c>
      <c r="F911" s="20" t="s">
        <v>15948</v>
      </c>
      <c r="G911" s="20" t="s">
        <v>15949</v>
      </c>
      <c r="H911" s="24"/>
      <c r="I911" s="24" t="str">
        <f ca="1">IFERROR(__xludf.DUMMYFUNCTION("GOOGLETRANSLATE(F911,""en"",""pt"")"),"aros de aço de carbono")</f>
        <v>aros de aço de carbono</v>
      </c>
      <c r="J911" t="str">
        <f>VLOOKUP(A911,Pr_Base_LNEC!$A$4:$J$6971,6,FALSE)</f>
        <v>-</v>
      </c>
      <c r="K911">
        <f>VLOOKUP(A911,Pr_Base_LNEC!$A$4:$J$6971,7,FALSE)</f>
        <v>0</v>
      </c>
    </row>
    <row r="912" spans="1:11" ht="14.5">
      <c r="A912" s="20" t="s">
        <v>15950</v>
      </c>
      <c r="B912" s="20">
        <v>20</v>
      </c>
      <c r="C912" s="20">
        <v>85</v>
      </c>
      <c r="D912" s="20">
        <v>6</v>
      </c>
      <c r="E912" s="20">
        <v>85</v>
      </c>
      <c r="F912" s="20" t="s">
        <v>15951</v>
      </c>
      <c r="G912" s="20" t="s">
        <v>15952</v>
      </c>
      <c r="H912" s="24"/>
      <c r="I912" s="24" t="str">
        <f ca="1">IFERROR(__xludf.DUMMYFUNCTION("GOOGLETRANSLATE(F912,""en"",""pt"")"),"aros de aço inoxidável")</f>
        <v>aros de aço inoxidável</v>
      </c>
      <c r="J912" t="str">
        <f>VLOOKUP(A912,Pr_Base_LNEC!$A$4:$J$6971,6,FALSE)</f>
        <v>-</v>
      </c>
      <c r="K912">
        <f>VLOOKUP(A912,Pr_Base_LNEC!$A$4:$J$6971,7,FALSE)</f>
        <v>0</v>
      </c>
    </row>
    <row r="913" spans="1:11" ht="14.5">
      <c r="A913" s="20" t="s">
        <v>15953</v>
      </c>
      <c r="B913" s="20">
        <v>20</v>
      </c>
      <c r="C913" s="20">
        <v>85</v>
      </c>
      <c r="D913" s="20">
        <v>7</v>
      </c>
      <c r="E913" s="24"/>
      <c r="F913" s="20" t="s">
        <v>15954</v>
      </c>
      <c r="G913" s="24"/>
      <c r="H913" s="24"/>
      <c r="I913" s="24" t="str">
        <f ca="1">IFERROR(__xludf.DUMMYFUNCTION("GOOGLETRANSLATE(F913,""en"",""pt"")"),"rails de barreira")</f>
        <v>rails de barreira</v>
      </c>
      <c r="J913" t="str">
        <f>VLOOKUP(A913,Pr_Base_LNEC!$A$4:$J$6971,6,FALSE)</f>
        <v>Barreiras de vedação</v>
      </c>
      <c r="K913">
        <f>VLOOKUP(A913,Pr_Base_LNEC!$A$4:$J$6971,7,FALSE)</f>
        <v>0</v>
      </c>
    </row>
    <row r="914" spans="1:11" ht="14.5">
      <c r="A914" s="20" t="s">
        <v>15955</v>
      </c>
      <c r="B914" s="20">
        <v>20</v>
      </c>
      <c r="C914" s="20">
        <v>85</v>
      </c>
      <c r="D914" s="20">
        <v>7</v>
      </c>
      <c r="E914" s="20">
        <v>2</v>
      </c>
      <c r="F914" s="20" t="s">
        <v>15956</v>
      </c>
      <c r="G914" s="20" t="s">
        <v>15957</v>
      </c>
      <c r="H914" s="24"/>
      <c r="I914" s="24" t="str">
        <f ca="1">IFERROR(__xludf.DUMMYFUNCTION("GOOGLETRANSLATE(F914,""en"",""pt"")"),"trilhos de liga de alumínio")</f>
        <v>trilhos de liga de alumínio</v>
      </c>
      <c r="J914" t="str">
        <f>VLOOKUP(A914,Pr_Base_LNEC!$A$4:$J$6971,6,FALSE)</f>
        <v>-</v>
      </c>
      <c r="K914">
        <f>VLOOKUP(A914,Pr_Base_LNEC!$A$4:$J$6971,7,FALSE)</f>
        <v>0</v>
      </c>
    </row>
    <row r="915" spans="1:11" ht="14.5">
      <c r="A915" s="20" t="s">
        <v>15958</v>
      </c>
      <c r="B915" s="20">
        <v>20</v>
      </c>
      <c r="C915" s="20">
        <v>85</v>
      </c>
      <c r="D915" s="20">
        <v>7</v>
      </c>
      <c r="E915" s="20">
        <v>3</v>
      </c>
      <c r="F915" s="20" t="s">
        <v>15959</v>
      </c>
      <c r="G915" s="20" t="s">
        <v>15960</v>
      </c>
      <c r="H915" s="24"/>
      <c r="I915" s="24" t="str">
        <f ca="1">IFERROR(__xludf.DUMMYFUNCTION("GOOGLETRANSLATE(F915,""en"",""pt"")"),"trilhos de suporte de alumínio")</f>
        <v>trilhos de suporte de alumínio</v>
      </c>
      <c r="J915" t="str">
        <f>VLOOKUP(A915,Pr_Base_LNEC!$A$4:$J$6971,6,FALSE)</f>
        <v>-</v>
      </c>
      <c r="K915">
        <f>VLOOKUP(A915,Pr_Base_LNEC!$A$4:$J$6971,7,FALSE)</f>
        <v>0</v>
      </c>
    </row>
    <row r="916" spans="1:11" ht="14.5">
      <c r="A916" s="20" t="s">
        <v>15961</v>
      </c>
      <c r="B916" s="20">
        <v>20</v>
      </c>
      <c r="C916" s="20">
        <v>85</v>
      </c>
      <c r="D916" s="20">
        <v>7</v>
      </c>
      <c r="E916" s="20">
        <v>4</v>
      </c>
      <c r="F916" s="20" t="s">
        <v>15962</v>
      </c>
      <c r="G916" s="20" t="s">
        <v>15963</v>
      </c>
      <c r="H916" s="24"/>
      <c r="I916" s="24" t="str">
        <f ca="1">IFERROR(__xludf.DUMMYFUNCTION("GOOGLETRANSLATE(F916,""en"",""pt"")"),"os trilhos de carga de alumínio")</f>
        <v>os trilhos de carga de alumínio</v>
      </c>
      <c r="J916" t="str">
        <f>VLOOKUP(A916,Pr_Base_LNEC!$A$4:$J$6971,6,FALSE)</f>
        <v>-</v>
      </c>
      <c r="K916">
        <f>VLOOKUP(A916,Pr_Base_LNEC!$A$4:$J$6971,7,FALSE)</f>
        <v>0</v>
      </c>
    </row>
    <row r="917" spans="1:11" ht="14.5">
      <c r="A917" s="20" t="s">
        <v>15964</v>
      </c>
      <c r="B917" s="20">
        <v>20</v>
      </c>
      <c r="C917" s="20">
        <v>85</v>
      </c>
      <c r="D917" s="20">
        <v>7</v>
      </c>
      <c r="E917" s="20">
        <v>10</v>
      </c>
      <c r="F917" s="20" t="s">
        <v>15965</v>
      </c>
      <c r="G917" s="20" t="s">
        <v>15966</v>
      </c>
      <c r="H917" s="24"/>
      <c r="I917" s="24" t="str">
        <f ca="1">IFERROR(__xludf.DUMMYFUNCTION("GOOGLETRANSLATE(F917,""en"",""pt"")"),"Carbono calhas de suporte de aço")</f>
        <v>Carbono calhas de suporte de aço</v>
      </c>
      <c r="J917" t="str">
        <f>VLOOKUP(A917,Pr_Base_LNEC!$A$4:$J$6971,6,FALSE)</f>
        <v>Suporte de vedação, corrimão ou grade de aço laminado a quente não ligados</v>
      </c>
      <c r="K917" t="str">
        <f>VLOOKUP(A917,Pr_Base_LNEC!$A$4:$J$6971,7,FALSE)</f>
        <v>EN 10025-1:2004</v>
      </c>
    </row>
    <row r="918" spans="1:11" ht="14.5">
      <c r="A918" s="20" t="s">
        <v>15967</v>
      </c>
      <c r="B918" s="20">
        <v>20</v>
      </c>
      <c r="C918" s="20">
        <v>85</v>
      </c>
      <c r="D918" s="20">
        <v>7</v>
      </c>
      <c r="E918" s="20">
        <v>11</v>
      </c>
      <c r="F918" s="20" t="s">
        <v>15968</v>
      </c>
      <c r="G918" s="20" t="s">
        <v>15969</v>
      </c>
      <c r="H918" s="24"/>
      <c r="I918" s="24" t="str">
        <f ca="1">IFERROR(__xludf.DUMMYFUNCTION("GOOGLETRANSLATE(F918,""en"",""pt"")"),"cercas de aço carbono e trilhos de barreira")</f>
        <v>cercas de aço carbono e trilhos de barreira</v>
      </c>
      <c r="J918" t="str">
        <f>VLOOKUP(A918,Pr_Base_LNEC!$A$4:$J$6971,6,FALSE)</f>
        <v>-</v>
      </c>
      <c r="K918">
        <f>VLOOKUP(A918,Pr_Base_LNEC!$A$4:$J$6971,7,FALSE)</f>
        <v>0</v>
      </c>
    </row>
    <row r="919" spans="1:11" ht="14.5">
      <c r="A919" s="20" t="s">
        <v>15970</v>
      </c>
      <c r="B919" s="20">
        <v>20</v>
      </c>
      <c r="C919" s="20">
        <v>85</v>
      </c>
      <c r="D919" s="20">
        <v>7</v>
      </c>
      <c r="E919" s="20">
        <v>12</v>
      </c>
      <c r="F919" s="20" t="s">
        <v>15971</v>
      </c>
      <c r="G919" s="20" t="s">
        <v>15972</v>
      </c>
      <c r="H919" s="24"/>
      <c r="I919" s="24" t="str">
        <f ca="1">IFERROR(__xludf.DUMMYFUNCTION("GOOGLETRANSLATE(F919,""en"",""pt"")"),"Tipo de cerca de aço de carbono e de barreira trilhos superiores")</f>
        <v>Tipo de cerca de aço de carbono e de barreira trilhos superiores</v>
      </c>
      <c r="J919" t="str">
        <f>VLOOKUP(A919,Pr_Base_LNEC!$A$4:$J$6971,6,FALSE)</f>
        <v>-</v>
      </c>
      <c r="K919">
        <f>VLOOKUP(A919,Pr_Base_LNEC!$A$4:$J$6971,7,FALSE)</f>
        <v>0</v>
      </c>
    </row>
    <row r="920" spans="1:11" ht="14.5">
      <c r="A920" s="20" t="s">
        <v>15973</v>
      </c>
      <c r="B920" s="20">
        <v>20</v>
      </c>
      <c r="C920" s="20">
        <v>85</v>
      </c>
      <c r="D920" s="20">
        <v>7</v>
      </c>
      <c r="E920" s="20">
        <v>13</v>
      </c>
      <c r="F920" s="20" t="s">
        <v>15974</v>
      </c>
      <c r="G920" s="20" t="s">
        <v>15975</v>
      </c>
      <c r="H920" s="24"/>
      <c r="I920" s="24" t="str">
        <f ca="1">IFERROR(__xludf.DUMMYFUNCTION("GOOGLETRANSLATE(F920,""en"",""pt"")"),"barreira de segurança em aço carbono vigas caixa aberta")</f>
        <v>barreira de segurança em aço carbono vigas caixa aberta</v>
      </c>
      <c r="J920" t="str">
        <f>VLOOKUP(A920,Pr_Base_LNEC!$A$4:$J$6971,6,FALSE)</f>
        <v>-</v>
      </c>
      <c r="K920">
        <f>VLOOKUP(A920,Pr_Base_LNEC!$A$4:$J$6971,7,FALSE)</f>
        <v>0</v>
      </c>
    </row>
    <row r="921" spans="1:11" ht="14.5">
      <c r="A921" s="20" t="s">
        <v>15976</v>
      </c>
      <c r="B921" s="20">
        <v>20</v>
      </c>
      <c r="C921" s="20">
        <v>85</v>
      </c>
      <c r="D921" s="20">
        <v>7</v>
      </c>
      <c r="E921" s="20">
        <v>14</v>
      </c>
      <c r="F921" s="20" t="s">
        <v>15977</v>
      </c>
      <c r="G921" s="20" t="s">
        <v>15978</v>
      </c>
      <c r="H921" s="24"/>
      <c r="I921" s="24" t="str">
        <f ca="1">IFERROR(__xludf.DUMMYFUNCTION("GOOGLETRANSLATE(F921,""en"",""pt"")"),"de barreira de segurança de aço carbono secções ocas rectangulares")</f>
        <v>de barreira de segurança de aço carbono secções ocas rectangulares</v>
      </c>
      <c r="J921" t="str">
        <f>VLOOKUP(A921,Pr_Base_LNEC!$A$4:$J$6971,6,FALSE)</f>
        <v>-</v>
      </c>
      <c r="K921">
        <f>VLOOKUP(A921,Pr_Base_LNEC!$A$4:$J$6971,7,FALSE)</f>
        <v>0</v>
      </c>
    </row>
    <row r="922" spans="1:11" ht="14.5">
      <c r="A922" s="20" t="s">
        <v>15979</v>
      </c>
      <c r="B922" s="20">
        <v>20</v>
      </c>
      <c r="C922" s="20">
        <v>85</v>
      </c>
      <c r="D922" s="20">
        <v>7</v>
      </c>
      <c r="E922" s="20">
        <v>15</v>
      </c>
      <c r="F922" s="20" t="s">
        <v>15980</v>
      </c>
      <c r="G922" s="20" t="s">
        <v>15981</v>
      </c>
      <c r="H922" s="24"/>
      <c r="I922" s="24" t="str">
        <f ca="1">IFERROR(__xludf.DUMMYFUNCTION("GOOGLETRANSLATE(F922,""en"",""pt"")"),"Barreira de segurança de carbono aço tensionada vigas onduladas")</f>
        <v>Barreira de segurança de carbono aço tensionada vigas onduladas</v>
      </c>
      <c r="J922" t="str">
        <f>VLOOKUP(A922,Pr_Base_LNEC!$A$4:$J$6971,6,FALSE)</f>
        <v>-</v>
      </c>
      <c r="K922">
        <f>VLOOKUP(A922,Pr_Base_LNEC!$A$4:$J$6971,7,FALSE)</f>
        <v>0</v>
      </c>
    </row>
    <row r="923" spans="1:11" ht="14.5">
      <c r="A923" s="20" t="s">
        <v>15982</v>
      </c>
      <c r="B923" s="20">
        <v>20</v>
      </c>
      <c r="C923" s="20">
        <v>85</v>
      </c>
      <c r="D923" s="20">
        <v>7</v>
      </c>
      <c r="E923" s="20">
        <v>16</v>
      </c>
      <c r="F923" s="20" t="s">
        <v>15983</v>
      </c>
      <c r="G923" s="20" t="s">
        <v>15984</v>
      </c>
      <c r="H923" s="24"/>
      <c r="I923" s="24" t="str">
        <f ca="1">IFERROR(__xludf.DUMMYFUNCTION("GOOGLETRANSLATE(F923,""en"",""pt"")"),"De carbono de segurança aço transições de barreira e as conexões")</f>
        <v>De carbono de segurança aço transições de barreira e as conexões</v>
      </c>
      <c r="J923" t="str">
        <f>VLOOKUP(A923,Pr_Base_LNEC!$A$4:$J$6971,6,FALSE)</f>
        <v>-</v>
      </c>
      <c r="K923">
        <f>VLOOKUP(A923,Pr_Base_LNEC!$A$4:$J$6971,7,FALSE)</f>
        <v>0</v>
      </c>
    </row>
    <row r="924" spans="1:11" ht="14.5">
      <c r="A924" s="20" t="s">
        <v>15985</v>
      </c>
      <c r="B924" s="20">
        <v>20</v>
      </c>
      <c r="C924" s="20">
        <v>85</v>
      </c>
      <c r="D924" s="20">
        <v>7</v>
      </c>
      <c r="E924" s="20">
        <v>17</v>
      </c>
      <c r="F924" s="20" t="s">
        <v>15986</v>
      </c>
      <c r="G924" s="20" t="s">
        <v>15987</v>
      </c>
      <c r="H924" s="24"/>
      <c r="I924" s="24" t="str">
        <f ca="1">IFERROR(__xludf.DUMMYFUNCTION("GOOGLETRANSLATE(F924,""en"",""pt"")"),"vigas onduladas carbono barreira de segurança de aço não tensionada")</f>
        <v>vigas onduladas carbono barreira de segurança de aço não tensionada</v>
      </c>
      <c r="J924" t="str">
        <f>VLOOKUP(A924,Pr_Base_LNEC!$A$4:$J$6971,6,FALSE)</f>
        <v>-</v>
      </c>
      <c r="K924">
        <f>VLOOKUP(A924,Pr_Base_LNEC!$A$4:$J$6971,7,FALSE)</f>
        <v>0</v>
      </c>
    </row>
    <row r="925" spans="1:11" ht="14.5">
      <c r="A925" s="20" t="s">
        <v>15988</v>
      </c>
      <c r="B925" s="20">
        <v>20</v>
      </c>
      <c r="C925" s="20">
        <v>85</v>
      </c>
      <c r="D925" s="20">
        <v>7</v>
      </c>
      <c r="E925" s="20">
        <v>18</v>
      </c>
      <c r="F925" s="20" t="s">
        <v>15989</v>
      </c>
      <c r="G925" s="20" t="s">
        <v>15990</v>
      </c>
      <c r="H925" s="24"/>
      <c r="I925" s="24" t="str">
        <f ca="1">IFERROR(__xludf.DUMMYFUNCTION("GOOGLETRANSLATE(F925,""en"",""pt"")"),"trilhos de suporte de aço carbono")</f>
        <v>trilhos de suporte de aço carbono</v>
      </c>
      <c r="J925" t="str">
        <f>VLOOKUP(A925,Pr_Base_LNEC!$A$4:$J$6971,6,FALSE)</f>
        <v>-</v>
      </c>
      <c r="K925">
        <f>VLOOKUP(A925,Pr_Base_LNEC!$A$4:$J$6971,7,FALSE)</f>
        <v>0</v>
      </c>
    </row>
    <row r="926" spans="1:11" ht="14.5">
      <c r="A926" s="20" t="s">
        <v>15991</v>
      </c>
      <c r="B926" s="20">
        <v>20</v>
      </c>
      <c r="C926" s="20">
        <v>85</v>
      </c>
      <c r="D926" s="20">
        <v>7</v>
      </c>
      <c r="E926" s="20">
        <v>19</v>
      </c>
      <c r="F926" s="20" t="s">
        <v>15992</v>
      </c>
      <c r="G926" s="20" t="s">
        <v>15993</v>
      </c>
      <c r="H926" s="24"/>
      <c r="I926" s="24" t="str">
        <f ca="1">IFERROR(__xludf.DUMMYFUNCTION("GOOGLETRANSLATE(F926,""en"",""pt"")"),"trilhos de ferro fundido")</f>
        <v>trilhos de ferro fundido</v>
      </c>
      <c r="J926" t="str">
        <f>VLOOKUP(A926,Pr_Base_LNEC!$A$4:$J$6971,6,FALSE)</f>
        <v>-</v>
      </c>
      <c r="K926">
        <f>VLOOKUP(A926,Pr_Base_LNEC!$A$4:$J$6971,7,FALSE)</f>
        <v>0</v>
      </c>
    </row>
    <row r="927" spans="1:11" ht="14.5">
      <c r="A927" s="20" t="s">
        <v>15994</v>
      </c>
      <c r="B927" s="20">
        <v>20</v>
      </c>
      <c r="C927" s="20">
        <v>85</v>
      </c>
      <c r="D927" s="20">
        <v>7</v>
      </c>
      <c r="E927" s="20">
        <v>20</v>
      </c>
      <c r="F927" s="20" t="s">
        <v>15995</v>
      </c>
      <c r="G927" s="20" t="s">
        <v>15996</v>
      </c>
      <c r="H927" s="24"/>
      <c r="I927" s="24" t="str">
        <f ca="1">IFERROR(__xludf.DUMMYFUNCTION("GOOGLETRANSLATE(F927,""en"",""pt"")"),"rails de concreto")</f>
        <v>rails de concreto</v>
      </c>
      <c r="J927" t="str">
        <f>VLOOKUP(A927,Pr_Base_LNEC!$A$4:$J$6971,6,FALSE)</f>
        <v>Suporte de vedação, corrimão ou grade prefabricados de betão</v>
      </c>
      <c r="K927" t="str">
        <f>VLOOKUP(A927,Pr_Base_LNEC!$A$4:$J$6971,7,FALSE)</f>
        <v>EN 12839:2012</v>
      </c>
    </row>
    <row r="928" spans="1:11" ht="14.5">
      <c r="A928" s="20" t="s">
        <v>15997</v>
      </c>
      <c r="B928" s="20">
        <v>20</v>
      </c>
      <c r="C928" s="20">
        <v>85</v>
      </c>
      <c r="D928" s="20">
        <v>7</v>
      </c>
      <c r="E928" s="20">
        <v>63</v>
      </c>
      <c r="F928" s="20" t="s">
        <v>15998</v>
      </c>
      <c r="G928" s="20" t="s">
        <v>15999</v>
      </c>
      <c r="H928" s="24"/>
      <c r="I928" s="24" t="str">
        <f ca="1">IFERROR(__xludf.DUMMYFUNCTION("GOOGLETRANSLATE(F928,""en"",""pt"")"),"plásticos trilhos")</f>
        <v>plásticos trilhos</v>
      </c>
      <c r="J928" t="str">
        <f>VLOOKUP(A928,Pr_Base_LNEC!$A$4:$J$6971,6,FALSE)</f>
        <v>-</v>
      </c>
      <c r="K928">
        <f>VLOOKUP(A928,Pr_Base_LNEC!$A$4:$J$6971,7,FALSE)</f>
        <v>0</v>
      </c>
    </row>
    <row r="929" spans="1:11" ht="14.5">
      <c r="A929" s="20" t="s">
        <v>16000</v>
      </c>
      <c r="B929" s="20">
        <v>20</v>
      </c>
      <c r="C929" s="20">
        <v>85</v>
      </c>
      <c r="D929" s="20">
        <v>7</v>
      </c>
      <c r="E929" s="20">
        <v>65</v>
      </c>
      <c r="F929" s="20" t="s">
        <v>16001</v>
      </c>
      <c r="G929" s="20" t="s">
        <v>16002</v>
      </c>
      <c r="H929" s="24"/>
      <c r="I929" s="24" t="str">
        <f ca="1">IFERROR(__xludf.DUMMYFUNCTION("GOOGLETRANSLATE(F929,""en"",""pt"")"),"quadros de protecção")</f>
        <v>quadros de protecção</v>
      </c>
      <c r="J929" t="str">
        <f>VLOOKUP(A929,Pr_Base_LNEC!$A$4:$J$6971,6,FALSE)</f>
        <v>-</v>
      </c>
      <c r="K929">
        <f>VLOOKUP(A929,Pr_Base_LNEC!$A$4:$J$6971,7,FALSE)</f>
        <v>0</v>
      </c>
    </row>
    <row r="930" spans="1:11" ht="14.5">
      <c r="A930" s="20" t="s">
        <v>16003</v>
      </c>
      <c r="B930" s="20">
        <v>20</v>
      </c>
      <c r="C930" s="20">
        <v>85</v>
      </c>
      <c r="D930" s="20">
        <v>7</v>
      </c>
      <c r="E930" s="20">
        <v>83</v>
      </c>
      <c r="F930" s="20" t="s">
        <v>16004</v>
      </c>
      <c r="G930" s="20" t="s">
        <v>16005</v>
      </c>
      <c r="H930" s="24"/>
      <c r="I930" s="24" t="str">
        <f ca="1">IFERROR(__xludf.DUMMYFUNCTION("GOOGLETRANSLATE(F930,""en"",""pt"")"),"os trilhos de carga em aço inoxidável")</f>
        <v>os trilhos de carga em aço inoxidável</v>
      </c>
      <c r="J930" t="str">
        <f>VLOOKUP(A930,Pr_Base_LNEC!$A$4:$J$6971,6,FALSE)</f>
        <v>Suporte de vedação, corrimão ou grade em aço inóxidável</v>
      </c>
      <c r="K930" t="str">
        <f>VLOOKUP(A930,Pr_Base_LNEC!$A$4:$J$6971,7,FALSE)</f>
        <v>EN 10088-5:2009</v>
      </c>
    </row>
    <row r="931" spans="1:11" ht="14.5">
      <c r="A931" s="20" t="s">
        <v>16006</v>
      </c>
      <c r="B931" s="20">
        <v>20</v>
      </c>
      <c r="C931" s="20">
        <v>85</v>
      </c>
      <c r="D931" s="20">
        <v>7</v>
      </c>
      <c r="E931" s="20">
        <v>84</v>
      </c>
      <c r="F931" s="20" t="s">
        <v>16007</v>
      </c>
      <c r="G931" s="20" t="s">
        <v>16008</v>
      </c>
      <c r="H931" s="24"/>
      <c r="I931" s="24" t="str">
        <f ca="1">IFERROR(__xludf.DUMMYFUNCTION("GOOGLETRANSLATE(F931,""en"",""pt"")"),"trilhos de aço inoxidável")</f>
        <v>trilhos de aço inoxidável</v>
      </c>
      <c r="J931" t="str">
        <f>VLOOKUP(A931,Pr_Base_LNEC!$A$4:$J$6971,6,FALSE)</f>
        <v>-</v>
      </c>
      <c r="K931">
        <f>VLOOKUP(A931,Pr_Base_LNEC!$A$4:$J$6971,7,FALSE)</f>
        <v>0</v>
      </c>
    </row>
    <row r="932" spans="1:11" ht="14.5">
      <c r="A932" s="20" t="s">
        <v>16009</v>
      </c>
      <c r="B932" s="20">
        <v>20</v>
      </c>
      <c r="C932" s="20">
        <v>85</v>
      </c>
      <c r="D932" s="20">
        <v>7</v>
      </c>
      <c r="E932" s="20">
        <v>85</v>
      </c>
      <c r="F932" s="20" t="s">
        <v>16010</v>
      </c>
      <c r="G932" s="20" t="s">
        <v>16011</v>
      </c>
      <c r="H932" s="24"/>
      <c r="I932" s="24" t="str">
        <f ca="1">IFERROR(__xludf.DUMMYFUNCTION("GOOGLETRANSLATE(F932,""en"",""pt"")"),"trilhos de suporte de aço inoxidável")</f>
        <v>trilhos de suporte de aço inoxidável</v>
      </c>
      <c r="J932" t="str">
        <f>VLOOKUP(A932,Pr_Base_LNEC!$A$4:$J$6971,6,FALSE)</f>
        <v>-</v>
      </c>
      <c r="K932">
        <f>VLOOKUP(A932,Pr_Base_LNEC!$A$4:$J$6971,7,FALSE)</f>
        <v>0</v>
      </c>
    </row>
    <row r="933" spans="1:11" ht="14.5">
      <c r="A933" s="20" t="s">
        <v>16012</v>
      </c>
      <c r="B933" s="20">
        <v>20</v>
      </c>
      <c r="C933" s="20">
        <v>85</v>
      </c>
      <c r="D933" s="20">
        <v>7</v>
      </c>
      <c r="E933" s="20">
        <v>92</v>
      </c>
      <c r="F933" s="20" t="s">
        <v>16013</v>
      </c>
      <c r="G933" s="20" t="s">
        <v>16014</v>
      </c>
      <c r="H933" s="24"/>
      <c r="I933" s="24" t="str">
        <f ca="1">IFERROR(__xludf.DUMMYFUNCTION("GOOGLETRANSLATE(F933,""en"",""pt"")"),"de cloreto de polivinilo não plastificado (PVC-U) trilhos de suporte")</f>
        <v>de cloreto de polivinilo não plastificado (PVC-U) trilhos de suporte</v>
      </c>
      <c r="J933" t="str">
        <f>VLOOKUP(A933,Pr_Base_LNEC!$A$4:$J$6971,6,FALSE)</f>
        <v>-</v>
      </c>
      <c r="K933">
        <f>VLOOKUP(A933,Pr_Base_LNEC!$A$4:$J$6971,7,FALSE)</f>
        <v>0</v>
      </c>
    </row>
    <row r="934" spans="1:11" ht="14.5">
      <c r="A934" s="20" t="s">
        <v>16015</v>
      </c>
      <c r="B934" s="20">
        <v>20</v>
      </c>
      <c r="C934" s="20">
        <v>85</v>
      </c>
      <c r="D934" s="20">
        <v>7</v>
      </c>
      <c r="E934" s="20">
        <v>97</v>
      </c>
      <c r="F934" s="20" t="s">
        <v>16016</v>
      </c>
      <c r="G934" s="20" t="s">
        <v>16017</v>
      </c>
      <c r="H934" s="24"/>
      <c r="I934" s="24" t="str">
        <f ca="1">IFERROR(__xludf.DUMMYFUNCTION("GOOGLETRANSLATE(F934,""en"",""pt"")"),"Wall-montado trilhos de suporte de móveis")</f>
        <v>Wall-montado trilhos de suporte de móveis</v>
      </c>
      <c r="J934" t="str">
        <f>VLOOKUP(A934,Pr_Base_LNEC!$A$4:$J$6971,6,FALSE)</f>
        <v>-</v>
      </c>
      <c r="K934">
        <f>VLOOKUP(A934,Pr_Base_LNEC!$A$4:$J$6971,7,FALSE)</f>
        <v>0</v>
      </c>
    </row>
    <row r="935" spans="1:11" ht="14.5">
      <c r="A935" s="20" t="s">
        <v>16018</v>
      </c>
      <c r="B935" s="20">
        <v>20</v>
      </c>
      <c r="C935" s="20">
        <v>85</v>
      </c>
      <c r="D935" s="20">
        <v>8</v>
      </c>
      <c r="E935" s="24"/>
      <c r="F935" s="20" t="s">
        <v>16019</v>
      </c>
      <c r="G935" s="24"/>
      <c r="H935" s="24"/>
      <c r="I935" s="24" t="str">
        <f ca="1">IFERROR(__xludf.DUMMYFUNCTION("GOOGLETRANSLATE(F935,""en"",""pt"")"),"Vigas e vigas")</f>
        <v>Vigas e vigas</v>
      </c>
      <c r="J935" t="str">
        <f>VLOOKUP(A935,Pr_Base_LNEC!$A$4:$J$6971,6,FALSE)</f>
        <v>Vigas e juntas</v>
      </c>
      <c r="K935">
        <f>VLOOKUP(A935,Pr_Base_LNEC!$A$4:$J$6971,7,FALSE)</f>
        <v>0</v>
      </c>
    </row>
    <row r="936" spans="1:11" ht="14.5">
      <c r="A936" s="20" t="s">
        <v>16020</v>
      </c>
      <c r="B936" s="20">
        <v>20</v>
      </c>
      <c r="C936" s="20">
        <v>85</v>
      </c>
      <c r="D936" s="20">
        <v>8</v>
      </c>
      <c r="E936" s="20">
        <v>2</v>
      </c>
      <c r="F936" s="20" t="s">
        <v>16021</v>
      </c>
      <c r="G936" s="24"/>
      <c r="H936" s="24"/>
      <c r="I936" s="24" t="str">
        <f ca="1">IFERROR(__xludf.DUMMYFUNCTION("GOOGLETRANSLATE(F936,""en"",""pt"")"),"vigas estruturais de alumínio")</f>
        <v>vigas estruturais de alumínio</v>
      </c>
      <c r="J936" t="str">
        <f>VLOOKUP(A936,Pr_Base_LNEC!$A$4:$J$6971,6,FALSE)</f>
        <v>-</v>
      </c>
      <c r="K936">
        <f>VLOOKUP(A936,Pr_Base_LNEC!$A$4:$J$6971,7,FALSE)</f>
        <v>0</v>
      </c>
    </row>
    <row r="937" spans="1:11" ht="14.5">
      <c r="A937" s="20" t="s">
        <v>16022</v>
      </c>
      <c r="B937" s="20">
        <v>20</v>
      </c>
      <c r="C937" s="20">
        <v>85</v>
      </c>
      <c r="D937" s="20">
        <v>8</v>
      </c>
      <c r="E937" s="20">
        <v>11</v>
      </c>
      <c r="F937" s="20" t="s">
        <v>16023</v>
      </c>
      <c r="G937" s="24"/>
      <c r="H937" s="24"/>
      <c r="I937" s="24" t="str">
        <f ca="1">IFERROR(__xludf.DUMMYFUNCTION("GOOGLETRANSLATE(F937,""en"",""pt"")"),"vigas de aço de carbono")</f>
        <v>vigas de aço de carbono</v>
      </c>
      <c r="J937" t="str">
        <f>VLOOKUP(A937,Pr_Base_LNEC!$A$4:$J$6971,6,FALSE)</f>
        <v>-</v>
      </c>
      <c r="K937">
        <f>VLOOKUP(A937,Pr_Base_LNEC!$A$4:$J$6971,7,FALSE)</f>
        <v>0</v>
      </c>
    </row>
    <row r="938" spans="1:11" ht="14.5">
      <c r="A938" s="20" t="s">
        <v>16024</v>
      </c>
      <c r="B938" s="20">
        <v>20</v>
      </c>
      <c r="C938" s="20">
        <v>85</v>
      </c>
      <c r="D938" s="20">
        <v>8</v>
      </c>
      <c r="E938" s="20">
        <v>12</v>
      </c>
      <c r="F938" s="20" t="s">
        <v>16025</v>
      </c>
      <c r="G938" s="24"/>
      <c r="H938" s="24"/>
      <c r="I938" s="24" t="str">
        <f ca="1">IFERROR(__xludf.DUMMYFUNCTION("GOOGLETRANSLATE(F938,""en"",""pt"")"),"aço carbono acastelado vigas")</f>
        <v>aço carbono acastelado vigas</v>
      </c>
      <c r="J938" t="str">
        <f>VLOOKUP(A938,Pr_Base_LNEC!$A$4:$J$6971,6,FALSE)</f>
        <v>-</v>
      </c>
      <c r="K938">
        <f>VLOOKUP(A938,Pr_Base_LNEC!$A$4:$J$6971,7,FALSE)</f>
        <v>0</v>
      </c>
    </row>
    <row r="939" spans="1:11" ht="14.5">
      <c r="A939" s="20" t="s">
        <v>16026</v>
      </c>
      <c r="B939" s="20">
        <v>20</v>
      </c>
      <c r="C939" s="20">
        <v>85</v>
      </c>
      <c r="D939" s="20">
        <v>8</v>
      </c>
      <c r="E939" s="20">
        <v>15</v>
      </c>
      <c r="F939" s="20" t="s">
        <v>16027</v>
      </c>
      <c r="G939" s="20" t="s">
        <v>16028</v>
      </c>
      <c r="H939" s="24"/>
      <c r="I939" s="24" t="str">
        <f ca="1">IFERROR(__xludf.DUMMYFUNCTION("GOOGLETRANSLATE(F939,""en"",""pt"")"),"vigas de concreto")</f>
        <v>vigas de concreto</v>
      </c>
      <c r="J939" t="str">
        <f>VLOOKUP(A939,Pr_Base_LNEC!$A$4:$J$6971,6,FALSE)</f>
        <v>Vigas pré-fabricadas de betão lineares</v>
      </c>
      <c r="K939" t="str">
        <f>VLOOKUP(A939,Pr_Base_LNEC!$A$4:$J$6971,7,FALSE)</f>
        <v>EN 13225:2013</v>
      </c>
    </row>
    <row r="940" spans="1:11" ht="14.5">
      <c r="A940" s="20" t="s">
        <v>16029</v>
      </c>
      <c r="B940" s="20">
        <v>20</v>
      </c>
      <c r="C940" s="20">
        <v>85</v>
      </c>
      <c r="D940" s="20">
        <v>8</v>
      </c>
      <c r="E940" s="20">
        <v>17</v>
      </c>
      <c r="F940" s="20" t="s">
        <v>16030</v>
      </c>
      <c r="G940" s="20" t="s">
        <v>16031</v>
      </c>
      <c r="H940" s="24"/>
      <c r="I940" s="24" t="str">
        <f ca="1">IFERROR(__xludf.DUMMYFUNCTION("GOOGLETRANSLATE(F940,""en"",""pt"")"),"Cruz laminado vigas de madeira")</f>
        <v>Cruz laminado vigas de madeira</v>
      </c>
      <c r="J940" t="str">
        <f>VLOOKUP(A940,Pr_Base_LNEC!$A$4:$J$6971,6,FALSE)</f>
        <v>-</v>
      </c>
      <c r="K940">
        <f>VLOOKUP(A940,Pr_Base_LNEC!$A$4:$J$6971,7,FALSE)</f>
        <v>0</v>
      </c>
    </row>
    <row r="941" spans="1:11" ht="14.5">
      <c r="A941" s="20" t="s">
        <v>16032</v>
      </c>
      <c r="B941" s="20">
        <v>20</v>
      </c>
      <c r="C941" s="20">
        <v>85</v>
      </c>
      <c r="D941" s="20">
        <v>8</v>
      </c>
      <c r="E941" s="20">
        <v>33</v>
      </c>
      <c r="F941" s="20" t="s">
        <v>16033</v>
      </c>
      <c r="G941" s="20" t="s">
        <v>16034</v>
      </c>
      <c r="H941" s="24"/>
      <c r="I941" s="24" t="str">
        <f ca="1">IFERROR(__xludf.DUMMYFUNCTION("GOOGLETRANSLATE(F941,""en"",""pt"")"),"Colado laminado vigas de madeira")</f>
        <v>Colado laminado vigas de madeira</v>
      </c>
      <c r="J941" t="str">
        <f>VLOOKUP(A941,Pr_Base_LNEC!$A$4:$J$6971,6,FALSE)</f>
        <v>Vigas de madeira lamelada colada</v>
      </c>
      <c r="K941" t="str">
        <f>VLOOKUP(A941,Pr_Base_LNEC!$A$4:$J$6971,7,FALSE)</f>
        <v>EN 14080:2013</v>
      </c>
    </row>
    <row r="942" spans="1:11" ht="14.5">
      <c r="A942" s="20" t="s">
        <v>16035</v>
      </c>
      <c r="B942" s="20">
        <v>20</v>
      </c>
      <c r="C942" s="20">
        <v>85</v>
      </c>
      <c r="D942" s="20">
        <v>8</v>
      </c>
      <c r="E942" s="20">
        <v>36</v>
      </c>
      <c r="F942" s="20" t="s">
        <v>16036</v>
      </c>
      <c r="G942" s="24"/>
      <c r="H942" s="24"/>
      <c r="I942" s="24" t="str">
        <f ca="1">IFERROR(__xludf.DUMMYFUNCTION("GOOGLETRANSLATE(F942,""en"",""pt"")"),"vigas de madeira")</f>
        <v>vigas de madeira</v>
      </c>
      <c r="J942" t="str">
        <f>VLOOKUP(A942,Pr_Base_LNEC!$A$4:$J$6971,6,FALSE)</f>
        <v>-</v>
      </c>
      <c r="K942">
        <f>VLOOKUP(A942,Pr_Base_LNEC!$A$4:$J$6971,7,FALSE)</f>
        <v>0</v>
      </c>
    </row>
    <row r="943" spans="1:11" ht="14.5">
      <c r="A943" s="20" t="s">
        <v>16037</v>
      </c>
      <c r="B943" s="20">
        <v>20</v>
      </c>
      <c r="C943" s="20">
        <v>85</v>
      </c>
      <c r="D943" s="20">
        <v>8</v>
      </c>
      <c r="E943" s="20">
        <v>63</v>
      </c>
      <c r="F943" s="20" t="s">
        <v>16038</v>
      </c>
      <c r="G943" s="24"/>
      <c r="H943" s="24"/>
      <c r="I943" s="24" t="str">
        <f ca="1">IFERROR(__xludf.DUMMYFUNCTION("GOOGLETRANSLATE(F943,""en"",""pt"")"),"plásticos vigas")</f>
        <v>plásticos vigas</v>
      </c>
      <c r="J943" t="str">
        <f>VLOOKUP(A943,Pr_Base_LNEC!$A$4:$J$6971,6,FALSE)</f>
        <v>-</v>
      </c>
      <c r="K943">
        <f>VLOOKUP(A943,Pr_Base_LNEC!$A$4:$J$6971,7,FALSE)</f>
        <v>0</v>
      </c>
    </row>
    <row r="944" spans="1:11" ht="14.5">
      <c r="A944" s="20" t="s">
        <v>16039</v>
      </c>
      <c r="B944" s="20">
        <v>20</v>
      </c>
      <c r="C944" s="20">
        <v>85</v>
      </c>
      <c r="D944" s="20">
        <v>8</v>
      </c>
      <c r="E944" s="20">
        <v>65</v>
      </c>
      <c r="F944" s="20" t="s">
        <v>16040</v>
      </c>
      <c r="G944" s="24"/>
      <c r="H944" s="24"/>
      <c r="I944" s="24" t="str">
        <f ca="1">IFERROR(__xludf.DUMMYFUNCTION("GOOGLETRANSLATE(F944,""en"",""pt"")"),"Pós-tensionado vigas de concreto")</f>
        <v>Pós-tensionado vigas de concreto</v>
      </c>
      <c r="J944" t="str">
        <f>VLOOKUP(A944,Pr_Base_LNEC!$A$4:$J$6971,6,FALSE)</f>
        <v>-</v>
      </c>
      <c r="K944">
        <f>VLOOKUP(A944,Pr_Base_LNEC!$A$4:$J$6971,7,FALSE)</f>
        <v>0</v>
      </c>
    </row>
    <row r="945" spans="1:11" ht="14.5">
      <c r="A945" s="20" t="s">
        <v>16041</v>
      </c>
      <c r="B945" s="20">
        <v>20</v>
      </c>
      <c r="C945" s="20">
        <v>85</v>
      </c>
      <c r="D945" s="20">
        <v>8</v>
      </c>
      <c r="E945" s="20">
        <v>66</v>
      </c>
      <c r="F945" s="20" t="s">
        <v>16042</v>
      </c>
      <c r="G945" s="20" t="s">
        <v>16043</v>
      </c>
      <c r="H945" s="24"/>
      <c r="I945" s="24" t="str">
        <f ca="1">IFERROR(__xludf.DUMMYFUNCTION("GOOGLETRANSLATE(F945,""en"",""pt"")"),"Pré-esforçadas T-vigas de concreto")</f>
        <v>Pré-esforçadas T-vigas de concreto</v>
      </c>
      <c r="J945" t="str">
        <f>VLOOKUP(A945,Pr_Base_LNEC!$A$4:$J$6971,6,FALSE)</f>
        <v>Vigas em T préfabricadas de betão lineares pré esforçadas</v>
      </c>
      <c r="K945" t="str">
        <f>VLOOKUP(A945,Pr_Base_LNEC!$A$4:$J$6971,7,FALSE)</f>
        <v>EN 13225:2013</v>
      </c>
    </row>
    <row r="946" spans="1:11" ht="14.5">
      <c r="A946" s="20" t="s">
        <v>16044</v>
      </c>
      <c r="B946" s="20">
        <v>20</v>
      </c>
      <c r="C946" s="20">
        <v>85</v>
      </c>
      <c r="D946" s="20">
        <v>8</v>
      </c>
      <c r="E946" s="20">
        <v>81</v>
      </c>
      <c r="F946" s="20" t="s">
        <v>16045</v>
      </c>
      <c r="G946" s="24"/>
      <c r="H946" s="24"/>
      <c r="I946" s="24" t="str">
        <f ca="1">IFERROR(__xludf.DUMMYFUNCTION("GOOGLETRANSLATE(F946,""en"",""pt"")"),"feixes de fibra longa")</f>
        <v>feixes de fibra longa</v>
      </c>
      <c r="J946" t="str">
        <f>VLOOKUP(A946,Pr_Base_LNEC!$A$4:$J$6971,6,FALSE)</f>
        <v>-</v>
      </c>
      <c r="K946">
        <f>VLOOKUP(A946,Pr_Base_LNEC!$A$4:$J$6971,7,FALSE)</f>
        <v>0</v>
      </c>
    </row>
    <row r="947" spans="1:11" ht="14.5">
      <c r="A947" s="20" t="s">
        <v>16046</v>
      </c>
      <c r="B947" s="20">
        <v>20</v>
      </c>
      <c r="C947" s="20">
        <v>85</v>
      </c>
      <c r="D947" s="20">
        <v>8</v>
      </c>
      <c r="E947" s="20">
        <v>83</v>
      </c>
      <c r="F947" s="20" t="s">
        <v>16047</v>
      </c>
      <c r="G947" s="24"/>
      <c r="H947" s="24"/>
      <c r="I947" s="24" t="str">
        <f ca="1">IFERROR(__xludf.DUMMYFUNCTION("GOOGLETRANSLATE(F947,""en"",""pt"")"),"vigas estruturais de aço inoxidável")</f>
        <v>vigas estruturais de aço inoxidável</v>
      </c>
      <c r="J947" t="str">
        <f>VLOOKUP(A947,Pr_Base_LNEC!$A$4:$J$6971,6,FALSE)</f>
        <v>-</v>
      </c>
      <c r="K947">
        <f>VLOOKUP(A947,Pr_Base_LNEC!$A$4:$J$6971,7,FALSE)</f>
        <v>0</v>
      </c>
    </row>
    <row r="948" spans="1:11" ht="14.5">
      <c r="A948" s="20" t="s">
        <v>16048</v>
      </c>
      <c r="B948" s="20">
        <v>20</v>
      </c>
      <c r="C948" s="20">
        <v>85</v>
      </c>
      <c r="D948" s="20">
        <v>8</v>
      </c>
      <c r="E948" s="20">
        <v>84</v>
      </c>
      <c r="F948" s="20" t="s">
        <v>16049</v>
      </c>
      <c r="G948" s="20" t="s">
        <v>16050</v>
      </c>
      <c r="H948" s="24"/>
      <c r="I948" s="24" t="str">
        <f ca="1">IFERROR(__xludf.DUMMYFUNCTION("GOOGLETRANSLATE(F948,""en"",""pt"")"),"vigas de madeira da caixa-compósitos estruturais")</f>
        <v>vigas de madeira da caixa-compósitos estruturais</v>
      </c>
      <c r="J948" t="str">
        <f>VLOOKUP(A948,Pr_Base_LNEC!$A$4:$J$6971,6,FALSE)</f>
        <v>-</v>
      </c>
      <c r="K948">
        <f>VLOOKUP(A948,Pr_Base_LNEC!$A$4:$J$6971,7,FALSE)</f>
        <v>0</v>
      </c>
    </row>
    <row r="949" spans="1:11" ht="14.5">
      <c r="A949" s="20" t="s">
        <v>16051</v>
      </c>
      <c r="B949" s="20">
        <v>20</v>
      </c>
      <c r="C949" s="20">
        <v>85</v>
      </c>
      <c r="D949" s="20">
        <v>8</v>
      </c>
      <c r="E949" s="20">
        <v>85</v>
      </c>
      <c r="F949" s="20" t="s">
        <v>16052</v>
      </c>
      <c r="G949" s="20" t="s">
        <v>16050</v>
      </c>
      <c r="H949" s="24"/>
      <c r="I949" s="24" t="str">
        <f ca="1">IFERROR(__xludf.DUMMYFUNCTION("GOOGLETRANSLATE(F949,""en"",""pt"")"),"I-vigas de madeira, compósitos estruturais")</f>
        <v>I-vigas de madeira, compósitos estruturais</v>
      </c>
      <c r="J949" t="str">
        <f>VLOOKUP(A949,Pr_Base_LNEC!$A$4:$J$6971,6,FALSE)</f>
        <v>-</v>
      </c>
      <c r="K949">
        <f>VLOOKUP(A949,Pr_Base_LNEC!$A$4:$J$6971,7,FALSE)</f>
        <v>0</v>
      </c>
    </row>
    <row r="950" spans="1:11" ht="14.5">
      <c r="A950" s="20" t="s">
        <v>16053</v>
      </c>
      <c r="B950" s="20">
        <v>20</v>
      </c>
      <c r="C950" s="20">
        <v>85</v>
      </c>
      <c r="D950" s="20">
        <v>8</v>
      </c>
      <c r="E950" s="20">
        <v>86</v>
      </c>
      <c r="F950" s="20" t="s">
        <v>16054</v>
      </c>
      <c r="G950" s="20" t="s">
        <v>16050</v>
      </c>
      <c r="H950" s="24"/>
      <c r="I950" s="24" t="str">
        <f ca="1">IFERROR(__xludf.DUMMYFUNCTION("GOOGLETRANSLATE(F950,""en"",""pt"")"),"I-vigas de madeira, compósitos estruturais")</f>
        <v>I-vigas de madeira, compósitos estruturais</v>
      </c>
      <c r="J950" t="str">
        <f>VLOOKUP(A950,Pr_Base_LNEC!$A$4:$J$6971,6,FALSE)</f>
        <v>-</v>
      </c>
      <c r="K950">
        <f>VLOOKUP(A950,Pr_Base_LNEC!$A$4:$J$6971,7,FALSE)</f>
        <v>0</v>
      </c>
    </row>
    <row r="951" spans="1:11" ht="14.5">
      <c r="A951" s="20" t="s">
        <v>16055</v>
      </c>
      <c r="B951" s="20">
        <v>20</v>
      </c>
      <c r="C951" s="20">
        <v>85</v>
      </c>
      <c r="D951" s="20">
        <v>8</v>
      </c>
      <c r="E951" s="20">
        <v>87</v>
      </c>
      <c r="F951" s="20" t="s">
        <v>16056</v>
      </c>
      <c r="G951" s="20" t="s">
        <v>16057</v>
      </c>
      <c r="H951" s="24"/>
      <c r="I951" s="24" t="str">
        <f ca="1">IFERROR(__xludf.DUMMYFUNCTION("GOOGLETRANSLATE(F951,""en"",""pt"")"),"compósitos de madeira estruturais")</f>
        <v>compósitos de madeira estruturais</v>
      </c>
      <c r="J951" t="str">
        <f>VLOOKUP(A951,Pr_Base_LNEC!$A$4:$J$6971,6,FALSE)</f>
        <v>-</v>
      </c>
      <c r="K951">
        <f>VLOOKUP(A951,Pr_Base_LNEC!$A$4:$J$6971,7,FALSE)</f>
        <v>0</v>
      </c>
    </row>
    <row r="952" spans="1:11" ht="14.5">
      <c r="A952" s="20" t="s">
        <v>16058</v>
      </c>
      <c r="B952" s="20">
        <v>20</v>
      </c>
      <c r="C952" s="20">
        <v>85</v>
      </c>
      <c r="D952" s="20">
        <v>9</v>
      </c>
      <c r="E952" s="24"/>
      <c r="F952" s="20" t="s">
        <v>16059</v>
      </c>
      <c r="G952" s="24"/>
      <c r="H952" s="24"/>
      <c r="I952" s="24" t="str">
        <f ca="1">IFERROR(__xludf.DUMMYFUNCTION("GOOGLETRANSLATE(F952,""en"",""pt"")"),"suportes")</f>
        <v>suportes</v>
      </c>
      <c r="J952" t="str">
        <f>VLOOKUP(A952,Pr_Base_LNEC!$A$4:$J$6971,6,FALSE)</f>
        <v>Suportes</v>
      </c>
      <c r="K952">
        <f>VLOOKUP(A952,Pr_Base_LNEC!$A$4:$J$6971,7,FALSE)</f>
        <v>0</v>
      </c>
    </row>
    <row r="953" spans="1:11" ht="14.5">
      <c r="A953" s="20" t="s">
        <v>16060</v>
      </c>
      <c r="B953" s="20">
        <v>20</v>
      </c>
      <c r="C953" s="20">
        <v>85</v>
      </c>
      <c r="D953" s="20">
        <v>9</v>
      </c>
      <c r="E953" s="20">
        <v>1</v>
      </c>
      <c r="F953" s="20" t="s">
        <v>16061</v>
      </c>
      <c r="G953" s="20" t="s">
        <v>16062</v>
      </c>
      <c r="H953" s="24"/>
      <c r="I953" s="24" t="str">
        <f ca="1">IFERROR(__xludf.DUMMYFUNCTION("GOOGLETRANSLATE(F953,""en"",""pt"")"),"Acima do solo suportes de tubos de drenagem")</f>
        <v>Acima do solo suportes de tubos de drenagem</v>
      </c>
      <c r="J953" t="str">
        <f>VLOOKUP(A953,Pr_Base_LNEC!$A$4:$J$6971,6,FALSE)</f>
        <v>-</v>
      </c>
      <c r="K953">
        <f>VLOOKUP(A953,Pr_Base_LNEC!$A$4:$J$6971,7,FALSE)</f>
        <v>0</v>
      </c>
    </row>
    <row r="954" spans="1:11" ht="14.5">
      <c r="A954" s="20" t="s">
        <v>16063</v>
      </c>
      <c r="B954" s="20">
        <v>20</v>
      </c>
      <c r="C954" s="20">
        <v>85</v>
      </c>
      <c r="D954" s="20">
        <v>9</v>
      </c>
      <c r="E954" s="20">
        <v>2</v>
      </c>
      <c r="F954" s="20" t="s">
        <v>16064</v>
      </c>
      <c r="G954" s="20" t="s">
        <v>16065</v>
      </c>
      <c r="H954" s="24"/>
      <c r="I954" s="24" t="str">
        <f ca="1">IFERROR(__xludf.DUMMYFUNCTION("GOOGLETRANSLATE(F954,""en"",""pt"")"),"suportes de alumínio")</f>
        <v>suportes de alumínio</v>
      </c>
      <c r="J954" t="str">
        <f>VLOOKUP(A954,Pr_Base_LNEC!$A$4:$J$6971,6,FALSE)</f>
        <v>-</v>
      </c>
      <c r="K954">
        <f>VLOOKUP(A954,Pr_Base_LNEC!$A$4:$J$6971,7,FALSE)</f>
        <v>0</v>
      </c>
    </row>
    <row r="955" spans="1:11" ht="14.5">
      <c r="A955" s="20" t="s">
        <v>16066</v>
      </c>
      <c r="B955" s="20">
        <v>20</v>
      </c>
      <c r="C955" s="20">
        <v>85</v>
      </c>
      <c r="D955" s="20">
        <v>9</v>
      </c>
      <c r="E955" s="20">
        <v>3</v>
      </c>
      <c r="F955" s="20" t="s">
        <v>16067</v>
      </c>
      <c r="G955" s="20" t="s">
        <v>16068</v>
      </c>
      <c r="H955" s="24"/>
      <c r="I955" s="24" t="str">
        <f ca="1">IFERROR(__xludf.DUMMYFUNCTION("GOOGLETRANSLATE(F955,""en"",""pt"")"),"colchetes de bronze de alumínio")</f>
        <v>colchetes de bronze de alumínio</v>
      </c>
      <c r="J955" t="str">
        <f>VLOOKUP(A955,Pr_Base_LNEC!$A$4:$J$6971,6,FALSE)</f>
        <v>Estribos de suporte em bronze de alumínio para alvenaria</v>
      </c>
      <c r="K955" t="str">
        <f>VLOOKUP(A955,Pr_Base_LNEC!$A$4:$J$6971,7,FALSE)</f>
        <v>EN 845-1:2013+A1:2016</v>
      </c>
    </row>
    <row r="956" spans="1:11" ht="14.5">
      <c r="A956" s="20" t="s">
        <v>16069</v>
      </c>
      <c r="B956" s="20">
        <v>20</v>
      </c>
      <c r="C956" s="20">
        <v>85</v>
      </c>
      <c r="D956" s="20">
        <v>9</v>
      </c>
      <c r="E956" s="20">
        <v>5</v>
      </c>
      <c r="F956" s="20" t="s">
        <v>16070</v>
      </c>
      <c r="G956" s="20" t="s">
        <v>16071</v>
      </c>
      <c r="H956" s="24"/>
      <c r="I956" s="24" t="str">
        <f ca="1">IFERROR(__xludf.DUMMYFUNCTION("GOOGLETRANSLATE(F956,""en"",""pt"")"),"suportes de tubos de queda de alumínio")</f>
        <v>suportes de tubos de queda de alumínio</v>
      </c>
      <c r="J956" t="str">
        <f>VLOOKUP(A956,Pr_Base_LNEC!$A$4:$J$6971,6,FALSE)</f>
        <v>-</v>
      </c>
      <c r="K956">
        <f>VLOOKUP(A956,Pr_Base_LNEC!$A$4:$J$6971,7,FALSE)</f>
        <v>0</v>
      </c>
    </row>
    <row r="957" spans="1:11" ht="14.5">
      <c r="A957" s="20" t="s">
        <v>16072</v>
      </c>
      <c r="B957" s="20">
        <v>20</v>
      </c>
      <c r="C957" s="20">
        <v>85</v>
      </c>
      <c r="D957" s="20">
        <v>9</v>
      </c>
      <c r="E957" s="20">
        <v>7</v>
      </c>
      <c r="F957" s="20" t="s">
        <v>16073</v>
      </c>
      <c r="G957" s="20" t="s">
        <v>16074</v>
      </c>
      <c r="H957" s="24"/>
      <c r="I957" s="24" t="str">
        <f ca="1">IFERROR(__xludf.DUMMYFUNCTION("GOOGLETRANSLATE(F957,""en"",""pt"")"),"Alumínio suportes água da chuva sarjeta")</f>
        <v>Alumínio suportes água da chuva sarjeta</v>
      </c>
      <c r="J957" t="str">
        <f>VLOOKUP(A957,Pr_Base_LNEC!$A$4:$J$6971,6,FALSE)</f>
        <v>-</v>
      </c>
      <c r="K957">
        <f>VLOOKUP(A957,Pr_Base_LNEC!$A$4:$J$6971,7,FALSE)</f>
        <v>0</v>
      </c>
    </row>
    <row r="958" spans="1:11" ht="14.5">
      <c r="A958" s="20" t="s">
        <v>16075</v>
      </c>
      <c r="B958" s="20">
        <v>20</v>
      </c>
      <c r="C958" s="20">
        <v>85</v>
      </c>
      <c r="D958" s="20">
        <v>9</v>
      </c>
      <c r="E958" s="20">
        <v>9</v>
      </c>
      <c r="F958" s="20" t="s">
        <v>16076</v>
      </c>
      <c r="G958" s="20" t="s">
        <v>16077</v>
      </c>
      <c r="H958" s="24"/>
      <c r="I958" s="24" t="str">
        <f ca="1">IFERROR(__xludf.DUMMYFUNCTION("GOOGLETRANSLATE(F958,""en"",""pt"")"),"suportes ângulo entre colchetes")</f>
        <v>suportes ângulo entre colchetes</v>
      </c>
      <c r="J958" t="str">
        <f>VLOOKUP(A958,Pr_Base_LNEC!$A$4:$J$6971,6,FALSE)</f>
        <v>-</v>
      </c>
      <c r="K958">
        <f>VLOOKUP(A958,Pr_Base_LNEC!$A$4:$J$6971,7,FALSE)</f>
        <v>0</v>
      </c>
    </row>
    <row r="959" spans="1:11" ht="14.5">
      <c r="A959" s="20" t="s">
        <v>16078</v>
      </c>
      <c r="B959" s="20">
        <v>20</v>
      </c>
      <c r="C959" s="20">
        <v>85</v>
      </c>
      <c r="D959" s="20">
        <v>9</v>
      </c>
      <c r="E959" s="20">
        <v>11</v>
      </c>
      <c r="F959" s="20" t="s">
        <v>16079</v>
      </c>
      <c r="G959" s="20" t="s">
        <v>16080</v>
      </c>
      <c r="H959" s="24"/>
      <c r="I959" s="24" t="str">
        <f ca="1">IFERROR(__xludf.DUMMYFUNCTION("GOOGLETRANSLATE(F959,""en"",""pt"")"),"suportes de aço de carbono")</f>
        <v>suportes de aço de carbono</v>
      </c>
      <c r="J959" t="str">
        <f>VLOOKUP(A959,Pr_Base_LNEC!$A$4:$J$6971,6,FALSE)</f>
        <v>-</v>
      </c>
      <c r="K959">
        <f>VLOOKUP(A959,Pr_Base_LNEC!$A$4:$J$6971,7,FALSE)</f>
        <v>0</v>
      </c>
    </row>
    <row r="960" spans="1:11" ht="14.5">
      <c r="A960" s="20" t="s">
        <v>16081</v>
      </c>
      <c r="B960" s="20">
        <v>20</v>
      </c>
      <c r="C960" s="20">
        <v>85</v>
      </c>
      <c r="D960" s="20">
        <v>9</v>
      </c>
      <c r="E960" s="20">
        <v>12</v>
      </c>
      <c r="F960" s="20" t="s">
        <v>16082</v>
      </c>
      <c r="G960" s="20" t="s">
        <v>16083</v>
      </c>
      <c r="H960" s="24"/>
      <c r="I960" s="24" t="str">
        <f ca="1">IFERROR(__xludf.DUMMYFUNCTION("GOOGLETRANSLATE(F960,""en"",""pt"")"),"Carbono suportes de barreira da cavidade aço")</f>
        <v>Carbono suportes de barreira da cavidade aço</v>
      </c>
      <c r="J960" t="str">
        <f>VLOOKUP(A960,Pr_Base_LNEC!$A$4:$J$6971,6,FALSE)</f>
        <v>-</v>
      </c>
      <c r="K960">
        <f>VLOOKUP(A960,Pr_Base_LNEC!$A$4:$J$6971,7,FALSE)</f>
        <v>0</v>
      </c>
    </row>
    <row r="961" spans="1:11" ht="14.5">
      <c r="A961" s="20" t="s">
        <v>16084</v>
      </c>
      <c r="B961" s="20">
        <v>20</v>
      </c>
      <c r="C961" s="20">
        <v>85</v>
      </c>
      <c r="D961" s="20">
        <v>9</v>
      </c>
      <c r="E961" s="20">
        <v>14</v>
      </c>
      <c r="F961" s="20" t="s">
        <v>16085</v>
      </c>
      <c r="G961" s="20" t="s">
        <v>16086</v>
      </c>
      <c r="H961" s="24"/>
      <c r="I961" s="24" t="str">
        <f ca="1">IFERROR(__xludf.DUMMYFUNCTION("GOOGLETRANSLATE(F961,""en"",""pt"")"),"suportes de aço carbono esgrima")</f>
        <v>suportes de aço carbono esgrima</v>
      </c>
      <c r="J961" t="str">
        <f>VLOOKUP(A961,Pr_Base_LNEC!$A$4:$J$6971,6,FALSE)</f>
        <v>-</v>
      </c>
      <c r="K961">
        <f>VLOOKUP(A961,Pr_Base_LNEC!$A$4:$J$6971,7,FALSE)</f>
        <v>0</v>
      </c>
    </row>
    <row r="962" spans="1:11" ht="14.5">
      <c r="A962" s="20" t="s">
        <v>16087</v>
      </c>
      <c r="B962" s="20">
        <v>20</v>
      </c>
      <c r="C962" s="20">
        <v>85</v>
      </c>
      <c r="D962" s="20">
        <v>9</v>
      </c>
      <c r="E962" s="20">
        <v>16</v>
      </c>
      <c r="F962" s="20" t="s">
        <v>16088</v>
      </c>
      <c r="G962" s="20" t="s">
        <v>16089</v>
      </c>
      <c r="H962" s="24"/>
      <c r="I962" s="24" t="str">
        <f ca="1">IFERROR(__xludf.DUMMYFUNCTION("GOOGLETRANSLATE(F962,""en"",""pt"")"),"suportes de alvenaria de aço carbono")</f>
        <v>suportes de alvenaria de aço carbono</v>
      </c>
      <c r="J962" t="str">
        <f>VLOOKUP(A962,Pr_Base_LNEC!$A$4:$J$6971,6,FALSE)</f>
        <v>Estribos de suporte em aço para alvenaria</v>
      </c>
      <c r="K962" t="str">
        <f>VLOOKUP(A962,Pr_Base_LNEC!$A$4:$J$6971,7,FALSE)</f>
        <v>EN 845-1:2013+A1:2016</v>
      </c>
    </row>
    <row r="963" spans="1:11" ht="14.5">
      <c r="A963" s="20" t="s">
        <v>16090</v>
      </c>
      <c r="B963" s="20">
        <v>20</v>
      </c>
      <c r="C963" s="20">
        <v>85</v>
      </c>
      <c r="D963" s="20">
        <v>9</v>
      </c>
      <c r="E963" s="20">
        <v>17</v>
      </c>
      <c r="F963" s="20" t="s">
        <v>16091</v>
      </c>
      <c r="G963" s="20" t="s">
        <v>16092</v>
      </c>
      <c r="H963" s="24"/>
      <c r="I963" s="24" t="str">
        <f ca="1">IFERROR(__xludf.DUMMYFUNCTION("GOOGLETRANSLATE(F963,""en"",""pt"")"),"Elenco e suportes de ferro forjado")</f>
        <v>Elenco e suportes de ferro forjado</v>
      </c>
      <c r="J963" t="str">
        <f>VLOOKUP(A963,Pr_Base_LNEC!$A$4:$J$6971,6,FALSE)</f>
        <v>-</v>
      </c>
      <c r="K963">
        <f>VLOOKUP(A963,Pr_Base_LNEC!$A$4:$J$6971,7,FALSE)</f>
        <v>0</v>
      </c>
    </row>
    <row r="964" spans="1:11" ht="14.5">
      <c r="A964" s="20" t="s">
        <v>16093</v>
      </c>
      <c r="B964" s="20">
        <v>20</v>
      </c>
      <c r="C964" s="20">
        <v>85</v>
      </c>
      <c r="D964" s="20">
        <v>9</v>
      </c>
      <c r="E964" s="20">
        <v>18</v>
      </c>
      <c r="F964" s="20" t="s">
        <v>16094</v>
      </c>
      <c r="G964" s="20" t="s">
        <v>16095</v>
      </c>
      <c r="H964" s="24"/>
      <c r="I964" s="24" t="str">
        <f ca="1">IFERROR(__xludf.DUMMYFUNCTION("GOOGLETRANSLATE(F964,""en"",""pt"")"),"suportes de tubos de queda de ferro fundido")</f>
        <v>suportes de tubos de queda de ferro fundido</v>
      </c>
      <c r="J964" t="str">
        <f>VLOOKUP(A964,Pr_Base_LNEC!$A$4:$J$6971,6,FALSE)</f>
        <v>-</v>
      </c>
      <c r="K964">
        <f>VLOOKUP(A964,Pr_Base_LNEC!$A$4:$J$6971,7,FALSE)</f>
        <v>0</v>
      </c>
    </row>
    <row r="965" spans="1:11" ht="14.5">
      <c r="A965" s="20" t="s">
        <v>16096</v>
      </c>
      <c r="B965" s="20">
        <v>20</v>
      </c>
      <c r="C965" s="20">
        <v>85</v>
      </c>
      <c r="D965" s="20">
        <v>9</v>
      </c>
      <c r="E965" s="20">
        <v>19</v>
      </c>
      <c r="F965" s="20" t="s">
        <v>16097</v>
      </c>
      <c r="G965" s="20" t="s">
        <v>16098</v>
      </c>
      <c r="H965" s="24"/>
      <c r="I965" s="24" t="str">
        <f ca="1">IFERROR(__xludf.DUMMYFUNCTION("GOOGLETRANSLATE(F965,""en"",""pt"")"),"ferro fundido suportes de água da chuva sarjeta")</f>
        <v>ferro fundido suportes de água da chuva sarjeta</v>
      </c>
      <c r="J965" t="str">
        <f>VLOOKUP(A965,Pr_Base_LNEC!$A$4:$J$6971,6,FALSE)</f>
        <v>-</v>
      </c>
      <c r="K965">
        <f>VLOOKUP(A965,Pr_Base_LNEC!$A$4:$J$6971,7,FALSE)</f>
        <v>0</v>
      </c>
    </row>
    <row r="966" spans="1:11" ht="14.5">
      <c r="A966" s="20" t="s">
        <v>16099</v>
      </c>
      <c r="B966" s="20">
        <v>20</v>
      </c>
      <c r="C966" s="20">
        <v>85</v>
      </c>
      <c r="D966" s="20">
        <v>9</v>
      </c>
      <c r="E966" s="20">
        <v>20</v>
      </c>
      <c r="F966" s="20" t="s">
        <v>16100</v>
      </c>
      <c r="G966" s="20" t="s">
        <v>16101</v>
      </c>
      <c r="H966" s="24"/>
      <c r="I966" s="24" t="str">
        <f ca="1">IFERROR(__xludf.DUMMYFUNCTION("GOOGLETRANSLATE(F966,""en"",""pt"")"),"suportes de cobre")</f>
        <v>suportes de cobre</v>
      </c>
      <c r="J966" t="str">
        <f>VLOOKUP(A966,Pr_Base_LNEC!$A$4:$J$6971,6,FALSE)</f>
        <v>Estribos de suporte em cobre para alvenaria</v>
      </c>
      <c r="K966" t="str">
        <f>VLOOKUP(A966,Pr_Base_LNEC!$A$4:$J$6971,7,FALSE)</f>
        <v>EN 845-1:2013+A1:2016</v>
      </c>
    </row>
    <row r="967" spans="1:11" ht="14.5">
      <c r="A967" s="20" t="s">
        <v>16102</v>
      </c>
      <c r="B967" s="20">
        <v>20</v>
      </c>
      <c r="C967" s="20">
        <v>85</v>
      </c>
      <c r="D967" s="20">
        <v>9</v>
      </c>
      <c r="E967" s="20">
        <v>21</v>
      </c>
      <c r="F967" s="20" t="s">
        <v>16103</v>
      </c>
      <c r="G967" s="20" t="s">
        <v>16104</v>
      </c>
      <c r="H967" s="24"/>
      <c r="I967" s="24" t="str">
        <f ca="1">IFERROR(__xludf.DUMMYFUNCTION("GOOGLETRANSLATE(F967,""en"",""pt"")"),"suportes de cobre tubos de queda")</f>
        <v>suportes de cobre tubos de queda</v>
      </c>
      <c r="J967" t="str">
        <f>VLOOKUP(A967,Pr_Base_LNEC!$A$4:$J$6971,6,FALSE)</f>
        <v>-</v>
      </c>
      <c r="K967">
        <f>VLOOKUP(A967,Pr_Base_LNEC!$A$4:$J$6971,7,FALSE)</f>
        <v>0</v>
      </c>
    </row>
    <row r="968" spans="1:11" ht="14.5">
      <c r="A968" s="20" t="s">
        <v>16105</v>
      </c>
      <c r="B968" s="20">
        <v>20</v>
      </c>
      <c r="C968" s="20">
        <v>85</v>
      </c>
      <c r="D968" s="20">
        <v>9</v>
      </c>
      <c r="E968" s="20">
        <v>22</v>
      </c>
      <c r="F968" s="20" t="s">
        <v>16106</v>
      </c>
      <c r="G968" s="20" t="s">
        <v>16107</v>
      </c>
      <c r="H968" s="24"/>
      <c r="I968" s="24" t="str">
        <f ca="1">IFERROR(__xludf.DUMMYFUNCTION("GOOGLETRANSLATE(F968,""en"",""pt"")"),"suportes de calha de cobre de águas pluviais")</f>
        <v>suportes de calha de cobre de águas pluviais</v>
      </c>
      <c r="J968" t="str">
        <f>VLOOKUP(A968,Pr_Base_LNEC!$A$4:$J$6971,6,FALSE)</f>
        <v>-</v>
      </c>
      <c r="K968">
        <f>VLOOKUP(A968,Pr_Base_LNEC!$A$4:$J$6971,7,FALSE)</f>
        <v>0</v>
      </c>
    </row>
    <row r="969" spans="1:11" ht="14.5">
      <c r="A969" s="20" t="s">
        <v>16108</v>
      </c>
      <c r="B969" s="20">
        <v>20</v>
      </c>
      <c r="C969" s="20">
        <v>85</v>
      </c>
      <c r="D969" s="20">
        <v>9</v>
      </c>
      <c r="E969" s="20">
        <v>23</v>
      </c>
      <c r="F969" s="20" t="s">
        <v>16109</v>
      </c>
      <c r="G969" s="20" t="s">
        <v>16110</v>
      </c>
      <c r="H969" s="24"/>
      <c r="I969" s="24" t="str">
        <f ca="1">IFERROR(__xludf.DUMMYFUNCTION("GOOGLETRANSLATE(F969,""en"",""pt"")"),"CURTAIN WALL braçadeiras de suporte ajustáveis")</f>
        <v>CURTAIN WALL braçadeiras de suporte ajustáveis</v>
      </c>
      <c r="J969" t="str">
        <f>VLOOKUP(A969,Pr_Base_LNEC!$A$4:$J$6971,6,FALSE)</f>
        <v>-</v>
      </c>
      <c r="K969">
        <f>VLOOKUP(A969,Pr_Base_LNEC!$A$4:$J$6971,7,FALSE)</f>
        <v>0</v>
      </c>
    </row>
    <row r="970" spans="1:11" ht="14.5">
      <c r="A970" s="20" t="s">
        <v>16111</v>
      </c>
      <c r="B970" s="20">
        <v>20</v>
      </c>
      <c r="C970" s="20">
        <v>85</v>
      </c>
      <c r="D970" s="20">
        <v>9</v>
      </c>
      <c r="E970" s="20">
        <v>24</v>
      </c>
      <c r="F970" s="20" t="s">
        <v>16112</v>
      </c>
      <c r="G970" s="24"/>
      <c r="H970" s="24"/>
      <c r="I970" s="24" t="str">
        <f ca="1">IFERROR(__xludf.DUMMYFUNCTION("GOOGLETRANSLATE(F970,""en"",""pt"")"),"suportes de tubos de queda")</f>
        <v>suportes de tubos de queda</v>
      </c>
      <c r="J970" t="str">
        <f>VLOOKUP(A970,Pr_Base_LNEC!$A$4:$J$6971,6,FALSE)</f>
        <v>-</v>
      </c>
      <c r="K970">
        <f>VLOOKUP(A970,Pr_Base_LNEC!$A$4:$J$6971,7,FALSE)</f>
        <v>0</v>
      </c>
    </row>
    <row r="971" spans="1:11" ht="14.5">
      <c r="A971" s="20" t="s">
        <v>16113</v>
      </c>
      <c r="B971" s="20">
        <v>20</v>
      </c>
      <c r="C971" s="20">
        <v>85</v>
      </c>
      <c r="D971" s="20">
        <v>9</v>
      </c>
      <c r="E971" s="20">
        <v>26</v>
      </c>
      <c r="F971" s="20" t="s">
        <v>16114</v>
      </c>
      <c r="G971" s="20" t="s">
        <v>16115</v>
      </c>
      <c r="H971" s="24"/>
      <c r="I971" s="24" t="str">
        <f ca="1">IFERROR(__xludf.DUMMYFUNCTION("GOOGLETRANSLATE(F971,""en"",""pt"")"),"Eaves calha suportes")</f>
        <v>Eaves calha suportes</v>
      </c>
      <c r="J971" t="str">
        <f>VLOOKUP(A971,Pr_Base_LNEC!$A$4:$J$6971,6,FALSE)</f>
        <v>-</v>
      </c>
      <c r="K971">
        <f>VLOOKUP(A971,Pr_Base_LNEC!$A$4:$J$6971,7,FALSE)</f>
        <v>0</v>
      </c>
    </row>
    <row r="972" spans="1:11" ht="14.5">
      <c r="A972" s="20" t="s">
        <v>16116</v>
      </c>
      <c r="B972" s="20">
        <v>20</v>
      </c>
      <c r="C972" s="20">
        <v>85</v>
      </c>
      <c r="D972" s="20">
        <v>9</v>
      </c>
      <c r="E972" s="20">
        <v>28</v>
      </c>
      <c r="F972" s="20" t="s">
        <v>16117</v>
      </c>
      <c r="G972" s="20" t="s">
        <v>16118</v>
      </c>
      <c r="H972" s="24"/>
      <c r="I972" s="24" t="str">
        <f ca="1">IFERROR(__xludf.DUMMYFUNCTION("GOOGLETRANSLATE(F972,""en"",""pt"")"),"Extintor de suportes de montagem")</f>
        <v>Extintor de suportes de montagem</v>
      </c>
      <c r="J972" t="str">
        <f>VLOOKUP(A972,Pr_Base_LNEC!$A$4:$J$6971,6,FALSE)</f>
        <v>-</v>
      </c>
      <c r="K972">
        <f>VLOOKUP(A972,Pr_Base_LNEC!$A$4:$J$6971,7,FALSE)</f>
        <v>0</v>
      </c>
    </row>
    <row r="973" spans="1:11" ht="14.5">
      <c r="A973" s="20" t="s">
        <v>16119</v>
      </c>
      <c r="B973" s="20">
        <v>20</v>
      </c>
      <c r="C973" s="20">
        <v>85</v>
      </c>
      <c r="D973" s="20">
        <v>9</v>
      </c>
      <c r="E973" s="20">
        <v>30</v>
      </c>
      <c r="F973" s="20" t="s">
        <v>16120</v>
      </c>
      <c r="G973" s="20" t="s">
        <v>16121</v>
      </c>
      <c r="H973" s="24"/>
      <c r="I973" s="24" t="str">
        <f ca="1">IFERROR(__xludf.DUMMYFUNCTION("GOOGLETRANSLATE(F973,""en"",""pt"")"),"suportes de parede fogo balde")</f>
        <v>suportes de parede fogo balde</v>
      </c>
      <c r="J973" t="str">
        <f>VLOOKUP(A973,Pr_Base_LNEC!$A$4:$J$6971,6,FALSE)</f>
        <v>-</v>
      </c>
      <c r="K973">
        <f>VLOOKUP(A973,Pr_Base_LNEC!$A$4:$J$6971,7,FALSE)</f>
        <v>0</v>
      </c>
    </row>
    <row r="974" spans="1:11" ht="14.5">
      <c r="A974" s="20" t="s">
        <v>16122</v>
      </c>
      <c r="B974" s="20">
        <v>20</v>
      </c>
      <c r="C974" s="20">
        <v>85</v>
      </c>
      <c r="D974" s="20">
        <v>9</v>
      </c>
      <c r="E974" s="20">
        <v>31</v>
      </c>
      <c r="F974" s="20" t="s">
        <v>16123</v>
      </c>
      <c r="G974" s="20" t="s">
        <v>16124</v>
      </c>
      <c r="H974" s="24"/>
      <c r="I974" s="24" t="str">
        <f ca="1">IFERROR(__xludf.DUMMYFUNCTION("GOOGLETRANSLATE(F974,""en"",""pt"")"),"suportes de tubos de queda de aço galvanizado")</f>
        <v>suportes de tubos de queda de aço galvanizado</v>
      </c>
      <c r="J974" t="str">
        <f>VLOOKUP(A974,Pr_Base_LNEC!$A$4:$J$6971,6,FALSE)</f>
        <v>-</v>
      </c>
      <c r="K974">
        <f>VLOOKUP(A974,Pr_Base_LNEC!$A$4:$J$6971,7,FALSE)</f>
        <v>0</v>
      </c>
    </row>
    <row r="975" spans="1:11" ht="14.5">
      <c r="A975" s="20" t="s">
        <v>16125</v>
      </c>
      <c r="B975" s="20">
        <v>20</v>
      </c>
      <c r="C975" s="20">
        <v>85</v>
      </c>
      <c r="D975" s="20">
        <v>9</v>
      </c>
      <c r="E975" s="20">
        <v>32</v>
      </c>
      <c r="F975" s="20" t="s">
        <v>16126</v>
      </c>
      <c r="G975" s="20" t="s">
        <v>16127</v>
      </c>
      <c r="H975" s="24"/>
      <c r="I975" s="24" t="str">
        <f ca="1">IFERROR(__xludf.DUMMYFUNCTION("GOOGLETRANSLATE(F975,""en"",""pt"")"),"aço galvanizado colchetes água da chuva sarjeta")</f>
        <v>aço galvanizado colchetes água da chuva sarjeta</v>
      </c>
      <c r="J975" t="str">
        <f>VLOOKUP(A975,Pr_Base_LNEC!$A$4:$J$6971,6,FALSE)</f>
        <v>-</v>
      </c>
      <c r="K975">
        <f>VLOOKUP(A975,Pr_Base_LNEC!$A$4:$J$6971,7,FALSE)</f>
        <v>0</v>
      </c>
    </row>
    <row r="976" spans="1:11" ht="14.5">
      <c r="A976" s="20" t="s">
        <v>16128</v>
      </c>
      <c r="B976" s="20">
        <v>20</v>
      </c>
      <c r="C976" s="20">
        <v>85</v>
      </c>
      <c r="D976" s="20">
        <v>9</v>
      </c>
      <c r="E976" s="20">
        <v>33</v>
      </c>
      <c r="F976" s="20" t="s">
        <v>16129</v>
      </c>
      <c r="G976" s="20" t="s">
        <v>16130</v>
      </c>
      <c r="H976" s="24"/>
      <c r="I976" s="24" t="str">
        <f ca="1">IFERROR(__xludf.DUMMYFUNCTION("GOOGLETRANSLATE(F976,""en"",""pt"")"),"suportes de aço galvanizado")</f>
        <v>suportes de aço galvanizado</v>
      </c>
      <c r="J976" t="str">
        <f>VLOOKUP(A976,Pr_Base_LNEC!$A$4:$J$6971,6,FALSE)</f>
        <v>-</v>
      </c>
      <c r="K976">
        <f>VLOOKUP(A976,Pr_Base_LNEC!$A$4:$J$6971,7,FALSE)</f>
        <v>0</v>
      </c>
    </row>
    <row r="977" spans="1:11" ht="14.5">
      <c r="A977" s="20" t="s">
        <v>16131</v>
      </c>
      <c r="B977" s="20">
        <v>20</v>
      </c>
      <c r="C977" s="20">
        <v>85</v>
      </c>
      <c r="D977" s="20">
        <v>9</v>
      </c>
      <c r="E977" s="20">
        <v>37</v>
      </c>
      <c r="F977" s="20" t="s">
        <v>16132</v>
      </c>
      <c r="G977" s="24"/>
      <c r="H977" s="24"/>
      <c r="I977" s="24" t="str">
        <f ca="1">IFERROR(__xludf.DUMMYFUNCTION("GOOGLETRANSLATE(F977,""en"",""pt"")"),"caixa oca galvanizado suportes de aço")</f>
        <v>caixa oca galvanizado suportes de aço</v>
      </c>
      <c r="J977" t="str">
        <f>VLOOKUP(A977,Pr_Base_LNEC!$A$4:$J$6971,6,FALSE)</f>
        <v>-</v>
      </c>
      <c r="K977">
        <f>VLOOKUP(A977,Pr_Base_LNEC!$A$4:$J$6971,7,FALSE)</f>
        <v>0</v>
      </c>
    </row>
    <row r="978" spans="1:11" ht="14.5">
      <c r="A978" s="20" t="s">
        <v>16133</v>
      </c>
      <c r="B978" s="20">
        <v>20</v>
      </c>
      <c r="C978" s="20">
        <v>85</v>
      </c>
      <c r="D978" s="20">
        <v>9</v>
      </c>
      <c r="E978" s="20">
        <v>38</v>
      </c>
      <c r="F978" s="20" t="s">
        <v>16134</v>
      </c>
      <c r="G978" s="24"/>
      <c r="H978" s="24"/>
      <c r="I978" s="24" t="str">
        <f ca="1">IFERROR(__xludf.DUMMYFUNCTION("GOOGLETRANSLATE(F978,""en"",""pt"")"),"Por imersão a quente, pré-revestido suportes de tubos de queda de aço carbono")</f>
        <v>Por imersão a quente, pré-revestido suportes de tubos de queda de aço carbono</v>
      </c>
      <c r="J978" t="e">
        <f>VLOOKUP(A978,Pr_Base_LNEC!$A$4:$J$6971,6,FALSE)</f>
        <v>#N/A</v>
      </c>
      <c r="K978" t="e">
        <f>VLOOKUP(A978,Pr_Base_LNEC!$A$4:$J$6971,7,FALSE)</f>
        <v>#N/A</v>
      </c>
    </row>
    <row r="979" spans="1:11" ht="14.5">
      <c r="A979" s="20" t="s">
        <v>16135</v>
      </c>
      <c r="B979" s="20">
        <v>20</v>
      </c>
      <c r="C979" s="20">
        <v>85</v>
      </c>
      <c r="D979" s="20">
        <v>9</v>
      </c>
      <c r="E979" s="20">
        <v>39</v>
      </c>
      <c r="F979" s="20" t="s">
        <v>16136</v>
      </c>
      <c r="G979" s="24"/>
      <c r="H979" s="24"/>
      <c r="I979" s="24" t="str">
        <f ca="1">IFERROR(__xludf.DUMMYFUNCTION("GOOGLETRANSLATE(F979,""en"",""pt"")"),"Por imersão a quente, pré-revestido suportes de calha de aço carbono de águas pluviais")</f>
        <v>Por imersão a quente, pré-revestido suportes de calha de aço carbono de águas pluviais</v>
      </c>
      <c r="J979" t="e">
        <f>VLOOKUP(A979,Pr_Base_LNEC!$A$4:$J$6971,6,FALSE)</f>
        <v>#N/A</v>
      </c>
      <c r="K979" t="e">
        <f>VLOOKUP(A979,Pr_Base_LNEC!$A$4:$J$6971,7,FALSE)</f>
        <v>#N/A</v>
      </c>
    </row>
    <row r="980" spans="1:11" ht="14.5">
      <c r="A980" s="20" t="s">
        <v>16137</v>
      </c>
      <c r="B980" s="20">
        <v>20</v>
      </c>
      <c r="C980" s="20">
        <v>85</v>
      </c>
      <c r="D980" s="20">
        <v>9</v>
      </c>
      <c r="E980" s="20">
        <v>42</v>
      </c>
      <c r="F980" s="20" t="s">
        <v>16138</v>
      </c>
      <c r="G980" s="20" t="s">
        <v>16139</v>
      </c>
      <c r="H980" s="24"/>
      <c r="I980" s="24" t="str">
        <f ca="1">IFERROR(__xludf.DUMMYFUNCTION("GOOGLETRANSLATE(F980,""en"",""pt"")"),"suportes de alvenaria individuais")</f>
        <v>suportes de alvenaria individuais</v>
      </c>
      <c r="J980" t="str">
        <f>VLOOKUP(A980,Pr_Base_LNEC!$A$4:$J$6971,6,FALSE)</f>
        <v>Estribos de suporte individuais para alvenaria</v>
      </c>
      <c r="K980" t="str">
        <f>VLOOKUP(A980,Pr_Base_LNEC!$A$4:$J$6971,7,FALSE)</f>
        <v>EN 845-1:2013+A1:2016</v>
      </c>
    </row>
    <row r="981" spans="1:11" ht="14.5">
      <c r="A981" s="20" t="s">
        <v>16140</v>
      </c>
      <c r="B981" s="20">
        <v>20</v>
      </c>
      <c r="C981" s="20">
        <v>85</v>
      </c>
      <c r="D981" s="20">
        <v>9</v>
      </c>
      <c r="E981" s="20">
        <v>46</v>
      </c>
      <c r="F981" s="20" t="s">
        <v>16141</v>
      </c>
      <c r="G981" s="24"/>
      <c r="H981" s="24"/>
      <c r="I981" s="24" t="str">
        <f ca="1">IFERROR(__xludf.DUMMYFUNCTION("GOOGLETRANSLATE(F981,""en"",""pt"")"),"suportes de escada calha")</f>
        <v>suportes de escada calha</v>
      </c>
      <c r="J981" t="e">
        <f>VLOOKUP(A981,Pr_Base_LNEC!$A$4:$J$6971,6,FALSE)</f>
        <v>#N/A</v>
      </c>
      <c r="K981" t="e">
        <f>VLOOKUP(A981,Pr_Base_LNEC!$A$4:$J$6971,7,FALSE)</f>
        <v>#N/A</v>
      </c>
    </row>
    <row r="982" spans="1:11" ht="14.5">
      <c r="A982" s="20" t="s">
        <v>16142</v>
      </c>
      <c r="B982" s="20">
        <v>20</v>
      </c>
      <c r="C982" s="20">
        <v>85</v>
      </c>
      <c r="D982" s="20">
        <v>9</v>
      </c>
      <c r="E982" s="20">
        <v>47</v>
      </c>
      <c r="F982" s="20" t="s">
        <v>16143</v>
      </c>
      <c r="G982" s="24"/>
      <c r="H982" s="24"/>
      <c r="I982" s="24" t="str">
        <f ca="1">IFERROR(__xludf.DUMMYFUNCTION("GOOGLETRANSLATE(F982,""en"",""pt"")"),"suportes de parede escada")</f>
        <v>suportes de parede escada</v>
      </c>
      <c r="J982" t="e">
        <f>VLOOKUP(A982,Pr_Base_LNEC!$A$4:$J$6971,6,FALSE)</f>
        <v>#N/A</v>
      </c>
      <c r="K982" t="e">
        <f>VLOOKUP(A982,Pr_Base_LNEC!$A$4:$J$6971,7,FALSE)</f>
        <v>#N/A</v>
      </c>
    </row>
    <row r="983" spans="1:11" ht="14.5">
      <c r="A983" s="20" t="s">
        <v>16144</v>
      </c>
      <c r="B983" s="20">
        <v>20</v>
      </c>
      <c r="C983" s="20">
        <v>85</v>
      </c>
      <c r="D983" s="20">
        <v>9</v>
      </c>
      <c r="E983" s="20">
        <v>48</v>
      </c>
      <c r="F983" s="20" t="s">
        <v>16145</v>
      </c>
      <c r="G983" s="20" t="s">
        <v>16146</v>
      </c>
      <c r="H983" s="24"/>
      <c r="I983" s="24" t="str">
        <f ca="1">IFERROR(__xludf.DUMMYFUNCTION("GOOGLETRANSLATE(F983,""en"",""pt"")"),"Louvre e sombreamento suportes de montagem")</f>
        <v>Louvre e sombreamento suportes de montagem</v>
      </c>
      <c r="J983" t="str">
        <f>VLOOKUP(A983,Pr_Base_LNEC!$A$4:$J$6971,6,FALSE)</f>
        <v>-</v>
      </c>
      <c r="K983">
        <f>VLOOKUP(A983,Pr_Base_LNEC!$A$4:$J$6971,7,FALSE)</f>
        <v>0</v>
      </c>
    </row>
    <row r="984" spans="1:11" ht="14.5">
      <c r="A984" s="20" t="s">
        <v>16147</v>
      </c>
      <c r="B984" s="20">
        <v>20</v>
      </c>
      <c r="C984" s="20">
        <v>85</v>
      </c>
      <c r="D984" s="20">
        <v>9</v>
      </c>
      <c r="E984" s="20">
        <v>52</v>
      </c>
      <c r="F984" s="20" t="s">
        <v>16148</v>
      </c>
      <c r="G984" s="20" t="s">
        <v>16149</v>
      </c>
      <c r="H984" s="24"/>
      <c r="I984" s="24" t="str">
        <f ca="1">IFERROR(__xludf.DUMMYFUNCTION("GOOGLETRANSLATE(F984,""en"",""pt"")"),"Metal suportes de fixação dos membros de madeira")</f>
        <v>Metal suportes de fixação dos membros de madeira</v>
      </c>
      <c r="J984" t="str">
        <f>VLOOKUP(A984,Pr_Base_LNEC!$A$4:$J$6971,6,FALSE)</f>
        <v>-</v>
      </c>
      <c r="K984">
        <f>VLOOKUP(A984,Pr_Base_LNEC!$A$4:$J$6971,7,FALSE)</f>
        <v>0</v>
      </c>
    </row>
    <row r="985" spans="1:11" ht="14.5">
      <c r="A985" s="20" t="s">
        <v>16150</v>
      </c>
      <c r="B985" s="20">
        <v>20</v>
      </c>
      <c r="C985" s="20">
        <v>85</v>
      </c>
      <c r="D985" s="20">
        <v>9</v>
      </c>
      <c r="E985" s="20">
        <v>54</v>
      </c>
      <c r="F985" s="20" t="s">
        <v>16151</v>
      </c>
      <c r="G985" s="24"/>
      <c r="H985" s="24"/>
      <c r="I985" s="24" t="str">
        <f ca="1">IFERROR(__xludf.DUMMYFUNCTION("GOOGLETRANSLATE(F985,""en"",""pt"")"),"Suportes de montagem")</f>
        <v>Suportes de montagem</v>
      </c>
      <c r="J985" t="e">
        <f>VLOOKUP(A985,Pr_Base_LNEC!$A$4:$J$6971,6,FALSE)</f>
        <v>#N/A</v>
      </c>
      <c r="K985" t="e">
        <f>VLOOKUP(A985,Pr_Base_LNEC!$A$4:$J$6971,7,FALSE)</f>
        <v>#N/A</v>
      </c>
    </row>
    <row r="986" spans="1:11" ht="14.5">
      <c r="A986" s="20" t="s">
        <v>16152</v>
      </c>
      <c r="B986" s="20">
        <v>20</v>
      </c>
      <c r="C986" s="20">
        <v>85</v>
      </c>
      <c r="D986" s="20">
        <v>9</v>
      </c>
      <c r="E986" s="20">
        <v>62</v>
      </c>
      <c r="F986" s="20" t="s">
        <v>16153</v>
      </c>
      <c r="G986" s="20" t="s">
        <v>16154</v>
      </c>
      <c r="H986" s="24"/>
      <c r="I986" s="24" t="str">
        <f ca="1">IFERROR(__xludf.DUMMYFUNCTION("GOOGLETRANSLATE(F986,""en"",""pt"")"),"suportes de bronze de fósforo")</f>
        <v>suportes de bronze de fósforo</v>
      </c>
      <c r="J986" t="str">
        <f>VLOOKUP(A986,Pr_Base_LNEC!$A$4:$J$6971,6,FALSE)</f>
        <v>Estribos de suporte em bronze para alvenaria</v>
      </c>
      <c r="K986" t="str">
        <f>VLOOKUP(A986,Pr_Base_LNEC!$A$4:$J$6971,7,FALSE)</f>
        <v>EN 845-1:2013+A1:2016</v>
      </c>
    </row>
    <row r="987" spans="1:11" ht="14.5">
      <c r="A987" s="20" t="s">
        <v>16155</v>
      </c>
      <c r="B987" s="20">
        <v>20</v>
      </c>
      <c r="C987" s="20">
        <v>85</v>
      </c>
      <c r="D987" s="20">
        <v>9</v>
      </c>
      <c r="E987" s="20">
        <v>63</v>
      </c>
      <c r="F987" s="20" t="s">
        <v>16156</v>
      </c>
      <c r="G987" s="24"/>
      <c r="H987" s="24"/>
      <c r="I987" s="24" t="str">
        <f ca="1">IFERROR(__xludf.DUMMYFUNCTION("GOOGLETRANSLATE(F987,""en"",""pt"")"),"plásticos suportes")</f>
        <v>plásticos suportes</v>
      </c>
      <c r="J987" t="str">
        <f>VLOOKUP(A987,Pr_Base_LNEC!$A$4:$J$6971,6,FALSE)</f>
        <v>-</v>
      </c>
      <c r="K987">
        <f>VLOOKUP(A987,Pr_Base_LNEC!$A$4:$J$6971,7,FALSE)</f>
        <v>0</v>
      </c>
    </row>
    <row r="988" spans="1:11" ht="14.5">
      <c r="A988" s="20" t="s">
        <v>16157</v>
      </c>
      <c r="B988" s="20">
        <v>20</v>
      </c>
      <c r="C988" s="20">
        <v>85</v>
      </c>
      <c r="D988" s="20">
        <v>9</v>
      </c>
      <c r="E988" s="20">
        <v>72</v>
      </c>
      <c r="F988" s="20" t="s">
        <v>16158</v>
      </c>
      <c r="G988" s="20" t="s">
        <v>16159</v>
      </c>
      <c r="H988" s="24"/>
      <c r="I988" s="24" t="str">
        <f ca="1">IFERROR(__xludf.DUMMYFUNCTION("GOOGLETRANSLATE(F988,""en"",""pt"")"),"suportes de calha do telhado")</f>
        <v>suportes de calha do telhado</v>
      </c>
      <c r="J988" t="str">
        <f>VLOOKUP(A988,Pr_Base_LNEC!$A$4:$J$6971,6,FALSE)</f>
        <v>-</v>
      </c>
      <c r="K988">
        <f>VLOOKUP(A988,Pr_Base_LNEC!$A$4:$J$6971,7,FALSE)</f>
        <v>0</v>
      </c>
    </row>
    <row r="989" spans="1:11" ht="14.5">
      <c r="A989" s="20" t="s">
        <v>16160</v>
      </c>
      <c r="B989" s="20">
        <v>20</v>
      </c>
      <c r="C989" s="20">
        <v>85</v>
      </c>
      <c r="D989" s="20">
        <v>9</v>
      </c>
      <c r="E989" s="20">
        <v>81</v>
      </c>
      <c r="F989" s="20" t="s">
        <v>16161</v>
      </c>
      <c r="G989" s="20" t="s">
        <v>16162</v>
      </c>
      <c r="H989" s="24"/>
      <c r="I989" s="24" t="str">
        <f ca="1">IFERROR(__xludf.DUMMYFUNCTION("GOOGLETRANSLATE(F989,""en"",""pt"")"),"suportes de aço inoxidável")</f>
        <v>suportes de aço inoxidável</v>
      </c>
      <c r="J989" t="str">
        <f>VLOOKUP(A989,Pr_Base_LNEC!$A$4:$J$6971,6,FALSE)</f>
        <v>Estribos de suporte e arames de aço inoxidável</v>
      </c>
      <c r="K989" t="str">
        <f>VLOOKUP(A989,Pr_Base_LNEC!$A$4:$J$6971,7,FALSE)</f>
        <v>EN 10088-5:2009</v>
      </c>
    </row>
    <row r="990" spans="1:11" ht="14.5">
      <c r="A990" s="20" t="s">
        <v>16163</v>
      </c>
      <c r="B990" s="20">
        <v>20</v>
      </c>
      <c r="C990" s="20">
        <v>85</v>
      </c>
      <c r="D990" s="20">
        <v>9</v>
      </c>
      <c r="E990" s="20">
        <v>82</v>
      </c>
      <c r="F990" s="20" t="s">
        <v>16164</v>
      </c>
      <c r="G990" s="20" t="s">
        <v>16165</v>
      </c>
      <c r="H990" s="24"/>
      <c r="I990" s="24" t="str">
        <f ca="1">IFERROR(__xludf.DUMMYFUNCTION("GOOGLETRANSLATE(F990,""en"",""pt"")"),"suportes de barreira cavidade de aço inoxidável")</f>
        <v>suportes de barreira cavidade de aço inoxidável</v>
      </c>
      <c r="J990" t="str">
        <f>VLOOKUP(A990,Pr_Base_LNEC!$A$4:$J$6971,6,FALSE)</f>
        <v>Estribos de suporte e arames alvéolares em aço inoxidável para aplicações na construção</v>
      </c>
      <c r="K990" t="str">
        <f>VLOOKUP(A990,Pr_Base_LNEC!$A$4:$J$6971,7,FALSE)</f>
        <v>EN 10088-5:2009</v>
      </c>
    </row>
    <row r="991" spans="1:11" ht="14.5">
      <c r="A991" s="20" t="s">
        <v>16166</v>
      </c>
      <c r="B991" s="20">
        <v>20</v>
      </c>
      <c r="C991" s="20">
        <v>85</v>
      </c>
      <c r="D991" s="20">
        <v>9</v>
      </c>
      <c r="E991" s="20">
        <v>84</v>
      </c>
      <c r="F991" s="20" t="s">
        <v>16167</v>
      </c>
      <c r="G991" s="20" t="s">
        <v>16168</v>
      </c>
      <c r="H991" s="24"/>
      <c r="I991" s="24" t="str">
        <f ca="1">IFERROR(__xludf.DUMMYFUNCTION("GOOGLETRANSLATE(F991,""en"",""pt"")"),"suportes de corrimão em aço inoxidável")</f>
        <v>suportes de corrimão em aço inoxidável</v>
      </c>
      <c r="J991" t="str">
        <f>VLOOKUP(A991,Pr_Base_LNEC!$A$4:$J$6971,6,FALSE)</f>
        <v>Suporte de arame para corrimão de aço inoxidável</v>
      </c>
      <c r="K991" t="str">
        <f>VLOOKUP(A991,Pr_Base_LNEC!$A$4:$J$6971,7,FALSE)</f>
        <v>EN 10088-5:2009</v>
      </c>
    </row>
    <row r="992" spans="1:11" ht="14.5">
      <c r="A992" s="20" t="s">
        <v>16169</v>
      </c>
      <c r="B992" s="20">
        <v>20</v>
      </c>
      <c r="C992" s="20">
        <v>85</v>
      </c>
      <c r="D992" s="20">
        <v>9</v>
      </c>
      <c r="E992" s="20">
        <v>87</v>
      </c>
      <c r="F992" s="20" t="s">
        <v>16170</v>
      </c>
      <c r="G992" s="20" t="s">
        <v>16171</v>
      </c>
      <c r="H992" s="24"/>
      <c r="I992" s="24" t="str">
        <f ca="1">IFERROR(__xludf.DUMMYFUNCTION("GOOGLETRANSLATE(F992,""en"",""pt"")"),"suportes de alvenaria de aço inoxidável")</f>
        <v>suportes de alvenaria de aço inoxidável</v>
      </c>
      <c r="J992" t="str">
        <f>VLOOKUP(A992,Pr_Base_LNEC!$A$4:$J$6971,6,FALSE)</f>
        <v>Suportes de alvenaria em aço inoxidável</v>
      </c>
      <c r="K992" t="str">
        <f>VLOOKUP(A992,Pr_Base_LNEC!$A$4:$J$6971,7,FALSE)</f>
        <v>EN 10088-5:2009</v>
      </c>
    </row>
    <row r="993" spans="1:11" ht="14.5">
      <c r="A993" s="20" t="s">
        <v>16172</v>
      </c>
      <c r="B993" s="20">
        <v>20</v>
      </c>
      <c r="C993" s="20">
        <v>85</v>
      </c>
      <c r="D993" s="20">
        <v>9</v>
      </c>
      <c r="E993" s="20">
        <v>88</v>
      </c>
      <c r="F993" s="20" t="s">
        <v>16173</v>
      </c>
      <c r="G993" s="20" t="s">
        <v>16174</v>
      </c>
      <c r="H993" s="24"/>
      <c r="I993" s="24" t="str">
        <f ca="1">IFERROR(__xludf.DUMMYFUNCTION("GOOGLETRANSLATE(F993,""en"",""pt"")"),"suportes Sink")</f>
        <v>suportes Sink</v>
      </c>
      <c r="J993" t="str">
        <f>VLOOKUP(A993,Pr_Base_LNEC!$A$4:$J$6971,6,FALSE)</f>
        <v>-</v>
      </c>
      <c r="K993">
        <f>VLOOKUP(A993,Pr_Base_LNEC!$A$4:$J$6971,7,FALSE)</f>
        <v>0</v>
      </c>
    </row>
    <row r="994" spans="1:11" ht="14.5">
      <c r="A994" s="20" t="s">
        <v>16175</v>
      </c>
      <c r="B994" s="20">
        <v>20</v>
      </c>
      <c r="C994" s="20">
        <v>85</v>
      </c>
      <c r="D994" s="20">
        <v>9</v>
      </c>
      <c r="E994" s="20">
        <v>92</v>
      </c>
      <c r="F994" s="20" t="s">
        <v>16176</v>
      </c>
      <c r="G994" s="20" t="s">
        <v>16177</v>
      </c>
      <c r="H994" s="24"/>
      <c r="I994" s="24" t="str">
        <f ca="1">IFERROR(__xludf.DUMMYFUNCTION("GOOGLETRANSLATE(F994,""en"",""pt"")"),"de cloreto de polivinilo não plastificado (PVC-U) suportes de tubos de queda")</f>
        <v>de cloreto de polivinilo não plastificado (PVC-U) suportes de tubos de queda</v>
      </c>
      <c r="J994" t="str">
        <f>VLOOKUP(A994,Pr_Base_LNEC!$A$4:$J$6971,6,FALSE)</f>
        <v>-</v>
      </c>
      <c r="K994">
        <f>VLOOKUP(A994,Pr_Base_LNEC!$A$4:$J$6971,7,FALSE)</f>
        <v>0</v>
      </c>
    </row>
    <row r="995" spans="1:11" ht="14.5">
      <c r="A995" s="20" t="s">
        <v>16178</v>
      </c>
      <c r="B995" s="20">
        <v>20</v>
      </c>
      <c r="C995" s="20">
        <v>85</v>
      </c>
      <c r="D995" s="20">
        <v>9</v>
      </c>
      <c r="E995" s="20">
        <v>93</v>
      </c>
      <c r="F995" s="20" t="s">
        <v>16179</v>
      </c>
      <c r="G995" s="20" t="s">
        <v>16180</v>
      </c>
      <c r="H995" s="24"/>
      <c r="I995" s="24" t="str">
        <f ca="1">IFERROR(__xludf.DUMMYFUNCTION("GOOGLETRANSLATE(F995,""en"",""pt"")"),"cloreto de polivinilo não plastificado (PVC-U) a água da chuva calha suportes")</f>
        <v>cloreto de polivinilo não plastificado (PVC-U) a água da chuva calha suportes</v>
      </c>
      <c r="J995" t="str">
        <f>VLOOKUP(A995,Pr_Base_LNEC!$A$4:$J$6971,6,FALSE)</f>
        <v>-</v>
      </c>
      <c r="K995">
        <f>VLOOKUP(A995,Pr_Base_LNEC!$A$4:$J$6971,7,FALSE)</f>
        <v>0</v>
      </c>
    </row>
    <row r="996" spans="1:11" ht="14.5">
      <c r="A996" s="20" t="s">
        <v>16181</v>
      </c>
      <c r="B996" s="20">
        <v>20</v>
      </c>
      <c r="C996" s="20">
        <v>85</v>
      </c>
      <c r="D996" s="20">
        <v>9</v>
      </c>
      <c r="E996" s="20">
        <v>96</v>
      </c>
      <c r="F996" s="20" t="s">
        <v>16182</v>
      </c>
      <c r="G996" s="20" t="s">
        <v>16183</v>
      </c>
      <c r="H996" s="24"/>
      <c r="I996" s="24" t="str">
        <f ca="1">IFERROR(__xludf.DUMMYFUNCTION("GOOGLETRANSLATE(F996,""en"",""pt"")"),"suportes de parede-hung WC")</f>
        <v>suportes de parede-hung WC</v>
      </c>
      <c r="J996" t="str">
        <f>VLOOKUP(A996,Pr_Base_LNEC!$A$4:$J$6971,6,FALSE)</f>
        <v>-</v>
      </c>
      <c r="K996">
        <f>VLOOKUP(A996,Pr_Base_LNEC!$A$4:$J$6971,7,FALSE)</f>
        <v>0</v>
      </c>
    </row>
    <row r="997" spans="1:11" ht="14.5">
      <c r="A997" s="20" t="s">
        <v>16184</v>
      </c>
      <c r="B997" s="20">
        <v>20</v>
      </c>
      <c r="C997" s="20">
        <v>85</v>
      </c>
      <c r="D997" s="20">
        <v>9</v>
      </c>
      <c r="E997" s="20">
        <v>98</v>
      </c>
      <c r="F997" s="20" t="s">
        <v>16185</v>
      </c>
      <c r="G997" s="20" t="s">
        <v>16186</v>
      </c>
      <c r="H997" s="24"/>
      <c r="I997" s="24" t="str">
        <f ca="1">IFERROR(__xludf.DUMMYFUNCTION("GOOGLETRANSLATE(F997,""en"",""pt"")"),"Lavar os suportes de apoio da bacia")</f>
        <v>Lavar os suportes de apoio da bacia</v>
      </c>
      <c r="J997" t="str">
        <f>VLOOKUP(A997,Pr_Base_LNEC!$A$4:$J$6971,6,FALSE)</f>
        <v>-</v>
      </c>
      <c r="K997">
        <f>VLOOKUP(A997,Pr_Base_LNEC!$A$4:$J$6971,7,FALSE)</f>
        <v>0</v>
      </c>
    </row>
    <row r="998" spans="1:11" ht="14.5">
      <c r="A998" s="20" t="s">
        <v>16187</v>
      </c>
      <c r="B998" s="20">
        <v>20</v>
      </c>
      <c r="C998" s="20">
        <v>85</v>
      </c>
      <c r="D998" s="20">
        <v>10</v>
      </c>
      <c r="E998" s="24"/>
      <c r="F998" s="20" t="s">
        <v>16188</v>
      </c>
      <c r="G998" s="24"/>
      <c r="H998" s="24"/>
      <c r="I998" s="24" t="str">
        <f ca="1">IFERROR(__xludf.DUMMYFUNCTION("GOOGLETRANSLATE(F998,""en"",""pt"")"),"rolamentos ponte")</f>
        <v>rolamentos ponte</v>
      </c>
      <c r="J998" t="str">
        <f>VLOOKUP(A998,Pr_Base_LNEC!$A$4:$J$6971,6,FALSE)</f>
        <v>Dispositivos de apoio estrutural</v>
      </c>
      <c r="K998">
        <f>VLOOKUP(A998,Pr_Base_LNEC!$A$4:$J$6971,7,FALSE)</f>
        <v>0</v>
      </c>
    </row>
    <row r="999" spans="1:11" ht="14.5">
      <c r="A999" s="20" t="s">
        <v>16189</v>
      </c>
      <c r="B999" s="20">
        <v>20</v>
      </c>
      <c r="C999" s="20">
        <v>85</v>
      </c>
      <c r="D999" s="20">
        <v>10</v>
      </c>
      <c r="E999" s="20">
        <v>20</v>
      </c>
      <c r="F999" s="20" t="s">
        <v>16190</v>
      </c>
      <c r="G999" s="20" t="s">
        <v>16191</v>
      </c>
      <c r="H999" s="24"/>
      <c r="I999" s="24" t="str">
        <f ca="1">IFERROR(__xludf.DUMMYFUNCTION("GOOGLETRANSLATE(F999,""en"",""pt"")"),"rolamentos cilíndrica de PTFE")</f>
        <v>rolamentos cilíndrica de PTFE</v>
      </c>
      <c r="J999" t="str">
        <f>VLOOKUP(A999,Pr_Base_LNEC!$A$4:$J$6971,6,FALSE)</f>
        <v>Dispositivos cilindricos de apoio estrutural elastoméricos (PTFE)</v>
      </c>
      <c r="K999" t="str">
        <f>VLOOKUP(A999,Pr_Base_LNEC!$A$4:$J$6971,7,FALSE)</f>
        <v>EN 1337-3:2005</v>
      </c>
    </row>
    <row r="1000" spans="1:11" ht="14.5">
      <c r="A1000" s="20" t="s">
        <v>16192</v>
      </c>
      <c r="B1000" s="20">
        <v>20</v>
      </c>
      <c r="C1000" s="20">
        <v>85</v>
      </c>
      <c r="D1000" s="20">
        <v>10</v>
      </c>
      <c r="E1000" s="20">
        <v>27</v>
      </c>
      <c r="F1000" s="20" t="s">
        <v>16193</v>
      </c>
      <c r="G1000" s="20" t="s">
        <v>16194</v>
      </c>
      <c r="H1000" s="24"/>
      <c r="I1000" s="24" t="str">
        <f ca="1">IFERROR(__xludf.DUMMYFUNCTION("GOOGLETRANSLATE(F1000,""en"",""pt"")"),"rolamentos elastoméricos")</f>
        <v>rolamentos elastoméricos</v>
      </c>
      <c r="J1000" t="str">
        <f>VLOOKUP(A1000,Pr_Base_LNEC!$A$4:$J$6971,6,FALSE)</f>
        <v>Dispositivos de apoio estrutral elastoméricos</v>
      </c>
      <c r="K1000" t="str">
        <f>VLOOKUP(A1000,Pr_Base_LNEC!$A$4:$J$6971,7,FALSE)</f>
        <v>EN 1337-3:2005</v>
      </c>
    </row>
    <row r="1001" spans="1:11" ht="14.5">
      <c r="A1001" s="20" t="s">
        <v>16195</v>
      </c>
      <c r="B1001" s="20">
        <v>20</v>
      </c>
      <c r="C1001" s="20">
        <v>85</v>
      </c>
      <c r="D1001" s="20">
        <v>10</v>
      </c>
      <c r="E1001" s="20">
        <v>35</v>
      </c>
      <c r="F1001" s="20" t="s">
        <v>16196</v>
      </c>
      <c r="G1001" s="20" t="s">
        <v>16197</v>
      </c>
      <c r="H1001" s="24"/>
      <c r="I1001" s="24" t="str">
        <f ca="1">IFERROR(__xludf.DUMMYFUNCTION("GOOGLETRANSLATE(F1001,""en"",""pt"")"),"mancais de guia")</f>
        <v>mancais de guia</v>
      </c>
      <c r="J1001" t="str">
        <f>VLOOKUP(A1001,Pr_Base_LNEC!$A$4:$J$6971,6,FALSE)</f>
        <v>Dispositivos de apoio estrutural guiados</v>
      </c>
      <c r="K1001" t="str">
        <f>VLOOKUP(A1001,Pr_Base_LNEC!$A$4:$J$6971,7,FALSE)</f>
        <v>EN 1337-8:2007</v>
      </c>
    </row>
    <row r="1002" spans="1:11" ht="14.5">
      <c r="A1002" s="20" t="s">
        <v>16198</v>
      </c>
      <c r="B1002" s="20">
        <v>20</v>
      </c>
      <c r="C1002" s="20">
        <v>85</v>
      </c>
      <c r="D1002" s="20">
        <v>10</v>
      </c>
      <c r="E1002" s="20">
        <v>65</v>
      </c>
      <c r="F1002" s="20" t="s">
        <v>16199</v>
      </c>
      <c r="G1002" s="20" t="s">
        <v>16200</v>
      </c>
      <c r="H1002" s="24"/>
      <c r="I1002" s="24" t="str">
        <f ca="1">IFERROR(__xludf.DUMMYFUNCTION("GOOGLETRANSLATE(F1002,""en"",""pt"")"),"rolamentos pot")</f>
        <v>rolamentos pot</v>
      </c>
      <c r="J1002" t="str">
        <f>VLOOKUP(A1002,Pr_Base_LNEC!$A$4:$J$6971,6,FALSE)</f>
        <v>Dispositivos de apoio estrutural com recetáculo</v>
      </c>
      <c r="K1002" t="str">
        <f>VLOOKUP(A1002,Pr_Base_LNEC!$A$4:$J$6971,7,FALSE)</f>
        <v>EN 1337-5:2005</v>
      </c>
    </row>
    <row r="1003" spans="1:11" ht="14.5">
      <c r="A1003" s="20" t="s">
        <v>16201</v>
      </c>
      <c r="B1003" s="20">
        <v>20</v>
      </c>
      <c r="C1003" s="20">
        <v>85</v>
      </c>
      <c r="D1003" s="20">
        <v>10</v>
      </c>
      <c r="E1003" s="20">
        <v>70</v>
      </c>
      <c r="F1003" s="20" t="s">
        <v>16202</v>
      </c>
      <c r="G1003" s="20" t="s">
        <v>16203</v>
      </c>
      <c r="H1003" s="24"/>
      <c r="I1003" s="24" t="str">
        <f ca="1">IFERROR(__xludf.DUMMYFUNCTION("GOOGLETRANSLATE(F1003,""en"",""pt"")"),"rolamentos de retenção")</f>
        <v>rolamentos de retenção</v>
      </c>
      <c r="J1003" t="str">
        <f>VLOOKUP(A1003,Pr_Base_LNEC!$A$4:$J$6971,6,FALSE)</f>
        <v>Dispositivos de apoio estrutural para delimitações</v>
      </c>
      <c r="K1003" t="str">
        <f>VLOOKUP(A1003,Pr_Base_LNEC!$A$4:$J$6971,7,FALSE)</f>
        <v>EN 1337-8:2007</v>
      </c>
    </row>
    <row r="1004" spans="1:11" ht="14.5">
      <c r="A1004" s="20" t="s">
        <v>16204</v>
      </c>
      <c r="B1004" s="20">
        <v>20</v>
      </c>
      <c r="C1004" s="20">
        <v>85</v>
      </c>
      <c r="D1004" s="20">
        <v>10</v>
      </c>
      <c r="E1004" s="20">
        <v>72</v>
      </c>
      <c r="F1004" s="20" t="s">
        <v>16205</v>
      </c>
      <c r="G1004" s="20" t="s">
        <v>16206</v>
      </c>
      <c r="H1004" s="24"/>
      <c r="I1004" s="24" t="str">
        <f ca="1">IFERROR(__xludf.DUMMYFUNCTION("GOOGLETRANSLATE(F1004,""en"",""pt"")"),"rolamentos oscilantes")</f>
        <v>rolamentos oscilantes</v>
      </c>
      <c r="J1004" t="str">
        <f>VLOOKUP(A1004,Pr_Base_LNEC!$A$4:$J$6971,6,FALSE)</f>
        <v>Dispositivos de apoio estutural oscilantes</v>
      </c>
      <c r="K1004" t="str">
        <f>VLOOKUP(A1004,Pr_Base_LNEC!$A$4:$J$6971,7,FALSE)</f>
        <v>EN 1337-6:2004.</v>
      </c>
    </row>
    <row r="1005" spans="1:11" ht="14.5">
      <c r="A1005" s="20" t="s">
        <v>16207</v>
      </c>
      <c r="B1005" s="20">
        <v>20</v>
      </c>
      <c r="C1005" s="20">
        <v>85</v>
      </c>
      <c r="D1005" s="20">
        <v>10</v>
      </c>
      <c r="E1005" s="20">
        <v>73</v>
      </c>
      <c r="F1005" s="20" t="s">
        <v>16208</v>
      </c>
      <c r="G1005" s="20" t="s">
        <v>16209</v>
      </c>
      <c r="H1005" s="24"/>
      <c r="I1005" s="24" t="str">
        <f ca="1">IFERROR(__xludf.DUMMYFUNCTION("GOOGLETRANSLATE(F1005,""en"",""pt"")"),"rolamentos de rolos")</f>
        <v>rolamentos de rolos</v>
      </c>
      <c r="J1005" t="str">
        <f>VLOOKUP(A1005,Pr_Base_LNEC!$A$4:$J$6971,6,FALSE)</f>
        <v>Rolamentos de apoio estrutural</v>
      </c>
      <c r="K1005" t="str">
        <f>VLOOKUP(A1005,Pr_Base_LNEC!$A$4:$J$6971,7,FALSE)</f>
        <v>EN 1337-4:2004</v>
      </c>
    </row>
    <row r="1006" spans="1:11" ht="14.5">
      <c r="A1006" s="20" t="s">
        <v>16210</v>
      </c>
      <c r="B1006" s="20">
        <v>20</v>
      </c>
      <c r="C1006" s="20">
        <v>85</v>
      </c>
      <c r="D1006" s="20">
        <v>10</v>
      </c>
      <c r="E1006" s="20">
        <v>79</v>
      </c>
      <c r="F1006" s="20" t="s">
        <v>16211</v>
      </c>
      <c r="G1006" s="20" t="s">
        <v>16212</v>
      </c>
      <c r="H1006" s="24"/>
      <c r="I1006" s="24" t="str">
        <f ca="1">IFERROR(__xludf.DUMMYFUNCTION("GOOGLETRANSLATE(F1006,""en"",""pt"")"),"deslizante elemento")</f>
        <v>deslizante elemento</v>
      </c>
      <c r="J1006" t="str">
        <f>VLOOKUP(A1006,Pr_Base_LNEC!$A$4:$J$6971,6,FALSE)</f>
        <v>-</v>
      </c>
      <c r="K1006">
        <f>VLOOKUP(A1006,Pr_Base_LNEC!$A$4:$J$6971,7,FALSE)</f>
        <v>0</v>
      </c>
    </row>
    <row r="1007" spans="1:11" ht="14.5">
      <c r="A1007" s="20" t="s">
        <v>16213</v>
      </c>
      <c r="B1007" s="20">
        <v>20</v>
      </c>
      <c r="C1007" s="20">
        <v>85</v>
      </c>
      <c r="D1007" s="20">
        <v>10</v>
      </c>
      <c r="E1007" s="20">
        <v>81</v>
      </c>
      <c r="F1007" s="20" t="s">
        <v>16214</v>
      </c>
      <c r="G1007" s="20" t="s">
        <v>16215</v>
      </c>
      <c r="H1007" s="24"/>
      <c r="I1007" s="24" t="str">
        <f ca="1">IFERROR(__xludf.DUMMYFUNCTION("GOOGLETRANSLATE(F1007,""en"",""pt"")"),"rolamentos esféricos PTFE")</f>
        <v>rolamentos esféricos PTFE</v>
      </c>
      <c r="J1007" t="str">
        <f>VLOOKUP(A1007,Pr_Base_LNEC!$A$4:$J$6971,6,FALSE)</f>
        <v>Dsipositivos esféricos e cilindricos PTFE de apoio estrutural</v>
      </c>
      <c r="K1007" t="str">
        <f>VLOOKUP(A1007,Pr_Base_LNEC!$A$4:$J$6971,7,FALSE)</f>
        <v>EN 1337-7:2004</v>
      </c>
    </row>
    <row r="1008" spans="1:11" ht="14.5">
      <c r="A1008" s="20" t="s">
        <v>16216</v>
      </c>
      <c r="B1008" s="20">
        <v>20</v>
      </c>
      <c r="C1008" s="20">
        <v>85</v>
      </c>
      <c r="D1008" s="20">
        <v>11</v>
      </c>
      <c r="E1008" s="24"/>
      <c r="F1008" s="20" t="s">
        <v>16217</v>
      </c>
      <c r="G1008" s="24"/>
      <c r="H1008" s="24"/>
      <c r="I1008" s="24" t="str">
        <f ca="1">IFERROR(__xludf.DUMMYFUNCTION("GOOGLETRANSLATE(F1008,""en"",""pt"")"),"cabos de suspensão de pontes")</f>
        <v>cabos de suspensão de pontes</v>
      </c>
      <c r="J1008" t="str">
        <f>VLOOKUP(A1008,Pr_Base_LNEC!$A$4:$J$6971,6,FALSE)</f>
        <v>Cabos para suspensão de pontes</v>
      </c>
      <c r="K1008">
        <f>VLOOKUP(A1008,Pr_Base_LNEC!$A$4:$J$6971,7,FALSE)</f>
        <v>0</v>
      </c>
    </row>
    <row r="1009" spans="1:11" ht="14.5">
      <c r="A1009" s="20" t="s">
        <v>16218</v>
      </c>
      <c r="B1009" s="20">
        <v>20</v>
      </c>
      <c r="C1009" s="20">
        <v>85</v>
      </c>
      <c r="D1009" s="20">
        <v>11</v>
      </c>
      <c r="E1009" s="20">
        <v>48</v>
      </c>
      <c r="F1009" s="20" t="s">
        <v>16219</v>
      </c>
      <c r="G1009" s="20" t="s">
        <v>16220</v>
      </c>
      <c r="H1009" s="24"/>
      <c r="I1009" s="24" t="str">
        <f ca="1">IFERROR(__xludf.DUMMYFUNCTION("GOOGLETRANSLATE(F1009,""en"",""pt"")"),"Locked bobina de cabos de filamentos")</f>
        <v>Locked bobina de cabos de filamentos</v>
      </c>
      <c r="J1009" t="str">
        <f>VLOOKUP(A1009,Pr_Base_LNEC!$A$4:$J$6971,6,FALSE)</f>
        <v>-</v>
      </c>
      <c r="K1009">
        <f>VLOOKUP(A1009,Pr_Base_LNEC!$A$4:$J$6971,7,FALSE)</f>
        <v>0</v>
      </c>
    </row>
    <row r="1010" spans="1:11" ht="14.5">
      <c r="A1010" s="20" t="s">
        <v>16221</v>
      </c>
      <c r="B1010" s="20">
        <v>20</v>
      </c>
      <c r="C1010" s="20">
        <v>85</v>
      </c>
      <c r="D1010" s="20">
        <v>11</v>
      </c>
      <c r="E1010" s="20">
        <v>60</v>
      </c>
      <c r="F1010" s="20" t="s">
        <v>16222</v>
      </c>
      <c r="G1010" s="20" t="s">
        <v>16223</v>
      </c>
      <c r="H1010" s="24"/>
      <c r="I1010" s="24" t="str">
        <f ca="1">IFERROR(__xludf.DUMMYFUNCTION("GOOGLETRANSLATE(F1010,""en"",""pt"")"),"Cabos de filamentos de arame paralelo")</f>
        <v>Cabos de filamentos de arame paralelo</v>
      </c>
      <c r="J1010" t="str">
        <f>VLOOKUP(A1010,Pr_Base_LNEC!$A$4:$J$6971,6,FALSE)</f>
        <v>-</v>
      </c>
      <c r="K1010">
        <f>VLOOKUP(A1010,Pr_Base_LNEC!$A$4:$J$6971,7,FALSE)</f>
        <v>0</v>
      </c>
    </row>
    <row r="1011" spans="1:11" ht="14.5">
      <c r="A1011" s="20" t="s">
        <v>16224</v>
      </c>
      <c r="B1011" s="20">
        <v>20</v>
      </c>
      <c r="C1011" s="20">
        <v>85</v>
      </c>
      <c r="D1011" s="20">
        <v>11</v>
      </c>
      <c r="E1011" s="20">
        <v>80</v>
      </c>
      <c r="F1011" s="20" t="s">
        <v>16225</v>
      </c>
      <c r="G1011" s="20" t="s">
        <v>16226</v>
      </c>
      <c r="H1011" s="24"/>
      <c r="I1011" s="24" t="str">
        <f ca="1">IFERROR(__xludf.DUMMYFUNCTION("GOOGLETRANSLATE(F1011,""en"",""pt"")"),"Cabos de filamentos espiral")</f>
        <v>Cabos de filamentos espiral</v>
      </c>
      <c r="J1011" t="str">
        <f>VLOOKUP(A1011,Pr_Base_LNEC!$A$4:$J$6971,6,FALSE)</f>
        <v>-</v>
      </c>
      <c r="K1011">
        <f>VLOOKUP(A1011,Pr_Base_LNEC!$A$4:$J$6971,7,FALSE)</f>
        <v>0</v>
      </c>
    </row>
    <row r="1012" spans="1:11" ht="14.5">
      <c r="A1012" s="20" t="s">
        <v>16227</v>
      </c>
      <c r="B1012" s="20">
        <v>20</v>
      </c>
      <c r="C1012" s="20">
        <v>85</v>
      </c>
      <c r="D1012" s="20">
        <v>12</v>
      </c>
      <c r="E1012" s="24"/>
      <c r="F1012" s="20" t="s">
        <v>16228</v>
      </c>
      <c r="G1012" s="24"/>
      <c r="H1012" s="24"/>
      <c r="I1012" s="24" t="str">
        <f ca="1">IFERROR(__xludf.DUMMYFUNCTION("GOOGLETRANSLATE(F1012,""en"",""pt"")"),"Bunds e condutas")</f>
        <v>Bunds e condutas</v>
      </c>
      <c r="J1012" t="str">
        <f>VLOOKUP(A1012,Pr_Base_LNEC!$A$4:$J$6971,6,FALSE)</f>
        <v>Barreiras e ductos</v>
      </c>
      <c r="K1012">
        <f>VLOOKUP(A1012,Pr_Base_LNEC!$A$4:$J$6971,7,FALSE)</f>
        <v>0</v>
      </c>
    </row>
    <row r="1013" spans="1:11" ht="14.5">
      <c r="A1013" s="20" t="s">
        <v>16229</v>
      </c>
      <c r="B1013" s="20">
        <v>20</v>
      </c>
      <c r="C1013" s="20">
        <v>85</v>
      </c>
      <c r="D1013" s="20">
        <v>12</v>
      </c>
      <c r="E1013" s="20">
        <v>14</v>
      </c>
      <c r="F1013" s="20" t="s">
        <v>16230</v>
      </c>
      <c r="G1013" s="20" t="s">
        <v>16231</v>
      </c>
      <c r="H1013" s="24"/>
      <c r="I1013" s="24" t="str">
        <f ca="1">IFERROR(__xludf.DUMMYFUNCTION("GOOGLETRANSLATE(F1013,""en"",""pt"")"),"unidades bund concretas")</f>
        <v>unidades bund concretas</v>
      </c>
      <c r="J1013" t="str">
        <f>VLOOKUP(A1013,Pr_Base_LNEC!$A$4:$J$6971,6,FALSE)</f>
        <v>-</v>
      </c>
      <c r="K1013">
        <f>VLOOKUP(A1013,Pr_Base_LNEC!$A$4:$J$6971,7,FALSE)</f>
        <v>0</v>
      </c>
    </row>
    <row r="1014" spans="1:11" ht="14.5">
      <c r="A1014" s="20" t="s">
        <v>16232</v>
      </c>
      <c r="B1014" s="20">
        <v>20</v>
      </c>
      <c r="C1014" s="20">
        <v>85</v>
      </c>
      <c r="D1014" s="20">
        <v>12</v>
      </c>
      <c r="E1014" s="20">
        <v>24</v>
      </c>
      <c r="F1014" s="20" t="s">
        <v>16233</v>
      </c>
      <c r="G1014" s="20" t="s">
        <v>16234</v>
      </c>
      <c r="H1014" s="24"/>
      <c r="I1014" s="24" t="str">
        <f ca="1">IFERROR(__xludf.DUMMYFUNCTION("GOOGLETRANSLATE(F1014,""en"",""pt"")"),"unidades de duto de concreto")</f>
        <v>unidades de duto de concreto</v>
      </c>
      <c r="J1014" t="str">
        <f>VLOOKUP(A1014,Pr_Base_LNEC!$A$4:$J$6971,6,FALSE)</f>
        <v>-</v>
      </c>
      <c r="K1014">
        <f>VLOOKUP(A1014,Pr_Base_LNEC!$A$4:$J$6971,7,FALSE)</f>
        <v>0</v>
      </c>
    </row>
    <row r="1015" spans="1:11" ht="14.5">
      <c r="A1015" s="20" t="s">
        <v>16235</v>
      </c>
      <c r="B1015" s="20">
        <v>20</v>
      </c>
      <c r="C1015" s="20">
        <v>85</v>
      </c>
      <c r="D1015" s="20">
        <v>13</v>
      </c>
      <c r="E1015" s="24"/>
      <c r="F1015" s="20" t="s">
        <v>16236</v>
      </c>
      <c r="G1015" s="24"/>
      <c r="H1015" s="24"/>
      <c r="I1015" s="24" t="str">
        <f ca="1">IFERROR(__xludf.DUMMYFUNCTION("GOOGLETRANSLATE(F1015,""en"",""pt"")"),"produtos de base de concreto e fundação")</f>
        <v>produtos de base de concreto e fundação</v>
      </c>
      <c r="J1015" t="str">
        <f>VLOOKUP(A1015,Pr_Base_LNEC!$A$4:$J$6971,6,FALSE)</f>
        <v>Produtos em betão para fundações e bases de fundação</v>
      </c>
      <c r="K1015">
        <f>VLOOKUP(A1015,Pr_Base_LNEC!$A$4:$J$6971,7,FALSE)</f>
        <v>0</v>
      </c>
    </row>
    <row r="1016" spans="1:11" ht="14.5">
      <c r="A1016" s="20" t="s">
        <v>16237</v>
      </c>
      <c r="B1016" s="20">
        <v>20</v>
      </c>
      <c r="C1016" s="20">
        <v>85</v>
      </c>
      <c r="D1016" s="20">
        <v>13</v>
      </c>
      <c r="E1016" s="20">
        <v>29</v>
      </c>
      <c r="F1016" s="20" t="s">
        <v>16238</v>
      </c>
      <c r="G1016" s="20" t="s">
        <v>16239</v>
      </c>
      <c r="H1016" s="24"/>
      <c r="I1016" s="24" t="str">
        <f ca="1">IFERROR(__xludf.DUMMYFUNCTION("GOOGLETRANSLATE(F1016,""en"",""pt"")"),"bases concretas para postes")</f>
        <v>bases concretas para postes</v>
      </c>
      <c r="J1016" t="str">
        <f>VLOOKUP(A1016,Pr_Base_LNEC!$A$4:$J$6971,6,FALSE)</f>
        <v>Suportes prefabricados de betão para vedação</v>
      </c>
      <c r="K1016" t="str">
        <f>VLOOKUP(A1016,Pr_Base_LNEC!$A$4:$J$6971,7,FALSE)</f>
        <v>EN 12839:2012</v>
      </c>
    </row>
    <row r="1017" spans="1:11" ht="14.5">
      <c r="A1017" s="20" t="s">
        <v>16240</v>
      </c>
      <c r="B1017" s="20">
        <v>20</v>
      </c>
      <c r="C1017" s="20">
        <v>85</v>
      </c>
      <c r="D1017" s="20">
        <v>13</v>
      </c>
      <c r="E1017" s="20">
        <v>30</v>
      </c>
      <c r="F1017" s="20" t="s">
        <v>16241</v>
      </c>
      <c r="G1017" s="24"/>
      <c r="H1017" s="24"/>
      <c r="I1017" s="24" t="str">
        <f ca="1">IFERROR(__xludf.DUMMYFUNCTION("GOOGLETRANSLATE(F1017,""en"",""pt"")"),"Betão flutuantes fundações laje")</f>
        <v>Betão flutuantes fundações laje</v>
      </c>
      <c r="J1017" t="str">
        <f>VLOOKUP(A1017,Pr_Base_LNEC!$A$4:$J$6971,6,FALSE)</f>
        <v>-</v>
      </c>
      <c r="K1017">
        <f>VLOOKUP(A1017,Pr_Base_LNEC!$A$4:$J$6971,7,FALSE)</f>
        <v>0</v>
      </c>
    </row>
    <row r="1018" spans="1:11" ht="14.5">
      <c r="A1018" s="20" t="s">
        <v>16242</v>
      </c>
      <c r="B1018" s="20">
        <v>20</v>
      </c>
      <c r="C1018" s="20">
        <v>85</v>
      </c>
      <c r="D1018" s="20">
        <v>13</v>
      </c>
      <c r="E1018" s="20">
        <v>32</v>
      </c>
      <c r="F1018" s="20" t="s">
        <v>16243</v>
      </c>
      <c r="G1018" s="20" t="s">
        <v>16244</v>
      </c>
      <c r="H1018" s="24"/>
      <c r="I1018" s="24" t="str">
        <f ca="1">IFERROR(__xludf.DUMMYFUNCTION("GOOGLETRANSLATE(F1018,""en"",""pt"")"),"almofadas de fundação de concreto")</f>
        <v>almofadas de fundação de concreto</v>
      </c>
      <c r="J1018" t="str">
        <f>VLOOKUP(A1018,Pr_Base_LNEC!$A$4:$J$6971,6,FALSE)</f>
        <v>Amortecedor de suporte prefabricados de betão para fundações</v>
      </c>
      <c r="K1018" t="str">
        <f>VLOOKUP(A1018,Pr_Base_LNEC!$A$4:$J$6971,7,FALSE)</f>
        <v>EN 14991:2007</v>
      </c>
    </row>
    <row r="1019" spans="1:11" ht="14.5">
      <c r="A1019" s="20" t="s">
        <v>16245</v>
      </c>
      <c r="B1019" s="20">
        <v>20</v>
      </c>
      <c r="C1019" s="20">
        <v>85</v>
      </c>
      <c r="D1019" s="20">
        <v>13</v>
      </c>
      <c r="E1019" s="20">
        <v>35</v>
      </c>
      <c r="F1019" s="20" t="s">
        <v>16246</v>
      </c>
      <c r="G1019" s="20" t="s">
        <v>16247</v>
      </c>
      <c r="H1019" s="24"/>
      <c r="I1019" s="24" t="str">
        <f ca="1">IFERROR(__xludf.DUMMYFUNCTION("GOOGLETRANSLATE(F1019,""en"",""pt"")"),"chão de concreto vigas")</f>
        <v>chão de concreto vigas</v>
      </c>
      <c r="J1019" t="str">
        <f>VLOOKUP(A1019,Pr_Base_LNEC!$A$4:$J$6971,6,FALSE)</f>
        <v>-</v>
      </c>
      <c r="K1019">
        <f>VLOOKUP(A1019,Pr_Base_LNEC!$A$4:$J$6971,7,FALSE)</f>
        <v>0</v>
      </c>
    </row>
    <row r="1020" spans="1:11" ht="14.5">
      <c r="A1020" s="20" t="s">
        <v>16248</v>
      </c>
      <c r="B1020" s="20">
        <v>20</v>
      </c>
      <c r="C1020" s="20">
        <v>85</v>
      </c>
      <c r="D1020" s="20">
        <v>13</v>
      </c>
      <c r="E1020" s="20">
        <v>63</v>
      </c>
      <c r="F1020" s="20" t="s">
        <v>16249</v>
      </c>
      <c r="G1020" s="20" t="s">
        <v>16250</v>
      </c>
      <c r="H1020" s="24"/>
      <c r="I1020" s="24" t="str">
        <f ca="1">IFERROR(__xludf.DUMMYFUNCTION("GOOGLETRANSLATE(F1020,""en"",""pt"")"),"unidades pedestal de concreto")</f>
        <v>unidades pedestal de concreto</v>
      </c>
      <c r="J1020" t="str">
        <f>VLOOKUP(A1020,Pr_Base_LNEC!$A$4:$J$6971,6,FALSE)</f>
        <v>-</v>
      </c>
      <c r="K1020">
        <f>VLOOKUP(A1020,Pr_Base_LNEC!$A$4:$J$6971,7,FALSE)</f>
        <v>0</v>
      </c>
    </row>
    <row r="1021" spans="1:11" ht="14.5">
      <c r="A1021" s="20" t="s">
        <v>16251</v>
      </c>
      <c r="B1021" s="20">
        <v>20</v>
      </c>
      <c r="C1021" s="20">
        <v>85</v>
      </c>
      <c r="D1021" s="20">
        <v>13</v>
      </c>
      <c r="E1021" s="20">
        <v>65</v>
      </c>
      <c r="F1021" s="20" t="s">
        <v>16252</v>
      </c>
      <c r="G1021" s="20" t="s">
        <v>16253</v>
      </c>
      <c r="H1021" s="24"/>
      <c r="I1021" s="24" t="str">
        <f ca="1">IFERROR(__xludf.DUMMYFUNCTION("GOOGLETRANSLATE(F1021,""en"",""pt"")"),"fundações bolso concretas")</f>
        <v>fundações bolso concretas</v>
      </c>
      <c r="J1021" t="str">
        <f>VLOOKUP(A1021,Pr_Base_LNEC!$A$4:$J$6971,6,FALSE)</f>
        <v>Receptáculo prefabricado de betão para fundações</v>
      </c>
      <c r="K1021" t="str">
        <f>VLOOKUP(A1021,Pr_Base_LNEC!$A$4:$J$6971,7,FALSE)</f>
        <v>EN 14991:2007</v>
      </c>
    </row>
    <row r="1022" spans="1:11" ht="14.5">
      <c r="A1022" s="20" t="s">
        <v>16254</v>
      </c>
      <c r="B1022" s="20">
        <v>20</v>
      </c>
      <c r="C1022" s="20">
        <v>85</v>
      </c>
      <c r="D1022" s="20">
        <v>14</v>
      </c>
      <c r="E1022" s="24"/>
      <c r="F1022" s="20" t="s">
        <v>16255</v>
      </c>
      <c r="G1022" s="24"/>
      <c r="H1022" s="24"/>
      <c r="I1022" s="24" t="str">
        <f ca="1">IFERROR(__xludf.DUMMYFUNCTION("GOOGLETRANSLATE(F1022,""en"",""pt"")"),"piso de concreto e produtos decking")</f>
        <v>piso de concreto e produtos decking</v>
      </c>
      <c r="J1022" t="str">
        <f>VLOOKUP(A1022,Pr_Base_LNEC!$A$4:$J$6971,6,FALSE)</f>
        <v>Produtos para Pavimentos e Deck em Betão</v>
      </c>
      <c r="K1022">
        <f>VLOOKUP(A1022,Pr_Base_LNEC!$A$4:$J$6971,7,FALSE)</f>
        <v>0</v>
      </c>
    </row>
    <row r="1023" spans="1:11" ht="14.5">
      <c r="A1023" s="20" t="s">
        <v>16256</v>
      </c>
      <c r="B1023" s="20">
        <v>20</v>
      </c>
      <c r="C1023" s="20">
        <v>85</v>
      </c>
      <c r="D1023" s="20">
        <v>14</v>
      </c>
      <c r="E1023" s="20">
        <v>14</v>
      </c>
      <c r="F1023" s="20" t="s">
        <v>16257</v>
      </c>
      <c r="G1023" s="20" t="s">
        <v>16258</v>
      </c>
      <c r="H1023" s="24"/>
      <c r="I1023" s="24" t="str">
        <f ca="1">IFERROR(__xludf.DUMMYFUNCTION("GOOGLETRANSLATE(F1023,""en"",""pt"")"),"Betão lajes alveolares")</f>
        <v>Betão lajes alveolares</v>
      </c>
      <c r="J1023" t="str">
        <f>VLOOKUP(A1023,Pr_Base_LNEC!$A$4:$J$6971,6,FALSE)</f>
        <v>Lajes alveoladas prefabricadas de betão</v>
      </c>
      <c r="K1023" t="str">
        <f>VLOOKUP(A1023,Pr_Base_LNEC!$A$4:$J$6971,7,FALSE)</f>
        <v>EN 1168:2005+A3:2011</v>
      </c>
    </row>
    <row r="1024" spans="1:11" ht="14.5">
      <c r="A1024" s="20" t="s">
        <v>16259</v>
      </c>
      <c r="B1024" s="20">
        <v>20</v>
      </c>
      <c r="C1024" s="20">
        <v>85</v>
      </c>
      <c r="D1024" s="20">
        <v>14</v>
      </c>
      <c r="E1024" s="20">
        <v>15</v>
      </c>
      <c r="F1024" s="20" t="s">
        <v>16260</v>
      </c>
      <c r="G1024" s="20" t="s">
        <v>16261</v>
      </c>
      <c r="H1024" s="24"/>
      <c r="I1024" s="24" t="str">
        <f ca="1">IFERROR(__xludf.DUMMYFUNCTION("GOOGLETRANSLATE(F1024,""en"",""pt"")"),"blocos de concreto kentledge")</f>
        <v>blocos de concreto kentledge</v>
      </c>
      <c r="J1024" t="str">
        <f>VLOOKUP(A1024,Pr_Base_LNEC!$A$4:$J$6971,6,FALSE)</f>
        <v>-</v>
      </c>
      <c r="K1024">
        <f>VLOOKUP(A1024,Pr_Base_LNEC!$A$4:$J$6971,7,FALSE)</f>
        <v>0</v>
      </c>
    </row>
    <row r="1025" spans="1:11" ht="14.5">
      <c r="A1025" s="20" t="s">
        <v>16262</v>
      </c>
      <c r="B1025" s="20">
        <v>20</v>
      </c>
      <c r="C1025" s="20">
        <v>85</v>
      </c>
      <c r="D1025" s="20">
        <v>14</v>
      </c>
      <c r="E1025" s="20">
        <v>16</v>
      </c>
      <c r="F1025" s="20" t="s">
        <v>16263</v>
      </c>
      <c r="G1025" s="20" t="s">
        <v>16264</v>
      </c>
      <c r="H1025" s="24"/>
      <c r="I1025" s="24" t="str">
        <f ca="1">IFERROR(__xludf.DUMMYFUNCTION("GOOGLETRANSLATE(F1025,""en"",""pt"")"),"Betão lajes sólidas")</f>
        <v>Betão lajes sólidas</v>
      </c>
      <c r="J1025" t="str">
        <f>VLOOKUP(A1025,Pr_Base_LNEC!$A$4:$J$6971,6,FALSE)</f>
        <v>Prelajes prefabricadas de betão</v>
      </c>
      <c r="K1025" t="str">
        <f>VLOOKUP(A1025,Pr_Base_LNEC!$A$4:$J$6971,7,FALSE)</f>
        <v>EN 13747:2005+A2:2010</v>
      </c>
    </row>
    <row r="1026" spans="1:11" ht="14.5">
      <c r="A1026" s="20" t="s">
        <v>16265</v>
      </c>
      <c r="B1026" s="20">
        <v>20</v>
      </c>
      <c r="C1026" s="20">
        <v>85</v>
      </c>
      <c r="D1026" s="20">
        <v>16</v>
      </c>
      <c r="E1026" s="24"/>
      <c r="F1026" s="20" t="s">
        <v>16266</v>
      </c>
      <c r="G1026" s="24"/>
      <c r="H1026" s="24"/>
      <c r="I1026" s="24" t="str">
        <f ca="1">IFERROR(__xludf.DUMMYFUNCTION("GOOGLETRANSLATE(F1026,""en"",""pt"")"),"Colunas e acessórios de coluna")</f>
        <v>Colunas e acessórios de coluna</v>
      </c>
      <c r="J1026" t="str">
        <f>VLOOKUP(A1026,Pr_Base_LNEC!$A$4:$J$6971,6,FALSE)</f>
        <v>Elementos para colunas</v>
      </c>
      <c r="K1026">
        <f>VLOOKUP(A1026,Pr_Base_LNEC!$A$4:$J$6971,7,FALSE)</f>
        <v>0</v>
      </c>
    </row>
    <row r="1027" spans="1:11" ht="14.5">
      <c r="A1027" s="20" t="s">
        <v>16267</v>
      </c>
      <c r="B1027" s="20">
        <v>20</v>
      </c>
      <c r="C1027" s="20">
        <v>85</v>
      </c>
      <c r="D1027" s="20">
        <v>16</v>
      </c>
      <c r="E1027" s="20">
        <v>2</v>
      </c>
      <c r="F1027" s="20" t="s">
        <v>16268</v>
      </c>
      <c r="G1027" s="24"/>
      <c r="H1027" s="24"/>
      <c r="I1027" s="24" t="str">
        <f ca="1">IFERROR(__xludf.DUMMYFUNCTION("GOOGLETRANSLATE(F1027,""en"",""pt"")"),"colunas estruturais de alumínio")</f>
        <v>colunas estruturais de alumínio</v>
      </c>
      <c r="J1027" t="str">
        <f>VLOOKUP(A1027,Pr_Base_LNEC!$A$4:$J$6971,6,FALSE)</f>
        <v>-</v>
      </c>
      <c r="K1027">
        <f>VLOOKUP(A1027,Pr_Base_LNEC!$A$4:$J$6971,7,FALSE)</f>
        <v>0</v>
      </c>
    </row>
    <row r="1028" spans="1:11" ht="14.5">
      <c r="A1028" s="20" t="s">
        <v>16269</v>
      </c>
      <c r="B1028" s="20">
        <v>20</v>
      </c>
      <c r="C1028" s="20">
        <v>85</v>
      </c>
      <c r="D1028" s="20">
        <v>16</v>
      </c>
      <c r="E1028" s="20">
        <v>3</v>
      </c>
      <c r="F1028" s="20" t="s">
        <v>16270</v>
      </c>
      <c r="G1028" s="24"/>
      <c r="H1028" s="24"/>
      <c r="I1028" s="24" t="str">
        <f ca="1">IFERROR(__xludf.DUMMYFUNCTION("GOOGLETRANSLATE(F1028,""en"",""pt"")"),"sapatos de colunas de alumínio")</f>
        <v>sapatos de colunas de alumínio</v>
      </c>
      <c r="J1028" t="str">
        <f>VLOOKUP(A1028,Pr_Base_LNEC!$A$4:$J$6971,6,FALSE)</f>
        <v>-</v>
      </c>
      <c r="K1028">
        <f>VLOOKUP(A1028,Pr_Base_LNEC!$A$4:$J$6971,7,FALSE)</f>
        <v>0</v>
      </c>
    </row>
    <row r="1029" spans="1:11" ht="14.5">
      <c r="A1029" s="20" t="s">
        <v>16271</v>
      </c>
      <c r="B1029" s="20">
        <v>20</v>
      </c>
      <c r="C1029" s="20">
        <v>85</v>
      </c>
      <c r="D1029" s="20">
        <v>16</v>
      </c>
      <c r="E1029" s="20">
        <v>11</v>
      </c>
      <c r="F1029" s="20" t="s">
        <v>16272</v>
      </c>
      <c r="G1029" s="24"/>
      <c r="H1029" s="24"/>
      <c r="I1029" s="24" t="str">
        <f ca="1">IFERROR(__xludf.DUMMYFUNCTION("GOOGLETRANSLATE(F1029,""en"",""pt"")"),"colunas de aço de carbono")</f>
        <v>colunas de aço de carbono</v>
      </c>
      <c r="J1029" t="str">
        <f>VLOOKUP(A1029,Pr_Base_LNEC!$A$4:$J$6971,6,FALSE)</f>
        <v>-</v>
      </c>
      <c r="K1029">
        <f>VLOOKUP(A1029,Pr_Base_LNEC!$A$4:$J$6971,7,FALSE)</f>
        <v>0</v>
      </c>
    </row>
    <row r="1030" spans="1:11" ht="14.5">
      <c r="A1030" s="20" t="s">
        <v>16273</v>
      </c>
      <c r="B1030" s="20">
        <v>20</v>
      </c>
      <c r="C1030" s="20">
        <v>85</v>
      </c>
      <c r="D1030" s="20">
        <v>16</v>
      </c>
      <c r="E1030" s="20">
        <v>12</v>
      </c>
      <c r="F1030" s="20" t="s">
        <v>16274</v>
      </c>
      <c r="G1030" s="20" t="s">
        <v>16275</v>
      </c>
      <c r="H1030" s="24"/>
      <c r="I1030" s="24" t="str">
        <f ca="1">IFERROR(__xludf.DUMMYFUNCTION("GOOGLETRANSLATE(F1030,""en"",""pt"")"),"sapatos de coluna de aço carbono")</f>
        <v>sapatos de coluna de aço carbono</v>
      </c>
      <c r="J1030" t="str">
        <f>VLOOKUP(A1030,Pr_Base_LNEC!$A$4:$J$6971,6,FALSE)</f>
        <v>-</v>
      </c>
      <c r="K1030">
        <f>VLOOKUP(A1030,Pr_Base_LNEC!$A$4:$J$6971,7,FALSE)</f>
        <v>0</v>
      </c>
    </row>
    <row r="1031" spans="1:11" ht="14.5">
      <c r="A1031" s="20" t="s">
        <v>16276</v>
      </c>
      <c r="B1031" s="20">
        <v>20</v>
      </c>
      <c r="C1031" s="20">
        <v>85</v>
      </c>
      <c r="D1031" s="20">
        <v>16</v>
      </c>
      <c r="E1031" s="20">
        <v>15</v>
      </c>
      <c r="F1031" s="20" t="s">
        <v>16277</v>
      </c>
      <c r="G1031" s="20" t="s">
        <v>16278</v>
      </c>
      <c r="H1031" s="24"/>
      <c r="I1031" s="24" t="str">
        <f ca="1">IFERROR(__xludf.DUMMYFUNCTION("GOOGLETRANSLATE(F1031,""en"",""pt"")"),"colunas de concreto")</f>
        <v>colunas de concreto</v>
      </c>
      <c r="J1031" t="str">
        <f>VLOOKUP(A1031,Pr_Base_LNEC!$A$4:$J$6971,6,FALSE)</f>
        <v>Colunas estruturais lineares prefabricadas de betão</v>
      </c>
      <c r="K1031" t="str">
        <f>VLOOKUP(A1031,Pr_Base_LNEC!$A$4:$J$6971,7,FALSE)</f>
        <v>EN 13225:2013</v>
      </c>
    </row>
    <row r="1032" spans="1:11" ht="14.5">
      <c r="A1032" s="20" t="s">
        <v>16279</v>
      </c>
      <c r="B1032" s="20">
        <v>20</v>
      </c>
      <c r="C1032" s="20">
        <v>85</v>
      </c>
      <c r="D1032" s="20">
        <v>16</v>
      </c>
      <c r="E1032" s="20">
        <v>36</v>
      </c>
      <c r="F1032" s="20" t="s">
        <v>16280</v>
      </c>
      <c r="G1032" s="24"/>
      <c r="H1032" s="24"/>
      <c r="I1032" s="24" t="str">
        <f ca="1">IFERROR(__xludf.DUMMYFUNCTION("GOOGLETRANSLATE(F1032,""en"",""pt"")"),"colunas estruturais Hardwood")</f>
        <v>colunas estruturais Hardwood</v>
      </c>
      <c r="J1032" t="str">
        <f>VLOOKUP(A1032,Pr_Base_LNEC!$A$4:$J$6971,6,FALSE)</f>
        <v>-</v>
      </c>
      <c r="K1032">
        <f>VLOOKUP(A1032,Pr_Base_LNEC!$A$4:$J$6971,7,FALSE)</f>
        <v>0</v>
      </c>
    </row>
    <row r="1033" spans="1:11" ht="14.5">
      <c r="A1033" s="20" t="s">
        <v>16281</v>
      </c>
      <c r="B1033" s="20">
        <v>20</v>
      </c>
      <c r="C1033" s="20">
        <v>85</v>
      </c>
      <c r="D1033" s="20">
        <v>16</v>
      </c>
      <c r="E1033" s="20">
        <v>62</v>
      </c>
      <c r="F1033" s="20" t="s">
        <v>16282</v>
      </c>
      <c r="G1033" s="24"/>
      <c r="H1033" s="24"/>
      <c r="I1033" s="24" t="str">
        <f ca="1">IFERROR(__xludf.DUMMYFUNCTION("GOOGLETRANSLATE(F1033,""en"",""pt"")"),"colunas Plastics")</f>
        <v>colunas Plastics</v>
      </c>
      <c r="J1033" t="str">
        <f>VLOOKUP(A1033,Pr_Base_LNEC!$A$4:$J$6971,6,FALSE)</f>
        <v>-</v>
      </c>
      <c r="K1033">
        <f>VLOOKUP(A1033,Pr_Base_LNEC!$A$4:$J$6971,7,FALSE)</f>
        <v>0</v>
      </c>
    </row>
    <row r="1034" spans="1:11" ht="14.5">
      <c r="A1034" s="20" t="s">
        <v>16283</v>
      </c>
      <c r="B1034" s="20">
        <v>20</v>
      </c>
      <c r="C1034" s="20">
        <v>85</v>
      </c>
      <c r="D1034" s="20">
        <v>16</v>
      </c>
      <c r="E1034" s="20">
        <v>81</v>
      </c>
      <c r="F1034" s="20" t="s">
        <v>16284</v>
      </c>
      <c r="G1034" s="24"/>
      <c r="H1034" s="24"/>
      <c r="I1034" s="24" t="str">
        <f ca="1">IFERROR(__xludf.DUMMYFUNCTION("GOOGLETRANSLATE(F1034,""en"",""pt"")"),"colunas estruturais de madeira macia")</f>
        <v>colunas estruturais de madeira macia</v>
      </c>
      <c r="J1034" t="str">
        <f>VLOOKUP(A1034,Pr_Base_LNEC!$A$4:$J$6971,6,FALSE)</f>
        <v>-</v>
      </c>
      <c r="K1034">
        <f>VLOOKUP(A1034,Pr_Base_LNEC!$A$4:$J$6971,7,FALSE)</f>
        <v>0</v>
      </c>
    </row>
    <row r="1035" spans="1:11" ht="14.5">
      <c r="A1035" s="20" t="s">
        <v>16285</v>
      </c>
      <c r="B1035" s="20">
        <v>20</v>
      </c>
      <c r="C1035" s="20">
        <v>85</v>
      </c>
      <c r="D1035" s="20">
        <v>16</v>
      </c>
      <c r="E1035" s="20">
        <v>84</v>
      </c>
      <c r="F1035" s="20" t="s">
        <v>16286</v>
      </c>
      <c r="G1035" s="24"/>
      <c r="H1035" s="24"/>
      <c r="I1035" s="24" t="str">
        <f ca="1">IFERROR(__xludf.DUMMYFUNCTION("GOOGLETRANSLATE(F1035,""en"",""pt"")"),"colunas estruturais de aço inoxidável")</f>
        <v>colunas estruturais de aço inoxidável</v>
      </c>
      <c r="J1035" t="str">
        <f>VLOOKUP(A1035,Pr_Base_LNEC!$A$4:$J$6971,6,FALSE)</f>
        <v>-</v>
      </c>
      <c r="K1035">
        <f>VLOOKUP(A1035,Pr_Base_LNEC!$A$4:$J$6971,7,FALSE)</f>
        <v>0</v>
      </c>
    </row>
    <row r="1036" spans="1:11" ht="14.5">
      <c r="A1036" s="20" t="s">
        <v>16287</v>
      </c>
      <c r="B1036" s="20">
        <v>20</v>
      </c>
      <c r="C1036" s="20">
        <v>85</v>
      </c>
      <c r="D1036" s="20">
        <v>16</v>
      </c>
      <c r="E1036" s="20">
        <v>85</v>
      </c>
      <c r="F1036" s="20" t="s">
        <v>16288</v>
      </c>
      <c r="G1036" s="20" t="s">
        <v>16289</v>
      </c>
      <c r="H1036" s="24"/>
      <c r="I1036" s="24" t="str">
        <f ca="1">IFERROR(__xludf.DUMMYFUNCTION("GOOGLETRANSLATE(F1036,""en"",""pt"")"),"sapatos coluna de aço inoxidável")</f>
        <v>sapatos coluna de aço inoxidável</v>
      </c>
      <c r="J1036" t="str">
        <f>VLOOKUP(A1036,Pr_Base_LNEC!$A$4:$J$6971,6,FALSE)</f>
        <v>Colunas de aço inoxidável</v>
      </c>
      <c r="K1036" t="str">
        <f>VLOOKUP(A1036,Pr_Base_LNEC!$A$4:$J$6971,7,FALSE)</f>
        <v>EN 10088-4:2009</v>
      </c>
    </row>
    <row r="1037" spans="1:11" ht="14.5">
      <c r="A1037" s="20" t="s">
        <v>16290</v>
      </c>
      <c r="B1037" s="20">
        <v>20</v>
      </c>
      <c r="C1037" s="20">
        <v>85</v>
      </c>
      <c r="D1037" s="20">
        <v>16</v>
      </c>
      <c r="E1037" s="20">
        <v>86</v>
      </c>
      <c r="F1037" s="20" t="s">
        <v>16291</v>
      </c>
      <c r="G1037" s="24"/>
      <c r="H1037" s="24"/>
      <c r="I1037" s="24" t="str">
        <f ca="1">IFERROR(__xludf.DUMMYFUNCTION("GOOGLETRANSLATE(F1037,""en"",""pt"")"),"colunas de pedra")</f>
        <v>colunas de pedra</v>
      </c>
      <c r="J1037">
        <f>VLOOKUP(A1037,Pr_Base_LNEC!$A$4:$J$6971,6,FALSE)</f>
        <v>0</v>
      </c>
      <c r="K1037">
        <f>VLOOKUP(A1037,Pr_Base_LNEC!$A$4:$J$6971,7,FALSE)</f>
        <v>0</v>
      </c>
    </row>
    <row r="1038" spans="1:11" ht="14.5">
      <c r="A1038" s="20" t="s">
        <v>16292</v>
      </c>
      <c r="B1038" s="20">
        <v>20</v>
      </c>
      <c r="C1038" s="20">
        <v>85</v>
      </c>
      <c r="D1038" s="20">
        <v>16</v>
      </c>
      <c r="E1038" s="20">
        <v>96</v>
      </c>
      <c r="F1038" s="20" t="s">
        <v>16293</v>
      </c>
      <c r="G1038" s="20" t="s">
        <v>16294</v>
      </c>
      <c r="H1038" s="24"/>
      <c r="I1038" s="24" t="str">
        <f ca="1">IFERROR(__xludf.DUMMYFUNCTION("GOOGLETRANSLATE(F1038,""en"",""pt"")"),"mensagens de vento")</f>
        <v>mensagens de vento</v>
      </c>
      <c r="J1038">
        <f>VLOOKUP(A1038,Pr_Base_LNEC!$A$4:$J$6971,6,FALSE)</f>
        <v>0</v>
      </c>
      <c r="K1038" t="str">
        <f>VLOOKUP(A1038,Pr_Base_LNEC!$A$4:$J$6971,7,FALSE)</f>
        <v>EN 845-1:2013+A1:2016
 Especificação dos componentes acessórios para alvenaria — Parte 1: Amarrações, chapas de fixação, estribos de suporte e consolas</v>
      </c>
    </row>
    <row r="1039" spans="1:11" ht="14.5">
      <c r="A1039" s="20" t="s">
        <v>16295</v>
      </c>
      <c r="B1039" s="20">
        <v>20</v>
      </c>
      <c r="C1039" s="20">
        <v>85</v>
      </c>
      <c r="D1039" s="20">
        <v>18</v>
      </c>
      <c r="E1039" s="24"/>
      <c r="F1039" s="20" t="s">
        <v>16296</v>
      </c>
      <c r="G1039" s="24"/>
      <c r="H1039" s="24"/>
      <c r="I1039" s="24" t="str">
        <f ca="1">IFERROR(__xludf.DUMMYFUNCTION("GOOGLETRANSLATE(F1039,""en"",""pt"")"),"produtos tabuleiro da ponte")</f>
        <v>produtos tabuleiro da ponte</v>
      </c>
      <c r="J1039" t="e">
        <f>VLOOKUP(A1039,Pr_Base_LNEC!$A$4:$J$6971,6,FALSE)</f>
        <v>#N/A</v>
      </c>
      <c r="K1039" t="e">
        <f>VLOOKUP(A1039,Pr_Base_LNEC!$A$4:$J$6971,7,FALSE)</f>
        <v>#N/A</v>
      </c>
    </row>
    <row r="1040" spans="1:11" ht="14.5">
      <c r="A1040" s="20" t="s">
        <v>16297</v>
      </c>
      <c r="B1040" s="20">
        <v>20</v>
      </c>
      <c r="C1040" s="20">
        <v>85</v>
      </c>
      <c r="D1040" s="20">
        <v>18</v>
      </c>
      <c r="E1040" s="20">
        <v>10</v>
      </c>
      <c r="F1040" s="20" t="s">
        <v>16298</v>
      </c>
      <c r="G1040" s="24"/>
      <c r="H1040" s="24"/>
      <c r="I1040" s="24" t="str">
        <f ca="1">IFERROR(__xludf.DUMMYFUNCTION("GOOGLETRANSLATE(F1040,""en"",""pt"")"),"diafragmas ponte")</f>
        <v>diafragmas ponte</v>
      </c>
      <c r="J1040" t="e">
        <f>VLOOKUP(A1040,Pr_Base_LNEC!$A$4:$J$6971,6,FALSE)</f>
        <v>#N/A</v>
      </c>
      <c r="K1040" t="e">
        <f>VLOOKUP(A1040,Pr_Base_LNEC!$A$4:$J$6971,7,FALSE)</f>
        <v>#N/A</v>
      </c>
    </row>
    <row r="1041" spans="1:11" ht="14.5">
      <c r="A1041" s="20" t="s">
        <v>16299</v>
      </c>
      <c r="B1041" s="20">
        <v>20</v>
      </c>
      <c r="C1041" s="20">
        <v>85</v>
      </c>
      <c r="D1041" s="20">
        <v>18</v>
      </c>
      <c r="E1041" s="20">
        <v>12</v>
      </c>
      <c r="F1041" s="20" t="s">
        <v>16300</v>
      </c>
      <c r="G1041" s="24"/>
      <c r="H1041" s="24"/>
      <c r="I1041" s="24" t="str">
        <f ca="1">IFERROR(__xludf.DUMMYFUNCTION("GOOGLETRANSLATE(F1041,""en"",""pt"")"),"pedestais ponte de ferro fundido")</f>
        <v>pedestais ponte de ferro fundido</v>
      </c>
      <c r="J1041" t="e">
        <f>VLOOKUP(A1041,Pr_Base_LNEC!$A$4:$J$6971,6,FALSE)</f>
        <v>#N/A</v>
      </c>
      <c r="K1041" t="e">
        <f>VLOOKUP(A1041,Pr_Base_LNEC!$A$4:$J$6971,7,FALSE)</f>
        <v>#N/A</v>
      </c>
    </row>
    <row r="1042" spans="1:11" ht="14.5">
      <c r="A1042" s="20" t="s">
        <v>16301</v>
      </c>
      <c r="B1042" s="20">
        <v>20</v>
      </c>
      <c r="C1042" s="20">
        <v>85</v>
      </c>
      <c r="D1042" s="20">
        <v>18</v>
      </c>
      <c r="E1042" s="20">
        <v>14</v>
      </c>
      <c r="F1042" s="20" t="s">
        <v>16302</v>
      </c>
      <c r="G1042" s="24"/>
      <c r="H1042" s="24"/>
      <c r="I1042" s="24" t="str">
        <f ca="1">IFERROR(__xludf.DUMMYFUNCTION("GOOGLETRANSLATE(F1042,""en"",""pt"")"),"Betão pedestais ponte")</f>
        <v>Betão pedestais ponte</v>
      </c>
      <c r="J1042" t="e">
        <f>VLOOKUP(A1042,Pr_Base_LNEC!$A$4:$J$6971,6,FALSE)</f>
        <v>#N/A</v>
      </c>
      <c r="K1042" t="e">
        <f>VLOOKUP(A1042,Pr_Base_LNEC!$A$4:$J$6971,7,FALSE)</f>
        <v>#N/A</v>
      </c>
    </row>
    <row r="1043" spans="1:11" ht="14.5">
      <c r="A1043" s="20" t="s">
        <v>16303</v>
      </c>
      <c r="B1043" s="20">
        <v>20</v>
      </c>
      <c r="C1043" s="20">
        <v>85</v>
      </c>
      <c r="D1043" s="20">
        <v>18</v>
      </c>
      <c r="E1043" s="20">
        <v>85</v>
      </c>
      <c r="F1043" s="20" t="s">
        <v>16304</v>
      </c>
      <c r="G1043" s="24"/>
      <c r="H1043" s="24"/>
      <c r="I1043" s="24" t="str">
        <f ca="1">IFERROR(__xludf.DUMMYFUNCTION("GOOGLETRANSLATE(F1043,""en"",""pt"")"),"pedestais ponte de aço")</f>
        <v>pedestais ponte de aço</v>
      </c>
      <c r="J1043" t="e">
        <f>VLOOKUP(A1043,Pr_Base_LNEC!$A$4:$J$6971,6,FALSE)</f>
        <v>#N/A</v>
      </c>
      <c r="K1043" t="e">
        <f>VLOOKUP(A1043,Pr_Base_LNEC!$A$4:$J$6971,7,FALSE)</f>
        <v>#N/A</v>
      </c>
    </row>
    <row r="1044" spans="1:11" ht="14.5">
      <c r="A1044" s="20" t="s">
        <v>16305</v>
      </c>
      <c r="B1044" s="20">
        <v>20</v>
      </c>
      <c r="C1044" s="20">
        <v>85</v>
      </c>
      <c r="D1044" s="20">
        <v>28</v>
      </c>
      <c r="E1044" s="24"/>
      <c r="F1044" s="20" t="s">
        <v>16306</v>
      </c>
      <c r="G1044" s="24"/>
      <c r="H1044" s="24"/>
      <c r="I1044" s="24" t="str">
        <f ca="1">IFERROR(__xludf.DUMMYFUNCTION("GOOGLETRANSLATE(F1044,""en"",""pt"")"),"produtos de controle de erosão e quebra-mar")</f>
        <v>produtos de controle de erosão e quebra-mar</v>
      </c>
      <c r="J1044" t="str">
        <f>VLOOKUP(A1044,Pr_Base_LNEC!$A$4:$J$6971,6,FALSE)</f>
        <v>Produtos para controle de erosão e quebra-mar</v>
      </c>
      <c r="K1044">
        <f>VLOOKUP(A1044,Pr_Base_LNEC!$A$4:$J$6971,7,FALSE)</f>
        <v>0</v>
      </c>
    </row>
    <row r="1045" spans="1:11" ht="14.5">
      <c r="A1045" s="20" t="s">
        <v>16307</v>
      </c>
      <c r="B1045" s="20">
        <v>20</v>
      </c>
      <c r="C1045" s="20">
        <v>85</v>
      </c>
      <c r="D1045" s="20">
        <v>28</v>
      </c>
      <c r="E1045" s="20">
        <v>9</v>
      </c>
      <c r="F1045" s="20" t="s">
        <v>16308</v>
      </c>
      <c r="G1045" s="24"/>
      <c r="H1045" s="24"/>
      <c r="I1045" s="24" t="str">
        <f ca="1">IFERROR(__xludf.DUMMYFUNCTION("GOOGLETRANSLATE(F1045,""en"",""pt"")"),"faxinas mato")</f>
        <v>faxinas mato</v>
      </c>
      <c r="J1045" t="str">
        <f>VLOOKUP(A1045,Pr_Base_LNEC!$A$4:$J$6971,6,FALSE)</f>
        <v>-</v>
      </c>
      <c r="K1045">
        <f>VLOOKUP(A1045,Pr_Base_LNEC!$A$4:$J$6971,7,FALSE)</f>
        <v>0</v>
      </c>
    </row>
    <row r="1046" spans="1:11" ht="14.5">
      <c r="A1046" s="20" t="s">
        <v>16309</v>
      </c>
      <c r="B1046" s="20">
        <v>20</v>
      </c>
      <c r="C1046" s="20">
        <v>85</v>
      </c>
      <c r="D1046" s="20">
        <v>28</v>
      </c>
      <c r="E1046" s="20">
        <v>15</v>
      </c>
      <c r="F1046" s="20" t="s">
        <v>16310</v>
      </c>
      <c r="G1046" s="20" t="s">
        <v>16311</v>
      </c>
      <c r="H1046" s="24"/>
      <c r="I1046" s="24" t="str">
        <f ca="1">IFERROR(__xludf.DUMMYFUNCTION("GOOGLETRANSLATE(F1046,""en"",""pt"")"),"geomantas coco")</f>
        <v>geomantas coco</v>
      </c>
      <c r="J1046" t="str">
        <f>VLOOKUP(A1046,Pr_Base_LNEC!$A$4:$J$6971,6,FALSE)</f>
        <v>-</v>
      </c>
      <c r="K1046">
        <f>VLOOKUP(A1046,Pr_Base_LNEC!$A$4:$J$6971,7,FALSE)</f>
        <v>0</v>
      </c>
    </row>
    <row r="1047" spans="1:11" ht="14.5">
      <c r="A1047" s="20" t="s">
        <v>16312</v>
      </c>
      <c r="B1047" s="20">
        <v>20</v>
      </c>
      <c r="C1047" s="20">
        <v>85</v>
      </c>
      <c r="D1047" s="20">
        <v>28</v>
      </c>
      <c r="E1047" s="20">
        <v>16</v>
      </c>
      <c r="F1047" s="20" t="s">
        <v>16313</v>
      </c>
      <c r="G1047" s="24"/>
      <c r="H1047" s="24"/>
      <c r="I1047" s="24" t="str">
        <f ca="1">IFERROR(__xludf.DUMMYFUNCTION("GOOGLETRANSLATE(F1047,""en"",""pt"")"),"tetrápodes de concreto")</f>
        <v>tetrápodes de concreto</v>
      </c>
      <c r="J1047" t="str">
        <f>VLOOKUP(A1047,Pr_Base_LNEC!$A$4:$J$6971,6,FALSE)</f>
        <v>-</v>
      </c>
      <c r="K1047">
        <f>VLOOKUP(A1047,Pr_Base_LNEC!$A$4:$J$6971,7,FALSE)</f>
        <v>0</v>
      </c>
    </row>
    <row r="1048" spans="1:11" ht="14.5">
      <c r="A1048" s="20" t="s">
        <v>16314</v>
      </c>
      <c r="B1048" s="20">
        <v>20</v>
      </c>
      <c r="C1048" s="20">
        <v>85</v>
      </c>
      <c r="D1048" s="20">
        <v>28</v>
      </c>
      <c r="E1048" s="20">
        <v>27</v>
      </c>
      <c r="F1048" s="20" t="s">
        <v>16315</v>
      </c>
      <c r="G1048" s="20" t="s">
        <v>16311</v>
      </c>
      <c r="H1048" s="24"/>
      <c r="I1048" s="24" t="str">
        <f ca="1">IFERROR(__xludf.DUMMYFUNCTION("GOOGLETRANSLATE(F1048,""en"",""pt"")"),"registos de controlo de erosão")</f>
        <v>registos de controlo de erosão</v>
      </c>
      <c r="J1048" t="str">
        <f>VLOOKUP(A1048,Pr_Base_LNEC!$A$4:$J$6971,6,FALSE)</f>
        <v>-</v>
      </c>
      <c r="K1048">
        <f>VLOOKUP(A1048,Pr_Base_LNEC!$A$4:$J$6971,7,FALSE)</f>
        <v>0</v>
      </c>
    </row>
    <row r="1049" spans="1:11" ht="14.5">
      <c r="A1049" s="20" t="s">
        <v>16316</v>
      </c>
      <c r="B1049" s="20">
        <v>20</v>
      </c>
      <c r="C1049" s="20">
        <v>85</v>
      </c>
      <c r="D1049" s="20">
        <v>28</v>
      </c>
      <c r="E1049" s="20">
        <v>28</v>
      </c>
      <c r="F1049" s="20" t="s">
        <v>16317</v>
      </c>
      <c r="G1049" s="20" t="s">
        <v>16311</v>
      </c>
      <c r="H1049" s="24"/>
      <c r="I1049" s="24" t="str">
        <f ca="1">IFERROR(__xludf.DUMMYFUNCTION("GOOGLETRANSLATE(F1049,""en"",""pt"")"),"paletes de controlo de erosão")</f>
        <v>paletes de controlo de erosão</v>
      </c>
      <c r="J1049" t="str">
        <f>VLOOKUP(A1049,Pr_Base_LNEC!$A$4:$J$6971,6,FALSE)</f>
        <v>-</v>
      </c>
      <c r="K1049">
        <f>VLOOKUP(A1049,Pr_Base_LNEC!$A$4:$J$6971,7,FALSE)</f>
        <v>0</v>
      </c>
    </row>
    <row r="1050" spans="1:11" ht="14.5">
      <c r="A1050" s="20" t="s">
        <v>16318</v>
      </c>
      <c r="B1050" s="20">
        <v>20</v>
      </c>
      <c r="C1050" s="20">
        <v>85</v>
      </c>
      <c r="D1050" s="20">
        <v>28</v>
      </c>
      <c r="E1050" s="20">
        <v>30</v>
      </c>
      <c r="F1050" s="20" t="s">
        <v>16319</v>
      </c>
      <c r="G1050" s="24"/>
      <c r="H1050" s="24"/>
      <c r="I1050" s="24" t="str">
        <f ca="1">IFERROR(__xludf.DUMMYFUNCTION("GOOGLETRANSLATE(F1050,""en"",""pt"")"),"barreiras contra inundações")</f>
        <v>barreiras contra inundações</v>
      </c>
      <c r="J1050" t="str">
        <f>VLOOKUP(A1050,Pr_Base_LNEC!$A$4:$J$6971,6,FALSE)</f>
        <v>-</v>
      </c>
      <c r="K1050">
        <f>VLOOKUP(A1050,Pr_Base_LNEC!$A$4:$J$6971,7,FALSE)</f>
        <v>0</v>
      </c>
    </row>
    <row r="1051" spans="1:11" ht="14.5">
      <c r="A1051" s="20" t="s">
        <v>16320</v>
      </c>
      <c r="B1051" s="20">
        <v>20</v>
      </c>
      <c r="C1051" s="20">
        <v>85</v>
      </c>
      <c r="D1051" s="20">
        <v>28</v>
      </c>
      <c r="E1051" s="20">
        <v>33</v>
      </c>
      <c r="F1051" s="20" t="s">
        <v>16321</v>
      </c>
      <c r="G1051" s="20" t="s">
        <v>16322</v>
      </c>
      <c r="H1051" s="24"/>
      <c r="I1051" s="24" t="str">
        <f ca="1">IFERROR(__xludf.DUMMYFUNCTION("GOOGLETRANSLATE(F1051,""en"",""pt"")"),"gaiolas de arame galvanizado bastion")</f>
        <v>gaiolas de arame galvanizado bastion</v>
      </c>
      <c r="J1051" t="str">
        <f>VLOOKUP(A1051,Pr_Base_LNEC!$A$4:$J$6971,6,FALSE)</f>
        <v>-</v>
      </c>
      <c r="K1051">
        <f>VLOOKUP(A1051,Pr_Base_LNEC!$A$4:$J$6971,7,FALSE)</f>
        <v>0</v>
      </c>
    </row>
    <row r="1052" spans="1:11" ht="14.5">
      <c r="A1052" s="20" t="s">
        <v>16323</v>
      </c>
      <c r="B1052" s="20">
        <v>20</v>
      </c>
      <c r="C1052" s="20">
        <v>85</v>
      </c>
      <c r="D1052" s="20">
        <v>28</v>
      </c>
      <c r="E1052" s="20">
        <v>34</v>
      </c>
      <c r="F1052" s="20" t="s">
        <v>16324</v>
      </c>
      <c r="G1052" s="20" t="s">
        <v>16325</v>
      </c>
      <c r="H1052" s="24"/>
      <c r="I1052" s="24" t="str">
        <f ca="1">IFERROR(__xludf.DUMMYFUNCTION("GOOGLETRANSLATE(F1052,""en"",""pt"")"),"gaiolas de colchão de arame galvanizado")</f>
        <v>gaiolas de colchão de arame galvanizado</v>
      </c>
      <c r="J1052" t="str">
        <f>VLOOKUP(A1052,Pr_Base_LNEC!$A$4:$J$6971,6,FALSE)</f>
        <v>-</v>
      </c>
      <c r="K1052">
        <f>VLOOKUP(A1052,Pr_Base_LNEC!$A$4:$J$6971,7,FALSE)</f>
        <v>0</v>
      </c>
    </row>
    <row r="1053" spans="1:11" ht="14.5">
      <c r="A1053" s="20" t="s">
        <v>16326</v>
      </c>
      <c r="B1053" s="20">
        <v>20</v>
      </c>
      <c r="C1053" s="20">
        <v>85</v>
      </c>
      <c r="D1053" s="20">
        <v>28</v>
      </c>
      <c r="E1053" s="20">
        <v>35</v>
      </c>
      <c r="F1053" s="20" t="s">
        <v>16327</v>
      </c>
      <c r="G1053" s="20" t="s">
        <v>16328</v>
      </c>
      <c r="H1053" s="24"/>
      <c r="I1053" s="24" t="str">
        <f ca="1">IFERROR(__xludf.DUMMYFUNCTION("GOOGLETRANSLATE(F1053,""en"",""pt"")"),"gaiolas de arame galvanizado trapion")</f>
        <v>gaiolas de arame galvanizado trapion</v>
      </c>
      <c r="J1053" t="str">
        <f>VLOOKUP(A1053,Pr_Base_LNEC!$A$4:$J$6971,6,FALSE)</f>
        <v>-</v>
      </c>
      <c r="K1053">
        <f>VLOOKUP(A1053,Pr_Base_LNEC!$A$4:$J$6971,7,FALSE)</f>
        <v>0</v>
      </c>
    </row>
    <row r="1054" spans="1:11" ht="14.5">
      <c r="A1054" s="20" t="s">
        <v>16329</v>
      </c>
      <c r="B1054" s="20">
        <v>20</v>
      </c>
      <c r="C1054" s="20">
        <v>85</v>
      </c>
      <c r="D1054" s="20">
        <v>28</v>
      </c>
      <c r="E1054" s="20">
        <v>36</v>
      </c>
      <c r="F1054" s="20" t="s">
        <v>16330</v>
      </c>
      <c r="G1054" s="20" t="s">
        <v>16331</v>
      </c>
      <c r="H1054" s="24"/>
      <c r="I1054" s="24" t="str">
        <f ca="1">IFERROR(__xludf.DUMMYFUNCTION("GOOGLETRANSLATE(F1054,""en"",""pt"")"),"gaiolas de arame galvanizado gabião")</f>
        <v>gaiolas de arame galvanizado gabião</v>
      </c>
      <c r="J1054" t="str">
        <f>VLOOKUP(A1054,Pr_Base_LNEC!$A$4:$J$6971,6,FALSE)</f>
        <v>-</v>
      </c>
      <c r="K1054">
        <f>VLOOKUP(A1054,Pr_Base_LNEC!$A$4:$J$6971,7,FALSE)</f>
        <v>0</v>
      </c>
    </row>
    <row r="1055" spans="1:11" ht="14.5">
      <c r="A1055" s="20" t="s">
        <v>16332</v>
      </c>
      <c r="B1055" s="20">
        <v>20</v>
      </c>
      <c r="C1055" s="20">
        <v>85</v>
      </c>
      <c r="D1055" s="20">
        <v>28</v>
      </c>
      <c r="E1055" s="20">
        <v>38</v>
      </c>
      <c r="F1055" s="20" t="s">
        <v>16333</v>
      </c>
      <c r="G1055" s="20" t="s">
        <v>16334</v>
      </c>
      <c r="H1055" s="24"/>
      <c r="I1055" s="24" t="str">
        <f ca="1">IFERROR(__xludf.DUMMYFUNCTION("GOOGLETRANSLATE(F1055,""en"",""pt"")"),"bolsas de juta")</f>
        <v>bolsas de juta</v>
      </c>
      <c r="J1055" t="str">
        <f>VLOOKUP(A1055,Pr_Base_LNEC!$A$4:$J$6971,6,FALSE)</f>
        <v>-</v>
      </c>
      <c r="K1055">
        <f>VLOOKUP(A1055,Pr_Base_LNEC!$A$4:$J$6971,7,FALSE)</f>
        <v>0</v>
      </c>
    </row>
    <row r="1056" spans="1:11" ht="14.5">
      <c r="A1056" s="20" t="s">
        <v>16335</v>
      </c>
      <c r="B1056" s="20">
        <v>20</v>
      </c>
      <c r="C1056" s="20">
        <v>85</v>
      </c>
      <c r="D1056" s="20">
        <v>28</v>
      </c>
      <c r="E1056" s="20">
        <v>45</v>
      </c>
      <c r="F1056" s="20" t="s">
        <v>16336</v>
      </c>
      <c r="G1056" s="24"/>
      <c r="H1056" s="24"/>
      <c r="I1056" s="24" t="str">
        <f ca="1">IFERROR(__xludf.DUMMYFUNCTION("GOOGLETRANSLATE(F1056,""en"",""pt"")"),"barreiras de líquido-absorventes")</f>
        <v>barreiras de líquido-absorventes</v>
      </c>
      <c r="J1056" t="str">
        <f>VLOOKUP(A1056,Pr_Base_LNEC!$A$4:$J$6971,6,FALSE)</f>
        <v>-</v>
      </c>
      <c r="K1056">
        <f>VLOOKUP(A1056,Pr_Base_LNEC!$A$4:$J$6971,7,FALSE)</f>
        <v>0</v>
      </c>
    </row>
    <row r="1057" spans="1:11" ht="14.5">
      <c r="A1057" s="20" t="s">
        <v>16337</v>
      </c>
      <c r="B1057" s="20">
        <v>20</v>
      </c>
      <c r="C1057" s="20">
        <v>85</v>
      </c>
      <c r="D1057" s="20">
        <v>28</v>
      </c>
      <c r="E1057" s="20">
        <v>46</v>
      </c>
      <c r="F1057" s="20" t="s">
        <v>16338</v>
      </c>
      <c r="G1057" s="24"/>
      <c r="H1057" s="24"/>
      <c r="I1057" s="24" t="str">
        <f ca="1">IFERROR(__xludf.DUMMYFUNCTION("GOOGLETRANSLATE(F1057,""en"",""pt"")"),"sacos líquido-absorventes")</f>
        <v>sacos líquido-absorventes</v>
      </c>
      <c r="J1057" t="str">
        <f>VLOOKUP(A1057,Pr_Base_LNEC!$A$4:$J$6971,6,FALSE)</f>
        <v>-</v>
      </c>
      <c r="K1057">
        <f>VLOOKUP(A1057,Pr_Base_LNEC!$A$4:$J$6971,7,FALSE)</f>
        <v>0</v>
      </c>
    </row>
    <row r="1058" spans="1:11" ht="14.5">
      <c r="A1058" s="20" t="s">
        <v>16339</v>
      </c>
      <c r="B1058" s="20">
        <v>20</v>
      </c>
      <c r="C1058" s="20">
        <v>85</v>
      </c>
      <c r="D1058" s="20">
        <v>28</v>
      </c>
      <c r="E1058" s="20">
        <v>62</v>
      </c>
      <c r="F1058" s="20" t="s">
        <v>16340</v>
      </c>
      <c r="G1058" s="20" t="s">
        <v>16341</v>
      </c>
      <c r="H1058" s="24"/>
      <c r="I1058" s="24" t="str">
        <f ca="1">IFERROR(__xludf.DUMMYFUNCTION("GOOGLETRANSLATE(F1058,""en"",""pt"")"),"gaiolas Plastics colchão")</f>
        <v>gaiolas Plastics colchão</v>
      </c>
      <c r="J1058" t="str">
        <f>VLOOKUP(A1058,Pr_Base_LNEC!$A$4:$J$6971,6,FALSE)</f>
        <v>-</v>
      </c>
      <c r="K1058">
        <f>VLOOKUP(A1058,Pr_Base_LNEC!$A$4:$J$6971,7,FALSE)</f>
        <v>0</v>
      </c>
    </row>
    <row r="1059" spans="1:11" ht="14.5">
      <c r="A1059" s="20" t="s">
        <v>16342</v>
      </c>
      <c r="B1059" s="20">
        <v>20</v>
      </c>
      <c r="C1059" s="20">
        <v>85</v>
      </c>
      <c r="D1059" s="20">
        <v>28</v>
      </c>
      <c r="E1059" s="20">
        <v>63</v>
      </c>
      <c r="F1059" s="20" t="s">
        <v>16343</v>
      </c>
      <c r="G1059" s="20" t="s">
        <v>16344</v>
      </c>
      <c r="H1059" s="24"/>
      <c r="I1059" s="24" t="str">
        <f ca="1">IFERROR(__xludf.DUMMYFUNCTION("GOOGLETRANSLATE(F1059,""en"",""pt"")"),"sacos de polipropileno")</f>
        <v>sacos de polipropileno</v>
      </c>
      <c r="J1059" t="str">
        <f>VLOOKUP(A1059,Pr_Base_LNEC!$A$4:$J$6971,6,FALSE)</f>
        <v>-</v>
      </c>
      <c r="K1059">
        <f>VLOOKUP(A1059,Pr_Base_LNEC!$A$4:$J$6971,7,FALSE)</f>
        <v>0</v>
      </c>
    </row>
    <row r="1060" spans="1:11" ht="14.5">
      <c r="A1060" s="20" t="s">
        <v>16345</v>
      </c>
      <c r="B1060" s="20">
        <v>20</v>
      </c>
      <c r="C1060" s="20">
        <v>85</v>
      </c>
      <c r="D1060" s="20">
        <v>28</v>
      </c>
      <c r="E1060" s="20">
        <v>64</v>
      </c>
      <c r="F1060" s="20" t="s">
        <v>16346</v>
      </c>
      <c r="G1060" s="20" t="s">
        <v>16347</v>
      </c>
      <c r="H1060" s="24"/>
      <c r="I1060" s="24" t="str">
        <f ca="1">IFERROR(__xludf.DUMMYFUNCTION("GOOGLETRANSLATE(F1060,""en"",""pt"")"),"Polipropileno (PP) rolos de rocha")</f>
        <v>Polipropileno (PP) rolos de rocha</v>
      </c>
      <c r="J1060" t="str">
        <f>VLOOKUP(A1060,Pr_Base_LNEC!$A$4:$J$6971,6,FALSE)</f>
        <v>-</v>
      </c>
      <c r="K1060">
        <f>VLOOKUP(A1060,Pr_Base_LNEC!$A$4:$J$6971,7,FALSE)</f>
        <v>0</v>
      </c>
    </row>
    <row r="1061" spans="1:11" ht="14.5">
      <c r="A1061" s="20" t="s">
        <v>16348</v>
      </c>
      <c r="B1061" s="20">
        <v>20</v>
      </c>
      <c r="C1061" s="20">
        <v>85</v>
      </c>
      <c r="D1061" s="20">
        <v>28</v>
      </c>
      <c r="E1061" s="20">
        <v>75</v>
      </c>
      <c r="F1061" s="20" t="s">
        <v>16349</v>
      </c>
      <c r="G1061" s="24"/>
      <c r="H1061" s="24"/>
      <c r="I1061" s="24" t="str">
        <f ca="1">IFERROR(__xludf.DUMMYFUNCTION("GOOGLETRANSLATE(F1061,""en"",""pt"")"),"sacos de areia")</f>
        <v>sacos de areia</v>
      </c>
      <c r="J1061" t="str">
        <f>VLOOKUP(A1061,Pr_Base_LNEC!$A$4:$J$6971,6,FALSE)</f>
        <v>-</v>
      </c>
      <c r="K1061">
        <f>VLOOKUP(A1061,Pr_Base_LNEC!$A$4:$J$6971,7,FALSE)</f>
        <v>0</v>
      </c>
    </row>
    <row r="1062" spans="1:11" ht="14.5">
      <c r="A1062" s="20" t="s">
        <v>16350</v>
      </c>
      <c r="B1062" s="20">
        <v>20</v>
      </c>
      <c r="C1062" s="20">
        <v>85</v>
      </c>
      <c r="D1062" s="20">
        <v>32</v>
      </c>
      <c r="E1062" s="24"/>
      <c r="F1062" s="20" t="s">
        <v>16351</v>
      </c>
      <c r="G1062" s="24"/>
      <c r="H1062" s="24"/>
      <c r="I1062" s="24" t="str">
        <f ca="1">IFERROR(__xludf.DUMMYFUNCTION("GOOGLETRANSLATE(F1062,""en"",""pt"")"),"Quadros e grades")</f>
        <v>Quadros e grades</v>
      </c>
      <c r="J1062" t="str">
        <f>VLOOKUP(A1062,Pr_Base_LNEC!$A$4:$J$6971,6,FALSE)</f>
        <v>Molduras, Grades e Armações</v>
      </c>
      <c r="K1062">
        <f>VLOOKUP(A1062,Pr_Base_LNEC!$A$4:$J$6971,7,FALSE)</f>
        <v>0</v>
      </c>
    </row>
    <row r="1063" spans="1:11" ht="14.5">
      <c r="A1063" s="20" t="s">
        <v>16352</v>
      </c>
      <c r="B1063" s="20">
        <v>20</v>
      </c>
      <c r="C1063" s="20">
        <v>85</v>
      </c>
      <c r="D1063" s="20">
        <v>32</v>
      </c>
      <c r="E1063" s="20">
        <v>1</v>
      </c>
      <c r="F1063" s="20" t="s">
        <v>16353</v>
      </c>
      <c r="G1063" s="24"/>
      <c r="H1063" s="24"/>
      <c r="I1063" s="24" t="str">
        <f ca="1">IFERROR(__xludf.DUMMYFUNCTION("GOOGLETRANSLATE(F1063,""en"",""pt"")"),"Alumínio-zinco revestido grelhas de retenção")</f>
        <v>Alumínio-zinco revestido grelhas de retenção</v>
      </c>
      <c r="J1063" t="str">
        <f>VLOOKUP(A1063,Pr_Base_LNEC!$A$4:$J$6971,6,FALSE)</f>
        <v>-</v>
      </c>
      <c r="K1063">
        <f>VLOOKUP(A1063,Pr_Base_LNEC!$A$4:$J$6971,7,FALSE)</f>
        <v>0</v>
      </c>
    </row>
    <row r="1064" spans="1:11" ht="14.5">
      <c r="A1064" s="20" t="s">
        <v>16354</v>
      </c>
      <c r="B1064" s="20">
        <v>20</v>
      </c>
      <c r="C1064" s="20">
        <v>85</v>
      </c>
      <c r="D1064" s="20">
        <v>32</v>
      </c>
      <c r="E1064" s="20">
        <v>2</v>
      </c>
      <c r="F1064" s="20" t="s">
        <v>16355</v>
      </c>
      <c r="G1064" s="20" t="s">
        <v>16356</v>
      </c>
      <c r="H1064" s="24"/>
      <c r="I1064" s="24" t="str">
        <f ca="1">IFERROR(__xludf.DUMMYFUNCTION("GOOGLETRANSLATE(F1064,""en"",""pt"")"),"esquadrias de alumínio")</f>
        <v>esquadrias de alumínio</v>
      </c>
      <c r="J1064" t="str">
        <f>VLOOKUP(A1064,Pr_Base_LNEC!$A$4:$J$6971,6,FALSE)</f>
        <v>-</v>
      </c>
      <c r="K1064">
        <f>VLOOKUP(A1064,Pr_Base_LNEC!$A$4:$J$6971,7,FALSE)</f>
        <v>0</v>
      </c>
    </row>
    <row r="1065" spans="1:11" ht="14.5">
      <c r="A1065" s="20" t="s">
        <v>16357</v>
      </c>
      <c r="B1065" s="20">
        <v>20</v>
      </c>
      <c r="C1065" s="20">
        <v>85</v>
      </c>
      <c r="D1065" s="20">
        <v>32</v>
      </c>
      <c r="E1065" s="20">
        <v>4</v>
      </c>
      <c r="F1065" s="20" t="s">
        <v>16358</v>
      </c>
      <c r="G1065" s="20" t="s">
        <v>16359</v>
      </c>
      <c r="H1065" s="24"/>
      <c r="I1065" s="24" t="str">
        <f ca="1">IFERROR(__xludf.DUMMYFUNCTION("GOOGLETRANSLATE(F1065,""en"",""pt"")"),"Alumínio vedante estrutural vidraças sub-armações")</f>
        <v>Alumínio vedante estrutural vidraças sub-armações</v>
      </c>
      <c r="J1065" t="str">
        <f>VLOOKUP(A1065,Pr_Base_LNEC!$A$4:$J$6971,6,FALSE)</f>
        <v>-</v>
      </c>
      <c r="K1065">
        <f>VLOOKUP(A1065,Pr_Base_LNEC!$A$4:$J$6971,7,FALSE)</f>
        <v>0</v>
      </c>
    </row>
    <row r="1066" spans="1:11" ht="14.5">
      <c r="A1066" s="20" t="s">
        <v>16360</v>
      </c>
      <c r="B1066" s="20">
        <v>20</v>
      </c>
      <c r="C1066" s="20">
        <v>85</v>
      </c>
      <c r="D1066" s="20">
        <v>32</v>
      </c>
      <c r="E1066" s="20">
        <v>6</v>
      </c>
      <c r="F1066" s="20" t="s">
        <v>16361</v>
      </c>
      <c r="G1066" s="24"/>
      <c r="H1066" s="24"/>
      <c r="I1066" s="24" t="str">
        <f ca="1">IFERROR(__xludf.DUMMYFUNCTION("GOOGLETRANSLATE(F1066,""en"",""pt"")"),"Alumínio sub-armações")</f>
        <v>Alumínio sub-armações</v>
      </c>
      <c r="J1066" t="e">
        <f>VLOOKUP(A1066,Pr_Base_LNEC!$A$4:$J$6971,6,FALSE)</f>
        <v>#N/A</v>
      </c>
      <c r="K1066" t="e">
        <f>VLOOKUP(A1066,Pr_Base_LNEC!$A$4:$J$6971,7,FALSE)</f>
        <v>#N/A</v>
      </c>
    </row>
    <row r="1067" spans="1:11" ht="14.5">
      <c r="A1067" s="20" t="s">
        <v>16362</v>
      </c>
      <c r="B1067" s="20">
        <v>20</v>
      </c>
      <c r="C1067" s="20">
        <v>85</v>
      </c>
      <c r="D1067" s="20">
        <v>32</v>
      </c>
      <c r="E1067" s="20">
        <v>11</v>
      </c>
      <c r="F1067" s="20" t="s">
        <v>16363</v>
      </c>
      <c r="G1067" s="20" t="s">
        <v>16364</v>
      </c>
      <c r="H1067" s="24"/>
      <c r="I1067" s="24" t="str">
        <f ca="1">IFERROR(__xludf.DUMMYFUNCTION("GOOGLETRANSLATE(F1067,""en"",""pt"")"),"estruturas de aço de carbono")</f>
        <v>estruturas de aço de carbono</v>
      </c>
      <c r="J1067" t="str">
        <f>VLOOKUP(A1067,Pr_Base_LNEC!$A$4:$J$6971,6,FALSE)</f>
        <v>Armação de perfis ocos de aço acabados a quente de construção não ligados e grão fino</v>
      </c>
      <c r="K1067" t="str">
        <f>VLOOKUP(A1067,Pr_Base_LNEC!$A$4:$J$6971,7,FALSE)</f>
        <v>EN 10210-1:2006</v>
      </c>
    </row>
    <row r="1068" spans="1:11" ht="14.5">
      <c r="A1068" s="20" t="s">
        <v>16365</v>
      </c>
      <c r="B1068" s="20">
        <v>20</v>
      </c>
      <c r="C1068" s="20">
        <v>85</v>
      </c>
      <c r="D1068" s="20">
        <v>32</v>
      </c>
      <c r="E1068" s="20">
        <v>12</v>
      </c>
      <c r="F1068" s="20" t="s">
        <v>16366</v>
      </c>
      <c r="G1068" s="20" t="s">
        <v>16367</v>
      </c>
      <c r="H1068" s="24"/>
      <c r="I1068" s="24" t="str">
        <f ca="1">IFERROR(__xludf.DUMMYFUNCTION("GOOGLETRANSLATE(F1068,""en"",""pt"")"),"Estrutura de aço de carbono fixadores")</f>
        <v>Estrutura de aço de carbono fixadores</v>
      </c>
      <c r="J1068" t="str">
        <f>VLOOKUP(A1068,Pr_Base_LNEC!$A$4:$J$6971,6,FALSE)</f>
        <v>-</v>
      </c>
      <c r="K1068">
        <f>VLOOKUP(A1068,Pr_Base_LNEC!$A$4:$J$6971,7,FALSE)</f>
        <v>0</v>
      </c>
    </row>
    <row r="1069" spans="1:11" ht="14.5">
      <c r="A1069" s="20" t="s">
        <v>16368</v>
      </c>
      <c r="B1069" s="20">
        <v>20</v>
      </c>
      <c r="C1069" s="20">
        <v>85</v>
      </c>
      <c r="D1069" s="20">
        <v>32</v>
      </c>
      <c r="E1069" s="20">
        <v>13</v>
      </c>
      <c r="F1069" s="20" t="s">
        <v>16369</v>
      </c>
      <c r="G1069" s="20" t="s">
        <v>16370</v>
      </c>
      <c r="H1069" s="24"/>
      <c r="I1069" s="24" t="str">
        <f ca="1">IFERROR(__xludf.DUMMYFUNCTION("GOOGLETRANSLATE(F1069,""en"",""pt"")"),"aço carbono vedante estrutural vidraças sub-armações")</f>
        <v>aço carbono vedante estrutural vidraças sub-armações</v>
      </c>
      <c r="J1069" t="str">
        <f>VLOOKUP(A1069,Pr_Base_LNEC!$A$4:$J$6971,6,FALSE)</f>
        <v>Armação de vidro com vedante estrutural de perfis ocos acabados a quente de aço de construção não ligados e de grão fino</v>
      </c>
      <c r="K1069" t="str">
        <f>VLOOKUP(A1069,Pr_Base_LNEC!$A$4:$J$6971,7,FALSE)</f>
        <v>EN 10210-1:2006</v>
      </c>
    </row>
    <row r="1070" spans="1:11" ht="14.5">
      <c r="A1070" s="20" t="s">
        <v>16371</v>
      </c>
      <c r="B1070" s="20">
        <v>20</v>
      </c>
      <c r="C1070" s="20">
        <v>85</v>
      </c>
      <c r="D1070" s="20">
        <v>32</v>
      </c>
      <c r="E1070" s="20">
        <v>14</v>
      </c>
      <c r="F1070" s="20" t="s">
        <v>16372</v>
      </c>
      <c r="G1070" s="20" t="s">
        <v>16373</v>
      </c>
      <c r="H1070" s="24"/>
      <c r="I1070" s="24" t="str">
        <f ca="1">IFERROR(__xludf.DUMMYFUNCTION("GOOGLETRANSLATE(F1070,""en"",""pt"")"),"Carbono molduras de revestimento de aço secos")</f>
        <v>Carbono molduras de revestimento de aço secos</v>
      </c>
      <c r="J1070" t="str">
        <f>VLOOKUP(A1070,Pr_Base_LNEC!$A$4:$J$6971,6,FALSE)</f>
        <v>Armação de revestimento seco de perfis oco acabados a quente de aço de construção não ligados e de grão fino</v>
      </c>
      <c r="K1070" t="str">
        <f>VLOOKUP(A1070,Pr_Base_LNEC!$A$4:$J$6971,7,FALSE)</f>
        <v>EN 10210-1:2006</v>
      </c>
    </row>
    <row r="1071" spans="1:11" ht="14.5">
      <c r="A1071" s="20" t="s">
        <v>16374</v>
      </c>
      <c r="B1071" s="20">
        <v>20</v>
      </c>
      <c r="C1071" s="20">
        <v>85</v>
      </c>
      <c r="D1071" s="20">
        <v>32</v>
      </c>
      <c r="E1071" s="20">
        <v>16</v>
      </c>
      <c r="F1071" s="20" t="s">
        <v>16375</v>
      </c>
      <c r="G1071" s="24"/>
      <c r="H1071" s="24"/>
      <c r="I1071" s="24" t="str">
        <f ca="1">IFERROR(__xludf.DUMMYFUNCTION("GOOGLETRANSLATE(F1071,""en"",""pt"")"),"sub-armações de aço carbono")</f>
        <v>sub-armações de aço carbono</v>
      </c>
      <c r="J1071" t="e">
        <f>VLOOKUP(A1071,Pr_Base_LNEC!$A$4:$J$6971,6,FALSE)</f>
        <v>#N/A</v>
      </c>
      <c r="K1071" t="e">
        <f>VLOOKUP(A1071,Pr_Base_LNEC!$A$4:$J$6971,7,FALSE)</f>
        <v>#N/A</v>
      </c>
    </row>
    <row r="1072" spans="1:11" ht="14.5">
      <c r="A1072" s="20" t="s">
        <v>16376</v>
      </c>
      <c r="B1072" s="20">
        <v>20</v>
      </c>
      <c r="C1072" s="20">
        <v>85</v>
      </c>
      <c r="D1072" s="20">
        <v>32</v>
      </c>
      <c r="E1072" s="20">
        <v>22</v>
      </c>
      <c r="F1072" s="20" t="s">
        <v>16377</v>
      </c>
      <c r="G1072" s="20" t="s">
        <v>16378</v>
      </c>
      <c r="H1072" s="24"/>
      <c r="I1072" s="24" t="str">
        <f ca="1">IFERROR(__xludf.DUMMYFUNCTION("GOOGLETRANSLATE(F1072,""en"",""pt"")"),"Desmontáveis ​​grelhas de tecto suspenso")</f>
        <v>Desmontáveis ​​grelhas de tecto suspenso</v>
      </c>
      <c r="J1072" t="str">
        <f>VLOOKUP(A1072,Pr_Base_LNEC!$A$4:$J$6971,6,FALSE)</f>
        <v>-</v>
      </c>
      <c r="K1072">
        <f>VLOOKUP(A1072,Pr_Base_LNEC!$A$4:$J$6971,7,FALSE)</f>
        <v>0</v>
      </c>
    </row>
    <row r="1073" spans="1:11" ht="14.5">
      <c r="A1073" s="20" t="s">
        <v>16379</v>
      </c>
      <c r="B1073" s="20">
        <v>20</v>
      </c>
      <c r="C1073" s="20">
        <v>85</v>
      </c>
      <c r="D1073" s="20">
        <v>32</v>
      </c>
      <c r="E1073" s="20">
        <v>30</v>
      </c>
      <c r="F1073" s="20" t="s">
        <v>16380</v>
      </c>
      <c r="G1073" s="20" t="s">
        <v>16381</v>
      </c>
      <c r="H1073" s="24"/>
      <c r="I1073" s="24" t="str">
        <f ca="1">IFERROR(__xludf.DUMMYFUNCTION("GOOGLETRANSLATE(F1073,""en"",""pt"")"),"estruturas de suporte nível de calha de chão")</f>
        <v>estruturas de suporte nível de calha de chão</v>
      </c>
      <c r="J1073" t="str">
        <f>VLOOKUP(A1073,Pr_Base_LNEC!$A$4:$J$6971,6,FALSE)</f>
        <v>-</v>
      </c>
      <c r="K1073">
        <f>VLOOKUP(A1073,Pr_Base_LNEC!$A$4:$J$6971,7,FALSE)</f>
        <v>0</v>
      </c>
    </row>
    <row r="1074" spans="1:11" ht="14.5">
      <c r="A1074" s="20" t="s">
        <v>16382</v>
      </c>
      <c r="B1074" s="20">
        <v>20</v>
      </c>
      <c r="C1074" s="20">
        <v>85</v>
      </c>
      <c r="D1074" s="20">
        <v>32</v>
      </c>
      <c r="E1074" s="20">
        <v>80</v>
      </c>
      <c r="F1074" s="20" t="s">
        <v>16383</v>
      </c>
      <c r="G1074" s="24"/>
      <c r="H1074" s="24"/>
      <c r="I1074" s="24" t="str">
        <f ca="1">IFERROR(__xludf.DUMMYFUNCTION("GOOGLETRANSLATE(F1074,""en"",""pt"")"),"módulo solar lastrado quadros de montagem")</f>
        <v>módulo solar lastrado quadros de montagem</v>
      </c>
      <c r="J1074" t="str">
        <f>VLOOKUP(A1074,Pr_Base_LNEC!$A$4:$J$6971,6,FALSE)</f>
        <v>-</v>
      </c>
      <c r="K1074">
        <f>VLOOKUP(A1074,Pr_Base_LNEC!$A$4:$J$6971,7,FALSE)</f>
        <v>0</v>
      </c>
    </row>
    <row r="1075" spans="1:11" ht="14.5">
      <c r="A1075" s="20" t="s">
        <v>16384</v>
      </c>
      <c r="B1075" s="20">
        <v>20</v>
      </c>
      <c r="C1075" s="20">
        <v>85</v>
      </c>
      <c r="D1075" s="20">
        <v>32</v>
      </c>
      <c r="E1075" s="20">
        <v>81</v>
      </c>
      <c r="F1075" s="20" t="s">
        <v>16385</v>
      </c>
      <c r="G1075" s="24"/>
      <c r="H1075" s="24"/>
      <c r="I1075" s="24" t="str">
        <f ca="1">IFERROR(__xludf.DUMMYFUNCTION("GOOGLETRANSLATE(F1075,""en"",""pt"")"),"módulo solar livre de pé quadros de montagem")</f>
        <v>módulo solar livre de pé quadros de montagem</v>
      </c>
      <c r="J1075" t="str">
        <f>VLOOKUP(A1075,Pr_Base_LNEC!$A$4:$J$6971,6,FALSE)</f>
        <v>-</v>
      </c>
      <c r="K1075">
        <f>VLOOKUP(A1075,Pr_Base_LNEC!$A$4:$J$6971,7,FALSE)</f>
        <v>0</v>
      </c>
    </row>
    <row r="1076" spans="1:11" ht="14.5">
      <c r="A1076" s="20" t="s">
        <v>16386</v>
      </c>
      <c r="B1076" s="20">
        <v>20</v>
      </c>
      <c r="C1076" s="20">
        <v>85</v>
      </c>
      <c r="D1076" s="20">
        <v>32</v>
      </c>
      <c r="E1076" s="20">
        <v>82</v>
      </c>
      <c r="F1076" s="20" t="s">
        <v>16387</v>
      </c>
      <c r="G1076" s="24"/>
      <c r="H1076" s="24"/>
      <c r="I1076" s="24" t="str">
        <f ca="1">IFERROR(__xludf.DUMMYFUNCTION("GOOGLETRANSLATE(F1076,""en"",""pt"")"),"estruturas espaciais")</f>
        <v>estruturas espaciais</v>
      </c>
      <c r="J1076" t="str">
        <f>VLOOKUP(A1076,Pr_Base_LNEC!$A$4:$J$6971,6,FALSE)</f>
        <v>-</v>
      </c>
      <c r="K1076">
        <f>VLOOKUP(A1076,Pr_Base_LNEC!$A$4:$J$6971,7,FALSE)</f>
        <v>0</v>
      </c>
    </row>
    <row r="1077" spans="1:11" ht="14.5">
      <c r="A1077" s="20" t="s">
        <v>16388</v>
      </c>
      <c r="B1077" s="20">
        <v>20</v>
      </c>
      <c r="C1077" s="20">
        <v>85</v>
      </c>
      <c r="D1077" s="20">
        <v>32</v>
      </c>
      <c r="E1077" s="20">
        <v>84</v>
      </c>
      <c r="F1077" s="20" t="s">
        <v>16389</v>
      </c>
      <c r="G1077" s="20" t="s">
        <v>16390</v>
      </c>
      <c r="H1077" s="24"/>
      <c r="I1077" s="24" t="str">
        <f ca="1">IFERROR(__xludf.DUMMYFUNCTION("GOOGLETRANSLATE(F1077,""en"",""pt"")"),"armações de aço inoxidável")</f>
        <v>armações de aço inoxidável</v>
      </c>
      <c r="J1077" t="str">
        <f>VLOOKUP(A1077,Pr_Base_LNEC!$A$4:$J$6971,6,FALSE)</f>
        <v>Armação em aço inoxidável</v>
      </c>
      <c r="K1077" t="str">
        <f>VLOOKUP(A1077,Pr_Base_LNEC!$A$4:$J$6971,7,FALSE)</f>
        <v>EN 10088-5:2009</v>
      </c>
    </row>
    <row r="1078" spans="1:11" ht="14.5">
      <c r="A1078" s="20" t="s">
        <v>16391</v>
      </c>
      <c r="B1078" s="20">
        <v>20</v>
      </c>
      <c r="C1078" s="20">
        <v>85</v>
      </c>
      <c r="D1078" s="20">
        <v>32</v>
      </c>
      <c r="E1078" s="20">
        <v>85</v>
      </c>
      <c r="F1078" s="20" t="s">
        <v>16392</v>
      </c>
      <c r="G1078" s="20" t="s">
        <v>16393</v>
      </c>
      <c r="H1078" s="24"/>
      <c r="I1078" s="24" t="str">
        <f ca="1">IFERROR(__xludf.DUMMYFUNCTION("GOOGLETRANSLATE(F1078,""en"",""pt"")"),"quadro parafusos de aço inoxidável")</f>
        <v>quadro parafusos de aço inoxidável</v>
      </c>
      <c r="J1078" t="str">
        <f>VLOOKUP(A1078,Pr_Base_LNEC!$A$4:$J$6971,6,FALSE)</f>
        <v>Fixadores de armação em aço inoxidável</v>
      </c>
      <c r="K1078" t="str">
        <f>VLOOKUP(A1078,Pr_Base_LNEC!$A$4:$J$6971,7,FALSE)</f>
        <v>EN 10088-5:2009</v>
      </c>
    </row>
    <row r="1079" spans="1:11" ht="14.5">
      <c r="A1079" s="20" t="s">
        <v>16394</v>
      </c>
      <c r="B1079" s="20">
        <v>20</v>
      </c>
      <c r="C1079" s="20">
        <v>85</v>
      </c>
      <c r="D1079" s="20">
        <v>32</v>
      </c>
      <c r="E1079" s="20">
        <v>88</v>
      </c>
      <c r="F1079" s="20" t="s">
        <v>16395</v>
      </c>
      <c r="G1079" s="20" t="s">
        <v>16396</v>
      </c>
      <c r="H1079" s="24"/>
      <c r="I1079" s="24" t="str">
        <f ca="1">IFERROR(__xludf.DUMMYFUNCTION("GOOGLETRANSLATE(F1079,""en"",""pt"")"),"quadros de revestimento seco de madeira")</f>
        <v>quadros de revestimento seco de madeira</v>
      </c>
      <c r="J1079" t="str">
        <f>VLOOKUP(A1079,Pr_Base_LNEC!$A$4:$J$6971,6,FALSE)</f>
        <v>-</v>
      </c>
      <c r="K1079">
        <f>VLOOKUP(A1079,Pr_Base_LNEC!$A$4:$J$6971,7,FALSE)</f>
        <v>0</v>
      </c>
    </row>
    <row r="1080" spans="1:11" ht="14.5">
      <c r="A1080" s="20" t="s">
        <v>16397</v>
      </c>
      <c r="B1080" s="20">
        <v>20</v>
      </c>
      <c r="C1080" s="20">
        <v>85</v>
      </c>
      <c r="D1080" s="20">
        <v>32</v>
      </c>
      <c r="E1080" s="20">
        <v>92</v>
      </c>
      <c r="F1080" s="20" t="s">
        <v>16398</v>
      </c>
      <c r="G1080" s="20" t="s">
        <v>16399</v>
      </c>
      <c r="H1080" s="24"/>
      <c r="I1080" s="24" t="str">
        <f ca="1">IFERROR(__xludf.DUMMYFUNCTION("GOOGLETRANSLATE(F1080,""en"",""pt"")"),"de cloreto de polivinilo não plastificado (PVC-U) quadros")</f>
        <v>de cloreto de polivinilo não plastificado (PVC-U) quadros</v>
      </c>
      <c r="J1080" t="str">
        <f>VLOOKUP(A1080,Pr_Base_LNEC!$A$4:$J$6971,6,FALSE)</f>
        <v>-</v>
      </c>
      <c r="K1080">
        <f>VLOOKUP(A1080,Pr_Base_LNEC!$A$4:$J$6971,7,FALSE)</f>
        <v>0</v>
      </c>
    </row>
    <row r="1081" spans="1:11" ht="14.5">
      <c r="A1081" s="20" t="s">
        <v>16400</v>
      </c>
      <c r="B1081" s="20">
        <v>20</v>
      </c>
      <c r="C1081" s="20">
        <v>85</v>
      </c>
      <c r="D1081" s="20">
        <v>32</v>
      </c>
      <c r="E1081" s="20">
        <v>93</v>
      </c>
      <c r="F1081" s="20" t="s">
        <v>16401</v>
      </c>
      <c r="G1081" s="20" t="s">
        <v>16402</v>
      </c>
      <c r="H1081" s="24"/>
      <c r="I1081" s="24" t="str">
        <f ca="1">IFERROR(__xludf.DUMMYFUNCTION("GOOGLETRANSLATE(F1081,""en"",""pt"")"),"de cloreto de polivinilo não plastificado (PVC-U) sub-armações")</f>
        <v>de cloreto de polivinilo não plastificado (PVC-U) sub-armações</v>
      </c>
      <c r="J1081" t="str">
        <f>VLOOKUP(A1081,Pr_Base_LNEC!$A$4:$J$6971,6,FALSE)</f>
        <v>-</v>
      </c>
      <c r="K1081">
        <f>VLOOKUP(A1081,Pr_Base_LNEC!$A$4:$J$6971,7,FALSE)</f>
        <v>0</v>
      </c>
    </row>
    <row r="1082" spans="1:11" ht="14.5">
      <c r="A1082" s="20" t="s">
        <v>16403</v>
      </c>
      <c r="B1082" s="20">
        <v>20</v>
      </c>
      <c r="C1082" s="20">
        <v>85</v>
      </c>
      <c r="D1082" s="20">
        <v>32</v>
      </c>
      <c r="E1082" s="20">
        <v>94</v>
      </c>
      <c r="F1082" s="20" t="s">
        <v>16404</v>
      </c>
      <c r="G1082" s="24"/>
      <c r="H1082" s="24"/>
      <c r="I1082" s="24" t="str">
        <f ca="1">IFERROR(__xludf.DUMMYFUNCTION("GOOGLETRANSLATE(F1082,""en"",""pt"")"),"cloreto de polivinilo não plastificado (PVC-U) sub-armações de janela")</f>
        <v>cloreto de polivinilo não plastificado (PVC-U) sub-armações de janela</v>
      </c>
      <c r="J1082" t="str">
        <f>VLOOKUP(A1082,Pr_Base_LNEC!$A$4:$J$6971,6,FALSE)</f>
        <v>-</v>
      </c>
      <c r="K1082">
        <f>VLOOKUP(A1082,Pr_Base_LNEC!$A$4:$J$6971,7,FALSE)</f>
        <v>0</v>
      </c>
    </row>
    <row r="1083" spans="1:11" ht="14.5">
      <c r="A1083" s="20" t="s">
        <v>16405</v>
      </c>
      <c r="B1083" s="20">
        <v>20</v>
      </c>
      <c r="C1083" s="20">
        <v>85</v>
      </c>
      <c r="D1083" s="20">
        <v>32</v>
      </c>
      <c r="E1083" s="20">
        <v>96</v>
      </c>
      <c r="F1083" s="20" t="s">
        <v>16406</v>
      </c>
      <c r="G1083" s="20" t="s">
        <v>16407</v>
      </c>
      <c r="H1083" s="24"/>
      <c r="I1083" s="24" t="str">
        <f ca="1">IFERROR(__xludf.DUMMYFUNCTION("GOOGLETRANSLATE(F1083,""en"",""pt"")"),"molduras de madeira")</f>
        <v>molduras de madeira</v>
      </c>
      <c r="J1083" t="str">
        <f>VLOOKUP(A1083,Pr_Base_LNEC!$A$4:$J$6971,6,FALSE)</f>
        <v>-</v>
      </c>
      <c r="K1083">
        <f>VLOOKUP(A1083,Pr_Base_LNEC!$A$4:$J$6971,7,FALSE)</f>
        <v>0</v>
      </c>
    </row>
    <row r="1084" spans="1:11" ht="14.5">
      <c r="A1084" s="20" t="s">
        <v>16408</v>
      </c>
      <c r="B1084" s="20">
        <v>20</v>
      </c>
      <c r="C1084" s="20">
        <v>85</v>
      </c>
      <c r="D1084" s="20">
        <v>32</v>
      </c>
      <c r="E1084" s="20">
        <v>97</v>
      </c>
      <c r="F1084" s="20" t="s">
        <v>16409</v>
      </c>
      <c r="G1084" s="20" t="s">
        <v>16410</v>
      </c>
      <c r="H1084" s="24"/>
      <c r="I1084" s="24" t="str">
        <f ca="1">IFERROR(__xludf.DUMMYFUNCTION("GOOGLETRANSLATE(F1084,""en"",""pt"")"),"Madeira sub-armações")</f>
        <v>Madeira sub-armações</v>
      </c>
      <c r="J1084" t="str">
        <f>VLOOKUP(A1084,Pr_Base_LNEC!$A$4:$J$6971,6,FALSE)</f>
        <v>-</v>
      </c>
      <c r="K1084">
        <f>VLOOKUP(A1084,Pr_Base_LNEC!$A$4:$J$6971,7,FALSE)</f>
        <v>0</v>
      </c>
    </row>
    <row r="1085" spans="1:11" ht="14.5">
      <c r="A1085" s="20" t="s">
        <v>16411</v>
      </c>
      <c r="B1085" s="20">
        <v>20</v>
      </c>
      <c r="C1085" s="20">
        <v>85</v>
      </c>
      <c r="D1085" s="20">
        <v>32</v>
      </c>
      <c r="E1085" s="20">
        <v>98</v>
      </c>
      <c r="F1085" s="20" t="s">
        <v>16412</v>
      </c>
      <c r="G1085" s="24"/>
      <c r="H1085" s="24"/>
      <c r="I1085" s="24" t="str">
        <f ca="1">IFERROR(__xludf.DUMMYFUNCTION("GOOGLETRANSLATE(F1085,""en"",""pt"")"),"janela de madeira sub-armações")</f>
        <v>janela de madeira sub-armações</v>
      </c>
      <c r="J1085" t="str">
        <f>VLOOKUP(A1085,Pr_Base_LNEC!$A$4:$J$6971,6,FALSE)</f>
        <v>-</v>
      </c>
      <c r="K1085">
        <f>VLOOKUP(A1085,Pr_Base_LNEC!$A$4:$J$6971,7,FALSE)</f>
        <v>0</v>
      </c>
    </row>
    <row r="1086" spans="1:11" ht="14.5">
      <c r="A1086" s="20" t="s">
        <v>16413</v>
      </c>
      <c r="B1086" s="20">
        <v>20</v>
      </c>
      <c r="C1086" s="20">
        <v>85</v>
      </c>
      <c r="D1086" s="20">
        <v>34</v>
      </c>
      <c r="E1086" s="24"/>
      <c r="F1086" s="20" t="s">
        <v>16414</v>
      </c>
      <c r="G1086" s="24"/>
      <c r="H1086" s="24"/>
      <c r="I1086" s="24" t="str">
        <f ca="1">IFERROR(__xludf.DUMMYFUNCTION("GOOGLETRANSLATE(F1086,""en"",""pt"")"),"produtos de apoio em terra")</f>
        <v>produtos de apoio em terra</v>
      </c>
      <c r="J1086" t="e">
        <f>VLOOKUP(A1086,Pr_Base_LNEC!$A$4:$J$6971,6,FALSE)</f>
        <v>#N/A</v>
      </c>
      <c r="K1086" t="e">
        <f>VLOOKUP(A1086,Pr_Base_LNEC!$A$4:$J$6971,7,FALSE)</f>
        <v>#N/A</v>
      </c>
    </row>
    <row r="1087" spans="1:11" ht="14.5">
      <c r="A1087" s="20" t="s">
        <v>16415</v>
      </c>
      <c r="B1087" s="20">
        <v>20</v>
      </c>
      <c r="C1087" s="20">
        <v>85</v>
      </c>
      <c r="D1087" s="20">
        <v>34</v>
      </c>
      <c r="E1087" s="20">
        <v>34</v>
      </c>
      <c r="F1087" s="20" t="s">
        <v>16416</v>
      </c>
      <c r="G1087" s="24"/>
      <c r="H1087" s="24"/>
      <c r="I1087" s="24" t="str">
        <f ca="1">IFERROR(__xludf.DUMMYFUNCTION("GOOGLETRANSLATE(F1087,""en"",""pt"")"),"spiles tubos grouted")</f>
        <v>spiles tubos grouted</v>
      </c>
      <c r="J1087" t="e">
        <f>VLOOKUP(A1087,Pr_Base_LNEC!$A$4:$J$6971,6,FALSE)</f>
        <v>#N/A</v>
      </c>
      <c r="K1087" t="e">
        <f>VLOOKUP(A1087,Pr_Base_LNEC!$A$4:$J$6971,7,FALSE)</f>
        <v>#N/A</v>
      </c>
    </row>
    <row r="1088" spans="1:11" ht="14.5">
      <c r="A1088" s="20" t="s">
        <v>16417</v>
      </c>
      <c r="B1088" s="20">
        <v>20</v>
      </c>
      <c r="C1088" s="20">
        <v>85</v>
      </c>
      <c r="D1088" s="20">
        <v>34</v>
      </c>
      <c r="E1088" s="20">
        <v>84</v>
      </c>
      <c r="F1088" s="20" t="s">
        <v>16418</v>
      </c>
      <c r="G1088" s="24"/>
      <c r="H1088" s="24"/>
      <c r="I1088" s="24" t="str">
        <f ca="1">IFERROR(__xludf.DUMMYFUNCTION("GOOGLETRANSLATE(F1088,""en"",""pt"")"),"spiles aço")</f>
        <v>spiles aço</v>
      </c>
      <c r="J1088" t="e">
        <f>VLOOKUP(A1088,Pr_Base_LNEC!$A$4:$J$6971,6,FALSE)</f>
        <v>#N/A</v>
      </c>
      <c r="K1088" t="e">
        <f>VLOOKUP(A1088,Pr_Base_LNEC!$A$4:$J$6971,7,FALSE)</f>
        <v>#N/A</v>
      </c>
    </row>
    <row r="1089" spans="1:11" ht="14.5">
      <c r="A1089" s="20" t="s">
        <v>16419</v>
      </c>
      <c r="B1089" s="20">
        <v>20</v>
      </c>
      <c r="C1089" s="20">
        <v>85</v>
      </c>
      <c r="D1089" s="20">
        <v>46</v>
      </c>
      <c r="E1089" s="24"/>
      <c r="F1089" s="20" t="s">
        <v>16420</v>
      </c>
      <c r="G1089" s="24"/>
      <c r="H1089" s="24"/>
      <c r="I1089" s="24" t="str">
        <f ca="1">IFERROR(__xludf.DUMMYFUNCTION("GOOGLETRANSLATE(F1089,""en"",""pt"")"),"Lathings e furrings")</f>
        <v>Lathings e furrings</v>
      </c>
      <c r="J1089" t="str">
        <f>VLOOKUP(A1089,Pr_Base_LNEC!$A$4:$J$6971,6,FALSE)</f>
        <v>Redes</v>
      </c>
      <c r="K1089">
        <f>VLOOKUP(A1089,Pr_Base_LNEC!$A$4:$J$6971,7,FALSE)</f>
        <v>0</v>
      </c>
    </row>
    <row r="1090" spans="1:11" ht="14.5">
      <c r="A1090" s="20" t="s">
        <v>16421</v>
      </c>
      <c r="B1090" s="20">
        <v>20</v>
      </c>
      <c r="C1090" s="20">
        <v>85</v>
      </c>
      <c r="D1090" s="20">
        <v>46</v>
      </c>
      <c r="E1090" s="20">
        <v>21</v>
      </c>
      <c r="F1090" s="20" t="s">
        <v>16422</v>
      </c>
      <c r="G1090" s="20" t="s">
        <v>16423</v>
      </c>
      <c r="H1090" s="24"/>
      <c r="I1090" s="24" t="str">
        <f ca="1">IFERROR(__xludf.DUMMYFUNCTION("GOOGLETRANSLATE(F1090,""en"",""pt"")"),"Damp lathings prova")</f>
        <v>Damp lathings prova</v>
      </c>
      <c r="J1090" t="str">
        <f>VLOOKUP(A1090,Pr_Base_LNEC!$A$4:$J$6971,6,FALSE)</f>
        <v>-</v>
      </c>
      <c r="K1090">
        <f>VLOOKUP(A1090,Pr_Base_LNEC!$A$4:$J$6971,7,FALSE)</f>
        <v>0</v>
      </c>
    </row>
    <row r="1091" spans="1:11" ht="14.5">
      <c r="A1091" s="20" t="s">
        <v>16424</v>
      </c>
      <c r="B1091" s="20">
        <v>20</v>
      </c>
      <c r="C1091" s="20">
        <v>85</v>
      </c>
      <c r="D1091" s="20">
        <v>46</v>
      </c>
      <c r="E1091" s="20">
        <v>28</v>
      </c>
      <c r="F1091" s="20" t="s">
        <v>16425</v>
      </c>
      <c r="G1091" s="20" t="s">
        <v>16426</v>
      </c>
      <c r="H1091" s="24"/>
      <c r="I1091" s="24" t="str">
        <f ca="1">IFERROR(__xludf.DUMMYFUNCTION("GOOGLETRANSLATE(F1091,""en"",""pt"")"),"lathings de metal expandido")</f>
        <v>lathings de metal expandido</v>
      </c>
      <c r="J1091" t="str">
        <f>VLOOKUP(A1091,Pr_Base_LNEC!$A$4:$J$6971,6,FALSE)</f>
        <v>-</v>
      </c>
      <c r="K1091">
        <f>VLOOKUP(A1091,Pr_Base_LNEC!$A$4:$J$6971,7,FALSE)</f>
        <v>0</v>
      </c>
    </row>
    <row r="1092" spans="1:11" ht="14.5">
      <c r="A1092" s="20" t="s">
        <v>16427</v>
      </c>
      <c r="B1092" s="20">
        <v>20</v>
      </c>
      <c r="C1092" s="20">
        <v>85</v>
      </c>
      <c r="D1092" s="20">
        <v>46</v>
      </c>
      <c r="E1092" s="20">
        <v>36</v>
      </c>
      <c r="F1092" s="20" t="s">
        <v>16428</v>
      </c>
      <c r="G1092" s="24"/>
      <c r="H1092" s="24"/>
      <c r="I1092" s="24" t="str">
        <f ca="1">IFERROR(__xludf.DUMMYFUNCTION("GOOGLETRANSLATE(F1092,""en"",""pt"")"),"furrings de madeira")</f>
        <v>furrings de madeira</v>
      </c>
      <c r="J1092" t="str">
        <f>VLOOKUP(A1092,Pr_Base_LNEC!$A$4:$J$6971,6,FALSE)</f>
        <v>-</v>
      </c>
      <c r="K1092">
        <f>VLOOKUP(A1092,Pr_Base_LNEC!$A$4:$J$6971,7,FALSE)</f>
        <v>0</v>
      </c>
    </row>
    <row r="1093" spans="1:11" ht="14.5">
      <c r="A1093" s="20" t="s">
        <v>16429</v>
      </c>
      <c r="B1093" s="20">
        <v>20</v>
      </c>
      <c r="C1093" s="20">
        <v>85</v>
      </c>
      <c r="D1093" s="20">
        <v>46</v>
      </c>
      <c r="E1093" s="20">
        <v>52</v>
      </c>
      <c r="F1093" s="20" t="s">
        <v>16430</v>
      </c>
      <c r="G1093" s="20" t="s">
        <v>16431</v>
      </c>
      <c r="H1093" s="24"/>
      <c r="I1093" s="24" t="str">
        <f ca="1">IFERROR(__xludf.DUMMYFUNCTION("GOOGLETRANSLATE(F1093,""en"",""pt"")"),"Metal arco de formulário lathings")</f>
        <v>Metal arco de formulário lathings</v>
      </c>
      <c r="J1093" t="str">
        <f>VLOOKUP(A1093,Pr_Base_LNEC!$A$4:$J$6971,6,FALSE)</f>
        <v>-</v>
      </c>
      <c r="K1093">
        <f>VLOOKUP(A1093,Pr_Base_LNEC!$A$4:$J$6971,7,FALSE)</f>
        <v>0</v>
      </c>
    </row>
    <row r="1094" spans="1:11" ht="14.5">
      <c r="A1094" s="20" t="s">
        <v>16432</v>
      </c>
      <c r="B1094" s="20">
        <v>20</v>
      </c>
      <c r="C1094" s="20">
        <v>85</v>
      </c>
      <c r="D1094" s="20">
        <v>46</v>
      </c>
      <c r="E1094" s="20">
        <v>53</v>
      </c>
      <c r="F1094" s="20" t="s">
        <v>16433</v>
      </c>
      <c r="G1094" s="20" t="s">
        <v>16434</v>
      </c>
      <c r="H1094" s="24"/>
      <c r="I1094" s="24" t="str">
        <f ca="1">IFERROR(__xludf.DUMMYFUNCTION("GOOGLETRANSLATE(F1094,""en"",""pt"")"),"furring canais de metal")</f>
        <v>furring canais de metal</v>
      </c>
      <c r="J1094" t="str">
        <f>VLOOKUP(A1094,Pr_Base_LNEC!$A$4:$J$6971,6,FALSE)</f>
        <v>-</v>
      </c>
      <c r="K1094">
        <f>VLOOKUP(A1094,Pr_Base_LNEC!$A$4:$J$6971,7,FALSE)</f>
        <v>0</v>
      </c>
    </row>
    <row r="1095" spans="1:11" ht="14.5">
      <c r="A1095" s="20" t="s">
        <v>16435</v>
      </c>
      <c r="B1095" s="20">
        <v>20</v>
      </c>
      <c r="C1095" s="20">
        <v>85</v>
      </c>
      <c r="D1095" s="20">
        <v>46</v>
      </c>
      <c r="E1095" s="20">
        <v>96</v>
      </c>
      <c r="F1095" s="20" t="s">
        <v>16436</v>
      </c>
      <c r="G1095" s="20" t="s">
        <v>16437</v>
      </c>
      <c r="H1095" s="24"/>
      <c r="I1095" s="24" t="str">
        <f ca="1">IFERROR(__xludf.DUMMYFUNCTION("GOOGLETRANSLATE(F1095,""en"",""pt"")"),"lathings madeira")</f>
        <v>lathings madeira</v>
      </c>
      <c r="J1095" t="str">
        <f>VLOOKUP(A1095,Pr_Base_LNEC!$A$4:$J$6971,6,FALSE)</f>
        <v>-</v>
      </c>
      <c r="K1095">
        <f>VLOOKUP(A1095,Pr_Base_LNEC!$A$4:$J$6971,7,FALSE)</f>
        <v>0</v>
      </c>
    </row>
    <row r="1096" spans="1:11" ht="14.5">
      <c r="A1096" s="20" t="s">
        <v>16438</v>
      </c>
      <c r="B1096" s="20">
        <v>20</v>
      </c>
      <c r="C1096" s="20">
        <v>85</v>
      </c>
      <c r="D1096" s="20">
        <v>46</v>
      </c>
      <c r="E1096" s="20">
        <v>97</v>
      </c>
      <c r="F1096" s="20" t="s">
        <v>16439</v>
      </c>
      <c r="G1096" s="20" t="s">
        <v>16440</v>
      </c>
      <c r="H1096" s="24"/>
      <c r="I1096" s="24" t="str">
        <f ca="1">IFERROR(__xludf.DUMMYFUNCTION("GOOGLETRANSLATE(F1096,""en"",""pt"")"),"Madeira afunilada furring peças")</f>
        <v>Madeira afunilada furring peças</v>
      </c>
      <c r="J1096" t="str">
        <f>VLOOKUP(A1096,Pr_Base_LNEC!$A$4:$J$6971,6,FALSE)</f>
        <v>-</v>
      </c>
      <c r="K1096">
        <f>VLOOKUP(A1096,Pr_Base_LNEC!$A$4:$J$6971,7,FALSE)</f>
        <v>0</v>
      </c>
    </row>
    <row r="1097" spans="1:11" ht="14.5">
      <c r="A1097" s="20" t="s">
        <v>16441</v>
      </c>
      <c r="B1097" s="20">
        <v>20</v>
      </c>
      <c r="C1097" s="20">
        <v>85</v>
      </c>
      <c r="D1097" s="20">
        <v>47</v>
      </c>
      <c r="E1097" s="24"/>
      <c r="F1097" s="20" t="s">
        <v>16442</v>
      </c>
      <c r="G1097" s="24"/>
      <c r="H1097" s="24"/>
      <c r="I1097" s="24" t="str">
        <f ca="1">IFERROR(__xludf.DUMMYFUNCTION("GOOGLETRANSLATE(F1097,""en"",""pt"")"),"Pernas, pedestais, cabides e longarinas")</f>
        <v>Pernas, pedestais, cabides e longarinas</v>
      </c>
      <c r="J1097" t="str">
        <f>VLOOKUP(A1097,Pr_Base_LNEC!$A$4:$J$6971,6,FALSE)</f>
        <v>Suportes, Pedestais, Ganchos e Longarinas</v>
      </c>
      <c r="K1097">
        <f>VLOOKUP(A1097,Pr_Base_LNEC!$A$4:$J$6971,7,FALSE)</f>
        <v>0</v>
      </c>
    </row>
    <row r="1098" spans="1:11" ht="14.5">
      <c r="A1098" s="20" t="s">
        <v>16443</v>
      </c>
      <c r="B1098" s="20">
        <v>20</v>
      </c>
      <c r="C1098" s="20">
        <v>85</v>
      </c>
      <c r="D1098" s="20">
        <v>47</v>
      </c>
      <c r="E1098" s="20">
        <v>1</v>
      </c>
      <c r="F1098" s="20" t="s">
        <v>16444</v>
      </c>
      <c r="G1098" s="20" t="s">
        <v>16445</v>
      </c>
      <c r="H1098" s="24"/>
      <c r="I1098" s="24" t="str">
        <f ca="1">IFERROR(__xludf.DUMMYFUNCTION("GOOGLETRANSLATE(F1098,""en"",""pt"")"),"seções ponte piso de acesso")</f>
        <v>seções ponte piso de acesso</v>
      </c>
      <c r="J1098" t="str">
        <f>VLOOKUP(A1098,Pr_Base_LNEC!$A$4:$J$6971,6,FALSE)</f>
        <v>-</v>
      </c>
      <c r="K1098">
        <f>VLOOKUP(A1098,Pr_Base_LNEC!$A$4:$J$6971,7,FALSE)</f>
        <v>0</v>
      </c>
    </row>
    <row r="1099" spans="1:11" ht="14.5">
      <c r="A1099" s="20" t="s">
        <v>16446</v>
      </c>
      <c r="B1099" s="20">
        <v>20</v>
      </c>
      <c r="C1099" s="20">
        <v>85</v>
      </c>
      <c r="D1099" s="20">
        <v>47</v>
      </c>
      <c r="E1099" s="20">
        <v>2</v>
      </c>
      <c r="F1099" s="20" t="s">
        <v>16447</v>
      </c>
      <c r="G1099" s="20" t="s">
        <v>16448</v>
      </c>
      <c r="H1099" s="24"/>
      <c r="I1099" s="24" t="str">
        <f ca="1">IFERROR(__xludf.DUMMYFUNCTION("GOOGLETRANSLATE(F1099,""en"",""pt"")"),"pedestais piso de acesso")</f>
        <v>pedestais piso de acesso</v>
      </c>
      <c r="J1099" t="str">
        <f>VLOOKUP(A1099,Pr_Base_LNEC!$A$4:$J$6971,6,FALSE)</f>
        <v>-</v>
      </c>
      <c r="K1099">
        <f>VLOOKUP(A1099,Pr_Base_LNEC!$A$4:$J$6971,7,FALSE)</f>
        <v>0</v>
      </c>
    </row>
    <row r="1100" spans="1:11" ht="14.5">
      <c r="A1100" s="20" t="s">
        <v>16449</v>
      </c>
      <c r="B1100" s="20">
        <v>20</v>
      </c>
      <c r="C1100" s="20">
        <v>85</v>
      </c>
      <c r="D1100" s="20">
        <v>47</v>
      </c>
      <c r="E1100" s="20">
        <v>3</v>
      </c>
      <c r="F1100" s="20" t="s">
        <v>16450</v>
      </c>
      <c r="G1100" s="20" t="s">
        <v>16451</v>
      </c>
      <c r="H1100" s="24"/>
      <c r="I1100" s="24" t="str">
        <f ca="1">IFERROR(__xludf.DUMMYFUNCTION("GOOGLETRANSLATE(F1100,""en"",""pt"")"),"longarinas piso de acesso")</f>
        <v>longarinas piso de acesso</v>
      </c>
      <c r="J1100" t="str">
        <f>VLOOKUP(A1100,Pr_Base_LNEC!$A$4:$J$6971,6,FALSE)</f>
        <v>-</v>
      </c>
      <c r="K1100">
        <f>VLOOKUP(A1100,Pr_Base_LNEC!$A$4:$J$6971,7,FALSE)</f>
        <v>0</v>
      </c>
    </row>
    <row r="1101" spans="1:11" ht="14.5">
      <c r="A1101" s="20" t="s">
        <v>16452</v>
      </c>
      <c r="B1101" s="20">
        <v>20</v>
      </c>
      <c r="C1101" s="20">
        <v>85</v>
      </c>
      <c r="D1101" s="20">
        <v>47</v>
      </c>
      <c r="E1101" s="20">
        <v>4</v>
      </c>
      <c r="F1101" s="20" t="s">
        <v>16453</v>
      </c>
      <c r="G1101" s="20" t="s">
        <v>16454</v>
      </c>
      <c r="H1101" s="24"/>
      <c r="I1101" s="24" t="str">
        <f ca="1">IFERROR(__xludf.DUMMYFUNCTION("GOOGLETRANSLATE(F1101,""en"",""pt"")"),"berços sarrafo acústicos")</f>
        <v>berços sarrafo acústicos</v>
      </c>
      <c r="J1101" t="str">
        <f>VLOOKUP(A1101,Pr_Base_LNEC!$A$4:$J$6971,6,FALSE)</f>
        <v>-</v>
      </c>
      <c r="K1101">
        <f>VLOOKUP(A1101,Pr_Base_LNEC!$A$4:$J$6971,7,FALSE)</f>
        <v>0</v>
      </c>
    </row>
    <row r="1102" spans="1:11" ht="14.5">
      <c r="A1102" s="20" t="s">
        <v>16455</v>
      </c>
      <c r="B1102" s="20">
        <v>20</v>
      </c>
      <c r="C1102" s="20">
        <v>85</v>
      </c>
      <c r="D1102" s="20">
        <v>47</v>
      </c>
      <c r="E1102" s="20">
        <v>20</v>
      </c>
      <c r="F1102" s="20" t="s">
        <v>16456</v>
      </c>
      <c r="G1102" s="20" t="s">
        <v>16457</v>
      </c>
      <c r="H1102" s="24"/>
      <c r="I1102" s="24" t="str">
        <f ca="1">IFERROR(__xludf.DUMMYFUNCTION("GOOGLETRANSLATE(F1102,""en"",""pt"")"),"Cubículo e partição pernas")</f>
        <v>Cubículo e partição pernas</v>
      </c>
      <c r="J1102" t="str">
        <f>VLOOKUP(A1102,Pr_Base_LNEC!$A$4:$J$6971,6,FALSE)</f>
        <v>-</v>
      </c>
      <c r="K1102">
        <f>VLOOKUP(A1102,Pr_Base_LNEC!$A$4:$J$6971,7,FALSE)</f>
        <v>0</v>
      </c>
    </row>
    <row r="1103" spans="1:11" ht="14.5">
      <c r="A1103" s="20" t="s">
        <v>16458</v>
      </c>
      <c r="B1103" s="20">
        <v>20</v>
      </c>
      <c r="C1103" s="20">
        <v>85</v>
      </c>
      <c r="D1103" s="20">
        <v>47</v>
      </c>
      <c r="E1103" s="20">
        <v>22</v>
      </c>
      <c r="F1103" s="20" t="s">
        <v>16459</v>
      </c>
      <c r="G1103" s="20" t="s">
        <v>16460</v>
      </c>
      <c r="H1103" s="24"/>
      <c r="I1103" s="24" t="str">
        <f ca="1">IFERROR(__xludf.DUMMYFUNCTION("GOOGLETRANSLATE(F1103,""en"",""pt"")"),"Decks e pavimentação pedestais")</f>
        <v>Decks e pavimentação pedestais</v>
      </c>
      <c r="J1103" t="str">
        <f>VLOOKUP(A1103,Pr_Base_LNEC!$A$4:$J$6971,6,FALSE)</f>
        <v>-</v>
      </c>
      <c r="K1103">
        <f>VLOOKUP(A1103,Pr_Base_LNEC!$A$4:$J$6971,7,FALSE)</f>
        <v>0</v>
      </c>
    </row>
    <row r="1104" spans="1:11" ht="14.5">
      <c r="A1104" s="20" t="s">
        <v>16461</v>
      </c>
      <c r="B1104" s="20">
        <v>20</v>
      </c>
      <c r="C1104" s="20">
        <v>85</v>
      </c>
      <c r="D1104" s="20">
        <v>47</v>
      </c>
      <c r="E1104" s="20">
        <v>47</v>
      </c>
      <c r="F1104" s="20" t="s">
        <v>16462</v>
      </c>
      <c r="G1104" s="20" t="s">
        <v>16463</v>
      </c>
      <c r="H1104" s="24"/>
      <c r="I1104" s="24" t="str">
        <f ca="1">IFERROR(__xludf.DUMMYFUNCTION("GOOGLETRANSLATE(F1104,""en"",""pt"")"),"apoios das pernas")</f>
        <v>apoios das pernas</v>
      </c>
      <c r="J1104" t="str">
        <f>VLOOKUP(A1104,Pr_Base_LNEC!$A$4:$J$6971,6,FALSE)</f>
        <v>-</v>
      </c>
      <c r="K1104">
        <f>VLOOKUP(A1104,Pr_Base_LNEC!$A$4:$J$6971,7,FALSE)</f>
        <v>0</v>
      </c>
    </row>
    <row r="1105" spans="1:11" ht="14.5">
      <c r="A1105" s="20" t="s">
        <v>16464</v>
      </c>
      <c r="B1105" s="20">
        <v>20</v>
      </c>
      <c r="C1105" s="20">
        <v>85</v>
      </c>
      <c r="D1105" s="20">
        <v>47</v>
      </c>
      <c r="E1105" s="20">
        <v>49</v>
      </c>
      <c r="F1105" s="20" t="s">
        <v>16465</v>
      </c>
      <c r="G1105" s="24"/>
      <c r="H1105" s="24"/>
      <c r="I1105" s="24" t="str">
        <f ca="1">IFERROR(__xludf.DUMMYFUNCTION("GOOGLETRANSLATE(F1105,""en"",""pt"")"),"cabides de metal J")</f>
        <v>cabides de metal J</v>
      </c>
      <c r="J1105" t="e">
        <f>VLOOKUP(A1105,Pr_Base_LNEC!$A$4:$J$6971,6,FALSE)</f>
        <v>#N/A</v>
      </c>
      <c r="K1105" t="e">
        <f>VLOOKUP(A1105,Pr_Base_LNEC!$A$4:$J$6971,7,FALSE)</f>
        <v>#N/A</v>
      </c>
    </row>
    <row r="1106" spans="1:11" ht="14.5">
      <c r="A1106" s="20" t="s">
        <v>16466</v>
      </c>
      <c r="B1106" s="20">
        <v>20</v>
      </c>
      <c r="C1106" s="20">
        <v>85</v>
      </c>
      <c r="D1106" s="20">
        <v>47</v>
      </c>
      <c r="E1106" s="20">
        <v>50</v>
      </c>
      <c r="F1106" s="20" t="s">
        <v>16467</v>
      </c>
      <c r="G1106" s="24"/>
      <c r="H1106" s="24"/>
      <c r="I1106" s="24" t="str">
        <f ca="1">IFERROR(__xludf.DUMMYFUNCTION("GOOGLETRANSLATE(F1106,""en"",""pt"")"),"trilhos de metal suspensas")</f>
        <v>trilhos de metal suspensas</v>
      </c>
      <c r="J1106" t="str">
        <f>VLOOKUP(A1106,Pr_Base_LNEC!$A$4:$J$6971,6,FALSE)</f>
        <v>-</v>
      </c>
      <c r="K1106">
        <f>VLOOKUP(A1106,Pr_Base_LNEC!$A$4:$J$6971,7,FALSE)</f>
        <v>0</v>
      </c>
    </row>
    <row r="1107" spans="1:11" ht="14.5">
      <c r="A1107" s="20" t="s">
        <v>16468</v>
      </c>
      <c r="B1107" s="20">
        <v>20</v>
      </c>
      <c r="C1107" s="20">
        <v>85</v>
      </c>
      <c r="D1107" s="20">
        <v>47</v>
      </c>
      <c r="E1107" s="20">
        <v>51</v>
      </c>
      <c r="F1107" s="20" t="s">
        <v>16469</v>
      </c>
      <c r="G1107" s="20" t="s">
        <v>16470</v>
      </c>
      <c r="H1107" s="24"/>
      <c r="I1107" s="24" t="str">
        <f ca="1">IFERROR(__xludf.DUMMYFUNCTION("GOOGLETRANSLATE(F1107,""en"",""pt"")"),"De metal suspensa cabides de teto")</f>
        <v>De metal suspensa cabides de teto</v>
      </c>
      <c r="J1107" t="str">
        <f>VLOOKUP(A1107,Pr_Base_LNEC!$A$4:$J$6971,6,FALSE)</f>
        <v>-</v>
      </c>
      <c r="K1107">
        <f>VLOOKUP(A1107,Pr_Base_LNEC!$A$4:$J$6971,7,FALSE)</f>
        <v>0</v>
      </c>
    </row>
    <row r="1108" spans="1:11" ht="14.5">
      <c r="A1108" s="20" t="s">
        <v>16471</v>
      </c>
      <c r="B1108" s="20">
        <v>20</v>
      </c>
      <c r="C1108" s="20">
        <v>85</v>
      </c>
      <c r="D1108" s="20">
        <v>47</v>
      </c>
      <c r="E1108" s="20">
        <v>84</v>
      </c>
      <c r="F1108" s="20" t="s">
        <v>16472</v>
      </c>
      <c r="G1108" s="24"/>
      <c r="H1108" s="24"/>
      <c r="I1108" s="24" t="str">
        <f ca="1">IFERROR(__xludf.DUMMYFUNCTION("GOOGLETRANSLATE(F1108,""en"",""pt"")"),"longarinas de escada")</f>
        <v>longarinas de escada</v>
      </c>
      <c r="J1108" t="str">
        <f>VLOOKUP(A1108,Pr_Base_LNEC!$A$4:$J$6971,6,FALSE)</f>
        <v>-</v>
      </c>
      <c r="K1108">
        <f>VLOOKUP(A1108,Pr_Base_LNEC!$A$4:$J$6971,7,FALSE)</f>
        <v>0</v>
      </c>
    </row>
    <row r="1109" spans="1:11" ht="14.5">
      <c r="A1109" s="20" t="s">
        <v>16473</v>
      </c>
      <c r="B1109" s="20">
        <v>20</v>
      </c>
      <c r="C1109" s="20">
        <v>85</v>
      </c>
      <c r="D1109" s="20">
        <v>47</v>
      </c>
      <c r="E1109" s="20">
        <v>88</v>
      </c>
      <c r="F1109" s="20" t="s">
        <v>16474</v>
      </c>
      <c r="G1109" s="24"/>
      <c r="H1109" s="24"/>
      <c r="I1109" s="24" t="str">
        <f ca="1">IFERROR(__xludf.DUMMYFUNCTION("GOOGLETRANSLATE(F1109,""en"",""pt"")"),"rails de suspensão de madeira passador")</f>
        <v>rails de suspensão de madeira passador</v>
      </c>
      <c r="J1109" t="str">
        <f>VLOOKUP(A1109,Pr_Base_LNEC!$A$4:$J$6971,6,FALSE)</f>
        <v>-</v>
      </c>
      <c r="K1109">
        <f>VLOOKUP(A1109,Pr_Base_LNEC!$A$4:$J$6971,7,FALSE)</f>
        <v>0</v>
      </c>
    </row>
    <row r="1110" spans="1:11" ht="14.5">
      <c r="A1110" s="20" t="s">
        <v>16475</v>
      </c>
      <c r="B1110" s="20">
        <v>20</v>
      </c>
      <c r="C1110" s="20">
        <v>85</v>
      </c>
      <c r="D1110" s="20">
        <v>48</v>
      </c>
      <c r="E1110" s="24"/>
      <c r="F1110" s="20" t="s">
        <v>16476</v>
      </c>
      <c r="G1110" s="24"/>
      <c r="H1110" s="24"/>
      <c r="I1110" s="24" t="str">
        <f ca="1">IFERROR(__xludf.DUMMYFUNCTION("GOOGLETRANSLATE(F1110,""en"",""pt"")"),"lintels")</f>
        <v>lintels</v>
      </c>
      <c r="J1110" t="str">
        <f>VLOOKUP(A1110,Pr_Base_LNEC!$A$4:$J$6971,6,FALSE)</f>
        <v>Lintéis</v>
      </c>
      <c r="K1110">
        <f>VLOOKUP(A1110,Pr_Base_LNEC!$A$4:$J$6971,7,FALSE)</f>
        <v>0</v>
      </c>
    </row>
    <row r="1111" spans="1:11" ht="14.5">
      <c r="A1111" s="20" t="s">
        <v>16477</v>
      </c>
      <c r="B1111" s="20">
        <v>20</v>
      </c>
      <c r="C1111" s="20">
        <v>85</v>
      </c>
      <c r="D1111" s="20">
        <v>48</v>
      </c>
      <c r="E1111" s="20">
        <v>2</v>
      </c>
      <c r="F1111" s="20" t="s">
        <v>16478</v>
      </c>
      <c r="G1111" s="20" t="s">
        <v>16479</v>
      </c>
      <c r="H1111" s="24"/>
      <c r="I1111" s="24" t="str">
        <f ca="1">IFERROR(__xludf.DUMMYFUNCTION("GOOGLETRANSLATE(F1111,""en"",""pt"")"),"lintéis concreto calha agregados")</f>
        <v>lintéis concreto calha agregados</v>
      </c>
      <c r="J1111" t="str">
        <f>VLOOKUP(A1111,Pr_Base_LNEC!$A$4:$J$6971,6,FALSE)</f>
        <v>Lintéis em Agregados de Betão para alvenaria</v>
      </c>
      <c r="K1111" t="str">
        <f>VLOOKUP(A1111,Pr_Base_LNEC!$A$4:$J$6971,7,FALSE)</f>
        <v>EN 845-2:2013+A1:2016</v>
      </c>
    </row>
    <row r="1112" spans="1:11" ht="14.5">
      <c r="A1112" s="20" t="s">
        <v>16480</v>
      </c>
      <c r="B1112" s="20">
        <v>20</v>
      </c>
      <c r="C1112" s="20">
        <v>85</v>
      </c>
      <c r="D1112" s="20">
        <v>48</v>
      </c>
      <c r="E1112" s="20">
        <v>11</v>
      </c>
      <c r="F1112" s="20" t="s">
        <v>16481</v>
      </c>
      <c r="G1112" s="20" t="s">
        <v>16482</v>
      </c>
      <c r="H1112" s="24"/>
      <c r="I1112" s="24" t="str">
        <f ca="1">IFERROR(__xludf.DUMMYFUNCTION("GOOGLETRANSLATE(F1112,""en"",""pt"")"),"lintéis de aço de carbono")</f>
        <v>lintéis de aço de carbono</v>
      </c>
      <c r="J1112" t="str">
        <f>VLOOKUP(A1112,Pr_Base_LNEC!$A$4:$J$6971,6,FALSE)</f>
        <v>Lintéis em Aço para Alvenaria</v>
      </c>
      <c r="K1112" t="str">
        <f>VLOOKUP(A1112,Pr_Base_LNEC!$A$4:$J$6971,7,FALSE)</f>
        <v>EN 845-2:2013+A1:2016</v>
      </c>
    </row>
    <row r="1113" spans="1:11" ht="14.5">
      <c r="A1113" s="20" t="s">
        <v>16483</v>
      </c>
      <c r="B1113" s="20">
        <v>20</v>
      </c>
      <c r="C1113" s="20">
        <v>85</v>
      </c>
      <c r="D1113" s="20">
        <v>48</v>
      </c>
      <c r="E1113" s="20">
        <v>13</v>
      </c>
      <c r="F1113" s="20" t="s">
        <v>16484</v>
      </c>
      <c r="G1113" s="20" t="s">
        <v>16485</v>
      </c>
      <c r="H1113" s="24"/>
      <c r="I1113" s="24" t="str">
        <f ca="1">IFERROR(__xludf.DUMMYFUNCTION("GOOGLETRANSLATE(F1113,""en"",""pt"")"),"Argila lintéis bloco calha")</f>
        <v>Argila lintéis bloco calha</v>
      </c>
      <c r="J1113" t="str">
        <f>VLOOKUP(A1113,Pr_Base_LNEC!$A$4:$J$6971,6,FALSE)</f>
        <v>Lintéis em Blocos de Argila para Alvenaria</v>
      </c>
      <c r="K1113" t="str">
        <f>VLOOKUP(A1113,Pr_Base_LNEC!$A$4:$J$6971,7,FALSE)</f>
        <v>EN 845-2:2013+A1:2016</v>
      </c>
    </row>
    <row r="1114" spans="1:11" ht="14.5">
      <c r="A1114" s="20" t="s">
        <v>16486</v>
      </c>
      <c r="B1114" s="20">
        <v>20</v>
      </c>
      <c r="C1114" s="20">
        <v>85</v>
      </c>
      <c r="D1114" s="20">
        <v>48</v>
      </c>
      <c r="E1114" s="20">
        <v>15</v>
      </c>
      <c r="F1114" s="20" t="s">
        <v>16487</v>
      </c>
      <c r="G1114" s="20" t="s">
        <v>16488</v>
      </c>
      <c r="H1114" s="24"/>
      <c r="I1114" s="24" t="str">
        <f ca="1">IFERROR(__xludf.DUMMYFUNCTION("GOOGLETRANSLATE(F1114,""en"",""pt"")"),"vergas de concreto")</f>
        <v>vergas de concreto</v>
      </c>
      <c r="J1114" t="str">
        <f>VLOOKUP(A1114,Pr_Base_LNEC!$A$4:$J$6971,6,FALSE)</f>
        <v>Lintéis em Betão para Alvenaria</v>
      </c>
      <c r="K1114" t="str">
        <f>VLOOKUP(A1114,Pr_Base_LNEC!$A$4:$J$6971,7,FALSE)</f>
        <v>EN 845-2:2013+A1:2016</v>
      </c>
    </row>
    <row r="1115" spans="1:11" ht="14.5">
      <c r="A1115" s="20" t="s">
        <v>16489</v>
      </c>
      <c r="B1115" s="20">
        <v>20</v>
      </c>
      <c r="C1115" s="20">
        <v>85</v>
      </c>
      <c r="D1115" s="20">
        <v>48</v>
      </c>
      <c r="E1115" s="20">
        <v>33</v>
      </c>
      <c r="F1115" s="20" t="s">
        <v>16490</v>
      </c>
      <c r="G1115" s="20" t="s">
        <v>16491</v>
      </c>
      <c r="H1115" s="24"/>
      <c r="I1115" s="24" t="str">
        <f ca="1">IFERROR(__xludf.DUMMYFUNCTION("GOOGLETRANSLATE(F1115,""en"",""pt"")"),"concreto reforçado de vidro (GRC) built-in cabeças lintel")</f>
        <v>concreto reforçado de vidro (GRC) built-in cabeças lintel</v>
      </c>
      <c r="J1115" t="str">
        <f>VLOOKUP(A1115,Pr_Base_LNEC!$A$4:$J$6971,6,FALSE)</f>
        <v>-</v>
      </c>
      <c r="K1115">
        <f>VLOOKUP(A1115,Pr_Base_LNEC!$A$4:$J$6971,7,FALSE)</f>
        <v>0</v>
      </c>
    </row>
    <row r="1116" spans="1:11" ht="14.5">
      <c r="A1116" s="20" t="s">
        <v>16492</v>
      </c>
      <c r="B1116" s="20">
        <v>20</v>
      </c>
      <c r="C1116" s="20">
        <v>85</v>
      </c>
      <c r="D1116" s="20">
        <v>48</v>
      </c>
      <c r="E1116" s="20">
        <v>34</v>
      </c>
      <c r="F1116" s="20" t="s">
        <v>16493</v>
      </c>
      <c r="G1116" s="20" t="s">
        <v>16494</v>
      </c>
      <c r="H1116" s="24"/>
      <c r="I1116" s="24" t="str">
        <f ca="1">IFERROR(__xludf.DUMMYFUNCTION("GOOGLETRANSLATE(F1116,""en"",""pt"")"),"de concreto reforçado de vidro (GRC) vestir cabeças lintel")</f>
        <v>de concreto reforçado de vidro (GRC) vestir cabeças lintel</v>
      </c>
      <c r="J1116" t="str">
        <f>VLOOKUP(A1116,Pr_Base_LNEC!$A$4:$J$6971,6,FALSE)</f>
        <v>-</v>
      </c>
      <c r="K1116">
        <f>VLOOKUP(A1116,Pr_Base_LNEC!$A$4:$J$6971,7,FALSE)</f>
        <v>0</v>
      </c>
    </row>
    <row r="1117" spans="1:11" ht="14.5">
      <c r="A1117" s="20" t="s">
        <v>16495</v>
      </c>
      <c r="B1117" s="20">
        <v>20</v>
      </c>
      <c r="C1117" s="20">
        <v>85</v>
      </c>
      <c r="D1117" s="20">
        <v>48</v>
      </c>
      <c r="E1117" s="20">
        <v>43</v>
      </c>
      <c r="F1117" s="20" t="s">
        <v>16496</v>
      </c>
      <c r="G1117" s="20" t="s">
        <v>16497</v>
      </c>
      <c r="H1117" s="24"/>
      <c r="I1117" s="24" t="str">
        <f ca="1">IFERROR(__xludf.DUMMYFUNCTION("GOOGLETRANSLATE(F1117,""en"",""pt"")"),"Inserir aberta lareira lintéis formador de garganta e unidades de Corbel")</f>
        <v>Inserir aberta lareira lintéis formador de garganta e unidades de Corbel</v>
      </c>
      <c r="J1117" t="str">
        <f>VLOOKUP(A1117,Pr_Base_LNEC!$A$4:$J$6971,6,FALSE)</f>
        <v>-</v>
      </c>
      <c r="K1117">
        <f>VLOOKUP(A1117,Pr_Base_LNEC!$A$4:$J$6971,7,FALSE)</f>
        <v>0</v>
      </c>
    </row>
    <row r="1118" spans="1:11" ht="14.5">
      <c r="A1118" s="20" t="s">
        <v>16498</v>
      </c>
      <c r="B1118" s="20">
        <v>20</v>
      </c>
      <c r="C1118" s="20">
        <v>85</v>
      </c>
      <c r="D1118" s="20">
        <v>48</v>
      </c>
      <c r="E1118" s="20">
        <v>50</v>
      </c>
      <c r="F1118" s="20" t="s">
        <v>16499</v>
      </c>
      <c r="G1118" s="20" t="s">
        <v>16500</v>
      </c>
      <c r="H1118" s="24"/>
      <c r="I1118" s="24" t="str">
        <f ca="1">IFERROR(__xludf.DUMMYFUNCTION("GOOGLETRANSLATE(F1118,""en"",""pt"")"),"vergas de pedra fabricadas")</f>
        <v>vergas de pedra fabricadas</v>
      </c>
      <c r="J1118" t="str">
        <f>VLOOKUP(A1118,Pr_Base_LNEC!$A$4:$J$6971,6,FALSE)</f>
        <v>-</v>
      </c>
      <c r="K1118">
        <f>VLOOKUP(A1118,Pr_Base_LNEC!$A$4:$J$6971,7,FALSE)</f>
        <v>0</v>
      </c>
    </row>
    <row r="1119" spans="1:11" ht="14.5">
      <c r="A1119" s="20" t="s">
        <v>16501</v>
      </c>
      <c r="B1119" s="20">
        <v>20</v>
      </c>
      <c r="C1119" s="20">
        <v>85</v>
      </c>
      <c r="D1119" s="20">
        <v>48</v>
      </c>
      <c r="E1119" s="20">
        <v>56</v>
      </c>
      <c r="F1119" s="20" t="s">
        <v>16502</v>
      </c>
      <c r="G1119" s="20" t="s">
        <v>16503</v>
      </c>
      <c r="H1119" s="24"/>
      <c r="I1119" s="24" t="str">
        <f ca="1">IFERROR(__xludf.DUMMYFUNCTION("GOOGLETRANSLATE(F1119,""en"",""pt"")"),"vergas de pedra natural")</f>
        <v>vergas de pedra natural</v>
      </c>
      <c r="J1119" t="str">
        <f>VLOOKUP(A1119,Pr_Base_LNEC!$A$4:$J$6971,6,FALSE)</f>
        <v>Lintéis em Pedra Natural para Alvenaria</v>
      </c>
      <c r="K1119" t="str">
        <f>VLOOKUP(A1119,Pr_Base_LNEC!$A$4:$J$6971,7,FALSE)</f>
        <v>EN 771-6:2011+A1:2015</v>
      </c>
    </row>
    <row r="1120" spans="1:11" ht="14.5">
      <c r="A1120" s="20" t="s">
        <v>16504</v>
      </c>
      <c r="B1120" s="20">
        <v>20</v>
      </c>
      <c r="C1120" s="20">
        <v>85</v>
      </c>
      <c r="D1120" s="20">
        <v>48</v>
      </c>
      <c r="E1120" s="20">
        <v>67</v>
      </c>
      <c r="F1120" s="20" t="s">
        <v>16505</v>
      </c>
      <c r="G1120" s="20" t="s">
        <v>16506</v>
      </c>
      <c r="H1120" s="24"/>
      <c r="I1120" s="24" t="str">
        <f ca="1">IFERROR(__xludf.DUMMYFUNCTION("GOOGLETRANSLATE(F1120,""en"",""pt"")"),"vergas de concreto protendido")</f>
        <v>vergas de concreto protendido</v>
      </c>
      <c r="J1120" t="str">
        <f>VLOOKUP(A1120,Pr_Base_LNEC!$A$4:$J$6971,6,FALSE)</f>
        <v>Lintéis em Betão Pré-esforçado para Alvenaria</v>
      </c>
      <c r="K1120" t="str">
        <f>VLOOKUP(A1120,Pr_Base_LNEC!$A$4:$J$6971,7,FALSE)</f>
        <v>EN 845-2:2013+A1:2016</v>
      </c>
    </row>
    <row r="1121" spans="1:11" ht="14.5">
      <c r="A1121" s="20" t="s">
        <v>16507</v>
      </c>
      <c r="B1121" s="20">
        <v>20</v>
      </c>
      <c r="C1121" s="20">
        <v>85</v>
      </c>
      <c r="D1121" s="20">
        <v>48</v>
      </c>
      <c r="E1121" s="20">
        <v>84</v>
      </c>
      <c r="F1121" s="20" t="s">
        <v>16508</v>
      </c>
      <c r="G1121" s="24"/>
      <c r="H1121" s="24"/>
      <c r="I1121" s="24" t="str">
        <f ca="1">IFERROR(__xludf.DUMMYFUNCTION("GOOGLETRANSLATE(F1121,""en"",""pt"")"),"vergas de aço inoxidável")</f>
        <v>vergas de aço inoxidável</v>
      </c>
      <c r="J1121" t="e">
        <f>VLOOKUP(A1121,Pr_Base_LNEC!$A$4:$J$6971,6,FALSE)</f>
        <v>#N/A</v>
      </c>
      <c r="K1121" t="e">
        <f>VLOOKUP(A1121,Pr_Base_LNEC!$A$4:$J$6971,7,FALSE)</f>
        <v>#N/A</v>
      </c>
    </row>
    <row r="1122" spans="1:11" ht="14.5">
      <c r="A1122" s="20" t="s">
        <v>16509</v>
      </c>
      <c r="B1122" s="20">
        <v>20</v>
      </c>
      <c r="C1122" s="20">
        <v>85</v>
      </c>
      <c r="D1122" s="20">
        <v>48</v>
      </c>
      <c r="E1122" s="20">
        <v>88</v>
      </c>
      <c r="F1122" s="20" t="s">
        <v>16510</v>
      </c>
      <c r="G1122" s="20" t="s">
        <v>16511</v>
      </c>
      <c r="H1122" s="24"/>
      <c r="I1122" s="24" t="str">
        <f ca="1">IFERROR(__xludf.DUMMYFUNCTION("GOOGLETRANSLATE(F1122,""en"",""pt"")"),"vergas de madeira")</f>
        <v>vergas de madeira</v>
      </c>
      <c r="J1122">
        <f>VLOOKUP(A1122,Pr_Base_LNEC!$A$4:$J$6971,6,FALSE)</f>
        <v>0</v>
      </c>
      <c r="K1122">
        <f>VLOOKUP(A1122,Pr_Base_LNEC!$A$4:$J$6971,7,FALSE)</f>
        <v>0</v>
      </c>
    </row>
    <row r="1123" spans="1:11" ht="14.5">
      <c r="A1123" s="20" t="s">
        <v>16512</v>
      </c>
      <c r="B1123" s="20">
        <v>20</v>
      </c>
      <c r="C1123" s="20">
        <v>85</v>
      </c>
      <c r="D1123" s="20">
        <v>50</v>
      </c>
      <c r="E1123" s="24"/>
      <c r="F1123" s="20" t="s">
        <v>16513</v>
      </c>
      <c r="G1123" s="24"/>
      <c r="H1123" s="24"/>
      <c r="I1123" s="24" t="str">
        <f ca="1">IFERROR(__xludf.DUMMYFUNCTION("GOOGLETRANSLATE(F1123,""en"",""pt"")"),"Mastros e postes")</f>
        <v>Mastros e postes</v>
      </c>
      <c r="J1123" t="str">
        <f>VLOOKUP(A1123,Pr_Base_LNEC!$A$4:$J$6971,6,FALSE)</f>
        <v>Mastros e Postes</v>
      </c>
      <c r="K1123">
        <f>VLOOKUP(A1123,Pr_Base_LNEC!$A$4:$J$6971,7,FALSE)</f>
        <v>0</v>
      </c>
    </row>
    <row r="1124" spans="1:11" ht="14.5">
      <c r="A1124" s="20" t="s">
        <v>16514</v>
      </c>
      <c r="B1124" s="20">
        <v>20</v>
      </c>
      <c r="C1124" s="20">
        <v>85</v>
      </c>
      <c r="D1124" s="20">
        <v>50</v>
      </c>
      <c r="E1124" s="20">
        <v>1</v>
      </c>
      <c r="F1124" s="20" t="s">
        <v>16515</v>
      </c>
      <c r="G1124" s="20" t="s">
        <v>16516</v>
      </c>
      <c r="H1124" s="24"/>
      <c r="I1124" s="24" t="str">
        <f ca="1">IFERROR(__xludf.DUMMYFUNCTION("GOOGLETRANSLATE(F1124,""en"",""pt"")"),"mastros de iluminação terra Aeronáutica")</f>
        <v>mastros de iluminação terra Aeronáutica</v>
      </c>
      <c r="J1124" t="str">
        <f>VLOOKUP(A1124,Pr_Base_LNEC!$A$4:$J$6971,6,FALSE)</f>
        <v>-</v>
      </c>
      <c r="K1124">
        <f>VLOOKUP(A1124,Pr_Base_LNEC!$A$4:$J$6971,7,FALSE)</f>
        <v>0</v>
      </c>
    </row>
    <row r="1125" spans="1:11" ht="14.5">
      <c r="A1125" s="20" t="s">
        <v>16517</v>
      </c>
      <c r="B1125" s="20">
        <v>20</v>
      </c>
      <c r="C1125" s="20">
        <v>85</v>
      </c>
      <c r="D1125" s="20">
        <v>50</v>
      </c>
      <c r="E1125" s="20">
        <v>4</v>
      </c>
      <c r="F1125" s="20" t="s">
        <v>16518</v>
      </c>
      <c r="G1125" s="24"/>
      <c r="H1125" s="24"/>
      <c r="I1125" s="24" t="str">
        <f ca="1">IFERROR(__xludf.DUMMYFUNCTION("GOOGLETRANSLATE(F1125,""en"",""pt"")"),"postes de antena")</f>
        <v>postes de antena</v>
      </c>
      <c r="J1125" t="e">
        <f>VLOOKUP(A1125,Pr_Base_LNEC!$A$4:$J$6971,6,FALSE)</f>
        <v>#N/A</v>
      </c>
      <c r="K1125" t="e">
        <f>VLOOKUP(A1125,Pr_Base_LNEC!$A$4:$J$6971,7,FALSE)</f>
        <v>#N/A</v>
      </c>
    </row>
    <row r="1126" spans="1:11" ht="14.5">
      <c r="A1126" s="20" t="s">
        <v>16519</v>
      </c>
      <c r="B1126" s="20">
        <v>20</v>
      </c>
      <c r="C1126" s="20">
        <v>85</v>
      </c>
      <c r="D1126" s="20">
        <v>50</v>
      </c>
      <c r="E1126" s="20">
        <v>50</v>
      </c>
      <c r="F1126" s="20" t="s">
        <v>16520</v>
      </c>
      <c r="G1126" s="20" t="s">
        <v>16521</v>
      </c>
      <c r="H1126" s="24"/>
      <c r="I1126" s="24" t="str">
        <f ca="1">IFERROR(__xludf.DUMMYFUNCTION("GOOGLETRANSLATE(F1126,""en"",""pt"")"),"mastros de metal windsock")</f>
        <v>mastros de metal windsock</v>
      </c>
      <c r="J1126" t="str">
        <f>VLOOKUP(A1126,Pr_Base_LNEC!$A$4:$J$6971,6,FALSE)</f>
        <v>-</v>
      </c>
      <c r="K1126">
        <f>VLOOKUP(A1126,Pr_Base_LNEC!$A$4:$J$6971,7,FALSE)</f>
        <v>0</v>
      </c>
    </row>
    <row r="1127" spans="1:11" ht="14.5">
      <c r="A1127" s="20" t="s">
        <v>16522</v>
      </c>
      <c r="B1127" s="20">
        <v>20</v>
      </c>
      <c r="C1127" s="20">
        <v>85</v>
      </c>
      <c r="D1127" s="20">
        <v>50</v>
      </c>
      <c r="E1127" s="20">
        <v>64</v>
      </c>
      <c r="F1127" s="20" t="s">
        <v>16523</v>
      </c>
      <c r="G1127" s="20" t="s">
        <v>16524</v>
      </c>
      <c r="H1127" s="24"/>
      <c r="I1127" s="24" t="str">
        <f ca="1">IFERROR(__xludf.DUMMYFUNCTION("GOOGLETRANSLATE(F1127,""en"",""pt"")"),"Plásticos WINDSOCK mastros")</f>
        <v>Plásticos WINDSOCK mastros</v>
      </c>
      <c r="J1127" t="str">
        <f>VLOOKUP(A1127,Pr_Base_LNEC!$A$4:$J$6971,6,FALSE)</f>
        <v>-</v>
      </c>
      <c r="K1127">
        <f>VLOOKUP(A1127,Pr_Base_LNEC!$A$4:$J$6971,7,FALSE)</f>
        <v>0</v>
      </c>
    </row>
    <row r="1128" spans="1:11" ht="14.5">
      <c r="A1128" s="20" t="s">
        <v>16525</v>
      </c>
      <c r="B1128" s="20">
        <v>20</v>
      </c>
      <c r="C1128" s="20">
        <v>85</v>
      </c>
      <c r="D1128" s="20">
        <v>50</v>
      </c>
      <c r="E1128" s="20">
        <v>85</v>
      </c>
      <c r="F1128" s="20" t="s">
        <v>16526</v>
      </c>
      <c r="G1128" s="20" t="s">
        <v>16527</v>
      </c>
      <c r="H1128" s="24"/>
      <c r="I1128" s="24" t="str">
        <f ca="1">IFERROR(__xludf.DUMMYFUNCTION("GOOGLETRANSLATE(F1128,""en"",""pt"")"),"Vigilância mastros da câmera")</f>
        <v>Vigilância mastros da câmera</v>
      </c>
      <c r="J1128" t="str">
        <f>VLOOKUP(A1128,Pr_Base_LNEC!$A$4:$J$6971,6,FALSE)</f>
        <v>-</v>
      </c>
      <c r="K1128">
        <f>VLOOKUP(A1128,Pr_Base_LNEC!$A$4:$J$6971,7,FALSE)</f>
        <v>0</v>
      </c>
    </row>
    <row r="1129" spans="1:11" ht="14.5">
      <c r="A1129" s="20" t="s">
        <v>16528</v>
      </c>
      <c r="B1129" s="20">
        <v>20</v>
      </c>
      <c r="C1129" s="20">
        <v>85</v>
      </c>
      <c r="D1129" s="20">
        <v>50</v>
      </c>
      <c r="E1129" s="20">
        <v>90</v>
      </c>
      <c r="F1129" s="20" t="s">
        <v>16529</v>
      </c>
      <c r="G1129" s="20" t="s">
        <v>16530</v>
      </c>
      <c r="H1129" s="24"/>
      <c r="I1129" s="24" t="str">
        <f ca="1">IFERROR(__xludf.DUMMYFUNCTION("GOOGLETRANSLATE(F1129,""en"",""pt"")"),"pólos de sinal de trânsito")</f>
        <v>pólos de sinal de trânsito</v>
      </c>
      <c r="J1129" t="str">
        <f>VLOOKUP(A1129,Pr_Base_LNEC!$A$4:$J$6971,6,FALSE)</f>
        <v>-</v>
      </c>
      <c r="K1129">
        <f>VLOOKUP(A1129,Pr_Base_LNEC!$A$4:$J$6971,7,FALSE)</f>
        <v>0</v>
      </c>
    </row>
    <row r="1130" spans="1:11" ht="14.5">
      <c r="A1130" s="20" t="s">
        <v>16531</v>
      </c>
      <c r="B1130" s="20">
        <v>20</v>
      </c>
      <c r="C1130" s="20">
        <v>85</v>
      </c>
      <c r="D1130" s="20">
        <v>62</v>
      </c>
      <c r="E1130" s="24"/>
      <c r="F1130" s="20" t="s">
        <v>16532</v>
      </c>
      <c r="G1130" s="24"/>
      <c r="H1130" s="24"/>
      <c r="I1130" s="24" t="str">
        <f ca="1">IFERROR(__xludf.DUMMYFUNCTION("GOOGLETRANSLATE(F1130,""en"",""pt"")"),"Pilhas e produtos auxiliares")</f>
        <v>Pilhas e produtos auxiliares</v>
      </c>
      <c r="J1130" t="str">
        <f>VLOOKUP(A1130,Pr_Base_LNEC!$A$4:$J$6971,6,FALSE)</f>
        <v>Estacas e Produtos Auxiliares</v>
      </c>
      <c r="K1130">
        <f>VLOOKUP(A1130,Pr_Base_LNEC!$A$4:$J$6971,7,FALSE)</f>
        <v>0</v>
      </c>
    </row>
    <row r="1131" spans="1:11" ht="14.5">
      <c r="A1131" s="20" t="s">
        <v>16533</v>
      </c>
      <c r="B1131" s="20">
        <v>20</v>
      </c>
      <c r="C1131" s="20">
        <v>85</v>
      </c>
      <c r="D1131" s="20">
        <v>62</v>
      </c>
      <c r="E1131" s="20">
        <v>10</v>
      </c>
      <c r="F1131" s="20" t="s">
        <v>16534</v>
      </c>
      <c r="G1131" s="20" t="s">
        <v>16535</v>
      </c>
      <c r="H1131" s="24"/>
      <c r="I1131" s="24" t="str">
        <f ca="1">IFERROR(__xludf.DUMMYFUNCTION("GOOGLETRANSLATE(F1131,""en"",""pt"")"),"pilhas de deslocamento de aço carbono")</f>
        <v>pilhas de deslocamento de aço carbono</v>
      </c>
      <c r="J1131" t="str">
        <f>VLOOKUP(A1131,Pr_Base_LNEC!$A$4:$J$6971,6,FALSE)</f>
        <v>-</v>
      </c>
      <c r="K1131">
        <f>VLOOKUP(A1131,Pr_Base_LNEC!$A$4:$J$6971,7,FALSE)</f>
        <v>0</v>
      </c>
    </row>
    <row r="1132" spans="1:11" ht="14.5">
      <c r="A1132" s="20" t="s">
        <v>16536</v>
      </c>
      <c r="B1132" s="20">
        <v>20</v>
      </c>
      <c r="C1132" s="20">
        <v>85</v>
      </c>
      <c r="D1132" s="20">
        <v>62</v>
      </c>
      <c r="E1132" s="20">
        <v>11</v>
      </c>
      <c r="F1132" s="20" t="s">
        <v>16537</v>
      </c>
      <c r="G1132" s="24"/>
      <c r="H1132" s="24"/>
      <c r="I1132" s="24" t="str">
        <f ca="1">IFERROR(__xludf.DUMMYFUNCTION("GOOGLETRANSLATE(F1132,""en"",""pt"")"),"pilha invólucros de aço carbono")</f>
        <v>pilha invólucros de aço carbono</v>
      </c>
      <c r="J1132" t="str">
        <f>VLOOKUP(A1132,Pr_Base_LNEC!$A$4:$J$6971,6,FALSE)</f>
        <v>-</v>
      </c>
      <c r="K1132">
        <f>VLOOKUP(A1132,Pr_Base_LNEC!$A$4:$J$6971,7,FALSE)</f>
        <v>0</v>
      </c>
    </row>
    <row r="1133" spans="1:11" ht="14.5">
      <c r="A1133" s="20" t="s">
        <v>16538</v>
      </c>
      <c r="B1133" s="20">
        <v>20</v>
      </c>
      <c r="C1133" s="20">
        <v>85</v>
      </c>
      <c r="D1133" s="20">
        <v>62</v>
      </c>
      <c r="E1133" s="20">
        <v>12</v>
      </c>
      <c r="F1133" s="20" t="s">
        <v>16539</v>
      </c>
      <c r="G1133" s="20" t="s">
        <v>16540</v>
      </c>
      <c r="H1133" s="24"/>
      <c r="I1133" s="24" t="str">
        <f ca="1">IFERROR(__xludf.DUMMYFUNCTION("GOOGLETRANSLATE(F1133,""en"",""pt"")"),"sapatos pilar de aço de carbono")</f>
        <v>sapatos pilar de aço de carbono</v>
      </c>
      <c r="J1133" t="str">
        <f>VLOOKUP(A1133,Pr_Base_LNEC!$A$4:$J$6971,6,FALSE)</f>
        <v>-</v>
      </c>
      <c r="K1133">
        <f>VLOOKUP(A1133,Pr_Base_LNEC!$A$4:$J$6971,7,FALSE)</f>
        <v>0</v>
      </c>
    </row>
    <row r="1134" spans="1:11" ht="14.5">
      <c r="A1134" s="20" t="s">
        <v>16541</v>
      </c>
      <c r="B1134" s="20">
        <v>20</v>
      </c>
      <c r="C1134" s="20">
        <v>85</v>
      </c>
      <c r="D1134" s="20">
        <v>62</v>
      </c>
      <c r="E1134" s="20">
        <v>13</v>
      </c>
      <c r="F1134" s="20" t="s">
        <v>16542</v>
      </c>
      <c r="G1134" s="20" t="s">
        <v>16543</v>
      </c>
      <c r="H1134" s="24"/>
      <c r="I1134" s="24" t="str">
        <f ca="1">IFERROR(__xludf.DUMMYFUNCTION("GOOGLETRANSLATE(F1134,""en"",""pt"")"),"estacas de aço carbono parafuso")</f>
        <v>estacas de aço carbono parafuso</v>
      </c>
      <c r="J1134" t="str">
        <f>VLOOKUP(A1134,Pr_Base_LNEC!$A$4:$J$6971,6,FALSE)</f>
        <v>-</v>
      </c>
      <c r="K1134">
        <f>VLOOKUP(A1134,Pr_Base_LNEC!$A$4:$J$6971,7,FALSE)</f>
        <v>0</v>
      </c>
    </row>
    <row r="1135" spans="1:11" ht="14.5">
      <c r="A1135" s="20" t="s">
        <v>16544</v>
      </c>
      <c r="B1135" s="20">
        <v>20</v>
      </c>
      <c r="C1135" s="20">
        <v>85</v>
      </c>
      <c r="D1135" s="20">
        <v>62</v>
      </c>
      <c r="E1135" s="20">
        <v>14</v>
      </c>
      <c r="F1135" s="20" t="s">
        <v>16545</v>
      </c>
      <c r="G1135" s="20" t="s">
        <v>16546</v>
      </c>
      <c r="H1135" s="24"/>
      <c r="I1135" s="24" t="str">
        <f ca="1">IFERROR(__xludf.DUMMYFUNCTION("GOOGLETRANSLATE(F1135,""en"",""pt"")"),"Carbono pilares de chapa de aço")</f>
        <v>Carbono pilares de chapa de aço</v>
      </c>
      <c r="J1135" t="str">
        <f>VLOOKUP(A1135,Pr_Base_LNEC!$A$4:$J$6971,6,FALSE)</f>
        <v>-</v>
      </c>
      <c r="K1135">
        <f>VLOOKUP(A1135,Pr_Base_LNEC!$A$4:$J$6971,7,FALSE)</f>
        <v>0</v>
      </c>
    </row>
    <row r="1136" spans="1:11" ht="14.5">
      <c r="A1136" s="20" t="s">
        <v>16547</v>
      </c>
      <c r="B1136" s="20">
        <v>20</v>
      </c>
      <c r="C1136" s="20">
        <v>85</v>
      </c>
      <c r="D1136" s="20">
        <v>62</v>
      </c>
      <c r="E1136" s="20">
        <v>15</v>
      </c>
      <c r="F1136" s="20" t="s">
        <v>16548</v>
      </c>
      <c r="G1136" s="20" t="s">
        <v>16549</v>
      </c>
      <c r="H1136" s="24"/>
      <c r="I1136" s="24" t="str">
        <f ca="1">IFERROR(__xludf.DUMMYFUNCTION("GOOGLETRANSLATE(F1136,""en"",""pt"")"),"sapatos pilha de aço fundido")</f>
        <v>sapatos pilha de aço fundido</v>
      </c>
      <c r="J1136" t="str">
        <f>VLOOKUP(A1136,Pr_Base_LNEC!$A$4:$J$6971,6,FALSE)</f>
        <v>-</v>
      </c>
      <c r="K1136">
        <f>VLOOKUP(A1136,Pr_Base_LNEC!$A$4:$J$6971,7,FALSE)</f>
        <v>0</v>
      </c>
    </row>
    <row r="1137" spans="1:11" ht="14.5">
      <c r="A1137" s="20" t="s">
        <v>16550</v>
      </c>
      <c r="B1137" s="20">
        <v>20</v>
      </c>
      <c r="C1137" s="20">
        <v>85</v>
      </c>
      <c r="D1137" s="20">
        <v>62</v>
      </c>
      <c r="E1137" s="20">
        <v>16</v>
      </c>
      <c r="F1137" s="20" t="s">
        <v>16551</v>
      </c>
      <c r="G1137" s="24"/>
      <c r="H1137" s="24"/>
      <c r="I1137" s="24" t="str">
        <f ca="1">IFERROR(__xludf.DUMMYFUNCTION("GOOGLETRANSLATE(F1137,""en"",""pt"")"),"estacas-pranchas de aço compósito")</f>
        <v>estacas-pranchas de aço compósito</v>
      </c>
      <c r="J1137" t="e">
        <f>VLOOKUP(A1137,Pr_Base_LNEC!$A$4:$J$6971,6,FALSE)</f>
        <v>#N/A</v>
      </c>
      <c r="K1137" t="e">
        <f>VLOOKUP(A1137,Pr_Base_LNEC!$A$4:$J$6971,7,FALSE)</f>
        <v>#N/A</v>
      </c>
    </row>
    <row r="1138" spans="1:11" ht="14.5">
      <c r="A1138" s="20" t="s">
        <v>16552</v>
      </c>
      <c r="B1138" s="20">
        <v>20</v>
      </c>
      <c r="C1138" s="20">
        <v>85</v>
      </c>
      <c r="D1138" s="20">
        <v>62</v>
      </c>
      <c r="E1138" s="20">
        <v>17</v>
      </c>
      <c r="F1138" s="20" t="s">
        <v>16553</v>
      </c>
      <c r="G1138" s="24"/>
      <c r="H1138" s="24"/>
      <c r="I1138" s="24" t="str">
        <f ca="1">IFERROR(__xludf.DUMMYFUNCTION("GOOGLETRANSLATE(F1138,""en"",""pt"")"),"Concreto em balanço pilhas junta")</f>
        <v>Concreto em balanço pilhas junta</v>
      </c>
      <c r="J1138" t="str">
        <f>VLOOKUP(A1138,Pr_Base_LNEC!$A$4:$J$6971,6,FALSE)</f>
        <v>-</v>
      </c>
      <c r="K1138">
        <f>VLOOKUP(A1138,Pr_Base_LNEC!$A$4:$J$6971,7,FALSE)</f>
        <v>0</v>
      </c>
    </row>
    <row r="1139" spans="1:11" ht="14.5">
      <c r="A1139" s="20" t="s">
        <v>16554</v>
      </c>
      <c r="B1139" s="20">
        <v>20</v>
      </c>
      <c r="C1139" s="20">
        <v>85</v>
      </c>
      <c r="D1139" s="20">
        <v>62</v>
      </c>
      <c r="E1139" s="20">
        <v>18</v>
      </c>
      <c r="F1139" s="20" t="s">
        <v>16555</v>
      </c>
      <c r="G1139" s="20" t="s">
        <v>16556</v>
      </c>
      <c r="H1139" s="24"/>
      <c r="I1139" s="24" t="str">
        <f ca="1">IFERROR(__xludf.DUMMYFUNCTION("GOOGLETRANSLATE(F1139,""en"",""pt"")"),"estacas de concreto")</f>
        <v>estacas de concreto</v>
      </c>
      <c r="J1139" t="str">
        <f>VLOOKUP(A1139,Pr_Base_LNEC!$A$4:$J$6971,6,FALSE)</f>
        <v>Estacas de Betão Pré-fabricadas para Fundações</v>
      </c>
      <c r="K1139" t="str">
        <f>VLOOKUP(A1139,Pr_Base_LNEC!$A$4:$J$6971,7,FALSE)</f>
        <v>EN 12794:2005+A1:2007</v>
      </c>
    </row>
    <row r="1140" spans="1:11" ht="14.5">
      <c r="A1140" s="20" t="s">
        <v>16557</v>
      </c>
      <c r="B1140" s="20">
        <v>20</v>
      </c>
      <c r="C1140" s="20">
        <v>85</v>
      </c>
      <c r="D1140" s="20">
        <v>62</v>
      </c>
      <c r="E1140" s="20">
        <v>19</v>
      </c>
      <c r="F1140" s="20" t="s">
        <v>16558</v>
      </c>
      <c r="G1140" s="24"/>
      <c r="H1140" s="24"/>
      <c r="I1140" s="24" t="str">
        <f ca="1">IFERROR(__xludf.DUMMYFUNCTION("GOOGLETRANSLATE(F1140,""en"",""pt"")"),"Concretas estacas")</f>
        <v>Concretas estacas</v>
      </c>
      <c r="J1140" t="str">
        <f>VLOOKUP(A1140,Pr_Base_LNEC!$A$4:$J$6971,6,FALSE)</f>
        <v>-</v>
      </c>
      <c r="K1140">
        <f>VLOOKUP(A1140,Pr_Base_LNEC!$A$4:$J$6971,7,FALSE)</f>
        <v>0</v>
      </c>
    </row>
    <row r="1141" spans="1:11" ht="14.5">
      <c r="A1141" s="20" t="s">
        <v>16559</v>
      </c>
      <c r="B1141" s="20">
        <v>20</v>
      </c>
      <c r="C1141" s="20">
        <v>85</v>
      </c>
      <c r="D1141" s="20">
        <v>62</v>
      </c>
      <c r="E1141" s="20">
        <v>23</v>
      </c>
      <c r="F1141" s="20" t="s">
        <v>16560</v>
      </c>
      <c r="G1141" s="20" t="s">
        <v>16561</v>
      </c>
      <c r="H1141" s="24"/>
      <c r="I1141" s="24" t="str">
        <f ca="1">IFERROR(__xludf.DUMMYFUNCTION("GOOGLETRANSLATE(F1141,""en"",""pt"")"),"estacas-pranchas em betão")</f>
        <v>estacas-pranchas em betão</v>
      </c>
      <c r="J1141" t="str">
        <f>VLOOKUP(A1141,Pr_Base_LNEC!$A$4:$J$6971,6,FALSE)</f>
        <v>-</v>
      </c>
      <c r="K1141">
        <f>VLOOKUP(A1141,Pr_Base_LNEC!$A$4:$J$6971,7,FALSE)</f>
        <v>0</v>
      </c>
    </row>
    <row r="1142" spans="1:11" ht="14.5">
      <c r="A1142" s="20" t="s">
        <v>16562</v>
      </c>
      <c r="B1142" s="20">
        <v>20</v>
      </c>
      <c r="C1142" s="20">
        <v>85</v>
      </c>
      <c r="D1142" s="20">
        <v>62</v>
      </c>
      <c r="E1142" s="20">
        <v>36</v>
      </c>
      <c r="F1142" s="20" t="s">
        <v>16563</v>
      </c>
      <c r="G1142" s="24"/>
      <c r="H1142" s="24"/>
      <c r="I1142" s="24" t="str">
        <f ca="1">IFERROR(__xludf.DUMMYFUNCTION("GOOGLETRANSLATE(F1142,""en"",""pt"")"),"pilhas de madeira")</f>
        <v>pilhas de madeira</v>
      </c>
      <c r="J1142" t="str">
        <f>VLOOKUP(A1142,Pr_Base_LNEC!$A$4:$J$6971,6,FALSE)</f>
        <v>-</v>
      </c>
      <c r="K1142">
        <f>VLOOKUP(A1142,Pr_Base_LNEC!$A$4:$J$6971,7,FALSE)</f>
        <v>0</v>
      </c>
    </row>
    <row r="1143" spans="1:11" ht="14.5">
      <c r="A1143" s="20" t="s">
        <v>16564</v>
      </c>
      <c r="B1143" s="20">
        <v>20</v>
      </c>
      <c r="C1143" s="20">
        <v>85</v>
      </c>
      <c r="D1143" s="20">
        <v>62</v>
      </c>
      <c r="E1143" s="20">
        <v>64</v>
      </c>
      <c r="F1143" s="20" t="s">
        <v>16565</v>
      </c>
      <c r="G1143" s="20" t="s">
        <v>16566</v>
      </c>
      <c r="H1143" s="24"/>
      <c r="I1143" s="24" t="str">
        <f ca="1">IFERROR(__xludf.DUMMYFUNCTION("GOOGLETRANSLATE(F1143,""en"",""pt"")"),"Plastics drenagem barbacãs")</f>
        <v>Plastics drenagem barbacãs</v>
      </c>
      <c r="J1143" t="str">
        <f>VLOOKUP(A1143,Pr_Base_LNEC!$A$4:$J$6971,6,FALSE)</f>
        <v>-</v>
      </c>
      <c r="K1143">
        <f>VLOOKUP(A1143,Pr_Base_LNEC!$A$4:$J$6971,7,FALSE)</f>
        <v>0</v>
      </c>
    </row>
    <row r="1144" spans="1:11" ht="14.5">
      <c r="A1144" s="20" t="s">
        <v>16567</v>
      </c>
      <c r="B1144" s="20">
        <v>20</v>
      </c>
      <c r="C1144" s="20">
        <v>85</v>
      </c>
      <c r="D1144" s="20">
        <v>62</v>
      </c>
      <c r="E1144" s="20">
        <v>65</v>
      </c>
      <c r="F1144" s="20" t="s">
        <v>16568</v>
      </c>
      <c r="G1144" s="20" t="s">
        <v>16569</v>
      </c>
      <c r="H1144" s="24"/>
      <c r="I1144" s="24" t="str">
        <f ca="1">IFERROR(__xludf.DUMMYFUNCTION("GOOGLETRANSLATE(F1144,""en"",""pt"")"),"Plásticos parafuso pilhas")</f>
        <v>Plásticos parafuso pilhas</v>
      </c>
      <c r="J1144" t="str">
        <f>VLOOKUP(A1144,Pr_Base_LNEC!$A$4:$J$6971,6,FALSE)</f>
        <v>-</v>
      </c>
      <c r="K1144">
        <f>VLOOKUP(A1144,Pr_Base_LNEC!$A$4:$J$6971,7,FALSE)</f>
        <v>0</v>
      </c>
    </row>
    <row r="1145" spans="1:11" ht="14.5">
      <c r="A1145" s="20" t="s">
        <v>16570</v>
      </c>
      <c r="B1145" s="20">
        <v>20</v>
      </c>
      <c r="C1145" s="20">
        <v>85</v>
      </c>
      <c r="D1145" s="20">
        <v>62</v>
      </c>
      <c r="E1145" s="20">
        <v>66</v>
      </c>
      <c r="F1145" s="20" t="s">
        <v>16571</v>
      </c>
      <c r="G1145" s="20" t="s">
        <v>16572</v>
      </c>
      <c r="H1145" s="24"/>
      <c r="I1145" s="24" t="str">
        <f ca="1">IFERROR(__xludf.DUMMYFUNCTION("GOOGLETRANSLATE(F1145,""en"",""pt"")"),"pilhas plástico em folha")</f>
        <v>pilhas plástico em folha</v>
      </c>
      <c r="J1145" t="str">
        <f>VLOOKUP(A1145,Pr_Base_LNEC!$A$4:$J$6971,6,FALSE)</f>
        <v>-</v>
      </c>
      <c r="K1145">
        <f>VLOOKUP(A1145,Pr_Base_LNEC!$A$4:$J$6971,7,FALSE)</f>
        <v>0</v>
      </c>
    </row>
    <row r="1146" spans="1:11" ht="14.5">
      <c r="A1146" s="20" t="s">
        <v>16573</v>
      </c>
      <c r="B1146" s="20">
        <v>20</v>
      </c>
      <c r="C1146" s="20">
        <v>85</v>
      </c>
      <c r="D1146" s="20">
        <v>62</v>
      </c>
      <c r="E1146" s="20">
        <v>77</v>
      </c>
      <c r="F1146" s="20" t="s">
        <v>16574</v>
      </c>
      <c r="G1146" s="20" t="s">
        <v>16575</v>
      </c>
      <c r="H1146" s="24"/>
      <c r="I1146" s="24" t="str">
        <f ca="1">IFERROR(__xludf.DUMMYFUNCTION("GOOGLETRANSLATE(F1146,""en"",""pt"")"),"conectores de canto pilha de parede folha")</f>
        <v>conectores de canto pilha de parede folha</v>
      </c>
      <c r="J1146" t="str">
        <f>VLOOKUP(A1146,Pr_Base_LNEC!$A$4:$J$6971,6,FALSE)</f>
        <v>-</v>
      </c>
      <c r="K1146">
        <f>VLOOKUP(A1146,Pr_Base_LNEC!$A$4:$J$6971,7,FALSE)</f>
        <v>0</v>
      </c>
    </row>
    <row r="1147" spans="1:11" ht="14.5">
      <c r="A1147" s="20" t="s">
        <v>16576</v>
      </c>
      <c r="B1147" s="20">
        <v>20</v>
      </c>
      <c r="C1147" s="20">
        <v>85</v>
      </c>
      <c r="D1147" s="20">
        <v>62</v>
      </c>
      <c r="E1147" s="20">
        <v>80</v>
      </c>
      <c r="F1147" s="20" t="s">
        <v>16577</v>
      </c>
      <c r="G1147" s="24"/>
      <c r="H1147" s="24"/>
      <c r="I1147" s="24" t="str">
        <f ca="1">IFERROR(__xludf.DUMMYFUNCTION("GOOGLETRANSLATE(F1147,""en"",""pt"")"),"pilhas de madeira mole")</f>
        <v>pilhas de madeira mole</v>
      </c>
      <c r="J1147" t="str">
        <f>VLOOKUP(A1147,Pr_Base_LNEC!$A$4:$J$6971,6,FALSE)</f>
        <v>-</v>
      </c>
      <c r="K1147">
        <f>VLOOKUP(A1147,Pr_Base_LNEC!$A$4:$J$6971,7,FALSE)</f>
        <v>0</v>
      </c>
    </row>
    <row r="1148" spans="1:11" ht="14.5">
      <c r="A1148" s="20" t="s">
        <v>16578</v>
      </c>
      <c r="B1148" s="20">
        <v>20</v>
      </c>
      <c r="C1148" s="20">
        <v>85</v>
      </c>
      <c r="D1148" s="20">
        <v>65</v>
      </c>
      <c r="E1148" s="24"/>
      <c r="F1148" s="20" t="s">
        <v>16579</v>
      </c>
      <c r="G1148" s="24"/>
      <c r="H1148" s="24"/>
      <c r="I1148" s="24" t="str">
        <f ca="1">IFERROR(__xludf.DUMMYFUNCTION("GOOGLETRANSLATE(F1148,""en"",""pt"")"),"produtos de plataforma")</f>
        <v>produtos de plataforma</v>
      </c>
      <c r="J1148" t="str">
        <f>VLOOKUP(A1148,Pr_Base_LNEC!$A$4:$J$6971,6,FALSE)</f>
        <v>Produtos para Plataformas</v>
      </c>
      <c r="K1148">
        <f>VLOOKUP(A1148,Pr_Base_LNEC!$A$4:$J$6971,7,FALSE)</f>
        <v>0</v>
      </c>
    </row>
    <row r="1149" spans="1:11" ht="14.5">
      <c r="A1149" s="20" t="s">
        <v>16580</v>
      </c>
      <c r="B1149" s="20">
        <v>20</v>
      </c>
      <c r="C1149" s="20">
        <v>85</v>
      </c>
      <c r="D1149" s="20">
        <v>65</v>
      </c>
      <c r="E1149" s="20">
        <v>11</v>
      </c>
      <c r="F1149" s="20" t="s">
        <v>16581</v>
      </c>
      <c r="G1149" s="20" t="s">
        <v>16582</v>
      </c>
      <c r="H1149" s="24"/>
      <c r="I1149" s="24" t="str">
        <f ca="1">IFERROR(__xludf.DUMMYFUNCTION("GOOGLETRANSLATE(F1149,""en"",""pt"")"),"coifas plataforma de concreto")</f>
        <v>coifas plataforma de concreto</v>
      </c>
      <c r="J1149" t="str">
        <f>VLOOKUP(A1149,Pr_Base_LNEC!$A$4:$J$6971,6,FALSE)</f>
        <v>-</v>
      </c>
      <c r="K1149">
        <f>VLOOKUP(A1149,Pr_Base_LNEC!$A$4:$J$6971,7,FALSE)</f>
        <v>0</v>
      </c>
    </row>
    <row r="1150" spans="1:11" ht="14.5">
      <c r="A1150" s="20" t="s">
        <v>16583</v>
      </c>
      <c r="B1150" s="20">
        <v>20</v>
      </c>
      <c r="C1150" s="20">
        <v>85</v>
      </c>
      <c r="D1150" s="20">
        <v>65</v>
      </c>
      <c r="E1150" s="20">
        <v>13</v>
      </c>
      <c r="F1150" s="20" t="s">
        <v>16584</v>
      </c>
      <c r="G1150" s="20" t="s">
        <v>16585</v>
      </c>
      <c r="H1150" s="24"/>
      <c r="I1150" s="24" t="str">
        <f ca="1">IFERROR(__xludf.DUMMYFUNCTION("GOOGLETRANSLATE(F1150,""en"",""pt"")"),"seções plataforma de concreto")</f>
        <v>seções plataforma de concreto</v>
      </c>
      <c r="J1150" t="str">
        <f>VLOOKUP(A1150,Pr_Base_LNEC!$A$4:$J$6971,6,FALSE)</f>
        <v>-</v>
      </c>
      <c r="K1150">
        <f>VLOOKUP(A1150,Pr_Base_LNEC!$A$4:$J$6971,7,FALSE)</f>
        <v>0</v>
      </c>
    </row>
    <row r="1151" spans="1:11" ht="14.5">
      <c r="A1151" s="20" t="s">
        <v>16586</v>
      </c>
      <c r="B1151" s="20">
        <v>20</v>
      </c>
      <c r="C1151" s="20">
        <v>85</v>
      </c>
      <c r="D1151" s="20">
        <v>65</v>
      </c>
      <c r="E1151" s="20">
        <v>15</v>
      </c>
      <c r="F1151" s="20" t="s">
        <v>16587</v>
      </c>
      <c r="G1151" s="20" t="s">
        <v>16588</v>
      </c>
      <c r="H1151" s="24"/>
      <c r="I1151" s="24" t="str">
        <f ca="1">IFERROR(__xludf.DUMMYFUNCTION("GOOGLETRANSLATE(F1151,""en"",""pt"")"),"lajes plataforma de concreto")</f>
        <v>lajes plataforma de concreto</v>
      </c>
      <c r="J1151" t="str">
        <f>VLOOKUP(A1151,Pr_Base_LNEC!$A$4:$J$6971,6,FALSE)</f>
        <v>-</v>
      </c>
      <c r="K1151">
        <f>VLOOKUP(A1151,Pr_Base_LNEC!$A$4:$J$6971,7,FALSE)</f>
        <v>0</v>
      </c>
    </row>
    <row r="1152" spans="1:11" ht="14.5">
      <c r="A1152" s="20" t="s">
        <v>16589</v>
      </c>
      <c r="B1152" s="20">
        <v>20</v>
      </c>
      <c r="C1152" s="20">
        <v>85</v>
      </c>
      <c r="D1152" s="20">
        <v>65</v>
      </c>
      <c r="E1152" s="20">
        <v>17</v>
      </c>
      <c r="F1152" s="20" t="s">
        <v>16590</v>
      </c>
      <c r="G1152" s="20" t="s">
        <v>16591</v>
      </c>
      <c r="H1152" s="24"/>
      <c r="I1152" s="24" t="str">
        <f ca="1">IFERROR(__xludf.DUMMYFUNCTION("GOOGLETRANSLATE(F1152,""en"",""pt"")"),"unidades plataforma de concreto")</f>
        <v>unidades plataforma de concreto</v>
      </c>
      <c r="J1152" t="str">
        <f>VLOOKUP(A1152,Pr_Base_LNEC!$A$4:$J$6971,6,FALSE)</f>
        <v>-</v>
      </c>
      <c r="K1152">
        <f>VLOOKUP(A1152,Pr_Base_LNEC!$A$4:$J$6971,7,FALSE)</f>
        <v>0</v>
      </c>
    </row>
    <row r="1153" spans="1:11" ht="14.5">
      <c r="A1153" s="20" t="s">
        <v>16592</v>
      </c>
      <c r="B1153" s="20">
        <v>20</v>
      </c>
      <c r="C1153" s="20">
        <v>85</v>
      </c>
      <c r="D1153" s="20">
        <v>65</v>
      </c>
      <c r="E1153" s="20">
        <v>34</v>
      </c>
      <c r="F1153" s="20" t="s">
        <v>16593</v>
      </c>
      <c r="G1153" s="20" t="s">
        <v>16594</v>
      </c>
      <c r="H1153" s="24"/>
      <c r="I1153" s="24" t="str">
        <f ca="1">IFERROR(__xludf.DUMMYFUNCTION("GOOGLETRANSLATE(F1153,""en"",""pt"")"),"Plástico reforçado com vidro (GRP) painel plataforma modular")</f>
        <v>Plástico reforçado com vidro (GRP) painel plataforma modular</v>
      </c>
      <c r="J1153" t="str">
        <f>VLOOKUP(A1153,Pr_Base_LNEC!$A$4:$J$6971,6,FALSE)</f>
        <v>-</v>
      </c>
      <c r="K1153">
        <f>VLOOKUP(A1153,Pr_Base_LNEC!$A$4:$J$6971,7,FALSE)</f>
        <v>0</v>
      </c>
    </row>
    <row r="1154" spans="1:11" ht="14.5">
      <c r="A1154" s="20" t="s">
        <v>16595</v>
      </c>
      <c r="B1154" s="20">
        <v>20</v>
      </c>
      <c r="C1154" s="20">
        <v>85</v>
      </c>
      <c r="D1154" s="20">
        <v>70</v>
      </c>
      <c r="E1154" s="24"/>
      <c r="F1154" s="20" t="s">
        <v>16596</v>
      </c>
      <c r="G1154" s="24"/>
      <c r="H1154" s="24"/>
      <c r="I1154" s="24" t="str">
        <f ca="1">IFERROR(__xludf.DUMMYFUNCTION("GOOGLETRANSLATE(F1154,""en"",""pt"")"),"suportes ferroviários e fixações")</f>
        <v>suportes ferroviários e fixações</v>
      </c>
      <c r="J1154" t="str">
        <f>VLOOKUP(A1154,Pr_Base_LNEC!$A$4:$J$6971,6,FALSE)</f>
        <v>Suportes e Ligações Ferroviários</v>
      </c>
      <c r="K1154">
        <f>VLOOKUP(A1154,Pr_Base_LNEC!$A$4:$J$6971,7,FALSE)</f>
        <v>0</v>
      </c>
    </row>
    <row r="1155" spans="1:11" ht="14.5">
      <c r="A1155" s="20" t="s">
        <v>16597</v>
      </c>
      <c r="B1155" s="20">
        <v>20</v>
      </c>
      <c r="C1155" s="20">
        <v>85</v>
      </c>
      <c r="D1155" s="20">
        <v>70</v>
      </c>
      <c r="E1155" s="20">
        <v>8</v>
      </c>
      <c r="F1155" s="20" t="s">
        <v>16598</v>
      </c>
      <c r="G1155" s="24"/>
      <c r="H1155" s="24"/>
      <c r="I1155" s="24" t="str">
        <f ca="1">IFERROR(__xludf.DUMMYFUNCTION("GOOGLETRANSLATE(F1155,""en"",""pt"")"),"cadeiras ferroviárias Bullhead")</f>
        <v>cadeiras ferroviárias Bullhead</v>
      </c>
      <c r="J1155" t="e">
        <f>VLOOKUP(A1155,Pr_Base_LNEC!$A$4:$J$6971,6,FALSE)</f>
        <v>#N/A</v>
      </c>
      <c r="K1155" t="e">
        <f>VLOOKUP(A1155,Pr_Base_LNEC!$A$4:$J$6971,7,FALSE)</f>
        <v>#N/A</v>
      </c>
    </row>
    <row r="1156" spans="1:11" ht="14.5">
      <c r="A1156" s="20" t="s">
        <v>16599</v>
      </c>
      <c r="B1156" s="20">
        <v>20</v>
      </c>
      <c r="C1156" s="20">
        <v>85</v>
      </c>
      <c r="D1156" s="20">
        <v>70</v>
      </c>
      <c r="E1156" s="20">
        <v>10</v>
      </c>
      <c r="F1156" s="20" t="s">
        <v>16600</v>
      </c>
      <c r="G1156" s="24"/>
      <c r="H1156" s="24"/>
      <c r="I1156" s="24" t="str">
        <f ca="1">IFERROR(__xludf.DUMMYFUNCTION("GOOGLETRANSLATE(F1156,""en"",""pt"")"),"blocos expressos e conjuntos de espaçadores")</f>
        <v>blocos expressos e conjuntos de espaçadores</v>
      </c>
      <c r="J1156" t="str">
        <f>VLOOKUP(A1156,Pr_Base_LNEC!$A$4:$J$6971,6,FALSE)</f>
        <v>-</v>
      </c>
      <c r="K1156">
        <f>VLOOKUP(A1156,Pr_Base_LNEC!$A$4:$J$6971,7,FALSE)</f>
        <v>0</v>
      </c>
    </row>
    <row r="1157" spans="1:11" ht="14.5">
      <c r="A1157" s="20" t="s">
        <v>16601</v>
      </c>
      <c r="B1157" s="20">
        <v>20</v>
      </c>
      <c r="C1157" s="20">
        <v>85</v>
      </c>
      <c r="D1157" s="20">
        <v>70</v>
      </c>
      <c r="E1157" s="20">
        <v>12</v>
      </c>
      <c r="F1157" s="20" t="s">
        <v>16602</v>
      </c>
      <c r="G1157" s="24"/>
      <c r="H1157" s="24"/>
      <c r="I1157" s="24" t="str">
        <f ca="1">IFERROR(__xludf.DUMMYFUNCTION("GOOGLETRANSLATE(F1157,""en"",""pt"")"),"baseplates verificação ferroviárias")</f>
        <v>baseplates verificação ferroviárias</v>
      </c>
      <c r="J1157" t="str">
        <f>VLOOKUP(A1157,Pr_Base_LNEC!$A$4:$J$6971,6,FALSE)</f>
        <v>-</v>
      </c>
      <c r="K1157">
        <f>VLOOKUP(A1157,Pr_Base_LNEC!$A$4:$J$6971,7,FALSE)</f>
        <v>0</v>
      </c>
    </row>
    <row r="1158" spans="1:11" ht="14.5">
      <c r="A1158" s="20" t="s">
        <v>16603</v>
      </c>
      <c r="B1158" s="20">
        <v>20</v>
      </c>
      <c r="C1158" s="20">
        <v>85</v>
      </c>
      <c r="D1158" s="20">
        <v>70</v>
      </c>
      <c r="E1158" s="20">
        <v>13</v>
      </c>
      <c r="F1158" s="20" t="s">
        <v>16604</v>
      </c>
      <c r="G1158" s="24"/>
      <c r="H1158" s="24"/>
      <c r="I1158" s="24" t="str">
        <f ca="1">IFERROR(__xludf.DUMMYFUNCTION("GOOGLETRANSLATE(F1158,""en"",""pt"")"),"Verifique ferroviárias baseplates resilientes")</f>
        <v>Verifique ferroviárias baseplates resilientes</v>
      </c>
      <c r="J1158" t="str">
        <f>VLOOKUP(A1158,Pr_Base_LNEC!$A$4:$J$6971,6,FALSE)</f>
        <v>-</v>
      </c>
      <c r="K1158">
        <f>VLOOKUP(A1158,Pr_Base_LNEC!$A$4:$J$6971,7,FALSE)</f>
        <v>0</v>
      </c>
    </row>
    <row r="1159" spans="1:11" ht="14.5">
      <c r="A1159" s="20" t="s">
        <v>16605</v>
      </c>
      <c r="B1159" s="20">
        <v>20</v>
      </c>
      <c r="C1159" s="20">
        <v>85</v>
      </c>
      <c r="D1159" s="20">
        <v>70</v>
      </c>
      <c r="E1159" s="20">
        <v>24</v>
      </c>
      <c r="F1159" s="20" t="s">
        <v>16606</v>
      </c>
      <c r="G1159" s="20" t="s">
        <v>16607</v>
      </c>
      <c r="H1159" s="24"/>
      <c r="I1159" s="24" t="str">
        <f ca="1">IFERROR(__xludf.DUMMYFUNCTION("GOOGLETRANSLATE(F1159,""en"",""pt"")"),"spikes impulsionados")</f>
        <v>spikes impulsionados</v>
      </c>
      <c r="J1159" t="str">
        <f>VLOOKUP(A1159,Pr_Base_LNEC!$A$4:$J$6971,6,FALSE)</f>
        <v>-</v>
      </c>
      <c r="K1159">
        <f>VLOOKUP(A1159,Pr_Base_LNEC!$A$4:$J$6971,7,FALSE)</f>
        <v>0</v>
      </c>
    </row>
    <row r="1160" spans="1:11" ht="14.5">
      <c r="A1160" s="20" t="s">
        <v>16608</v>
      </c>
      <c r="B1160" s="20">
        <v>20</v>
      </c>
      <c r="C1160" s="20">
        <v>85</v>
      </c>
      <c r="D1160" s="20">
        <v>70</v>
      </c>
      <c r="E1160" s="20">
        <v>30</v>
      </c>
      <c r="F1160" s="20" t="s">
        <v>16609</v>
      </c>
      <c r="G1160" s="24"/>
      <c r="H1160" s="24"/>
      <c r="I1160" s="24" t="str">
        <f ca="1">IFERROR(__xludf.DUMMYFUNCTION("GOOGLETRANSLATE(F1160,""en"",""pt"")"),"Virolas e arbustos")</f>
        <v>Virolas e arbustos</v>
      </c>
      <c r="J1160" t="str">
        <f>VLOOKUP(A1160,Pr_Base_LNEC!$A$4:$J$6971,6,FALSE)</f>
        <v>-</v>
      </c>
      <c r="K1160">
        <f>VLOOKUP(A1160,Pr_Base_LNEC!$A$4:$J$6971,7,FALSE)</f>
        <v>0</v>
      </c>
    </row>
    <row r="1161" spans="1:11" ht="14.5">
      <c r="A1161" s="20" t="s">
        <v>16610</v>
      </c>
      <c r="B1161" s="20">
        <v>20</v>
      </c>
      <c r="C1161" s="20">
        <v>85</v>
      </c>
      <c r="D1161" s="20">
        <v>70</v>
      </c>
      <c r="E1161" s="20">
        <v>44</v>
      </c>
      <c r="F1161" s="20" t="s">
        <v>16611</v>
      </c>
      <c r="G1161" s="20" t="s">
        <v>16612</v>
      </c>
      <c r="H1161" s="24"/>
      <c r="I1161" s="24" t="str">
        <f ca="1">IFERROR(__xludf.DUMMYFUNCTION("GOOGLETRANSLATE(F1161,""en"",""pt"")"),"baseplates trabalho de junção")</f>
        <v>baseplates trabalho de junção</v>
      </c>
      <c r="J1161" t="str">
        <f>VLOOKUP(A1161,Pr_Base_LNEC!$A$4:$J$6971,6,FALSE)</f>
        <v>-</v>
      </c>
      <c r="K1161">
        <f>VLOOKUP(A1161,Pr_Base_LNEC!$A$4:$J$6971,7,FALSE)</f>
        <v>0</v>
      </c>
    </row>
    <row r="1162" spans="1:11" ht="14.5">
      <c r="A1162" s="20" t="s">
        <v>16613</v>
      </c>
      <c r="B1162" s="20">
        <v>20</v>
      </c>
      <c r="C1162" s="20">
        <v>85</v>
      </c>
      <c r="D1162" s="20">
        <v>70</v>
      </c>
      <c r="E1162" s="20">
        <v>45</v>
      </c>
      <c r="F1162" s="20" t="s">
        <v>16614</v>
      </c>
      <c r="G1162" s="24"/>
      <c r="H1162" s="24"/>
      <c r="I1162" s="24" t="str">
        <f ca="1">IFERROR(__xludf.DUMMYFUNCTION("GOOGLETRANSLATE(F1162,""en"",""pt"")"),"placas de passagem de trabalho de junção")</f>
        <v>placas de passagem de trabalho de junção</v>
      </c>
      <c r="J1162" t="str">
        <f>VLOOKUP(A1162,Pr_Base_LNEC!$A$4:$J$6971,6,FALSE)</f>
        <v>-</v>
      </c>
      <c r="K1162">
        <f>VLOOKUP(A1162,Pr_Base_LNEC!$A$4:$J$6971,7,FALSE)</f>
        <v>0</v>
      </c>
    </row>
    <row r="1163" spans="1:11" ht="14.5">
      <c r="A1163" s="20" t="s">
        <v>16615</v>
      </c>
      <c r="B1163" s="20">
        <v>20</v>
      </c>
      <c r="C1163" s="20">
        <v>85</v>
      </c>
      <c r="D1163" s="20">
        <v>70</v>
      </c>
      <c r="E1163" s="20">
        <v>46</v>
      </c>
      <c r="F1163" s="20" t="s">
        <v>16616</v>
      </c>
      <c r="G1163" s="24"/>
      <c r="H1163" s="24"/>
      <c r="I1163" s="24" t="str">
        <f ca="1">IFERROR(__xludf.DUMMYFUNCTION("GOOGLETRANSLATE(F1163,""en"",""pt"")"),"Junção baseplates salto trabalho")</f>
        <v>Junção baseplates salto trabalho</v>
      </c>
      <c r="J1163" t="str">
        <f>VLOOKUP(A1163,Pr_Base_LNEC!$A$4:$J$6971,6,FALSE)</f>
        <v>-</v>
      </c>
      <c r="K1163">
        <f>VLOOKUP(A1163,Pr_Base_LNEC!$A$4:$J$6971,7,FALSE)</f>
        <v>0</v>
      </c>
    </row>
    <row r="1164" spans="1:11" ht="14.5">
      <c r="A1164" s="20" t="s">
        <v>16617</v>
      </c>
      <c r="B1164" s="20">
        <v>20</v>
      </c>
      <c r="C1164" s="20">
        <v>85</v>
      </c>
      <c r="D1164" s="20">
        <v>70</v>
      </c>
      <c r="E1164" s="20">
        <v>47</v>
      </c>
      <c r="F1164" s="20" t="s">
        <v>16618</v>
      </c>
      <c r="G1164" s="24"/>
      <c r="H1164" s="24"/>
      <c r="I1164" s="24" t="str">
        <f ca="1">IFERROR(__xludf.DUMMYFUNCTION("GOOGLETRANSLATE(F1164,""en"",""pt"")"),"trabalho junção baseplates resilientes")</f>
        <v>trabalho junção baseplates resilientes</v>
      </c>
      <c r="J1164" t="str">
        <f>VLOOKUP(A1164,Pr_Base_LNEC!$A$4:$J$6971,6,FALSE)</f>
        <v>-</v>
      </c>
      <c r="K1164">
        <f>VLOOKUP(A1164,Pr_Base_LNEC!$A$4:$J$6971,7,FALSE)</f>
        <v>0</v>
      </c>
    </row>
    <row r="1165" spans="1:11" ht="14.5">
      <c r="A1165" s="20" t="s">
        <v>16619</v>
      </c>
      <c r="B1165" s="20">
        <v>20</v>
      </c>
      <c r="C1165" s="20">
        <v>85</v>
      </c>
      <c r="D1165" s="20">
        <v>70</v>
      </c>
      <c r="E1165" s="20">
        <v>48</v>
      </c>
      <c r="F1165" s="20" t="s">
        <v>16620</v>
      </c>
      <c r="G1165" s="24"/>
      <c r="H1165" s="24"/>
      <c r="I1165" s="24" t="str">
        <f ca="1">IFERROR(__xludf.DUMMYFUNCTION("GOOGLETRANSLATE(F1165,""en"",""pt"")"),"placas de escorregamento resiliente trabalho junção")</f>
        <v>placas de escorregamento resiliente trabalho junção</v>
      </c>
      <c r="J1165" t="str">
        <f>VLOOKUP(A1165,Pr_Base_LNEC!$A$4:$J$6971,6,FALSE)</f>
        <v>-</v>
      </c>
      <c r="K1165">
        <f>VLOOKUP(A1165,Pr_Base_LNEC!$A$4:$J$6971,7,FALSE)</f>
        <v>0</v>
      </c>
    </row>
    <row r="1166" spans="1:11" ht="14.5">
      <c r="A1166" s="20" t="s">
        <v>16621</v>
      </c>
      <c r="B1166" s="20">
        <v>20</v>
      </c>
      <c r="C1166" s="20">
        <v>85</v>
      </c>
      <c r="D1166" s="20">
        <v>70</v>
      </c>
      <c r="E1166" s="20">
        <v>49</v>
      </c>
      <c r="F1166" s="20" t="s">
        <v>16622</v>
      </c>
      <c r="G1166" s="24"/>
      <c r="H1166" s="24"/>
      <c r="I1166" s="24" t="str">
        <f ca="1">IFERROR(__xludf.DUMMYFUNCTION("GOOGLETRANSLATE(F1166,""en"",""pt"")"),"placas de trabalho de deslizamento de junção")</f>
        <v>placas de trabalho de deslizamento de junção</v>
      </c>
      <c r="J1166" t="str">
        <f>VLOOKUP(A1166,Pr_Base_LNEC!$A$4:$J$6971,6,FALSE)</f>
        <v>-</v>
      </c>
      <c r="K1166">
        <f>VLOOKUP(A1166,Pr_Base_LNEC!$A$4:$J$6971,7,FALSE)</f>
        <v>0</v>
      </c>
    </row>
    <row r="1167" spans="1:11" ht="14.5">
      <c r="A1167" s="20" t="s">
        <v>16623</v>
      </c>
      <c r="B1167" s="20">
        <v>20</v>
      </c>
      <c r="C1167" s="20">
        <v>85</v>
      </c>
      <c r="D1167" s="20">
        <v>70</v>
      </c>
      <c r="E1167" s="20">
        <v>54</v>
      </c>
      <c r="F1167" s="20" t="s">
        <v>16624</v>
      </c>
      <c r="G1167" s="24"/>
      <c r="H1167" s="24"/>
      <c r="I1167" s="24" t="str">
        <f ca="1">IFERROR(__xludf.DUMMYFUNCTION("GOOGLETRANSLATE(F1167,""en"",""pt"")"),"conjuntos de metal espaçadores")</f>
        <v>conjuntos de metal espaçadores</v>
      </c>
      <c r="J1167" t="e">
        <f>VLOOKUP(A1167,Pr_Base_LNEC!$A$4:$J$6971,6,FALSE)</f>
        <v>#N/A</v>
      </c>
      <c r="K1167" t="e">
        <f>VLOOKUP(A1167,Pr_Base_LNEC!$A$4:$J$6971,7,FALSE)</f>
        <v>#N/A</v>
      </c>
    </row>
    <row r="1168" spans="1:11" ht="14.5">
      <c r="A1168" s="20" t="s">
        <v>16625</v>
      </c>
      <c r="B1168" s="20">
        <v>20</v>
      </c>
      <c r="C1168" s="20">
        <v>85</v>
      </c>
      <c r="D1168" s="20">
        <v>70</v>
      </c>
      <c r="E1168" s="20">
        <v>63</v>
      </c>
      <c r="F1168" s="20" t="s">
        <v>16626</v>
      </c>
      <c r="G1168" s="24"/>
      <c r="H1168" s="24"/>
      <c r="I1168" s="24" t="str">
        <f ca="1">IFERROR(__xludf.DUMMYFUNCTION("GOOGLETRANSLATE(F1168,""en"",""pt"")"),"baseplates resilientes linha Plain")</f>
        <v>baseplates resilientes linha Plain</v>
      </c>
      <c r="J1168" t="str">
        <f>VLOOKUP(A1168,Pr_Base_LNEC!$A$4:$J$6971,6,FALSE)</f>
        <v>-</v>
      </c>
      <c r="K1168">
        <f>VLOOKUP(A1168,Pr_Base_LNEC!$A$4:$J$6971,7,FALSE)</f>
        <v>0</v>
      </c>
    </row>
    <row r="1169" spans="1:11" ht="14.5">
      <c r="A1169" s="20" t="s">
        <v>16627</v>
      </c>
      <c r="B1169" s="20">
        <v>20</v>
      </c>
      <c r="C1169" s="20">
        <v>85</v>
      </c>
      <c r="D1169" s="20">
        <v>70</v>
      </c>
      <c r="E1169" s="20">
        <v>64</v>
      </c>
      <c r="F1169" s="20" t="s">
        <v>16628</v>
      </c>
      <c r="G1169" s="20" t="s">
        <v>16629</v>
      </c>
      <c r="H1169" s="24"/>
      <c r="I1169" s="24" t="str">
        <f ca="1">IFERROR(__xludf.DUMMYFUNCTION("GOOGLETRANSLATE(F1169,""en"",""pt"")"),"baseplates de linha simples")</f>
        <v>baseplates de linha simples</v>
      </c>
      <c r="J1169" t="str">
        <f>VLOOKUP(A1169,Pr_Base_LNEC!$A$4:$J$6971,6,FALSE)</f>
        <v>-</v>
      </c>
      <c r="K1169">
        <f>VLOOKUP(A1169,Pr_Base_LNEC!$A$4:$J$6971,7,FALSE)</f>
        <v>0</v>
      </c>
    </row>
    <row r="1170" spans="1:11" ht="14.5">
      <c r="A1170" s="20" t="s">
        <v>16630</v>
      </c>
      <c r="B1170" s="20">
        <v>20</v>
      </c>
      <c r="C1170" s="20">
        <v>85</v>
      </c>
      <c r="D1170" s="20">
        <v>70</v>
      </c>
      <c r="E1170" s="20">
        <v>65</v>
      </c>
      <c r="F1170" s="20" t="s">
        <v>16631</v>
      </c>
      <c r="G1170" s="20" t="s">
        <v>16632</v>
      </c>
      <c r="H1170" s="24"/>
      <c r="I1170" s="24" t="str">
        <f ca="1">IFERROR(__xludf.DUMMYFUNCTION("GOOGLETRANSLATE(F1170,""en"",""pt"")"),"embedments ferroviárias Plásticos")</f>
        <v>embedments ferroviárias Plásticos</v>
      </c>
      <c r="J1170" t="str">
        <f>VLOOKUP(A1170,Pr_Base_LNEC!$A$4:$J$6971,6,FALSE)</f>
        <v>-</v>
      </c>
      <c r="K1170">
        <f>VLOOKUP(A1170,Pr_Base_LNEC!$A$4:$J$6971,7,FALSE)</f>
        <v>0</v>
      </c>
    </row>
    <row r="1171" spans="1:11" ht="14.5">
      <c r="A1171" s="20" t="s">
        <v>16633</v>
      </c>
      <c r="B1171" s="20">
        <v>20</v>
      </c>
      <c r="C1171" s="20">
        <v>85</v>
      </c>
      <c r="D1171" s="20">
        <v>70</v>
      </c>
      <c r="E1171" s="20">
        <v>70</v>
      </c>
      <c r="F1171" s="20" t="s">
        <v>16634</v>
      </c>
      <c r="G1171" s="20" t="s">
        <v>16635</v>
      </c>
      <c r="H1171" s="24"/>
      <c r="I1171" s="24" t="str">
        <f ca="1">IFERROR(__xludf.DUMMYFUNCTION("GOOGLETRANSLATE(F1171,""en"",""pt"")"),"botas ferroviárias")</f>
        <v>botas ferroviárias</v>
      </c>
      <c r="J1171" t="str">
        <f>VLOOKUP(A1171,Pr_Base_LNEC!$A$4:$J$6971,6,FALSE)</f>
        <v>-</v>
      </c>
      <c r="K1171">
        <f>VLOOKUP(A1171,Pr_Base_LNEC!$A$4:$J$6971,7,FALSE)</f>
        <v>0</v>
      </c>
    </row>
    <row r="1172" spans="1:11" ht="14.5">
      <c r="A1172" s="20" t="s">
        <v>16636</v>
      </c>
      <c r="B1172" s="20">
        <v>20</v>
      </c>
      <c r="C1172" s="20">
        <v>85</v>
      </c>
      <c r="D1172" s="20">
        <v>70</v>
      </c>
      <c r="E1172" s="20">
        <v>71</v>
      </c>
      <c r="F1172" s="20" t="s">
        <v>16637</v>
      </c>
      <c r="G1172" s="24"/>
      <c r="H1172" s="24"/>
      <c r="I1172" s="24" t="str">
        <f ca="1">IFERROR(__xludf.DUMMYFUNCTION("GOOGLETRANSLATE(F1172,""en"",""pt"")"),"conjuntos de grampo de carril e do ombro")</f>
        <v>conjuntos de grampo de carril e do ombro</v>
      </c>
      <c r="J1172" t="str">
        <f>VLOOKUP(A1172,Pr_Base_LNEC!$A$4:$J$6971,6,FALSE)</f>
        <v>-</v>
      </c>
      <c r="K1172">
        <f>VLOOKUP(A1172,Pr_Base_LNEC!$A$4:$J$6971,7,FALSE)</f>
        <v>0</v>
      </c>
    </row>
    <row r="1173" spans="1:11" ht="14.5">
      <c r="A1173" s="20" t="s">
        <v>16638</v>
      </c>
      <c r="B1173" s="20">
        <v>20</v>
      </c>
      <c r="C1173" s="20">
        <v>85</v>
      </c>
      <c r="D1173" s="20">
        <v>70</v>
      </c>
      <c r="E1173" s="20">
        <v>74</v>
      </c>
      <c r="F1173" s="20" t="s">
        <v>16639</v>
      </c>
      <c r="G1173" s="20" t="s">
        <v>16640</v>
      </c>
      <c r="H1173" s="24"/>
      <c r="I1173" s="24" t="str">
        <f ca="1">IFERROR(__xludf.DUMMYFUNCTION("GOOGLETRANSLATE(F1173,""en"",""pt"")"),"Borracha elementos de enchimento câmara")</f>
        <v>Borracha elementos de enchimento câmara</v>
      </c>
      <c r="J1173" t="str">
        <f>VLOOKUP(A1173,Pr_Base_LNEC!$A$4:$J$6971,6,FALSE)</f>
        <v>-</v>
      </c>
      <c r="K1173">
        <f>VLOOKUP(A1173,Pr_Base_LNEC!$A$4:$J$6971,7,FALSE)</f>
        <v>0</v>
      </c>
    </row>
    <row r="1174" spans="1:11" ht="14.5">
      <c r="A1174" s="20" t="s">
        <v>16641</v>
      </c>
      <c r="B1174" s="20">
        <v>20</v>
      </c>
      <c r="C1174" s="20">
        <v>85</v>
      </c>
      <c r="D1174" s="20">
        <v>70</v>
      </c>
      <c r="E1174" s="20">
        <v>76</v>
      </c>
      <c r="F1174" s="20" t="s">
        <v>16642</v>
      </c>
      <c r="G1174" s="20" t="s">
        <v>16643</v>
      </c>
      <c r="H1174" s="24"/>
      <c r="I1174" s="24" t="str">
        <f ca="1">IFERROR(__xludf.DUMMYFUNCTION("GOOGLETRANSLATE(F1174,""en"",""pt"")"),"picos de parafusos")</f>
        <v>picos de parafusos</v>
      </c>
      <c r="J1174" t="str">
        <f>VLOOKUP(A1174,Pr_Base_LNEC!$A$4:$J$6971,6,FALSE)</f>
        <v>-</v>
      </c>
      <c r="K1174">
        <f>VLOOKUP(A1174,Pr_Base_LNEC!$A$4:$J$6971,7,FALSE)</f>
        <v>0</v>
      </c>
    </row>
    <row r="1175" spans="1:11" ht="14.5">
      <c r="A1175" s="20" t="s">
        <v>16644</v>
      </c>
      <c r="B1175" s="20">
        <v>20</v>
      </c>
      <c r="C1175" s="20">
        <v>85</v>
      </c>
      <c r="D1175" s="20">
        <v>70</v>
      </c>
      <c r="E1175" s="20">
        <v>80</v>
      </c>
      <c r="F1175" s="20" t="s">
        <v>16645</v>
      </c>
      <c r="G1175" s="24"/>
      <c r="H1175" s="24"/>
      <c r="I1175" s="24" t="str">
        <f ca="1">IFERROR(__xludf.DUMMYFUNCTION("GOOGLETRANSLATE(F1175,""en"",""pt"")"),"soleplates")</f>
        <v>soleplates</v>
      </c>
      <c r="J1175" t="str">
        <f>VLOOKUP(A1175,Pr_Base_LNEC!$A$4:$J$6971,6,FALSE)</f>
        <v>-</v>
      </c>
      <c r="K1175">
        <f>VLOOKUP(A1175,Pr_Base_LNEC!$A$4:$J$6971,7,FALSE)</f>
        <v>0</v>
      </c>
    </row>
    <row r="1176" spans="1:11" ht="14.5">
      <c r="A1176" s="20" t="s">
        <v>16646</v>
      </c>
      <c r="B1176" s="20">
        <v>20</v>
      </c>
      <c r="C1176" s="20">
        <v>85</v>
      </c>
      <c r="D1176" s="20">
        <v>70</v>
      </c>
      <c r="E1176" s="20">
        <v>82</v>
      </c>
      <c r="F1176" s="20" t="s">
        <v>16647</v>
      </c>
      <c r="G1176" s="20" t="s">
        <v>16648</v>
      </c>
      <c r="H1176" s="24"/>
      <c r="I1176" s="24" t="str">
        <f ca="1">IFERROR(__xludf.DUMMYFUNCTION("GOOGLETRANSLATE(F1176,""en"",""pt"")"),"spikes primavera")</f>
        <v>spikes primavera</v>
      </c>
      <c r="J1176" t="str">
        <f>VLOOKUP(A1176,Pr_Base_LNEC!$A$4:$J$6971,6,FALSE)</f>
        <v>-</v>
      </c>
      <c r="K1176">
        <f>VLOOKUP(A1176,Pr_Base_LNEC!$A$4:$J$6971,7,FALSE)</f>
        <v>0</v>
      </c>
    </row>
    <row r="1177" spans="1:11" ht="14.5">
      <c r="A1177" s="20" t="s">
        <v>16649</v>
      </c>
      <c r="B1177" s="20">
        <v>20</v>
      </c>
      <c r="C1177" s="20">
        <v>85</v>
      </c>
      <c r="D1177" s="20">
        <v>71</v>
      </c>
      <c r="E1177" s="24"/>
      <c r="F1177" s="20" t="s">
        <v>16650</v>
      </c>
      <c r="G1177" s="24"/>
      <c r="H1177" s="24"/>
      <c r="I1177" s="24" t="str">
        <f ca="1">IFERROR(__xludf.DUMMYFUNCTION("GOOGLETRANSLATE(F1177,""en"",""pt"")"),"anéis ferroviários")</f>
        <v>anéis ferroviários</v>
      </c>
      <c r="J1177" t="str">
        <f>VLOOKUP(A1177,Pr_Base_LNEC!$A$4:$J$6971,6,FALSE)</f>
        <v>Anéis para Ferróvias</v>
      </c>
      <c r="K1177">
        <f>VLOOKUP(A1177,Pr_Base_LNEC!$A$4:$J$6971,7,FALSE)</f>
        <v>0</v>
      </c>
    </row>
    <row r="1178" spans="1:11" ht="14.5">
      <c r="A1178" s="20" t="s">
        <v>16651</v>
      </c>
      <c r="B1178" s="20">
        <v>20</v>
      </c>
      <c r="C1178" s="20">
        <v>85</v>
      </c>
      <c r="D1178" s="20">
        <v>71</v>
      </c>
      <c r="E1178" s="20">
        <v>11</v>
      </c>
      <c r="F1178" s="20" t="s">
        <v>16652</v>
      </c>
      <c r="G1178" s="24"/>
      <c r="H1178" s="24"/>
      <c r="I1178" s="24" t="str">
        <f ca="1">IFERROR(__xludf.DUMMYFUNCTION("GOOGLETRANSLATE(F1178,""en"",""pt"")"),"anéis de aço de carbono")</f>
        <v>anéis de aço de carbono</v>
      </c>
      <c r="J1178" t="str">
        <f>VLOOKUP(A1178,Pr_Base_LNEC!$A$4:$J$6971,6,FALSE)</f>
        <v>-</v>
      </c>
      <c r="K1178">
        <f>VLOOKUP(A1178,Pr_Base_LNEC!$A$4:$J$6971,7,FALSE)</f>
        <v>0</v>
      </c>
    </row>
    <row r="1179" spans="1:11" ht="14.5">
      <c r="A1179" s="20" t="s">
        <v>16653</v>
      </c>
      <c r="B1179" s="20">
        <v>20</v>
      </c>
      <c r="C1179" s="20">
        <v>85</v>
      </c>
      <c r="D1179" s="20">
        <v>71</v>
      </c>
      <c r="E1179" s="20">
        <v>12</v>
      </c>
      <c r="F1179" s="20" t="s">
        <v>16654</v>
      </c>
      <c r="G1179" s="24"/>
      <c r="H1179" s="24"/>
      <c r="I1179" s="24" t="str">
        <f ca="1">IFERROR(__xludf.DUMMYFUNCTION("GOOGLETRANSLATE(F1179,""en"",""pt"")"),"anéis de ferro fundido aparafusado")</f>
        <v>anéis de ferro fundido aparafusado</v>
      </c>
      <c r="J1179" t="str">
        <f>VLOOKUP(A1179,Pr_Base_LNEC!$A$4:$J$6971,6,FALSE)</f>
        <v>-</v>
      </c>
      <c r="K1179">
        <f>VLOOKUP(A1179,Pr_Base_LNEC!$A$4:$J$6971,7,FALSE)</f>
        <v>0</v>
      </c>
    </row>
    <row r="1180" spans="1:11" ht="14.5">
      <c r="A1180" s="20" t="s">
        <v>16655</v>
      </c>
      <c r="B1180" s="20">
        <v>20</v>
      </c>
      <c r="C1180" s="20">
        <v>85</v>
      </c>
      <c r="D1180" s="20">
        <v>71</v>
      </c>
      <c r="E1180" s="20">
        <v>13</v>
      </c>
      <c r="F1180" s="20" t="s">
        <v>16656</v>
      </c>
      <c r="G1180" s="24"/>
      <c r="H1180" s="24"/>
      <c r="I1180" s="24" t="str">
        <f ca="1">IFERROR(__xludf.DUMMYFUNCTION("GOOGLETRANSLATE(F1180,""en"",""pt"")"),"anéis de ferro ampliado expressos")</f>
        <v>anéis de ferro ampliado expressos</v>
      </c>
      <c r="J1180" t="str">
        <f>VLOOKUP(A1180,Pr_Base_LNEC!$A$4:$J$6971,6,FALSE)</f>
        <v>-</v>
      </c>
      <c r="K1180">
        <f>VLOOKUP(A1180,Pr_Base_LNEC!$A$4:$J$6971,7,FALSE)</f>
        <v>0</v>
      </c>
    </row>
    <row r="1181" spans="1:11" ht="14.5">
      <c r="A1181" s="20" t="s">
        <v>16657</v>
      </c>
      <c r="B1181" s="20">
        <v>20</v>
      </c>
      <c r="C1181" s="20">
        <v>85</v>
      </c>
      <c r="D1181" s="20">
        <v>71</v>
      </c>
      <c r="E1181" s="20">
        <v>15</v>
      </c>
      <c r="F1181" s="20" t="s">
        <v>16658</v>
      </c>
      <c r="G1181" s="24"/>
      <c r="H1181" s="24"/>
      <c r="I1181" s="24" t="str">
        <f ca="1">IFERROR(__xludf.DUMMYFUNCTION("GOOGLETRANSLATE(F1181,""en"",""pt"")"),"Betão aparafusado anéis")</f>
        <v>Betão aparafusado anéis</v>
      </c>
      <c r="J1181" t="str">
        <f>VLOOKUP(A1181,Pr_Base_LNEC!$A$4:$J$6971,6,FALSE)</f>
        <v>-</v>
      </c>
      <c r="K1181">
        <f>VLOOKUP(A1181,Pr_Base_LNEC!$A$4:$J$6971,7,FALSE)</f>
        <v>0</v>
      </c>
    </row>
    <row r="1182" spans="1:11" ht="14.5">
      <c r="A1182" s="20" t="s">
        <v>16659</v>
      </c>
      <c r="B1182" s="20">
        <v>20</v>
      </c>
      <c r="C1182" s="20">
        <v>85</v>
      </c>
      <c r="D1182" s="20">
        <v>71</v>
      </c>
      <c r="E1182" s="20">
        <v>16</v>
      </c>
      <c r="F1182" s="20" t="s">
        <v>16660</v>
      </c>
      <c r="G1182" s="24"/>
      <c r="H1182" s="24"/>
      <c r="I1182" s="24" t="str">
        <f ca="1">IFERROR(__xludf.DUMMYFUNCTION("GOOGLETRANSLATE(F1182,""en"",""pt"")"),"Concretas expandiu anéis")</f>
        <v>Concretas expandiu anéis</v>
      </c>
      <c r="J1182" t="str">
        <f>VLOOKUP(A1182,Pr_Base_LNEC!$A$4:$J$6971,6,FALSE)</f>
        <v>-</v>
      </c>
      <c r="K1182">
        <f>VLOOKUP(A1182,Pr_Base_LNEC!$A$4:$J$6971,7,FALSE)</f>
        <v>0</v>
      </c>
    </row>
    <row r="1183" spans="1:11" ht="14.5">
      <c r="A1183" s="20" t="s">
        <v>16661</v>
      </c>
      <c r="B1183" s="20">
        <v>20</v>
      </c>
      <c r="C1183" s="20">
        <v>85</v>
      </c>
      <c r="D1183" s="20">
        <v>71</v>
      </c>
      <c r="E1183" s="20">
        <v>57</v>
      </c>
      <c r="F1183" s="20" t="s">
        <v>16662</v>
      </c>
      <c r="G1183" s="24"/>
      <c r="H1183" s="24"/>
      <c r="I1183" s="24" t="str">
        <f ca="1">IFERROR(__xludf.DUMMYFUNCTION("GOOGLETRANSLATE(F1183,""en"",""pt"")"),"anéis de ferro nodular")</f>
        <v>anéis de ferro nodular</v>
      </c>
      <c r="J1183" t="str">
        <f>VLOOKUP(A1183,Pr_Base_LNEC!$A$4:$J$6971,6,FALSE)</f>
        <v>-</v>
      </c>
      <c r="K1183">
        <f>VLOOKUP(A1183,Pr_Base_LNEC!$A$4:$J$6971,7,FALSE)</f>
        <v>0</v>
      </c>
    </row>
    <row r="1184" spans="1:11" ht="14.5">
      <c r="A1184" s="20" t="s">
        <v>16663</v>
      </c>
      <c r="B1184" s="20">
        <v>20</v>
      </c>
      <c r="C1184" s="20">
        <v>85</v>
      </c>
      <c r="D1184" s="20">
        <v>72</v>
      </c>
      <c r="E1184" s="24"/>
      <c r="F1184" s="20" t="s">
        <v>16664</v>
      </c>
      <c r="G1184" s="24"/>
      <c r="H1184" s="24"/>
      <c r="I1184" s="24" t="str">
        <f ca="1">IFERROR(__xludf.DUMMYFUNCTION("GOOGLETRANSLATE(F1184,""en"",""pt"")"),"dormentes ferroviários e portadores")</f>
        <v>dormentes ferroviários e portadores</v>
      </c>
      <c r="J1184" t="str">
        <f>VLOOKUP(A1184,Pr_Base_LNEC!$A$4:$J$6971,6,FALSE)</f>
        <v>Travessas e Longarina-travessa</v>
      </c>
      <c r="K1184">
        <f>VLOOKUP(A1184,Pr_Base_LNEC!$A$4:$J$6971,7,FALSE)</f>
        <v>0</v>
      </c>
    </row>
    <row r="1185" spans="1:11" ht="14.5">
      <c r="A1185" s="20" t="s">
        <v>16665</v>
      </c>
      <c r="B1185" s="20">
        <v>20</v>
      </c>
      <c r="C1185" s="20">
        <v>85</v>
      </c>
      <c r="D1185" s="20">
        <v>72</v>
      </c>
      <c r="E1185" s="20">
        <v>17</v>
      </c>
      <c r="F1185" s="20" t="s">
        <v>16666</v>
      </c>
      <c r="G1185" s="24"/>
      <c r="H1185" s="24"/>
      <c r="I1185" s="24" t="str">
        <f ca="1">IFERROR(__xludf.DUMMYFUNCTION("GOOGLETRANSLATE(F1185,""en"",""pt"")"),"portadores composite")</f>
        <v>portadores composite</v>
      </c>
      <c r="J1185" t="str">
        <f>VLOOKUP(A1185,Pr_Base_LNEC!$A$4:$J$6971,6,FALSE)</f>
        <v>-</v>
      </c>
      <c r="K1185">
        <f>VLOOKUP(A1185,Pr_Base_LNEC!$A$4:$J$6971,7,FALSE)</f>
        <v>0</v>
      </c>
    </row>
    <row r="1186" spans="1:11" ht="14.5">
      <c r="A1186" s="20" t="s">
        <v>16667</v>
      </c>
      <c r="B1186" s="20">
        <v>20</v>
      </c>
      <c r="C1186" s="20">
        <v>85</v>
      </c>
      <c r="D1186" s="20">
        <v>72</v>
      </c>
      <c r="E1186" s="20">
        <v>18</v>
      </c>
      <c r="F1186" s="20" t="s">
        <v>16668</v>
      </c>
      <c r="G1186" s="24"/>
      <c r="H1186" s="24"/>
      <c r="I1186" s="24" t="str">
        <f ca="1">IFERROR(__xludf.DUMMYFUNCTION("GOOGLETRANSLATE(F1186,""en"",""pt"")"),"travessas composite")</f>
        <v>travessas composite</v>
      </c>
      <c r="J1186" t="str">
        <f>VLOOKUP(A1186,Pr_Base_LNEC!$A$4:$J$6971,6,FALSE)</f>
        <v>-</v>
      </c>
      <c r="K1186">
        <f>VLOOKUP(A1186,Pr_Base_LNEC!$A$4:$J$6971,7,FALSE)</f>
        <v>0</v>
      </c>
    </row>
    <row r="1187" spans="1:11" ht="14.5">
      <c r="A1187" s="20" t="s">
        <v>16669</v>
      </c>
      <c r="B1187" s="20">
        <v>20</v>
      </c>
      <c r="C1187" s="20">
        <v>85</v>
      </c>
      <c r="D1187" s="20">
        <v>72</v>
      </c>
      <c r="E1187" s="20">
        <v>20</v>
      </c>
      <c r="F1187" s="20" t="s">
        <v>16670</v>
      </c>
      <c r="G1187" s="20" t="s">
        <v>16671</v>
      </c>
      <c r="H1187" s="24"/>
      <c r="I1187" s="24" t="str">
        <f ca="1">IFERROR(__xludf.DUMMYFUNCTION("GOOGLETRANSLATE(F1187,""en"",""pt"")"),"portadores de concreto")</f>
        <v>portadores de concreto</v>
      </c>
      <c r="J1187" t="str">
        <f>VLOOKUP(A1187,Pr_Base_LNEC!$A$4:$J$6971,6,FALSE)</f>
        <v>-</v>
      </c>
      <c r="K1187">
        <f>VLOOKUP(A1187,Pr_Base_LNEC!$A$4:$J$6971,7,FALSE)</f>
        <v>0</v>
      </c>
    </row>
    <row r="1188" spans="1:11" ht="14.5">
      <c r="A1188" s="20" t="s">
        <v>16672</v>
      </c>
      <c r="B1188" s="20">
        <v>20</v>
      </c>
      <c r="C1188" s="20">
        <v>85</v>
      </c>
      <c r="D1188" s="20">
        <v>72</v>
      </c>
      <c r="E1188" s="20">
        <v>21</v>
      </c>
      <c r="F1188" s="20" t="s">
        <v>16673</v>
      </c>
      <c r="G1188" s="20" t="s">
        <v>16674</v>
      </c>
      <c r="H1188" s="24"/>
      <c r="I1188" s="24" t="str">
        <f ca="1">IFERROR(__xludf.DUMMYFUNCTION("GOOGLETRANSLATE(F1188,""en"",""pt"")"),"Concreto travessas monobloco")</f>
        <v>Concreto travessas monobloco</v>
      </c>
      <c r="J1188" t="str">
        <f>VLOOKUP(A1188,Pr_Base_LNEC!$A$4:$J$6971,6,FALSE)</f>
        <v>-</v>
      </c>
      <c r="K1188">
        <f>VLOOKUP(A1188,Pr_Base_LNEC!$A$4:$J$6971,7,FALSE)</f>
        <v>0</v>
      </c>
    </row>
    <row r="1189" spans="1:11" ht="14.5">
      <c r="A1189" s="20" t="s">
        <v>16675</v>
      </c>
      <c r="B1189" s="20">
        <v>20</v>
      </c>
      <c r="C1189" s="20">
        <v>85</v>
      </c>
      <c r="D1189" s="20">
        <v>72</v>
      </c>
      <c r="E1189" s="20">
        <v>22</v>
      </c>
      <c r="F1189" s="20" t="s">
        <v>16676</v>
      </c>
      <c r="G1189" s="20" t="s">
        <v>16677</v>
      </c>
      <c r="H1189" s="24"/>
      <c r="I1189" s="24" t="str">
        <f ca="1">IFERROR(__xludf.DUMMYFUNCTION("GOOGLETRANSLATE(F1189,""en"",""pt"")"),"Concreto travessas twinblock")</f>
        <v>Concreto travessas twinblock</v>
      </c>
      <c r="J1189" t="str">
        <f>VLOOKUP(A1189,Pr_Base_LNEC!$A$4:$J$6971,6,FALSE)</f>
        <v>-</v>
      </c>
      <c r="K1189">
        <f>VLOOKUP(A1189,Pr_Base_LNEC!$A$4:$J$6971,7,FALSE)</f>
        <v>0</v>
      </c>
    </row>
    <row r="1190" spans="1:11" ht="14.5">
      <c r="A1190" s="20" t="s">
        <v>16678</v>
      </c>
      <c r="B1190" s="20">
        <v>20</v>
      </c>
      <c r="C1190" s="20">
        <v>85</v>
      </c>
      <c r="D1190" s="20">
        <v>72</v>
      </c>
      <c r="E1190" s="20">
        <v>47</v>
      </c>
      <c r="F1190" s="20" t="s">
        <v>16679</v>
      </c>
      <c r="G1190" s="24"/>
      <c r="H1190" s="24"/>
      <c r="I1190" s="24" t="str">
        <f ca="1">IFERROR(__xludf.DUMMYFUNCTION("GOOGLETRANSLATE(F1190,""en"",""pt"")"),"portadores longitudinais")</f>
        <v>portadores longitudinais</v>
      </c>
      <c r="J1190" t="str">
        <f>VLOOKUP(A1190,Pr_Base_LNEC!$A$4:$J$6971,6,FALSE)</f>
        <v>-</v>
      </c>
      <c r="K1190">
        <f>VLOOKUP(A1190,Pr_Base_LNEC!$A$4:$J$6971,7,FALSE)</f>
        <v>0</v>
      </c>
    </row>
    <row r="1191" spans="1:11" ht="14.5">
      <c r="A1191" s="20" t="s">
        <v>16680</v>
      </c>
      <c r="B1191" s="20">
        <v>20</v>
      </c>
      <c r="C1191" s="20">
        <v>85</v>
      </c>
      <c r="D1191" s="20">
        <v>72</v>
      </c>
      <c r="E1191" s="20">
        <v>50</v>
      </c>
      <c r="F1191" s="20" t="s">
        <v>16681</v>
      </c>
      <c r="G1191" s="24"/>
      <c r="H1191" s="24"/>
      <c r="I1191" s="24" t="str">
        <f ca="1">IFERROR(__xludf.DUMMYFUNCTION("GOOGLETRANSLATE(F1191,""en"",""pt"")"),"chapas de ligação ao portador modular")</f>
        <v>chapas de ligação ao portador modular</v>
      </c>
      <c r="J1191" t="str">
        <f>VLOOKUP(A1191,Pr_Base_LNEC!$A$4:$J$6971,6,FALSE)</f>
        <v>-</v>
      </c>
      <c r="K1191">
        <f>VLOOKUP(A1191,Pr_Base_LNEC!$A$4:$J$6971,7,FALSE)</f>
        <v>0</v>
      </c>
    </row>
    <row r="1192" spans="1:11" ht="14.5">
      <c r="A1192" s="20" t="s">
        <v>16682</v>
      </c>
      <c r="B1192" s="20">
        <v>20</v>
      </c>
      <c r="C1192" s="20">
        <v>85</v>
      </c>
      <c r="D1192" s="20">
        <v>72</v>
      </c>
      <c r="E1192" s="20">
        <v>77</v>
      </c>
      <c r="F1192" s="20" t="s">
        <v>16683</v>
      </c>
      <c r="G1192" s="24"/>
      <c r="H1192" s="24"/>
      <c r="I1192" s="24" t="str">
        <f ca="1">IFERROR(__xludf.DUMMYFUNCTION("GOOGLETRANSLATE(F1192,""en"",""pt"")"),"suporte ferroviário único bloco")</f>
        <v>suporte ferroviário único bloco</v>
      </c>
      <c r="J1192" t="e">
        <f>VLOOKUP(A1192,Pr_Base_LNEC!$A$4:$J$6971,6,FALSE)</f>
        <v>#N/A</v>
      </c>
      <c r="K1192" t="e">
        <f>VLOOKUP(A1192,Pr_Base_LNEC!$A$4:$J$6971,7,FALSE)</f>
        <v>#N/A</v>
      </c>
    </row>
    <row r="1193" spans="1:11" ht="14.5">
      <c r="A1193" s="20" t="s">
        <v>16684</v>
      </c>
      <c r="B1193" s="20">
        <v>20</v>
      </c>
      <c r="C1193" s="20">
        <v>85</v>
      </c>
      <c r="D1193" s="20">
        <v>72</v>
      </c>
      <c r="E1193" s="20">
        <v>80</v>
      </c>
      <c r="F1193" s="20" t="s">
        <v>16685</v>
      </c>
      <c r="G1193" s="20" t="s">
        <v>16686</v>
      </c>
      <c r="H1193" s="24"/>
      <c r="I1193" s="24" t="str">
        <f ca="1">IFERROR(__xludf.DUMMYFUNCTION("GOOGLETRANSLATE(F1193,""en"",""pt"")"),"âncoras Sleeper")</f>
        <v>âncoras Sleeper</v>
      </c>
      <c r="J1193" t="str">
        <f>VLOOKUP(A1193,Pr_Base_LNEC!$A$4:$J$6971,6,FALSE)</f>
        <v>-</v>
      </c>
      <c r="K1193">
        <f>VLOOKUP(A1193,Pr_Base_LNEC!$A$4:$J$6971,7,FALSE)</f>
        <v>0</v>
      </c>
    </row>
    <row r="1194" spans="1:11" ht="14.5">
      <c r="A1194" s="20" t="s">
        <v>16687</v>
      </c>
      <c r="B1194" s="20">
        <v>20</v>
      </c>
      <c r="C1194" s="20">
        <v>85</v>
      </c>
      <c r="D1194" s="20">
        <v>72</v>
      </c>
      <c r="E1194" s="20">
        <v>85</v>
      </c>
      <c r="F1194" s="20" t="s">
        <v>16688</v>
      </c>
      <c r="G1194" s="20" t="s">
        <v>16689</v>
      </c>
      <c r="H1194" s="24"/>
      <c r="I1194" s="24" t="str">
        <f ca="1">IFERROR(__xludf.DUMMYFUNCTION("GOOGLETRANSLATE(F1194,""en"",""pt"")"),"dormentes de aço")</f>
        <v>dormentes de aço</v>
      </c>
      <c r="J1194" t="str">
        <f>VLOOKUP(A1194,Pr_Base_LNEC!$A$4:$J$6971,6,FALSE)</f>
        <v>-</v>
      </c>
      <c r="K1194">
        <f>VLOOKUP(A1194,Pr_Base_LNEC!$A$4:$J$6971,7,FALSE)</f>
        <v>0</v>
      </c>
    </row>
    <row r="1195" spans="1:11" ht="14.5">
      <c r="A1195" s="20" t="s">
        <v>16690</v>
      </c>
      <c r="B1195" s="20">
        <v>20</v>
      </c>
      <c r="C1195" s="20">
        <v>85</v>
      </c>
      <c r="D1195" s="20">
        <v>72</v>
      </c>
      <c r="E1195" s="20">
        <v>88</v>
      </c>
      <c r="F1195" s="20" t="s">
        <v>16691</v>
      </c>
      <c r="G1195" s="20" t="s">
        <v>16692</v>
      </c>
      <c r="H1195" s="24"/>
      <c r="I1195" s="24" t="str">
        <f ca="1">IFERROR(__xludf.DUMMYFUNCTION("GOOGLETRANSLATE(F1195,""en"",""pt"")"),"portadores de madeira")</f>
        <v>portadores de madeira</v>
      </c>
      <c r="J1195" t="str">
        <f>VLOOKUP(A1195,Pr_Base_LNEC!$A$4:$J$6971,6,FALSE)</f>
        <v>-</v>
      </c>
      <c r="K1195">
        <f>VLOOKUP(A1195,Pr_Base_LNEC!$A$4:$J$6971,7,FALSE)</f>
        <v>0</v>
      </c>
    </row>
    <row r="1196" spans="1:11" ht="14.5">
      <c r="A1196" s="20" t="s">
        <v>16693</v>
      </c>
      <c r="B1196" s="20">
        <v>20</v>
      </c>
      <c r="C1196" s="20">
        <v>85</v>
      </c>
      <c r="D1196" s="20">
        <v>72</v>
      </c>
      <c r="E1196" s="20">
        <v>89</v>
      </c>
      <c r="F1196" s="20" t="s">
        <v>16694</v>
      </c>
      <c r="G1196" s="20" t="s">
        <v>16695</v>
      </c>
      <c r="H1196" s="24"/>
      <c r="I1196" s="24" t="str">
        <f ca="1">IFERROR(__xludf.DUMMYFUNCTION("GOOGLETRANSLATE(F1196,""en"",""pt"")"),"travessas de madeira")</f>
        <v>travessas de madeira</v>
      </c>
      <c r="J1196" t="str">
        <f>VLOOKUP(A1196,Pr_Base_LNEC!$A$4:$J$6971,6,FALSE)</f>
        <v>-</v>
      </c>
      <c r="K1196">
        <f>VLOOKUP(A1196,Pr_Base_LNEC!$A$4:$J$6971,7,FALSE)</f>
        <v>0</v>
      </c>
    </row>
    <row r="1197" spans="1:11" ht="14.5">
      <c r="A1197" s="20" t="s">
        <v>16696</v>
      </c>
      <c r="B1197" s="20">
        <v>20</v>
      </c>
      <c r="C1197" s="20">
        <v>85</v>
      </c>
      <c r="D1197" s="20">
        <v>74</v>
      </c>
      <c r="E1197" s="24"/>
      <c r="F1197" s="20" t="s">
        <v>16697</v>
      </c>
      <c r="G1197" s="24"/>
      <c r="H1197" s="24"/>
      <c r="I1197" s="24" t="str">
        <f ca="1">IFERROR(__xludf.DUMMYFUNCTION("GOOGLETRANSLATE(F1197,""en"",""pt"")"),"almofadas ferroviários e calços")</f>
        <v>almofadas ferroviários e calços</v>
      </c>
      <c r="J1197" t="str">
        <f>VLOOKUP(A1197,Pr_Base_LNEC!$A$4:$J$6971,6,FALSE)</f>
        <v>Palmilha do Carril e Acessórios</v>
      </c>
      <c r="K1197">
        <f>VLOOKUP(A1197,Pr_Base_LNEC!$A$4:$J$6971,7,FALSE)</f>
        <v>0</v>
      </c>
    </row>
    <row r="1198" spans="1:11" ht="14.5">
      <c r="A1198" s="20" t="s">
        <v>16698</v>
      </c>
      <c r="B1198" s="20">
        <v>20</v>
      </c>
      <c r="C1198" s="20">
        <v>85</v>
      </c>
      <c r="D1198" s="20">
        <v>74</v>
      </c>
      <c r="E1198" s="20">
        <v>6</v>
      </c>
      <c r="F1198" s="20" t="s">
        <v>16699</v>
      </c>
      <c r="G1198" s="24"/>
      <c r="H1198" s="24"/>
      <c r="I1198" s="24" t="str">
        <f ca="1">IFERROR(__xludf.DUMMYFUNCTION("GOOGLETRANSLATE(F1198,""en"",""pt"")"),"calços placa de base")</f>
        <v>calços placa de base</v>
      </c>
      <c r="J1198" t="str">
        <f>VLOOKUP(A1198,Pr_Base_LNEC!$A$4:$J$6971,6,FALSE)</f>
        <v>-</v>
      </c>
      <c r="K1198">
        <f>VLOOKUP(A1198,Pr_Base_LNEC!$A$4:$J$6971,7,FALSE)</f>
        <v>0</v>
      </c>
    </row>
    <row r="1199" spans="1:11" ht="14.5">
      <c r="A1199" s="20" t="s">
        <v>16700</v>
      </c>
      <c r="B1199" s="20">
        <v>20</v>
      </c>
      <c r="C1199" s="20">
        <v>85</v>
      </c>
      <c r="D1199" s="20">
        <v>74</v>
      </c>
      <c r="E1199" s="20">
        <v>27</v>
      </c>
      <c r="F1199" s="20" t="s">
        <v>16701</v>
      </c>
      <c r="G1199" s="20" t="s">
        <v>16702</v>
      </c>
      <c r="H1199" s="24"/>
      <c r="I1199" s="24" t="str">
        <f ca="1">IFERROR(__xludf.DUMMYFUNCTION("GOOGLETRANSLATE(F1199,""en"",""pt"")"),"coxins de carril de acetato de vinilo de etilo")</f>
        <v>coxins de carril de acetato de vinilo de etilo</v>
      </c>
      <c r="J1199" t="str">
        <f>VLOOKUP(A1199,Pr_Base_LNEC!$A$4:$J$6971,6,FALSE)</f>
        <v>-</v>
      </c>
      <c r="K1199">
        <f>VLOOKUP(A1199,Pr_Base_LNEC!$A$4:$J$6971,7,FALSE)</f>
        <v>0</v>
      </c>
    </row>
    <row r="1200" spans="1:11" ht="14.5">
      <c r="A1200" s="20" t="s">
        <v>16703</v>
      </c>
      <c r="B1200" s="20">
        <v>20</v>
      </c>
      <c r="C1200" s="20">
        <v>85</v>
      </c>
      <c r="D1200" s="20">
        <v>74</v>
      </c>
      <c r="E1200" s="20">
        <v>70</v>
      </c>
      <c r="F1200" s="20" t="s">
        <v>16704</v>
      </c>
      <c r="G1200" s="24"/>
      <c r="H1200" s="24"/>
      <c r="I1200" s="24" t="str">
        <f ca="1">IFERROR(__xludf.DUMMYFUNCTION("GOOGLETRANSLATE(F1200,""en"",""pt"")"),"calços de embalagem ferroviárias")</f>
        <v>calços de embalagem ferroviárias</v>
      </c>
      <c r="J1200" t="str">
        <f>VLOOKUP(A1200,Pr_Base_LNEC!$A$4:$J$6971,6,FALSE)</f>
        <v>-</v>
      </c>
      <c r="K1200">
        <f>VLOOKUP(A1200,Pr_Base_LNEC!$A$4:$J$6971,7,FALSE)</f>
        <v>0</v>
      </c>
    </row>
    <row r="1201" spans="1:11" ht="14.5">
      <c r="A1201" s="20" t="s">
        <v>16705</v>
      </c>
      <c r="B1201" s="20">
        <v>20</v>
      </c>
      <c r="C1201" s="20">
        <v>85</v>
      </c>
      <c r="D1201" s="20">
        <v>74</v>
      </c>
      <c r="E1201" s="20">
        <v>71</v>
      </c>
      <c r="F1201" s="20" t="s">
        <v>16706</v>
      </c>
      <c r="G1201" s="24"/>
      <c r="H1201" s="24"/>
      <c r="I1201" s="24" t="str">
        <f ca="1">IFERROR(__xludf.DUMMYFUNCTION("GOOGLETRANSLATE(F1201,""en"",""pt"")"),"almofadas ferroviárias")</f>
        <v>almofadas ferroviárias</v>
      </c>
      <c r="J1201" t="str">
        <f>VLOOKUP(A1201,Pr_Base_LNEC!$A$4:$J$6971,6,FALSE)</f>
        <v>-</v>
      </c>
      <c r="K1201">
        <f>VLOOKUP(A1201,Pr_Base_LNEC!$A$4:$J$6971,7,FALSE)</f>
        <v>0</v>
      </c>
    </row>
    <row r="1202" spans="1:11" ht="14.5">
      <c r="A1202" s="20" t="s">
        <v>16707</v>
      </c>
      <c r="B1202" s="20">
        <v>20</v>
      </c>
      <c r="C1202" s="20">
        <v>85</v>
      </c>
      <c r="D1202" s="20">
        <v>74</v>
      </c>
      <c r="E1202" s="20">
        <v>73</v>
      </c>
      <c r="F1202" s="20" t="s">
        <v>16708</v>
      </c>
      <c r="G1202" s="24"/>
      <c r="H1202" s="24"/>
      <c r="I1202" s="24" t="str">
        <f ca="1">IFERROR(__xludf.DUMMYFUNCTION("GOOGLETRANSLATE(F1202,""en"",""pt"")"),"almofadas placa de base resilientes")</f>
        <v>almofadas placa de base resilientes</v>
      </c>
      <c r="J1202" t="str">
        <f>VLOOKUP(A1202,Pr_Base_LNEC!$A$4:$J$6971,6,FALSE)</f>
        <v>-</v>
      </c>
      <c r="K1202">
        <f>VLOOKUP(A1202,Pr_Base_LNEC!$A$4:$J$6971,7,FALSE)</f>
        <v>0</v>
      </c>
    </row>
    <row r="1203" spans="1:11" ht="14.5">
      <c r="A1203" s="20" t="s">
        <v>16709</v>
      </c>
      <c r="B1203" s="20">
        <v>20</v>
      </c>
      <c r="C1203" s="20">
        <v>85</v>
      </c>
      <c r="D1203" s="20">
        <v>74</v>
      </c>
      <c r="E1203" s="20">
        <v>74</v>
      </c>
      <c r="F1203" s="20" t="s">
        <v>16710</v>
      </c>
      <c r="G1203" s="24"/>
      <c r="H1203" s="24"/>
      <c r="I1203" s="24" t="str">
        <f ca="1">IFERROR(__xludf.DUMMYFUNCTION("GOOGLETRANSLATE(F1203,""en"",""pt"")"),"almofadas portador resilientes")</f>
        <v>almofadas portador resilientes</v>
      </c>
      <c r="J1203" t="str">
        <f>VLOOKUP(A1203,Pr_Base_LNEC!$A$4:$J$6971,6,FALSE)</f>
        <v>-</v>
      </c>
      <c r="K1203">
        <f>VLOOKUP(A1203,Pr_Base_LNEC!$A$4:$J$6971,7,FALSE)</f>
        <v>0</v>
      </c>
    </row>
    <row r="1204" spans="1:11" ht="14.5">
      <c r="A1204" s="20" t="s">
        <v>16711</v>
      </c>
      <c r="B1204" s="20">
        <v>20</v>
      </c>
      <c r="C1204" s="20">
        <v>85</v>
      </c>
      <c r="D1204" s="20">
        <v>74</v>
      </c>
      <c r="E1204" s="20">
        <v>76</v>
      </c>
      <c r="F1204" s="20" t="s">
        <v>16712</v>
      </c>
      <c r="G1204" s="24"/>
      <c r="H1204" s="24"/>
      <c r="I1204" s="24" t="str">
        <f ca="1">IFERROR(__xludf.DUMMYFUNCTION("GOOGLETRANSLATE(F1204,""en"",""pt"")"),"almofadas dorminhoco resilientes")</f>
        <v>almofadas dorminhoco resilientes</v>
      </c>
      <c r="J1204" t="str">
        <f>VLOOKUP(A1204,Pr_Base_LNEC!$A$4:$J$6971,6,FALSE)</f>
        <v>-</v>
      </c>
      <c r="K1204">
        <f>VLOOKUP(A1204,Pr_Base_LNEC!$A$4:$J$6971,7,FALSE)</f>
        <v>0</v>
      </c>
    </row>
    <row r="1205" spans="1:11" ht="14.5">
      <c r="A1205" s="20" t="s">
        <v>16713</v>
      </c>
      <c r="B1205" s="20">
        <v>20</v>
      </c>
      <c r="C1205" s="20">
        <v>85</v>
      </c>
      <c r="D1205" s="20">
        <v>74</v>
      </c>
      <c r="E1205" s="20">
        <v>78</v>
      </c>
      <c r="F1205" s="20" t="s">
        <v>16714</v>
      </c>
      <c r="G1205" s="20" t="s">
        <v>16715</v>
      </c>
      <c r="H1205" s="24"/>
      <c r="I1205" s="24" t="str">
        <f ca="1">IFERROR(__xludf.DUMMYFUNCTION("GOOGLETRANSLATE(F1205,""en"",""pt"")"),"almofadas ferroviárias cortiça de borracha aderente")</f>
        <v>almofadas ferroviárias cortiça de borracha aderente</v>
      </c>
      <c r="J1205" t="str">
        <f>VLOOKUP(A1205,Pr_Base_LNEC!$A$4:$J$6971,6,FALSE)</f>
        <v>-</v>
      </c>
      <c r="K1205">
        <f>VLOOKUP(A1205,Pr_Base_LNEC!$A$4:$J$6971,7,FALSE)</f>
        <v>0</v>
      </c>
    </row>
    <row r="1206" spans="1:11" ht="14.5">
      <c r="A1206" s="20" t="s">
        <v>16716</v>
      </c>
      <c r="B1206" s="20">
        <v>20</v>
      </c>
      <c r="C1206" s="20">
        <v>85</v>
      </c>
      <c r="D1206" s="20">
        <v>74</v>
      </c>
      <c r="E1206" s="20">
        <v>79</v>
      </c>
      <c r="F1206" s="20" t="s">
        <v>16717</v>
      </c>
      <c r="G1206" s="20" t="s">
        <v>16718</v>
      </c>
      <c r="H1206" s="24"/>
      <c r="I1206" s="24" t="str">
        <f ca="1">IFERROR(__xludf.DUMMYFUNCTION("GOOGLETRANSLATE(F1206,""en"",""pt"")"),"almofadas trilho de borracha")</f>
        <v>almofadas trilho de borracha</v>
      </c>
      <c r="J1206" t="str">
        <f>VLOOKUP(A1206,Pr_Base_LNEC!$A$4:$J$6971,6,FALSE)</f>
        <v>-</v>
      </c>
      <c r="K1206">
        <f>VLOOKUP(A1206,Pr_Base_LNEC!$A$4:$J$6971,7,FALSE)</f>
        <v>0</v>
      </c>
    </row>
    <row r="1207" spans="1:11" ht="14.5">
      <c r="A1207" s="20" t="s">
        <v>16719</v>
      </c>
      <c r="B1207" s="20">
        <v>20</v>
      </c>
      <c r="C1207" s="20">
        <v>85</v>
      </c>
      <c r="D1207" s="20">
        <v>76</v>
      </c>
      <c r="E1207" s="24"/>
      <c r="F1207" s="20" t="s">
        <v>16720</v>
      </c>
      <c r="G1207" s="24"/>
      <c r="H1207" s="24"/>
      <c r="I1207" s="24" t="str">
        <f ca="1">IFERROR(__xludf.DUMMYFUNCTION("GOOGLETRANSLATE(F1207,""en"",""pt"")"),"Absorventes de impacto")</f>
        <v>Absorventes de impacto</v>
      </c>
      <c r="J1207" t="str">
        <f>VLOOKUP(A1207,Pr_Base_LNEC!$A$4:$J$6971,6,FALSE)</f>
        <v>Amortecedores</v>
      </c>
      <c r="K1207">
        <f>VLOOKUP(A1207,Pr_Base_LNEC!$A$4:$J$6971,7,FALSE)</f>
        <v>0</v>
      </c>
    </row>
    <row r="1208" spans="1:11" ht="14.5">
      <c r="A1208" s="20" t="s">
        <v>16721</v>
      </c>
      <c r="B1208" s="20">
        <v>20</v>
      </c>
      <c r="C1208" s="20">
        <v>85</v>
      </c>
      <c r="D1208" s="20">
        <v>76</v>
      </c>
      <c r="E1208" s="20">
        <v>9</v>
      </c>
      <c r="F1208" s="20" t="s">
        <v>16722</v>
      </c>
      <c r="G1208" s="24"/>
      <c r="H1208" s="24"/>
      <c r="I1208" s="24" t="str">
        <f ca="1">IFERROR(__xludf.DUMMYFUNCTION("GOOGLETRANSLATE(F1208,""en"",""pt"")"),"amortecedores ponte")</f>
        <v>amortecedores ponte</v>
      </c>
      <c r="J1208" t="str">
        <f>VLOOKUP(A1208,Pr_Base_LNEC!$A$4:$J$6971,6,FALSE)</f>
        <v>-</v>
      </c>
      <c r="K1208">
        <f>VLOOKUP(A1208,Pr_Base_LNEC!$A$4:$J$6971,7,FALSE)</f>
        <v>0</v>
      </c>
    </row>
    <row r="1209" spans="1:11" ht="14.5">
      <c r="A1209" s="20" t="s">
        <v>16723</v>
      </c>
      <c r="B1209" s="20">
        <v>20</v>
      </c>
      <c r="C1209" s="20">
        <v>85</v>
      </c>
      <c r="D1209" s="20">
        <v>76</v>
      </c>
      <c r="E1209" s="20">
        <v>76</v>
      </c>
      <c r="F1209" s="20" t="s">
        <v>16724</v>
      </c>
      <c r="G1209" s="24"/>
      <c r="H1209" s="24"/>
      <c r="I1209" s="24" t="str">
        <f ca="1">IFERROR(__xludf.DUMMYFUNCTION("GOOGLETRANSLATE(F1209,""en"",""pt"")"),"amortecedores sísmicos")</f>
        <v>amortecedores sísmicos</v>
      </c>
      <c r="J1209" t="str">
        <f>VLOOKUP(A1209,Pr_Base_LNEC!$A$4:$J$6971,6,FALSE)</f>
        <v>-</v>
      </c>
      <c r="K1209">
        <f>VLOOKUP(A1209,Pr_Base_LNEC!$A$4:$J$6971,7,FALSE)</f>
        <v>0</v>
      </c>
    </row>
    <row r="1210" spans="1:11" ht="14.5">
      <c r="A1210" s="20" t="s">
        <v>16725</v>
      </c>
      <c r="B1210" s="20">
        <v>20</v>
      </c>
      <c r="C1210" s="20">
        <v>85</v>
      </c>
      <c r="D1210" s="20">
        <v>84</v>
      </c>
      <c r="E1210" s="24"/>
      <c r="F1210" s="20" t="s">
        <v>16726</v>
      </c>
      <c r="G1210" s="24"/>
      <c r="H1210" s="24"/>
      <c r="I1210" s="24" t="str">
        <f ca="1">IFERROR(__xludf.DUMMYFUNCTION("GOOGLETRANSLATE(F1210,""en"",""pt"")"),"Cintas, laços, canais e inserções")</f>
        <v>Cintas, laços, canais e inserções</v>
      </c>
      <c r="J1210" t="str">
        <f>VLOOKUP(A1210,Pr_Base_LNEC!$A$4:$J$6971,6,FALSE)</f>
        <v>Correiras, Estribos, Amarrações</v>
      </c>
      <c r="K1210">
        <f>VLOOKUP(A1210,Pr_Base_LNEC!$A$4:$J$6971,7,FALSE)</f>
        <v>0</v>
      </c>
    </row>
    <row r="1211" spans="1:11" ht="14.5">
      <c r="A1211" s="20" t="s">
        <v>16727</v>
      </c>
      <c r="B1211" s="20">
        <v>20</v>
      </c>
      <c r="C1211" s="20">
        <v>85</v>
      </c>
      <c r="D1211" s="20">
        <v>84</v>
      </c>
      <c r="E1211" s="20">
        <v>2</v>
      </c>
      <c r="F1211" s="20" t="s">
        <v>16728</v>
      </c>
      <c r="G1211" s="24"/>
      <c r="H1211" s="24"/>
      <c r="I1211" s="24" t="str">
        <f ca="1">IFERROR(__xludf.DUMMYFUNCTION("GOOGLETRANSLATE(F1211,""en"",""pt"")"),"Alumínio caça-níqueis bronze laços")</f>
        <v>Alumínio caça-níqueis bronze laços</v>
      </c>
      <c r="J1211" t="str">
        <f>VLOOKUP(A1211,Pr_Base_LNEC!$A$4:$J$6971,6,FALSE)</f>
        <v>-</v>
      </c>
      <c r="K1211">
        <f>VLOOKUP(A1211,Pr_Base_LNEC!$A$4:$J$6971,7,FALSE)</f>
        <v>0</v>
      </c>
    </row>
    <row r="1212" spans="1:11" ht="14.5">
      <c r="A1212" s="20" t="s">
        <v>16729</v>
      </c>
      <c r="B1212" s="20">
        <v>20</v>
      </c>
      <c r="C1212" s="20">
        <v>85</v>
      </c>
      <c r="D1212" s="20">
        <v>84</v>
      </c>
      <c r="E1212" s="20">
        <v>4</v>
      </c>
      <c r="F1212" s="20" t="s">
        <v>16730</v>
      </c>
      <c r="G1212" s="24"/>
      <c r="H1212" s="24"/>
      <c r="I1212" s="24" t="str">
        <f ca="1">IFERROR(__xludf.DUMMYFUNCTION("GOOGLETRANSLATE(F1212,""en"",""pt"")"),"Alumínio parede bronze apoio de cabeça deslizamento laços")</f>
        <v>Alumínio parede bronze apoio de cabeça deslizamento laços</v>
      </c>
      <c r="J1212" t="str">
        <f>VLOOKUP(A1212,Pr_Base_LNEC!$A$4:$J$6971,6,FALSE)</f>
        <v>-</v>
      </c>
      <c r="K1212">
        <f>VLOOKUP(A1212,Pr_Base_LNEC!$A$4:$J$6971,7,FALSE)</f>
        <v>0</v>
      </c>
    </row>
    <row r="1213" spans="1:11" ht="14.5">
      <c r="A1213" s="20" t="s">
        <v>16731</v>
      </c>
      <c r="B1213" s="20">
        <v>20</v>
      </c>
      <c r="C1213" s="20">
        <v>85</v>
      </c>
      <c r="D1213" s="20">
        <v>84</v>
      </c>
      <c r="E1213" s="20">
        <v>11</v>
      </c>
      <c r="F1213" s="20" t="s">
        <v>16732</v>
      </c>
      <c r="G1213" s="20" t="s">
        <v>16733</v>
      </c>
      <c r="H1213" s="24"/>
      <c r="I1213" s="24" t="str">
        <f ca="1">IFERROR(__xludf.DUMMYFUNCTION("GOOGLETRANSLATE(F1213,""en"",""pt"")"),"aço carbono fundido nos canais")</f>
        <v>aço carbono fundido nos canais</v>
      </c>
      <c r="J1213" t="str">
        <f>VLOOKUP(A1213,Pr_Base_LNEC!$A$4:$J$6971,6,FALSE)</f>
        <v>-</v>
      </c>
      <c r="K1213">
        <f>VLOOKUP(A1213,Pr_Base_LNEC!$A$4:$J$6971,7,FALSE)</f>
        <v>0</v>
      </c>
    </row>
    <row r="1214" spans="1:11" ht="14.5">
      <c r="A1214" s="20" t="s">
        <v>16734</v>
      </c>
      <c r="B1214" s="20">
        <v>20</v>
      </c>
      <c r="C1214" s="20">
        <v>85</v>
      </c>
      <c r="D1214" s="20">
        <v>84</v>
      </c>
      <c r="E1214" s="20">
        <v>12</v>
      </c>
      <c r="F1214" s="20" t="s">
        <v>16735</v>
      </c>
      <c r="G1214" s="24"/>
      <c r="H1214" s="24"/>
      <c r="I1214" s="24" t="str">
        <f ca="1">IFERROR(__xludf.DUMMYFUNCTION("GOOGLETRANSLATE(F1214,""en"",""pt"")"),"Carbono Aço Movimento de retenção lateral da articulação deslizamento laços")</f>
        <v>Carbono Aço Movimento de retenção lateral da articulação deslizamento laços</v>
      </c>
      <c r="J1214" t="str">
        <f>VLOOKUP(A1214,Pr_Base_LNEC!$A$4:$J$6971,6,FALSE)</f>
        <v>-</v>
      </c>
      <c r="K1214">
        <f>VLOOKUP(A1214,Pr_Base_LNEC!$A$4:$J$6971,7,FALSE)</f>
        <v>0</v>
      </c>
    </row>
    <row r="1215" spans="1:11" ht="14.5">
      <c r="A1215" s="20" t="s">
        <v>16736</v>
      </c>
      <c r="B1215" s="20">
        <v>20</v>
      </c>
      <c r="C1215" s="20">
        <v>85</v>
      </c>
      <c r="D1215" s="20">
        <v>84</v>
      </c>
      <c r="E1215" s="20">
        <v>13</v>
      </c>
      <c r="F1215" s="20" t="s">
        <v>16737</v>
      </c>
      <c r="G1215" s="20" t="s">
        <v>16738</v>
      </c>
      <c r="H1215" s="24"/>
      <c r="I1215" s="24" t="str">
        <f ca="1">IFERROR(__xludf.DUMMYFUNCTION("GOOGLETRANSLATE(F1215,""en"",""pt"")"),"aço carbono tiras de restrição lateral")</f>
        <v>aço carbono tiras de restrição lateral</v>
      </c>
      <c r="J1215" t="str">
        <f>VLOOKUP(A1215,Pr_Base_LNEC!$A$4:$J$6971,6,FALSE)</f>
        <v>Estribos para Suportes Laterias em Aço para Alvenaria</v>
      </c>
      <c r="K1215" t="str">
        <f>VLOOKUP(A1215,Pr_Base_LNEC!$A$4:$J$6971,7,FALSE)</f>
        <v>EN 845-1:2013+A1:2016</v>
      </c>
    </row>
    <row r="1216" spans="1:11" ht="14.5">
      <c r="A1216" s="20" t="s">
        <v>16739</v>
      </c>
      <c r="B1216" s="20">
        <v>20</v>
      </c>
      <c r="C1216" s="20">
        <v>85</v>
      </c>
      <c r="D1216" s="20">
        <v>84</v>
      </c>
      <c r="E1216" s="20">
        <v>14</v>
      </c>
      <c r="F1216" s="20" t="s">
        <v>16740</v>
      </c>
      <c r="G1216" s="24"/>
      <c r="H1216" s="24"/>
      <c r="I1216" s="24" t="str">
        <f ca="1">IFERROR(__xludf.DUMMYFUNCTION("GOOGLETRANSLATE(F1216,""en"",""pt"")"),"aço carbono de entalhe laços")</f>
        <v>aço carbono de entalhe laços</v>
      </c>
      <c r="J1216" t="str">
        <f>VLOOKUP(A1216,Pr_Base_LNEC!$A$4:$J$6971,6,FALSE)</f>
        <v>-</v>
      </c>
      <c r="K1216">
        <f>VLOOKUP(A1216,Pr_Base_LNEC!$A$4:$J$6971,7,FALSE)</f>
        <v>0</v>
      </c>
    </row>
    <row r="1217" spans="1:11" ht="14.5">
      <c r="A1217" s="20" t="s">
        <v>16741</v>
      </c>
      <c r="B1217" s="20">
        <v>20</v>
      </c>
      <c r="C1217" s="20">
        <v>85</v>
      </c>
      <c r="D1217" s="20">
        <v>84</v>
      </c>
      <c r="E1217" s="20">
        <v>15</v>
      </c>
      <c r="F1217" s="20" t="s">
        <v>16742</v>
      </c>
      <c r="G1217" s="20" t="s">
        <v>16743</v>
      </c>
      <c r="H1217" s="24"/>
      <c r="I1217" s="24" t="str">
        <f ca="1">IFERROR(__xludf.DUMMYFUNCTION("GOOGLETRANSLATE(F1217,""en"",""pt"")"),"aço carbono roscado studding laços")</f>
        <v>aço carbono roscado studding laços</v>
      </c>
      <c r="J1217" t="str">
        <f>VLOOKUP(A1217,Pr_Base_LNEC!$A$4:$J$6971,6,FALSE)</f>
        <v>-</v>
      </c>
      <c r="K1217">
        <f>VLOOKUP(A1217,Pr_Base_LNEC!$A$4:$J$6971,7,FALSE)</f>
        <v>0</v>
      </c>
    </row>
    <row r="1218" spans="1:11" ht="14.5">
      <c r="A1218" s="20" t="s">
        <v>16744</v>
      </c>
      <c r="B1218" s="20">
        <v>20</v>
      </c>
      <c r="C1218" s="20">
        <v>85</v>
      </c>
      <c r="D1218" s="20">
        <v>84</v>
      </c>
      <c r="E1218" s="20">
        <v>16</v>
      </c>
      <c r="F1218" s="20" t="s">
        <v>16745</v>
      </c>
      <c r="G1218" s="20" t="s">
        <v>16746</v>
      </c>
      <c r="H1218" s="24"/>
      <c r="I1218" s="24" t="str">
        <f ca="1">IFERROR(__xludf.DUMMYFUNCTION("GOOGLETRANSLATE(F1218,""en"",""pt"")"),"tirantes de aço carbono")</f>
        <v>tirantes de aço carbono</v>
      </c>
      <c r="J1218" t="str">
        <f>VLOOKUP(A1218,Pr_Base_LNEC!$A$4:$J$6971,6,FALSE)</f>
        <v>-</v>
      </c>
      <c r="K1218">
        <f>VLOOKUP(A1218,Pr_Base_LNEC!$A$4:$J$6971,7,FALSE)</f>
        <v>0</v>
      </c>
    </row>
    <row r="1219" spans="1:11" ht="14.5">
      <c r="A1219" s="20" t="s">
        <v>16747</v>
      </c>
      <c r="B1219" s="20">
        <v>20</v>
      </c>
      <c r="C1219" s="20">
        <v>85</v>
      </c>
      <c r="D1219" s="20">
        <v>84</v>
      </c>
      <c r="E1219" s="20">
        <v>17</v>
      </c>
      <c r="F1219" s="20" t="s">
        <v>16748</v>
      </c>
      <c r="G1219" s="20" t="s">
        <v>16749</v>
      </c>
      <c r="H1219" s="24"/>
      <c r="I1219" s="24" t="str">
        <f ca="1">IFERROR(__xludf.DUMMYFUNCTION("GOOGLETRANSLATE(F1219,""en"",""pt"")"),"aço carbono tiras verticais de retenção")</f>
        <v>aço carbono tiras verticais de retenção</v>
      </c>
      <c r="J1219" t="str">
        <f>VLOOKUP(A1219,Pr_Base_LNEC!$A$4:$J$6971,6,FALSE)</f>
        <v>Estribos para Suportes Verticais em Aço para Alvenaria</v>
      </c>
      <c r="K1219" t="str">
        <f>VLOOKUP(A1219,Pr_Base_LNEC!$A$4:$J$6971,7,FALSE)</f>
        <v>EN 845-1:2013+A1:2016</v>
      </c>
    </row>
    <row r="1220" spans="1:11" ht="14.5">
      <c r="A1220" s="20" t="s">
        <v>16750</v>
      </c>
      <c r="B1220" s="20">
        <v>20</v>
      </c>
      <c r="C1220" s="20">
        <v>85</v>
      </c>
      <c r="D1220" s="20">
        <v>84</v>
      </c>
      <c r="E1220" s="20">
        <v>18</v>
      </c>
      <c r="F1220" s="20" t="s">
        <v>16751</v>
      </c>
      <c r="G1220" s="24"/>
      <c r="H1220" s="24"/>
      <c r="I1220" s="24" t="str">
        <f ca="1">IFERROR(__xludf.DUMMYFUNCTION("GOOGLETRANSLATE(F1220,""en"",""pt"")"),"De carbono de parede de aço apoio de cabeça deslizamento laços")</f>
        <v>De carbono de parede de aço apoio de cabeça deslizamento laços</v>
      </c>
      <c r="J1220" t="str">
        <f>VLOOKUP(A1220,Pr_Base_LNEC!$A$4:$J$6971,6,FALSE)</f>
        <v>-</v>
      </c>
      <c r="K1220">
        <f>VLOOKUP(A1220,Pr_Base_LNEC!$A$4:$J$6971,7,FALSE)</f>
        <v>0</v>
      </c>
    </row>
    <row r="1221" spans="1:11" ht="14.5">
      <c r="A1221" s="20" t="s">
        <v>16752</v>
      </c>
      <c r="B1221" s="20">
        <v>20</v>
      </c>
      <c r="C1221" s="20">
        <v>85</v>
      </c>
      <c r="D1221" s="20">
        <v>84</v>
      </c>
      <c r="E1221" s="20">
        <v>19</v>
      </c>
      <c r="F1221" s="20" t="s">
        <v>16753</v>
      </c>
      <c r="G1221" s="20" t="s">
        <v>16754</v>
      </c>
      <c r="H1221" s="24"/>
      <c r="I1221" s="24" t="str">
        <f ca="1">IFERROR(__xludf.DUMMYFUNCTION("GOOGLETRANSLATE(F1221,""en"",""pt"")"),"Cavidade laços de parede")</f>
        <v>Cavidade laços de parede</v>
      </c>
      <c r="J1221" t="str">
        <f>VLOOKUP(A1221,Pr_Base_LNEC!$A$4:$J$6971,6,FALSE)</f>
        <v>Amarrações para Paredes Alveolares para Alvenaria</v>
      </c>
      <c r="K1221" t="str">
        <f>VLOOKUP(A1221,Pr_Base_LNEC!$A$4:$J$6971,7,FALSE)</f>
        <v>EN 845-1:2013+A1:2016</v>
      </c>
    </row>
    <row r="1222" spans="1:11" ht="14.5">
      <c r="A1222" s="20" t="s">
        <v>16755</v>
      </c>
      <c r="B1222" s="20">
        <v>20</v>
      </c>
      <c r="C1222" s="20">
        <v>85</v>
      </c>
      <c r="D1222" s="20">
        <v>84</v>
      </c>
      <c r="E1222" s="20">
        <v>20</v>
      </c>
      <c r="F1222" s="20" t="s">
        <v>16756</v>
      </c>
      <c r="G1222" s="20" t="s">
        <v>16757</v>
      </c>
      <c r="H1222" s="24"/>
      <c r="I1222" s="24" t="str">
        <f ca="1">IFERROR(__xludf.DUMMYFUNCTION("GOOGLETRANSLATE(F1222,""en"",""pt"")"),"Canal de slot laços")</f>
        <v>Canal de slot laços</v>
      </c>
      <c r="J1222" t="str">
        <f>VLOOKUP(A1222,Pr_Base_LNEC!$A$4:$J$6971,6,FALSE)</f>
        <v>Amarrações para Frestas em Alvenaria</v>
      </c>
      <c r="K1222" t="str">
        <f>VLOOKUP(A1222,Pr_Base_LNEC!$A$4:$J$6971,7,FALSE)</f>
        <v>EN 845-1:2013+A1:2016</v>
      </c>
    </row>
    <row r="1223" spans="1:11" ht="14.5">
      <c r="A1223" s="20" t="s">
        <v>16758</v>
      </c>
      <c r="B1223" s="20">
        <v>20</v>
      </c>
      <c r="C1223" s="20">
        <v>85</v>
      </c>
      <c r="D1223" s="20">
        <v>84</v>
      </c>
      <c r="E1223" s="20">
        <v>21</v>
      </c>
      <c r="F1223" s="20" t="s">
        <v>16759</v>
      </c>
      <c r="G1223" s="24"/>
      <c r="H1223" s="24"/>
      <c r="I1223" s="24" t="str">
        <f ca="1">IFERROR(__xludf.DUMMYFUNCTION("GOOGLETRANSLATE(F1223,""en"",""pt"")"),"caça-níqueis cobre laços")</f>
        <v>caça-níqueis cobre laços</v>
      </c>
      <c r="J1223" t="str">
        <f>VLOOKUP(A1223,Pr_Base_LNEC!$A$4:$J$6971,6,FALSE)</f>
        <v>-</v>
      </c>
      <c r="K1223">
        <f>VLOOKUP(A1223,Pr_Base_LNEC!$A$4:$J$6971,7,FALSE)</f>
        <v>0</v>
      </c>
    </row>
    <row r="1224" spans="1:11" ht="14.5">
      <c r="A1224" s="20" t="s">
        <v>16760</v>
      </c>
      <c r="B1224" s="20">
        <v>20</v>
      </c>
      <c r="C1224" s="20">
        <v>85</v>
      </c>
      <c r="D1224" s="20">
        <v>84</v>
      </c>
      <c r="E1224" s="20">
        <v>22</v>
      </c>
      <c r="F1224" s="20" t="s">
        <v>16761</v>
      </c>
      <c r="G1224" s="24"/>
      <c r="H1224" s="24"/>
      <c r="I1224" s="24" t="str">
        <f ca="1">IFERROR(__xludf.DUMMYFUNCTION("GOOGLETRANSLATE(F1224,""en"",""pt"")"),"parede de cobre encosto de cabeça deslizamento laços")</f>
        <v>parede de cobre encosto de cabeça deslizamento laços</v>
      </c>
      <c r="J1224" t="str">
        <f>VLOOKUP(A1224,Pr_Base_LNEC!$A$4:$J$6971,6,FALSE)</f>
        <v>-</v>
      </c>
      <c r="K1224">
        <f>VLOOKUP(A1224,Pr_Base_LNEC!$A$4:$J$6971,7,FALSE)</f>
        <v>0</v>
      </c>
    </row>
    <row r="1225" spans="1:11" ht="14.5">
      <c r="A1225" s="20" t="s">
        <v>16762</v>
      </c>
      <c r="B1225" s="20">
        <v>20</v>
      </c>
      <c r="C1225" s="20">
        <v>85</v>
      </c>
      <c r="D1225" s="20">
        <v>84</v>
      </c>
      <c r="E1225" s="20">
        <v>28</v>
      </c>
      <c r="F1225" s="20" t="s">
        <v>16763</v>
      </c>
      <c r="G1225" s="24"/>
      <c r="H1225" s="24"/>
      <c r="I1225" s="24" t="str">
        <f ca="1">IFERROR(__xludf.DUMMYFUNCTION("GOOGLETRANSLATE(F1225,""en"",""pt"")"),"mangas de isolamento laço parede existentes")</f>
        <v>mangas de isolamento laço parede existentes</v>
      </c>
      <c r="J1225" t="str">
        <f>VLOOKUP(A1225,Pr_Base_LNEC!$A$4:$J$6971,6,FALSE)</f>
        <v>-</v>
      </c>
      <c r="K1225">
        <f>VLOOKUP(A1225,Pr_Base_LNEC!$A$4:$J$6971,7,FALSE)</f>
        <v>0</v>
      </c>
    </row>
    <row r="1226" spans="1:11" ht="14.5">
      <c r="A1226" s="20" t="s">
        <v>16764</v>
      </c>
      <c r="B1226" s="20">
        <v>20</v>
      </c>
      <c r="C1226" s="20">
        <v>85</v>
      </c>
      <c r="D1226" s="20">
        <v>84</v>
      </c>
      <c r="E1226" s="20">
        <v>33</v>
      </c>
      <c r="F1226" s="20" t="s">
        <v>16765</v>
      </c>
      <c r="G1226" s="20" t="s">
        <v>16766</v>
      </c>
      <c r="H1226" s="24"/>
      <c r="I1226" s="24" t="str">
        <f ca="1">IFERROR(__xludf.DUMMYFUNCTION("GOOGLETRANSLATE(F1226,""en"",""pt"")"),"deslizamento laços de uso geral")</f>
        <v>deslizamento laços de uso geral</v>
      </c>
      <c r="J1226" t="str">
        <f>VLOOKUP(A1226,Pr_Base_LNEC!$A$4:$J$6971,6,FALSE)</f>
        <v>Amarrações para uso Geral em Alvenaria</v>
      </c>
      <c r="K1226" t="str">
        <f>VLOOKUP(A1226,Pr_Base_LNEC!$A$4:$J$6971,7,FALSE)</f>
        <v>EN 845-1:2013+A1:2016</v>
      </c>
    </row>
    <row r="1227" spans="1:11" ht="14.5">
      <c r="A1227" s="20" t="s">
        <v>16767</v>
      </c>
      <c r="B1227" s="20">
        <v>20</v>
      </c>
      <c r="C1227" s="20">
        <v>85</v>
      </c>
      <c r="D1227" s="20">
        <v>84</v>
      </c>
      <c r="E1227" s="20">
        <v>36</v>
      </c>
      <c r="F1227" s="20" t="s">
        <v>16768</v>
      </c>
      <c r="G1227" s="20" t="s">
        <v>16769</v>
      </c>
      <c r="H1227" s="24"/>
      <c r="I1227" s="24" t="str">
        <f ca="1">IFERROR(__xludf.DUMMYFUNCTION("GOOGLETRANSLATE(F1227,""en"",""pt"")"),"Cabeça contenção deslizamento laços")</f>
        <v>Cabeça contenção deslizamento laços</v>
      </c>
      <c r="J1227" t="str">
        <f>VLOOKUP(A1227,Pr_Base_LNEC!$A$4:$J$6971,6,FALSE)</f>
        <v>-</v>
      </c>
      <c r="K1227">
        <f>VLOOKUP(A1227,Pr_Base_LNEC!$A$4:$J$6971,7,FALSE)</f>
        <v>0</v>
      </c>
    </row>
    <row r="1228" spans="1:11" ht="14.5">
      <c r="A1228" s="20" t="s">
        <v>16770</v>
      </c>
      <c r="B1228" s="20">
        <v>20</v>
      </c>
      <c r="C1228" s="20">
        <v>85</v>
      </c>
      <c r="D1228" s="20">
        <v>84</v>
      </c>
      <c r="E1228" s="20">
        <v>46</v>
      </c>
      <c r="F1228" s="20" t="s">
        <v>16771</v>
      </c>
      <c r="G1228" s="20" t="s">
        <v>16772</v>
      </c>
      <c r="H1228" s="24"/>
      <c r="I1228" s="24" t="str">
        <f ca="1">IFERROR(__xludf.DUMMYFUNCTION("GOOGLETRANSLATE(F1228,""en"",""pt"")"),"laços de retenção laterais")</f>
        <v>laços de retenção laterais</v>
      </c>
      <c r="J1228" t="str">
        <f>VLOOKUP(A1228,Pr_Base_LNEC!$A$4:$J$6971,6,FALSE)</f>
        <v>-</v>
      </c>
      <c r="K1228">
        <f>VLOOKUP(A1228,Pr_Base_LNEC!$A$4:$J$6971,7,FALSE)</f>
        <v>0</v>
      </c>
    </row>
    <row r="1229" spans="1:11" ht="14.5">
      <c r="A1229" s="20" t="s">
        <v>16773</v>
      </c>
      <c r="B1229" s="20">
        <v>20</v>
      </c>
      <c r="C1229" s="20">
        <v>85</v>
      </c>
      <c r="D1229" s="20">
        <v>84</v>
      </c>
      <c r="E1229" s="20">
        <v>50</v>
      </c>
      <c r="F1229" s="20" t="s">
        <v>16774</v>
      </c>
      <c r="G1229" s="20" t="s">
        <v>16775</v>
      </c>
      <c r="H1229" s="24"/>
      <c r="I1229" s="24" t="str">
        <f ca="1">IFERROR(__xludf.DUMMYFUNCTION("GOOGLETRANSLATE(F1229,""en"",""pt"")"),"Alvenaria de reparação laços")</f>
        <v>Alvenaria de reparação laços</v>
      </c>
      <c r="J1229" t="str">
        <f>VLOOKUP(A1229,Pr_Base_LNEC!$A$4:$J$6971,6,FALSE)</f>
        <v>-</v>
      </c>
      <c r="K1229">
        <f>VLOOKUP(A1229,Pr_Base_LNEC!$A$4:$J$6971,7,FALSE)</f>
        <v>0</v>
      </c>
    </row>
    <row r="1230" spans="1:11" ht="14.5">
      <c r="A1230" s="20" t="s">
        <v>16776</v>
      </c>
      <c r="B1230" s="20">
        <v>20</v>
      </c>
      <c r="C1230" s="20">
        <v>85</v>
      </c>
      <c r="D1230" s="20">
        <v>84</v>
      </c>
      <c r="E1230" s="20">
        <v>57</v>
      </c>
      <c r="F1230" s="20" t="s">
        <v>16777</v>
      </c>
      <c r="G1230" s="20" t="s">
        <v>16778</v>
      </c>
      <c r="H1230" s="24"/>
      <c r="I1230" s="24" t="str">
        <f ca="1">IFERROR(__xludf.DUMMYFUNCTION("GOOGLETRANSLATE(F1230,""en"",""pt"")"),"apoios de cabeça parede não-resistentes")</f>
        <v>apoios de cabeça parede não-resistentes</v>
      </c>
      <c r="J1230" t="str">
        <f>VLOOKUP(A1230,Pr_Base_LNEC!$A$4:$J$6971,6,FALSE)</f>
        <v>-</v>
      </c>
      <c r="K1230">
        <f>VLOOKUP(A1230,Pr_Base_LNEC!$A$4:$J$6971,7,FALSE)</f>
        <v>0</v>
      </c>
    </row>
    <row r="1231" spans="1:11" ht="14.5">
      <c r="A1231" s="20" t="s">
        <v>16779</v>
      </c>
      <c r="B1231" s="20">
        <v>20</v>
      </c>
      <c r="C1231" s="20">
        <v>85</v>
      </c>
      <c r="D1231" s="20">
        <v>84</v>
      </c>
      <c r="E1231" s="20">
        <v>61</v>
      </c>
      <c r="F1231" s="20" t="s">
        <v>16780</v>
      </c>
      <c r="G1231" s="20" t="s">
        <v>16781</v>
      </c>
      <c r="H1231" s="24"/>
      <c r="I1231" s="24" t="str">
        <f ca="1">IFERROR(__xludf.DUMMYFUNCTION("GOOGLETRANSLATE(F1231,""en"",""pt"")"),"cofragem isolamento permanente (PIF) conectores")</f>
        <v>cofragem isolamento permanente (PIF) conectores</v>
      </c>
      <c r="J1231" t="str">
        <f>VLOOKUP(A1231,Pr_Base_LNEC!$A$4:$J$6971,6,FALSE)</f>
        <v>-</v>
      </c>
      <c r="K1231">
        <f>VLOOKUP(A1231,Pr_Base_LNEC!$A$4:$J$6971,7,FALSE)</f>
        <v>0</v>
      </c>
    </row>
    <row r="1232" spans="1:11" ht="14.5">
      <c r="A1232" s="20" t="s">
        <v>16782</v>
      </c>
      <c r="B1232" s="20">
        <v>20</v>
      </c>
      <c r="C1232" s="20">
        <v>85</v>
      </c>
      <c r="D1232" s="20">
        <v>84</v>
      </c>
      <c r="E1232" s="20">
        <v>62</v>
      </c>
      <c r="F1232" s="20" t="s">
        <v>16783</v>
      </c>
      <c r="G1232" s="24"/>
      <c r="H1232" s="24"/>
      <c r="I1232" s="24" t="str">
        <f ca="1">IFERROR(__xludf.DUMMYFUNCTION("GOOGLETRANSLATE(F1232,""en"",""pt"")"),"Fósforo caça-níqueis bronze laços")</f>
        <v>Fósforo caça-níqueis bronze laços</v>
      </c>
      <c r="J1232" t="str">
        <f>VLOOKUP(A1232,Pr_Base_LNEC!$A$4:$J$6971,6,FALSE)</f>
        <v>-</v>
      </c>
      <c r="K1232">
        <f>VLOOKUP(A1232,Pr_Base_LNEC!$A$4:$J$6971,7,FALSE)</f>
        <v>0</v>
      </c>
    </row>
    <row r="1233" spans="1:11" ht="14.5">
      <c r="A1233" s="20" t="s">
        <v>16784</v>
      </c>
      <c r="B1233" s="20">
        <v>20</v>
      </c>
      <c r="C1233" s="20">
        <v>85</v>
      </c>
      <c r="D1233" s="20">
        <v>84</v>
      </c>
      <c r="E1233" s="20">
        <v>63</v>
      </c>
      <c r="F1233" s="20" t="s">
        <v>16785</v>
      </c>
      <c r="G1233" s="24"/>
      <c r="H1233" s="24"/>
      <c r="I1233" s="24" t="str">
        <f ca="1">IFERROR(__xludf.DUMMYFUNCTION("GOOGLETRANSLATE(F1233,""en"",""pt"")"),"Fósforo parede bronze apoio de cabeça deslizamento laços")</f>
        <v>Fósforo parede bronze apoio de cabeça deslizamento laços</v>
      </c>
      <c r="J1233" t="str">
        <f>VLOOKUP(A1233,Pr_Base_LNEC!$A$4:$J$6971,6,FALSE)</f>
        <v>-</v>
      </c>
      <c r="K1233">
        <f>VLOOKUP(A1233,Pr_Base_LNEC!$A$4:$J$6971,7,FALSE)</f>
        <v>0</v>
      </c>
    </row>
    <row r="1234" spans="1:11" ht="14.5">
      <c r="A1234" s="20" t="s">
        <v>16786</v>
      </c>
      <c r="B1234" s="20">
        <v>20</v>
      </c>
      <c r="C1234" s="20">
        <v>85</v>
      </c>
      <c r="D1234" s="20">
        <v>84</v>
      </c>
      <c r="E1234" s="20">
        <v>64</v>
      </c>
      <c r="F1234" s="20" t="s">
        <v>16787</v>
      </c>
      <c r="G1234" s="24"/>
      <c r="H1234" s="24"/>
      <c r="I1234" s="24" t="str">
        <f ca="1">IFERROR(__xludf.DUMMYFUNCTION("GOOGLETRANSLATE(F1234,""en"",""pt"")"),"De poliéster (PET) cintas")</f>
        <v>De poliéster (PET) cintas</v>
      </c>
      <c r="J1234" t="str">
        <f>VLOOKUP(A1234,Pr_Base_LNEC!$A$4:$J$6971,6,FALSE)</f>
        <v>-</v>
      </c>
      <c r="K1234">
        <f>VLOOKUP(A1234,Pr_Base_LNEC!$A$4:$J$6971,7,FALSE)</f>
        <v>0</v>
      </c>
    </row>
    <row r="1235" spans="1:11" ht="14.5">
      <c r="A1235" s="20" t="s">
        <v>16788</v>
      </c>
      <c r="B1235" s="20">
        <v>20</v>
      </c>
      <c r="C1235" s="20">
        <v>85</v>
      </c>
      <c r="D1235" s="20">
        <v>84</v>
      </c>
      <c r="E1235" s="20">
        <v>68</v>
      </c>
      <c r="F1235" s="20" t="s">
        <v>16789</v>
      </c>
      <c r="G1235" s="24"/>
      <c r="H1235" s="24"/>
      <c r="I1235" s="24" t="str">
        <f ca="1">IFERROR(__xludf.DUMMYFUNCTION("GOOGLETRANSLATE(F1235,""en"",""pt"")"),"Retendo tirantes de parede")</f>
        <v>Retendo tirantes de parede</v>
      </c>
      <c r="J1235" t="e">
        <f>VLOOKUP(A1235,Pr_Base_LNEC!$A$4:$J$6971,6,FALSE)</f>
        <v>#N/A</v>
      </c>
      <c r="K1235" t="e">
        <f>VLOOKUP(A1235,Pr_Base_LNEC!$A$4:$J$6971,7,FALSE)</f>
        <v>#N/A</v>
      </c>
    </row>
    <row r="1236" spans="1:11" ht="14.5">
      <c r="A1236" s="20" t="s">
        <v>16790</v>
      </c>
      <c r="B1236" s="20">
        <v>20</v>
      </c>
      <c r="C1236" s="20">
        <v>85</v>
      </c>
      <c r="D1236" s="20">
        <v>84</v>
      </c>
      <c r="E1236" s="20">
        <v>69</v>
      </c>
      <c r="F1236" s="20" t="s">
        <v>16791</v>
      </c>
      <c r="G1236" s="24"/>
      <c r="H1236" s="24"/>
      <c r="I1236" s="24" t="str">
        <f ca="1">IFERROR(__xludf.DUMMYFUNCTION("GOOGLETRANSLATE(F1236,""en"",""pt"")"),"cintos de retenção")</f>
        <v>cintos de retenção</v>
      </c>
      <c r="J1236" t="str">
        <f>VLOOKUP(A1236,Pr_Base_LNEC!$A$4:$J$6971,6,FALSE)</f>
        <v>-</v>
      </c>
      <c r="K1236">
        <f>VLOOKUP(A1236,Pr_Base_LNEC!$A$4:$J$6971,7,FALSE)</f>
        <v>0</v>
      </c>
    </row>
    <row r="1237" spans="1:11" ht="14.5">
      <c r="A1237" s="20" t="s">
        <v>16792</v>
      </c>
      <c r="B1237" s="20">
        <v>20</v>
      </c>
      <c r="C1237" s="20">
        <v>85</v>
      </c>
      <c r="D1237" s="20">
        <v>84</v>
      </c>
      <c r="E1237" s="20">
        <v>70</v>
      </c>
      <c r="F1237" s="20" t="s">
        <v>16793</v>
      </c>
      <c r="G1237" s="24"/>
      <c r="H1237" s="24"/>
      <c r="I1237" s="24" t="str">
        <f ca="1">IFERROR(__xludf.DUMMYFUNCTION("GOOGLETRANSLATE(F1237,""en"",""pt"")"),"cintas calha do telhado")</f>
        <v>cintas calha do telhado</v>
      </c>
      <c r="J1237" t="str">
        <f>VLOOKUP(A1237,Pr_Base_LNEC!$A$4:$J$6971,6,FALSE)</f>
        <v>-</v>
      </c>
      <c r="K1237">
        <f>VLOOKUP(A1237,Pr_Base_LNEC!$A$4:$J$6971,7,FALSE)</f>
        <v>0</v>
      </c>
    </row>
    <row r="1238" spans="1:11" ht="14.5">
      <c r="A1238" s="20" t="s">
        <v>16794</v>
      </c>
      <c r="B1238" s="20">
        <v>20</v>
      </c>
      <c r="C1238" s="20">
        <v>85</v>
      </c>
      <c r="D1238" s="20">
        <v>84</v>
      </c>
      <c r="E1238" s="20">
        <v>73</v>
      </c>
      <c r="F1238" s="20" t="s">
        <v>16795</v>
      </c>
      <c r="G1238" s="20" t="s">
        <v>16796</v>
      </c>
      <c r="H1238" s="24"/>
      <c r="I1238" s="24" t="str">
        <f ca="1">IFERROR(__xludf.DUMMYFUNCTION("GOOGLETRANSLATE(F1238,""en"",""pt"")"),"laços de parede de cisalhamento")</f>
        <v>laços de parede de cisalhamento</v>
      </c>
      <c r="J1238" t="str">
        <f>VLOOKUP(A1238,Pr_Base_LNEC!$A$4:$J$6971,6,FALSE)</f>
        <v>Amarrações para cisalhamento de Paredes em Alvenaria</v>
      </c>
      <c r="K1238" t="str">
        <f>VLOOKUP(A1238,Pr_Base_LNEC!$A$4:$J$6971,7,FALSE)</f>
        <v>EN 845-1:2013+A1:2016</v>
      </c>
    </row>
    <row r="1239" spans="1:11" ht="14.5">
      <c r="A1239" s="20" t="s">
        <v>16797</v>
      </c>
      <c r="B1239" s="20">
        <v>20</v>
      </c>
      <c r="C1239" s="20">
        <v>85</v>
      </c>
      <c r="D1239" s="20">
        <v>84</v>
      </c>
      <c r="E1239" s="20">
        <v>74</v>
      </c>
      <c r="F1239" s="20" t="s">
        <v>16798</v>
      </c>
      <c r="G1239" s="20" t="s">
        <v>16799</v>
      </c>
      <c r="H1239" s="24"/>
      <c r="I1239" s="24" t="str">
        <f ca="1">IFERROR(__xludf.DUMMYFUNCTION("GOOGLETRANSLATE(F1239,""en"",""pt"")"),"canais de parede com fenda e suportes")</f>
        <v>canais de parede com fenda e suportes</v>
      </c>
      <c r="J1239" t="str">
        <f>VLOOKUP(A1239,Pr_Base_LNEC!$A$4:$J$6971,6,FALSE)</f>
        <v>-</v>
      </c>
      <c r="K1239">
        <f>VLOOKUP(A1239,Pr_Base_LNEC!$A$4:$J$6971,7,FALSE)</f>
        <v>0</v>
      </c>
    </row>
    <row r="1240" spans="1:11" ht="14.5">
      <c r="A1240" s="20" t="s">
        <v>16800</v>
      </c>
      <c r="B1240" s="20">
        <v>20</v>
      </c>
      <c r="C1240" s="20">
        <v>85</v>
      </c>
      <c r="D1240" s="20">
        <v>84</v>
      </c>
      <c r="E1240" s="20">
        <v>75</v>
      </c>
      <c r="F1240" s="20" t="s">
        <v>16801</v>
      </c>
      <c r="G1240" s="20" t="s">
        <v>16802</v>
      </c>
      <c r="H1240" s="24"/>
      <c r="I1240" s="24" t="str">
        <f ca="1">IFERROR(__xludf.DUMMYFUNCTION("GOOGLETRANSLATE(F1240,""en"",""pt"")"),"aço inoxidável tiras de restrição lateral")</f>
        <v>aço inoxidável tiras de restrição lateral</v>
      </c>
      <c r="J1240" t="str">
        <f>VLOOKUP(A1240,Pr_Base_LNEC!$A$4:$J$6971,6,FALSE)</f>
        <v>Estribos para Suportes laterais em Aço Inoxidável para Alvenaria</v>
      </c>
      <c r="K1240" t="str">
        <f>VLOOKUP(A1240,Pr_Base_LNEC!$A$4:$J$6971,7,FALSE)</f>
        <v>EN 845-1:2013+A1:2016</v>
      </c>
    </row>
    <row r="1241" spans="1:11" ht="14.5">
      <c r="A1241" s="20" t="s">
        <v>16803</v>
      </c>
      <c r="B1241" s="20">
        <v>20</v>
      </c>
      <c r="C1241" s="20">
        <v>85</v>
      </c>
      <c r="D1241" s="20">
        <v>84</v>
      </c>
      <c r="E1241" s="20">
        <v>76</v>
      </c>
      <c r="F1241" s="20" t="s">
        <v>16804</v>
      </c>
      <c r="G1241" s="24"/>
      <c r="H1241" s="24"/>
      <c r="I1241" s="24" t="str">
        <f ca="1">IFERROR(__xludf.DUMMYFUNCTION("GOOGLETRANSLATE(F1241,""en"",""pt"")"),"aço inoxidável caça-níqueis laços")</f>
        <v>aço inoxidável caça-níqueis laços</v>
      </c>
      <c r="J1241" t="str">
        <f>VLOOKUP(A1241,Pr_Base_LNEC!$A$4:$J$6971,6,FALSE)</f>
        <v>-</v>
      </c>
      <c r="K1241">
        <f>VLOOKUP(A1241,Pr_Base_LNEC!$A$4:$J$6971,7,FALSE)</f>
        <v>0</v>
      </c>
    </row>
    <row r="1242" spans="1:11" ht="14.5">
      <c r="A1242" s="20" t="s">
        <v>16805</v>
      </c>
      <c r="B1242" s="20">
        <v>20</v>
      </c>
      <c r="C1242" s="20">
        <v>85</v>
      </c>
      <c r="D1242" s="20">
        <v>84</v>
      </c>
      <c r="E1242" s="20">
        <v>77</v>
      </c>
      <c r="F1242" s="20" t="s">
        <v>16806</v>
      </c>
      <c r="G1242" s="20" t="s">
        <v>16807</v>
      </c>
      <c r="H1242" s="24"/>
      <c r="I1242" s="24" t="str">
        <f ca="1">IFERROR(__xludf.DUMMYFUNCTION("GOOGLETRANSLATE(F1242,""en"",""pt"")"),"aço inoxidável com rosca studding laços")</f>
        <v>aço inoxidável com rosca studding laços</v>
      </c>
      <c r="J1242" t="str">
        <f>VLOOKUP(A1242,Pr_Base_LNEC!$A$4:$J$6971,6,FALSE)</f>
        <v>-</v>
      </c>
      <c r="K1242">
        <f>VLOOKUP(A1242,Pr_Base_LNEC!$A$4:$J$6971,7,FALSE)</f>
        <v>0</v>
      </c>
    </row>
    <row r="1243" spans="1:11" ht="14.5">
      <c r="A1243" s="20" t="s">
        <v>16808</v>
      </c>
      <c r="B1243" s="20">
        <v>20</v>
      </c>
      <c r="C1243" s="20">
        <v>85</v>
      </c>
      <c r="D1243" s="20">
        <v>84</v>
      </c>
      <c r="E1243" s="20">
        <v>78</v>
      </c>
      <c r="F1243" s="20" t="s">
        <v>16809</v>
      </c>
      <c r="G1243" s="20" t="s">
        <v>16810</v>
      </c>
      <c r="H1243" s="24"/>
      <c r="I1243" s="24" t="str">
        <f ca="1">IFERROR(__xludf.DUMMYFUNCTION("GOOGLETRANSLATE(F1243,""en"",""pt"")"),"tirantes de aço inoxidável")</f>
        <v>tirantes de aço inoxidável</v>
      </c>
      <c r="J1243" t="str">
        <f>VLOOKUP(A1243,Pr_Base_LNEC!$A$4:$J$6971,6,FALSE)</f>
        <v>-</v>
      </c>
      <c r="K1243">
        <f>VLOOKUP(A1243,Pr_Base_LNEC!$A$4:$J$6971,7,FALSE)</f>
        <v>0</v>
      </c>
    </row>
    <row r="1244" spans="1:11" ht="14.5">
      <c r="A1244" s="20" t="s">
        <v>16811</v>
      </c>
      <c r="B1244" s="20">
        <v>20</v>
      </c>
      <c r="C1244" s="20">
        <v>85</v>
      </c>
      <c r="D1244" s="20">
        <v>84</v>
      </c>
      <c r="E1244" s="20">
        <v>79</v>
      </c>
      <c r="F1244" s="20" t="s">
        <v>16812</v>
      </c>
      <c r="G1244" s="20" t="s">
        <v>16813</v>
      </c>
      <c r="H1244" s="24"/>
      <c r="I1244" s="24" t="str">
        <f ca="1">IFERROR(__xludf.DUMMYFUNCTION("GOOGLETRANSLATE(F1244,""en"",""pt"")"),"aço inoxidável tiras verticais de retenção")</f>
        <v>aço inoxidável tiras verticais de retenção</v>
      </c>
      <c r="J1244" t="str">
        <f>VLOOKUP(A1244,Pr_Base_LNEC!$A$4:$J$6971,6,FALSE)</f>
        <v>Estribos de Suporte Verticais em Aço Inoxidável para Alvenaria</v>
      </c>
      <c r="K1244" t="str">
        <f>VLOOKUP(A1244,Pr_Base_LNEC!$A$4:$J$6971,7,FALSE)</f>
        <v>EN 845-1:2013+A1:2016</v>
      </c>
    </row>
    <row r="1245" spans="1:11" ht="14.5">
      <c r="A1245" s="20" t="s">
        <v>16814</v>
      </c>
      <c r="B1245" s="20">
        <v>20</v>
      </c>
      <c r="C1245" s="20">
        <v>85</v>
      </c>
      <c r="D1245" s="20">
        <v>84</v>
      </c>
      <c r="E1245" s="20">
        <v>80</v>
      </c>
      <c r="F1245" s="20" t="s">
        <v>16815</v>
      </c>
      <c r="G1245" s="24"/>
      <c r="H1245" s="24"/>
      <c r="I1245" s="24" t="str">
        <f ca="1">IFERROR(__xludf.DUMMYFUNCTION("GOOGLETRANSLATE(F1245,""en"",""pt"")"),"cabeça de aço inoxidável parede contenção deslizamento laços")</f>
        <v>cabeça de aço inoxidável parede contenção deslizamento laços</v>
      </c>
      <c r="J1245" t="str">
        <f>VLOOKUP(A1245,Pr_Base_LNEC!$A$4:$J$6971,6,FALSE)</f>
        <v>-</v>
      </c>
      <c r="K1245">
        <f>VLOOKUP(A1245,Pr_Base_LNEC!$A$4:$J$6971,7,FALSE)</f>
        <v>0</v>
      </c>
    </row>
    <row r="1246" spans="1:11" ht="14.5">
      <c r="A1246" s="20" t="s">
        <v>16816</v>
      </c>
      <c r="B1246" s="20">
        <v>20</v>
      </c>
      <c r="C1246" s="20">
        <v>85</v>
      </c>
      <c r="D1246" s="20">
        <v>84</v>
      </c>
      <c r="E1246" s="20">
        <v>81</v>
      </c>
      <c r="F1246" s="20" t="s">
        <v>16817</v>
      </c>
      <c r="G1246" s="20" t="s">
        <v>16818</v>
      </c>
      <c r="H1246" s="24"/>
      <c r="I1246" s="24" t="str">
        <f ca="1">IFERROR(__xludf.DUMMYFUNCTION("GOOGLETRANSLATE(F1246,""en"",""pt"")"),"laços de unidade de aço inoxidável")</f>
        <v>laços de unidade de aço inoxidável</v>
      </c>
      <c r="J1246" t="str">
        <f>VLOOKUP(A1246,Pr_Base_LNEC!$A$4:$J$6971,6,FALSE)</f>
        <v>Amarrações em Chapa, em Placa e Banda/Bobine em Aço Inóxidável Resistente para aplicações na Construção</v>
      </c>
      <c r="K1246" t="str">
        <f>VLOOKUP(A1246,Pr_Base_LNEC!$A$4:$J$6971,7,FALSE)</f>
        <v>EN 10088-4:2009</v>
      </c>
    </row>
    <row r="1247" spans="1:11" ht="14.5">
      <c r="A1247" s="20" t="s">
        <v>16819</v>
      </c>
      <c r="B1247" s="20">
        <v>20</v>
      </c>
      <c r="C1247" s="20">
        <v>85</v>
      </c>
      <c r="D1247" s="20">
        <v>84</v>
      </c>
      <c r="E1247" s="20">
        <v>82</v>
      </c>
      <c r="F1247" s="20" t="s">
        <v>16820</v>
      </c>
      <c r="G1247" s="20" t="s">
        <v>16821</v>
      </c>
      <c r="H1247" s="24"/>
      <c r="I1247" s="24" t="str">
        <f ca="1">IFERROR(__xludf.DUMMYFUNCTION("GOOGLETRANSLATE(F1247,""en"",""pt"")"),"laços ligados por resina de aço inoxidável")</f>
        <v>laços ligados por resina de aço inoxidável</v>
      </c>
      <c r="J1247" t="str">
        <f>VLOOKUP(A1247,Pr_Base_LNEC!$A$4:$J$6971,6,FALSE)</f>
        <v>Amarrações em Chapa, em Placa e Banda/Bobine em Resina de Aço Inóxidável Resistente para aplicações na Construção</v>
      </c>
      <c r="K1247" t="str">
        <f>VLOOKUP(A1247,Pr_Base_LNEC!$A$4:$J$6971,7,FALSE)</f>
        <v>EN 10088-4:2009</v>
      </c>
    </row>
    <row r="1248" spans="1:11" ht="14.5">
      <c r="A1248" s="20" t="s">
        <v>16822</v>
      </c>
      <c r="B1248" s="20">
        <v>20</v>
      </c>
      <c r="C1248" s="20">
        <v>85</v>
      </c>
      <c r="D1248" s="20">
        <v>84</v>
      </c>
      <c r="E1248" s="20">
        <v>83</v>
      </c>
      <c r="F1248" s="20" t="s">
        <v>16823</v>
      </c>
      <c r="G1248" s="20" t="s">
        <v>16824</v>
      </c>
      <c r="H1248" s="24"/>
      <c r="I1248" s="24" t="str">
        <f ca="1">IFERROR(__xludf.DUMMYFUNCTION("GOOGLETRANSLATE(F1248,""en"",""pt"")"),"expansão laços de aço inoxidável")</f>
        <v>expansão laços de aço inoxidável</v>
      </c>
      <c r="J1248" t="str">
        <f>VLOOKUP(A1248,Pr_Base_LNEC!$A$4:$J$6971,6,FALSE)</f>
        <v>Amarrações em Chapa, em Placa e Banda/Bobine para Dilatação de Aço Inóxidável Resistente para aplicações na Construção</v>
      </c>
      <c r="K1248" t="str">
        <f>VLOOKUP(A1248,Pr_Base_LNEC!$A$4:$J$6971,7,FALSE)</f>
        <v>EN 10088-4:2009</v>
      </c>
    </row>
    <row r="1249" spans="1:11" ht="14.5">
      <c r="A1249" s="20" t="s">
        <v>16825</v>
      </c>
      <c r="B1249" s="20">
        <v>20</v>
      </c>
      <c r="C1249" s="20">
        <v>85</v>
      </c>
      <c r="D1249" s="20">
        <v>84</v>
      </c>
      <c r="E1249" s="20">
        <v>84</v>
      </c>
      <c r="F1249" s="20" t="s">
        <v>16826</v>
      </c>
      <c r="G1249" s="20" t="s">
        <v>16827</v>
      </c>
      <c r="H1249" s="24"/>
      <c r="I1249" s="24" t="str">
        <f ca="1">IFERROR(__xludf.DUMMYFUNCTION("GOOGLETRANSLATE(F1249,""en"",""pt"")"),"aço inoxidável fundido nos canais")</f>
        <v>aço inoxidável fundido nos canais</v>
      </c>
      <c r="J1249" t="str">
        <f>VLOOKUP(A1249,Pr_Base_LNEC!$A$4:$J$6971,6,FALSE)</f>
        <v>Amarrações em Chapa, em Placa e Banda/Bobine para Canais Fundidos em Aço Inóxidável Resistente para aplicações na Construção</v>
      </c>
      <c r="K1249" t="str">
        <f>VLOOKUP(A1249,Pr_Base_LNEC!$A$4:$J$6971,7,FALSE)</f>
        <v>EN 10088-4:2009</v>
      </c>
    </row>
    <row r="1250" spans="1:11" ht="14.5">
      <c r="A1250" s="20" t="s">
        <v>16828</v>
      </c>
      <c r="B1250" s="20">
        <v>20</v>
      </c>
      <c r="C1250" s="20">
        <v>85</v>
      </c>
      <c r="D1250" s="20">
        <v>84</v>
      </c>
      <c r="E1250" s="20">
        <v>85</v>
      </c>
      <c r="F1250" s="20" t="s">
        <v>16829</v>
      </c>
      <c r="G1250" s="20" t="s">
        <v>16830</v>
      </c>
      <c r="H1250" s="24"/>
      <c r="I1250" s="24" t="str">
        <f ca="1">IFERROR(__xludf.DUMMYFUNCTION("GOOGLETRANSLATE(F1250,""en"",""pt"")"),"canais de revestimento de aço inoxidável")</f>
        <v>canais de revestimento de aço inoxidável</v>
      </c>
      <c r="J1250" t="str">
        <f>VLOOKUP(A1250,Pr_Base_LNEC!$A$4:$J$6971,6,FALSE)</f>
        <v>Barras, Perfis, Perfis Trefilados para Revestimento em Aço Inóxidável Resistente para aplicações na Construção</v>
      </c>
      <c r="K1250" t="str">
        <f>VLOOKUP(A1250,Pr_Base_LNEC!$A$4:$J$6971,7,FALSE)</f>
        <v>EN 10088-5:2009</v>
      </c>
    </row>
    <row r="1251" spans="1:11" ht="14.5">
      <c r="A1251" s="20" t="s">
        <v>16831</v>
      </c>
      <c r="B1251" s="20">
        <v>20</v>
      </c>
      <c r="C1251" s="20">
        <v>85</v>
      </c>
      <c r="D1251" s="20">
        <v>84</v>
      </c>
      <c r="E1251" s="20">
        <v>86</v>
      </c>
      <c r="F1251" s="20" t="s">
        <v>16832</v>
      </c>
      <c r="G1251" s="20" t="s">
        <v>16830</v>
      </c>
      <c r="H1251" s="24"/>
      <c r="I1251" s="24" t="str">
        <f ca="1">IFERROR(__xludf.DUMMYFUNCTION("GOOGLETRANSLATE(F1251,""en"",""pt"")"),"revestimento laços de aço inoxidável")</f>
        <v>revestimento laços de aço inoxidável</v>
      </c>
      <c r="J1251" t="str">
        <f>VLOOKUP(A1251,Pr_Base_LNEC!$A$4:$J$6971,6,FALSE)</f>
        <v>Barras, Perfis, Perfis Trefilados para Amarrações em Aço Inóxidável Resistente para aplicações na Construção</v>
      </c>
      <c r="K1251" t="str">
        <f>VLOOKUP(A1251,Pr_Base_LNEC!$A$4:$J$6971,7,FALSE)</f>
        <v>EN 10088-5:2009</v>
      </c>
    </row>
    <row r="1252" spans="1:11" ht="14.5">
      <c r="A1252" s="20" t="s">
        <v>16833</v>
      </c>
      <c r="B1252" s="20">
        <v>20</v>
      </c>
      <c r="C1252" s="20">
        <v>85</v>
      </c>
      <c r="D1252" s="20">
        <v>84</v>
      </c>
      <c r="E1252" s="20">
        <v>87</v>
      </c>
      <c r="F1252" s="20" t="s">
        <v>16834</v>
      </c>
      <c r="G1252" s="20" t="s">
        <v>16835</v>
      </c>
      <c r="H1252" s="24"/>
      <c r="I1252" s="24" t="str">
        <f ca="1">IFERROR(__xludf.DUMMYFUNCTION("GOOGLETRANSLATE(F1252,""en"",""pt"")"),"Superfície montado canais")</f>
        <v>Superfície montado canais</v>
      </c>
      <c r="J1252" t="str">
        <f>VLOOKUP(A1252,Pr_Base_LNEC!$A$4:$J$6971,6,FALSE)</f>
        <v>?</v>
      </c>
      <c r="K1252" t="str">
        <f>VLOOKUP(A1252,Pr_Base_LNEC!$A$4:$J$6971,7,FALSE)</f>
        <v>EN 845-1:2013+A1:2016</v>
      </c>
    </row>
    <row r="1253" spans="1:11" ht="14.5">
      <c r="A1253" s="20" t="s">
        <v>16836</v>
      </c>
      <c r="B1253" s="20">
        <v>20</v>
      </c>
      <c r="C1253" s="20">
        <v>85</v>
      </c>
      <c r="D1253" s="20">
        <v>84</v>
      </c>
      <c r="E1253" s="20">
        <v>88</v>
      </c>
      <c r="F1253" s="20" t="s">
        <v>16837</v>
      </c>
      <c r="G1253" s="20" t="s">
        <v>16838</v>
      </c>
      <c r="H1253" s="24"/>
      <c r="I1253" s="24" t="str">
        <f ca="1">IFERROR(__xludf.DUMMYFUNCTION("GOOGLETRANSLATE(F1253,""en"",""pt"")"),"Tensão ou compressão produtos de contraventamento")</f>
        <v>Tensão ou compressão produtos de contraventamento</v>
      </c>
      <c r="J1253" t="str">
        <f>VLOOKUP(A1253,Pr_Base_LNEC!$A$4:$J$6971,6,FALSE)</f>
        <v>-</v>
      </c>
      <c r="K1253">
        <f>VLOOKUP(A1253,Pr_Base_LNEC!$A$4:$J$6971,7,FALSE)</f>
        <v>0</v>
      </c>
    </row>
    <row r="1254" spans="1:11" ht="14.5">
      <c r="A1254" s="20" t="s">
        <v>16839</v>
      </c>
      <c r="B1254" s="20">
        <v>20</v>
      </c>
      <c r="C1254" s="20">
        <v>85</v>
      </c>
      <c r="D1254" s="20">
        <v>84</v>
      </c>
      <c r="E1254" s="20">
        <v>89</v>
      </c>
      <c r="F1254" s="20" t="s">
        <v>16840</v>
      </c>
      <c r="G1254" s="20" t="s">
        <v>16841</v>
      </c>
      <c r="H1254" s="24"/>
      <c r="I1254" s="24" t="str">
        <f ca="1">IFERROR(__xludf.DUMMYFUNCTION("GOOGLETRANSLATE(F1254,""en"",""pt"")"),"cintas de tensão")</f>
        <v>cintas de tensão</v>
      </c>
      <c r="J1254" t="str">
        <f>VLOOKUP(A1254,Pr_Base_LNEC!$A$4:$J$6971,6,FALSE)</f>
        <v>Fitas Tensoras</v>
      </c>
      <c r="K1254" t="str">
        <f>VLOOKUP(A1254,Pr_Base_LNEC!$A$4:$J$6971,7,FALSE)</f>
        <v>EN 845-1:2013+A1:2016</v>
      </c>
    </row>
    <row r="1255" spans="1:11" ht="14.5">
      <c r="A1255" s="20" t="s">
        <v>16842</v>
      </c>
      <c r="B1255" s="20">
        <v>20</v>
      </c>
      <c r="C1255" s="20">
        <v>85</v>
      </c>
      <c r="D1255" s="20">
        <v>84</v>
      </c>
      <c r="E1255" s="20">
        <v>95</v>
      </c>
      <c r="F1255" s="20" t="s">
        <v>16843</v>
      </c>
      <c r="G1255" s="20" t="s">
        <v>16844</v>
      </c>
      <c r="H1255" s="24"/>
      <c r="I1255" s="24" t="str">
        <f ca="1">IFERROR(__xludf.DUMMYFUNCTION("GOOGLETRANSLATE(F1255,""en"",""pt"")"),"arrancadores de parede e conectores")</f>
        <v>arrancadores de parede e conectores</v>
      </c>
      <c r="J1255" t="str">
        <f>VLOOKUP(A1255,Pr_Base_LNEC!$A$4:$J$6971,6,FALSE)</f>
        <v>a</v>
      </c>
      <c r="K1255" t="str">
        <f>VLOOKUP(A1255,Pr_Base_LNEC!$A$4:$J$6971,7,FALSE)</f>
        <v>EN 845-1:2013+A1:2016</v>
      </c>
    </row>
    <row r="1256" spans="1:11" ht="14.5">
      <c r="A1256" s="20" t="s">
        <v>16845</v>
      </c>
      <c r="B1256" s="20">
        <v>20</v>
      </c>
      <c r="C1256" s="20">
        <v>85</v>
      </c>
      <c r="D1256" s="20">
        <v>84</v>
      </c>
      <c r="E1256" s="20">
        <v>97</v>
      </c>
      <c r="F1256" s="20" t="s">
        <v>16846</v>
      </c>
      <c r="G1256" s="20" t="s">
        <v>16847</v>
      </c>
      <c r="H1256" s="24"/>
      <c r="I1256" s="24" t="str">
        <f ca="1">IFERROR(__xludf.DUMMYFUNCTION("GOOGLETRANSLATE(F1256,""en"",""pt"")"),"dormentes de concreto do molde a prova de água")</f>
        <v>dormentes de concreto do molde a prova de água</v>
      </c>
      <c r="J1256" t="str">
        <f>VLOOKUP(A1256,Pr_Base_LNEC!$A$4:$J$6971,6,FALSE)</f>
        <v>-</v>
      </c>
      <c r="K1256">
        <f>VLOOKUP(A1256,Pr_Base_LNEC!$A$4:$J$6971,7,FALSE)</f>
        <v>0</v>
      </c>
    </row>
    <row r="1257" spans="1:11" ht="14.5">
      <c r="A1257" s="20" t="s">
        <v>16848</v>
      </c>
      <c r="B1257" s="20">
        <v>20</v>
      </c>
      <c r="C1257" s="20">
        <v>85</v>
      </c>
      <c r="D1257" s="20">
        <v>85</v>
      </c>
      <c r="E1257" s="24"/>
      <c r="F1257" s="20" t="s">
        <v>16849</v>
      </c>
      <c r="G1257" s="24"/>
      <c r="H1257" s="24"/>
      <c r="I1257" s="24" t="str">
        <f ca="1">IFERROR(__xludf.DUMMYFUNCTION("GOOGLETRANSLATE(F1257,""en"",""pt"")"),"rolamentos estruturais")</f>
        <v>rolamentos estruturais</v>
      </c>
      <c r="J1257" t="str">
        <f>VLOOKUP(A1257,Pr_Base_LNEC!$A$4:$J$6971,6,FALSE)</f>
        <v>Rolamentos Estruturais</v>
      </c>
      <c r="K1257">
        <f>VLOOKUP(A1257,Pr_Base_LNEC!$A$4:$J$6971,7,FALSE)</f>
        <v>0</v>
      </c>
    </row>
    <row r="1258" spans="1:11" ht="14.5">
      <c r="A1258" s="20" t="s">
        <v>16850</v>
      </c>
      <c r="B1258" s="20">
        <v>20</v>
      </c>
      <c r="C1258" s="20">
        <v>85</v>
      </c>
      <c r="D1258" s="20">
        <v>85</v>
      </c>
      <c r="E1258" s="20">
        <v>2</v>
      </c>
      <c r="F1258" s="20" t="s">
        <v>16851</v>
      </c>
      <c r="G1258" s="20" t="s">
        <v>16852</v>
      </c>
      <c r="H1258" s="24"/>
      <c r="I1258" s="24" t="str">
        <f ca="1">IFERROR(__xludf.DUMMYFUNCTION("GOOGLETRANSLATE(F1258,""en"",""pt"")"),"Acústico e de vibração rolamentos resistentes")</f>
        <v>Acústico e de vibração rolamentos resistentes</v>
      </c>
      <c r="J1258" t="e">
        <f>VLOOKUP(A1258,Pr_Base_LNEC!$A$4:$J$6971,6,FALSE)</f>
        <v>#N/A</v>
      </c>
      <c r="K1258" t="e">
        <f>VLOOKUP(A1258,Pr_Base_LNEC!$A$4:$J$6971,7,FALSE)</f>
        <v>#N/A</v>
      </c>
    </row>
    <row r="1259" spans="1:11" ht="14.5">
      <c r="A1259" s="20" t="s">
        <v>16853</v>
      </c>
      <c r="B1259" s="20">
        <v>20</v>
      </c>
      <c r="C1259" s="20">
        <v>85</v>
      </c>
      <c r="D1259" s="20">
        <v>85</v>
      </c>
      <c r="E1259" s="20">
        <v>6</v>
      </c>
      <c r="F1259" s="20" t="s">
        <v>16854</v>
      </c>
      <c r="G1259" s="20" t="s">
        <v>16855</v>
      </c>
      <c r="H1259" s="24"/>
      <c r="I1259" s="24" t="str">
        <f ca="1">IFERROR(__xludf.DUMMYFUNCTION("GOOGLETRANSLATE(F1259,""en"",""pt"")"),"Tendo tiras e esteiras")</f>
        <v>Tendo tiras e esteiras</v>
      </c>
      <c r="J1259" t="e">
        <f>VLOOKUP(A1259,Pr_Base_LNEC!$A$4:$J$6971,6,FALSE)</f>
        <v>#N/A</v>
      </c>
      <c r="K1259" t="e">
        <f>VLOOKUP(A1259,Pr_Base_LNEC!$A$4:$J$6971,7,FALSE)</f>
        <v>#N/A</v>
      </c>
    </row>
    <row r="1260" spans="1:11" ht="14.5">
      <c r="A1260" s="20" t="s">
        <v>16856</v>
      </c>
      <c r="B1260" s="20">
        <v>20</v>
      </c>
      <c r="C1260" s="20">
        <v>85</v>
      </c>
      <c r="D1260" s="20">
        <v>85</v>
      </c>
      <c r="E1260" s="20">
        <v>11</v>
      </c>
      <c r="F1260" s="20" t="s">
        <v>16857</v>
      </c>
      <c r="G1260" s="20" t="s">
        <v>16858</v>
      </c>
      <c r="H1260" s="24"/>
      <c r="I1260" s="24" t="str">
        <f ca="1">IFERROR(__xludf.DUMMYFUNCTION("GOOGLETRANSLATE(F1260,""en"",""pt"")"),"fezes de aço de carbono")</f>
        <v>fezes de aço de carbono</v>
      </c>
      <c r="J1260" t="str">
        <f>VLOOKUP(A1260,Pr_Base_LNEC!$A$4:$J$6971,6,FALSE)</f>
        <v>-</v>
      </c>
      <c r="K1260">
        <f>VLOOKUP(A1260,Pr_Base_LNEC!$A$4:$J$6971,7,FALSE)</f>
        <v>0</v>
      </c>
    </row>
    <row r="1261" spans="1:11" ht="14.5">
      <c r="A1261" s="20" t="s">
        <v>16859</v>
      </c>
      <c r="B1261" s="20">
        <v>20</v>
      </c>
      <c r="C1261" s="20">
        <v>85</v>
      </c>
      <c r="D1261" s="20">
        <v>85</v>
      </c>
      <c r="E1261" s="20">
        <v>30</v>
      </c>
      <c r="F1261" s="20" t="s">
        <v>16860</v>
      </c>
      <c r="G1261" s="20" t="s">
        <v>16861</v>
      </c>
      <c r="H1261" s="24"/>
      <c r="I1261" s="24" t="str">
        <f ca="1">IFERROR(__xludf.DUMMYFUNCTION("GOOGLETRANSLATE(F1261,""en"",""pt"")"),"tomadas planas")</f>
        <v>tomadas planas</v>
      </c>
      <c r="J1261" t="str">
        <f>VLOOKUP(A1261,Pr_Base_LNEC!$A$4:$J$6971,6,FALSE)</f>
        <v>-</v>
      </c>
      <c r="K1261">
        <f>VLOOKUP(A1261,Pr_Base_LNEC!$A$4:$J$6971,7,FALSE)</f>
        <v>0</v>
      </c>
    </row>
    <row r="1262" spans="1:11" ht="14.5">
      <c r="A1262" s="20" t="s">
        <v>16862</v>
      </c>
      <c r="B1262" s="20">
        <v>20</v>
      </c>
      <c r="C1262" s="20">
        <v>85</v>
      </c>
      <c r="D1262" s="20">
        <v>85</v>
      </c>
      <c r="E1262" s="20">
        <v>60</v>
      </c>
      <c r="F1262" s="20" t="s">
        <v>16863</v>
      </c>
      <c r="G1262" s="20" t="s">
        <v>16864</v>
      </c>
      <c r="H1262" s="24"/>
      <c r="I1262" s="24" t="str">
        <f ca="1">IFERROR(__xludf.DUMMYFUNCTION("GOOGLETRANSLATE(F1262,""en"",""pt"")"),"Padstones")</f>
        <v>Padstones</v>
      </c>
      <c r="J1262" t="e">
        <f>VLOOKUP(A1262,Pr_Base_LNEC!$A$4:$J$6971,6,FALSE)</f>
        <v>#N/A</v>
      </c>
      <c r="K1262" t="e">
        <f>VLOOKUP(A1262,Pr_Base_LNEC!$A$4:$J$6971,7,FALSE)</f>
        <v>#N/A</v>
      </c>
    </row>
    <row r="1263" spans="1:11" ht="14.5">
      <c r="A1263" s="20" t="s">
        <v>16865</v>
      </c>
      <c r="B1263" s="20">
        <v>20</v>
      </c>
      <c r="C1263" s="20">
        <v>85</v>
      </c>
      <c r="D1263" s="20">
        <v>85</v>
      </c>
      <c r="E1263" s="20">
        <v>74</v>
      </c>
      <c r="F1263" s="20" t="s">
        <v>16866</v>
      </c>
      <c r="G1263" s="20" t="s">
        <v>16867</v>
      </c>
      <c r="H1263" s="24"/>
      <c r="I1263" s="24" t="str">
        <f ca="1">IFERROR(__xludf.DUMMYFUNCTION("GOOGLETRANSLATE(F1263,""en"",""pt"")"),"rolamentos de borracha")</f>
        <v>rolamentos de borracha</v>
      </c>
      <c r="J1263" t="str">
        <f>VLOOKUP(A1263,Pr_Base_LNEC!$A$4:$J$6971,6,FALSE)</f>
        <v>a</v>
      </c>
      <c r="K1263" t="str">
        <f>VLOOKUP(A1263,Pr_Base_LNEC!$A$4:$J$6971,7,FALSE)</f>
        <v>EN 1337-3:2005
 Dispositivos de apoio estruturais — Parte 3: Dispositivos de apoio elastoméricos.</v>
      </c>
    </row>
    <row r="1264" spans="1:11" ht="14.5">
      <c r="A1264" s="20" t="s">
        <v>16868</v>
      </c>
      <c r="B1264" s="20">
        <v>20</v>
      </c>
      <c r="C1264" s="20">
        <v>85</v>
      </c>
      <c r="D1264" s="20">
        <v>85</v>
      </c>
      <c r="E1264" s="20">
        <v>80</v>
      </c>
      <c r="F1264" s="20" t="s">
        <v>16869</v>
      </c>
      <c r="G1264" s="20" t="s">
        <v>16870</v>
      </c>
      <c r="H1264" s="24"/>
      <c r="I1264" s="24" t="str">
        <f ca="1">IFERROR(__xludf.DUMMYFUNCTION("GOOGLETRANSLATE(F1264,""en"",""pt"")"),"Deslizando rolamentos de superfície")</f>
        <v>Deslizando rolamentos de superfície</v>
      </c>
      <c r="J1264" t="str">
        <f>VLOOKUP(A1264,Pr_Base_LNEC!$A$4:$J$6971,6,FALSE)</f>
        <v>a</v>
      </c>
      <c r="K1264" t="str">
        <f>VLOOKUP(A1264,Pr_Base_LNEC!$A$4:$J$6971,7,FALSE)</f>
        <v>EN 1337-7:2004
 Dispositivos de apoio estrutural — Parte 7: Aparelhos de apoio esféricos e cilíndricos comportando o PTFE</v>
      </c>
    </row>
    <row r="1265" spans="1:11" ht="14.5">
      <c r="A1265" s="20" t="s">
        <v>16871</v>
      </c>
      <c r="B1265" s="20">
        <v>20</v>
      </c>
      <c r="C1265" s="20">
        <v>85</v>
      </c>
      <c r="D1265" s="20">
        <v>85</v>
      </c>
      <c r="E1265" s="20">
        <v>84</v>
      </c>
      <c r="F1265" s="20" t="s">
        <v>16872</v>
      </c>
      <c r="G1265" s="20" t="s">
        <v>16873</v>
      </c>
      <c r="H1265" s="24"/>
      <c r="I1265" s="24" t="str">
        <f ca="1">IFERROR(__xludf.DUMMYFUNCTION("GOOGLETRANSLATE(F1265,""en"",""pt"")"),"fezes de aço inoxidável")</f>
        <v>fezes de aço inoxidável</v>
      </c>
      <c r="J1265" t="str">
        <f>VLOOKUP(A1265,Pr_Base_LNEC!$A$4:$J$6971,6,FALSE)</f>
        <v>a</v>
      </c>
      <c r="K1265" t="str">
        <f>VLOOKUP(A1265,Pr_Base_LNEC!$A$4:$J$6971,7,FALSE)</f>
        <v>EN 10088-5:2009
 Aços inoxidáveis — Parte 5: Condições técnicas de fornecimento para barras, perfis, perfis trefilados, arame e produtos brilhantes de aço resistente à corrosão para aplicações na construção</v>
      </c>
    </row>
    <row r="1266" spans="1:11" ht="14.5">
      <c r="A1266" s="20" t="s">
        <v>16874</v>
      </c>
      <c r="B1266" s="20">
        <v>20</v>
      </c>
      <c r="C1266" s="20">
        <v>85</v>
      </c>
      <c r="D1266" s="20">
        <v>86</v>
      </c>
      <c r="E1266" s="24"/>
      <c r="F1266" s="20" t="s">
        <v>16875</v>
      </c>
      <c r="G1266" s="24"/>
      <c r="H1266" s="24"/>
      <c r="I1266" s="24" t="str">
        <f ca="1">IFERROR(__xludf.DUMMYFUNCTION("GOOGLETRANSLATE(F1266,""en"",""pt"")"),"Struts e adereços")</f>
        <v>Struts e adereços</v>
      </c>
      <c r="J1266" t="str">
        <f>VLOOKUP(A1266,Pr_Base_LNEC!$A$4:$J$6971,6,FALSE)</f>
        <v>a</v>
      </c>
      <c r="K1266">
        <f>VLOOKUP(A1266,Pr_Base_LNEC!$A$4:$J$6971,7,FALSE)</f>
        <v>0</v>
      </c>
    </row>
    <row r="1267" spans="1:11" ht="14.5">
      <c r="A1267" s="20" t="s">
        <v>16876</v>
      </c>
      <c r="B1267" s="20">
        <v>20</v>
      </c>
      <c r="C1267" s="20">
        <v>85</v>
      </c>
      <c r="D1267" s="20">
        <v>86</v>
      </c>
      <c r="E1267" s="20">
        <v>11</v>
      </c>
      <c r="F1267" s="20" t="s">
        <v>16877</v>
      </c>
      <c r="G1267" s="20" t="s">
        <v>16878</v>
      </c>
      <c r="H1267" s="24"/>
      <c r="I1267" s="24" t="str">
        <f ca="1">IFERROR(__xludf.DUMMYFUNCTION("GOOGLETRANSLATE(F1267,""en"",""pt"")"),"suportes de aço de carbono")</f>
        <v>suportes de aço de carbono</v>
      </c>
      <c r="J1267" t="str">
        <f>VLOOKUP(A1267,Pr_Base_LNEC!$A$4:$J$6971,6,FALSE)</f>
        <v>-</v>
      </c>
      <c r="K1267">
        <f>VLOOKUP(A1267,Pr_Base_LNEC!$A$4:$J$6971,7,FALSE)</f>
        <v>0</v>
      </c>
    </row>
    <row r="1268" spans="1:11" ht="14.5">
      <c r="A1268" s="20" t="s">
        <v>16879</v>
      </c>
      <c r="B1268" s="20">
        <v>20</v>
      </c>
      <c r="C1268" s="20">
        <v>85</v>
      </c>
      <c r="D1268" s="20">
        <v>86</v>
      </c>
      <c r="E1268" s="20">
        <v>30</v>
      </c>
      <c r="F1268" s="20" t="s">
        <v>16880</v>
      </c>
      <c r="G1268" s="20" t="s">
        <v>16881</v>
      </c>
      <c r="H1268" s="24"/>
      <c r="I1268" s="24" t="str">
        <f ca="1">IFERROR(__xludf.DUMMYFUNCTION("GOOGLETRANSLATE(F1268,""en"",""pt"")"),"adereços de cofragem")</f>
        <v>adereços de cofragem</v>
      </c>
      <c r="J1268" t="str">
        <f>VLOOKUP(A1268,Pr_Base_LNEC!$A$4:$J$6971,6,FALSE)</f>
        <v>-</v>
      </c>
      <c r="K1268">
        <f>VLOOKUP(A1268,Pr_Base_LNEC!$A$4:$J$6971,7,FALSE)</f>
        <v>0</v>
      </c>
    </row>
    <row r="1269" spans="1:11" ht="14.5">
      <c r="A1269" s="20" t="s">
        <v>16882</v>
      </c>
      <c r="B1269" s="20">
        <v>20</v>
      </c>
      <c r="C1269" s="20">
        <v>85</v>
      </c>
      <c r="D1269" s="20">
        <v>86</v>
      </c>
      <c r="E1269" s="20">
        <v>31</v>
      </c>
      <c r="F1269" s="20" t="s">
        <v>16883</v>
      </c>
      <c r="G1269" s="20" t="s">
        <v>16881</v>
      </c>
      <c r="H1269" s="24"/>
      <c r="I1269" s="24" t="str">
        <f ca="1">IFERROR(__xludf.DUMMYFUNCTION("GOOGLETRANSLATE(F1269,""en"",""pt"")"),"margens de cofragem")</f>
        <v>margens de cofragem</v>
      </c>
      <c r="J1269" t="str">
        <f>VLOOKUP(A1269,Pr_Base_LNEC!$A$4:$J$6971,6,FALSE)</f>
        <v>-</v>
      </c>
      <c r="K1269">
        <f>VLOOKUP(A1269,Pr_Base_LNEC!$A$4:$J$6971,7,FALSE)</f>
        <v>0</v>
      </c>
    </row>
    <row r="1270" spans="1:11" ht="14.5">
      <c r="A1270" s="20" t="s">
        <v>16884</v>
      </c>
      <c r="B1270" s="20">
        <v>20</v>
      </c>
      <c r="C1270" s="20">
        <v>85</v>
      </c>
      <c r="D1270" s="20">
        <v>86</v>
      </c>
      <c r="E1270" s="20">
        <v>76</v>
      </c>
      <c r="F1270" s="20" t="s">
        <v>16885</v>
      </c>
      <c r="G1270" s="24"/>
      <c r="H1270" s="24"/>
      <c r="I1270" s="24" t="str">
        <f ca="1">IFERROR(__xludf.DUMMYFUNCTION("GOOGLETRANSLATE(F1270,""en"",""pt"")"),"Macaco de parafuso")</f>
        <v>Macaco de parafuso</v>
      </c>
      <c r="J1270" t="str">
        <f>VLOOKUP(A1270,Pr_Base_LNEC!$A$4:$J$6971,6,FALSE)</f>
        <v>-</v>
      </c>
      <c r="K1270">
        <f>VLOOKUP(A1270,Pr_Base_LNEC!$A$4:$J$6971,7,FALSE)</f>
        <v>0</v>
      </c>
    </row>
    <row r="1271" spans="1:11" ht="14.5">
      <c r="A1271" s="20" t="s">
        <v>16886</v>
      </c>
      <c r="B1271" s="20">
        <v>20</v>
      </c>
      <c r="C1271" s="20">
        <v>85</v>
      </c>
      <c r="D1271" s="20">
        <v>86</v>
      </c>
      <c r="E1271" s="20">
        <v>84</v>
      </c>
      <c r="F1271" s="20" t="s">
        <v>16887</v>
      </c>
      <c r="G1271" s="20" t="s">
        <v>16888</v>
      </c>
      <c r="H1271" s="24"/>
      <c r="I1271" s="24" t="str">
        <f ca="1">IFERROR(__xludf.DUMMYFUNCTION("GOOGLETRANSLATE(F1271,""en"",""pt"")"),"suportes de aço inoxidável")</f>
        <v>suportes de aço inoxidável</v>
      </c>
      <c r="J1271" t="str">
        <f>VLOOKUP(A1271,Pr_Base_LNEC!$A$4:$J$6971,6,FALSE)</f>
        <v>a</v>
      </c>
      <c r="K1271" t="str">
        <f>VLOOKUP(A1271,Pr_Base_LNEC!$A$4:$J$6971,7,FALSE)</f>
        <v>EN 845-1:2013+A1:2016
 Especificação dos componentes acessórios para alvenaria — Parte 1: Amarrações, chapas de fixação, estribos de suporte e consolas</v>
      </c>
    </row>
    <row r="1272" spans="1:11" ht="14.5">
      <c r="A1272" s="20" t="s">
        <v>16889</v>
      </c>
      <c r="B1272" s="20">
        <v>20</v>
      </c>
      <c r="C1272" s="20">
        <v>85</v>
      </c>
      <c r="D1272" s="20">
        <v>86</v>
      </c>
      <c r="E1272" s="20">
        <v>89</v>
      </c>
      <c r="F1272" s="20" t="s">
        <v>16890</v>
      </c>
      <c r="G1272" s="24"/>
      <c r="H1272" s="24"/>
      <c r="I1272" s="24" t="str">
        <f ca="1">IFERROR(__xludf.DUMMYFUNCTION("GOOGLETRANSLATE(F1272,""en"",""pt"")"),"caixas de trincheira ou escudos")</f>
        <v>caixas de trincheira ou escudos</v>
      </c>
      <c r="J1272" t="str">
        <f>VLOOKUP(A1272,Pr_Base_LNEC!$A$4:$J$6971,6,FALSE)</f>
        <v>-</v>
      </c>
      <c r="K1272">
        <f>VLOOKUP(A1272,Pr_Base_LNEC!$A$4:$J$6971,7,FALSE)</f>
        <v>0</v>
      </c>
    </row>
    <row r="1273" spans="1:11" ht="14.5">
      <c r="A1273" s="20" t="s">
        <v>16891</v>
      </c>
      <c r="B1273" s="20">
        <v>20</v>
      </c>
      <c r="C1273" s="20">
        <v>85</v>
      </c>
      <c r="D1273" s="20">
        <v>86</v>
      </c>
      <c r="E1273" s="20">
        <v>90</v>
      </c>
      <c r="F1273" s="20" t="s">
        <v>16892</v>
      </c>
      <c r="G1273" s="24"/>
      <c r="H1273" s="24"/>
      <c r="I1273" s="24" t="str">
        <f ca="1">IFERROR(__xludf.DUMMYFUNCTION("GOOGLETRANSLATE(F1273,""en"",""pt"")"),"margens de trincheira")</f>
        <v>margens de trincheira</v>
      </c>
      <c r="J1273" t="str">
        <f>VLOOKUP(A1273,Pr_Base_LNEC!$A$4:$J$6971,6,FALSE)</f>
        <v>-</v>
      </c>
      <c r="K1273">
        <f>VLOOKUP(A1273,Pr_Base_LNEC!$A$4:$J$6971,7,FALSE)</f>
        <v>0</v>
      </c>
    </row>
    <row r="1274" spans="1:11" ht="14.5">
      <c r="A1274" s="20" t="s">
        <v>16893</v>
      </c>
      <c r="B1274" s="20">
        <v>20</v>
      </c>
      <c r="C1274" s="20">
        <v>85</v>
      </c>
      <c r="D1274" s="20">
        <v>86</v>
      </c>
      <c r="E1274" s="20">
        <v>91</v>
      </c>
      <c r="F1274" s="20" t="s">
        <v>16894</v>
      </c>
      <c r="G1274" s="24"/>
      <c r="H1274" s="24"/>
      <c r="I1274" s="24" t="str">
        <f ca="1">IFERROR(__xludf.DUMMYFUNCTION("GOOGLETRANSLATE(F1274,""en"",""pt"")"),"struts trincheira")</f>
        <v>struts trincheira</v>
      </c>
      <c r="J1274" t="str">
        <f>VLOOKUP(A1274,Pr_Base_LNEC!$A$4:$J$6971,6,FALSE)</f>
        <v>-</v>
      </c>
      <c r="K1274">
        <f>VLOOKUP(A1274,Pr_Base_LNEC!$A$4:$J$6971,7,FALSE)</f>
        <v>0</v>
      </c>
    </row>
    <row r="1275" spans="1:11" ht="14.5">
      <c r="A1275" s="20" t="s">
        <v>16895</v>
      </c>
      <c r="B1275" s="20">
        <v>20</v>
      </c>
      <c r="C1275" s="20">
        <v>85</v>
      </c>
      <c r="D1275" s="20">
        <v>88</v>
      </c>
      <c r="E1275" s="24"/>
      <c r="F1275" s="20" t="s">
        <v>16896</v>
      </c>
      <c r="G1275" s="24"/>
      <c r="H1275" s="24"/>
      <c r="I1275" s="24" t="str">
        <f ca="1">IFERROR(__xludf.DUMMYFUNCTION("GOOGLETRANSLATE(F1275,""en"",""pt"")"),"camas de pista")</f>
        <v>camas de pista</v>
      </c>
      <c r="J1275" t="str">
        <f>VLOOKUP(A1275,Pr_Base_LNEC!$A$4:$J$6971,6,FALSE)</f>
        <v>?</v>
      </c>
      <c r="K1275">
        <f>VLOOKUP(A1275,Pr_Base_LNEC!$A$4:$J$6971,7,FALSE)</f>
        <v>0</v>
      </c>
    </row>
    <row r="1276" spans="1:11" ht="14.5">
      <c r="A1276" s="20" t="s">
        <v>16897</v>
      </c>
      <c r="B1276" s="20">
        <v>20</v>
      </c>
      <c r="C1276" s="20">
        <v>85</v>
      </c>
      <c r="D1276" s="20">
        <v>88</v>
      </c>
      <c r="E1276" s="20">
        <v>6</v>
      </c>
      <c r="F1276" s="20" t="s">
        <v>16898</v>
      </c>
      <c r="G1276" s="24"/>
      <c r="H1276" s="24"/>
      <c r="I1276" s="24" t="str">
        <f ca="1">IFERROR(__xludf.DUMMYFUNCTION("GOOGLETRANSLATE(F1276,""en"",""pt"")"),"esteiras de lastro")</f>
        <v>esteiras de lastro</v>
      </c>
      <c r="J1276" t="str">
        <f>VLOOKUP(A1276,Pr_Base_LNEC!$A$4:$J$6971,6,FALSE)</f>
        <v>-</v>
      </c>
      <c r="K1276">
        <f>VLOOKUP(A1276,Pr_Base_LNEC!$A$4:$J$6971,7,FALSE)</f>
        <v>0</v>
      </c>
    </row>
    <row r="1277" spans="1:11" ht="14.5">
      <c r="A1277" s="20" t="s">
        <v>16899</v>
      </c>
      <c r="B1277" s="20">
        <v>20</v>
      </c>
      <c r="C1277" s="20">
        <v>85</v>
      </c>
      <c r="D1277" s="20">
        <v>88</v>
      </c>
      <c r="E1277" s="20">
        <v>7</v>
      </c>
      <c r="F1277" s="20" t="s">
        <v>16900</v>
      </c>
      <c r="G1277" s="24"/>
      <c r="H1277" s="24"/>
      <c r="I1277" s="24" t="str">
        <f ca="1">IFERROR(__xludf.DUMMYFUNCTION("GOOGLETRANSLATE(F1277,""en"",""pt"")"),"Lastro track beds")</f>
        <v>Lastro track beds</v>
      </c>
      <c r="J1277" t="str">
        <f>VLOOKUP(A1277,Pr_Base_LNEC!$A$4:$J$6971,6,FALSE)</f>
        <v>-</v>
      </c>
      <c r="K1277">
        <f>VLOOKUP(A1277,Pr_Base_LNEC!$A$4:$J$6971,7,FALSE)</f>
        <v>0</v>
      </c>
    </row>
    <row r="1278" spans="1:11" ht="14.5">
      <c r="A1278" s="20" t="s">
        <v>16901</v>
      </c>
      <c r="B1278" s="20">
        <v>20</v>
      </c>
      <c r="C1278" s="20">
        <v>85</v>
      </c>
      <c r="D1278" s="20">
        <v>88</v>
      </c>
      <c r="E1278" s="20">
        <v>17</v>
      </c>
      <c r="F1278" s="20" t="s">
        <v>16902</v>
      </c>
      <c r="G1278" s="20" t="s">
        <v>16903</v>
      </c>
      <c r="H1278" s="24"/>
      <c r="I1278" s="24" t="str">
        <f ca="1">IFERROR(__xludf.DUMMYFUNCTION("GOOGLETRANSLATE(F1278,""en"",""pt"")"),"Concretas camas de pista")</f>
        <v>Concretas camas de pista</v>
      </c>
      <c r="J1278" t="str">
        <f>VLOOKUP(A1278,Pr_Base_LNEC!$A$4:$J$6971,6,FALSE)</f>
        <v>-</v>
      </c>
      <c r="K1278">
        <f>VLOOKUP(A1278,Pr_Base_LNEC!$A$4:$J$6971,7,FALSE)</f>
        <v>0</v>
      </c>
    </row>
    <row r="1279" spans="1:11" ht="14.5">
      <c r="A1279" s="20" t="s">
        <v>16904</v>
      </c>
      <c r="B1279" s="20">
        <v>20</v>
      </c>
      <c r="C1279" s="20">
        <v>85</v>
      </c>
      <c r="D1279" s="20">
        <v>89</v>
      </c>
      <c r="E1279" s="24"/>
      <c r="F1279" s="20" t="s">
        <v>16905</v>
      </c>
      <c r="G1279" s="24"/>
      <c r="H1279" s="24"/>
      <c r="I1279" s="24" t="str">
        <f ca="1">IFERROR(__xludf.DUMMYFUNCTION("GOOGLETRANSLATE(F1279,""en"",""pt"")"),"arrestors trem")</f>
        <v>arrestors trem</v>
      </c>
      <c r="J1279" t="str">
        <f>VLOOKUP(A1279,Pr_Base_LNEC!$A$4:$J$6971,6,FALSE)</f>
        <v>?</v>
      </c>
      <c r="K1279">
        <f>VLOOKUP(A1279,Pr_Base_LNEC!$A$4:$J$6971,7,FALSE)</f>
        <v>0</v>
      </c>
    </row>
    <row r="1280" spans="1:11" ht="14.5">
      <c r="A1280" s="20" t="s">
        <v>16906</v>
      </c>
      <c r="B1280" s="20">
        <v>20</v>
      </c>
      <c r="C1280" s="20">
        <v>85</v>
      </c>
      <c r="D1280" s="20">
        <v>89</v>
      </c>
      <c r="E1280" s="20">
        <v>30</v>
      </c>
      <c r="F1280" s="20" t="s">
        <v>16907</v>
      </c>
      <c r="G1280" s="20" t="s">
        <v>16908</v>
      </c>
      <c r="H1280" s="24"/>
      <c r="I1280" s="24" t="str">
        <f ca="1">IFERROR(__xludf.DUMMYFUNCTION("GOOGLETRANSLATE(F1280,""en"",""pt"")"),"arrestors trem fixos")</f>
        <v>arrestors trem fixos</v>
      </c>
      <c r="J1280" t="str">
        <f>VLOOKUP(A1280,Pr_Base_LNEC!$A$4:$J$6971,6,FALSE)</f>
        <v>-</v>
      </c>
      <c r="K1280">
        <f>VLOOKUP(A1280,Pr_Base_LNEC!$A$4:$J$6971,7,FALSE)</f>
        <v>0</v>
      </c>
    </row>
    <row r="1281" spans="1:11" ht="14.5">
      <c r="A1281" s="20" t="s">
        <v>16909</v>
      </c>
      <c r="B1281" s="20">
        <v>20</v>
      </c>
      <c r="C1281" s="20">
        <v>85</v>
      </c>
      <c r="D1281" s="20">
        <v>89</v>
      </c>
      <c r="E1281" s="20">
        <v>31</v>
      </c>
      <c r="F1281" s="20" t="s">
        <v>16910</v>
      </c>
      <c r="G1281" s="20" t="s">
        <v>16911</v>
      </c>
      <c r="H1281" s="24"/>
      <c r="I1281" s="24" t="str">
        <f ca="1">IFERROR(__xludf.DUMMYFUNCTION("GOOGLETRANSLATE(F1281,""en"",""pt"")"),"arrestors trem Friction")</f>
        <v>arrestors trem Friction</v>
      </c>
      <c r="J1281" t="str">
        <f>VLOOKUP(A1281,Pr_Base_LNEC!$A$4:$J$6971,6,FALSE)</f>
        <v>-</v>
      </c>
      <c r="K1281">
        <f>VLOOKUP(A1281,Pr_Base_LNEC!$A$4:$J$6971,7,FALSE)</f>
        <v>0</v>
      </c>
    </row>
    <row r="1282" spans="1:11" ht="14.5">
      <c r="A1282" s="20" t="s">
        <v>16912</v>
      </c>
      <c r="B1282" s="20">
        <v>20</v>
      </c>
      <c r="C1282" s="20">
        <v>85</v>
      </c>
      <c r="D1282" s="20">
        <v>89</v>
      </c>
      <c r="E1282" s="20">
        <v>39</v>
      </c>
      <c r="F1282" s="20" t="s">
        <v>16913</v>
      </c>
      <c r="G1282" s="20" t="s">
        <v>16914</v>
      </c>
      <c r="H1282" s="24"/>
      <c r="I1282" s="24" t="str">
        <f ca="1">IFERROR(__xludf.DUMMYFUNCTION("GOOGLETRANSLATE(F1282,""en"",""pt"")"),"arrestors trem hidráulicos")</f>
        <v>arrestors trem hidráulicos</v>
      </c>
      <c r="J1282" t="str">
        <f>VLOOKUP(A1282,Pr_Base_LNEC!$A$4:$J$6971,6,FALSE)</f>
        <v>-</v>
      </c>
      <c r="K1282">
        <f>VLOOKUP(A1282,Pr_Base_LNEC!$A$4:$J$6971,7,FALSE)</f>
        <v>0</v>
      </c>
    </row>
    <row r="1283" spans="1:11" ht="14.5">
      <c r="A1283" s="20" t="s">
        <v>16915</v>
      </c>
      <c r="B1283" s="20">
        <v>20</v>
      </c>
      <c r="C1283" s="20">
        <v>85</v>
      </c>
      <c r="D1283" s="20">
        <v>90</v>
      </c>
      <c r="E1283" s="24"/>
      <c r="F1283" s="20" t="s">
        <v>16916</v>
      </c>
      <c r="G1283" s="24"/>
      <c r="H1283" s="24"/>
      <c r="I1283" s="24" t="str">
        <f ca="1">IFERROR(__xludf.DUMMYFUNCTION("GOOGLETRANSLATE(F1283,""en"",""pt"")"),"Treliças e quadros de treliça")</f>
        <v>Treliças e quadros de treliça</v>
      </c>
      <c r="J1283" t="str">
        <f>VLOOKUP(A1283,Pr_Base_LNEC!$A$4:$J$6971,6,FALSE)</f>
        <v>?</v>
      </c>
      <c r="K1283">
        <f>VLOOKUP(A1283,Pr_Base_LNEC!$A$4:$J$6971,7,FALSE)</f>
        <v>0</v>
      </c>
    </row>
    <row r="1284" spans="1:11" ht="14.5">
      <c r="A1284" s="20" t="s">
        <v>16917</v>
      </c>
      <c r="B1284" s="20">
        <v>20</v>
      </c>
      <c r="C1284" s="20">
        <v>85</v>
      </c>
      <c r="D1284" s="20">
        <v>90</v>
      </c>
      <c r="E1284" s="20">
        <v>2</v>
      </c>
      <c r="F1284" s="20" t="s">
        <v>16918</v>
      </c>
      <c r="G1284" s="20" t="s">
        <v>16919</v>
      </c>
      <c r="H1284" s="24"/>
      <c r="I1284" s="24" t="str">
        <f ca="1">IFERROR(__xludf.DUMMYFUNCTION("GOOGLETRANSLATE(F1284,""en"",""pt"")"),"treliças de treliça de alumínio e quadros")</f>
        <v>treliças de treliça de alumínio e quadros</v>
      </c>
      <c r="J1284" t="str">
        <f>VLOOKUP(A1284,Pr_Base_LNEC!$A$4:$J$6971,6,FALSE)</f>
        <v>-</v>
      </c>
      <c r="K1284">
        <f>VLOOKUP(A1284,Pr_Base_LNEC!$A$4:$J$6971,7,FALSE)</f>
        <v>0</v>
      </c>
    </row>
    <row r="1285" spans="1:11" ht="14.5">
      <c r="A1285" s="20" t="s">
        <v>16920</v>
      </c>
      <c r="B1285" s="20">
        <v>20</v>
      </c>
      <c r="C1285" s="20">
        <v>85</v>
      </c>
      <c r="D1285" s="20">
        <v>90</v>
      </c>
      <c r="E1285" s="20">
        <v>11</v>
      </c>
      <c r="F1285" s="20" t="s">
        <v>16921</v>
      </c>
      <c r="G1285" s="20" t="s">
        <v>16922</v>
      </c>
      <c r="H1285" s="24"/>
      <c r="I1285" s="24" t="str">
        <f ca="1">IFERROR(__xludf.DUMMYFUNCTION("GOOGLETRANSLATE(F1285,""en"",""pt"")"),"aço carbono estrutura vigas de piso e terças")</f>
        <v>aço carbono estrutura vigas de piso e terças</v>
      </c>
      <c r="J1285" t="str">
        <f>VLOOKUP(A1285,Pr_Base_LNEC!$A$4:$J$6971,6,FALSE)</f>
        <v>-</v>
      </c>
      <c r="K1285">
        <f>VLOOKUP(A1285,Pr_Base_LNEC!$A$4:$J$6971,7,FALSE)</f>
        <v>0</v>
      </c>
    </row>
    <row r="1286" spans="1:11" ht="14.5">
      <c r="A1286" s="20" t="s">
        <v>16923</v>
      </c>
      <c r="B1286" s="20">
        <v>20</v>
      </c>
      <c r="C1286" s="20">
        <v>85</v>
      </c>
      <c r="D1286" s="20">
        <v>90</v>
      </c>
      <c r="E1286" s="20">
        <v>12</v>
      </c>
      <c r="F1286" s="20" t="s">
        <v>16924</v>
      </c>
      <c r="G1286" s="20" t="s">
        <v>16925</v>
      </c>
      <c r="H1286" s="24"/>
      <c r="I1286" s="24" t="str">
        <f ca="1">IFERROR(__xludf.DUMMYFUNCTION("GOOGLETRANSLATE(F1286,""en"",""pt"")"),"aço carbono agudo asnas")</f>
        <v>aço carbono agudo asnas</v>
      </c>
      <c r="J1286" t="str">
        <f>VLOOKUP(A1286,Pr_Base_LNEC!$A$4:$J$6971,6,FALSE)</f>
        <v>-</v>
      </c>
      <c r="K1286">
        <f>VLOOKUP(A1286,Pr_Base_LNEC!$A$4:$J$6971,7,FALSE)</f>
        <v>0</v>
      </c>
    </row>
    <row r="1287" spans="1:11" ht="14.5">
      <c r="A1287" s="20" t="s">
        <v>16926</v>
      </c>
      <c r="B1287" s="20">
        <v>20</v>
      </c>
      <c r="C1287" s="20">
        <v>85</v>
      </c>
      <c r="D1287" s="20">
        <v>90</v>
      </c>
      <c r="E1287" s="20">
        <v>36</v>
      </c>
      <c r="F1287" s="20" t="s">
        <v>16927</v>
      </c>
      <c r="G1287" s="24"/>
      <c r="H1287" s="24"/>
      <c r="I1287" s="24" t="str">
        <f ca="1">IFERROR(__xludf.DUMMYFUNCTION("GOOGLETRANSLATE(F1287,""en"",""pt"")"),"vigas de madeira treliça")</f>
        <v>vigas de madeira treliça</v>
      </c>
      <c r="J1287" t="str">
        <f>VLOOKUP(A1287,Pr_Base_LNEC!$A$4:$J$6971,6,FALSE)</f>
        <v>-</v>
      </c>
      <c r="K1287">
        <f>VLOOKUP(A1287,Pr_Base_LNEC!$A$4:$J$6971,7,FALSE)</f>
        <v>0</v>
      </c>
    </row>
    <row r="1288" spans="1:11" ht="14.5">
      <c r="A1288" s="20" t="s">
        <v>16928</v>
      </c>
      <c r="B1288" s="20">
        <v>20</v>
      </c>
      <c r="C1288" s="20">
        <v>85</v>
      </c>
      <c r="D1288" s="20">
        <v>90</v>
      </c>
      <c r="E1288" s="20">
        <v>37</v>
      </c>
      <c r="F1288" s="20" t="s">
        <v>16929</v>
      </c>
      <c r="G1288" s="24"/>
      <c r="H1288" s="24"/>
      <c r="I1288" s="24" t="str">
        <f ca="1">IFERROR(__xludf.DUMMYFUNCTION("GOOGLETRANSLATE(F1288,""en"",""pt"")"),"Hardwood amarrado vigas")</f>
        <v>Hardwood amarrado vigas</v>
      </c>
      <c r="J1288" t="str">
        <f>VLOOKUP(A1288,Pr_Base_LNEC!$A$4:$J$6971,6,FALSE)</f>
        <v>-</v>
      </c>
      <c r="K1288">
        <f>VLOOKUP(A1288,Pr_Base_LNEC!$A$4:$J$6971,7,FALSE)</f>
        <v>0</v>
      </c>
    </row>
    <row r="1289" spans="1:11" ht="14.5">
      <c r="A1289" s="20" t="s">
        <v>16930</v>
      </c>
      <c r="B1289" s="20">
        <v>20</v>
      </c>
      <c r="C1289" s="20">
        <v>85</v>
      </c>
      <c r="D1289" s="20">
        <v>90</v>
      </c>
      <c r="E1289" s="20">
        <v>38</v>
      </c>
      <c r="F1289" s="20" t="s">
        <v>16931</v>
      </c>
      <c r="G1289" s="24"/>
      <c r="H1289" s="24"/>
      <c r="I1289" s="24" t="str">
        <f ca="1">IFERROR(__xludf.DUMMYFUNCTION("GOOGLETRANSLATE(F1289,""en"",""pt"")"),"treliças de madeira")</f>
        <v>treliças de madeira</v>
      </c>
      <c r="J1289" t="str">
        <f>VLOOKUP(A1289,Pr_Base_LNEC!$A$4:$J$6971,6,FALSE)</f>
        <v>-</v>
      </c>
      <c r="K1289">
        <f>VLOOKUP(A1289,Pr_Base_LNEC!$A$4:$J$6971,7,FALSE)</f>
        <v>0</v>
      </c>
    </row>
    <row r="1290" spans="1:11" ht="14.5">
      <c r="A1290" s="20" t="s">
        <v>16932</v>
      </c>
      <c r="B1290" s="20">
        <v>20</v>
      </c>
      <c r="C1290" s="20">
        <v>85</v>
      </c>
      <c r="D1290" s="20">
        <v>90</v>
      </c>
      <c r="E1290" s="20">
        <v>81</v>
      </c>
      <c r="F1290" s="20" t="s">
        <v>16933</v>
      </c>
      <c r="G1290" s="24"/>
      <c r="H1290" s="24"/>
      <c r="I1290" s="24" t="str">
        <f ca="1">IFERROR(__xludf.DUMMYFUNCTION("GOOGLETRANSLATE(F1290,""en"",""pt"")"),"treliças de madeira mole")</f>
        <v>treliças de madeira mole</v>
      </c>
      <c r="J1290" t="str">
        <f>VLOOKUP(A1290,Pr_Base_LNEC!$A$4:$J$6971,6,FALSE)</f>
        <v>-</v>
      </c>
      <c r="K1290">
        <f>VLOOKUP(A1290,Pr_Base_LNEC!$A$4:$J$6971,7,FALSE)</f>
        <v>0</v>
      </c>
    </row>
    <row r="1291" spans="1:11" ht="14.5">
      <c r="A1291" s="20" t="s">
        <v>16934</v>
      </c>
      <c r="B1291" s="20">
        <v>20</v>
      </c>
      <c r="C1291" s="20">
        <v>85</v>
      </c>
      <c r="D1291" s="20">
        <v>90</v>
      </c>
      <c r="E1291" s="20">
        <v>82</v>
      </c>
      <c r="F1291" s="20" t="s">
        <v>16935</v>
      </c>
      <c r="G1291" s="20" t="s">
        <v>16936</v>
      </c>
      <c r="H1291" s="24"/>
      <c r="I1291" s="24" t="str">
        <f ca="1">IFERROR(__xludf.DUMMYFUNCTION("GOOGLETRANSLATE(F1291,""en"",""pt"")"),"Softwood amarrado vigas")</f>
        <v>Softwood amarrado vigas</v>
      </c>
      <c r="J1291" t="str">
        <f>VLOOKUP(A1291,Pr_Base_LNEC!$A$4:$J$6971,6,FALSE)</f>
        <v>-</v>
      </c>
      <c r="K1291">
        <f>VLOOKUP(A1291,Pr_Base_LNEC!$A$4:$J$6971,7,FALSE)</f>
        <v>0</v>
      </c>
    </row>
    <row r="1292" spans="1:11" ht="14.5">
      <c r="A1292" s="20" t="s">
        <v>16937</v>
      </c>
      <c r="B1292" s="20">
        <v>20</v>
      </c>
      <c r="C1292" s="20">
        <v>85</v>
      </c>
      <c r="D1292" s="20">
        <v>90</v>
      </c>
      <c r="E1292" s="20">
        <v>84</v>
      </c>
      <c r="F1292" s="20" t="s">
        <v>16938</v>
      </c>
      <c r="G1292" s="24"/>
      <c r="H1292" s="24"/>
      <c r="I1292" s="24" t="str">
        <f ca="1">IFERROR(__xludf.DUMMYFUNCTION("GOOGLETRANSLATE(F1292,""en"",""pt"")"),"quadros de treliça de aço")</f>
        <v>quadros de treliça de aço</v>
      </c>
      <c r="J1292" t="e">
        <f>VLOOKUP(A1292,Pr_Base_LNEC!$A$4:$J$6971,6,FALSE)</f>
        <v>#N/A</v>
      </c>
      <c r="K1292" t="e">
        <f>VLOOKUP(A1292,Pr_Base_LNEC!$A$4:$J$6971,7,FALSE)</f>
        <v>#N/A</v>
      </c>
    </row>
    <row r="1293" spans="1:11" ht="14.5">
      <c r="A1293" s="20" t="s">
        <v>16939</v>
      </c>
      <c r="B1293" s="20">
        <v>20</v>
      </c>
      <c r="C1293" s="20">
        <v>93</v>
      </c>
      <c r="D1293" s="24"/>
      <c r="E1293" s="24"/>
      <c r="F1293" s="20" t="s">
        <v>16940</v>
      </c>
      <c r="G1293" s="24"/>
      <c r="H1293" s="24"/>
      <c r="I1293" s="24" t="str">
        <f ca="1">IFERROR(__xludf.DUMMYFUNCTION("GOOGLETRANSLATE(F1293,""en"",""pt"")"),"estrutura de unidade e produtos gerais")</f>
        <v>estrutura de unidade e produtos gerais</v>
      </c>
      <c r="J1293" t="str">
        <f>VLOOKUP(A1293,Pr_Base_LNEC!$A$4:$J$6971,6,FALSE)</f>
        <v>Produtos Unitárias Estruturais e Gerais</v>
      </c>
      <c r="K1293">
        <f>VLOOKUP(A1293,Pr_Base_LNEC!$A$4:$J$6971,7,FALSE)</f>
        <v>0</v>
      </c>
    </row>
    <row r="1294" spans="1:11" ht="14.5">
      <c r="A1294" s="20" t="s">
        <v>16941</v>
      </c>
      <c r="B1294" s="20">
        <v>20</v>
      </c>
      <c r="C1294" s="20">
        <v>93</v>
      </c>
      <c r="D1294" s="20">
        <v>33</v>
      </c>
      <c r="E1294" s="24"/>
      <c r="F1294" s="20" t="s">
        <v>16942</v>
      </c>
      <c r="G1294" s="24"/>
      <c r="H1294" s="24"/>
      <c r="I1294" s="24" t="str">
        <f ca="1">IFERROR(__xludf.DUMMYFUNCTION("GOOGLETRANSLATE(F1294,""en"",""pt"")"),"blocos e painéis de vidro")</f>
        <v>blocos e painéis de vidro</v>
      </c>
      <c r="J1294" t="str">
        <f>VLOOKUP(A1294,Pr_Base_LNEC!$A$4:$J$6971,6,FALSE)</f>
        <v>?</v>
      </c>
      <c r="K1294">
        <f>VLOOKUP(A1294,Pr_Base_LNEC!$A$4:$J$6971,7,FALSE)</f>
        <v>0</v>
      </c>
    </row>
    <row r="1295" spans="1:11" ht="14.5">
      <c r="A1295" s="20" t="s">
        <v>16943</v>
      </c>
      <c r="B1295" s="20">
        <v>20</v>
      </c>
      <c r="C1295" s="20">
        <v>93</v>
      </c>
      <c r="D1295" s="20">
        <v>33</v>
      </c>
      <c r="E1295" s="20">
        <v>12</v>
      </c>
      <c r="F1295" s="20" t="s">
        <v>16944</v>
      </c>
      <c r="G1295" s="20" t="s">
        <v>16945</v>
      </c>
      <c r="H1295" s="24"/>
      <c r="I1295" s="24" t="str">
        <f ca="1">IFERROR(__xludf.DUMMYFUNCTION("GOOGLETRANSLATE(F1295,""en"",""pt"")"),"blocos térmico de vidro celular")</f>
        <v>blocos térmico de vidro celular</v>
      </c>
      <c r="J1295" t="str">
        <f>VLOOKUP(A1295,Pr_Base_LNEC!$A$4:$J$6971,6,FALSE)</f>
        <v>a</v>
      </c>
      <c r="K1295" t="str">
        <f>VLOOKUP(A1295,Pr_Base_LNEC!$A$4:$J$6971,7,FALSE)</f>
        <v>EN 13167:2012+A1:2015
 Produtos de isolamento térmico para aplicação em edifícios — Produtos manufaturados de vidro celular (CG) — Especificação Especificação</v>
      </c>
    </row>
    <row r="1296" spans="1:11" ht="14.5">
      <c r="A1296" s="20" t="s">
        <v>16946</v>
      </c>
      <c r="B1296" s="20">
        <v>20</v>
      </c>
      <c r="C1296" s="20">
        <v>93</v>
      </c>
      <c r="D1296" s="20">
        <v>33</v>
      </c>
      <c r="E1296" s="20">
        <v>30</v>
      </c>
      <c r="F1296" s="20" t="s">
        <v>16947</v>
      </c>
      <c r="G1296" s="20" t="s">
        <v>16948</v>
      </c>
      <c r="H1296" s="24"/>
      <c r="I1296" s="24" t="str">
        <f ca="1">IFERROR(__xludf.DUMMYFUNCTION("GOOGLETRANSLATE(F1296,""en"",""pt"")"),"os painéis de parede de blocos de vidro de protecção contra fogos")</f>
        <v>os painéis de parede de blocos de vidro de protecção contra fogos</v>
      </c>
      <c r="J1296" t="str">
        <f>VLOOKUP(A1296,Pr_Base_LNEC!$A$4:$J$6971,6,FALSE)</f>
        <v>-</v>
      </c>
      <c r="K1296">
        <f>VLOOKUP(A1296,Pr_Base_LNEC!$A$4:$J$6971,7,FALSE)</f>
        <v>0</v>
      </c>
    </row>
    <row r="1297" spans="1:11" ht="14.5">
      <c r="A1297" s="20" t="s">
        <v>16949</v>
      </c>
      <c r="B1297" s="20">
        <v>20</v>
      </c>
      <c r="C1297" s="20">
        <v>93</v>
      </c>
      <c r="D1297" s="20">
        <v>33</v>
      </c>
      <c r="E1297" s="20">
        <v>31</v>
      </c>
      <c r="F1297" s="20" t="s">
        <v>16950</v>
      </c>
      <c r="G1297" s="20" t="s">
        <v>16951</v>
      </c>
      <c r="H1297" s="24"/>
      <c r="I1297" s="24" t="str">
        <f ca="1">IFERROR(__xludf.DUMMYFUNCTION("GOOGLETRANSLATE(F1297,""en"",""pt"")"),"O bloco de vidro secos espaçadores conjuntas")</f>
        <v>O bloco de vidro secos espaçadores conjuntas</v>
      </c>
      <c r="J1297" t="str">
        <f>VLOOKUP(A1297,Pr_Base_LNEC!$A$4:$J$6971,6,FALSE)</f>
        <v>-</v>
      </c>
      <c r="K1297">
        <f>VLOOKUP(A1297,Pr_Base_LNEC!$A$4:$J$6971,7,FALSE)</f>
        <v>0</v>
      </c>
    </row>
    <row r="1298" spans="1:11" ht="14.5">
      <c r="A1298" s="20" t="s">
        <v>16952</v>
      </c>
      <c r="B1298" s="20">
        <v>20</v>
      </c>
      <c r="C1298" s="20">
        <v>93</v>
      </c>
      <c r="D1298" s="20">
        <v>33</v>
      </c>
      <c r="E1298" s="20">
        <v>32</v>
      </c>
      <c r="F1298" s="20" t="s">
        <v>16953</v>
      </c>
      <c r="G1298" s="20" t="s">
        <v>16954</v>
      </c>
      <c r="H1298" s="24"/>
      <c r="I1298" s="24" t="str">
        <f ca="1">IFERROR(__xludf.DUMMYFUNCTION("GOOGLETRANSLATE(F1298,""en"",""pt"")"),"bloco almofariz de vidro espaçadores conjuntas")</f>
        <v>bloco almofariz de vidro espaçadores conjuntas</v>
      </c>
      <c r="J1298" t="str">
        <f>VLOOKUP(A1298,Pr_Base_LNEC!$A$4:$J$6971,6,FALSE)</f>
        <v>-</v>
      </c>
      <c r="K1298">
        <f>VLOOKUP(A1298,Pr_Base_LNEC!$A$4:$J$6971,7,FALSE)</f>
        <v>0</v>
      </c>
    </row>
    <row r="1299" spans="1:11" ht="14.5">
      <c r="A1299" s="20" t="s">
        <v>16955</v>
      </c>
      <c r="B1299" s="20">
        <v>20</v>
      </c>
      <c r="C1299" s="20">
        <v>93</v>
      </c>
      <c r="D1299" s="20">
        <v>33</v>
      </c>
      <c r="E1299" s="20">
        <v>33</v>
      </c>
      <c r="F1299" s="20" t="s">
        <v>16956</v>
      </c>
      <c r="G1299" s="20" t="s">
        <v>16957</v>
      </c>
      <c r="H1299" s="24"/>
      <c r="I1299" s="24" t="str">
        <f ca="1">IFERROR(__xludf.DUMMYFUNCTION("GOOGLETRANSLATE(F1299,""en"",""pt"")"),"os painéis de parede de blocos de vidro")</f>
        <v>os painéis de parede de blocos de vidro</v>
      </c>
      <c r="J1299" t="str">
        <f>VLOOKUP(A1299,Pr_Base_LNEC!$A$4:$J$6971,6,FALSE)</f>
        <v>-</v>
      </c>
      <c r="K1299">
        <f>VLOOKUP(A1299,Pr_Base_LNEC!$A$4:$J$6971,7,FALSE)</f>
        <v>0</v>
      </c>
    </row>
    <row r="1300" spans="1:11" ht="14.5">
      <c r="A1300" s="20" t="s">
        <v>16958</v>
      </c>
      <c r="B1300" s="20">
        <v>20</v>
      </c>
      <c r="C1300" s="20">
        <v>93</v>
      </c>
      <c r="D1300" s="20">
        <v>33</v>
      </c>
      <c r="E1300" s="20">
        <v>34</v>
      </c>
      <c r="F1300" s="20" t="s">
        <v>16959</v>
      </c>
      <c r="G1300" s="20" t="s">
        <v>16960</v>
      </c>
      <c r="H1300" s="24"/>
      <c r="I1300" s="24" t="str">
        <f ca="1">IFERROR(__xludf.DUMMYFUNCTION("GOOGLETRANSLATE(F1300,""en"",""pt"")"),"blocos de vidro")</f>
        <v>blocos de vidro</v>
      </c>
      <c r="J1300" t="str">
        <f>VLOOKUP(A1300,Pr_Base_LNEC!$A$4:$J$6971,6,FALSE)</f>
        <v>-</v>
      </c>
      <c r="K1300">
        <f>VLOOKUP(A1300,Pr_Base_LNEC!$A$4:$J$6971,7,FALSE)</f>
        <v>0</v>
      </c>
    </row>
    <row r="1301" spans="1:11" ht="14.5">
      <c r="A1301" s="20" t="s">
        <v>16961</v>
      </c>
      <c r="B1301" s="20">
        <v>20</v>
      </c>
      <c r="C1301" s="20">
        <v>93</v>
      </c>
      <c r="D1301" s="20">
        <v>33</v>
      </c>
      <c r="E1301" s="20">
        <v>52</v>
      </c>
      <c r="F1301" s="20" t="s">
        <v>16962</v>
      </c>
      <c r="G1301" s="20" t="s">
        <v>16963</v>
      </c>
      <c r="H1301" s="24"/>
      <c r="I1301" s="24" t="str">
        <f ca="1">IFERROR(__xludf.DUMMYFUNCTION("GOOGLETRANSLATE(F1301,""en"",""pt"")"),"os painéis de parede de blocos de vidro juntas de argamassa")</f>
        <v>os painéis de parede de blocos de vidro juntas de argamassa</v>
      </c>
      <c r="J1301" t="str">
        <f>VLOOKUP(A1301,Pr_Base_LNEC!$A$4:$J$6971,6,FALSE)</f>
        <v>-</v>
      </c>
      <c r="K1301">
        <f>VLOOKUP(A1301,Pr_Base_LNEC!$A$4:$J$6971,7,FALSE)</f>
        <v>0</v>
      </c>
    </row>
    <row r="1302" spans="1:11" ht="14.5">
      <c r="A1302" s="20" t="s">
        <v>16964</v>
      </c>
      <c r="B1302" s="20">
        <v>20</v>
      </c>
      <c r="C1302" s="20">
        <v>93</v>
      </c>
      <c r="D1302" s="20">
        <v>33</v>
      </c>
      <c r="E1302" s="20">
        <v>53</v>
      </c>
      <c r="F1302" s="20" t="s">
        <v>16965</v>
      </c>
      <c r="G1302" s="20" t="s">
        <v>16966</v>
      </c>
      <c r="H1302" s="24"/>
      <c r="I1302" s="24" t="str">
        <f ca="1">IFERROR(__xludf.DUMMYFUNCTION("GOOGLETRANSLATE(F1302,""en"",""pt"")"),"Argamassa articulado e selante painéis de parede de blocos de vidro aguçado")</f>
        <v>Argamassa articulado e selante painéis de parede de blocos de vidro aguçado</v>
      </c>
      <c r="J1302" t="str">
        <f>VLOOKUP(A1302,Pr_Base_LNEC!$A$4:$J$6971,6,FALSE)</f>
        <v>-</v>
      </c>
      <c r="K1302">
        <f>VLOOKUP(A1302,Pr_Base_LNEC!$A$4:$J$6971,7,FALSE)</f>
        <v>0</v>
      </c>
    </row>
    <row r="1303" spans="1:11" ht="14.5">
      <c r="A1303" s="20" t="s">
        <v>16967</v>
      </c>
      <c r="B1303" s="20">
        <v>20</v>
      </c>
      <c r="C1303" s="20">
        <v>93</v>
      </c>
      <c r="D1303" s="20">
        <v>33</v>
      </c>
      <c r="E1303" s="20">
        <v>76</v>
      </c>
      <c r="F1303" s="20" t="s">
        <v>16968</v>
      </c>
      <c r="G1303" s="20" t="s">
        <v>16969</v>
      </c>
      <c r="H1303" s="24"/>
      <c r="I1303" s="24" t="str">
        <f ca="1">IFERROR(__xludf.DUMMYFUNCTION("GOOGLETRANSLATE(F1303,""en"",""pt"")"),"Selante painéis de parede de blocos de vidro articulado")</f>
        <v>Selante painéis de parede de blocos de vidro articulado</v>
      </c>
      <c r="J1303" t="str">
        <f>VLOOKUP(A1303,Pr_Base_LNEC!$A$4:$J$6971,6,FALSE)</f>
        <v>-</v>
      </c>
      <c r="K1303">
        <f>VLOOKUP(A1303,Pr_Base_LNEC!$A$4:$J$6971,7,FALSE)</f>
        <v>0</v>
      </c>
    </row>
    <row r="1304" spans="1:11" ht="14.5">
      <c r="A1304" s="20" t="s">
        <v>16970</v>
      </c>
      <c r="B1304" s="20">
        <v>20</v>
      </c>
      <c r="C1304" s="20">
        <v>93</v>
      </c>
      <c r="D1304" s="20">
        <v>37</v>
      </c>
      <c r="E1304" s="24"/>
      <c r="F1304" s="20" t="s">
        <v>16971</v>
      </c>
      <c r="G1304" s="24"/>
      <c r="H1304" s="24"/>
      <c r="I1304" s="24" t="str">
        <f ca="1">IFERROR(__xludf.DUMMYFUNCTION("GOOGLETRANSLATE(F1304,""en"",""pt"")"),"Headwall e produtos de entrada swale")</f>
        <v>Headwall e produtos de entrada swale</v>
      </c>
      <c r="J1304" t="str">
        <f>VLOOKUP(A1304,Pr_Base_LNEC!$A$4:$J$6971,6,FALSE)</f>
        <v>?</v>
      </c>
      <c r="K1304">
        <f>VLOOKUP(A1304,Pr_Base_LNEC!$A$4:$J$6971,7,FALSE)</f>
        <v>0</v>
      </c>
    </row>
    <row r="1305" spans="1:11" ht="14.5">
      <c r="A1305" s="20" t="s">
        <v>16972</v>
      </c>
      <c r="B1305" s="20">
        <v>20</v>
      </c>
      <c r="C1305" s="20">
        <v>93</v>
      </c>
      <c r="D1305" s="20">
        <v>37</v>
      </c>
      <c r="E1305" s="20">
        <v>62</v>
      </c>
      <c r="F1305" s="20" t="s">
        <v>16973</v>
      </c>
      <c r="G1305" s="20" t="s">
        <v>16974</v>
      </c>
      <c r="H1305" s="24"/>
      <c r="I1305" s="24" t="str">
        <f ca="1">IFERROR(__xludf.DUMMYFUNCTION("GOOGLETRANSLATE(F1305,""en"",""pt"")"),"Plásticos headwall unidades")</f>
        <v>Plásticos headwall unidades</v>
      </c>
      <c r="J1305" t="str">
        <f>VLOOKUP(A1305,Pr_Base_LNEC!$A$4:$J$6971,6,FALSE)</f>
        <v>-</v>
      </c>
      <c r="K1305">
        <f>VLOOKUP(A1305,Pr_Base_LNEC!$A$4:$J$6971,7,FALSE)</f>
        <v>0</v>
      </c>
    </row>
    <row r="1306" spans="1:11" ht="14.5">
      <c r="A1306" s="20" t="s">
        <v>16975</v>
      </c>
      <c r="B1306" s="20">
        <v>20</v>
      </c>
      <c r="C1306" s="20">
        <v>93</v>
      </c>
      <c r="D1306" s="20">
        <v>37</v>
      </c>
      <c r="E1306" s="20">
        <v>63</v>
      </c>
      <c r="F1306" s="20" t="s">
        <v>16976</v>
      </c>
      <c r="G1306" s="20" t="s">
        <v>16977</v>
      </c>
      <c r="H1306" s="24"/>
      <c r="I1306" s="24" t="str">
        <f ca="1">IFERROR(__xludf.DUMMYFUNCTION("GOOGLETRANSLATE(F1306,""en"",""pt"")"),"Plásticos SWALE entradas")</f>
        <v>Plásticos SWALE entradas</v>
      </c>
      <c r="J1306" t="str">
        <f>VLOOKUP(A1306,Pr_Base_LNEC!$A$4:$J$6971,6,FALSE)</f>
        <v>-</v>
      </c>
      <c r="K1306">
        <f>VLOOKUP(A1306,Pr_Base_LNEC!$A$4:$J$6971,7,FALSE)</f>
        <v>0</v>
      </c>
    </row>
    <row r="1307" spans="1:11" ht="14.5">
      <c r="A1307" s="20" t="s">
        <v>16978</v>
      </c>
      <c r="B1307" s="20">
        <v>20</v>
      </c>
      <c r="C1307" s="20">
        <v>93</v>
      </c>
      <c r="D1307" s="20">
        <v>37</v>
      </c>
      <c r="E1307" s="20">
        <v>65</v>
      </c>
      <c r="F1307" s="20" t="s">
        <v>16979</v>
      </c>
      <c r="G1307" s="20" t="s">
        <v>16980</v>
      </c>
      <c r="H1307" s="24"/>
      <c r="I1307" s="24" t="str">
        <f ca="1">IFERROR(__xludf.DUMMYFUNCTION("GOOGLETRANSLATE(F1307,""en"",""pt"")"),"unidades de concreto pré-moldado headwall")</f>
        <v>unidades de concreto pré-moldado headwall</v>
      </c>
      <c r="J1307" t="str">
        <f>VLOOKUP(A1307,Pr_Base_LNEC!$A$4:$J$6971,6,FALSE)</f>
        <v>-</v>
      </c>
      <c r="K1307">
        <f>VLOOKUP(A1307,Pr_Base_LNEC!$A$4:$J$6971,7,FALSE)</f>
        <v>0</v>
      </c>
    </row>
    <row r="1308" spans="1:11" ht="14.5">
      <c r="A1308" s="20" t="s">
        <v>16981</v>
      </c>
      <c r="B1308" s="20">
        <v>20</v>
      </c>
      <c r="C1308" s="20">
        <v>93</v>
      </c>
      <c r="D1308" s="20">
        <v>37</v>
      </c>
      <c r="E1308" s="20">
        <v>66</v>
      </c>
      <c r="F1308" s="20" t="s">
        <v>16982</v>
      </c>
      <c r="G1308" s="20" t="s">
        <v>16983</v>
      </c>
      <c r="H1308" s="24"/>
      <c r="I1308" s="24" t="str">
        <f ca="1">IFERROR(__xludf.DUMMYFUNCTION("GOOGLETRANSLATE(F1308,""en"",""pt"")"),"Pré-moldados de concreto entradas Swale")</f>
        <v>Pré-moldados de concreto entradas Swale</v>
      </c>
      <c r="J1308" t="str">
        <f>VLOOKUP(A1308,Pr_Base_LNEC!$A$4:$J$6971,6,FALSE)</f>
        <v>-</v>
      </c>
      <c r="K1308">
        <f>VLOOKUP(A1308,Pr_Base_LNEC!$A$4:$J$6971,7,FALSE)</f>
        <v>0</v>
      </c>
    </row>
    <row r="1309" spans="1:11" ht="14.5">
      <c r="A1309" s="20" t="s">
        <v>16984</v>
      </c>
      <c r="B1309" s="20">
        <v>20</v>
      </c>
      <c r="C1309" s="20">
        <v>93</v>
      </c>
      <c r="D1309" s="20">
        <v>51</v>
      </c>
      <c r="E1309" s="24"/>
      <c r="F1309" s="20" t="s">
        <v>16985</v>
      </c>
      <c r="G1309" s="24"/>
      <c r="H1309" s="24"/>
      <c r="I1309" s="24" t="str">
        <f ca="1">IFERROR(__xludf.DUMMYFUNCTION("GOOGLETRANSLATE(F1309,""en"",""pt"")"),"Alvenaria unidades piso")</f>
        <v>Alvenaria unidades piso</v>
      </c>
      <c r="J1309" t="str">
        <f>VLOOKUP(A1309,Pr_Base_LNEC!$A$4:$J$6971,6,FALSE)</f>
        <v>a</v>
      </c>
      <c r="K1309">
        <f>VLOOKUP(A1309,Pr_Base_LNEC!$A$4:$J$6971,7,FALSE)</f>
        <v>0</v>
      </c>
    </row>
    <row r="1310" spans="1:11" ht="14.5">
      <c r="A1310" s="20" t="s">
        <v>16986</v>
      </c>
      <c r="B1310" s="20">
        <v>20</v>
      </c>
      <c r="C1310" s="20">
        <v>93</v>
      </c>
      <c r="D1310" s="20">
        <v>51</v>
      </c>
      <c r="E1310" s="20">
        <v>2</v>
      </c>
      <c r="F1310" s="20" t="s">
        <v>16987</v>
      </c>
      <c r="G1310" s="20" t="s">
        <v>16988</v>
      </c>
      <c r="H1310" s="24"/>
      <c r="I1310" s="24" t="str">
        <f ca="1">IFERROR(__xludf.DUMMYFUNCTION("GOOGLETRANSLATE(F1310,""en"",""pt"")"),"blocos de enchimento de concreto agregado")</f>
        <v>blocos de enchimento de concreto agregado</v>
      </c>
      <c r="J1310" t="str">
        <f>VLOOKUP(A1310,Pr_Base_LNEC!$A$4:$J$6971,6,FALSE)</f>
        <v>a</v>
      </c>
      <c r="K1310" t="str">
        <f>VLOOKUP(A1310,Pr_Base_LNEC!$A$4:$J$6971,7,FALSE)</f>
        <v>EN 771-3:2011+A1:2015
 Especificações para unidades de alvenaria — Parte 3: Blocos de betão de agregados (densos e leves)</v>
      </c>
    </row>
    <row r="1311" spans="1:11" ht="14.5">
      <c r="A1311" s="20" t="s">
        <v>16989</v>
      </c>
      <c r="B1311" s="20">
        <v>20</v>
      </c>
      <c r="C1311" s="20">
        <v>93</v>
      </c>
      <c r="D1311" s="20">
        <v>51</v>
      </c>
      <c r="E1311" s="20">
        <v>5</v>
      </c>
      <c r="F1311" s="20" t="s">
        <v>16990</v>
      </c>
      <c r="G1311" s="20" t="s">
        <v>16991</v>
      </c>
      <c r="H1311" s="24"/>
      <c r="I1311" s="24" t="str">
        <f ca="1">IFERROR(__xludf.DUMMYFUNCTION("GOOGLETRANSLATE(F1311,""en"",""pt"")"),"concretas (AAC) blocos de enchimento celular autoclavado")</f>
        <v>concretas (AAC) blocos de enchimento celular autoclavado</v>
      </c>
      <c r="J1311" t="str">
        <f>VLOOKUP(A1311,Pr_Base_LNEC!$A$4:$J$6971,6,FALSE)</f>
        <v>a</v>
      </c>
      <c r="K1311" t="str">
        <f>VLOOKUP(A1311,Pr_Base_LNEC!$A$4:$J$6971,7,FALSE)</f>
        <v>EN 771-4:2011+A1:2015
 Especificações para unidades de alvenaria — Parte 4: Blocos de betão celular autoclavado</v>
      </c>
    </row>
    <row r="1312" spans="1:11" ht="14.5">
      <c r="A1312" s="20" t="s">
        <v>16992</v>
      </c>
      <c r="B1312" s="20">
        <v>20</v>
      </c>
      <c r="C1312" s="20">
        <v>93</v>
      </c>
      <c r="D1312" s="20">
        <v>51</v>
      </c>
      <c r="E1312" s="20">
        <v>28</v>
      </c>
      <c r="F1312" s="20" t="s">
        <v>16993</v>
      </c>
      <c r="G1312" s="20" t="s">
        <v>16994</v>
      </c>
      <c r="H1312" s="24"/>
      <c r="I1312" s="24" t="str">
        <f ca="1">IFERROR(__xludf.DUMMYFUNCTION("GOOGLETRANSLATE(F1312,""en"",""pt"")"),"poliestireno expandido (EPS) blocos de enchimento expandidas")</f>
        <v>poliestireno expandido (EPS) blocos de enchimento expandidas</v>
      </c>
      <c r="J1312" t="str">
        <f>VLOOKUP(A1312,Pr_Base_LNEC!$A$4:$J$6971,6,FALSE)</f>
        <v>a</v>
      </c>
      <c r="K1312" t="str">
        <f>VLOOKUP(A1312,Pr_Base_LNEC!$A$4:$J$6971,7,FALSE)</f>
        <v>EN 15037-4:2010+A1:2013
 Produtos prefabricados de betão — Pavimentos com vigotas e blocos de cofragem — Parte 4: Blocos de poliestireno expandido</v>
      </c>
    </row>
    <row r="1313" spans="1:11" ht="14.5">
      <c r="A1313" s="20" t="s">
        <v>16995</v>
      </c>
      <c r="B1313" s="20">
        <v>20</v>
      </c>
      <c r="C1313" s="20">
        <v>93</v>
      </c>
      <c r="D1313" s="20">
        <v>52</v>
      </c>
      <c r="E1313" s="24"/>
      <c r="F1313" s="20" t="s">
        <v>16996</v>
      </c>
      <c r="G1313" s="24"/>
      <c r="H1313" s="24"/>
      <c r="I1313" s="24" t="str">
        <f ca="1">IFERROR(__xludf.DUMMYFUNCTION("GOOGLETRANSLATE(F1313,""en"",""pt"")"),"unidades de paredes de alvenaria")</f>
        <v>unidades de paredes de alvenaria</v>
      </c>
      <c r="J1313" t="str">
        <f>VLOOKUP(A1313,Pr_Base_LNEC!$A$4:$J$6971,6,FALSE)</f>
        <v>Unidades de Alvenaria</v>
      </c>
      <c r="K1313">
        <f>VLOOKUP(A1313,Pr_Base_LNEC!$A$4:$J$6971,7,FALSE)</f>
        <v>0</v>
      </c>
    </row>
    <row r="1314" spans="1:11" ht="14.5">
      <c r="A1314" s="20" t="s">
        <v>16997</v>
      </c>
      <c r="B1314" s="20">
        <v>20</v>
      </c>
      <c r="C1314" s="20">
        <v>93</v>
      </c>
      <c r="D1314" s="20">
        <v>52</v>
      </c>
      <c r="E1314" s="20">
        <v>1</v>
      </c>
      <c r="F1314" s="20" t="s">
        <v>16998</v>
      </c>
      <c r="G1314" s="20" t="s">
        <v>16999</v>
      </c>
      <c r="H1314" s="24"/>
      <c r="I1314" s="24" t="str">
        <f ca="1">IFERROR(__xludf.DUMMYFUNCTION("GOOGLETRANSLATE(F1314,""en"",""pt"")"),"blocos de concreto de agregados")</f>
        <v>blocos de concreto de agregados</v>
      </c>
      <c r="J1314" t="str">
        <f>VLOOKUP(A1314,Pr_Base_LNEC!$A$4:$J$6971,6,FALSE)</f>
        <v>Blocos de betão de agregados (densos e leves)</v>
      </c>
      <c r="K1314" t="str">
        <f>VLOOKUP(A1314,Pr_Base_LNEC!$A$4:$J$6971,7,FALSE)</f>
        <v>EN 771-3:2011+A1:2015</v>
      </c>
    </row>
    <row r="1315" spans="1:11" ht="14.5">
      <c r="A1315" s="20" t="s">
        <v>17000</v>
      </c>
      <c r="B1315" s="20">
        <v>20</v>
      </c>
      <c r="C1315" s="20">
        <v>93</v>
      </c>
      <c r="D1315" s="20">
        <v>52</v>
      </c>
      <c r="E1315" s="20">
        <v>2</v>
      </c>
      <c r="F1315" s="20" t="s">
        <v>17001</v>
      </c>
      <c r="G1315" s="20" t="s">
        <v>17002</v>
      </c>
      <c r="H1315" s="24"/>
      <c r="I1315" s="24" t="str">
        <f ca="1">IFERROR(__xludf.DUMMYFUNCTION("GOOGLETRANSLATE(F1315,""en"",""pt"")"),"tijolos de concreto de agregados")</f>
        <v>tijolos de concreto de agregados</v>
      </c>
      <c r="J1315" t="str">
        <f>VLOOKUP(A1315,Pr_Base_LNEC!$A$4:$J$6971,6,FALSE)</f>
        <v>a</v>
      </c>
      <c r="K1315" t="str">
        <f>VLOOKUP(A1315,Pr_Base_LNEC!$A$4:$J$6971,7,FALSE)</f>
        <v>EN 771-3:2011+A1:2015</v>
      </c>
    </row>
    <row r="1316" spans="1:11" ht="14.5">
      <c r="A1316" s="20" t="s">
        <v>17003</v>
      </c>
      <c r="B1316" s="20">
        <v>20</v>
      </c>
      <c r="C1316" s="20">
        <v>93</v>
      </c>
      <c r="D1316" s="20">
        <v>52</v>
      </c>
      <c r="E1316" s="20">
        <v>5</v>
      </c>
      <c r="F1316" s="20" t="s">
        <v>17004</v>
      </c>
      <c r="G1316" s="20" t="s">
        <v>17005</v>
      </c>
      <c r="H1316" s="24"/>
      <c r="I1316" s="24" t="str">
        <f ca="1">IFERROR(__xludf.DUMMYFUNCTION("GOOGLETRANSLATE(F1316,""en"",""pt"")"),"concretas (AAC) bloqueia celular autoclavado")</f>
        <v>concretas (AAC) bloqueia celular autoclavado</v>
      </c>
      <c r="J1316" t="str">
        <f>VLOOKUP(A1316,Pr_Base_LNEC!$A$4:$J$6971,6,FALSE)</f>
        <v>Blocos de betão celular autoclavado gaseificado (AAC)</v>
      </c>
      <c r="K1316" t="str">
        <f>VLOOKUP(A1316,Pr_Base_LNEC!$A$4:$J$6971,7,FALSE)</f>
        <v>EN 771-4:2011+A1:2015</v>
      </c>
    </row>
    <row r="1317" spans="1:11" ht="14.5">
      <c r="A1317" s="20" t="s">
        <v>17006</v>
      </c>
      <c r="B1317" s="20">
        <v>20</v>
      </c>
      <c r="C1317" s="20">
        <v>93</v>
      </c>
      <c r="D1317" s="20">
        <v>52</v>
      </c>
      <c r="E1317" s="20">
        <v>11</v>
      </c>
      <c r="F1317" s="20" t="s">
        <v>17007</v>
      </c>
      <c r="G1317" s="24"/>
      <c r="H1317" s="24"/>
      <c r="I1317" s="24" t="str">
        <f ca="1">IFERROR(__xludf.DUMMYFUNCTION("GOOGLETRANSLATE(F1317,""en"",""pt"")"),"blocos de silicato de cálcio")</f>
        <v>blocos de silicato de cálcio</v>
      </c>
      <c r="J1317" t="str">
        <f>VLOOKUP(A1317,Pr_Base_LNEC!$A$4:$J$6971,6,FALSE)</f>
        <v>-</v>
      </c>
      <c r="K1317">
        <f>VLOOKUP(A1317,Pr_Base_LNEC!$A$4:$J$6971,7,FALSE)</f>
        <v>0</v>
      </c>
    </row>
    <row r="1318" spans="1:11" ht="14.5">
      <c r="A1318" s="20" t="s">
        <v>17008</v>
      </c>
      <c r="B1318" s="20">
        <v>20</v>
      </c>
      <c r="C1318" s="20">
        <v>93</v>
      </c>
      <c r="D1318" s="20">
        <v>52</v>
      </c>
      <c r="E1318" s="20">
        <v>12</v>
      </c>
      <c r="F1318" s="20" t="s">
        <v>17009</v>
      </c>
      <c r="G1318" s="24"/>
      <c r="H1318" s="24"/>
      <c r="I1318" s="24" t="str">
        <f ca="1">IFERROR(__xludf.DUMMYFUNCTION("GOOGLETRANSLATE(F1318,""en"",""pt"")"),"tijolos de silicato de cálcio")</f>
        <v>tijolos de silicato de cálcio</v>
      </c>
      <c r="J1318" t="str">
        <f>VLOOKUP(A1318,Pr_Base_LNEC!$A$4:$J$6971,6,FALSE)</f>
        <v>-</v>
      </c>
      <c r="K1318">
        <f>VLOOKUP(A1318,Pr_Base_LNEC!$A$4:$J$6971,7,FALSE)</f>
        <v>0</v>
      </c>
    </row>
    <row r="1319" spans="1:11" ht="14.5">
      <c r="A1319" s="20" t="s">
        <v>17010</v>
      </c>
      <c r="B1319" s="20">
        <v>20</v>
      </c>
      <c r="C1319" s="20">
        <v>93</v>
      </c>
      <c r="D1319" s="20">
        <v>52</v>
      </c>
      <c r="E1319" s="20">
        <v>13</v>
      </c>
      <c r="F1319" s="20" t="s">
        <v>17011</v>
      </c>
      <c r="G1319" s="20" t="s">
        <v>17012</v>
      </c>
      <c r="H1319" s="24"/>
      <c r="I1319" s="24" t="str">
        <f ca="1">IFERROR(__xludf.DUMMYFUNCTION("GOOGLETRANSLATE(F1319,""en"",""pt"")"),"unidades de alvenaria de pedra elenco")</f>
        <v>unidades de alvenaria de pedra elenco</v>
      </c>
      <c r="J1319" t="str">
        <f>VLOOKUP(A1319,Pr_Base_LNEC!$A$4:$J$6971,6,FALSE)</f>
        <v>-</v>
      </c>
      <c r="K1319">
        <f>VLOOKUP(A1319,Pr_Base_LNEC!$A$4:$J$6971,7,FALSE)</f>
        <v>0</v>
      </c>
    </row>
    <row r="1320" spans="1:11" ht="14.5">
      <c r="A1320" s="20" t="s">
        <v>17013</v>
      </c>
      <c r="B1320" s="20">
        <v>20</v>
      </c>
      <c r="C1320" s="20">
        <v>93</v>
      </c>
      <c r="D1320" s="20">
        <v>52</v>
      </c>
      <c r="E1320" s="20">
        <v>14</v>
      </c>
      <c r="F1320" s="20" t="s">
        <v>17014</v>
      </c>
      <c r="G1320" s="20" t="s">
        <v>17015</v>
      </c>
      <c r="H1320" s="24"/>
      <c r="I1320" s="24" t="str">
        <f ca="1">IFERROR(__xludf.DUMMYFUNCTION("GOOGLETRANSLATE(F1320,""en"",""pt"")"),"blocos de argila")</f>
        <v>blocos de argila</v>
      </c>
      <c r="J1320" t="str">
        <f>VLOOKUP(A1320,Pr_Base_LNEC!$A$4:$J$6971,6,FALSE)</f>
        <v>a</v>
      </c>
      <c r="K1320" t="str">
        <f>VLOOKUP(A1320,Pr_Base_LNEC!$A$4:$J$6971,7,FALSE)</f>
        <v>EN 771-1:2011+A1:2015
 Especificações para unidades de alvenaria — Parte 1: Tijolos cerâmicos para alvenaria</v>
      </c>
    </row>
    <row r="1321" spans="1:11" ht="14.5">
      <c r="A1321" s="20" t="s">
        <v>17016</v>
      </c>
      <c r="B1321" s="20">
        <v>20</v>
      </c>
      <c r="C1321" s="20">
        <v>93</v>
      </c>
      <c r="D1321" s="20">
        <v>52</v>
      </c>
      <c r="E1321" s="20">
        <v>15</v>
      </c>
      <c r="F1321" s="20" t="s">
        <v>17017</v>
      </c>
      <c r="G1321" s="20" t="s">
        <v>17018</v>
      </c>
      <c r="H1321" s="24"/>
      <c r="I1321" s="24" t="str">
        <f ca="1">IFERROR(__xludf.DUMMYFUNCTION("GOOGLETRANSLATE(F1321,""en"",""pt"")"),"Tijolos de argila")</f>
        <v>Tijolos de argila</v>
      </c>
      <c r="J1321" t="str">
        <f>VLOOKUP(A1321,Pr_Base_LNEC!$A$4:$J$6971,6,FALSE)</f>
        <v>a</v>
      </c>
      <c r="K1321" t="str">
        <f>VLOOKUP(A1321,Pr_Base_LNEC!$A$4:$J$6971,7,FALSE)</f>
        <v>EN 771-1:2011+A1:2015
 Especificações para unidades de alvenaria — Parte 1: Tijolos cerâmicos para alvenaria</v>
      </c>
    </row>
    <row r="1322" spans="1:11" ht="14.5">
      <c r="A1322" s="20" t="s">
        <v>17019</v>
      </c>
      <c r="B1322" s="20">
        <v>20</v>
      </c>
      <c r="C1322" s="20">
        <v>93</v>
      </c>
      <c r="D1322" s="20">
        <v>52</v>
      </c>
      <c r="E1322" s="20">
        <v>23</v>
      </c>
      <c r="F1322" s="20" t="s">
        <v>17020</v>
      </c>
      <c r="G1322" s="24"/>
      <c r="H1322" s="24"/>
      <c r="I1322" s="24" t="str">
        <f ca="1">IFERROR(__xludf.DUMMYFUNCTION("GOOGLETRANSLATE(F1322,""en"",""pt"")"),"pedras dimensionada")</f>
        <v>pedras dimensionada</v>
      </c>
      <c r="J1322" t="str">
        <f>VLOOKUP(A1322,Pr_Base_LNEC!$A$4:$J$6971,6,FALSE)</f>
        <v>-</v>
      </c>
      <c r="K1322">
        <f>VLOOKUP(A1322,Pr_Base_LNEC!$A$4:$J$6971,7,FALSE)</f>
        <v>0</v>
      </c>
    </row>
    <row r="1323" spans="1:11" ht="14.5">
      <c r="A1323" s="20" t="s">
        <v>17021</v>
      </c>
      <c r="B1323" s="20">
        <v>20</v>
      </c>
      <c r="C1323" s="20">
        <v>93</v>
      </c>
      <c r="D1323" s="20">
        <v>52</v>
      </c>
      <c r="E1323" s="20">
        <v>27</v>
      </c>
      <c r="F1323" s="20" t="s">
        <v>17022</v>
      </c>
      <c r="G1323" s="24"/>
      <c r="H1323" s="24"/>
      <c r="I1323" s="24" t="str">
        <f ca="1">IFERROR(__xludf.DUMMYFUNCTION("GOOGLETRANSLATE(F1323,""en"",""pt"")"),"tijolos de engenharia")</f>
        <v>tijolos de engenharia</v>
      </c>
      <c r="J1323" t="str">
        <f>VLOOKUP(A1323,Pr_Base_LNEC!$A$4:$J$6971,6,FALSE)</f>
        <v>-</v>
      </c>
      <c r="K1323">
        <f>VLOOKUP(A1323,Pr_Base_LNEC!$A$4:$J$6971,7,FALSE)</f>
        <v>0</v>
      </c>
    </row>
    <row r="1324" spans="1:11" ht="14.5">
      <c r="A1324" s="20" t="s">
        <v>17023</v>
      </c>
      <c r="B1324" s="20">
        <v>20</v>
      </c>
      <c r="C1324" s="20">
        <v>93</v>
      </c>
      <c r="D1324" s="20">
        <v>52</v>
      </c>
      <c r="E1324" s="20">
        <v>33</v>
      </c>
      <c r="F1324" s="20" t="s">
        <v>17024</v>
      </c>
      <c r="G1324" s="24"/>
      <c r="H1324" s="24"/>
      <c r="I1324" s="24" t="str">
        <f ca="1">IFERROR(__xludf.DUMMYFUNCTION("GOOGLETRANSLATE(F1324,""en"",""pt"")"),"de concreto reforçado de vidro (GRC) blocos")</f>
        <v>de concreto reforçado de vidro (GRC) blocos</v>
      </c>
      <c r="J1324" t="str">
        <f>VLOOKUP(A1324,Pr_Base_LNEC!$A$4:$J$6971,6,FALSE)</f>
        <v>-</v>
      </c>
      <c r="K1324">
        <f>VLOOKUP(A1324,Pr_Base_LNEC!$A$4:$J$6971,7,FALSE)</f>
        <v>0</v>
      </c>
    </row>
    <row r="1325" spans="1:11" ht="14.5">
      <c r="A1325" s="20" t="s">
        <v>17025</v>
      </c>
      <c r="B1325" s="20">
        <v>20</v>
      </c>
      <c r="C1325" s="20">
        <v>93</v>
      </c>
      <c r="D1325" s="20">
        <v>52</v>
      </c>
      <c r="E1325" s="20">
        <v>34</v>
      </c>
      <c r="F1325" s="20" t="s">
        <v>17026</v>
      </c>
      <c r="G1325" s="24"/>
      <c r="H1325" s="24"/>
      <c r="I1325" s="24" t="str">
        <f ca="1">IFERROR(__xludf.DUMMYFUNCTION("GOOGLETRANSLATE(F1325,""en"",""pt"")"),"tijolos vitrificados")</f>
        <v>tijolos vitrificados</v>
      </c>
      <c r="J1325" t="str">
        <f>VLOOKUP(A1325,Pr_Base_LNEC!$A$4:$J$6971,6,FALSE)</f>
        <v>-</v>
      </c>
      <c r="K1325">
        <f>VLOOKUP(A1325,Pr_Base_LNEC!$A$4:$J$6971,7,FALSE)</f>
        <v>0</v>
      </c>
    </row>
    <row r="1326" spans="1:11" ht="14.5">
      <c r="A1326" s="20" t="s">
        <v>17027</v>
      </c>
      <c r="B1326" s="20">
        <v>20</v>
      </c>
      <c r="C1326" s="20">
        <v>93</v>
      </c>
      <c r="D1326" s="20">
        <v>52</v>
      </c>
      <c r="E1326" s="20">
        <v>35</v>
      </c>
      <c r="F1326" s="20" t="s">
        <v>17028</v>
      </c>
      <c r="G1326" s="24"/>
      <c r="H1326" s="24"/>
      <c r="I1326" s="24" t="str">
        <f ca="1">IFERROR(__xludf.DUMMYFUNCTION("GOOGLETRANSLATE(F1326,""en"",""pt"")"),"blocos de concreto com vidros")</f>
        <v>blocos de concreto com vidros</v>
      </c>
      <c r="J1326" t="str">
        <f>VLOOKUP(A1326,Pr_Base_LNEC!$A$4:$J$6971,6,FALSE)</f>
        <v>-</v>
      </c>
      <c r="K1326">
        <f>VLOOKUP(A1326,Pr_Base_LNEC!$A$4:$J$6971,7,FALSE)</f>
        <v>0</v>
      </c>
    </row>
    <row r="1327" spans="1:11" ht="14.5">
      <c r="A1327" s="20" t="s">
        <v>17029</v>
      </c>
      <c r="B1327" s="20">
        <v>20</v>
      </c>
      <c r="C1327" s="20">
        <v>93</v>
      </c>
      <c r="D1327" s="20">
        <v>52</v>
      </c>
      <c r="E1327" s="20">
        <v>36</v>
      </c>
      <c r="F1327" s="20" t="s">
        <v>17030</v>
      </c>
      <c r="G1327" s="20" t="s">
        <v>17031</v>
      </c>
      <c r="H1327" s="24"/>
      <c r="I1327" s="24" t="str">
        <f ca="1">IFERROR(__xludf.DUMMYFUNCTION("GOOGLETRANSLATE(F1327,""en"",""pt"")"),"blocos de gesso")</f>
        <v>blocos de gesso</v>
      </c>
      <c r="J1327" t="str">
        <f>VLOOKUP(A1327,Pr_Base_LNEC!$A$4:$J$6971,6,FALSE)</f>
        <v>?</v>
      </c>
      <c r="K1327" t="str">
        <f>VLOOKUP(A1327,Pr_Base_LNEC!$A$4:$J$6971,7,FALSE)</f>
        <v>EN 12859:2011
 Placas de gesso — Definições, requisitos e métodos de ensaio</v>
      </c>
    </row>
    <row r="1328" spans="1:11" ht="14.5">
      <c r="A1328" s="20" t="s">
        <v>17032</v>
      </c>
      <c r="B1328" s="20">
        <v>20</v>
      </c>
      <c r="C1328" s="20">
        <v>93</v>
      </c>
      <c r="D1328" s="20">
        <v>52</v>
      </c>
      <c r="E1328" s="20">
        <v>42</v>
      </c>
      <c r="F1328" s="20" t="s">
        <v>17033</v>
      </c>
      <c r="G1328" s="24"/>
      <c r="H1328" s="24"/>
      <c r="I1328" s="24" t="str">
        <f ca="1">IFERROR(__xludf.DUMMYFUNCTION("GOOGLETRANSLATE(F1328,""en"",""pt"")"),"blocos de cimento isolados")</f>
        <v>blocos de cimento isolados</v>
      </c>
      <c r="J1328" t="str">
        <f>VLOOKUP(A1328,Pr_Base_LNEC!$A$4:$J$6971,6,FALSE)</f>
        <v>-</v>
      </c>
      <c r="K1328">
        <f>VLOOKUP(A1328,Pr_Base_LNEC!$A$4:$J$6971,7,FALSE)</f>
        <v>0</v>
      </c>
    </row>
    <row r="1329" spans="1:11" ht="14.5">
      <c r="A1329" s="20" t="s">
        <v>17034</v>
      </c>
      <c r="B1329" s="20">
        <v>20</v>
      </c>
      <c r="C1329" s="20">
        <v>93</v>
      </c>
      <c r="D1329" s="20">
        <v>52</v>
      </c>
      <c r="E1329" s="20">
        <v>50</v>
      </c>
      <c r="F1329" s="20" t="s">
        <v>17035</v>
      </c>
      <c r="G1329" s="20" t="s">
        <v>17036</v>
      </c>
      <c r="H1329" s="24"/>
      <c r="I1329" s="24" t="str">
        <f ca="1">IFERROR(__xludf.DUMMYFUNCTION("GOOGLETRANSLATE(F1329,""en"",""pt"")"),"blocos de pedra fabricadas")</f>
        <v>blocos de pedra fabricadas</v>
      </c>
      <c r="J1329" t="str">
        <f>VLOOKUP(A1329,Pr_Base_LNEC!$A$4:$J$6971,6,FALSE)</f>
        <v>a</v>
      </c>
      <c r="K1329" t="str">
        <f>VLOOKUP(A1329,Pr_Base_LNEC!$A$4:$J$6971,7,FALSE)</f>
        <v>EN 771-5:2011+A1:2015
 Especificações para unidades de alvenaria — Parte 5: Blocos de pedra reconstituída</v>
      </c>
    </row>
    <row r="1330" spans="1:11" ht="14.5">
      <c r="A1330" s="20" t="s">
        <v>17037</v>
      </c>
      <c r="B1330" s="20">
        <v>20</v>
      </c>
      <c r="C1330" s="20">
        <v>93</v>
      </c>
      <c r="D1330" s="20">
        <v>52</v>
      </c>
      <c r="E1330" s="20">
        <v>56</v>
      </c>
      <c r="F1330" s="20" t="s">
        <v>17038</v>
      </c>
      <c r="G1330" s="20" t="s">
        <v>17039</v>
      </c>
      <c r="H1330" s="24"/>
      <c r="I1330" s="24" t="str">
        <f ca="1">IFERROR(__xludf.DUMMYFUNCTION("GOOGLETRANSLATE(F1330,""en"",""pt"")"),"pedras naturais dimensionadas")</f>
        <v>pedras naturais dimensionadas</v>
      </c>
      <c r="J1330" t="str">
        <f>VLOOKUP(A1330,Pr_Base_LNEC!$A$4:$J$6971,6,FALSE)</f>
        <v>a</v>
      </c>
      <c r="K1330" t="str">
        <f>VLOOKUP(A1330,Pr_Base_LNEC!$A$4:$J$6971,7,FALSE)</f>
        <v>EN 771-6:2011+A1:2015
 Especificações para unidades de alvenaria — Parte 6: Unidades de alvenaria em pedra natural</v>
      </c>
    </row>
    <row r="1331" spans="1:11" ht="14.5">
      <c r="A1331" s="20" t="s">
        <v>17040</v>
      </c>
      <c r="B1331" s="20">
        <v>20</v>
      </c>
      <c r="C1331" s="20">
        <v>93</v>
      </c>
      <c r="D1331" s="20">
        <v>52</v>
      </c>
      <c r="E1331" s="20">
        <v>57</v>
      </c>
      <c r="F1331" s="20" t="s">
        <v>17041</v>
      </c>
      <c r="G1331" s="20" t="s">
        <v>17042</v>
      </c>
      <c r="H1331" s="24"/>
      <c r="I1331" s="24" t="str">
        <f ca="1">IFERROR(__xludf.DUMMYFUNCTION("GOOGLETRANSLATE(F1331,""en"",""pt"")"),"pedras entulho Natural")</f>
        <v>pedras entulho Natural</v>
      </c>
      <c r="J1331" t="str">
        <f>VLOOKUP(A1331,Pr_Base_LNEC!$A$4:$J$6971,6,FALSE)</f>
        <v>a</v>
      </c>
      <c r="K1331" t="str">
        <f>VLOOKUP(A1331,Pr_Base_LNEC!$A$4:$J$6971,7,FALSE)</f>
        <v>EN 771-6:2011+A1:2015
 Especificações para unidades de alvenaria — Parte 6: Unidades de alvenaria em pedra natural</v>
      </c>
    </row>
    <row r="1332" spans="1:11" ht="14.5">
      <c r="A1332" s="20" t="s">
        <v>17043</v>
      </c>
      <c r="B1332" s="20">
        <v>20</v>
      </c>
      <c r="C1332" s="20">
        <v>93</v>
      </c>
      <c r="D1332" s="20">
        <v>52</v>
      </c>
      <c r="E1332" s="20">
        <v>58</v>
      </c>
      <c r="F1332" s="20" t="s">
        <v>17044</v>
      </c>
      <c r="G1332" s="20" t="s">
        <v>17045</v>
      </c>
      <c r="H1332" s="24"/>
      <c r="I1332" s="24" t="str">
        <f ca="1">IFERROR(__xludf.DUMMYFUNCTION("GOOGLETRANSLATE(F1332,""en"",""pt"")"),"plugues de pedra natural")</f>
        <v>plugues de pedra natural</v>
      </c>
      <c r="J1332" t="str">
        <f>VLOOKUP(A1332,Pr_Base_LNEC!$A$4:$J$6971,6,FALSE)</f>
        <v>a</v>
      </c>
      <c r="K1332" t="str">
        <f>VLOOKUP(A1332,Pr_Base_LNEC!$A$4:$J$6971,7,FALSE)</f>
        <v>EN 771-6:2011+A1:2015
 Especificações para unidades de alvenaria — Parte 6: Unidades de alvenaria em pedra natural</v>
      </c>
    </row>
    <row r="1333" spans="1:11" ht="14.5">
      <c r="A1333" s="20" t="s">
        <v>17046</v>
      </c>
      <c r="B1333" s="20">
        <v>20</v>
      </c>
      <c r="C1333" s="20">
        <v>93</v>
      </c>
      <c r="D1333" s="20">
        <v>52</v>
      </c>
      <c r="E1333" s="20">
        <v>71</v>
      </c>
      <c r="F1333" s="20" t="s">
        <v>17047</v>
      </c>
      <c r="G1333" s="20" t="s">
        <v>17048</v>
      </c>
      <c r="H1333" s="24"/>
      <c r="I1333" s="24" t="str">
        <f ca="1">IFERROR(__xludf.DUMMYFUNCTION("GOOGLETRANSLATE(F1333,""en"",""pt"")"),"tijolos de argila recuperados")</f>
        <v>tijolos de argila recuperados</v>
      </c>
      <c r="J1333" t="str">
        <f>VLOOKUP(A1333,Pr_Base_LNEC!$A$4:$J$6971,6,FALSE)</f>
        <v>-</v>
      </c>
      <c r="K1333">
        <f>VLOOKUP(A1333,Pr_Base_LNEC!$A$4:$J$6971,7,FALSE)</f>
        <v>0</v>
      </c>
    </row>
    <row r="1334" spans="1:11" ht="14.5">
      <c r="A1334" s="20" t="s">
        <v>17049</v>
      </c>
      <c r="B1334" s="20">
        <v>20</v>
      </c>
      <c r="C1334" s="20">
        <v>93</v>
      </c>
      <c r="D1334" s="20">
        <v>52</v>
      </c>
      <c r="E1334" s="20">
        <v>73</v>
      </c>
      <c r="F1334" s="20" t="s">
        <v>17050</v>
      </c>
      <c r="G1334" s="24"/>
      <c r="H1334" s="24"/>
      <c r="I1334" s="24" t="str">
        <f ca="1">IFERROR(__xludf.DUMMYFUNCTION("GOOGLETRANSLATE(F1334,""en"",""pt"")"),"tijolos refratários")</f>
        <v>tijolos refratários</v>
      </c>
      <c r="J1334" t="str">
        <f>VLOOKUP(A1334,Pr_Base_LNEC!$A$4:$J$6971,6,FALSE)</f>
        <v>-</v>
      </c>
      <c r="K1334">
        <f>VLOOKUP(A1334,Pr_Base_LNEC!$A$4:$J$6971,7,FALSE)</f>
        <v>0</v>
      </c>
    </row>
    <row r="1335" spans="1:11" ht="14.5">
      <c r="A1335" s="20" t="s">
        <v>17051</v>
      </c>
      <c r="B1335" s="20">
        <v>20</v>
      </c>
      <c r="C1335" s="20">
        <v>93</v>
      </c>
      <c r="D1335" s="20">
        <v>52</v>
      </c>
      <c r="E1335" s="20">
        <v>74</v>
      </c>
      <c r="F1335" s="20" t="s">
        <v>17052</v>
      </c>
      <c r="G1335" s="24"/>
      <c r="H1335" s="24"/>
      <c r="I1335" s="24" t="str">
        <f ca="1">IFERROR(__xludf.DUMMYFUNCTION("GOOGLETRANSLATE(F1335,""en"",""pt"")"),"Substituição pedras cotados naturais")</f>
        <v>Substituição pedras cotados naturais</v>
      </c>
      <c r="J1335" t="str">
        <f>VLOOKUP(A1335,Pr_Base_LNEC!$A$4:$J$6971,6,FALSE)</f>
        <v>-</v>
      </c>
      <c r="K1335">
        <f>VLOOKUP(A1335,Pr_Base_LNEC!$A$4:$J$6971,7,FALSE)</f>
        <v>0</v>
      </c>
    </row>
    <row r="1336" spans="1:11" ht="14.5">
      <c r="A1336" s="20" t="s">
        <v>17053</v>
      </c>
      <c r="B1336" s="20">
        <v>20</v>
      </c>
      <c r="C1336" s="20">
        <v>93</v>
      </c>
      <c r="D1336" s="20">
        <v>52</v>
      </c>
      <c r="E1336" s="20">
        <v>75</v>
      </c>
      <c r="F1336" s="20" t="s">
        <v>17054</v>
      </c>
      <c r="G1336" s="20" t="s">
        <v>17055</v>
      </c>
      <c r="H1336" s="24"/>
      <c r="I1336" s="24" t="str">
        <f ca="1">IFERROR(__xludf.DUMMYFUNCTION("GOOGLETRANSLATE(F1336,""en"",""pt"")"),"pedras naturais recuperados")</f>
        <v>pedras naturais recuperados</v>
      </c>
      <c r="J1336" t="str">
        <f>VLOOKUP(A1336,Pr_Base_LNEC!$A$4:$J$6971,6,FALSE)</f>
        <v>-</v>
      </c>
      <c r="K1336">
        <f>VLOOKUP(A1336,Pr_Base_LNEC!$A$4:$J$6971,7,FALSE)</f>
        <v>0</v>
      </c>
    </row>
    <row r="1337" spans="1:11" ht="14.5">
      <c r="A1337" s="20" t="s">
        <v>17056</v>
      </c>
      <c r="B1337" s="20">
        <v>20</v>
      </c>
      <c r="C1337" s="20">
        <v>93</v>
      </c>
      <c r="D1337" s="20">
        <v>52</v>
      </c>
      <c r="E1337" s="20">
        <v>87</v>
      </c>
      <c r="F1337" s="20" t="s">
        <v>17057</v>
      </c>
      <c r="G1337" s="20" t="s">
        <v>17058</v>
      </c>
      <c r="H1337" s="24"/>
      <c r="I1337" s="24" t="str">
        <f ca="1">IFERROR(__xludf.DUMMYFUNCTION("GOOGLETRANSLATE(F1337,""en"",""pt"")"),"unidades de terracota")</f>
        <v>unidades de terracota</v>
      </c>
      <c r="J1337" t="str">
        <f>VLOOKUP(A1337,Pr_Base_LNEC!$A$4:$J$6971,6,FALSE)</f>
        <v>-</v>
      </c>
      <c r="K1337">
        <f>VLOOKUP(A1337,Pr_Base_LNEC!$A$4:$J$6971,7,FALSE)</f>
        <v>0</v>
      </c>
    </row>
    <row r="1338" spans="1:11" ht="14.5">
      <c r="A1338" s="20" t="s">
        <v>17059</v>
      </c>
      <c r="B1338" s="20">
        <v>20</v>
      </c>
      <c r="C1338" s="20">
        <v>93</v>
      </c>
      <c r="D1338" s="20">
        <v>52</v>
      </c>
      <c r="E1338" s="20">
        <v>89</v>
      </c>
      <c r="F1338" s="20" t="s">
        <v>17060</v>
      </c>
      <c r="G1338" s="20" t="s">
        <v>17061</v>
      </c>
      <c r="H1338" s="24"/>
      <c r="I1338" s="24" t="str">
        <f ca="1">IFERROR(__xludf.DUMMYFUNCTION("GOOGLETRANSLATE(F1338,""en"",""pt"")"),"joint fino celular autoclavado blocos de concreto (AAC)")</f>
        <v>joint fino celular autoclavado blocos de concreto (AAC)</v>
      </c>
      <c r="J1338" t="str">
        <f>VLOOKUP(A1338,Pr_Base_LNEC!$A$4:$J$6971,6,FALSE)</f>
        <v>a</v>
      </c>
      <c r="K1338" t="str">
        <f>VLOOKUP(A1338,Pr_Base_LNEC!$A$4:$J$6971,7,FALSE)</f>
        <v>EN 771-4:2011+A1:2015
 Especificações para unidades de alvenaria — Parte 4: Blocos de betão celular autoclavado</v>
      </c>
    </row>
    <row r="1339" spans="1:11" ht="14.5">
      <c r="A1339" s="20" t="s">
        <v>17062</v>
      </c>
      <c r="B1339" s="20">
        <v>20</v>
      </c>
      <c r="C1339" s="20">
        <v>93</v>
      </c>
      <c r="D1339" s="20">
        <v>71</v>
      </c>
      <c r="E1339" s="24"/>
      <c r="F1339" s="20" t="s">
        <v>17063</v>
      </c>
      <c r="G1339" s="24"/>
      <c r="H1339" s="24"/>
      <c r="I1339" s="24" t="str">
        <f ca="1">IFERROR(__xludf.DUMMYFUNCTION("GOOGLETRANSLATE(F1339,""en"",""pt"")"),"Reter unidades de parede")</f>
        <v>Reter unidades de parede</v>
      </c>
      <c r="J1339" t="str">
        <f>VLOOKUP(A1339,Pr_Base_LNEC!$A$4:$J$6971,6,FALSE)</f>
        <v>a</v>
      </c>
      <c r="K1339">
        <f>VLOOKUP(A1339,Pr_Base_LNEC!$A$4:$J$6971,7,FALSE)</f>
        <v>0</v>
      </c>
    </row>
    <row r="1340" spans="1:11" ht="14.5">
      <c r="A1340" s="20" t="s">
        <v>17064</v>
      </c>
      <c r="B1340" s="20">
        <v>20</v>
      </c>
      <c r="C1340" s="20">
        <v>93</v>
      </c>
      <c r="D1340" s="20">
        <v>71</v>
      </c>
      <c r="E1340" s="20">
        <v>15</v>
      </c>
      <c r="F1340" s="20" t="s">
        <v>17065</v>
      </c>
      <c r="G1340" s="20" t="s">
        <v>17066</v>
      </c>
      <c r="H1340" s="24"/>
      <c r="I1340" s="24" t="str">
        <f ca="1">IFERROR(__xludf.DUMMYFUNCTION("GOOGLETRANSLATE(F1340,""en"",""pt"")"),"blocos interligados concretas")</f>
        <v>blocos interligados concretas</v>
      </c>
      <c r="J1340" t="str">
        <f>VLOOKUP(A1340,Pr_Base_LNEC!$A$4:$J$6971,6,FALSE)</f>
        <v>-</v>
      </c>
      <c r="K1340">
        <f>VLOOKUP(A1340,Pr_Base_LNEC!$A$4:$J$6971,7,FALSE)</f>
        <v>0</v>
      </c>
    </row>
    <row r="1341" spans="1:11" ht="14.5">
      <c r="A1341" s="20" t="s">
        <v>17067</v>
      </c>
      <c r="B1341" s="20">
        <v>20</v>
      </c>
      <c r="C1341" s="20">
        <v>93</v>
      </c>
      <c r="D1341" s="20">
        <v>71</v>
      </c>
      <c r="E1341" s="20">
        <v>16</v>
      </c>
      <c r="F1341" s="20" t="s">
        <v>17068</v>
      </c>
      <c r="G1341" s="20" t="s">
        <v>17069</v>
      </c>
      <c r="H1341" s="24"/>
      <c r="I1341" s="24" t="str">
        <f ca="1">IFERROR(__xludf.DUMMYFUNCTION("GOOGLETRANSLATE(F1341,""en"",""pt"")"),"unidades de parede de berço concreto")</f>
        <v>unidades de parede de berço concreto</v>
      </c>
      <c r="J1341" t="str">
        <f>VLOOKUP(A1341,Pr_Base_LNEC!$A$4:$J$6971,6,FALSE)</f>
        <v>-</v>
      </c>
      <c r="K1341">
        <f>VLOOKUP(A1341,Pr_Base_LNEC!$A$4:$J$6971,7,FALSE)</f>
        <v>0</v>
      </c>
    </row>
    <row r="1342" spans="1:11" ht="14.5">
      <c r="A1342" s="20" t="s">
        <v>17070</v>
      </c>
      <c r="B1342" s="20">
        <v>20</v>
      </c>
      <c r="C1342" s="20">
        <v>93</v>
      </c>
      <c r="D1342" s="20">
        <v>71</v>
      </c>
      <c r="E1342" s="20">
        <v>17</v>
      </c>
      <c r="F1342" s="20" t="s">
        <v>17071</v>
      </c>
      <c r="G1342" s="20" t="s">
        <v>17072</v>
      </c>
      <c r="H1342" s="24"/>
      <c r="I1342" s="24" t="str">
        <f ca="1">IFERROR(__xludf.DUMMYFUNCTION("GOOGLETRANSLATE(F1342,""en"",""pt"")"),"painéis de betão")</f>
        <v>painéis de betão</v>
      </c>
      <c r="J1342" t="str">
        <f>VLOOKUP(A1342,Pr_Base_LNEC!$A$4:$J$6971,6,FALSE)</f>
        <v>-</v>
      </c>
      <c r="K1342">
        <f>VLOOKUP(A1342,Pr_Base_LNEC!$A$4:$J$6971,7,FALSE)</f>
        <v>0</v>
      </c>
    </row>
    <row r="1343" spans="1:11" ht="14.5">
      <c r="A1343" s="20" t="s">
        <v>17073</v>
      </c>
      <c r="B1343" s="20">
        <v>20</v>
      </c>
      <c r="C1343" s="20">
        <v>93</v>
      </c>
      <c r="D1343" s="20">
        <v>71</v>
      </c>
      <c r="E1343" s="20">
        <v>18</v>
      </c>
      <c r="F1343" s="20" t="s">
        <v>17074</v>
      </c>
      <c r="G1343" s="20" t="s">
        <v>17075</v>
      </c>
      <c r="H1343" s="24"/>
      <c r="I1343" s="24" t="str">
        <f ca="1">IFERROR(__xludf.DUMMYFUNCTION("GOOGLETRANSLATE(F1343,""en"",""pt"")"),"unidades de parede moldada de betão")</f>
        <v>unidades de parede moldada de betão</v>
      </c>
      <c r="J1343" t="str">
        <f>VLOOKUP(A1343,Pr_Base_LNEC!$A$4:$J$6971,6,FALSE)</f>
        <v>-</v>
      </c>
      <c r="K1343">
        <f>VLOOKUP(A1343,Pr_Base_LNEC!$A$4:$J$6971,7,FALSE)</f>
        <v>0</v>
      </c>
    </row>
    <row r="1344" spans="1:11" ht="14.5">
      <c r="A1344" s="20" t="s">
        <v>17076</v>
      </c>
      <c r="B1344" s="20">
        <v>20</v>
      </c>
      <c r="C1344" s="20">
        <v>93</v>
      </c>
      <c r="D1344" s="20">
        <v>71</v>
      </c>
      <c r="E1344" s="20">
        <v>53</v>
      </c>
      <c r="F1344" s="20" t="s">
        <v>17077</v>
      </c>
      <c r="G1344" s="20" t="s">
        <v>17078</v>
      </c>
      <c r="H1344" s="24"/>
      <c r="I1344" s="24" t="str">
        <f ca="1">IFERROR(__xludf.DUMMYFUNCTION("GOOGLETRANSLATE(F1344,""en"",""pt"")"),"Modular reforçado unidades de parede tronco de betão")</f>
        <v>Modular reforçado unidades de parede tronco de betão</v>
      </c>
      <c r="J1344" t="str">
        <f>VLOOKUP(A1344,Pr_Base_LNEC!$A$4:$J$6971,6,FALSE)</f>
        <v>a</v>
      </c>
      <c r="K1344" t="str">
        <f>VLOOKUP(A1344,Pr_Base_LNEC!$A$4:$J$6971,7,FALSE)</f>
        <v>EN 15258:2008
 Produtos prefabricados de betão — Elementos de muros de suporte</v>
      </c>
    </row>
    <row r="1345" spans="1:11" ht="14.5">
      <c r="A1345" s="20" t="s">
        <v>17079</v>
      </c>
      <c r="B1345" s="20">
        <v>20</v>
      </c>
      <c r="C1345" s="20">
        <v>93</v>
      </c>
      <c r="D1345" s="20">
        <v>71</v>
      </c>
      <c r="E1345" s="20">
        <v>75</v>
      </c>
      <c r="F1345" s="20" t="s">
        <v>17080</v>
      </c>
      <c r="G1345" s="20" t="s">
        <v>17081</v>
      </c>
      <c r="H1345" s="24"/>
      <c r="I1345" s="24" t="str">
        <f ca="1">IFERROR(__xludf.DUMMYFUNCTION("GOOGLETRANSLATE(F1345,""en"",""pt"")"),"unidades de parede berço de madeira serrada")</f>
        <v>unidades de parede berço de madeira serrada</v>
      </c>
      <c r="J1345" t="str">
        <f>VLOOKUP(A1345,Pr_Base_LNEC!$A$4:$J$6971,6,FALSE)</f>
        <v>-</v>
      </c>
      <c r="K1345">
        <f>VLOOKUP(A1345,Pr_Base_LNEC!$A$4:$J$6971,7,FALSE)</f>
        <v>0</v>
      </c>
    </row>
    <row r="1346" spans="1:11" ht="14.5">
      <c r="A1346" s="20" t="s">
        <v>17082</v>
      </c>
      <c r="B1346" s="20">
        <v>20</v>
      </c>
      <c r="C1346" s="20">
        <v>93</v>
      </c>
      <c r="D1346" s="20">
        <v>76</v>
      </c>
      <c r="E1346" s="24"/>
      <c r="F1346" s="20" t="s">
        <v>17083</v>
      </c>
      <c r="G1346" s="24"/>
      <c r="H1346" s="24"/>
      <c r="I1346" s="24" t="str">
        <f ca="1">IFERROR(__xludf.DUMMYFUNCTION("GOOGLETRANSLATE(F1346,""en"",""pt"")"),"produtos com eixo de guarnição")</f>
        <v>produtos com eixo de guarnição</v>
      </c>
      <c r="J1346" t="str">
        <f>VLOOKUP(A1346,Pr_Base_LNEC!$A$4:$J$6971,6,FALSE)</f>
        <v>?</v>
      </c>
      <c r="K1346">
        <f>VLOOKUP(A1346,Pr_Base_LNEC!$A$4:$J$6971,7,FALSE)</f>
        <v>0</v>
      </c>
    </row>
    <row r="1347" spans="1:11" ht="14.5">
      <c r="A1347" s="20" t="s">
        <v>17084</v>
      </c>
      <c r="B1347" s="20">
        <v>20</v>
      </c>
      <c r="C1347" s="20">
        <v>93</v>
      </c>
      <c r="D1347" s="20">
        <v>76</v>
      </c>
      <c r="E1347" s="20">
        <v>11</v>
      </c>
      <c r="F1347" s="20" t="s">
        <v>17085</v>
      </c>
      <c r="G1347" s="24"/>
      <c r="H1347" s="24"/>
      <c r="I1347" s="24" t="str">
        <f ca="1">IFERROR(__xludf.DUMMYFUNCTION("GOOGLETRANSLATE(F1347,""en"",""pt"")"),"segmentos do eixo-revestimento de aço de carbono")</f>
        <v>segmentos do eixo-revestimento de aço de carbono</v>
      </c>
      <c r="J1347" t="str">
        <f>VLOOKUP(A1347,Pr_Base_LNEC!$A$4:$J$6971,6,FALSE)</f>
        <v>-</v>
      </c>
      <c r="K1347">
        <f>VLOOKUP(A1347,Pr_Base_LNEC!$A$4:$J$6971,7,FALSE)</f>
        <v>0</v>
      </c>
    </row>
    <row r="1348" spans="1:11" ht="14.5">
      <c r="A1348" s="20" t="s">
        <v>17086</v>
      </c>
      <c r="B1348" s="20">
        <v>20</v>
      </c>
      <c r="C1348" s="20">
        <v>93</v>
      </c>
      <c r="D1348" s="20">
        <v>76</v>
      </c>
      <c r="E1348" s="20">
        <v>12</v>
      </c>
      <c r="F1348" s="20" t="s">
        <v>17087</v>
      </c>
      <c r="G1348" s="24"/>
      <c r="H1348" s="24"/>
      <c r="I1348" s="24" t="str">
        <f ca="1">IFERROR(__xludf.DUMMYFUNCTION("GOOGLETRANSLATE(F1348,""en"",""pt"")"),"segmentos do eixo-revestimento de ferro fundido")</f>
        <v>segmentos do eixo-revestimento de ferro fundido</v>
      </c>
      <c r="J1348" t="str">
        <f>VLOOKUP(A1348,Pr_Base_LNEC!$A$4:$J$6971,6,FALSE)</f>
        <v>-</v>
      </c>
      <c r="K1348">
        <f>VLOOKUP(A1348,Pr_Base_LNEC!$A$4:$J$6971,7,FALSE)</f>
        <v>0</v>
      </c>
    </row>
    <row r="1349" spans="1:11" ht="14.5">
      <c r="A1349" s="20" t="s">
        <v>17088</v>
      </c>
      <c r="B1349" s="20">
        <v>20</v>
      </c>
      <c r="C1349" s="20">
        <v>93</v>
      </c>
      <c r="D1349" s="20">
        <v>76</v>
      </c>
      <c r="E1349" s="20">
        <v>15</v>
      </c>
      <c r="F1349" s="20" t="s">
        <v>17089</v>
      </c>
      <c r="G1349" s="24"/>
      <c r="H1349" s="24"/>
      <c r="I1349" s="24" t="str">
        <f ca="1">IFERROR(__xludf.DUMMYFUNCTION("GOOGLETRANSLATE(F1349,""en"",""pt"")"),"Betão segmentos de revestimento do eixo")</f>
        <v>Betão segmentos de revestimento do eixo</v>
      </c>
      <c r="J1349" t="str">
        <f>VLOOKUP(A1349,Pr_Base_LNEC!$A$4:$J$6971,6,FALSE)</f>
        <v>-</v>
      </c>
      <c r="K1349">
        <f>VLOOKUP(A1349,Pr_Base_LNEC!$A$4:$J$6971,7,FALSE)</f>
        <v>0</v>
      </c>
    </row>
    <row r="1350" spans="1:11" ht="14.5">
      <c r="A1350" s="20" t="s">
        <v>17090</v>
      </c>
      <c r="B1350" s="20">
        <v>20</v>
      </c>
      <c r="C1350" s="20">
        <v>93</v>
      </c>
      <c r="D1350" s="20">
        <v>76</v>
      </c>
      <c r="E1350" s="20">
        <v>80</v>
      </c>
      <c r="F1350" s="20" t="s">
        <v>17091</v>
      </c>
      <c r="G1350" s="24"/>
      <c r="H1350" s="24"/>
      <c r="I1350" s="24" t="str">
        <f ca="1">IFERROR(__xludf.DUMMYFUNCTION("GOOGLETRANSLATE(F1350,""en"",""pt"")"),"ferro de grafite esferoidal (SGI) segmentos de revestimento do eixo")</f>
        <v>ferro de grafite esferoidal (SGI) segmentos de revestimento do eixo</v>
      </c>
      <c r="J1350" t="str">
        <f>VLOOKUP(A1350,Pr_Base_LNEC!$A$4:$J$6971,6,FALSE)</f>
        <v>-</v>
      </c>
      <c r="K1350">
        <f>VLOOKUP(A1350,Pr_Base_LNEC!$A$4:$J$6971,7,FALSE)</f>
        <v>0</v>
      </c>
    </row>
    <row r="1351" spans="1:11" ht="14.5">
      <c r="A1351" s="20" t="s">
        <v>17092</v>
      </c>
      <c r="B1351" s="20">
        <v>20</v>
      </c>
      <c r="C1351" s="20">
        <v>93</v>
      </c>
      <c r="D1351" s="20">
        <v>84</v>
      </c>
      <c r="E1351" s="24"/>
      <c r="F1351" s="20" t="s">
        <v>17093</v>
      </c>
      <c r="G1351" s="24"/>
      <c r="H1351" s="24"/>
      <c r="I1351" s="24" t="str">
        <f ca="1">IFERROR(__xludf.DUMMYFUNCTION("GOOGLETRANSLATE(F1351,""en"",""pt"")"),"unidades estruturais para telhados")</f>
        <v>unidades estruturais para telhados</v>
      </c>
      <c r="J1351" t="str">
        <f>VLOOKUP(A1351,Pr_Base_LNEC!$A$4:$J$6971,6,FALSE)</f>
        <v>a</v>
      </c>
      <c r="K1351">
        <f>VLOOKUP(A1351,Pr_Base_LNEC!$A$4:$J$6971,7,FALSE)</f>
        <v>0</v>
      </c>
    </row>
    <row r="1352" spans="1:11" ht="14.5">
      <c r="A1352" s="20" t="s">
        <v>17094</v>
      </c>
      <c r="B1352" s="20">
        <v>20</v>
      </c>
      <c r="C1352" s="20">
        <v>93</v>
      </c>
      <c r="D1352" s="20">
        <v>84</v>
      </c>
      <c r="E1352" s="20">
        <v>15</v>
      </c>
      <c r="F1352" s="20" t="s">
        <v>17095</v>
      </c>
      <c r="G1352" s="20" t="s">
        <v>17096</v>
      </c>
      <c r="H1352" s="24"/>
      <c r="I1352" s="24" t="str">
        <f ca="1">IFERROR(__xludf.DUMMYFUNCTION("GOOGLETRANSLATE(F1352,""en"",""pt"")"),"unidades arco de concreto")</f>
        <v>unidades arco de concreto</v>
      </c>
      <c r="J1352" t="str">
        <f>VLOOKUP(A1352,Pr_Base_LNEC!$A$4:$J$6971,6,FALSE)</f>
        <v>a</v>
      </c>
      <c r="K1352" t="str">
        <f>VLOOKUP(A1352,Pr_Base_LNEC!$A$4:$J$6971,7,FALSE)</f>
        <v>EN 13693:2004+A1:2009
 Produtos prefabricados de betão — Elementos especiais para coberturas</v>
      </c>
    </row>
    <row r="1353" spans="1:11" ht="14.5">
      <c r="A1353" s="20" t="s">
        <v>17097</v>
      </c>
      <c r="B1353" s="20">
        <v>20</v>
      </c>
      <c r="C1353" s="20">
        <v>93</v>
      </c>
      <c r="D1353" s="20">
        <v>84</v>
      </c>
      <c r="E1353" s="20">
        <v>16</v>
      </c>
      <c r="F1353" s="20" t="s">
        <v>17098</v>
      </c>
      <c r="G1353" s="20" t="s">
        <v>17099</v>
      </c>
      <c r="H1353" s="24"/>
      <c r="I1353" s="24" t="str">
        <f ca="1">IFERROR(__xludf.DUMMYFUNCTION("GOOGLETRANSLATE(F1353,""en"",""pt"")"),"unidades de domo de concreto")</f>
        <v>unidades de domo de concreto</v>
      </c>
      <c r="J1353" t="str">
        <f>VLOOKUP(A1353,Pr_Base_LNEC!$A$4:$J$6971,6,FALSE)</f>
        <v>a</v>
      </c>
      <c r="K1353" t="str">
        <f>VLOOKUP(A1353,Pr_Base_LNEC!$A$4:$J$6971,7,FALSE)</f>
        <v>EN 13693:2004+A1:2009
 Produtos prefabricados de betão — Elementos especiais para coberturas</v>
      </c>
    </row>
    <row r="1354" spans="1:11" ht="14.5">
      <c r="A1354" s="20" t="s">
        <v>17100</v>
      </c>
      <c r="B1354" s="20">
        <v>20</v>
      </c>
      <c r="C1354" s="20">
        <v>93</v>
      </c>
      <c r="D1354" s="20">
        <v>84</v>
      </c>
      <c r="E1354" s="20">
        <v>84</v>
      </c>
      <c r="F1354" s="20" t="s">
        <v>17101</v>
      </c>
      <c r="G1354" s="20" t="s">
        <v>17102</v>
      </c>
      <c r="H1354" s="24"/>
      <c r="I1354" s="24" t="str">
        <f ca="1">IFERROR(__xludf.DUMMYFUNCTION("GOOGLETRANSLATE(F1354,""en"",""pt"")"),"painéis de telhado isolados estruturais")</f>
        <v>painéis de telhado isolados estruturais</v>
      </c>
      <c r="J1354" t="str">
        <f>VLOOKUP(A1354,Pr_Base_LNEC!$A$4:$J$6971,6,FALSE)</f>
        <v>-</v>
      </c>
      <c r="K1354">
        <f>VLOOKUP(A1354,Pr_Base_LNEC!$A$4:$J$6971,7,FALSE)</f>
        <v>0</v>
      </c>
    </row>
    <row r="1355" spans="1:11" ht="14.5">
      <c r="A1355" s="20" t="s">
        <v>17103</v>
      </c>
      <c r="B1355" s="20">
        <v>20</v>
      </c>
      <c r="C1355" s="20">
        <v>93</v>
      </c>
      <c r="D1355" s="20">
        <v>85</v>
      </c>
      <c r="E1355" s="24"/>
      <c r="F1355" s="20" t="s">
        <v>17104</v>
      </c>
      <c r="G1355" s="24"/>
      <c r="H1355" s="24"/>
      <c r="I1355" s="24" t="str">
        <f ca="1">IFERROR(__xludf.DUMMYFUNCTION("GOOGLETRANSLATE(F1355,""en"",""pt"")"),"unidades de paredes estruturais")</f>
        <v>unidades de paredes estruturais</v>
      </c>
      <c r="J1355" t="str">
        <f>VLOOKUP(A1355,Pr_Base_LNEC!$A$4:$J$6971,6,FALSE)</f>
        <v>a</v>
      </c>
      <c r="K1355">
        <f>VLOOKUP(A1355,Pr_Base_LNEC!$A$4:$J$6971,7,FALSE)</f>
        <v>0</v>
      </c>
    </row>
    <row r="1356" spans="1:11" ht="14.5">
      <c r="A1356" s="20" t="s">
        <v>17105</v>
      </c>
      <c r="B1356" s="20">
        <v>20</v>
      </c>
      <c r="C1356" s="20">
        <v>93</v>
      </c>
      <c r="D1356" s="20">
        <v>85</v>
      </c>
      <c r="E1356" s="20">
        <v>14</v>
      </c>
      <c r="F1356" s="20" t="s">
        <v>17106</v>
      </c>
      <c r="G1356" s="20" t="s">
        <v>17107</v>
      </c>
      <c r="H1356" s="24"/>
      <c r="I1356" s="24" t="str">
        <f ca="1">IFERROR(__xludf.DUMMYFUNCTION("GOOGLETRANSLATE(F1356,""en"",""pt"")"),"Betão parede sólida e unidades de parede compósitos")</f>
        <v>Betão parede sólida e unidades de parede compósitos</v>
      </c>
      <c r="J1356" t="str">
        <f>VLOOKUP(A1356,Pr_Base_LNEC!$A$4:$J$6971,6,FALSE)</f>
        <v>a</v>
      </c>
      <c r="K1356" t="str">
        <f>VLOOKUP(A1356,Pr_Base_LNEC!$A$4:$J$6971,7,FALSE)</f>
        <v>EN 14992:2007+A1:2012
 Produtos prefabricados em betão — Elementos de parede — Propriedades e desempenho dos produtos</v>
      </c>
    </row>
    <row r="1357" spans="1:11" ht="14.5">
      <c r="A1357" s="20" t="s">
        <v>17108</v>
      </c>
      <c r="B1357" s="20">
        <v>20</v>
      </c>
      <c r="C1357" s="20">
        <v>93</v>
      </c>
      <c r="D1357" s="20">
        <v>85</v>
      </c>
      <c r="E1357" s="20">
        <v>16</v>
      </c>
      <c r="F1357" s="20" t="s">
        <v>17109</v>
      </c>
      <c r="G1357" s="20" t="s">
        <v>17110</v>
      </c>
      <c r="H1357" s="24"/>
      <c r="I1357" s="24" t="str">
        <f ca="1">IFERROR(__xludf.DUMMYFUNCTION("GOOGLETRANSLATE(F1357,""en"",""pt"")"),"Betão estruturais painéis isolados (PIS)")</f>
        <v>Betão estruturais painéis isolados (PIS)</v>
      </c>
      <c r="J1357" t="str">
        <f>VLOOKUP(A1357,Pr_Base_LNEC!$A$4:$J$6971,6,FALSE)</f>
        <v>-</v>
      </c>
      <c r="K1357">
        <f>VLOOKUP(A1357,Pr_Base_LNEC!$A$4:$J$6971,7,FALSE)</f>
        <v>0</v>
      </c>
    </row>
    <row r="1358" spans="1:11" ht="14.5">
      <c r="A1358" s="20" t="s">
        <v>17111</v>
      </c>
      <c r="B1358" s="20">
        <v>20</v>
      </c>
      <c r="C1358" s="20">
        <v>93</v>
      </c>
      <c r="D1358" s="20">
        <v>85</v>
      </c>
      <c r="E1358" s="20">
        <v>84</v>
      </c>
      <c r="F1358" s="20" t="s">
        <v>17112</v>
      </c>
      <c r="G1358" s="20" t="s">
        <v>17113</v>
      </c>
      <c r="H1358" s="24"/>
      <c r="I1358" s="24" t="str">
        <f ca="1">IFERROR(__xludf.DUMMYFUNCTION("GOOGLETRANSLATE(F1358,""en"",""pt"")"),"painéis de parede isolados estruturais")</f>
        <v>painéis de parede isolados estruturais</v>
      </c>
      <c r="J1358" t="str">
        <f>VLOOKUP(A1358,Pr_Base_LNEC!$A$4:$J$6971,6,FALSE)</f>
        <v>-</v>
      </c>
      <c r="K1358">
        <f>VLOOKUP(A1358,Pr_Base_LNEC!$A$4:$J$6971,7,FALSE)</f>
        <v>0</v>
      </c>
    </row>
    <row r="1359" spans="1:11" ht="14.5">
      <c r="A1359" s="20" t="s">
        <v>17114</v>
      </c>
      <c r="B1359" s="20">
        <v>20</v>
      </c>
      <c r="C1359" s="20">
        <v>93</v>
      </c>
      <c r="D1359" s="20">
        <v>85</v>
      </c>
      <c r="E1359" s="20">
        <v>88</v>
      </c>
      <c r="F1359" s="20" t="s">
        <v>17115</v>
      </c>
      <c r="G1359" s="20" t="s">
        <v>17116</v>
      </c>
      <c r="H1359" s="24"/>
      <c r="I1359" s="24" t="str">
        <f ca="1">IFERROR(__xludf.DUMMYFUNCTION("GOOGLETRANSLATE(F1359,""en"",""pt"")"),"Os painéis cheios com palha de madeira-moldado")</f>
        <v>Os painéis cheios com palha de madeira-moldado</v>
      </c>
      <c r="J1359" t="str">
        <f>VLOOKUP(A1359,Pr_Base_LNEC!$A$4:$J$6971,6,FALSE)</f>
        <v>-</v>
      </c>
      <c r="K1359">
        <f>VLOOKUP(A1359,Pr_Base_LNEC!$A$4:$J$6971,7,FALSE)</f>
        <v>0</v>
      </c>
    </row>
    <row r="1360" spans="1:11" ht="14.5">
      <c r="A1360" s="20" t="s">
        <v>17117</v>
      </c>
      <c r="B1360" s="20">
        <v>20</v>
      </c>
      <c r="C1360" s="20">
        <v>93</v>
      </c>
      <c r="D1360" s="20">
        <v>90</v>
      </c>
      <c r="E1360" s="24"/>
      <c r="F1360" s="20" t="s">
        <v>17118</v>
      </c>
      <c r="G1360" s="24"/>
      <c r="H1360" s="24"/>
      <c r="I1360" s="24" t="str">
        <f ca="1">IFERROR(__xludf.DUMMYFUNCTION("GOOGLETRANSLATE(F1360,""en"",""pt"")"),"produtos de revestimento de túnel")</f>
        <v>produtos de revestimento de túnel</v>
      </c>
      <c r="J1360" t="str">
        <f>VLOOKUP(A1360,Pr_Base_LNEC!$A$4:$J$6971,6,FALSE)</f>
        <v>?</v>
      </c>
      <c r="K1360">
        <f>VLOOKUP(A1360,Pr_Base_LNEC!$A$4:$J$6971,7,FALSE)</f>
        <v>0</v>
      </c>
    </row>
    <row r="1361" spans="1:11" ht="14.5">
      <c r="A1361" s="20" t="s">
        <v>17119</v>
      </c>
      <c r="B1361" s="20">
        <v>20</v>
      </c>
      <c r="C1361" s="20">
        <v>93</v>
      </c>
      <c r="D1361" s="20">
        <v>90</v>
      </c>
      <c r="E1361" s="20">
        <v>11</v>
      </c>
      <c r="F1361" s="20" t="s">
        <v>17120</v>
      </c>
      <c r="G1361" s="20" t="s">
        <v>17121</v>
      </c>
      <c r="H1361" s="24"/>
      <c r="I1361" s="24" t="str">
        <f ca="1">IFERROR(__xludf.DUMMYFUNCTION("GOOGLETRANSLATE(F1361,""en"",""pt"")"),"segmentos de túnel de revestimento de aço de carbono")</f>
        <v>segmentos de túnel de revestimento de aço de carbono</v>
      </c>
      <c r="J1361" t="str">
        <f>VLOOKUP(A1361,Pr_Base_LNEC!$A$4:$J$6971,6,FALSE)</f>
        <v>-</v>
      </c>
      <c r="K1361">
        <f>VLOOKUP(A1361,Pr_Base_LNEC!$A$4:$J$6971,7,FALSE)</f>
        <v>0</v>
      </c>
    </row>
    <row r="1362" spans="1:11" ht="14.5">
      <c r="A1362" s="20" t="s">
        <v>17122</v>
      </c>
      <c r="B1362" s="20">
        <v>20</v>
      </c>
      <c r="C1362" s="20">
        <v>93</v>
      </c>
      <c r="D1362" s="20">
        <v>90</v>
      </c>
      <c r="E1362" s="20">
        <v>12</v>
      </c>
      <c r="F1362" s="20" t="s">
        <v>17123</v>
      </c>
      <c r="G1362" s="20" t="s">
        <v>17124</v>
      </c>
      <c r="H1362" s="24"/>
      <c r="I1362" s="24" t="str">
        <f ca="1">IFERROR(__xludf.DUMMYFUNCTION("GOOGLETRANSLATE(F1362,""en"",""pt"")"),"segmentos de túnel de revestimento de ferro fundido")</f>
        <v>segmentos de túnel de revestimento de ferro fundido</v>
      </c>
      <c r="J1362" t="str">
        <f>VLOOKUP(A1362,Pr_Base_LNEC!$A$4:$J$6971,6,FALSE)</f>
        <v>-</v>
      </c>
      <c r="K1362">
        <f>VLOOKUP(A1362,Pr_Base_LNEC!$A$4:$J$6971,7,FALSE)</f>
        <v>0</v>
      </c>
    </row>
    <row r="1363" spans="1:11" ht="14.5">
      <c r="A1363" s="20" t="s">
        <v>17125</v>
      </c>
      <c r="B1363" s="20">
        <v>20</v>
      </c>
      <c r="C1363" s="20">
        <v>93</v>
      </c>
      <c r="D1363" s="20">
        <v>90</v>
      </c>
      <c r="E1363" s="20">
        <v>15</v>
      </c>
      <c r="F1363" s="20" t="s">
        <v>17126</v>
      </c>
      <c r="G1363" s="20" t="s">
        <v>17127</v>
      </c>
      <c r="H1363" s="24"/>
      <c r="I1363" s="24" t="str">
        <f ca="1">IFERROR(__xludf.DUMMYFUNCTION("GOOGLETRANSLATE(F1363,""en"",""pt"")"),"Betão segmentos de revestimento do túnel")</f>
        <v>Betão segmentos de revestimento do túnel</v>
      </c>
      <c r="J1363" t="str">
        <f>VLOOKUP(A1363,Pr_Base_LNEC!$A$4:$J$6971,6,FALSE)</f>
        <v>-</v>
      </c>
      <c r="K1363">
        <f>VLOOKUP(A1363,Pr_Base_LNEC!$A$4:$J$6971,7,FALSE)</f>
        <v>0</v>
      </c>
    </row>
    <row r="1364" spans="1:11" ht="14.5">
      <c r="A1364" s="20" t="s">
        <v>17128</v>
      </c>
      <c r="B1364" s="20">
        <v>20</v>
      </c>
      <c r="C1364" s="20">
        <v>93</v>
      </c>
      <c r="D1364" s="20">
        <v>90</v>
      </c>
      <c r="E1364" s="20">
        <v>80</v>
      </c>
      <c r="F1364" s="20" t="s">
        <v>17129</v>
      </c>
      <c r="G1364" s="20" t="s">
        <v>17130</v>
      </c>
      <c r="H1364" s="24"/>
      <c r="I1364" s="24" t="str">
        <f ca="1">IFERROR(__xludf.DUMMYFUNCTION("GOOGLETRANSLATE(F1364,""en"",""pt"")"),"ferro de grafite esferoidal (SGI) segmentos de revestimento do túnel")</f>
        <v>ferro de grafite esferoidal (SGI) segmentos de revestimento do túnel</v>
      </c>
      <c r="J1364" t="str">
        <f>VLOOKUP(A1364,Pr_Base_LNEC!$A$4:$J$6971,6,FALSE)</f>
        <v>-</v>
      </c>
      <c r="K1364">
        <f>VLOOKUP(A1364,Pr_Base_LNEC!$A$4:$J$6971,7,FALSE)</f>
        <v>0</v>
      </c>
    </row>
    <row r="1365" spans="1:11" ht="14.5">
      <c r="A1365" s="20" t="s">
        <v>17131</v>
      </c>
      <c r="B1365" s="20">
        <v>20</v>
      </c>
      <c r="C1365" s="20">
        <v>93</v>
      </c>
      <c r="D1365" s="20">
        <v>90</v>
      </c>
      <c r="E1365" s="20">
        <v>90</v>
      </c>
      <c r="F1365" s="20" t="s">
        <v>17132</v>
      </c>
      <c r="G1365" s="24"/>
      <c r="H1365" s="24"/>
      <c r="I1365" s="24" t="str">
        <f ca="1">IFERROR(__xludf.DUMMYFUNCTION("GOOGLETRANSLATE(F1365,""en"",""pt"")"),"conectores segmento Tunnel")</f>
        <v>conectores segmento Tunnel</v>
      </c>
      <c r="J1365" t="e">
        <f>VLOOKUP(A1365,Pr_Base_LNEC!$A$4:$J$6971,6,FALSE)</f>
        <v>#N/A</v>
      </c>
      <c r="K1365" t="e">
        <f>VLOOKUP(A1365,Pr_Base_LNEC!$A$4:$J$6971,7,FALSE)</f>
        <v>#N/A</v>
      </c>
    </row>
    <row r="1366" spans="1:11" ht="14.5">
      <c r="A1366" s="20" t="s">
        <v>17133</v>
      </c>
      <c r="B1366" s="20">
        <v>20</v>
      </c>
      <c r="C1366" s="20">
        <v>93</v>
      </c>
      <c r="D1366" s="20">
        <v>95</v>
      </c>
      <c r="E1366" s="24"/>
      <c r="F1366" s="20" t="s">
        <v>17134</v>
      </c>
      <c r="G1366" s="24"/>
      <c r="H1366" s="24"/>
      <c r="I1366" s="24" t="str">
        <f ca="1">IFERROR(__xludf.DUMMYFUNCTION("GOOGLETRANSLATE(F1366,""en"",""pt"")"),"produtos de abertura de túnel")</f>
        <v>produtos de abertura de túnel</v>
      </c>
      <c r="J1366" t="e">
        <f>VLOOKUP(A1366,Pr_Base_LNEC!$A$4:$J$6971,6,FALSE)</f>
        <v>#N/A</v>
      </c>
      <c r="K1366" t="e">
        <f>VLOOKUP(A1366,Pr_Base_LNEC!$A$4:$J$6971,7,FALSE)</f>
        <v>#N/A</v>
      </c>
    </row>
    <row r="1367" spans="1:11" ht="14.5">
      <c r="A1367" s="20" t="s">
        <v>17135</v>
      </c>
      <c r="B1367" s="20">
        <v>20</v>
      </c>
      <c r="C1367" s="20">
        <v>93</v>
      </c>
      <c r="D1367" s="20">
        <v>95</v>
      </c>
      <c r="E1367" s="20">
        <v>15</v>
      </c>
      <c r="F1367" s="20" t="s">
        <v>17136</v>
      </c>
      <c r="G1367" s="24"/>
      <c r="H1367" s="24"/>
      <c r="I1367" s="24" t="str">
        <f ca="1">IFERROR(__xludf.DUMMYFUNCTION("GOOGLETRANSLATE(F1367,""en"",""pt"")"),"cills quadro túnel")</f>
        <v>cills quadro túnel</v>
      </c>
      <c r="J1367" t="e">
        <f>VLOOKUP(A1367,Pr_Base_LNEC!$A$4:$J$6971,6,FALSE)</f>
        <v>#N/A</v>
      </c>
      <c r="K1367" t="e">
        <f>VLOOKUP(A1367,Pr_Base_LNEC!$A$4:$J$6971,7,FALSE)</f>
        <v>#N/A</v>
      </c>
    </row>
    <row r="1368" spans="1:11" ht="14.5">
      <c r="A1368" s="20" t="s">
        <v>17137</v>
      </c>
      <c r="B1368" s="20">
        <v>20</v>
      </c>
      <c r="C1368" s="20">
        <v>93</v>
      </c>
      <c r="D1368" s="20">
        <v>95</v>
      </c>
      <c r="E1368" s="20">
        <v>44</v>
      </c>
      <c r="F1368" s="20" t="s">
        <v>17138</v>
      </c>
      <c r="G1368" s="24"/>
      <c r="H1368" s="24"/>
      <c r="I1368" s="24" t="str">
        <f ca="1">IFERROR(__xludf.DUMMYFUNCTION("GOOGLETRANSLATE(F1368,""en"",""pt"")"),"ombreiras quadro túnel")</f>
        <v>ombreiras quadro túnel</v>
      </c>
      <c r="J1368" t="e">
        <f>VLOOKUP(A1368,Pr_Base_LNEC!$A$4:$J$6971,6,FALSE)</f>
        <v>#N/A</v>
      </c>
      <c r="K1368" t="e">
        <f>VLOOKUP(A1368,Pr_Base_LNEC!$A$4:$J$6971,7,FALSE)</f>
        <v>#N/A</v>
      </c>
    </row>
    <row r="1369" spans="1:11" ht="14.5">
      <c r="A1369" s="20" t="s">
        <v>17139</v>
      </c>
      <c r="B1369" s="20">
        <v>20</v>
      </c>
      <c r="C1369" s="20">
        <v>93</v>
      </c>
      <c r="D1369" s="20">
        <v>95</v>
      </c>
      <c r="E1369" s="20">
        <v>47</v>
      </c>
      <c r="F1369" s="20" t="s">
        <v>17140</v>
      </c>
      <c r="G1369" s="24"/>
      <c r="H1369" s="24"/>
      <c r="I1369" s="24" t="str">
        <f ca="1">IFERROR(__xludf.DUMMYFUNCTION("GOOGLETRANSLATE(F1369,""en"",""pt"")"),"lintéis quadro túnel")</f>
        <v>lintéis quadro túnel</v>
      </c>
      <c r="J1369" t="e">
        <f>VLOOKUP(A1369,Pr_Base_LNEC!$A$4:$J$6971,6,FALSE)</f>
        <v>#N/A</v>
      </c>
      <c r="K1369" t="e">
        <f>VLOOKUP(A1369,Pr_Base_LNEC!$A$4:$J$6971,7,FALSE)</f>
        <v>#N/A</v>
      </c>
    </row>
    <row r="1370" spans="1:11" ht="14.5">
      <c r="A1370" s="20" t="s">
        <v>17141</v>
      </c>
      <c r="B1370" s="20">
        <v>20</v>
      </c>
      <c r="C1370" s="20">
        <v>96</v>
      </c>
      <c r="D1370" s="24"/>
      <c r="E1370" s="24"/>
      <c r="F1370" s="20" t="s">
        <v>17142</v>
      </c>
      <c r="G1370" s="24"/>
      <c r="H1370" s="24"/>
      <c r="I1370" s="24" t="str">
        <f ca="1">IFERROR(__xludf.DUMMYFUNCTION("GOOGLETRANSLATE(F1370,""en"",""pt"")"),"estrutura e produtos de fio gerais")</f>
        <v>estrutura e produtos de fio gerais</v>
      </c>
      <c r="J1370" t="str">
        <f>VLOOKUP(A1370,Pr_Base_LNEC!$A$4:$J$6971,6,FALSE)</f>
        <v>Cabelagens Estruturais e Produtos Gerais</v>
      </c>
      <c r="K1370">
        <f>VLOOKUP(A1370,Pr_Base_LNEC!$A$4:$J$6971,7,FALSE)</f>
        <v>0</v>
      </c>
    </row>
    <row r="1371" spans="1:11" ht="14.5">
      <c r="A1371" s="20" t="s">
        <v>17143</v>
      </c>
      <c r="B1371" s="20">
        <v>20</v>
      </c>
      <c r="C1371" s="20">
        <v>96</v>
      </c>
      <c r="D1371" s="20">
        <v>71</v>
      </c>
      <c r="E1371" s="24"/>
      <c r="F1371" s="20" t="s">
        <v>17144</v>
      </c>
      <c r="G1371" s="24"/>
      <c r="H1371" s="24"/>
      <c r="I1371" s="24" t="str">
        <f ca="1">IFERROR(__xludf.DUMMYFUNCTION("GOOGLETRANSLATE(F1371,""en"",""pt"")"),"Reforço")</f>
        <v>Reforço</v>
      </c>
      <c r="J1371" t="str">
        <f>VLOOKUP(A1371,Pr_Base_LNEC!$A$4:$J$6971,6,FALSE)</f>
        <v>?</v>
      </c>
      <c r="K1371">
        <f>VLOOKUP(A1371,Pr_Base_LNEC!$A$4:$J$6971,7,FALSE)</f>
        <v>0</v>
      </c>
    </row>
    <row r="1372" spans="1:11" ht="14.5">
      <c r="A1372" s="20" t="s">
        <v>17145</v>
      </c>
      <c r="B1372" s="20">
        <v>20</v>
      </c>
      <c r="C1372" s="20">
        <v>96</v>
      </c>
      <c r="D1372" s="20">
        <v>71</v>
      </c>
      <c r="E1372" s="20">
        <v>10</v>
      </c>
      <c r="F1372" s="20" t="s">
        <v>17146</v>
      </c>
      <c r="G1372" s="20" t="s">
        <v>17147</v>
      </c>
      <c r="H1372" s="24"/>
      <c r="I1372" s="24" t="str">
        <f ca="1">IFERROR(__xludf.DUMMYFUNCTION("GOOGLETRANSLATE(F1372,""en"",""pt"")"),"aço carbono cama reforço conjunta")</f>
        <v>aço carbono cama reforço conjunta</v>
      </c>
      <c r="J1372" t="str">
        <f>VLOOKUP(A1372,Pr_Base_LNEC!$A$4:$J$6971,6,FALSE)</f>
        <v>a</v>
      </c>
      <c r="K1372" t="str">
        <f>VLOOKUP(A1372,Pr_Base_LNEC!$A$4:$J$6971,7,FALSE)</f>
        <v>EN 845-3:2013+A1:2016
 Especificação dos componentes acessórios para alvenaria — Parte 3: Reforço de junta horizontal em malha de aço</v>
      </c>
    </row>
    <row r="1373" spans="1:11" ht="14.5">
      <c r="A1373" s="20" t="s">
        <v>17148</v>
      </c>
      <c r="B1373" s="20">
        <v>20</v>
      </c>
      <c r="C1373" s="20">
        <v>96</v>
      </c>
      <c r="D1373" s="20">
        <v>71</v>
      </c>
      <c r="E1373" s="20">
        <v>11</v>
      </c>
      <c r="F1373" s="20" t="s">
        <v>17149</v>
      </c>
      <c r="G1373" s="24"/>
      <c r="H1373" s="24"/>
      <c r="I1373" s="24" t="str">
        <f ca="1">IFERROR(__xludf.DUMMYFUNCTION("GOOGLETRANSLATE(F1373,""en"",""pt"")"),"Carbono reforço gaiola de aço")</f>
        <v>Carbono reforço gaiola de aço</v>
      </c>
      <c r="J1373" t="str">
        <f>VLOOKUP(A1373,Pr_Base_LNEC!$A$4:$J$6971,6,FALSE)</f>
        <v>-</v>
      </c>
      <c r="K1373">
        <f>VLOOKUP(A1373,Pr_Base_LNEC!$A$4:$J$6971,7,FALSE)</f>
        <v>0</v>
      </c>
    </row>
    <row r="1374" spans="1:11" ht="14.5">
      <c r="A1374" s="20" t="s">
        <v>17150</v>
      </c>
      <c r="B1374" s="20">
        <v>20</v>
      </c>
      <c r="C1374" s="20">
        <v>96</v>
      </c>
      <c r="D1374" s="20">
        <v>71</v>
      </c>
      <c r="E1374" s="20">
        <v>12</v>
      </c>
      <c r="F1374" s="20" t="s">
        <v>17151</v>
      </c>
      <c r="G1374" s="20" t="s">
        <v>17152</v>
      </c>
      <c r="H1374" s="24"/>
      <c r="I1374" s="24" t="str">
        <f ca="1">IFERROR(__xludf.DUMMYFUNCTION("GOOGLETRANSLATE(F1374,""en"",""pt"")"),"reforço de fibra de aço de carbono")</f>
        <v>reforço de fibra de aço de carbono</v>
      </c>
      <c r="J1374" t="str">
        <f>VLOOKUP(A1374,Pr_Base_LNEC!$A$4:$J$6971,6,FALSE)</f>
        <v>-</v>
      </c>
      <c r="K1374">
        <f>VLOOKUP(A1374,Pr_Base_LNEC!$A$4:$J$6971,7,FALSE)</f>
        <v>0</v>
      </c>
    </row>
    <row r="1375" spans="1:11" ht="14.5">
      <c r="A1375" s="20" t="s">
        <v>17153</v>
      </c>
      <c r="B1375" s="20">
        <v>20</v>
      </c>
      <c r="C1375" s="20">
        <v>96</v>
      </c>
      <c r="D1375" s="20">
        <v>71</v>
      </c>
      <c r="E1375" s="20">
        <v>13</v>
      </c>
      <c r="F1375" s="20" t="s">
        <v>17154</v>
      </c>
      <c r="G1375" s="20" t="s">
        <v>17155</v>
      </c>
      <c r="H1375" s="24"/>
      <c r="I1375" s="24" t="str">
        <f ca="1">IFERROR(__xludf.DUMMYFUNCTION("GOOGLETRANSLATE(F1375,""en"",""pt"")"),"aço carbono reforço bar plain")</f>
        <v>aço carbono reforço bar plain</v>
      </c>
      <c r="J1375" t="str">
        <f>VLOOKUP(A1375,Pr_Base_LNEC!$A$4:$J$6971,6,FALSE)</f>
        <v>-</v>
      </c>
      <c r="K1375">
        <f>VLOOKUP(A1375,Pr_Base_LNEC!$A$4:$J$6971,7,FALSE)</f>
        <v>0</v>
      </c>
    </row>
    <row r="1376" spans="1:11" ht="14.5">
      <c r="A1376" s="20" t="s">
        <v>17156</v>
      </c>
      <c r="B1376" s="20">
        <v>20</v>
      </c>
      <c r="C1376" s="20">
        <v>96</v>
      </c>
      <c r="D1376" s="20">
        <v>71</v>
      </c>
      <c r="E1376" s="20">
        <v>14</v>
      </c>
      <c r="F1376" s="20" t="s">
        <v>17157</v>
      </c>
      <c r="G1376" s="20" t="s">
        <v>17158</v>
      </c>
      <c r="H1376" s="24"/>
      <c r="I1376" s="24" t="str">
        <f ca="1">IFERROR(__xludf.DUMMYFUNCTION("GOOGLETRANSLATE(F1376,""en"",""pt"")"),"aço carbono reforço bar com nervuras")</f>
        <v>aço carbono reforço bar com nervuras</v>
      </c>
      <c r="J1376" t="str">
        <f>VLOOKUP(A1376,Pr_Base_LNEC!$A$4:$J$6971,6,FALSE)</f>
        <v>-</v>
      </c>
      <c r="K1376">
        <f>VLOOKUP(A1376,Pr_Base_LNEC!$A$4:$J$6971,7,FALSE)</f>
        <v>0</v>
      </c>
    </row>
    <row r="1377" spans="1:11" ht="14.5">
      <c r="A1377" s="20" t="s">
        <v>17159</v>
      </c>
      <c r="B1377" s="20">
        <v>20</v>
      </c>
      <c r="C1377" s="20">
        <v>96</v>
      </c>
      <c r="D1377" s="20">
        <v>71</v>
      </c>
      <c r="E1377" s="20">
        <v>15</v>
      </c>
      <c r="F1377" s="20" t="s">
        <v>17160</v>
      </c>
      <c r="G1377" s="20" t="s">
        <v>17161</v>
      </c>
      <c r="H1377" s="24"/>
      <c r="I1377" s="24" t="str">
        <f ca="1">IFERROR(__xludf.DUMMYFUNCTION("GOOGLETRANSLATE(F1377,""en"",""pt"")"),"Aço carbono instalado pós-bares arranque")</f>
        <v>Aço carbono instalado pós-bares arranque</v>
      </c>
      <c r="J1377" t="str">
        <f>VLOOKUP(A1377,Pr_Base_LNEC!$A$4:$J$6971,6,FALSE)</f>
        <v>-</v>
      </c>
      <c r="K1377">
        <f>VLOOKUP(A1377,Pr_Base_LNEC!$A$4:$J$6971,7,FALSE)</f>
        <v>0</v>
      </c>
    </row>
    <row r="1378" spans="1:11" ht="14.5">
      <c r="A1378" s="20" t="s">
        <v>17162</v>
      </c>
      <c r="B1378" s="20">
        <v>20</v>
      </c>
      <c r="C1378" s="20">
        <v>96</v>
      </c>
      <c r="D1378" s="20">
        <v>71</v>
      </c>
      <c r="E1378" s="20">
        <v>16</v>
      </c>
      <c r="F1378" s="20" t="s">
        <v>17163</v>
      </c>
      <c r="G1378" s="20" t="s">
        <v>17164</v>
      </c>
      <c r="H1378" s="24"/>
      <c r="I1378" s="24" t="str">
        <f ca="1">IFERROR(__xludf.DUMMYFUNCTION("GOOGLETRANSLATE(F1378,""en"",""pt"")"),"tendões de aço de carbono")</f>
        <v>tendões de aço de carbono</v>
      </c>
      <c r="J1378" t="str">
        <f>VLOOKUP(A1378,Pr_Base_LNEC!$A$4:$J$6971,6,FALSE)</f>
        <v>-</v>
      </c>
      <c r="K1378">
        <f>VLOOKUP(A1378,Pr_Base_LNEC!$A$4:$J$6971,7,FALSE)</f>
        <v>0</v>
      </c>
    </row>
    <row r="1379" spans="1:11" ht="14.5">
      <c r="A1379" s="20" t="s">
        <v>17165</v>
      </c>
      <c r="B1379" s="20">
        <v>20</v>
      </c>
      <c r="C1379" s="20">
        <v>96</v>
      </c>
      <c r="D1379" s="20">
        <v>71</v>
      </c>
      <c r="E1379" s="20">
        <v>17</v>
      </c>
      <c r="F1379" s="20" t="s">
        <v>17166</v>
      </c>
      <c r="G1379" s="20" t="s">
        <v>17167</v>
      </c>
      <c r="H1379" s="24"/>
      <c r="I1379" s="24" t="str">
        <f ca="1">IFERROR(__xludf.DUMMYFUNCTION("GOOGLETRANSLATE(F1379,""en"",""pt"")"),"reforço haste de cobre")</f>
        <v>reforço haste de cobre</v>
      </c>
      <c r="J1379" t="str">
        <f>VLOOKUP(A1379,Pr_Base_LNEC!$A$4:$J$6971,6,FALSE)</f>
        <v>-</v>
      </c>
      <c r="K1379">
        <f>VLOOKUP(A1379,Pr_Base_LNEC!$A$4:$J$6971,7,FALSE)</f>
        <v>0</v>
      </c>
    </row>
    <row r="1380" spans="1:11" ht="14.5">
      <c r="A1380" s="20" t="s">
        <v>17168</v>
      </c>
      <c r="B1380" s="20">
        <v>20</v>
      </c>
      <c r="C1380" s="20">
        <v>96</v>
      </c>
      <c r="D1380" s="20">
        <v>71</v>
      </c>
      <c r="E1380" s="20">
        <v>28</v>
      </c>
      <c r="F1380" s="20" t="s">
        <v>17169</v>
      </c>
      <c r="G1380" s="20" t="s">
        <v>17170</v>
      </c>
      <c r="H1380" s="24"/>
      <c r="I1380" s="24" t="str">
        <f ca="1">IFERROR(__xludf.DUMMYFUNCTION("GOOGLETRANSLATE(F1380,""en"",""pt"")"),"Reforçado com fibra de reforço de plásticos bar")</f>
        <v>Reforçado com fibra de reforço de plásticos bar</v>
      </c>
      <c r="J1380" t="str">
        <f>VLOOKUP(A1380,Pr_Base_LNEC!$A$4:$J$6971,6,FALSE)</f>
        <v>-</v>
      </c>
      <c r="K1380">
        <f>VLOOKUP(A1380,Pr_Base_LNEC!$A$4:$J$6971,7,FALSE)</f>
        <v>0</v>
      </c>
    </row>
    <row r="1381" spans="1:11" ht="14.5">
      <c r="A1381" s="20" t="s">
        <v>17171</v>
      </c>
      <c r="B1381" s="20">
        <v>20</v>
      </c>
      <c r="C1381" s="20">
        <v>96</v>
      </c>
      <c r="D1381" s="20">
        <v>71</v>
      </c>
      <c r="E1381" s="20">
        <v>30</v>
      </c>
      <c r="F1381" s="20" t="s">
        <v>17172</v>
      </c>
      <c r="G1381" s="20" t="s">
        <v>17173</v>
      </c>
      <c r="H1381" s="24"/>
      <c r="I1381" s="24" t="str">
        <f ca="1">IFERROR(__xludf.DUMMYFUNCTION("GOOGLETRANSLATE(F1381,""en"",""pt"")"),"reforço fibroso")</f>
        <v>reforço fibroso</v>
      </c>
      <c r="J1381" t="str">
        <f>VLOOKUP(A1381,Pr_Base_LNEC!$A$4:$J$6971,6,FALSE)</f>
        <v>-</v>
      </c>
      <c r="K1381">
        <f>VLOOKUP(A1381,Pr_Base_LNEC!$A$4:$J$6971,7,FALSE)</f>
        <v>0</v>
      </c>
    </row>
    <row r="1382" spans="1:11" ht="14.5">
      <c r="A1382" s="20" t="s">
        <v>17174</v>
      </c>
      <c r="B1382" s="20">
        <v>20</v>
      </c>
      <c r="C1382" s="20">
        <v>96</v>
      </c>
      <c r="D1382" s="20">
        <v>71</v>
      </c>
      <c r="E1382" s="20">
        <v>33</v>
      </c>
      <c r="F1382" s="20" t="s">
        <v>17175</v>
      </c>
      <c r="G1382" s="20" t="s">
        <v>17176</v>
      </c>
      <c r="H1382" s="24"/>
      <c r="I1382" s="24" t="str">
        <f ca="1">IFERROR(__xludf.DUMMYFUNCTION("GOOGLETRANSLATE(F1382,""en"",""pt"")"),"Vidro reforço de fibra de lã")</f>
        <v>Vidro reforço de fibra de lã</v>
      </c>
      <c r="J1382" t="str">
        <f>VLOOKUP(A1382,Pr_Base_LNEC!$A$4:$J$6971,6,FALSE)</f>
        <v>-</v>
      </c>
      <c r="K1382">
        <f>VLOOKUP(A1382,Pr_Base_LNEC!$A$4:$J$6971,7,FALSE)</f>
        <v>0</v>
      </c>
    </row>
    <row r="1383" spans="1:11" ht="14.5">
      <c r="A1383" s="20" t="s">
        <v>17177</v>
      </c>
      <c r="B1383" s="20">
        <v>20</v>
      </c>
      <c r="C1383" s="20">
        <v>96</v>
      </c>
      <c r="D1383" s="20">
        <v>71</v>
      </c>
      <c r="E1383" s="20">
        <v>34</v>
      </c>
      <c r="F1383" s="20" t="s">
        <v>17178</v>
      </c>
      <c r="G1383" s="20" t="s">
        <v>17179</v>
      </c>
      <c r="H1383" s="24"/>
      <c r="I1383" s="24" t="str">
        <f ca="1">IFERROR(__xludf.DUMMYFUNCTION("GOOGLETRANSLATE(F1383,""en"",""pt"")"),"reforço de malha de fibra de vidro")</f>
        <v>reforço de malha de fibra de vidro</v>
      </c>
      <c r="J1383" t="str">
        <f>VLOOKUP(A1383,Pr_Base_LNEC!$A$4:$J$6971,6,FALSE)</f>
        <v>-</v>
      </c>
      <c r="K1383">
        <f>VLOOKUP(A1383,Pr_Base_LNEC!$A$4:$J$6971,7,FALSE)</f>
        <v>0</v>
      </c>
    </row>
    <row r="1384" spans="1:11" ht="14.5">
      <c r="A1384" s="20" t="s">
        <v>17180</v>
      </c>
      <c r="B1384" s="20">
        <v>20</v>
      </c>
      <c r="C1384" s="20">
        <v>96</v>
      </c>
      <c r="D1384" s="20">
        <v>71</v>
      </c>
      <c r="E1384" s="20">
        <v>35</v>
      </c>
      <c r="F1384" s="20" t="s">
        <v>17181</v>
      </c>
      <c r="G1384" s="20" t="s">
        <v>17182</v>
      </c>
      <c r="H1384" s="24"/>
      <c r="I1384" s="24" t="str">
        <f ca="1">IFERROR(__xludf.DUMMYFUNCTION("GOOGLETRANSLATE(F1384,""en"",""pt"")"),"esteiras de reforço de fibra de vidro")</f>
        <v>esteiras de reforço de fibra de vidro</v>
      </c>
      <c r="J1384" t="str">
        <f>VLOOKUP(A1384,Pr_Base_LNEC!$A$4:$J$6971,6,FALSE)</f>
        <v>-</v>
      </c>
      <c r="K1384">
        <f>VLOOKUP(A1384,Pr_Base_LNEC!$A$4:$J$6971,7,FALSE)</f>
        <v>0</v>
      </c>
    </row>
    <row r="1385" spans="1:11" ht="14.5">
      <c r="A1385" s="20" t="s">
        <v>17183</v>
      </c>
      <c r="B1385" s="20">
        <v>20</v>
      </c>
      <c r="C1385" s="20">
        <v>96</v>
      </c>
      <c r="D1385" s="20">
        <v>71</v>
      </c>
      <c r="E1385" s="20">
        <v>36</v>
      </c>
      <c r="F1385" s="20" t="s">
        <v>17184</v>
      </c>
      <c r="G1385" s="24"/>
      <c r="H1385" s="24"/>
      <c r="I1385" s="24" t="str">
        <f ca="1">IFERROR(__xludf.DUMMYFUNCTION("GOOGLETRANSLATE(F1385,""en"",""pt"")"),"Vidro tendões de reforço de fibra")</f>
        <v>Vidro tendões de reforço de fibra</v>
      </c>
      <c r="J1385" t="str">
        <f>VLOOKUP(A1385,Pr_Base_LNEC!$A$4:$J$6971,6,FALSE)</f>
        <v>-</v>
      </c>
      <c r="K1385">
        <f>VLOOKUP(A1385,Pr_Base_LNEC!$A$4:$J$6971,7,FALSE)</f>
        <v>0</v>
      </c>
    </row>
    <row r="1386" spans="1:11" ht="14.5">
      <c r="A1386" s="20" t="s">
        <v>17185</v>
      </c>
      <c r="B1386" s="20">
        <v>20</v>
      </c>
      <c r="C1386" s="20">
        <v>96</v>
      </c>
      <c r="D1386" s="20">
        <v>71</v>
      </c>
      <c r="E1386" s="20">
        <v>51</v>
      </c>
      <c r="F1386" s="20" t="s">
        <v>17186</v>
      </c>
      <c r="G1386" s="20" t="s">
        <v>17187</v>
      </c>
      <c r="H1386" s="24"/>
      <c r="I1386" s="24" t="str">
        <f ca="1">IFERROR(__xludf.DUMMYFUNCTION("GOOGLETRANSLATE(F1386,""en"",""pt"")"),"acopladores reforço mecânico")</f>
        <v>acopladores reforço mecânico</v>
      </c>
      <c r="J1386" t="str">
        <f>VLOOKUP(A1386,Pr_Base_LNEC!$A$4:$J$6971,6,FALSE)</f>
        <v>-</v>
      </c>
      <c r="K1386">
        <f>VLOOKUP(A1386,Pr_Base_LNEC!$A$4:$J$6971,7,FALSE)</f>
        <v>0</v>
      </c>
    </row>
    <row r="1387" spans="1:11" ht="14.5">
      <c r="A1387" s="20" t="s">
        <v>17188</v>
      </c>
      <c r="B1387" s="20">
        <v>20</v>
      </c>
      <c r="C1387" s="20">
        <v>96</v>
      </c>
      <c r="D1387" s="20">
        <v>71</v>
      </c>
      <c r="E1387" s="20">
        <v>52</v>
      </c>
      <c r="F1387" s="20" t="s">
        <v>17189</v>
      </c>
      <c r="G1387" s="24"/>
      <c r="H1387" s="24"/>
      <c r="I1387" s="24" t="str">
        <f ca="1">IFERROR(__xludf.DUMMYFUNCTION("GOOGLETRANSLATE(F1387,""en"",""pt"")"),"Malha de reforço conjunta")</f>
        <v>Malha de reforço conjunta</v>
      </c>
      <c r="J1387" t="str">
        <f>VLOOKUP(A1387,Pr_Base_LNEC!$A$4:$J$6971,6,FALSE)</f>
        <v>-</v>
      </c>
      <c r="K1387">
        <f>VLOOKUP(A1387,Pr_Base_LNEC!$A$4:$J$6971,7,FALSE)</f>
        <v>0</v>
      </c>
    </row>
    <row r="1388" spans="1:11" ht="14.5">
      <c r="A1388" s="20" t="s">
        <v>17190</v>
      </c>
      <c r="B1388" s="20">
        <v>20</v>
      </c>
      <c r="C1388" s="20">
        <v>96</v>
      </c>
      <c r="D1388" s="20">
        <v>71</v>
      </c>
      <c r="E1388" s="20">
        <v>62</v>
      </c>
      <c r="F1388" s="20" t="s">
        <v>17191</v>
      </c>
      <c r="G1388" s="24"/>
      <c r="H1388" s="24"/>
      <c r="I1388" s="24" t="str">
        <f ca="1">IFERROR(__xludf.DUMMYFUNCTION("GOOGLETRANSLATE(F1388,""en"",""pt"")"),"Phosphor reforço haste bronze")</f>
        <v>Phosphor reforço haste bronze</v>
      </c>
      <c r="J1388" t="str">
        <f>VLOOKUP(A1388,Pr_Base_LNEC!$A$4:$J$6971,6,FALSE)</f>
        <v>-</v>
      </c>
      <c r="K1388">
        <f>VLOOKUP(A1388,Pr_Base_LNEC!$A$4:$J$6971,7,FALSE)</f>
        <v>0</v>
      </c>
    </row>
    <row r="1389" spans="1:11" ht="14.5">
      <c r="A1389" s="20" t="s">
        <v>17192</v>
      </c>
      <c r="B1389" s="20">
        <v>20</v>
      </c>
      <c r="C1389" s="20">
        <v>96</v>
      </c>
      <c r="D1389" s="20">
        <v>71</v>
      </c>
      <c r="E1389" s="20">
        <v>64</v>
      </c>
      <c r="F1389" s="20" t="s">
        <v>17193</v>
      </c>
      <c r="G1389" s="20" t="s">
        <v>17194</v>
      </c>
      <c r="H1389" s="24"/>
      <c r="I1389" s="24" t="str">
        <f ca="1">IFERROR(__xludf.DUMMYFUNCTION("GOOGLETRANSLATE(F1389,""en"",""pt"")"),"reforço velo de poliéster (PES) de fibras")</f>
        <v>reforço velo de poliéster (PES) de fibras</v>
      </c>
      <c r="J1389" t="str">
        <f>VLOOKUP(A1389,Pr_Base_LNEC!$A$4:$J$6971,6,FALSE)</f>
        <v>-</v>
      </c>
      <c r="K1389">
        <f>VLOOKUP(A1389,Pr_Base_LNEC!$A$4:$J$6971,7,FALSE)</f>
        <v>0</v>
      </c>
    </row>
    <row r="1390" spans="1:11" ht="14.5">
      <c r="A1390" s="20" t="s">
        <v>17195</v>
      </c>
      <c r="B1390" s="20">
        <v>20</v>
      </c>
      <c r="C1390" s="20">
        <v>96</v>
      </c>
      <c r="D1390" s="20">
        <v>71</v>
      </c>
      <c r="E1390" s="20">
        <v>66</v>
      </c>
      <c r="F1390" s="20" t="s">
        <v>17196</v>
      </c>
      <c r="G1390" s="20" t="s">
        <v>17197</v>
      </c>
      <c r="H1390" s="24"/>
      <c r="I1390" s="24" t="str">
        <f ca="1">IFERROR(__xludf.DUMMYFUNCTION("GOOGLETRANSLATE(F1390,""en"",""pt"")"),"tiras de reforço de continuidade pré-fabricadas")</f>
        <v>tiras de reforço de continuidade pré-fabricadas</v>
      </c>
      <c r="J1390" t="str">
        <f>VLOOKUP(A1390,Pr_Base_LNEC!$A$4:$J$6971,6,FALSE)</f>
        <v>-</v>
      </c>
      <c r="K1390">
        <f>VLOOKUP(A1390,Pr_Base_LNEC!$A$4:$J$6971,7,FALSE)</f>
        <v>0</v>
      </c>
    </row>
    <row r="1391" spans="1:11" ht="14.5">
      <c r="A1391" s="20" t="s">
        <v>17198</v>
      </c>
      <c r="B1391" s="20">
        <v>20</v>
      </c>
      <c r="C1391" s="20">
        <v>96</v>
      </c>
      <c r="D1391" s="20">
        <v>71</v>
      </c>
      <c r="E1391" s="20">
        <v>67</v>
      </c>
      <c r="F1391" s="20" t="s">
        <v>17199</v>
      </c>
      <c r="G1391" s="20" t="s">
        <v>17200</v>
      </c>
      <c r="H1391" s="24"/>
      <c r="I1391" s="24" t="str">
        <f ca="1">IFERROR(__xludf.DUMMYFUNCTION("GOOGLETRANSLATE(F1391,""en"",""pt"")"),"reforço pré-fabricada")</f>
        <v>reforço pré-fabricada</v>
      </c>
      <c r="J1391" t="str">
        <f>VLOOKUP(A1391,Pr_Base_LNEC!$A$4:$J$6971,6,FALSE)</f>
        <v>-</v>
      </c>
      <c r="K1391">
        <f>VLOOKUP(A1391,Pr_Base_LNEC!$A$4:$J$6971,7,FALSE)</f>
        <v>0</v>
      </c>
    </row>
    <row r="1392" spans="1:11" ht="14.5">
      <c r="A1392" s="20" t="s">
        <v>17201</v>
      </c>
      <c r="B1392" s="20">
        <v>20</v>
      </c>
      <c r="C1392" s="20">
        <v>96</v>
      </c>
      <c r="D1392" s="20">
        <v>71</v>
      </c>
      <c r="E1392" s="20">
        <v>83</v>
      </c>
      <c r="F1392" s="20" t="s">
        <v>17202</v>
      </c>
      <c r="G1392" s="20" t="s">
        <v>17203</v>
      </c>
      <c r="H1392" s="24"/>
      <c r="I1392" s="24" t="str">
        <f ca="1">IFERROR(__xludf.DUMMYFUNCTION("GOOGLETRANSLATE(F1392,""en"",""pt"")"),"cama de aço inoxidável reforço conjunta")</f>
        <v>cama de aço inoxidável reforço conjunta</v>
      </c>
      <c r="J1392" t="str">
        <f>VLOOKUP(A1392,Pr_Base_LNEC!$A$4:$J$6971,6,FALSE)</f>
        <v>?</v>
      </c>
      <c r="K1392" t="str">
        <f>VLOOKUP(A1392,Pr_Base_LNEC!$A$4:$J$6971,7,FALSE)</f>
        <v>EN 845-3:2013+A1:2016
 Especificação dos componentes acessórios para alvenaria — Parte 3: Reforço de junta horizontal em malha de aço</v>
      </c>
    </row>
    <row r="1393" spans="1:11" ht="14.5">
      <c r="A1393" s="20" t="s">
        <v>17204</v>
      </c>
      <c r="B1393" s="20">
        <v>20</v>
      </c>
      <c r="C1393" s="20">
        <v>96</v>
      </c>
      <c r="D1393" s="20">
        <v>71</v>
      </c>
      <c r="E1393" s="20">
        <v>84</v>
      </c>
      <c r="F1393" s="20" t="s">
        <v>17205</v>
      </c>
      <c r="G1393" s="20" t="s">
        <v>17206</v>
      </c>
      <c r="H1393" s="24"/>
      <c r="I1393" s="24" t="str">
        <f ca="1">IFERROR(__xludf.DUMMYFUNCTION("GOOGLETRANSLATE(F1393,""en"",""pt"")"),"reforço de fibra de aço inoxidável")</f>
        <v>reforço de fibra de aço inoxidável</v>
      </c>
      <c r="J1393" t="str">
        <f>VLOOKUP(A1393,Pr_Base_LNEC!$A$4:$J$6971,6,FALSE)</f>
        <v>-</v>
      </c>
      <c r="K1393">
        <f>VLOOKUP(A1393,Pr_Base_LNEC!$A$4:$J$6971,7,FALSE)</f>
        <v>0</v>
      </c>
    </row>
    <row r="1394" spans="1:11" ht="14.5">
      <c r="A1394" s="20" t="s">
        <v>17207</v>
      </c>
      <c r="B1394" s="20">
        <v>20</v>
      </c>
      <c r="C1394" s="20">
        <v>96</v>
      </c>
      <c r="D1394" s="20">
        <v>71</v>
      </c>
      <c r="E1394" s="20">
        <v>85</v>
      </c>
      <c r="F1394" s="20" t="s">
        <v>17208</v>
      </c>
      <c r="G1394" s="20" t="s">
        <v>17209</v>
      </c>
      <c r="H1394" s="24"/>
      <c r="I1394" s="24" t="str">
        <f ca="1">IFERROR(__xludf.DUMMYFUNCTION("GOOGLETRANSLATE(F1394,""en"",""pt"")"),"aço inoxidável reforço bar plain")</f>
        <v>aço inoxidável reforço bar plain</v>
      </c>
      <c r="J1394" t="str">
        <f>VLOOKUP(A1394,Pr_Base_LNEC!$A$4:$J$6971,6,FALSE)</f>
        <v>a</v>
      </c>
      <c r="K1394" t="str">
        <f>VLOOKUP(A1394,Pr_Base_LNEC!$A$4:$J$6971,7,FALSE)</f>
        <v>EN 10088-5:2009
 Aços inoxidáveis — Parte 5: Condições técnicas de fornecimento para barras, perfis, perfis trefilados, arame e produtos brilhantes de aço resistente à corrosão para aplicações na construção</v>
      </c>
    </row>
    <row r="1395" spans="1:11" ht="14.5">
      <c r="A1395" s="20" t="s">
        <v>17210</v>
      </c>
      <c r="B1395" s="20">
        <v>20</v>
      </c>
      <c r="C1395" s="20">
        <v>96</v>
      </c>
      <c r="D1395" s="20">
        <v>71</v>
      </c>
      <c r="E1395" s="20">
        <v>86</v>
      </c>
      <c r="F1395" s="20" t="s">
        <v>17211</v>
      </c>
      <c r="G1395" s="20" t="s">
        <v>17212</v>
      </c>
      <c r="H1395" s="24"/>
      <c r="I1395" s="24" t="str">
        <f ca="1">IFERROR(__xludf.DUMMYFUNCTION("GOOGLETRANSLATE(F1395,""en"",""pt"")"),"aço inoxidável reforço bar com nervuras")</f>
        <v>aço inoxidável reforço bar com nervuras</v>
      </c>
      <c r="J1395" t="str">
        <f>VLOOKUP(A1395,Pr_Base_LNEC!$A$4:$J$6971,6,FALSE)</f>
        <v>-</v>
      </c>
      <c r="K1395">
        <f>VLOOKUP(A1395,Pr_Base_LNEC!$A$4:$J$6971,7,FALSE)</f>
        <v>0</v>
      </c>
    </row>
    <row r="1396" spans="1:11" ht="14.5">
      <c r="A1396" s="20" t="s">
        <v>17213</v>
      </c>
      <c r="B1396" s="20">
        <v>20</v>
      </c>
      <c r="C1396" s="20">
        <v>96</v>
      </c>
      <c r="D1396" s="20">
        <v>71</v>
      </c>
      <c r="E1396" s="20">
        <v>87</v>
      </c>
      <c r="F1396" s="20" t="s">
        <v>17214</v>
      </c>
      <c r="G1396" s="20" t="s">
        <v>17215</v>
      </c>
      <c r="H1396" s="24"/>
      <c r="I1396" s="24" t="str">
        <f ca="1">IFERROR(__xludf.DUMMYFUNCTION("GOOGLETRANSLATE(F1396,""en"",""pt"")"),"aço inoxidável instalado pós-bares arranque")</f>
        <v>aço inoxidável instalado pós-bares arranque</v>
      </c>
      <c r="J1396" t="str">
        <f>VLOOKUP(A1396,Pr_Base_LNEC!$A$4:$J$6971,6,FALSE)</f>
        <v>-</v>
      </c>
      <c r="K1396">
        <f>VLOOKUP(A1396,Pr_Base_LNEC!$A$4:$J$6971,7,FALSE)</f>
        <v>0</v>
      </c>
    </row>
    <row r="1397" spans="1:11" ht="14.5">
      <c r="A1397" s="20" t="s">
        <v>17216</v>
      </c>
      <c r="B1397" s="20">
        <v>20</v>
      </c>
      <c r="C1397" s="20">
        <v>96</v>
      </c>
      <c r="D1397" s="20">
        <v>71</v>
      </c>
      <c r="E1397" s="20">
        <v>97</v>
      </c>
      <c r="F1397" s="20" t="s">
        <v>17217</v>
      </c>
      <c r="G1397" s="20" t="s">
        <v>17218</v>
      </c>
      <c r="H1397" s="24"/>
      <c r="I1397" s="24" t="str">
        <f ca="1">IFERROR(__xludf.DUMMYFUNCTION("GOOGLETRANSLATE(F1397,""en"",""pt"")"),"reforço de malha de arame soldada")</f>
        <v>reforço de malha de arame soldada</v>
      </c>
      <c r="J1397" t="str">
        <f>VLOOKUP(A1397,Pr_Base_LNEC!$A$4:$J$6971,6,FALSE)</f>
        <v>-</v>
      </c>
      <c r="K1397">
        <f>VLOOKUP(A1397,Pr_Base_LNEC!$A$4:$J$6971,7,FALSE)</f>
        <v>0</v>
      </c>
    </row>
    <row r="1398" spans="1:11" ht="14.5">
      <c r="A1398" s="20" t="s">
        <v>17219</v>
      </c>
      <c r="B1398" s="20">
        <v>20</v>
      </c>
      <c r="C1398" s="20">
        <v>96</v>
      </c>
      <c r="D1398" s="20">
        <v>96</v>
      </c>
      <c r="E1398" s="24"/>
      <c r="F1398" s="20" t="s">
        <v>17220</v>
      </c>
      <c r="G1398" s="24"/>
      <c r="H1398" s="24"/>
      <c r="I1398" s="24" t="str">
        <f ca="1">IFERROR(__xludf.DUMMYFUNCTION("GOOGLETRANSLATE(F1398,""en"",""pt"")"),"produtos auxiliares cercas de arame")</f>
        <v>produtos auxiliares cercas de arame</v>
      </c>
      <c r="J1398" t="str">
        <f>VLOOKUP(A1398,Pr_Base_LNEC!$A$4:$J$6971,6,FALSE)</f>
        <v>?</v>
      </c>
      <c r="K1398">
        <f>VLOOKUP(A1398,Pr_Base_LNEC!$A$4:$J$6971,7,FALSE)</f>
        <v>0</v>
      </c>
    </row>
    <row r="1399" spans="1:11" ht="14.5">
      <c r="A1399" s="20" t="s">
        <v>17221</v>
      </c>
      <c r="B1399" s="20">
        <v>20</v>
      </c>
      <c r="C1399" s="20">
        <v>96</v>
      </c>
      <c r="D1399" s="20">
        <v>96</v>
      </c>
      <c r="E1399" s="20">
        <v>11</v>
      </c>
      <c r="F1399" s="20" t="s">
        <v>17222</v>
      </c>
      <c r="G1399" s="20" t="s">
        <v>17223</v>
      </c>
      <c r="H1399" s="24"/>
      <c r="I1399" s="24" t="str">
        <f ca="1">IFERROR(__xludf.DUMMYFUNCTION("GOOGLETRANSLATE(F1399,""en"",""pt"")"),"Tipo de cerca grampos de aço carbono")</f>
        <v>Tipo de cerca grampos de aço carbono</v>
      </c>
      <c r="J1399" t="str">
        <f>VLOOKUP(A1399,Pr_Base_LNEC!$A$4:$J$6971,6,FALSE)</f>
        <v>-</v>
      </c>
      <c r="K1399">
        <f>VLOOKUP(A1399,Pr_Base_LNEC!$A$4:$J$6971,7,FALSE)</f>
        <v>0</v>
      </c>
    </row>
    <row r="1400" spans="1:11" ht="14.5">
      <c r="A1400" s="20" t="s">
        <v>17224</v>
      </c>
      <c r="B1400" s="20">
        <v>20</v>
      </c>
      <c r="C1400" s="20">
        <v>96</v>
      </c>
      <c r="D1400" s="20">
        <v>96</v>
      </c>
      <c r="E1400" s="20">
        <v>12</v>
      </c>
      <c r="F1400" s="20" t="s">
        <v>17225</v>
      </c>
      <c r="G1400" s="20" t="s">
        <v>17226</v>
      </c>
      <c r="H1400" s="24"/>
      <c r="I1400" s="24" t="str">
        <f ca="1">IFERROR(__xludf.DUMMYFUNCTION("GOOGLETRANSLATE(F1400,""en"",""pt"")"),"droppers Tipo de cerca de aço carbono")</f>
        <v>droppers Tipo de cerca de aço carbono</v>
      </c>
      <c r="J1400" t="str">
        <f>VLOOKUP(A1400,Pr_Base_LNEC!$A$4:$J$6971,6,FALSE)</f>
        <v>-</v>
      </c>
      <c r="K1400">
        <f>VLOOKUP(A1400,Pr_Base_LNEC!$A$4:$J$6971,7,FALSE)</f>
        <v>0</v>
      </c>
    </row>
    <row r="1401" spans="1:11" ht="14.5">
      <c r="A1401" s="20" t="s">
        <v>17227</v>
      </c>
      <c r="B1401" s="20">
        <v>20</v>
      </c>
      <c r="C1401" s="20">
        <v>96</v>
      </c>
      <c r="D1401" s="20">
        <v>96</v>
      </c>
      <c r="E1401" s="20">
        <v>13</v>
      </c>
      <c r="F1401" s="20" t="s">
        <v>17228</v>
      </c>
      <c r="G1401" s="20" t="s">
        <v>17229</v>
      </c>
      <c r="H1401" s="24"/>
      <c r="I1401" s="24" t="str">
        <f ca="1">IFERROR(__xludf.DUMMYFUNCTION("GOOGLETRANSLATE(F1401,""en"",""pt"")"),"anéis de aço carbono esgrima")</f>
        <v>anéis de aço carbono esgrima</v>
      </c>
      <c r="J1401" t="str">
        <f>VLOOKUP(A1401,Pr_Base_LNEC!$A$4:$J$6971,6,FALSE)</f>
        <v>-</v>
      </c>
      <c r="K1401">
        <f>VLOOKUP(A1401,Pr_Base_LNEC!$A$4:$J$6971,7,FALSE)</f>
        <v>0</v>
      </c>
    </row>
    <row r="1402" spans="1:11" ht="14.5">
      <c r="A1402" s="20" t="s">
        <v>17230</v>
      </c>
      <c r="B1402" s="20">
        <v>20</v>
      </c>
      <c r="C1402" s="20">
        <v>96</v>
      </c>
      <c r="D1402" s="20">
        <v>96</v>
      </c>
      <c r="E1402" s="20">
        <v>14</v>
      </c>
      <c r="F1402" s="20" t="s">
        <v>17231</v>
      </c>
      <c r="G1402" s="20" t="s">
        <v>17232</v>
      </c>
      <c r="H1402" s="24"/>
      <c r="I1402" s="24" t="str">
        <f ca="1">IFERROR(__xludf.DUMMYFUNCTION("GOOGLETRANSLATE(F1402,""en"",""pt"")"),"coadores esgrima aço carbono")</f>
        <v>coadores esgrima aço carbono</v>
      </c>
      <c r="J1402" t="str">
        <f>VLOOKUP(A1402,Pr_Base_LNEC!$A$4:$J$6971,6,FALSE)</f>
        <v>-</v>
      </c>
      <c r="K1402">
        <f>VLOOKUP(A1402,Pr_Base_LNEC!$A$4:$J$6971,7,FALSE)</f>
        <v>0</v>
      </c>
    </row>
    <row r="1403" spans="1:11" ht="14.5">
      <c r="A1403" s="20" t="s">
        <v>17233</v>
      </c>
      <c r="B1403" s="20">
        <v>20</v>
      </c>
      <c r="C1403" s="20">
        <v>96</v>
      </c>
      <c r="D1403" s="20">
        <v>96</v>
      </c>
      <c r="E1403" s="20">
        <v>15</v>
      </c>
      <c r="F1403" s="20" t="s">
        <v>17234</v>
      </c>
      <c r="G1403" s="20" t="s">
        <v>17235</v>
      </c>
      <c r="H1403" s="24"/>
      <c r="I1403" s="24" t="str">
        <f ca="1">IFERROR(__xludf.DUMMYFUNCTION("GOOGLETRANSLATE(F1403,""en"",""pt"")"),"aço carbono cercar bastidor")</f>
        <v>aço carbono cercar bastidor</v>
      </c>
      <c r="J1403" t="str">
        <f>VLOOKUP(A1403,Pr_Base_LNEC!$A$4:$J$6971,6,FALSE)</f>
        <v>-</v>
      </c>
      <c r="K1403">
        <f>VLOOKUP(A1403,Pr_Base_LNEC!$A$4:$J$6971,7,FALSE)</f>
        <v>0</v>
      </c>
    </row>
    <row r="1404" spans="1:11" ht="14.5">
      <c r="A1404" s="20" t="s">
        <v>17236</v>
      </c>
      <c r="B1404" s="20">
        <v>20</v>
      </c>
      <c r="C1404" s="20">
        <v>96</v>
      </c>
      <c r="D1404" s="20">
        <v>96</v>
      </c>
      <c r="E1404" s="20">
        <v>16</v>
      </c>
      <c r="F1404" s="20" t="s">
        <v>17237</v>
      </c>
      <c r="G1404" s="20" t="s">
        <v>17238</v>
      </c>
      <c r="H1404" s="24"/>
      <c r="I1404" s="24" t="str">
        <f ca="1">IFERROR(__xludf.DUMMYFUNCTION("GOOGLETRANSLATE(F1404,""en"",""pt"")"),"cunhas esgrima aço carbono")</f>
        <v>cunhas esgrima aço carbono</v>
      </c>
      <c r="J1404" t="str">
        <f>VLOOKUP(A1404,Pr_Base_LNEC!$A$4:$J$6971,6,FALSE)</f>
        <v>-</v>
      </c>
      <c r="K1404">
        <f>VLOOKUP(A1404,Pr_Base_LNEC!$A$4:$J$6971,7,FALSE)</f>
        <v>0</v>
      </c>
    </row>
    <row r="1405" spans="1:11" ht="14.5">
      <c r="A1405" s="20" t="s">
        <v>17239</v>
      </c>
      <c r="B1405" s="20">
        <v>20</v>
      </c>
      <c r="C1405" s="20">
        <v>96</v>
      </c>
      <c r="D1405" s="20">
        <v>96</v>
      </c>
      <c r="E1405" s="20">
        <v>17</v>
      </c>
      <c r="F1405" s="20" t="s">
        <v>17240</v>
      </c>
      <c r="G1405" s="20" t="s">
        <v>17241</v>
      </c>
      <c r="H1405" s="24"/>
      <c r="I1405" s="24" t="str">
        <f ca="1">IFERROR(__xludf.DUMMYFUNCTION("GOOGLETRANSLATE(F1405,""en"",""pt"")"),"aço carbono pré-formado cercas hastes de amarração")</f>
        <v>aço carbono pré-formado cercas hastes de amarração</v>
      </c>
      <c r="J1405" t="str">
        <f>VLOOKUP(A1405,Pr_Base_LNEC!$A$4:$J$6971,6,FALSE)</f>
        <v>-</v>
      </c>
      <c r="K1405">
        <f>VLOOKUP(A1405,Pr_Base_LNEC!$A$4:$J$6971,7,FALSE)</f>
        <v>0</v>
      </c>
    </row>
    <row r="1406" spans="1:11" ht="14.5">
      <c r="A1406" s="20" t="s">
        <v>17242</v>
      </c>
      <c r="B1406" s="20">
        <v>20</v>
      </c>
      <c r="C1406" s="20">
        <v>96</v>
      </c>
      <c r="D1406" s="20">
        <v>96</v>
      </c>
      <c r="E1406" s="20">
        <v>72</v>
      </c>
      <c r="F1406" s="20" t="s">
        <v>17243</v>
      </c>
      <c r="G1406" s="20" t="s">
        <v>17244</v>
      </c>
      <c r="H1406" s="24"/>
      <c r="I1406" s="24" t="str">
        <f ca="1">IFERROR(__xludf.DUMMYFUNCTION("GOOGLETRANSLATE(F1406,""en"",""pt"")"),"Girando coberturas cerca de palhetas")</f>
        <v>Girando coberturas cerca de palhetas</v>
      </c>
      <c r="J1406" t="str">
        <f>VLOOKUP(A1406,Pr_Base_LNEC!$A$4:$J$6971,6,FALSE)</f>
        <v>-</v>
      </c>
      <c r="K1406">
        <f>VLOOKUP(A1406,Pr_Base_LNEC!$A$4:$J$6971,7,FALSE)</f>
        <v>0</v>
      </c>
    </row>
    <row r="1407" spans="1:11" ht="14.5">
      <c r="A1407" s="20" t="s">
        <v>17245</v>
      </c>
      <c r="B1407" s="20">
        <v>20</v>
      </c>
      <c r="C1407" s="20">
        <v>96</v>
      </c>
      <c r="D1407" s="20">
        <v>97</v>
      </c>
      <c r="E1407" s="24"/>
      <c r="F1407" s="20" t="s">
        <v>17246</v>
      </c>
      <c r="G1407" s="24"/>
      <c r="H1407" s="24"/>
      <c r="I1407" s="24" t="str">
        <f ca="1">IFERROR(__xludf.DUMMYFUNCTION("GOOGLETRANSLATE(F1407,""en"",""pt"")"),"Fios, cordas, fios e correntes")</f>
        <v>Fios, cordas, fios e correntes</v>
      </c>
      <c r="J1407" t="str">
        <f>VLOOKUP(A1407,Pr_Base_LNEC!$A$4:$J$6971,6,FALSE)</f>
        <v>?</v>
      </c>
      <c r="K1407">
        <f>VLOOKUP(A1407,Pr_Base_LNEC!$A$4:$J$6971,7,FALSE)</f>
        <v>0</v>
      </c>
    </row>
    <row r="1408" spans="1:11" ht="14.5">
      <c r="A1408" s="20" t="s">
        <v>17247</v>
      </c>
      <c r="B1408" s="20">
        <v>20</v>
      </c>
      <c r="C1408" s="20">
        <v>96</v>
      </c>
      <c r="D1408" s="20">
        <v>97</v>
      </c>
      <c r="E1408" s="20">
        <v>2</v>
      </c>
      <c r="F1408" s="20" t="s">
        <v>17248</v>
      </c>
      <c r="G1408" s="20" t="s">
        <v>17249</v>
      </c>
      <c r="H1408" s="24"/>
      <c r="I1408" s="24" t="str">
        <f ca="1">IFERROR(__xludf.DUMMYFUNCTION("GOOGLETRANSLATE(F1408,""en"",""pt"")"),"fios de alumínio")</f>
        <v>fios de alumínio</v>
      </c>
      <c r="J1408" t="str">
        <f>VLOOKUP(A1408,Pr_Base_LNEC!$A$4:$J$6971,6,FALSE)</f>
        <v>-</v>
      </c>
      <c r="K1408">
        <f>VLOOKUP(A1408,Pr_Base_LNEC!$A$4:$J$6971,7,FALSE)</f>
        <v>0</v>
      </c>
    </row>
    <row r="1409" spans="1:11" ht="14.5">
      <c r="A1409" s="20" t="s">
        <v>17250</v>
      </c>
      <c r="B1409" s="20">
        <v>20</v>
      </c>
      <c r="C1409" s="20">
        <v>96</v>
      </c>
      <c r="D1409" s="20">
        <v>97</v>
      </c>
      <c r="E1409" s="20">
        <v>11</v>
      </c>
      <c r="F1409" s="20" t="s">
        <v>17251</v>
      </c>
      <c r="G1409" s="20" t="s">
        <v>17252</v>
      </c>
      <c r="H1409" s="24"/>
      <c r="I1409" s="24" t="str">
        <f ca="1">IFERROR(__xludf.DUMMYFUNCTION("GOOGLETRANSLATE(F1409,""en"",""pt"")"),"aço carbono farpado fitas")</f>
        <v>aço carbono farpado fitas</v>
      </c>
      <c r="J1409" t="str">
        <f>VLOOKUP(A1409,Pr_Base_LNEC!$A$4:$J$6971,6,FALSE)</f>
        <v>-</v>
      </c>
      <c r="K1409">
        <f>VLOOKUP(A1409,Pr_Base_LNEC!$A$4:$J$6971,7,FALSE)</f>
        <v>0</v>
      </c>
    </row>
    <row r="1410" spans="1:11" ht="14.5">
      <c r="A1410" s="20" t="s">
        <v>17253</v>
      </c>
      <c r="B1410" s="20">
        <v>20</v>
      </c>
      <c r="C1410" s="20">
        <v>96</v>
      </c>
      <c r="D1410" s="20">
        <v>97</v>
      </c>
      <c r="E1410" s="20">
        <v>12</v>
      </c>
      <c r="F1410" s="20" t="s">
        <v>17254</v>
      </c>
      <c r="G1410" s="20" t="s">
        <v>17255</v>
      </c>
      <c r="H1410" s="24"/>
      <c r="I1410" s="24" t="str">
        <f ca="1">IFERROR(__xludf.DUMMYFUNCTION("GOOGLETRANSLATE(F1410,""en"",""pt"")"),"aço carbono farpado fios")</f>
        <v>aço carbono farpado fios</v>
      </c>
      <c r="J1410" t="str">
        <f>VLOOKUP(A1410,Pr_Base_LNEC!$A$4:$J$6971,6,FALSE)</f>
        <v>-</v>
      </c>
      <c r="K1410">
        <f>VLOOKUP(A1410,Pr_Base_LNEC!$A$4:$J$6971,7,FALSE)</f>
        <v>0</v>
      </c>
    </row>
    <row r="1411" spans="1:11" ht="14.5">
      <c r="A1411" s="20" t="s">
        <v>17256</v>
      </c>
      <c r="B1411" s="20">
        <v>20</v>
      </c>
      <c r="C1411" s="20">
        <v>96</v>
      </c>
      <c r="D1411" s="20">
        <v>97</v>
      </c>
      <c r="E1411" s="20">
        <v>13</v>
      </c>
      <c r="F1411" s="20" t="s">
        <v>17257</v>
      </c>
      <c r="G1411" s="20" t="s">
        <v>17258</v>
      </c>
      <c r="H1411" s="24"/>
      <c r="I1411" s="24" t="str">
        <f ca="1">IFERROR(__xludf.DUMMYFUNCTION("GOOGLETRANSLATE(F1411,""en"",""pt"")"),"correntes de aço de carbono")</f>
        <v>correntes de aço de carbono</v>
      </c>
      <c r="J1411" t="str">
        <f>VLOOKUP(A1411,Pr_Base_LNEC!$A$4:$J$6971,6,FALSE)</f>
        <v>-</v>
      </c>
      <c r="K1411">
        <f>VLOOKUP(A1411,Pr_Base_LNEC!$A$4:$J$6971,7,FALSE)</f>
        <v>0</v>
      </c>
    </row>
    <row r="1412" spans="1:11" ht="14.5">
      <c r="A1412" s="20" t="s">
        <v>17259</v>
      </c>
      <c r="B1412" s="20">
        <v>20</v>
      </c>
      <c r="C1412" s="20">
        <v>96</v>
      </c>
      <c r="D1412" s="20">
        <v>97</v>
      </c>
      <c r="E1412" s="20">
        <v>14</v>
      </c>
      <c r="F1412" s="20" t="s">
        <v>17260</v>
      </c>
      <c r="G1412" s="20" t="s">
        <v>17261</v>
      </c>
      <c r="H1412" s="24"/>
      <c r="I1412" s="24" t="str">
        <f ca="1">IFERROR(__xludf.DUMMYFUNCTION("GOOGLETRANSLATE(F1412,""en"",""pt"")"),"fios de aço carbono de alta resistência farpado")</f>
        <v>fios de aço carbono de alta resistência farpado</v>
      </c>
      <c r="J1412" t="str">
        <f>VLOOKUP(A1412,Pr_Base_LNEC!$A$4:$J$6971,6,FALSE)</f>
        <v>-</v>
      </c>
      <c r="K1412">
        <f>VLOOKUP(A1412,Pr_Base_LNEC!$A$4:$J$6971,7,FALSE)</f>
        <v>0</v>
      </c>
    </row>
    <row r="1413" spans="1:11" ht="14.5">
      <c r="A1413" s="20" t="s">
        <v>17262</v>
      </c>
      <c r="B1413" s="20">
        <v>20</v>
      </c>
      <c r="C1413" s="20">
        <v>96</v>
      </c>
      <c r="D1413" s="20">
        <v>97</v>
      </c>
      <c r="E1413" s="20">
        <v>15</v>
      </c>
      <c r="F1413" s="20" t="s">
        <v>17263</v>
      </c>
      <c r="G1413" s="20" t="s">
        <v>17264</v>
      </c>
      <c r="H1413" s="24"/>
      <c r="I1413" s="24" t="str">
        <f ca="1">IFERROR(__xludf.DUMMYFUNCTION("GOOGLETRANSLATE(F1413,""en"",""pt"")"),"fios de linha de alta elasticidade de aço carbono")</f>
        <v>fios de linha de alta elasticidade de aço carbono</v>
      </c>
      <c r="J1413" t="str">
        <f>VLOOKUP(A1413,Pr_Base_LNEC!$A$4:$J$6971,6,FALSE)</f>
        <v>-</v>
      </c>
      <c r="K1413">
        <f>VLOOKUP(A1413,Pr_Base_LNEC!$A$4:$J$6971,7,FALSE)</f>
        <v>0</v>
      </c>
    </row>
    <row r="1414" spans="1:11" ht="14.5">
      <c r="A1414" s="20" t="s">
        <v>17265</v>
      </c>
      <c r="B1414" s="20">
        <v>20</v>
      </c>
      <c r="C1414" s="20">
        <v>96</v>
      </c>
      <c r="D1414" s="20">
        <v>97</v>
      </c>
      <c r="E1414" s="20">
        <v>16</v>
      </c>
      <c r="F1414" s="20" t="s">
        <v>17266</v>
      </c>
      <c r="G1414" s="20" t="s">
        <v>17267</v>
      </c>
      <c r="H1414" s="24"/>
      <c r="I1414" s="24" t="str">
        <f ca="1">IFERROR(__xludf.DUMMYFUNCTION("GOOGLETRANSLATE(F1414,""en"",""pt"")"),"fios de navalha de aço carbono")</f>
        <v>fios de navalha de aço carbono</v>
      </c>
      <c r="J1414" t="str">
        <f>VLOOKUP(A1414,Pr_Base_LNEC!$A$4:$J$6971,6,FALSE)</f>
        <v>-</v>
      </c>
      <c r="K1414">
        <f>VLOOKUP(A1414,Pr_Base_LNEC!$A$4:$J$6971,7,FALSE)</f>
        <v>0</v>
      </c>
    </row>
    <row r="1415" spans="1:11" ht="14.5">
      <c r="A1415" s="20" t="s">
        <v>17268</v>
      </c>
      <c r="B1415" s="20">
        <v>20</v>
      </c>
      <c r="C1415" s="20">
        <v>96</v>
      </c>
      <c r="D1415" s="20">
        <v>97</v>
      </c>
      <c r="E1415" s="20">
        <v>17</v>
      </c>
      <c r="F1415" s="20" t="s">
        <v>17269</v>
      </c>
      <c r="G1415" s="20" t="s">
        <v>17270</v>
      </c>
      <c r="H1415" s="24"/>
      <c r="I1415" s="24" t="str">
        <f ca="1">IFERROR(__xludf.DUMMYFUNCTION("GOOGLETRANSLATE(F1415,""en"",""pt"")"),"arames de mola de aço carbono")</f>
        <v>arames de mola de aço carbono</v>
      </c>
      <c r="J1415" t="str">
        <f>VLOOKUP(A1415,Pr_Base_LNEC!$A$4:$J$6971,6,FALSE)</f>
        <v>-</v>
      </c>
      <c r="K1415">
        <f>VLOOKUP(A1415,Pr_Base_LNEC!$A$4:$J$6971,7,FALSE)</f>
        <v>0</v>
      </c>
    </row>
    <row r="1416" spans="1:11" ht="14.5">
      <c r="A1416" s="20" t="s">
        <v>17271</v>
      </c>
      <c r="B1416" s="20">
        <v>20</v>
      </c>
      <c r="C1416" s="20">
        <v>96</v>
      </c>
      <c r="D1416" s="20">
        <v>97</v>
      </c>
      <c r="E1416" s="20">
        <v>18</v>
      </c>
      <c r="F1416" s="20" t="s">
        <v>17272</v>
      </c>
      <c r="G1416" s="20" t="s">
        <v>17273</v>
      </c>
      <c r="H1416" s="24"/>
      <c r="I1416" s="24" t="str">
        <f ca="1">IFERROR(__xludf.DUMMYFUNCTION("GOOGLETRANSLATE(F1416,""en"",""pt"")"),"cabos de aço carbono")</f>
        <v>cabos de aço carbono</v>
      </c>
      <c r="J1416" t="str">
        <f>VLOOKUP(A1416,Pr_Base_LNEC!$A$4:$J$6971,6,FALSE)</f>
        <v>-</v>
      </c>
      <c r="K1416">
        <f>VLOOKUP(A1416,Pr_Base_LNEC!$A$4:$J$6971,7,FALSE)</f>
        <v>0</v>
      </c>
    </row>
    <row r="1417" spans="1:11" ht="14.5">
      <c r="A1417" s="20" t="s">
        <v>17274</v>
      </c>
      <c r="B1417" s="20">
        <v>20</v>
      </c>
      <c r="C1417" s="20">
        <v>96</v>
      </c>
      <c r="D1417" s="20">
        <v>97</v>
      </c>
      <c r="E1417" s="20">
        <v>19</v>
      </c>
      <c r="F1417" s="20" t="s">
        <v>17275</v>
      </c>
      <c r="G1417" s="20" t="s">
        <v>17276</v>
      </c>
      <c r="H1417" s="24"/>
      <c r="I1417" s="24" t="str">
        <f ca="1">IFERROR(__xludf.DUMMYFUNCTION("GOOGLETRANSLATE(F1417,""en"",""pt"")"),"fios de aço carbono")</f>
        <v>fios de aço carbono</v>
      </c>
      <c r="J1417" t="str">
        <f>VLOOKUP(A1417,Pr_Base_LNEC!$A$4:$J$6971,6,FALSE)</f>
        <v>-</v>
      </c>
      <c r="K1417">
        <f>VLOOKUP(A1417,Pr_Base_LNEC!$A$4:$J$6971,7,FALSE)</f>
        <v>0</v>
      </c>
    </row>
    <row r="1418" spans="1:11" ht="14.5">
      <c r="A1418" s="20" t="s">
        <v>17277</v>
      </c>
      <c r="B1418" s="20">
        <v>20</v>
      </c>
      <c r="C1418" s="20">
        <v>96</v>
      </c>
      <c r="D1418" s="20">
        <v>97</v>
      </c>
      <c r="E1418" s="20">
        <v>21</v>
      </c>
      <c r="F1418" s="20" t="s">
        <v>17278</v>
      </c>
      <c r="G1418" s="20" t="s">
        <v>17279</v>
      </c>
      <c r="H1418" s="24"/>
      <c r="I1418" s="24" t="str">
        <f ca="1">IFERROR(__xludf.DUMMYFUNCTION("GOOGLETRANSLATE(F1418,""en"",""pt"")"),"fios de liga de cobre")</f>
        <v>fios de liga de cobre</v>
      </c>
      <c r="J1418" t="str">
        <f>VLOOKUP(A1418,Pr_Base_LNEC!$A$4:$J$6971,6,FALSE)</f>
        <v>-</v>
      </c>
      <c r="K1418">
        <f>VLOOKUP(A1418,Pr_Base_LNEC!$A$4:$J$6971,7,FALSE)</f>
        <v>0</v>
      </c>
    </row>
    <row r="1419" spans="1:11" ht="14.5">
      <c r="A1419" s="20" t="s">
        <v>17280</v>
      </c>
      <c r="B1419" s="20">
        <v>20</v>
      </c>
      <c r="C1419" s="20">
        <v>96</v>
      </c>
      <c r="D1419" s="20">
        <v>97</v>
      </c>
      <c r="E1419" s="20">
        <v>27</v>
      </c>
      <c r="F1419" s="20" t="s">
        <v>17281</v>
      </c>
      <c r="G1419" s="20" t="s">
        <v>17282</v>
      </c>
      <c r="H1419" s="24"/>
      <c r="I1419" s="24" t="str">
        <f ca="1">IFERROR(__xludf.DUMMYFUNCTION("GOOGLETRANSLATE(F1419,""en"",""pt"")"),"cordas cerca elétrica")</f>
        <v>cordas cerca elétrica</v>
      </c>
      <c r="J1419" t="str">
        <f>VLOOKUP(A1419,Pr_Base_LNEC!$A$4:$J$6971,6,FALSE)</f>
        <v>-</v>
      </c>
      <c r="K1419">
        <f>VLOOKUP(A1419,Pr_Base_LNEC!$A$4:$J$6971,7,FALSE)</f>
        <v>0</v>
      </c>
    </row>
    <row r="1420" spans="1:11" ht="14.5">
      <c r="A1420" s="20" t="s">
        <v>17283</v>
      </c>
      <c r="B1420" s="20">
        <v>20</v>
      </c>
      <c r="C1420" s="20">
        <v>96</v>
      </c>
      <c r="D1420" s="20">
        <v>97</v>
      </c>
      <c r="E1420" s="20">
        <v>51</v>
      </c>
      <c r="F1420" s="20" t="s">
        <v>17284</v>
      </c>
      <c r="G1420" s="24"/>
      <c r="H1420" s="24"/>
      <c r="I1420" s="24" t="str">
        <f ca="1">IFERROR(__xludf.DUMMYFUNCTION("GOOGLETRANSLATE(F1420,""en"",""pt"")"),"As cordas de fibras mistas")</f>
        <v>As cordas de fibras mistas</v>
      </c>
      <c r="J1420" t="str">
        <f>VLOOKUP(A1420,Pr_Base_LNEC!$A$4:$J$6971,6,FALSE)</f>
        <v>-</v>
      </c>
      <c r="K1420">
        <f>VLOOKUP(A1420,Pr_Base_LNEC!$A$4:$J$6971,7,FALSE)</f>
        <v>0</v>
      </c>
    </row>
    <row r="1421" spans="1:11" ht="14.5">
      <c r="A1421" s="20" t="s">
        <v>17285</v>
      </c>
      <c r="B1421" s="20">
        <v>20</v>
      </c>
      <c r="C1421" s="20">
        <v>96</v>
      </c>
      <c r="D1421" s="20">
        <v>97</v>
      </c>
      <c r="E1421" s="20">
        <v>56</v>
      </c>
      <c r="F1421" s="20" t="s">
        <v>17286</v>
      </c>
      <c r="G1421" s="20" t="s">
        <v>17287</v>
      </c>
      <c r="H1421" s="24"/>
      <c r="I1421" s="24" t="str">
        <f ca="1">IFERROR(__xludf.DUMMYFUNCTION("GOOGLETRANSLATE(F1421,""en"",""pt"")"),"cordas naturais")</f>
        <v>cordas naturais</v>
      </c>
      <c r="J1421" t="str">
        <f>VLOOKUP(A1421,Pr_Base_LNEC!$A$4:$J$6971,6,FALSE)</f>
        <v>-</v>
      </c>
      <c r="K1421">
        <f>VLOOKUP(A1421,Pr_Base_LNEC!$A$4:$J$6971,7,FALSE)</f>
        <v>0</v>
      </c>
    </row>
    <row r="1422" spans="1:11" ht="14.5">
      <c r="A1422" s="20" t="s">
        <v>17288</v>
      </c>
      <c r="B1422" s="20">
        <v>20</v>
      </c>
      <c r="C1422" s="20">
        <v>96</v>
      </c>
      <c r="D1422" s="20">
        <v>97</v>
      </c>
      <c r="E1422" s="20">
        <v>57</v>
      </c>
      <c r="F1422" s="20" t="s">
        <v>17289</v>
      </c>
      <c r="G1422" s="24"/>
      <c r="H1422" s="24"/>
      <c r="I1422" s="24" t="str">
        <f ca="1">IFERROR(__xludf.DUMMYFUNCTION("GOOGLETRANSLATE(F1422,""en"",""pt"")"),"tópicos naturais")</f>
        <v>tópicos naturais</v>
      </c>
      <c r="J1422" t="str">
        <f>VLOOKUP(A1422,Pr_Base_LNEC!$A$4:$J$6971,6,FALSE)</f>
        <v>-</v>
      </c>
      <c r="K1422">
        <f>VLOOKUP(A1422,Pr_Base_LNEC!$A$4:$J$6971,7,FALSE)</f>
        <v>0</v>
      </c>
    </row>
    <row r="1423" spans="1:11" ht="14.5">
      <c r="A1423" s="20" t="s">
        <v>17290</v>
      </c>
      <c r="B1423" s="20">
        <v>20</v>
      </c>
      <c r="C1423" s="20">
        <v>96</v>
      </c>
      <c r="D1423" s="20">
        <v>97</v>
      </c>
      <c r="E1423" s="20">
        <v>58</v>
      </c>
      <c r="F1423" s="20" t="s">
        <v>17291</v>
      </c>
      <c r="G1423" s="20" t="s">
        <v>17292</v>
      </c>
      <c r="H1423" s="24"/>
      <c r="I1423" s="24" t="str">
        <f ca="1">IFERROR(__xludf.DUMMYFUNCTION("GOOGLETRANSLATE(F1423,""en"",""pt"")"),"fios naturais")</f>
        <v>fios naturais</v>
      </c>
      <c r="J1423" t="str">
        <f>VLOOKUP(A1423,Pr_Base_LNEC!$A$4:$J$6971,6,FALSE)</f>
        <v>-</v>
      </c>
      <c r="K1423">
        <f>VLOOKUP(A1423,Pr_Base_LNEC!$A$4:$J$6971,7,FALSE)</f>
        <v>0</v>
      </c>
    </row>
    <row r="1424" spans="1:11" ht="14.5">
      <c r="A1424" s="20" t="s">
        <v>17293</v>
      </c>
      <c r="B1424" s="20">
        <v>20</v>
      </c>
      <c r="C1424" s="20">
        <v>96</v>
      </c>
      <c r="D1424" s="20">
        <v>97</v>
      </c>
      <c r="E1424" s="20">
        <v>60</v>
      </c>
      <c r="F1424" s="20" t="s">
        <v>17294</v>
      </c>
      <c r="G1424" s="20" t="s">
        <v>17295</v>
      </c>
      <c r="H1424" s="24"/>
      <c r="I1424" s="24" t="str">
        <f ca="1">IFERROR(__xludf.DUMMYFUNCTION("GOOGLETRANSLATE(F1424,""en"",""pt"")"),"fios bronze de fósforo")</f>
        <v>fios bronze de fósforo</v>
      </c>
      <c r="J1424" t="str">
        <f>VLOOKUP(A1424,Pr_Base_LNEC!$A$4:$J$6971,6,FALSE)</f>
        <v>-</v>
      </c>
      <c r="K1424">
        <f>VLOOKUP(A1424,Pr_Base_LNEC!$A$4:$J$6971,7,FALSE)</f>
        <v>0</v>
      </c>
    </row>
    <row r="1425" spans="1:11" ht="14.5">
      <c r="A1425" s="20" t="s">
        <v>17296</v>
      </c>
      <c r="B1425" s="20">
        <v>20</v>
      </c>
      <c r="C1425" s="20">
        <v>96</v>
      </c>
      <c r="D1425" s="20">
        <v>97</v>
      </c>
      <c r="E1425" s="20">
        <v>62</v>
      </c>
      <c r="F1425" s="20" t="s">
        <v>17297</v>
      </c>
      <c r="G1425" s="24"/>
      <c r="H1425" s="24"/>
      <c r="I1425" s="24" t="str">
        <f ca="1">IFERROR(__xludf.DUMMYFUNCTION("GOOGLETRANSLATE(F1425,""en"",""pt"")"),"cadeias de plásticos")</f>
        <v>cadeias de plásticos</v>
      </c>
      <c r="J1425" t="str">
        <f>VLOOKUP(A1425,Pr_Base_LNEC!$A$4:$J$6971,6,FALSE)</f>
        <v>-</v>
      </c>
      <c r="K1425">
        <f>VLOOKUP(A1425,Pr_Base_LNEC!$A$4:$J$6971,7,FALSE)</f>
        <v>0</v>
      </c>
    </row>
    <row r="1426" spans="1:11" ht="14.5">
      <c r="A1426" s="20" t="s">
        <v>17298</v>
      </c>
      <c r="B1426" s="20">
        <v>20</v>
      </c>
      <c r="C1426" s="20">
        <v>96</v>
      </c>
      <c r="D1426" s="20">
        <v>97</v>
      </c>
      <c r="E1426" s="20">
        <v>63</v>
      </c>
      <c r="F1426" s="20" t="s">
        <v>17299</v>
      </c>
      <c r="G1426" s="24"/>
      <c r="H1426" s="24"/>
      <c r="I1426" s="24" t="str">
        <f ca="1">IFERROR(__xludf.DUMMYFUNCTION("GOOGLETRANSLATE(F1426,""en"",""pt"")"),"fios ou linhas de Plásticos")</f>
        <v>fios ou linhas de Plásticos</v>
      </c>
      <c r="J1426" t="str">
        <f>VLOOKUP(A1426,Pr_Base_LNEC!$A$4:$J$6971,6,FALSE)</f>
        <v>-</v>
      </c>
      <c r="K1426">
        <f>VLOOKUP(A1426,Pr_Base_LNEC!$A$4:$J$6971,7,FALSE)</f>
        <v>0</v>
      </c>
    </row>
    <row r="1427" spans="1:11" ht="14.5">
      <c r="A1427" s="20" t="s">
        <v>17300</v>
      </c>
      <c r="B1427" s="20">
        <v>20</v>
      </c>
      <c r="C1427" s="20">
        <v>96</v>
      </c>
      <c r="D1427" s="20">
        <v>97</v>
      </c>
      <c r="E1427" s="20">
        <v>73</v>
      </c>
      <c r="F1427" s="20" t="s">
        <v>17301</v>
      </c>
      <c r="G1427" s="24"/>
      <c r="H1427" s="24"/>
      <c r="I1427" s="24" t="str">
        <f ca="1">IFERROR(__xludf.DUMMYFUNCTION("GOOGLETRANSLATE(F1427,""en"",""pt"")"),"colhedores de absorção de choque")</f>
        <v>colhedores de absorção de choque</v>
      </c>
      <c r="J1427" t="str">
        <f>VLOOKUP(A1427,Pr_Base_LNEC!$A$4:$J$6971,6,FALSE)</f>
        <v>-</v>
      </c>
      <c r="K1427">
        <f>VLOOKUP(A1427,Pr_Base_LNEC!$A$4:$J$6971,7,FALSE)</f>
        <v>0</v>
      </c>
    </row>
    <row r="1428" spans="1:11" ht="14.5">
      <c r="A1428" s="20" t="s">
        <v>17302</v>
      </c>
      <c r="B1428" s="20">
        <v>20</v>
      </c>
      <c r="C1428" s="20">
        <v>96</v>
      </c>
      <c r="D1428" s="20">
        <v>97</v>
      </c>
      <c r="E1428" s="20">
        <v>74</v>
      </c>
      <c r="F1428" s="20" t="s">
        <v>17303</v>
      </c>
      <c r="G1428" s="20" t="s">
        <v>17304</v>
      </c>
      <c r="H1428" s="24"/>
      <c r="I1428" s="24" t="str">
        <f ca="1">IFERROR(__xludf.DUMMYFUNCTION("GOOGLETRANSLATE(F1428,""en"",""pt"")"),"aço inoxidável farpado fitas")</f>
        <v>aço inoxidável farpado fitas</v>
      </c>
      <c r="J1428" t="str">
        <f>VLOOKUP(A1428,Pr_Base_LNEC!$A$4:$J$6971,6,FALSE)</f>
        <v>-</v>
      </c>
      <c r="K1428">
        <f>VLOOKUP(A1428,Pr_Base_LNEC!$A$4:$J$6971,7,FALSE)</f>
        <v>0</v>
      </c>
    </row>
    <row r="1429" spans="1:11" ht="14.5">
      <c r="A1429" s="20" t="s">
        <v>17305</v>
      </c>
      <c r="B1429" s="20">
        <v>20</v>
      </c>
      <c r="C1429" s="20">
        <v>96</v>
      </c>
      <c r="D1429" s="20">
        <v>97</v>
      </c>
      <c r="E1429" s="20">
        <v>75</v>
      </c>
      <c r="F1429" s="20" t="s">
        <v>17306</v>
      </c>
      <c r="G1429" s="20" t="s">
        <v>17307</v>
      </c>
      <c r="H1429" s="24"/>
      <c r="I1429" s="24" t="str">
        <f ca="1">IFERROR(__xludf.DUMMYFUNCTION("GOOGLETRANSLATE(F1429,""en"",""pt"")"),"aço inoxidável farpado fios")</f>
        <v>aço inoxidável farpado fios</v>
      </c>
      <c r="J1429" t="str">
        <f>VLOOKUP(A1429,Pr_Base_LNEC!$A$4:$J$6971,6,FALSE)</f>
        <v>-</v>
      </c>
      <c r="K1429">
        <f>VLOOKUP(A1429,Pr_Base_LNEC!$A$4:$J$6971,7,FALSE)</f>
        <v>0</v>
      </c>
    </row>
    <row r="1430" spans="1:11" ht="14.5">
      <c r="A1430" s="20" t="s">
        <v>17308</v>
      </c>
      <c r="B1430" s="20">
        <v>20</v>
      </c>
      <c r="C1430" s="20">
        <v>96</v>
      </c>
      <c r="D1430" s="20">
        <v>97</v>
      </c>
      <c r="E1430" s="20">
        <v>76</v>
      </c>
      <c r="F1430" s="20" t="s">
        <v>17309</v>
      </c>
      <c r="G1430" s="20" t="s">
        <v>17310</v>
      </c>
      <c r="H1430" s="24"/>
      <c r="I1430" s="24" t="str">
        <f ca="1">IFERROR(__xludf.DUMMYFUNCTION("GOOGLETRANSLATE(F1430,""en"",""pt"")"),"correntes de aço inoxidável")</f>
        <v>correntes de aço inoxidável</v>
      </c>
      <c r="J1430" t="str">
        <f>VLOOKUP(A1430,Pr_Base_LNEC!$A$4:$J$6971,6,FALSE)</f>
        <v>-</v>
      </c>
      <c r="K1430">
        <f>VLOOKUP(A1430,Pr_Base_LNEC!$A$4:$J$6971,7,FALSE)</f>
        <v>0</v>
      </c>
    </row>
    <row r="1431" spans="1:11" ht="14.5">
      <c r="A1431" s="20" t="s">
        <v>17311</v>
      </c>
      <c r="B1431" s="20">
        <v>20</v>
      </c>
      <c r="C1431" s="20">
        <v>96</v>
      </c>
      <c r="D1431" s="20">
        <v>97</v>
      </c>
      <c r="E1431" s="20">
        <v>77</v>
      </c>
      <c r="F1431" s="20" t="s">
        <v>17312</v>
      </c>
      <c r="G1431" s="24"/>
      <c r="H1431" s="24"/>
      <c r="I1431" s="24" t="str">
        <f ca="1">IFERROR(__xludf.DUMMYFUNCTION("GOOGLETRANSLATE(F1431,""en"",""pt"")"),"fios de aço inoxidável de alta resistência farpado")</f>
        <v>fios de aço inoxidável de alta resistência farpado</v>
      </c>
      <c r="J1431" t="str">
        <f>VLOOKUP(A1431,Pr_Base_LNEC!$A$4:$J$6971,6,FALSE)</f>
        <v>-</v>
      </c>
      <c r="K1431">
        <f>VLOOKUP(A1431,Pr_Base_LNEC!$A$4:$J$6971,7,FALSE)</f>
        <v>0</v>
      </c>
    </row>
    <row r="1432" spans="1:11" ht="14.5">
      <c r="A1432" s="20" t="s">
        <v>17313</v>
      </c>
      <c r="B1432" s="20">
        <v>20</v>
      </c>
      <c r="C1432" s="20">
        <v>96</v>
      </c>
      <c r="D1432" s="20">
        <v>97</v>
      </c>
      <c r="E1432" s="20">
        <v>78</v>
      </c>
      <c r="F1432" s="20" t="s">
        <v>17314</v>
      </c>
      <c r="G1432" s="24"/>
      <c r="H1432" s="24"/>
      <c r="I1432" s="24" t="str">
        <f ca="1">IFERROR(__xludf.DUMMYFUNCTION("GOOGLETRANSLATE(F1432,""en"",""pt"")"),"fios de linha de alta resistência em aço inoxidável")</f>
        <v>fios de linha de alta resistência em aço inoxidável</v>
      </c>
      <c r="J1432" t="str">
        <f>VLOOKUP(A1432,Pr_Base_LNEC!$A$4:$J$6971,6,FALSE)</f>
        <v>-</v>
      </c>
      <c r="K1432">
        <f>VLOOKUP(A1432,Pr_Base_LNEC!$A$4:$J$6971,7,FALSE)</f>
        <v>0</v>
      </c>
    </row>
    <row r="1433" spans="1:11" ht="14.5">
      <c r="A1433" s="20" t="s">
        <v>17315</v>
      </c>
      <c r="B1433" s="20">
        <v>20</v>
      </c>
      <c r="C1433" s="20">
        <v>96</v>
      </c>
      <c r="D1433" s="20">
        <v>97</v>
      </c>
      <c r="E1433" s="20">
        <v>79</v>
      </c>
      <c r="F1433" s="20" t="s">
        <v>17316</v>
      </c>
      <c r="G1433" s="20" t="s">
        <v>17317</v>
      </c>
      <c r="H1433" s="24"/>
      <c r="I1433" s="24" t="str">
        <f ca="1">IFERROR(__xludf.DUMMYFUNCTION("GOOGLETRANSLATE(F1433,""en"",""pt"")"),"fios de navalha de aço inoxidável")</f>
        <v>fios de navalha de aço inoxidável</v>
      </c>
      <c r="J1433" t="str">
        <f>VLOOKUP(A1433,Pr_Base_LNEC!$A$4:$J$6971,6,FALSE)</f>
        <v>-</v>
      </c>
      <c r="K1433">
        <f>VLOOKUP(A1433,Pr_Base_LNEC!$A$4:$J$6971,7,FALSE)</f>
        <v>0</v>
      </c>
    </row>
    <row r="1434" spans="1:11" ht="14.5">
      <c r="A1434" s="20" t="s">
        <v>17318</v>
      </c>
      <c r="B1434" s="20">
        <v>20</v>
      </c>
      <c r="C1434" s="20">
        <v>96</v>
      </c>
      <c r="D1434" s="20">
        <v>97</v>
      </c>
      <c r="E1434" s="20">
        <v>80</v>
      </c>
      <c r="F1434" s="20" t="s">
        <v>17319</v>
      </c>
      <c r="G1434" s="24"/>
      <c r="H1434" s="24"/>
      <c r="I1434" s="24" t="str">
        <f ca="1">IFERROR(__xludf.DUMMYFUNCTION("GOOGLETRANSLATE(F1434,""en"",""pt"")"),"fios mola de aço inoxidável")</f>
        <v>fios mola de aço inoxidável</v>
      </c>
      <c r="J1434" t="str">
        <f>VLOOKUP(A1434,Pr_Base_LNEC!$A$4:$J$6971,6,FALSE)</f>
        <v>-</v>
      </c>
      <c r="K1434">
        <f>VLOOKUP(A1434,Pr_Base_LNEC!$A$4:$J$6971,7,FALSE)</f>
        <v>0</v>
      </c>
    </row>
    <row r="1435" spans="1:11" ht="14.5">
      <c r="A1435" s="20" t="s">
        <v>17320</v>
      </c>
      <c r="B1435" s="20">
        <v>20</v>
      </c>
      <c r="C1435" s="20">
        <v>96</v>
      </c>
      <c r="D1435" s="20">
        <v>97</v>
      </c>
      <c r="E1435" s="20">
        <v>81</v>
      </c>
      <c r="F1435" s="20" t="s">
        <v>17321</v>
      </c>
      <c r="G1435" s="20" t="s">
        <v>17322</v>
      </c>
      <c r="H1435" s="24"/>
      <c r="I1435" s="24" t="str">
        <f ca="1">IFERROR(__xludf.DUMMYFUNCTION("GOOGLETRANSLATE(F1435,""en"",""pt"")"),"cabos de aço inoxidável")</f>
        <v>cabos de aço inoxidável</v>
      </c>
      <c r="J1435" t="str">
        <f>VLOOKUP(A1435,Pr_Base_LNEC!$A$4:$J$6971,6,FALSE)</f>
        <v>-</v>
      </c>
      <c r="K1435">
        <f>VLOOKUP(A1435,Pr_Base_LNEC!$A$4:$J$6971,7,FALSE)</f>
        <v>0</v>
      </c>
    </row>
    <row r="1436" spans="1:11" ht="14.5">
      <c r="A1436" s="20" t="s">
        <v>17323</v>
      </c>
      <c r="B1436" s="20">
        <v>20</v>
      </c>
      <c r="C1436" s="20">
        <v>96</v>
      </c>
      <c r="D1436" s="20">
        <v>97</v>
      </c>
      <c r="E1436" s="20">
        <v>82</v>
      </c>
      <c r="F1436" s="20" t="s">
        <v>17324</v>
      </c>
      <c r="G1436" s="20" t="s">
        <v>17325</v>
      </c>
      <c r="H1436" s="24"/>
      <c r="I1436" s="24" t="str">
        <f ca="1">IFERROR(__xludf.DUMMYFUNCTION("GOOGLETRANSLATE(F1436,""en"",""pt"")"),"fios de aço inoxidável")</f>
        <v>fios de aço inoxidável</v>
      </c>
      <c r="J1436" t="str">
        <f>VLOOKUP(A1436,Pr_Base_LNEC!$A$4:$J$6971,6,FALSE)</f>
        <v>-</v>
      </c>
      <c r="K1436">
        <f>VLOOKUP(A1436,Pr_Base_LNEC!$A$4:$J$6971,7,FALSE)</f>
        <v>0</v>
      </c>
    </row>
    <row r="1437" spans="1:11" ht="14.5">
      <c r="A1437" s="20" t="s">
        <v>17326</v>
      </c>
      <c r="B1437" s="20">
        <v>20</v>
      </c>
      <c r="C1437" s="20">
        <v>96</v>
      </c>
      <c r="D1437" s="20">
        <v>97</v>
      </c>
      <c r="E1437" s="20">
        <v>83</v>
      </c>
      <c r="F1437" s="20" t="s">
        <v>17327</v>
      </c>
      <c r="G1437" s="20" t="s">
        <v>17328</v>
      </c>
      <c r="H1437" s="24"/>
      <c r="I1437" s="24" t="str">
        <f ca="1">IFERROR(__xludf.DUMMYFUNCTION("GOOGLETRANSLATE(F1437,""en"",""pt"")"),"Piscina sinalizado cordas")</f>
        <v>Piscina sinalizado cordas</v>
      </c>
      <c r="J1437" t="str">
        <f>VLOOKUP(A1437,Pr_Base_LNEC!$A$4:$J$6971,6,FALSE)</f>
        <v>-</v>
      </c>
      <c r="K1437">
        <f>VLOOKUP(A1437,Pr_Base_LNEC!$A$4:$J$6971,7,FALSE)</f>
        <v>0</v>
      </c>
    </row>
    <row r="1438" spans="1:11" ht="14.5">
      <c r="A1438" s="20" t="s">
        <v>17329</v>
      </c>
      <c r="B1438" s="20">
        <v>20</v>
      </c>
      <c r="C1438" s="20">
        <v>96</v>
      </c>
      <c r="D1438" s="20">
        <v>97</v>
      </c>
      <c r="E1438" s="20">
        <v>84</v>
      </c>
      <c r="F1438" s="20" t="s">
        <v>17330</v>
      </c>
      <c r="G1438" s="20" t="s">
        <v>17331</v>
      </c>
      <c r="H1438" s="24"/>
      <c r="I1438" s="24" t="str">
        <f ca="1">IFERROR(__xludf.DUMMYFUNCTION("GOOGLETRANSLATE(F1438,""en"",""pt"")"),"Natação cordas start piscina falsos")</f>
        <v>Natação cordas start piscina falsos</v>
      </c>
      <c r="J1438" t="str">
        <f>VLOOKUP(A1438,Pr_Base_LNEC!$A$4:$J$6971,6,FALSE)</f>
        <v>-</v>
      </c>
      <c r="K1438">
        <f>VLOOKUP(A1438,Pr_Base_LNEC!$A$4:$J$6971,7,FALSE)</f>
        <v>0</v>
      </c>
    </row>
    <row r="1439" spans="1:11" ht="14.5">
      <c r="A1439" s="20" t="s">
        <v>17332</v>
      </c>
      <c r="B1439" s="20">
        <v>20</v>
      </c>
      <c r="C1439" s="20">
        <v>96</v>
      </c>
      <c r="D1439" s="20">
        <v>97</v>
      </c>
      <c r="E1439" s="20">
        <v>85</v>
      </c>
      <c r="F1439" s="20" t="s">
        <v>17333</v>
      </c>
      <c r="G1439" s="20" t="s">
        <v>17334</v>
      </c>
      <c r="H1439" s="24"/>
      <c r="I1439" s="24" t="str">
        <f ca="1">IFERROR(__xludf.DUMMYFUNCTION("GOOGLETRANSLATE(F1439,""en"",""pt"")"),"Natação cordas pista piscina")</f>
        <v>Natação cordas pista piscina</v>
      </c>
      <c r="J1439" t="str">
        <f>VLOOKUP(A1439,Pr_Base_LNEC!$A$4:$J$6971,6,FALSE)</f>
        <v>-</v>
      </c>
      <c r="K1439">
        <f>VLOOKUP(A1439,Pr_Base_LNEC!$A$4:$J$6971,7,FALSE)</f>
        <v>0</v>
      </c>
    </row>
    <row r="1440" spans="1:11" ht="14.5">
      <c r="A1440" s="20" t="s">
        <v>17335</v>
      </c>
      <c r="B1440" s="20">
        <v>20</v>
      </c>
      <c r="C1440" s="20">
        <v>96</v>
      </c>
      <c r="D1440" s="20">
        <v>97</v>
      </c>
      <c r="E1440" s="20">
        <v>86</v>
      </c>
      <c r="F1440" s="20" t="s">
        <v>17336</v>
      </c>
      <c r="G1440" s="20" t="s">
        <v>17337</v>
      </c>
      <c r="H1440" s="24"/>
      <c r="I1440" s="24" t="str">
        <f ca="1">IFERROR(__xludf.DUMMYFUNCTION("GOOGLETRANSLATE(F1440,""en"",""pt"")"),"cadeias sintéticas")</f>
        <v>cadeias sintéticas</v>
      </c>
      <c r="J1440" t="str">
        <f>VLOOKUP(A1440,Pr_Base_LNEC!$A$4:$J$6971,6,FALSE)</f>
        <v>-</v>
      </c>
      <c r="K1440">
        <f>VLOOKUP(A1440,Pr_Base_LNEC!$A$4:$J$6971,7,FALSE)</f>
        <v>0</v>
      </c>
    </row>
    <row r="1441" spans="1:11" ht="14.5">
      <c r="A1441" s="20" t="s">
        <v>17338</v>
      </c>
      <c r="B1441" s="20">
        <v>20</v>
      </c>
      <c r="C1441" s="20">
        <v>96</v>
      </c>
      <c r="D1441" s="20">
        <v>97</v>
      </c>
      <c r="E1441" s="20">
        <v>87</v>
      </c>
      <c r="F1441" s="20" t="s">
        <v>17339</v>
      </c>
      <c r="G1441" s="20" t="s">
        <v>17340</v>
      </c>
      <c r="H1441" s="24"/>
      <c r="I1441" s="24" t="str">
        <f ca="1">IFERROR(__xludf.DUMMYFUNCTION("GOOGLETRANSLATE(F1441,""en"",""pt"")"),"cabos sintéticos")</f>
        <v>cabos sintéticos</v>
      </c>
      <c r="J1441" t="str">
        <f>VLOOKUP(A1441,Pr_Base_LNEC!$A$4:$J$6971,6,FALSE)</f>
        <v>-</v>
      </c>
      <c r="K1441">
        <f>VLOOKUP(A1441,Pr_Base_LNEC!$A$4:$J$6971,7,FALSE)</f>
        <v>0</v>
      </c>
    </row>
    <row r="1442" spans="1:11" ht="14.5">
      <c r="A1442" s="20" t="s">
        <v>17341</v>
      </c>
      <c r="B1442" s="20">
        <v>20</v>
      </c>
      <c r="C1442" s="20">
        <v>96</v>
      </c>
      <c r="D1442" s="20">
        <v>97</v>
      </c>
      <c r="E1442" s="20">
        <v>88</v>
      </c>
      <c r="F1442" s="20" t="s">
        <v>17342</v>
      </c>
      <c r="G1442" s="20" t="s">
        <v>17343</v>
      </c>
      <c r="H1442" s="24"/>
      <c r="I1442" s="24" t="str">
        <f ca="1">IFERROR(__xludf.DUMMYFUNCTION("GOOGLETRANSLATE(F1442,""en"",""pt"")"),"fios sintéticos")</f>
        <v>fios sintéticos</v>
      </c>
      <c r="J1442" t="str">
        <f>VLOOKUP(A1442,Pr_Base_LNEC!$A$4:$J$6971,6,FALSE)</f>
        <v>-</v>
      </c>
      <c r="K1442">
        <f>VLOOKUP(A1442,Pr_Base_LNEC!$A$4:$J$6971,7,FALSE)</f>
        <v>0</v>
      </c>
    </row>
    <row r="1443" spans="1:11" ht="14.5">
      <c r="A1443" s="20" t="s">
        <v>17344</v>
      </c>
      <c r="B1443" s="20">
        <v>20</v>
      </c>
      <c r="C1443" s="20">
        <v>96</v>
      </c>
      <c r="D1443" s="20">
        <v>97</v>
      </c>
      <c r="E1443" s="20">
        <v>89</v>
      </c>
      <c r="F1443" s="20" t="s">
        <v>17345</v>
      </c>
      <c r="G1443" s="20" t="s">
        <v>17346</v>
      </c>
      <c r="H1443" s="24"/>
      <c r="I1443" s="24" t="str">
        <f ca="1">IFERROR(__xludf.DUMMYFUNCTION("GOOGLETRANSLATE(F1443,""en"",""pt"")"),"fios sintéticos")</f>
        <v>fios sintéticos</v>
      </c>
      <c r="J1443" t="str">
        <f>VLOOKUP(A1443,Pr_Base_LNEC!$A$4:$J$6971,6,FALSE)</f>
        <v>-</v>
      </c>
      <c r="K1443">
        <f>VLOOKUP(A1443,Pr_Base_LNEC!$A$4:$J$6971,7,FALSE)</f>
        <v>0</v>
      </c>
    </row>
    <row r="1444" spans="1:11" ht="14.5">
      <c r="A1444" s="20" t="s">
        <v>17347</v>
      </c>
      <c r="B1444" s="20">
        <v>25</v>
      </c>
      <c r="C1444" s="24"/>
      <c r="D1444" s="24"/>
      <c r="E1444" s="24"/>
      <c r="F1444" s="20" t="s">
        <v>17348</v>
      </c>
      <c r="G1444" s="24"/>
      <c r="H1444" s="24"/>
      <c r="I1444" s="24" t="str">
        <f ca="1">IFERROR(__xludf.DUMMYFUNCTION("GOOGLETRANSLATE(F1444,""en"",""pt"")"),"produtos de pele")</f>
        <v>produtos de pele</v>
      </c>
      <c r="J1444" t="str">
        <f>VLOOKUP(A1444,Pr_Base_LNEC!$A$4:$J$6971,6,FALSE)</f>
        <v>Produtos Exteriores</v>
      </c>
      <c r="K1444">
        <f>VLOOKUP(A1444,Pr_Base_LNEC!$A$4:$J$6971,7,FALSE)</f>
        <v>0</v>
      </c>
    </row>
    <row r="1445" spans="1:11" ht="14.5">
      <c r="A1445" s="20" t="s">
        <v>17349</v>
      </c>
      <c r="B1445" s="20">
        <v>25</v>
      </c>
      <c r="C1445" s="20">
        <v>30</v>
      </c>
      <c r="D1445" s="24"/>
      <c r="E1445" s="24"/>
      <c r="F1445" s="20" t="s">
        <v>17350</v>
      </c>
      <c r="G1445" s="24"/>
      <c r="H1445" s="24"/>
      <c r="I1445" s="24" t="str">
        <f ca="1">IFERROR(__xludf.DUMMYFUNCTION("GOOGLETRANSLATE(F1445,""en"",""pt"")"),"produtos de acesso fixo")</f>
        <v>produtos de acesso fixo</v>
      </c>
      <c r="J1445" t="str">
        <f>VLOOKUP(A1445,Pr_Base_LNEC!$A$4:$J$6971,6,FALSE)</f>
        <v>Produtos para Acessos Fixos</v>
      </c>
      <c r="K1445">
        <f>VLOOKUP(A1445,Pr_Base_LNEC!$A$4:$J$6971,7,FALSE)</f>
        <v>0</v>
      </c>
    </row>
    <row r="1446" spans="1:11" ht="14.5">
      <c r="A1446" s="20" t="s">
        <v>17351</v>
      </c>
      <c r="B1446" s="20">
        <v>25</v>
      </c>
      <c r="C1446" s="20">
        <v>30</v>
      </c>
      <c r="D1446" s="20">
        <v>30</v>
      </c>
      <c r="E1446" s="24"/>
      <c r="F1446" s="20" t="s">
        <v>17352</v>
      </c>
      <c r="G1446" s="24"/>
      <c r="H1446" s="24"/>
      <c r="I1446" s="24" t="str">
        <f ca="1">IFERROR(__xludf.DUMMYFUNCTION("GOOGLETRANSLATE(F1446,""en"",""pt"")"),"Placas de chão, gradeamentos e orlas")</f>
        <v>Placas de chão, gradeamentos e orlas</v>
      </c>
      <c r="J1446" t="str">
        <f>VLOOKUP(A1446,Pr_Base_LNEC!$A$4:$J$6971,6,FALSE)</f>
        <v>a</v>
      </c>
      <c r="K1446">
        <f>VLOOKUP(A1446,Pr_Base_LNEC!$A$4:$J$6971,7,FALSE)</f>
        <v>0</v>
      </c>
    </row>
    <row r="1447" spans="1:11" ht="14.5">
      <c r="A1447" s="20" t="s">
        <v>17353</v>
      </c>
      <c r="B1447" s="20">
        <v>25</v>
      </c>
      <c r="C1447" s="20">
        <v>30</v>
      </c>
      <c r="D1447" s="20">
        <v>30</v>
      </c>
      <c r="E1447" s="20">
        <v>1</v>
      </c>
      <c r="F1447" s="20" t="s">
        <v>17354</v>
      </c>
      <c r="G1447" s="20" t="s">
        <v>17355</v>
      </c>
      <c r="H1447" s="24"/>
      <c r="I1447" s="24" t="str">
        <f ca="1">IFERROR(__xludf.DUMMYFUNCTION("GOOGLETRANSLATE(F1447,""en"",""pt"")"),"De alumínio formadas a frio pranchas")</f>
        <v>De alumínio formadas a frio pranchas</v>
      </c>
      <c r="J1447" t="str">
        <f>VLOOKUP(A1447,Pr_Base_LNEC!$A$4:$J$6971,6,FALSE)</f>
        <v>-</v>
      </c>
      <c r="K1447">
        <f>VLOOKUP(A1447,Pr_Base_LNEC!$A$4:$J$6971,7,FALSE)</f>
        <v>0</v>
      </c>
    </row>
    <row r="1448" spans="1:11" ht="14.5">
      <c r="A1448" s="20" t="s">
        <v>17356</v>
      </c>
      <c r="B1448" s="20">
        <v>25</v>
      </c>
      <c r="C1448" s="20">
        <v>30</v>
      </c>
      <c r="D1448" s="20">
        <v>30</v>
      </c>
      <c r="E1448" s="20">
        <v>2</v>
      </c>
      <c r="F1448" s="20" t="s">
        <v>17357</v>
      </c>
      <c r="G1448" s="24"/>
      <c r="H1448" s="24"/>
      <c r="I1448" s="24" t="str">
        <f ca="1">IFERROR(__xludf.DUMMYFUNCTION("GOOGLETRANSLATE(F1448,""en"",""pt"")"),"duckboards alumínio")</f>
        <v>duckboards alumínio</v>
      </c>
      <c r="J1448" t="str">
        <f>VLOOKUP(A1448,Pr_Base_LNEC!$A$4:$J$6971,6,FALSE)</f>
        <v>-</v>
      </c>
      <c r="K1448">
        <f>VLOOKUP(A1448,Pr_Base_LNEC!$A$4:$J$6971,7,FALSE)</f>
        <v>0</v>
      </c>
    </row>
    <row r="1449" spans="1:11" ht="14.5">
      <c r="A1449" s="20" t="s">
        <v>17358</v>
      </c>
      <c r="B1449" s="20">
        <v>25</v>
      </c>
      <c r="C1449" s="20">
        <v>30</v>
      </c>
      <c r="D1449" s="20">
        <v>30</v>
      </c>
      <c r="E1449" s="20">
        <v>3</v>
      </c>
      <c r="F1449" s="20" t="s">
        <v>17359</v>
      </c>
      <c r="G1449" s="20" t="s">
        <v>17360</v>
      </c>
      <c r="H1449" s="24"/>
      <c r="I1449" s="24" t="str">
        <f ca="1">IFERROR(__xludf.DUMMYFUNCTION("GOOGLETRANSLATE(F1449,""en"",""pt"")"),"seções afiação de alumínio")</f>
        <v>seções afiação de alumínio</v>
      </c>
      <c r="J1449" t="str">
        <f>VLOOKUP(A1449,Pr_Base_LNEC!$A$4:$J$6971,6,FALSE)</f>
        <v>-</v>
      </c>
      <c r="K1449">
        <f>VLOOKUP(A1449,Pr_Base_LNEC!$A$4:$J$6971,7,FALSE)</f>
        <v>0</v>
      </c>
    </row>
    <row r="1450" spans="1:11" ht="14.5">
      <c r="A1450" s="20" t="s">
        <v>17361</v>
      </c>
      <c r="B1450" s="20">
        <v>25</v>
      </c>
      <c r="C1450" s="20">
        <v>30</v>
      </c>
      <c r="D1450" s="20">
        <v>30</v>
      </c>
      <c r="E1450" s="20">
        <v>4</v>
      </c>
      <c r="F1450" s="20" t="s">
        <v>17362</v>
      </c>
      <c r="G1450" s="20" t="s">
        <v>17363</v>
      </c>
      <c r="H1450" s="24"/>
      <c r="I1450" s="24" t="str">
        <f ca="1">IFERROR(__xludf.DUMMYFUNCTION("GOOGLETRANSLATE(F1450,""en"",""pt"")"),"Alumínio expandido grades")</f>
        <v>Alumínio expandido grades</v>
      </c>
      <c r="J1450" t="str">
        <f>VLOOKUP(A1450,Pr_Base_LNEC!$A$4:$J$6971,6,FALSE)</f>
        <v>-</v>
      </c>
      <c r="K1450">
        <f>VLOOKUP(A1450,Pr_Base_LNEC!$A$4:$J$6971,7,FALSE)</f>
        <v>0</v>
      </c>
    </row>
    <row r="1451" spans="1:11" ht="14.5">
      <c r="A1451" s="20" t="s">
        <v>17364</v>
      </c>
      <c r="B1451" s="20">
        <v>25</v>
      </c>
      <c r="C1451" s="20">
        <v>30</v>
      </c>
      <c r="D1451" s="20">
        <v>30</v>
      </c>
      <c r="E1451" s="20">
        <v>5</v>
      </c>
      <c r="F1451" s="20" t="s">
        <v>17365</v>
      </c>
      <c r="G1451" s="20" t="s">
        <v>17366</v>
      </c>
      <c r="H1451" s="24"/>
      <c r="I1451" s="24" t="str">
        <f ca="1">IFERROR(__xludf.DUMMYFUNCTION("GOOGLETRANSLATE(F1451,""en"",""pt"")"),"Alumínio grades metálicas aberto barra")</f>
        <v>Alumínio grades metálicas aberto barra</v>
      </c>
      <c r="J1451" t="str">
        <f>VLOOKUP(A1451,Pr_Base_LNEC!$A$4:$J$6971,6,FALSE)</f>
        <v>-</v>
      </c>
      <c r="K1451">
        <f>VLOOKUP(A1451,Pr_Base_LNEC!$A$4:$J$6971,7,FALSE)</f>
        <v>0</v>
      </c>
    </row>
    <row r="1452" spans="1:11" ht="14.5">
      <c r="A1452" s="20" t="s">
        <v>17367</v>
      </c>
      <c r="B1452" s="20">
        <v>25</v>
      </c>
      <c r="C1452" s="20">
        <v>30</v>
      </c>
      <c r="D1452" s="20">
        <v>30</v>
      </c>
      <c r="E1452" s="20">
        <v>6</v>
      </c>
      <c r="F1452" s="20" t="s">
        <v>17368</v>
      </c>
      <c r="G1452" s="20" t="s">
        <v>17369</v>
      </c>
      <c r="H1452" s="24"/>
      <c r="I1452" s="24" t="str">
        <f ca="1">IFERROR(__xludf.DUMMYFUNCTION("GOOGLETRANSLATE(F1452,""en"",""pt"")"),"placas de metal de alumínio sólido")</f>
        <v>placas de metal de alumínio sólido</v>
      </c>
      <c r="J1452" t="str">
        <f>VLOOKUP(A1452,Pr_Base_LNEC!$A$4:$J$6971,6,FALSE)</f>
        <v>-</v>
      </c>
      <c r="K1452">
        <f>VLOOKUP(A1452,Pr_Base_LNEC!$A$4:$J$6971,7,FALSE)</f>
        <v>0</v>
      </c>
    </row>
    <row r="1453" spans="1:11" ht="14.5">
      <c r="A1453" s="20" t="s">
        <v>17370</v>
      </c>
      <c r="B1453" s="20">
        <v>25</v>
      </c>
      <c r="C1453" s="20">
        <v>30</v>
      </c>
      <c r="D1453" s="20">
        <v>30</v>
      </c>
      <c r="E1453" s="20">
        <v>12</v>
      </c>
      <c r="F1453" s="20" t="s">
        <v>17371</v>
      </c>
      <c r="G1453" s="20" t="s">
        <v>17372</v>
      </c>
      <c r="H1453" s="24"/>
      <c r="I1453" s="24" t="str">
        <f ca="1">IFERROR(__xludf.DUMMYFUNCTION("GOOGLETRANSLATE(F1453,""en"",""pt"")"),"Carbono frio aço pranchas formado")</f>
        <v>Carbono frio aço pranchas formado</v>
      </c>
      <c r="J1453" t="str">
        <f>VLOOKUP(A1453,Pr_Base_LNEC!$A$4:$J$6971,6,FALSE)</f>
        <v>-</v>
      </c>
      <c r="K1453">
        <f>VLOOKUP(A1453,Pr_Base_LNEC!$A$4:$J$6971,7,FALSE)</f>
        <v>0</v>
      </c>
    </row>
    <row r="1454" spans="1:11" ht="14.5">
      <c r="A1454" s="20" t="s">
        <v>17373</v>
      </c>
      <c r="B1454" s="20">
        <v>25</v>
      </c>
      <c r="C1454" s="20">
        <v>30</v>
      </c>
      <c r="D1454" s="20">
        <v>30</v>
      </c>
      <c r="E1454" s="20">
        <v>14</v>
      </c>
      <c r="F1454" s="20" t="s">
        <v>17374</v>
      </c>
      <c r="G1454" s="20" t="s">
        <v>17375</v>
      </c>
      <c r="H1454" s="24"/>
      <c r="I1454" s="24" t="str">
        <f ca="1">IFERROR(__xludf.DUMMYFUNCTION("GOOGLETRANSLATE(F1454,""en"",""pt"")"),"seções afiação de aço carbono")</f>
        <v>seções afiação de aço carbono</v>
      </c>
      <c r="J1454" t="str">
        <f>VLOOKUP(A1454,Pr_Base_LNEC!$A$4:$J$6971,6,FALSE)</f>
        <v>-</v>
      </c>
      <c r="K1454">
        <f>VLOOKUP(A1454,Pr_Base_LNEC!$A$4:$J$6971,7,FALSE)</f>
        <v>0</v>
      </c>
    </row>
    <row r="1455" spans="1:11" ht="14.5">
      <c r="A1455" s="20" t="s">
        <v>17376</v>
      </c>
      <c r="B1455" s="20">
        <v>25</v>
      </c>
      <c r="C1455" s="20">
        <v>30</v>
      </c>
      <c r="D1455" s="20">
        <v>30</v>
      </c>
      <c r="E1455" s="20">
        <v>16</v>
      </c>
      <c r="F1455" s="20" t="s">
        <v>17377</v>
      </c>
      <c r="G1455" s="20" t="s">
        <v>17378</v>
      </c>
      <c r="H1455" s="24"/>
      <c r="I1455" s="24" t="str">
        <f ca="1">IFERROR(__xludf.DUMMYFUNCTION("GOOGLETRANSLATE(F1455,""en"",""pt"")"),"grelhas de aço carbono expandidas")</f>
        <v>grelhas de aço carbono expandidas</v>
      </c>
      <c r="J1455" t="str">
        <f>VLOOKUP(A1455,Pr_Base_LNEC!$A$4:$J$6971,6,FALSE)</f>
        <v>-</v>
      </c>
      <c r="K1455">
        <f>VLOOKUP(A1455,Pr_Base_LNEC!$A$4:$J$6971,7,FALSE)</f>
        <v>0</v>
      </c>
    </row>
    <row r="1456" spans="1:11" ht="14.5">
      <c r="A1456" s="20" t="s">
        <v>17379</v>
      </c>
      <c r="B1456" s="20">
        <v>25</v>
      </c>
      <c r="C1456" s="20">
        <v>30</v>
      </c>
      <c r="D1456" s="20">
        <v>30</v>
      </c>
      <c r="E1456" s="20">
        <v>18</v>
      </c>
      <c r="F1456" s="20" t="s">
        <v>17380</v>
      </c>
      <c r="G1456" s="20" t="s">
        <v>17381</v>
      </c>
      <c r="H1456" s="24"/>
      <c r="I1456" s="24" t="str">
        <f ca="1">IFERROR(__xludf.DUMMYFUNCTION("GOOGLETRANSLATE(F1456,""en"",""pt"")"),"grades metálicas aberto barra de aço de carbono")</f>
        <v>grades metálicas aberto barra de aço de carbono</v>
      </c>
      <c r="J1456" t="str">
        <f>VLOOKUP(A1456,Pr_Base_LNEC!$A$4:$J$6971,6,FALSE)</f>
        <v>-</v>
      </c>
      <c r="K1456">
        <f>VLOOKUP(A1456,Pr_Base_LNEC!$A$4:$J$6971,7,FALSE)</f>
        <v>0</v>
      </c>
    </row>
    <row r="1457" spans="1:11" ht="14.5">
      <c r="A1457" s="20" t="s">
        <v>17382</v>
      </c>
      <c r="B1457" s="20">
        <v>25</v>
      </c>
      <c r="C1457" s="20">
        <v>30</v>
      </c>
      <c r="D1457" s="20">
        <v>30</v>
      </c>
      <c r="E1457" s="20">
        <v>20</v>
      </c>
      <c r="F1457" s="20" t="s">
        <v>17383</v>
      </c>
      <c r="G1457" s="24"/>
      <c r="H1457" s="24"/>
      <c r="I1457" s="24" t="str">
        <f ca="1">IFERROR(__xludf.DUMMYFUNCTION("GOOGLETRANSLATE(F1457,""en"",""pt"")"),"placas de metal sólido de aço carbono")</f>
        <v>placas de metal sólido de aço carbono</v>
      </c>
      <c r="J1457" t="str">
        <f>VLOOKUP(A1457,Pr_Base_LNEC!$A$4:$J$6971,6,FALSE)</f>
        <v>-</v>
      </c>
      <c r="K1457">
        <f>VLOOKUP(A1457,Pr_Base_LNEC!$A$4:$J$6971,7,FALSE)</f>
        <v>0</v>
      </c>
    </row>
    <row r="1458" spans="1:11" ht="14.5">
      <c r="A1458" s="20" t="s">
        <v>17384</v>
      </c>
      <c r="B1458" s="20">
        <v>25</v>
      </c>
      <c r="C1458" s="20">
        <v>30</v>
      </c>
      <c r="D1458" s="20">
        <v>30</v>
      </c>
      <c r="E1458" s="20">
        <v>22</v>
      </c>
      <c r="F1458" s="20" t="s">
        <v>17385</v>
      </c>
      <c r="G1458" s="24"/>
      <c r="H1458" s="24"/>
      <c r="I1458" s="24" t="str">
        <f ca="1">IFERROR(__xludf.DUMMYFUNCTION("GOOGLETRANSLATE(F1458,""en"",""pt"")"),"tábuas de concreto")</f>
        <v>tábuas de concreto</v>
      </c>
      <c r="J1458" t="str">
        <f>VLOOKUP(A1458,Pr_Base_LNEC!$A$4:$J$6971,6,FALSE)</f>
        <v>-</v>
      </c>
      <c r="K1458">
        <f>VLOOKUP(A1458,Pr_Base_LNEC!$A$4:$J$6971,7,FALSE)</f>
        <v>0</v>
      </c>
    </row>
    <row r="1459" spans="1:11" ht="14.5">
      <c r="A1459" s="20" t="s">
        <v>17386</v>
      </c>
      <c r="B1459" s="20">
        <v>25</v>
      </c>
      <c r="C1459" s="20">
        <v>30</v>
      </c>
      <c r="D1459" s="20">
        <v>30</v>
      </c>
      <c r="E1459" s="20">
        <v>34</v>
      </c>
      <c r="F1459" s="20" t="s">
        <v>17387</v>
      </c>
      <c r="G1459" s="20" t="s">
        <v>17388</v>
      </c>
      <c r="H1459" s="24"/>
      <c r="I1459" s="24" t="str">
        <f ca="1">IFERROR(__xludf.DUMMYFUNCTION("GOOGLETRANSLATE(F1459,""en"",""pt"")"),"plásticos reforçados de vidro (GRP) moldado grades de malha aberta")</f>
        <v>plásticos reforçados de vidro (GRP) moldado grades de malha aberta</v>
      </c>
      <c r="J1459" t="str">
        <f>VLOOKUP(A1459,Pr_Base_LNEC!$A$4:$J$6971,6,FALSE)</f>
        <v>-</v>
      </c>
      <c r="K1459">
        <f>VLOOKUP(A1459,Pr_Base_LNEC!$A$4:$J$6971,7,FALSE)</f>
        <v>0</v>
      </c>
    </row>
    <row r="1460" spans="1:11" ht="14.5">
      <c r="A1460" s="20" t="s">
        <v>17389</v>
      </c>
      <c r="B1460" s="20">
        <v>25</v>
      </c>
      <c r="C1460" s="20">
        <v>30</v>
      </c>
      <c r="D1460" s="20">
        <v>30</v>
      </c>
      <c r="E1460" s="20">
        <v>36</v>
      </c>
      <c r="F1460" s="20" t="s">
        <v>17390</v>
      </c>
      <c r="G1460" s="24"/>
      <c r="H1460" s="24"/>
      <c r="I1460" s="24" t="str">
        <f ca="1">IFERROR(__xludf.DUMMYFUNCTION("GOOGLETRANSLATE(F1460,""en"",""pt"")"),"duckboards de madeira")</f>
        <v>duckboards de madeira</v>
      </c>
      <c r="J1460" t="str">
        <f>VLOOKUP(A1460,Pr_Base_LNEC!$A$4:$J$6971,6,FALSE)</f>
        <v>-</v>
      </c>
      <c r="K1460">
        <f>VLOOKUP(A1460,Pr_Base_LNEC!$A$4:$J$6971,7,FALSE)</f>
        <v>0</v>
      </c>
    </row>
    <row r="1461" spans="1:11" ht="14.5">
      <c r="A1461" s="20" t="s">
        <v>17391</v>
      </c>
      <c r="B1461" s="20">
        <v>25</v>
      </c>
      <c r="C1461" s="20">
        <v>30</v>
      </c>
      <c r="D1461" s="20">
        <v>30</v>
      </c>
      <c r="E1461" s="20">
        <v>58</v>
      </c>
      <c r="F1461" s="20" t="s">
        <v>17392</v>
      </c>
      <c r="G1461" s="20" t="s">
        <v>17393</v>
      </c>
      <c r="H1461" s="24"/>
      <c r="I1461" s="24" t="str">
        <f ca="1">IFERROR(__xludf.DUMMYFUNCTION("GOOGLETRANSLATE(F1461,""en"",""pt"")"),"Barra aberta de plástico reforçado com vidro (GRP) gradeamentos")</f>
        <v>Barra aberta de plástico reforçado com vidro (GRP) gradeamentos</v>
      </c>
      <c r="J1461" t="str">
        <f>VLOOKUP(A1461,Pr_Base_LNEC!$A$4:$J$6971,6,FALSE)</f>
        <v>-</v>
      </c>
      <c r="K1461">
        <f>VLOOKUP(A1461,Pr_Base_LNEC!$A$4:$J$6971,7,FALSE)</f>
        <v>0</v>
      </c>
    </row>
    <row r="1462" spans="1:11" ht="14.5">
      <c r="A1462" s="20" t="s">
        <v>17394</v>
      </c>
      <c r="B1462" s="20">
        <v>25</v>
      </c>
      <c r="C1462" s="20">
        <v>30</v>
      </c>
      <c r="D1462" s="20">
        <v>30</v>
      </c>
      <c r="E1462" s="20">
        <v>63</v>
      </c>
      <c r="F1462" s="20" t="s">
        <v>17395</v>
      </c>
      <c r="G1462" s="24"/>
      <c r="H1462" s="24"/>
      <c r="I1462" s="24" t="str">
        <f ca="1">IFERROR(__xludf.DUMMYFUNCTION("GOOGLETRANSLATE(F1462,""en"",""pt"")"),"grelhas de plástico perfuradas")</f>
        <v>grelhas de plástico perfuradas</v>
      </c>
      <c r="J1462" t="str">
        <f>VLOOKUP(A1462,Pr_Base_LNEC!$A$4:$J$6971,6,FALSE)</f>
        <v>-</v>
      </c>
      <c r="K1462">
        <f>VLOOKUP(A1462,Pr_Base_LNEC!$A$4:$J$6971,7,FALSE)</f>
        <v>0</v>
      </c>
    </row>
    <row r="1463" spans="1:11" ht="14.5">
      <c r="A1463" s="20" t="s">
        <v>17396</v>
      </c>
      <c r="B1463" s="20">
        <v>25</v>
      </c>
      <c r="C1463" s="20">
        <v>30</v>
      </c>
      <c r="D1463" s="20">
        <v>30</v>
      </c>
      <c r="E1463" s="20">
        <v>80</v>
      </c>
      <c r="F1463" s="20" t="s">
        <v>17397</v>
      </c>
      <c r="G1463" s="24"/>
      <c r="H1463" s="24"/>
      <c r="I1463" s="24" t="str">
        <f ca="1">IFERROR(__xludf.DUMMYFUNCTION("GOOGLETRANSLATE(F1463,""en"",""pt"")"),"duckboards resinosas")</f>
        <v>duckboards resinosas</v>
      </c>
      <c r="J1463" t="str">
        <f>VLOOKUP(A1463,Pr_Base_LNEC!$A$4:$J$6971,6,FALSE)</f>
        <v>-</v>
      </c>
      <c r="K1463">
        <f>VLOOKUP(A1463,Pr_Base_LNEC!$A$4:$J$6971,7,FALSE)</f>
        <v>0</v>
      </c>
    </row>
    <row r="1464" spans="1:11" ht="14.5">
      <c r="A1464" s="20" t="s">
        <v>17398</v>
      </c>
      <c r="B1464" s="20">
        <v>25</v>
      </c>
      <c r="C1464" s="20">
        <v>30</v>
      </c>
      <c r="D1464" s="20">
        <v>30</v>
      </c>
      <c r="E1464" s="20">
        <v>81</v>
      </c>
      <c r="F1464" s="20" t="s">
        <v>17399</v>
      </c>
      <c r="G1464" s="20" t="s">
        <v>17400</v>
      </c>
      <c r="H1464" s="24"/>
      <c r="I1464" s="24" t="str">
        <f ca="1">IFERROR(__xludf.DUMMYFUNCTION("GOOGLETRANSLATE(F1464,""en"",""pt"")"),"plásticos reforçados com vidro sólido (GRP) placas")</f>
        <v>plásticos reforçados com vidro sólido (GRP) placas</v>
      </c>
      <c r="J1464" t="str">
        <f>VLOOKUP(A1464,Pr_Base_LNEC!$A$4:$J$6971,6,FALSE)</f>
        <v>-</v>
      </c>
      <c r="K1464">
        <f>VLOOKUP(A1464,Pr_Base_LNEC!$A$4:$J$6971,7,FALSE)</f>
        <v>0</v>
      </c>
    </row>
    <row r="1465" spans="1:11" ht="14.5">
      <c r="A1465" s="20" t="s">
        <v>17401</v>
      </c>
      <c r="B1465" s="20">
        <v>25</v>
      </c>
      <c r="C1465" s="20">
        <v>30</v>
      </c>
      <c r="D1465" s="20">
        <v>30</v>
      </c>
      <c r="E1465" s="20">
        <v>82</v>
      </c>
      <c r="F1465" s="20" t="s">
        <v>17402</v>
      </c>
      <c r="G1465" s="20" t="s">
        <v>17403</v>
      </c>
      <c r="H1465" s="24"/>
      <c r="I1465" s="24" t="str">
        <f ca="1">IFERROR(__xludf.DUMMYFUNCTION("GOOGLETRANSLATE(F1465,""en"",""pt"")"),"frio de aço inoxidável pranchas formado")</f>
        <v>frio de aço inoxidável pranchas formado</v>
      </c>
      <c r="J1465" t="str">
        <f>VLOOKUP(A1465,Pr_Base_LNEC!$A$4:$J$6971,6,FALSE)</f>
        <v>-</v>
      </c>
      <c r="K1465">
        <f>VLOOKUP(A1465,Pr_Base_LNEC!$A$4:$J$6971,7,FALSE)</f>
        <v>0</v>
      </c>
    </row>
    <row r="1466" spans="1:11" ht="14.5">
      <c r="A1466" s="20" t="s">
        <v>17404</v>
      </c>
      <c r="B1466" s="20">
        <v>25</v>
      </c>
      <c r="C1466" s="20">
        <v>30</v>
      </c>
      <c r="D1466" s="20">
        <v>30</v>
      </c>
      <c r="E1466" s="20">
        <v>83</v>
      </c>
      <c r="F1466" s="20" t="s">
        <v>17405</v>
      </c>
      <c r="G1466" s="20" t="s">
        <v>17406</v>
      </c>
      <c r="H1466" s="24"/>
      <c r="I1466" s="24" t="str">
        <f ca="1">IFERROR(__xludf.DUMMYFUNCTION("GOOGLETRANSLATE(F1466,""en"",""pt"")"),"seções afiação de aço inoxidável")</f>
        <v>seções afiação de aço inoxidável</v>
      </c>
      <c r="J1466" t="str">
        <f>VLOOKUP(A1466,Pr_Base_LNEC!$A$4:$J$6971,6,FALSE)</f>
        <v>-</v>
      </c>
      <c r="K1466">
        <f>VLOOKUP(A1466,Pr_Base_LNEC!$A$4:$J$6971,7,FALSE)</f>
        <v>0</v>
      </c>
    </row>
    <row r="1467" spans="1:11" ht="14.5">
      <c r="A1467" s="20" t="s">
        <v>17407</v>
      </c>
      <c r="B1467" s="20">
        <v>25</v>
      </c>
      <c r="C1467" s="20">
        <v>30</v>
      </c>
      <c r="D1467" s="20">
        <v>30</v>
      </c>
      <c r="E1467" s="20">
        <v>84</v>
      </c>
      <c r="F1467" s="20" t="s">
        <v>17408</v>
      </c>
      <c r="G1467" s="20" t="s">
        <v>17409</v>
      </c>
      <c r="H1467" s="24"/>
      <c r="I1467" s="24" t="str">
        <f ca="1">IFERROR(__xludf.DUMMYFUNCTION("GOOGLETRANSLATE(F1467,""en"",""pt"")"),"aço inoxidável expandido grades")</f>
        <v>aço inoxidável expandido grades</v>
      </c>
      <c r="J1467" t="str">
        <f>VLOOKUP(A1467,Pr_Base_LNEC!$A$4:$J$6971,6,FALSE)</f>
        <v>-</v>
      </c>
      <c r="K1467">
        <f>VLOOKUP(A1467,Pr_Base_LNEC!$A$4:$J$6971,7,FALSE)</f>
        <v>0</v>
      </c>
    </row>
    <row r="1468" spans="1:11" ht="14.5">
      <c r="A1468" s="20" t="s">
        <v>17410</v>
      </c>
      <c r="B1468" s="20">
        <v>25</v>
      </c>
      <c r="C1468" s="20">
        <v>30</v>
      </c>
      <c r="D1468" s="20">
        <v>30</v>
      </c>
      <c r="E1468" s="20">
        <v>85</v>
      </c>
      <c r="F1468" s="20" t="s">
        <v>17411</v>
      </c>
      <c r="G1468" s="20" t="s">
        <v>17412</v>
      </c>
      <c r="H1468" s="24"/>
      <c r="I1468" s="24" t="str">
        <f ca="1">IFERROR(__xludf.DUMMYFUNCTION("GOOGLETRANSLATE(F1468,""en"",""pt"")"),"grades metálicas aberto barra de aço inoxidável")</f>
        <v>grades metálicas aberto barra de aço inoxidável</v>
      </c>
      <c r="J1468" t="str">
        <f>VLOOKUP(A1468,Pr_Base_LNEC!$A$4:$J$6971,6,FALSE)</f>
        <v>-</v>
      </c>
      <c r="K1468">
        <f>VLOOKUP(A1468,Pr_Base_LNEC!$A$4:$J$6971,7,FALSE)</f>
        <v>0</v>
      </c>
    </row>
    <row r="1469" spans="1:11" ht="14.5">
      <c r="A1469" s="20" t="s">
        <v>17413</v>
      </c>
      <c r="B1469" s="20">
        <v>25</v>
      </c>
      <c r="C1469" s="20">
        <v>30</v>
      </c>
      <c r="D1469" s="20">
        <v>30</v>
      </c>
      <c r="E1469" s="20">
        <v>86</v>
      </c>
      <c r="F1469" s="20" t="s">
        <v>17414</v>
      </c>
      <c r="G1469" s="24"/>
      <c r="H1469" s="24"/>
      <c r="I1469" s="24" t="str">
        <f ca="1">IFERROR(__xludf.DUMMYFUNCTION("GOOGLETRANSLATE(F1469,""en"",""pt"")"),"placas de metal sólido de aço inoxidável")</f>
        <v>placas de metal sólido de aço inoxidável</v>
      </c>
      <c r="J1469" t="str">
        <f>VLOOKUP(A1469,Pr_Base_LNEC!$A$4:$J$6971,6,FALSE)</f>
        <v>-</v>
      </c>
      <c r="K1469">
        <f>VLOOKUP(A1469,Pr_Base_LNEC!$A$4:$J$6971,7,FALSE)</f>
        <v>0</v>
      </c>
    </row>
    <row r="1470" spans="1:11" ht="14.5">
      <c r="A1470" s="20" t="s">
        <v>17415</v>
      </c>
      <c r="B1470" s="20">
        <v>25</v>
      </c>
      <c r="C1470" s="20">
        <v>30</v>
      </c>
      <c r="D1470" s="20">
        <v>36</v>
      </c>
      <c r="E1470" s="24"/>
      <c r="F1470" s="20" t="s">
        <v>17416</v>
      </c>
      <c r="G1470" s="24"/>
      <c r="H1470" s="24"/>
      <c r="I1470" s="24" t="str">
        <f ca="1">IFERROR(__xludf.DUMMYFUNCTION("GOOGLETRANSLATE(F1470,""en"",""pt"")"),"corrimãos")</f>
        <v>corrimãos</v>
      </c>
      <c r="J1470" t="str">
        <f>VLOOKUP(A1470,Pr_Base_LNEC!$A$4:$J$6971,6,FALSE)</f>
        <v>Corrimões</v>
      </c>
      <c r="K1470">
        <f>VLOOKUP(A1470,Pr_Base_LNEC!$A$4:$J$6971,7,FALSE)</f>
        <v>0</v>
      </c>
    </row>
    <row r="1471" spans="1:11" ht="14.5">
      <c r="A1471" s="20" t="s">
        <v>17417</v>
      </c>
      <c r="B1471" s="20">
        <v>25</v>
      </c>
      <c r="C1471" s="20">
        <v>30</v>
      </c>
      <c r="D1471" s="20">
        <v>36</v>
      </c>
      <c r="E1471" s="20">
        <v>3</v>
      </c>
      <c r="F1471" s="20" t="s">
        <v>17418</v>
      </c>
      <c r="G1471" s="20" t="s">
        <v>17419</v>
      </c>
      <c r="H1471" s="24"/>
      <c r="I1471" s="24" t="str">
        <f ca="1">IFERROR(__xludf.DUMMYFUNCTION("GOOGLETRANSLATE(F1471,""en"",""pt"")"),"corrimãos de alumínio")</f>
        <v>corrimãos de alumínio</v>
      </c>
      <c r="J1471" t="str">
        <f>VLOOKUP(A1471,Pr_Base_LNEC!$A$4:$J$6971,6,FALSE)</f>
        <v>-</v>
      </c>
      <c r="K1471">
        <f>VLOOKUP(A1471,Pr_Base_LNEC!$A$4:$J$6971,7,FALSE)</f>
        <v>0</v>
      </c>
    </row>
    <row r="1472" spans="1:11" ht="14.5">
      <c r="A1472" s="20" t="s">
        <v>17420</v>
      </c>
      <c r="B1472" s="20">
        <v>25</v>
      </c>
      <c r="C1472" s="20">
        <v>30</v>
      </c>
      <c r="D1472" s="20">
        <v>36</v>
      </c>
      <c r="E1472" s="20">
        <v>11</v>
      </c>
      <c r="F1472" s="20" t="s">
        <v>17421</v>
      </c>
      <c r="G1472" s="20" t="s">
        <v>17422</v>
      </c>
      <c r="H1472" s="24"/>
      <c r="I1472" s="24" t="str">
        <f ca="1">IFERROR(__xludf.DUMMYFUNCTION("GOOGLETRANSLATE(F1472,""en"",""pt"")"),"corrimãos de aço de carbono")</f>
        <v>corrimãos de aço de carbono</v>
      </c>
      <c r="J1472" t="str">
        <f>VLOOKUP(A1472,Pr_Base_LNEC!$A$4:$J$6971,6,FALSE)</f>
        <v>-</v>
      </c>
      <c r="K1472">
        <f>VLOOKUP(A1472,Pr_Base_LNEC!$A$4:$J$6971,7,FALSE)</f>
        <v>0</v>
      </c>
    </row>
    <row r="1473" spans="1:11" ht="14.5">
      <c r="A1473" s="20" t="s">
        <v>17423</v>
      </c>
      <c r="B1473" s="20">
        <v>25</v>
      </c>
      <c r="C1473" s="20">
        <v>30</v>
      </c>
      <c r="D1473" s="20">
        <v>36</v>
      </c>
      <c r="E1473" s="20">
        <v>30</v>
      </c>
      <c r="F1473" s="20" t="s">
        <v>17424</v>
      </c>
      <c r="G1473" s="24"/>
      <c r="H1473" s="24"/>
      <c r="I1473" s="24" t="str">
        <f ca="1">IFERROR(__xludf.DUMMYFUNCTION("GOOGLETRANSLATE(F1473,""en"",""pt"")"),"corrimãos de polímeros reforçados com fibras")</f>
        <v>corrimãos de polímeros reforçados com fibras</v>
      </c>
      <c r="J1473" t="e">
        <f>VLOOKUP(A1473,Pr_Base_LNEC!$A$4:$J$6971,6,FALSE)</f>
        <v>#N/A</v>
      </c>
      <c r="K1473" t="e">
        <f>VLOOKUP(A1473,Pr_Base_LNEC!$A$4:$J$6971,7,FALSE)</f>
        <v>#N/A</v>
      </c>
    </row>
    <row r="1474" spans="1:11" ht="14.5">
      <c r="A1474" s="20" t="s">
        <v>17425</v>
      </c>
      <c r="B1474" s="20">
        <v>25</v>
      </c>
      <c r="C1474" s="20">
        <v>30</v>
      </c>
      <c r="D1474" s="20">
        <v>36</v>
      </c>
      <c r="E1474" s="20">
        <v>34</v>
      </c>
      <c r="F1474" s="20" t="s">
        <v>17426</v>
      </c>
      <c r="G1474" s="24"/>
      <c r="H1474" s="24"/>
      <c r="I1474" s="24" t="str">
        <f ca="1">IFERROR(__xludf.DUMMYFUNCTION("GOOGLETRANSLATE(F1474,""en"",""pt"")"),"barras de apoio")</f>
        <v>barras de apoio</v>
      </c>
      <c r="J1474" t="e">
        <f>VLOOKUP(A1474,Pr_Base_LNEC!$A$4:$J$6971,6,FALSE)</f>
        <v>#N/A</v>
      </c>
      <c r="K1474" t="e">
        <f>VLOOKUP(A1474,Pr_Base_LNEC!$A$4:$J$6971,7,FALSE)</f>
        <v>#N/A</v>
      </c>
    </row>
    <row r="1475" spans="1:11" ht="14.5">
      <c r="A1475" s="20" t="s">
        <v>17427</v>
      </c>
      <c r="B1475" s="20">
        <v>25</v>
      </c>
      <c r="C1475" s="20">
        <v>30</v>
      </c>
      <c r="D1475" s="20">
        <v>36</v>
      </c>
      <c r="E1475" s="20">
        <v>50</v>
      </c>
      <c r="F1475" s="20" t="s">
        <v>17428</v>
      </c>
      <c r="G1475" s="20" t="s">
        <v>17429</v>
      </c>
      <c r="H1475" s="24"/>
      <c r="I1475" s="24" t="str">
        <f ca="1">IFERROR(__xludf.DUMMYFUNCTION("GOOGLETRANSLATE(F1475,""en"",""pt"")"),"corrimões de pedra fabricadas")</f>
        <v>corrimões de pedra fabricadas</v>
      </c>
      <c r="J1475" t="str">
        <f>VLOOKUP(A1475,Pr_Base_LNEC!$A$4:$J$6971,6,FALSE)</f>
        <v>Blocos de pedra reconstituída para Corrimões</v>
      </c>
      <c r="K1475" t="str">
        <f>VLOOKUP(A1475,Pr_Base_LNEC!$A$4:$J$6971,7,FALSE)</f>
        <v>EN 771-5:2011+A1:2015
 Especificações para unidades de alvenaria — Parte 5: Blocos de pedra reconstituída</v>
      </c>
    </row>
    <row r="1476" spans="1:11" ht="14.5">
      <c r="A1476" s="20" t="s">
        <v>17430</v>
      </c>
      <c r="B1476" s="20">
        <v>25</v>
      </c>
      <c r="C1476" s="20">
        <v>30</v>
      </c>
      <c r="D1476" s="20">
        <v>36</v>
      </c>
      <c r="E1476" s="20">
        <v>63</v>
      </c>
      <c r="F1476" s="20" t="s">
        <v>17431</v>
      </c>
      <c r="G1476" s="24"/>
      <c r="H1476" s="24"/>
      <c r="I1476" s="24" t="str">
        <f ca="1">IFERROR(__xludf.DUMMYFUNCTION("GOOGLETRANSLATE(F1476,""en"",""pt"")"),"plásticos corrimãos")</f>
        <v>plásticos corrimãos</v>
      </c>
      <c r="J1476" t="str">
        <f>VLOOKUP(A1476,Pr_Base_LNEC!$A$4:$J$6971,6,FALSE)</f>
        <v>-</v>
      </c>
      <c r="K1476">
        <f>VLOOKUP(A1476,Pr_Base_LNEC!$A$4:$J$6971,7,FALSE)</f>
        <v>0</v>
      </c>
    </row>
    <row r="1477" spans="1:11" ht="14.5">
      <c r="A1477" s="20" t="s">
        <v>17432</v>
      </c>
      <c r="B1477" s="20">
        <v>25</v>
      </c>
      <c r="C1477" s="20">
        <v>30</v>
      </c>
      <c r="D1477" s="20">
        <v>36</v>
      </c>
      <c r="E1477" s="20">
        <v>84</v>
      </c>
      <c r="F1477" s="20" t="s">
        <v>17433</v>
      </c>
      <c r="G1477" s="20" t="s">
        <v>17434</v>
      </c>
      <c r="H1477" s="24"/>
      <c r="I1477" s="24" t="str">
        <f ca="1">IFERROR(__xludf.DUMMYFUNCTION("GOOGLETRANSLATE(F1477,""en"",""pt"")"),"corrimãos de aço inoxidável")</f>
        <v>corrimãos de aço inoxidável</v>
      </c>
      <c r="J1477" t="str">
        <f>VLOOKUP(A1477,Pr_Base_LNEC!$A$4:$J$6971,6,FALSE)</f>
        <v>-</v>
      </c>
      <c r="K1477">
        <f>VLOOKUP(A1477,Pr_Base_LNEC!$A$4:$J$6971,7,FALSE)</f>
        <v>0</v>
      </c>
    </row>
    <row r="1478" spans="1:11" ht="14.5">
      <c r="A1478" s="20" t="s">
        <v>17435</v>
      </c>
      <c r="B1478" s="20">
        <v>25</v>
      </c>
      <c r="C1478" s="20">
        <v>30</v>
      </c>
      <c r="D1478" s="20">
        <v>36</v>
      </c>
      <c r="E1478" s="20">
        <v>96</v>
      </c>
      <c r="F1478" s="20" t="s">
        <v>17436</v>
      </c>
      <c r="G1478" s="20" t="s">
        <v>17437</v>
      </c>
      <c r="H1478" s="24"/>
      <c r="I1478" s="24" t="str">
        <f ca="1">IFERROR(__xludf.DUMMYFUNCTION("GOOGLETRANSLATE(F1478,""en"",""pt"")"),"corrimãos de madeira")</f>
        <v>corrimãos de madeira</v>
      </c>
      <c r="J1478" t="str">
        <f>VLOOKUP(A1478,Pr_Base_LNEC!$A$4:$J$6971,6,FALSE)</f>
        <v>-</v>
      </c>
      <c r="K1478">
        <f>VLOOKUP(A1478,Pr_Base_LNEC!$A$4:$J$6971,7,FALSE)</f>
        <v>0</v>
      </c>
    </row>
    <row r="1479" spans="1:11" ht="14.5">
      <c r="A1479" s="20" t="s">
        <v>17438</v>
      </c>
      <c r="B1479" s="20">
        <v>25</v>
      </c>
      <c r="C1479" s="20">
        <v>30</v>
      </c>
      <c r="D1479" s="20">
        <v>75</v>
      </c>
      <c r="E1479" s="24"/>
      <c r="F1479" s="20" t="s">
        <v>17439</v>
      </c>
      <c r="G1479" s="24"/>
      <c r="H1479" s="24"/>
      <c r="I1479" s="24" t="str">
        <f ca="1">IFERROR(__xludf.DUMMYFUNCTION("GOOGLETRANSLATE(F1479,""en"",""pt"")"),"gaiolas de segurança")</f>
        <v>gaiolas de segurança</v>
      </c>
      <c r="J1479" t="str">
        <f>VLOOKUP(A1479,Pr_Base_LNEC!$A$4:$J$6971,6,FALSE)</f>
        <v>Caixas de Segurança</v>
      </c>
      <c r="K1479">
        <f>VLOOKUP(A1479,Pr_Base_LNEC!$A$4:$J$6971,7,FALSE)</f>
        <v>0</v>
      </c>
    </row>
    <row r="1480" spans="1:11" ht="14.5">
      <c r="A1480" s="20" t="s">
        <v>17440</v>
      </c>
      <c r="B1480" s="20">
        <v>25</v>
      </c>
      <c r="C1480" s="20">
        <v>30</v>
      </c>
      <c r="D1480" s="20">
        <v>75</v>
      </c>
      <c r="E1480" s="20">
        <v>2</v>
      </c>
      <c r="F1480" s="20" t="s">
        <v>17441</v>
      </c>
      <c r="G1480" s="20" t="s">
        <v>17442</v>
      </c>
      <c r="H1480" s="24"/>
      <c r="I1480" s="24" t="str">
        <f ca="1">IFERROR(__xludf.DUMMYFUNCTION("GOOGLETRANSLATE(F1480,""en"",""pt"")"),"Alumínio gaiolas de segurança escada")</f>
        <v>Alumínio gaiolas de segurança escada</v>
      </c>
      <c r="J1480" t="str">
        <f>VLOOKUP(A1480,Pr_Base_LNEC!$A$4:$J$6971,6,FALSE)</f>
        <v>-</v>
      </c>
      <c r="K1480">
        <f>VLOOKUP(A1480,Pr_Base_LNEC!$A$4:$J$6971,7,FALSE)</f>
        <v>0</v>
      </c>
    </row>
    <row r="1481" spans="1:11" ht="14.5">
      <c r="A1481" s="20" t="s">
        <v>17443</v>
      </c>
      <c r="B1481" s="20">
        <v>25</v>
      </c>
      <c r="C1481" s="20">
        <v>30</v>
      </c>
      <c r="D1481" s="20">
        <v>75</v>
      </c>
      <c r="E1481" s="20">
        <v>15</v>
      </c>
      <c r="F1481" s="20" t="s">
        <v>17444</v>
      </c>
      <c r="G1481" s="20" t="s">
        <v>17445</v>
      </c>
      <c r="H1481" s="24"/>
      <c r="I1481" s="24" t="str">
        <f ca="1">IFERROR(__xludf.DUMMYFUNCTION("GOOGLETRANSLATE(F1481,""en"",""pt"")"),"Carbono gaiolas de segurança escada de aço")</f>
        <v>Carbono gaiolas de segurança escada de aço</v>
      </c>
      <c r="J1481" t="str">
        <f>VLOOKUP(A1481,Pr_Base_LNEC!$A$4:$J$6971,6,FALSE)</f>
        <v>-</v>
      </c>
      <c r="K1481">
        <f>VLOOKUP(A1481,Pr_Base_LNEC!$A$4:$J$6971,7,FALSE)</f>
        <v>0</v>
      </c>
    </row>
    <row r="1482" spans="1:11" ht="14.5">
      <c r="A1482" s="20" t="s">
        <v>17446</v>
      </c>
      <c r="B1482" s="20">
        <v>25</v>
      </c>
      <c r="C1482" s="20">
        <v>30</v>
      </c>
      <c r="D1482" s="20">
        <v>75</v>
      </c>
      <c r="E1482" s="20">
        <v>80</v>
      </c>
      <c r="F1482" s="20" t="s">
        <v>17447</v>
      </c>
      <c r="G1482" s="20" t="s">
        <v>17448</v>
      </c>
      <c r="H1482" s="24"/>
      <c r="I1482" s="24" t="str">
        <f ca="1">IFERROR(__xludf.DUMMYFUNCTION("GOOGLETRANSLATE(F1482,""en"",""pt"")"),"gaiolas de segurança escada de aço inoxidável")</f>
        <v>gaiolas de segurança escada de aço inoxidável</v>
      </c>
      <c r="J1482" t="str">
        <f>VLOOKUP(A1482,Pr_Base_LNEC!$A$4:$J$6971,6,FALSE)</f>
        <v>-</v>
      </c>
      <c r="K1482">
        <f>VLOOKUP(A1482,Pr_Base_LNEC!$A$4:$J$6971,7,FALSE)</f>
        <v>0</v>
      </c>
    </row>
    <row r="1483" spans="1:11" ht="14.5">
      <c r="A1483" s="20" t="s">
        <v>17449</v>
      </c>
      <c r="B1483" s="20">
        <v>25</v>
      </c>
      <c r="C1483" s="20">
        <v>30</v>
      </c>
      <c r="D1483" s="20">
        <v>85</v>
      </c>
      <c r="E1483" s="24"/>
      <c r="F1483" s="20" t="s">
        <v>17450</v>
      </c>
      <c r="G1483" s="24"/>
      <c r="H1483" s="24"/>
      <c r="I1483" s="24" t="str">
        <f ca="1">IFERROR(__xludf.DUMMYFUNCTION("GOOGLETRANSLATE(F1483,""en"",""pt"")"),"unidades de escada e escada")</f>
        <v>unidades de escada e escada</v>
      </c>
      <c r="J1483" t="str">
        <f>VLOOKUP(A1483,Pr_Base_LNEC!$A$4:$J$6971,6,FALSE)</f>
        <v>Unidades para Escadas e Degraus</v>
      </c>
      <c r="K1483">
        <f>VLOOKUP(A1483,Pr_Base_LNEC!$A$4:$J$6971,7,FALSE)</f>
        <v>0</v>
      </c>
    </row>
    <row r="1484" spans="1:11" ht="14.5">
      <c r="A1484" s="20" t="s">
        <v>17451</v>
      </c>
      <c r="B1484" s="20">
        <v>25</v>
      </c>
      <c r="C1484" s="20">
        <v>30</v>
      </c>
      <c r="D1484" s="20">
        <v>85</v>
      </c>
      <c r="E1484" s="20">
        <v>2</v>
      </c>
      <c r="F1484" s="20" t="s">
        <v>17452</v>
      </c>
      <c r="G1484" s="24"/>
      <c r="H1484" s="24"/>
      <c r="I1484" s="24" t="str">
        <f ca="1">IFERROR(__xludf.DUMMYFUNCTION("GOOGLETRANSLATE(F1484,""en"",""pt"")"),"escadas de acesso")</f>
        <v>escadas de acesso</v>
      </c>
      <c r="J1484" t="str">
        <f>VLOOKUP(A1484,Pr_Base_LNEC!$A$4:$J$6971,6,FALSE)</f>
        <v>-</v>
      </c>
      <c r="K1484">
        <f>VLOOKUP(A1484,Pr_Base_LNEC!$A$4:$J$6971,7,FALSE)</f>
        <v>0</v>
      </c>
    </row>
    <row r="1485" spans="1:11" ht="14.5">
      <c r="A1485" s="20" t="s">
        <v>17453</v>
      </c>
      <c r="B1485" s="20">
        <v>25</v>
      </c>
      <c r="C1485" s="20">
        <v>30</v>
      </c>
      <c r="D1485" s="20">
        <v>85</v>
      </c>
      <c r="E1485" s="20">
        <v>3</v>
      </c>
      <c r="F1485" s="20" t="s">
        <v>17454</v>
      </c>
      <c r="G1485" s="20" t="s">
        <v>17455</v>
      </c>
      <c r="H1485" s="24"/>
      <c r="I1485" s="24" t="str">
        <f ca="1">IFERROR(__xludf.DUMMYFUNCTION("GOOGLETRANSLATE(F1485,""en"",""pt"")"),"escadas do sotão de alumínio")</f>
        <v>escadas do sotão de alumínio</v>
      </c>
      <c r="J1485" t="str">
        <f>VLOOKUP(A1485,Pr_Base_LNEC!$A$4:$J$6971,6,FALSE)</f>
        <v>-</v>
      </c>
      <c r="K1485">
        <f>VLOOKUP(A1485,Pr_Base_LNEC!$A$4:$J$6971,7,FALSE)</f>
        <v>0</v>
      </c>
    </row>
    <row r="1486" spans="1:11" ht="14.5">
      <c r="A1486" s="20" t="s">
        <v>17456</v>
      </c>
      <c r="B1486" s="20">
        <v>25</v>
      </c>
      <c r="C1486" s="20">
        <v>30</v>
      </c>
      <c r="D1486" s="20">
        <v>85</v>
      </c>
      <c r="E1486" s="20">
        <v>11</v>
      </c>
      <c r="F1486" s="20" t="s">
        <v>17457</v>
      </c>
      <c r="G1486" s="24"/>
      <c r="H1486" s="24"/>
      <c r="I1486" s="24" t="str">
        <f ca="1">IFERROR(__xludf.DUMMYFUNCTION("GOOGLETRANSLATE(F1486,""en"",""pt"")"),"escadas gato")</f>
        <v>escadas gato</v>
      </c>
      <c r="J1486" t="str">
        <f>VLOOKUP(A1486,Pr_Base_LNEC!$A$4:$J$6971,6,FALSE)</f>
        <v>-</v>
      </c>
      <c r="K1486">
        <f>VLOOKUP(A1486,Pr_Base_LNEC!$A$4:$J$6971,7,FALSE)</f>
        <v>0</v>
      </c>
    </row>
    <row r="1487" spans="1:11" ht="14.5">
      <c r="A1487" s="20" t="s">
        <v>17458</v>
      </c>
      <c r="B1487" s="20">
        <v>25</v>
      </c>
      <c r="C1487" s="20">
        <v>30</v>
      </c>
      <c r="D1487" s="20">
        <v>85</v>
      </c>
      <c r="E1487" s="20">
        <v>16</v>
      </c>
      <c r="F1487" s="20" t="s">
        <v>17459</v>
      </c>
      <c r="G1487" s="20" t="s">
        <v>17460</v>
      </c>
      <c r="H1487" s="24"/>
      <c r="I1487" s="24" t="str">
        <f ca="1">IFERROR(__xludf.DUMMYFUNCTION("GOOGLETRANSLATE(F1487,""en"",""pt"")"),"escadas internas curvadas")</f>
        <v>escadas internas curvadas</v>
      </c>
      <c r="J1487" t="str">
        <f>VLOOKUP(A1487,Pr_Base_LNEC!$A$4:$J$6971,6,FALSE)</f>
        <v>-</v>
      </c>
      <c r="K1487">
        <f>VLOOKUP(A1487,Pr_Base_LNEC!$A$4:$J$6971,7,FALSE)</f>
        <v>0</v>
      </c>
    </row>
    <row r="1488" spans="1:11" ht="14.5">
      <c r="A1488" s="20" t="s">
        <v>17461</v>
      </c>
      <c r="B1488" s="20">
        <v>25</v>
      </c>
      <c r="C1488" s="20">
        <v>30</v>
      </c>
      <c r="D1488" s="20">
        <v>85</v>
      </c>
      <c r="E1488" s="20">
        <v>22</v>
      </c>
      <c r="F1488" s="20" t="s">
        <v>17462</v>
      </c>
      <c r="G1488" s="20" t="s">
        <v>17463</v>
      </c>
      <c r="H1488" s="24"/>
      <c r="I1488" s="24" t="str">
        <f ca="1">IFERROR(__xludf.DUMMYFUNCTION("GOOGLETRANSLATE(F1488,""en"",""pt"")"),"escadas câmara de acesso de drenagem")</f>
        <v>escadas câmara de acesso de drenagem</v>
      </c>
      <c r="J1488" t="str">
        <f>VLOOKUP(A1488,Pr_Base_LNEC!$A$4:$J$6971,6,FALSE)</f>
        <v>-</v>
      </c>
      <c r="K1488">
        <f>VLOOKUP(A1488,Pr_Base_LNEC!$A$4:$J$6971,7,FALSE)</f>
        <v>0</v>
      </c>
    </row>
    <row r="1489" spans="1:11" ht="14.5">
      <c r="A1489" s="20" t="s">
        <v>17464</v>
      </c>
      <c r="B1489" s="20">
        <v>25</v>
      </c>
      <c r="C1489" s="20">
        <v>30</v>
      </c>
      <c r="D1489" s="20">
        <v>85</v>
      </c>
      <c r="E1489" s="20">
        <v>23</v>
      </c>
      <c r="F1489" s="20" t="s">
        <v>17465</v>
      </c>
      <c r="G1489" s="20" t="s">
        <v>17466</v>
      </c>
      <c r="H1489" s="24"/>
      <c r="I1489" s="24" t="str">
        <f ca="1">IFERROR(__xludf.DUMMYFUNCTION("GOOGLETRANSLATE(F1489,""en"",""pt"")"),"etapas da câmara de acesso de drenagem")</f>
        <v>etapas da câmara de acesso de drenagem</v>
      </c>
      <c r="J1489" t="str">
        <f>VLOOKUP(A1489,Pr_Base_LNEC!$A$4:$J$6971,6,FALSE)</f>
        <v>a</v>
      </c>
      <c r="K1489" t="str">
        <f>VLOOKUP(A1489,Pr_Base_LNEC!$A$4:$J$6971,7,FALSE)</f>
        <v>EN 13101:2002
 Degraus para câmaras de visita — Requisitos, marcação, ensaios e avaliação da conformidade</v>
      </c>
    </row>
    <row r="1490" spans="1:11" ht="14.5">
      <c r="A1490" s="20" t="s">
        <v>17467</v>
      </c>
      <c r="B1490" s="20">
        <v>25</v>
      </c>
      <c r="C1490" s="20">
        <v>30</v>
      </c>
      <c r="D1490" s="20">
        <v>85</v>
      </c>
      <c r="E1490" s="20">
        <v>36</v>
      </c>
      <c r="F1490" s="20" t="s">
        <v>17468</v>
      </c>
      <c r="G1490" s="20" t="s">
        <v>17469</v>
      </c>
      <c r="H1490" s="24"/>
      <c r="I1490" s="24" t="str">
        <f ca="1">IFERROR(__xludf.DUMMYFUNCTION("GOOGLETRANSLATE(F1490,""en"",""pt"")"),"escadas do sotão de madeira")</f>
        <v>escadas do sotão de madeira</v>
      </c>
      <c r="J1490" t="str">
        <f>VLOOKUP(A1490,Pr_Base_LNEC!$A$4:$J$6971,6,FALSE)</f>
        <v>-</v>
      </c>
      <c r="K1490">
        <f>VLOOKUP(A1490,Pr_Base_LNEC!$A$4:$J$6971,7,FALSE)</f>
        <v>0</v>
      </c>
    </row>
    <row r="1491" spans="1:11" ht="14.5">
      <c r="A1491" s="20" t="s">
        <v>17470</v>
      </c>
      <c r="B1491" s="20">
        <v>25</v>
      </c>
      <c r="C1491" s="20">
        <v>30</v>
      </c>
      <c r="D1491" s="20">
        <v>85</v>
      </c>
      <c r="E1491" s="20">
        <v>48</v>
      </c>
      <c r="F1491" s="20" t="s">
        <v>17471</v>
      </c>
      <c r="G1491" s="20" t="s">
        <v>17472</v>
      </c>
      <c r="H1491" s="24"/>
      <c r="I1491" s="24" t="str">
        <f ca="1">IFERROR(__xludf.DUMMYFUNCTION("GOOGLETRANSLATE(F1491,""en"",""pt"")"),"escadas elevador pit")</f>
        <v>escadas elevador pit</v>
      </c>
      <c r="J1491" t="str">
        <f>VLOOKUP(A1491,Pr_Base_LNEC!$A$4:$J$6971,6,FALSE)</f>
        <v>-</v>
      </c>
      <c r="K1491">
        <f>VLOOKUP(A1491,Pr_Base_LNEC!$A$4:$J$6971,7,FALSE)</f>
        <v>0</v>
      </c>
    </row>
    <row r="1492" spans="1:11" ht="14.5">
      <c r="A1492" s="20" t="s">
        <v>17473</v>
      </c>
      <c r="B1492" s="20">
        <v>25</v>
      </c>
      <c r="C1492" s="20">
        <v>30</v>
      </c>
      <c r="D1492" s="20">
        <v>85</v>
      </c>
      <c r="E1492" s="20">
        <v>64</v>
      </c>
      <c r="F1492" s="20" t="s">
        <v>17474</v>
      </c>
      <c r="G1492" s="20" t="s">
        <v>17475</v>
      </c>
      <c r="H1492" s="24"/>
      <c r="I1492" s="24" t="str">
        <f ca="1">IFERROR(__xludf.DUMMYFUNCTION("GOOGLETRANSLATE(F1492,""en"",""pt"")"),"escadas de piscina")</f>
        <v>escadas de piscina</v>
      </c>
      <c r="J1492" t="str">
        <f>VLOOKUP(A1492,Pr_Base_LNEC!$A$4:$J$6971,6,FALSE)</f>
        <v>-</v>
      </c>
      <c r="K1492">
        <f>VLOOKUP(A1492,Pr_Base_LNEC!$A$4:$J$6971,7,FALSE)</f>
        <v>0</v>
      </c>
    </row>
    <row r="1493" spans="1:11" ht="14.5">
      <c r="A1493" s="20" t="s">
        <v>17476</v>
      </c>
      <c r="B1493" s="20">
        <v>25</v>
      </c>
      <c r="C1493" s="20">
        <v>30</v>
      </c>
      <c r="D1493" s="20">
        <v>85</v>
      </c>
      <c r="E1493" s="20">
        <v>65</v>
      </c>
      <c r="F1493" s="20" t="s">
        <v>17477</v>
      </c>
      <c r="G1493" s="20" t="s">
        <v>17478</v>
      </c>
      <c r="H1493" s="24"/>
      <c r="I1493" s="24" t="str">
        <f ca="1">IFERROR(__xludf.DUMMYFUNCTION("GOOGLETRANSLATE(F1493,""en"",""pt"")"),"stepladders piscina")</f>
        <v>stepladders piscina</v>
      </c>
      <c r="J1493" t="str">
        <f>VLOOKUP(A1493,Pr_Base_LNEC!$A$4:$J$6971,6,FALSE)</f>
        <v>-</v>
      </c>
      <c r="K1493">
        <f>VLOOKUP(A1493,Pr_Base_LNEC!$A$4:$J$6971,7,FALSE)</f>
        <v>0</v>
      </c>
    </row>
    <row r="1494" spans="1:11" ht="14.5">
      <c r="A1494" s="20" t="s">
        <v>17479</v>
      </c>
      <c r="B1494" s="20">
        <v>25</v>
      </c>
      <c r="C1494" s="20">
        <v>30</v>
      </c>
      <c r="D1494" s="20">
        <v>85</v>
      </c>
      <c r="E1494" s="20">
        <v>73</v>
      </c>
      <c r="F1494" s="20" t="s">
        <v>17480</v>
      </c>
      <c r="G1494" s="24"/>
      <c r="H1494" s="24"/>
      <c r="I1494" s="24" t="str">
        <f ca="1">IFERROR(__xludf.DUMMYFUNCTION("GOOGLETRANSLATE(F1494,""en"",""pt"")"),"escadas Roll-up")</f>
        <v>escadas Roll-up</v>
      </c>
      <c r="J1494" t="str">
        <f>VLOOKUP(A1494,Pr_Base_LNEC!$A$4:$J$6971,6,FALSE)</f>
        <v>-</v>
      </c>
      <c r="K1494">
        <f>VLOOKUP(A1494,Pr_Base_LNEC!$A$4:$J$6971,7,FALSE)</f>
        <v>0</v>
      </c>
    </row>
    <row r="1495" spans="1:11" ht="14.5">
      <c r="A1495" s="20" t="s">
        <v>17481</v>
      </c>
      <c r="B1495" s="20">
        <v>25</v>
      </c>
      <c r="C1495" s="20">
        <v>30</v>
      </c>
      <c r="D1495" s="20">
        <v>85</v>
      </c>
      <c r="E1495" s="20">
        <v>79</v>
      </c>
      <c r="F1495" s="20" t="s">
        <v>17482</v>
      </c>
      <c r="G1495" s="24"/>
      <c r="H1495" s="24"/>
      <c r="I1495" s="24" t="str">
        <f ca="1">IFERROR(__xludf.DUMMYFUNCTION("GOOGLETRANSLATE(F1495,""en"",""pt"")"),"deslizando escadas")</f>
        <v>deslizando escadas</v>
      </c>
      <c r="J1495" t="str">
        <f>VLOOKUP(A1495,Pr_Base_LNEC!$A$4:$J$6971,6,FALSE)</f>
        <v>-</v>
      </c>
      <c r="K1495">
        <f>VLOOKUP(A1495,Pr_Base_LNEC!$A$4:$J$6971,7,FALSE)</f>
        <v>0</v>
      </c>
    </row>
    <row r="1496" spans="1:11" ht="14.5">
      <c r="A1496" s="20" t="s">
        <v>17483</v>
      </c>
      <c r="B1496" s="20">
        <v>25</v>
      </c>
      <c r="C1496" s="20">
        <v>30</v>
      </c>
      <c r="D1496" s="20">
        <v>85</v>
      </c>
      <c r="E1496" s="20">
        <v>84</v>
      </c>
      <c r="F1496" s="20" t="s">
        <v>17484</v>
      </c>
      <c r="G1496" s="24"/>
      <c r="H1496" s="24"/>
      <c r="I1496" s="24" t="str">
        <f ca="1">IFERROR(__xludf.DUMMYFUNCTION("GOOGLETRANSLATE(F1496,""en"",""pt"")"),"escadas internas espiral")</f>
        <v>escadas internas espiral</v>
      </c>
      <c r="J1496" t="str">
        <f>VLOOKUP(A1496,Pr_Base_LNEC!$A$4:$J$6971,6,FALSE)</f>
        <v>-</v>
      </c>
      <c r="K1496">
        <f>VLOOKUP(A1496,Pr_Base_LNEC!$A$4:$J$6971,7,FALSE)</f>
        <v>0</v>
      </c>
    </row>
    <row r="1497" spans="1:11" ht="14.5">
      <c r="A1497" s="20" t="s">
        <v>17485</v>
      </c>
      <c r="B1497" s="20">
        <v>25</v>
      </c>
      <c r="C1497" s="20">
        <v>30</v>
      </c>
      <c r="D1497" s="20">
        <v>85</v>
      </c>
      <c r="E1497" s="20">
        <v>85</v>
      </c>
      <c r="F1497" s="20" t="s">
        <v>17486</v>
      </c>
      <c r="G1497" s="24"/>
      <c r="H1497" s="24"/>
      <c r="I1497" s="24" t="str">
        <f ca="1">IFERROR(__xludf.DUMMYFUNCTION("GOOGLETRANSLATE(F1497,""en"",""pt"")"),"escadas passo mais")</f>
        <v>escadas passo mais</v>
      </c>
      <c r="J1497" t="str">
        <f>VLOOKUP(A1497,Pr_Base_LNEC!$A$4:$J$6971,6,FALSE)</f>
        <v>-</v>
      </c>
      <c r="K1497">
        <f>VLOOKUP(A1497,Pr_Base_LNEC!$A$4:$J$6971,7,FALSE)</f>
        <v>0</v>
      </c>
    </row>
    <row r="1498" spans="1:11" ht="14.5">
      <c r="A1498" s="20" t="s">
        <v>17487</v>
      </c>
      <c r="B1498" s="20">
        <v>25</v>
      </c>
      <c r="C1498" s="20">
        <v>30</v>
      </c>
      <c r="D1498" s="20">
        <v>85</v>
      </c>
      <c r="E1498" s="20">
        <v>86</v>
      </c>
      <c r="F1498" s="20" t="s">
        <v>17488</v>
      </c>
      <c r="G1498" s="20" t="s">
        <v>17489</v>
      </c>
      <c r="H1498" s="24"/>
      <c r="I1498" s="24" t="str">
        <f ca="1">IFERROR(__xludf.DUMMYFUNCTION("GOOGLETRANSLATE(F1498,""en"",""pt"")"),"escadas internas rectas")</f>
        <v>escadas internas rectas</v>
      </c>
      <c r="J1498" t="str">
        <f>VLOOKUP(A1498,Pr_Base_LNEC!$A$4:$J$6971,6,FALSE)</f>
        <v>-</v>
      </c>
      <c r="K1498">
        <f>VLOOKUP(A1498,Pr_Base_LNEC!$A$4:$J$6971,7,FALSE)</f>
        <v>0</v>
      </c>
    </row>
    <row r="1499" spans="1:11" ht="14.5">
      <c r="A1499" s="20" t="s">
        <v>17490</v>
      </c>
      <c r="B1499" s="20">
        <v>25</v>
      </c>
      <c r="C1499" s="20">
        <v>30</v>
      </c>
      <c r="D1499" s="20">
        <v>85</v>
      </c>
      <c r="E1499" s="20">
        <v>90</v>
      </c>
      <c r="F1499" s="20" t="s">
        <v>17491</v>
      </c>
      <c r="G1499" s="20" t="s">
        <v>17492</v>
      </c>
      <c r="H1499" s="24"/>
      <c r="I1499" s="24" t="str">
        <f ca="1">IFERROR(__xludf.DUMMYFUNCTION("GOOGLETRANSLATE(F1499,""en"",""pt"")"),"escadas de viagem")</f>
        <v>escadas de viagem</v>
      </c>
      <c r="J1499" t="str">
        <f>VLOOKUP(A1499,Pr_Base_LNEC!$A$4:$J$6971,6,FALSE)</f>
        <v>-</v>
      </c>
      <c r="K1499">
        <f>VLOOKUP(A1499,Pr_Base_LNEC!$A$4:$J$6971,7,FALSE)</f>
        <v>0</v>
      </c>
    </row>
    <row r="1500" spans="1:11" ht="14.5">
      <c r="A1500" s="20" t="s">
        <v>17493</v>
      </c>
      <c r="B1500" s="20">
        <v>25</v>
      </c>
      <c r="C1500" s="20">
        <v>30</v>
      </c>
      <c r="D1500" s="20">
        <v>86</v>
      </c>
      <c r="E1500" s="24"/>
      <c r="F1500" s="20" t="s">
        <v>17494</v>
      </c>
      <c r="G1500" s="24"/>
      <c r="H1500" s="24"/>
      <c r="I1500" s="24" t="str">
        <f ca="1">IFERROR(__xludf.DUMMYFUNCTION("GOOGLETRANSLATE(F1500,""en"",""pt"")"),"produtos de controle de tráfego Na Superfície")</f>
        <v>produtos de controle de tráfego Na Superfície</v>
      </c>
      <c r="J1500" t="str">
        <f>VLOOKUP(A1500,Pr_Base_LNEC!$A$4:$J$6971,6,FALSE)</f>
        <v>?</v>
      </c>
      <c r="K1500">
        <f>VLOOKUP(A1500,Pr_Base_LNEC!$A$4:$J$6971,7,FALSE)</f>
        <v>0</v>
      </c>
    </row>
    <row r="1501" spans="1:11" ht="14.5">
      <c r="A1501" s="20" t="s">
        <v>17495</v>
      </c>
      <c r="B1501" s="20">
        <v>25</v>
      </c>
      <c r="C1501" s="20">
        <v>30</v>
      </c>
      <c r="D1501" s="20">
        <v>86</v>
      </c>
      <c r="E1501" s="20">
        <v>3</v>
      </c>
      <c r="F1501" s="20" t="s">
        <v>17496</v>
      </c>
      <c r="G1501" s="20" t="s">
        <v>17497</v>
      </c>
      <c r="H1501" s="24"/>
      <c r="I1501" s="24" t="str">
        <f ca="1">IFERROR(__xludf.DUMMYFUNCTION("GOOGLETRANSLATE(F1501,""en"",""pt"")"),"placas de escoamento do veículo em ligas de alumínio")</f>
        <v>placas de escoamento do veículo em ligas de alumínio</v>
      </c>
      <c r="J1501" t="str">
        <f>VLOOKUP(A1501,Pr_Base_LNEC!$A$4:$J$6971,6,FALSE)</f>
        <v>-</v>
      </c>
      <c r="K1501">
        <f>VLOOKUP(A1501,Pr_Base_LNEC!$A$4:$J$6971,7,FALSE)</f>
        <v>0</v>
      </c>
    </row>
    <row r="1502" spans="1:11" ht="14.5">
      <c r="A1502" s="20" t="s">
        <v>17498</v>
      </c>
      <c r="B1502" s="20">
        <v>25</v>
      </c>
      <c r="C1502" s="20">
        <v>30</v>
      </c>
      <c r="D1502" s="20">
        <v>86</v>
      </c>
      <c r="E1502" s="20">
        <v>4</v>
      </c>
      <c r="F1502" s="20" t="s">
        <v>17499</v>
      </c>
      <c r="G1502" s="20" t="s">
        <v>17500</v>
      </c>
      <c r="H1502" s="24"/>
      <c r="I1502" s="24" t="str">
        <f ca="1">IFERROR(__xludf.DUMMYFUNCTION("GOOGLETRANSLATE(F1502,""en"",""pt"")"),"paradas veículo liga de alumínio")</f>
        <v>paradas veículo liga de alumínio</v>
      </c>
      <c r="J1502" t="str">
        <f>VLOOKUP(A1502,Pr_Base_LNEC!$A$4:$J$6971,6,FALSE)</f>
        <v>-</v>
      </c>
      <c r="K1502">
        <f>VLOOKUP(A1502,Pr_Base_LNEC!$A$4:$J$6971,7,FALSE)</f>
        <v>0</v>
      </c>
    </row>
    <row r="1503" spans="1:11" ht="14.5">
      <c r="A1503" s="20" t="s">
        <v>17501</v>
      </c>
      <c r="B1503" s="20">
        <v>25</v>
      </c>
      <c r="C1503" s="20">
        <v>30</v>
      </c>
      <c r="D1503" s="20">
        <v>86</v>
      </c>
      <c r="E1503" s="20">
        <v>11</v>
      </c>
      <c r="F1503" s="20" t="s">
        <v>17502</v>
      </c>
      <c r="G1503" s="20" t="s">
        <v>17503</v>
      </c>
      <c r="H1503" s="24"/>
      <c r="I1503" s="24" t="str">
        <f ca="1">IFERROR(__xludf.DUMMYFUNCTION("GOOGLETRANSLATE(F1503,""en"",""pt"")"),"redutores de fluxo de veículos de aço de carbono")</f>
        <v>redutores de fluxo de veículos de aço de carbono</v>
      </c>
      <c r="J1503" t="str">
        <f>VLOOKUP(A1503,Pr_Base_LNEC!$A$4:$J$6971,6,FALSE)</f>
        <v>-</v>
      </c>
      <c r="K1503">
        <f>VLOOKUP(A1503,Pr_Base_LNEC!$A$4:$J$6971,7,FALSE)</f>
        <v>0</v>
      </c>
    </row>
    <row r="1504" spans="1:11" ht="14.5">
      <c r="A1504" s="20" t="s">
        <v>17504</v>
      </c>
      <c r="B1504" s="20">
        <v>25</v>
      </c>
      <c r="C1504" s="20">
        <v>30</v>
      </c>
      <c r="D1504" s="20">
        <v>86</v>
      </c>
      <c r="E1504" s="20">
        <v>12</v>
      </c>
      <c r="F1504" s="20" t="s">
        <v>17505</v>
      </c>
      <c r="G1504" s="20" t="s">
        <v>17506</v>
      </c>
      <c r="H1504" s="24"/>
      <c r="I1504" s="24" t="str">
        <f ca="1">IFERROR(__xludf.DUMMYFUNCTION("GOOGLETRANSLATE(F1504,""en"",""pt"")"),"paradas veículo aço de carbono")</f>
        <v>paradas veículo aço de carbono</v>
      </c>
      <c r="J1504" t="str">
        <f>VLOOKUP(A1504,Pr_Base_LNEC!$A$4:$J$6971,6,FALSE)</f>
        <v>-</v>
      </c>
      <c r="K1504">
        <f>VLOOKUP(A1504,Pr_Base_LNEC!$A$4:$J$6971,7,FALSE)</f>
        <v>0</v>
      </c>
    </row>
    <row r="1505" spans="1:11" ht="14.5">
      <c r="A1505" s="20" t="s">
        <v>17507</v>
      </c>
      <c r="B1505" s="20">
        <v>25</v>
      </c>
      <c r="C1505" s="20">
        <v>30</v>
      </c>
      <c r="D1505" s="20">
        <v>86</v>
      </c>
      <c r="E1505" s="20">
        <v>15</v>
      </c>
      <c r="F1505" s="20" t="s">
        <v>17508</v>
      </c>
      <c r="G1505" s="20" t="s">
        <v>17509</v>
      </c>
      <c r="H1505" s="24"/>
      <c r="I1505" s="24" t="str">
        <f ca="1">IFERROR(__xludf.DUMMYFUNCTION("GOOGLETRANSLATE(F1505,""en"",""pt"")"),"unidades de demarcação de concreto")</f>
        <v>unidades de demarcação de concreto</v>
      </c>
      <c r="J1505" t="str">
        <f>VLOOKUP(A1505,Pr_Base_LNEC!$A$4:$J$6971,6,FALSE)</f>
        <v>-</v>
      </c>
      <c r="K1505">
        <f>VLOOKUP(A1505,Pr_Base_LNEC!$A$4:$J$6971,7,FALSE)</f>
        <v>0</v>
      </c>
    </row>
    <row r="1506" spans="1:11" ht="14.5">
      <c r="A1506" s="20" t="s">
        <v>17510</v>
      </c>
      <c r="B1506" s="20">
        <v>25</v>
      </c>
      <c r="C1506" s="20">
        <v>30</v>
      </c>
      <c r="D1506" s="20">
        <v>86</v>
      </c>
      <c r="E1506" s="20">
        <v>60</v>
      </c>
      <c r="F1506" s="20" t="s">
        <v>17511</v>
      </c>
      <c r="G1506" s="20" t="s">
        <v>17512</v>
      </c>
      <c r="H1506" s="24"/>
      <c r="I1506" s="24" t="str">
        <f ca="1">IFERROR(__xludf.DUMMYFUNCTION("GOOGLETRANSLATE(F1506,""en"",""pt"")"),"extensores de pavimento")</f>
        <v>extensores de pavimento</v>
      </c>
      <c r="J1506" t="str">
        <f>VLOOKUP(A1506,Pr_Base_LNEC!$A$4:$J$6971,6,FALSE)</f>
        <v>-</v>
      </c>
      <c r="K1506">
        <f>VLOOKUP(A1506,Pr_Base_LNEC!$A$4:$J$6971,7,FALSE)</f>
        <v>0</v>
      </c>
    </row>
    <row r="1507" spans="1:11" ht="14.5">
      <c r="A1507" s="20" t="s">
        <v>17513</v>
      </c>
      <c r="B1507" s="20">
        <v>25</v>
      </c>
      <c r="C1507" s="20">
        <v>30</v>
      </c>
      <c r="D1507" s="20">
        <v>86</v>
      </c>
      <c r="E1507" s="20">
        <v>72</v>
      </c>
      <c r="F1507" s="20" t="s">
        <v>17514</v>
      </c>
      <c r="G1507" s="20" t="s">
        <v>17515</v>
      </c>
      <c r="H1507" s="24"/>
      <c r="I1507" s="24" t="str">
        <f ca="1">IFERROR(__xludf.DUMMYFUNCTION("GOOGLETRANSLATE(F1507,""en"",""pt"")"),"lancis crescentes")</f>
        <v>lancis crescentes</v>
      </c>
      <c r="J1507" t="str">
        <f>VLOOKUP(A1507,Pr_Base_LNEC!$A$4:$J$6971,6,FALSE)</f>
        <v>-</v>
      </c>
      <c r="K1507">
        <f>VLOOKUP(A1507,Pr_Base_LNEC!$A$4:$J$6971,7,FALSE)</f>
        <v>0</v>
      </c>
    </row>
    <row r="1508" spans="1:11" ht="14.5">
      <c r="A1508" s="20" t="s">
        <v>17516</v>
      </c>
      <c r="B1508" s="20">
        <v>25</v>
      </c>
      <c r="C1508" s="20">
        <v>30</v>
      </c>
      <c r="D1508" s="20">
        <v>86</v>
      </c>
      <c r="E1508" s="20">
        <v>73</v>
      </c>
      <c r="F1508" s="20" t="s">
        <v>17517</v>
      </c>
      <c r="G1508" s="24"/>
      <c r="H1508" s="24"/>
      <c r="I1508" s="24" t="str">
        <f ca="1">IFERROR(__xludf.DUMMYFUNCTION("GOOGLETRANSLATE(F1508,""en"",""pt"")"),"barreiras de veículos rampa crescentes")</f>
        <v>barreiras de veículos rampa crescentes</v>
      </c>
      <c r="J1508" t="str">
        <f>VLOOKUP(A1508,Pr_Base_LNEC!$A$4:$J$6971,6,FALSE)</f>
        <v>-</v>
      </c>
      <c r="K1508">
        <f>VLOOKUP(A1508,Pr_Base_LNEC!$A$4:$J$6971,7,FALSE)</f>
        <v>0</v>
      </c>
    </row>
    <row r="1509" spans="1:11" ht="14.5">
      <c r="A1509" s="20" t="s">
        <v>17518</v>
      </c>
      <c r="B1509" s="20">
        <v>25</v>
      </c>
      <c r="C1509" s="20">
        <v>30</v>
      </c>
      <c r="D1509" s="20">
        <v>86</v>
      </c>
      <c r="E1509" s="20">
        <v>74</v>
      </c>
      <c r="F1509" s="20" t="s">
        <v>17519</v>
      </c>
      <c r="G1509" s="24"/>
      <c r="H1509" s="24"/>
      <c r="I1509" s="24" t="str">
        <f ca="1">IFERROR(__xludf.DUMMYFUNCTION("GOOGLETRANSLATE(F1509,""en"",""pt"")"),"Subindo paradas de veículos pico")</f>
        <v>Subindo paradas de veículos pico</v>
      </c>
      <c r="J1509" t="str">
        <f>VLOOKUP(A1509,Pr_Base_LNEC!$A$4:$J$6971,6,FALSE)</f>
        <v>-</v>
      </c>
      <c r="K1509">
        <f>VLOOKUP(A1509,Pr_Base_LNEC!$A$4:$J$6971,7,FALSE)</f>
        <v>0</v>
      </c>
    </row>
    <row r="1510" spans="1:11" ht="14.5">
      <c r="A1510" s="20" t="s">
        <v>17520</v>
      </c>
      <c r="B1510" s="20">
        <v>25</v>
      </c>
      <c r="C1510" s="20">
        <v>30</v>
      </c>
      <c r="D1510" s="20">
        <v>86</v>
      </c>
      <c r="E1510" s="20">
        <v>75</v>
      </c>
      <c r="F1510" s="20" t="s">
        <v>17521</v>
      </c>
      <c r="G1510" s="20" t="s">
        <v>17522</v>
      </c>
      <c r="H1510" s="24"/>
      <c r="I1510" s="24" t="str">
        <f ca="1">IFERROR(__xludf.DUMMYFUNCTION("GOOGLETRANSLATE(F1510,""en"",""pt"")"),"paradas de veículos de borracha")</f>
        <v>paradas de veículos de borracha</v>
      </c>
      <c r="J1510" t="str">
        <f>VLOOKUP(A1510,Pr_Base_LNEC!$A$4:$J$6971,6,FALSE)</f>
        <v>-</v>
      </c>
      <c r="K1510">
        <f>VLOOKUP(A1510,Pr_Base_LNEC!$A$4:$J$6971,7,FALSE)</f>
        <v>0</v>
      </c>
    </row>
    <row r="1511" spans="1:11" ht="14.5">
      <c r="A1511" s="20" t="s">
        <v>17523</v>
      </c>
      <c r="B1511" s="20">
        <v>25</v>
      </c>
      <c r="C1511" s="20">
        <v>30</v>
      </c>
      <c r="D1511" s="20">
        <v>86</v>
      </c>
      <c r="E1511" s="20">
        <v>83</v>
      </c>
      <c r="F1511" s="20" t="s">
        <v>17524</v>
      </c>
      <c r="G1511" s="20" t="s">
        <v>17525</v>
      </c>
      <c r="H1511" s="24"/>
      <c r="I1511" s="24" t="str">
        <f ca="1">IFERROR(__xludf.DUMMYFUNCTION("GOOGLETRANSLATE(F1511,""en"",""pt"")"),"rampas de restrição de velocidade")</f>
        <v>rampas de restrição de velocidade</v>
      </c>
      <c r="J1511" t="str">
        <f>VLOOKUP(A1511,Pr_Base_LNEC!$A$4:$J$6971,6,FALSE)</f>
        <v>-</v>
      </c>
      <c r="K1511">
        <f>VLOOKUP(A1511,Pr_Base_LNEC!$A$4:$J$6971,7,FALSE)</f>
        <v>0</v>
      </c>
    </row>
    <row r="1512" spans="1:11" ht="14.5">
      <c r="A1512" s="20" t="s">
        <v>17526</v>
      </c>
      <c r="B1512" s="20">
        <v>25</v>
      </c>
      <c r="C1512" s="20">
        <v>30</v>
      </c>
      <c r="D1512" s="20">
        <v>86</v>
      </c>
      <c r="E1512" s="20">
        <v>88</v>
      </c>
      <c r="F1512" s="20" t="s">
        <v>17527</v>
      </c>
      <c r="G1512" s="20" t="s">
        <v>17528</v>
      </c>
      <c r="H1512" s="24"/>
      <c r="I1512" s="24" t="str">
        <f ca="1">IFERROR(__xludf.DUMMYFUNCTION("GOOGLETRANSLATE(F1512,""en"",""pt"")"),"paradas de veículos Timber")</f>
        <v>paradas de veículos Timber</v>
      </c>
      <c r="J1512" t="str">
        <f>VLOOKUP(A1512,Pr_Base_LNEC!$A$4:$J$6971,6,FALSE)</f>
        <v>-</v>
      </c>
      <c r="K1512">
        <f>VLOOKUP(A1512,Pr_Base_LNEC!$A$4:$J$6971,7,FALSE)</f>
        <v>0</v>
      </c>
    </row>
    <row r="1513" spans="1:11" ht="14.5">
      <c r="A1513" s="20" t="s">
        <v>17529</v>
      </c>
      <c r="B1513" s="20">
        <v>25</v>
      </c>
      <c r="C1513" s="20">
        <v>30</v>
      </c>
      <c r="D1513" s="20">
        <v>86</v>
      </c>
      <c r="E1513" s="20">
        <v>90</v>
      </c>
      <c r="F1513" s="20" t="s">
        <v>17530</v>
      </c>
      <c r="G1513" s="20" t="s">
        <v>17531</v>
      </c>
      <c r="H1513" s="24"/>
      <c r="I1513" s="24" t="str">
        <f ca="1">IFERROR(__xludf.DUMMYFUNCTION("GOOGLETRANSLATE(F1513,""en"",""pt"")"),"almofadas de velocidade traffic calming")</f>
        <v>almofadas de velocidade traffic calming</v>
      </c>
      <c r="J1513" t="str">
        <f>VLOOKUP(A1513,Pr_Base_LNEC!$A$4:$J$6971,6,FALSE)</f>
        <v>-</v>
      </c>
      <c r="K1513">
        <f>VLOOKUP(A1513,Pr_Base_LNEC!$A$4:$J$6971,7,FALSE)</f>
        <v>0</v>
      </c>
    </row>
    <row r="1514" spans="1:11" ht="14.5">
      <c r="A1514" s="20" t="s">
        <v>17532</v>
      </c>
      <c r="B1514" s="20">
        <v>25</v>
      </c>
      <c r="C1514" s="20">
        <v>30</v>
      </c>
      <c r="D1514" s="20">
        <v>86</v>
      </c>
      <c r="E1514" s="20">
        <v>91</v>
      </c>
      <c r="F1514" s="20" t="s">
        <v>17533</v>
      </c>
      <c r="G1514" s="20" t="s">
        <v>17534</v>
      </c>
      <c r="H1514" s="24"/>
      <c r="I1514" s="24" t="str">
        <f ca="1">IFERROR(__xludf.DUMMYFUNCTION("GOOGLETRANSLATE(F1514,""en"",""pt"")"),"ilhas de tráfego")</f>
        <v>ilhas de tráfego</v>
      </c>
      <c r="J1514" t="str">
        <f>VLOOKUP(A1514,Pr_Base_LNEC!$A$4:$J$6971,6,FALSE)</f>
        <v>-</v>
      </c>
      <c r="K1514">
        <f>VLOOKUP(A1514,Pr_Base_LNEC!$A$4:$J$6971,7,FALSE)</f>
        <v>0</v>
      </c>
    </row>
    <row r="1515" spans="1:11" ht="14.5">
      <c r="A1515" s="20" t="s">
        <v>17535</v>
      </c>
      <c r="B1515" s="20">
        <v>25</v>
      </c>
      <c r="C1515" s="20">
        <v>30</v>
      </c>
      <c r="D1515" s="20">
        <v>90</v>
      </c>
      <c r="E1515" s="24"/>
      <c r="F1515" s="20" t="s">
        <v>17536</v>
      </c>
      <c r="G1515" s="24"/>
      <c r="H1515" s="24"/>
      <c r="I1515" s="24" t="str">
        <f ca="1">IFERROR(__xludf.DUMMYFUNCTION("GOOGLETRANSLATE(F1515,""en"",""pt"")"),"Passos e unidades de pouso")</f>
        <v>Passos e unidades de pouso</v>
      </c>
      <c r="J1515" t="str">
        <f>VLOOKUP(A1515,Pr_Base_LNEC!$A$4:$J$6971,6,FALSE)</f>
        <v>?</v>
      </c>
      <c r="K1515">
        <f>VLOOKUP(A1515,Pr_Base_LNEC!$A$4:$J$6971,7,FALSE)</f>
        <v>0</v>
      </c>
    </row>
    <row r="1516" spans="1:11" ht="14.5">
      <c r="A1516" s="20" t="s">
        <v>17537</v>
      </c>
      <c r="B1516" s="20">
        <v>25</v>
      </c>
      <c r="C1516" s="20">
        <v>30</v>
      </c>
      <c r="D1516" s="20">
        <v>90</v>
      </c>
      <c r="E1516" s="20">
        <v>10</v>
      </c>
      <c r="F1516" s="20" t="s">
        <v>17538</v>
      </c>
      <c r="G1516" s="20" t="s">
        <v>17539</v>
      </c>
      <c r="H1516" s="24"/>
      <c r="I1516" s="24" t="str">
        <f ca="1">IFERROR(__xludf.DUMMYFUNCTION("GOOGLETRANSLATE(F1516,""en"",""pt"")"),"degraus de escada de aço carbono")</f>
        <v>degraus de escada de aço carbono</v>
      </c>
      <c r="J1516" t="str">
        <f>VLOOKUP(A1516,Pr_Base_LNEC!$A$4:$J$6971,6,FALSE)</f>
        <v>-</v>
      </c>
      <c r="K1516">
        <f>VLOOKUP(A1516,Pr_Base_LNEC!$A$4:$J$6971,7,FALSE)</f>
        <v>0</v>
      </c>
    </row>
    <row r="1517" spans="1:11" ht="14.5">
      <c r="A1517" s="20" t="s">
        <v>17540</v>
      </c>
      <c r="B1517" s="20">
        <v>25</v>
      </c>
      <c r="C1517" s="20">
        <v>30</v>
      </c>
      <c r="D1517" s="20">
        <v>90</v>
      </c>
      <c r="E1517" s="20">
        <v>11</v>
      </c>
      <c r="F1517" s="20" t="s">
        <v>17541</v>
      </c>
      <c r="G1517" s="20" t="s">
        <v>17542</v>
      </c>
      <c r="H1517" s="24"/>
      <c r="I1517" s="24" t="str">
        <f ca="1">IFERROR(__xludf.DUMMYFUNCTION("GOOGLETRANSLATE(F1517,""en"",""pt"")"),"Concretas degraus de escada de vidros")</f>
        <v>Concretas degraus de escada de vidros</v>
      </c>
      <c r="J1517" t="str">
        <f>VLOOKUP(A1517,Pr_Base_LNEC!$A$4:$J$6971,6,FALSE)</f>
        <v>a</v>
      </c>
      <c r="K1517" t="str">
        <f>VLOOKUP(A1517,Pr_Base_LNEC!$A$4:$J$6971,7,FALSE)</f>
        <v>EN 1051-2:2007
 Vidro na construção — Tijolos de vidro e blocos de vidro para pavimento — Parte 2: Avaliação da conformidade</v>
      </c>
    </row>
    <row r="1518" spans="1:11" ht="14.5">
      <c r="A1518" s="20" t="s">
        <v>17543</v>
      </c>
      <c r="B1518" s="20">
        <v>25</v>
      </c>
      <c r="C1518" s="20">
        <v>30</v>
      </c>
      <c r="D1518" s="20">
        <v>90</v>
      </c>
      <c r="E1518" s="20">
        <v>12</v>
      </c>
      <c r="F1518" s="20" t="s">
        <v>17544</v>
      </c>
      <c r="G1518" s="20" t="s">
        <v>17545</v>
      </c>
      <c r="H1518" s="24"/>
      <c r="I1518" s="24" t="str">
        <f ca="1">IFERROR(__xludf.DUMMYFUNCTION("GOOGLETRANSLATE(F1518,""en"",""pt"")"),"Concretas painéis patamar da escada envidraçada")</f>
        <v>Concretas painéis patamar da escada envidraçada</v>
      </c>
      <c r="J1518" t="str">
        <f>VLOOKUP(A1518,Pr_Base_LNEC!$A$4:$J$6971,6,FALSE)</f>
        <v>-</v>
      </c>
      <c r="K1518">
        <f>VLOOKUP(A1518,Pr_Base_LNEC!$A$4:$J$6971,7,FALSE)</f>
        <v>0</v>
      </c>
    </row>
    <row r="1519" spans="1:11" ht="14.5">
      <c r="A1519" s="20" t="s">
        <v>17546</v>
      </c>
      <c r="B1519" s="20">
        <v>25</v>
      </c>
      <c r="C1519" s="20">
        <v>30</v>
      </c>
      <c r="D1519" s="20">
        <v>90</v>
      </c>
      <c r="E1519" s="20">
        <v>13</v>
      </c>
      <c r="F1519" s="20" t="s">
        <v>17547</v>
      </c>
      <c r="G1519" s="20" t="s">
        <v>17548</v>
      </c>
      <c r="H1519" s="24"/>
      <c r="I1519" s="24" t="str">
        <f ca="1">IFERROR(__xludf.DUMMYFUNCTION("GOOGLETRANSLATE(F1519,""en"",""pt"")"),"unidades de vôo de escada helicoidal concretas")</f>
        <v>unidades de vôo de escada helicoidal concretas</v>
      </c>
      <c r="J1519" t="str">
        <f>VLOOKUP(A1519,Pr_Base_LNEC!$A$4:$J$6971,6,FALSE)</f>
        <v>Unidades pré-fabricadas em Betão para Escadas Helicoidais</v>
      </c>
      <c r="K1519" t="str">
        <f>VLOOKUP(A1519,Pr_Base_LNEC!$A$4:$J$6971,7,FALSE)</f>
        <v>EN 14843:2007</v>
      </c>
    </row>
    <row r="1520" spans="1:11" ht="14.5">
      <c r="A1520" s="20" t="s">
        <v>17549</v>
      </c>
      <c r="B1520" s="20">
        <v>25</v>
      </c>
      <c r="C1520" s="20">
        <v>30</v>
      </c>
      <c r="D1520" s="20">
        <v>90</v>
      </c>
      <c r="E1520" s="20">
        <v>14</v>
      </c>
      <c r="F1520" s="20" t="s">
        <v>17550</v>
      </c>
      <c r="G1520" s="20" t="s">
        <v>17551</v>
      </c>
      <c r="H1520" s="24"/>
      <c r="I1520" s="24" t="str">
        <f ca="1">IFERROR(__xludf.DUMMYFUNCTION("GOOGLETRANSLATE(F1520,""en"",""pt"")"),"unidades de vôo de escada em espiral de concreto")</f>
        <v>unidades de vôo de escada em espiral de concreto</v>
      </c>
      <c r="J1520" t="str">
        <f>VLOOKUP(A1520,Pr_Base_LNEC!$A$4:$J$6971,6,FALSE)</f>
        <v>Unidades pré-fabricadas em Betão para Escadas de Caracol</v>
      </c>
      <c r="K1520" t="str">
        <f>VLOOKUP(A1520,Pr_Base_LNEC!$A$4:$J$6971,7,FALSE)</f>
        <v>EN 14843:2007</v>
      </c>
    </row>
    <row r="1521" spans="1:11" ht="14.5">
      <c r="A1521" s="20" t="s">
        <v>17552</v>
      </c>
      <c r="B1521" s="20">
        <v>25</v>
      </c>
      <c r="C1521" s="20">
        <v>30</v>
      </c>
      <c r="D1521" s="20">
        <v>90</v>
      </c>
      <c r="E1521" s="20">
        <v>15</v>
      </c>
      <c r="F1521" s="20" t="s">
        <v>17553</v>
      </c>
      <c r="G1521" s="20" t="s">
        <v>17554</v>
      </c>
      <c r="H1521" s="24"/>
      <c r="I1521" s="24" t="str">
        <f ca="1">IFERROR(__xludf.DUMMYFUNCTION("GOOGLETRANSLATE(F1521,""en"",""pt"")"),"unidades de concreto escada de vôo e aterrissagem")</f>
        <v>unidades de concreto escada de vôo e aterrissagem</v>
      </c>
      <c r="J1521" t="str">
        <f>VLOOKUP(A1521,Pr_Base_LNEC!$A$4:$J$6971,6,FALSE)</f>
        <v>Unidades pré-fabricadas em Betão para Patamar e Cobertor de Escadas</v>
      </c>
      <c r="K1521" t="str">
        <f>VLOOKUP(A1521,Pr_Base_LNEC!$A$4:$J$6971,7,FALSE)</f>
        <v>EN 14843:2007</v>
      </c>
    </row>
    <row r="1522" spans="1:11" ht="14.5">
      <c r="A1522" s="20" t="s">
        <v>17555</v>
      </c>
      <c r="B1522" s="20">
        <v>25</v>
      </c>
      <c r="C1522" s="20">
        <v>30</v>
      </c>
      <c r="D1522" s="20">
        <v>90</v>
      </c>
      <c r="E1522" s="20">
        <v>16</v>
      </c>
      <c r="F1522" s="20" t="s">
        <v>17556</v>
      </c>
      <c r="G1522" s="20" t="s">
        <v>17557</v>
      </c>
      <c r="H1522" s="24"/>
      <c r="I1522" s="24" t="str">
        <f ca="1">IFERROR(__xludf.DUMMYFUNCTION("GOOGLETRANSLATE(F1522,""en"",""pt"")"),"unidades de vôo de escada de concreto")</f>
        <v>unidades de vôo de escada de concreto</v>
      </c>
      <c r="J1522" t="str">
        <f>VLOOKUP(A1522,Pr_Base_LNEC!$A$4:$J$6971,6,FALSE)</f>
        <v>Unidades pré-fabricadas em Betão para Cobertor de Escadas</v>
      </c>
      <c r="K1522" t="str">
        <f>VLOOKUP(A1522,Pr_Base_LNEC!$A$4:$J$6971,7,FALSE)</f>
        <v>EN 14843:2007</v>
      </c>
    </row>
    <row r="1523" spans="1:11" ht="14.5">
      <c r="A1523" s="20" t="s">
        <v>17558</v>
      </c>
      <c r="B1523" s="20">
        <v>25</v>
      </c>
      <c r="C1523" s="20">
        <v>30</v>
      </c>
      <c r="D1523" s="20">
        <v>90</v>
      </c>
      <c r="E1523" s="20">
        <v>17</v>
      </c>
      <c r="F1523" s="20" t="s">
        <v>17559</v>
      </c>
      <c r="G1523" s="20" t="s">
        <v>17560</v>
      </c>
      <c r="H1523" s="24"/>
      <c r="I1523" s="24" t="str">
        <f ca="1">IFERROR(__xludf.DUMMYFUNCTION("GOOGLETRANSLATE(F1523,""en"",""pt"")"),"unidades patamar da escada de concreto")</f>
        <v>unidades patamar da escada de concreto</v>
      </c>
      <c r="J1523" t="str">
        <f>VLOOKUP(A1523,Pr_Base_LNEC!$A$4:$J$6971,6,FALSE)</f>
        <v>Unidades pré-fabricadas em Betão para Patamar de Escadas</v>
      </c>
      <c r="K1523" t="str">
        <f>VLOOKUP(A1523,Pr_Base_LNEC!$A$4:$J$6971,7,FALSE)</f>
        <v>EN 14843:2007</v>
      </c>
    </row>
    <row r="1524" spans="1:11" ht="14.5">
      <c r="A1524" s="20" t="s">
        <v>17561</v>
      </c>
      <c r="B1524" s="20">
        <v>25</v>
      </c>
      <c r="C1524" s="20">
        <v>30</v>
      </c>
      <c r="D1524" s="20">
        <v>90</v>
      </c>
      <c r="E1524" s="20">
        <v>18</v>
      </c>
      <c r="F1524" s="20" t="s">
        <v>17562</v>
      </c>
      <c r="G1524" s="20" t="s">
        <v>17563</v>
      </c>
      <c r="H1524" s="24"/>
      <c r="I1524" s="24" t="str">
        <f ca="1">IFERROR(__xludf.DUMMYFUNCTION("GOOGLETRANSLATE(F1524,""en"",""pt"")"),"unidades passo concreto")</f>
        <v>unidades passo concreto</v>
      </c>
      <c r="J1524" t="str">
        <f>VLOOKUP(A1524,Pr_Base_LNEC!$A$4:$J$6971,6,FALSE)</f>
        <v>Unidades pré-fabricadas em Betão para Degraus de Escadas</v>
      </c>
      <c r="K1524" t="str">
        <f>VLOOKUP(A1524,Pr_Base_LNEC!$A$4:$J$6971,7,FALSE)</f>
        <v>EN 14843:2007</v>
      </c>
    </row>
    <row r="1525" spans="1:11" ht="14.5">
      <c r="A1525" s="20" t="s">
        <v>17564</v>
      </c>
      <c r="B1525" s="20">
        <v>25</v>
      </c>
      <c r="C1525" s="20">
        <v>30</v>
      </c>
      <c r="D1525" s="20">
        <v>90</v>
      </c>
      <c r="E1525" s="20">
        <v>33</v>
      </c>
      <c r="F1525" s="20" t="s">
        <v>17565</v>
      </c>
      <c r="G1525" s="20" t="s">
        <v>17566</v>
      </c>
      <c r="H1525" s="24"/>
      <c r="I1525" s="24" t="str">
        <f ca="1">IFERROR(__xludf.DUMMYFUNCTION("GOOGLETRANSLATE(F1525,""en"",""pt"")"),"degraus de escada de vidro")</f>
        <v>degraus de escada de vidro</v>
      </c>
      <c r="J1525" t="str">
        <f>VLOOKUP(A1525,Pr_Base_LNEC!$A$4:$J$6971,6,FALSE)</f>
        <v>-</v>
      </c>
      <c r="K1525">
        <f>VLOOKUP(A1525,Pr_Base_LNEC!$A$4:$J$6971,7,FALSE)</f>
        <v>0</v>
      </c>
    </row>
    <row r="1526" spans="1:11" ht="14.5">
      <c r="A1526" s="20" t="s">
        <v>17567</v>
      </c>
      <c r="B1526" s="20">
        <v>25</v>
      </c>
      <c r="C1526" s="20">
        <v>30</v>
      </c>
      <c r="D1526" s="20">
        <v>90</v>
      </c>
      <c r="E1526" s="20">
        <v>36</v>
      </c>
      <c r="F1526" s="20" t="s">
        <v>17568</v>
      </c>
      <c r="G1526" s="24"/>
      <c r="H1526" s="24"/>
      <c r="I1526" s="24" t="str">
        <f ca="1">IFERROR(__xludf.DUMMYFUNCTION("GOOGLETRANSLATE(F1526,""en"",""pt"")"),"degraus de escada de madeira")</f>
        <v>degraus de escada de madeira</v>
      </c>
      <c r="J1526" t="str">
        <f>VLOOKUP(A1526,Pr_Base_LNEC!$A$4:$J$6971,6,FALSE)</f>
        <v>-</v>
      </c>
      <c r="K1526">
        <f>VLOOKUP(A1526,Pr_Base_LNEC!$A$4:$J$6971,7,FALSE)</f>
        <v>0</v>
      </c>
    </row>
    <row r="1527" spans="1:11" ht="14.5">
      <c r="A1527" s="20" t="s">
        <v>17569</v>
      </c>
      <c r="B1527" s="20">
        <v>25</v>
      </c>
      <c r="C1527" s="20">
        <v>30</v>
      </c>
      <c r="D1527" s="20">
        <v>90</v>
      </c>
      <c r="E1527" s="20">
        <v>63</v>
      </c>
      <c r="F1527" s="20" t="s">
        <v>17570</v>
      </c>
      <c r="G1527" s="24"/>
      <c r="H1527" s="24"/>
      <c r="I1527" s="24" t="str">
        <f ca="1">IFERROR(__xludf.DUMMYFUNCTION("GOOGLETRANSLATE(F1527,""en"",""pt"")"),"Plásticos degraus da escada")</f>
        <v>Plásticos degraus da escada</v>
      </c>
      <c r="J1527" t="str">
        <f>VLOOKUP(A1527,Pr_Base_LNEC!$A$4:$J$6971,6,FALSE)</f>
        <v>-</v>
      </c>
      <c r="K1527">
        <f>VLOOKUP(A1527,Pr_Base_LNEC!$A$4:$J$6971,7,FALSE)</f>
        <v>0</v>
      </c>
    </row>
    <row r="1528" spans="1:11" ht="14.5">
      <c r="A1528" s="20" t="s">
        <v>17571</v>
      </c>
      <c r="B1528" s="20">
        <v>25</v>
      </c>
      <c r="C1528" s="20">
        <v>30</v>
      </c>
      <c r="D1528" s="20">
        <v>90</v>
      </c>
      <c r="E1528" s="20">
        <v>81</v>
      </c>
      <c r="F1528" s="20" t="s">
        <v>17572</v>
      </c>
      <c r="G1528" s="24"/>
      <c r="H1528" s="24"/>
      <c r="I1528" s="24" t="str">
        <f ca="1">IFERROR(__xludf.DUMMYFUNCTION("GOOGLETRANSLATE(F1528,""en"",""pt"")"),"degraus de escada de madeira mole")</f>
        <v>degraus de escada de madeira mole</v>
      </c>
      <c r="J1528" t="str">
        <f>VLOOKUP(A1528,Pr_Base_LNEC!$A$4:$J$6971,6,FALSE)</f>
        <v>-</v>
      </c>
      <c r="K1528">
        <f>VLOOKUP(A1528,Pr_Base_LNEC!$A$4:$J$6971,7,FALSE)</f>
        <v>0</v>
      </c>
    </row>
    <row r="1529" spans="1:11" ht="14.5">
      <c r="A1529" s="20" t="s">
        <v>17573</v>
      </c>
      <c r="B1529" s="20">
        <v>25</v>
      </c>
      <c r="C1529" s="20">
        <v>30</v>
      </c>
      <c r="D1529" s="20">
        <v>90</v>
      </c>
      <c r="E1529" s="20">
        <v>83</v>
      </c>
      <c r="F1529" s="20" t="s">
        <v>17574</v>
      </c>
      <c r="G1529" s="20" t="s">
        <v>17575</v>
      </c>
      <c r="H1529" s="24"/>
      <c r="I1529" s="24" t="str">
        <f ca="1">IFERROR(__xludf.DUMMYFUNCTION("GOOGLETRANSLATE(F1529,""en"",""pt"")"),"degraus de escada de aço inoxidável")</f>
        <v>degraus de escada de aço inoxidável</v>
      </c>
      <c r="J1529" t="str">
        <f>VLOOKUP(A1529,Pr_Base_LNEC!$A$4:$J$6971,6,FALSE)</f>
        <v>-</v>
      </c>
      <c r="K1529">
        <f>VLOOKUP(A1529,Pr_Base_LNEC!$A$4:$J$6971,7,FALSE)</f>
        <v>0</v>
      </c>
    </row>
    <row r="1530" spans="1:11" ht="14.5">
      <c r="A1530" s="20" t="s">
        <v>17576</v>
      </c>
      <c r="B1530" s="20">
        <v>25</v>
      </c>
      <c r="C1530" s="20">
        <v>30</v>
      </c>
      <c r="D1530" s="20">
        <v>90</v>
      </c>
      <c r="E1530" s="20">
        <v>84</v>
      </c>
      <c r="F1530" s="20" t="s">
        <v>17577</v>
      </c>
      <c r="G1530" s="24"/>
      <c r="H1530" s="24"/>
      <c r="I1530" s="24" t="str">
        <f ca="1">IFERROR(__xludf.DUMMYFUNCTION("GOOGLETRANSLATE(F1530,""en"",""pt"")"),"degraus de pedra da escada")</f>
        <v>degraus de pedra da escada</v>
      </c>
      <c r="J1530" t="str">
        <f>VLOOKUP(A1530,Pr_Base_LNEC!$A$4:$J$6971,6,FALSE)</f>
        <v>-</v>
      </c>
      <c r="K1530">
        <f>VLOOKUP(A1530,Pr_Base_LNEC!$A$4:$J$6971,7,FALSE)</f>
        <v>0</v>
      </c>
    </row>
    <row r="1531" spans="1:11" ht="14.5">
      <c r="A1531" s="20" t="s">
        <v>17578</v>
      </c>
      <c r="B1531" s="20">
        <v>25</v>
      </c>
      <c r="C1531" s="20">
        <v>30</v>
      </c>
      <c r="D1531" s="20">
        <v>90</v>
      </c>
      <c r="E1531" s="20">
        <v>85</v>
      </c>
      <c r="F1531" s="20" t="s">
        <v>17579</v>
      </c>
      <c r="G1531" s="20" t="s">
        <v>17580</v>
      </c>
      <c r="H1531" s="24"/>
      <c r="I1531" s="24" t="str">
        <f ca="1">IFERROR(__xludf.DUMMYFUNCTION("GOOGLETRANSLATE(F1531,""en"",""pt"")"),"unidades de degrau de pedra")</f>
        <v>unidades de degrau de pedra</v>
      </c>
      <c r="J1531" t="str">
        <f>VLOOKUP(A1531,Pr_Base_LNEC!$A$4:$J$6971,6,FALSE)</f>
        <v>Unidades em Blocos de Pedra reconstituida para Alvenaria</v>
      </c>
      <c r="K1531" t="str">
        <f>VLOOKUP(A1531,Pr_Base_LNEC!$A$4:$J$6971,7,FALSE)</f>
        <v>EN 771-5:2011+A1:2015</v>
      </c>
    </row>
    <row r="1532" spans="1:11" ht="14.5">
      <c r="A1532" s="20" t="s">
        <v>17581</v>
      </c>
      <c r="B1532" s="20">
        <v>25</v>
      </c>
      <c r="C1532" s="20">
        <v>31</v>
      </c>
      <c r="D1532" s="24"/>
      <c r="E1532" s="24"/>
      <c r="F1532" s="20" t="s">
        <v>17582</v>
      </c>
      <c r="G1532" s="24"/>
      <c r="H1532" s="24"/>
      <c r="I1532" s="24" t="str">
        <f ca="1">IFERROR(__xludf.DUMMYFUNCTION("GOOGLETRANSLATE(F1532,""en"",""pt"")"),"produtos de pele sem forma")</f>
        <v>produtos de pele sem forma</v>
      </c>
      <c r="J1532" t="str">
        <f>VLOOKUP(A1532,Pr_Base_LNEC!$A$4:$J$6971,6,FALSE)</f>
        <v>Produtos Exteriores sem forma</v>
      </c>
      <c r="K1532">
        <f>VLOOKUP(A1532,Pr_Base_LNEC!$A$4:$J$6971,7,FALSE)</f>
        <v>0</v>
      </c>
    </row>
    <row r="1533" spans="1:11" ht="14.5">
      <c r="A1533" s="20" t="s">
        <v>17583</v>
      </c>
      <c r="B1533" s="20">
        <v>25</v>
      </c>
      <c r="C1533" s="20">
        <v>31</v>
      </c>
      <c r="D1533" s="20">
        <v>28</v>
      </c>
      <c r="E1533" s="24"/>
      <c r="F1533" s="20" t="s">
        <v>17584</v>
      </c>
      <c r="G1533" s="24"/>
      <c r="H1533" s="24"/>
      <c r="I1533" s="24" t="str">
        <f ca="1">IFERROR(__xludf.DUMMYFUNCTION("GOOGLETRANSLATE(F1533,""en"",""pt"")"),"expansão espumas")</f>
        <v>expansão espumas</v>
      </c>
      <c r="J1533" t="str">
        <f>VLOOKUP(A1533,Pr_Base_LNEC!$A$4:$J$6971,6,FALSE)</f>
        <v>Espumas Expansivas</v>
      </c>
      <c r="K1533">
        <f>VLOOKUP(A1533,Pr_Base_LNEC!$A$4:$J$6971,7,FALSE)</f>
        <v>0</v>
      </c>
    </row>
    <row r="1534" spans="1:11" ht="14.5">
      <c r="A1534" s="20" t="s">
        <v>17585</v>
      </c>
      <c r="B1534" s="20">
        <v>25</v>
      </c>
      <c r="C1534" s="20">
        <v>31</v>
      </c>
      <c r="D1534" s="20">
        <v>28</v>
      </c>
      <c r="E1534" s="20">
        <v>65</v>
      </c>
      <c r="F1534" s="20" t="s">
        <v>17586</v>
      </c>
      <c r="G1534" s="20" t="s">
        <v>17587</v>
      </c>
      <c r="H1534" s="24"/>
      <c r="I1534" s="24" t="str">
        <f ca="1">IFERROR(__xludf.DUMMYFUNCTION("GOOGLETRANSLATE(F1534,""en"",""pt"")"),"Poliisocianurato (PIR), espuma de isolamento")</f>
        <v>Poliisocianurato (PIR), espuma de isolamento</v>
      </c>
      <c r="J1534" t="str">
        <f>VLOOKUP(A1534,Pr_Base_LNEC!$A$4:$J$6971,6,FALSE)</f>
        <v>-</v>
      </c>
      <c r="K1534">
        <f>VLOOKUP(A1534,Pr_Base_LNEC!$A$4:$J$6971,7,FALSE)</f>
        <v>0</v>
      </c>
    </row>
    <row r="1535" spans="1:11" ht="14.5">
      <c r="A1535" s="20" t="s">
        <v>17588</v>
      </c>
      <c r="B1535" s="20">
        <v>25</v>
      </c>
      <c r="C1535" s="20">
        <v>31</v>
      </c>
      <c r="D1535" s="20">
        <v>28</v>
      </c>
      <c r="E1535" s="20">
        <v>66</v>
      </c>
      <c r="F1535" s="20" t="s">
        <v>17589</v>
      </c>
      <c r="G1535" s="20" t="s">
        <v>17590</v>
      </c>
      <c r="H1535" s="24"/>
      <c r="I1535" s="24" t="str">
        <f ca="1">IFERROR(__xludf.DUMMYFUNCTION("GOOGLETRANSLATE(F1535,""en"",""pt"")"),"Poliuretano (PUR) injectada espuma de isolamento")</f>
        <v>Poliuretano (PUR) injectada espuma de isolamento</v>
      </c>
      <c r="J1535" t="str">
        <f>VLOOKUP(A1535,Pr_Base_LNEC!$A$4:$J$6971,6,FALSE)</f>
        <v>-</v>
      </c>
      <c r="K1535">
        <f>VLOOKUP(A1535,Pr_Base_LNEC!$A$4:$J$6971,7,FALSE)</f>
        <v>0</v>
      </c>
    </row>
    <row r="1536" spans="1:11" ht="14.5">
      <c r="A1536" s="20" t="s">
        <v>17591</v>
      </c>
      <c r="B1536" s="20">
        <v>25</v>
      </c>
      <c r="C1536" s="20">
        <v>31</v>
      </c>
      <c r="D1536" s="20">
        <v>28</v>
      </c>
      <c r="E1536" s="20">
        <v>67</v>
      </c>
      <c r="F1536" s="20" t="s">
        <v>17592</v>
      </c>
      <c r="G1536" s="20" t="s">
        <v>17593</v>
      </c>
      <c r="H1536" s="24"/>
      <c r="I1536" s="24" t="str">
        <f ca="1">IFERROR(__xludf.DUMMYFUNCTION("GOOGLETRANSLATE(F1536,""en"",""pt"")"),"Poliuretano (PUR) de espuma de isolamento")</f>
        <v>Poliuretano (PUR) de espuma de isolamento</v>
      </c>
      <c r="J1536" t="str">
        <f>VLOOKUP(A1536,Pr_Base_LNEC!$A$4:$J$6971,6,FALSE)</f>
        <v>-</v>
      </c>
      <c r="K1536">
        <f>VLOOKUP(A1536,Pr_Base_LNEC!$A$4:$J$6971,7,FALSE)</f>
        <v>0</v>
      </c>
    </row>
    <row r="1537" spans="1:11" ht="14.5">
      <c r="A1537" s="20" t="s">
        <v>17594</v>
      </c>
      <c r="B1537" s="20">
        <v>25</v>
      </c>
      <c r="C1537" s="20">
        <v>31</v>
      </c>
      <c r="D1537" s="20">
        <v>28</v>
      </c>
      <c r="E1537" s="20">
        <v>93</v>
      </c>
      <c r="F1537" s="20" t="s">
        <v>17595</v>
      </c>
      <c r="G1537" s="20" t="s">
        <v>17596</v>
      </c>
      <c r="H1537" s="24"/>
      <c r="I1537" s="24" t="str">
        <f ca="1">IFERROR(__xludf.DUMMYFUNCTION("GOOGLETRANSLATE(F1537,""en"",""pt"")"),"espuma de ureia-formaldeído (UFF) de isolamento")</f>
        <v>espuma de ureia-formaldeído (UFF) de isolamento</v>
      </c>
      <c r="J1537" t="str">
        <f>VLOOKUP(A1537,Pr_Base_LNEC!$A$4:$J$6971,6,FALSE)</f>
        <v>-</v>
      </c>
      <c r="K1537">
        <f>VLOOKUP(A1537,Pr_Base_LNEC!$A$4:$J$6971,7,FALSE)</f>
        <v>0</v>
      </c>
    </row>
    <row r="1538" spans="1:11" ht="14.5">
      <c r="A1538" s="20" t="s">
        <v>17597</v>
      </c>
      <c r="B1538" s="20">
        <v>25</v>
      </c>
      <c r="C1538" s="20">
        <v>31</v>
      </c>
      <c r="D1538" s="20">
        <v>28</v>
      </c>
      <c r="E1538" s="20">
        <v>94</v>
      </c>
      <c r="F1538" s="20" t="s">
        <v>17598</v>
      </c>
      <c r="G1538" s="24"/>
      <c r="H1538" s="24"/>
      <c r="I1538" s="24" t="str">
        <f ca="1">IFERROR(__xludf.DUMMYFUNCTION("GOOGLETRANSLATE(F1538,""en"",""pt"")"),"Vermes e espumas de insetos à prova de expansão")</f>
        <v>Vermes e espumas de insetos à prova de expansão</v>
      </c>
      <c r="J1538" t="str">
        <f>VLOOKUP(A1538,Pr_Base_LNEC!$A$4:$J$6971,6,FALSE)</f>
        <v>-</v>
      </c>
      <c r="K1538">
        <f>VLOOKUP(A1538,Pr_Base_LNEC!$A$4:$J$6971,7,FALSE)</f>
        <v>0</v>
      </c>
    </row>
    <row r="1539" spans="1:11" ht="14.5">
      <c r="A1539" s="20" t="s">
        <v>17599</v>
      </c>
      <c r="B1539" s="20">
        <v>25</v>
      </c>
      <c r="C1539" s="20">
        <v>31</v>
      </c>
      <c r="D1539" s="20">
        <v>48</v>
      </c>
      <c r="E1539" s="24"/>
      <c r="F1539" s="20" t="s">
        <v>17600</v>
      </c>
      <c r="G1539" s="24"/>
      <c r="H1539" s="24"/>
      <c r="I1539" s="24" t="str">
        <f ca="1">IFERROR(__xludf.DUMMYFUNCTION("GOOGLETRANSLATE(F1539,""en"",""pt"")"),"isolamento solto")</f>
        <v>isolamento solto</v>
      </c>
      <c r="J1539" t="str">
        <f>VLOOKUP(A1539,Pr_Base_LNEC!$A$4:$J$6971,6,FALSE)</f>
        <v>Isolamento Solto</v>
      </c>
      <c r="K1539">
        <f>VLOOKUP(A1539,Pr_Base_LNEC!$A$4:$J$6971,7,FALSE)</f>
        <v>0</v>
      </c>
    </row>
    <row r="1540" spans="1:11" ht="14.5">
      <c r="A1540" s="20" t="s">
        <v>17601</v>
      </c>
      <c r="B1540" s="20">
        <v>25</v>
      </c>
      <c r="C1540" s="20">
        <v>31</v>
      </c>
      <c r="D1540" s="20">
        <v>48</v>
      </c>
      <c r="E1540" s="20">
        <v>12</v>
      </c>
      <c r="F1540" s="20" t="s">
        <v>17602</v>
      </c>
      <c r="G1540" s="20" t="s">
        <v>17603</v>
      </c>
      <c r="H1540" s="24"/>
      <c r="I1540" s="24" t="str">
        <f ca="1">IFERROR(__xludf.DUMMYFUNCTION("GOOGLETRANSLATE(F1540,""en"",""pt"")"),"isolamento de fibra de celulose soltas")</f>
        <v>isolamento de fibra de celulose soltas</v>
      </c>
      <c r="J1540" t="str">
        <f>VLOOKUP(A1540,Pr_Base_LNEC!$A$4:$J$6971,6,FALSE)</f>
        <v>-</v>
      </c>
      <c r="K1540">
        <f>VLOOKUP(A1540,Pr_Base_LNEC!$A$4:$J$6971,7,FALSE)</f>
        <v>0</v>
      </c>
    </row>
    <row r="1541" spans="1:11" ht="14.5">
      <c r="A1541" s="20" t="s">
        <v>17604</v>
      </c>
      <c r="B1541" s="20">
        <v>25</v>
      </c>
      <c r="C1541" s="20">
        <v>31</v>
      </c>
      <c r="D1541" s="20">
        <v>48</v>
      </c>
      <c r="E1541" s="20">
        <v>27</v>
      </c>
      <c r="F1541" s="20" t="s">
        <v>17605</v>
      </c>
      <c r="G1541" s="20" t="s">
        <v>17606</v>
      </c>
      <c r="H1541" s="24"/>
      <c r="I1541" s="24" t="str">
        <f ca="1">IFERROR(__xludf.DUMMYFUNCTION("GOOGLETRANSLATE(F1541,""en"",""pt"")"),"cortiça expandida isolamento solto")</f>
        <v>cortiça expandida isolamento solto</v>
      </c>
      <c r="J1541" t="str">
        <f>VLOOKUP(A1541,Pr_Base_LNEC!$A$4:$J$6971,6,FALSE)</f>
        <v>-</v>
      </c>
      <c r="K1541">
        <f>VLOOKUP(A1541,Pr_Base_LNEC!$A$4:$J$6971,7,FALSE)</f>
        <v>0</v>
      </c>
    </row>
    <row r="1542" spans="1:11" ht="14.5">
      <c r="A1542" s="20" t="s">
        <v>17607</v>
      </c>
      <c r="B1542" s="20">
        <v>25</v>
      </c>
      <c r="C1542" s="20">
        <v>31</v>
      </c>
      <c r="D1542" s="20">
        <v>48</v>
      </c>
      <c r="E1542" s="20">
        <v>28</v>
      </c>
      <c r="F1542" s="20" t="s">
        <v>17608</v>
      </c>
      <c r="G1542" s="20" t="s">
        <v>17609</v>
      </c>
      <c r="H1542" s="24"/>
      <c r="I1542" s="24" t="str">
        <f ca="1">IFERROR(__xludf.DUMMYFUNCTION("GOOGLETRANSLATE(F1542,""en"",""pt"")"),"poliestireno expandido (EPS) isolamento do grânulo")</f>
        <v>poliestireno expandido (EPS) isolamento do grânulo</v>
      </c>
      <c r="J1542" t="str">
        <f>VLOOKUP(A1542,Pr_Base_LNEC!$A$4:$J$6971,6,FALSE)</f>
        <v>-</v>
      </c>
      <c r="K1542">
        <f>VLOOKUP(A1542,Pr_Base_LNEC!$A$4:$J$6971,7,FALSE)</f>
        <v>0</v>
      </c>
    </row>
    <row r="1543" spans="1:11" ht="14.5">
      <c r="A1543" s="20" t="s">
        <v>17610</v>
      </c>
      <c r="B1543" s="20">
        <v>25</v>
      </c>
      <c r="C1543" s="20">
        <v>31</v>
      </c>
      <c r="D1543" s="20">
        <v>48</v>
      </c>
      <c r="E1543" s="20">
        <v>34</v>
      </c>
      <c r="F1543" s="20" t="s">
        <v>17611</v>
      </c>
      <c r="G1543" s="20" t="s">
        <v>17612</v>
      </c>
      <c r="H1543" s="24"/>
      <c r="I1543" s="24" t="str">
        <f ca="1">IFERROR(__xludf.DUMMYFUNCTION("GOOGLETRANSLATE(F1543,""en"",""pt"")"),"isolamento de lã mineral granular")</f>
        <v>isolamento de lã mineral granular</v>
      </c>
      <c r="J1543" t="str">
        <f>VLOOKUP(A1543,Pr_Base_LNEC!$A$4:$J$6971,6,FALSE)</f>
        <v>-</v>
      </c>
      <c r="K1543">
        <f>VLOOKUP(A1543,Pr_Base_LNEC!$A$4:$J$6971,7,FALSE)</f>
        <v>0</v>
      </c>
    </row>
    <row r="1544" spans="1:11" ht="14.5">
      <c r="A1544" s="20" t="s">
        <v>17613</v>
      </c>
      <c r="B1544" s="20">
        <v>25</v>
      </c>
      <c r="C1544" s="20">
        <v>31</v>
      </c>
      <c r="D1544" s="20">
        <v>48</v>
      </c>
      <c r="E1544" s="20">
        <v>61</v>
      </c>
      <c r="F1544" s="20" t="s">
        <v>17614</v>
      </c>
      <c r="G1544" s="20" t="s">
        <v>17615</v>
      </c>
      <c r="H1544" s="24"/>
      <c r="I1544" s="24" t="str">
        <f ca="1">IFERROR(__xludf.DUMMYFUNCTION("GOOGLETRANSLATE(F1544,""en"",""pt"")"),"isolamento solto perlite")</f>
        <v>isolamento solto perlite</v>
      </c>
      <c r="J1544" t="str">
        <f>VLOOKUP(A1544,Pr_Base_LNEC!$A$4:$J$6971,6,FALSE)</f>
        <v>-</v>
      </c>
      <c r="K1544">
        <f>VLOOKUP(A1544,Pr_Base_LNEC!$A$4:$J$6971,7,FALSE)</f>
        <v>0</v>
      </c>
    </row>
    <row r="1545" spans="1:11" ht="14.5">
      <c r="A1545" s="20" t="s">
        <v>17616</v>
      </c>
      <c r="B1545" s="20">
        <v>25</v>
      </c>
      <c r="C1545" s="20">
        <v>31</v>
      </c>
      <c r="D1545" s="20">
        <v>48</v>
      </c>
      <c r="E1545" s="20">
        <v>66</v>
      </c>
      <c r="F1545" s="20" t="s">
        <v>17617</v>
      </c>
      <c r="G1545" s="24"/>
      <c r="H1545" s="24"/>
      <c r="I1545" s="24" t="str">
        <f ca="1">IFERROR(__xludf.DUMMYFUNCTION("GOOGLETRANSLATE(F1545,""en"",""pt"")"),"Poliuretano (PUR) isolamento de espuma de chip")</f>
        <v>Poliuretano (PUR) isolamento de espuma de chip</v>
      </c>
      <c r="J1545" t="str">
        <f>VLOOKUP(A1545,Pr_Base_LNEC!$A$4:$J$6971,6,FALSE)</f>
        <v>-</v>
      </c>
      <c r="K1545">
        <f>VLOOKUP(A1545,Pr_Base_LNEC!$A$4:$J$6971,7,FALSE)</f>
        <v>0</v>
      </c>
    </row>
    <row r="1546" spans="1:11" ht="14.5">
      <c r="A1546" s="20" t="s">
        <v>17618</v>
      </c>
      <c r="B1546" s="20">
        <v>25</v>
      </c>
      <c r="C1546" s="20">
        <v>31</v>
      </c>
      <c r="D1546" s="20">
        <v>48</v>
      </c>
      <c r="E1546" s="20">
        <v>71</v>
      </c>
      <c r="F1546" s="20" t="s">
        <v>17619</v>
      </c>
      <c r="G1546" s="24"/>
      <c r="H1546" s="24"/>
      <c r="I1546" s="24" t="str">
        <f ca="1">IFERROR(__xludf.DUMMYFUNCTION("GOOGLETRANSLATE(F1546,""en"",""pt"")"),"papel reciclado isolamento solto")</f>
        <v>papel reciclado isolamento solto</v>
      </c>
      <c r="J1546" t="str">
        <f>VLOOKUP(A1546,Pr_Base_LNEC!$A$4:$J$6971,6,FALSE)</f>
        <v>-</v>
      </c>
      <c r="K1546">
        <f>VLOOKUP(A1546,Pr_Base_LNEC!$A$4:$J$6971,7,FALSE)</f>
        <v>0</v>
      </c>
    </row>
    <row r="1547" spans="1:11" ht="14.5">
      <c r="A1547" s="20" t="s">
        <v>17620</v>
      </c>
      <c r="B1547" s="20">
        <v>25</v>
      </c>
      <c r="C1547" s="20">
        <v>31</v>
      </c>
      <c r="D1547" s="20">
        <v>48</v>
      </c>
      <c r="E1547" s="20">
        <v>76</v>
      </c>
      <c r="F1547" s="20" t="s">
        <v>17621</v>
      </c>
      <c r="G1547" s="24"/>
      <c r="H1547" s="24"/>
      <c r="I1547" s="24" t="str">
        <f ca="1">IFERROR(__xludf.DUMMYFUNCTION("GOOGLETRANSLATE(F1547,""en"",""pt"")"),"Mar grama isolamento solto")</f>
        <v>Mar grama isolamento solto</v>
      </c>
      <c r="J1547" t="str">
        <f>VLOOKUP(A1547,Pr_Base_LNEC!$A$4:$J$6971,6,FALSE)</f>
        <v>-</v>
      </c>
      <c r="K1547">
        <f>VLOOKUP(A1547,Pr_Base_LNEC!$A$4:$J$6971,7,FALSE)</f>
        <v>0</v>
      </c>
    </row>
    <row r="1548" spans="1:11" ht="14.5">
      <c r="A1548" s="20" t="s">
        <v>17622</v>
      </c>
      <c r="B1548" s="20">
        <v>25</v>
      </c>
      <c r="C1548" s="20">
        <v>31</v>
      </c>
      <c r="D1548" s="20">
        <v>48</v>
      </c>
      <c r="E1548" s="20">
        <v>94</v>
      </c>
      <c r="F1548" s="20" t="s">
        <v>17623</v>
      </c>
      <c r="G1548" s="20" t="s">
        <v>17624</v>
      </c>
      <c r="H1548" s="24"/>
      <c r="I1548" s="24" t="str">
        <f ca="1">IFERROR(__xludf.DUMMYFUNCTION("GOOGLETRANSLATE(F1548,""en"",""pt"")"),"Vermiculite isolamento solto")</f>
        <v>Vermiculite isolamento solto</v>
      </c>
      <c r="J1548" t="str">
        <f>VLOOKUP(A1548,Pr_Base_LNEC!$A$4:$J$6971,6,FALSE)</f>
        <v>-</v>
      </c>
      <c r="K1548">
        <f>VLOOKUP(A1548,Pr_Base_LNEC!$A$4:$J$6971,7,FALSE)</f>
        <v>0</v>
      </c>
    </row>
    <row r="1549" spans="1:11" ht="14.5">
      <c r="A1549" s="20" t="s">
        <v>17625</v>
      </c>
      <c r="B1549" s="20">
        <v>25</v>
      </c>
      <c r="C1549" s="20">
        <v>57</v>
      </c>
      <c r="D1549" s="24"/>
      <c r="E1549" s="24"/>
      <c r="F1549" s="20" t="s">
        <v>17626</v>
      </c>
      <c r="G1549" s="24"/>
      <c r="H1549" s="24"/>
      <c r="I1549" s="24" t="str">
        <f ca="1">IFERROR(__xludf.DUMMYFUNCTION("GOOGLETRANSLATE(F1549,""en"",""pt"")"),"folha, esteira e produtos tira não rígidas de pele")</f>
        <v>folha, esteira e produtos tira não rígidas de pele</v>
      </c>
      <c r="J1549" t="str">
        <f>VLOOKUP(A1549,Pr_Base_LNEC!$A$4:$J$6971,6,FALSE)</f>
        <v>Produtos não Rígidos: Placas, Paineis, Chapas</v>
      </c>
      <c r="K1549">
        <f>VLOOKUP(A1549,Pr_Base_LNEC!$A$4:$J$6971,7,FALSE)</f>
        <v>0</v>
      </c>
    </row>
    <row r="1550" spans="1:11" ht="14.5">
      <c r="A1550" s="20" t="s">
        <v>17627</v>
      </c>
      <c r="B1550" s="20">
        <v>25</v>
      </c>
      <c r="C1550" s="20">
        <v>57</v>
      </c>
      <c r="D1550" s="20">
        <v>6</v>
      </c>
      <c r="E1550" s="24"/>
      <c r="F1550" s="20" t="s">
        <v>17628</v>
      </c>
      <c r="G1550" s="24"/>
      <c r="H1550" s="24"/>
      <c r="I1550" s="24" t="str">
        <f ca="1">IFERROR(__xludf.DUMMYFUNCTION("GOOGLETRANSLATE(F1550,""en"",""pt"")"),"Batt e produtos quilt")</f>
        <v>Batt e produtos quilt</v>
      </c>
      <c r="J1550" t="str">
        <f>VLOOKUP(A1550,Pr_Base_LNEC!$A$4:$J$6971,6,FALSE)</f>
        <v>a</v>
      </c>
      <c r="K1550">
        <f>VLOOKUP(A1550,Pr_Base_LNEC!$A$4:$J$6971,7,FALSE)</f>
        <v>0</v>
      </c>
    </row>
    <row r="1551" spans="1:11" ht="14.5">
      <c r="A1551" s="20" t="s">
        <v>17629</v>
      </c>
      <c r="B1551" s="20">
        <v>25</v>
      </c>
      <c r="C1551" s="20">
        <v>57</v>
      </c>
      <c r="D1551" s="20">
        <v>6</v>
      </c>
      <c r="E1551" s="20">
        <v>2</v>
      </c>
      <c r="F1551" s="20" t="s">
        <v>17630</v>
      </c>
      <c r="G1551" s="20" t="s">
        <v>17631</v>
      </c>
      <c r="H1551" s="24"/>
      <c r="I1551" s="24" t="str">
        <f ca="1">IFERROR(__xludf.DUMMYFUNCTION("GOOGLETRANSLATE(F1551,""en"",""pt"")"),"Aerogel isolamento cobertor")</f>
        <v>Aerogel isolamento cobertor</v>
      </c>
      <c r="J1551" t="str">
        <f>VLOOKUP(A1551,Pr_Base_LNEC!$A$4:$J$6971,6,FALSE)</f>
        <v>-</v>
      </c>
      <c r="K1551">
        <f>VLOOKUP(A1551,Pr_Base_LNEC!$A$4:$J$6971,7,FALSE)</f>
        <v>0</v>
      </c>
    </row>
    <row r="1552" spans="1:11" ht="14.5">
      <c r="A1552" s="20" t="s">
        <v>17632</v>
      </c>
      <c r="B1552" s="20">
        <v>25</v>
      </c>
      <c r="C1552" s="20">
        <v>57</v>
      </c>
      <c r="D1552" s="20">
        <v>6</v>
      </c>
      <c r="E1552" s="20">
        <v>15</v>
      </c>
      <c r="F1552" s="20" t="s">
        <v>17633</v>
      </c>
      <c r="G1552" s="20" t="s">
        <v>17634</v>
      </c>
      <c r="H1552" s="24"/>
      <c r="I1552" s="24" t="str">
        <f ca="1">IFERROR(__xludf.DUMMYFUNCTION("GOOGLETRANSLATE(F1552,""en"",""pt"")"),"Algodão de isolamento fibra de manta")</f>
        <v>Algodão de isolamento fibra de manta</v>
      </c>
      <c r="J1552" t="str">
        <f>VLOOKUP(A1552,Pr_Base_LNEC!$A$4:$J$6971,6,FALSE)</f>
        <v>-</v>
      </c>
      <c r="K1552">
        <f>VLOOKUP(A1552,Pr_Base_LNEC!$A$4:$J$6971,7,FALSE)</f>
        <v>0</v>
      </c>
    </row>
    <row r="1553" spans="1:11" ht="14.5">
      <c r="A1553" s="20" t="s">
        <v>17635</v>
      </c>
      <c r="B1553" s="20">
        <v>25</v>
      </c>
      <c r="C1553" s="20">
        <v>57</v>
      </c>
      <c r="D1553" s="20">
        <v>6</v>
      </c>
      <c r="E1553" s="20">
        <v>28</v>
      </c>
      <c r="F1553" s="20" t="s">
        <v>17636</v>
      </c>
      <c r="G1553" s="20" t="s">
        <v>17637</v>
      </c>
      <c r="H1553" s="24"/>
      <c r="I1553" s="24" t="str">
        <f ca="1">IFERROR(__xludf.DUMMYFUNCTION("GOOGLETRANSLATE(F1553,""en"",""pt"")"),"isolamento de suporte de feltro")</f>
        <v>isolamento de suporte de feltro</v>
      </c>
      <c r="J1553" t="str">
        <f>VLOOKUP(A1553,Pr_Base_LNEC!$A$4:$J$6971,6,FALSE)</f>
        <v>-</v>
      </c>
      <c r="K1553">
        <f>VLOOKUP(A1553,Pr_Base_LNEC!$A$4:$J$6971,7,FALSE)</f>
        <v>0</v>
      </c>
    </row>
    <row r="1554" spans="1:11" ht="14.5">
      <c r="A1554" s="20" t="s">
        <v>17638</v>
      </c>
      <c r="B1554" s="20">
        <v>25</v>
      </c>
      <c r="C1554" s="20">
        <v>57</v>
      </c>
      <c r="D1554" s="20">
        <v>6</v>
      </c>
      <c r="E1554" s="20">
        <v>30</v>
      </c>
      <c r="F1554" s="20" t="s">
        <v>17639</v>
      </c>
      <c r="G1554" s="20" t="s">
        <v>17640</v>
      </c>
      <c r="H1554" s="24"/>
      <c r="I1554" s="24" t="str">
        <f ca="1">IFERROR(__xludf.DUMMYFUNCTION("GOOGLETRANSLATE(F1554,""en"",""pt"")"),"isolamento de manta de lã de vidro flexível")</f>
        <v>isolamento de manta de lã de vidro flexível</v>
      </c>
      <c r="J1554" t="str">
        <f>VLOOKUP(A1554,Pr_Base_LNEC!$A$4:$J$6971,6,FALSE)</f>
        <v>-</v>
      </c>
      <c r="K1554">
        <f>VLOOKUP(A1554,Pr_Base_LNEC!$A$4:$J$6971,7,FALSE)</f>
        <v>0</v>
      </c>
    </row>
    <row r="1555" spans="1:11" ht="14.5">
      <c r="A1555" s="20" t="s">
        <v>17641</v>
      </c>
      <c r="B1555" s="20">
        <v>25</v>
      </c>
      <c r="C1555" s="20">
        <v>57</v>
      </c>
      <c r="D1555" s="20">
        <v>6</v>
      </c>
      <c r="E1555" s="20">
        <v>31</v>
      </c>
      <c r="F1555" s="20" t="s">
        <v>17642</v>
      </c>
      <c r="G1555" s="20" t="s">
        <v>17643</v>
      </c>
      <c r="H1555" s="24"/>
      <c r="I1555" s="24" t="str">
        <f ca="1">IFERROR(__xludf.DUMMYFUNCTION("GOOGLETRANSLATE(F1555,""en"",""pt"")"),"rocha flexível isolamento esteira de lã")</f>
        <v>rocha flexível isolamento esteira de lã</v>
      </c>
      <c r="J1555" t="str">
        <f>VLOOKUP(A1555,Pr_Base_LNEC!$A$4:$J$6971,6,FALSE)</f>
        <v>a</v>
      </c>
      <c r="K1555" t="str">
        <f>VLOOKUP(A1555,Pr_Base_LNEC!$A$4:$J$6971,7,FALSE)</f>
        <v>EN 13162:2012+A1:2015
 Produtos de isolamento térmico para aplicação em edifícios — Produtos manufaturados de lã mineral (MW) — Especificação Especificação</v>
      </c>
    </row>
    <row r="1556" spans="1:11" ht="14.5">
      <c r="A1556" s="20" t="s">
        <v>17644</v>
      </c>
      <c r="B1556" s="20">
        <v>25</v>
      </c>
      <c r="C1556" s="20">
        <v>57</v>
      </c>
      <c r="D1556" s="20">
        <v>6</v>
      </c>
      <c r="E1556" s="20">
        <v>32</v>
      </c>
      <c r="F1556" s="20" t="s">
        <v>17645</v>
      </c>
      <c r="G1556" s="24"/>
      <c r="H1556" s="24"/>
      <c r="I1556" s="24" t="str">
        <f ca="1">IFERROR(__xludf.DUMMYFUNCTION("GOOGLETRANSLATE(F1556,""en"",""pt"")"),"Formou-se isolamento de papel reciclado")</f>
        <v>Formou-se isolamento de papel reciclado</v>
      </c>
      <c r="J1556" t="str">
        <f>VLOOKUP(A1556,Pr_Base_LNEC!$A$4:$J$6971,6,FALSE)</f>
        <v>-</v>
      </c>
      <c r="K1556">
        <f>VLOOKUP(A1556,Pr_Base_LNEC!$A$4:$J$6971,7,FALSE)</f>
        <v>0</v>
      </c>
    </row>
    <row r="1557" spans="1:11" ht="14.5">
      <c r="A1557" s="20" t="s">
        <v>17646</v>
      </c>
      <c r="B1557" s="20">
        <v>25</v>
      </c>
      <c r="C1557" s="20">
        <v>57</v>
      </c>
      <c r="D1557" s="20">
        <v>6</v>
      </c>
      <c r="E1557" s="20">
        <v>34</v>
      </c>
      <c r="F1557" s="20" t="s">
        <v>17647</v>
      </c>
      <c r="G1557" s="20" t="s">
        <v>17648</v>
      </c>
      <c r="H1557" s="24"/>
      <c r="I1557" s="24" t="str">
        <f ca="1">IFERROR(__xludf.DUMMYFUNCTION("GOOGLETRANSLATE(F1557,""en"",""pt"")"),"isolamento de fibra de vidro")</f>
        <v>isolamento de fibra de vidro</v>
      </c>
      <c r="J1557" t="str">
        <f>VLOOKUP(A1557,Pr_Base_LNEC!$A$4:$J$6971,6,FALSE)</f>
        <v>a</v>
      </c>
      <c r="K1557" t="str">
        <f>VLOOKUP(A1557,Pr_Base_LNEC!$A$4:$J$6971,7,FALSE)</f>
        <v>EN 13162:2012+A1:2015
 Produtos de isolamento térmico para aplicação em edifícios — Produtos manufaturados de lã mineral (MW) — Especificação Especificação</v>
      </c>
    </row>
    <row r="1558" spans="1:11" ht="14.5">
      <c r="A1558" s="20" t="s">
        <v>17649</v>
      </c>
      <c r="B1558" s="20">
        <v>25</v>
      </c>
      <c r="C1558" s="20">
        <v>57</v>
      </c>
      <c r="D1558" s="20">
        <v>6</v>
      </c>
      <c r="E1558" s="20">
        <v>37</v>
      </c>
      <c r="F1558" s="20" t="s">
        <v>17650</v>
      </c>
      <c r="G1558" s="20" t="s">
        <v>17651</v>
      </c>
      <c r="H1558" s="24"/>
      <c r="I1558" s="24" t="str">
        <f ca="1">IFERROR(__xludf.DUMMYFUNCTION("GOOGLETRANSLATE(F1558,""en"",""pt"")"),"isolamento de fibra de cânhamo")</f>
        <v>isolamento de fibra de cânhamo</v>
      </c>
      <c r="J1558" t="str">
        <f>VLOOKUP(A1558,Pr_Base_LNEC!$A$4:$J$6971,6,FALSE)</f>
        <v>-</v>
      </c>
      <c r="K1558">
        <f>VLOOKUP(A1558,Pr_Base_LNEC!$A$4:$J$6971,7,FALSE)</f>
        <v>0</v>
      </c>
    </row>
    <row r="1559" spans="1:11" ht="14.5">
      <c r="A1559" s="20" t="s">
        <v>17652</v>
      </c>
      <c r="B1559" s="20">
        <v>25</v>
      </c>
      <c r="C1559" s="20">
        <v>57</v>
      </c>
      <c r="D1559" s="20">
        <v>6</v>
      </c>
      <c r="E1559" s="20">
        <v>47</v>
      </c>
      <c r="F1559" s="20" t="s">
        <v>17653</v>
      </c>
      <c r="G1559" s="20" t="s">
        <v>17654</v>
      </c>
      <c r="H1559" s="24"/>
      <c r="I1559" s="24" t="str">
        <f ca="1">IFERROR(__xludf.DUMMYFUNCTION("GOOGLETRANSLATE(F1559,""en"",""pt"")"),"carro elevador mantas de proteção")</f>
        <v>carro elevador mantas de proteção</v>
      </c>
      <c r="J1559" t="str">
        <f>VLOOKUP(A1559,Pr_Base_LNEC!$A$4:$J$6971,6,FALSE)</f>
        <v>-</v>
      </c>
      <c r="K1559">
        <f>VLOOKUP(A1559,Pr_Base_LNEC!$A$4:$J$6971,7,FALSE)</f>
        <v>0</v>
      </c>
    </row>
    <row r="1560" spans="1:11" ht="14.5">
      <c r="A1560" s="20" t="s">
        <v>17655</v>
      </c>
      <c r="B1560" s="20">
        <v>25</v>
      </c>
      <c r="C1560" s="20">
        <v>57</v>
      </c>
      <c r="D1560" s="20">
        <v>6</v>
      </c>
      <c r="E1560" s="20">
        <v>50</v>
      </c>
      <c r="F1560" s="20" t="s">
        <v>17656</v>
      </c>
      <c r="G1560" s="20" t="s">
        <v>17657</v>
      </c>
      <c r="H1560" s="24"/>
      <c r="I1560" s="24" t="str">
        <f ca="1">IFERROR(__xludf.DUMMYFUNCTION("GOOGLETRANSLATE(F1560,""en"",""pt"")"),"Isolamento de fibra mineral laje")</f>
        <v>Isolamento de fibra mineral laje</v>
      </c>
      <c r="J1560" t="str">
        <f>VLOOKUP(A1560,Pr_Base_LNEC!$A$4:$J$6971,6,FALSE)</f>
        <v>-</v>
      </c>
      <c r="K1560">
        <f>VLOOKUP(A1560,Pr_Base_LNEC!$A$4:$J$6971,7,FALSE)</f>
        <v>0</v>
      </c>
    </row>
    <row r="1561" spans="1:11" ht="14.5">
      <c r="A1561" s="20" t="s">
        <v>17658</v>
      </c>
      <c r="B1561" s="20">
        <v>25</v>
      </c>
      <c r="C1561" s="20">
        <v>57</v>
      </c>
      <c r="D1561" s="20">
        <v>6</v>
      </c>
      <c r="E1561" s="20">
        <v>51</v>
      </c>
      <c r="F1561" s="20" t="s">
        <v>17659</v>
      </c>
      <c r="G1561" s="20" t="s">
        <v>17660</v>
      </c>
      <c r="H1561" s="24"/>
      <c r="I1561" s="24" t="str">
        <f ca="1">IFERROR(__xludf.DUMMYFUNCTION("GOOGLETRANSLATE(F1561,""en"",""pt"")"),"isolamento de fibra de lã mineral")</f>
        <v>isolamento de fibra de lã mineral</v>
      </c>
      <c r="J1561" t="str">
        <f>VLOOKUP(A1561,Pr_Base_LNEC!$A$4:$J$6971,6,FALSE)</f>
        <v>-</v>
      </c>
      <c r="K1561">
        <f>VLOOKUP(A1561,Pr_Base_LNEC!$A$4:$J$6971,7,FALSE)</f>
        <v>0</v>
      </c>
    </row>
    <row r="1562" spans="1:11" ht="14.5">
      <c r="A1562" s="20" t="s">
        <v>17661</v>
      </c>
      <c r="B1562" s="20">
        <v>25</v>
      </c>
      <c r="C1562" s="20">
        <v>57</v>
      </c>
      <c r="D1562" s="20">
        <v>6</v>
      </c>
      <c r="E1562" s="20">
        <v>52</v>
      </c>
      <c r="F1562" s="20" t="s">
        <v>17662</v>
      </c>
      <c r="G1562" s="24"/>
      <c r="H1562" s="24"/>
      <c r="I1562" s="24" t="str">
        <f ca="1">IFERROR(__xludf.DUMMYFUNCTION("GOOGLETRANSLATE(F1562,""en"",""pt"")"),"lã mineral de isolamento flexível")</f>
        <v>lã mineral de isolamento flexível</v>
      </c>
      <c r="J1562" t="str">
        <f>VLOOKUP(A1562,Pr_Base_LNEC!$A$4:$J$6971,6,FALSE)</f>
        <v>-</v>
      </c>
      <c r="K1562">
        <f>VLOOKUP(A1562,Pr_Base_LNEC!$A$4:$J$6971,7,FALSE)</f>
        <v>0</v>
      </c>
    </row>
    <row r="1563" spans="1:11" ht="14.5">
      <c r="A1563" s="20" t="s">
        <v>17663</v>
      </c>
      <c r="B1563" s="20">
        <v>25</v>
      </c>
      <c r="C1563" s="20">
        <v>57</v>
      </c>
      <c r="D1563" s="20">
        <v>6</v>
      </c>
      <c r="E1563" s="20">
        <v>53</v>
      </c>
      <c r="F1563" s="20" t="s">
        <v>17664</v>
      </c>
      <c r="G1563" s="20" t="s">
        <v>17665</v>
      </c>
      <c r="H1563" s="24"/>
      <c r="I1563" s="24" t="str">
        <f ca="1">IFERROR(__xludf.DUMMYFUNCTION("GOOGLETRANSLATE(F1563,""en"",""pt"")"),"isolamento de lã mineral")</f>
        <v>isolamento de lã mineral</v>
      </c>
      <c r="J1563" t="str">
        <f>VLOOKUP(A1563,Pr_Base_LNEC!$A$4:$J$6971,6,FALSE)</f>
        <v>-</v>
      </c>
      <c r="K1563">
        <f>VLOOKUP(A1563,Pr_Base_LNEC!$A$4:$J$6971,7,FALSE)</f>
        <v>0</v>
      </c>
    </row>
    <row r="1564" spans="1:11" ht="14.5">
      <c r="A1564" s="20" t="s">
        <v>17666</v>
      </c>
      <c r="B1564" s="20">
        <v>25</v>
      </c>
      <c r="C1564" s="20">
        <v>57</v>
      </c>
      <c r="D1564" s="20">
        <v>6</v>
      </c>
      <c r="E1564" s="20">
        <v>54</v>
      </c>
      <c r="F1564" s="20" t="s">
        <v>17667</v>
      </c>
      <c r="G1564" s="20" t="s">
        <v>17668</v>
      </c>
      <c r="H1564" s="24"/>
      <c r="I1564" s="24" t="str">
        <f ca="1">IFERROR(__xludf.DUMMYFUNCTION("GOOGLETRANSLATE(F1564,""en"",""pt"")"),"lã mineral de isolamento de som camada resiliente")</f>
        <v>lã mineral de isolamento de som camada resiliente</v>
      </c>
      <c r="J1564" t="str">
        <f>VLOOKUP(A1564,Pr_Base_LNEC!$A$4:$J$6971,6,FALSE)</f>
        <v>-</v>
      </c>
      <c r="K1564">
        <f>VLOOKUP(A1564,Pr_Base_LNEC!$A$4:$J$6971,7,FALSE)</f>
        <v>0</v>
      </c>
    </row>
    <row r="1565" spans="1:11" ht="14.5">
      <c r="A1565" s="20" t="s">
        <v>17669</v>
      </c>
      <c r="B1565" s="20">
        <v>25</v>
      </c>
      <c r="C1565" s="20">
        <v>57</v>
      </c>
      <c r="D1565" s="20">
        <v>6</v>
      </c>
      <c r="E1565" s="20">
        <v>55</v>
      </c>
      <c r="F1565" s="20" t="s">
        <v>17670</v>
      </c>
      <c r="G1565" s="20" t="s">
        <v>17671</v>
      </c>
      <c r="H1565" s="24"/>
      <c r="I1565" s="24" t="str">
        <f ca="1">IFERROR(__xludf.DUMMYFUNCTION("GOOGLETRANSLATE(F1565,""en"",""pt"")"),"lã mineral de isolamento de som tira resiliente")</f>
        <v>lã mineral de isolamento de som tira resiliente</v>
      </c>
      <c r="J1565" t="str">
        <f>VLOOKUP(A1565,Pr_Base_LNEC!$A$4:$J$6971,6,FALSE)</f>
        <v>-</v>
      </c>
      <c r="K1565">
        <f>VLOOKUP(A1565,Pr_Base_LNEC!$A$4:$J$6971,7,FALSE)</f>
        <v>0</v>
      </c>
    </row>
    <row r="1566" spans="1:11" ht="14.5">
      <c r="A1566" s="20" t="s">
        <v>17672</v>
      </c>
      <c r="B1566" s="20">
        <v>25</v>
      </c>
      <c r="C1566" s="20">
        <v>57</v>
      </c>
      <c r="D1566" s="20">
        <v>6</v>
      </c>
      <c r="E1566" s="20">
        <v>56</v>
      </c>
      <c r="F1566" s="20" t="s">
        <v>17673</v>
      </c>
      <c r="G1566" s="20" t="s">
        <v>17674</v>
      </c>
      <c r="H1566" s="24"/>
      <c r="I1566" s="24" t="str">
        <f ca="1">IFERROR(__xludf.DUMMYFUNCTION("GOOGLETRANSLATE(F1566,""en"",""pt"")"),"isolamento laje de lã mineral")</f>
        <v>isolamento laje de lã mineral</v>
      </c>
      <c r="J1566" t="str">
        <f>VLOOKUP(A1566,Pr_Base_LNEC!$A$4:$J$6971,6,FALSE)</f>
        <v>a</v>
      </c>
      <c r="K1566" t="str">
        <f>VLOOKUP(A1566,Pr_Base_LNEC!$A$4:$J$6971,7,FALSE)</f>
        <v>EN 14064-1:2010
 Produtos de isolamento térmico para equipamento de edifícios — Isolamento térmico produzido em obra à base de lã mineral (MW) — Parte 1: Especificação dos produtos a granel antes da aplicação em obra</v>
      </c>
    </row>
    <row r="1567" spans="1:11" ht="14.5">
      <c r="A1567" s="20" t="s">
        <v>17675</v>
      </c>
      <c r="B1567" s="20">
        <v>25</v>
      </c>
      <c r="C1567" s="20">
        <v>57</v>
      </c>
      <c r="D1567" s="20">
        <v>6</v>
      </c>
      <c r="E1567" s="20">
        <v>57</v>
      </c>
      <c r="F1567" s="20" t="s">
        <v>17676</v>
      </c>
      <c r="G1567" s="20" t="s">
        <v>17677</v>
      </c>
      <c r="H1567" s="24"/>
      <c r="I1567" s="24" t="str">
        <f ca="1">IFERROR(__xludf.DUMMYFUNCTION("GOOGLETRANSLATE(F1567,""en"",""pt"")"),"Multifoil isolamento cobertor")</f>
        <v>Multifoil isolamento cobertor</v>
      </c>
      <c r="J1567" t="str">
        <f>VLOOKUP(A1567,Pr_Base_LNEC!$A$4:$J$6971,6,FALSE)</f>
        <v>-</v>
      </c>
      <c r="K1567">
        <f>VLOOKUP(A1567,Pr_Base_LNEC!$A$4:$J$6971,7,FALSE)</f>
        <v>0</v>
      </c>
    </row>
    <row r="1568" spans="1:11" ht="14.5">
      <c r="A1568" s="20" t="s">
        <v>17678</v>
      </c>
      <c r="B1568" s="20">
        <v>25</v>
      </c>
      <c r="C1568" s="20">
        <v>57</v>
      </c>
      <c r="D1568" s="20">
        <v>6</v>
      </c>
      <c r="E1568" s="20">
        <v>70</v>
      </c>
      <c r="F1568" s="20" t="s">
        <v>17679</v>
      </c>
      <c r="G1568" s="24"/>
      <c r="H1568" s="24"/>
      <c r="I1568" s="24" t="str">
        <f ca="1">IFERROR(__xludf.DUMMYFUNCTION("GOOGLETRANSLATE(F1568,""en"",""pt"")"),"isolamento folha reflectora")</f>
        <v>isolamento folha reflectora</v>
      </c>
      <c r="J1568" t="e">
        <f>VLOOKUP(A1568,Pr_Base_LNEC!$A$4:$J$6971,6,FALSE)</f>
        <v>#N/A</v>
      </c>
      <c r="K1568" t="e">
        <f>VLOOKUP(A1568,Pr_Base_LNEC!$A$4:$J$6971,7,FALSE)</f>
        <v>#N/A</v>
      </c>
    </row>
    <row r="1569" spans="1:11" ht="14.5">
      <c r="A1569" s="20" t="s">
        <v>17680</v>
      </c>
      <c r="B1569" s="20">
        <v>25</v>
      </c>
      <c r="C1569" s="20">
        <v>57</v>
      </c>
      <c r="D1569" s="20">
        <v>6</v>
      </c>
      <c r="E1569" s="20">
        <v>71</v>
      </c>
      <c r="F1569" s="20" t="s">
        <v>17681</v>
      </c>
      <c r="G1569" s="20" t="s">
        <v>17682</v>
      </c>
      <c r="H1569" s="24"/>
      <c r="I1569" s="24" t="str">
        <f ca="1">IFERROR(__xludf.DUMMYFUNCTION("GOOGLETRANSLATE(F1569,""en"",""pt"")"),"isolamento camada resiliente")</f>
        <v>isolamento camada resiliente</v>
      </c>
      <c r="J1569" t="str">
        <f>VLOOKUP(A1569,Pr_Base_LNEC!$A$4:$J$6971,6,FALSE)</f>
        <v>-</v>
      </c>
      <c r="K1569">
        <f>VLOOKUP(A1569,Pr_Base_LNEC!$A$4:$J$6971,7,FALSE)</f>
        <v>0</v>
      </c>
    </row>
    <row r="1570" spans="1:11" ht="14.5">
      <c r="A1570" s="20" t="s">
        <v>17683</v>
      </c>
      <c r="B1570" s="20">
        <v>25</v>
      </c>
      <c r="C1570" s="20">
        <v>57</v>
      </c>
      <c r="D1570" s="20">
        <v>6</v>
      </c>
      <c r="E1570" s="20">
        <v>76</v>
      </c>
      <c r="F1570" s="20" t="s">
        <v>17684</v>
      </c>
      <c r="G1570" s="20" t="s">
        <v>17685</v>
      </c>
      <c r="H1570" s="24"/>
      <c r="I1570" s="24" t="str">
        <f ca="1">IFERROR(__xludf.DUMMYFUNCTION("GOOGLETRANSLATE(F1570,""en"",""pt"")"),"isolamento de lã de ovelhas")</f>
        <v>isolamento de lã de ovelhas</v>
      </c>
      <c r="J1570" t="str">
        <f>VLOOKUP(A1570,Pr_Base_LNEC!$A$4:$J$6971,6,FALSE)</f>
        <v>-</v>
      </c>
      <c r="K1570">
        <f>VLOOKUP(A1570,Pr_Base_LNEC!$A$4:$J$6971,7,FALSE)</f>
        <v>0</v>
      </c>
    </row>
    <row r="1571" spans="1:11" ht="14.5">
      <c r="A1571" s="20" t="s">
        <v>17686</v>
      </c>
      <c r="B1571" s="20">
        <v>25</v>
      </c>
      <c r="C1571" s="20">
        <v>57</v>
      </c>
      <c r="D1571" s="20">
        <v>6</v>
      </c>
      <c r="E1571" s="20">
        <v>94</v>
      </c>
      <c r="F1571" s="20" t="s">
        <v>17687</v>
      </c>
      <c r="G1571" s="20" t="s">
        <v>17688</v>
      </c>
      <c r="H1571" s="24"/>
      <c r="I1571" s="24" t="str">
        <f ca="1">IFERROR(__xludf.DUMMYFUNCTION("GOOGLETRANSLATE(F1571,""en"",""pt"")"),"painéis isolados a vácuo")</f>
        <v>painéis isolados a vácuo</v>
      </c>
      <c r="J1571" t="str">
        <f>VLOOKUP(A1571,Pr_Base_LNEC!$A$4:$J$6971,6,FALSE)</f>
        <v>-</v>
      </c>
      <c r="K1571">
        <f>VLOOKUP(A1571,Pr_Base_LNEC!$A$4:$J$6971,7,FALSE)</f>
        <v>0</v>
      </c>
    </row>
    <row r="1572" spans="1:11" ht="14.5">
      <c r="A1572" s="20" t="s">
        <v>17689</v>
      </c>
      <c r="B1572" s="20">
        <v>25</v>
      </c>
      <c r="C1572" s="20">
        <v>57</v>
      </c>
      <c r="D1572" s="20">
        <v>6</v>
      </c>
      <c r="E1572" s="20">
        <v>97</v>
      </c>
      <c r="F1572" s="20" t="s">
        <v>17690</v>
      </c>
      <c r="G1572" s="20" t="s">
        <v>17691</v>
      </c>
      <c r="H1572" s="24"/>
      <c r="I1572" s="24" t="str">
        <f ca="1">IFERROR(__xludf.DUMMYFUNCTION("GOOGLETRANSLATE(F1572,""en"",""pt"")"),"Madeira de isolamento fibra de manta")</f>
        <v>Madeira de isolamento fibra de manta</v>
      </c>
      <c r="J1572" t="str">
        <f>VLOOKUP(A1572,Pr_Base_LNEC!$A$4:$J$6971,6,FALSE)</f>
        <v>a</v>
      </c>
      <c r="K1572" t="str">
        <f>VLOOKUP(A1572,Pr_Base_LNEC!$A$4:$J$6971,7,FALSE)</f>
        <v>EN 13171:2012+A1:2015
 Produtos de isolamento térmico para aplicação em edifícios — Produtos manufaturados de fibra de madeira (WF) — Especificação Especificação</v>
      </c>
    </row>
    <row r="1573" spans="1:11" ht="14.5">
      <c r="A1573" s="20" t="s">
        <v>17692</v>
      </c>
      <c r="B1573" s="20">
        <v>25</v>
      </c>
      <c r="C1573" s="20">
        <v>57</v>
      </c>
      <c r="D1573" s="20">
        <v>8</v>
      </c>
      <c r="E1573" s="24"/>
      <c r="F1573" s="20" t="s">
        <v>17693</v>
      </c>
      <c r="G1573" s="24"/>
      <c r="H1573" s="24"/>
      <c r="I1573" s="24" t="str">
        <f ca="1">IFERROR(__xludf.DUMMYFUNCTION("GOOGLETRANSLATE(F1573,""en"",""pt"")"),"Base de betume membranas, folhas e tecidos")</f>
        <v>Base de betume membranas, folhas e tecidos</v>
      </c>
      <c r="J1573" t="str">
        <f>VLOOKUP(A1573,Pr_Base_LNEC!$A$4:$J$6971,6,FALSE)</f>
        <v>?</v>
      </c>
      <c r="K1573">
        <f>VLOOKUP(A1573,Pr_Base_LNEC!$A$4:$J$6971,7,FALSE)</f>
        <v>0</v>
      </c>
    </row>
    <row r="1574" spans="1:11" ht="14.5">
      <c r="A1574" s="20" t="s">
        <v>17694</v>
      </c>
      <c r="B1574" s="20">
        <v>25</v>
      </c>
      <c r="C1574" s="20">
        <v>57</v>
      </c>
      <c r="D1574" s="20">
        <v>8</v>
      </c>
      <c r="E1574" s="20">
        <v>8</v>
      </c>
      <c r="F1574" s="20" t="s">
        <v>17695</v>
      </c>
      <c r="G1574" s="20" t="s">
        <v>17696</v>
      </c>
      <c r="H1574" s="24"/>
      <c r="I1574" s="24" t="str">
        <f ca="1">IFERROR(__xludf.DUMMYFUNCTION("GOOGLETRANSLATE(F1574,""en"",""pt"")"),"betume folhas")</f>
        <v>betume folhas</v>
      </c>
      <c r="J1574" t="str">
        <f>VLOOKUP(A1574,Pr_Base_LNEC!$A$4:$J$6971,6,FALSE)</f>
        <v>-</v>
      </c>
      <c r="K1574">
        <f>VLOOKUP(A1574,Pr_Base_LNEC!$A$4:$J$6971,7,FALSE)</f>
        <v>0</v>
      </c>
    </row>
    <row r="1575" spans="1:11" ht="14.5">
      <c r="A1575" s="20" t="s">
        <v>17697</v>
      </c>
      <c r="B1575" s="20">
        <v>25</v>
      </c>
      <c r="C1575" s="20">
        <v>57</v>
      </c>
      <c r="D1575" s="20">
        <v>8</v>
      </c>
      <c r="E1575" s="20">
        <v>58</v>
      </c>
      <c r="F1575" s="20" t="s">
        <v>17698</v>
      </c>
      <c r="G1575" s="20" t="s">
        <v>17699</v>
      </c>
      <c r="H1575" s="24"/>
      <c r="I1575" s="24" t="str">
        <f ca="1">IFERROR(__xludf.DUMMYFUNCTION("GOOGLETRANSLATE(F1575,""en"",""pt"")"),"membranas de polímero de pitch")</f>
        <v>membranas de polímero de pitch</v>
      </c>
      <c r="J1575" t="str">
        <f>VLOOKUP(A1575,Pr_Base_LNEC!$A$4:$J$6971,6,FALSE)</f>
        <v>-</v>
      </c>
      <c r="K1575">
        <f>VLOOKUP(A1575,Pr_Base_LNEC!$A$4:$J$6971,7,FALSE)</f>
        <v>0</v>
      </c>
    </row>
    <row r="1576" spans="1:11" ht="14.5">
      <c r="A1576" s="20" t="s">
        <v>17700</v>
      </c>
      <c r="B1576" s="20">
        <v>25</v>
      </c>
      <c r="C1576" s="20">
        <v>57</v>
      </c>
      <c r="D1576" s="20">
        <v>8</v>
      </c>
      <c r="E1576" s="20">
        <v>71</v>
      </c>
      <c r="F1576" s="20" t="s">
        <v>17701</v>
      </c>
      <c r="G1576" s="20" t="s">
        <v>17702</v>
      </c>
      <c r="H1576" s="24"/>
      <c r="I1576" s="24" t="str">
        <f ca="1">IFERROR(__xludf.DUMMYFUNCTION("GOOGLETRANSLATE(F1576,""en"",""pt"")"),"betume reforçado Membrana forros perfurada")</f>
        <v>betume reforçado Membrana forros perfurada</v>
      </c>
      <c r="J1576" t="str">
        <f>VLOOKUP(A1576,Pr_Base_LNEC!$A$4:$J$6971,6,FALSE)</f>
        <v>-</v>
      </c>
      <c r="K1576">
        <f>VLOOKUP(A1576,Pr_Base_LNEC!$A$4:$J$6971,7,FALSE)</f>
        <v>0</v>
      </c>
    </row>
    <row r="1577" spans="1:11" ht="14.5">
      <c r="A1577" s="20" t="s">
        <v>17703</v>
      </c>
      <c r="B1577" s="20">
        <v>25</v>
      </c>
      <c r="C1577" s="20">
        <v>57</v>
      </c>
      <c r="D1577" s="20">
        <v>8</v>
      </c>
      <c r="E1577" s="20">
        <v>75</v>
      </c>
      <c r="F1577" s="20" t="s">
        <v>17704</v>
      </c>
      <c r="G1577" s="20" t="s">
        <v>17705</v>
      </c>
      <c r="H1577" s="24"/>
      <c r="I1577" s="24" t="str">
        <f ca="1">IFERROR(__xludf.DUMMYFUNCTION("GOOGLETRANSLATE(F1577,""en"",""pt"")"),"Betume reforçado com chapas de cobertura")</f>
        <v>Betume reforçado com chapas de cobertura</v>
      </c>
      <c r="J1577" t="str">
        <f>VLOOKUP(A1577,Pr_Base_LNEC!$A$4:$J$6971,6,FALSE)</f>
        <v>-</v>
      </c>
      <c r="K1577">
        <f>VLOOKUP(A1577,Pr_Base_LNEC!$A$4:$J$6971,7,FALSE)</f>
        <v>0</v>
      </c>
    </row>
    <row r="1578" spans="1:11" ht="14.5">
      <c r="A1578" s="20" t="s">
        <v>17706</v>
      </c>
      <c r="B1578" s="20">
        <v>25</v>
      </c>
      <c r="C1578" s="20">
        <v>57</v>
      </c>
      <c r="D1578" s="20">
        <v>10</v>
      </c>
      <c r="E1578" s="24"/>
      <c r="F1578" s="20" t="s">
        <v>17707</v>
      </c>
      <c r="G1578" s="24"/>
      <c r="H1578" s="24"/>
      <c r="I1578" s="24" t="str">
        <f ca="1">IFERROR(__xludf.DUMMYFUNCTION("GOOGLETRANSLATE(F1578,""en"",""pt"")"),"Construindo papéis e folhas permeáveis ​​vapor")</f>
        <v>Construindo papéis e folhas permeáveis ​​vapor</v>
      </c>
      <c r="J1578" t="str">
        <f>VLOOKUP(A1578,Pr_Base_LNEC!$A$4:$J$6971,6,FALSE)</f>
        <v>?</v>
      </c>
      <c r="K1578">
        <f>VLOOKUP(A1578,Pr_Base_LNEC!$A$4:$J$6971,7,FALSE)</f>
        <v>0</v>
      </c>
    </row>
    <row r="1579" spans="1:11" ht="14.5">
      <c r="A1579" s="20" t="s">
        <v>17708</v>
      </c>
      <c r="B1579" s="20">
        <v>25</v>
      </c>
      <c r="C1579" s="20">
        <v>57</v>
      </c>
      <c r="D1579" s="20">
        <v>10</v>
      </c>
      <c r="E1579" s="20">
        <v>4</v>
      </c>
      <c r="F1579" s="20" t="s">
        <v>17709</v>
      </c>
      <c r="G1579" s="24"/>
      <c r="H1579" s="24"/>
      <c r="I1579" s="24" t="str">
        <f ca="1">IFERROR(__xludf.DUMMYFUNCTION("GOOGLETRANSLATE(F1579,""en"",""pt"")"),"folha de alumínio / laminados de papel kraft")</f>
        <v>folha de alumínio / laminados de papel kraft</v>
      </c>
      <c r="J1579" t="str">
        <f>VLOOKUP(A1579,Pr_Base_LNEC!$A$4:$J$6971,6,FALSE)</f>
        <v>-</v>
      </c>
      <c r="K1579">
        <f>VLOOKUP(A1579,Pr_Base_LNEC!$A$4:$J$6971,7,FALSE)</f>
        <v>0</v>
      </c>
    </row>
    <row r="1580" spans="1:11" ht="14.5">
      <c r="A1580" s="20" t="s">
        <v>17710</v>
      </c>
      <c r="B1580" s="20">
        <v>25</v>
      </c>
      <c r="C1580" s="20">
        <v>57</v>
      </c>
      <c r="D1580" s="20">
        <v>10</v>
      </c>
      <c r="E1580" s="20">
        <v>8</v>
      </c>
      <c r="F1580" s="20" t="s">
        <v>17711</v>
      </c>
      <c r="G1580" s="24"/>
      <c r="H1580" s="24"/>
      <c r="I1580" s="24" t="str">
        <f ca="1">IFERROR(__xludf.DUMMYFUNCTION("GOOGLETRANSLATE(F1580,""en"",""pt"")"),"Betume papéis kraft ligados")</f>
        <v>Betume papéis kraft ligados</v>
      </c>
      <c r="J1580" t="str">
        <f>VLOOKUP(A1580,Pr_Base_LNEC!$A$4:$J$6971,6,FALSE)</f>
        <v>-</v>
      </c>
      <c r="K1580">
        <f>VLOOKUP(A1580,Pr_Base_LNEC!$A$4:$J$6971,7,FALSE)</f>
        <v>0</v>
      </c>
    </row>
    <row r="1581" spans="1:11" ht="14.5">
      <c r="A1581" s="20" t="s">
        <v>17712</v>
      </c>
      <c r="B1581" s="20">
        <v>25</v>
      </c>
      <c r="C1581" s="20">
        <v>57</v>
      </c>
      <c r="D1581" s="20">
        <v>10</v>
      </c>
      <c r="E1581" s="20">
        <v>9</v>
      </c>
      <c r="F1581" s="20" t="s">
        <v>17713</v>
      </c>
      <c r="G1581" s="20" t="s">
        <v>17714</v>
      </c>
      <c r="H1581" s="24"/>
      <c r="I1581" s="24" t="str">
        <f ca="1">IFERROR(__xludf.DUMMYFUNCTION("GOOGLETRANSLATE(F1581,""en"",""pt"")"),"construção de papéis")</f>
        <v>construção de papéis</v>
      </c>
      <c r="J1581" t="str">
        <f>VLOOKUP(A1581,Pr_Base_LNEC!$A$4:$J$6971,6,FALSE)</f>
        <v>-</v>
      </c>
      <c r="K1581">
        <f>VLOOKUP(A1581,Pr_Base_LNEC!$A$4:$J$6971,7,FALSE)</f>
        <v>0</v>
      </c>
    </row>
    <row r="1582" spans="1:11" ht="14.5">
      <c r="A1582" s="20" t="s">
        <v>17715</v>
      </c>
      <c r="B1582" s="20">
        <v>25</v>
      </c>
      <c r="C1582" s="20">
        <v>57</v>
      </c>
      <c r="D1582" s="20">
        <v>10</v>
      </c>
      <c r="E1582" s="20">
        <v>12</v>
      </c>
      <c r="F1582" s="20" t="s">
        <v>17716</v>
      </c>
      <c r="G1582" s="24"/>
      <c r="H1582" s="24"/>
      <c r="I1582" s="24" t="str">
        <f ca="1">IFERROR(__xludf.DUMMYFUNCTION("GOOGLETRANSLATE(F1582,""en"",""pt"")"),"papéis de construção à base de celulose")</f>
        <v>papéis de construção à base de celulose</v>
      </c>
      <c r="J1582" t="str">
        <f>VLOOKUP(A1582,Pr_Base_LNEC!$A$4:$J$6971,6,FALSE)</f>
        <v>-</v>
      </c>
      <c r="K1582">
        <f>VLOOKUP(A1582,Pr_Base_LNEC!$A$4:$J$6971,7,FALSE)</f>
        <v>0</v>
      </c>
    </row>
    <row r="1583" spans="1:11" ht="14.5">
      <c r="A1583" s="20" t="s">
        <v>17717</v>
      </c>
      <c r="B1583" s="20">
        <v>25</v>
      </c>
      <c r="C1583" s="20">
        <v>57</v>
      </c>
      <c r="D1583" s="20">
        <v>10</v>
      </c>
      <c r="E1583" s="20">
        <v>37</v>
      </c>
      <c r="F1583" s="20" t="s">
        <v>17718</v>
      </c>
      <c r="G1583" s="24"/>
      <c r="H1583" s="24"/>
      <c r="I1583" s="24" t="str">
        <f ca="1">IFERROR(__xludf.DUMMYFUNCTION("GOOGLETRANSLATE(F1583,""en"",""pt"")"),"O polietileno de alta densidade (PE-HD) de vapor de folhas permeáveis")</f>
        <v>O polietileno de alta densidade (PE-HD) de vapor de folhas permeáveis</v>
      </c>
      <c r="J1583" t="str">
        <f>VLOOKUP(A1583,Pr_Base_LNEC!$A$4:$J$6971,6,FALSE)</f>
        <v>-</v>
      </c>
      <c r="K1583">
        <f>VLOOKUP(A1583,Pr_Base_LNEC!$A$4:$J$6971,7,FALSE)</f>
        <v>0</v>
      </c>
    </row>
    <row r="1584" spans="1:11" ht="14.5">
      <c r="A1584" s="20" t="s">
        <v>17719</v>
      </c>
      <c r="B1584" s="20">
        <v>25</v>
      </c>
      <c r="C1584" s="20">
        <v>57</v>
      </c>
      <c r="D1584" s="20">
        <v>10</v>
      </c>
      <c r="E1584" s="20">
        <v>45</v>
      </c>
      <c r="F1584" s="20" t="s">
        <v>17720</v>
      </c>
      <c r="G1584" s="24"/>
      <c r="H1584" s="24"/>
      <c r="I1584" s="24" t="str">
        <f ca="1">IFERROR(__xludf.DUMMYFUNCTION("GOOGLETRANSLATE(F1584,""en"",""pt"")"),"papéis Kraft")</f>
        <v>papéis Kraft</v>
      </c>
      <c r="J1584" t="str">
        <f>VLOOKUP(A1584,Pr_Base_LNEC!$A$4:$J$6971,6,FALSE)</f>
        <v>-</v>
      </c>
      <c r="K1584">
        <f>VLOOKUP(A1584,Pr_Base_LNEC!$A$4:$J$6971,7,FALSE)</f>
        <v>0</v>
      </c>
    </row>
    <row r="1585" spans="1:11" ht="14.5">
      <c r="A1585" s="20" t="s">
        <v>17721</v>
      </c>
      <c r="B1585" s="20">
        <v>25</v>
      </c>
      <c r="C1585" s="20">
        <v>57</v>
      </c>
      <c r="D1585" s="20">
        <v>10</v>
      </c>
      <c r="E1585" s="20">
        <v>47</v>
      </c>
      <c r="F1585" s="20" t="s">
        <v>17722</v>
      </c>
      <c r="G1585" s="24"/>
      <c r="H1585" s="24"/>
      <c r="I1585" s="24" t="str">
        <f ca="1">IFERROR(__xludf.DUMMYFUNCTION("GOOGLETRANSLATE(F1585,""en"",""pt"")"),"O polietileno de baixa densidade (PE-LD) de vapor de folhas permeáveis")</f>
        <v>O polietileno de baixa densidade (PE-LD) de vapor de folhas permeáveis</v>
      </c>
      <c r="J1585" t="str">
        <f>VLOOKUP(A1585,Pr_Base_LNEC!$A$4:$J$6971,6,FALSE)</f>
        <v>-</v>
      </c>
      <c r="K1585">
        <f>VLOOKUP(A1585,Pr_Base_LNEC!$A$4:$J$6971,7,FALSE)</f>
        <v>0</v>
      </c>
    </row>
    <row r="1586" spans="1:11" ht="14.5">
      <c r="A1586" s="20" t="s">
        <v>17723</v>
      </c>
      <c r="B1586" s="20">
        <v>25</v>
      </c>
      <c r="C1586" s="20">
        <v>57</v>
      </c>
      <c r="D1586" s="20">
        <v>10</v>
      </c>
      <c r="E1586" s="20">
        <v>62</v>
      </c>
      <c r="F1586" s="20" t="s">
        <v>17724</v>
      </c>
      <c r="G1586" s="24"/>
      <c r="H1586" s="24"/>
      <c r="I1586" s="24" t="str">
        <f ca="1">IFERROR(__xludf.DUMMYFUNCTION("GOOGLETRANSLATE(F1586,""en"",""pt"")"),"Polietileno revestido papéis kraft")</f>
        <v>Polietileno revestido papéis kraft</v>
      </c>
      <c r="J1586" t="str">
        <f>VLOOKUP(A1586,Pr_Base_LNEC!$A$4:$J$6971,6,FALSE)</f>
        <v>-</v>
      </c>
      <c r="K1586">
        <f>VLOOKUP(A1586,Pr_Base_LNEC!$A$4:$J$6971,7,FALSE)</f>
        <v>0</v>
      </c>
    </row>
    <row r="1587" spans="1:11" ht="14.5">
      <c r="A1587" s="20" t="s">
        <v>17725</v>
      </c>
      <c r="B1587" s="20">
        <v>25</v>
      </c>
      <c r="C1587" s="20">
        <v>57</v>
      </c>
      <c r="D1587" s="20">
        <v>10</v>
      </c>
      <c r="E1587" s="20">
        <v>64</v>
      </c>
      <c r="F1587" s="20" t="s">
        <v>17726</v>
      </c>
      <c r="G1587" s="24"/>
      <c r="H1587" s="24"/>
      <c r="I1587" s="24" t="str">
        <f ca="1">IFERROR(__xludf.DUMMYFUNCTION("GOOGLETRANSLATE(F1587,""en"",""pt"")"),"Poliolefina vapor de folhas permeáveis")</f>
        <v>Poliolefina vapor de folhas permeáveis</v>
      </c>
      <c r="J1587" t="str">
        <f>VLOOKUP(A1587,Pr_Base_LNEC!$A$4:$J$6971,6,FALSE)</f>
        <v>-</v>
      </c>
      <c r="K1587">
        <f>VLOOKUP(A1587,Pr_Base_LNEC!$A$4:$J$6971,7,FALSE)</f>
        <v>0</v>
      </c>
    </row>
    <row r="1588" spans="1:11" ht="14.5">
      <c r="A1588" s="20" t="s">
        <v>17727</v>
      </c>
      <c r="B1588" s="20">
        <v>25</v>
      </c>
      <c r="C1588" s="20">
        <v>57</v>
      </c>
      <c r="D1588" s="20">
        <v>10</v>
      </c>
      <c r="E1588" s="20">
        <v>66</v>
      </c>
      <c r="F1588" s="20" t="s">
        <v>17728</v>
      </c>
      <c r="G1588" s="24"/>
      <c r="H1588" s="24"/>
      <c r="I1588" s="24" t="str">
        <f ca="1">IFERROR(__xludf.DUMMYFUNCTION("GOOGLETRANSLATE(F1588,""en"",""pt"")"),"Polipropileno vapor de folhas permeáveis")</f>
        <v>Polipropileno vapor de folhas permeáveis</v>
      </c>
      <c r="J1588" t="str">
        <f>VLOOKUP(A1588,Pr_Base_LNEC!$A$4:$J$6971,6,FALSE)</f>
        <v>-</v>
      </c>
      <c r="K1588">
        <f>VLOOKUP(A1588,Pr_Base_LNEC!$A$4:$J$6971,7,FALSE)</f>
        <v>0</v>
      </c>
    </row>
    <row r="1589" spans="1:11" ht="14.5">
      <c r="A1589" s="20" t="s">
        <v>17729</v>
      </c>
      <c r="B1589" s="20">
        <v>25</v>
      </c>
      <c r="C1589" s="20">
        <v>57</v>
      </c>
      <c r="D1589" s="20">
        <v>10</v>
      </c>
      <c r="E1589" s="20">
        <v>68</v>
      </c>
      <c r="F1589" s="20" t="s">
        <v>17730</v>
      </c>
      <c r="G1589" s="24"/>
      <c r="H1589" s="24"/>
      <c r="I1589" s="24" t="str">
        <f ca="1">IFERROR(__xludf.DUMMYFUNCTION("GOOGLETRANSLATE(F1589,""en"",""pt"")"),"Polipropileno e polietileno laminado vapor de folhas permeáveis")</f>
        <v>Polipropileno e polietileno laminado vapor de folhas permeáveis</v>
      </c>
      <c r="J1589" t="str">
        <f>VLOOKUP(A1589,Pr_Base_LNEC!$A$4:$J$6971,6,FALSE)</f>
        <v>-</v>
      </c>
      <c r="K1589">
        <f>VLOOKUP(A1589,Pr_Base_LNEC!$A$4:$J$6971,7,FALSE)</f>
        <v>0</v>
      </c>
    </row>
    <row r="1590" spans="1:11" ht="14.5">
      <c r="A1590" s="20" t="s">
        <v>17731</v>
      </c>
      <c r="B1590" s="20">
        <v>25</v>
      </c>
      <c r="C1590" s="20">
        <v>57</v>
      </c>
      <c r="D1590" s="20">
        <v>10</v>
      </c>
      <c r="E1590" s="20">
        <v>94</v>
      </c>
      <c r="F1590" s="20" t="s">
        <v>17732</v>
      </c>
      <c r="G1590" s="20" t="s">
        <v>17733</v>
      </c>
      <c r="H1590" s="24"/>
      <c r="I1590" s="24" t="str">
        <f ca="1">IFERROR(__xludf.DUMMYFUNCTION("GOOGLETRANSLATE(F1590,""en"",""pt"")"),"Vapor de folhas permeáveis")</f>
        <v>Vapor de folhas permeáveis</v>
      </c>
      <c r="J1590" t="str">
        <f>VLOOKUP(A1590,Pr_Base_LNEC!$A$4:$J$6971,6,FALSE)</f>
        <v>a</v>
      </c>
      <c r="K1590" t="str">
        <f>VLOOKUP(A1590,Pr_Base_LNEC!$A$4:$J$6971,7,FALSE)</f>
        <v>EN 13859-1:2010
 Membranas de impermeabilização flexíveis — Definição e características de barreiras flexíveis colocadas sob revestimentos de coberturas — Parte 1: Barreiras para coberturas com elementos descontínuos</v>
      </c>
    </row>
    <row r="1591" spans="1:11" ht="14.5">
      <c r="A1591" s="20" t="s">
        <v>17734</v>
      </c>
      <c r="B1591" s="20">
        <v>25</v>
      </c>
      <c r="C1591" s="20">
        <v>57</v>
      </c>
      <c r="D1591" s="20">
        <v>21</v>
      </c>
      <c r="E1591" s="24"/>
      <c r="F1591" s="20" t="s">
        <v>17735</v>
      </c>
      <c r="G1591" s="24"/>
      <c r="H1591" s="24"/>
      <c r="I1591" s="24" t="str">
        <f ca="1">IFERROR(__xludf.DUMMYFUNCTION("GOOGLETRANSLATE(F1591,""en"",""pt"")"),"Damp cursos prova e bandejas cavidade")</f>
        <v>Damp cursos prova e bandejas cavidade</v>
      </c>
      <c r="J1591" t="str">
        <f>VLOOKUP(A1591,Pr_Base_LNEC!$A$4:$J$6971,6,FALSE)</f>
        <v>Membranas e Bandas Betuminosas contra a Ascensão Capilar</v>
      </c>
      <c r="K1591">
        <f>VLOOKUP(A1591,Pr_Base_LNEC!$A$4:$J$6971,7,FALSE)</f>
        <v>0</v>
      </c>
    </row>
    <row r="1592" spans="1:11" ht="14.5">
      <c r="A1592" s="20" t="s">
        <v>17736</v>
      </c>
      <c r="B1592" s="20">
        <v>25</v>
      </c>
      <c r="C1592" s="20">
        <v>57</v>
      </c>
      <c r="D1592" s="20">
        <v>21</v>
      </c>
      <c r="E1592" s="20">
        <v>2</v>
      </c>
      <c r="F1592" s="20" t="s">
        <v>17737</v>
      </c>
      <c r="G1592" s="24"/>
      <c r="H1592" s="24"/>
      <c r="I1592" s="24" t="str">
        <f ca="1">IFERROR(__xludf.DUMMYFUNCTION("GOOGLETRANSLATE(F1592,""en"",""pt"")"),"Alumínio úmido cursos prova e bandejas cavidade")</f>
        <v>Alumínio úmido cursos prova e bandejas cavidade</v>
      </c>
      <c r="J1592" t="e">
        <f>VLOOKUP(A1592,Pr_Base_LNEC!$A$4:$J$6971,6,FALSE)</f>
        <v>#N/A</v>
      </c>
      <c r="K1592" t="e">
        <f>VLOOKUP(A1592,Pr_Base_LNEC!$A$4:$J$6971,7,FALSE)</f>
        <v>#N/A</v>
      </c>
    </row>
    <row r="1593" spans="1:11" ht="14.5">
      <c r="A1593" s="20" t="s">
        <v>17738</v>
      </c>
      <c r="B1593" s="20">
        <v>25</v>
      </c>
      <c r="C1593" s="20">
        <v>57</v>
      </c>
      <c r="D1593" s="20">
        <v>21</v>
      </c>
      <c r="E1593" s="20">
        <v>6</v>
      </c>
      <c r="F1593" s="20" t="s">
        <v>17739</v>
      </c>
      <c r="G1593" s="20" t="s">
        <v>17740</v>
      </c>
      <c r="H1593" s="24"/>
      <c r="I1593" s="24" t="str">
        <f ca="1">IFERROR(__xludf.DUMMYFUNCTION("GOOGLETRANSLATE(F1593,""en"",""pt"")"),"Betume baseado em húmido cursos prova e bandejas cavidade")</f>
        <v>Betume baseado em húmido cursos prova e bandejas cavidade</v>
      </c>
      <c r="J1593" t="str">
        <f>VLOOKUP(A1593,Pr_Base_LNEC!$A$4:$J$6971,6,FALSE)</f>
        <v>a</v>
      </c>
      <c r="K1593" t="str">
        <f>VLOOKUP(A1593,Pr_Base_LNEC!$A$4:$J$6971,7,FALSE)</f>
        <v>EN 14967:2006
 Membranas de impermeabilização flexíveis — Bandas betuminosas contra a ascensão capilar — Definições e características</v>
      </c>
    </row>
    <row r="1594" spans="1:11" ht="14.5">
      <c r="A1594" s="20" t="s">
        <v>17741</v>
      </c>
      <c r="B1594" s="20">
        <v>25</v>
      </c>
      <c r="C1594" s="20">
        <v>57</v>
      </c>
      <c r="D1594" s="20">
        <v>21</v>
      </c>
      <c r="E1594" s="20">
        <v>8</v>
      </c>
      <c r="F1594" s="20" t="s">
        <v>17742</v>
      </c>
      <c r="G1594" s="20" t="s">
        <v>17743</v>
      </c>
      <c r="H1594" s="24"/>
      <c r="I1594" s="24" t="str">
        <f ca="1">IFERROR(__xludf.DUMMYFUNCTION("GOOGLETRANSLATE(F1594,""en"",""pt"")"),"Betume polímero húmidos cursos de prova e as bandejas de cavidades")</f>
        <v>Betume polímero húmidos cursos de prova e as bandejas de cavidades</v>
      </c>
      <c r="J1594" t="str">
        <f>VLOOKUP(A1594,Pr_Base_LNEC!$A$4:$J$6971,6,FALSE)</f>
        <v>a</v>
      </c>
      <c r="K1594" t="str">
        <f>VLOOKUP(A1594,Pr_Base_LNEC!$A$4:$J$6971,7,FALSE)</f>
        <v>EN 14967:2006
 Membranas de impermeabilização flexíveis — Bandas betuminosas contra a ascensão capilar — Definições e características</v>
      </c>
    </row>
    <row r="1595" spans="1:11" ht="14.5">
      <c r="A1595" s="20" t="s">
        <v>17744</v>
      </c>
      <c r="B1595" s="20">
        <v>25</v>
      </c>
      <c r="C1595" s="20">
        <v>57</v>
      </c>
      <c r="D1595" s="20">
        <v>21</v>
      </c>
      <c r="E1595" s="20">
        <v>11</v>
      </c>
      <c r="F1595" s="20" t="s">
        <v>17745</v>
      </c>
      <c r="G1595" s="24"/>
      <c r="H1595" s="24"/>
      <c r="I1595" s="24" t="str">
        <f ca="1">IFERROR(__xludf.DUMMYFUNCTION("GOOGLETRANSLATE(F1595,""en"",""pt"")"),"aço carbono úmido cursos prova e bandejas cavidade")</f>
        <v>aço carbono úmido cursos prova e bandejas cavidade</v>
      </c>
      <c r="J1595" t="e">
        <f>VLOOKUP(A1595,Pr_Base_LNEC!$A$4:$J$6971,6,FALSE)</f>
        <v>#N/A</v>
      </c>
      <c r="K1595" t="e">
        <f>VLOOKUP(A1595,Pr_Base_LNEC!$A$4:$J$6971,7,FALSE)</f>
        <v>#N/A</v>
      </c>
    </row>
    <row r="1596" spans="1:11" ht="14.5">
      <c r="A1596" s="20" t="s">
        <v>17746</v>
      </c>
      <c r="B1596" s="20">
        <v>25</v>
      </c>
      <c r="C1596" s="20">
        <v>57</v>
      </c>
      <c r="D1596" s="20">
        <v>21</v>
      </c>
      <c r="E1596" s="20">
        <v>12</v>
      </c>
      <c r="F1596" s="20" t="s">
        <v>17747</v>
      </c>
      <c r="G1596" s="20" t="s">
        <v>17740</v>
      </c>
      <c r="H1596" s="24"/>
      <c r="I1596" s="24" t="str">
        <f ca="1">IFERROR(__xludf.DUMMYFUNCTION("GOOGLETRANSLATE(F1596,""en"",""pt"")"),"Cavidade mais perto e úmido suportes curso de prova")</f>
        <v>Cavidade mais perto e úmido suportes curso de prova</v>
      </c>
      <c r="J1596" t="str">
        <f>VLOOKUP(A1596,Pr_Base_LNEC!$A$4:$J$6971,6,FALSE)</f>
        <v>a</v>
      </c>
      <c r="K1596" t="str">
        <f>VLOOKUP(A1596,Pr_Base_LNEC!$A$4:$J$6971,7,FALSE)</f>
        <v>EN 14967:2006
 Membranas de impermeabilização flexíveis — Bandas betuminosas contra a ascensão capilar — Definições e características</v>
      </c>
    </row>
    <row r="1597" spans="1:11" ht="14.5">
      <c r="A1597" s="20" t="s">
        <v>17748</v>
      </c>
      <c r="B1597" s="20">
        <v>25</v>
      </c>
      <c r="C1597" s="20">
        <v>57</v>
      </c>
      <c r="D1597" s="20">
        <v>21</v>
      </c>
      <c r="E1597" s="20">
        <v>13</v>
      </c>
      <c r="F1597" s="20" t="s">
        <v>17749</v>
      </c>
      <c r="G1597" s="24"/>
      <c r="H1597" s="24"/>
      <c r="I1597" s="24" t="str">
        <f ca="1">IFERROR(__xludf.DUMMYFUNCTION("GOOGLETRANSLATE(F1597,""en"",""pt"")"),"tijolo de barro úmido cursos prova")</f>
        <v>tijolo de barro úmido cursos prova</v>
      </c>
      <c r="J1597" t="str">
        <f>VLOOKUP(A1597,Pr_Base_LNEC!$A$4:$J$6971,6,FALSE)</f>
        <v>-</v>
      </c>
      <c r="K1597">
        <f>VLOOKUP(A1597,Pr_Base_LNEC!$A$4:$J$6971,7,FALSE)</f>
        <v>0</v>
      </c>
    </row>
    <row r="1598" spans="1:11" ht="14.5">
      <c r="A1598" s="20" t="s">
        <v>17750</v>
      </c>
      <c r="B1598" s="20">
        <v>25</v>
      </c>
      <c r="C1598" s="20">
        <v>57</v>
      </c>
      <c r="D1598" s="20">
        <v>21</v>
      </c>
      <c r="E1598" s="20">
        <v>14</v>
      </c>
      <c r="F1598" s="20" t="s">
        <v>17751</v>
      </c>
      <c r="G1598" s="24"/>
      <c r="H1598" s="24"/>
      <c r="I1598" s="24" t="str">
        <f ca="1">IFERROR(__xludf.DUMMYFUNCTION("GOOGLETRANSLATE(F1598,""en"",""pt"")"),"A frio aplicada membrana de cobertura adesiva amortecer curso prova cimentos comuns")</f>
        <v>A frio aplicada membrana de cobertura adesiva amortecer curso prova cimentos comuns</v>
      </c>
      <c r="J1598" t="str">
        <f>VLOOKUP(A1598,Pr_Base_LNEC!$A$4:$J$6971,6,FALSE)</f>
        <v>-</v>
      </c>
      <c r="K1598">
        <f>VLOOKUP(A1598,Pr_Base_LNEC!$A$4:$J$6971,7,FALSE)</f>
        <v>0</v>
      </c>
    </row>
    <row r="1599" spans="1:11" ht="14.5">
      <c r="A1599" s="20" t="s">
        <v>17752</v>
      </c>
      <c r="B1599" s="20">
        <v>25</v>
      </c>
      <c r="C1599" s="20">
        <v>57</v>
      </c>
      <c r="D1599" s="20">
        <v>21</v>
      </c>
      <c r="E1599" s="20">
        <v>16</v>
      </c>
      <c r="F1599" s="20" t="s">
        <v>17753</v>
      </c>
      <c r="G1599" s="24"/>
      <c r="H1599" s="24"/>
      <c r="I1599" s="24" t="str">
        <f ca="1">IFERROR(__xludf.DUMMYFUNCTION("GOOGLETRANSLATE(F1599,""en"",""pt"")"),"Lidar ou tampando cursos à prova de umidade")</f>
        <v>Lidar ou tampando cursos à prova de umidade</v>
      </c>
      <c r="J1599" t="str">
        <f>VLOOKUP(A1599,Pr_Base_LNEC!$A$4:$J$6971,6,FALSE)</f>
        <v>-</v>
      </c>
      <c r="K1599">
        <f>VLOOKUP(A1599,Pr_Base_LNEC!$A$4:$J$6971,7,FALSE)</f>
        <v>0</v>
      </c>
    </row>
    <row r="1600" spans="1:11" ht="14.5">
      <c r="A1600" s="20" t="s">
        <v>17754</v>
      </c>
      <c r="B1600" s="20">
        <v>25</v>
      </c>
      <c r="C1600" s="20">
        <v>57</v>
      </c>
      <c r="D1600" s="20">
        <v>21</v>
      </c>
      <c r="E1600" s="20">
        <v>18</v>
      </c>
      <c r="F1600" s="20" t="s">
        <v>17755</v>
      </c>
      <c r="G1600" s="20" t="s">
        <v>17756</v>
      </c>
      <c r="H1600" s="24"/>
      <c r="I1600" s="24" t="str">
        <f ca="1">IFERROR(__xludf.DUMMYFUNCTION("GOOGLETRANSLATE(F1600,""en"",""pt"")"),"Cobre úmido cursos prova e bandejas cavidade")</f>
        <v>Cobre úmido cursos prova e bandejas cavidade</v>
      </c>
      <c r="J1600" t="str">
        <f>VLOOKUP(A1600,Pr_Base_LNEC!$A$4:$J$6971,6,FALSE)</f>
        <v>-</v>
      </c>
      <c r="K1600">
        <f>VLOOKUP(A1600,Pr_Base_LNEC!$A$4:$J$6971,7,FALSE)</f>
        <v>0</v>
      </c>
    </row>
    <row r="1601" spans="1:11" ht="14.5">
      <c r="A1601" s="20" t="s">
        <v>17757</v>
      </c>
      <c r="B1601" s="20">
        <v>25</v>
      </c>
      <c r="C1601" s="20">
        <v>57</v>
      </c>
      <c r="D1601" s="20">
        <v>21</v>
      </c>
      <c r="E1601" s="20">
        <v>27</v>
      </c>
      <c r="F1601" s="20" t="s">
        <v>17758</v>
      </c>
      <c r="G1601" s="20" t="s">
        <v>17759</v>
      </c>
      <c r="H1601" s="24"/>
      <c r="I1601" s="24" t="str">
        <f ca="1">IFERROR(__xludf.DUMMYFUNCTION("GOOGLETRANSLATE(F1601,""en"",""pt"")"),"etileno-propileno (EP) húmido cursos de prova e as bandejas de cavidades")</f>
        <v>etileno-propileno (EP) húmido cursos de prova e as bandejas de cavidades</v>
      </c>
      <c r="J1601" t="str">
        <f>VLOOKUP(A1601,Pr_Base_LNEC!$A$4:$J$6971,6,FALSE)</f>
        <v>a</v>
      </c>
      <c r="K1601" t="str">
        <f>VLOOKUP(A1601,Pr_Base_LNEC!$A$4:$J$6971,7,FALSE)</f>
        <v>EN 14909:2012
 Membranas de impermeabilização flexíveis — Bandas de plástico e de borracha contra a ascenção capilar em paredes — Definições e características</v>
      </c>
    </row>
    <row r="1602" spans="1:11" ht="14.5">
      <c r="A1602" s="20" t="s">
        <v>17760</v>
      </c>
      <c r="B1602" s="20">
        <v>25</v>
      </c>
      <c r="C1602" s="20">
        <v>57</v>
      </c>
      <c r="D1602" s="20">
        <v>21</v>
      </c>
      <c r="E1602" s="20">
        <v>33</v>
      </c>
      <c r="F1602" s="20" t="s">
        <v>17761</v>
      </c>
      <c r="G1602" s="20" t="s">
        <v>17762</v>
      </c>
      <c r="H1602" s="24"/>
      <c r="I1602" s="24" t="str">
        <f ca="1">IFERROR(__xludf.DUMMYFUNCTION("GOOGLETRANSLATE(F1602,""en"",""pt"")"),"bandejas de cavidades pré-formados resistentes Gás")</f>
        <v>bandejas de cavidades pré-formados resistentes Gás</v>
      </c>
      <c r="J1602" t="str">
        <f>VLOOKUP(A1602,Pr_Base_LNEC!$A$4:$J$6971,6,FALSE)</f>
        <v>-</v>
      </c>
      <c r="K1602">
        <f>VLOOKUP(A1602,Pr_Base_LNEC!$A$4:$J$6971,7,FALSE)</f>
        <v>0</v>
      </c>
    </row>
    <row r="1603" spans="1:11" ht="14.5">
      <c r="A1603" s="20" t="s">
        <v>17763</v>
      </c>
      <c r="B1603" s="20">
        <v>25</v>
      </c>
      <c r="C1603" s="20">
        <v>57</v>
      </c>
      <c r="D1603" s="20">
        <v>21</v>
      </c>
      <c r="E1603" s="20">
        <v>34</v>
      </c>
      <c r="F1603" s="20" t="s">
        <v>17764</v>
      </c>
      <c r="G1603" s="24"/>
      <c r="H1603" s="24"/>
      <c r="I1603" s="24" t="str">
        <f ca="1">IFERROR(__xludf.DUMMYFUNCTION("GOOGLETRANSLATE(F1603,""en"",""pt"")"),"resistentes bandejas de cavidades pré-formados de gás e mantos")</f>
        <v>resistentes bandejas de cavidades pré-formados de gás e mantos</v>
      </c>
      <c r="J1603" t="str">
        <f>VLOOKUP(A1603,Pr_Base_LNEC!$A$4:$J$6971,6,FALSE)</f>
        <v>-</v>
      </c>
      <c r="K1603">
        <f>VLOOKUP(A1603,Pr_Base_LNEC!$A$4:$J$6971,7,FALSE)</f>
        <v>0</v>
      </c>
    </row>
    <row r="1604" spans="1:11" ht="14.5">
      <c r="A1604" s="20" t="s">
        <v>17765</v>
      </c>
      <c r="B1604" s="20">
        <v>25</v>
      </c>
      <c r="C1604" s="20">
        <v>57</v>
      </c>
      <c r="D1604" s="20">
        <v>21</v>
      </c>
      <c r="E1604" s="20">
        <v>35</v>
      </c>
      <c r="F1604" s="20" t="s">
        <v>17766</v>
      </c>
      <c r="G1604" s="20" t="s">
        <v>17767</v>
      </c>
      <c r="H1604" s="24"/>
      <c r="I1604" s="24" t="str">
        <f ca="1">IFERROR(__xludf.DUMMYFUNCTION("GOOGLETRANSLATE(F1604,""en"",""pt"")"),"cursos à prova de umidade resistentes ao gás")</f>
        <v>cursos à prova de umidade resistentes ao gás</v>
      </c>
      <c r="J1604" t="str">
        <f>VLOOKUP(A1604,Pr_Base_LNEC!$A$4:$J$6971,6,FALSE)</f>
        <v>-</v>
      </c>
      <c r="K1604">
        <f>VLOOKUP(A1604,Pr_Base_LNEC!$A$4:$J$6971,7,FALSE)</f>
        <v>0</v>
      </c>
    </row>
    <row r="1605" spans="1:11" ht="14.5">
      <c r="A1605" s="20" t="s">
        <v>17768</v>
      </c>
      <c r="B1605" s="20">
        <v>25</v>
      </c>
      <c r="C1605" s="20">
        <v>57</v>
      </c>
      <c r="D1605" s="20">
        <v>21</v>
      </c>
      <c r="E1605" s="20">
        <v>36</v>
      </c>
      <c r="F1605" s="20" t="s">
        <v>17769</v>
      </c>
      <c r="G1605" s="24"/>
      <c r="H1605" s="24"/>
      <c r="I1605" s="24" t="str">
        <f ca="1">IFERROR(__xludf.DUMMYFUNCTION("GOOGLETRANSLATE(F1605,""en"",""pt"")"),"Granito úmido cursos prova")</f>
        <v>Granito úmido cursos prova</v>
      </c>
      <c r="J1605" t="str">
        <f>VLOOKUP(A1605,Pr_Base_LNEC!$A$4:$J$6971,6,FALSE)</f>
        <v>-</v>
      </c>
      <c r="K1605">
        <f>VLOOKUP(A1605,Pr_Base_LNEC!$A$4:$J$6971,7,FALSE)</f>
        <v>0</v>
      </c>
    </row>
    <row r="1606" spans="1:11" ht="14.5">
      <c r="A1606" s="20" t="s">
        <v>17770</v>
      </c>
      <c r="B1606" s="20">
        <v>25</v>
      </c>
      <c r="C1606" s="20">
        <v>57</v>
      </c>
      <c r="D1606" s="20">
        <v>21</v>
      </c>
      <c r="E1606" s="20">
        <v>42</v>
      </c>
      <c r="F1606" s="20" t="s">
        <v>17771</v>
      </c>
      <c r="G1606" s="20" t="s">
        <v>17772</v>
      </c>
      <c r="H1606" s="24"/>
      <c r="I1606" s="24" t="str">
        <f ca="1">IFERROR(__xludf.DUMMYFUNCTION("GOOGLETRANSLATE(F1606,""en"",""pt"")"),"bandejas de cavidades de inserção")</f>
        <v>bandejas de cavidades de inserção</v>
      </c>
      <c r="J1606" t="str">
        <f>VLOOKUP(A1606,Pr_Base_LNEC!$A$4:$J$6971,6,FALSE)</f>
        <v>-</v>
      </c>
      <c r="K1606">
        <f>VLOOKUP(A1606,Pr_Base_LNEC!$A$4:$J$6971,7,FALSE)</f>
        <v>0</v>
      </c>
    </row>
    <row r="1607" spans="1:11" ht="14.5">
      <c r="A1607" s="20" t="s">
        <v>17773</v>
      </c>
      <c r="B1607" s="20">
        <v>25</v>
      </c>
      <c r="C1607" s="20">
        <v>57</v>
      </c>
      <c r="D1607" s="20">
        <v>21</v>
      </c>
      <c r="E1607" s="20">
        <v>43</v>
      </c>
      <c r="F1607" s="20" t="s">
        <v>17774</v>
      </c>
      <c r="G1607" s="20" t="s">
        <v>17775</v>
      </c>
      <c r="H1607" s="24"/>
      <c r="I1607" s="24" t="str">
        <f ca="1">IFERROR(__xludf.DUMMYFUNCTION("GOOGLETRANSLATE(F1607,""en"",""pt"")"),"Duplas úmido cursos prova")</f>
        <v>Duplas úmido cursos prova</v>
      </c>
      <c r="J1607" t="str">
        <f>VLOOKUP(A1607,Pr_Base_LNEC!$A$4:$J$6971,6,FALSE)</f>
        <v>?</v>
      </c>
      <c r="K1607" t="str">
        <f>VLOOKUP(A1607,Pr_Base_LNEC!$A$4:$J$6971,7,FALSE)</f>
        <v>EN 14909:2012
 Membranas de impermeabilização flexíveis — Bandas de plástico e de borracha contra a ascenção capilar em paredes — Definições e características</v>
      </c>
    </row>
    <row r="1608" spans="1:11" ht="14.5">
      <c r="A1608" s="20" t="s">
        <v>17776</v>
      </c>
      <c r="B1608" s="20">
        <v>25</v>
      </c>
      <c r="C1608" s="20">
        <v>57</v>
      </c>
      <c r="D1608" s="20">
        <v>21</v>
      </c>
      <c r="E1608" s="20">
        <v>44</v>
      </c>
      <c r="F1608" s="20" t="s">
        <v>17777</v>
      </c>
      <c r="G1608" s="20" t="s">
        <v>17778</v>
      </c>
      <c r="H1608" s="24"/>
      <c r="I1608" s="24" t="str">
        <f ca="1">IFERROR(__xludf.DUMMYFUNCTION("GOOGLETRANSLATE(F1608,""en"",""pt"")"),"selos vigamentos")</f>
        <v>selos vigamentos</v>
      </c>
      <c r="J1608" t="str">
        <f>VLOOKUP(A1608,Pr_Base_LNEC!$A$4:$J$6971,6,FALSE)</f>
        <v>-</v>
      </c>
      <c r="K1608">
        <f>VLOOKUP(A1608,Pr_Base_LNEC!$A$4:$J$6971,7,FALSE)</f>
        <v>0</v>
      </c>
    </row>
    <row r="1609" spans="1:11" ht="14.5">
      <c r="A1609" s="20" t="s">
        <v>17779</v>
      </c>
      <c r="B1609" s="20">
        <v>25</v>
      </c>
      <c r="C1609" s="20">
        <v>57</v>
      </c>
      <c r="D1609" s="20">
        <v>21</v>
      </c>
      <c r="E1609" s="20">
        <v>48</v>
      </c>
      <c r="F1609" s="20" t="s">
        <v>17780</v>
      </c>
      <c r="G1609" s="20" t="s">
        <v>17781</v>
      </c>
      <c r="H1609" s="24"/>
      <c r="I1609" s="24" t="str">
        <f ca="1">IFERROR(__xludf.DUMMYFUNCTION("GOOGLETRANSLATE(F1609,""en"",""pt"")"),"Chumbo úmido cursos prova e bandejas cavidade")</f>
        <v>Chumbo úmido cursos prova e bandejas cavidade</v>
      </c>
      <c r="J1609" t="str">
        <f>VLOOKUP(A1609,Pr_Base_LNEC!$A$4:$J$6971,6,FALSE)</f>
        <v>-</v>
      </c>
      <c r="K1609">
        <f>VLOOKUP(A1609,Pr_Base_LNEC!$A$4:$J$6971,7,FALSE)</f>
        <v>0</v>
      </c>
    </row>
    <row r="1610" spans="1:11" ht="14.5">
      <c r="A1610" s="20" t="s">
        <v>17782</v>
      </c>
      <c r="B1610" s="20">
        <v>25</v>
      </c>
      <c r="C1610" s="20">
        <v>57</v>
      </c>
      <c r="D1610" s="20">
        <v>21</v>
      </c>
      <c r="E1610" s="20">
        <v>50</v>
      </c>
      <c r="F1610" s="20" t="s">
        <v>17783</v>
      </c>
      <c r="G1610" s="20" t="s">
        <v>17784</v>
      </c>
      <c r="H1610" s="24"/>
      <c r="I1610" s="24" t="str">
        <f ca="1">IFERROR(__xludf.DUMMYFUNCTION("GOOGLETRANSLATE(F1610,""en"",""pt"")"),"mastique (MA) húmido cursos prova")</f>
        <v>mastique (MA) húmido cursos prova</v>
      </c>
      <c r="J1610" t="str">
        <f>VLOOKUP(A1610,Pr_Base_LNEC!$A$4:$J$6971,6,FALSE)</f>
        <v>-</v>
      </c>
      <c r="K1610">
        <f>VLOOKUP(A1610,Pr_Base_LNEC!$A$4:$J$6971,7,FALSE)</f>
        <v>0</v>
      </c>
    </row>
    <row r="1611" spans="1:11" ht="14.5">
      <c r="A1611" s="20" t="s">
        <v>17785</v>
      </c>
      <c r="B1611" s="20">
        <v>25</v>
      </c>
      <c r="C1611" s="20">
        <v>57</v>
      </c>
      <c r="D1611" s="20">
        <v>21</v>
      </c>
      <c r="E1611" s="20">
        <v>61</v>
      </c>
      <c r="F1611" s="20" t="s">
        <v>17786</v>
      </c>
      <c r="G1611" s="20" t="s">
        <v>17787</v>
      </c>
      <c r="H1611" s="24"/>
      <c r="I1611" s="24" t="str">
        <f ca="1">IFERROR(__xludf.DUMMYFUNCTION("GOOGLETRANSLATE(F1611,""en"",""pt"")"),"Parcela de polímero húmido cursos de prova e as bandejas de cavidades")</f>
        <v>Parcela de polímero húmido cursos de prova e as bandejas de cavidades</v>
      </c>
      <c r="J1611" t="str">
        <f>VLOOKUP(A1611,Pr_Base_LNEC!$A$4:$J$6971,6,FALSE)</f>
        <v>-</v>
      </c>
      <c r="K1611">
        <f>VLOOKUP(A1611,Pr_Base_LNEC!$A$4:$J$6971,7,FALSE)</f>
        <v>0</v>
      </c>
    </row>
    <row r="1612" spans="1:11" ht="14.5">
      <c r="A1612" s="20" t="s">
        <v>17788</v>
      </c>
      <c r="B1612" s="20">
        <v>25</v>
      </c>
      <c r="C1612" s="20">
        <v>57</v>
      </c>
      <c r="D1612" s="20">
        <v>21</v>
      </c>
      <c r="E1612" s="20">
        <v>63</v>
      </c>
      <c r="F1612" s="20" t="s">
        <v>17789</v>
      </c>
      <c r="G1612" s="20" t="s">
        <v>17759</v>
      </c>
      <c r="H1612" s="24"/>
      <c r="I1612" s="24" t="str">
        <f ca="1">IFERROR(__xludf.DUMMYFUNCTION("GOOGLETRANSLATE(F1612,""en"",""pt"")"),"Polietileno (PE) húmido cursos prova e bandejas cavidade")</f>
        <v>Polietileno (PE) húmido cursos prova e bandejas cavidade</v>
      </c>
      <c r="J1612" t="str">
        <f>VLOOKUP(A1612,Pr_Base_LNEC!$A$4:$J$6971,6,FALSE)</f>
        <v>a</v>
      </c>
      <c r="K1612" t="str">
        <f>VLOOKUP(A1612,Pr_Base_LNEC!$A$4:$J$6971,7,FALSE)</f>
        <v>EN 14909:2012
 Membranas de impermeabilização flexíveis — Bandas de plástico e de borracha contra a ascenção capilar em paredes — Definições e características</v>
      </c>
    </row>
    <row r="1613" spans="1:11" ht="14.5">
      <c r="A1613" s="20" t="s">
        <v>17790</v>
      </c>
      <c r="B1613" s="20">
        <v>25</v>
      </c>
      <c r="C1613" s="20">
        <v>57</v>
      </c>
      <c r="D1613" s="20">
        <v>21</v>
      </c>
      <c r="E1613" s="20">
        <v>64</v>
      </c>
      <c r="F1613" s="20" t="s">
        <v>17791</v>
      </c>
      <c r="G1613" s="20" t="s">
        <v>17759</v>
      </c>
      <c r="H1613" s="24"/>
      <c r="I1613" s="24" t="str">
        <f ca="1">IFERROR(__xludf.DUMMYFUNCTION("GOOGLETRANSLATE(F1613,""en"",""pt"")"),"Polipropileno (PP) húmido cursos prova e bandejas cavidade")</f>
        <v>Polipropileno (PP) húmido cursos prova e bandejas cavidade</v>
      </c>
      <c r="J1613" t="str">
        <f>VLOOKUP(A1613,Pr_Base_LNEC!$A$4:$J$6971,6,FALSE)</f>
        <v>a</v>
      </c>
      <c r="K1613" t="str">
        <f>VLOOKUP(A1613,Pr_Base_LNEC!$A$4:$J$6971,7,FALSE)</f>
        <v>EN 14909:2012
 Membranas de impermeabilização flexíveis — Bandas de plástico e de borracha contra a ascenção capilar em paredes — Definições e características</v>
      </c>
    </row>
    <row r="1614" spans="1:11" ht="14.5">
      <c r="A1614" s="20" t="s">
        <v>17792</v>
      </c>
      <c r="B1614" s="20">
        <v>25</v>
      </c>
      <c r="C1614" s="20">
        <v>57</v>
      </c>
      <c r="D1614" s="20">
        <v>21</v>
      </c>
      <c r="E1614" s="20">
        <v>65</v>
      </c>
      <c r="F1614" s="20" t="s">
        <v>17793</v>
      </c>
      <c r="G1614" s="24"/>
      <c r="H1614" s="24"/>
      <c r="I1614" s="24" t="str">
        <f ca="1">IFERROR(__xludf.DUMMYFUNCTION("GOOGLETRANSLATE(F1614,""en"",""pt"")"),"Poliméricos úmido cursos prova")</f>
        <v>Poliméricos úmido cursos prova</v>
      </c>
      <c r="J1614" t="str">
        <f>VLOOKUP(A1614,Pr_Base_LNEC!$A$4:$J$6971,6,FALSE)</f>
        <v>-</v>
      </c>
      <c r="K1614">
        <f>VLOOKUP(A1614,Pr_Base_LNEC!$A$4:$J$6971,7,FALSE)</f>
        <v>0</v>
      </c>
    </row>
    <row r="1615" spans="1:11" ht="14.5">
      <c r="A1615" s="20" t="s">
        <v>17794</v>
      </c>
      <c r="B1615" s="20">
        <v>25</v>
      </c>
      <c r="C1615" s="20">
        <v>57</v>
      </c>
      <c r="D1615" s="20">
        <v>21</v>
      </c>
      <c r="E1615" s="20">
        <v>66</v>
      </c>
      <c r="F1615" s="20" t="s">
        <v>17795</v>
      </c>
      <c r="G1615" s="20" t="s">
        <v>17796</v>
      </c>
      <c r="H1615" s="24"/>
      <c r="I1615" s="24" t="str">
        <f ca="1">IFERROR(__xludf.DUMMYFUNCTION("GOOGLETRANSLATE(F1615,""en"",""pt"")"),"bandejas de cavidades pré-formadas")</f>
        <v>bandejas de cavidades pré-formadas</v>
      </c>
      <c r="J1615" t="str">
        <f>VLOOKUP(A1615,Pr_Base_LNEC!$A$4:$J$6971,6,FALSE)</f>
        <v>-</v>
      </c>
      <c r="K1615">
        <f>VLOOKUP(A1615,Pr_Base_LNEC!$A$4:$J$6971,7,FALSE)</f>
        <v>0</v>
      </c>
    </row>
    <row r="1616" spans="1:11" ht="14.5">
      <c r="A1616" s="20" t="s">
        <v>17797</v>
      </c>
      <c r="B1616" s="20">
        <v>25</v>
      </c>
      <c r="C1616" s="20">
        <v>57</v>
      </c>
      <c r="D1616" s="20">
        <v>21</v>
      </c>
      <c r="E1616" s="20">
        <v>67</v>
      </c>
      <c r="F1616" s="20" t="s">
        <v>17798</v>
      </c>
      <c r="G1616" s="24"/>
      <c r="H1616" s="24"/>
      <c r="I1616" s="24" t="str">
        <f ca="1">IFERROR(__xludf.DUMMYFUNCTION("GOOGLETRANSLATE(F1616,""en"",""pt"")"),"bandejas de cavidades pré-formadas e mantos")</f>
        <v>bandejas de cavidades pré-formadas e mantos</v>
      </c>
      <c r="J1616" t="str">
        <f>VLOOKUP(A1616,Pr_Base_LNEC!$A$4:$J$6971,6,FALSE)</f>
        <v>-</v>
      </c>
      <c r="K1616">
        <f>VLOOKUP(A1616,Pr_Base_LNEC!$A$4:$J$6971,7,FALSE)</f>
        <v>0</v>
      </c>
    </row>
    <row r="1617" spans="1:11" ht="14.5">
      <c r="A1617" s="20" t="s">
        <v>17799</v>
      </c>
      <c r="B1617" s="20">
        <v>25</v>
      </c>
      <c r="C1617" s="20">
        <v>57</v>
      </c>
      <c r="D1617" s="20">
        <v>21</v>
      </c>
      <c r="E1617" s="20">
        <v>68</v>
      </c>
      <c r="F1617" s="20" t="s">
        <v>17800</v>
      </c>
      <c r="G1617" s="20" t="s">
        <v>17801</v>
      </c>
      <c r="H1617" s="24"/>
      <c r="I1617" s="24" t="str">
        <f ca="1">IFERROR(__xludf.DUMMYFUNCTION("GOOGLETRANSLATE(F1617,""en"",""pt"")"),"Pré-formadas úmido cursos prova")</f>
        <v>Pré-formadas úmido cursos prova</v>
      </c>
      <c r="J1617" t="str">
        <f>VLOOKUP(A1617,Pr_Base_LNEC!$A$4:$J$6971,6,FALSE)</f>
        <v>-</v>
      </c>
      <c r="K1617">
        <f>VLOOKUP(A1617,Pr_Base_LNEC!$A$4:$J$6971,7,FALSE)</f>
        <v>0</v>
      </c>
    </row>
    <row r="1618" spans="1:11" ht="14.5">
      <c r="A1618" s="20" t="s">
        <v>17802</v>
      </c>
      <c r="B1618" s="20">
        <v>25</v>
      </c>
      <c r="C1618" s="20">
        <v>57</v>
      </c>
      <c r="D1618" s="20">
        <v>21</v>
      </c>
      <c r="E1618" s="20">
        <v>72</v>
      </c>
      <c r="F1618" s="20" t="s">
        <v>17803</v>
      </c>
      <c r="G1618" s="20" t="s">
        <v>17804</v>
      </c>
      <c r="H1618" s="24"/>
      <c r="I1618" s="24" t="str">
        <f ca="1">IFERROR(__xludf.DUMMYFUNCTION("GOOGLETRANSLATE(F1618,""en"",""pt"")"),"Humidade ascendente unidades correctivas")</f>
        <v>Humidade ascendente unidades correctivas</v>
      </c>
      <c r="J1618" t="str">
        <f>VLOOKUP(A1618,Pr_Base_LNEC!$A$4:$J$6971,6,FALSE)</f>
        <v>-</v>
      </c>
      <c r="K1618">
        <f>VLOOKUP(A1618,Pr_Base_LNEC!$A$4:$J$6971,7,FALSE)</f>
        <v>0</v>
      </c>
    </row>
    <row r="1619" spans="1:11" ht="14.5">
      <c r="A1619" s="20" t="s">
        <v>17805</v>
      </c>
      <c r="B1619" s="20">
        <v>25</v>
      </c>
      <c r="C1619" s="20">
        <v>57</v>
      </c>
      <c r="D1619" s="20">
        <v>21</v>
      </c>
      <c r="E1619" s="20">
        <v>80</v>
      </c>
      <c r="F1619" s="20" t="s">
        <v>17806</v>
      </c>
      <c r="G1619" s="24"/>
      <c r="H1619" s="24"/>
      <c r="I1619" s="24" t="str">
        <f ca="1">IFERROR(__xludf.DUMMYFUNCTION("GOOGLETRANSLATE(F1619,""en"",""pt"")"),"Slate úmido cursos prova")</f>
        <v>Slate úmido cursos prova</v>
      </c>
      <c r="J1619" t="str">
        <f>VLOOKUP(A1619,Pr_Base_LNEC!$A$4:$J$6971,6,FALSE)</f>
        <v>-</v>
      </c>
      <c r="K1619">
        <f>VLOOKUP(A1619,Pr_Base_LNEC!$A$4:$J$6971,7,FALSE)</f>
        <v>0</v>
      </c>
    </row>
    <row r="1620" spans="1:11" ht="14.5">
      <c r="A1620" s="20" t="s">
        <v>17807</v>
      </c>
      <c r="B1620" s="20">
        <v>25</v>
      </c>
      <c r="C1620" s="20">
        <v>57</v>
      </c>
      <c r="D1620" s="20">
        <v>21</v>
      </c>
      <c r="E1620" s="20">
        <v>99</v>
      </c>
      <c r="F1620" s="20" t="s">
        <v>17808</v>
      </c>
      <c r="G1620" s="24"/>
      <c r="H1620" s="24"/>
      <c r="I1620" s="24" t="str">
        <f ca="1">IFERROR(__xludf.DUMMYFUNCTION("GOOGLETRANSLATE(F1620,""en"",""pt"")"),"Zinco húmido cursos prova")</f>
        <v>Zinco húmido cursos prova</v>
      </c>
      <c r="J1620" t="e">
        <f>VLOOKUP(A1620,Pr_Base_LNEC!$A$4:$J$6971,6,FALSE)</f>
        <v>#N/A</v>
      </c>
      <c r="K1620" t="e">
        <f>VLOOKUP(A1620,Pr_Base_LNEC!$A$4:$J$6971,7,FALSE)</f>
        <v>#N/A</v>
      </c>
    </row>
    <row r="1621" spans="1:11" ht="14.5">
      <c r="A1621" s="20" t="s">
        <v>17809</v>
      </c>
      <c r="B1621" s="20">
        <v>25</v>
      </c>
      <c r="C1621" s="20">
        <v>57</v>
      </c>
      <c r="D1621" s="20">
        <v>51</v>
      </c>
      <c r="E1621" s="24"/>
      <c r="F1621" s="20" t="s">
        <v>17810</v>
      </c>
      <c r="G1621" s="24"/>
      <c r="H1621" s="24"/>
      <c r="I1621" s="24" t="str">
        <f ca="1">IFERROR(__xludf.DUMMYFUNCTION("GOOGLETRANSLATE(F1621,""en"",""pt"")"),"As membranas, revestimentos, folhas flexíveis e tecidos")</f>
        <v>As membranas, revestimentos, folhas flexíveis e tecidos</v>
      </c>
      <c r="J1621" t="str">
        <f>VLOOKUP(A1621,Pr_Base_LNEC!$A$4:$J$6971,6,FALSE)</f>
        <v>Membranas, Forros, Folhas Flexiveis</v>
      </c>
      <c r="K1621">
        <f>VLOOKUP(A1621,Pr_Base_LNEC!$A$4:$J$6971,7,FALSE)</f>
        <v>0</v>
      </c>
    </row>
    <row r="1622" spans="1:11" ht="14.5">
      <c r="A1622" s="20" t="s">
        <v>17811</v>
      </c>
      <c r="B1622" s="20">
        <v>25</v>
      </c>
      <c r="C1622" s="20">
        <v>57</v>
      </c>
      <c r="D1622" s="20">
        <v>51</v>
      </c>
      <c r="E1622" s="20">
        <v>2</v>
      </c>
      <c r="F1622" s="20" t="s">
        <v>17812</v>
      </c>
      <c r="G1622" s="20" t="s">
        <v>17813</v>
      </c>
      <c r="H1622" s="24"/>
      <c r="I1622" s="24" t="str">
        <f ca="1">IFERROR(__xludf.DUMMYFUNCTION("GOOGLETRANSLATE(F1622,""en"",""pt"")"),"Acrilonitrilo butadieno estireno (ABS) membranas com pregos")</f>
        <v>Acrilonitrilo butadieno estireno (ABS) membranas com pregos</v>
      </c>
      <c r="J1622" t="str">
        <f>VLOOKUP(A1622,Pr_Base_LNEC!$A$4:$J$6971,6,FALSE)</f>
        <v>Membranas de impermeabilização flexiveis em acrilonitrila butadieno estireno (ABS) contra a ascensão capilar de água do terreno</v>
      </c>
      <c r="K1622" t="str">
        <f>VLOOKUP(A1622,Pr_Base_LNEC!$A$4:$J$6971,7,FALSE)</f>
        <v>EN 13967:2012</v>
      </c>
    </row>
    <row r="1623" spans="1:11" ht="14.5">
      <c r="A1623" s="20" t="s">
        <v>17814</v>
      </c>
      <c r="B1623" s="20">
        <v>25</v>
      </c>
      <c r="C1623" s="20">
        <v>57</v>
      </c>
      <c r="D1623" s="20">
        <v>51</v>
      </c>
      <c r="E1623" s="20">
        <v>10</v>
      </c>
      <c r="F1623" s="20" t="s">
        <v>17815</v>
      </c>
      <c r="G1623" s="24"/>
      <c r="H1623" s="24"/>
      <c r="I1623" s="24" t="str">
        <f ca="1">IFERROR(__xludf.DUMMYFUNCTION("GOOGLETRANSLATE(F1623,""en"",""pt"")"),"borracha de butilo (poliisobutileno isopreno (IIR)) geomembranas")</f>
        <v>borracha de butilo (poliisobutileno isopreno (IIR)) geomembranas</v>
      </c>
      <c r="J1623" t="str">
        <f>VLOOKUP(A1623,Pr_Base_LNEC!$A$4:$J$6971,6,FALSE)</f>
        <v>-</v>
      </c>
      <c r="K1623">
        <f>VLOOKUP(A1623,Pr_Base_LNEC!$A$4:$J$6971,7,FALSE)</f>
        <v>0</v>
      </c>
    </row>
    <row r="1624" spans="1:11" ht="14.5">
      <c r="A1624" s="20" t="s">
        <v>17816</v>
      </c>
      <c r="B1624" s="20">
        <v>25</v>
      </c>
      <c r="C1624" s="20">
        <v>57</v>
      </c>
      <c r="D1624" s="20">
        <v>51</v>
      </c>
      <c r="E1624" s="20">
        <v>11</v>
      </c>
      <c r="F1624" s="20" t="s">
        <v>17817</v>
      </c>
      <c r="G1624" s="24"/>
      <c r="H1624" s="24"/>
      <c r="I1624" s="24" t="str">
        <f ca="1">IFERROR(__xludf.DUMMYFUNCTION("GOOGLETRANSLATE(F1624,""en"",""pt"")"),"Carborundum antiderrapante papel")</f>
        <v>Carborundum antiderrapante papel</v>
      </c>
      <c r="J1624" t="str">
        <f>VLOOKUP(A1624,Pr_Base_LNEC!$A$4:$J$6971,6,FALSE)</f>
        <v>-</v>
      </c>
      <c r="K1624">
        <f>VLOOKUP(A1624,Pr_Base_LNEC!$A$4:$J$6971,7,FALSE)</f>
        <v>0</v>
      </c>
    </row>
    <row r="1625" spans="1:11" ht="14.5">
      <c r="A1625" s="20" t="s">
        <v>17818</v>
      </c>
      <c r="B1625" s="20">
        <v>25</v>
      </c>
      <c r="C1625" s="20">
        <v>57</v>
      </c>
      <c r="D1625" s="20">
        <v>51</v>
      </c>
      <c r="E1625" s="20">
        <v>13</v>
      </c>
      <c r="F1625" s="20" t="s">
        <v>17819</v>
      </c>
      <c r="G1625" s="24"/>
      <c r="H1625" s="24"/>
      <c r="I1625" s="24" t="str">
        <f ca="1">IFERROR(__xludf.DUMMYFUNCTION("GOOGLETRANSLATE(F1625,""en"",""pt"")"),"polietileno clorado (PE-C) geomembranas")</f>
        <v>polietileno clorado (PE-C) geomembranas</v>
      </c>
      <c r="J1625" t="str">
        <f>VLOOKUP(A1625,Pr_Base_LNEC!$A$4:$J$6971,6,FALSE)</f>
        <v>-</v>
      </c>
      <c r="K1625">
        <f>VLOOKUP(A1625,Pr_Base_LNEC!$A$4:$J$6971,7,FALSE)</f>
        <v>0</v>
      </c>
    </row>
    <row r="1626" spans="1:11" ht="14.5">
      <c r="A1626" s="20" t="s">
        <v>17820</v>
      </c>
      <c r="B1626" s="20">
        <v>25</v>
      </c>
      <c r="C1626" s="20">
        <v>57</v>
      </c>
      <c r="D1626" s="20">
        <v>51</v>
      </c>
      <c r="E1626" s="20">
        <v>14</v>
      </c>
      <c r="F1626" s="20" t="s">
        <v>17821</v>
      </c>
      <c r="G1626" s="24"/>
      <c r="H1626" s="24"/>
      <c r="I1626" s="24" t="str">
        <f ca="1">IFERROR(__xludf.DUMMYFUNCTION("GOOGLETRANSLATE(F1626,""en"",""pt"")"),"polietileno clorossulfonado (PE-CS) geomembranas")</f>
        <v>polietileno clorossulfonado (PE-CS) geomembranas</v>
      </c>
      <c r="J1626" t="str">
        <f>VLOOKUP(A1626,Pr_Base_LNEC!$A$4:$J$6971,6,FALSE)</f>
        <v>-</v>
      </c>
      <c r="K1626">
        <f>VLOOKUP(A1626,Pr_Base_LNEC!$A$4:$J$6971,7,FALSE)</f>
        <v>0</v>
      </c>
    </row>
    <row r="1627" spans="1:11" ht="14.5">
      <c r="A1627" s="20" t="s">
        <v>17822</v>
      </c>
      <c r="B1627" s="20">
        <v>25</v>
      </c>
      <c r="C1627" s="20">
        <v>57</v>
      </c>
      <c r="D1627" s="20">
        <v>51</v>
      </c>
      <c r="E1627" s="20">
        <v>16</v>
      </c>
      <c r="F1627" s="20" t="s">
        <v>17823</v>
      </c>
      <c r="G1627" s="24"/>
      <c r="H1627" s="24"/>
      <c r="I1627" s="24" t="str">
        <f ca="1">IFERROR(__xludf.DUMMYFUNCTION("GOOGLETRANSLATE(F1627,""en"",""pt"")"),"tecidos de poliéster revestido")</f>
        <v>tecidos de poliéster revestido</v>
      </c>
      <c r="J1627" t="str">
        <f>VLOOKUP(A1627,Pr_Base_LNEC!$A$4:$J$6971,6,FALSE)</f>
        <v>-</v>
      </c>
      <c r="K1627">
        <f>VLOOKUP(A1627,Pr_Base_LNEC!$A$4:$J$6971,7,FALSE)</f>
        <v>0</v>
      </c>
    </row>
    <row r="1628" spans="1:11" ht="14.5">
      <c r="A1628" s="20" t="s">
        <v>17824</v>
      </c>
      <c r="B1628" s="20">
        <v>25</v>
      </c>
      <c r="C1628" s="20">
        <v>57</v>
      </c>
      <c r="D1628" s="20">
        <v>51</v>
      </c>
      <c r="E1628" s="20">
        <v>27</v>
      </c>
      <c r="F1628" s="20" t="s">
        <v>17825</v>
      </c>
      <c r="G1628" s="24"/>
      <c r="H1628" s="24"/>
      <c r="I1628" s="24" t="str">
        <f ca="1">IFERROR(__xludf.DUMMYFUNCTION("GOOGLETRANSLATE(F1628,""en"",""pt"")"),"Etileno propileno dieno monómero (EPDM) geomembranas")</f>
        <v>Etileno propileno dieno monómero (EPDM) geomembranas</v>
      </c>
      <c r="J1628" t="str">
        <f>VLOOKUP(A1628,Pr_Base_LNEC!$A$4:$J$6971,6,FALSE)</f>
        <v>-</v>
      </c>
      <c r="K1628">
        <f>VLOOKUP(A1628,Pr_Base_LNEC!$A$4:$J$6971,7,FALSE)</f>
        <v>0</v>
      </c>
    </row>
    <row r="1629" spans="1:11" ht="14.5">
      <c r="A1629" s="20" t="s">
        <v>17826</v>
      </c>
      <c r="B1629" s="20">
        <v>25</v>
      </c>
      <c r="C1629" s="20">
        <v>57</v>
      </c>
      <c r="D1629" s="20">
        <v>51</v>
      </c>
      <c r="E1629" s="20">
        <v>30</v>
      </c>
      <c r="F1629" s="20" t="s">
        <v>17827</v>
      </c>
      <c r="G1629" s="20" t="s">
        <v>17828</v>
      </c>
      <c r="H1629" s="24"/>
      <c r="I1629" s="24" t="str">
        <f ca="1">IFERROR(__xludf.DUMMYFUNCTION("GOOGLETRANSLATE(F1629,""en"",""pt"")"),"forros da lagoa flexíveis")</f>
        <v>forros da lagoa flexíveis</v>
      </c>
      <c r="J1629" t="str">
        <f>VLOOKUP(A1629,Pr_Base_LNEC!$A$4:$J$6971,6,FALSE)</f>
        <v>-</v>
      </c>
      <c r="K1629">
        <f>VLOOKUP(A1629,Pr_Base_LNEC!$A$4:$J$6971,7,FALSE)</f>
        <v>0</v>
      </c>
    </row>
    <row r="1630" spans="1:11" ht="14.5">
      <c r="A1630" s="20" t="s">
        <v>17829</v>
      </c>
      <c r="B1630" s="20">
        <v>25</v>
      </c>
      <c r="C1630" s="20">
        <v>57</v>
      </c>
      <c r="D1630" s="20">
        <v>51</v>
      </c>
      <c r="E1630" s="20">
        <v>31</v>
      </c>
      <c r="F1630" s="20" t="s">
        <v>17830</v>
      </c>
      <c r="G1630" s="24"/>
      <c r="H1630" s="24"/>
      <c r="I1630" s="24" t="str">
        <f ca="1">IFERROR(__xludf.DUMMYFUNCTION("GOOGLETRANSLATE(F1630,""en"",""pt"")"),"poliolefina flexível (FPO) membranas poliméricas")</f>
        <v>poliolefina flexível (FPO) membranas poliméricas</v>
      </c>
      <c r="J1630" t="str">
        <f>VLOOKUP(A1630,Pr_Base_LNEC!$A$4:$J$6971,6,FALSE)</f>
        <v>-</v>
      </c>
      <c r="K1630">
        <f>VLOOKUP(A1630,Pr_Base_LNEC!$A$4:$J$6971,7,FALSE)</f>
        <v>0</v>
      </c>
    </row>
    <row r="1631" spans="1:11" ht="14.5">
      <c r="A1631" s="20" t="s">
        <v>17831</v>
      </c>
      <c r="B1631" s="20">
        <v>25</v>
      </c>
      <c r="C1631" s="20">
        <v>57</v>
      </c>
      <c r="D1631" s="20">
        <v>51</v>
      </c>
      <c r="E1631" s="20">
        <v>33</v>
      </c>
      <c r="F1631" s="20" t="s">
        <v>17832</v>
      </c>
      <c r="G1631" s="20" t="s">
        <v>17833</v>
      </c>
      <c r="H1631" s="24"/>
      <c r="I1631" s="24" t="str">
        <f ca="1">IFERROR(__xludf.DUMMYFUNCTION("GOOGLETRANSLATE(F1631,""en"",""pt"")"),"velos de fibras de vidro")</f>
        <v>velos de fibras de vidro</v>
      </c>
      <c r="J1631" t="str">
        <f>VLOOKUP(A1631,Pr_Base_LNEC!$A$4:$J$6971,6,FALSE)</f>
        <v>-</v>
      </c>
      <c r="K1631">
        <f>VLOOKUP(A1631,Pr_Base_LNEC!$A$4:$J$6971,7,FALSE)</f>
        <v>0</v>
      </c>
    </row>
    <row r="1632" spans="1:11" ht="14.5">
      <c r="A1632" s="20" t="s">
        <v>17834</v>
      </c>
      <c r="B1632" s="20">
        <v>25</v>
      </c>
      <c r="C1632" s="20">
        <v>57</v>
      </c>
      <c r="D1632" s="20">
        <v>51</v>
      </c>
      <c r="E1632" s="20">
        <v>35</v>
      </c>
      <c r="F1632" s="20" t="s">
        <v>17835</v>
      </c>
      <c r="G1632" s="20" t="s">
        <v>17836</v>
      </c>
      <c r="H1632" s="24"/>
      <c r="I1632" s="24" t="str">
        <f ca="1">IFERROR(__xludf.DUMMYFUNCTION("GOOGLETRANSLATE(F1632,""en"",""pt"")"),"plásticos reforçados de vidro (GRP) forros folha")</f>
        <v>plásticos reforçados de vidro (GRP) forros folha</v>
      </c>
      <c r="J1632" t="str">
        <f>VLOOKUP(A1632,Pr_Base_LNEC!$A$4:$J$6971,6,FALSE)</f>
        <v>-</v>
      </c>
      <c r="K1632">
        <f>VLOOKUP(A1632,Pr_Base_LNEC!$A$4:$J$6971,7,FALSE)</f>
        <v>0</v>
      </c>
    </row>
    <row r="1633" spans="1:11" ht="14.5">
      <c r="A1633" s="20" t="s">
        <v>17837</v>
      </c>
      <c r="B1633" s="20">
        <v>25</v>
      </c>
      <c r="C1633" s="20">
        <v>57</v>
      </c>
      <c r="D1633" s="20">
        <v>51</v>
      </c>
      <c r="E1633" s="20">
        <v>36</v>
      </c>
      <c r="F1633" s="20" t="s">
        <v>17838</v>
      </c>
      <c r="G1633" s="24"/>
      <c r="H1633" s="24"/>
      <c r="I1633" s="24" t="str">
        <f ca="1">IFERROR(__xludf.DUMMYFUNCTION("GOOGLETRANSLATE(F1633,""en"",""pt"")"),"polietileno de alta densidade (PE-HD) folhas com pregos")</f>
        <v>polietileno de alta densidade (PE-HD) folhas com pregos</v>
      </c>
      <c r="J1633" t="str">
        <f>VLOOKUP(A1633,Pr_Base_LNEC!$A$4:$J$6971,6,FALSE)</f>
        <v>-</v>
      </c>
      <c r="K1633">
        <f>VLOOKUP(A1633,Pr_Base_LNEC!$A$4:$J$6971,7,FALSE)</f>
        <v>0</v>
      </c>
    </row>
    <row r="1634" spans="1:11" ht="14.5">
      <c r="A1634" s="20" t="s">
        <v>17839</v>
      </c>
      <c r="B1634" s="20">
        <v>25</v>
      </c>
      <c r="C1634" s="20">
        <v>57</v>
      </c>
      <c r="D1634" s="20">
        <v>51</v>
      </c>
      <c r="E1634" s="20">
        <v>38</v>
      </c>
      <c r="F1634" s="20" t="s">
        <v>17840</v>
      </c>
      <c r="G1634" s="24"/>
      <c r="H1634" s="24"/>
      <c r="I1634" s="24" t="str">
        <f ca="1">IFERROR(__xludf.DUMMYFUNCTION("GOOGLETRANSLATE(F1634,""en"",""pt"")"),"poliestireno de alto impacto (HIPS) folhas com pregos")</f>
        <v>poliestireno de alto impacto (HIPS) folhas com pregos</v>
      </c>
      <c r="J1634" t="str">
        <f>VLOOKUP(A1634,Pr_Base_LNEC!$A$4:$J$6971,6,FALSE)</f>
        <v>-</v>
      </c>
      <c r="K1634">
        <f>VLOOKUP(A1634,Pr_Base_LNEC!$A$4:$J$6971,7,FALSE)</f>
        <v>0</v>
      </c>
    </row>
    <row r="1635" spans="1:11" ht="14.5">
      <c r="A1635" s="20" t="s">
        <v>17841</v>
      </c>
      <c r="B1635" s="20">
        <v>25</v>
      </c>
      <c r="C1635" s="20">
        <v>57</v>
      </c>
      <c r="D1635" s="20">
        <v>51</v>
      </c>
      <c r="E1635" s="20">
        <v>42</v>
      </c>
      <c r="F1635" s="20" t="s">
        <v>17842</v>
      </c>
      <c r="G1635" s="24"/>
      <c r="H1635" s="24"/>
      <c r="I1635" s="24" t="str">
        <f ca="1">IFERROR(__xludf.DUMMYFUNCTION("GOOGLETRANSLATE(F1635,""en"",""pt"")"),"fotovoltaicos flexível integrado (PV) do módulo de membranas")</f>
        <v>fotovoltaicos flexível integrado (PV) do módulo de membranas</v>
      </c>
      <c r="J1635" t="str">
        <f>VLOOKUP(A1635,Pr_Base_LNEC!$A$4:$J$6971,6,FALSE)</f>
        <v>-</v>
      </c>
      <c r="K1635">
        <f>VLOOKUP(A1635,Pr_Base_LNEC!$A$4:$J$6971,7,FALSE)</f>
        <v>0</v>
      </c>
    </row>
    <row r="1636" spans="1:11" ht="14.5">
      <c r="A1636" s="20" t="s">
        <v>17843</v>
      </c>
      <c r="B1636" s="20">
        <v>25</v>
      </c>
      <c r="C1636" s="20">
        <v>57</v>
      </c>
      <c r="D1636" s="20">
        <v>51</v>
      </c>
      <c r="E1636" s="20">
        <v>51</v>
      </c>
      <c r="F1636" s="20" t="s">
        <v>17844</v>
      </c>
      <c r="G1636" s="20" t="s">
        <v>17845</v>
      </c>
      <c r="H1636" s="24"/>
      <c r="I1636" s="24" t="str">
        <f ca="1">IFERROR(__xludf.DUMMYFUNCTION("GOOGLETRANSLATE(F1636,""en"",""pt"")"),"passarelas de membrana")</f>
        <v>passarelas de membrana</v>
      </c>
      <c r="J1636" t="str">
        <f>VLOOKUP(A1636,Pr_Base_LNEC!$A$4:$J$6971,6,FALSE)</f>
        <v>-</v>
      </c>
      <c r="K1636">
        <f>VLOOKUP(A1636,Pr_Base_LNEC!$A$4:$J$6971,7,FALSE)</f>
        <v>0</v>
      </c>
    </row>
    <row r="1637" spans="1:11" ht="14.5">
      <c r="A1637" s="20" t="s">
        <v>17846</v>
      </c>
      <c r="B1637" s="20">
        <v>25</v>
      </c>
      <c r="C1637" s="20">
        <v>57</v>
      </c>
      <c r="D1637" s="20">
        <v>51</v>
      </c>
      <c r="E1637" s="20">
        <v>52</v>
      </c>
      <c r="F1637" s="20" t="s">
        <v>17847</v>
      </c>
      <c r="G1637" s="24"/>
      <c r="H1637" s="24"/>
      <c r="I1637" s="24" t="str">
        <f ca="1">IFERROR(__xludf.DUMMYFUNCTION("GOOGLETRANSLATE(F1637,""en"",""pt"")"),"plásticos metalizados filmes janela")</f>
        <v>plásticos metalizados filmes janela</v>
      </c>
      <c r="J1637" t="str">
        <f>VLOOKUP(A1637,Pr_Base_LNEC!$A$4:$J$6971,6,FALSE)</f>
        <v>-</v>
      </c>
      <c r="K1637">
        <f>VLOOKUP(A1637,Pr_Base_LNEC!$A$4:$J$6971,7,FALSE)</f>
        <v>0</v>
      </c>
    </row>
    <row r="1638" spans="1:11" ht="14.5">
      <c r="A1638" s="20" t="s">
        <v>17848</v>
      </c>
      <c r="B1638" s="20">
        <v>25</v>
      </c>
      <c r="C1638" s="20">
        <v>57</v>
      </c>
      <c r="D1638" s="20">
        <v>51</v>
      </c>
      <c r="E1638" s="20">
        <v>54</v>
      </c>
      <c r="F1638" s="20" t="s">
        <v>17849</v>
      </c>
      <c r="G1638" s="24"/>
      <c r="H1638" s="24"/>
      <c r="I1638" s="24" t="str">
        <f ca="1">IFERROR(__xludf.DUMMYFUNCTION("GOOGLETRANSLATE(F1638,""en"",""pt"")"),"tecido acrílico modificado")</f>
        <v>tecido acrílico modificado</v>
      </c>
      <c r="J1638" t="str">
        <f>VLOOKUP(A1638,Pr_Base_LNEC!$A$4:$J$6971,6,FALSE)</f>
        <v>-</v>
      </c>
      <c r="K1638">
        <f>VLOOKUP(A1638,Pr_Base_LNEC!$A$4:$J$6971,7,FALSE)</f>
        <v>0</v>
      </c>
    </row>
    <row r="1639" spans="1:11" ht="14.5">
      <c r="A1639" s="20" t="s">
        <v>17850</v>
      </c>
      <c r="B1639" s="20">
        <v>25</v>
      </c>
      <c r="C1639" s="20">
        <v>57</v>
      </c>
      <c r="D1639" s="20">
        <v>51</v>
      </c>
      <c r="E1639" s="20">
        <v>60</v>
      </c>
      <c r="F1639" s="20" t="s">
        <v>17851</v>
      </c>
      <c r="G1639" s="20" t="s">
        <v>17852</v>
      </c>
      <c r="H1639" s="24"/>
      <c r="I1639" s="24" t="str">
        <f ca="1">IFERROR(__xludf.DUMMYFUNCTION("GOOGLETRANSLATE(F1639,""en"",""pt"")"),"películas de plásticos")</f>
        <v>películas de plásticos</v>
      </c>
      <c r="J1639" t="str">
        <f>VLOOKUP(A1639,Pr_Base_LNEC!$A$4:$J$6971,6,FALSE)</f>
        <v>-</v>
      </c>
      <c r="K1639">
        <f>VLOOKUP(A1639,Pr_Base_LNEC!$A$4:$J$6971,7,FALSE)</f>
        <v>0</v>
      </c>
    </row>
    <row r="1640" spans="1:11" ht="14.5">
      <c r="A1640" s="20" t="s">
        <v>17853</v>
      </c>
      <c r="B1640" s="20">
        <v>25</v>
      </c>
      <c r="C1640" s="20">
        <v>57</v>
      </c>
      <c r="D1640" s="20">
        <v>51</v>
      </c>
      <c r="E1640" s="20">
        <v>61</v>
      </c>
      <c r="F1640" s="20" t="s">
        <v>17854</v>
      </c>
      <c r="G1640" s="20" t="s">
        <v>17855</v>
      </c>
      <c r="H1640" s="24"/>
      <c r="I1640" s="24" t="str">
        <f ca="1">IFERROR(__xludf.DUMMYFUNCTION("GOOGLETRANSLATE(F1640,""en"",""pt"")"),"forros plásticos pré-formadas")</f>
        <v>forros plásticos pré-formadas</v>
      </c>
      <c r="J1640" t="str">
        <f>VLOOKUP(A1640,Pr_Base_LNEC!$A$4:$J$6971,6,FALSE)</f>
        <v>-</v>
      </c>
      <c r="K1640">
        <f>VLOOKUP(A1640,Pr_Base_LNEC!$A$4:$J$6971,7,FALSE)</f>
        <v>0</v>
      </c>
    </row>
    <row r="1641" spans="1:11" ht="14.5">
      <c r="A1641" s="20" t="s">
        <v>17856</v>
      </c>
      <c r="B1641" s="20">
        <v>25</v>
      </c>
      <c r="C1641" s="20">
        <v>57</v>
      </c>
      <c r="D1641" s="20">
        <v>51</v>
      </c>
      <c r="E1641" s="20">
        <v>66</v>
      </c>
      <c r="F1641" s="20" t="s">
        <v>17857</v>
      </c>
      <c r="G1641" s="20" t="s">
        <v>17858</v>
      </c>
      <c r="H1641" s="24"/>
      <c r="I1641" s="24" t="str">
        <f ca="1">IFERROR(__xludf.DUMMYFUNCTION("GOOGLETRANSLATE(F1641,""en"",""pt"")"),"membranas poliméricas")</f>
        <v>membranas poliméricas</v>
      </c>
      <c r="J1641" t="str">
        <f>VLOOKUP(A1641,Pr_Base_LNEC!$A$4:$J$6971,6,FALSE)</f>
        <v>Membranas de impermeabilização flexíveis poliméricas para impermeabilização de coberturas</v>
      </c>
      <c r="K1641" t="str">
        <f>VLOOKUP(A1641,Pr_Base_LNEC!$A$4:$J$6971,7,FALSE)</f>
        <v>EN 13956:2012</v>
      </c>
    </row>
    <row r="1642" spans="1:11" ht="14.5">
      <c r="A1642" s="20" t="s">
        <v>17859</v>
      </c>
      <c r="B1642" s="20">
        <v>25</v>
      </c>
      <c r="C1642" s="20">
        <v>57</v>
      </c>
      <c r="D1642" s="20">
        <v>51</v>
      </c>
      <c r="E1642" s="20">
        <v>67</v>
      </c>
      <c r="F1642" s="20" t="s">
        <v>17860</v>
      </c>
      <c r="G1642" s="24"/>
      <c r="H1642" s="24"/>
      <c r="I1642" s="24" t="str">
        <f ca="1">IFERROR(__xludf.DUMMYFUNCTION("GOOGLETRANSLATE(F1642,""en"",""pt"")"),"colarinhos de membrana polimérica")</f>
        <v>colarinhos de membrana polimérica</v>
      </c>
      <c r="J1642" t="str">
        <f>VLOOKUP(A1642,Pr_Base_LNEC!$A$4:$J$6971,6,FALSE)</f>
        <v>-</v>
      </c>
      <c r="K1642">
        <f>VLOOKUP(A1642,Pr_Base_LNEC!$A$4:$J$6971,7,FALSE)</f>
        <v>0</v>
      </c>
    </row>
    <row r="1643" spans="1:11" ht="14.5">
      <c r="A1643" s="20" t="s">
        <v>17861</v>
      </c>
      <c r="B1643" s="20">
        <v>25</v>
      </c>
      <c r="C1643" s="20">
        <v>57</v>
      </c>
      <c r="D1643" s="20">
        <v>51</v>
      </c>
      <c r="E1643" s="20">
        <v>68</v>
      </c>
      <c r="F1643" s="20" t="s">
        <v>17862</v>
      </c>
      <c r="G1643" s="20" t="s">
        <v>17813</v>
      </c>
      <c r="H1643" s="24"/>
      <c r="I1643" s="24" t="str">
        <f ca="1">IFERROR(__xludf.DUMMYFUNCTION("GOOGLETRANSLATE(F1643,""en"",""pt"")"),"Polipropileno (PP) folhas com pregos")</f>
        <v>Polipropileno (PP) folhas com pregos</v>
      </c>
      <c r="J1643" t="str">
        <f>VLOOKUP(A1643,Pr_Base_LNEC!$A$4:$J$6971,6,FALSE)</f>
        <v>Membranas de Impermeabilização Flexíveis em Polipropileno (PP) com pregos contra a Ascensão Capilar de Água do Terreno</v>
      </c>
      <c r="K1643" t="str">
        <f>VLOOKUP(A1643,Pr_Base_LNEC!$A$4:$J$6971,7,FALSE)</f>
        <v>EN 13967:2012</v>
      </c>
    </row>
    <row r="1644" spans="1:11" ht="14.5">
      <c r="A1644" s="20" t="s">
        <v>17863</v>
      </c>
      <c r="B1644" s="20">
        <v>25</v>
      </c>
      <c r="C1644" s="20">
        <v>57</v>
      </c>
      <c r="D1644" s="20">
        <v>51</v>
      </c>
      <c r="E1644" s="20">
        <v>70</v>
      </c>
      <c r="F1644" s="20" t="s">
        <v>17864</v>
      </c>
      <c r="G1644" s="24"/>
      <c r="H1644" s="24"/>
      <c r="I1644" s="24" t="str">
        <f ca="1">IFERROR(__xludf.DUMMYFUNCTION("GOOGLETRANSLATE(F1644,""en"",""pt"")"),"geomembranas de cloreto de polivinilo")</f>
        <v>geomembranas de cloreto de polivinilo</v>
      </c>
      <c r="J1644" t="str">
        <f>VLOOKUP(A1644,Pr_Base_LNEC!$A$4:$J$6971,6,FALSE)</f>
        <v>-</v>
      </c>
      <c r="K1644">
        <f>VLOOKUP(A1644,Pr_Base_LNEC!$A$4:$J$6971,7,FALSE)</f>
        <v>0</v>
      </c>
    </row>
    <row r="1645" spans="1:11" ht="14.5">
      <c r="A1645" s="20" t="s">
        <v>17865</v>
      </c>
      <c r="B1645" s="20">
        <v>25</v>
      </c>
      <c r="C1645" s="20">
        <v>57</v>
      </c>
      <c r="D1645" s="20">
        <v>51</v>
      </c>
      <c r="E1645" s="20">
        <v>74</v>
      </c>
      <c r="F1645" s="20" t="s">
        <v>17866</v>
      </c>
      <c r="G1645" s="20" t="s">
        <v>17813</v>
      </c>
      <c r="H1645" s="24"/>
      <c r="I1645" s="24" t="str">
        <f ca="1">IFERROR(__xludf.DUMMYFUNCTION("GOOGLETRANSLATE(F1645,""en"",""pt"")"),"folhas de borracha cravejado")</f>
        <v>folhas de borracha cravejado</v>
      </c>
      <c r="J1645" t="str">
        <f>VLOOKUP(A1645,Pr_Base_LNEC!$A$4:$J$6971,6,FALSE)</f>
        <v>Membranas de Impermeabilização Flexíveis em Borracha contra a Ascensão Capilar de Água do Terreno</v>
      </c>
      <c r="K1645" t="str">
        <f>VLOOKUP(A1645,Pr_Base_LNEC!$A$4:$J$6971,7,FALSE)</f>
        <v>EN 13967:2012</v>
      </c>
    </row>
    <row r="1646" spans="1:11" ht="14.5">
      <c r="A1646" s="20" t="s">
        <v>17867</v>
      </c>
      <c r="B1646" s="20">
        <v>25</v>
      </c>
      <c r="C1646" s="20">
        <v>57</v>
      </c>
      <c r="D1646" s="20">
        <v>51</v>
      </c>
      <c r="E1646" s="20">
        <v>79</v>
      </c>
      <c r="F1646" s="20" t="s">
        <v>17868</v>
      </c>
      <c r="G1646" s="20" t="s">
        <v>17869</v>
      </c>
      <c r="H1646" s="24"/>
      <c r="I1646" s="24" t="str">
        <f ca="1">IFERROR(__xludf.DUMMYFUNCTION("GOOGLETRANSLATE(F1646,""en"",""pt"")"),"folhas e tiras antiderrapante")</f>
        <v>folhas e tiras antiderrapante</v>
      </c>
      <c r="J1646" t="str">
        <f>VLOOKUP(A1646,Pr_Base_LNEC!$A$4:$J$6971,6,FALSE)</f>
        <v>-</v>
      </c>
      <c r="K1646">
        <f>VLOOKUP(A1646,Pr_Base_LNEC!$A$4:$J$6971,7,FALSE)</f>
        <v>0</v>
      </c>
    </row>
    <row r="1647" spans="1:11" ht="14.5">
      <c r="A1647" s="20" t="s">
        <v>17870</v>
      </c>
      <c r="B1647" s="20">
        <v>25</v>
      </c>
      <c r="C1647" s="20">
        <v>57</v>
      </c>
      <c r="D1647" s="20">
        <v>51</v>
      </c>
      <c r="E1647" s="20">
        <v>88</v>
      </c>
      <c r="F1647" s="20" t="s">
        <v>17871</v>
      </c>
      <c r="G1647" s="24"/>
      <c r="H1647" s="24"/>
      <c r="I1647" s="24" t="str">
        <f ca="1">IFERROR(__xludf.DUMMYFUNCTION("GOOGLETRANSLATE(F1647,""en"",""pt"")"),"Termoplástico elastómero de poliolefina (TPE) polimérico membranas")</f>
        <v>Termoplástico elastómero de poliolefina (TPE) polimérico membranas</v>
      </c>
      <c r="J1647" t="str">
        <f>VLOOKUP(A1647,Pr_Base_LNEC!$A$4:$J$6971,6,FALSE)</f>
        <v>-</v>
      </c>
      <c r="K1647">
        <f>VLOOKUP(A1647,Pr_Base_LNEC!$A$4:$J$6971,7,FALSE)</f>
        <v>0</v>
      </c>
    </row>
    <row r="1648" spans="1:11" ht="14.5">
      <c r="A1648" s="20" t="s">
        <v>17872</v>
      </c>
      <c r="B1648" s="20">
        <v>25</v>
      </c>
      <c r="C1648" s="20">
        <v>57</v>
      </c>
      <c r="D1648" s="20">
        <v>51</v>
      </c>
      <c r="E1648" s="20">
        <v>95</v>
      </c>
      <c r="F1648" s="20" t="s">
        <v>17873</v>
      </c>
      <c r="G1648" s="24"/>
      <c r="H1648" s="24"/>
      <c r="I1648" s="24" t="str">
        <f ca="1">IFERROR(__xludf.DUMMYFUNCTION("GOOGLETRANSLATE(F1648,""en"",""pt"")"),"terpolímero de etileno-vinilo (EFP) membranas poliméricas")</f>
        <v>terpolímero de etileno-vinilo (EFP) membranas poliméricas</v>
      </c>
      <c r="J1648" t="str">
        <f>VLOOKUP(A1648,Pr_Base_LNEC!$A$4:$J$6971,6,FALSE)</f>
        <v>-</v>
      </c>
      <c r="K1648">
        <f>VLOOKUP(A1648,Pr_Base_LNEC!$A$4:$J$6971,7,FALSE)</f>
        <v>0</v>
      </c>
    </row>
    <row r="1649" spans="1:11" ht="14.5">
      <c r="A1649" s="20" t="s">
        <v>17874</v>
      </c>
      <c r="B1649" s="20">
        <v>25</v>
      </c>
      <c r="C1649" s="20">
        <v>57</v>
      </c>
      <c r="D1649" s="20">
        <v>53</v>
      </c>
      <c r="E1649" s="24"/>
      <c r="F1649" s="20" t="s">
        <v>17875</v>
      </c>
      <c r="G1649" s="24"/>
      <c r="H1649" s="24"/>
      <c r="I1649" s="24" t="str">
        <f ca="1">IFERROR(__xludf.DUMMYFUNCTION("GOOGLETRANSLATE(F1649,""en"",""pt"")"),"folhas de retenção de umidade")</f>
        <v>folhas de retenção de umidade</v>
      </c>
      <c r="J1649" t="str">
        <f>VLOOKUP(A1649,Pr_Base_LNEC!$A$4:$J$6971,6,FALSE)</f>
        <v>Folhas para Retenção de Humidade</v>
      </c>
      <c r="K1649">
        <f>VLOOKUP(A1649,Pr_Base_LNEC!$A$4:$J$6971,7,FALSE)</f>
        <v>0</v>
      </c>
    </row>
    <row r="1650" spans="1:11" ht="14.5">
      <c r="A1650" s="20" t="s">
        <v>17876</v>
      </c>
      <c r="B1650" s="20">
        <v>25</v>
      </c>
      <c r="C1650" s="20">
        <v>57</v>
      </c>
      <c r="D1650" s="20">
        <v>53</v>
      </c>
      <c r="E1650" s="20">
        <v>30</v>
      </c>
      <c r="F1650" s="20" t="s">
        <v>17877</v>
      </c>
      <c r="G1650" s="24"/>
      <c r="H1650" s="24"/>
      <c r="I1650" s="24" t="str">
        <f ca="1">IFERROR(__xludf.DUMMYFUNCTION("GOOGLETRANSLATE(F1650,""en"",""pt"")"),"esteiras de retenção de humidade de resina de espuma aminoplastic")</f>
        <v>esteiras de retenção de humidade de resina de espuma aminoplastic</v>
      </c>
      <c r="J1650" t="str">
        <f>VLOOKUP(A1650,Pr_Base_LNEC!$A$4:$J$6971,6,FALSE)</f>
        <v>-</v>
      </c>
      <c r="K1650">
        <f>VLOOKUP(A1650,Pr_Base_LNEC!$A$4:$J$6971,7,FALSE)</f>
        <v>0</v>
      </c>
    </row>
    <row r="1651" spans="1:11" ht="14.5">
      <c r="A1651" s="20" t="s">
        <v>17878</v>
      </c>
      <c r="B1651" s="20">
        <v>25</v>
      </c>
      <c r="C1651" s="20">
        <v>57</v>
      </c>
      <c r="D1651" s="20">
        <v>53</v>
      </c>
      <c r="E1651" s="20">
        <v>50</v>
      </c>
      <c r="F1651" s="20" t="s">
        <v>17879</v>
      </c>
      <c r="G1651" s="24"/>
      <c r="H1651" s="24"/>
      <c r="I1651" s="24" t="str">
        <f ca="1">IFERROR(__xludf.DUMMYFUNCTION("GOOGLETRANSLATE(F1651,""en"",""pt"")"),"geotêxteis de retenção de água de lã mineral")</f>
        <v>geotêxteis de retenção de água de lã mineral</v>
      </c>
      <c r="J1651" t="str">
        <f>VLOOKUP(A1651,Pr_Base_LNEC!$A$4:$J$6971,6,FALSE)</f>
        <v>-</v>
      </c>
      <c r="K1651">
        <f>VLOOKUP(A1651,Pr_Base_LNEC!$A$4:$J$6971,7,FALSE)</f>
        <v>0</v>
      </c>
    </row>
    <row r="1652" spans="1:11" ht="14.5">
      <c r="A1652" s="20" t="s">
        <v>17880</v>
      </c>
      <c r="B1652" s="20">
        <v>25</v>
      </c>
      <c r="C1652" s="20">
        <v>57</v>
      </c>
      <c r="D1652" s="20">
        <v>53</v>
      </c>
      <c r="E1652" s="20">
        <v>62</v>
      </c>
      <c r="F1652" s="20" t="s">
        <v>17881</v>
      </c>
      <c r="G1652" s="24"/>
      <c r="H1652" s="24"/>
      <c r="I1652" s="24" t="str">
        <f ca="1">IFERROR(__xludf.DUMMYFUNCTION("GOOGLETRANSLATE(F1652,""en"",""pt"")"),"Poliacrilonitrilo (PAN) de retenção de água geotêxteis")</f>
        <v>Poliacrilonitrilo (PAN) de retenção de água geotêxteis</v>
      </c>
      <c r="J1652" t="str">
        <f>VLOOKUP(A1652,Pr_Base_LNEC!$A$4:$J$6971,6,FALSE)</f>
        <v>-</v>
      </c>
      <c r="K1652">
        <f>VLOOKUP(A1652,Pr_Base_LNEC!$A$4:$J$6971,7,FALSE)</f>
        <v>0</v>
      </c>
    </row>
    <row r="1653" spans="1:11" ht="14.5">
      <c r="A1653" s="20" t="s">
        <v>17882</v>
      </c>
      <c r="B1653" s="20">
        <v>25</v>
      </c>
      <c r="C1653" s="20">
        <v>57</v>
      </c>
      <c r="D1653" s="20">
        <v>53</v>
      </c>
      <c r="E1653" s="20">
        <v>63</v>
      </c>
      <c r="F1653" s="20" t="s">
        <v>17883</v>
      </c>
      <c r="G1653" s="24"/>
      <c r="H1653" s="24"/>
      <c r="I1653" s="24" t="str">
        <f ca="1">IFERROR(__xludf.DUMMYFUNCTION("GOOGLETRANSLATE(F1653,""en"",""pt"")"),"geotêxteis de retenção de água de poliamida")</f>
        <v>geotêxteis de retenção de água de poliamida</v>
      </c>
      <c r="J1653" t="str">
        <f>VLOOKUP(A1653,Pr_Base_LNEC!$A$4:$J$6971,6,FALSE)</f>
        <v>-</v>
      </c>
      <c r="K1653">
        <f>VLOOKUP(A1653,Pr_Base_LNEC!$A$4:$J$6971,7,FALSE)</f>
        <v>0</v>
      </c>
    </row>
    <row r="1654" spans="1:11" ht="14.5">
      <c r="A1654" s="20" t="s">
        <v>17884</v>
      </c>
      <c r="B1654" s="20">
        <v>25</v>
      </c>
      <c r="C1654" s="20">
        <v>57</v>
      </c>
      <c r="D1654" s="20">
        <v>53</v>
      </c>
      <c r="E1654" s="20">
        <v>65</v>
      </c>
      <c r="F1654" s="20" t="s">
        <v>17885</v>
      </c>
      <c r="G1654" s="24"/>
      <c r="H1654" s="24"/>
      <c r="I1654" s="24" t="str">
        <f ca="1">IFERROR(__xludf.DUMMYFUNCTION("GOOGLETRANSLATE(F1654,""en"",""pt"")"),"geotêxteis de retenção de água de polipropileno")</f>
        <v>geotêxteis de retenção de água de polipropileno</v>
      </c>
      <c r="J1654" t="str">
        <f>VLOOKUP(A1654,Pr_Base_LNEC!$A$4:$J$6971,6,FALSE)</f>
        <v>-</v>
      </c>
      <c r="K1654">
        <f>VLOOKUP(A1654,Pr_Base_LNEC!$A$4:$J$6971,7,FALSE)</f>
        <v>0</v>
      </c>
    </row>
    <row r="1655" spans="1:11" ht="14.5">
      <c r="A1655" s="20" t="s">
        <v>17886</v>
      </c>
      <c r="B1655" s="20">
        <v>25</v>
      </c>
      <c r="C1655" s="20">
        <v>57</v>
      </c>
      <c r="D1655" s="20">
        <v>56</v>
      </c>
      <c r="E1655" s="24"/>
      <c r="F1655" s="20" t="s">
        <v>17887</v>
      </c>
      <c r="G1655" s="24"/>
      <c r="H1655" s="24"/>
      <c r="I1655" s="24" t="str">
        <f ca="1">IFERROR(__xludf.DUMMYFUNCTION("GOOGLETRANSLATE(F1655,""en"",""pt"")"),"Compensação e não-reforço de malha")</f>
        <v>Compensação e não-reforço de malha</v>
      </c>
      <c r="J1655" t="str">
        <f>VLOOKUP(A1655,Pr_Base_LNEC!$A$4:$J$6971,6,FALSE)</f>
        <v>Malhas em Rede e sem Reforço</v>
      </c>
      <c r="K1655">
        <f>VLOOKUP(A1655,Pr_Base_LNEC!$A$4:$J$6971,7,FALSE)</f>
        <v>0</v>
      </c>
    </row>
    <row r="1656" spans="1:11" ht="14.5">
      <c r="A1656" s="20" t="s">
        <v>17888</v>
      </c>
      <c r="B1656" s="20">
        <v>25</v>
      </c>
      <c r="C1656" s="20">
        <v>57</v>
      </c>
      <c r="D1656" s="20">
        <v>56</v>
      </c>
      <c r="E1656" s="20">
        <v>7</v>
      </c>
      <c r="F1656" s="20" t="s">
        <v>17889</v>
      </c>
      <c r="G1656" s="20" t="s">
        <v>17890</v>
      </c>
      <c r="H1656" s="24"/>
      <c r="I1656" s="24" t="str">
        <f ca="1">IFERROR(__xludf.DUMMYFUNCTION("GOOGLETRANSLATE(F1656,""en"",""pt"")"),"redes de dissuasão de aves")</f>
        <v>redes de dissuasão de aves</v>
      </c>
      <c r="J1656" t="str">
        <f>VLOOKUP(A1656,Pr_Base_LNEC!$A$4:$J$6971,6,FALSE)</f>
        <v>-</v>
      </c>
      <c r="K1656">
        <f>VLOOKUP(A1656,Pr_Base_LNEC!$A$4:$J$6971,7,FALSE)</f>
        <v>0</v>
      </c>
    </row>
    <row r="1657" spans="1:11" ht="14.5">
      <c r="A1657" s="20" t="s">
        <v>17891</v>
      </c>
      <c r="B1657" s="20">
        <v>25</v>
      </c>
      <c r="C1657" s="20">
        <v>57</v>
      </c>
      <c r="D1657" s="20">
        <v>56</v>
      </c>
      <c r="E1657" s="20">
        <v>14</v>
      </c>
      <c r="F1657" s="20" t="s">
        <v>17892</v>
      </c>
      <c r="G1657" s="20" t="s">
        <v>17893</v>
      </c>
      <c r="H1657" s="24"/>
      <c r="I1657" s="24" t="str">
        <f ca="1">IFERROR(__xludf.DUMMYFUNCTION("GOOGLETRANSLATE(F1657,""en"",""pt"")"),"rolos paliçada castanheiros Cleft")</f>
        <v>rolos paliçada castanheiros Cleft</v>
      </c>
      <c r="J1657" t="str">
        <f>VLOOKUP(A1657,Pr_Base_LNEC!$A$4:$J$6971,6,FALSE)</f>
        <v>-</v>
      </c>
      <c r="K1657">
        <f>VLOOKUP(A1657,Pr_Base_LNEC!$A$4:$J$6971,7,FALSE)</f>
        <v>0</v>
      </c>
    </row>
    <row r="1658" spans="1:11" ht="14.5">
      <c r="A1658" s="20" t="s">
        <v>17894</v>
      </c>
      <c r="B1658" s="20">
        <v>25</v>
      </c>
      <c r="C1658" s="20">
        <v>57</v>
      </c>
      <c r="D1658" s="20">
        <v>56</v>
      </c>
      <c r="E1658" s="20">
        <v>15</v>
      </c>
      <c r="F1658" s="20" t="s">
        <v>17895</v>
      </c>
      <c r="G1658" s="20" t="s">
        <v>17896</v>
      </c>
      <c r="H1658" s="24"/>
      <c r="I1658" s="24" t="str">
        <f ca="1">IFERROR(__xludf.DUMMYFUNCTION("GOOGLETRANSLATE(F1658,""en"",""pt"")"),"cadeia contínua de malha de ligação do metal")</f>
        <v>cadeia contínua de malha de ligação do metal</v>
      </c>
      <c r="J1658" t="str">
        <f>VLOOKUP(A1658,Pr_Base_LNEC!$A$4:$J$6971,6,FALSE)</f>
        <v>-</v>
      </c>
      <c r="K1658">
        <f>VLOOKUP(A1658,Pr_Base_LNEC!$A$4:$J$6971,7,FALSE)</f>
        <v>0</v>
      </c>
    </row>
    <row r="1659" spans="1:11" ht="14.5">
      <c r="A1659" s="20" t="s">
        <v>17897</v>
      </c>
      <c r="B1659" s="20">
        <v>25</v>
      </c>
      <c r="C1659" s="20">
        <v>57</v>
      </c>
      <c r="D1659" s="20">
        <v>56</v>
      </c>
      <c r="E1659" s="20">
        <v>16</v>
      </c>
      <c r="F1659" s="20" t="s">
        <v>17898</v>
      </c>
      <c r="G1659" s="24"/>
      <c r="H1659" s="24"/>
      <c r="I1659" s="24" t="str">
        <f ca="1">IFERROR(__xludf.DUMMYFUNCTION("GOOGLETRANSLATE(F1659,""en"",""pt"")"),"Grosseiro tecido plástico de malha")</f>
        <v>Grosseiro tecido plástico de malha</v>
      </c>
      <c r="J1659" t="str">
        <f>VLOOKUP(A1659,Pr_Base_LNEC!$A$4:$J$6971,6,FALSE)</f>
        <v>-</v>
      </c>
      <c r="K1659">
        <f>VLOOKUP(A1659,Pr_Base_LNEC!$A$4:$J$6971,7,FALSE)</f>
        <v>0</v>
      </c>
    </row>
    <row r="1660" spans="1:11" ht="14.5">
      <c r="A1660" s="20" t="s">
        <v>17899</v>
      </c>
      <c r="B1660" s="20">
        <v>25</v>
      </c>
      <c r="C1660" s="20">
        <v>57</v>
      </c>
      <c r="D1660" s="20">
        <v>56</v>
      </c>
      <c r="E1660" s="20">
        <v>27</v>
      </c>
      <c r="F1660" s="20" t="s">
        <v>17900</v>
      </c>
      <c r="G1660" s="20" t="s">
        <v>17901</v>
      </c>
      <c r="H1660" s="24"/>
      <c r="I1660" s="24" t="str">
        <f ca="1">IFERROR(__xludf.DUMMYFUNCTION("GOOGLETRANSLATE(F1660,""en"",""pt"")"),"malha de metal expandido")</f>
        <v>malha de metal expandido</v>
      </c>
      <c r="J1660" t="str">
        <f>VLOOKUP(A1660,Pr_Base_LNEC!$A$4:$J$6971,6,FALSE)</f>
        <v>-</v>
      </c>
      <c r="K1660">
        <f>VLOOKUP(A1660,Pr_Base_LNEC!$A$4:$J$6971,7,FALSE)</f>
        <v>0</v>
      </c>
    </row>
    <row r="1661" spans="1:11" ht="14.5">
      <c r="A1661" s="20" t="s">
        <v>17902</v>
      </c>
      <c r="B1661" s="20">
        <v>25</v>
      </c>
      <c r="C1661" s="20">
        <v>57</v>
      </c>
      <c r="D1661" s="20">
        <v>56</v>
      </c>
      <c r="E1661" s="20">
        <v>28</v>
      </c>
      <c r="F1661" s="20" t="s">
        <v>17903</v>
      </c>
      <c r="G1661" s="24"/>
      <c r="H1661" s="24"/>
      <c r="I1661" s="24" t="str">
        <f ca="1">IFERROR(__xludf.DUMMYFUNCTION("GOOGLETRANSLATE(F1661,""en"",""pt"")"),"plásticos extrudados de malha")</f>
        <v>plásticos extrudados de malha</v>
      </c>
      <c r="J1661" t="str">
        <f>VLOOKUP(A1661,Pr_Base_LNEC!$A$4:$J$6971,6,FALSE)</f>
        <v>-</v>
      </c>
      <c r="K1661">
        <f>VLOOKUP(A1661,Pr_Base_LNEC!$A$4:$J$6971,7,FALSE)</f>
        <v>0</v>
      </c>
    </row>
    <row r="1662" spans="1:11" ht="14.5">
      <c r="A1662" s="20" t="s">
        <v>17904</v>
      </c>
      <c r="B1662" s="20">
        <v>25</v>
      </c>
      <c r="C1662" s="20">
        <v>57</v>
      </c>
      <c r="D1662" s="20">
        <v>56</v>
      </c>
      <c r="E1662" s="20">
        <v>29</v>
      </c>
      <c r="F1662" s="20" t="s">
        <v>17905</v>
      </c>
      <c r="G1662" s="24"/>
      <c r="H1662" s="24"/>
      <c r="I1662" s="24" t="str">
        <f ca="1">IFERROR(__xludf.DUMMYFUNCTION("GOOGLETRANSLATE(F1662,""en"",""pt"")"),"Finos tecidos plásticos de malha")</f>
        <v>Finos tecidos plásticos de malha</v>
      </c>
      <c r="J1662" t="str">
        <f>VLOOKUP(A1662,Pr_Base_LNEC!$A$4:$J$6971,6,FALSE)</f>
        <v>-</v>
      </c>
      <c r="K1662">
        <f>VLOOKUP(A1662,Pr_Base_LNEC!$A$4:$J$6971,7,FALSE)</f>
        <v>0</v>
      </c>
    </row>
    <row r="1663" spans="1:11" ht="14.5">
      <c r="A1663" s="20" t="s">
        <v>17906</v>
      </c>
      <c r="B1663" s="20">
        <v>25</v>
      </c>
      <c r="C1663" s="20">
        <v>57</v>
      </c>
      <c r="D1663" s="20">
        <v>56</v>
      </c>
      <c r="E1663" s="20">
        <v>34</v>
      </c>
      <c r="F1663" s="20" t="s">
        <v>17907</v>
      </c>
      <c r="G1663" s="20" t="s">
        <v>17908</v>
      </c>
      <c r="H1663" s="24"/>
      <c r="I1663" s="24" t="str">
        <f ca="1">IFERROR(__xludf.DUMMYFUNCTION("GOOGLETRANSLATE(F1663,""en"",""pt"")"),"malha de fibra de vidro")</f>
        <v>malha de fibra de vidro</v>
      </c>
      <c r="J1663" t="str">
        <f>VLOOKUP(A1663,Pr_Base_LNEC!$A$4:$J$6971,6,FALSE)</f>
        <v>-</v>
      </c>
      <c r="K1663">
        <f>VLOOKUP(A1663,Pr_Base_LNEC!$A$4:$J$6971,7,FALSE)</f>
        <v>0</v>
      </c>
    </row>
    <row r="1664" spans="1:11" ht="14.5">
      <c r="A1664" s="20" t="s">
        <v>17909</v>
      </c>
      <c r="B1664" s="20">
        <v>25</v>
      </c>
      <c r="C1664" s="20">
        <v>57</v>
      </c>
      <c r="D1664" s="20">
        <v>56</v>
      </c>
      <c r="E1664" s="20">
        <v>52</v>
      </c>
      <c r="F1664" s="20" t="s">
        <v>17910</v>
      </c>
      <c r="G1664" s="20" t="s">
        <v>17911</v>
      </c>
      <c r="H1664" s="24"/>
      <c r="I1664" s="24" t="str">
        <f ca="1">IFERROR(__xludf.DUMMYFUNCTION("GOOGLETRANSLATE(F1664,""en"",""pt"")"),"redes metálicas")</f>
        <v>redes metálicas</v>
      </c>
      <c r="J1664" t="str">
        <f>VLOOKUP(A1664,Pr_Base_LNEC!$A$4:$J$6971,6,FALSE)</f>
        <v>-</v>
      </c>
      <c r="K1664">
        <f>VLOOKUP(A1664,Pr_Base_LNEC!$A$4:$J$6971,7,FALSE)</f>
        <v>0</v>
      </c>
    </row>
    <row r="1665" spans="1:11" ht="14.5">
      <c r="A1665" s="20" t="s">
        <v>17912</v>
      </c>
      <c r="B1665" s="20">
        <v>25</v>
      </c>
      <c r="C1665" s="20">
        <v>57</v>
      </c>
      <c r="D1665" s="20">
        <v>56</v>
      </c>
      <c r="E1665" s="20">
        <v>56</v>
      </c>
      <c r="F1665" s="20" t="s">
        <v>17913</v>
      </c>
      <c r="G1665" s="20" t="s">
        <v>17914</v>
      </c>
      <c r="H1665" s="24"/>
      <c r="I1665" s="24" t="str">
        <f ca="1">IFERROR(__xludf.DUMMYFUNCTION("GOOGLETRANSLATE(F1665,""en"",""pt"")"),"redes naturais")</f>
        <v>redes naturais</v>
      </c>
      <c r="J1665" t="str">
        <f>VLOOKUP(A1665,Pr_Base_LNEC!$A$4:$J$6971,6,FALSE)</f>
        <v>-</v>
      </c>
      <c r="K1665">
        <f>VLOOKUP(A1665,Pr_Base_LNEC!$A$4:$J$6971,7,FALSE)</f>
        <v>0</v>
      </c>
    </row>
    <row r="1666" spans="1:11" ht="14.5">
      <c r="A1666" s="20" t="s">
        <v>17915</v>
      </c>
      <c r="B1666" s="20">
        <v>25</v>
      </c>
      <c r="C1666" s="20">
        <v>57</v>
      </c>
      <c r="D1666" s="20">
        <v>56</v>
      </c>
      <c r="E1666" s="20">
        <v>61</v>
      </c>
      <c r="F1666" s="20" t="s">
        <v>17916</v>
      </c>
      <c r="G1666" s="20" t="s">
        <v>17917</v>
      </c>
      <c r="H1666" s="24"/>
      <c r="I1666" s="24" t="str">
        <f ca="1">IFERROR(__xludf.DUMMYFUNCTION("GOOGLETRANSLATE(F1666,""en"",""pt"")"),"Metálica perfurada de malha")</f>
        <v>Metálica perfurada de malha</v>
      </c>
      <c r="J1666" t="str">
        <f>VLOOKUP(A1666,Pr_Base_LNEC!$A$4:$J$6971,6,FALSE)</f>
        <v>-</v>
      </c>
      <c r="K1666">
        <f>VLOOKUP(A1666,Pr_Base_LNEC!$A$4:$J$6971,7,FALSE)</f>
        <v>0</v>
      </c>
    </row>
    <row r="1667" spans="1:11" ht="14.5">
      <c r="A1667" s="20" t="s">
        <v>17918</v>
      </c>
      <c r="B1667" s="20">
        <v>25</v>
      </c>
      <c r="C1667" s="20">
        <v>57</v>
      </c>
      <c r="D1667" s="20">
        <v>56</v>
      </c>
      <c r="E1667" s="20">
        <v>64</v>
      </c>
      <c r="F1667" s="20" t="s">
        <v>17919</v>
      </c>
      <c r="G1667" s="20" t="s">
        <v>17920</v>
      </c>
      <c r="H1667" s="24"/>
      <c r="I1667" s="24" t="str">
        <f ca="1">IFERROR(__xludf.DUMMYFUNCTION("GOOGLETRANSLATE(F1667,""en"",""pt"")"),"redes de plásticos")</f>
        <v>redes de plásticos</v>
      </c>
      <c r="J1667" t="str">
        <f>VLOOKUP(A1667,Pr_Base_LNEC!$A$4:$J$6971,6,FALSE)</f>
        <v>-</v>
      </c>
      <c r="K1667">
        <f>VLOOKUP(A1667,Pr_Base_LNEC!$A$4:$J$6971,7,FALSE)</f>
        <v>0</v>
      </c>
    </row>
    <row r="1668" spans="1:11" ht="14.5">
      <c r="A1668" s="20" t="s">
        <v>17921</v>
      </c>
      <c r="B1668" s="20">
        <v>25</v>
      </c>
      <c r="C1668" s="20">
        <v>57</v>
      </c>
      <c r="D1668" s="20">
        <v>56</v>
      </c>
      <c r="E1668" s="20">
        <v>85</v>
      </c>
      <c r="F1668" s="20" t="s">
        <v>17922</v>
      </c>
      <c r="G1668" s="20" t="s">
        <v>17923</v>
      </c>
      <c r="H1668" s="24"/>
      <c r="I1668" s="24" t="str">
        <f ca="1">IFERROR(__xludf.DUMMYFUNCTION("GOOGLETRANSLATE(F1668,""en"",""pt"")"),"Spun-bonded plásticos malha")</f>
        <v>Spun-bonded plásticos malha</v>
      </c>
      <c r="J1668" t="str">
        <f>VLOOKUP(A1668,Pr_Base_LNEC!$A$4:$J$6971,6,FALSE)</f>
        <v>-</v>
      </c>
      <c r="K1668">
        <f>VLOOKUP(A1668,Pr_Base_LNEC!$A$4:$J$6971,7,FALSE)</f>
        <v>0</v>
      </c>
    </row>
    <row r="1669" spans="1:11" ht="14.5">
      <c r="A1669" s="20" t="s">
        <v>17924</v>
      </c>
      <c r="B1669" s="20">
        <v>25</v>
      </c>
      <c r="C1669" s="20">
        <v>57</v>
      </c>
      <c r="D1669" s="20">
        <v>56</v>
      </c>
      <c r="E1669" s="20">
        <v>95</v>
      </c>
      <c r="F1669" s="20" t="s">
        <v>17925</v>
      </c>
      <c r="G1669" s="20" t="s">
        <v>17926</v>
      </c>
      <c r="H1669" s="24"/>
      <c r="I1669" s="24" t="str">
        <f ca="1">IFERROR(__xludf.DUMMYFUNCTION("GOOGLETRANSLATE(F1669,""en"",""pt"")"),"Soldada de metal de malha")</f>
        <v>Soldada de metal de malha</v>
      </c>
      <c r="J1669" t="str">
        <f>VLOOKUP(A1669,Pr_Base_LNEC!$A$4:$J$6971,6,FALSE)</f>
        <v>-</v>
      </c>
      <c r="K1669">
        <f>VLOOKUP(A1669,Pr_Base_LNEC!$A$4:$J$6971,7,FALSE)</f>
        <v>0</v>
      </c>
    </row>
    <row r="1670" spans="1:11" ht="14.5">
      <c r="A1670" s="20" t="s">
        <v>17927</v>
      </c>
      <c r="B1670" s="20">
        <v>25</v>
      </c>
      <c r="C1670" s="20">
        <v>57</v>
      </c>
      <c r="D1670" s="20">
        <v>56</v>
      </c>
      <c r="E1670" s="20">
        <v>96</v>
      </c>
      <c r="F1670" s="20" t="s">
        <v>17928</v>
      </c>
      <c r="G1670" s="20" t="s">
        <v>17929</v>
      </c>
      <c r="H1670" s="24"/>
      <c r="I1670" s="24" t="str">
        <f ca="1">IFERROR(__xludf.DUMMYFUNCTION("GOOGLETRANSLATE(F1670,""en"",""pt"")"),"rede de fio")</f>
        <v>rede de fio</v>
      </c>
      <c r="J1670" t="str">
        <f>VLOOKUP(A1670,Pr_Base_LNEC!$A$4:$J$6971,6,FALSE)</f>
        <v>-</v>
      </c>
      <c r="K1670">
        <f>VLOOKUP(A1670,Pr_Base_LNEC!$A$4:$J$6971,7,FALSE)</f>
        <v>0</v>
      </c>
    </row>
    <row r="1671" spans="1:11" ht="14.5">
      <c r="A1671" s="20" t="s">
        <v>17930</v>
      </c>
      <c r="B1671" s="20">
        <v>25</v>
      </c>
      <c r="C1671" s="20">
        <v>57</v>
      </c>
      <c r="D1671" s="20">
        <v>56</v>
      </c>
      <c r="E1671" s="20">
        <v>97</v>
      </c>
      <c r="F1671" s="20" t="s">
        <v>17931</v>
      </c>
      <c r="G1671" s="20" t="s">
        <v>17932</v>
      </c>
      <c r="H1671" s="24"/>
      <c r="I1671" s="24" t="str">
        <f ca="1">IFERROR(__xludf.DUMMYFUNCTION("GOOGLETRANSLATE(F1671,""en"",""pt"")"),"Tecido de malha de metal")</f>
        <v>Tecido de malha de metal</v>
      </c>
      <c r="J1671" t="str">
        <f>VLOOKUP(A1671,Pr_Base_LNEC!$A$4:$J$6971,6,FALSE)</f>
        <v>-</v>
      </c>
      <c r="K1671">
        <f>VLOOKUP(A1671,Pr_Base_LNEC!$A$4:$J$6971,7,FALSE)</f>
        <v>0</v>
      </c>
    </row>
    <row r="1672" spans="1:11" ht="14.5">
      <c r="A1672" s="20" t="s">
        <v>17933</v>
      </c>
      <c r="B1672" s="20">
        <v>25</v>
      </c>
      <c r="C1672" s="20">
        <v>57</v>
      </c>
      <c r="D1672" s="20">
        <v>61</v>
      </c>
      <c r="E1672" s="24"/>
      <c r="F1672" s="20" t="s">
        <v>17934</v>
      </c>
      <c r="G1672" s="24"/>
      <c r="H1672" s="24"/>
      <c r="I1672" s="24" t="str">
        <f ca="1">IFERROR(__xludf.DUMMYFUNCTION("GOOGLETRANSLATE(F1672,""en"",""pt"")"),"membranas de fibra à base de plantas, forros, folha flexível e tecidos")</f>
        <v>membranas de fibra à base de plantas, forros, folha flexível e tecidos</v>
      </c>
      <c r="J1672" t="str">
        <f>VLOOKUP(A1672,Pr_Base_LNEC!$A$4:$J$6971,6,FALSE)</f>
        <v>Membranas, Chapas Fléxiveis e Forros à base de Fibras Vegetais</v>
      </c>
      <c r="K1672">
        <f>VLOOKUP(A1672,Pr_Base_LNEC!$A$4:$J$6971,7,FALSE)</f>
        <v>0</v>
      </c>
    </row>
    <row r="1673" spans="1:11" ht="14.5">
      <c r="A1673" s="20" t="s">
        <v>17935</v>
      </c>
      <c r="B1673" s="20">
        <v>25</v>
      </c>
      <c r="C1673" s="20">
        <v>57</v>
      </c>
      <c r="D1673" s="20">
        <v>61</v>
      </c>
      <c r="E1673" s="20">
        <v>15</v>
      </c>
      <c r="F1673" s="20" t="s">
        <v>17936</v>
      </c>
      <c r="G1673" s="24"/>
      <c r="H1673" s="24"/>
      <c r="I1673" s="24" t="str">
        <f ca="1">IFERROR(__xludf.DUMMYFUNCTION("GOOGLETRANSLATE(F1673,""en"",""pt"")"),"geotêxteis coco")</f>
        <v>geotêxteis coco</v>
      </c>
      <c r="J1673" t="str">
        <f>VLOOKUP(A1673,Pr_Base_LNEC!$A$4:$J$6971,6,FALSE)</f>
        <v>-</v>
      </c>
      <c r="K1673">
        <f>VLOOKUP(A1673,Pr_Base_LNEC!$A$4:$J$6971,7,FALSE)</f>
        <v>0</v>
      </c>
    </row>
    <row r="1674" spans="1:11" ht="14.5">
      <c r="A1674" s="20" t="s">
        <v>17937</v>
      </c>
      <c r="B1674" s="20">
        <v>25</v>
      </c>
      <c r="C1674" s="20">
        <v>57</v>
      </c>
      <c r="D1674" s="20">
        <v>61</v>
      </c>
      <c r="E1674" s="20">
        <v>29</v>
      </c>
      <c r="F1674" s="20" t="s">
        <v>17938</v>
      </c>
      <c r="G1674" s="24"/>
      <c r="H1674" s="24"/>
      <c r="I1674" s="24" t="str">
        <f ca="1">IFERROR(__xludf.DUMMYFUNCTION("GOOGLETRANSLATE(F1674,""en"",""pt"")"),"geotêxteis linho")</f>
        <v>geotêxteis linho</v>
      </c>
      <c r="J1674" t="str">
        <f>VLOOKUP(A1674,Pr_Base_LNEC!$A$4:$J$6971,6,FALSE)</f>
        <v>-</v>
      </c>
      <c r="K1674">
        <f>VLOOKUP(A1674,Pr_Base_LNEC!$A$4:$J$6971,7,FALSE)</f>
        <v>0</v>
      </c>
    </row>
    <row r="1675" spans="1:11" ht="14.5">
      <c r="A1675" s="20" t="s">
        <v>17939</v>
      </c>
      <c r="B1675" s="20">
        <v>25</v>
      </c>
      <c r="C1675" s="20">
        <v>57</v>
      </c>
      <c r="D1675" s="20">
        <v>61</v>
      </c>
      <c r="E1675" s="20">
        <v>37</v>
      </c>
      <c r="F1675" s="20" t="s">
        <v>17940</v>
      </c>
      <c r="G1675" s="24"/>
      <c r="H1675" s="24"/>
      <c r="I1675" s="24" t="str">
        <f ca="1">IFERROR(__xludf.DUMMYFUNCTION("GOOGLETRANSLATE(F1675,""en"",""pt"")"),"geotêxteis cânhamo")</f>
        <v>geotêxteis cânhamo</v>
      </c>
      <c r="J1675" t="str">
        <f>VLOOKUP(A1675,Pr_Base_LNEC!$A$4:$J$6971,6,FALSE)</f>
        <v>-</v>
      </c>
      <c r="K1675">
        <f>VLOOKUP(A1675,Pr_Base_LNEC!$A$4:$J$6971,7,FALSE)</f>
        <v>0</v>
      </c>
    </row>
    <row r="1676" spans="1:11" ht="14.5">
      <c r="A1676" s="20" t="s">
        <v>17941</v>
      </c>
      <c r="B1676" s="20">
        <v>25</v>
      </c>
      <c r="C1676" s="20">
        <v>57</v>
      </c>
      <c r="D1676" s="20">
        <v>61</v>
      </c>
      <c r="E1676" s="20">
        <v>44</v>
      </c>
      <c r="F1676" s="20" t="s">
        <v>17942</v>
      </c>
      <c r="G1676" s="24"/>
      <c r="H1676" s="24"/>
      <c r="I1676" s="24" t="str">
        <f ca="1">IFERROR(__xludf.DUMMYFUNCTION("GOOGLETRANSLATE(F1676,""en"",""pt"")"),"geotêxteis de juta")</f>
        <v>geotêxteis de juta</v>
      </c>
      <c r="J1676" t="str">
        <f>VLOOKUP(A1676,Pr_Base_LNEC!$A$4:$J$6971,6,FALSE)</f>
        <v>-</v>
      </c>
      <c r="K1676">
        <f>VLOOKUP(A1676,Pr_Base_LNEC!$A$4:$J$6971,7,FALSE)</f>
        <v>0</v>
      </c>
    </row>
    <row r="1677" spans="1:11" ht="14.5">
      <c r="A1677" s="20" t="s">
        <v>17943</v>
      </c>
      <c r="B1677" s="20">
        <v>25</v>
      </c>
      <c r="C1677" s="20">
        <v>57</v>
      </c>
      <c r="D1677" s="20">
        <v>61</v>
      </c>
      <c r="E1677" s="20">
        <v>59</v>
      </c>
      <c r="F1677" s="20" t="s">
        <v>17944</v>
      </c>
      <c r="G1677" s="20" t="s">
        <v>17945</v>
      </c>
      <c r="H1677" s="24"/>
      <c r="I1677" s="24" t="str">
        <f ca="1">IFERROR(__xludf.DUMMYFUNCTION("GOOGLETRANSLATE(F1677,""en"",""pt"")"),"revestimentos de plantas e de fibras naturais")</f>
        <v>revestimentos de plantas e de fibras naturais</v>
      </c>
      <c r="J1677" t="str">
        <f>VLOOKUP(A1677,Pr_Base_LNEC!$A$4:$J$6971,6,FALSE)</f>
        <v>-</v>
      </c>
      <c r="K1677">
        <f>VLOOKUP(A1677,Pr_Base_LNEC!$A$4:$J$6971,7,FALSE)</f>
        <v>0</v>
      </c>
    </row>
    <row r="1678" spans="1:11" ht="14.5">
      <c r="A1678" s="20" t="s">
        <v>17946</v>
      </c>
      <c r="B1678" s="20">
        <v>25</v>
      </c>
      <c r="C1678" s="20">
        <v>57</v>
      </c>
      <c r="D1678" s="20">
        <v>61</v>
      </c>
      <c r="E1678" s="20">
        <v>60</v>
      </c>
      <c r="F1678" s="20" t="s">
        <v>17947</v>
      </c>
      <c r="G1678" s="24"/>
      <c r="H1678" s="24"/>
      <c r="I1678" s="24" t="str">
        <f ca="1">IFERROR(__xludf.DUMMYFUNCTION("GOOGLETRANSLATE(F1678,""en"",""pt"")"),"forros pasta de papel")</f>
        <v>forros pasta de papel</v>
      </c>
      <c r="J1678" t="str">
        <f>VLOOKUP(A1678,Pr_Base_LNEC!$A$4:$J$6971,6,FALSE)</f>
        <v>-</v>
      </c>
      <c r="K1678">
        <f>VLOOKUP(A1678,Pr_Base_LNEC!$A$4:$J$6971,7,FALSE)</f>
        <v>0</v>
      </c>
    </row>
    <row r="1679" spans="1:11" ht="14.5">
      <c r="A1679" s="20" t="s">
        <v>17948</v>
      </c>
      <c r="B1679" s="20">
        <v>25</v>
      </c>
      <c r="C1679" s="20">
        <v>57</v>
      </c>
      <c r="D1679" s="20">
        <v>61</v>
      </c>
      <c r="E1679" s="20">
        <v>79</v>
      </c>
      <c r="F1679" s="20" t="s">
        <v>17949</v>
      </c>
      <c r="G1679" s="24"/>
      <c r="H1679" s="24"/>
      <c r="I1679" s="24" t="str">
        <f ca="1">IFERROR(__xludf.DUMMYFUNCTION("GOOGLETRANSLATE(F1679,""en"",""pt"")"),"membranas de sisal")</f>
        <v>membranas de sisal</v>
      </c>
      <c r="J1679" t="str">
        <f>VLOOKUP(A1679,Pr_Base_LNEC!$A$4:$J$6971,6,FALSE)</f>
        <v>-</v>
      </c>
      <c r="K1679">
        <f>VLOOKUP(A1679,Pr_Base_LNEC!$A$4:$J$6971,7,FALSE)</f>
        <v>0</v>
      </c>
    </row>
    <row r="1680" spans="1:11" ht="14.5">
      <c r="A1680" s="20" t="s">
        <v>17950</v>
      </c>
      <c r="B1680" s="20">
        <v>25</v>
      </c>
      <c r="C1680" s="20">
        <v>57</v>
      </c>
      <c r="D1680" s="20">
        <v>61</v>
      </c>
      <c r="E1680" s="20">
        <v>80</v>
      </c>
      <c r="F1680" s="20" t="s">
        <v>17951</v>
      </c>
      <c r="G1680" s="24"/>
      <c r="H1680" s="24"/>
      <c r="I1680" s="24" t="str">
        <f ca="1">IFERROR(__xludf.DUMMYFUNCTION("GOOGLETRANSLATE(F1680,""en"",""pt"")"),"Sisal membranas juta mix")</f>
        <v>Sisal membranas juta mix</v>
      </c>
      <c r="J1680" t="str">
        <f>VLOOKUP(A1680,Pr_Base_LNEC!$A$4:$J$6971,6,FALSE)</f>
        <v>-</v>
      </c>
      <c r="K1680">
        <f>VLOOKUP(A1680,Pr_Base_LNEC!$A$4:$J$6971,7,FALSE)</f>
        <v>0</v>
      </c>
    </row>
    <row r="1681" spans="1:11" ht="14.5">
      <c r="A1681" s="20" t="s">
        <v>17952</v>
      </c>
      <c r="B1681" s="20">
        <v>25</v>
      </c>
      <c r="C1681" s="20">
        <v>57</v>
      </c>
      <c r="D1681" s="20">
        <v>61</v>
      </c>
      <c r="E1681" s="20">
        <v>95</v>
      </c>
      <c r="F1681" s="20" t="s">
        <v>17953</v>
      </c>
      <c r="G1681" s="24"/>
      <c r="H1681" s="24"/>
      <c r="I1681" s="24" t="str">
        <f ca="1">IFERROR(__xludf.DUMMYFUNCTION("GOOGLETRANSLATE(F1681,""en"",""pt"")"),"As membranas de fibra de madeira")</f>
        <v>As membranas de fibra de madeira</v>
      </c>
      <c r="J1681" t="str">
        <f>VLOOKUP(A1681,Pr_Base_LNEC!$A$4:$J$6971,6,FALSE)</f>
        <v>-</v>
      </c>
      <c r="K1681">
        <f>VLOOKUP(A1681,Pr_Base_LNEC!$A$4:$J$6971,7,FALSE)</f>
        <v>0</v>
      </c>
    </row>
    <row r="1682" spans="1:11" ht="14.5">
      <c r="A1682" s="20" t="s">
        <v>17954</v>
      </c>
      <c r="B1682" s="20">
        <v>25</v>
      </c>
      <c r="C1682" s="20">
        <v>57</v>
      </c>
      <c r="D1682" s="20">
        <v>61</v>
      </c>
      <c r="E1682" s="20">
        <v>97</v>
      </c>
      <c r="F1682" s="20" t="s">
        <v>17955</v>
      </c>
      <c r="G1682" s="24"/>
      <c r="H1682" s="24"/>
      <c r="I1682" s="24" t="str">
        <f ca="1">IFERROR(__xludf.DUMMYFUNCTION("GOOGLETRANSLATE(F1682,""en"",""pt"")"),"membranas de lã")</f>
        <v>membranas de lã</v>
      </c>
      <c r="J1682" t="str">
        <f>VLOOKUP(A1682,Pr_Base_LNEC!$A$4:$J$6971,6,FALSE)</f>
        <v>-</v>
      </c>
      <c r="K1682">
        <f>VLOOKUP(A1682,Pr_Base_LNEC!$A$4:$J$6971,7,FALSE)</f>
        <v>0</v>
      </c>
    </row>
    <row r="1683" spans="1:11" ht="14.5">
      <c r="A1683" s="20" t="s">
        <v>17956</v>
      </c>
      <c r="B1683" s="20">
        <v>25</v>
      </c>
      <c r="C1683" s="20">
        <v>57</v>
      </c>
      <c r="D1683" s="20">
        <v>61</v>
      </c>
      <c r="E1683" s="20">
        <v>98</v>
      </c>
      <c r="F1683" s="20" t="s">
        <v>17957</v>
      </c>
      <c r="G1683" s="24"/>
      <c r="H1683" s="24"/>
      <c r="I1683" s="24" t="str">
        <f ca="1">IFERROR(__xludf.DUMMYFUNCTION("GOOGLETRANSLATE(F1683,""en"",""pt"")"),"membranas de feltro de lã")</f>
        <v>membranas de feltro de lã</v>
      </c>
      <c r="J1683" t="str">
        <f>VLOOKUP(A1683,Pr_Base_LNEC!$A$4:$J$6971,6,FALSE)</f>
        <v>-</v>
      </c>
      <c r="K1683">
        <f>VLOOKUP(A1683,Pr_Base_LNEC!$A$4:$J$6971,7,FALSE)</f>
        <v>0</v>
      </c>
    </row>
    <row r="1684" spans="1:11" ht="14.5">
      <c r="A1684" s="20" t="s">
        <v>17958</v>
      </c>
      <c r="B1684" s="20">
        <v>25</v>
      </c>
      <c r="C1684" s="20">
        <v>57</v>
      </c>
      <c r="D1684" s="20">
        <v>65</v>
      </c>
      <c r="E1684" s="24"/>
      <c r="F1684" s="20" t="s">
        <v>17959</v>
      </c>
      <c r="G1684" s="24"/>
      <c r="H1684" s="24"/>
      <c r="I1684" s="24" t="str">
        <f ca="1">IFERROR(__xludf.DUMMYFUNCTION("GOOGLETRANSLATE(F1684,""en"",""pt"")"),"membranas de plásticos")</f>
        <v>membranas de plásticos</v>
      </c>
      <c r="J1684" t="str">
        <f>VLOOKUP(A1684,Pr_Base_LNEC!$A$4:$J$6971,6,FALSE)</f>
        <v>Membranas Plásticas</v>
      </c>
      <c r="K1684">
        <f>VLOOKUP(A1684,Pr_Base_LNEC!$A$4:$J$6971,7,FALSE)</f>
        <v>0</v>
      </c>
    </row>
    <row r="1685" spans="1:11" ht="14.5">
      <c r="A1685" s="20" t="s">
        <v>17960</v>
      </c>
      <c r="B1685" s="20">
        <v>25</v>
      </c>
      <c r="C1685" s="20">
        <v>57</v>
      </c>
      <c r="D1685" s="20">
        <v>65</v>
      </c>
      <c r="E1685" s="20">
        <v>37</v>
      </c>
      <c r="F1685" s="20" t="s">
        <v>17961</v>
      </c>
      <c r="G1685" s="24"/>
      <c r="H1685" s="24"/>
      <c r="I1685" s="24" t="str">
        <f ca="1">IFERROR(__xludf.DUMMYFUNCTION("GOOGLETRANSLATE(F1685,""en"",""pt"")"),"polietileno de alta densidade (PE-HD) folhas")</f>
        <v>polietileno de alta densidade (PE-HD) folhas</v>
      </c>
      <c r="J1685" t="str">
        <f>VLOOKUP(A1685,Pr_Base_LNEC!$A$4:$J$6971,6,FALSE)</f>
        <v>-</v>
      </c>
      <c r="K1685">
        <f>VLOOKUP(A1685,Pr_Base_LNEC!$A$4:$J$6971,7,FALSE)</f>
        <v>0</v>
      </c>
    </row>
    <row r="1686" spans="1:11" ht="14.5">
      <c r="A1686" s="20" t="s">
        <v>17962</v>
      </c>
      <c r="B1686" s="20">
        <v>25</v>
      </c>
      <c r="C1686" s="20">
        <v>57</v>
      </c>
      <c r="D1686" s="20">
        <v>65</v>
      </c>
      <c r="E1686" s="20">
        <v>47</v>
      </c>
      <c r="F1686" s="20" t="s">
        <v>17963</v>
      </c>
      <c r="G1686" s="24"/>
      <c r="H1686" s="24"/>
      <c r="I1686" s="24" t="str">
        <f ca="1">IFERROR(__xludf.DUMMYFUNCTION("GOOGLETRANSLATE(F1686,""en"",""pt"")"),"polietileno de baixa densidade (PE-LD) folhas")</f>
        <v>polietileno de baixa densidade (PE-LD) folhas</v>
      </c>
      <c r="J1686" t="str">
        <f>VLOOKUP(A1686,Pr_Base_LNEC!$A$4:$J$6971,6,FALSE)</f>
        <v>-</v>
      </c>
      <c r="K1686">
        <f>VLOOKUP(A1686,Pr_Base_LNEC!$A$4:$J$6971,7,FALSE)</f>
        <v>0</v>
      </c>
    </row>
    <row r="1687" spans="1:11" ht="14.5">
      <c r="A1687" s="20" t="s">
        <v>17964</v>
      </c>
      <c r="B1687" s="20">
        <v>25</v>
      </c>
      <c r="C1687" s="20">
        <v>57</v>
      </c>
      <c r="D1687" s="20">
        <v>65</v>
      </c>
      <c r="E1687" s="20">
        <v>60</v>
      </c>
      <c r="F1687" s="20" t="s">
        <v>17965</v>
      </c>
      <c r="G1687" s="20" t="s">
        <v>17966</v>
      </c>
      <c r="H1687" s="24"/>
      <c r="I1687" s="24" t="str">
        <f ca="1">IFERROR(__xludf.DUMMYFUNCTION("GOOGLETRANSLATE(F1687,""en"",""pt"")"),"folhas de plásticos")</f>
        <v>folhas de plásticos</v>
      </c>
      <c r="J1687" t="str">
        <f>VLOOKUP(A1687,Pr_Base_LNEC!$A$4:$J$6971,6,FALSE)</f>
        <v>Geotêxteis em chapa de plástico na construção de estradas e outras zonas de tráfego (excluindo vias férreas e pavimentos betuminosos)</v>
      </c>
      <c r="K1687" t="str">
        <f>VLOOKUP(A1687,Pr_Base_LNEC!$A$4:$J$6971,7,FALSE)</f>
        <v>EN 13249:2016</v>
      </c>
    </row>
    <row r="1688" spans="1:11" ht="14.5">
      <c r="A1688" s="20" t="s">
        <v>17967</v>
      </c>
      <c r="B1688" s="20">
        <v>25</v>
      </c>
      <c r="C1688" s="20">
        <v>57</v>
      </c>
      <c r="D1688" s="20">
        <v>65</v>
      </c>
      <c r="E1688" s="20">
        <v>62</v>
      </c>
      <c r="F1688" s="20" t="s">
        <v>17968</v>
      </c>
      <c r="G1688" s="24"/>
      <c r="H1688" s="24"/>
      <c r="I1688" s="24" t="str">
        <f ca="1">IFERROR(__xludf.DUMMYFUNCTION("GOOGLETRANSLATE(F1688,""en"",""pt"")"),"poliéster lençóis")</f>
        <v>poliéster lençóis</v>
      </c>
      <c r="J1688" t="str">
        <f>VLOOKUP(A1688,Pr_Base_LNEC!$A$4:$J$6971,6,FALSE)</f>
        <v>-</v>
      </c>
      <c r="K1688">
        <f>VLOOKUP(A1688,Pr_Base_LNEC!$A$4:$J$6971,7,FALSE)</f>
        <v>0</v>
      </c>
    </row>
    <row r="1689" spans="1:11" ht="14.5">
      <c r="A1689" s="20" t="s">
        <v>17969</v>
      </c>
      <c r="B1689" s="20">
        <v>25</v>
      </c>
      <c r="C1689" s="20">
        <v>57</v>
      </c>
      <c r="D1689" s="20">
        <v>65</v>
      </c>
      <c r="E1689" s="20">
        <v>63</v>
      </c>
      <c r="F1689" s="20" t="s">
        <v>17970</v>
      </c>
      <c r="G1689" s="24"/>
      <c r="H1689" s="24"/>
      <c r="I1689" s="24" t="str">
        <f ca="1">IFERROR(__xludf.DUMMYFUNCTION("GOOGLETRANSLATE(F1689,""en"",""pt"")"),"folhas de polietileno")</f>
        <v>folhas de polietileno</v>
      </c>
      <c r="J1689" t="str">
        <f>VLOOKUP(A1689,Pr_Base_LNEC!$A$4:$J$6971,6,FALSE)</f>
        <v>-</v>
      </c>
      <c r="K1689">
        <f>VLOOKUP(A1689,Pr_Base_LNEC!$A$4:$J$6971,7,FALSE)</f>
        <v>0</v>
      </c>
    </row>
    <row r="1690" spans="1:11" ht="14.5">
      <c r="A1690" s="20" t="s">
        <v>17971</v>
      </c>
      <c r="B1690" s="20">
        <v>25</v>
      </c>
      <c r="C1690" s="20">
        <v>57</v>
      </c>
      <c r="D1690" s="20">
        <v>65</v>
      </c>
      <c r="E1690" s="20">
        <v>65</v>
      </c>
      <c r="F1690" s="20" t="s">
        <v>17972</v>
      </c>
      <c r="G1690" s="24"/>
      <c r="H1690" s="24"/>
      <c r="I1690" s="24" t="str">
        <f ca="1">IFERROR(__xludf.DUMMYFUNCTION("GOOGLETRANSLATE(F1690,""en"",""pt"")"),"folhas de polipropileno")</f>
        <v>folhas de polipropileno</v>
      </c>
      <c r="J1690" t="str">
        <f>VLOOKUP(A1690,Pr_Base_LNEC!$A$4:$J$6971,6,FALSE)</f>
        <v>-</v>
      </c>
      <c r="K1690">
        <f>VLOOKUP(A1690,Pr_Base_LNEC!$A$4:$J$6971,7,FALSE)</f>
        <v>0</v>
      </c>
    </row>
    <row r="1691" spans="1:11" ht="14.5">
      <c r="A1691" s="20" t="s">
        <v>17973</v>
      </c>
      <c r="B1691" s="20">
        <v>25</v>
      </c>
      <c r="C1691" s="20">
        <v>57</v>
      </c>
      <c r="D1691" s="20">
        <v>65</v>
      </c>
      <c r="E1691" s="20">
        <v>66</v>
      </c>
      <c r="F1691" s="20" t="s">
        <v>17974</v>
      </c>
      <c r="G1691" s="24"/>
      <c r="H1691" s="24"/>
      <c r="I1691" s="24" t="str">
        <f ca="1">IFERROR(__xludf.DUMMYFUNCTION("GOOGLETRANSLATE(F1691,""en"",""pt"")"),"folhas de laminado de polipropileno e polietileno")</f>
        <v>folhas de laminado de polipropileno e polietileno</v>
      </c>
      <c r="J1691" t="str">
        <f>VLOOKUP(A1691,Pr_Base_LNEC!$A$4:$J$6971,6,FALSE)</f>
        <v>-</v>
      </c>
      <c r="K1691">
        <f>VLOOKUP(A1691,Pr_Base_LNEC!$A$4:$J$6971,7,FALSE)</f>
        <v>0</v>
      </c>
    </row>
    <row r="1692" spans="1:11" ht="14.5">
      <c r="A1692" s="20" t="s">
        <v>17975</v>
      </c>
      <c r="B1692" s="20">
        <v>25</v>
      </c>
      <c r="C1692" s="20">
        <v>57</v>
      </c>
      <c r="D1692" s="20">
        <v>65</v>
      </c>
      <c r="E1692" s="20">
        <v>67</v>
      </c>
      <c r="F1692" s="20" t="s">
        <v>17976</v>
      </c>
      <c r="G1692" s="24"/>
      <c r="H1692" s="24"/>
      <c r="I1692" s="24" t="str">
        <f ca="1">IFERROR(__xludf.DUMMYFUNCTION("GOOGLETRANSLATE(F1692,""en"",""pt"")"),"Politetrafluoretileno (PTFE) folhas")</f>
        <v>Politetrafluoretileno (PTFE) folhas</v>
      </c>
      <c r="J1692" t="str">
        <f>VLOOKUP(A1692,Pr_Base_LNEC!$A$4:$J$6971,6,FALSE)</f>
        <v>-</v>
      </c>
      <c r="K1692">
        <f>VLOOKUP(A1692,Pr_Base_LNEC!$A$4:$J$6971,7,FALSE)</f>
        <v>0</v>
      </c>
    </row>
    <row r="1693" spans="1:11" ht="14.5">
      <c r="A1693" s="20" t="s">
        <v>17977</v>
      </c>
      <c r="B1693" s="20">
        <v>25</v>
      </c>
      <c r="C1693" s="20">
        <v>57</v>
      </c>
      <c r="D1693" s="20">
        <v>65</v>
      </c>
      <c r="E1693" s="20">
        <v>70</v>
      </c>
      <c r="F1693" s="20" t="s">
        <v>17978</v>
      </c>
      <c r="G1693" s="24"/>
      <c r="H1693" s="24"/>
      <c r="I1693" s="24" t="str">
        <f ca="1">IFERROR(__xludf.DUMMYFUNCTION("GOOGLETRANSLATE(F1693,""en"",""pt"")"),"Fluoreto de polivinilideno (PVDF) folhas")</f>
        <v>Fluoreto de polivinilideno (PVDF) folhas</v>
      </c>
      <c r="J1693" t="str">
        <f>VLOOKUP(A1693,Pr_Base_LNEC!$A$4:$J$6971,6,FALSE)</f>
        <v>-</v>
      </c>
      <c r="K1693">
        <f>VLOOKUP(A1693,Pr_Base_LNEC!$A$4:$J$6971,7,FALSE)</f>
        <v>0</v>
      </c>
    </row>
    <row r="1694" spans="1:11" ht="14.5">
      <c r="A1694" s="20" t="s">
        <v>17979</v>
      </c>
      <c r="B1694" s="20">
        <v>25</v>
      </c>
      <c r="C1694" s="20">
        <v>57</v>
      </c>
      <c r="D1694" s="20">
        <v>65</v>
      </c>
      <c r="E1694" s="20">
        <v>92</v>
      </c>
      <c r="F1694" s="20" t="s">
        <v>17980</v>
      </c>
      <c r="G1694" s="24"/>
      <c r="H1694" s="24"/>
      <c r="I1694" s="24" t="str">
        <f ca="1">IFERROR(__xludf.DUMMYFUNCTION("GOOGLETRANSLATE(F1694,""en"",""pt"")"),"de cloreto de polivinilo não plastificado (PVC-U) folhas")</f>
        <v>de cloreto de polivinilo não plastificado (PVC-U) folhas</v>
      </c>
      <c r="J1694" t="str">
        <f>VLOOKUP(A1694,Pr_Base_LNEC!$A$4:$J$6971,6,FALSE)</f>
        <v>-</v>
      </c>
      <c r="K1694">
        <f>VLOOKUP(A1694,Pr_Base_LNEC!$A$4:$J$6971,7,FALSE)</f>
        <v>0</v>
      </c>
    </row>
    <row r="1695" spans="1:11" ht="14.5">
      <c r="A1695" s="20" t="s">
        <v>17981</v>
      </c>
      <c r="B1695" s="20">
        <v>25</v>
      </c>
      <c r="C1695" s="20">
        <v>57</v>
      </c>
      <c r="D1695" s="20">
        <v>85</v>
      </c>
      <c r="E1695" s="24"/>
      <c r="F1695" s="20" t="s">
        <v>17982</v>
      </c>
      <c r="G1695" s="24"/>
      <c r="H1695" s="24"/>
      <c r="I1695" s="24" t="str">
        <f ca="1">IFERROR(__xludf.DUMMYFUNCTION("GOOGLETRANSLATE(F1695,""en"",""pt"")"),"tecidos de filtro sintéticos")</f>
        <v>tecidos de filtro sintéticos</v>
      </c>
      <c r="J1695" t="str">
        <f>VLOOKUP(A1695,Pr_Base_LNEC!$A$4:$J$6971,6,FALSE)</f>
        <v>Estruturas de filtro em material sintético</v>
      </c>
      <c r="K1695">
        <f>VLOOKUP(A1695,Pr_Base_LNEC!$A$4:$J$6971,7,FALSE)</f>
        <v>0</v>
      </c>
    </row>
    <row r="1696" spans="1:11" ht="14.5">
      <c r="A1696" s="20" t="s">
        <v>17983</v>
      </c>
      <c r="B1696" s="20">
        <v>25</v>
      </c>
      <c r="C1696" s="20">
        <v>57</v>
      </c>
      <c r="D1696" s="20">
        <v>85</v>
      </c>
      <c r="E1696" s="20">
        <v>10</v>
      </c>
      <c r="F1696" s="20" t="s">
        <v>17984</v>
      </c>
      <c r="G1696" s="24"/>
      <c r="H1696" s="24"/>
      <c r="I1696" s="24" t="str">
        <f ca="1">IFERROR(__xludf.DUMMYFUNCTION("GOOGLETRANSLATE(F1696,""en"",""pt"")"),"fleece capilar")</f>
        <v>fleece capilar</v>
      </c>
      <c r="J1696" t="str">
        <f>VLOOKUP(A1696,Pr_Base_LNEC!$A$4:$J$6971,6,FALSE)</f>
        <v>-</v>
      </c>
      <c r="K1696">
        <f>VLOOKUP(A1696,Pr_Base_LNEC!$A$4:$J$6971,7,FALSE)</f>
        <v>0</v>
      </c>
    </row>
    <row r="1697" spans="1:11" ht="14.5">
      <c r="A1697" s="20" t="s">
        <v>17985</v>
      </c>
      <c r="B1697" s="20">
        <v>25</v>
      </c>
      <c r="C1697" s="20">
        <v>57</v>
      </c>
      <c r="D1697" s="20">
        <v>85</v>
      </c>
      <c r="E1697" s="20">
        <v>62</v>
      </c>
      <c r="F1697" s="20" t="s">
        <v>17986</v>
      </c>
      <c r="G1697" s="24"/>
      <c r="H1697" s="24"/>
      <c r="I1697" s="24" t="str">
        <f ca="1">IFERROR(__xludf.DUMMYFUNCTION("GOOGLETRANSLATE(F1697,""en"",""pt"")"),"velo de fibra de poliéster")</f>
        <v>velo de fibra de poliéster</v>
      </c>
      <c r="J1697" t="str">
        <f>VLOOKUP(A1697,Pr_Base_LNEC!$A$4:$J$6971,6,FALSE)</f>
        <v>-</v>
      </c>
      <c r="K1697">
        <f>VLOOKUP(A1697,Pr_Base_LNEC!$A$4:$J$6971,7,FALSE)</f>
        <v>0</v>
      </c>
    </row>
    <row r="1698" spans="1:11" ht="14.5">
      <c r="A1698" s="20" t="s">
        <v>17987</v>
      </c>
      <c r="B1698" s="20">
        <v>25</v>
      </c>
      <c r="C1698" s="20">
        <v>57</v>
      </c>
      <c r="D1698" s="20">
        <v>85</v>
      </c>
      <c r="E1698" s="20">
        <v>64</v>
      </c>
      <c r="F1698" s="20" t="s">
        <v>17988</v>
      </c>
      <c r="G1698" s="24"/>
      <c r="H1698" s="24"/>
      <c r="I1698" s="24" t="str">
        <f ca="1">IFERROR(__xludf.DUMMYFUNCTION("GOOGLETRANSLATE(F1698,""en"",""pt"")"),"geotêxteis de filtro de poliéster")</f>
        <v>geotêxteis de filtro de poliéster</v>
      </c>
      <c r="J1698" t="str">
        <f>VLOOKUP(A1698,Pr_Base_LNEC!$A$4:$J$6971,6,FALSE)</f>
        <v>-</v>
      </c>
      <c r="K1698">
        <f>VLOOKUP(A1698,Pr_Base_LNEC!$A$4:$J$6971,7,FALSE)</f>
        <v>0</v>
      </c>
    </row>
    <row r="1699" spans="1:11" ht="14.5">
      <c r="A1699" s="20" t="s">
        <v>17989</v>
      </c>
      <c r="B1699" s="20">
        <v>25</v>
      </c>
      <c r="C1699" s="20">
        <v>57</v>
      </c>
      <c r="D1699" s="20">
        <v>85</v>
      </c>
      <c r="E1699" s="20">
        <v>66</v>
      </c>
      <c r="F1699" s="20" t="s">
        <v>17990</v>
      </c>
      <c r="G1699" s="24"/>
      <c r="H1699" s="24"/>
      <c r="I1699" s="24" t="str">
        <f ca="1">IFERROR(__xludf.DUMMYFUNCTION("GOOGLETRANSLATE(F1699,""en"",""pt"")"),"geotêxteis de filtro de polietileno")</f>
        <v>geotêxteis de filtro de polietileno</v>
      </c>
      <c r="J1699" t="str">
        <f>VLOOKUP(A1699,Pr_Base_LNEC!$A$4:$J$6971,6,FALSE)</f>
        <v>-</v>
      </c>
      <c r="K1699">
        <f>VLOOKUP(A1699,Pr_Base_LNEC!$A$4:$J$6971,7,FALSE)</f>
        <v>0</v>
      </c>
    </row>
    <row r="1700" spans="1:11" ht="14.5">
      <c r="A1700" s="20" t="s">
        <v>17991</v>
      </c>
      <c r="B1700" s="20">
        <v>25</v>
      </c>
      <c r="C1700" s="20">
        <v>57</v>
      </c>
      <c r="D1700" s="20">
        <v>85</v>
      </c>
      <c r="E1700" s="20">
        <v>68</v>
      </c>
      <c r="F1700" s="20" t="s">
        <v>17992</v>
      </c>
      <c r="G1700" s="24"/>
      <c r="H1700" s="24"/>
      <c r="I1700" s="24" t="str">
        <f ca="1">IFERROR(__xludf.DUMMYFUNCTION("GOOGLETRANSLATE(F1700,""en"",""pt"")"),"geotêxteis filtro de polipropileno")</f>
        <v>geotêxteis filtro de polipropileno</v>
      </c>
      <c r="J1700" t="str">
        <f>VLOOKUP(A1700,Pr_Base_LNEC!$A$4:$J$6971,6,FALSE)</f>
        <v>-</v>
      </c>
      <c r="K1700">
        <f>VLOOKUP(A1700,Pr_Base_LNEC!$A$4:$J$6971,7,FALSE)</f>
        <v>0</v>
      </c>
    </row>
    <row r="1701" spans="1:11" ht="14.5">
      <c r="A1701" s="20" t="s">
        <v>17993</v>
      </c>
      <c r="B1701" s="20">
        <v>25</v>
      </c>
      <c r="C1701" s="20">
        <v>57</v>
      </c>
      <c r="D1701" s="20">
        <v>85</v>
      </c>
      <c r="E1701" s="20">
        <v>70</v>
      </c>
      <c r="F1701" s="20" t="s">
        <v>17994</v>
      </c>
      <c r="G1701" s="24"/>
      <c r="H1701" s="24"/>
      <c r="I1701" s="24" t="str">
        <f ca="1">IFERROR(__xludf.DUMMYFUNCTION("GOOGLETRANSLATE(F1701,""en"",""pt"")"),"fluoreto de polivinilideno (PVDF) geotêxteis hidrofóbicos")</f>
        <v>fluoreto de polivinilideno (PVDF) geotêxteis hidrofóbicos</v>
      </c>
      <c r="J1701" t="str">
        <f>VLOOKUP(A1701,Pr_Base_LNEC!$A$4:$J$6971,6,FALSE)</f>
        <v>-</v>
      </c>
      <c r="K1701">
        <f>VLOOKUP(A1701,Pr_Base_LNEC!$A$4:$J$6971,7,FALSE)</f>
        <v>0</v>
      </c>
    </row>
    <row r="1702" spans="1:11" ht="14.5">
      <c r="A1702" s="20" t="s">
        <v>17995</v>
      </c>
      <c r="B1702" s="20">
        <v>25</v>
      </c>
      <c r="C1702" s="20">
        <v>57</v>
      </c>
      <c r="D1702" s="20">
        <v>90</v>
      </c>
      <c r="E1702" s="24"/>
      <c r="F1702" s="20" t="s">
        <v>17996</v>
      </c>
      <c r="G1702" s="24"/>
      <c r="H1702" s="24"/>
      <c r="I1702" s="24" t="str">
        <f ca="1">IFERROR(__xludf.DUMMYFUNCTION("GOOGLETRANSLATE(F1702,""en"",""pt"")"),"De tracção, alongamento e suspensas tecidos")</f>
        <v>De tracção, alongamento e suspensas tecidos</v>
      </c>
      <c r="J1702" t="str">
        <f>VLOOKUP(A1702,Pr_Base_LNEC!$A$4:$J$6971,6,FALSE)</f>
        <v>Estruturas suspensas, elásticas e tensoras</v>
      </c>
      <c r="K1702">
        <f>VLOOKUP(A1702,Pr_Base_LNEC!$A$4:$J$6971,7,FALSE)</f>
        <v>0</v>
      </c>
    </row>
    <row r="1703" spans="1:11" ht="14.5">
      <c r="A1703" s="20" t="s">
        <v>17997</v>
      </c>
      <c r="B1703" s="20">
        <v>25</v>
      </c>
      <c r="C1703" s="20">
        <v>57</v>
      </c>
      <c r="D1703" s="20">
        <v>90</v>
      </c>
      <c r="E1703" s="20">
        <v>3</v>
      </c>
      <c r="F1703" s="20" t="s">
        <v>17998</v>
      </c>
      <c r="G1703" s="24"/>
      <c r="H1703" s="24"/>
      <c r="I1703" s="24" t="str">
        <f ca="1">IFERROR(__xludf.DUMMYFUNCTION("GOOGLETRANSLATE(F1703,""en"",""pt"")"),"tecidos de aramida de tracção")</f>
        <v>tecidos de aramida de tracção</v>
      </c>
      <c r="J1703" t="str">
        <f>VLOOKUP(A1703,Pr_Base_LNEC!$A$4:$J$6971,6,FALSE)</f>
        <v>-</v>
      </c>
      <c r="K1703">
        <f>VLOOKUP(A1703,Pr_Base_LNEC!$A$4:$J$6971,7,FALSE)</f>
        <v>0</v>
      </c>
    </row>
    <row r="1704" spans="1:11" ht="14.5">
      <c r="A1704" s="20" t="s">
        <v>17999</v>
      </c>
      <c r="B1704" s="20">
        <v>25</v>
      </c>
      <c r="C1704" s="20">
        <v>57</v>
      </c>
      <c r="D1704" s="20">
        <v>90</v>
      </c>
      <c r="E1704" s="20">
        <v>15</v>
      </c>
      <c r="F1704" s="20" t="s">
        <v>18000</v>
      </c>
      <c r="G1704" s="24"/>
      <c r="H1704" s="24"/>
      <c r="I1704" s="24" t="str">
        <f ca="1">IFERROR(__xludf.DUMMYFUNCTION("GOOGLETRANSLATE(F1704,""en"",""pt"")"),"Lona de algodão tecidos de tracção")</f>
        <v>Lona de algodão tecidos de tracção</v>
      </c>
      <c r="J1704" t="str">
        <f>VLOOKUP(A1704,Pr_Base_LNEC!$A$4:$J$6971,6,FALSE)</f>
        <v>-</v>
      </c>
      <c r="K1704">
        <f>VLOOKUP(A1704,Pr_Base_LNEC!$A$4:$J$6971,7,FALSE)</f>
        <v>0</v>
      </c>
    </row>
    <row r="1705" spans="1:11" ht="14.5">
      <c r="A1705" s="20" t="s">
        <v>18001</v>
      </c>
      <c r="B1705" s="20">
        <v>25</v>
      </c>
      <c r="C1705" s="20">
        <v>57</v>
      </c>
      <c r="D1705" s="20">
        <v>90</v>
      </c>
      <c r="E1705" s="20">
        <v>29</v>
      </c>
      <c r="F1705" s="20" t="s">
        <v>18002</v>
      </c>
      <c r="G1705" s="20" t="s">
        <v>18003</v>
      </c>
      <c r="H1705" s="24"/>
      <c r="I1705" s="24" t="str">
        <f ca="1">IFERROR(__xludf.DUMMYFUNCTION("GOOGLETRANSLATE(F1705,""en"",""pt"")"),"Tecidos para aplicações de tracção")</f>
        <v>Tecidos para aplicações de tracção</v>
      </c>
      <c r="J1705" t="str">
        <f>VLOOKUP(A1705,Pr_Base_LNEC!$A$4:$J$6971,6,FALSE)</f>
        <v>-</v>
      </c>
      <c r="K1705">
        <f>VLOOKUP(A1705,Pr_Base_LNEC!$A$4:$J$6971,7,FALSE)</f>
        <v>0</v>
      </c>
    </row>
    <row r="1706" spans="1:11" ht="14.5">
      <c r="A1706" s="20" t="s">
        <v>18004</v>
      </c>
      <c r="B1706" s="20">
        <v>25</v>
      </c>
      <c r="C1706" s="20">
        <v>57</v>
      </c>
      <c r="D1706" s="20">
        <v>90</v>
      </c>
      <c r="E1706" s="20">
        <v>34</v>
      </c>
      <c r="F1706" s="20" t="s">
        <v>18005</v>
      </c>
      <c r="G1706" s="24"/>
      <c r="H1706" s="24"/>
      <c r="I1706" s="24" t="str">
        <f ca="1">IFERROR(__xludf.DUMMYFUNCTION("GOOGLETRANSLATE(F1706,""en"",""pt"")"),"tecidos de fibra de vidro de tracção")</f>
        <v>tecidos de fibra de vidro de tracção</v>
      </c>
      <c r="J1706" t="str">
        <f>VLOOKUP(A1706,Pr_Base_LNEC!$A$4:$J$6971,6,FALSE)</f>
        <v>-</v>
      </c>
      <c r="K1706">
        <f>VLOOKUP(A1706,Pr_Base_LNEC!$A$4:$J$6971,7,FALSE)</f>
        <v>0</v>
      </c>
    </row>
    <row r="1707" spans="1:11" ht="14.5">
      <c r="A1707" s="20" t="s">
        <v>18006</v>
      </c>
      <c r="B1707" s="20">
        <v>25</v>
      </c>
      <c r="C1707" s="20">
        <v>57</v>
      </c>
      <c r="D1707" s="20">
        <v>90</v>
      </c>
      <c r="E1707" s="20">
        <v>63</v>
      </c>
      <c r="F1707" s="20" t="s">
        <v>18007</v>
      </c>
      <c r="G1707" s="24"/>
      <c r="H1707" s="24"/>
      <c r="I1707" s="24" t="str">
        <f ca="1">IFERROR(__xludf.DUMMYFUNCTION("GOOGLETRANSLATE(F1707,""en"",""pt"")"),"tecidos de poliéster de tracção")</f>
        <v>tecidos de poliéster de tracção</v>
      </c>
      <c r="J1707" t="str">
        <f>VLOOKUP(A1707,Pr_Base_LNEC!$A$4:$J$6971,6,FALSE)</f>
        <v>-</v>
      </c>
      <c r="K1707">
        <f>VLOOKUP(A1707,Pr_Base_LNEC!$A$4:$J$6971,7,FALSE)</f>
        <v>0</v>
      </c>
    </row>
    <row r="1708" spans="1:11" ht="14.5">
      <c r="A1708" s="20" t="s">
        <v>18008</v>
      </c>
      <c r="B1708" s="20">
        <v>25</v>
      </c>
      <c r="C1708" s="20">
        <v>57</v>
      </c>
      <c r="D1708" s="20">
        <v>90</v>
      </c>
      <c r="E1708" s="20">
        <v>67</v>
      </c>
      <c r="F1708" s="20" t="s">
        <v>18009</v>
      </c>
      <c r="G1708" s="24"/>
      <c r="H1708" s="24"/>
      <c r="I1708" s="24" t="str">
        <f ca="1">IFERROR(__xludf.DUMMYFUNCTION("GOOGLETRANSLATE(F1708,""en"",""pt"")"),"Politetrafluoroetileno (PTFE) de tracção tecidos")</f>
        <v>Politetrafluoroetileno (PTFE) de tracção tecidos</v>
      </c>
      <c r="J1708" t="str">
        <f>VLOOKUP(A1708,Pr_Base_LNEC!$A$4:$J$6971,6,FALSE)</f>
        <v>-</v>
      </c>
      <c r="K1708">
        <f>VLOOKUP(A1708,Pr_Base_LNEC!$A$4:$J$6971,7,FALSE)</f>
        <v>0</v>
      </c>
    </row>
    <row r="1709" spans="1:11" ht="14.5">
      <c r="A1709" s="20" t="s">
        <v>18010</v>
      </c>
      <c r="B1709" s="20">
        <v>25</v>
      </c>
      <c r="C1709" s="20">
        <v>57</v>
      </c>
      <c r="D1709" s="20">
        <v>90</v>
      </c>
      <c r="E1709" s="20">
        <v>69</v>
      </c>
      <c r="F1709" s="20" t="s">
        <v>18011</v>
      </c>
      <c r="G1709" s="24"/>
      <c r="H1709" s="24"/>
      <c r="I1709" s="24" t="str">
        <f ca="1">IFERROR(__xludf.DUMMYFUNCTION("GOOGLETRANSLATE(F1709,""en"",""pt"")"),"membranas revestidas de poliuretano tecido elástico poliéster")</f>
        <v>membranas revestidas de poliuretano tecido elástico poliéster</v>
      </c>
      <c r="J1709" t="str">
        <f>VLOOKUP(A1709,Pr_Base_LNEC!$A$4:$J$6971,6,FALSE)</f>
        <v>-</v>
      </c>
      <c r="K1709">
        <f>VLOOKUP(A1709,Pr_Base_LNEC!$A$4:$J$6971,7,FALSE)</f>
        <v>0</v>
      </c>
    </row>
    <row r="1710" spans="1:11" ht="14.5">
      <c r="A1710" s="20" t="s">
        <v>18012</v>
      </c>
      <c r="B1710" s="20">
        <v>25</v>
      </c>
      <c r="C1710" s="20">
        <v>57</v>
      </c>
      <c r="D1710" s="20">
        <v>90</v>
      </c>
      <c r="E1710" s="20">
        <v>71</v>
      </c>
      <c r="F1710" s="20" t="s">
        <v>18013</v>
      </c>
      <c r="G1710" s="24"/>
      <c r="H1710" s="24"/>
      <c r="I1710" s="24" t="str">
        <f ca="1">IFERROR(__xludf.DUMMYFUNCTION("GOOGLETRANSLATE(F1710,""en"",""pt"")"),"cloreto de polivinilo (PVC) de membranas de tecido de estiramento")</f>
        <v>cloreto de polivinilo (PVC) de membranas de tecido de estiramento</v>
      </c>
      <c r="J1710" t="str">
        <f>VLOOKUP(A1710,Pr_Base_LNEC!$A$4:$J$6971,6,FALSE)</f>
        <v>-</v>
      </c>
      <c r="K1710">
        <f>VLOOKUP(A1710,Pr_Base_LNEC!$A$4:$J$6971,7,FALSE)</f>
        <v>0</v>
      </c>
    </row>
    <row r="1711" spans="1:11" ht="14.5">
      <c r="A1711" s="20" t="s">
        <v>18014</v>
      </c>
      <c r="B1711" s="20">
        <v>25</v>
      </c>
      <c r="C1711" s="20">
        <v>57</v>
      </c>
      <c r="D1711" s="20">
        <v>90</v>
      </c>
      <c r="E1711" s="20">
        <v>75</v>
      </c>
      <c r="F1711" s="20" t="s">
        <v>18015</v>
      </c>
      <c r="G1711" s="24"/>
      <c r="H1711" s="24"/>
      <c r="I1711" s="24" t="str">
        <f ca="1">IFERROR(__xludf.DUMMYFUNCTION("GOOGLETRANSLATE(F1711,""en"",""pt"")"),"Lona")</f>
        <v>Lona</v>
      </c>
      <c r="J1711" t="str">
        <f>VLOOKUP(A1711,Pr_Base_LNEC!$A$4:$J$6971,6,FALSE)</f>
        <v>-</v>
      </c>
      <c r="K1711">
        <f>VLOOKUP(A1711,Pr_Base_LNEC!$A$4:$J$6971,7,FALSE)</f>
        <v>0</v>
      </c>
    </row>
    <row r="1712" spans="1:11" ht="14.5">
      <c r="A1712" s="20" t="s">
        <v>18016</v>
      </c>
      <c r="B1712" s="20">
        <v>25</v>
      </c>
      <c r="C1712" s="20">
        <v>57</v>
      </c>
      <c r="D1712" s="20">
        <v>90</v>
      </c>
      <c r="E1712" s="20">
        <v>81</v>
      </c>
      <c r="F1712" s="20" t="s">
        <v>18017</v>
      </c>
      <c r="G1712" s="24"/>
      <c r="H1712" s="24"/>
      <c r="I1712" s="24" t="str">
        <f ca="1">IFERROR(__xludf.DUMMYFUNCTION("GOOGLETRANSLATE(F1712,""en"",""pt"")"),"tecidos de tecelagem de tracção de vidro solar")</f>
        <v>tecidos de tecelagem de tracção de vidro solar</v>
      </c>
      <c r="J1712" t="str">
        <f>VLOOKUP(A1712,Pr_Base_LNEC!$A$4:$J$6971,6,FALSE)</f>
        <v>-</v>
      </c>
      <c r="K1712">
        <f>VLOOKUP(A1712,Pr_Base_LNEC!$A$4:$J$6971,7,FALSE)</f>
        <v>0</v>
      </c>
    </row>
    <row r="1713" spans="1:11" ht="14.5">
      <c r="A1713" s="20" t="s">
        <v>18018</v>
      </c>
      <c r="B1713" s="20">
        <v>25</v>
      </c>
      <c r="C1713" s="20">
        <v>57</v>
      </c>
      <c r="D1713" s="20">
        <v>90</v>
      </c>
      <c r="E1713" s="20">
        <v>84</v>
      </c>
      <c r="F1713" s="20" t="s">
        <v>18019</v>
      </c>
      <c r="G1713" s="20" t="s">
        <v>18020</v>
      </c>
      <c r="H1713" s="24"/>
      <c r="I1713" s="24" t="str">
        <f ca="1">IFERROR(__xludf.DUMMYFUNCTION("GOOGLETRANSLATE(F1713,""en"",""pt"")"),"membranas de tecido de estiramento")</f>
        <v>membranas de tecido de estiramento</v>
      </c>
      <c r="J1713" t="str">
        <f>VLOOKUP(A1713,Pr_Base_LNEC!$A$4:$J$6971,6,FALSE)</f>
        <v>-</v>
      </c>
      <c r="K1713">
        <f>VLOOKUP(A1713,Pr_Base_LNEC!$A$4:$J$6971,7,FALSE)</f>
        <v>0</v>
      </c>
    </row>
    <row r="1714" spans="1:11" ht="14.5">
      <c r="A1714" s="20" t="s">
        <v>18021</v>
      </c>
      <c r="B1714" s="20">
        <v>25</v>
      </c>
      <c r="C1714" s="20">
        <v>57</v>
      </c>
      <c r="D1714" s="20">
        <v>90</v>
      </c>
      <c r="E1714" s="20">
        <v>85</v>
      </c>
      <c r="F1714" s="20" t="s">
        <v>18022</v>
      </c>
      <c r="G1714" s="20" t="s">
        <v>18023</v>
      </c>
      <c r="H1714" s="24"/>
      <c r="I1714" s="24" t="str">
        <f ca="1">IFERROR(__xludf.DUMMYFUNCTION("GOOGLETRANSLATE(F1714,""en"",""pt"")"),"painéis de tecido suspensos")</f>
        <v>painéis de tecido suspensos</v>
      </c>
      <c r="J1714" t="str">
        <f>VLOOKUP(A1714,Pr_Base_LNEC!$A$4:$J$6971,6,FALSE)</f>
        <v>-</v>
      </c>
      <c r="K1714">
        <f>VLOOKUP(A1714,Pr_Base_LNEC!$A$4:$J$6971,7,FALSE)</f>
        <v>0</v>
      </c>
    </row>
    <row r="1715" spans="1:11" ht="14.5">
      <c r="A1715" s="20" t="s">
        <v>18024</v>
      </c>
      <c r="B1715" s="20">
        <v>25</v>
      </c>
      <c r="C1715" s="20">
        <v>71</v>
      </c>
      <c r="D1715" s="24"/>
      <c r="E1715" s="24"/>
      <c r="F1715" s="20" t="s">
        <v>18025</v>
      </c>
      <c r="G1715" s="24"/>
      <c r="H1715" s="24"/>
      <c r="I1715" s="24" t="str">
        <f ca="1">IFERROR(__xludf.DUMMYFUNCTION("GOOGLETRANSLATE(F1715,""en"",""pt"")"),"produtos de cartão rígido, de painel e folha")</f>
        <v>produtos de cartão rígido, de painel e folha</v>
      </c>
      <c r="J1715" t="str">
        <f>VLOOKUP(A1715,Pr_Base_LNEC!$A$4:$J$6971,6,FALSE)</f>
        <v>Produtos Rígidos: Placas, Paineis, Chapas</v>
      </c>
      <c r="K1715">
        <f>VLOOKUP(A1715,Pr_Base_LNEC!$A$4:$J$6971,7,FALSE)</f>
        <v>0</v>
      </c>
    </row>
    <row r="1716" spans="1:11" ht="14.5">
      <c r="A1716" s="20" t="s">
        <v>18026</v>
      </c>
      <c r="B1716" s="20">
        <v>25</v>
      </c>
      <c r="C1716" s="20">
        <v>71</v>
      </c>
      <c r="D1716" s="20">
        <v>14</v>
      </c>
      <c r="E1716" s="24"/>
      <c r="F1716" s="20" t="s">
        <v>18027</v>
      </c>
      <c r="G1716" s="24"/>
      <c r="H1716" s="24"/>
      <c r="I1716" s="24" t="str">
        <f ca="1">IFERROR(__xludf.DUMMYFUNCTION("GOOGLETRANSLATE(F1716,""en"",""pt"")"),"Revestimento e forro painéis (revestimento leve e coberturas painéis)")</f>
        <v>Revestimento e forro painéis (revestimento leve e coberturas painéis)</v>
      </c>
      <c r="J1716" t="str">
        <f>VLOOKUP(A1716,Pr_Base_LNEC!$A$4:$J$6971,6,FALSE)</f>
        <v>Paineis de revestimento leve interior e exterior, e coberturas</v>
      </c>
      <c r="K1716">
        <f>VLOOKUP(A1716,Pr_Base_LNEC!$A$4:$J$6971,7,FALSE)</f>
        <v>0</v>
      </c>
    </row>
    <row r="1717" spans="1:11" ht="14.5">
      <c r="A1717" s="20" t="s">
        <v>18028</v>
      </c>
      <c r="B1717" s="20">
        <v>25</v>
      </c>
      <c r="C1717" s="20">
        <v>71</v>
      </c>
      <c r="D1717" s="20">
        <v>14</v>
      </c>
      <c r="E1717" s="20">
        <v>1</v>
      </c>
      <c r="F1717" s="20" t="s">
        <v>18029</v>
      </c>
      <c r="G1717" s="20" t="s">
        <v>18030</v>
      </c>
      <c r="H1717" s="24"/>
      <c r="I1717" s="24" t="str">
        <f ca="1">IFERROR(__xludf.DUMMYFUNCTION("GOOGLETRANSLATE(F1717,""en"",""pt"")"),"Agregado com cara de plástico reforçado com vidro (GRP) painéis")</f>
        <v>Agregado com cara de plástico reforçado com vidro (GRP) painéis</v>
      </c>
      <c r="J1717" t="str">
        <f>VLOOKUP(A1717,Pr_Base_LNEC!$A$4:$J$6971,6,FALSE)</f>
        <v>-</v>
      </c>
      <c r="K1717">
        <f>VLOOKUP(A1717,Pr_Base_LNEC!$A$4:$J$6971,7,FALSE)</f>
        <v>0</v>
      </c>
    </row>
    <row r="1718" spans="1:11" ht="14.5">
      <c r="A1718" s="20" t="s">
        <v>18031</v>
      </c>
      <c r="B1718" s="20">
        <v>25</v>
      </c>
      <c r="C1718" s="20">
        <v>71</v>
      </c>
      <c r="D1718" s="20">
        <v>14</v>
      </c>
      <c r="E1718" s="20">
        <v>2</v>
      </c>
      <c r="F1718" s="20" t="s">
        <v>18032</v>
      </c>
      <c r="G1718" s="20" t="s">
        <v>18033</v>
      </c>
      <c r="H1718" s="24"/>
      <c r="I1718" s="24" t="str">
        <f ca="1">IFERROR(__xludf.DUMMYFUNCTION("GOOGLETRANSLATE(F1718,""en"",""pt"")"),"painéis de cassetes de alumínio")</f>
        <v>painéis de cassetes de alumínio</v>
      </c>
      <c r="J1718" t="str">
        <f>VLOOKUP(A1718,Pr_Base_LNEC!$A$4:$J$6971,6,FALSE)</f>
        <v>-</v>
      </c>
      <c r="K1718">
        <f>VLOOKUP(A1718,Pr_Base_LNEC!$A$4:$J$6971,7,FALSE)</f>
        <v>0</v>
      </c>
    </row>
    <row r="1719" spans="1:11" ht="14.5">
      <c r="A1719" s="20" t="s">
        <v>18034</v>
      </c>
      <c r="B1719" s="20">
        <v>25</v>
      </c>
      <c r="C1719" s="20">
        <v>71</v>
      </c>
      <c r="D1719" s="20">
        <v>14</v>
      </c>
      <c r="E1719" s="20">
        <v>3</v>
      </c>
      <c r="F1719" s="20" t="s">
        <v>18035</v>
      </c>
      <c r="G1719" s="24"/>
      <c r="H1719" s="24"/>
      <c r="I1719" s="24" t="str">
        <f ca="1">IFERROR(__xludf.DUMMYFUNCTION("GOOGLETRANSLATE(F1719,""en"",""pt"")"),"Aplicada painéis de revestimento de betão pré-moldados")</f>
        <v>Aplicada painéis de revestimento de betão pré-moldados</v>
      </c>
      <c r="J1719" t="e">
        <f>VLOOKUP(A1719,Pr_Base_LNEC!$A$4:$J$6971,6,FALSE)</f>
        <v>#N/A</v>
      </c>
      <c r="K1719" t="e">
        <f>VLOOKUP(A1719,Pr_Base_LNEC!$A$4:$J$6971,7,FALSE)</f>
        <v>#N/A</v>
      </c>
    </row>
    <row r="1720" spans="1:11" ht="14.5">
      <c r="A1720" s="20" t="s">
        <v>18036</v>
      </c>
      <c r="B1720" s="20">
        <v>25</v>
      </c>
      <c r="C1720" s="20">
        <v>71</v>
      </c>
      <c r="D1720" s="20">
        <v>14</v>
      </c>
      <c r="E1720" s="20">
        <v>4</v>
      </c>
      <c r="F1720" s="20" t="s">
        <v>18037</v>
      </c>
      <c r="G1720" s="20" t="s">
        <v>18038</v>
      </c>
      <c r="H1720" s="24"/>
      <c r="I1720" s="24" t="str">
        <f ca="1">IFERROR(__xludf.DUMMYFUNCTION("GOOGLETRANSLATE(F1720,""en"",""pt"")"),"Alumínio isolante painéis sanduíche")</f>
        <v>Alumínio isolante painéis sanduíche</v>
      </c>
      <c r="J1720" t="e">
        <f>VLOOKUP(A1720,Pr_Base_LNEC!$A$4:$J$6971,6,FALSE)</f>
        <v>#N/A</v>
      </c>
      <c r="K1720" t="e">
        <f>VLOOKUP(A1720,Pr_Base_LNEC!$A$4:$J$6971,7,FALSE)</f>
        <v>#N/A</v>
      </c>
    </row>
    <row r="1721" spans="1:11" ht="14.5">
      <c r="A1721" s="20" t="s">
        <v>18039</v>
      </c>
      <c r="B1721" s="20">
        <v>25</v>
      </c>
      <c r="C1721" s="20">
        <v>71</v>
      </c>
      <c r="D1721" s="20">
        <v>14</v>
      </c>
      <c r="E1721" s="20">
        <v>5</v>
      </c>
      <c r="F1721" s="20" t="s">
        <v>18040</v>
      </c>
      <c r="G1721" s="20" t="s">
        <v>18041</v>
      </c>
      <c r="H1721" s="24"/>
      <c r="I1721" s="24" t="str">
        <f ca="1">IFERROR(__xludf.DUMMYFUNCTION("GOOGLETRANSLATE(F1721,""en"",""pt"")"),"de material compósito de alumínio (ACM), os painéis")</f>
        <v>de material compósito de alumínio (ACM), os painéis</v>
      </c>
      <c r="J1721" t="str">
        <f>VLOOKUP(A1721,Pr_Base_LNEC!$A$4:$J$6971,6,FALSE)</f>
        <v>-</v>
      </c>
      <c r="K1721">
        <f>VLOOKUP(A1721,Pr_Base_LNEC!$A$4:$J$6971,7,FALSE)</f>
        <v>0</v>
      </c>
    </row>
    <row r="1722" spans="1:11" ht="14.5">
      <c r="A1722" s="20" t="s">
        <v>18042</v>
      </c>
      <c r="B1722" s="20">
        <v>25</v>
      </c>
      <c r="C1722" s="20">
        <v>71</v>
      </c>
      <c r="D1722" s="20">
        <v>14</v>
      </c>
      <c r="E1722" s="20">
        <v>6</v>
      </c>
      <c r="F1722" s="20" t="s">
        <v>18043</v>
      </c>
      <c r="G1722" s="24"/>
      <c r="H1722" s="24"/>
      <c r="I1722" s="24" t="str">
        <f ca="1">IFERROR(__xludf.DUMMYFUNCTION("GOOGLETRANSLATE(F1722,""en"",""pt"")"),"Painéis compósitos de alumínio")</f>
        <v>Painéis compósitos de alumínio</v>
      </c>
      <c r="J1722" t="str">
        <f>VLOOKUP(A1722,Pr_Base_LNEC!$A$4:$J$6971,6,FALSE)</f>
        <v>-</v>
      </c>
      <c r="K1722">
        <f>VLOOKUP(A1722,Pr_Base_LNEC!$A$4:$J$6971,7,FALSE)</f>
        <v>0</v>
      </c>
    </row>
    <row r="1723" spans="1:11" ht="14.5">
      <c r="A1723" s="20" t="s">
        <v>18044</v>
      </c>
      <c r="B1723" s="20">
        <v>25</v>
      </c>
      <c r="C1723" s="20">
        <v>71</v>
      </c>
      <c r="D1723" s="20">
        <v>14</v>
      </c>
      <c r="E1723" s="20">
        <v>7</v>
      </c>
      <c r="F1723" s="20" t="s">
        <v>18045</v>
      </c>
      <c r="G1723" s="20" t="s">
        <v>18046</v>
      </c>
      <c r="H1723" s="24"/>
      <c r="I1723" s="24" t="str">
        <f ca="1">IFERROR(__xludf.DUMMYFUNCTION("GOOGLETRANSLATE(F1723,""en"",""pt"")"),"painéis externos de alumínio")</f>
        <v>painéis externos de alumínio</v>
      </c>
      <c r="J1723" t="str">
        <f>VLOOKUP(A1723,Pr_Base_LNEC!$A$4:$J$6971,6,FALSE)</f>
        <v>Paineis externos em chapa metálica de aluminio autoportantes para revestimentos exterior de paredes</v>
      </c>
      <c r="K1723" t="str">
        <f>VLOOKUP(A1723,Pr_Base_LNEC!$A$4:$J$6971,7,FALSE)</f>
        <v>EN 14782:2006</v>
      </c>
    </row>
    <row r="1724" spans="1:11" ht="14.5">
      <c r="A1724" s="20" t="s">
        <v>18047</v>
      </c>
      <c r="B1724" s="20">
        <v>25</v>
      </c>
      <c r="C1724" s="20">
        <v>71</v>
      </c>
      <c r="D1724" s="20">
        <v>14</v>
      </c>
      <c r="E1724" s="20">
        <v>8</v>
      </c>
      <c r="F1724" s="20" t="s">
        <v>18048</v>
      </c>
      <c r="G1724" s="20" t="s">
        <v>18049</v>
      </c>
      <c r="H1724" s="24"/>
      <c r="I1724" s="24" t="str">
        <f ca="1">IFERROR(__xludf.DUMMYFUNCTION("GOOGLETRANSLATE(F1724,""en"",""pt"")"),"painéis de enchimento de alumínio")</f>
        <v>painéis de enchimento de alumínio</v>
      </c>
      <c r="J1724" t="str">
        <f>VLOOKUP(A1724,Pr_Base_LNEC!$A$4:$J$6971,6,FALSE)</f>
        <v>-</v>
      </c>
      <c r="K1724">
        <f>VLOOKUP(A1724,Pr_Base_LNEC!$A$4:$J$6971,7,FALSE)</f>
        <v>0</v>
      </c>
    </row>
    <row r="1725" spans="1:11" ht="14.5">
      <c r="A1725" s="20" t="s">
        <v>18050</v>
      </c>
      <c r="B1725" s="20">
        <v>25</v>
      </c>
      <c r="C1725" s="20">
        <v>71</v>
      </c>
      <c r="D1725" s="20">
        <v>14</v>
      </c>
      <c r="E1725" s="20">
        <v>9</v>
      </c>
      <c r="F1725" s="20" t="s">
        <v>18051</v>
      </c>
      <c r="G1725" s="20" t="s">
        <v>18052</v>
      </c>
      <c r="H1725" s="24"/>
      <c r="I1725" s="24" t="str">
        <f ca="1">IFERROR(__xludf.DUMMYFUNCTION("GOOGLETRANSLATE(F1725,""en"",""pt"")"),"painéis internos de alumínio")</f>
        <v>painéis internos de alumínio</v>
      </c>
      <c r="J1725" t="str">
        <f>VLOOKUP(A1725,Pr_Base_LNEC!$A$4:$J$6971,6,FALSE)</f>
        <v>Paineis internos em chapa metálica de aluminio autoportantes para revestimentos interior de paredes</v>
      </c>
      <c r="K1725" t="str">
        <f>VLOOKUP(A1725,Pr_Base_LNEC!$A$4:$J$6971,7,FALSE)</f>
        <v>EN 14782:2006</v>
      </c>
    </row>
    <row r="1726" spans="1:11" ht="14.5">
      <c r="A1726" s="20" t="s">
        <v>18053</v>
      </c>
      <c r="B1726" s="20">
        <v>25</v>
      </c>
      <c r="C1726" s="20">
        <v>71</v>
      </c>
      <c r="D1726" s="20">
        <v>14</v>
      </c>
      <c r="E1726" s="20">
        <v>10</v>
      </c>
      <c r="F1726" s="20" t="s">
        <v>18054</v>
      </c>
      <c r="G1726" s="20" t="s">
        <v>18055</v>
      </c>
      <c r="H1726" s="24"/>
      <c r="I1726" s="24" t="str">
        <f ca="1">IFERROR(__xludf.DUMMYFUNCTION("GOOGLETRANSLATE(F1726,""en"",""pt"")"),"painéis centrais de alumínio com face de alumínio")</f>
        <v>painéis centrais de alumínio com face de alumínio</v>
      </c>
      <c r="J1726" t="str">
        <f>VLOOKUP(A1726,Pr_Base_LNEC!$A$4:$J$6971,6,FALSE)</f>
        <v>-</v>
      </c>
      <c r="K1726">
        <f>VLOOKUP(A1726,Pr_Base_LNEC!$A$4:$J$6971,7,FALSE)</f>
        <v>0</v>
      </c>
    </row>
    <row r="1727" spans="1:11" ht="14.5">
      <c r="A1727" s="20" t="s">
        <v>18056</v>
      </c>
      <c r="B1727" s="20">
        <v>25</v>
      </c>
      <c r="C1727" s="20">
        <v>71</v>
      </c>
      <c r="D1727" s="20">
        <v>14</v>
      </c>
      <c r="E1727" s="20">
        <v>11</v>
      </c>
      <c r="F1727" s="20" t="s">
        <v>18057</v>
      </c>
      <c r="G1727" s="24"/>
      <c r="H1727" s="24"/>
      <c r="I1727" s="24" t="str">
        <f ca="1">IFERROR(__xludf.DUMMYFUNCTION("GOOGLETRANSLATE(F1727,""en"",""pt"")"),"Painéis compósitos de aço carbono")</f>
        <v>Painéis compósitos de aço carbono</v>
      </c>
      <c r="J1727" t="str">
        <f>VLOOKUP(A1727,Pr_Base_LNEC!$A$4:$J$6971,6,FALSE)</f>
        <v>-</v>
      </c>
      <c r="K1727">
        <f>VLOOKUP(A1727,Pr_Base_LNEC!$A$4:$J$6971,7,FALSE)</f>
        <v>0</v>
      </c>
    </row>
    <row r="1728" spans="1:11" ht="14.5">
      <c r="A1728" s="20" t="s">
        <v>18058</v>
      </c>
      <c r="B1728" s="20">
        <v>25</v>
      </c>
      <c r="C1728" s="20">
        <v>71</v>
      </c>
      <c r="D1728" s="20">
        <v>14</v>
      </c>
      <c r="E1728" s="20">
        <v>12</v>
      </c>
      <c r="F1728" s="20" t="s">
        <v>18059</v>
      </c>
      <c r="G1728" s="20" t="s">
        <v>18060</v>
      </c>
      <c r="H1728" s="24"/>
      <c r="I1728" s="24" t="str">
        <f ca="1">IFERROR(__xludf.DUMMYFUNCTION("GOOGLETRANSLATE(F1728,""en"",""pt"")"),"aço carbono painéis externos")</f>
        <v>aço carbono painéis externos</v>
      </c>
      <c r="J1728" t="str">
        <f>VLOOKUP(A1728,Pr_Base_LNEC!$A$4:$J$6971,6,FALSE)</f>
        <v>Paineis externos em chapa metálica de aço autoportantes para revestimento exterior de paredes</v>
      </c>
      <c r="K1728" t="str">
        <f>VLOOKUP(A1728,Pr_Base_LNEC!$A$4:$J$6971,7,FALSE)</f>
        <v>EN 14782:2006</v>
      </c>
    </row>
    <row r="1729" spans="1:11" ht="14.5">
      <c r="A1729" s="20" t="s">
        <v>18061</v>
      </c>
      <c r="B1729" s="20">
        <v>25</v>
      </c>
      <c r="C1729" s="20">
        <v>71</v>
      </c>
      <c r="D1729" s="20">
        <v>14</v>
      </c>
      <c r="E1729" s="20">
        <v>13</v>
      </c>
      <c r="F1729" s="20" t="s">
        <v>18062</v>
      </c>
      <c r="G1729" s="20" t="s">
        <v>18063</v>
      </c>
      <c r="H1729" s="24"/>
      <c r="I1729" s="24" t="str">
        <f ca="1">IFERROR(__xludf.DUMMYFUNCTION("GOOGLETRANSLATE(F1729,""en"",""pt"")"),"painéis de enchimento de aço carbono")</f>
        <v>painéis de enchimento de aço carbono</v>
      </c>
      <c r="J1729" t="str">
        <f>VLOOKUP(A1729,Pr_Base_LNEC!$A$4:$J$6971,6,FALSE)</f>
        <v>-</v>
      </c>
      <c r="K1729">
        <f>VLOOKUP(A1729,Pr_Base_LNEC!$A$4:$J$6971,7,FALSE)</f>
        <v>0</v>
      </c>
    </row>
    <row r="1730" spans="1:11" ht="14.5">
      <c r="A1730" s="20" t="s">
        <v>18064</v>
      </c>
      <c r="B1730" s="20">
        <v>25</v>
      </c>
      <c r="C1730" s="20">
        <v>71</v>
      </c>
      <c r="D1730" s="20">
        <v>14</v>
      </c>
      <c r="E1730" s="20">
        <v>14</v>
      </c>
      <c r="F1730" s="20" t="s">
        <v>18065</v>
      </c>
      <c r="G1730" s="20" t="s">
        <v>18066</v>
      </c>
      <c r="H1730" s="24"/>
      <c r="I1730" s="24" t="str">
        <f ca="1">IFERROR(__xludf.DUMMYFUNCTION("GOOGLETRANSLATE(F1730,""en"",""pt"")"),"aço carbono painéis internos")</f>
        <v>aço carbono painéis internos</v>
      </c>
      <c r="J1730" t="str">
        <f>VLOOKUP(A1730,Pr_Base_LNEC!$A$4:$J$6971,6,FALSE)</f>
        <v>Paineis internos em Chapa Metálica de Aço autoportantes para revestimentos interior de paredes</v>
      </c>
      <c r="K1730" t="str">
        <f>VLOOKUP(A1730,Pr_Base_LNEC!$A$4:$J$6971,7,FALSE)</f>
        <v>EN 14782:2006</v>
      </c>
    </row>
    <row r="1731" spans="1:11" ht="14.5">
      <c r="A1731" s="20" t="s">
        <v>18067</v>
      </c>
      <c r="B1731" s="20">
        <v>25</v>
      </c>
      <c r="C1731" s="20">
        <v>71</v>
      </c>
      <c r="D1731" s="20">
        <v>14</v>
      </c>
      <c r="E1731" s="20">
        <v>15</v>
      </c>
      <c r="F1731" s="20" t="s">
        <v>18068</v>
      </c>
      <c r="G1731" s="20" t="s">
        <v>18069</v>
      </c>
      <c r="H1731" s="24"/>
      <c r="I1731" s="24" t="str">
        <f ca="1">IFERROR(__xludf.DUMMYFUNCTION("GOOGLETRANSLATE(F1731,""en"",""pt"")"),"painéis cerâmicos")</f>
        <v>painéis cerâmicos</v>
      </c>
      <c r="J1731" t="str">
        <f>VLOOKUP(A1731,Pr_Base_LNEC!$A$4:$J$6971,6,FALSE)</f>
        <v>-</v>
      </c>
      <c r="K1731">
        <f>VLOOKUP(A1731,Pr_Base_LNEC!$A$4:$J$6971,7,FALSE)</f>
        <v>0</v>
      </c>
    </row>
    <row r="1732" spans="1:11" ht="14.5">
      <c r="A1732" s="20" t="s">
        <v>18070</v>
      </c>
      <c r="B1732" s="20">
        <v>25</v>
      </c>
      <c r="C1732" s="20">
        <v>71</v>
      </c>
      <c r="D1732" s="20">
        <v>14</v>
      </c>
      <c r="E1732" s="20">
        <v>16</v>
      </c>
      <c r="F1732" s="20" t="s">
        <v>18071</v>
      </c>
      <c r="G1732" s="24"/>
      <c r="H1732" s="24"/>
      <c r="I1732" s="24" t="str">
        <f ca="1">IFERROR(__xludf.DUMMYFUNCTION("GOOGLETRANSLATE(F1732,""en"",""pt"")"),"tripas de coluna")</f>
        <v>tripas de coluna</v>
      </c>
      <c r="J1732" t="str">
        <f>VLOOKUP(A1732,Pr_Base_LNEC!$A$4:$J$6971,6,FALSE)</f>
        <v>-</v>
      </c>
      <c r="K1732">
        <f>VLOOKUP(A1732,Pr_Base_LNEC!$A$4:$J$6971,7,FALSE)</f>
        <v>0</v>
      </c>
    </row>
    <row r="1733" spans="1:11" ht="14.5">
      <c r="A1733" s="20" t="s">
        <v>18072</v>
      </c>
      <c r="B1733" s="20">
        <v>25</v>
      </c>
      <c r="C1733" s="20">
        <v>71</v>
      </c>
      <c r="D1733" s="20">
        <v>14</v>
      </c>
      <c r="E1733" s="20">
        <v>17</v>
      </c>
      <c r="F1733" s="20" t="s">
        <v>18073</v>
      </c>
      <c r="G1733" s="24"/>
      <c r="H1733" s="24"/>
      <c r="I1733" s="24" t="str">
        <f ca="1">IFERROR(__xludf.DUMMYFUNCTION("GOOGLETRANSLATE(F1733,""en"",""pt"")"),"painéis centrais de alumínio cerâmico-enfrentados")</f>
        <v>painéis centrais de alumínio cerâmico-enfrentados</v>
      </c>
      <c r="J1733" t="str">
        <f>VLOOKUP(A1733,Pr_Base_LNEC!$A$4:$J$6971,6,FALSE)</f>
        <v>-</v>
      </c>
      <c r="K1733">
        <f>VLOOKUP(A1733,Pr_Base_LNEC!$A$4:$J$6971,7,FALSE)</f>
        <v>0</v>
      </c>
    </row>
    <row r="1734" spans="1:11" ht="14.5">
      <c r="A1734" s="20" t="s">
        <v>18074</v>
      </c>
      <c r="B1734" s="20">
        <v>25</v>
      </c>
      <c r="C1734" s="20">
        <v>71</v>
      </c>
      <c r="D1734" s="20">
        <v>14</v>
      </c>
      <c r="E1734" s="20">
        <v>18</v>
      </c>
      <c r="F1734" s="20" t="s">
        <v>18075</v>
      </c>
      <c r="G1734" s="20" t="s">
        <v>18076</v>
      </c>
      <c r="H1734" s="24"/>
      <c r="I1734" s="24" t="str">
        <f ca="1">IFERROR(__xludf.DUMMYFUNCTION("GOOGLETRANSLATE(F1734,""en"",""pt"")"),"folhas de plásticos compósitos e reciclados")</f>
        <v>folhas de plásticos compósitos e reciclados</v>
      </c>
      <c r="J1734" t="str">
        <f>VLOOKUP(A1734,Pr_Base_LNEC!$A$4:$J$6971,6,FALSE)</f>
        <v>-</v>
      </c>
      <c r="K1734">
        <f>VLOOKUP(A1734,Pr_Base_LNEC!$A$4:$J$6971,7,FALSE)</f>
        <v>0</v>
      </c>
    </row>
    <row r="1735" spans="1:11" ht="14.5">
      <c r="A1735" s="20" t="s">
        <v>18077</v>
      </c>
      <c r="B1735" s="20">
        <v>25</v>
      </c>
      <c r="C1735" s="20">
        <v>71</v>
      </c>
      <c r="D1735" s="20">
        <v>14</v>
      </c>
      <c r="E1735" s="20">
        <v>19</v>
      </c>
      <c r="F1735" s="20" t="s">
        <v>18078</v>
      </c>
      <c r="G1735" s="20" t="s">
        <v>18079</v>
      </c>
      <c r="H1735" s="24"/>
      <c r="I1735" s="24" t="str">
        <f ca="1">IFERROR(__xludf.DUMMYFUNCTION("GOOGLETRANSLATE(F1735,""en"",""pt"")"),"painéis de pedra compósitos")</f>
        <v>painéis de pedra compósitos</v>
      </c>
      <c r="J1735" t="str">
        <f>VLOOKUP(A1735,Pr_Base_LNEC!$A$4:$J$6971,6,FALSE)</f>
        <v>-</v>
      </c>
      <c r="K1735">
        <f>VLOOKUP(A1735,Pr_Base_LNEC!$A$4:$J$6971,7,FALSE)</f>
        <v>0</v>
      </c>
    </row>
    <row r="1736" spans="1:11" ht="14.5">
      <c r="A1736" s="20" t="s">
        <v>18080</v>
      </c>
      <c r="B1736" s="20">
        <v>25</v>
      </c>
      <c r="C1736" s="20">
        <v>71</v>
      </c>
      <c r="D1736" s="20">
        <v>14</v>
      </c>
      <c r="E1736" s="20">
        <v>20</v>
      </c>
      <c r="F1736" s="20" t="s">
        <v>18081</v>
      </c>
      <c r="G1736" s="20" t="s">
        <v>18082</v>
      </c>
      <c r="H1736" s="24"/>
      <c r="I1736" s="24" t="str">
        <f ca="1">IFERROR(__xludf.DUMMYFUNCTION("GOOGLETRANSLATE(F1736,""en"",""pt"")"),"painéis de fibra de rocha compactados")</f>
        <v>painéis de fibra de rocha compactados</v>
      </c>
      <c r="J1736" t="str">
        <f>VLOOKUP(A1736,Pr_Base_LNEC!$A$4:$J$6971,6,FALSE)</f>
        <v>-</v>
      </c>
      <c r="K1736">
        <f>VLOOKUP(A1736,Pr_Base_LNEC!$A$4:$J$6971,7,FALSE)</f>
        <v>0</v>
      </c>
    </row>
    <row r="1737" spans="1:11" ht="14.5">
      <c r="A1737" s="20" t="s">
        <v>18083</v>
      </c>
      <c r="B1737" s="20">
        <v>25</v>
      </c>
      <c r="C1737" s="20">
        <v>71</v>
      </c>
      <c r="D1737" s="20">
        <v>14</v>
      </c>
      <c r="E1737" s="20">
        <v>21</v>
      </c>
      <c r="F1737" s="20" t="s">
        <v>18084</v>
      </c>
      <c r="G1737" s="24"/>
      <c r="H1737" s="24"/>
      <c r="I1737" s="24" t="str">
        <f ca="1">IFERROR(__xludf.DUMMYFUNCTION("GOOGLETRANSLATE(F1737,""en"",""pt"")"),"Liga de cobre-enfrentado painéis centrais de alumínio")</f>
        <v>Liga de cobre-enfrentado painéis centrais de alumínio</v>
      </c>
      <c r="J1737" t="str">
        <f>VLOOKUP(A1737,Pr_Base_LNEC!$A$4:$J$6971,6,FALSE)</f>
        <v>-</v>
      </c>
      <c r="K1737">
        <f>VLOOKUP(A1737,Pr_Base_LNEC!$A$4:$J$6971,7,FALSE)</f>
        <v>0</v>
      </c>
    </row>
    <row r="1738" spans="1:11" ht="14.5">
      <c r="A1738" s="20" t="s">
        <v>18085</v>
      </c>
      <c r="B1738" s="20">
        <v>25</v>
      </c>
      <c r="C1738" s="20">
        <v>71</v>
      </c>
      <c r="D1738" s="20">
        <v>14</v>
      </c>
      <c r="E1738" s="20">
        <v>22</v>
      </c>
      <c r="F1738" s="20" t="s">
        <v>18086</v>
      </c>
      <c r="G1738" s="20" t="s">
        <v>18087</v>
      </c>
      <c r="H1738" s="24"/>
      <c r="I1738" s="24" t="str">
        <f ca="1">IFERROR(__xludf.DUMMYFUNCTION("GOOGLETRANSLATE(F1738,""en"",""pt"")"),"aço carbono isolante painéis sanduíche")</f>
        <v>aço carbono isolante painéis sanduíche</v>
      </c>
      <c r="J1738" t="e">
        <f>VLOOKUP(A1738,Pr_Base_LNEC!$A$4:$J$6971,6,FALSE)</f>
        <v>#N/A</v>
      </c>
      <c r="K1738" t="e">
        <f>VLOOKUP(A1738,Pr_Base_LNEC!$A$4:$J$6971,7,FALSE)</f>
        <v>#N/A</v>
      </c>
    </row>
    <row r="1739" spans="1:11" ht="14.5">
      <c r="A1739" s="20" t="s">
        <v>18088</v>
      </c>
      <c r="B1739" s="20">
        <v>25</v>
      </c>
      <c r="C1739" s="20">
        <v>71</v>
      </c>
      <c r="D1739" s="20">
        <v>14</v>
      </c>
      <c r="E1739" s="20">
        <v>30</v>
      </c>
      <c r="F1739" s="20" t="s">
        <v>18089</v>
      </c>
      <c r="G1739" s="24"/>
      <c r="H1739" s="24"/>
      <c r="I1739" s="24" t="str">
        <f ca="1">IFERROR(__xludf.DUMMYFUNCTION("GOOGLETRANSLATE(F1739,""en"",""pt"")"),"painéis de fibrocimento")</f>
        <v>painéis de fibrocimento</v>
      </c>
      <c r="J1739" t="str">
        <f>VLOOKUP(A1739,Pr_Base_LNEC!$A$4:$J$6971,6,FALSE)</f>
        <v>-</v>
      </c>
      <c r="K1739">
        <f>VLOOKUP(A1739,Pr_Base_LNEC!$A$4:$J$6971,7,FALSE)</f>
        <v>0</v>
      </c>
    </row>
    <row r="1740" spans="1:11" ht="14.5">
      <c r="A1740" s="20" t="s">
        <v>18090</v>
      </c>
      <c r="B1740" s="20">
        <v>25</v>
      </c>
      <c r="C1740" s="20">
        <v>71</v>
      </c>
      <c r="D1740" s="20">
        <v>14</v>
      </c>
      <c r="E1740" s="20">
        <v>31</v>
      </c>
      <c r="F1740" s="20" t="s">
        <v>18091</v>
      </c>
      <c r="G1740" s="24"/>
      <c r="H1740" s="24"/>
      <c r="I1740" s="24" t="str">
        <f ca="1">IFERROR(__xludf.DUMMYFUNCTION("GOOGLETRANSLATE(F1740,""en"",""pt"")"),"tripas à prova de fogo")</f>
        <v>tripas à prova de fogo</v>
      </c>
      <c r="J1740" t="str">
        <f>VLOOKUP(A1740,Pr_Base_LNEC!$A$4:$J$6971,6,FALSE)</f>
        <v>-</v>
      </c>
      <c r="K1740">
        <f>VLOOKUP(A1740,Pr_Base_LNEC!$A$4:$J$6971,7,FALSE)</f>
        <v>0</v>
      </c>
    </row>
    <row r="1741" spans="1:11" ht="14.5">
      <c r="A1741" s="20" t="s">
        <v>18092</v>
      </c>
      <c r="B1741" s="20">
        <v>25</v>
      </c>
      <c r="C1741" s="20">
        <v>71</v>
      </c>
      <c r="D1741" s="20">
        <v>14</v>
      </c>
      <c r="E1741" s="20">
        <v>33</v>
      </c>
      <c r="F1741" s="20" t="s">
        <v>18093</v>
      </c>
      <c r="G1741" s="24"/>
      <c r="H1741" s="24"/>
      <c r="I1741" s="24" t="str">
        <f ca="1">IFERROR(__xludf.DUMMYFUNCTION("GOOGLETRANSLATE(F1741,""en"",""pt"")"),"Glass-enfrentado painéis centrais de alumínio")</f>
        <v>Glass-enfrentado painéis centrais de alumínio</v>
      </c>
      <c r="J1741" t="str">
        <f>VLOOKUP(A1741,Pr_Base_LNEC!$A$4:$J$6971,6,FALSE)</f>
        <v>-</v>
      </c>
      <c r="K1741">
        <f>VLOOKUP(A1741,Pr_Base_LNEC!$A$4:$J$6971,7,FALSE)</f>
        <v>0</v>
      </c>
    </row>
    <row r="1742" spans="1:11" ht="14.5">
      <c r="A1742" s="20" t="s">
        <v>18094</v>
      </c>
      <c r="B1742" s="20">
        <v>25</v>
      </c>
      <c r="C1742" s="20">
        <v>71</v>
      </c>
      <c r="D1742" s="20">
        <v>14</v>
      </c>
      <c r="E1742" s="20">
        <v>34</v>
      </c>
      <c r="F1742" s="20" t="s">
        <v>18095</v>
      </c>
      <c r="G1742" s="24"/>
      <c r="H1742" s="24"/>
      <c r="I1742" s="24" t="str">
        <f ca="1">IFERROR(__xludf.DUMMYFUNCTION("GOOGLETRANSLATE(F1742,""en"",""pt"")"),"Plástico reforçado com vidro (GRP) painéis")</f>
        <v>Plástico reforçado com vidro (GRP) painéis</v>
      </c>
      <c r="J1742" t="str">
        <f>VLOOKUP(A1742,Pr_Base_LNEC!$A$4:$J$6971,6,FALSE)</f>
        <v>-</v>
      </c>
      <c r="K1742">
        <f>VLOOKUP(A1742,Pr_Base_LNEC!$A$4:$J$6971,7,FALSE)</f>
        <v>0</v>
      </c>
    </row>
    <row r="1743" spans="1:11" ht="14.5">
      <c r="A1743" s="20" t="s">
        <v>18096</v>
      </c>
      <c r="B1743" s="20">
        <v>25</v>
      </c>
      <c r="C1743" s="20">
        <v>71</v>
      </c>
      <c r="D1743" s="20">
        <v>14</v>
      </c>
      <c r="E1743" s="20">
        <v>52</v>
      </c>
      <c r="F1743" s="20" t="s">
        <v>18097</v>
      </c>
      <c r="G1743" s="24"/>
      <c r="H1743" s="24"/>
      <c r="I1743" s="24" t="str">
        <f ca="1">IFERROR(__xludf.DUMMYFUNCTION("GOOGLETRANSLATE(F1743,""en"",""pt"")"),"painéis de betão pré-fabricado de revestimento monolítico")</f>
        <v>painéis de betão pré-fabricado de revestimento monolítico</v>
      </c>
      <c r="J1743" t="e">
        <f>VLOOKUP(A1743,Pr_Base_LNEC!$A$4:$J$6971,6,FALSE)</f>
        <v>#N/A</v>
      </c>
      <c r="K1743" t="e">
        <f>VLOOKUP(A1743,Pr_Base_LNEC!$A$4:$J$6971,7,FALSE)</f>
        <v>#N/A</v>
      </c>
    </row>
    <row r="1744" spans="1:11" ht="14.5">
      <c r="A1744" s="20" t="s">
        <v>18098</v>
      </c>
      <c r="B1744" s="20">
        <v>25</v>
      </c>
      <c r="C1744" s="20">
        <v>71</v>
      </c>
      <c r="D1744" s="20">
        <v>14</v>
      </c>
      <c r="E1744" s="20">
        <v>56</v>
      </c>
      <c r="F1744" s="20" t="s">
        <v>18099</v>
      </c>
      <c r="G1744" s="20" t="s">
        <v>18100</v>
      </c>
      <c r="H1744" s="24"/>
      <c r="I1744" s="24" t="str">
        <f ca="1">IFERROR(__xludf.DUMMYFUNCTION("GOOGLETRANSLATE(F1744,""en"",""pt"")"),"painéis de pedra natural")</f>
        <v>painéis de pedra natural</v>
      </c>
      <c r="J1744" t="str">
        <f>VLOOKUP(A1744,Pr_Base_LNEC!$A$4:$J$6971,6,FALSE)</f>
        <v>-</v>
      </c>
      <c r="K1744">
        <f>VLOOKUP(A1744,Pr_Base_LNEC!$A$4:$J$6971,7,FALSE)</f>
        <v>0</v>
      </c>
    </row>
    <row r="1745" spans="1:11" ht="14.5">
      <c r="A1745" s="20" t="s">
        <v>18101</v>
      </c>
      <c r="B1745" s="20">
        <v>25</v>
      </c>
      <c r="C1745" s="20">
        <v>71</v>
      </c>
      <c r="D1745" s="20">
        <v>14</v>
      </c>
      <c r="E1745" s="20">
        <v>57</v>
      </c>
      <c r="F1745" s="20" t="s">
        <v>18102</v>
      </c>
      <c r="G1745" s="24"/>
      <c r="H1745" s="24"/>
      <c r="I1745" s="24" t="str">
        <f ca="1">IFERROR(__xludf.DUMMYFUNCTION("GOOGLETRANSLATE(F1745,""en"",""pt"")"),"painéis naturais núcleo de alumínio com face de pedra")</f>
        <v>painéis naturais núcleo de alumínio com face de pedra</v>
      </c>
      <c r="J1745" t="str">
        <f>VLOOKUP(A1745,Pr_Base_LNEC!$A$4:$J$6971,6,FALSE)</f>
        <v>-</v>
      </c>
      <c r="K1745">
        <f>VLOOKUP(A1745,Pr_Base_LNEC!$A$4:$J$6971,7,FALSE)</f>
        <v>0</v>
      </c>
    </row>
    <row r="1746" spans="1:11" ht="14.5">
      <c r="A1746" s="20" t="s">
        <v>18103</v>
      </c>
      <c r="B1746" s="20">
        <v>25</v>
      </c>
      <c r="C1746" s="20">
        <v>71</v>
      </c>
      <c r="D1746" s="20">
        <v>14</v>
      </c>
      <c r="E1746" s="20">
        <v>62</v>
      </c>
      <c r="F1746" s="20" t="s">
        <v>18104</v>
      </c>
      <c r="G1746" s="20" t="s">
        <v>18105</v>
      </c>
      <c r="H1746" s="24"/>
      <c r="I1746" s="24" t="str">
        <f ca="1">IFERROR(__xludf.DUMMYFUNCTION("GOOGLETRANSLATE(F1746,""en"",""pt"")"),"Plásticos revestimentos das paredes de folha")</f>
        <v>Plásticos revestimentos das paredes de folha</v>
      </c>
      <c r="J1746" t="str">
        <f>VLOOKUP(A1746,Pr_Base_LNEC!$A$4:$J$6971,6,FALSE)</f>
        <v>-</v>
      </c>
      <c r="K1746">
        <f>VLOOKUP(A1746,Pr_Base_LNEC!$A$4:$J$6971,7,FALSE)</f>
        <v>0</v>
      </c>
    </row>
    <row r="1747" spans="1:11" ht="14.5">
      <c r="A1747" s="20" t="s">
        <v>18106</v>
      </c>
      <c r="B1747" s="20">
        <v>25</v>
      </c>
      <c r="C1747" s="20">
        <v>71</v>
      </c>
      <c r="D1747" s="20">
        <v>14</v>
      </c>
      <c r="E1747" s="20">
        <v>63</v>
      </c>
      <c r="F1747" s="20" t="s">
        <v>18107</v>
      </c>
      <c r="G1747" s="24"/>
      <c r="H1747" s="24"/>
      <c r="I1747" s="24" t="str">
        <f ca="1">IFERROR(__xludf.DUMMYFUNCTION("GOOGLETRANSLATE(F1747,""en"",""pt"")"),"painéis centrais de alumínio com face de platina")</f>
        <v>painéis centrais de alumínio com face de platina</v>
      </c>
      <c r="J1747" t="str">
        <f>VLOOKUP(A1747,Pr_Base_LNEC!$A$4:$J$6971,6,FALSE)</f>
        <v>-</v>
      </c>
      <c r="K1747">
        <f>VLOOKUP(A1747,Pr_Base_LNEC!$A$4:$J$6971,7,FALSE)</f>
        <v>0</v>
      </c>
    </row>
    <row r="1748" spans="1:11" ht="14.5">
      <c r="A1748" s="20" t="s">
        <v>18108</v>
      </c>
      <c r="B1748" s="20">
        <v>25</v>
      </c>
      <c r="C1748" s="20">
        <v>71</v>
      </c>
      <c r="D1748" s="20">
        <v>14</v>
      </c>
      <c r="E1748" s="20">
        <v>65</v>
      </c>
      <c r="F1748" s="20" t="s">
        <v>18109</v>
      </c>
      <c r="G1748" s="20" t="s">
        <v>18110</v>
      </c>
      <c r="H1748" s="24"/>
      <c r="I1748" s="24" t="str">
        <f ca="1">IFERROR(__xludf.DUMMYFUNCTION("GOOGLETRANSLATE(F1748,""en"",""pt"")"),"Pré-resistido painéis cassete de zinco")</f>
        <v>Pré-resistido painéis cassete de zinco</v>
      </c>
      <c r="J1748" t="str">
        <f>VLOOKUP(A1748,Pr_Base_LNEC!$A$4:$J$6971,6,FALSE)</f>
        <v>-</v>
      </c>
      <c r="K1748">
        <f>VLOOKUP(A1748,Pr_Base_LNEC!$A$4:$J$6971,7,FALSE)</f>
        <v>0</v>
      </c>
    </row>
    <row r="1749" spans="1:11" ht="14.5">
      <c r="A1749" s="20" t="s">
        <v>18111</v>
      </c>
      <c r="B1749" s="20">
        <v>25</v>
      </c>
      <c r="C1749" s="20">
        <v>71</v>
      </c>
      <c r="D1749" s="20">
        <v>14</v>
      </c>
      <c r="E1749" s="20">
        <v>71</v>
      </c>
      <c r="F1749" s="20" t="s">
        <v>18112</v>
      </c>
      <c r="G1749" s="24"/>
      <c r="H1749" s="24"/>
      <c r="I1749" s="24" t="str">
        <f ca="1">IFERROR(__xludf.DUMMYFUNCTION("GOOGLETRANSLATE(F1749,""en"",""pt"")"),"painéis de pedra reconstituída")</f>
        <v>painéis de pedra reconstituída</v>
      </c>
      <c r="J1749" t="e">
        <f>VLOOKUP(A1749,Pr_Base_LNEC!$A$4:$J$6971,6,FALSE)</f>
        <v>#N/A</v>
      </c>
      <c r="K1749" t="e">
        <f>VLOOKUP(A1749,Pr_Base_LNEC!$A$4:$J$6971,7,FALSE)</f>
        <v>#N/A</v>
      </c>
    </row>
    <row r="1750" spans="1:11" ht="14.5">
      <c r="A1750" s="20" t="s">
        <v>18113</v>
      </c>
      <c r="B1750" s="20">
        <v>25</v>
      </c>
      <c r="C1750" s="20">
        <v>71</v>
      </c>
      <c r="D1750" s="20">
        <v>14</v>
      </c>
      <c r="E1750" s="20">
        <v>75</v>
      </c>
      <c r="F1750" s="20" t="s">
        <v>18114</v>
      </c>
      <c r="G1750" s="24"/>
      <c r="H1750" s="24"/>
      <c r="I1750" s="24" t="str">
        <f ca="1">IFERROR(__xludf.DUMMYFUNCTION("GOOGLETRANSLATE(F1750,""en"",""pt"")"),"painéis de betão pré-fabricado de revestimento sanduíche")</f>
        <v>painéis de betão pré-fabricado de revestimento sanduíche</v>
      </c>
      <c r="J1750" t="e">
        <f>VLOOKUP(A1750,Pr_Base_LNEC!$A$4:$J$6971,6,FALSE)</f>
        <v>#N/A</v>
      </c>
      <c r="K1750" t="e">
        <f>VLOOKUP(A1750,Pr_Base_LNEC!$A$4:$J$6971,7,FALSE)</f>
        <v>#N/A</v>
      </c>
    </row>
    <row r="1751" spans="1:11" ht="14.5">
      <c r="A1751" s="20" t="s">
        <v>18115</v>
      </c>
      <c r="B1751" s="20">
        <v>25</v>
      </c>
      <c r="C1751" s="20">
        <v>71</v>
      </c>
      <c r="D1751" s="20">
        <v>14</v>
      </c>
      <c r="E1751" s="20">
        <v>77</v>
      </c>
      <c r="F1751" s="20" t="s">
        <v>18116</v>
      </c>
      <c r="G1751" s="24"/>
      <c r="H1751" s="24"/>
      <c r="I1751" s="24" t="str">
        <f ca="1">IFERROR(__xludf.DUMMYFUNCTION("GOOGLETRANSLATE(F1751,""en"",""pt"")"),"painéis de revestimento de pré-moldados de concreto auto-acabados")</f>
        <v>painéis de revestimento de pré-moldados de concreto auto-acabados</v>
      </c>
      <c r="J1751" t="e">
        <f>VLOOKUP(A1751,Pr_Base_LNEC!$A$4:$J$6971,6,FALSE)</f>
        <v>#N/A</v>
      </c>
      <c r="K1751" t="e">
        <f>VLOOKUP(A1751,Pr_Base_LNEC!$A$4:$J$6971,7,FALSE)</f>
        <v>#N/A</v>
      </c>
    </row>
    <row r="1752" spans="1:11" ht="14.5">
      <c r="A1752" s="20" t="s">
        <v>18117</v>
      </c>
      <c r="B1752" s="20">
        <v>25</v>
      </c>
      <c r="C1752" s="20">
        <v>71</v>
      </c>
      <c r="D1752" s="20">
        <v>14</v>
      </c>
      <c r="E1752" s="20">
        <v>81</v>
      </c>
      <c r="F1752" s="20" t="s">
        <v>18118</v>
      </c>
      <c r="G1752" s="24"/>
      <c r="H1752" s="24"/>
      <c r="I1752" s="24" t="str">
        <f ca="1">IFERROR(__xludf.DUMMYFUNCTION("GOOGLETRANSLATE(F1752,""en"",""pt"")"),"painéis centrais de alumínio com face de aço inoxidável")</f>
        <v>painéis centrais de alumínio com face de aço inoxidável</v>
      </c>
      <c r="J1752" t="str">
        <f>VLOOKUP(A1752,Pr_Base_LNEC!$A$4:$J$6971,6,FALSE)</f>
        <v>-</v>
      </c>
      <c r="K1752">
        <f>VLOOKUP(A1752,Pr_Base_LNEC!$A$4:$J$6971,7,FALSE)</f>
        <v>0</v>
      </c>
    </row>
    <row r="1753" spans="1:11" ht="14.5">
      <c r="A1753" s="20" t="s">
        <v>18119</v>
      </c>
      <c r="B1753" s="20">
        <v>25</v>
      </c>
      <c r="C1753" s="20">
        <v>71</v>
      </c>
      <c r="D1753" s="20">
        <v>14</v>
      </c>
      <c r="E1753" s="20">
        <v>82</v>
      </c>
      <c r="F1753" s="20" t="s">
        <v>18120</v>
      </c>
      <c r="G1753" s="20" t="s">
        <v>18121</v>
      </c>
      <c r="H1753" s="24"/>
      <c r="I1753" s="24" t="str">
        <f ca="1">IFERROR(__xludf.DUMMYFUNCTION("GOOGLETRANSLATE(F1753,""en"",""pt"")"),"painéis de gaveta de aço inoxidável")</f>
        <v>painéis de gaveta de aço inoxidável</v>
      </c>
      <c r="J1753" t="str">
        <f>VLOOKUP(A1753,Pr_Base_LNEC!$A$4:$J$6971,6,FALSE)</f>
        <v>-</v>
      </c>
      <c r="K1753">
        <f>VLOOKUP(A1753,Pr_Base_LNEC!$A$4:$J$6971,7,FALSE)</f>
        <v>0</v>
      </c>
    </row>
    <row r="1754" spans="1:11" ht="14.5">
      <c r="A1754" s="20" t="s">
        <v>18122</v>
      </c>
      <c r="B1754" s="20">
        <v>25</v>
      </c>
      <c r="C1754" s="20">
        <v>71</v>
      </c>
      <c r="D1754" s="20">
        <v>14</v>
      </c>
      <c r="E1754" s="20">
        <v>83</v>
      </c>
      <c r="F1754" s="20" t="s">
        <v>18123</v>
      </c>
      <c r="G1754" s="24"/>
      <c r="H1754" s="24"/>
      <c r="I1754" s="24" t="str">
        <f ca="1">IFERROR(__xludf.DUMMYFUNCTION("GOOGLETRANSLATE(F1754,""en"",""pt"")"),"Painéis compósitos de aço inoxidável")</f>
        <v>Painéis compósitos de aço inoxidável</v>
      </c>
      <c r="J1754" t="str">
        <f>VLOOKUP(A1754,Pr_Base_LNEC!$A$4:$J$6971,6,FALSE)</f>
        <v>-</v>
      </c>
      <c r="K1754">
        <f>VLOOKUP(A1754,Pr_Base_LNEC!$A$4:$J$6971,7,FALSE)</f>
        <v>0</v>
      </c>
    </row>
    <row r="1755" spans="1:11" ht="14.5">
      <c r="A1755" s="20" t="s">
        <v>18124</v>
      </c>
      <c r="B1755" s="20">
        <v>25</v>
      </c>
      <c r="C1755" s="20">
        <v>71</v>
      </c>
      <c r="D1755" s="20">
        <v>14</v>
      </c>
      <c r="E1755" s="20">
        <v>84</v>
      </c>
      <c r="F1755" s="20" t="s">
        <v>18125</v>
      </c>
      <c r="G1755" s="20" t="s">
        <v>18126</v>
      </c>
      <c r="H1755" s="24"/>
      <c r="I1755" s="24" t="str">
        <f ca="1">IFERROR(__xludf.DUMMYFUNCTION("GOOGLETRANSLATE(F1755,""en"",""pt"")"),"painéis externos de aço inoxidável")</f>
        <v>painéis externos de aço inoxidável</v>
      </c>
      <c r="J1755" t="str">
        <f>VLOOKUP(A1755,Pr_Base_LNEC!$A$4:$J$6971,6,FALSE)</f>
        <v>-</v>
      </c>
      <c r="K1755">
        <f>VLOOKUP(A1755,Pr_Base_LNEC!$A$4:$J$6971,7,FALSE)</f>
        <v>0</v>
      </c>
    </row>
    <row r="1756" spans="1:11" ht="14.5">
      <c r="A1756" s="20" t="s">
        <v>18127</v>
      </c>
      <c r="B1756" s="20">
        <v>25</v>
      </c>
      <c r="C1756" s="20">
        <v>71</v>
      </c>
      <c r="D1756" s="20">
        <v>14</v>
      </c>
      <c r="E1756" s="20">
        <v>85</v>
      </c>
      <c r="F1756" s="20" t="s">
        <v>18128</v>
      </c>
      <c r="G1756" s="20" t="s">
        <v>18129</v>
      </c>
      <c r="H1756" s="24"/>
      <c r="I1756" s="24" t="str">
        <f ca="1">IFERROR(__xludf.DUMMYFUNCTION("GOOGLETRANSLATE(F1756,""en"",""pt"")"),"painéis de enchimento de aço inoxidável")</f>
        <v>painéis de enchimento de aço inoxidável</v>
      </c>
      <c r="J1756" t="str">
        <f>VLOOKUP(A1756,Pr_Base_LNEC!$A$4:$J$6971,6,FALSE)</f>
        <v>-</v>
      </c>
      <c r="K1756">
        <f>VLOOKUP(A1756,Pr_Base_LNEC!$A$4:$J$6971,7,FALSE)</f>
        <v>0</v>
      </c>
    </row>
    <row r="1757" spans="1:11" ht="14.5">
      <c r="A1757" s="20" t="s">
        <v>18130</v>
      </c>
      <c r="B1757" s="20">
        <v>25</v>
      </c>
      <c r="C1757" s="20">
        <v>71</v>
      </c>
      <c r="D1757" s="20">
        <v>14</v>
      </c>
      <c r="E1757" s="20">
        <v>86</v>
      </c>
      <c r="F1757" s="20" t="s">
        <v>18131</v>
      </c>
      <c r="G1757" s="20" t="s">
        <v>18132</v>
      </c>
      <c r="H1757" s="24"/>
      <c r="I1757" s="24" t="str">
        <f ca="1">IFERROR(__xludf.DUMMYFUNCTION("GOOGLETRANSLATE(F1757,""en"",""pt"")"),"painéis interiores de aço inoxidável")</f>
        <v>painéis interiores de aço inoxidável</v>
      </c>
      <c r="J1757" t="str">
        <f>VLOOKUP(A1757,Pr_Base_LNEC!$A$4:$J$6971,6,FALSE)</f>
        <v>-</v>
      </c>
      <c r="K1757">
        <f>VLOOKUP(A1757,Pr_Base_LNEC!$A$4:$J$6971,7,FALSE)</f>
        <v>0</v>
      </c>
    </row>
    <row r="1758" spans="1:11" ht="14.5">
      <c r="A1758" s="20" t="s">
        <v>18133</v>
      </c>
      <c r="B1758" s="20">
        <v>25</v>
      </c>
      <c r="C1758" s="20">
        <v>71</v>
      </c>
      <c r="D1758" s="20">
        <v>14</v>
      </c>
      <c r="E1758" s="20">
        <v>87</v>
      </c>
      <c r="F1758" s="20" t="s">
        <v>18134</v>
      </c>
      <c r="G1758" s="20" t="s">
        <v>18135</v>
      </c>
      <c r="H1758" s="24"/>
      <c r="I1758" s="24" t="str">
        <f ca="1">IFERROR(__xludf.DUMMYFUNCTION("GOOGLETRANSLATE(F1758,""en"",""pt"")"),"aço inoxidável isolante painéis sanduíche")</f>
        <v>aço inoxidável isolante painéis sanduíche</v>
      </c>
      <c r="J1758" t="e">
        <f>VLOOKUP(A1758,Pr_Base_LNEC!$A$4:$J$6971,6,FALSE)</f>
        <v>#N/A</v>
      </c>
      <c r="K1758" t="e">
        <f>VLOOKUP(A1758,Pr_Base_LNEC!$A$4:$J$6971,7,FALSE)</f>
        <v>#N/A</v>
      </c>
    </row>
    <row r="1759" spans="1:11" ht="14.5">
      <c r="A1759" s="20" t="s">
        <v>18136</v>
      </c>
      <c r="B1759" s="20">
        <v>25</v>
      </c>
      <c r="C1759" s="20">
        <v>71</v>
      </c>
      <c r="D1759" s="20">
        <v>14</v>
      </c>
      <c r="E1759" s="20">
        <v>88</v>
      </c>
      <c r="F1759" s="20" t="s">
        <v>18137</v>
      </c>
      <c r="G1759" s="20" t="s">
        <v>18138</v>
      </c>
      <c r="H1759" s="24"/>
      <c r="I1759" s="24" t="str">
        <f ca="1">IFERROR(__xludf.DUMMYFUNCTION("GOOGLETRANSLATE(F1759,""en"",""pt"")"),"painéis de terracota")</f>
        <v>painéis de terracota</v>
      </c>
      <c r="J1759" t="str">
        <f>VLOOKUP(A1759,Pr_Base_LNEC!$A$4:$J$6971,6,FALSE)</f>
        <v>Acessorios para Telhas Cerâmicas: Paineis em Terracota</v>
      </c>
      <c r="K1759" t="str">
        <f>VLOOKUP(A1759,Pr_Base_LNEC!$A$4:$J$6971,7,FALSE)</f>
        <v>EN 1304:2005</v>
      </c>
    </row>
    <row r="1760" spans="1:11" ht="14.5">
      <c r="A1760" s="20" t="s">
        <v>18139</v>
      </c>
      <c r="B1760" s="20">
        <v>25</v>
      </c>
      <c r="C1760" s="20">
        <v>71</v>
      </c>
      <c r="D1760" s="20">
        <v>14</v>
      </c>
      <c r="E1760" s="20">
        <v>90</v>
      </c>
      <c r="F1760" s="20" t="s">
        <v>18140</v>
      </c>
      <c r="G1760" s="24"/>
      <c r="H1760" s="24"/>
      <c r="I1760" s="24" t="str">
        <f ca="1">IFERROR(__xludf.DUMMYFUNCTION("GOOGLETRANSLATE(F1760,""en"",""pt"")"),"painéis centrais de alumínio com face de titânio")</f>
        <v>painéis centrais de alumínio com face de titânio</v>
      </c>
      <c r="J1760" t="str">
        <f>VLOOKUP(A1760,Pr_Base_LNEC!$A$4:$J$6971,6,FALSE)</f>
        <v>-</v>
      </c>
      <c r="K1760">
        <f>VLOOKUP(A1760,Pr_Base_LNEC!$A$4:$J$6971,7,FALSE)</f>
        <v>0</v>
      </c>
    </row>
    <row r="1761" spans="1:11" ht="14.5">
      <c r="A1761" s="20" t="s">
        <v>18141</v>
      </c>
      <c r="B1761" s="20">
        <v>25</v>
      </c>
      <c r="C1761" s="20">
        <v>71</v>
      </c>
      <c r="D1761" s="20">
        <v>14</v>
      </c>
      <c r="E1761" s="20">
        <v>98</v>
      </c>
      <c r="F1761" s="20" t="s">
        <v>18142</v>
      </c>
      <c r="G1761" s="20" t="s">
        <v>18143</v>
      </c>
      <c r="H1761" s="24"/>
      <c r="I1761" s="24" t="str">
        <f ca="1">IFERROR(__xludf.DUMMYFUNCTION("GOOGLETRANSLATE(F1761,""en"",""pt"")"),"Madeira reforçado com fibra de resina termoendurecida painéis externos")</f>
        <v>Madeira reforçado com fibra de resina termoendurecida painéis externos</v>
      </c>
      <c r="J1761" t="str">
        <f>VLOOKUP(A1761,Pr_Base_LNEC!$A$4:$J$6971,6,FALSE)</f>
        <v>-</v>
      </c>
      <c r="K1761">
        <f>VLOOKUP(A1761,Pr_Base_LNEC!$A$4:$J$6971,7,FALSE)</f>
        <v>0</v>
      </c>
    </row>
    <row r="1762" spans="1:11" ht="14.5">
      <c r="A1762" s="20" t="s">
        <v>18144</v>
      </c>
      <c r="B1762" s="20">
        <v>25</v>
      </c>
      <c r="C1762" s="20">
        <v>71</v>
      </c>
      <c r="D1762" s="20">
        <v>14</v>
      </c>
      <c r="E1762" s="20">
        <v>99</v>
      </c>
      <c r="F1762" s="20" t="s">
        <v>18145</v>
      </c>
      <c r="G1762" s="24"/>
      <c r="H1762" s="24"/>
      <c r="I1762" s="24" t="str">
        <f ca="1">IFERROR(__xludf.DUMMYFUNCTION("GOOGLETRANSLATE(F1762,""en"",""pt"")"),"Zinco-enfrentado painéis centrais de alumínio")</f>
        <v>Zinco-enfrentado painéis centrais de alumínio</v>
      </c>
      <c r="J1762" t="str">
        <f>VLOOKUP(A1762,Pr_Base_LNEC!$A$4:$J$6971,6,FALSE)</f>
        <v>-</v>
      </c>
      <c r="K1762">
        <f>VLOOKUP(A1762,Pr_Base_LNEC!$A$4:$J$6971,7,FALSE)</f>
        <v>0</v>
      </c>
    </row>
    <row r="1763" spans="1:11" ht="14.5">
      <c r="A1763" s="20" t="s">
        <v>18146</v>
      </c>
      <c r="B1763" s="20">
        <v>25</v>
      </c>
      <c r="C1763" s="20">
        <v>71</v>
      </c>
      <c r="D1763" s="20">
        <v>29</v>
      </c>
      <c r="E1763" s="24"/>
      <c r="F1763" s="20" t="s">
        <v>18147</v>
      </c>
      <c r="G1763" s="24"/>
      <c r="H1763" s="24"/>
      <c r="I1763" s="24" t="str">
        <f ca="1">IFERROR(__xludf.DUMMYFUNCTION("GOOGLETRANSLATE(F1763,""en"",""pt"")"),"Escoramento e cofragem")</f>
        <v>Escoramento e cofragem</v>
      </c>
      <c r="J1763" t="str">
        <f>VLOOKUP(A1763,Pr_Base_LNEC!$A$4:$J$6971,6,FALSE)</f>
        <v>Cofragem</v>
      </c>
      <c r="K1763">
        <f>VLOOKUP(A1763,Pr_Base_LNEC!$A$4:$J$6971,7,FALSE)</f>
        <v>0</v>
      </c>
    </row>
    <row r="1764" spans="1:11" ht="14.5">
      <c r="A1764" s="20" t="s">
        <v>18148</v>
      </c>
      <c r="B1764" s="20">
        <v>25</v>
      </c>
      <c r="C1764" s="20">
        <v>71</v>
      </c>
      <c r="D1764" s="20">
        <v>29</v>
      </c>
      <c r="E1764" s="20">
        <v>4</v>
      </c>
      <c r="F1764" s="20" t="s">
        <v>18149</v>
      </c>
      <c r="G1764" s="20" t="s">
        <v>18150</v>
      </c>
      <c r="H1764" s="24"/>
      <c r="I1764" s="24" t="str">
        <f ca="1">IFERROR(__xludf.DUMMYFUNCTION("GOOGLETRANSLATE(F1764,""en"",""pt"")"),"acabamento arquitectónico revestimentos de cofragem permanente")</f>
        <v>acabamento arquitectónico revestimentos de cofragem permanente</v>
      </c>
      <c r="J1764" t="str">
        <f>VLOOKUP(A1764,Pr_Base_LNEC!$A$4:$J$6971,6,FALSE)</f>
        <v>-</v>
      </c>
      <c r="K1764">
        <f>VLOOKUP(A1764,Pr_Base_LNEC!$A$4:$J$6971,7,FALSE)</f>
        <v>0</v>
      </c>
    </row>
    <row r="1765" spans="1:11" ht="14.5">
      <c r="A1765" s="20" t="s">
        <v>18151</v>
      </c>
      <c r="B1765" s="20">
        <v>25</v>
      </c>
      <c r="C1765" s="20">
        <v>71</v>
      </c>
      <c r="D1765" s="20">
        <v>29</v>
      </c>
      <c r="E1765" s="20">
        <v>11</v>
      </c>
      <c r="F1765" s="20" t="s">
        <v>18152</v>
      </c>
      <c r="G1765" s="20" t="s">
        <v>18153</v>
      </c>
      <c r="H1765" s="24"/>
      <c r="I1765" s="24" t="str">
        <f ca="1">IFERROR(__xludf.DUMMYFUNCTION("GOOGLETRANSLATE(F1765,""en"",""pt"")"),"aço carbono formadores conjuntas permanentes")</f>
        <v>aço carbono formadores conjuntas permanentes</v>
      </c>
      <c r="J1765" t="str">
        <f>VLOOKUP(A1765,Pr_Base_LNEC!$A$4:$J$6971,6,FALSE)</f>
        <v>-</v>
      </c>
      <c r="K1765">
        <f>VLOOKUP(A1765,Pr_Base_LNEC!$A$4:$J$6971,7,FALSE)</f>
        <v>0</v>
      </c>
    </row>
    <row r="1766" spans="1:11" ht="14.5">
      <c r="A1766" s="20" t="s">
        <v>18154</v>
      </c>
      <c r="B1766" s="20">
        <v>25</v>
      </c>
      <c r="C1766" s="20">
        <v>71</v>
      </c>
      <c r="D1766" s="20">
        <v>29</v>
      </c>
      <c r="E1766" s="20">
        <v>14</v>
      </c>
      <c r="F1766" s="20" t="s">
        <v>18155</v>
      </c>
      <c r="G1766" s="20" t="s">
        <v>18156</v>
      </c>
      <c r="H1766" s="24"/>
      <c r="I1766" s="24" t="str">
        <f ca="1">IFERROR(__xludf.DUMMYFUNCTION("GOOGLETRANSLATE(F1766,""en"",""pt"")"),"Dobrável cofragem subestrutura (molhado) bordo")</f>
        <v>Dobrável cofragem subestrutura (molhado) bordo</v>
      </c>
      <c r="J1766" t="str">
        <f>VLOOKUP(A1766,Pr_Base_LNEC!$A$4:$J$6971,6,FALSE)</f>
        <v>-</v>
      </c>
      <c r="K1766">
        <f>VLOOKUP(A1766,Pr_Base_LNEC!$A$4:$J$6971,7,FALSE)</f>
        <v>0</v>
      </c>
    </row>
    <row r="1767" spans="1:11" ht="14.5">
      <c r="A1767" s="20" t="s">
        <v>18157</v>
      </c>
      <c r="B1767" s="20">
        <v>25</v>
      </c>
      <c r="C1767" s="20">
        <v>71</v>
      </c>
      <c r="D1767" s="20">
        <v>29</v>
      </c>
      <c r="E1767" s="20">
        <v>15</v>
      </c>
      <c r="F1767" s="20" t="s">
        <v>18158</v>
      </c>
      <c r="G1767" s="20" t="s">
        <v>18159</v>
      </c>
      <c r="H1767" s="24"/>
      <c r="I1767" s="24" t="str">
        <f ca="1">IFERROR(__xludf.DUMMYFUNCTION("GOOGLETRANSLATE(F1767,""en"",""pt"")"),"placa dobrável cofragem subestrutura")</f>
        <v>placa dobrável cofragem subestrutura</v>
      </c>
      <c r="J1767" t="str">
        <f>VLOOKUP(A1767,Pr_Base_LNEC!$A$4:$J$6971,6,FALSE)</f>
        <v>-</v>
      </c>
      <c r="K1767">
        <f>VLOOKUP(A1767,Pr_Base_LNEC!$A$4:$J$6971,7,FALSE)</f>
        <v>0</v>
      </c>
    </row>
    <row r="1768" spans="1:11" ht="14.5">
      <c r="A1768" s="20" t="s">
        <v>18160</v>
      </c>
      <c r="B1768" s="20">
        <v>25</v>
      </c>
      <c r="C1768" s="20">
        <v>71</v>
      </c>
      <c r="D1768" s="20">
        <v>29</v>
      </c>
      <c r="E1768" s="20">
        <v>16</v>
      </c>
      <c r="F1768" s="20" t="s">
        <v>18161</v>
      </c>
      <c r="G1768" s="20" t="s">
        <v>18162</v>
      </c>
      <c r="H1768" s="24"/>
      <c r="I1768" s="24" t="str">
        <f ca="1">IFERROR(__xludf.DUMMYFUNCTION("GOOGLETRANSLATE(F1768,""en"",""pt"")"),"placa compressível cofragem subestrutura")</f>
        <v>placa compressível cofragem subestrutura</v>
      </c>
      <c r="J1768" t="str">
        <f>VLOOKUP(A1768,Pr_Base_LNEC!$A$4:$J$6971,6,FALSE)</f>
        <v>-</v>
      </c>
      <c r="K1768">
        <f>VLOOKUP(A1768,Pr_Base_LNEC!$A$4:$J$6971,7,FALSE)</f>
        <v>0</v>
      </c>
    </row>
    <row r="1769" spans="1:11" ht="14.5">
      <c r="A1769" s="20" t="s">
        <v>18163</v>
      </c>
      <c r="B1769" s="20">
        <v>25</v>
      </c>
      <c r="C1769" s="20">
        <v>71</v>
      </c>
      <c r="D1769" s="20">
        <v>29</v>
      </c>
      <c r="E1769" s="20">
        <v>17</v>
      </c>
      <c r="F1769" s="20" t="s">
        <v>18164</v>
      </c>
      <c r="G1769" s="20" t="s">
        <v>18165</v>
      </c>
      <c r="H1769" s="24"/>
      <c r="I1769" s="24" t="str">
        <f ca="1">IFERROR(__xludf.DUMMYFUNCTION("GOOGLETRANSLATE(F1769,""en"",""pt"")"),"formas colaterais permanentes concretas")</f>
        <v>formas colaterais permanentes concretas</v>
      </c>
      <c r="J1769" t="str">
        <f>VLOOKUP(A1769,Pr_Base_LNEC!$A$4:$J$6971,6,FALSE)</f>
        <v>-</v>
      </c>
      <c r="K1769">
        <f>VLOOKUP(A1769,Pr_Base_LNEC!$A$4:$J$6971,7,FALSE)</f>
        <v>0</v>
      </c>
    </row>
    <row r="1770" spans="1:11" ht="14.5">
      <c r="A1770" s="20" t="s">
        <v>18166</v>
      </c>
      <c r="B1770" s="20">
        <v>25</v>
      </c>
      <c r="C1770" s="20">
        <v>71</v>
      </c>
      <c r="D1770" s="20">
        <v>29</v>
      </c>
      <c r="E1770" s="20">
        <v>24</v>
      </c>
      <c r="F1770" s="20" t="s">
        <v>18167</v>
      </c>
      <c r="G1770" s="20" t="s">
        <v>18168</v>
      </c>
      <c r="H1770" s="24"/>
      <c r="I1770" s="24" t="str">
        <f ca="1">IFERROR(__xludf.DUMMYFUNCTION("GOOGLETRANSLATE(F1770,""en"",""pt"")"),"formadores de duto")</f>
        <v>formadores de duto</v>
      </c>
      <c r="J1770" t="str">
        <f>VLOOKUP(A1770,Pr_Base_LNEC!$A$4:$J$6971,6,FALSE)</f>
        <v>Bainhas de aço para armaduras de pré-esforço</v>
      </c>
      <c r="K1770" t="str">
        <f>VLOOKUP(A1770,Pr_Base_LNEC!$A$4:$J$6971,7,FALSE)</f>
        <v>EN 523:2003</v>
      </c>
    </row>
    <row r="1771" spans="1:11" ht="14.5">
      <c r="A1771" s="20" t="s">
        <v>18169</v>
      </c>
      <c r="B1771" s="20">
        <v>25</v>
      </c>
      <c r="C1771" s="20">
        <v>71</v>
      </c>
      <c r="D1771" s="20">
        <v>29</v>
      </c>
      <c r="E1771" s="20">
        <v>28</v>
      </c>
      <c r="F1771" s="20" t="s">
        <v>18170</v>
      </c>
      <c r="G1771" s="20" t="s">
        <v>18171</v>
      </c>
      <c r="H1771" s="24"/>
      <c r="I1771" s="24" t="str">
        <f ca="1">IFERROR(__xludf.DUMMYFUNCTION("GOOGLETRANSLATE(F1771,""en"",""pt"")"),"carbono expandido cofragem de malha de aço")</f>
        <v>carbono expandido cofragem de malha de aço</v>
      </c>
      <c r="J1771" t="str">
        <f>VLOOKUP(A1771,Pr_Base_LNEC!$A$4:$J$6971,6,FALSE)</f>
        <v>-</v>
      </c>
      <c r="K1771">
        <f>VLOOKUP(A1771,Pr_Base_LNEC!$A$4:$J$6971,7,FALSE)</f>
        <v>0</v>
      </c>
    </row>
    <row r="1772" spans="1:11" ht="14.5">
      <c r="A1772" s="20" t="s">
        <v>18172</v>
      </c>
      <c r="B1772" s="20">
        <v>25</v>
      </c>
      <c r="C1772" s="20">
        <v>71</v>
      </c>
      <c r="D1772" s="20">
        <v>29</v>
      </c>
      <c r="E1772" s="20">
        <v>37</v>
      </c>
      <c r="F1772" s="20" t="s">
        <v>18173</v>
      </c>
      <c r="G1772" s="20" t="s">
        <v>18174</v>
      </c>
      <c r="H1772" s="24"/>
      <c r="I1772" s="24" t="str">
        <f ca="1">IFERROR(__xludf.DUMMYFUNCTION("GOOGLETRANSLATE(F1772,""en"",""pt"")"),"Poliestireno expandido de alta densidade (HDPS) ventilado subestrutura cofragem")</f>
        <v>Poliestireno expandido de alta densidade (HDPS) ventilado subestrutura cofragem</v>
      </c>
      <c r="J1772" t="str">
        <f>VLOOKUP(A1772,Pr_Base_LNEC!$A$4:$J$6971,6,FALSE)</f>
        <v>-</v>
      </c>
      <c r="K1772">
        <f>VLOOKUP(A1772,Pr_Base_LNEC!$A$4:$J$6971,7,FALSE)</f>
        <v>0</v>
      </c>
    </row>
    <row r="1773" spans="1:11" ht="14.5">
      <c r="A1773" s="20" t="s">
        <v>18175</v>
      </c>
      <c r="B1773" s="20">
        <v>25</v>
      </c>
      <c r="C1773" s="20">
        <v>71</v>
      </c>
      <c r="D1773" s="20">
        <v>29</v>
      </c>
      <c r="E1773" s="20">
        <v>56</v>
      </c>
      <c r="F1773" s="20" t="s">
        <v>18176</v>
      </c>
      <c r="G1773" s="20" t="s">
        <v>18177</v>
      </c>
      <c r="H1773" s="24"/>
      <c r="I1773" s="24" t="str">
        <f ca="1">IFERROR(__xludf.DUMMYFUNCTION("GOOGLETRANSLATE(F1773,""en"",""pt"")"),"cofragem permanente não crítico")</f>
        <v>cofragem permanente não crítico</v>
      </c>
      <c r="J1773" t="str">
        <f>VLOOKUP(A1773,Pr_Base_LNEC!$A$4:$J$6971,6,FALSE)</f>
        <v>-</v>
      </c>
      <c r="K1773">
        <f>VLOOKUP(A1773,Pr_Base_LNEC!$A$4:$J$6971,7,FALSE)</f>
        <v>0</v>
      </c>
    </row>
    <row r="1774" spans="1:11" ht="14.5">
      <c r="A1774" s="20" t="s">
        <v>18178</v>
      </c>
      <c r="B1774" s="20">
        <v>25</v>
      </c>
      <c r="C1774" s="20">
        <v>71</v>
      </c>
      <c r="D1774" s="20">
        <v>29</v>
      </c>
      <c r="E1774" s="20">
        <v>60</v>
      </c>
      <c r="F1774" s="20" t="s">
        <v>18179</v>
      </c>
      <c r="G1774" s="20" t="s">
        <v>18180</v>
      </c>
      <c r="H1774" s="24"/>
      <c r="I1774" s="24" t="str">
        <f ca="1">IFERROR(__xludf.DUMMYFUNCTION("GOOGLETRANSLATE(F1774,""en"",""pt"")"),"painéis de parede composto permanente de betão")</f>
        <v>painéis de parede composto permanente de betão</v>
      </c>
      <c r="J1774" t="str">
        <f>VLOOKUP(A1774,Pr_Base_LNEC!$A$4:$J$6971,6,FALSE)</f>
        <v>-</v>
      </c>
      <c r="K1774">
        <f>VLOOKUP(A1774,Pr_Base_LNEC!$A$4:$J$6971,7,FALSE)</f>
        <v>0</v>
      </c>
    </row>
    <row r="1775" spans="1:11" ht="14.5">
      <c r="A1775" s="20" t="s">
        <v>18181</v>
      </c>
      <c r="B1775" s="20">
        <v>25</v>
      </c>
      <c r="C1775" s="20">
        <v>71</v>
      </c>
      <c r="D1775" s="20">
        <v>29</v>
      </c>
      <c r="E1775" s="20">
        <v>62</v>
      </c>
      <c r="F1775" s="20" t="s">
        <v>18182</v>
      </c>
      <c r="G1775" s="20" t="s">
        <v>18183</v>
      </c>
      <c r="H1775" s="24"/>
      <c r="I1775" s="24" t="str">
        <f ca="1">IFERROR(__xludf.DUMMYFUNCTION("GOOGLETRANSLATE(F1775,""en"",""pt"")"),"cofragem isolamento permanente (PIF)")</f>
        <v>cofragem isolamento permanente (PIF)</v>
      </c>
      <c r="J1775" t="str">
        <f>VLOOKUP(A1775,Pr_Base_LNEC!$A$4:$J$6971,6,FALSE)</f>
        <v>Cofragem de isolamento térmico em poliestireno expandido (EPS)</v>
      </c>
      <c r="K1775" t="str">
        <f>VLOOKUP(A1775,Pr_Base_LNEC!$A$4:$J$6971,7,FALSE)</f>
        <v>EN 13163:2012+A1:2015</v>
      </c>
    </row>
    <row r="1776" spans="1:11" ht="14.5">
      <c r="A1776" s="20" t="s">
        <v>18184</v>
      </c>
      <c r="B1776" s="20">
        <v>25</v>
      </c>
      <c r="C1776" s="20">
        <v>71</v>
      </c>
      <c r="D1776" s="20">
        <v>29</v>
      </c>
      <c r="E1776" s="20">
        <v>64</v>
      </c>
      <c r="F1776" s="20" t="s">
        <v>18185</v>
      </c>
      <c r="G1776" s="20" t="s">
        <v>18186</v>
      </c>
      <c r="H1776" s="24"/>
      <c r="I1776" s="24" t="str">
        <f ca="1">IFERROR(__xludf.DUMMYFUNCTION("GOOGLETRANSLATE(F1776,""en"",""pt"")"),"cofragem permanente madeira")</f>
        <v>cofragem permanente madeira</v>
      </c>
      <c r="J1776" t="str">
        <f>VLOOKUP(A1776,Pr_Base_LNEC!$A$4:$J$6971,6,FALSE)</f>
        <v>-</v>
      </c>
      <c r="K1776">
        <f>VLOOKUP(A1776,Pr_Base_LNEC!$A$4:$J$6971,7,FALSE)</f>
        <v>0</v>
      </c>
    </row>
    <row r="1777" spans="1:11" ht="14.5">
      <c r="A1777" s="20" t="s">
        <v>18187</v>
      </c>
      <c r="B1777" s="20">
        <v>25</v>
      </c>
      <c r="C1777" s="20">
        <v>71</v>
      </c>
      <c r="D1777" s="20">
        <v>29</v>
      </c>
      <c r="E1777" s="20">
        <v>72</v>
      </c>
      <c r="F1777" s="20" t="s">
        <v>18188</v>
      </c>
      <c r="G1777" s="20" t="s">
        <v>18189</v>
      </c>
      <c r="H1777" s="24"/>
      <c r="I1777" s="24" t="str">
        <f ca="1">IFERROR(__xludf.DUMMYFUNCTION("GOOGLETRANSLATE(F1777,""en"",""pt"")"),"carbono com nervuras cofragem de malha de aço")</f>
        <v>carbono com nervuras cofragem de malha de aço</v>
      </c>
      <c r="J1777" t="str">
        <f>VLOOKUP(A1777,Pr_Base_LNEC!$A$4:$J$6971,6,FALSE)</f>
        <v>-</v>
      </c>
      <c r="K1777">
        <f>VLOOKUP(A1777,Pr_Base_LNEC!$A$4:$J$6971,7,FALSE)</f>
        <v>0</v>
      </c>
    </row>
    <row r="1778" spans="1:11" ht="14.5">
      <c r="A1778" s="20" t="s">
        <v>18190</v>
      </c>
      <c r="B1778" s="20">
        <v>25</v>
      </c>
      <c r="C1778" s="20">
        <v>71</v>
      </c>
      <c r="D1778" s="20">
        <v>29</v>
      </c>
      <c r="E1778" s="20">
        <v>76</v>
      </c>
      <c r="F1778" s="20" t="s">
        <v>18191</v>
      </c>
      <c r="G1778" s="20" t="s">
        <v>18192</v>
      </c>
      <c r="H1778" s="24"/>
      <c r="I1778" s="24" t="str">
        <f ca="1">IFERROR(__xludf.DUMMYFUNCTION("GOOGLETRANSLATE(F1778,""en"",""pt"")"),"Andaimes e acessórios")</f>
        <v>Andaimes e acessórios</v>
      </c>
      <c r="J1778" t="str">
        <f>VLOOKUP(A1778,Pr_Base_LNEC!$A$4:$J$6971,6,FALSE)</f>
        <v>-</v>
      </c>
      <c r="K1778">
        <f>VLOOKUP(A1778,Pr_Base_LNEC!$A$4:$J$6971,7,FALSE)</f>
        <v>0</v>
      </c>
    </row>
    <row r="1779" spans="1:11" ht="14.5">
      <c r="A1779" s="20" t="s">
        <v>18193</v>
      </c>
      <c r="B1779" s="20">
        <v>25</v>
      </c>
      <c r="C1779" s="20">
        <v>71</v>
      </c>
      <c r="D1779" s="20">
        <v>29</v>
      </c>
      <c r="E1779" s="20">
        <v>86</v>
      </c>
      <c r="F1779" s="20" t="s">
        <v>18194</v>
      </c>
      <c r="G1779" s="20" t="s">
        <v>18195</v>
      </c>
      <c r="H1779" s="24"/>
      <c r="I1779" s="24" t="str">
        <f ca="1">IFERROR(__xludf.DUMMYFUNCTION("GOOGLETRANSLATE(F1779,""en"",""pt"")"),"Suspenso in situ concreto construção cofragem isolamento permanente (PIF)")</f>
        <v>Suspenso in situ concreto construção cofragem isolamento permanente (PIF)</v>
      </c>
      <c r="J1779" t="str">
        <f>VLOOKUP(A1779,Pr_Base_LNEC!$A$4:$J$6971,6,FALSE)</f>
        <v>-</v>
      </c>
      <c r="K1779">
        <f>VLOOKUP(A1779,Pr_Base_LNEC!$A$4:$J$6971,7,FALSE)</f>
        <v>0</v>
      </c>
    </row>
    <row r="1780" spans="1:11" ht="14.5">
      <c r="A1780" s="20" t="s">
        <v>18196</v>
      </c>
      <c r="B1780" s="20">
        <v>25</v>
      </c>
      <c r="C1780" s="20">
        <v>71</v>
      </c>
      <c r="D1780" s="20">
        <v>29</v>
      </c>
      <c r="E1780" s="20">
        <v>88</v>
      </c>
      <c r="F1780" s="20" t="s">
        <v>18197</v>
      </c>
      <c r="G1780" s="20" t="s">
        <v>18198</v>
      </c>
      <c r="H1780" s="24"/>
      <c r="I1780" s="24" t="str">
        <f ca="1">IFERROR(__xludf.DUMMYFUNCTION("GOOGLETRANSLATE(F1780,""en"",""pt"")"),"placas de madeira do andaime")</f>
        <v>placas de madeira do andaime</v>
      </c>
      <c r="J1780" t="str">
        <f>VLOOKUP(A1780,Pr_Base_LNEC!$A$4:$J$6971,6,FALSE)</f>
        <v>-</v>
      </c>
      <c r="K1780">
        <f>VLOOKUP(A1780,Pr_Base_LNEC!$A$4:$J$6971,7,FALSE)</f>
        <v>0</v>
      </c>
    </row>
    <row r="1781" spans="1:11" ht="14.5">
      <c r="A1781" s="20" t="s">
        <v>18199</v>
      </c>
      <c r="B1781" s="20">
        <v>25</v>
      </c>
      <c r="C1781" s="20">
        <v>71</v>
      </c>
      <c r="D1781" s="20">
        <v>33</v>
      </c>
      <c r="E1781" s="24"/>
      <c r="F1781" s="20" t="s">
        <v>18200</v>
      </c>
      <c r="G1781" s="24"/>
      <c r="H1781" s="24"/>
      <c r="I1781" s="24" t="str">
        <f ca="1">IFERROR(__xludf.DUMMYFUNCTION("GOOGLETRANSLATE(F1781,""en"",""pt"")"),"Vidro e vidros chapas e perfis")</f>
        <v>Vidro e vidros chapas e perfis</v>
      </c>
      <c r="J1781" t="str">
        <f>VLOOKUP(A1781,Pr_Base_LNEC!$A$4:$J$6971,6,FALSE)</f>
        <v>Chapas e perfis de vidro e vidros</v>
      </c>
      <c r="K1781">
        <f>VLOOKUP(A1781,Pr_Base_LNEC!$A$4:$J$6971,7,FALSE)</f>
        <v>0</v>
      </c>
    </row>
    <row r="1782" spans="1:11" ht="14.5">
      <c r="A1782" s="20" t="s">
        <v>18201</v>
      </c>
      <c r="B1782" s="20">
        <v>25</v>
      </c>
      <c r="C1782" s="20">
        <v>71</v>
      </c>
      <c r="D1782" s="20">
        <v>33</v>
      </c>
      <c r="E1782" s="20">
        <v>2</v>
      </c>
      <c r="F1782" s="20" t="s">
        <v>18202</v>
      </c>
      <c r="G1782" s="20" t="s">
        <v>18203</v>
      </c>
      <c r="H1782" s="24"/>
      <c r="I1782" s="24" t="str">
        <f ca="1">IFERROR(__xludf.DUMMYFUNCTION("GOOGLETRANSLATE(F1782,""en"",""pt"")"),"folhas de vidro recozidos")</f>
        <v>folhas de vidro recozidos</v>
      </c>
      <c r="J1782" t="str">
        <f>VLOOKUP(A1782,Pr_Base_LNEC!$A$4:$J$6971,6,FALSE)</f>
        <v>Folhas de vidro borossilicatado temperadas</v>
      </c>
      <c r="K1782" t="str">
        <f>VLOOKUP(A1782,Pr_Base_LNEC!$A$4:$J$6971,7,FALSE)</f>
        <v>EN 1748-1-2:2004</v>
      </c>
    </row>
    <row r="1783" spans="1:11" ht="14.5">
      <c r="A1783" s="20" t="s">
        <v>18204</v>
      </c>
      <c r="B1783" s="20">
        <v>25</v>
      </c>
      <c r="C1783" s="20">
        <v>71</v>
      </c>
      <c r="D1783" s="20">
        <v>33</v>
      </c>
      <c r="E1783" s="20">
        <v>3</v>
      </c>
      <c r="F1783" s="20" t="s">
        <v>18205</v>
      </c>
      <c r="G1783" s="24"/>
      <c r="H1783" s="24"/>
      <c r="I1783" s="24" t="str">
        <f ca="1">IFERROR(__xludf.DUMMYFUNCTION("GOOGLETRANSLATE(F1783,""en"",""pt"")"),"vidro antigo")</f>
        <v>vidro antigo</v>
      </c>
      <c r="J1783" t="e">
        <f>VLOOKUP(A1783,Pr_Base_LNEC!$A$4:$J$6971,6,FALSE)</f>
        <v>#N/A</v>
      </c>
      <c r="K1783" t="e">
        <f>VLOOKUP(A1783,Pr_Base_LNEC!$A$4:$J$6971,7,FALSE)</f>
        <v>#N/A</v>
      </c>
    </row>
    <row r="1784" spans="1:11" ht="14.5">
      <c r="A1784" s="20" t="s">
        <v>18206</v>
      </c>
      <c r="B1784" s="20">
        <v>25</v>
      </c>
      <c r="C1784" s="20">
        <v>71</v>
      </c>
      <c r="D1784" s="20">
        <v>33</v>
      </c>
      <c r="E1784" s="20">
        <v>14</v>
      </c>
      <c r="F1784" s="20" t="s">
        <v>18207</v>
      </c>
      <c r="G1784" s="20" t="s">
        <v>18208</v>
      </c>
      <c r="H1784" s="24"/>
      <c r="I1784" s="24" t="str">
        <f ca="1">IFERROR(__xludf.DUMMYFUNCTION("GOOGLETRANSLATE(F1784,""en"",""pt"")"),"folhas de vidro compósito")</f>
        <v>folhas de vidro compósito</v>
      </c>
      <c r="J1784" t="e">
        <f>VLOOKUP(A1784,Pr_Base_LNEC!$A$4:$J$6971,6,FALSE)</f>
        <v>#N/A</v>
      </c>
      <c r="K1784" t="e">
        <f>VLOOKUP(A1784,Pr_Base_LNEC!$A$4:$J$6971,7,FALSE)</f>
        <v>#N/A</v>
      </c>
    </row>
    <row r="1785" spans="1:11" ht="14.5">
      <c r="A1785" s="20" t="s">
        <v>18209</v>
      </c>
      <c r="B1785" s="20">
        <v>25</v>
      </c>
      <c r="C1785" s="20">
        <v>71</v>
      </c>
      <c r="D1785" s="20">
        <v>33</v>
      </c>
      <c r="E1785" s="20">
        <v>16</v>
      </c>
      <c r="F1785" s="20" t="s">
        <v>18210</v>
      </c>
      <c r="G1785" s="24"/>
      <c r="H1785" s="24"/>
      <c r="I1785" s="24" t="str">
        <f ca="1">IFERROR(__xludf.DUMMYFUNCTION("GOOGLETRANSLATE(F1785,""en"",""pt"")"),"folhas de vidro com fio de papelão ondulado")</f>
        <v>folhas de vidro com fio de papelão ondulado</v>
      </c>
      <c r="J1785" t="str">
        <f>VLOOKUP(A1785,Pr_Base_LNEC!$A$4:$J$6971,6,FALSE)</f>
        <v>-</v>
      </c>
      <c r="K1785">
        <f>VLOOKUP(A1785,Pr_Base_LNEC!$A$4:$J$6971,7,FALSE)</f>
        <v>0</v>
      </c>
    </row>
    <row r="1786" spans="1:11" ht="14.5">
      <c r="A1786" s="20" t="s">
        <v>18211</v>
      </c>
      <c r="B1786" s="20">
        <v>25</v>
      </c>
      <c r="C1786" s="20">
        <v>71</v>
      </c>
      <c r="D1786" s="20">
        <v>33</v>
      </c>
      <c r="E1786" s="20">
        <v>20</v>
      </c>
      <c r="F1786" s="20" t="s">
        <v>18212</v>
      </c>
      <c r="G1786" s="24"/>
      <c r="H1786" s="24"/>
      <c r="I1786" s="24" t="str">
        <f ca="1">IFERROR(__xludf.DUMMYFUNCTION("GOOGLETRANSLATE(F1786,""en"",""pt"")"),"folhas de vidro soprado cilindro")</f>
        <v>folhas de vidro soprado cilindro</v>
      </c>
      <c r="J1786" t="e">
        <f>VLOOKUP(A1786,Pr_Base_LNEC!$A$4:$J$6971,6,FALSE)</f>
        <v>#N/A</v>
      </c>
      <c r="K1786" t="e">
        <f>VLOOKUP(A1786,Pr_Base_LNEC!$A$4:$J$6971,7,FALSE)</f>
        <v>#N/A</v>
      </c>
    </row>
    <row r="1787" spans="1:11" ht="14.5">
      <c r="A1787" s="20" t="s">
        <v>18213</v>
      </c>
      <c r="B1787" s="20">
        <v>25</v>
      </c>
      <c r="C1787" s="20">
        <v>71</v>
      </c>
      <c r="D1787" s="20">
        <v>33</v>
      </c>
      <c r="E1787" s="20">
        <v>33</v>
      </c>
      <c r="F1787" s="20" t="s">
        <v>18214</v>
      </c>
      <c r="G1787" s="20" t="s">
        <v>18215</v>
      </c>
      <c r="H1787" s="24"/>
      <c r="I1787" s="24" t="str">
        <f ca="1">IFERROR(__xludf.DUMMYFUNCTION("GOOGLETRANSLATE(F1787,""en"",""pt"")"),"vidro vigas")</f>
        <v>vidro vigas</v>
      </c>
      <c r="J1787" t="str">
        <f>VLOOKUP(A1787,Pr_Base_LNEC!$A$4:$J$6971,6,FALSE)</f>
        <v>Vigas de vidro borossilicatado</v>
      </c>
      <c r="K1787" t="str">
        <f>VLOOKUP(A1787,Pr_Base_LNEC!$A$4:$J$6971,7,FALSE)</f>
        <v>EN 1748-1-2:2004</v>
      </c>
    </row>
    <row r="1788" spans="1:11" ht="14.5">
      <c r="A1788" s="20" t="s">
        <v>18216</v>
      </c>
      <c r="B1788" s="20">
        <v>25</v>
      </c>
      <c r="C1788" s="20">
        <v>71</v>
      </c>
      <c r="D1788" s="20">
        <v>33</v>
      </c>
      <c r="E1788" s="20">
        <v>34</v>
      </c>
      <c r="F1788" s="20" t="s">
        <v>18217</v>
      </c>
      <c r="G1788" s="20" t="s">
        <v>18218</v>
      </c>
      <c r="H1788" s="24"/>
      <c r="I1788" s="24" t="str">
        <f ca="1">IFERROR(__xludf.DUMMYFUNCTION("GOOGLETRANSLATE(F1788,""en"",""pt"")"),"barbatanas de vidro")</f>
        <v>barbatanas de vidro</v>
      </c>
      <c r="J1788" t="str">
        <f>VLOOKUP(A1788,Pr_Base_LNEC!$A$4:$J$6971,6,FALSE)</f>
        <v>Plano vertical fixo de vidro borossilicatado</v>
      </c>
      <c r="K1788" t="str">
        <f>VLOOKUP(A1788,Pr_Base_LNEC!$A$4:$J$6971,7,FALSE)</f>
        <v>EN 1748-1-2:2004</v>
      </c>
    </row>
    <row r="1789" spans="1:11" ht="14.5">
      <c r="A1789" s="20" t="s">
        <v>18219</v>
      </c>
      <c r="B1789" s="20">
        <v>25</v>
      </c>
      <c r="C1789" s="20">
        <v>71</v>
      </c>
      <c r="D1789" s="20">
        <v>33</v>
      </c>
      <c r="E1789" s="20">
        <v>35</v>
      </c>
      <c r="F1789" s="20" t="s">
        <v>18220</v>
      </c>
      <c r="G1789" s="20" t="s">
        <v>18221</v>
      </c>
      <c r="H1789" s="24"/>
      <c r="I1789" s="24" t="str">
        <f ca="1">IFERROR(__xludf.DUMMYFUNCTION("GOOGLETRANSLATE(F1789,""en"",""pt"")"),"painéis de vidro")</f>
        <v>painéis de vidro</v>
      </c>
      <c r="J1789" t="str">
        <f>VLOOKUP(A1789,Pr_Base_LNEC!$A$4:$J$6971,6,FALSE)</f>
        <v>-</v>
      </c>
      <c r="K1789">
        <f>VLOOKUP(A1789,Pr_Base_LNEC!$A$4:$J$6971,7,FALSE)</f>
        <v>0</v>
      </c>
    </row>
    <row r="1790" spans="1:11" ht="14.5">
      <c r="A1790" s="20" t="s">
        <v>18222</v>
      </c>
      <c r="B1790" s="20">
        <v>25</v>
      </c>
      <c r="C1790" s="20">
        <v>71</v>
      </c>
      <c r="D1790" s="20">
        <v>33</v>
      </c>
      <c r="E1790" s="20">
        <v>36</v>
      </c>
      <c r="F1790" s="20" t="s">
        <v>18223</v>
      </c>
      <c r="G1790" s="24"/>
      <c r="H1790" s="24"/>
      <c r="I1790" s="24" t="str">
        <f ca="1">IFERROR(__xludf.DUMMYFUNCTION("GOOGLETRANSLATE(F1790,""en"",""pt"")"),"Mão vidro soprado coroa")</f>
        <v>Mão vidro soprado coroa</v>
      </c>
      <c r="J1790" t="e">
        <f>VLOOKUP(A1790,Pr_Base_LNEC!$A$4:$J$6971,6,FALSE)</f>
        <v>#N/A</v>
      </c>
      <c r="K1790" t="e">
        <f>VLOOKUP(A1790,Pr_Base_LNEC!$A$4:$J$6971,7,FALSE)</f>
        <v>#N/A</v>
      </c>
    </row>
    <row r="1791" spans="1:11" ht="14.5">
      <c r="A1791" s="20" t="s">
        <v>18224</v>
      </c>
      <c r="B1791" s="20">
        <v>25</v>
      </c>
      <c r="C1791" s="20">
        <v>71</v>
      </c>
      <c r="D1791" s="20">
        <v>33</v>
      </c>
      <c r="E1791" s="20">
        <v>37</v>
      </c>
      <c r="F1791" s="20" t="s">
        <v>18225</v>
      </c>
      <c r="G1791" s="20" t="s">
        <v>18226</v>
      </c>
      <c r="H1791" s="24"/>
      <c r="I1791" s="24" t="str">
        <f ca="1">IFERROR(__xludf.DUMMYFUNCTION("GOOGLETRANSLATE(F1791,""en"",""pt"")"),"folhas de vidro de calor reforçada")</f>
        <v>folhas de vidro de calor reforçada</v>
      </c>
      <c r="J1791" t="str">
        <f>VLOOKUP(A1791,Pr_Base_LNEC!$A$4:$J$6971,6,FALSE)</f>
        <v>Folhas de vidro borossilicatado reforçadas a quente</v>
      </c>
      <c r="K1791" t="str">
        <f>VLOOKUP(A1791,Pr_Base_LNEC!$A$4:$J$6971,7,FALSE)</f>
        <v>EN 1748-1-2:2004</v>
      </c>
    </row>
    <row r="1792" spans="1:11" ht="14.5">
      <c r="A1792" s="20" t="s">
        <v>18227</v>
      </c>
      <c r="B1792" s="20">
        <v>25</v>
      </c>
      <c r="C1792" s="20">
        <v>71</v>
      </c>
      <c r="D1792" s="20">
        <v>33</v>
      </c>
      <c r="E1792" s="20">
        <v>42</v>
      </c>
      <c r="F1792" s="20" t="s">
        <v>18228</v>
      </c>
      <c r="G1792" s="20" t="s">
        <v>18229</v>
      </c>
      <c r="H1792" s="24"/>
      <c r="I1792" s="24" t="str">
        <f ca="1">IFERROR(__xludf.DUMMYFUNCTION("GOOGLETRANSLATE(F1792,""en"",""pt"")"),"unidades de vidro isolante (UVA)")</f>
        <v>unidades de vidro isolante (UVA)</v>
      </c>
      <c r="J1792" t="str">
        <f>VLOOKUP(A1792,Pr_Base_LNEC!$A$4:$J$6971,6,FALSE)</f>
        <v>Unidades de vidro borossilicatado isolado (IGUs)</v>
      </c>
      <c r="K1792" t="str">
        <f>VLOOKUP(A1792,Pr_Base_LNEC!$A$4:$J$6971,7,FALSE)</f>
        <v>EN 1748-1-2:2004</v>
      </c>
    </row>
    <row r="1793" spans="1:11" ht="14.5">
      <c r="A1793" s="20" t="s">
        <v>18230</v>
      </c>
      <c r="B1793" s="20">
        <v>25</v>
      </c>
      <c r="C1793" s="20">
        <v>71</v>
      </c>
      <c r="D1793" s="20">
        <v>33</v>
      </c>
      <c r="E1793" s="20">
        <v>46</v>
      </c>
      <c r="F1793" s="20" t="s">
        <v>18231</v>
      </c>
      <c r="G1793" s="20" t="s">
        <v>18232</v>
      </c>
      <c r="H1793" s="24"/>
      <c r="I1793" s="24" t="str">
        <f ca="1">IFERROR(__xludf.DUMMYFUNCTION("GOOGLETRANSLATE(F1793,""en"",""pt"")"),"folhas de vidro laminado")</f>
        <v>folhas de vidro laminado</v>
      </c>
      <c r="J1793" t="str">
        <f>VLOOKUP(A1793,Pr_Base_LNEC!$A$4:$J$6971,6,FALSE)</f>
        <v>Folhas de vidro borossilicatado laminado</v>
      </c>
      <c r="K1793" t="str">
        <f>VLOOKUP(A1793,Pr_Base_LNEC!$A$4:$J$6971,7,FALSE)</f>
        <v>EN 1748-1-2:2004</v>
      </c>
    </row>
    <row r="1794" spans="1:11" ht="14.5">
      <c r="A1794" s="20" t="s">
        <v>18233</v>
      </c>
      <c r="B1794" s="20">
        <v>25</v>
      </c>
      <c r="C1794" s="20">
        <v>71</v>
      </c>
      <c r="D1794" s="20">
        <v>33</v>
      </c>
      <c r="E1794" s="20">
        <v>47</v>
      </c>
      <c r="F1794" s="20" t="s">
        <v>18234</v>
      </c>
      <c r="G1794" s="20" t="s">
        <v>18235</v>
      </c>
      <c r="H1794" s="24"/>
      <c r="I1794" s="24" t="str">
        <f ca="1">IFERROR(__xludf.DUMMYFUNCTION("GOOGLETRANSLATE(F1794,""en"",""pt"")"),"Chumbo e folhas de vidro de raios-X")</f>
        <v>Chumbo e folhas de vidro de raios-X</v>
      </c>
      <c r="J1794" t="str">
        <f>VLOOKUP(A1794,Pr_Base_LNEC!$A$4:$J$6971,6,FALSE)</f>
        <v>Folhas de vidro em chumbo e raio X</v>
      </c>
      <c r="K1794" t="str">
        <f>VLOOKUP(A1794,Pr_Base_LNEC!$A$4:$J$6971,7,FALSE)</f>
        <v>EN 1748-1-2:2004</v>
      </c>
    </row>
    <row r="1795" spans="1:11" ht="14.5">
      <c r="A1795" s="20" t="s">
        <v>18236</v>
      </c>
      <c r="B1795" s="20">
        <v>25</v>
      </c>
      <c r="C1795" s="20">
        <v>71</v>
      </c>
      <c r="D1795" s="20">
        <v>33</v>
      </c>
      <c r="E1795" s="20">
        <v>65</v>
      </c>
      <c r="F1795" s="20" t="s">
        <v>18237</v>
      </c>
      <c r="G1795" s="20" t="s">
        <v>18238</v>
      </c>
      <c r="H1795" s="24"/>
      <c r="I1795" s="24" t="str">
        <f ca="1">IFERROR(__xludf.DUMMYFUNCTION("GOOGLETRANSLATE(F1795,""en"",""pt"")"),"De vidro plástico folhas")</f>
        <v>De vidro plástico folhas</v>
      </c>
      <c r="J1795" t="str">
        <f>VLOOKUP(A1795,Pr_Base_LNEC!$A$4:$J$6971,6,FALSE)</f>
        <v>-</v>
      </c>
      <c r="K1795">
        <f>VLOOKUP(A1795,Pr_Base_LNEC!$A$4:$J$6971,7,FALSE)</f>
        <v>0</v>
      </c>
    </row>
    <row r="1796" spans="1:11" ht="14.5">
      <c r="A1796" s="20" t="s">
        <v>18239</v>
      </c>
      <c r="B1796" s="20">
        <v>25</v>
      </c>
      <c r="C1796" s="20">
        <v>71</v>
      </c>
      <c r="D1796" s="20">
        <v>33</v>
      </c>
      <c r="E1796" s="20">
        <v>67</v>
      </c>
      <c r="F1796" s="20" t="s">
        <v>18240</v>
      </c>
      <c r="G1796" s="24"/>
      <c r="H1796" s="24"/>
      <c r="I1796" s="24" t="str">
        <f ca="1">IFERROR(__xludf.DUMMYFUNCTION("GOOGLETRANSLATE(F1796,""en"",""pt"")"),"Plásticos Vidraça folheada de folhas")</f>
        <v>Plásticos Vidraça folheada de folhas</v>
      </c>
      <c r="J1796" t="e">
        <f>VLOOKUP(A1796,Pr_Base_LNEC!$A$4:$J$6971,6,FALSE)</f>
        <v>#N/A</v>
      </c>
      <c r="K1796" t="e">
        <f>VLOOKUP(A1796,Pr_Base_LNEC!$A$4:$J$6971,7,FALSE)</f>
        <v>#N/A</v>
      </c>
    </row>
    <row r="1797" spans="1:11" ht="14.5">
      <c r="A1797" s="20" t="s">
        <v>18241</v>
      </c>
      <c r="B1797" s="20">
        <v>25</v>
      </c>
      <c r="C1797" s="20">
        <v>71</v>
      </c>
      <c r="D1797" s="20">
        <v>33</v>
      </c>
      <c r="E1797" s="20">
        <v>77</v>
      </c>
      <c r="F1797" s="20" t="s">
        <v>18242</v>
      </c>
      <c r="G1797" s="24"/>
      <c r="H1797" s="24"/>
      <c r="I1797" s="24" t="str">
        <f ca="1">IFERROR(__xludf.DUMMYFUNCTION("GOOGLETRANSLATE(F1797,""en"",""pt"")"),"unidades de vidro isolados selados")</f>
        <v>unidades de vidro isolados selados</v>
      </c>
      <c r="J1797" t="str">
        <f>VLOOKUP(A1797,Pr_Base_LNEC!$A$4:$J$6971,6,FALSE)</f>
        <v>-</v>
      </c>
      <c r="K1797">
        <f>VLOOKUP(A1797,Pr_Base_LNEC!$A$4:$J$6971,7,FALSE)</f>
        <v>0</v>
      </c>
    </row>
    <row r="1798" spans="1:11" ht="14.5">
      <c r="A1798" s="20" t="s">
        <v>18243</v>
      </c>
      <c r="B1798" s="20">
        <v>25</v>
      </c>
      <c r="C1798" s="20">
        <v>71</v>
      </c>
      <c r="D1798" s="20">
        <v>33</v>
      </c>
      <c r="E1798" s="20">
        <v>84</v>
      </c>
      <c r="F1798" s="20" t="s">
        <v>18244</v>
      </c>
      <c r="G1798" s="24"/>
      <c r="H1798" s="24"/>
      <c r="I1798" s="24" t="str">
        <f ca="1">IFERROR(__xludf.DUMMYFUNCTION("GOOGLETRANSLATE(F1798,""en"",""pt"")"),"folhas de vidro manchados")</f>
        <v>folhas de vidro manchados</v>
      </c>
      <c r="J1798" t="str">
        <f>VLOOKUP(A1798,Pr_Base_LNEC!$A$4:$J$6971,6,FALSE)</f>
        <v>-</v>
      </c>
      <c r="K1798">
        <f>VLOOKUP(A1798,Pr_Base_LNEC!$A$4:$J$6971,7,FALSE)</f>
        <v>0</v>
      </c>
    </row>
    <row r="1799" spans="1:11" ht="14.5">
      <c r="A1799" s="20" t="s">
        <v>18245</v>
      </c>
      <c r="B1799" s="20">
        <v>25</v>
      </c>
      <c r="C1799" s="20">
        <v>71</v>
      </c>
      <c r="D1799" s="20">
        <v>33</v>
      </c>
      <c r="E1799" s="20">
        <v>88</v>
      </c>
      <c r="F1799" s="20" t="s">
        <v>18246</v>
      </c>
      <c r="G1799" s="20" t="s">
        <v>18247</v>
      </c>
      <c r="H1799" s="24"/>
      <c r="I1799" s="24" t="str">
        <f ca="1">IFERROR(__xludf.DUMMYFUNCTION("GOOGLETRANSLATE(F1799,""en"",""pt"")"),"Temperado termicamente folhas de vidro")</f>
        <v>Temperado termicamente folhas de vidro</v>
      </c>
      <c r="J1799" t="str">
        <f>VLOOKUP(A1799,Pr_Base_LNEC!$A$4:$J$6971,6,FALSE)</f>
        <v>Folhas de vidro borossilicatado temperado termicamente</v>
      </c>
      <c r="K1799" t="str">
        <f>VLOOKUP(A1799,Pr_Base_LNEC!$A$4:$J$6971,7,FALSE)</f>
        <v>EN 1748-1-2:2004</v>
      </c>
    </row>
    <row r="1800" spans="1:11" ht="14.5">
      <c r="A1800" s="20" t="s">
        <v>18248</v>
      </c>
      <c r="B1800" s="20">
        <v>25</v>
      </c>
      <c r="C1800" s="20">
        <v>71</v>
      </c>
      <c r="D1800" s="20">
        <v>33</v>
      </c>
      <c r="E1800" s="20">
        <v>92</v>
      </c>
      <c r="F1800" s="20" t="s">
        <v>18249</v>
      </c>
      <c r="G1800" s="20" t="s">
        <v>18250</v>
      </c>
      <c r="H1800" s="24"/>
      <c r="I1800" s="24" t="str">
        <f ca="1">IFERROR(__xludf.DUMMYFUNCTION("GOOGLETRANSLATE(F1800,""en"",""pt"")"),"U-perfilado canais de vidro")</f>
        <v>U-perfilado canais de vidro</v>
      </c>
      <c r="J1800" t="str">
        <f>VLOOKUP(A1800,Pr_Base_LNEC!$A$4:$J$6971,6,FALSE)</f>
        <v>Vidro borossilicatado com perfil U</v>
      </c>
      <c r="K1800" t="str">
        <f>VLOOKUP(A1800,Pr_Base_LNEC!$A$4:$J$6971,7,FALSE)</f>
        <v>EN 1748-1-2:2004</v>
      </c>
    </row>
    <row r="1801" spans="1:11" ht="14.5">
      <c r="A1801" s="20" t="s">
        <v>18251</v>
      </c>
      <c r="B1801" s="20">
        <v>25</v>
      </c>
      <c r="C1801" s="20">
        <v>71</v>
      </c>
      <c r="D1801" s="20">
        <v>33</v>
      </c>
      <c r="E1801" s="20">
        <v>97</v>
      </c>
      <c r="F1801" s="20" t="s">
        <v>18252</v>
      </c>
      <c r="G1801" s="20" t="s">
        <v>18253</v>
      </c>
      <c r="H1801" s="24"/>
      <c r="I1801" s="24" t="str">
        <f ca="1">IFERROR(__xludf.DUMMYFUNCTION("GOOGLETRANSLATE(F1801,""en"",""pt"")"),"folhas de vidro com fio")</f>
        <v>folhas de vidro com fio</v>
      </c>
      <c r="J1801" t="str">
        <f>VLOOKUP(A1801,Pr_Base_LNEC!$A$4:$J$6971,6,FALSE)</f>
        <v>Folhas de vidro borossilicatado com fio</v>
      </c>
      <c r="K1801" t="str">
        <f>VLOOKUP(A1801,Pr_Base_LNEC!$A$4:$J$6971,7,FALSE)</f>
        <v>EN 1748-1-2:2004</v>
      </c>
    </row>
    <row r="1802" spans="1:11" ht="14.5">
      <c r="A1802" s="20" t="s">
        <v>18254</v>
      </c>
      <c r="B1802" s="20">
        <v>25</v>
      </c>
      <c r="C1802" s="20">
        <v>71</v>
      </c>
      <c r="D1802" s="20">
        <v>42</v>
      </c>
      <c r="E1802" s="24"/>
      <c r="F1802" s="20" t="s">
        <v>18255</v>
      </c>
      <c r="G1802" s="24"/>
      <c r="H1802" s="24"/>
      <c r="I1802" s="24" t="str">
        <f ca="1">IFERROR(__xludf.DUMMYFUNCTION("GOOGLETRANSLATE(F1802,""en"",""pt"")"),"painéis de enchimento")</f>
        <v>painéis de enchimento</v>
      </c>
      <c r="J1802" t="str">
        <f>VLOOKUP(A1802,Pr_Base_LNEC!$A$4:$J$6971,6,FALSE)</f>
        <v>Paineis de preenchimento</v>
      </c>
      <c r="K1802">
        <f>VLOOKUP(A1802,Pr_Base_LNEC!$A$4:$J$6971,7,FALSE)</f>
        <v>0</v>
      </c>
    </row>
    <row r="1803" spans="1:11" ht="14.5">
      <c r="A1803" s="20" t="s">
        <v>18256</v>
      </c>
      <c r="B1803" s="20">
        <v>25</v>
      </c>
      <c r="C1803" s="20">
        <v>71</v>
      </c>
      <c r="D1803" s="20">
        <v>42</v>
      </c>
      <c r="E1803" s="20">
        <v>12</v>
      </c>
      <c r="F1803" s="20" t="s">
        <v>18257</v>
      </c>
      <c r="G1803" s="24"/>
      <c r="H1803" s="24"/>
      <c r="I1803" s="24" t="str">
        <f ca="1">IFERROR(__xludf.DUMMYFUNCTION("GOOGLETRANSLATE(F1803,""en"",""pt"")"),"painéis de enchimento de madeira-cimento-lã ligado")</f>
        <v>painéis de enchimento de madeira-cimento-lã ligado</v>
      </c>
      <c r="J1803" t="str">
        <f>VLOOKUP(A1803,Pr_Base_LNEC!$A$4:$J$6971,6,FALSE)</f>
        <v>-</v>
      </c>
      <c r="K1803">
        <f>VLOOKUP(A1803,Pr_Base_LNEC!$A$4:$J$6971,7,FALSE)</f>
        <v>0</v>
      </c>
    </row>
    <row r="1804" spans="1:11" ht="14.5">
      <c r="A1804" s="20" t="s">
        <v>18258</v>
      </c>
      <c r="B1804" s="20">
        <v>25</v>
      </c>
      <c r="C1804" s="20">
        <v>71</v>
      </c>
      <c r="D1804" s="20">
        <v>42</v>
      </c>
      <c r="E1804" s="20">
        <v>52</v>
      </c>
      <c r="F1804" s="20" t="s">
        <v>18259</v>
      </c>
      <c r="G1804" s="24"/>
      <c r="H1804" s="24"/>
      <c r="I1804" s="24" t="str">
        <f ca="1">IFERROR(__xludf.DUMMYFUNCTION("GOOGLETRANSLATE(F1804,""en"",""pt"")"),"painéis bandeja de enchimento de metal")</f>
        <v>painéis bandeja de enchimento de metal</v>
      </c>
      <c r="J1804" t="str">
        <f>VLOOKUP(A1804,Pr_Base_LNEC!$A$4:$J$6971,6,FALSE)</f>
        <v>-</v>
      </c>
      <c r="K1804">
        <f>VLOOKUP(A1804,Pr_Base_LNEC!$A$4:$J$6971,7,FALSE)</f>
        <v>0</v>
      </c>
    </row>
    <row r="1805" spans="1:11" ht="14.5">
      <c r="A1805" s="20" t="s">
        <v>18260</v>
      </c>
      <c r="B1805" s="20">
        <v>25</v>
      </c>
      <c r="C1805" s="20">
        <v>71</v>
      </c>
      <c r="D1805" s="20">
        <v>42</v>
      </c>
      <c r="E1805" s="20">
        <v>54</v>
      </c>
      <c r="F1805" s="20" t="s">
        <v>18261</v>
      </c>
      <c r="G1805" s="24"/>
      <c r="H1805" s="24"/>
      <c r="I1805" s="24" t="str">
        <f ca="1">IFERROR(__xludf.DUMMYFUNCTION("GOOGLETRANSLATE(F1805,""en"",""pt"")"),"painéis de fibra de enchimento minerais")</f>
        <v>painéis de fibra de enchimento minerais</v>
      </c>
      <c r="J1805" t="str">
        <f>VLOOKUP(A1805,Pr_Base_LNEC!$A$4:$J$6971,6,FALSE)</f>
        <v>-</v>
      </c>
      <c r="K1805">
        <f>VLOOKUP(A1805,Pr_Base_LNEC!$A$4:$J$6971,7,FALSE)</f>
        <v>0</v>
      </c>
    </row>
    <row r="1806" spans="1:11" ht="14.5">
      <c r="A1806" s="20" t="s">
        <v>18262</v>
      </c>
      <c r="B1806" s="20">
        <v>25</v>
      </c>
      <c r="C1806" s="20">
        <v>71</v>
      </c>
      <c r="D1806" s="20">
        <v>42</v>
      </c>
      <c r="E1806" s="20">
        <v>59</v>
      </c>
      <c r="F1806" s="20" t="s">
        <v>18263</v>
      </c>
      <c r="G1806" s="24"/>
      <c r="H1806" s="24"/>
      <c r="I1806" s="24" t="str">
        <f ca="1">IFERROR(__xludf.DUMMYFUNCTION("GOOGLETRANSLATE(F1806,""en"",""pt"")"),"painéis de enchimento de células abertas")</f>
        <v>painéis de enchimento de células abertas</v>
      </c>
      <c r="J1806" t="str">
        <f>VLOOKUP(A1806,Pr_Base_LNEC!$A$4:$J$6971,6,FALSE)</f>
        <v>-</v>
      </c>
      <c r="K1806">
        <f>VLOOKUP(A1806,Pr_Base_LNEC!$A$4:$J$6971,7,FALSE)</f>
        <v>0</v>
      </c>
    </row>
    <row r="1807" spans="1:11" ht="14.5">
      <c r="A1807" s="20" t="s">
        <v>18264</v>
      </c>
      <c r="B1807" s="20">
        <v>25</v>
      </c>
      <c r="C1807" s="20">
        <v>71</v>
      </c>
      <c r="D1807" s="20">
        <v>42</v>
      </c>
      <c r="E1807" s="20">
        <v>60</v>
      </c>
      <c r="F1807" s="20" t="s">
        <v>18265</v>
      </c>
      <c r="G1807" s="24"/>
      <c r="H1807" s="24"/>
      <c r="I1807" s="24" t="str">
        <f ca="1">IFERROR(__xludf.DUMMYFUNCTION("GOOGLETRANSLATE(F1807,""en"",""pt"")"),"painéis de enchimento difusor painel")</f>
        <v>painéis de enchimento difusor painel</v>
      </c>
      <c r="J1807" t="str">
        <f>VLOOKUP(A1807,Pr_Base_LNEC!$A$4:$J$6971,6,FALSE)</f>
        <v>-</v>
      </c>
      <c r="K1807">
        <f>VLOOKUP(A1807,Pr_Base_LNEC!$A$4:$J$6971,7,FALSE)</f>
        <v>0</v>
      </c>
    </row>
    <row r="1808" spans="1:11" ht="14.5">
      <c r="A1808" s="20" t="s">
        <v>18266</v>
      </c>
      <c r="B1808" s="20">
        <v>25</v>
      </c>
      <c r="C1808" s="20">
        <v>71</v>
      </c>
      <c r="D1808" s="20">
        <v>42</v>
      </c>
      <c r="E1808" s="20">
        <v>63</v>
      </c>
      <c r="F1808" s="20" t="s">
        <v>18267</v>
      </c>
      <c r="G1808" s="24"/>
      <c r="H1808" s="24"/>
      <c r="I1808" s="24" t="str">
        <f ca="1">IFERROR(__xludf.DUMMYFUNCTION("GOOGLETRANSLATE(F1808,""en"",""pt"")"),"Plásticos-enfrentados painéis de gesso de estuque de enchimento")</f>
        <v>Plásticos-enfrentados painéis de gesso de estuque de enchimento</v>
      </c>
      <c r="J1808" t="str">
        <f>VLOOKUP(A1808,Pr_Base_LNEC!$A$4:$J$6971,6,FALSE)</f>
        <v>-</v>
      </c>
      <c r="K1808">
        <f>VLOOKUP(A1808,Pr_Base_LNEC!$A$4:$J$6971,7,FALSE)</f>
        <v>0</v>
      </c>
    </row>
    <row r="1809" spans="1:11" ht="14.5">
      <c r="A1809" s="20" t="s">
        <v>18268</v>
      </c>
      <c r="B1809" s="20">
        <v>25</v>
      </c>
      <c r="C1809" s="20">
        <v>71</v>
      </c>
      <c r="D1809" s="20">
        <v>42</v>
      </c>
      <c r="E1809" s="20">
        <v>70</v>
      </c>
      <c r="F1809" s="20" t="s">
        <v>18269</v>
      </c>
      <c r="G1809" s="20" t="s">
        <v>18270</v>
      </c>
      <c r="H1809" s="24"/>
      <c r="I1809" s="24" t="str">
        <f ca="1">IFERROR(__xludf.DUMMYFUNCTION("GOOGLETRANSLATE(F1809,""en"",""pt"")"),"painéis de piso de acesso levantadas")</f>
        <v>painéis de piso de acesso levantadas</v>
      </c>
      <c r="J1809" t="str">
        <f>VLOOKUP(A1809,Pr_Base_LNEC!$A$4:$J$6971,6,FALSE)</f>
        <v>-</v>
      </c>
      <c r="K1809">
        <f>VLOOKUP(A1809,Pr_Base_LNEC!$A$4:$J$6971,7,FALSE)</f>
        <v>0</v>
      </c>
    </row>
    <row r="1810" spans="1:11" ht="14.5">
      <c r="A1810" s="20" t="s">
        <v>18271</v>
      </c>
      <c r="B1810" s="20">
        <v>25</v>
      </c>
      <c r="C1810" s="20">
        <v>71</v>
      </c>
      <c r="D1810" s="20">
        <v>42</v>
      </c>
      <c r="E1810" s="20">
        <v>71</v>
      </c>
      <c r="F1810" s="20" t="s">
        <v>18272</v>
      </c>
      <c r="G1810" s="20" t="s">
        <v>18273</v>
      </c>
      <c r="H1810" s="24"/>
      <c r="I1810" s="24" t="str">
        <f ca="1">IFERROR(__xludf.DUMMYFUNCTION("GOOGLETRANSLATE(F1810,""en"",""pt"")"),"painéis de piso de acesso levantado com acabamento")</f>
        <v>painéis de piso de acesso levantado com acabamento</v>
      </c>
      <c r="J1810" t="str">
        <f>VLOOKUP(A1810,Pr_Base_LNEC!$A$4:$J$6971,6,FALSE)</f>
        <v>-</v>
      </c>
      <c r="K1810">
        <f>VLOOKUP(A1810,Pr_Base_LNEC!$A$4:$J$6971,7,FALSE)</f>
        <v>0</v>
      </c>
    </row>
    <row r="1811" spans="1:11" ht="14.5">
      <c r="A1811" s="20" t="s">
        <v>18274</v>
      </c>
      <c r="B1811" s="20">
        <v>25</v>
      </c>
      <c r="C1811" s="20">
        <v>71</v>
      </c>
      <c r="D1811" s="20">
        <v>42</v>
      </c>
      <c r="E1811" s="20">
        <v>72</v>
      </c>
      <c r="F1811" s="20" t="s">
        <v>18275</v>
      </c>
      <c r="G1811" s="24"/>
      <c r="H1811" s="24"/>
      <c r="I1811" s="24" t="str">
        <f ca="1">IFERROR(__xludf.DUMMYFUNCTION("GOOGLETRANSLATE(F1811,""en"",""pt"")"),"painéis de enchimento de lã mineral colada com resina")</f>
        <v>painéis de enchimento de lã mineral colada com resina</v>
      </c>
      <c r="J1811" t="str">
        <f>VLOOKUP(A1811,Pr_Base_LNEC!$A$4:$J$6971,6,FALSE)</f>
        <v>-</v>
      </c>
      <c r="K1811">
        <f>VLOOKUP(A1811,Pr_Base_LNEC!$A$4:$J$6971,7,FALSE)</f>
        <v>0</v>
      </c>
    </row>
    <row r="1812" spans="1:11" ht="14.5">
      <c r="A1812" s="20" t="s">
        <v>18276</v>
      </c>
      <c r="B1812" s="20">
        <v>25</v>
      </c>
      <c r="C1812" s="20">
        <v>71</v>
      </c>
      <c r="D1812" s="20">
        <v>42</v>
      </c>
      <c r="E1812" s="20">
        <v>73</v>
      </c>
      <c r="F1812" s="20" t="s">
        <v>18277</v>
      </c>
      <c r="G1812" s="24"/>
      <c r="H1812" s="24"/>
      <c r="I1812" s="24" t="str">
        <f ca="1">IFERROR(__xludf.DUMMYFUNCTION("GOOGLETRANSLATE(F1812,""en"",""pt"")"),"painéis de enchimento de espuma de uretano rígidas")</f>
        <v>painéis de enchimento de espuma de uretano rígidas</v>
      </c>
      <c r="J1812" t="str">
        <f>VLOOKUP(A1812,Pr_Base_LNEC!$A$4:$J$6971,6,FALSE)</f>
        <v>-</v>
      </c>
      <c r="K1812">
        <f>VLOOKUP(A1812,Pr_Base_LNEC!$A$4:$J$6971,7,FALSE)</f>
        <v>0</v>
      </c>
    </row>
    <row r="1813" spans="1:11" ht="14.5">
      <c r="A1813" s="20" t="s">
        <v>18278</v>
      </c>
      <c r="B1813" s="20">
        <v>25</v>
      </c>
      <c r="C1813" s="20">
        <v>71</v>
      </c>
      <c r="D1813" s="20">
        <v>42</v>
      </c>
      <c r="E1813" s="20">
        <v>94</v>
      </c>
      <c r="F1813" s="20" t="s">
        <v>18279</v>
      </c>
      <c r="G1813" s="24"/>
      <c r="H1813" s="24"/>
      <c r="I1813" s="24" t="str">
        <f ca="1">IFERROR(__xludf.DUMMYFUNCTION("GOOGLETRANSLATE(F1813,""en"",""pt"")"),"painéis de enchimento de madeira folheada-compósito")</f>
        <v>painéis de enchimento de madeira folheada-compósito</v>
      </c>
      <c r="J1813" t="str">
        <f>VLOOKUP(A1813,Pr_Base_LNEC!$A$4:$J$6971,6,FALSE)</f>
        <v>-</v>
      </c>
      <c r="K1813">
        <f>VLOOKUP(A1813,Pr_Base_LNEC!$A$4:$J$6971,7,FALSE)</f>
        <v>0</v>
      </c>
    </row>
    <row r="1814" spans="1:11" ht="14.5">
      <c r="A1814" s="20" t="s">
        <v>18280</v>
      </c>
      <c r="B1814" s="20">
        <v>25</v>
      </c>
      <c r="C1814" s="20">
        <v>71</v>
      </c>
      <c r="D1814" s="20">
        <v>43</v>
      </c>
      <c r="E1814" s="24"/>
      <c r="F1814" s="20" t="s">
        <v>18281</v>
      </c>
      <c r="G1814" s="24"/>
      <c r="H1814" s="24"/>
      <c r="I1814" s="24" t="str">
        <f ca="1">IFERROR(__xludf.DUMMYFUNCTION("GOOGLETRANSLATE(F1814,""en"",""pt"")"),"revestimentos interiores")</f>
        <v>revestimentos interiores</v>
      </c>
      <c r="J1814" t="str">
        <f>VLOOKUP(A1814,Pr_Base_LNEC!$A$4:$J$6971,6,FALSE)</f>
        <v>Revestimentos interiores</v>
      </c>
      <c r="K1814">
        <f>VLOOKUP(A1814,Pr_Base_LNEC!$A$4:$J$6971,7,FALSE)</f>
        <v>0</v>
      </c>
    </row>
    <row r="1815" spans="1:11" ht="14.5">
      <c r="A1815" s="20" t="s">
        <v>18282</v>
      </c>
      <c r="B1815" s="20">
        <v>25</v>
      </c>
      <c r="C1815" s="20">
        <v>71</v>
      </c>
      <c r="D1815" s="20">
        <v>43</v>
      </c>
      <c r="E1815" s="20">
        <v>33</v>
      </c>
      <c r="F1815" s="20" t="s">
        <v>18283</v>
      </c>
      <c r="G1815" s="24"/>
      <c r="H1815" s="24"/>
      <c r="I1815" s="24" t="str">
        <f ca="1">IFERROR(__xludf.DUMMYFUNCTION("GOOGLETRANSLATE(F1815,""en"",""pt"")"),"plásticos reforçados de vidro (GRP) tectos")</f>
        <v>plásticos reforçados de vidro (GRP) tectos</v>
      </c>
      <c r="J1815" t="str">
        <f>VLOOKUP(A1815,Pr_Base_LNEC!$A$4:$J$6971,6,FALSE)</f>
        <v>-</v>
      </c>
      <c r="K1815">
        <f>VLOOKUP(A1815,Pr_Base_LNEC!$A$4:$J$6971,7,FALSE)</f>
        <v>0</v>
      </c>
    </row>
    <row r="1816" spans="1:11" ht="14.5">
      <c r="A1816" s="20" t="s">
        <v>18284</v>
      </c>
      <c r="B1816" s="20">
        <v>25</v>
      </c>
      <c r="C1816" s="20">
        <v>71</v>
      </c>
      <c r="D1816" s="20">
        <v>43</v>
      </c>
      <c r="E1816" s="20">
        <v>34</v>
      </c>
      <c r="F1816" s="20" t="s">
        <v>18285</v>
      </c>
      <c r="G1816" s="24"/>
      <c r="H1816" s="24"/>
      <c r="I1816" s="24" t="str">
        <f ca="1">IFERROR(__xludf.DUMMYFUNCTION("GOOGLETRANSLATE(F1816,""en"",""pt"")"),"plásticos reforçados de vidro (GRP) forros")</f>
        <v>plásticos reforçados de vidro (GRP) forros</v>
      </c>
      <c r="J1816" t="str">
        <f>VLOOKUP(A1816,Pr_Base_LNEC!$A$4:$J$6971,6,FALSE)</f>
        <v>-</v>
      </c>
      <c r="K1816">
        <f>VLOOKUP(A1816,Pr_Base_LNEC!$A$4:$J$6971,7,FALSE)</f>
        <v>0</v>
      </c>
    </row>
    <row r="1817" spans="1:11" ht="14.5">
      <c r="A1817" s="20" t="s">
        <v>18286</v>
      </c>
      <c r="B1817" s="20">
        <v>25</v>
      </c>
      <c r="C1817" s="20">
        <v>71</v>
      </c>
      <c r="D1817" s="20">
        <v>43</v>
      </c>
      <c r="E1817" s="20">
        <v>62</v>
      </c>
      <c r="F1817" s="20" t="s">
        <v>18287</v>
      </c>
      <c r="G1817" s="20" t="s">
        <v>18288</v>
      </c>
      <c r="H1817" s="24"/>
      <c r="I1817" s="24" t="str">
        <f ca="1">IFERROR(__xludf.DUMMYFUNCTION("GOOGLETRANSLATE(F1817,""en"",""pt"")"),"plásticos forros")</f>
        <v>plásticos forros</v>
      </c>
      <c r="J1817" t="str">
        <f>VLOOKUP(A1817,Pr_Base_LNEC!$A$4:$J$6971,6,FALSE)</f>
        <v>-</v>
      </c>
      <c r="K1817">
        <f>VLOOKUP(A1817,Pr_Base_LNEC!$A$4:$J$6971,7,FALSE)</f>
        <v>0</v>
      </c>
    </row>
    <row r="1818" spans="1:11" ht="14.5">
      <c r="A1818" s="20" t="s">
        <v>18289</v>
      </c>
      <c r="B1818" s="20">
        <v>25</v>
      </c>
      <c r="C1818" s="20">
        <v>71</v>
      </c>
      <c r="D1818" s="20">
        <v>44</v>
      </c>
      <c r="E1818" s="24"/>
      <c r="F1818" s="20" t="s">
        <v>18290</v>
      </c>
      <c r="G1818" s="24"/>
      <c r="H1818" s="24"/>
      <c r="I1818" s="24" t="str">
        <f ca="1">IFERROR(__xludf.DUMMYFUNCTION("GOOGLETRANSLATE(F1818,""en"",""pt"")"),"enchimentos conjuntas")</f>
        <v>enchimentos conjuntas</v>
      </c>
      <c r="J1818" t="str">
        <f>VLOOKUP(A1818,Pr_Base_LNEC!$A$4:$J$6971,6,FALSE)</f>
        <v>Enchimento de juntas</v>
      </c>
      <c r="K1818">
        <f>VLOOKUP(A1818,Pr_Base_LNEC!$A$4:$J$6971,7,FALSE)</f>
        <v>0</v>
      </c>
    </row>
    <row r="1819" spans="1:11" ht="14.5">
      <c r="A1819" s="20" t="s">
        <v>18291</v>
      </c>
      <c r="B1819" s="20">
        <v>25</v>
      </c>
      <c r="C1819" s="20">
        <v>71</v>
      </c>
      <c r="D1819" s="20">
        <v>44</v>
      </c>
      <c r="E1819" s="20">
        <v>6</v>
      </c>
      <c r="F1819" s="20" t="s">
        <v>18292</v>
      </c>
      <c r="G1819" s="20" t="s">
        <v>18293</v>
      </c>
      <c r="H1819" s="24"/>
      <c r="I1819" s="24" t="str">
        <f ca="1">IFERROR(__xludf.DUMMYFUNCTION("GOOGLETRANSLATE(F1819,""en"",""pt"")"),"Betume-impregnados enchimento de juntas Softboard")</f>
        <v>Betume-impregnados enchimento de juntas Softboard</v>
      </c>
      <c r="J1819" t="str">
        <f>VLOOKUP(A1819,Pr_Base_LNEC!$A$4:$J$6971,6,FALSE)</f>
        <v>-</v>
      </c>
      <c r="K1819">
        <f>VLOOKUP(A1819,Pr_Base_LNEC!$A$4:$J$6971,7,FALSE)</f>
        <v>0</v>
      </c>
    </row>
    <row r="1820" spans="1:11" ht="14.5">
      <c r="A1820" s="20" t="s">
        <v>18294</v>
      </c>
      <c r="B1820" s="20">
        <v>25</v>
      </c>
      <c r="C1820" s="20">
        <v>71</v>
      </c>
      <c r="D1820" s="20">
        <v>44</v>
      </c>
      <c r="E1820" s="20">
        <v>8</v>
      </c>
      <c r="F1820" s="20" t="s">
        <v>18295</v>
      </c>
      <c r="G1820" s="20" t="s">
        <v>18296</v>
      </c>
      <c r="H1820" s="24"/>
      <c r="I1820" s="24" t="str">
        <f ca="1">IFERROR(__xludf.DUMMYFUNCTION("GOOGLETRANSLATE(F1820,""en"",""pt"")"),"Betume enchimento de juntas de expansão de borracha")</f>
        <v>Betume enchimento de juntas de expansão de borracha</v>
      </c>
      <c r="J1820" t="str">
        <f>VLOOKUP(A1820,Pr_Base_LNEC!$A$4:$J$6971,6,FALSE)</f>
        <v>-</v>
      </c>
      <c r="K1820">
        <f>VLOOKUP(A1820,Pr_Base_LNEC!$A$4:$J$6971,7,FALSE)</f>
        <v>0</v>
      </c>
    </row>
    <row r="1821" spans="1:11" ht="14.5">
      <c r="A1821" s="20" t="s">
        <v>18297</v>
      </c>
      <c r="B1821" s="20">
        <v>25</v>
      </c>
      <c r="C1821" s="20">
        <v>71</v>
      </c>
      <c r="D1821" s="20">
        <v>44</v>
      </c>
      <c r="E1821" s="20">
        <v>15</v>
      </c>
      <c r="F1821" s="20" t="s">
        <v>18298</v>
      </c>
      <c r="G1821" s="20" t="s">
        <v>18299</v>
      </c>
      <c r="H1821" s="24"/>
      <c r="I1821" s="24" t="str">
        <f ca="1">IFERROR(__xludf.DUMMYFUNCTION("GOOGLETRANSLATE(F1821,""en"",""pt"")"),"Placa da cortiça enchimento de juntas")</f>
        <v>Placa da cortiça enchimento de juntas</v>
      </c>
      <c r="J1821" t="str">
        <f>VLOOKUP(A1821,Pr_Base_LNEC!$A$4:$J$6971,6,FALSE)</f>
        <v>-</v>
      </c>
      <c r="K1821">
        <f>VLOOKUP(A1821,Pr_Base_LNEC!$A$4:$J$6971,7,FALSE)</f>
        <v>0</v>
      </c>
    </row>
    <row r="1822" spans="1:11" ht="14.5">
      <c r="A1822" s="20" t="s">
        <v>18300</v>
      </c>
      <c r="B1822" s="20">
        <v>25</v>
      </c>
      <c r="C1822" s="20">
        <v>71</v>
      </c>
      <c r="D1822" s="20">
        <v>44</v>
      </c>
      <c r="E1822" s="20">
        <v>28</v>
      </c>
      <c r="F1822" s="20" t="s">
        <v>18301</v>
      </c>
      <c r="G1822" s="20" t="s">
        <v>18302</v>
      </c>
      <c r="H1822" s="24"/>
      <c r="I1822" s="24" t="str">
        <f ca="1">IFERROR(__xludf.DUMMYFUNCTION("GOOGLETRANSLATE(F1822,""en"",""pt"")"),"polietileno (PE) extrudados enchimento de juntas de espuma")</f>
        <v>polietileno (PE) extrudados enchimento de juntas de espuma</v>
      </c>
      <c r="J1822" t="str">
        <f>VLOOKUP(A1822,Pr_Base_LNEC!$A$4:$J$6971,6,FALSE)</f>
        <v>-</v>
      </c>
      <c r="K1822">
        <f>VLOOKUP(A1822,Pr_Base_LNEC!$A$4:$J$6971,7,FALSE)</f>
        <v>0</v>
      </c>
    </row>
    <row r="1823" spans="1:11" ht="14.5">
      <c r="A1823" s="20" t="s">
        <v>18303</v>
      </c>
      <c r="B1823" s="20">
        <v>25</v>
      </c>
      <c r="C1823" s="20">
        <v>71</v>
      </c>
      <c r="D1823" s="20">
        <v>44</v>
      </c>
      <c r="E1823" s="20">
        <v>77</v>
      </c>
      <c r="F1823" s="20" t="s">
        <v>18304</v>
      </c>
      <c r="G1823" s="24"/>
      <c r="H1823" s="24"/>
      <c r="I1823" s="24" t="str">
        <f ca="1">IFERROR(__xludf.DUMMYFUNCTION("GOOGLETRANSLATE(F1823,""en"",""pt"")"),"hastes Backer selante")</f>
        <v>hastes Backer selante</v>
      </c>
      <c r="J1823" t="str">
        <f>VLOOKUP(A1823,Pr_Base_LNEC!$A$4:$J$6971,6,FALSE)</f>
        <v>-</v>
      </c>
      <c r="K1823">
        <f>VLOOKUP(A1823,Pr_Base_LNEC!$A$4:$J$6971,7,FALSE)</f>
        <v>0</v>
      </c>
    </row>
    <row r="1824" spans="1:11" ht="14.5">
      <c r="A1824" s="20" t="s">
        <v>18305</v>
      </c>
      <c r="B1824" s="20">
        <v>25</v>
      </c>
      <c r="C1824" s="20">
        <v>71</v>
      </c>
      <c r="D1824" s="20">
        <v>50</v>
      </c>
      <c r="E1824" s="24"/>
      <c r="F1824" s="20" t="s">
        <v>18306</v>
      </c>
      <c r="G1824" s="24"/>
      <c r="H1824" s="24"/>
      <c r="I1824" s="24" t="str">
        <f ca="1">IFERROR(__xludf.DUMMYFUNCTION("GOOGLETRANSLATE(F1824,""en"",""pt"")"),"painéis de metal")</f>
        <v>painéis de metal</v>
      </c>
      <c r="J1824">
        <f>VLOOKUP(A1824,Pr_Base_LNEC!$A$4:$J$6971,6,FALSE)</f>
        <v>0</v>
      </c>
      <c r="K1824">
        <f>VLOOKUP(A1824,Pr_Base_LNEC!$A$4:$J$6971,7,FALSE)</f>
        <v>0</v>
      </c>
    </row>
    <row r="1825" spans="1:11" ht="14.5">
      <c r="A1825" s="20" t="s">
        <v>18307</v>
      </c>
      <c r="B1825" s="20">
        <v>25</v>
      </c>
      <c r="C1825" s="20">
        <v>71</v>
      </c>
      <c r="D1825" s="20">
        <v>50</v>
      </c>
      <c r="E1825" s="20">
        <v>2</v>
      </c>
      <c r="F1825" s="20" t="s">
        <v>18308</v>
      </c>
      <c r="G1825" s="20" t="s">
        <v>18309</v>
      </c>
      <c r="H1825" s="24"/>
      <c r="I1825" s="24" t="str">
        <f ca="1">IFERROR(__xludf.DUMMYFUNCTION("GOOGLETRANSLATE(F1825,""en"",""pt"")"),"Alumínio expandido painéis de malha")</f>
        <v>Alumínio expandido painéis de malha</v>
      </c>
      <c r="J1825" t="str">
        <f>VLOOKUP(A1825,Pr_Base_LNEC!$A$4:$J$6971,6,FALSE)</f>
        <v>-</v>
      </c>
      <c r="K1825">
        <f>VLOOKUP(A1825,Pr_Base_LNEC!$A$4:$J$6971,7,FALSE)</f>
        <v>0</v>
      </c>
    </row>
    <row r="1826" spans="1:11" ht="14.5">
      <c r="A1826" s="20" t="s">
        <v>18310</v>
      </c>
      <c r="B1826" s="20">
        <v>25</v>
      </c>
      <c r="C1826" s="20">
        <v>71</v>
      </c>
      <c r="D1826" s="20">
        <v>50</v>
      </c>
      <c r="E1826" s="20">
        <v>3</v>
      </c>
      <c r="F1826" s="20" t="s">
        <v>18311</v>
      </c>
      <c r="G1826" s="20" t="s">
        <v>18312</v>
      </c>
      <c r="H1826" s="24"/>
      <c r="I1826" s="24" t="str">
        <f ca="1">IFERROR(__xludf.DUMMYFUNCTION("GOOGLETRANSLATE(F1826,""en"",""pt"")"),"Alumínio painéis de barras verticais")</f>
        <v>Alumínio painéis de barras verticais</v>
      </c>
      <c r="J1826">
        <f>VLOOKUP(A1826,Pr_Base_LNEC!$A$4:$J$6971,6,FALSE)</f>
        <v>0</v>
      </c>
      <c r="K1826">
        <f>VLOOKUP(A1826,Pr_Base_LNEC!$A$4:$J$6971,7,FALSE)</f>
        <v>0</v>
      </c>
    </row>
    <row r="1827" spans="1:11" ht="14.5">
      <c r="A1827" s="20" t="s">
        <v>18313</v>
      </c>
      <c r="B1827" s="20">
        <v>25</v>
      </c>
      <c r="C1827" s="20">
        <v>71</v>
      </c>
      <c r="D1827" s="20">
        <v>50</v>
      </c>
      <c r="E1827" s="20">
        <v>4</v>
      </c>
      <c r="F1827" s="20" t="s">
        <v>18314</v>
      </c>
      <c r="G1827" s="20" t="s">
        <v>18315</v>
      </c>
      <c r="H1827" s="24"/>
      <c r="I1827" s="24" t="str">
        <f ca="1">IFERROR(__xludf.DUMMYFUNCTION("GOOGLETRANSLATE(F1827,""en"",""pt"")"),"painéis de chapa de alumínio")</f>
        <v>painéis de chapa de alumínio</v>
      </c>
      <c r="J1827">
        <f>VLOOKUP(A1827,Pr_Base_LNEC!$A$4:$J$6971,6,FALSE)</f>
        <v>0</v>
      </c>
      <c r="K1827">
        <f>VLOOKUP(A1827,Pr_Base_LNEC!$A$4:$J$6971,7,FALSE)</f>
        <v>0</v>
      </c>
    </row>
    <row r="1828" spans="1:11" ht="14.5">
      <c r="A1828" s="20" t="s">
        <v>18316</v>
      </c>
      <c r="B1828" s="20">
        <v>25</v>
      </c>
      <c r="C1828" s="20">
        <v>71</v>
      </c>
      <c r="D1828" s="20">
        <v>50</v>
      </c>
      <c r="E1828" s="20">
        <v>6</v>
      </c>
      <c r="F1828" s="20" t="s">
        <v>18317</v>
      </c>
      <c r="G1828" s="24"/>
      <c r="H1828" s="24"/>
      <c r="I1828" s="24" t="str">
        <f ca="1">IFERROR(__xludf.DUMMYFUNCTION("GOOGLETRANSLATE(F1828,""en"",""pt"")"),"placas de base")</f>
        <v>placas de base</v>
      </c>
      <c r="J1828">
        <f>VLOOKUP(A1828,Pr_Base_LNEC!$A$4:$J$6971,6,FALSE)</f>
        <v>0</v>
      </c>
      <c r="K1828">
        <f>VLOOKUP(A1828,Pr_Base_LNEC!$A$4:$J$6971,7,FALSE)</f>
        <v>0</v>
      </c>
    </row>
    <row r="1829" spans="1:11" ht="14.5">
      <c r="A1829" s="20" t="s">
        <v>18318</v>
      </c>
      <c r="B1829" s="20">
        <v>25</v>
      </c>
      <c r="C1829" s="20">
        <v>71</v>
      </c>
      <c r="D1829" s="20">
        <v>50</v>
      </c>
      <c r="E1829" s="20">
        <v>12</v>
      </c>
      <c r="F1829" s="20" t="s">
        <v>18319</v>
      </c>
      <c r="G1829" s="20" t="s">
        <v>18320</v>
      </c>
      <c r="H1829" s="24"/>
      <c r="I1829" s="24" t="str">
        <f ca="1">IFERROR(__xludf.DUMMYFUNCTION("GOOGLETRANSLATE(F1829,""en"",""pt"")"),"aço carbono expandido painéis de malha")</f>
        <v>aço carbono expandido painéis de malha</v>
      </c>
      <c r="J1829">
        <f>VLOOKUP(A1829,Pr_Base_LNEC!$A$4:$J$6971,6,FALSE)</f>
        <v>0</v>
      </c>
      <c r="K1829">
        <f>VLOOKUP(A1829,Pr_Base_LNEC!$A$4:$J$6971,7,FALSE)</f>
        <v>0</v>
      </c>
    </row>
    <row r="1830" spans="1:11" ht="14.5">
      <c r="A1830" s="20" t="s">
        <v>18321</v>
      </c>
      <c r="B1830" s="20">
        <v>25</v>
      </c>
      <c r="C1830" s="20">
        <v>71</v>
      </c>
      <c r="D1830" s="20">
        <v>50</v>
      </c>
      <c r="E1830" s="20">
        <v>13</v>
      </c>
      <c r="F1830" s="20" t="s">
        <v>18322</v>
      </c>
      <c r="G1830" s="20" t="s">
        <v>18323</v>
      </c>
      <c r="H1830" s="24"/>
      <c r="I1830" s="24" t="str">
        <f ca="1">IFERROR(__xludf.DUMMYFUNCTION("GOOGLETRANSLATE(F1830,""en"",""pt"")"),"aço carbono moldado bar e ferroviários painéis verticais")</f>
        <v>aço carbono moldado bar e ferroviários painéis verticais</v>
      </c>
      <c r="J1830">
        <f>VLOOKUP(A1830,Pr_Base_LNEC!$A$4:$J$6971,6,FALSE)</f>
        <v>0</v>
      </c>
      <c r="K1830">
        <f>VLOOKUP(A1830,Pr_Base_LNEC!$A$4:$J$6971,7,FALSE)</f>
        <v>0</v>
      </c>
    </row>
    <row r="1831" spans="1:11" ht="14.5">
      <c r="A1831" s="20" t="s">
        <v>18324</v>
      </c>
      <c r="B1831" s="20">
        <v>25</v>
      </c>
      <c r="C1831" s="20">
        <v>71</v>
      </c>
      <c r="D1831" s="20">
        <v>50</v>
      </c>
      <c r="E1831" s="20">
        <v>14</v>
      </c>
      <c r="F1831" s="20" t="s">
        <v>18325</v>
      </c>
      <c r="G1831" s="20" t="s">
        <v>18326</v>
      </c>
      <c r="H1831" s="24"/>
      <c r="I1831" s="24" t="str">
        <f ca="1">IFERROR(__xludf.DUMMYFUNCTION("GOOGLETRANSLATE(F1831,""en"",""pt"")"),"aço carbono moldado painéis de barras verticais")</f>
        <v>aço carbono moldado painéis de barras verticais</v>
      </c>
      <c r="J1831">
        <f>VLOOKUP(A1831,Pr_Base_LNEC!$A$4:$J$6971,6,FALSE)</f>
        <v>0</v>
      </c>
      <c r="K1831">
        <f>VLOOKUP(A1831,Pr_Base_LNEC!$A$4:$J$6971,7,FALSE)</f>
        <v>0</v>
      </c>
    </row>
    <row r="1832" spans="1:11" ht="14.5">
      <c r="A1832" s="20" t="s">
        <v>18327</v>
      </c>
      <c r="B1832" s="20">
        <v>25</v>
      </c>
      <c r="C1832" s="20">
        <v>71</v>
      </c>
      <c r="D1832" s="20">
        <v>50</v>
      </c>
      <c r="E1832" s="20">
        <v>15</v>
      </c>
      <c r="F1832" s="20" t="s">
        <v>18328</v>
      </c>
      <c r="G1832" s="20" t="s">
        <v>18329</v>
      </c>
      <c r="H1832" s="24"/>
      <c r="I1832" s="24" t="str">
        <f ca="1">IFERROR(__xludf.DUMMYFUNCTION("GOOGLETRANSLATE(F1832,""en"",""pt"")"),"aço carbono moldado painéis corte vertical")</f>
        <v>aço carbono moldado painéis corte vertical</v>
      </c>
      <c r="J1832">
        <f>VLOOKUP(A1832,Pr_Base_LNEC!$A$4:$J$6971,6,FALSE)</f>
        <v>0</v>
      </c>
      <c r="K1832">
        <f>VLOOKUP(A1832,Pr_Base_LNEC!$A$4:$J$6971,7,FALSE)</f>
        <v>0</v>
      </c>
    </row>
    <row r="1833" spans="1:11" ht="14.5">
      <c r="A1833" s="20" t="s">
        <v>18330</v>
      </c>
      <c r="B1833" s="20">
        <v>25</v>
      </c>
      <c r="C1833" s="20">
        <v>71</v>
      </c>
      <c r="D1833" s="20">
        <v>50</v>
      </c>
      <c r="E1833" s="20">
        <v>16</v>
      </c>
      <c r="F1833" s="20" t="s">
        <v>18331</v>
      </c>
      <c r="G1833" s="20" t="s">
        <v>18332</v>
      </c>
      <c r="H1833" s="24"/>
      <c r="I1833" s="24" t="str">
        <f ca="1">IFERROR(__xludf.DUMMYFUNCTION("GOOGLETRANSLATE(F1833,""en"",""pt"")"),"painéis de vedação de aço de carbono em paliçada")</f>
        <v>painéis de vedação de aço de carbono em paliçada</v>
      </c>
      <c r="J1833">
        <f>VLOOKUP(A1833,Pr_Base_LNEC!$A$4:$J$6971,6,FALSE)</f>
        <v>0</v>
      </c>
      <c r="K1833">
        <f>VLOOKUP(A1833,Pr_Base_LNEC!$A$4:$J$6971,7,FALSE)</f>
        <v>0</v>
      </c>
    </row>
    <row r="1834" spans="1:11" ht="14.5">
      <c r="A1834" s="20" t="s">
        <v>18333</v>
      </c>
      <c r="B1834" s="20">
        <v>25</v>
      </c>
      <c r="C1834" s="20">
        <v>71</v>
      </c>
      <c r="D1834" s="20">
        <v>50</v>
      </c>
      <c r="E1834" s="20">
        <v>17</v>
      </c>
      <c r="F1834" s="20" t="s">
        <v>18334</v>
      </c>
      <c r="G1834" s="20" t="s">
        <v>18335</v>
      </c>
      <c r="H1834" s="24"/>
      <c r="I1834" s="24" t="str">
        <f ca="1">IFERROR(__xludf.DUMMYFUNCTION("GOOGLETRANSLATE(F1834,""en"",""pt"")"),"painéis de aço de carbono")</f>
        <v>painéis de aço de carbono</v>
      </c>
      <c r="J1834">
        <f>VLOOKUP(A1834,Pr_Base_LNEC!$A$4:$J$6971,6,FALSE)</f>
        <v>0</v>
      </c>
      <c r="K1834">
        <f>VLOOKUP(A1834,Pr_Base_LNEC!$A$4:$J$6971,7,FALSE)</f>
        <v>0</v>
      </c>
    </row>
    <row r="1835" spans="1:11" ht="14.5">
      <c r="A1835" s="20" t="s">
        <v>18336</v>
      </c>
      <c r="B1835" s="20">
        <v>25</v>
      </c>
      <c r="C1835" s="20">
        <v>71</v>
      </c>
      <c r="D1835" s="20">
        <v>50</v>
      </c>
      <c r="E1835" s="20">
        <v>18</v>
      </c>
      <c r="F1835" s="20" t="s">
        <v>18337</v>
      </c>
      <c r="G1835" s="20" t="s">
        <v>18338</v>
      </c>
      <c r="H1835" s="24"/>
      <c r="I1835" s="24" t="str">
        <f ca="1">IFERROR(__xludf.DUMMYFUNCTION("GOOGLETRANSLATE(F1835,""en"",""pt"")"),"corte vertical de aço carbono e painéis ferroviários")</f>
        <v>corte vertical de aço carbono e painéis ferroviários</v>
      </c>
      <c r="J1835">
        <f>VLOOKUP(A1835,Pr_Base_LNEC!$A$4:$J$6971,6,FALSE)</f>
        <v>0</v>
      </c>
      <c r="K1835">
        <f>VLOOKUP(A1835,Pr_Base_LNEC!$A$4:$J$6971,7,FALSE)</f>
        <v>0</v>
      </c>
    </row>
    <row r="1836" spans="1:11" ht="14.5">
      <c r="A1836" s="20" t="s">
        <v>18339</v>
      </c>
      <c r="B1836" s="20">
        <v>25</v>
      </c>
      <c r="C1836" s="20">
        <v>71</v>
      </c>
      <c r="D1836" s="20">
        <v>50</v>
      </c>
      <c r="E1836" s="20">
        <v>19</v>
      </c>
      <c r="F1836" s="20" t="s">
        <v>18340</v>
      </c>
      <c r="G1836" s="20" t="s">
        <v>18341</v>
      </c>
      <c r="H1836" s="24"/>
      <c r="I1836" s="24" t="str">
        <f ca="1">IFERROR(__xludf.DUMMYFUNCTION("GOOGLETRANSLATE(F1836,""en"",""pt"")"),"aço carbono soldada malha painéis")</f>
        <v>aço carbono soldada malha painéis</v>
      </c>
      <c r="J1836">
        <f>VLOOKUP(A1836,Pr_Base_LNEC!$A$4:$J$6971,6,FALSE)</f>
        <v>0</v>
      </c>
      <c r="K1836">
        <f>VLOOKUP(A1836,Pr_Base_LNEC!$A$4:$J$6971,7,FALSE)</f>
        <v>0</v>
      </c>
    </row>
    <row r="1837" spans="1:11" ht="14.5">
      <c r="A1837" s="20" t="s">
        <v>18342</v>
      </c>
      <c r="B1837" s="20">
        <v>25</v>
      </c>
      <c r="C1837" s="20">
        <v>71</v>
      </c>
      <c r="D1837" s="20">
        <v>50</v>
      </c>
      <c r="E1837" s="20">
        <v>20</v>
      </c>
      <c r="F1837" s="20" t="s">
        <v>18343</v>
      </c>
      <c r="G1837" s="20" t="s">
        <v>18344</v>
      </c>
      <c r="H1837" s="24"/>
      <c r="I1837" s="24" t="str">
        <f ca="1">IFERROR(__xludf.DUMMYFUNCTION("GOOGLETRANSLATE(F1837,""en"",""pt"")"),"ferro fundido barra vertical e painéis ferroviários")</f>
        <v>ferro fundido barra vertical e painéis ferroviários</v>
      </c>
      <c r="J1837">
        <f>VLOOKUP(A1837,Pr_Base_LNEC!$A$4:$J$6971,6,FALSE)</f>
        <v>0</v>
      </c>
      <c r="K1837">
        <f>VLOOKUP(A1837,Pr_Base_LNEC!$A$4:$J$6971,7,FALSE)</f>
        <v>0</v>
      </c>
    </row>
    <row r="1838" spans="1:11" ht="14.5">
      <c r="A1838" s="20" t="s">
        <v>18345</v>
      </c>
      <c r="B1838" s="20">
        <v>25</v>
      </c>
      <c r="C1838" s="20">
        <v>71</v>
      </c>
      <c r="D1838" s="20">
        <v>50</v>
      </c>
      <c r="E1838" s="20">
        <v>21</v>
      </c>
      <c r="F1838" s="20" t="s">
        <v>18346</v>
      </c>
      <c r="G1838" s="20" t="s">
        <v>18347</v>
      </c>
      <c r="H1838" s="24"/>
      <c r="I1838" s="24" t="str">
        <f ca="1">IFERROR(__xludf.DUMMYFUNCTION("GOOGLETRANSLATE(F1838,""en"",""pt"")"),"painéis de vedação compósitos")</f>
        <v>painéis de vedação compósitos</v>
      </c>
      <c r="J1838">
        <f>VLOOKUP(A1838,Pr_Base_LNEC!$A$4:$J$6971,6,FALSE)</f>
        <v>0</v>
      </c>
      <c r="K1838">
        <f>VLOOKUP(A1838,Pr_Base_LNEC!$A$4:$J$6971,7,FALSE)</f>
        <v>0</v>
      </c>
    </row>
    <row r="1839" spans="1:11" ht="14.5">
      <c r="A1839" s="20" t="s">
        <v>18348</v>
      </c>
      <c r="B1839" s="20">
        <v>25</v>
      </c>
      <c r="C1839" s="20">
        <v>71</v>
      </c>
      <c r="D1839" s="20">
        <v>50</v>
      </c>
      <c r="E1839" s="20">
        <v>22</v>
      </c>
      <c r="F1839" s="20" t="s">
        <v>18349</v>
      </c>
      <c r="G1839" s="24"/>
      <c r="H1839" s="24"/>
      <c r="I1839" s="24" t="str">
        <f ca="1">IFERROR(__xludf.DUMMYFUNCTION("GOOGLETRANSLATE(F1839,""en"",""pt"")"),"painéis compósitos")</f>
        <v>painéis compósitos</v>
      </c>
      <c r="J1839">
        <f>VLOOKUP(A1839,Pr_Base_LNEC!$A$4:$J$6971,6,FALSE)</f>
        <v>0</v>
      </c>
      <c r="K1839">
        <f>VLOOKUP(A1839,Pr_Base_LNEC!$A$4:$J$6971,7,FALSE)</f>
        <v>0</v>
      </c>
    </row>
    <row r="1840" spans="1:11" ht="14.5">
      <c r="A1840" s="20" t="s">
        <v>18350</v>
      </c>
      <c r="B1840" s="20">
        <v>25</v>
      </c>
      <c r="C1840" s="20">
        <v>71</v>
      </c>
      <c r="D1840" s="20">
        <v>50</v>
      </c>
      <c r="E1840" s="20">
        <v>23</v>
      </c>
      <c r="F1840" s="20" t="s">
        <v>18351</v>
      </c>
      <c r="G1840" s="24"/>
      <c r="H1840" s="24"/>
      <c r="I1840" s="24" t="str">
        <f ca="1">IFERROR(__xludf.DUMMYFUNCTION("GOOGLETRANSLATE(F1840,""en"",""pt"")"),"painéis animais selvagens Composite")</f>
        <v>painéis animais selvagens Composite</v>
      </c>
      <c r="J1840">
        <f>VLOOKUP(A1840,Pr_Base_LNEC!$A$4:$J$6971,6,FALSE)</f>
        <v>0</v>
      </c>
      <c r="K1840">
        <f>VLOOKUP(A1840,Pr_Base_LNEC!$A$4:$J$6971,7,FALSE)</f>
        <v>0</v>
      </c>
    </row>
    <row r="1841" spans="1:11" ht="14.5">
      <c r="A1841" s="20" t="s">
        <v>18352</v>
      </c>
      <c r="B1841" s="20">
        <v>25</v>
      </c>
      <c r="C1841" s="20">
        <v>71</v>
      </c>
      <c r="D1841" s="20">
        <v>50</v>
      </c>
      <c r="E1841" s="20">
        <v>24</v>
      </c>
      <c r="F1841" s="20" t="s">
        <v>18353</v>
      </c>
      <c r="G1841" s="24"/>
      <c r="H1841" s="24"/>
      <c r="I1841" s="24" t="str">
        <f ca="1">IFERROR(__xludf.DUMMYFUNCTION("GOOGLETRANSLATE(F1841,""en"",""pt"")"),"Painéis metálicos decorativos")</f>
        <v>Painéis metálicos decorativos</v>
      </c>
      <c r="J1841">
        <f>VLOOKUP(A1841,Pr_Base_LNEC!$A$4:$J$6971,6,FALSE)</f>
        <v>0</v>
      </c>
      <c r="K1841">
        <f>VLOOKUP(A1841,Pr_Base_LNEC!$A$4:$J$6971,7,FALSE)</f>
        <v>0</v>
      </c>
    </row>
    <row r="1842" spans="1:11" ht="14.5">
      <c r="A1842" s="20" t="s">
        <v>18354</v>
      </c>
      <c r="B1842" s="20">
        <v>25</v>
      </c>
      <c r="C1842" s="20">
        <v>71</v>
      </c>
      <c r="D1842" s="20">
        <v>50</v>
      </c>
      <c r="E1842" s="20">
        <v>39</v>
      </c>
      <c r="F1842" s="20" t="s">
        <v>18355</v>
      </c>
      <c r="G1842" s="24"/>
      <c r="H1842" s="24"/>
      <c r="I1842" s="24" t="str">
        <f ca="1">IFERROR(__xludf.DUMMYFUNCTION("GOOGLETRANSLATE(F1842,""en"",""pt"")"),"obstáculos")</f>
        <v>obstáculos</v>
      </c>
      <c r="J1842">
        <f>VLOOKUP(A1842,Pr_Base_LNEC!$A$4:$J$6971,6,FALSE)</f>
        <v>0</v>
      </c>
      <c r="K1842">
        <f>VLOOKUP(A1842,Pr_Base_LNEC!$A$4:$J$6971,7,FALSE)</f>
        <v>0</v>
      </c>
    </row>
    <row r="1843" spans="1:11" ht="14.5">
      <c r="A1843" s="20" t="s">
        <v>18356</v>
      </c>
      <c r="B1843" s="20">
        <v>25</v>
      </c>
      <c r="C1843" s="20">
        <v>71</v>
      </c>
      <c r="D1843" s="20">
        <v>50</v>
      </c>
      <c r="E1843" s="20">
        <v>51</v>
      </c>
      <c r="F1843" s="20" t="s">
        <v>18357</v>
      </c>
      <c r="G1843" s="24"/>
      <c r="H1843" s="24"/>
      <c r="I1843" s="24" t="str">
        <f ca="1">IFERROR(__xludf.DUMMYFUNCTION("GOOGLETRANSLATE(F1843,""en"",""pt"")"),"painéis de malha")</f>
        <v>painéis de malha</v>
      </c>
      <c r="J1843">
        <f>VLOOKUP(A1843,Pr_Base_LNEC!$A$4:$J$6971,6,FALSE)</f>
        <v>0</v>
      </c>
      <c r="K1843">
        <f>VLOOKUP(A1843,Pr_Base_LNEC!$A$4:$J$6971,7,FALSE)</f>
        <v>0</v>
      </c>
    </row>
    <row r="1844" spans="1:11" ht="14.5">
      <c r="A1844" s="20" t="s">
        <v>18358</v>
      </c>
      <c r="B1844" s="20">
        <v>25</v>
      </c>
      <c r="C1844" s="20">
        <v>71</v>
      </c>
      <c r="D1844" s="20">
        <v>50</v>
      </c>
      <c r="E1844" s="20">
        <v>60</v>
      </c>
      <c r="F1844" s="20" t="s">
        <v>18359</v>
      </c>
      <c r="G1844" s="24"/>
      <c r="H1844" s="24"/>
      <c r="I1844" s="24" t="str">
        <f ca="1">IFERROR(__xludf.DUMMYFUNCTION("GOOGLETRANSLATE(F1844,""en"",""pt"")"),"painéis paliçada")</f>
        <v>painéis paliçada</v>
      </c>
      <c r="J1844">
        <f>VLOOKUP(A1844,Pr_Base_LNEC!$A$4:$J$6971,6,FALSE)</f>
        <v>0</v>
      </c>
      <c r="K1844">
        <f>VLOOKUP(A1844,Pr_Base_LNEC!$A$4:$J$6971,7,FALSE)</f>
        <v>0</v>
      </c>
    </row>
    <row r="1845" spans="1:11" ht="14.5">
      <c r="A1845" s="20" t="s">
        <v>18360</v>
      </c>
      <c r="B1845" s="20">
        <v>25</v>
      </c>
      <c r="C1845" s="20">
        <v>71</v>
      </c>
      <c r="D1845" s="20">
        <v>50</v>
      </c>
      <c r="E1845" s="20">
        <v>61</v>
      </c>
      <c r="F1845" s="20" t="s">
        <v>18361</v>
      </c>
      <c r="G1845" s="24"/>
      <c r="H1845" s="24"/>
      <c r="I1845" s="24" t="str">
        <f ca="1">IFERROR(__xludf.DUMMYFUNCTION("GOOGLETRANSLATE(F1845,""en"",""pt"")"),"Painéis com enchimento verticais")</f>
        <v>Painéis com enchimento verticais</v>
      </c>
      <c r="J1845">
        <f>VLOOKUP(A1845,Pr_Base_LNEC!$A$4:$J$6971,6,FALSE)</f>
        <v>0</v>
      </c>
      <c r="K1845">
        <f>VLOOKUP(A1845,Pr_Base_LNEC!$A$4:$J$6971,7,FALSE)</f>
        <v>0</v>
      </c>
    </row>
    <row r="1846" spans="1:11" ht="14.5">
      <c r="A1846" s="20" t="s">
        <v>18362</v>
      </c>
      <c r="B1846" s="20">
        <v>25</v>
      </c>
      <c r="C1846" s="20">
        <v>71</v>
      </c>
      <c r="D1846" s="20">
        <v>50</v>
      </c>
      <c r="E1846" s="20">
        <v>79</v>
      </c>
      <c r="F1846" s="20" t="s">
        <v>18363</v>
      </c>
      <c r="G1846" s="24"/>
      <c r="H1846" s="24"/>
      <c r="I1846" s="24" t="str">
        <f ca="1">IFERROR(__xludf.DUMMYFUNCTION("GOOGLETRANSLATE(F1846,""en"",""pt"")"),"painéis de folha")</f>
        <v>painéis de folha</v>
      </c>
      <c r="J1846">
        <f>VLOOKUP(A1846,Pr_Base_LNEC!$A$4:$J$6971,6,FALSE)</f>
        <v>0</v>
      </c>
      <c r="K1846">
        <f>VLOOKUP(A1846,Pr_Base_LNEC!$A$4:$J$6971,7,FALSE)</f>
        <v>0</v>
      </c>
    </row>
    <row r="1847" spans="1:11" ht="14.5">
      <c r="A1847" s="20" t="s">
        <v>18364</v>
      </c>
      <c r="B1847" s="20">
        <v>25</v>
      </c>
      <c r="C1847" s="20">
        <v>71</v>
      </c>
      <c r="D1847" s="20">
        <v>50</v>
      </c>
      <c r="E1847" s="20">
        <v>80</v>
      </c>
      <c r="F1847" s="20" t="s">
        <v>18365</v>
      </c>
      <c r="G1847" s="20" t="s">
        <v>18366</v>
      </c>
      <c r="H1847" s="24"/>
      <c r="I1847" s="24" t="str">
        <f ca="1">IFERROR(__xludf.DUMMYFUNCTION("GOOGLETRANSLATE(F1847,""en"",""pt"")"),"aço inoxidável expandido malha painéis")</f>
        <v>aço inoxidável expandido malha painéis</v>
      </c>
      <c r="J1847">
        <f>VLOOKUP(A1847,Pr_Base_LNEC!$A$4:$J$6971,6,FALSE)</f>
        <v>0</v>
      </c>
      <c r="K1847">
        <f>VLOOKUP(A1847,Pr_Base_LNEC!$A$4:$J$6971,7,FALSE)</f>
        <v>0</v>
      </c>
    </row>
    <row r="1848" spans="1:11" ht="14.5">
      <c r="A1848" s="20" t="s">
        <v>18367</v>
      </c>
      <c r="B1848" s="20">
        <v>25</v>
      </c>
      <c r="C1848" s="20">
        <v>71</v>
      </c>
      <c r="D1848" s="20">
        <v>50</v>
      </c>
      <c r="E1848" s="20">
        <v>81</v>
      </c>
      <c r="F1848" s="20" t="s">
        <v>18368</v>
      </c>
      <c r="G1848" s="20" t="s">
        <v>18369</v>
      </c>
      <c r="H1848" s="24"/>
      <c r="I1848" s="24" t="str">
        <f ca="1">IFERROR(__xludf.DUMMYFUNCTION("GOOGLETRANSLATE(F1848,""en"",""pt"")"),"painéis verticais barra de aço inoxidável")</f>
        <v>painéis verticais barra de aço inoxidável</v>
      </c>
      <c r="J1848">
        <f>VLOOKUP(A1848,Pr_Base_LNEC!$A$4:$J$6971,6,FALSE)</f>
        <v>0</v>
      </c>
      <c r="K1848">
        <f>VLOOKUP(A1848,Pr_Base_LNEC!$A$4:$J$6971,7,FALSE)</f>
        <v>0</v>
      </c>
    </row>
    <row r="1849" spans="1:11" ht="14.5">
      <c r="A1849" s="20" t="s">
        <v>18370</v>
      </c>
      <c r="B1849" s="20">
        <v>25</v>
      </c>
      <c r="C1849" s="20">
        <v>71</v>
      </c>
      <c r="D1849" s="20">
        <v>50</v>
      </c>
      <c r="E1849" s="20">
        <v>82</v>
      </c>
      <c r="F1849" s="20" t="s">
        <v>18371</v>
      </c>
      <c r="G1849" s="20" t="s">
        <v>18372</v>
      </c>
      <c r="H1849" s="24"/>
      <c r="I1849" s="24" t="str">
        <f ca="1">IFERROR(__xludf.DUMMYFUNCTION("GOOGLETRANSLATE(F1849,""en"",""pt"")"),"aço inoxidável barra vertical e os painéis ferroviárias")</f>
        <v>aço inoxidável barra vertical e os painéis ferroviárias</v>
      </c>
      <c r="J1849">
        <f>VLOOKUP(A1849,Pr_Base_LNEC!$A$4:$J$6971,6,FALSE)</f>
        <v>0</v>
      </c>
      <c r="K1849">
        <f>VLOOKUP(A1849,Pr_Base_LNEC!$A$4:$J$6971,7,FALSE)</f>
        <v>0</v>
      </c>
    </row>
    <row r="1850" spans="1:11" ht="14.5">
      <c r="A1850" s="20" t="s">
        <v>18373</v>
      </c>
      <c r="B1850" s="20">
        <v>25</v>
      </c>
      <c r="C1850" s="20">
        <v>71</v>
      </c>
      <c r="D1850" s="20">
        <v>50</v>
      </c>
      <c r="E1850" s="20">
        <v>83</v>
      </c>
      <c r="F1850" s="20" t="s">
        <v>18374</v>
      </c>
      <c r="G1850" s="20" t="s">
        <v>18375</v>
      </c>
      <c r="H1850" s="24"/>
      <c r="I1850" s="24" t="str">
        <f ca="1">IFERROR(__xludf.DUMMYFUNCTION("GOOGLETRANSLATE(F1850,""en"",""pt"")"),"painéis de chapa de aço inoxidável")</f>
        <v>painéis de chapa de aço inoxidável</v>
      </c>
      <c r="J1850">
        <f>VLOOKUP(A1850,Pr_Base_LNEC!$A$4:$J$6971,6,FALSE)</f>
        <v>0</v>
      </c>
      <c r="K1850">
        <f>VLOOKUP(A1850,Pr_Base_LNEC!$A$4:$J$6971,7,FALSE)</f>
        <v>0</v>
      </c>
    </row>
    <row r="1851" spans="1:11" ht="14.5">
      <c r="A1851" s="20" t="s">
        <v>18376</v>
      </c>
      <c r="B1851" s="20">
        <v>25</v>
      </c>
      <c r="C1851" s="20">
        <v>71</v>
      </c>
      <c r="D1851" s="20">
        <v>50</v>
      </c>
      <c r="E1851" s="20">
        <v>84</v>
      </c>
      <c r="F1851" s="20" t="s">
        <v>18377</v>
      </c>
      <c r="G1851" s="20" t="s">
        <v>18378</v>
      </c>
      <c r="H1851" s="24"/>
      <c r="I1851" s="24" t="str">
        <f ca="1">IFERROR(__xludf.DUMMYFUNCTION("GOOGLETRANSLATE(F1851,""en"",""pt"")"),"aço inoxidável soldada malha painéis")</f>
        <v>aço inoxidável soldada malha painéis</v>
      </c>
      <c r="J1851">
        <f>VLOOKUP(A1851,Pr_Base_LNEC!$A$4:$J$6971,6,FALSE)</f>
        <v>0</v>
      </c>
      <c r="K1851">
        <f>VLOOKUP(A1851,Pr_Base_LNEC!$A$4:$J$6971,7,FALSE)</f>
        <v>0</v>
      </c>
    </row>
    <row r="1852" spans="1:11" ht="14.5">
      <c r="A1852" s="20" t="s">
        <v>18379</v>
      </c>
      <c r="B1852" s="20">
        <v>25</v>
      </c>
      <c r="C1852" s="20">
        <v>71</v>
      </c>
      <c r="D1852" s="20">
        <v>50</v>
      </c>
      <c r="E1852" s="20">
        <v>85</v>
      </c>
      <c r="F1852" s="20" t="s">
        <v>18380</v>
      </c>
      <c r="G1852" s="24"/>
      <c r="H1852" s="24"/>
      <c r="I1852" s="24" t="str">
        <f ca="1">IFERROR(__xludf.DUMMYFUNCTION("GOOGLETRANSLATE(F1852,""en"",""pt"")"),"aço inoxidável tecidos de malha de painéis")</f>
        <v>aço inoxidável tecidos de malha de painéis</v>
      </c>
      <c r="J1852" t="e">
        <f>VLOOKUP(A1852,Pr_Base_LNEC!$A$4:$J$6971,6,FALSE)</f>
        <v>#N/A</v>
      </c>
      <c r="K1852" t="e">
        <f>VLOOKUP(A1852,Pr_Base_LNEC!$A$4:$J$6971,7,FALSE)</f>
        <v>#N/A</v>
      </c>
    </row>
    <row r="1853" spans="1:11" ht="14.5">
      <c r="A1853" s="20" t="s">
        <v>18381</v>
      </c>
      <c r="B1853" s="20">
        <v>25</v>
      </c>
      <c r="C1853" s="20">
        <v>71</v>
      </c>
      <c r="D1853" s="20">
        <v>50</v>
      </c>
      <c r="E1853" s="20">
        <v>87</v>
      </c>
      <c r="F1853" s="20" t="s">
        <v>18382</v>
      </c>
      <c r="G1853" s="24"/>
      <c r="H1853" s="24"/>
      <c r="I1853" s="24" t="str">
        <f ca="1">IFERROR(__xludf.DUMMYFUNCTION("GOOGLETRANSLATE(F1853,""en"",""pt"")"),"painéis de barreira de ruído de aço")</f>
        <v>painéis de barreira de ruído de aço</v>
      </c>
      <c r="J1853" t="e">
        <f>VLOOKUP(A1853,Pr_Base_LNEC!$A$4:$J$6971,6,FALSE)</f>
        <v>#N/A</v>
      </c>
      <c r="K1853" t="e">
        <f>VLOOKUP(A1853,Pr_Base_LNEC!$A$4:$J$6971,7,FALSE)</f>
        <v>#N/A</v>
      </c>
    </row>
    <row r="1854" spans="1:11" ht="14.5">
      <c r="A1854" s="20" t="s">
        <v>18383</v>
      </c>
      <c r="B1854" s="20">
        <v>25</v>
      </c>
      <c r="C1854" s="20">
        <v>71</v>
      </c>
      <c r="D1854" s="20">
        <v>50</v>
      </c>
      <c r="E1854" s="20">
        <v>93</v>
      </c>
      <c r="F1854" s="20" t="s">
        <v>18384</v>
      </c>
      <c r="G1854" s="24"/>
      <c r="H1854" s="24"/>
      <c r="I1854" s="24" t="str">
        <f ca="1">IFERROR(__xludf.DUMMYFUNCTION("GOOGLETRANSLATE(F1854,""en"",""pt"")"),"Painéis compósitos de aço esmalte vítreo")</f>
        <v>Painéis compósitos de aço esmalte vítreo</v>
      </c>
      <c r="J1854">
        <f>VLOOKUP(A1854,Pr_Base_LNEC!$A$4:$J$6971,6,FALSE)</f>
        <v>0</v>
      </c>
      <c r="K1854">
        <f>VLOOKUP(A1854,Pr_Base_LNEC!$A$4:$J$6971,7,FALSE)</f>
        <v>0</v>
      </c>
    </row>
    <row r="1855" spans="1:11" ht="14.5">
      <c r="A1855" s="20" t="s">
        <v>18385</v>
      </c>
      <c r="B1855" s="20">
        <v>25</v>
      </c>
      <c r="C1855" s="20">
        <v>71</v>
      </c>
      <c r="D1855" s="20">
        <v>50</v>
      </c>
      <c r="E1855" s="20">
        <v>94</v>
      </c>
      <c r="F1855" s="20" t="s">
        <v>18386</v>
      </c>
      <c r="G1855" s="24"/>
      <c r="H1855" s="24"/>
      <c r="I1855" s="24" t="str">
        <f ca="1">IFERROR(__xludf.DUMMYFUNCTION("GOOGLETRANSLATE(F1855,""en"",""pt"")"),"painéis de aço de esmalte vítreas")</f>
        <v>painéis de aço de esmalte vítreas</v>
      </c>
      <c r="J1855">
        <f>VLOOKUP(A1855,Pr_Base_LNEC!$A$4:$J$6971,6,FALSE)</f>
        <v>0</v>
      </c>
      <c r="K1855">
        <f>VLOOKUP(A1855,Pr_Base_LNEC!$A$4:$J$6971,7,FALSE)</f>
        <v>0</v>
      </c>
    </row>
    <row r="1856" spans="1:11" ht="14.5">
      <c r="A1856" s="20" t="s">
        <v>18387</v>
      </c>
      <c r="B1856" s="20">
        <v>25</v>
      </c>
      <c r="C1856" s="20">
        <v>71</v>
      </c>
      <c r="D1856" s="20">
        <v>50</v>
      </c>
      <c r="E1856" s="20">
        <v>95</v>
      </c>
      <c r="F1856" s="20" t="s">
        <v>18388</v>
      </c>
      <c r="G1856" s="20" t="s">
        <v>18389</v>
      </c>
      <c r="H1856" s="24"/>
      <c r="I1856" s="24" t="str">
        <f ca="1">IFERROR(__xludf.DUMMYFUNCTION("GOOGLETRANSLATE(F1856,""en"",""pt"")"),"barreiras de aço soldadas")</f>
        <v>barreiras de aço soldadas</v>
      </c>
      <c r="J1856">
        <f>VLOOKUP(A1856,Pr_Base_LNEC!$A$4:$J$6971,6,FALSE)</f>
        <v>0</v>
      </c>
      <c r="K1856">
        <f>VLOOKUP(A1856,Pr_Base_LNEC!$A$4:$J$6971,7,FALSE)</f>
        <v>0</v>
      </c>
    </row>
    <row r="1857" spans="1:11" ht="14.5">
      <c r="A1857" s="20" t="s">
        <v>18390</v>
      </c>
      <c r="B1857" s="20">
        <v>25</v>
      </c>
      <c r="C1857" s="20">
        <v>71</v>
      </c>
      <c r="D1857" s="20">
        <v>50</v>
      </c>
      <c r="E1857" s="20">
        <v>96</v>
      </c>
      <c r="F1857" s="20" t="s">
        <v>18391</v>
      </c>
      <c r="G1857" s="20" t="s">
        <v>18392</v>
      </c>
      <c r="H1857" s="24"/>
      <c r="I1857" s="24" t="str">
        <f ca="1">IFERROR(__xludf.DUMMYFUNCTION("GOOGLETRANSLATE(F1857,""en"",""pt"")"),"Ferro forjado painéis decorativos")</f>
        <v>Ferro forjado painéis decorativos</v>
      </c>
      <c r="J1857">
        <f>VLOOKUP(A1857,Pr_Base_LNEC!$A$4:$J$6971,6,FALSE)</f>
        <v>0</v>
      </c>
      <c r="K1857">
        <f>VLOOKUP(A1857,Pr_Base_LNEC!$A$4:$J$6971,7,FALSE)</f>
        <v>0</v>
      </c>
    </row>
    <row r="1858" spans="1:11" ht="14.5">
      <c r="A1858" s="20" t="s">
        <v>18393</v>
      </c>
      <c r="B1858" s="20">
        <v>25</v>
      </c>
      <c r="C1858" s="20">
        <v>71</v>
      </c>
      <c r="D1858" s="20">
        <v>50</v>
      </c>
      <c r="E1858" s="20">
        <v>97</v>
      </c>
      <c r="F1858" s="20" t="s">
        <v>18394</v>
      </c>
      <c r="G1858" s="20" t="s">
        <v>18395</v>
      </c>
      <c r="H1858" s="24"/>
      <c r="I1858" s="24" t="str">
        <f ca="1">IFERROR(__xludf.DUMMYFUNCTION("GOOGLETRANSLATE(F1858,""en"",""pt"")"),"FERRO FORJADO painéis de barras verticais")</f>
        <v>FERRO FORJADO painéis de barras verticais</v>
      </c>
      <c r="J1858">
        <f>VLOOKUP(A1858,Pr_Base_LNEC!$A$4:$J$6971,6,FALSE)</f>
        <v>0</v>
      </c>
      <c r="K1858">
        <f>VLOOKUP(A1858,Pr_Base_LNEC!$A$4:$J$6971,7,FALSE)</f>
        <v>0</v>
      </c>
    </row>
    <row r="1859" spans="1:11" ht="14.5">
      <c r="A1859" s="20" t="s">
        <v>18396</v>
      </c>
      <c r="B1859" s="20">
        <v>25</v>
      </c>
      <c r="C1859" s="20">
        <v>71</v>
      </c>
      <c r="D1859" s="20">
        <v>50</v>
      </c>
      <c r="E1859" s="20">
        <v>98</v>
      </c>
      <c r="F1859" s="20" t="s">
        <v>18397</v>
      </c>
      <c r="G1859" s="20" t="s">
        <v>18398</v>
      </c>
      <c r="H1859" s="24"/>
      <c r="I1859" s="24" t="str">
        <f ca="1">IFERROR(__xludf.DUMMYFUNCTION("GOOGLETRANSLATE(F1859,""en"",""pt"")"),"FERRO FORJADO bar e ferroviários painéis verticais")</f>
        <v>FERRO FORJADO bar e ferroviários painéis verticais</v>
      </c>
      <c r="J1859">
        <f>VLOOKUP(A1859,Pr_Base_LNEC!$A$4:$J$6971,6,FALSE)</f>
        <v>0</v>
      </c>
      <c r="K1859">
        <f>VLOOKUP(A1859,Pr_Base_LNEC!$A$4:$J$6971,7,FALSE)</f>
        <v>0</v>
      </c>
    </row>
    <row r="1860" spans="1:11" ht="14.5">
      <c r="A1860" s="20" t="s">
        <v>18399</v>
      </c>
      <c r="B1860" s="20">
        <v>25</v>
      </c>
      <c r="C1860" s="20">
        <v>71</v>
      </c>
      <c r="D1860" s="20">
        <v>51</v>
      </c>
      <c r="E1860" s="24"/>
      <c r="F1860" s="20" t="s">
        <v>18400</v>
      </c>
      <c r="G1860" s="24"/>
      <c r="H1860" s="24"/>
      <c r="I1860" s="24" t="str">
        <f ca="1">IFERROR(__xludf.DUMMYFUNCTION("GOOGLETRANSLATE(F1860,""en"",""pt"")"),"folhas e tiras de metal")</f>
        <v>folhas e tiras de metal</v>
      </c>
      <c r="J1860">
        <f>VLOOKUP(A1860,Pr_Base_LNEC!$A$4:$J$6971,6,FALSE)</f>
        <v>0</v>
      </c>
      <c r="K1860">
        <f>VLOOKUP(A1860,Pr_Base_LNEC!$A$4:$J$6971,7,FALSE)</f>
        <v>0</v>
      </c>
    </row>
    <row r="1861" spans="1:11" ht="14.5">
      <c r="A1861" s="20" t="s">
        <v>18401</v>
      </c>
      <c r="B1861" s="20">
        <v>25</v>
      </c>
      <c r="C1861" s="20">
        <v>71</v>
      </c>
      <c r="D1861" s="20">
        <v>51</v>
      </c>
      <c r="E1861" s="20">
        <v>1</v>
      </c>
      <c r="F1861" s="20" t="s">
        <v>18402</v>
      </c>
      <c r="G1861" s="20" t="s">
        <v>18403</v>
      </c>
      <c r="H1861" s="24"/>
      <c r="I1861" s="24" t="str">
        <f ca="1">IFERROR(__xludf.DUMMYFUNCTION("GOOGLETRANSLATE(F1861,""en"",""pt"")"),"Folhas de alumínio, tiras e placas")</f>
        <v>Folhas de alumínio, tiras e placas</v>
      </c>
      <c r="J1861">
        <f>VLOOKUP(A1861,Pr_Base_LNEC!$A$4:$J$6971,6,FALSE)</f>
        <v>0</v>
      </c>
      <c r="K1861">
        <f>VLOOKUP(A1861,Pr_Base_LNEC!$A$4:$J$6971,7,FALSE)</f>
        <v>0</v>
      </c>
    </row>
    <row r="1862" spans="1:11" ht="14.5">
      <c r="A1862" s="20" t="s">
        <v>18404</v>
      </c>
      <c r="B1862" s="20">
        <v>25</v>
      </c>
      <c r="C1862" s="20">
        <v>71</v>
      </c>
      <c r="D1862" s="20">
        <v>51</v>
      </c>
      <c r="E1862" s="20">
        <v>2</v>
      </c>
      <c r="F1862" s="20" t="s">
        <v>18405</v>
      </c>
      <c r="G1862" s="20" t="s">
        <v>18406</v>
      </c>
      <c r="H1862" s="24"/>
      <c r="I1862" s="24" t="str">
        <f ca="1">IFERROR(__xludf.DUMMYFUNCTION("GOOGLETRANSLATE(F1862,""en"",""pt"")"),"longas tiras de alumínio")</f>
        <v>longas tiras de alumínio</v>
      </c>
      <c r="J1862">
        <f>VLOOKUP(A1862,Pr_Base_LNEC!$A$4:$J$6971,6,FALSE)</f>
        <v>0</v>
      </c>
      <c r="K1862">
        <f>VLOOKUP(A1862,Pr_Base_LNEC!$A$4:$J$6971,7,FALSE)</f>
        <v>0</v>
      </c>
    </row>
    <row r="1863" spans="1:11" ht="14.5">
      <c r="A1863" s="20" t="s">
        <v>18407</v>
      </c>
      <c r="B1863" s="20">
        <v>25</v>
      </c>
      <c r="C1863" s="20">
        <v>71</v>
      </c>
      <c r="D1863" s="20">
        <v>51</v>
      </c>
      <c r="E1863" s="20">
        <v>3</v>
      </c>
      <c r="F1863" s="20" t="s">
        <v>18408</v>
      </c>
      <c r="G1863" s="20" t="s">
        <v>18409</v>
      </c>
      <c r="H1863" s="24"/>
      <c r="I1863" s="24" t="str">
        <f ca="1">IFERROR(__xludf.DUMMYFUNCTION("GOOGLETRANSLATE(F1863,""en"",""pt"")"),"Folhas perfiladas de alumínio")</f>
        <v>Folhas perfiladas de alumínio</v>
      </c>
      <c r="J1863">
        <f>VLOOKUP(A1863,Pr_Base_LNEC!$A$4:$J$6971,6,FALSE)</f>
        <v>0</v>
      </c>
      <c r="K1863">
        <f>VLOOKUP(A1863,Pr_Base_LNEC!$A$4:$J$6971,7,FALSE)</f>
        <v>0</v>
      </c>
    </row>
    <row r="1864" spans="1:11" ht="14.5">
      <c r="A1864" s="20" t="s">
        <v>18410</v>
      </c>
      <c r="B1864" s="20">
        <v>25</v>
      </c>
      <c r="C1864" s="20">
        <v>71</v>
      </c>
      <c r="D1864" s="20">
        <v>51</v>
      </c>
      <c r="E1864" s="20">
        <v>4</v>
      </c>
      <c r="F1864" s="20" t="s">
        <v>18411</v>
      </c>
      <c r="G1864" s="20" t="s">
        <v>18412</v>
      </c>
      <c r="H1864" s="24"/>
      <c r="I1864" s="24" t="str">
        <f ca="1">IFERROR(__xludf.DUMMYFUNCTION("GOOGLETRANSLATE(F1864,""en"",""pt"")"),"Aluminum decks folhas de perfil")</f>
        <v>Aluminum decks folhas de perfil</v>
      </c>
      <c r="J1864">
        <f>VLOOKUP(A1864,Pr_Base_LNEC!$A$4:$J$6971,6,FALSE)</f>
        <v>0</v>
      </c>
      <c r="K1864">
        <f>VLOOKUP(A1864,Pr_Base_LNEC!$A$4:$J$6971,7,FALSE)</f>
        <v>0</v>
      </c>
    </row>
    <row r="1865" spans="1:11" ht="14.5">
      <c r="A1865" s="20" t="s">
        <v>18413</v>
      </c>
      <c r="B1865" s="20">
        <v>25</v>
      </c>
      <c r="C1865" s="20">
        <v>71</v>
      </c>
      <c r="D1865" s="20">
        <v>51</v>
      </c>
      <c r="E1865" s="20">
        <v>5</v>
      </c>
      <c r="F1865" s="20" t="s">
        <v>18414</v>
      </c>
      <c r="G1865" s="20" t="s">
        <v>18415</v>
      </c>
      <c r="H1865" s="24"/>
      <c r="I1865" s="24" t="str">
        <f ca="1">IFERROR(__xludf.DUMMYFUNCTION("GOOGLETRANSLATE(F1865,""en"",""pt"")"),"folhas de alumínio")</f>
        <v>folhas de alumínio</v>
      </c>
      <c r="J1865">
        <f>VLOOKUP(A1865,Pr_Base_LNEC!$A$4:$J$6971,6,FALSE)</f>
        <v>0</v>
      </c>
      <c r="K1865">
        <f>VLOOKUP(A1865,Pr_Base_LNEC!$A$4:$J$6971,7,FALSE)</f>
        <v>0</v>
      </c>
    </row>
    <row r="1866" spans="1:11" ht="14.5">
      <c r="A1866" s="20" t="s">
        <v>18416</v>
      </c>
      <c r="B1866" s="20">
        <v>25</v>
      </c>
      <c r="C1866" s="20">
        <v>71</v>
      </c>
      <c r="D1866" s="20">
        <v>51</v>
      </c>
      <c r="E1866" s="20">
        <v>6</v>
      </c>
      <c r="F1866" s="20" t="s">
        <v>18417</v>
      </c>
      <c r="G1866" s="20" t="s">
        <v>18418</v>
      </c>
      <c r="H1866" s="24"/>
      <c r="I1866" s="24" t="str">
        <f ca="1">IFERROR(__xludf.DUMMYFUNCTION("GOOGLETRANSLATE(F1866,""en"",""pt"")"),"folhas tradicionais de alumínio")</f>
        <v>folhas tradicionais de alumínio</v>
      </c>
      <c r="J1866">
        <f>VLOOKUP(A1866,Pr_Base_LNEC!$A$4:$J$6971,6,FALSE)</f>
        <v>0</v>
      </c>
      <c r="K1866">
        <f>VLOOKUP(A1866,Pr_Base_LNEC!$A$4:$J$6971,7,FALSE)</f>
        <v>0</v>
      </c>
    </row>
    <row r="1867" spans="1:11" ht="14.5">
      <c r="A1867" s="20" t="s">
        <v>18419</v>
      </c>
      <c r="B1867" s="20">
        <v>25</v>
      </c>
      <c r="C1867" s="20">
        <v>71</v>
      </c>
      <c r="D1867" s="20">
        <v>51</v>
      </c>
      <c r="E1867" s="20">
        <v>10</v>
      </c>
      <c r="F1867" s="20" t="s">
        <v>18420</v>
      </c>
      <c r="G1867" s="24"/>
      <c r="H1867" s="24"/>
      <c r="I1867" s="24" t="str">
        <f ca="1">IFERROR(__xludf.DUMMYFUNCTION("GOOGLETRANSLATE(F1867,""en"",""pt"")"),"longas tiras de aço carbono")</f>
        <v>longas tiras de aço carbono</v>
      </c>
      <c r="J1867" t="e">
        <f>VLOOKUP(A1867,Pr_Base_LNEC!$A$4:$J$6971,6,FALSE)</f>
        <v>#N/A</v>
      </c>
      <c r="K1867" t="e">
        <f>VLOOKUP(A1867,Pr_Base_LNEC!$A$4:$J$6971,7,FALSE)</f>
        <v>#N/A</v>
      </c>
    </row>
    <row r="1868" spans="1:11" ht="14.5">
      <c r="A1868" s="20" t="s">
        <v>18421</v>
      </c>
      <c r="B1868" s="20">
        <v>25</v>
      </c>
      <c r="C1868" s="20">
        <v>71</v>
      </c>
      <c r="D1868" s="20">
        <v>51</v>
      </c>
      <c r="E1868" s="20">
        <v>11</v>
      </c>
      <c r="F1868" s="20" t="s">
        <v>18422</v>
      </c>
      <c r="G1868" s="20" t="s">
        <v>18423</v>
      </c>
      <c r="H1868" s="24"/>
      <c r="I1868" s="24" t="str">
        <f ca="1">IFERROR(__xludf.DUMMYFUNCTION("GOOGLETRANSLATE(F1868,""en"",""pt"")"),"forros de aço de carbono")</f>
        <v>forros de aço de carbono</v>
      </c>
      <c r="J1868">
        <f>VLOOKUP(A1868,Pr_Base_LNEC!$A$4:$J$6971,6,FALSE)</f>
        <v>0</v>
      </c>
      <c r="K1868">
        <f>VLOOKUP(A1868,Pr_Base_LNEC!$A$4:$J$6971,7,FALSE)</f>
        <v>0</v>
      </c>
    </row>
    <row r="1869" spans="1:11" ht="14.5">
      <c r="A1869" s="20" t="s">
        <v>18424</v>
      </c>
      <c r="B1869" s="20">
        <v>25</v>
      </c>
      <c r="C1869" s="20">
        <v>71</v>
      </c>
      <c r="D1869" s="20">
        <v>51</v>
      </c>
      <c r="E1869" s="20">
        <v>12</v>
      </c>
      <c r="F1869" s="20" t="s">
        <v>18425</v>
      </c>
      <c r="G1869" s="24"/>
      <c r="H1869" s="24"/>
      <c r="I1869" s="24" t="str">
        <f ca="1">IFERROR(__xludf.DUMMYFUNCTION("GOOGLETRANSLATE(F1869,""en"",""pt"")"),"aço carbono pressionado painéis")</f>
        <v>aço carbono pressionado painéis</v>
      </c>
      <c r="J1869">
        <f>VLOOKUP(A1869,Pr_Base_LNEC!$A$4:$J$6971,6,FALSE)</f>
        <v>0</v>
      </c>
      <c r="K1869">
        <f>VLOOKUP(A1869,Pr_Base_LNEC!$A$4:$J$6971,7,FALSE)</f>
        <v>0</v>
      </c>
    </row>
    <row r="1870" spans="1:11" ht="14.5">
      <c r="A1870" s="20" t="s">
        <v>18426</v>
      </c>
      <c r="B1870" s="20">
        <v>25</v>
      </c>
      <c r="C1870" s="20">
        <v>71</v>
      </c>
      <c r="D1870" s="20">
        <v>51</v>
      </c>
      <c r="E1870" s="20">
        <v>14</v>
      </c>
      <c r="F1870" s="20" t="s">
        <v>18427</v>
      </c>
      <c r="G1870" s="20" t="s">
        <v>18428</v>
      </c>
      <c r="H1870" s="24"/>
      <c r="I1870" s="24" t="str">
        <f ca="1">IFERROR(__xludf.DUMMYFUNCTION("GOOGLETRANSLATE(F1870,""en"",""pt"")"),"reforço passagem chapa de aço carbono")</f>
        <v>reforço passagem chapa de aço carbono</v>
      </c>
      <c r="J1870">
        <f>VLOOKUP(A1870,Pr_Base_LNEC!$A$4:$J$6971,6,FALSE)</f>
        <v>0</v>
      </c>
      <c r="K1870">
        <f>VLOOKUP(A1870,Pr_Base_LNEC!$A$4:$J$6971,7,FALSE)</f>
        <v>0</v>
      </c>
    </row>
    <row r="1871" spans="1:11" ht="14.5">
      <c r="A1871" s="20" t="s">
        <v>18429</v>
      </c>
      <c r="B1871" s="20">
        <v>25</v>
      </c>
      <c r="C1871" s="20">
        <v>71</v>
      </c>
      <c r="D1871" s="20">
        <v>51</v>
      </c>
      <c r="E1871" s="20">
        <v>15</v>
      </c>
      <c r="F1871" s="20" t="s">
        <v>18430</v>
      </c>
      <c r="G1871" s="20" t="s">
        <v>18431</v>
      </c>
      <c r="H1871" s="24"/>
      <c r="I1871" s="24" t="str">
        <f ca="1">IFERROR(__xludf.DUMMYFUNCTION("GOOGLETRANSLATE(F1871,""en"",""pt"")"),"chapas de aço de carbono")</f>
        <v>chapas de aço de carbono</v>
      </c>
      <c r="J1871">
        <f>VLOOKUP(A1871,Pr_Base_LNEC!$A$4:$J$6971,6,FALSE)</f>
        <v>0</v>
      </c>
      <c r="K1871">
        <f>VLOOKUP(A1871,Pr_Base_LNEC!$A$4:$J$6971,7,FALSE)</f>
        <v>0</v>
      </c>
    </row>
    <row r="1872" spans="1:11" ht="14.5">
      <c r="A1872" s="20" t="s">
        <v>18432</v>
      </c>
      <c r="B1872" s="20">
        <v>25</v>
      </c>
      <c r="C1872" s="20">
        <v>71</v>
      </c>
      <c r="D1872" s="20">
        <v>51</v>
      </c>
      <c r="E1872" s="20">
        <v>16</v>
      </c>
      <c r="F1872" s="20" t="s">
        <v>18433</v>
      </c>
      <c r="G1872" s="20" t="s">
        <v>18434</v>
      </c>
      <c r="H1872" s="24"/>
      <c r="I1872" s="24" t="str">
        <f ca="1">IFERROR(__xludf.DUMMYFUNCTION("GOOGLETRANSLATE(F1872,""en"",""pt"")"),"longas tiras de cobre")</f>
        <v>longas tiras de cobre</v>
      </c>
      <c r="J1872">
        <f>VLOOKUP(A1872,Pr_Base_LNEC!$A$4:$J$6971,6,FALSE)</f>
        <v>0</v>
      </c>
      <c r="K1872">
        <f>VLOOKUP(A1872,Pr_Base_LNEC!$A$4:$J$6971,7,FALSE)</f>
        <v>0</v>
      </c>
    </row>
    <row r="1873" spans="1:11" ht="14.5">
      <c r="A1873" s="20" t="s">
        <v>18435</v>
      </c>
      <c r="B1873" s="20">
        <v>25</v>
      </c>
      <c r="C1873" s="20">
        <v>71</v>
      </c>
      <c r="D1873" s="20">
        <v>51</v>
      </c>
      <c r="E1873" s="20">
        <v>17</v>
      </c>
      <c r="F1873" s="20" t="s">
        <v>18436</v>
      </c>
      <c r="G1873" s="20" t="s">
        <v>18437</v>
      </c>
      <c r="H1873" s="24"/>
      <c r="I1873" s="24" t="str">
        <f ca="1">IFERROR(__xludf.DUMMYFUNCTION("GOOGLETRANSLATE(F1873,""en"",""pt"")"),"folhas tradicionais de cobre")</f>
        <v>folhas tradicionais de cobre</v>
      </c>
      <c r="J1873">
        <f>VLOOKUP(A1873,Pr_Base_LNEC!$A$4:$J$6971,6,FALSE)</f>
        <v>0</v>
      </c>
      <c r="K1873">
        <f>VLOOKUP(A1873,Pr_Base_LNEC!$A$4:$J$6971,7,FALSE)</f>
        <v>0</v>
      </c>
    </row>
    <row r="1874" spans="1:11" ht="14.5">
      <c r="A1874" s="20" t="s">
        <v>18438</v>
      </c>
      <c r="B1874" s="20">
        <v>25</v>
      </c>
      <c r="C1874" s="20">
        <v>71</v>
      </c>
      <c r="D1874" s="20">
        <v>51</v>
      </c>
      <c r="E1874" s="20">
        <v>33</v>
      </c>
      <c r="F1874" s="20" t="s">
        <v>18439</v>
      </c>
      <c r="G1874" s="20" t="s">
        <v>18440</v>
      </c>
      <c r="H1874" s="24"/>
      <c r="I1874" s="24" t="str">
        <f ca="1">IFERROR(__xludf.DUMMYFUNCTION("GOOGLETRANSLATE(F1874,""en"",""pt"")"),"chapas de aço carbono galvanizado perfilado")</f>
        <v>chapas de aço carbono galvanizado perfilado</v>
      </c>
      <c r="J1874">
        <f>VLOOKUP(A1874,Pr_Base_LNEC!$A$4:$J$6971,6,FALSE)</f>
        <v>0</v>
      </c>
      <c r="K1874">
        <f>VLOOKUP(A1874,Pr_Base_LNEC!$A$4:$J$6971,7,FALSE)</f>
        <v>0</v>
      </c>
    </row>
    <row r="1875" spans="1:11" ht="14.5">
      <c r="A1875" s="20" t="s">
        <v>18441</v>
      </c>
      <c r="B1875" s="20">
        <v>25</v>
      </c>
      <c r="C1875" s="20">
        <v>71</v>
      </c>
      <c r="D1875" s="20">
        <v>51</v>
      </c>
      <c r="E1875" s="20">
        <v>38</v>
      </c>
      <c r="F1875" s="20" t="s">
        <v>18442</v>
      </c>
      <c r="G1875" s="24"/>
      <c r="H1875" s="24"/>
      <c r="I1875" s="24" t="str">
        <f ca="1">IFERROR(__xludf.DUMMYFUNCTION("GOOGLETRANSLATE(F1875,""en"",""pt"")"),"folhas de metal oco de núcleo")</f>
        <v>folhas de metal oco de núcleo</v>
      </c>
      <c r="J1875">
        <f>VLOOKUP(A1875,Pr_Base_LNEC!$A$4:$J$6971,6,FALSE)</f>
        <v>0</v>
      </c>
      <c r="K1875">
        <f>VLOOKUP(A1875,Pr_Base_LNEC!$A$4:$J$6971,7,FALSE)</f>
        <v>0</v>
      </c>
    </row>
    <row r="1876" spans="1:11" ht="14.5">
      <c r="A1876" s="20" t="s">
        <v>18443</v>
      </c>
      <c r="B1876" s="20">
        <v>25</v>
      </c>
      <c r="C1876" s="20">
        <v>71</v>
      </c>
      <c r="D1876" s="20">
        <v>51</v>
      </c>
      <c r="E1876" s="20">
        <v>46</v>
      </c>
      <c r="F1876" s="20" t="s">
        <v>18444</v>
      </c>
      <c r="G1876" s="20" t="s">
        <v>18445</v>
      </c>
      <c r="H1876" s="24"/>
      <c r="I1876" s="24" t="str">
        <f ca="1">IFERROR(__xludf.DUMMYFUNCTION("GOOGLETRANSLATE(F1876,""en"",""pt"")"),"folhas máquina Chumbo Fundido")</f>
        <v>folhas máquina Chumbo Fundido</v>
      </c>
      <c r="J1876">
        <f>VLOOKUP(A1876,Pr_Base_LNEC!$A$4:$J$6971,6,FALSE)</f>
        <v>0</v>
      </c>
      <c r="K1876">
        <f>VLOOKUP(A1876,Pr_Base_LNEC!$A$4:$J$6971,7,FALSE)</f>
        <v>0</v>
      </c>
    </row>
    <row r="1877" spans="1:11" ht="14.5">
      <c r="A1877" s="20" t="s">
        <v>18446</v>
      </c>
      <c r="B1877" s="20">
        <v>25</v>
      </c>
      <c r="C1877" s="20">
        <v>71</v>
      </c>
      <c r="D1877" s="20">
        <v>51</v>
      </c>
      <c r="E1877" s="20">
        <v>47</v>
      </c>
      <c r="F1877" s="20" t="s">
        <v>18447</v>
      </c>
      <c r="G1877" s="20" t="s">
        <v>18448</v>
      </c>
      <c r="H1877" s="24"/>
      <c r="I1877" s="24" t="str">
        <f ca="1">IFERROR(__xludf.DUMMYFUNCTION("GOOGLETRANSLATE(F1877,""en"",""pt"")"),"Levar chapas laminadas")</f>
        <v>Levar chapas laminadas</v>
      </c>
      <c r="J1877">
        <f>VLOOKUP(A1877,Pr_Base_LNEC!$A$4:$J$6971,6,FALSE)</f>
        <v>0</v>
      </c>
      <c r="K1877">
        <f>VLOOKUP(A1877,Pr_Base_LNEC!$A$4:$J$6971,7,FALSE)</f>
        <v>0</v>
      </c>
    </row>
    <row r="1878" spans="1:11" ht="14.5">
      <c r="A1878" s="20" t="s">
        <v>18449</v>
      </c>
      <c r="B1878" s="20">
        <v>25</v>
      </c>
      <c r="C1878" s="20">
        <v>71</v>
      </c>
      <c r="D1878" s="20">
        <v>51</v>
      </c>
      <c r="E1878" s="20">
        <v>52</v>
      </c>
      <c r="F1878" s="20" t="s">
        <v>18450</v>
      </c>
      <c r="G1878" s="20" t="s">
        <v>18451</v>
      </c>
      <c r="H1878" s="24"/>
      <c r="I1878" s="24" t="str">
        <f ca="1">IFERROR(__xludf.DUMMYFUNCTION("GOOGLETRANSLATE(F1878,""en"",""pt"")"),"Metal Folhas perfiladas")</f>
        <v>Metal Folhas perfiladas</v>
      </c>
      <c r="J1878">
        <f>VLOOKUP(A1878,Pr_Base_LNEC!$A$4:$J$6971,6,FALSE)</f>
        <v>0</v>
      </c>
      <c r="K1878">
        <f>VLOOKUP(A1878,Pr_Base_LNEC!$A$4:$J$6971,7,FALSE)</f>
        <v>0</v>
      </c>
    </row>
    <row r="1879" spans="1:11" ht="14.5">
      <c r="A1879" s="20" t="s">
        <v>18452</v>
      </c>
      <c r="B1879" s="20">
        <v>25</v>
      </c>
      <c r="C1879" s="20">
        <v>71</v>
      </c>
      <c r="D1879" s="20">
        <v>51</v>
      </c>
      <c r="E1879" s="20">
        <v>84</v>
      </c>
      <c r="F1879" s="20" t="s">
        <v>18453</v>
      </c>
      <c r="G1879" s="20" t="s">
        <v>18454</v>
      </c>
      <c r="H1879" s="24"/>
      <c r="I1879" s="24" t="str">
        <f ca="1">IFERROR(__xludf.DUMMYFUNCTION("GOOGLETRANSLATE(F1879,""en"",""pt"")"),"aço inoxidável tiras longas e folhas")</f>
        <v>aço inoxidável tiras longas e folhas</v>
      </c>
      <c r="J1879">
        <f>VLOOKUP(A1879,Pr_Base_LNEC!$A$4:$J$6971,6,FALSE)</f>
        <v>0</v>
      </c>
      <c r="K1879">
        <f>VLOOKUP(A1879,Pr_Base_LNEC!$A$4:$J$6971,7,FALSE)</f>
        <v>0</v>
      </c>
    </row>
    <row r="1880" spans="1:11" ht="14.5">
      <c r="A1880" s="20" t="s">
        <v>18455</v>
      </c>
      <c r="B1880" s="20">
        <v>25</v>
      </c>
      <c r="C1880" s="20">
        <v>71</v>
      </c>
      <c r="D1880" s="20">
        <v>51</v>
      </c>
      <c r="E1880" s="20">
        <v>85</v>
      </c>
      <c r="F1880" s="20" t="s">
        <v>18456</v>
      </c>
      <c r="G1880" s="20" t="s">
        <v>18457</v>
      </c>
      <c r="H1880" s="24"/>
      <c r="I1880" s="24" t="str">
        <f ca="1">IFERROR(__xludf.DUMMYFUNCTION("GOOGLETRANSLATE(F1880,""en"",""pt"")"),"aço inoxidável Folhas perfiladas")</f>
        <v>aço inoxidável Folhas perfiladas</v>
      </c>
      <c r="J1880">
        <f>VLOOKUP(A1880,Pr_Base_LNEC!$A$4:$J$6971,6,FALSE)</f>
        <v>0</v>
      </c>
      <c r="K1880">
        <f>VLOOKUP(A1880,Pr_Base_LNEC!$A$4:$J$6971,7,FALSE)</f>
        <v>0</v>
      </c>
    </row>
    <row r="1881" spans="1:11" ht="14.5">
      <c r="A1881" s="20" t="s">
        <v>18458</v>
      </c>
      <c r="B1881" s="20">
        <v>25</v>
      </c>
      <c r="C1881" s="20">
        <v>71</v>
      </c>
      <c r="D1881" s="20">
        <v>51</v>
      </c>
      <c r="E1881" s="20">
        <v>86</v>
      </c>
      <c r="F1881" s="20" t="s">
        <v>18459</v>
      </c>
      <c r="G1881" s="20" t="s">
        <v>18460</v>
      </c>
      <c r="H1881" s="24"/>
      <c r="I1881" s="24" t="str">
        <f ca="1">IFERROR(__xludf.DUMMYFUNCTION("GOOGLETRANSLATE(F1881,""en"",""pt"")"),"chapas de aço inoxidável")</f>
        <v>chapas de aço inoxidável</v>
      </c>
      <c r="J1881">
        <f>VLOOKUP(A1881,Pr_Base_LNEC!$A$4:$J$6971,6,FALSE)</f>
        <v>0</v>
      </c>
      <c r="K1881">
        <f>VLOOKUP(A1881,Pr_Base_LNEC!$A$4:$J$6971,7,FALSE)</f>
        <v>0</v>
      </c>
    </row>
    <row r="1882" spans="1:11" ht="14.5">
      <c r="A1882" s="20" t="s">
        <v>18461</v>
      </c>
      <c r="B1882" s="20">
        <v>25</v>
      </c>
      <c r="C1882" s="20">
        <v>71</v>
      </c>
      <c r="D1882" s="20">
        <v>51</v>
      </c>
      <c r="E1882" s="20">
        <v>87</v>
      </c>
      <c r="F1882" s="20" t="s">
        <v>18462</v>
      </c>
      <c r="G1882" s="20" t="s">
        <v>18463</v>
      </c>
      <c r="H1882" s="24"/>
      <c r="I1882" s="24" t="str">
        <f ca="1">IFERROR(__xludf.DUMMYFUNCTION("GOOGLETRANSLATE(F1882,""en"",""pt"")"),"folhas tradicionais de aço inoxidável")</f>
        <v>folhas tradicionais de aço inoxidável</v>
      </c>
      <c r="J1882">
        <f>VLOOKUP(A1882,Pr_Base_LNEC!$A$4:$J$6971,6,FALSE)</f>
        <v>0</v>
      </c>
      <c r="K1882">
        <f>VLOOKUP(A1882,Pr_Base_LNEC!$A$4:$J$6971,7,FALSE)</f>
        <v>0</v>
      </c>
    </row>
    <row r="1883" spans="1:11" ht="14.5">
      <c r="A1883" s="20" t="s">
        <v>18464</v>
      </c>
      <c r="B1883" s="20">
        <v>25</v>
      </c>
      <c r="C1883" s="20">
        <v>71</v>
      </c>
      <c r="D1883" s="20">
        <v>51</v>
      </c>
      <c r="E1883" s="20">
        <v>88</v>
      </c>
      <c r="F1883" s="20" t="s">
        <v>18465</v>
      </c>
      <c r="G1883" s="20" t="s">
        <v>18466</v>
      </c>
      <c r="H1883" s="24"/>
      <c r="I1883" s="24" t="str">
        <f ca="1">IFERROR(__xludf.DUMMYFUNCTION("GOOGLETRANSLATE(F1883,""en"",""pt"")"),"placa de aço, chapas e tiras")</f>
        <v>placa de aço, chapas e tiras</v>
      </c>
      <c r="J1883">
        <f>VLOOKUP(A1883,Pr_Base_LNEC!$A$4:$J$6971,6,FALSE)</f>
        <v>0</v>
      </c>
      <c r="K1883">
        <f>VLOOKUP(A1883,Pr_Base_LNEC!$A$4:$J$6971,7,FALSE)</f>
        <v>0</v>
      </c>
    </row>
    <row r="1884" spans="1:11" ht="14.5">
      <c r="A1884" s="20" t="s">
        <v>18467</v>
      </c>
      <c r="B1884" s="20">
        <v>25</v>
      </c>
      <c r="C1884" s="20">
        <v>71</v>
      </c>
      <c r="D1884" s="20">
        <v>51</v>
      </c>
      <c r="E1884" s="20">
        <v>89</v>
      </c>
      <c r="F1884" s="20" t="s">
        <v>18468</v>
      </c>
      <c r="G1884" s="20" t="s">
        <v>18469</v>
      </c>
      <c r="H1884" s="24"/>
      <c r="I1884" s="24" t="str">
        <f ca="1">IFERROR(__xludf.DUMMYFUNCTION("GOOGLETRANSLATE(F1884,""en"",""pt"")"),"folhas de perfil de aço")</f>
        <v>folhas de perfil de aço</v>
      </c>
      <c r="J1884">
        <f>VLOOKUP(A1884,Pr_Base_LNEC!$A$4:$J$6971,6,FALSE)</f>
        <v>0</v>
      </c>
      <c r="K1884">
        <f>VLOOKUP(A1884,Pr_Base_LNEC!$A$4:$J$6971,7,FALSE)</f>
        <v>0</v>
      </c>
    </row>
    <row r="1885" spans="1:11" ht="14.5">
      <c r="A1885" s="20" t="s">
        <v>18470</v>
      </c>
      <c r="B1885" s="20">
        <v>25</v>
      </c>
      <c r="C1885" s="20">
        <v>71</v>
      </c>
      <c r="D1885" s="20">
        <v>51</v>
      </c>
      <c r="E1885" s="20">
        <v>97</v>
      </c>
      <c r="F1885" s="20" t="s">
        <v>18471</v>
      </c>
      <c r="G1885" s="20" t="s">
        <v>18472</v>
      </c>
      <c r="H1885" s="24"/>
      <c r="I1885" s="24" t="str">
        <f ca="1">IFERROR(__xludf.DUMMYFUNCTION("GOOGLETRANSLATE(F1885,""en"",""pt"")"),"folhas tradicionais de zinco")</f>
        <v>folhas tradicionais de zinco</v>
      </c>
      <c r="J1885">
        <f>VLOOKUP(A1885,Pr_Base_LNEC!$A$4:$J$6971,6,FALSE)</f>
        <v>0</v>
      </c>
      <c r="K1885">
        <f>VLOOKUP(A1885,Pr_Base_LNEC!$A$4:$J$6971,7,FALSE)</f>
        <v>0</v>
      </c>
    </row>
    <row r="1886" spans="1:11" ht="14.5">
      <c r="A1886" s="20" t="s">
        <v>18473</v>
      </c>
      <c r="B1886" s="20">
        <v>25</v>
      </c>
      <c r="C1886" s="20">
        <v>71</v>
      </c>
      <c r="D1886" s="20">
        <v>51</v>
      </c>
      <c r="E1886" s="20">
        <v>98</v>
      </c>
      <c r="F1886" s="20" t="s">
        <v>18474</v>
      </c>
      <c r="G1886" s="20" t="s">
        <v>18475</v>
      </c>
      <c r="H1886" s="24"/>
      <c r="I1886" s="24" t="str">
        <f ca="1">IFERROR(__xludf.DUMMYFUNCTION("GOOGLETRANSLATE(F1886,""en"",""pt"")"),"Bandas de liga de zinco suave têmpera")</f>
        <v>Bandas de liga de zinco suave têmpera</v>
      </c>
      <c r="J1886">
        <f>VLOOKUP(A1886,Pr_Base_LNEC!$A$4:$J$6971,6,FALSE)</f>
        <v>0</v>
      </c>
      <c r="K1886">
        <f>VLOOKUP(A1886,Pr_Base_LNEC!$A$4:$J$6971,7,FALSE)</f>
        <v>0</v>
      </c>
    </row>
    <row r="1887" spans="1:11" ht="14.5">
      <c r="A1887" s="20" t="s">
        <v>18476</v>
      </c>
      <c r="B1887" s="20">
        <v>25</v>
      </c>
      <c r="C1887" s="20">
        <v>71</v>
      </c>
      <c r="D1887" s="20">
        <v>51</v>
      </c>
      <c r="E1887" s="20">
        <v>99</v>
      </c>
      <c r="F1887" s="20" t="s">
        <v>18477</v>
      </c>
      <c r="G1887" s="20" t="s">
        <v>18478</v>
      </c>
      <c r="H1887" s="24"/>
      <c r="I1887" s="24" t="str">
        <f ca="1">IFERROR(__xludf.DUMMYFUNCTION("GOOGLETRANSLATE(F1887,""en"",""pt"")"),"Bandas de liga têmpera padrão de zinco")</f>
        <v>Bandas de liga têmpera padrão de zinco</v>
      </c>
      <c r="J1887">
        <f>VLOOKUP(A1887,Pr_Base_LNEC!$A$4:$J$6971,6,FALSE)</f>
        <v>0</v>
      </c>
      <c r="K1887">
        <f>VLOOKUP(A1887,Pr_Base_LNEC!$A$4:$J$6971,7,FALSE)</f>
        <v>0</v>
      </c>
    </row>
    <row r="1888" spans="1:11" ht="14.5">
      <c r="A1888" s="20" t="s">
        <v>18479</v>
      </c>
      <c r="B1888" s="20">
        <v>25</v>
      </c>
      <c r="C1888" s="20">
        <v>71</v>
      </c>
      <c r="D1888" s="20">
        <v>52</v>
      </c>
      <c r="E1888" s="24"/>
      <c r="F1888" s="20" t="s">
        <v>18480</v>
      </c>
      <c r="G1888" s="24"/>
      <c r="H1888" s="24"/>
      <c r="I1888" s="24" t="str">
        <f ca="1">IFERROR(__xludf.DUMMYFUNCTION("GOOGLETRANSLATE(F1888,""en"",""pt"")"),"placas e chapas de base mineral")</f>
        <v>placas e chapas de base mineral</v>
      </c>
      <c r="J1888">
        <f>VLOOKUP(A1888,Pr_Base_LNEC!$A$4:$J$6971,6,FALSE)</f>
        <v>0</v>
      </c>
      <c r="K1888">
        <f>VLOOKUP(A1888,Pr_Base_LNEC!$A$4:$J$6971,7,FALSE)</f>
        <v>0</v>
      </c>
    </row>
    <row r="1889" spans="1:11" ht="14.5">
      <c r="A1889" s="20" t="s">
        <v>18481</v>
      </c>
      <c r="B1889" s="20">
        <v>25</v>
      </c>
      <c r="C1889" s="20">
        <v>71</v>
      </c>
      <c r="D1889" s="20">
        <v>52</v>
      </c>
      <c r="E1889" s="20">
        <v>11</v>
      </c>
      <c r="F1889" s="20" t="s">
        <v>18482</v>
      </c>
      <c r="G1889" s="20" t="s">
        <v>18483</v>
      </c>
      <c r="H1889" s="24"/>
      <c r="I1889" s="24" t="str">
        <f ca="1">IFERROR(__xludf.DUMMYFUNCTION("GOOGLETRANSLATE(F1889,""en"",""pt"")"),"painéis de gesso cartonado de carbono neutro")</f>
        <v>painéis de gesso cartonado de carbono neutro</v>
      </c>
      <c r="J1889">
        <f>VLOOKUP(A1889,Pr_Base_LNEC!$A$4:$J$6971,6,FALSE)</f>
        <v>0</v>
      </c>
      <c r="K1889">
        <f>VLOOKUP(A1889,Pr_Base_LNEC!$A$4:$J$6971,7,FALSE)</f>
        <v>0</v>
      </c>
    </row>
    <row r="1890" spans="1:11" ht="14.5">
      <c r="A1890" s="20" t="s">
        <v>18484</v>
      </c>
      <c r="B1890" s="20">
        <v>25</v>
      </c>
      <c r="C1890" s="20">
        <v>71</v>
      </c>
      <c r="D1890" s="20">
        <v>52</v>
      </c>
      <c r="E1890" s="20">
        <v>12</v>
      </c>
      <c r="F1890" s="20" t="s">
        <v>18485</v>
      </c>
      <c r="G1890" s="20" t="s">
        <v>18486</v>
      </c>
      <c r="H1890" s="24"/>
      <c r="I1890" s="24" t="str">
        <f ca="1">IFERROR(__xludf.DUMMYFUNCTION("GOOGLETRANSLATE(F1890,""en"",""pt"")"),"Painéis de gesso cartonado de carbono de aço-enfrentado")</f>
        <v>Painéis de gesso cartonado de carbono de aço-enfrentado</v>
      </c>
      <c r="J1890">
        <f>VLOOKUP(A1890,Pr_Base_LNEC!$A$4:$J$6971,6,FALSE)</f>
        <v>0</v>
      </c>
      <c r="K1890">
        <f>VLOOKUP(A1890,Pr_Base_LNEC!$A$4:$J$6971,7,FALSE)</f>
        <v>0</v>
      </c>
    </row>
    <row r="1891" spans="1:11" ht="14.5">
      <c r="A1891" s="20" t="s">
        <v>18487</v>
      </c>
      <c r="B1891" s="20">
        <v>25</v>
      </c>
      <c r="C1891" s="20">
        <v>71</v>
      </c>
      <c r="D1891" s="20">
        <v>52</v>
      </c>
      <c r="E1891" s="20">
        <v>13</v>
      </c>
      <c r="F1891" s="20" t="s">
        <v>18488</v>
      </c>
      <c r="G1891" s="20" t="s">
        <v>18489</v>
      </c>
      <c r="H1891" s="24"/>
      <c r="I1891" s="24" t="str">
        <f ca="1">IFERROR(__xludf.DUMMYFUNCTION("GOOGLETRANSLATE(F1891,""en"",""pt"")"),"placas de isolamento de vidro celular")</f>
        <v>placas de isolamento de vidro celular</v>
      </c>
      <c r="J1891">
        <f>VLOOKUP(A1891,Pr_Base_LNEC!$A$4:$J$6971,6,FALSE)</f>
        <v>0</v>
      </c>
      <c r="K1891">
        <f>VLOOKUP(A1891,Pr_Base_LNEC!$A$4:$J$6971,7,FALSE)</f>
        <v>0</v>
      </c>
    </row>
    <row r="1892" spans="1:11" ht="14.5">
      <c r="A1892" s="20" t="s">
        <v>18490</v>
      </c>
      <c r="B1892" s="20">
        <v>25</v>
      </c>
      <c r="C1892" s="20">
        <v>71</v>
      </c>
      <c r="D1892" s="20">
        <v>52</v>
      </c>
      <c r="E1892" s="20">
        <v>15</v>
      </c>
      <c r="F1892" s="20" t="s">
        <v>18491</v>
      </c>
      <c r="G1892" s="20" t="s">
        <v>18492</v>
      </c>
      <c r="H1892" s="24"/>
      <c r="I1892" s="24" t="str">
        <f ca="1">IFERROR(__xludf.DUMMYFUNCTION("GOOGLETRANSLATE(F1892,""en"",""pt"")"),"placas de protecção contra incêndios de lã mineral comprimido")</f>
        <v>placas de protecção contra incêndios de lã mineral comprimido</v>
      </c>
      <c r="J1892">
        <f>VLOOKUP(A1892,Pr_Base_LNEC!$A$4:$J$6971,6,FALSE)</f>
        <v>0</v>
      </c>
      <c r="K1892">
        <f>VLOOKUP(A1892,Pr_Base_LNEC!$A$4:$J$6971,7,FALSE)</f>
        <v>0</v>
      </c>
    </row>
    <row r="1893" spans="1:11" ht="14.5">
      <c r="A1893" s="20" t="s">
        <v>18493</v>
      </c>
      <c r="B1893" s="20">
        <v>25</v>
      </c>
      <c r="C1893" s="20">
        <v>71</v>
      </c>
      <c r="D1893" s="20">
        <v>52</v>
      </c>
      <c r="E1893" s="20">
        <v>17</v>
      </c>
      <c r="F1893" s="20" t="s">
        <v>18494</v>
      </c>
      <c r="G1893" s="20" t="s">
        <v>18495</v>
      </c>
      <c r="H1893" s="24"/>
      <c r="I1893" s="24" t="str">
        <f ca="1">IFERROR(__xludf.DUMMYFUNCTION("GOOGLETRANSLATE(F1893,""en"",""pt"")"),"placas de protecção contra incêndios vermiculita compactados")</f>
        <v>placas de protecção contra incêndios vermiculita compactados</v>
      </c>
      <c r="J1893">
        <f>VLOOKUP(A1893,Pr_Base_LNEC!$A$4:$J$6971,6,FALSE)</f>
        <v>0</v>
      </c>
      <c r="K1893">
        <f>VLOOKUP(A1893,Pr_Base_LNEC!$A$4:$J$6971,7,FALSE)</f>
        <v>0</v>
      </c>
    </row>
    <row r="1894" spans="1:11" ht="14.5">
      <c r="A1894" s="20" t="s">
        <v>18496</v>
      </c>
      <c r="B1894" s="20">
        <v>25</v>
      </c>
      <c r="C1894" s="20">
        <v>71</v>
      </c>
      <c r="D1894" s="20">
        <v>52</v>
      </c>
      <c r="E1894" s="20">
        <v>21</v>
      </c>
      <c r="F1894" s="20" t="s">
        <v>18497</v>
      </c>
      <c r="G1894" s="20" t="s">
        <v>18498</v>
      </c>
      <c r="H1894" s="24"/>
      <c r="I1894" s="24" t="str">
        <f ca="1">IFERROR(__xludf.DUMMYFUNCTION("GOOGLETRANSLATE(F1894,""en"",""pt"")"),"painéis de gesso cartonado-força reforçada")</f>
        <v>painéis de gesso cartonado-força reforçada</v>
      </c>
      <c r="J1894">
        <f>VLOOKUP(A1894,Pr_Base_LNEC!$A$4:$J$6971,6,FALSE)</f>
        <v>0</v>
      </c>
      <c r="K1894">
        <f>VLOOKUP(A1894,Pr_Base_LNEC!$A$4:$J$6971,7,FALSE)</f>
        <v>0</v>
      </c>
    </row>
    <row r="1895" spans="1:11" ht="14.5">
      <c r="A1895" s="20" t="s">
        <v>18499</v>
      </c>
      <c r="B1895" s="20">
        <v>25</v>
      </c>
      <c r="C1895" s="20">
        <v>71</v>
      </c>
      <c r="D1895" s="20">
        <v>52</v>
      </c>
      <c r="E1895" s="20">
        <v>22</v>
      </c>
      <c r="F1895" s="20" t="s">
        <v>18500</v>
      </c>
      <c r="G1895" s="20" t="s">
        <v>18501</v>
      </c>
      <c r="H1895" s="24"/>
      <c r="I1895" s="24" t="str">
        <f ca="1">IFERROR(__xludf.DUMMYFUNCTION("GOOGLETRANSLATE(F1895,""en"",""pt"")"),"placas de perlite expandida")</f>
        <v>placas de perlite expandida</v>
      </c>
      <c r="J1895">
        <f>VLOOKUP(A1895,Pr_Base_LNEC!$A$4:$J$6971,6,FALSE)</f>
        <v>0</v>
      </c>
      <c r="K1895">
        <f>VLOOKUP(A1895,Pr_Base_LNEC!$A$4:$J$6971,7,FALSE)</f>
        <v>0</v>
      </c>
    </row>
    <row r="1896" spans="1:11" ht="14.5">
      <c r="A1896" s="20" t="s">
        <v>18502</v>
      </c>
      <c r="B1896" s="20">
        <v>25</v>
      </c>
      <c r="C1896" s="20">
        <v>71</v>
      </c>
      <c r="D1896" s="20">
        <v>52</v>
      </c>
      <c r="E1896" s="20">
        <v>23</v>
      </c>
      <c r="F1896" s="20" t="s">
        <v>18503</v>
      </c>
      <c r="G1896" s="20" t="s">
        <v>18504</v>
      </c>
      <c r="H1896" s="24"/>
      <c r="I1896" s="24" t="str">
        <f ca="1">IFERROR(__xludf.DUMMYFUNCTION("GOOGLETRANSLATE(F1896,""en"",""pt"")"),"placas de silicato de cálcio reforçados com fibras")</f>
        <v>placas de silicato de cálcio reforçados com fibras</v>
      </c>
      <c r="J1896">
        <f>VLOOKUP(A1896,Pr_Base_LNEC!$A$4:$J$6971,6,FALSE)</f>
        <v>0</v>
      </c>
      <c r="K1896">
        <f>VLOOKUP(A1896,Pr_Base_LNEC!$A$4:$J$6971,7,FALSE)</f>
        <v>0</v>
      </c>
    </row>
    <row r="1897" spans="1:11" ht="14.5">
      <c r="A1897" s="20" t="s">
        <v>18505</v>
      </c>
      <c r="B1897" s="20">
        <v>25</v>
      </c>
      <c r="C1897" s="20">
        <v>71</v>
      </c>
      <c r="D1897" s="20">
        <v>52</v>
      </c>
      <c r="E1897" s="20">
        <v>24</v>
      </c>
      <c r="F1897" s="20" t="s">
        <v>18506</v>
      </c>
      <c r="G1897" s="20" t="s">
        <v>18507</v>
      </c>
      <c r="H1897" s="24"/>
      <c r="I1897" s="24" t="str">
        <f ca="1">IFERROR(__xludf.DUMMYFUNCTION("GOOGLETRANSLATE(F1897,""en"",""pt"")"),"placas de protecção de silicato de cálcio de fogo reforçada com fibras")</f>
        <v>placas de protecção de silicato de cálcio de fogo reforçada com fibras</v>
      </c>
      <c r="J1897">
        <f>VLOOKUP(A1897,Pr_Base_LNEC!$A$4:$J$6971,6,FALSE)</f>
        <v>0</v>
      </c>
      <c r="K1897">
        <f>VLOOKUP(A1897,Pr_Base_LNEC!$A$4:$J$6971,7,FALSE)</f>
        <v>0</v>
      </c>
    </row>
    <row r="1898" spans="1:11" ht="14.5">
      <c r="A1898" s="20" t="s">
        <v>18508</v>
      </c>
      <c r="B1898" s="20">
        <v>25</v>
      </c>
      <c r="C1898" s="20">
        <v>71</v>
      </c>
      <c r="D1898" s="20">
        <v>52</v>
      </c>
      <c r="E1898" s="20">
        <v>25</v>
      </c>
      <c r="F1898" s="20" t="s">
        <v>18509</v>
      </c>
      <c r="G1898" s="20" t="s">
        <v>18510</v>
      </c>
      <c r="H1898" s="24"/>
      <c r="I1898" s="24" t="str">
        <f ca="1">IFERROR(__xludf.DUMMYFUNCTION("GOOGLETRANSLATE(F1898,""en"",""pt"")"),"placas de cimento reforçado com fibras")</f>
        <v>placas de cimento reforçado com fibras</v>
      </c>
      <c r="J1898">
        <f>VLOOKUP(A1898,Pr_Base_LNEC!$A$4:$J$6971,6,FALSE)</f>
        <v>0</v>
      </c>
      <c r="K1898">
        <f>VLOOKUP(A1898,Pr_Base_LNEC!$A$4:$J$6971,7,FALSE)</f>
        <v>0</v>
      </c>
    </row>
    <row r="1899" spans="1:11" ht="14.5">
      <c r="A1899" s="20" t="s">
        <v>18511</v>
      </c>
      <c r="B1899" s="20">
        <v>25</v>
      </c>
      <c r="C1899" s="20">
        <v>71</v>
      </c>
      <c r="D1899" s="20">
        <v>52</v>
      </c>
      <c r="E1899" s="20">
        <v>26</v>
      </c>
      <c r="F1899" s="20" t="s">
        <v>18512</v>
      </c>
      <c r="G1899" s="20" t="s">
        <v>18513</v>
      </c>
      <c r="H1899" s="24"/>
      <c r="I1899" s="24" t="str">
        <f ca="1">IFERROR(__xludf.DUMMYFUNCTION("GOOGLETRANSLATE(F1899,""en"",""pt"")"),"folhas de cimento perfilado reforçados com fibras")</f>
        <v>folhas de cimento perfilado reforçados com fibras</v>
      </c>
      <c r="J1899">
        <f>VLOOKUP(A1899,Pr_Base_LNEC!$A$4:$J$6971,6,FALSE)</f>
        <v>0</v>
      </c>
      <c r="K1899">
        <f>VLOOKUP(A1899,Pr_Base_LNEC!$A$4:$J$6971,7,FALSE)</f>
        <v>0</v>
      </c>
    </row>
    <row r="1900" spans="1:11" ht="14.5">
      <c r="A1900" s="20" t="s">
        <v>18514</v>
      </c>
      <c r="B1900" s="20">
        <v>25</v>
      </c>
      <c r="C1900" s="20">
        <v>71</v>
      </c>
      <c r="D1900" s="20">
        <v>52</v>
      </c>
      <c r="E1900" s="20">
        <v>27</v>
      </c>
      <c r="F1900" s="20" t="s">
        <v>18515</v>
      </c>
      <c r="G1900" s="20" t="s">
        <v>18516</v>
      </c>
      <c r="H1900" s="24"/>
      <c r="I1900" s="24" t="str">
        <f ca="1">IFERROR(__xludf.DUMMYFUNCTION("GOOGLETRANSLATE(F1900,""en"",""pt"")"),"As placas de cimento reforçado com fibras")</f>
        <v>As placas de cimento reforçado com fibras</v>
      </c>
      <c r="J1900">
        <f>VLOOKUP(A1900,Pr_Base_LNEC!$A$4:$J$6971,6,FALSE)</f>
        <v>0</v>
      </c>
      <c r="K1900">
        <f>VLOOKUP(A1900,Pr_Base_LNEC!$A$4:$J$6971,7,FALSE)</f>
        <v>0</v>
      </c>
    </row>
    <row r="1901" spans="1:11" ht="14.5">
      <c r="A1901" s="20" t="s">
        <v>18517</v>
      </c>
      <c r="B1901" s="20">
        <v>25</v>
      </c>
      <c r="C1901" s="20">
        <v>71</v>
      </c>
      <c r="D1901" s="20">
        <v>52</v>
      </c>
      <c r="E1901" s="20">
        <v>28</v>
      </c>
      <c r="F1901" s="20" t="s">
        <v>18518</v>
      </c>
      <c r="G1901" s="20" t="s">
        <v>18519</v>
      </c>
      <c r="H1901" s="24"/>
      <c r="I1901" s="24" t="str">
        <f ca="1">IFERROR(__xludf.DUMMYFUNCTION("GOOGLETRANSLATE(F1901,""en"",""pt"")"),"weatherboards de cimento reforçado com fibras")</f>
        <v>weatherboards de cimento reforçado com fibras</v>
      </c>
      <c r="J1901">
        <f>VLOOKUP(A1901,Pr_Base_LNEC!$A$4:$J$6971,6,FALSE)</f>
        <v>0</v>
      </c>
      <c r="K1901">
        <f>VLOOKUP(A1901,Pr_Base_LNEC!$A$4:$J$6971,7,FALSE)</f>
        <v>0</v>
      </c>
    </row>
    <row r="1902" spans="1:11" ht="14.5">
      <c r="A1902" s="20" t="s">
        <v>18520</v>
      </c>
      <c r="B1902" s="20">
        <v>25</v>
      </c>
      <c r="C1902" s="20">
        <v>71</v>
      </c>
      <c r="D1902" s="20">
        <v>52</v>
      </c>
      <c r="E1902" s="20">
        <v>29</v>
      </c>
      <c r="F1902" s="20" t="s">
        <v>18521</v>
      </c>
      <c r="G1902" s="20" t="s">
        <v>18522</v>
      </c>
      <c r="H1902" s="24"/>
      <c r="I1902" s="24" t="str">
        <f ca="1">IFERROR(__xludf.DUMMYFUNCTION("GOOGLETRANSLATE(F1902,""en"",""pt"")"),"placas de gesso reforçados com fibras")</f>
        <v>placas de gesso reforçados com fibras</v>
      </c>
      <c r="J1902">
        <f>VLOOKUP(A1902,Pr_Base_LNEC!$A$4:$J$6971,6,FALSE)</f>
        <v>0</v>
      </c>
      <c r="K1902">
        <f>VLOOKUP(A1902,Pr_Base_LNEC!$A$4:$J$6971,7,FALSE)</f>
        <v>0</v>
      </c>
    </row>
    <row r="1903" spans="1:11" ht="14.5">
      <c r="A1903" s="20" t="s">
        <v>18523</v>
      </c>
      <c r="B1903" s="20">
        <v>25</v>
      </c>
      <c r="C1903" s="20">
        <v>71</v>
      </c>
      <c r="D1903" s="20">
        <v>52</v>
      </c>
      <c r="E1903" s="20">
        <v>30</v>
      </c>
      <c r="F1903" s="20" t="s">
        <v>18524</v>
      </c>
      <c r="G1903" s="20" t="s">
        <v>18525</v>
      </c>
      <c r="H1903" s="24"/>
      <c r="I1903" s="24" t="str">
        <f ca="1">IFERROR(__xludf.DUMMYFUNCTION("GOOGLETRANSLATE(F1903,""en"",""pt"")"),"placas de piso de gesso reforçados com fibras")</f>
        <v>placas de piso de gesso reforçados com fibras</v>
      </c>
      <c r="J1903">
        <f>VLOOKUP(A1903,Pr_Base_LNEC!$A$4:$J$6971,6,FALSE)</f>
        <v>0</v>
      </c>
      <c r="K1903">
        <f>VLOOKUP(A1903,Pr_Base_LNEC!$A$4:$J$6971,7,FALSE)</f>
        <v>0</v>
      </c>
    </row>
    <row r="1904" spans="1:11" ht="14.5">
      <c r="A1904" s="20" t="s">
        <v>18526</v>
      </c>
      <c r="B1904" s="20">
        <v>25</v>
      </c>
      <c r="C1904" s="20">
        <v>71</v>
      </c>
      <c r="D1904" s="20">
        <v>52</v>
      </c>
      <c r="E1904" s="20">
        <v>31</v>
      </c>
      <c r="F1904" s="20" t="s">
        <v>18527</v>
      </c>
      <c r="G1904" s="20" t="s">
        <v>18528</v>
      </c>
      <c r="H1904" s="24"/>
      <c r="I1904" s="24" t="str">
        <f ca="1">IFERROR(__xludf.DUMMYFUNCTION("GOOGLETRANSLATE(F1904,""en"",""pt"")"),"placas de silicato de magnésio reforçados com fibras")</f>
        <v>placas de silicato de magnésio reforçados com fibras</v>
      </c>
      <c r="J1904">
        <f>VLOOKUP(A1904,Pr_Base_LNEC!$A$4:$J$6971,6,FALSE)</f>
        <v>0</v>
      </c>
      <c r="K1904">
        <f>VLOOKUP(A1904,Pr_Base_LNEC!$A$4:$J$6971,7,FALSE)</f>
        <v>0</v>
      </c>
    </row>
    <row r="1905" spans="1:11" ht="14.5">
      <c r="A1905" s="20" t="s">
        <v>18529</v>
      </c>
      <c r="B1905" s="20">
        <v>25</v>
      </c>
      <c r="C1905" s="20">
        <v>71</v>
      </c>
      <c r="D1905" s="20">
        <v>52</v>
      </c>
      <c r="E1905" s="20">
        <v>32</v>
      </c>
      <c r="F1905" s="20" t="s">
        <v>18530</v>
      </c>
      <c r="G1905" s="20" t="s">
        <v>18531</v>
      </c>
      <c r="H1905" s="24"/>
      <c r="I1905" s="24" t="str">
        <f ca="1">IFERROR(__xludf.DUMMYFUNCTION("GOOGLETRANSLATE(F1905,""en"",""pt"")"),"placas de gesso flexíveis")</f>
        <v>placas de gesso flexíveis</v>
      </c>
      <c r="J1905">
        <f>VLOOKUP(A1905,Pr_Base_LNEC!$A$4:$J$6971,6,FALSE)</f>
        <v>0</v>
      </c>
      <c r="K1905">
        <f>VLOOKUP(A1905,Pr_Base_LNEC!$A$4:$J$6971,7,FALSE)</f>
        <v>0</v>
      </c>
    </row>
    <row r="1906" spans="1:11" ht="14.5">
      <c r="A1906" s="20" t="s">
        <v>18532</v>
      </c>
      <c r="B1906" s="20">
        <v>25</v>
      </c>
      <c r="C1906" s="20">
        <v>71</v>
      </c>
      <c r="D1906" s="20">
        <v>52</v>
      </c>
      <c r="E1906" s="20">
        <v>33</v>
      </c>
      <c r="F1906" s="20" t="s">
        <v>18533</v>
      </c>
      <c r="G1906" s="20" t="s">
        <v>18534</v>
      </c>
      <c r="H1906" s="24"/>
      <c r="I1906" s="24" t="str">
        <f ca="1">IFERROR(__xludf.DUMMYFUNCTION("GOOGLETRANSLATE(F1906,""en"",""pt"")"),"placas de gesso resistente ao fogo")</f>
        <v>placas de gesso resistente ao fogo</v>
      </c>
      <c r="J1906">
        <f>VLOOKUP(A1906,Pr_Base_LNEC!$A$4:$J$6971,6,FALSE)</f>
        <v>0</v>
      </c>
      <c r="K1906">
        <f>VLOOKUP(A1906,Pr_Base_LNEC!$A$4:$J$6971,7,FALSE)</f>
        <v>0</v>
      </c>
    </row>
    <row r="1907" spans="1:11" ht="14.5">
      <c r="A1907" s="20" t="s">
        <v>18535</v>
      </c>
      <c r="B1907" s="20">
        <v>25</v>
      </c>
      <c r="C1907" s="20">
        <v>71</v>
      </c>
      <c r="D1907" s="20">
        <v>52</v>
      </c>
      <c r="E1907" s="20">
        <v>34</v>
      </c>
      <c r="F1907" s="20" t="s">
        <v>18536</v>
      </c>
      <c r="G1907" s="20" t="s">
        <v>18537</v>
      </c>
      <c r="H1907" s="24"/>
      <c r="I1907" s="24" t="str">
        <f ca="1">IFERROR(__xludf.DUMMYFUNCTION("GOOGLETRANSLATE(F1907,""en"",""pt"")"),"rodapés de gesso")</f>
        <v>rodapés de gesso</v>
      </c>
      <c r="J1907">
        <f>VLOOKUP(A1907,Pr_Base_LNEC!$A$4:$J$6971,6,FALSE)</f>
        <v>0</v>
      </c>
      <c r="K1907">
        <f>VLOOKUP(A1907,Pr_Base_LNEC!$A$4:$J$6971,7,FALSE)</f>
        <v>0</v>
      </c>
    </row>
    <row r="1908" spans="1:11" ht="14.5">
      <c r="A1908" s="20" t="s">
        <v>18538</v>
      </c>
      <c r="B1908" s="20">
        <v>25</v>
      </c>
      <c r="C1908" s="20">
        <v>71</v>
      </c>
      <c r="D1908" s="20">
        <v>52</v>
      </c>
      <c r="E1908" s="20">
        <v>35</v>
      </c>
      <c r="F1908" s="20" t="s">
        <v>18539</v>
      </c>
      <c r="G1908" s="20" t="s">
        <v>18540</v>
      </c>
      <c r="H1908" s="24"/>
      <c r="I1908" s="24" t="str">
        <f ca="1">IFERROR(__xludf.DUMMYFUNCTION("GOOGLETRANSLATE(F1908,""en"",""pt"")"),"placas de núcleo de gesso")</f>
        <v>placas de núcleo de gesso</v>
      </c>
      <c r="J1908">
        <f>VLOOKUP(A1908,Pr_Base_LNEC!$A$4:$J$6971,6,FALSE)</f>
        <v>0</v>
      </c>
      <c r="K1908">
        <f>VLOOKUP(A1908,Pr_Base_LNEC!$A$4:$J$6971,7,FALSE)</f>
        <v>0</v>
      </c>
    </row>
    <row r="1909" spans="1:11" ht="14.5">
      <c r="A1909" s="20" t="s">
        <v>18541</v>
      </c>
      <c r="B1909" s="20">
        <v>25</v>
      </c>
      <c r="C1909" s="20">
        <v>71</v>
      </c>
      <c r="D1909" s="20">
        <v>52</v>
      </c>
      <c r="E1909" s="20">
        <v>36</v>
      </c>
      <c r="F1909" s="20" t="s">
        <v>18542</v>
      </c>
      <c r="G1909" s="20" t="s">
        <v>18543</v>
      </c>
      <c r="H1909" s="24"/>
      <c r="I1909" s="24" t="str">
        <f ca="1">IFERROR(__xludf.DUMMYFUNCTION("GOOGLETRANSLATE(F1909,""en"",""pt"")"),"pranchas de gesso")</f>
        <v>pranchas de gesso</v>
      </c>
      <c r="J1909">
        <f>VLOOKUP(A1909,Pr_Base_LNEC!$A$4:$J$6971,6,FALSE)</f>
        <v>0</v>
      </c>
      <c r="K1909">
        <f>VLOOKUP(A1909,Pr_Base_LNEC!$A$4:$J$6971,7,FALSE)</f>
        <v>0</v>
      </c>
    </row>
    <row r="1910" spans="1:11" ht="14.5">
      <c r="A1910" s="20" t="s">
        <v>18544</v>
      </c>
      <c r="B1910" s="20">
        <v>25</v>
      </c>
      <c r="C1910" s="20">
        <v>71</v>
      </c>
      <c r="D1910" s="20">
        <v>52</v>
      </c>
      <c r="E1910" s="20">
        <v>38</v>
      </c>
      <c r="F1910" s="20" t="s">
        <v>18545</v>
      </c>
      <c r="G1910" s="20" t="s">
        <v>18546</v>
      </c>
      <c r="H1910" s="24"/>
      <c r="I1910" s="24" t="str">
        <f ca="1">IFERROR(__xludf.DUMMYFUNCTION("GOOGLETRANSLATE(F1910,""en"",""pt"")"),"painéis de gesso cartonado")</f>
        <v>painéis de gesso cartonado</v>
      </c>
      <c r="J1910">
        <f>VLOOKUP(A1910,Pr_Base_LNEC!$A$4:$J$6971,6,FALSE)</f>
        <v>0</v>
      </c>
      <c r="K1910">
        <f>VLOOKUP(A1910,Pr_Base_LNEC!$A$4:$J$6971,7,FALSE)</f>
        <v>0</v>
      </c>
    </row>
    <row r="1911" spans="1:11" ht="14.5">
      <c r="A1911" s="20" t="s">
        <v>18547</v>
      </c>
      <c r="B1911" s="20">
        <v>25</v>
      </c>
      <c r="C1911" s="20">
        <v>71</v>
      </c>
      <c r="D1911" s="20">
        <v>52</v>
      </c>
      <c r="E1911" s="20">
        <v>39</v>
      </c>
      <c r="F1911" s="20" t="s">
        <v>18548</v>
      </c>
      <c r="G1911" s="20" t="s">
        <v>18549</v>
      </c>
      <c r="H1911" s="24"/>
      <c r="I1911" s="24" t="str">
        <f ca="1">IFERROR(__xludf.DUMMYFUNCTION("GOOGLETRANSLATE(F1911,""en"",""pt"")"),"placas de gesso com propriedades combinadas")</f>
        <v>placas de gesso com propriedades combinadas</v>
      </c>
      <c r="J1911">
        <f>VLOOKUP(A1911,Pr_Base_LNEC!$A$4:$J$6971,6,FALSE)</f>
        <v>0</v>
      </c>
      <c r="K1911">
        <f>VLOOKUP(A1911,Pr_Base_LNEC!$A$4:$J$6971,7,FALSE)</f>
        <v>0</v>
      </c>
    </row>
    <row r="1912" spans="1:11" ht="14.5">
      <c r="A1912" s="20" t="s">
        <v>18550</v>
      </c>
      <c r="B1912" s="20">
        <v>25</v>
      </c>
      <c r="C1912" s="20">
        <v>71</v>
      </c>
      <c r="D1912" s="20">
        <v>52</v>
      </c>
      <c r="E1912" s="20">
        <v>40</v>
      </c>
      <c r="F1912" s="20" t="s">
        <v>18551</v>
      </c>
      <c r="G1912" s="20" t="s">
        <v>18552</v>
      </c>
      <c r="H1912" s="24"/>
      <c r="I1912" s="24" t="str">
        <f ca="1">IFERROR(__xludf.DUMMYFUNCTION("GOOGLETRANSLATE(F1912,""en"",""pt"")"),"painéis de gesso cartonado revestimento")</f>
        <v>painéis de gesso cartonado revestimento</v>
      </c>
      <c r="J1912">
        <f>VLOOKUP(A1912,Pr_Base_LNEC!$A$4:$J$6971,6,FALSE)</f>
        <v>0</v>
      </c>
      <c r="K1912">
        <f>VLOOKUP(A1912,Pr_Base_LNEC!$A$4:$J$6971,7,FALSE)</f>
        <v>0</v>
      </c>
    </row>
    <row r="1913" spans="1:11" ht="14.5">
      <c r="A1913" s="20" t="s">
        <v>18553</v>
      </c>
      <c r="B1913" s="20">
        <v>25</v>
      </c>
      <c r="C1913" s="20">
        <v>71</v>
      </c>
      <c r="D1913" s="20">
        <v>52</v>
      </c>
      <c r="E1913" s="20">
        <v>41</v>
      </c>
      <c r="F1913" s="20" t="s">
        <v>18554</v>
      </c>
      <c r="G1913" s="20" t="s">
        <v>18555</v>
      </c>
      <c r="H1913" s="24"/>
      <c r="I1913" s="24" t="str">
        <f ca="1">IFERROR(__xludf.DUMMYFUNCTION("GOOGLETRANSLATE(F1913,""en"",""pt"")"),"placas de gesso resistente ao impacto")</f>
        <v>placas de gesso resistente ao impacto</v>
      </c>
      <c r="J1913">
        <f>VLOOKUP(A1913,Pr_Base_LNEC!$A$4:$J$6971,6,FALSE)</f>
        <v>0</v>
      </c>
      <c r="K1913">
        <f>VLOOKUP(A1913,Pr_Base_LNEC!$A$4:$J$6971,7,FALSE)</f>
        <v>0</v>
      </c>
    </row>
    <row r="1914" spans="1:11" ht="14.5">
      <c r="A1914" s="20" t="s">
        <v>18556</v>
      </c>
      <c r="B1914" s="20">
        <v>25</v>
      </c>
      <c r="C1914" s="20">
        <v>71</v>
      </c>
      <c r="D1914" s="20">
        <v>52</v>
      </c>
      <c r="E1914" s="20">
        <v>42</v>
      </c>
      <c r="F1914" s="20" t="s">
        <v>18557</v>
      </c>
      <c r="G1914" s="24"/>
      <c r="H1914" s="24"/>
      <c r="I1914" s="24" t="str">
        <f ca="1">IFERROR(__xludf.DUMMYFUNCTION("GOOGLETRANSLATE(F1914,""en"",""pt"")"),"painéis de gesso cartonado de alta densidade")</f>
        <v>painéis de gesso cartonado de alta densidade</v>
      </c>
      <c r="J1914" t="e">
        <f>VLOOKUP(A1914,Pr_Base_LNEC!$A$4:$J$6971,6,FALSE)</f>
        <v>#N/A</v>
      </c>
      <c r="K1914" t="e">
        <f>VLOOKUP(A1914,Pr_Base_LNEC!$A$4:$J$6971,7,FALSE)</f>
        <v>#N/A</v>
      </c>
    </row>
    <row r="1915" spans="1:11" ht="14.5">
      <c r="A1915" s="20" t="s">
        <v>18558</v>
      </c>
      <c r="B1915" s="20">
        <v>25</v>
      </c>
      <c r="C1915" s="20">
        <v>71</v>
      </c>
      <c r="D1915" s="20">
        <v>52</v>
      </c>
      <c r="E1915" s="20">
        <v>47</v>
      </c>
      <c r="F1915" s="20" t="s">
        <v>18559</v>
      </c>
      <c r="G1915" s="20" t="s">
        <v>18560</v>
      </c>
      <c r="H1915" s="24"/>
      <c r="I1915" s="24" t="str">
        <f ca="1">IFERROR(__xludf.DUMMYFUNCTION("GOOGLETRANSLATE(F1915,""en"",""pt"")"),"Linóleo tiras de laminado compósito e placas")</f>
        <v>Linóleo tiras de laminado compósito e placas</v>
      </c>
      <c r="J1915">
        <f>VLOOKUP(A1915,Pr_Base_LNEC!$A$4:$J$6971,6,FALSE)</f>
        <v>0</v>
      </c>
      <c r="K1915">
        <f>VLOOKUP(A1915,Pr_Base_LNEC!$A$4:$J$6971,7,FALSE)</f>
        <v>0</v>
      </c>
    </row>
    <row r="1916" spans="1:11" ht="14.5">
      <c r="A1916" s="20" t="s">
        <v>18561</v>
      </c>
      <c r="B1916" s="20">
        <v>25</v>
      </c>
      <c r="C1916" s="20">
        <v>71</v>
      </c>
      <c r="D1916" s="20">
        <v>52</v>
      </c>
      <c r="E1916" s="20">
        <v>50</v>
      </c>
      <c r="F1916" s="20" t="s">
        <v>18562</v>
      </c>
      <c r="G1916" s="20" t="s">
        <v>18563</v>
      </c>
      <c r="H1916" s="24"/>
      <c r="I1916" s="24" t="str">
        <f ca="1">IFERROR(__xludf.DUMMYFUNCTION("GOOGLETRANSLATE(F1916,""en"",""pt"")"),"placas de óxido de magnésio")</f>
        <v>placas de óxido de magnésio</v>
      </c>
      <c r="J1916">
        <f>VLOOKUP(A1916,Pr_Base_LNEC!$A$4:$J$6971,6,FALSE)</f>
        <v>0</v>
      </c>
      <c r="K1916">
        <f>VLOOKUP(A1916,Pr_Base_LNEC!$A$4:$J$6971,7,FALSE)</f>
        <v>0</v>
      </c>
    </row>
    <row r="1917" spans="1:11" ht="14.5">
      <c r="A1917" s="20" t="s">
        <v>18564</v>
      </c>
      <c r="B1917" s="20">
        <v>25</v>
      </c>
      <c r="C1917" s="20">
        <v>71</v>
      </c>
      <c r="D1917" s="20">
        <v>52</v>
      </c>
      <c r="E1917" s="20">
        <v>52</v>
      </c>
      <c r="F1917" s="20" t="s">
        <v>18565</v>
      </c>
      <c r="G1917" s="20" t="s">
        <v>18566</v>
      </c>
      <c r="H1917" s="24"/>
      <c r="I1917" s="24" t="str">
        <f ca="1">IFERROR(__xludf.DUMMYFUNCTION("GOOGLETRANSLATE(F1917,""en"",""pt"")"),"placas de gesso resistentes à humidade")</f>
        <v>placas de gesso resistentes à humidade</v>
      </c>
      <c r="J1917">
        <f>VLOOKUP(A1917,Pr_Base_LNEC!$A$4:$J$6971,6,FALSE)</f>
        <v>0</v>
      </c>
      <c r="K1917">
        <f>VLOOKUP(A1917,Pr_Base_LNEC!$A$4:$J$6971,7,FALSE)</f>
        <v>0</v>
      </c>
    </row>
    <row r="1918" spans="1:11" ht="14.5">
      <c r="A1918" s="20" t="s">
        <v>18567</v>
      </c>
      <c r="B1918" s="20">
        <v>25</v>
      </c>
      <c r="C1918" s="20">
        <v>71</v>
      </c>
      <c r="D1918" s="20">
        <v>52</v>
      </c>
      <c r="E1918" s="20">
        <v>63</v>
      </c>
      <c r="F1918" s="20" t="s">
        <v>18568</v>
      </c>
      <c r="G1918" s="20" t="s">
        <v>18569</v>
      </c>
      <c r="H1918" s="24"/>
      <c r="I1918" s="24" t="str">
        <f ca="1">IFERROR(__xludf.DUMMYFUNCTION("GOOGLETRANSLATE(F1918,""en"",""pt"")"),"painéis de gesso cartonado")</f>
        <v>painéis de gesso cartonado</v>
      </c>
      <c r="J1918">
        <f>VLOOKUP(A1918,Pr_Base_LNEC!$A$4:$J$6971,6,FALSE)</f>
        <v>0</v>
      </c>
      <c r="K1918">
        <f>VLOOKUP(A1918,Pr_Base_LNEC!$A$4:$J$6971,7,FALSE)</f>
        <v>0</v>
      </c>
    </row>
    <row r="1919" spans="1:11" ht="14.5">
      <c r="A1919" s="20" t="s">
        <v>18570</v>
      </c>
      <c r="B1919" s="20">
        <v>25</v>
      </c>
      <c r="C1919" s="20">
        <v>71</v>
      </c>
      <c r="D1919" s="20">
        <v>52</v>
      </c>
      <c r="E1919" s="20">
        <v>80</v>
      </c>
      <c r="F1919" s="20" t="s">
        <v>18571</v>
      </c>
      <c r="G1919" s="20" t="s">
        <v>18572</v>
      </c>
      <c r="H1919" s="24"/>
      <c r="I1919" s="24" t="str">
        <f ca="1">IFERROR(__xludf.DUMMYFUNCTION("GOOGLETRANSLATE(F1919,""en"",""pt"")"),"Som placas de gesso cartonado isolamento de gesso")</f>
        <v>Som placas de gesso cartonado isolamento de gesso</v>
      </c>
      <c r="J1919">
        <f>VLOOKUP(A1919,Pr_Base_LNEC!$A$4:$J$6971,6,FALSE)</f>
        <v>0</v>
      </c>
      <c r="K1919">
        <f>VLOOKUP(A1919,Pr_Base_LNEC!$A$4:$J$6971,7,FALSE)</f>
        <v>0</v>
      </c>
    </row>
    <row r="1920" spans="1:11" ht="14.5">
      <c r="A1920" s="20" t="s">
        <v>18573</v>
      </c>
      <c r="B1920" s="20">
        <v>25</v>
      </c>
      <c r="C1920" s="20">
        <v>71</v>
      </c>
      <c r="D1920" s="20">
        <v>52</v>
      </c>
      <c r="E1920" s="20">
        <v>84</v>
      </c>
      <c r="F1920" s="20" t="s">
        <v>18574</v>
      </c>
      <c r="G1920" s="20" t="s">
        <v>18575</v>
      </c>
      <c r="H1920" s="24"/>
      <c r="I1920" s="24" t="str">
        <f ca="1">IFERROR(__xludf.DUMMYFUNCTION("GOOGLETRANSLATE(F1920,""en"",""pt"")"),"painéis de gesso cartonado padrão")</f>
        <v>painéis de gesso cartonado padrão</v>
      </c>
      <c r="J1920" t="e">
        <f>VLOOKUP(A1920,Pr_Base_LNEC!$A$4:$J$6971,6,FALSE)</f>
        <v>#N/A</v>
      </c>
      <c r="K1920" t="e">
        <f>VLOOKUP(A1920,Pr_Base_LNEC!$A$4:$J$6971,7,FALSE)</f>
        <v>#N/A</v>
      </c>
    </row>
    <row r="1921" spans="1:11" ht="14.5">
      <c r="A1921" s="20" t="s">
        <v>18576</v>
      </c>
      <c r="B1921" s="20">
        <v>25</v>
      </c>
      <c r="C1921" s="20">
        <v>71</v>
      </c>
      <c r="D1921" s="20">
        <v>52</v>
      </c>
      <c r="E1921" s="20">
        <v>88</v>
      </c>
      <c r="F1921" s="20" t="s">
        <v>18577</v>
      </c>
      <c r="G1921" s="20" t="s">
        <v>18578</v>
      </c>
      <c r="H1921" s="24"/>
      <c r="I1921" s="24" t="str">
        <f ca="1">IFERROR(__xludf.DUMMYFUNCTION("GOOGLETRANSLATE(F1921,""en"",""pt"")"),"placas de gesso laminado térmica")</f>
        <v>placas de gesso laminado térmica</v>
      </c>
      <c r="J1921">
        <f>VLOOKUP(A1921,Pr_Base_LNEC!$A$4:$J$6971,6,FALSE)</f>
        <v>0</v>
      </c>
      <c r="K1921">
        <f>VLOOKUP(A1921,Pr_Base_LNEC!$A$4:$J$6971,7,FALSE)</f>
        <v>0</v>
      </c>
    </row>
    <row r="1922" spans="1:11" ht="14.5">
      <c r="A1922" s="20" t="s">
        <v>18579</v>
      </c>
      <c r="B1922" s="20">
        <v>25</v>
      </c>
      <c r="C1922" s="20">
        <v>71</v>
      </c>
      <c r="D1922" s="20">
        <v>52</v>
      </c>
      <c r="E1922" s="20">
        <v>94</v>
      </c>
      <c r="F1922" s="20" t="s">
        <v>18580</v>
      </c>
      <c r="G1922" s="20" t="s">
        <v>18581</v>
      </c>
      <c r="H1922" s="24"/>
      <c r="I1922" s="24" t="str">
        <f ca="1">IFERROR(__xludf.DUMMYFUNCTION("GOOGLETRANSLATE(F1922,""en"",""pt"")"),"Vapor de placas de gesso verificação de gesso")</f>
        <v>Vapor de placas de gesso verificação de gesso</v>
      </c>
      <c r="J1922">
        <f>VLOOKUP(A1922,Pr_Base_LNEC!$A$4:$J$6971,6,FALSE)</f>
        <v>0</v>
      </c>
      <c r="K1922">
        <f>VLOOKUP(A1922,Pr_Base_LNEC!$A$4:$J$6971,7,FALSE)</f>
        <v>0</v>
      </c>
    </row>
    <row r="1923" spans="1:11" ht="14.5">
      <c r="A1923" s="20" t="s">
        <v>18582</v>
      </c>
      <c r="B1923" s="20">
        <v>25</v>
      </c>
      <c r="C1923" s="20">
        <v>71</v>
      </c>
      <c r="D1923" s="20">
        <v>52</v>
      </c>
      <c r="E1923" s="20">
        <v>95</v>
      </c>
      <c r="F1923" s="20" t="s">
        <v>18583</v>
      </c>
      <c r="G1923" s="20" t="s">
        <v>18584</v>
      </c>
      <c r="H1923" s="24"/>
      <c r="I1923" s="24" t="str">
        <f ca="1">IFERROR(__xludf.DUMMYFUNCTION("GOOGLETRANSLATE(F1923,""en"",""pt"")"),"placas de protecção contra incêndios vermiculita-silicato")</f>
        <v>placas de protecção contra incêndios vermiculita-silicato</v>
      </c>
      <c r="J1923">
        <f>VLOOKUP(A1923,Pr_Base_LNEC!$A$4:$J$6971,6,FALSE)</f>
        <v>0</v>
      </c>
      <c r="K1923">
        <f>VLOOKUP(A1923,Pr_Base_LNEC!$A$4:$J$6971,7,FALSE)</f>
        <v>0</v>
      </c>
    </row>
    <row r="1924" spans="1:11" ht="14.5">
      <c r="A1924" s="20" t="s">
        <v>18585</v>
      </c>
      <c r="B1924" s="20">
        <v>25</v>
      </c>
      <c r="C1924" s="20">
        <v>71</v>
      </c>
      <c r="D1924" s="20">
        <v>52</v>
      </c>
      <c r="E1924" s="20">
        <v>99</v>
      </c>
      <c r="F1924" s="20" t="s">
        <v>18586</v>
      </c>
      <c r="G1924" s="20" t="s">
        <v>18483</v>
      </c>
      <c r="H1924" s="24"/>
      <c r="I1924" s="24" t="str">
        <f ca="1">IFERROR(__xludf.DUMMYFUNCTION("GOOGLETRANSLATE(F1924,""en"",""pt"")"),"de raios-X placas de gesso resistente")</f>
        <v>de raios-X placas de gesso resistente</v>
      </c>
      <c r="J1924">
        <f>VLOOKUP(A1924,Pr_Base_LNEC!$A$4:$J$6971,6,FALSE)</f>
        <v>0</v>
      </c>
      <c r="K1924">
        <f>VLOOKUP(A1924,Pr_Base_LNEC!$A$4:$J$6971,7,FALSE)</f>
        <v>0</v>
      </c>
    </row>
    <row r="1925" spans="1:11" ht="14.5">
      <c r="A1925" s="20" t="s">
        <v>18587</v>
      </c>
      <c r="B1925" s="20">
        <v>25</v>
      </c>
      <c r="C1925" s="20">
        <v>71</v>
      </c>
      <c r="D1925" s="20">
        <v>53</v>
      </c>
      <c r="E1925" s="24"/>
      <c r="F1925" s="20" t="s">
        <v>18588</v>
      </c>
      <c r="G1925" s="24"/>
      <c r="H1925" s="24"/>
      <c r="I1925" s="24" t="str">
        <f ca="1">IFERROR(__xludf.DUMMYFUNCTION("GOOGLETRANSLATE(F1925,""en"",""pt"")"),"Espelhos")</f>
        <v>Espelhos</v>
      </c>
      <c r="J1925">
        <f>VLOOKUP(A1925,Pr_Base_LNEC!$A$4:$J$6971,6,FALSE)</f>
        <v>0</v>
      </c>
      <c r="K1925">
        <f>VLOOKUP(A1925,Pr_Base_LNEC!$A$4:$J$6971,7,FALSE)</f>
        <v>0</v>
      </c>
    </row>
    <row r="1926" spans="1:11" ht="14.5">
      <c r="A1926" s="20" t="s">
        <v>18589</v>
      </c>
      <c r="B1926" s="20">
        <v>25</v>
      </c>
      <c r="C1926" s="20">
        <v>71</v>
      </c>
      <c r="D1926" s="20">
        <v>53</v>
      </c>
      <c r="E1926" s="20">
        <v>6</v>
      </c>
      <c r="F1926" s="20" t="s">
        <v>18590</v>
      </c>
      <c r="G1926" s="24"/>
      <c r="H1926" s="24"/>
      <c r="I1926" s="24" t="str">
        <f ca="1">IFERROR(__xludf.DUMMYFUNCTION("GOOGLETRANSLATE(F1926,""en"",""pt"")"),"espelhos do banheiro")</f>
        <v>espelhos do banheiro</v>
      </c>
      <c r="J1926">
        <f>VLOOKUP(A1926,Pr_Base_LNEC!$A$4:$J$6971,6,FALSE)</f>
        <v>0</v>
      </c>
      <c r="K1926">
        <f>VLOOKUP(A1926,Pr_Base_LNEC!$A$4:$J$6971,7,FALSE)</f>
        <v>0</v>
      </c>
    </row>
    <row r="1927" spans="1:11" ht="14.5">
      <c r="A1927" s="20" t="s">
        <v>18591</v>
      </c>
      <c r="B1927" s="20">
        <v>25</v>
      </c>
      <c r="C1927" s="20">
        <v>71</v>
      </c>
      <c r="D1927" s="20">
        <v>53</v>
      </c>
      <c r="E1927" s="20">
        <v>30</v>
      </c>
      <c r="F1927" s="20" t="s">
        <v>18592</v>
      </c>
      <c r="G1927" s="24"/>
      <c r="H1927" s="24"/>
      <c r="I1927" s="24" t="str">
        <f ca="1">IFERROR(__xludf.DUMMYFUNCTION("GOOGLETRANSLATE(F1927,""en"",""pt"")"),"espelhos de vidro moldadas")</f>
        <v>espelhos de vidro moldadas</v>
      </c>
      <c r="J1927">
        <f>VLOOKUP(A1927,Pr_Base_LNEC!$A$4:$J$6971,6,FALSE)</f>
        <v>0</v>
      </c>
      <c r="K1927">
        <f>VLOOKUP(A1927,Pr_Base_LNEC!$A$4:$J$6971,7,FALSE)</f>
        <v>0</v>
      </c>
    </row>
    <row r="1928" spans="1:11" ht="14.5">
      <c r="A1928" s="20" t="s">
        <v>18593</v>
      </c>
      <c r="B1928" s="20">
        <v>25</v>
      </c>
      <c r="C1928" s="20">
        <v>71</v>
      </c>
      <c r="D1928" s="20">
        <v>53</v>
      </c>
      <c r="E1928" s="20">
        <v>31</v>
      </c>
      <c r="F1928" s="20" t="s">
        <v>18594</v>
      </c>
      <c r="G1928" s="24"/>
      <c r="H1928" s="24"/>
      <c r="I1928" s="24" t="str">
        <f ca="1">IFERROR(__xludf.DUMMYFUNCTION("GOOGLETRANSLATE(F1928,""en"",""pt"")"),"espelhos de metal emoldurada")</f>
        <v>espelhos de metal emoldurada</v>
      </c>
      <c r="J1928">
        <f>VLOOKUP(A1928,Pr_Base_LNEC!$A$4:$J$6971,6,FALSE)</f>
        <v>0</v>
      </c>
      <c r="K1928">
        <f>VLOOKUP(A1928,Pr_Base_LNEC!$A$4:$J$6971,7,FALSE)</f>
        <v>0</v>
      </c>
    </row>
    <row r="1929" spans="1:11" ht="14.5">
      <c r="A1929" s="20" t="s">
        <v>18595</v>
      </c>
      <c r="B1929" s="20">
        <v>25</v>
      </c>
      <c r="C1929" s="20">
        <v>71</v>
      </c>
      <c r="D1929" s="20">
        <v>53</v>
      </c>
      <c r="E1929" s="20">
        <v>32</v>
      </c>
      <c r="F1929" s="20" t="s">
        <v>18596</v>
      </c>
      <c r="G1929" s="24"/>
      <c r="H1929" s="24"/>
      <c r="I1929" s="24" t="str">
        <f ca="1">IFERROR(__xludf.DUMMYFUNCTION("GOOGLETRANSLATE(F1929,""en"",""pt"")"),"espelhos de plástico moldadas")</f>
        <v>espelhos de plástico moldadas</v>
      </c>
      <c r="J1929">
        <f>VLOOKUP(A1929,Pr_Base_LNEC!$A$4:$J$6971,6,FALSE)</f>
        <v>0</v>
      </c>
      <c r="K1929">
        <f>VLOOKUP(A1929,Pr_Base_LNEC!$A$4:$J$6971,7,FALSE)</f>
        <v>0</v>
      </c>
    </row>
    <row r="1930" spans="1:11" ht="14.5">
      <c r="A1930" s="20" t="s">
        <v>18597</v>
      </c>
      <c r="B1930" s="20">
        <v>25</v>
      </c>
      <c r="C1930" s="20">
        <v>71</v>
      </c>
      <c r="D1930" s="20">
        <v>53</v>
      </c>
      <c r="E1930" s="20">
        <v>46</v>
      </c>
      <c r="F1930" s="20" t="s">
        <v>18598</v>
      </c>
      <c r="G1930" s="20" t="s">
        <v>18599</v>
      </c>
      <c r="H1930" s="24"/>
      <c r="I1930" s="24" t="str">
        <f ca="1">IFERROR(__xludf.DUMMYFUNCTION("GOOGLETRANSLATE(F1930,""en"",""pt"")"),"espelhos grandes")</f>
        <v>espelhos grandes</v>
      </c>
      <c r="J1930">
        <f>VLOOKUP(A1930,Pr_Base_LNEC!$A$4:$J$6971,6,FALSE)</f>
        <v>0</v>
      </c>
      <c r="K1930">
        <f>VLOOKUP(A1930,Pr_Base_LNEC!$A$4:$J$6971,7,FALSE)</f>
        <v>0</v>
      </c>
    </row>
    <row r="1931" spans="1:11" ht="14.5">
      <c r="A1931" s="20" t="s">
        <v>18600</v>
      </c>
      <c r="B1931" s="20">
        <v>25</v>
      </c>
      <c r="C1931" s="20">
        <v>71</v>
      </c>
      <c r="D1931" s="20">
        <v>53</v>
      </c>
      <c r="E1931" s="20">
        <v>65</v>
      </c>
      <c r="F1931" s="20" t="s">
        <v>18601</v>
      </c>
      <c r="G1931" s="24"/>
      <c r="H1931" s="24"/>
      <c r="I1931" s="24" t="str">
        <f ca="1">IFERROR(__xludf.DUMMYFUNCTION("GOOGLETRANSLATE(F1931,""en"",""pt"")"),"espelhos de plataforma")</f>
        <v>espelhos de plataforma</v>
      </c>
      <c r="J1931">
        <f>VLOOKUP(A1931,Pr_Base_LNEC!$A$4:$J$6971,6,FALSE)</f>
        <v>0</v>
      </c>
      <c r="K1931">
        <f>VLOOKUP(A1931,Pr_Base_LNEC!$A$4:$J$6971,7,FALSE)</f>
        <v>0</v>
      </c>
    </row>
    <row r="1932" spans="1:11" ht="14.5">
      <c r="A1932" s="20" t="s">
        <v>18602</v>
      </c>
      <c r="B1932" s="20">
        <v>25</v>
      </c>
      <c r="C1932" s="20">
        <v>71</v>
      </c>
      <c r="D1932" s="20">
        <v>53</v>
      </c>
      <c r="E1932" s="20">
        <v>70</v>
      </c>
      <c r="F1932" s="20" t="s">
        <v>18603</v>
      </c>
      <c r="G1932" s="24"/>
      <c r="H1932" s="24"/>
      <c r="I1932" s="24" t="str">
        <f ca="1">IFERROR(__xludf.DUMMYFUNCTION("GOOGLETRANSLATE(F1932,""en"",""pt"")"),"espelhos ferroviárias")</f>
        <v>espelhos ferroviárias</v>
      </c>
      <c r="J1932">
        <f>VLOOKUP(A1932,Pr_Base_LNEC!$A$4:$J$6971,6,FALSE)</f>
        <v>0</v>
      </c>
      <c r="K1932">
        <f>VLOOKUP(A1932,Pr_Base_LNEC!$A$4:$J$6971,7,FALSE)</f>
        <v>0</v>
      </c>
    </row>
    <row r="1933" spans="1:11" ht="14.5">
      <c r="A1933" s="20" t="s">
        <v>18604</v>
      </c>
      <c r="B1933" s="20">
        <v>25</v>
      </c>
      <c r="C1933" s="20">
        <v>71</v>
      </c>
      <c r="D1933" s="20">
        <v>53</v>
      </c>
      <c r="E1933" s="20">
        <v>73</v>
      </c>
      <c r="F1933" s="20" t="s">
        <v>18605</v>
      </c>
      <c r="G1933" s="24"/>
      <c r="H1933" s="24"/>
      <c r="I1933" s="24" t="str">
        <f ca="1">IFERROR(__xludf.DUMMYFUNCTION("GOOGLETRANSLATE(F1933,""en"",""pt"")"),"espelhos estrada")</f>
        <v>espelhos estrada</v>
      </c>
      <c r="J1933">
        <f>VLOOKUP(A1933,Pr_Base_LNEC!$A$4:$J$6971,6,FALSE)</f>
        <v>0</v>
      </c>
      <c r="K1933">
        <f>VLOOKUP(A1933,Pr_Base_LNEC!$A$4:$J$6971,7,FALSE)</f>
        <v>0</v>
      </c>
    </row>
    <row r="1934" spans="1:11" ht="14.5">
      <c r="A1934" s="20" t="s">
        <v>18606</v>
      </c>
      <c r="B1934" s="20">
        <v>25</v>
      </c>
      <c r="C1934" s="20">
        <v>71</v>
      </c>
      <c r="D1934" s="20">
        <v>53</v>
      </c>
      <c r="E1934" s="20">
        <v>82</v>
      </c>
      <c r="F1934" s="20" t="s">
        <v>18607</v>
      </c>
      <c r="G1934" s="24"/>
      <c r="H1934" s="24"/>
      <c r="I1934" s="24" t="str">
        <f ca="1">IFERROR(__xludf.DUMMYFUNCTION("GOOGLETRANSLATE(F1934,""en"",""pt"")"),"espelhos pequenos")</f>
        <v>espelhos pequenos</v>
      </c>
      <c r="J1934">
        <f>VLOOKUP(A1934,Pr_Base_LNEC!$A$4:$J$6971,6,FALSE)</f>
        <v>0</v>
      </c>
      <c r="K1934">
        <f>VLOOKUP(A1934,Pr_Base_LNEC!$A$4:$J$6971,7,FALSE)</f>
        <v>0</v>
      </c>
    </row>
    <row r="1935" spans="1:11" ht="14.5">
      <c r="A1935" s="20" t="s">
        <v>18608</v>
      </c>
      <c r="B1935" s="20">
        <v>25</v>
      </c>
      <c r="C1935" s="20">
        <v>71</v>
      </c>
      <c r="D1935" s="20">
        <v>53</v>
      </c>
      <c r="E1935" s="20">
        <v>91</v>
      </c>
      <c r="F1935" s="20" t="s">
        <v>18609</v>
      </c>
      <c r="G1935" s="24"/>
      <c r="H1935" s="24"/>
      <c r="I1935" s="24" t="str">
        <f ca="1">IFERROR(__xludf.DUMMYFUNCTION("GOOGLETRANSLATE(F1935,""en"",""pt"")"),"espelhos de vidro não emoldurados")</f>
        <v>espelhos de vidro não emoldurados</v>
      </c>
      <c r="J1935">
        <f>VLOOKUP(A1935,Pr_Base_LNEC!$A$4:$J$6971,6,FALSE)</f>
        <v>0</v>
      </c>
      <c r="K1935">
        <f>VLOOKUP(A1935,Pr_Base_LNEC!$A$4:$J$6971,7,FALSE)</f>
        <v>0</v>
      </c>
    </row>
    <row r="1936" spans="1:11" ht="14.5">
      <c r="A1936" s="20" t="s">
        <v>18610</v>
      </c>
      <c r="B1936" s="20">
        <v>25</v>
      </c>
      <c r="C1936" s="20">
        <v>71</v>
      </c>
      <c r="D1936" s="20">
        <v>53</v>
      </c>
      <c r="E1936" s="20">
        <v>92</v>
      </c>
      <c r="F1936" s="20" t="s">
        <v>18611</v>
      </c>
      <c r="G1936" s="24"/>
      <c r="H1936" s="24"/>
      <c r="I1936" s="24" t="str">
        <f ca="1">IFERROR(__xludf.DUMMYFUNCTION("GOOGLETRANSLATE(F1936,""en"",""pt"")"),"espelhos de metal não emoldurados")</f>
        <v>espelhos de metal não emoldurados</v>
      </c>
      <c r="J1936">
        <f>VLOOKUP(A1936,Pr_Base_LNEC!$A$4:$J$6971,6,FALSE)</f>
        <v>0</v>
      </c>
      <c r="K1936">
        <f>VLOOKUP(A1936,Pr_Base_LNEC!$A$4:$J$6971,7,FALSE)</f>
        <v>0</v>
      </c>
    </row>
    <row r="1937" spans="1:11" ht="14.5">
      <c r="A1937" s="20" t="s">
        <v>18612</v>
      </c>
      <c r="B1937" s="20">
        <v>25</v>
      </c>
      <c r="C1937" s="20">
        <v>71</v>
      </c>
      <c r="D1937" s="20">
        <v>53</v>
      </c>
      <c r="E1937" s="20">
        <v>93</v>
      </c>
      <c r="F1937" s="20" t="s">
        <v>18613</v>
      </c>
      <c r="G1937" s="24"/>
      <c r="H1937" s="24"/>
      <c r="I1937" s="24" t="str">
        <f ca="1">IFERROR(__xludf.DUMMYFUNCTION("GOOGLETRANSLATE(F1937,""en"",""pt"")"),"espelhos de plástico não emoldurados")</f>
        <v>espelhos de plástico não emoldurados</v>
      </c>
      <c r="J1937">
        <f>VLOOKUP(A1937,Pr_Base_LNEC!$A$4:$J$6971,6,FALSE)</f>
        <v>0</v>
      </c>
      <c r="K1937">
        <f>VLOOKUP(A1937,Pr_Base_LNEC!$A$4:$J$6971,7,FALSE)</f>
        <v>0</v>
      </c>
    </row>
    <row r="1938" spans="1:11" ht="14.5">
      <c r="A1938" s="20" t="s">
        <v>18614</v>
      </c>
      <c r="B1938" s="20">
        <v>25</v>
      </c>
      <c r="C1938" s="20">
        <v>71</v>
      </c>
      <c r="D1938" s="20">
        <v>57</v>
      </c>
      <c r="E1938" s="24"/>
      <c r="F1938" s="20" t="s">
        <v>18615</v>
      </c>
      <c r="G1938" s="24"/>
      <c r="H1938" s="24"/>
      <c r="I1938" s="24" t="str">
        <f ca="1">IFERROR(__xludf.DUMMYFUNCTION("GOOGLETRANSLATE(F1938,""en"",""pt"")"),"painéis de barreira de não-metálicos")</f>
        <v>painéis de barreira de não-metálicos</v>
      </c>
      <c r="J1938">
        <f>VLOOKUP(A1938,Pr_Base_LNEC!$A$4:$J$6971,6,FALSE)</f>
        <v>0</v>
      </c>
      <c r="K1938">
        <f>VLOOKUP(A1938,Pr_Base_LNEC!$A$4:$J$6971,7,FALSE)</f>
        <v>0</v>
      </c>
    </row>
    <row r="1939" spans="1:11" ht="14.5">
      <c r="A1939" s="20" t="s">
        <v>18616</v>
      </c>
      <c r="B1939" s="20">
        <v>25</v>
      </c>
      <c r="C1939" s="20">
        <v>71</v>
      </c>
      <c r="D1939" s="20">
        <v>57</v>
      </c>
      <c r="E1939" s="20">
        <v>11</v>
      </c>
      <c r="F1939" s="20" t="s">
        <v>18617</v>
      </c>
      <c r="G1939" s="20" t="s">
        <v>18618</v>
      </c>
      <c r="H1939" s="24"/>
      <c r="I1939" s="24" t="str">
        <f ca="1">IFERROR(__xludf.DUMMYFUNCTION("GOOGLETRANSLATE(F1939,""en"",""pt"")"),"painéis de aglomerado moldada ligado por cimento")</f>
        <v>painéis de aglomerado moldada ligado por cimento</v>
      </c>
      <c r="J1939">
        <f>VLOOKUP(A1939,Pr_Base_LNEC!$A$4:$J$6971,6,FALSE)</f>
        <v>0</v>
      </c>
      <c r="K1939">
        <f>VLOOKUP(A1939,Pr_Base_LNEC!$A$4:$J$6971,7,FALSE)</f>
        <v>0</v>
      </c>
    </row>
    <row r="1940" spans="1:11" ht="14.5">
      <c r="A1940" s="20" t="s">
        <v>18619</v>
      </c>
      <c r="B1940" s="20">
        <v>25</v>
      </c>
      <c r="C1940" s="20">
        <v>71</v>
      </c>
      <c r="D1940" s="20">
        <v>57</v>
      </c>
      <c r="E1940" s="20">
        <v>12</v>
      </c>
      <c r="F1940" s="20" t="s">
        <v>18620</v>
      </c>
      <c r="G1940" s="20" t="s">
        <v>18621</v>
      </c>
      <c r="H1940" s="24"/>
      <c r="I1940" s="24" t="str">
        <f ca="1">IFERROR(__xludf.DUMMYFUNCTION("GOOGLETRANSLATE(F1940,""en"",""pt"")"),"placas de base de betão")</f>
        <v>placas de base de betão</v>
      </c>
      <c r="J1940">
        <f>VLOOKUP(A1940,Pr_Base_LNEC!$A$4:$J$6971,6,FALSE)</f>
        <v>0</v>
      </c>
      <c r="K1940">
        <f>VLOOKUP(A1940,Pr_Base_LNEC!$A$4:$J$6971,7,FALSE)</f>
        <v>0</v>
      </c>
    </row>
    <row r="1941" spans="1:11" ht="14.5">
      <c r="A1941" s="20" t="s">
        <v>18622</v>
      </c>
      <c r="B1941" s="20">
        <v>25</v>
      </c>
      <c r="C1941" s="20">
        <v>71</v>
      </c>
      <c r="D1941" s="20">
        <v>57</v>
      </c>
      <c r="E1941" s="20">
        <v>13</v>
      </c>
      <c r="F1941" s="20" t="s">
        <v>18623</v>
      </c>
      <c r="G1941" s="24"/>
      <c r="H1941" s="24"/>
      <c r="I1941" s="24" t="str">
        <f ca="1">IFERROR(__xludf.DUMMYFUNCTION("GOOGLETRANSLATE(F1941,""en"",""pt"")"),"painéis de base parapeito betão")</f>
        <v>painéis de base parapeito betão</v>
      </c>
      <c r="J1941">
        <f>VLOOKUP(A1941,Pr_Base_LNEC!$A$4:$J$6971,6,FALSE)</f>
        <v>0</v>
      </c>
      <c r="K1941">
        <f>VLOOKUP(A1941,Pr_Base_LNEC!$A$4:$J$6971,7,FALSE)</f>
        <v>0</v>
      </c>
    </row>
    <row r="1942" spans="1:11" ht="14.5">
      <c r="A1942" s="20" t="s">
        <v>18624</v>
      </c>
      <c r="B1942" s="20">
        <v>25</v>
      </c>
      <c r="C1942" s="20">
        <v>71</v>
      </c>
      <c r="D1942" s="20">
        <v>57</v>
      </c>
      <c r="E1942" s="20">
        <v>14</v>
      </c>
      <c r="F1942" s="20" t="s">
        <v>18625</v>
      </c>
      <c r="G1942" s="24"/>
      <c r="H1942" s="24"/>
      <c r="I1942" s="24" t="str">
        <f ca="1">IFERROR(__xludf.DUMMYFUNCTION("GOOGLETRANSLATE(F1942,""en"",""pt"")"),"os painéis de base de betão")</f>
        <v>os painéis de base de betão</v>
      </c>
      <c r="J1942">
        <f>VLOOKUP(A1942,Pr_Base_LNEC!$A$4:$J$6971,6,FALSE)</f>
        <v>0</v>
      </c>
      <c r="K1942">
        <f>VLOOKUP(A1942,Pr_Base_LNEC!$A$4:$J$6971,7,FALSE)</f>
        <v>0</v>
      </c>
    </row>
    <row r="1943" spans="1:11" ht="14.5">
      <c r="A1943" s="20" t="s">
        <v>18626</v>
      </c>
      <c r="B1943" s="20">
        <v>25</v>
      </c>
      <c r="C1943" s="20">
        <v>71</v>
      </c>
      <c r="D1943" s="20">
        <v>57</v>
      </c>
      <c r="E1943" s="20">
        <v>15</v>
      </c>
      <c r="F1943" s="20" t="s">
        <v>18627</v>
      </c>
      <c r="G1943" s="20" t="s">
        <v>18628</v>
      </c>
      <c r="H1943" s="24"/>
      <c r="I1943" s="24" t="str">
        <f ca="1">IFERROR(__xludf.DUMMYFUNCTION("GOOGLETRANSLATE(F1943,""en"",""pt"")"),"topos do painel muro de concreto")</f>
        <v>topos do painel muro de concreto</v>
      </c>
      <c r="J1943">
        <f>VLOOKUP(A1943,Pr_Base_LNEC!$A$4:$J$6971,6,FALSE)</f>
        <v>0</v>
      </c>
      <c r="K1943">
        <f>VLOOKUP(A1943,Pr_Base_LNEC!$A$4:$J$6971,7,FALSE)</f>
        <v>0</v>
      </c>
    </row>
    <row r="1944" spans="1:11" ht="14.5">
      <c r="A1944" s="20" t="s">
        <v>18629</v>
      </c>
      <c r="B1944" s="20">
        <v>25</v>
      </c>
      <c r="C1944" s="20">
        <v>71</v>
      </c>
      <c r="D1944" s="20">
        <v>57</v>
      </c>
      <c r="E1944" s="20">
        <v>16</v>
      </c>
      <c r="F1944" s="20" t="s">
        <v>18630</v>
      </c>
      <c r="G1944" s="20" t="s">
        <v>18631</v>
      </c>
      <c r="H1944" s="24"/>
      <c r="I1944" s="24" t="str">
        <f ca="1">IFERROR(__xludf.DUMMYFUNCTION("GOOGLETRANSLATE(F1944,""en"",""pt"")"),"painéis de vedação de betão")</f>
        <v>painéis de vedação de betão</v>
      </c>
      <c r="J1944">
        <f>VLOOKUP(A1944,Pr_Base_LNEC!$A$4:$J$6971,6,FALSE)</f>
        <v>0</v>
      </c>
      <c r="K1944">
        <f>VLOOKUP(A1944,Pr_Base_LNEC!$A$4:$J$6971,7,FALSE)</f>
        <v>0</v>
      </c>
    </row>
    <row r="1945" spans="1:11" ht="14.5">
      <c r="A1945" s="20" t="s">
        <v>18632</v>
      </c>
      <c r="B1945" s="20">
        <v>25</v>
      </c>
      <c r="C1945" s="20">
        <v>71</v>
      </c>
      <c r="D1945" s="20">
        <v>57</v>
      </c>
      <c r="E1945" s="20">
        <v>17</v>
      </c>
      <c r="F1945" s="20" t="s">
        <v>18633</v>
      </c>
      <c r="G1945" s="20" t="s">
        <v>18634</v>
      </c>
      <c r="H1945" s="24"/>
      <c r="I1945" s="24" t="str">
        <f ca="1">IFERROR(__xludf.DUMMYFUNCTION("GOOGLETRANSLATE(F1945,""en"",""pt"")"),"unidades de parapeito de contenção de concreto")</f>
        <v>unidades de parapeito de contenção de concreto</v>
      </c>
      <c r="J1945">
        <f>VLOOKUP(A1945,Pr_Base_LNEC!$A$4:$J$6971,6,FALSE)</f>
        <v>0</v>
      </c>
      <c r="K1945">
        <f>VLOOKUP(A1945,Pr_Base_LNEC!$A$4:$J$6971,7,FALSE)</f>
        <v>0</v>
      </c>
    </row>
    <row r="1946" spans="1:11" ht="14.5">
      <c r="A1946" s="20" t="s">
        <v>18635</v>
      </c>
      <c r="B1946" s="20">
        <v>25</v>
      </c>
      <c r="C1946" s="20">
        <v>71</v>
      </c>
      <c r="D1946" s="20">
        <v>57</v>
      </c>
      <c r="E1946" s="20">
        <v>18</v>
      </c>
      <c r="F1946" s="20" t="s">
        <v>18636</v>
      </c>
      <c r="G1946" s="20" t="s">
        <v>18637</v>
      </c>
      <c r="H1946" s="24"/>
      <c r="I1946" s="24" t="str">
        <f ca="1">IFERROR(__xludf.DUMMYFUNCTION("GOOGLETRANSLATE(F1946,""en"",""pt"")"),"painéis de barreira de segurança de betão")</f>
        <v>painéis de barreira de segurança de betão</v>
      </c>
      <c r="J1946">
        <f>VLOOKUP(A1946,Pr_Base_LNEC!$A$4:$J$6971,6,FALSE)</f>
        <v>0</v>
      </c>
      <c r="K1946">
        <f>VLOOKUP(A1946,Pr_Base_LNEC!$A$4:$J$6971,7,FALSE)</f>
        <v>0</v>
      </c>
    </row>
    <row r="1947" spans="1:11" ht="14.5">
      <c r="A1947" s="20" t="s">
        <v>18638</v>
      </c>
      <c r="B1947" s="20">
        <v>25</v>
      </c>
      <c r="C1947" s="20">
        <v>71</v>
      </c>
      <c r="D1947" s="20">
        <v>57</v>
      </c>
      <c r="E1947" s="20">
        <v>19</v>
      </c>
      <c r="F1947" s="20" t="s">
        <v>18639</v>
      </c>
      <c r="G1947" s="24"/>
      <c r="H1947" s="24"/>
      <c r="I1947" s="24" t="str">
        <f ca="1">IFERROR(__xludf.DUMMYFUNCTION("GOOGLETRANSLATE(F1947,""en"",""pt"")"),"painéis de barreira de ruído concreto")</f>
        <v>painéis de barreira de ruído concreto</v>
      </c>
      <c r="J1947" t="e">
        <f>VLOOKUP(A1947,Pr_Base_LNEC!$A$4:$J$6971,6,FALSE)</f>
        <v>#N/A</v>
      </c>
      <c r="K1947" t="e">
        <f>VLOOKUP(A1947,Pr_Base_LNEC!$A$4:$J$6971,7,FALSE)</f>
        <v>#N/A</v>
      </c>
    </row>
    <row r="1948" spans="1:11" ht="14.5">
      <c r="A1948" s="20" t="s">
        <v>18640</v>
      </c>
      <c r="B1948" s="20">
        <v>25</v>
      </c>
      <c r="C1948" s="20">
        <v>71</v>
      </c>
      <c r="D1948" s="20">
        <v>57</v>
      </c>
      <c r="E1948" s="20">
        <v>22</v>
      </c>
      <c r="F1948" s="20" t="s">
        <v>18641</v>
      </c>
      <c r="G1948" s="24"/>
      <c r="H1948" s="24"/>
      <c r="I1948" s="24" t="str">
        <f ca="1">IFERROR(__xludf.DUMMYFUNCTION("GOOGLETRANSLATE(F1948,""en"",""pt"")"),"painéis de vedação concreto decorativos")</f>
        <v>painéis de vedação concreto decorativos</v>
      </c>
      <c r="J1948">
        <f>VLOOKUP(A1948,Pr_Base_LNEC!$A$4:$J$6971,6,FALSE)</f>
        <v>0</v>
      </c>
      <c r="K1948">
        <f>VLOOKUP(A1948,Pr_Base_LNEC!$A$4:$J$6971,7,FALSE)</f>
        <v>0</v>
      </c>
    </row>
    <row r="1949" spans="1:11" ht="14.5">
      <c r="A1949" s="20" t="s">
        <v>18642</v>
      </c>
      <c r="B1949" s="20">
        <v>25</v>
      </c>
      <c r="C1949" s="20">
        <v>71</v>
      </c>
      <c r="D1949" s="20">
        <v>57</v>
      </c>
      <c r="E1949" s="20">
        <v>24</v>
      </c>
      <c r="F1949" s="20" t="s">
        <v>18643</v>
      </c>
      <c r="G1949" s="24"/>
      <c r="H1949" s="24"/>
      <c r="I1949" s="24" t="str">
        <f ca="1">IFERROR(__xludf.DUMMYFUNCTION("GOOGLETRANSLATE(F1949,""en"",""pt"")"),"painéis de madeira decorativa")</f>
        <v>painéis de madeira decorativa</v>
      </c>
      <c r="J1949">
        <f>VLOOKUP(A1949,Pr_Base_LNEC!$A$4:$J$6971,6,FALSE)</f>
        <v>0</v>
      </c>
      <c r="K1949">
        <f>VLOOKUP(A1949,Pr_Base_LNEC!$A$4:$J$6971,7,FALSE)</f>
        <v>0</v>
      </c>
    </row>
    <row r="1950" spans="1:11" ht="14.5">
      <c r="A1950" s="20" t="s">
        <v>18644</v>
      </c>
      <c r="B1950" s="20">
        <v>25</v>
      </c>
      <c r="C1950" s="20">
        <v>71</v>
      </c>
      <c r="D1950" s="20">
        <v>57</v>
      </c>
      <c r="E1950" s="20">
        <v>34</v>
      </c>
      <c r="F1950" s="20" t="s">
        <v>18645</v>
      </c>
      <c r="G1950" s="24"/>
      <c r="H1950" s="24"/>
      <c r="I1950" s="24" t="str">
        <f ca="1">IFERROR(__xludf.DUMMYFUNCTION("GOOGLETRANSLATE(F1950,""en"",""pt"")"),"painéis de barreira de vidro")</f>
        <v>painéis de barreira de vidro</v>
      </c>
      <c r="J1950">
        <f>VLOOKUP(A1950,Pr_Base_LNEC!$A$4:$J$6971,6,FALSE)</f>
        <v>0</v>
      </c>
      <c r="K1950">
        <f>VLOOKUP(A1950,Pr_Base_LNEC!$A$4:$J$6971,7,FALSE)</f>
        <v>0</v>
      </c>
    </row>
    <row r="1951" spans="1:11" ht="14.5">
      <c r="A1951" s="20" t="s">
        <v>18646</v>
      </c>
      <c r="B1951" s="20">
        <v>25</v>
      </c>
      <c r="C1951" s="20">
        <v>71</v>
      </c>
      <c r="D1951" s="20">
        <v>57</v>
      </c>
      <c r="E1951" s="20">
        <v>35</v>
      </c>
      <c r="F1951" s="20" t="s">
        <v>18647</v>
      </c>
      <c r="G1951" s="20" t="s">
        <v>18648</v>
      </c>
      <c r="H1951" s="24"/>
      <c r="I1951" s="24" t="str">
        <f ca="1">IFERROR(__xludf.DUMMYFUNCTION("GOOGLETRANSLATE(F1951,""en"",""pt"")"),"de vidro plástico moldado painéis")</f>
        <v>de vidro plástico moldado painéis</v>
      </c>
      <c r="J1951">
        <f>VLOOKUP(A1951,Pr_Base_LNEC!$A$4:$J$6971,6,FALSE)</f>
        <v>0</v>
      </c>
      <c r="K1951">
        <f>VLOOKUP(A1951,Pr_Base_LNEC!$A$4:$J$6971,7,FALSE)</f>
        <v>0</v>
      </c>
    </row>
    <row r="1952" spans="1:11" ht="14.5">
      <c r="A1952" s="20" t="s">
        <v>18649</v>
      </c>
      <c r="B1952" s="20">
        <v>25</v>
      </c>
      <c r="C1952" s="20">
        <v>71</v>
      </c>
      <c r="D1952" s="20">
        <v>57</v>
      </c>
      <c r="E1952" s="20">
        <v>37</v>
      </c>
      <c r="F1952" s="20" t="s">
        <v>18650</v>
      </c>
      <c r="G1952" s="20" t="s">
        <v>18651</v>
      </c>
      <c r="H1952" s="24"/>
      <c r="I1952" s="24" t="str">
        <f ca="1">IFERROR(__xludf.DUMMYFUNCTION("GOOGLETRANSLATE(F1952,""en"",""pt"")"),"placas base de madeira")</f>
        <v>placas base de madeira</v>
      </c>
      <c r="J1952">
        <f>VLOOKUP(A1952,Pr_Base_LNEC!$A$4:$J$6971,6,FALSE)</f>
        <v>0</v>
      </c>
      <c r="K1952">
        <f>VLOOKUP(A1952,Pr_Base_LNEC!$A$4:$J$6971,7,FALSE)</f>
        <v>0</v>
      </c>
    </row>
    <row r="1953" spans="1:11" ht="14.5">
      <c r="A1953" s="20" t="s">
        <v>18652</v>
      </c>
      <c r="B1953" s="20">
        <v>25</v>
      </c>
      <c r="C1953" s="20">
        <v>71</v>
      </c>
      <c r="D1953" s="20">
        <v>57</v>
      </c>
      <c r="E1953" s="20">
        <v>38</v>
      </c>
      <c r="F1953" s="20" t="s">
        <v>18653</v>
      </c>
      <c r="G1953" s="20" t="s">
        <v>18654</v>
      </c>
      <c r="H1953" s="24"/>
      <c r="I1953" s="24" t="str">
        <f ca="1">IFERROR(__xludf.DUMMYFUNCTION("GOOGLETRANSLATE(F1953,""en"",""pt"")"),"Hardwood moldado painéis")</f>
        <v>Hardwood moldado painéis</v>
      </c>
      <c r="J1953">
        <f>VLOOKUP(A1953,Pr_Base_LNEC!$A$4:$J$6971,6,FALSE)</f>
        <v>0</v>
      </c>
      <c r="K1953">
        <f>VLOOKUP(A1953,Pr_Base_LNEC!$A$4:$J$6971,7,FALSE)</f>
        <v>0</v>
      </c>
    </row>
    <row r="1954" spans="1:11" ht="14.5">
      <c r="A1954" s="20" t="s">
        <v>18655</v>
      </c>
      <c r="B1954" s="20">
        <v>25</v>
      </c>
      <c r="C1954" s="20">
        <v>71</v>
      </c>
      <c r="D1954" s="20">
        <v>57</v>
      </c>
      <c r="E1954" s="20">
        <v>39</v>
      </c>
      <c r="F1954" s="20" t="s">
        <v>18656</v>
      </c>
      <c r="G1954" s="20" t="s">
        <v>18657</v>
      </c>
      <c r="H1954" s="24"/>
      <c r="I1954" s="24" t="str">
        <f ca="1">IFERROR(__xludf.DUMMYFUNCTION("GOOGLETRANSLATE(F1954,""en"",""pt"")"),"painéis paliçada Hardwood")</f>
        <v>painéis paliçada Hardwood</v>
      </c>
      <c r="J1954">
        <f>VLOOKUP(A1954,Pr_Base_LNEC!$A$4:$J$6971,6,FALSE)</f>
        <v>0</v>
      </c>
      <c r="K1954">
        <f>VLOOKUP(A1954,Pr_Base_LNEC!$A$4:$J$6971,7,FALSE)</f>
        <v>0</v>
      </c>
    </row>
    <row r="1955" spans="1:11" ht="14.5">
      <c r="A1955" s="20" t="s">
        <v>18658</v>
      </c>
      <c r="B1955" s="20">
        <v>25</v>
      </c>
      <c r="C1955" s="20">
        <v>71</v>
      </c>
      <c r="D1955" s="20">
        <v>57</v>
      </c>
      <c r="E1955" s="20">
        <v>40</v>
      </c>
      <c r="F1955" s="20" t="s">
        <v>18659</v>
      </c>
      <c r="G1955" s="20" t="s">
        <v>18660</v>
      </c>
      <c r="H1955" s="24"/>
      <c r="I1955" s="24" t="str">
        <f ca="1">IFERROR(__xludf.DUMMYFUNCTION("GOOGLETRANSLATE(F1955,""en"",""pt"")"),"obstáculos acácia Hazel")</f>
        <v>obstáculos acácia Hazel</v>
      </c>
      <c r="J1955">
        <f>VLOOKUP(A1955,Pr_Base_LNEC!$A$4:$J$6971,6,FALSE)</f>
        <v>0</v>
      </c>
      <c r="K1955">
        <f>VLOOKUP(A1955,Pr_Base_LNEC!$A$4:$J$6971,7,FALSE)</f>
        <v>0</v>
      </c>
    </row>
    <row r="1956" spans="1:11" ht="14.5">
      <c r="A1956" s="20" t="s">
        <v>18661</v>
      </c>
      <c r="B1956" s="20">
        <v>25</v>
      </c>
      <c r="C1956" s="20">
        <v>71</v>
      </c>
      <c r="D1956" s="20">
        <v>57</v>
      </c>
      <c r="E1956" s="20">
        <v>44</v>
      </c>
      <c r="F1956" s="20" t="s">
        <v>18662</v>
      </c>
      <c r="G1956" s="20" t="s">
        <v>18663</v>
      </c>
      <c r="H1956" s="24"/>
      <c r="I1956" s="24" t="str">
        <f ca="1">IFERROR(__xludf.DUMMYFUNCTION("GOOGLETRANSLATE(F1956,""en"",""pt"")"),"defletores Jet explosão")</f>
        <v>defletores Jet explosão</v>
      </c>
      <c r="J1956">
        <f>VLOOKUP(A1956,Pr_Base_LNEC!$A$4:$J$6971,6,FALSE)</f>
        <v>0</v>
      </c>
      <c r="K1956">
        <f>VLOOKUP(A1956,Pr_Base_LNEC!$A$4:$J$6971,7,FALSE)</f>
        <v>0</v>
      </c>
    </row>
    <row r="1957" spans="1:11" ht="14.5">
      <c r="A1957" s="20" t="s">
        <v>18664</v>
      </c>
      <c r="B1957" s="20">
        <v>25</v>
      </c>
      <c r="C1957" s="20">
        <v>71</v>
      </c>
      <c r="D1957" s="20">
        <v>57</v>
      </c>
      <c r="E1957" s="20">
        <v>60</v>
      </c>
      <c r="F1957" s="20" t="s">
        <v>18665</v>
      </c>
      <c r="G1957" s="20" t="s">
        <v>18666</v>
      </c>
      <c r="H1957" s="24"/>
      <c r="I1957" s="24" t="str">
        <f ca="1">IFERROR(__xludf.DUMMYFUNCTION("GOOGLETRANSLATE(F1957,""en"",""pt"")"),"painéis divisórios")</f>
        <v>painéis divisórios</v>
      </c>
      <c r="J1957">
        <f>VLOOKUP(A1957,Pr_Base_LNEC!$A$4:$J$6971,6,FALSE)</f>
        <v>0</v>
      </c>
      <c r="K1957">
        <f>VLOOKUP(A1957,Pr_Base_LNEC!$A$4:$J$6971,7,FALSE)</f>
        <v>0</v>
      </c>
    </row>
    <row r="1958" spans="1:11" ht="14.5">
      <c r="A1958" s="20" t="s">
        <v>18667</v>
      </c>
      <c r="B1958" s="20">
        <v>25</v>
      </c>
      <c r="C1958" s="20">
        <v>71</v>
      </c>
      <c r="D1958" s="20">
        <v>57</v>
      </c>
      <c r="E1958" s="20">
        <v>61</v>
      </c>
      <c r="F1958" s="20" t="s">
        <v>18668</v>
      </c>
      <c r="G1958" s="24"/>
      <c r="H1958" s="24"/>
      <c r="I1958" s="24" t="str">
        <f ca="1">IFERROR(__xludf.DUMMYFUNCTION("GOOGLETRANSLATE(F1958,""en"",""pt"")"),"telas de partição")</f>
        <v>telas de partição</v>
      </c>
      <c r="J1958">
        <f>VLOOKUP(A1958,Pr_Base_LNEC!$A$4:$J$6971,6,FALSE)</f>
        <v>0</v>
      </c>
      <c r="K1958">
        <f>VLOOKUP(A1958,Pr_Base_LNEC!$A$4:$J$6971,7,FALSE)</f>
        <v>0</v>
      </c>
    </row>
    <row r="1959" spans="1:11" ht="14.5">
      <c r="A1959" s="20" t="s">
        <v>18669</v>
      </c>
      <c r="B1959" s="20">
        <v>25</v>
      </c>
      <c r="C1959" s="20">
        <v>71</v>
      </c>
      <c r="D1959" s="20">
        <v>57</v>
      </c>
      <c r="E1959" s="20">
        <v>62</v>
      </c>
      <c r="F1959" s="20" t="s">
        <v>18670</v>
      </c>
      <c r="G1959" s="20" t="s">
        <v>18671</v>
      </c>
      <c r="H1959" s="24"/>
      <c r="I1959" s="24" t="str">
        <f ca="1">IFERROR(__xludf.DUMMYFUNCTION("GOOGLETRANSLATE(F1959,""en"",""pt"")"),"Plásticos moldado painéis")</f>
        <v>Plásticos moldado painéis</v>
      </c>
      <c r="J1959">
        <f>VLOOKUP(A1959,Pr_Base_LNEC!$A$4:$J$6971,6,FALSE)</f>
        <v>0</v>
      </c>
      <c r="K1959">
        <f>VLOOKUP(A1959,Pr_Base_LNEC!$A$4:$J$6971,7,FALSE)</f>
        <v>0</v>
      </c>
    </row>
    <row r="1960" spans="1:11" ht="14.5">
      <c r="A1960" s="20" t="s">
        <v>18672</v>
      </c>
      <c r="B1960" s="20">
        <v>25</v>
      </c>
      <c r="C1960" s="20">
        <v>71</v>
      </c>
      <c r="D1960" s="20">
        <v>57</v>
      </c>
      <c r="E1960" s="20">
        <v>63</v>
      </c>
      <c r="F1960" s="20" t="s">
        <v>18673</v>
      </c>
      <c r="G1960" s="20" t="s">
        <v>18674</v>
      </c>
      <c r="H1960" s="24"/>
      <c r="I1960" s="24" t="str">
        <f ca="1">IFERROR(__xludf.DUMMYFUNCTION("GOOGLETRANSLATE(F1960,""en"",""pt"")"),"painéis plásticos")</f>
        <v>painéis plásticos</v>
      </c>
      <c r="J1960">
        <f>VLOOKUP(A1960,Pr_Base_LNEC!$A$4:$J$6971,6,FALSE)</f>
        <v>0</v>
      </c>
      <c r="K1960">
        <f>VLOOKUP(A1960,Pr_Base_LNEC!$A$4:$J$6971,7,FALSE)</f>
        <v>0</v>
      </c>
    </row>
    <row r="1961" spans="1:11" ht="14.5">
      <c r="A1961" s="20" t="s">
        <v>18675</v>
      </c>
      <c r="B1961" s="20">
        <v>25</v>
      </c>
      <c r="C1961" s="20">
        <v>71</v>
      </c>
      <c r="D1961" s="20">
        <v>57</v>
      </c>
      <c r="E1961" s="20">
        <v>64</v>
      </c>
      <c r="F1961" s="20" t="s">
        <v>18676</v>
      </c>
      <c r="G1961" s="20" t="s">
        <v>18677</v>
      </c>
      <c r="H1961" s="24"/>
      <c r="I1961" s="24" t="str">
        <f ca="1">IFERROR(__xludf.DUMMYFUNCTION("GOOGLETRANSLATE(F1961,""en"",""pt"")"),"Plásticos topos cerca de painel")</f>
        <v>Plásticos topos cerca de painel</v>
      </c>
      <c r="J1961">
        <f>VLOOKUP(A1961,Pr_Base_LNEC!$A$4:$J$6971,6,FALSE)</f>
        <v>0</v>
      </c>
      <c r="K1961">
        <f>VLOOKUP(A1961,Pr_Base_LNEC!$A$4:$J$6971,7,FALSE)</f>
        <v>0</v>
      </c>
    </row>
    <row r="1962" spans="1:11" ht="14.5">
      <c r="A1962" s="20" t="s">
        <v>18678</v>
      </c>
      <c r="B1962" s="20">
        <v>25</v>
      </c>
      <c r="C1962" s="20">
        <v>71</v>
      </c>
      <c r="D1962" s="20">
        <v>57</v>
      </c>
      <c r="E1962" s="20">
        <v>65</v>
      </c>
      <c r="F1962" s="20" t="s">
        <v>18679</v>
      </c>
      <c r="G1962" s="20" t="s">
        <v>18680</v>
      </c>
      <c r="H1962" s="24"/>
      <c r="I1962" s="24" t="str">
        <f ca="1">IFERROR(__xludf.DUMMYFUNCTION("GOOGLETRANSLATE(F1962,""en"",""pt"")"),"painéis de contraplacado moldado")</f>
        <v>painéis de contraplacado moldado</v>
      </c>
      <c r="J1962">
        <f>VLOOKUP(A1962,Pr_Base_LNEC!$A$4:$J$6971,6,FALSE)</f>
        <v>0</v>
      </c>
      <c r="K1962">
        <f>VLOOKUP(A1962,Pr_Base_LNEC!$A$4:$J$6971,7,FALSE)</f>
        <v>0</v>
      </c>
    </row>
    <row r="1963" spans="1:11" ht="14.5">
      <c r="A1963" s="20" t="s">
        <v>18681</v>
      </c>
      <c r="B1963" s="20">
        <v>25</v>
      </c>
      <c r="C1963" s="20">
        <v>71</v>
      </c>
      <c r="D1963" s="20">
        <v>57</v>
      </c>
      <c r="E1963" s="20">
        <v>66</v>
      </c>
      <c r="F1963" s="20" t="s">
        <v>18682</v>
      </c>
      <c r="G1963" s="24"/>
      <c r="H1963" s="24"/>
      <c r="I1963" s="24" t="str">
        <f ca="1">IFERROR(__xludf.DUMMYFUNCTION("GOOGLETRANSLATE(F1963,""en"",""pt"")"),"placas de base polimérica")</f>
        <v>placas de base polimérica</v>
      </c>
      <c r="J1963">
        <f>VLOOKUP(A1963,Pr_Base_LNEC!$A$4:$J$6971,6,FALSE)</f>
        <v>0</v>
      </c>
      <c r="K1963">
        <f>VLOOKUP(A1963,Pr_Base_LNEC!$A$4:$J$6971,7,FALSE)</f>
        <v>0</v>
      </c>
    </row>
    <row r="1964" spans="1:11" ht="14.5">
      <c r="A1964" s="20" t="s">
        <v>18683</v>
      </c>
      <c r="B1964" s="20">
        <v>25</v>
      </c>
      <c r="C1964" s="20">
        <v>71</v>
      </c>
      <c r="D1964" s="20">
        <v>57</v>
      </c>
      <c r="E1964" s="20">
        <v>67</v>
      </c>
      <c r="F1964" s="20" t="s">
        <v>18684</v>
      </c>
      <c r="G1964" s="24"/>
      <c r="H1964" s="24"/>
      <c r="I1964" s="24" t="str">
        <f ca="1">IFERROR(__xludf.DUMMYFUNCTION("GOOGLETRANSLATE(F1964,""en"",""pt"")"),"painéis à base de polímero")</f>
        <v>painéis à base de polímero</v>
      </c>
      <c r="J1964">
        <f>VLOOKUP(A1964,Pr_Base_LNEC!$A$4:$J$6971,6,FALSE)</f>
        <v>0</v>
      </c>
      <c r="K1964">
        <f>VLOOKUP(A1964,Pr_Base_LNEC!$A$4:$J$6971,7,FALSE)</f>
        <v>0</v>
      </c>
    </row>
    <row r="1965" spans="1:11" ht="14.5">
      <c r="A1965" s="20" t="s">
        <v>18685</v>
      </c>
      <c r="B1965" s="20">
        <v>25</v>
      </c>
      <c r="C1965" s="20">
        <v>71</v>
      </c>
      <c r="D1965" s="20">
        <v>57</v>
      </c>
      <c r="E1965" s="20">
        <v>73</v>
      </c>
      <c r="F1965" s="20" t="s">
        <v>18686</v>
      </c>
      <c r="G1965" s="24"/>
      <c r="H1965" s="24"/>
      <c r="I1965" s="24" t="str">
        <f ca="1">IFERROR(__xludf.DUMMYFUNCTION("GOOGLETRANSLATE(F1965,""en"",""pt"")"),"painéis de divisória")</f>
        <v>painéis de divisória</v>
      </c>
      <c r="J1965">
        <f>VLOOKUP(A1965,Pr_Base_LNEC!$A$4:$J$6971,6,FALSE)</f>
        <v>0</v>
      </c>
      <c r="K1965">
        <f>VLOOKUP(A1965,Pr_Base_LNEC!$A$4:$J$6971,7,FALSE)</f>
        <v>0</v>
      </c>
    </row>
    <row r="1966" spans="1:11" ht="14.5">
      <c r="A1966" s="20" t="s">
        <v>18687</v>
      </c>
      <c r="B1966" s="20">
        <v>25</v>
      </c>
      <c r="C1966" s="20">
        <v>71</v>
      </c>
      <c r="D1966" s="20">
        <v>57</v>
      </c>
      <c r="E1966" s="20">
        <v>80</v>
      </c>
      <c r="F1966" s="20" t="s">
        <v>18688</v>
      </c>
      <c r="G1966" s="20" t="s">
        <v>18689</v>
      </c>
      <c r="H1966" s="24"/>
      <c r="I1966" s="24" t="str">
        <f ca="1">IFERROR(__xludf.DUMMYFUNCTION("GOOGLETRANSLATE(F1966,""en"",""pt"")"),"Deslizando empilhamento partições do painel")</f>
        <v>Deslizando empilhamento partições do painel</v>
      </c>
      <c r="J1966">
        <f>VLOOKUP(A1966,Pr_Base_LNEC!$A$4:$J$6971,6,FALSE)</f>
        <v>0</v>
      </c>
      <c r="K1966">
        <f>VLOOKUP(A1966,Pr_Base_LNEC!$A$4:$J$6971,7,FALSE)</f>
        <v>0</v>
      </c>
    </row>
    <row r="1967" spans="1:11" ht="14.5">
      <c r="A1967" s="20" t="s">
        <v>18690</v>
      </c>
      <c r="B1967" s="20">
        <v>25</v>
      </c>
      <c r="C1967" s="20">
        <v>71</v>
      </c>
      <c r="D1967" s="20">
        <v>57</v>
      </c>
      <c r="E1967" s="20">
        <v>81</v>
      </c>
      <c r="F1967" s="20" t="s">
        <v>18691</v>
      </c>
      <c r="G1967" s="20" t="s">
        <v>18692</v>
      </c>
      <c r="H1967" s="24"/>
      <c r="I1967" s="24" t="str">
        <f ca="1">IFERROR(__xludf.DUMMYFUNCTION("GOOGLETRANSLATE(F1967,""en"",""pt"")"),"placas de base de madeira macia")</f>
        <v>placas de base de madeira macia</v>
      </c>
      <c r="J1967">
        <f>VLOOKUP(A1967,Pr_Base_LNEC!$A$4:$J$6971,6,FALSE)</f>
        <v>0</v>
      </c>
      <c r="K1967">
        <f>VLOOKUP(A1967,Pr_Base_LNEC!$A$4:$J$6971,7,FALSE)</f>
        <v>0</v>
      </c>
    </row>
    <row r="1968" spans="1:11" ht="14.5">
      <c r="A1968" s="20" t="s">
        <v>18693</v>
      </c>
      <c r="B1968" s="20">
        <v>25</v>
      </c>
      <c r="C1968" s="20">
        <v>71</v>
      </c>
      <c r="D1968" s="20">
        <v>57</v>
      </c>
      <c r="E1968" s="20">
        <v>82</v>
      </c>
      <c r="F1968" s="20" t="s">
        <v>18694</v>
      </c>
      <c r="G1968" s="20" t="s">
        <v>18695</v>
      </c>
      <c r="H1968" s="24"/>
      <c r="I1968" s="24" t="str">
        <f ca="1">IFERROR(__xludf.DUMMYFUNCTION("GOOGLETRANSLATE(F1968,""en"",""pt"")"),"Softwood moldado painéis")</f>
        <v>Softwood moldado painéis</v>
      </c>
      <c r="J1968">
        <f>VLOOKUP(A1968,Pr_Base_LNEC!$A$4:$J$6971,6,FALSE)</f>
        <v>0</v>
      </c>
      <c r="K1968">
        <f>VLOOKUP(A1968,Pr_Base_LNEC!$A$4:$J$6971,7,FALSE)</f>
        <v>0</v>
      </c>
    </row>
    <row r="1969" spans="1:11" ht="14.5">
      <c r="A1969" s="20" t="s">
        <v>18696</v>
      </c>
      <c r="B1969" s="20">
        <v>25</v>
      </c>
      <c r="C1969" s="20">
        <v>71</v>
      </c>
      <c r="D1969" s="20">
        <v>57</v>
      </c>
      <c r="E1969" s="20">
        <v>83</v>
      </c>
      <c r="F1969" s="20" t="s">
        <v>18697</v>
      </c>
      <c r="G1969" s="20" t="s">
        <v>18698</v>
      </c>
      <c r="H1969" s="24"/>
      <c r="I1969" s="24" t="str">
        <f ca="1">IFERROR(__xludf.DUMMYFUNCTION("GOOGLETRANSLATE(F1969,""en"",""pt"")"),"painéis de vedação em paliçada de madeira macia")</f>
        <v>painéis de vedação em paliçada de madeira macia</v>
      </c>
      <c r="J1969">
        <f>VLOOKUP(A1969,Pr_Base_LNEC!$A$4:$J$6971,6,FALSE)</f>
        <v>0</v>
      </c>
      <c r="K1969">
        <f>VLOOKUP(A1969,Pr_Base_LNEC!$A$4:$J$6971,7,FALSE)</f>
        <v>0</v>
      </c>
    </row>
    <row r="1970" spans="1:11" ht="14.5">
      <c r="A1970" s="20" t="s">
        <v>18699</v>
      </c>
      <c r="B1970" s="20">
        <v>25</v>
      </c>
      <c r="C1970" s="20">
        <v>71</v>
      </c>
      <c r="D1970" s="20">
        <v>57</v>
      </c>
      <c r="E1970" s="20">
        <v>87</v>
      </c>
      <c r="F1970" s="20" t="s">
        <v>18700</v>
      </c>
      <c r="G1970" s="24"/>
      <c r="H1970" s="24"/>
      <c r="I1970" s="24" t="str">
        <f ca="1">IFERROR(__xludf.DUMMYFUNCTION("GOOGLETRANSLATE(F1970,""en"",""pt"")"),"placas de base de madeira")</f>
        <v>placas de base de madeira</v>
      </c>
      <c r="J1970">
        <f>VLOOKUP(A1970,Pr_Base_LNEC!$A$4:$J$6971,6,FALSE)</f>
        <v>0</v>
      </c>
      <c r="K1970">
        <f>VLOOKUP(A1970,Pr_Base_LNEC!$A$4:$J$6971,7,FALSE)</f>
        <v>0</v>
      </c>
    </row>
    <row r="1971" spans="1:11" ht="14.5">
      <c r="A1971" s="20" t="s">
        <v>18701</v>
      </c>
      <c r="B1971" s="20">
        <v>25</v>
      </c>
      <c r="C1971" s="20">
        <v>71</v>
      </c>
      <c r="D1971" s="20">
        <v>57</v>
      </c>
      <c r="E1971" s="20">
        <v>88</v>
      </c>
      <c r="F1971" s="20" t="s">
        <v>18702</v>
      </c>
      <c r="G1971" s="24"/>
      <c r="H1971" s="24"/>
      <c r="I1971" s="24" t="str">
        <f ca="1">IFERROR(__xludf.DUMMYFUNCTION("GOOGLETRANSLATE(F1971,""en"",""pt"")"),"painéis de madeira")</f>
        <v>painéis de madeira</v>
      </c>
      <c r="J1971">
        <f>VLOOKUP(A1971,Pr_Base_LNEC!$A$4:$J$6971,6,FALSE)</f>
        <v>0</v>
      </c>
      <c r="K1971">
        <f>VLOOKUP(A1971,Pr_Base_LNEC!$A$4:$J$6971,7,FALSE)</f>
        <v>0</v>
      </c>
    </row>
    <row r="1972" spans="1:11" ht="14.5">
      <c r="A1972" s="20" t="s">
        <v>18703</v>
      </c>
      <c r="B1972" s="20">
        <v>25</v>
      </c>
      <c r="C1972" s="20">
        <v>71</v>
      </c>
      <c r="D1972" s="20">
        <v>57</v>
      </c>
      <c r="E1972" s="20">
        <v>90</v>
      </c>
      <c r="F1972" s="20" t="s">
        <v>18704</v>
      </c>
      <c r="G1972" s="24"/>
      <c r="H1972" s="24"/>
      <c r="I1972" s="24" t="str">
        <f ca="1">IFERROR(__xludf.DUMMYFUNCTION("GOOGLETRANSLATE(F1972,""en"",""pt"")"),"painéis de chapas de madeira")</f>
        <v>painéis de chapas de madeira</v>
      </c>
      <c r="J1972">
        <f>VLOOKUP(A1972,Pr_Base_LNEC!$A$4:$J$6971,6,FALSE)</f>
        <v>0</v>
      </c>
      <c r="K1972">
        <f>VLOOKUP(A1972,Pr_Base_LNEC!$A$4:$J$6971,7,FALSE)</f>
        <v>0</v>
      </c>
    </row>
    <row r="1973" spans="1:11" ht="14.5">
      <c r="A1973" s="20" t="s">
        <v>18705</v>
      </c>
      <c r="B1973" s="20">
        <v>25</v>
      </c>
      <c r="C1973" s="20">
        <v>71</v>
      </c>
      <c r="D1973" s="20">
        <v>57</v>
      </c>
      <c r="E1973" s="20">
        <v>97</v>
      </c>
      <c r="F1973" s="20" t="s">
        <v>18706</v>
      </c>
      <c r="G1973" s="24"/>
      <c r="H1973" s="24"/>
      <c r="I1973" s="24" t="str">
        <f ca="1">IFERROR(__xludf.DUMMYFUNCTION("GOOGLETRANSLATE(F1973,""en"",""pt"")"),"obstáculos acácia")</f>
        <v>obstáculos acácia</v>
      </c>
      <c r="J1973">
        <f>VLOOKUP(A1973,Pr_Base_LNEC!$A$4:$J$6971,6,FALSE)</f>
        <v>0</v>
      </c>
      <c r="K1973">
        <f>VLOOKUP(A1973,Pr_Base_LNEC!$A$4:$J$6971,7,FALSE)</f>
        <v>0</v>
      </c>
    </row>
    <row r="1974" spans="1:11" ht="14.5">
      <c r="A1974" s="20" t="s">
        <v>18707</v>
      </c>
      <c r="B1974" s="20">
        <v>25</v>
      </c>
      <c r="C1974" s="20">
        <v>71</v>
      </c>
      <c r="D1974" s="20">
        <v>57</v>
      </c>
      <c r="E1974" s="20">
        <v>98</v>
      </c>
      <c r="F1974" s="20" t="s">
        <v>18708</v>
      </c>
      <c r="G1974" s="20" t="s">
        <v>18709</v>
      </c>
      <c r="H1974" s="24"/>
      <c r="I1974" s="24" t="str">
        <f ca="1">IFERROR(__xludf.DUMMYFUNCTION("GOOGLETRANSLATE(F1974,""en"",""pt"")"),"obstáculos Willow acácia")</f>
        <v>obstáculos Willow acácia</v>
      </c>
      <c r="J1974">
        <f>VLOOKUP(A1974,Pr_Base_LNEC!$A$4:$J$6971,6,FALSE)</f>
        <v>0</v>
      </c>
      <c r="K1974">
        <f>VLOOKUP(A1974,Pr_Base_LNEC!$A$4:$J$6971,7,FALSE)</f>
        <v>0</v>
      </c>
    </row>
    <row r="1975" spans="1:11" ht="14.5">
      <c r="A1975" s="20" t="s">
        <v>18710</v>
      </c>
      <c r="B1975" s="20">
        <v>25</v>
      </c>
      <c r="C1975" s="20">
        <v>71</v>
      </c>
      <c r="D1975" s="20">
        <v>63</v>
      </c>
      <c r="E1975" s="24"/>
      <c r="F1975" s="20" t="s">
        <v>18711</v>
      </c>
      <c r="G1975" s="24"/>
      <c r="H1975" s="24"/>
      <c r="I1975" s="24" t="str">
        <f ca="1">IFERROR(__xludf.DUMMYFUNCTION("GOOGLETRANSLATE(F1975,""en"",""pt"")"),"tábuas e folhas de plástico à base de")</f>
        <v>tábuas e folhas de plástico à base de</v>
      </c>
      <c r="J1975">
        <f>VLOOKUP(A1975,Pr_Base_LNEC!$A$4:$J$6971,6,FALSE)</f>
        <v>0</v>
      </c>
      <c r="K1975">
        <f>VLOOKUP(A1975,Pr_Base_LNEC!$A$4:$J$6971,7,FALSE)</f>
        <v>0</v>
      </c>
    </row>
    <row r="1976" spans="1:11" ht="14.5">
      <c r="A1976" s="20" t="s">
        <v>18712</v>
      </c>
      <c r="B1976" s="20">
        <v>25</v>
      </c>
      <c r="C1976" s="20">
        <v>71</v>
      </c>
      <c r="D1976" s="20">
        <v>63</v>
      </c>
      <c r="E1976" s="20">
        <v>15</v>
      </c>
      <c r="F1976" s="20" t="s">
        <v>18713</v>
      </c>
      <c r="G1976" s="20" t="s">
        <v>18714</v>
      </c>
      <c r="H1976" s="24"/>
      <c r="I1976" s="24" t="str">
        <f ca="1">IFERROR(__xludf.DUMMYFUNCTION("GOOGLETRANSLATE(F1976,""en"",""pt"")"),"laminados de alta pressão grau compacto ou sólido (HPL) placas")</f>
        <v>laminados de alta pressão grau compacto ou sólido (HPL) placas</v>
      </c>
      <c r="J1976">
        <f>VLOOKUP(A1976,Pr_Base_LNEC!$A$4:$J$6971,6,FALSE)</f>
        <v>0</v>
      </c>
      <c r="K1976">
        <f>VLOOKUP(A1976,Pr_Base_LNEC!$A$4:$J$6971,7,FALSE)</f>
        <v>0</v>
      </c>
    </row>
    <row r="1977" spans="1:11" ht="14.5">
      <c r="A1977" s="20" t="s">
        <v>18715</v>
      </c>
      <c r="B1977" s="20">
        <v>25</v>
      </c>
      <c r="C1977" s="20">
        <v>71</v>
      </c>
      <c r="D1977" s="20">
        <v>63</v>
      </c>
      <c r="E1977" s="20">
        <v>24</v>
      </c>
      <c r="F1977" s="20" t="s">
        <v>18716</v>
      </c>
      <c r="G1977" s="20" t="s">
        <v>18717</v>
      </c>
      <c r="H1977" s="24"/>
      <c r="I1977" s="24" t="str">
        <f ca="1">IFERROR(__xludf.DUMMYFUNCTION("GOOGLETRANSLATE(F1977,""en"",""pt"")"),"placas onduladas camada de drenagem")</f>
        <v>placas onduladas camada de drenagem</v>
      </c>
      <c r="J1977">
        <f>VLOOKUP(A1977,Pr_Base_LNEC!$A$4:$J$6971,6,FALSE)</f>
        <v>0</v>
      </c>
      <c r="K1977">
        <f>VLOOKUP(A1977,Pr_Base_LNEC!$A$4:$J$6971,7,FALSE)</f>
        <v>0</v>
      </c>
    </row>
    <row r="1978" spans="1:11" ht="14.5">
      <c r="A1978" s="20" t="s">
        <v>18718</v>
      </c>
      <c r="B1978" s="20">
        <v>25</v>
      </c>
      <c r="C1978" s="20">
        <v>71</v>
      </c>
      <c r="D1978" s="20">
        <v>63</v>
      </c>
      <c r="E1978" s="20">
        <v>26</v>
      </c>
      <c r="F1978" s="20" t="s">
        <v>18719</v>
      </c>
      <c r="G1978" s="20" t="s">
        <v>18720</v>
      </c>
      <c r="H1978" s="24"/>
      <c r="I1978" s="24" t="str">
        <f ca="1">IFERROR(__xludf.DUMMYFUNCTION("GOOGLETRANSLATE(F1978,""en"",""pt"")"),"poliestireno expandido (EPS) placas expandidas")</f>
        <v>poliestireno expandido (EPS) placas expandidas</v>
      </c>
      <c r="J1978">
        <f>VLOOKUP(A1978,Pr_Base_LNEC!$A$4:$J$6971,6,FALSE)</f>
        <v>0</v>
      </c>
      <c r="K1978">
        <f>VLOOKUP(A1978,Pr_Base_LNEC!$A$4:$J$6971,7,FALSE)</f>
        <v>0</v>
      </c>
    </row>
    <row r="1979" spans="1:11" ht="14.5">
      <c r="A1979" s="20" t="s">
        <v>18721</v>
      </c>
      <c r="B1979" s="20">
        <v>25</v>
      </c>
      <c r="C1979" s="20">
        <v>71</v>
      </c>
      <c r="D1979" s="20">
        <v>63</v>
      </c>
      <c r="E1979" s="20">
        <v>27</v>
      </c>
      <c r="F1979" s="20" t="s">
        <v>18722</v>
      </c>
      <c r="G1979" s="20" t="s">
        <v>18723</v>
      </c>
      <c r="H1979" s="24"/>
      <c r="I1979" s="24" t="str">
        <f ca="1">IFERROR(__xludf.DUMMYFUNCTION("GOOGLETRANSLATE(F1979,""en"",""pt"")"),"polietileno (PE) extrudados placas de espuma")</f>
        <v>polietileno (PE) extrudados placas de espuma</v>
      </c>
      <c r="J1979">
        <f>VLOOKUP(A1979,Pr_Base_LNEC!$A$4:$J$6971,6,FALSE)</f>
        <v>0</v>
      </c>
      <c r="K1979">
        <f>VLOOKUP(A1979,Pr_Base_LNEC!$A$4:$J$6971,7,FALSE)</f>
        <v>0</v>
      </c>
    </row>
    <row r="1980" spans="1:11" ht="14.5">
      <c r="A1980" s="20" t="s">
        <v>18724</v>
      </c>
      <c r="B1980" s="20">
        <v>25</v>
      </c>
      <c r="C1980" s="20">
        <v>71</v>
      </c>
      <c r="D1980" s="20">
        <v>63</v>
      </c>
      <c r="E1980" s="20">
        <v>29</v>
      </c>
      <c r="F1980" s="20" t="s">
        <v>18725</v>
      </c>
      <c r="G1980" s="20" t="s">
        <v>18726</v>
      </c>
      <c r="H1980" s="24"/>
      <c r="I1980" s="24" t="str">
        <f ca="1">IFERROR(__xludf.DUMMYFUNCTION("GOOGLETRANSLATE(F1980,""en"",""pt"")"),"poliestireno extrudido (XPS) placas")</f>
        <v>poliestireno extrudido (XPS) placas</v>
      </c>
      <c r="J1980">
        <f>VLOOKUP(A1980,Pr_Base_LNEC!$A$4:$J$6971,6,FALSE)</f>
        <v>0</v>
      </c>
      <c r="K1980">
        <f>VLOOKUP(A1980,Pr_Base_LNEC!$A$4:$J$6971,7,FALSE)</f>
        <v>0</v>
      </c>
    </row>
    <row r="1981" spans="1:11" ht="14.5">
      <c r="A1981" s="20" t="s">
        <v>18727</v>
      </c>
      <c r="B1981" s="20">
        <v>25</v>
      </c>
      <c r="C1981" s="20">
        <v>71</v>
      </c>
      <c r="D1981" s="20">
        <v>63</v>
      </c>
      <c r="E1981" s="20">
        <v>33</v>
      </c>
      <c r="F1981" s="20" t="s">
        <v>18728</v>
      </c>
      <c r="G1981" s="24"/>
      <c r="H1981" s="24"/>
      <c r="I1981" s="24" t="str">
        <f ca="1">IFERROR(__xludf.DUMMYFUNCTION("GOOGLETRANSLATE(F1981,""en"",""pt"")"),"plásticos reforçados de vidro (GRP) painéis perfilados")</f>
        <v>plásticos reforçados de vidro (GRP) painéis perfilados</v>
      </c>
      <c r="J1981">
        <f>VLOOKUP(A1981,Pr_Base_LNEC!$A$4:$J$6971,6,FALSE)</f>
        <v>0</v>
      </c>
      <c r="K1981">
        <f>VLOOKUP(A1981,Pr_Base_LNEC!$A$4:$J$6971,7,FALSE)</f>
        <v>0</v>
      </c>
    </row>
    <row r="1982" spans="1:11" ht="14.5">
      <c r="A1982" s="20" t="s">
        <v>18729</v>
      </c>
      <c r="B1982" s="20">
        <v>25</v>
      </c>
      <c r="C1982" s="20">
        <v>71</v>
      </c>
      <c r="D1982" s="20">
        <v>63</v>
      </c>
      <c r="E1982" s="20">
        <v>34</v>
      </c>
      <c r="F1982" s="20" t="s">
        <v>18730</v>
      </c>
      <c r="G1982" s="20" t="s">
        <v>18731</v>
      </c>
      <c r="H1982" s="24"/>
      <c r="I1982" s="24" t="str">
        <f ca="1">IFERROR(__xludf.DUMMYFUNCTION("GOOGLETRANSLATE(F1982,""en"",""pt"")"),"plásticos reforçados de vidro (GRP) Folhas perfiladas")</f>
        <v>plásticos reforçados de vidro (GRP) Folhas perfiladas</v>
      </c>
      <c r="J1982">
        <f>VLOOKUP(A1982,Pr_Base_LNEC!$A$4:$J$6971,6,FALSE)</f>
        <v>0</v>
      </c>
      <c r="K1982">
        <f>VLOOKUP(A1982,Pr_Base_LNEC!$A$4:$J$6971,7,FALSE)</f>
        <v>0</v>
      </c>
    </row>
    <row r="1983" spans="1:11" ht="14.5">
      <c r="A1983" s="20" t="s">
        <v>18732</v>
      </c>
      <c r="B1983" s="20">
        <v>25</v>
      </c>
      <c r="C1983" s="20">
        <v>71</v>
      </c>
      <c r="D1983" s="20">
        <v>63</v>
      </c>
      <c r="E1983" s="20">
        <v>38</v>
      </c>
      <c r="F1983" s="20" t="s">
        <v>18733</v>
      </c>
      <c r="G1983" s="24"/>
      <c r="H1983" s="24"/>
      <c r="I1983" s="24" t="str">
        <f ca="1">IFERROR(__xludf.DUMMYFUNCTION("GOOGLETRANSLATE(F1983,""en"",""pt"")"),"folhas de núcleo oco de plástico")</f>
        <v>folhas de núcleo oco de plástico</v>
      </c>
      <c r="J1983">
        <f>VLOOKUP(A1983,Pr_Base_LNEC!$A$4:$J$6971,6,FALSE)</f>
        <v>0</v>
      </c>
      <c r="K1983">
        <f>VLOOKUP(A1983,Pr_Base_LNEC!$A$4:$J$6971,7,FALSE)</f>
        <v>0</v>
      </c>
    </row>
    <row r="1984" spans="1:11" ht="14.5">
      <c r="A1984" s="20" t="s">
        <v>18734</v>
      </c>
      <c r="B1984" s="20">
        <v>25</v>
      </c>
      <c r="C1984" s="20">
        <v>71</v>
      </c>
      <c r="D1984" s="20">
        <v>63</v>
      </c>
      <c r="E1984" s="20">
        <v>59</v>
      </c>
      <c r="F1984" s="20" t="s">
        <v>18735</v>
      </c>
      <c r="G1984" s="20" t="s">
        <v>18736</v>
      </c>
      <c r="H1984" s="24"/>
      <c r="I1984" s="24" t="str">
        <f ca="1">IFERROR(__xludf.DUMMYFUNCTION("GOOGLETRANSLATE(F1984,""en"",""pt"")"),"placas de espuma fenólica")</f>
        <v>placas de espuma fenólica</v>
      </c>
      <c r="J1984">
        <f>VLOOKUP(A1984,Pr_Base_LNEC!$A$4:$J$6971,6,FALSE)</f>
        <v>0</v>
      </c>
      <c r="K1984">
        <f>VLOOKUP(A1984,Pr_Base_LNEC!$A$4:$J$6971,7,FALSE)</f>
        <v>0</v>
      </c>
    </row>
    <row r="1985" spans="1:11" ht="14.5">
      <c r="A1985" s="20" t="s">
        <v>18737</v>
      </c>
      <c r="B1985" s="20">
        <v>25</v>
      </c>
      <c r="C1985" s="20">
        <v>71</v>
      </c>
      <c r="D1985" s="20">
        <v>63</v>
      </c>
      <c r="E1985" s="20">
        <v>60</v>
      </c>
      <c r="F1985" s="20" t="s">
        <v>18738</v>
      </c>
      <c r="G1985" s="20" t="s">
        <v>18739</v>
      </c>
      <c r="H1985" s="24"/>
      <c r="I1985" s="24" t="str">
        <f ca="1">IFERROR(__xludf.DUMMYFUNCTION("GOOGLETRANSLATE(F1985,""en"",""pt"")"),"Plásticos e placas de materiais compósitos")</f>
        <v>Plásticos e placas de materiais compósitos</v>
      </c>
      <c r="J1985">
        <f>VLOOKUP(A1985,Pr_Base_LNEC!$A$4:$J$6971,6,FALSE)</f>
        <v>0</v>
      </c>
      <c r="K1985">
        <f>VLOOKUP(A1985,Pr_Base_LNEC!$A$4:$J$6971,7,FALSE)</f>
        <v>0</v>
      </c>
    </row>
    <row r="1986" spans="1:11" ht="14.5">
      <c r="A1986" s="20" t="s">
        <v>18740</v>
      </c>
      <c r="B1986" s="20">
        <v>25</v>
      </c>
      <c r="C1986" s="20">
        <v>71</v>
      </c>
      <c r="D1986" s="20">
        <v>63</v>
      </c>
      <c r="E1986" s="20">
        <v>61</v>
      </c>
      <c r="F1986" s="20" t="s">
        <v>18741</v>
      </c>
      <c r="G1986" s="20" t="s">
        <v>18742</v>
      </c>
      <c r="H1986" s="24"/>
      <c r="I1986" s="24" t="str">
        <f ca="1">IFERROR(__xludf.DUMMYFUNCTION("GOOGLETRANSLATE(F1986,""en"",""pt"")"),"Plásticos basear placas")</f>
        <v>Plásticos basear placas</v>
      </c>
      <c r="J1986">
        <f>VLOOKUP(A1986,Pr_Base_LNEC!$A$4:$J$6971,6,FALSE)</f>
        <v>0</v>
      </c>
      <c r="K1986">
        <f>VLOOKUP(A1986,Pr_Base_LNEC!$A$4:$J$6971,7,FALSE)</f>
        <v>0</v>
      </c>
    </row>
    <row r="1987" spans="1:11" ht="14.5">
      <c r="A1987" s="20" t="s">
        <v>18743</v>
      </c>
      <c r="B1987" s="20">
        <v>25</v>
      </c>
      <c r="C1987" s="20">
        <v>71</v>
      </c>
      <c r="D1987" s="20">
        <v>63</v>
      </c>
      <c r="E1987" s="20">
        <v>62</v>
      </c>
      <c r="F1987" s="20" t="s">
        <v>18744</v>
      </c>
      <c r="G1987" s="24"/>
      <c r="H1987" s="24"/>
      <c r="I1987" s="24" t="str">
        <f ca="1">IFERROR(__xludf.DUMMYFUNCTION("GOOGLETRANSLATE(F1987,""en"",""pt"")"),"Plásticos e compósitos reciclados folhas")</f>
        <v>Plásticos e compósitos reciclados folhas</v>
      </c>
      <c r="J1987">
        <f>VLOOKUP(A1987,Pr_Base_LNEC!$A$4:$J$6971,6,FALSE)</f>
        <v>0</v>
      </c>
      <c r="K1987">
        <f>VLOOKUP(A1987,Pr_Base_LNEC!$A$4:$J$6971,7,FALSE)</f>
        <v>0</v>
      </c>
    </row>
    <row r="1988" spans="1:11" ht="14.5">
      <c r="A1988" s="20" t="s">
        <v>18745</v>
      </c>
      <c r="B1988" s="20">
        <v>25</v>
      </c>
      <c r="C1988" s="20">
        <v>71</v>
      </c>
      <c r="D1988" s="20">
        <v>63</v>
      </c>
      <c r="E1988" s="20">
        <v>63</v>
      </c>
      <c r="F1988" s="20" t="s">
        <v>18746</v>
      </c>
      <c r="G1988" s="20" t="s">
        <v>18747</v>
      </c>
      <c r="H1988" s="24"/>
      <c r="I1988" s="24" t="str">
        <f ca="1">IFERROR(__xludf.DUMMYFUNCTION("GOOGLETRANSLATE(F1988,""en"",""pt"")"),"Plásticos tiras laminados compósitos e placas")</f>
        <v>Plásticos tiras laminados compósitos e placas</v>
      </c>
      <c r="J1988">
        <f>VLOOKUP(A1988,Pr_Base_LNEC!$A$4:$J$6971,6,FALSE)</f>
        <v>0</v>
      </c>
      <c r="K1988">
        <f>VLOOKUP(A1988,Pr_Base_LNEC!$A$4:$J$6971,7,FALSE)</f>
        <v>0</v>
      </c>
    </row>
    <row r="1989" spans="1:11" ht="14.5">
      <c r="A1989" s="20" t="s">
        <v>18748</v>
      </c>
      <c r="B1989" s="20">
        <v>25</v>
      </c>
      <c r="C1989" s="20">
        <v>71</v>
      </c>
      <c r="D1989" s="20">
        <v>63</v>
      </c>
      <c r="E1989" s="20">
        <v>64</v>
      </c>
      <c r="F1989" s="20" t="s">
        <v>18749</v>
      </c>
      <c r="G1989" s="20" t="s">
        <v>18750</v>
      </c>
      <c r="H1989" s="24"/>
      <c r="I1989" s="24" t="str">
        <f ca="1">IFERROR(__xludf.DUMMYFUNCTION("GOOGLETRANSLATE(F1989,""en"",""pt"")"),"plásticos weatherboards")</f>
        <v>plásticos weatherboards</v>
      </c>
      <c r="J1989">
        <f>VLOOKUP(A1989,Pr_Base_LNEC!$A$4:$J$6971,6,FALSE)</f>
        <v>0</v>
      </c>
      <c r="K1989">
        <f>VLOOKUP(A1989,Pr_Base_LNEC!$A$4:$J$6971,7,FALSE)</f>
        <v>0</v>
      </c>
    </row>
    <row r="1990" spans="1:11" ht="14.5">
      <c r="A1990" s="20" t="s">
        <v>18751</v>
      </c>
      <c r="B1990" s="20">
        <v>25</v>
      </c>
      <c r="C1990" s="20">
        <v>71</v>
      </c>
      <c r="D1990" s="20">
        <v>63</v>
      </c>
      <c r="E1990" s="20">
        <v>65</v>
      </c>
      <c r="F1990" s="20" t="s">
        <v>18752</v>
      </c>
      <c r="G1990" s="20" t="s">
        <v>18753</v>
      </c>
      <c r="H1990" s="24"/>
      <c r="I1990" s="24" t="str">
        <f ca="1">IFERROR(__xludf.DUMMYFUNCTION("GOOGLETRANSLATE(F1990,""en"",""pt"")"),"chapas de policarbonato perfilado")</f>
        <v>chapas de policarbonato perfilado</v>
      </c>
      <c r="J1990">
        <f>VLOOKUP(A1990,Pr_Base_LNEC!$A$4:$J$6971,6,FALSE)</f>
        <v>0</v>
      </c>
      <c r="K1990">
        <f>VLOOKUP(A1990,Pr_Base_LNEC!$A$4:$J$6971,7,FALSE)</f>
        <v>0</v>
      </c>
    </row>
    <row r="1991" spans="1:11" ht="14.5">
      <c r="A1991" s="20" t="s">
        <v>18754</v>
      </c>
      <c r="B1991" s="20">
        <v>25</v>
      </c>
      <c r="C1991" s="20">
        <v>71</v>
      </c>
      <c r="D1991" s="20">
        <v>63</v>
      </c>
      <c r="E1991" s="20">
        <v>66</v>
      </c>
      <c r="F1991" s="20" t="s">
        <v>18755</v>
      </c>
      <c r="G1991" s="20" t="s">
        <v>18756</v>
      </c>
      <c r="H1991" s="24"/>
      <c r="I1991" s="24" t="str">
        <f ca="1">IFERROR(__xludf.DUMMYFUNCTION("GOOGLETRANSLATE(F1991,""en"",""pt"")"),"Poliisocianurato (PIR) placas de espuma")</f>
        <v>Poliisocianurato (PIR) placas de espuma</v>
      </c>
      <c r="J1991">
        <f>VLOOKUP(A1991,Pr_Base_LNEC!$A$4:$J$6971,6,FALSE)</f>
        <v>0</v>
      </c>
      <c r="K1991">
        <f>VLOOKUP(A1991,Pr_Base_LNEC!$A$4:$J$6971,7,FALSE)</f>
        <v>0</v>
      </c>
    </row>
    <row r="1992" spans="1:11" ht="14.5">
      <c r="A1992" s="20" t="s">
        <v>18757</v>
      </c>
      <c r="B1992" s="20">
        <v>25</v>
      </c>
      <c r="C1992" s="20">
        <v>71</v>
      </c>
      <c r="D1992" s="20">
        <v>63</v>
      </c>
      <c r="E1992" s="20">
        <v>67</v>
      </c>
      <c r="F1992" s="20" t="s">
        <v>18758</v>
      </c>
      <c r="G1992" s="20" t="s">
        <v>18759</v>
      </c>
      <c r="H1992" s="24"/>
      <c r="I1992" s="24" t="str">
        <f ca="1">IFERROR(__xludf.DUMMYFUNCTION("GOOGLETRANSLATE(F1992,""en"",""pt"")"),"Poliuretano (PUR) placas de espuma")</f>
        <v>Poliuretano (PUR) placas de espuma</v>
      </c>
      <c r="J1992">
        <f>VLOOKUP(A1992,Pr_Base_LNEC!$A$4:$J$6971,6,FALSE)</f>
        <v>0</v>
      </c>
      <c r="K1992">
        <f>VLOOKUP(A1992,Pr_Base_LNEC!$A$4:$J$6971,7,FALSE)</f>
        <v>0</v>
      </c>
    </row>
    <row r="1993" spans="1:11" ht="14.5">
      <c r="A1993" s="20" t="s">
        <v>18760</v>
      </c>
      <c r="B1993" s="20">
        <v>25</v>
      </c>
      <c r="C1993" s="20">
        <v>71</v>
      </c>
      <c r="D1993" s="20">
        <v>63</v>
      </c>
      <c r="E1993" s="20">
        <v>72</v>
      </c>
      <c r="F1993" s="20" t="s">
        <v>18761</v>
      </c>
      <c r="G1993" s="20" t="s">
        <v>18762</v>
      </c>
      <c r="H1993" s="24"/>
      <c r="I1993" s="24" t="str">
        <f ca="1">IFERROR(__xludf.DUMMYFUNCTION("GOOGLETRANSLATE(F1993,""en"",""pt"")"),"plásticos reciclados placas de plataforma")</f>
        <v>plásticos reciclados placas de plataforma</v>
      </c>
      <c r="J1993">
        <f>VLOOKUP(A1993,Pr_Base_LNEC!$A$4:$J$6971,6,FALSE)</f>
        <v>0</v>
      </c>
      <c r="K1993">
        <f>VLOOKUP(A1993,Pr_Base_LNEC!$A$4:$J$6971,7,FALSE)</f>
        <v>0</v>
      </c>
    </row>
    <row r="1994" spans="1:11" ht="14.5">
      <c r="A1994" s="20" t="s">
        <v>18763</v>
      </c>
      <c r="B1994" s="20">
        <v>25</v>
      </c>
      <c r="C1994" s="20">
        <v>71</v>
      </c>
      <c r="D1994" s="20">
        <v>63</v>
      </c>
      <c r="E1994" s="20">
        <v>81</v>
      </c>
      <c r="F1994" s="20" t="s">
        <v>18764</v>
      </c>
      <c r="G1994" s="24"/>
      <c r="H1994" s="24"/>
      <c r="I1994" s="24" t="str">
        <f ca="1">IFERROR(__xludf.DUMMYFUNCTION("GOOGLETRANSLATE(F1994,""en"",""pt"")"),"folhas à base de resina de superfície sólida")</f>
        <v>folhas à base de resina de superfície sólida</v>
      </c>
      <c r="J1994">
        <f>VLOOKUP(A1994,Pr_Base_LNEC!$A$4:$J$6971,6,FALSE)</f>
        <v>0</v>
      </c>
      <c r="K1994">
        <f>VLOOKUP(A1994,Pr_Base_LNEC!$A$4:$J$6971,7,FALSE)</f>
        <v>0</v>
      </c>
    </row>
    <row r="1995" spans="1:11" ht="14.5">
      <c r="A1995" s="20" t="s">
        <v>18765</v>
      </c>
      <c r="B1995" s="20">
        <v>25</v>
      </c>
      <c r="C1995" s="20">
        <v>71</v>
      </c>
      <c r="D1995" s="20">
        <v>63</v>
      </c>
      <c r="E1995" s="20">
        <v>92</v>
      </c>
      <c r="F1995" s="20" t="s">
        <v>18766</v>
      </c>
      <c r="G1995" s="20" t="s">
        <v>18767</v>
      </c>
      <c r="H1995" s="24"/>
      <c r="I1995" s="24" t="str">
        <f ca="1">IFERROR(__xludf.DUMMYFUNCTION("GOOGLETRANSLATE(F1995,""en"",""pt"")"),"de cloreto de polivinilo não plastificado (PVC-U) placas de plataforma")</f>
        <v>de cloreto de polivinilo não plastificado (PVC-U) placas de plataforma</v>
      </c>
      <c r="J1995">
        <f>VLOOKUP(A1995,Pr_Base_LNEC!$A$4:$J$6971,6,FALSE)</f>
        <v>0</v>
      </c>
      <c r="K1995">
        <f>VLOOKUP(A1995,Pr_Base_LNEC!$A$4:$J$6971,7,FALSE)</f>
        <v>0</v>
      </c>
    </row>
    <row r="1996" spans="1:11" ht="14.5">
      <c r="A1996" s="20" t="s">
        <v>18768</v>
      </c>
      <c r="B1996" s="20">
        <v>25</v>
      </c>
      <c r="C1996" s="20">
        <v>71</v>
      </c>
      <c r="D1996" s="20">
        <v>63</v>
      </c>
      <c r="E1996" s="20">
        <v>93</v>
      </c>
      <c r="F1996" s="20" t="s">
        <v>18769</v>
      </c>
      <c r="G1996" s="20" t="s">
        <v>18770</v>
      </c>
      <c r="H1996" s="24"/>
      <c r="I1996" s="24" t="str">
        <f ca="1">IFERROR(__xludf.DUMMYFUNCTION("GOOGLETRANSLATE(F1996,""en"",""pt"")"),"Não plastificada de cloreto de polivinilo (PVC-U) perfilado folhas")</f>
        <v>Não plastificada de cloreto de polivinilo (PVC-U) perfilado folhas</v>
      </c>
      <c r="J1996">
        <f>VLOOKUP(A1996,Pr_Base_LNEC!$A$4:$J$6971,6,FALSE)</f>
        <v>0</v>
      </c>
      <c r="K1996">
        <f>VLOOKUP(A1996,Pr_Base_LNEC!$A$4:$J$6971,7,FALSE)</f>
        <v>0</v>
      </c>
    </row>
    <row r="1997" spans="1:11" ht="14.5">
      <c r="A1997" s="20" t="s">
        <v>18771</v>
      </c>
      <c r="B1997" s="20">
        <v>25</v>
      </c>
      <c r="C1997" s="20">
        <v>71</v>
      </c>
      <c r="D1997" s="20">
        <v>94</v>
      </c>
      <c r="E1997" s="24"/>
      <c r="F1997" s="20" t="s">
        <v>18772</v>
      </c>
      <c r="G1997" s="24"/>
      <c r="H1997" s="24"/>
      <c r="I1997" s="24" t="str">
        <f ca="1">IFERROR(__xludf.DUMMYFUNCTION("GOOGLETRANSLATE(F1997,""en"",""pt"")"),"Folheados e revestimentos")</f>
        <v>Folheados e revestimentos</v>
      </c>
      <c r="J1997">
        <f>VLOOKUP(A1997,Pr_Base_LNEC!$A$4:$J$6971,6,FALSE)</f>
        <v>0</v>
      </c>
      <c r="K1997">
        <f>VLOOKUP(A1997,Pr_Base_LNEC!$A$4:$J$6971,7,FALSE)</f>
        <v>0</v>
      </c>
    </row>
    <row r="1998" spans="1:11" ht="14.5">
      <c r="A1998" s="20" t="s">
        <v>18773</v>
      </c>
      <c r="B1998" s="20">
        <v>25</v>
      </c>
      <c r="C1998" s="20">
        <v>71</v>
      </c>
      <c r="D1998" s="20">
        <v>94</v>
      </c>
      <c r="E1998" s="20">
        <v>6</v>
      </c>
      <c r="F1998" s="20" t="s">
        <v>18774</v>
      </c>
      <c r="G1998" s="20" t="s">
        <v>18775</v>
      </c>
      <c r="H1998" s="24"/>
      <c r="I1998" s="24" t="str">
        <f ca="1">IFERROR(__xludf.DUMMYFUNCTION("GOOGLETRANSLATE(F1998,""en"",""pt"")"),"equilibrar folheados")</f>
        <v>equilibrar folheados</v>
      </c>
      <c r="J1998">
        <f>VLOOKUP(A1998,Pr_Base_LNEC!$A$4:$J$6971,6,FALSE)</f>
        <v>0</v>
      </c>
      <c r="K1998">
        <f>VLOOKUP(A1998,Pr_Base_LNEC!$A$4:$J$6971,7,FALSE)</f>
        <v>0</v>
      </c>
    </row>
    <row r="1999" spans="1:11" ht="14.5">
      <c r="A1999" s="20" t="s">
        <v>18776</v>
      </c>
      <c r="B1999" s="20">
        <v>25</v>
      </c>
      <c r="C1999" s="20">
        <v>71</v>
      </c>
      <c r="D1999" s="20">
        <v>94</v>
      </c>
      <c r="E1999" s="20">
        <v>22</v>
      </c>
      <c r="F1999" s="20" t="s">
        <v>18777</v>
      </c>
      <c r="G1999" s="20" t="s">
        <v>18778</v>
      </c>
      <c r="H1999" s="24"/>
      <c r="I1999" s="24" t="str">
        <f ca="1">IFERROR(__xludf.DUMMYFUNCTION("GOOGLETRANSLATE(F1999,""en"",""pt"")"),"laminados decorativos contínuas (DCL ou CPL)")</f>
        <v>laminados decorativos contínuas (DCL ou CPL)</v>
      </c>
      <c r="J1999">
        <f>VLOOKUP(A1999,Pr_Base_LNEC!$A$4:$J$6971,6,FALSE)</f>
        <v>0</v>
      </c>
      <c r="K1999">
        <f>VLOOKUP(A1999,Pr_Base_LNEC!$A$4:$J$6971,7,FALSE)</f>
        <v>0</v>
      </c>
    </row>
    <row r="2000" spans="1:11" ht="14.5">
      <c r="A2000" s="20" t="s">
        <v>18779</v>
      </c>
      <c r="B2000" s="20">
        <v>25</v>
      </c>
      <c r="C2000" s="20">
        <v>71</v>
      </c>
      <c r="D2000" s="20">
        <v>94</v>
      </c>
      <c r="E2000" s="20">
        <v>29</v>
      </c>
      <c r="F2000" s="20" t="s">
        <v>18780</v>
      </c>
      <c r="G2000" s="20" t="s">
        <v>18781</v>
      </c>
      <c r="H2000" s="24"/>
      <c r="I2000" s="24" t="str">
        <f ca="1">IFERROR(__xludf.DUMMYFUNCTION("GOOGLETRANSLATE(F2000,""en"",""pt"")"),"revestimentos de tecido")</f>
        <v>revestimentos de tecido</v>
      </c>
      <c r="J2000">
        <f>VLOOKUP(A2000,Pr_Base_LNEC!$A$4:$J$6971,6,FALSE)</f>
        <v>0</v>
      </c>
      <c r="K2000">
        <f>VLOOKUP(A2000,Pr_Base_LNEC!$A$4:$J$6971,7,FALSE)</f>
        <v>0</v>
      </c>
    </row>
    <row r="2001" spans="1:11" ht="14.5">
      <c r="A2001" s="20" t="s">
        <v>18782</v>
      </c>
      <c r="B2001" s="20">
        <v>25</v>
      </c>
      <c r="C2001" s="20">
        <v>71</v>
      </c>
      <c r="D2001" s="20">
        <v>94</v>
      </c>
      <c r="E2001" s="20">
        <v>37</v>
      </c>
      <c r="F2001" s="20" t="s">
        <v>18783</v>
      </c>
      <c r="G2001" s="20" t="s">
        <v>18784</v>
      </c>
      <c r="H2001" s="24"/>
      <c r="I2001" s="24" t="str">
        <f ca="1">IFERROR(__xludf.DUMMYFUNCTION("GOOGLETRANSLATE(F2001,""en"",""pt"")"),"laminados decorativos de alta pressão (HPL) ou HPDL")</f>
        <v>laminados decorativos de alta pressão (HPL) ou HPDL</v>
      </c>
      <c r="J2001">
        <f>VLOOKUP(A2001,Pr_Base_LNEC!$A$4:$J$6971,6,FALSE)</f>
        <v>0</v>
      </c>
      <c r="K2001">
        <f>VLOOKUP(A2001,Pr_Base_LNEC!$A$4:$J$6971,7,FALSE)</f>
        <v>0</v>
      </c>
    </row>
    <row r="2002" spans="1:11" ht="14.5">
      <c r="A2002" s="20" t="s">
        <v>18785</v>
      </c>
      <c r="B2002" s="20">
        <v>25</v>
      </c>
      <c r="C2002" s="20">
        <v>71</v>
      </c>
      <c r="D2002" s="20">
        <v>94</v>
      </c>
      <c r="E2002" s="20">
        <v>46</v>
      </c>
      <c r="F2002" s="20" t="s">
        <v>18786</v>
      </c>
      <c r="G2002" s="20" t="s">
        <v>18787</v>
      </c>
      <c r="H2002" s="24"/>
      <c r="I2002" s="24" t="str">
        <f ca="1">IFERROR(__xludf.DUMMYFUNCTION("GOOGLETRANSLATE(F2002,""en"",""pt"")"),"revestimentos de couro")</f>
        <v>revestimentos de couro</v>
      </c>
      <c r="J2002">
        <f>VLOOKUP(A2002,Pr_Base_LNEC!$A$4:$J$6971,6,FALSE)</f>
        <v>0</v>
      </c>
      <c r="K2002">
        <f>VLOOKUP(A2002,Pr_Base_LNEC!$A$4:$J$6971,7,FALSE)</f>
        <v>0</v>
      </c>
    </row>
    <row r="2003" spans="1:11" ht="14.5">
      <c r="A2003" s="20" t="s">
        <v>18788</v>
      </c>
      <c r="B2003" s="20">
        <v>25</v>
      </c>
      <c r="C2003" s="20">
        <v>71</v>
      </c>
      <c r="D2003" s="20">
        <v>94</v>
      </c>
      <c r="E2003" s="20">
        <v>51</v>
      </c>
      <c r="F2003" s="20" t="s">
        <v>18789</v>
      </c>
      <c r="G2003" s="20" t="s">
        <v>18787</v>
      </c>
      <c r="H2003" s="24"/>
      <c r="I2003" s="24" t="str">
        <f ca="1">IFERROR(__xludf.DUMMYFUNCTION("GOOGLETRANSLATE(F2003,""en"",""pt"")"),"Melamina verniz revestimentos")</f>
        <v>Melamina verniz revestimentos</v>
      </c>
      <c r="J2003">
        <f>VLOOKUP(A2003,Pr_Base_LNEC!$A$4:$J$6971,6,FALSE)</f>
        <v>0</v>
      </c>
      <c r="K2003">
        <f>VLOOKUP(A2003,Pr_Base_LNEC!$A$4:$J$6971,7,FALSE)</f>
        <v>0</v>
      </c>
    </row>
    <row r="2004" spans="1:11" ht="14.5">
      <c r="A2004" s="20" t="s">
        <v>18790</v>
      </c>
      <c r="B2004" s="20">
        <v>25</v>
      </c>
      <c r="C2004" s="20">
        <v>71</v>
      </c>
      <c r="D2004" s="20">
        <v>94</v>
      </c>
      <c r="E2004" s="20">
        <v>52</v>
      </c>
      <c r="F2004" s="20" t="s">
        <v>18791</v>
      </c>
      <c r="G2004" s="20" t="s">
        <v>18787</v>
      </c>
      <c r="H2004" s="24"/>
      <c r="I2004" s="24" t="str">
        <f ca="1">IFERROR(__xludf.DUMMYFUNCTION("GOOGLETRANSLATE(F2004,""en"",""pt"")"),"revestimentos de metal de folha")</f>
        <v>revestimentos de metal de folha</v>
      </c>
      <c r="J2004">
        <f>VLOOKUP(A2004,Pr_Base_LNEC!$A$4:$J$6971,6,FALSE)</f>
        <v>0</v>
      </c>
      <c r="K2004">
        <f>VLOOKUP(A2004,Pr_Base_LNEC!$A$4:$J$6971,7,FALSE)</f>
        <v>0</v>
      </c>
    </row>
    <row r="2005" spans="1:11" ht="14.5">
      <c r="A2005" s="20" t="s">
        <v>18792</v>
      </c>
      <c r="B2005" s="20">
        <v>25</v>
      </c>
      <c r="C2005" s="20">
        <v>71</v>
      </c>
      <c r="D2005" s="20">
        <v>94</v>
      </c>
      <c r="E2005" s="20">
        <v>94</v>
      </c>
      <c r="F2005" s="20" t="s">
        <v>18793</v>
      </c>
      <c r="G2005" s="20" t="s">
        <v>18794</v>
      </c>
      <c r="H2005" s="24"/>
      <c r="I2005" s="24" t="str">
        <f ca="1">IFERROR(__xludf.DUMMYFUNCTION("GOOGLETRANSLATE(F2005,""en"",""pt"")"),"Veneer orlas e lippings")</f>
        <v>Veneer orlas e lippings</v>
      </c>
      <c r="J2005">
        <f>VLOOKUP(A2005,Pr_Base_LNEC!$A$4:$J$6971,6,FALSE)</f>
        <v>0</v>
      </c>
      <c r="K2005">
        <f>VLOOKUP(A2005,Pr_Base_LNEC!$A$4:$J$6971,7,FALSE)</f>
        <v>0</v>
      </c>
    </row>
    <row r="2006" spans="1:11" ht="14.5">
      <c r="A2006" s="20" t="s">
        <v>18795</v>
      </c>
      <c r="B2006" s="20">
        <v>25</v>
      </c>
      <c r="C2006" s="20">
        <v>71</v>
      </c>
      <c r="D2006" s="20">
        <v>94</v>
      </c>
      <c r="E2006" s="20">
        <v>95</v>
      </c>
      <c r="F2006" s="20" t="s">
        <v>18796</v>
      </c>
      <c r="G2006" s="20" t="s">
        <v>18787</v>
      </c>
      <c r="H2006" s="24"/>
      <c r="I2006" s="24" t="str">
        <f ca="1">IFERROR(__xludf.DUMMYFUNCTION("GOOGLETRANSLATE(F2006,""en"",""pt"")"),"revestimentos de folha de vinil")</f>
        <v>revestimentos de folha de vinil</v>
      </c>
      <c r="J2006">
        <f>VLOOKUP(A2006,Pr_Base_LNEC!$A$4:$J$6971,6,FALSE)</f>
        <v>0</v>
      </c>
      <c r="K2006">
        <f>VLOOKUP(A2006,Pr_Base_LNEC!$A$4:$J$6971,7,FALSE)</f>
        <v>0</v>
      </c>
    </row>
    <row r="2007" spans="1:11" ht="14.5">
      <c r="A2007" s="20" t="s">
        <v>18797</v>
      </c>
      <c r="B2007" s="20">
        <v>25</v>
      </c>
      <c r="C2007" s="20">
        <v>71</v>
      </c>
      <c r="D2007" s="20">
        <v>94</v>
      </c>
      <c r="E2007" s="20">
        <v>98</v>
      </c>
      <c r="F2007" s="20" t="s">
        <v>18798</v>
      </c>
      <c r="G2007" s="20" t="s">
        <v>18799</v>
      </c>
      <c r="H2007" s="24"/>
      <c r="I2007" s="24" t="str">
        <f ca="1">IFERROR(__xludf.DUMMYFUNCTION("GOOGLETRANSLATE(F2007,""en"",""pt"")"),"lâminas de madeira")</f>
        <v>lâminas de madeira</v>
      </c>
      <c r="J2007">
        <f>VLOOKUP(A2007,Pr_Base_LNEC!$A$4:$J$6971,6,FALSE)</f>
        <v>0</v>
      </c>
      <c r="K2007">
        <f>VLOOKUP(A2007,Pr_Base_LNEC!$A$4:$J$6971,7,FALSE)</f>
        <v>0</v>
      </c>
    </row>
    <row r="2008" spans="1:11" ht="14.5">
      <c r="A2008" s="20" t="s">
        <v>18800</v>
      </c>
      <c r="B2008" s="20">
        <v>25</v>
      </c>
      <c r="C2008" s="20">
        <v>71</v>
      </c>
      <c r="D2008" s="20">
        <v>97</v>
      </c>
      <c r="E2008" s="24"/>
      <c r="F2008" s="20" t="s">
        <v>18801</v>
      </c>
      <c r="G2008" s="24"/>
      <c r="H2008" s="24"/>
      <c r="I2008" s="24" t="str">
        <f ca="1">IFERROR(__xludf.DUMMYFUNCTION("GOOGLETRANSLATE(F2008,""en"",""pt"")"),"placas à base de madeira")</f>
        <v>placas à base de madeira</v>
      </c>
      <c r="J2008">
        <f>VLOOKUP(A2008,Pr_Base_LNEC!$A$4:$J$6971,6,FALSE)</f>
        <v>0</v>
      </c>
      <c r="K2008">
        <f>VLOOKUP(A2008,Pr_Base_LNEC!$A$4:$J$6971,7,FALSE)</f>
        <v>0</v>
      </c>
    </row>
    <row r="2009" spans="1:11" ht="14.5">
      <c r="A2009" s="20" t="s">
        <v>18802</v>
      </c>
      <c r="B2009" s="20">
        <v>25</v>
      </c>
      <c r="C2009" s="20">
        <v>71</v>
      </c>
      <c r="D2009" s="20">
        <v>97</v>
      </c>
      <c r="E2009" s="20">
        <v>5</v>
      </c>
      <c r="F2009" s="20" t="s">
        <v>18803</v>
      </c>
      <c r="G2009" s="24"/>
      <c r="H2009" s="24"/>
      <c r="I2009" s="24" t="str">
        <f ca="1">IFERROR(__xludf.DUMMYFUNCTION("GOOGLETRANSLATE(F2009,""en"",""pt"")"),"Os aglomerados de fibra de betume-impregnados")</f>
        <v>Os aglomerados de fibra de betume-impregnados</v>
      </c>
      <c r="J2009">
        <f>VLOOKUP(A2009,Pr_Base_LNEC!$A$4:$J$6971,6,FALSE)</f>
        <v>0</v>
      </c>
      <c r="K2009">
        <f>VLOOKUP(A2009,Pr_Base_LNEC!$A$4:$J$6971,7,FALSE)</f>
        <v>0</v>
      </c>
    </row>
    <row r="2010" spans="1:11" ht="14.5">
      <c r="A2010" s="20" t="s">
        <v>18804</v>
      </c>
      <c r="B2010" s="20">
        <v>25</v>
      </c>
      <c r="C2010" s="20">
        <v>71</v>
      </c>
      <c r="D2010" s="20">
        <v>97</v>
      </c>
      <c r="E2010" s="20">
        <v>7</v>
      </c>
      <c r="F2010" s="20" t="s">
        <v>18805</v>
      </c>
      <c r="G2010" s="20" t="s">
        <v>18806</v>
      </c>
      <c r="H2010" s="24"/>
      <c r="I2010" s="24" t="str">
        <f ca="1">IFERROR(__xludf.DUMMYFUNCTION("GOOGLETRANSLATE(F2010,""en"",""pt"")"),"softboards betume-impregnados")</f>
        <v>softboards betume-impregnados</v>
      </c>
      <c r="J2010">
        <f>VLOOKUP(A2010,Pr_Base_LNEC!$A$4:$J$6971,6,FALSE)</f>
        <v>0</v>
      </c>
      <c r="K2010">
        <f>VLOOKUP(A2010,Pr_Base_LNEC!$A$4:$J$6971,7,FALSE)</f>
        <v>0</v>
      </c>
    </row>
    <row r="2011" spans="1:11" ht="14.5">
      <c r="A2011" s="20" t="s">
        <v>18807</v>
      </c>
      <c r="B2011" s="20">
        <v>25</v>
      </c>
      <c r="C2011" s="20">
        <v>71</v>
      </c>
      <c r="D2011" s="20">
        <v>97</v>
      </c>
      <c r="E2011" s="20">
        <v>8</v>
      </c>
      <c r="F2011" s="20" t="s">
        <v>18808</v>
      </c>
      <c r="G2011" s="20" t="s">
        <v>18809</v>
      </c>
      <c r="H2011" s="24"/>
      <c r="I2011" s="24" t="str">
        <f ca="1">IFERROR(__xludf.DUMMYFUNCTION("GOOGLETRANSLATE(F2011,""en"",""pt"")"),"contraplacados núcleo Blockboard")</f>
        <v>contraplacados núcleo Blockboard</v>
      </c>
      <c r="J2011">
        <f>VLOOKUP(A2011,Pr_Base_LNEC!$A$4:$J$6971,6,FALSE)</f>
        <v>0</v>
      </c>
      <c r="K2011">
        <f>VLOOKUP(A2011,Pr_Base_LNEC!$A$4:$J$6971,7,FALSE)</f>
        <v>0</v>
      </c>
    </row>
    <row r="2012" spans="1:11" ht="14.5">
      <c r="A2012" s="20" t="s">
        <v>18810</v>
      </c>
      <c r="B2012" s="20">
        <v>25</v>
      </c>
      <c r="C2012" s="20">
        <v>71</v>
      </c>
      <c r="D2012" s="20">
        <v>97</v>
      </c>
      <c r="E2012" s="20">
        <v>12</v>
      </c>
      <c r="F2012" s="20" t="s">
        <v>18811</v>
      </c>
      <c r="G2012" s="20" t="s">
        <v>18812</v>
      </c>
      <c r="H2012" s="24"/>
      <c r="I2012" s="24" t="str">
        <f ca="1">IFERROR(__xludf.DUMMYFUNCTION("GOOGLETRANSLATE(F2012,""en"",""pt"")"),"aglomerados de cimento-")</f>
        <v>aglomerados de cimento-</v>
      </c>
      <c r="J2012">
        <f>VLOOKUP(A2012,Pr_Base_LNEC!$A$4:$J$6971,6,FALSE)</f>
        <v>0</v>
      </c>
      <c r="K2012">
        <f>VLOOKUP(A2012,Pr_Base_LNEC!$A$4:$J$6971,7,FALSE)</f>
        <v>0</v>
      </c>
    </row>
    <row r="2013" spans="1:11" ht="14.5">
      <c r="A2013" s="20" t="s">
        <v>18813</v>
      </c>
      <c r="B2013" s="20">
        <v>25</v>
      </c>
      <c r="C2013" s="20">
        <v>71</v>
      </c>
      <c r="D2013" s="20">
        <v>97</v>
      </c>
      <c r="E2013" s="20">
        <v>16</v>
      </c>
      <c r="F2013" s="20" t="s">
        <v>18814</v>
      </c>
      <c r="G2013" s="20" t="s">
        <v>18815</v>
      </c>
      <c r="H2013" s="24"/>
      <c r="I2013" s="24" t="str">
        <f ca="1">IFERROR(__xludf.DUMMYFUNCTION("GOOGLETRANSLATE(F2013,""en"",""pt"")"),"corkboards")</f>
        <v>corkboards</v>
      </c>
      <c r="J2013">
        <f>VLOOKUP(A2013,Pr_Base_LNEC!$A$4:$J$6971,6,FALSE)</f>
        <v>0</v>
      </c>
      <c r="K2013">
        <f>VLOOKUP(A2013,Pr_Base_LNEC!$A$4:$J$6971,7,FALSE)</f>
        <v>0</v>
      </c>
    </row>
    <row r="2014" spans="1:11" ht="14.5">
      <c r="A2014" s="20" t="s">
        <v>18816</v>
      </c>
      <c r="B2014" s="20">
        <v>25</v>
      </c>
      <c r="C2014" s="20">
        <v>71</v>
      </c>
      <c r="D2014" s="20">
        <v>97</v>
      </c>
      <c r="E2014" s="20">
        <v>17</v>
      </c>
      <c r="F2014" s="20" t="s">
        <v>18817</v>
      </c>
      <c r="G2014" s="20" t="s">
        <v>18818</v>
      </c>
      <c r="H2014" s="24"/>
      <c r="I2014" s="24" t="str">
        <f ca="1">IFERROR(__xludf.DUMMYFUNCTION("GOOGLETRANSLATE(F2014,""en"",""pt"")"),"Cork tiras laminadas compostas e placas")</f>
        <v>Cork tiras laminadas compostas e placas</v>
      </c>
      <c r="J2014">
        <f>VLOOKUP(A2014,Pr_Base_LNEC!$A$4:$J$6971,6,FALSE)</f>
        <v>0</v>
      </c>
      <c r="K2014">
        <f>VLOOKUP(A2014,Pr_Base_LNEC!$A$4:$J$6971,7,FALSE)</f>
        <v>0</v>
      </c>
    </row>
    <row r="2015" spans="1:11" ht="14.5">
      <c r="A2015" s="20" t="s">
        <v>18819</v>
      </c>
      <c r="B2015" s="20">
        <v>25</v>
      </c>
      <c r="C2015" s="20">
        <v>71</v>
      </c>
      <c r="D2015" s="20">
        <v>97</v>
      </c>
      <c r="E2015" s="20">
        <v>21</v>
      </c>
      <c r="F2015" s="20" t="s">
        <v>18820</v>
      </c>
      <c r="G2015" s="24"/>
      <c r="H2015" s="24"/>
      <c r="I2015" s="24" t="str">
        <f ca="1">IFERROR(__xludf.DUMMYFUNCTION("GOOGLETRANSLATE(F2015,""en"",""pt"")"),"papéis laminados decorativos")</f>
        <v>papéis laminados decorativos</v>
      </c>
      <c r="J2015">
        <f>VLOOKUP(A2015,Pr_Base_LNEC!$A$4:$J$6971,6,FALSE)</f>
        <v>0</v>
      </c>
      <c r="K2015">
        <f>VLOOKUP(A2015,Pr_Base_LNEC!$A$4:$J$6971,7,FALSE)</f>
        <v>0</v>
      </c>
    </row>
    <row r="2016" spans="1:11" ht="14.5">
      <c r="A2016" s="20" t="s">
        <v>18821</v>
      </c>
      <c r="B2016" s="20">
        <v>25</v>
      </c>
      <c r="C2016" s="20">
        <v>71</v>
      </c>
      <c r="D2016" s="20">
        <v>97</v>
      </c>
      <c r="E2016" s="20">
        <v>22</v>
      </c>
      <c r="F2016" s="20" t="s">
        <v>18822</v>
      </c>
      <c r="G2016" s="20" t="s">
        <v>18823</v>
      </c>
      <c r="H2016" s="24"/>
      <c r="I2016" s="24" t="str">
        <f ca="1">IFERROR(__xludf.DUMMYFUNCTION("GOOGLETRANSLATE(F2016,""en"",""pt"")"),"laminada decorativa painéis de folha de plástico folheada")</f>
        <v>laminada decorativa painéis de folha de plástico folheada</v>
      </c>
      <c r="J2016">
        <f>VLOOKUP(A2016,Pr_Base_LNEC!$A$4:$J$6971,6,FALSE)</f>
        <v>0</v>
      </c>
      <c r="K2016">
        <f>VLOOKUP(A2016,Pr_Base_LNEC!$A$4:$J$6971,7,FALSE)</f>
        <v>0</v>
      </c>
    </row>
    <row r="2017" spans="1:11" ht="14.5">
      <c r="A2017" s="20" t="s">
        <v>18824</v>
      </c>
      <c r="B2017" s="20">
        <v>25</v>
      </c>
      <c r="C2017" s="20">
        <v>71</v>
      </c>
      <c r="D2017" s="20">
        <v>97</v>
      </c>
      <c r="E2017" s="20">
        <v>30</v>
      </c>
      <c r="F2017" s="20" t="s">
        <v>18825</v>
      </c>
      <c r="G2017" s="24"/>
      <c r="H2017" s="24"/>
      <c r="I2017" s="24" t="str">
        <f ca="1">IFERROR(__xludf.DUMMYFUNCTION("GOOGLETRANSLATE(F2017,""en"",""pt"")"),"contraplacados retardador de fogo")</f>
        <v>contraplacados retardador de fogo</v>
      </c>
      <c r="J2017" t="e">
        <f>VLOOKUP(A2017,Pr_Base_LNEC!$A$4:$J$6971,6,FALSE)</f>
        <v>#N/A</v>
      </c>
      <c r="K2017" t="e">
        <f>VLOOKUP(A2017,Pr_Base_LNEC!$A$4:$J$6971,7,FALSE)</f>
        <v>#N/A</v>
      </c>
    </row>
    <row r="2018" spans="1:11" ht="14.5">
      <c r="A2018" s="20" t="s">
        <v>18826</v>
      </c>
      <c r="B2018" s="20">
        <v>25</v>
      </c>
      <c r="C2018" s="20">
        <v>71</v>
      </c>
      <c r="D2018" s="20">
        <v>97</v>
      </c>
      <c r="E2018" s="20">
        <v>33</v>
      </c>
      <c r="F2018" s="20" t="s">
        <v>18827</v>
      </c>
      <c r="G2018" s="20" t="s">
        <v>18828</v>
      </c>
      <c r="H2018" s="24"/>
      <c r="I2018" s="24" t="str">
        <f ca="1">IFERROR(__xludf.DUMMYFUNCTION("GOOGLETRANSLATE(F2018,""en"",""pt"")"),"Geral e contraplacados folheados de serviços públicos")</f>
        <v>Geral e contraplacados folheados de serviços públicos</v>
      </c>
      <c r="J2018">
        <f>VLOOKUP(A2018,Pr_Base_LNEC!$A$4:$J$6971,6,FALSE)</f>
        <v>0</v>
      </c>
      <c r="K2018">
        <f>VLOOKUP(A2018,Pr_Base_LNEC!$A$4:$J$6971,7,FALSE)</f>
        <v>0</v>
      </c>
    </row>
    <row r="2019" spans="1:11" ht="14.5">
      <c r="A2019" s="20" t="s">
        <v>18829</v>
      </c>
      <c r="B2019" s="20">
        <v>25</v>
      </c>
      <c r="C2019" s="20">
        <v>71</v>
      </c>
      <c r="D2019" s="20">
        <v>97</v>
      </c>
      <c r="E2019" s="20">
        <v>34</v>
      </c>
      <c r="F2019" s="20" t="s">
        <v>18830</v>
      </c>
      <c r="G2019" s="20" t="s">
        <v>18831</v>
      </c>
      <c r="H2019" s="24"/>
      <c r="I2019" s="24" t="str">
        <f ca="1">IFERROR(__xludf.DUMMYFUNCTION("GOOGLETRANSLATE(F2019,""en"",""pt"")"),"placas de protecção contra incêndios ligados-gesso")</f>
        <v>placas de protecção contra incêndios ligados-gesso</v>
      </c>
      <c r="J2019">
        <f>VLOOKUP(A2019,Pr_Base_LNEC!$A$4:$J$6971,6,FALSE)</f>
        <v>0</v>
      </c>
      <c r="K2019">
        <f>VLOOKUP(A2019,Pr_Base_LNEC!$A$4:$J$6971,7,FALSE)</f>
        <v>0</v>
      </c>
    </row>
    <row r="2020" spans="1:11" ht="14.5">
      <c r="A2020" s="20" t="s">
        <v>18832</v>
      </c>
      <c r="B2020" s="20">
        <v>25</v>
      </c>
      <c r="C2020" s="20">
        <v>71</v>
      </c>
      <c r="D2020" s="20">
        <v>97</v>
      </c>
      <c r="E2020" s="20">
        <v>35</v>
      </c>
      <c r="F2020" s="20" t="s">
        <v>18833</v>
      </c>
      <c r="G2020" s="20" t="s">
        <v>18831</v>
      </c>
      <c r="H2020" s="24"/>
      <c r="I2020" s="24" t="str">
        <f ca="1">IFERROR(__xludf.DUMMYFUNCTION("GOOGLETRANSLATE(F2020,""en"",""pt"")"),"painéis de partículas de madeira ligadas por gesso")</f>
        <v>painéis de partículas de madeira ligadas por gesso</v>
      </c>
      <c r="J2020">
        <f>VLOOKUP(A2020,Pr_Base_LNEC!$A$4:$J$6971,6,FALSE)</f>
        <v>0</v>
      </c>
      <c r="K2020">
        <f>VLOOKUP(A2020,Pr_Base_LNEC!$A$4:$J$6971,7,FALSE)</f>
        <v>0</v>
      </c>
    </row>
    <row r="2021" spans="1:11" ht="14.5">
      <c r="A2021" s="20" t="s">
        <v>18834</v>
      </c>
      <c r="B2021" s="20">
        <v>25</v>
      </c>
      <c r="C2021" s="20">
        <v>71</v>
      </c>
      <c r="D2021" s="20">
        <v>97</v>
      </c>
      <c r="E2021" s="20">
        <v>36</v>
      </c>
      <c r="F2021" s="20" t="s">
        <v>18835</v>
      </c>
      <c r="G2021" s="20" t="s">
        <v>18836</v>
      </c>
      <c r="H2021" s="24"/>
      <c r="I2021" s="24" t="str">
        <f ca="1">IFERROR(__xludf.DUMMYFUNCTION("GOOGLETRANSLATE(F2021,""en"",""pt"")"),"hardboards")</f>
        <v>hardboards</v>
      </c>
      <c r="J2021">
        <f>VLOOKUP(A2021,Pr_Base_LNEC!$A$4:$J$6971,6,FALSE)</f>
        <v>0</v>
      </c>
      <c r="K2021">
        <f>VLOOKUP(A2021,Pr_Base_LNEC!$A$4:$J$6971,7,FALSE)</f>
        <v>0</v>
      </c>
    </row>
    <row r="2022" spans="1:11" ht="14.5">
      <c r="A2022" s="20" t="s">
        <v>18837</v>
      </c>
      <c r="B2022" s="20">
        <v>25</v>
      </c>
      <c r="C2022" s="20">
        <v>71</v>
      </c>
      <c r="D2022" s="20">
        <v>97</v>
      </c>
      <c r="E2022" s="20">
        <v>37</v>
      </c>
      <c r="F2022" s="20" t="s">
        <v>18838</v>
      </c>
      <c r="G2022" s="20" t="s">
        <v>18839</v>
      </c>
      <c r="H2022" s="24"/>
      <c r="I2022" s="24" t="str">
        <f ca="1">IFERROR(__xludf.DUMMYFUNCTION("GOOGLETRANSLATE(F2022,""en"",""pt"")"),"placas de plataforma de madeira")</f>
        <v>placas de plataforma de madeira</v>
      </c>
      <c r="J2022">
        <f>VLOOKUP(A2022,Pr_Base_LNEC!$A$4:$J$6971,6,FALSE)</f>
        <v>0</v>
      </c>
      <c r="K2022">
        <f>VLOOKUP(A2022,Pr_Base_LNEC!$A$4:$J$6971,7,FALSE)</f>
        <v>0</v>
      </c>
    </row>
    <row r="2023" spans="1:11" ht="14.5">
      <c r="A2023" s="20" t="s">
        <v>18840</v>
      </c>
      <c r="B2023" s="20">
        <v>25</v>
      </c>
      <c r="C2023" s="20">
        <v>71</v>
      </c>
      <c r="D2023" s="20">
        <v>97</v>
      </c>
      <c r="E2023" s="20">
        <v>38</v>
      </c>
      <c r="F2023" s="20" t="s">
        <v>18841</v>
      </c>
      <c r="G2023" s="20" t="s">
        <v>18842</v>
      </c>
      <c r="H2023" s="24"/>
      <c r="I2023" s="24" t="str">
        <f ca="1">IFERROR(__xludf.DUMMYFUNCTION("GOOGLETRANSLATE(F2023,""en"",""pt"")"),"placas de vedação de madeira")</f>
        <v>placas de vedação de madeira</v>
      </c>
      <c r="J2023">
        <f>VLOOKUP(A2023,Pr_Base_LNEC!$A$4:$J$6971,6,FALSE)</f>
        <v>0</v>
      </c>
      <c r="K2023">
        <f>VLOOKUP(A2023,Pr_Base_LNEC!$A$4:$J$6971,7,FALSE)</f>
        <v>0</v>
      </c>
    </row>
    <row r="2024" spans="1:11" ht="14.5">
      <c r="A2024" s="20" t="s">
        <v>18843</v>
      </c>
      <c r="B2024" s="20">
        <v>25</v>
      </c>
      <c r="C2024" s="20">
        <v>71</v>
      </c>
      <c r="D2024" s="20">
        <v>97</v>
      </c>
      <c r="E2024" s="20">
        <v>42</v>
      </c>
      <c r="F2024" s="20" t="s">
        <v>18844</v>
      </c>
      <c r="G2024" s="20" t="s">
        <v>18845</v>
      </c>
      <c r="H2024" s="24"/>
      <c r="I2024" s="24" t="str">
        <f ca="1">IFERROR(__xludf.DUMMYFUNCTION("GOOGLETRANSLATE(F2024,""en"",""pt"")"),"tiras de madeira")</f>
        <v>tiras de madeira</v>
      </c>
      <c r="J2024">
        <f>VLOOKUP(A2024,Pr_Base_LNEC!$A$4:$J$6971,6,FALSE)</f>
        <v>0</v>
      </c>
      <c r="K2024">
        <f>VLOOKUP(A2024,Pr_Base_LNEC!$A$4:$J$6971,7,FALSE)</f>
        <v>0</v>
      </c>
    </row>
    <row r="2025" spans="1:11" ht="14.5">
      <c r="A2025" s="20" t="s">
        <v>18846</v>
      </c>
      <c r="B2025" s="20">
        <v>25</v>
      </c>
      <c r="C2025" s="20">
        <v>71</v>
      </c>
      <c r="D2025" s="20">
        <v>97</v>
      </c>
      <c r="E2025" s="20">
        <v>43</v>
      </c>
      <c r="F2025" s="20" t="s">
        <v>18847</v>
      </c>
      <c r="G2025" s="20" t="s">
        <v>18848</v>
      </c>
      <c r="H2025" s="24"/>
      <c r="I2025" s="24" t="str">
        <f ca="1">IFERROR(__xludf.DUMMYFUNCTION("GOOGLETRANSLATE(F2025,""en"",""pt"")"),"weatherboards de madeira")</f>
        <v>weatherboards de madeira</v>
      </c>
      <c r="J2025">
        <f>VLOOKUP(A2025,Pr_Base_LNEC!$A$4:$J$6971,6,FALSE)</f>
        <v>0</v>
      </c>
      <c r="K2025">
        <f>VLOOKUP(A2025,Pr_Base_LNEC!$A$4:$J$6971,7,FALSE)</f>
        <v>0</v>
      </c>
    </row>
    <row r="2026" spans="1:11" ht="14.5">
      <c r="A2026" s="20" t="s">
        <v>18849</v>
      </c>
      <c r="B2026" s="20">
        <v>25</v>
      </c>
      <c r="C2026" s="20">
        <v>71</v>
      </c>
      <c r="D2026" s="20">
        <v>97</v>
      </c>
      <c r="E2026" s="20">
        <v>44</v>
      </c>
      <c r="F2026" s="20" t="s">
        <v>18850</v>
      </c>
      <c r="G2026" s="24"/>
      <c r="H2026" s="24"/>
      <c r="I2026" s="24" t="str">
        <f ca="1">IFERROR(__xludf.DUMMYFUNCTION("GOOGLETRANSLATE(F2026,""en"",""pt"")"),"aglomerados de núcleo oco")</f>
        <v>aglomerados de núcleo oco</v>
      </c>
      <c r="J2026">
        <f>VLOOKUP(A2026,Pr_Base_LNEC!$A$4:$J$6971,6,FALSE)</f>
        <v>0</v>
      </c>
      <c r="K2026">
        <f>VLOOKUP(A2026,Pr_Base_LNEC!$A$4:$J$6971,7,FALSE)</f>
        <v>0</v>
      </c>
    </row>
    <row r="2027" spans="1:11" ht="14.5">
      <c r="A2027" s="20" t="s">
        <v>18851</v>
      </c>
      <c r="B2027" s="20">
        <v>25</v>
      </c>
      <c r="C2027" s="20">
        <v>71</v>
      </c>
      <c r="D2027" s="20">
        <v>97</v>
      </c>
      <c r="E2027" s="20">
        <v>46</v>
      </c>
      <c r="F2027" s="20" t="s">
        <v>18852</v>
      </c>
      <c r="G2027" s="20" t="s">
        <v>18853</v>
      </c>
      <c r="H2027" s="24"/>
      <c r="I2027" s="24" t="str">
        <f ca="1">IFERROR(__xludf.DUMMYFUNCTION("GOOGLETRANSLATE(F2027,""en"",""pt"")"),"contraplacados núcleo lamelados")</f>
        <v>contraplacados núcleo lamelados</v>
      </c>
      <c r="J2027">
        <f>VLOOKUP(A2027,Pr_Base_LNEC!$A$4:$J$6971,6,FALSE)</f>
        <v>0</v>
      </c>
      <c r="K2027">
        <f>VLOOKUP(A2027,Pr_Base_LNEC!$A$4:$J$6971,7,FALSE)</f>
        <v>0</v>
      </c>
    </row>
    <row r="2028" spans="1:11" ht="14.5">
      <c r="A2028" s="20" t="s">
        <v>18854</v>
      </c>
      <c r="B2028" s="20">
        <v>25</v>
      </c>
      <c r="C2028" s="20">
        <v>71</v>
      </c>
      <c r="D2028" s="20">
        <v>97</v>
      </c>
      <c r="E2028" s="20">
        <v>50</v>
      </c>
      <c r="F2028" s="20" t="s">
        <v>18855</v>
      </c>
      <c r="G2028" s="20" t="s">
        <v>18856</v>
      </c>
      <c r="H2028" s="24"/>
      <c r="I2028" s="24" t="str">
        <f ca="1">IFERROR(__xludf.DUMMYFUNCTION("GOOGLETRANSLATE(F2028,""en"",""pt"")"),"contraplacados marinhos")</f>
        <v>contraplacados marinhos</v>
      </c>
      <c r="J2028">
        <f>VLOOKUP(A2028,Pr_Base_LNEC!$A$4:$J$6971,6,FALSE)</f>
        <v>0</v>
      </c>
      <c r="K2028">
        <f>VLOOKUP(A2028,Pr_Base_LNEC!$A$4:$J$6971,7,FALSE)</f>
        <v>0</v>
      </c>
    </row>
    <row r="2029" spans="1:11" ht="14.5">
      <c r="A2029" s="20" t="s">
        <v>18857</v>
      </c>
      <c r="B2029" s="20">
        <v>25</v>
      </c>
      <c r="C2029" s="20">
        <v>71</v>
      </c>
      <c r="D2029" s="20">
        <v>97</v>
      </c>
      <c r="E2029" s="20">
        <v>52</v>
      </c>
      <c r="F2029" s="20" t="s">
        <v>18858</v>
      </c>
      <c r="G2029" s="20" t="s">
        <v>18859</v>
      </c>
      <c r="H2029" s="24"/>
      <c r="I2029" s="24" t="str">
        <f ca="1">IFERROR(__xludf.DUMMYFUNCTION("GOOGLETRANSLATE(F2029,""en"",""pt"")"),"placas médias")</f>
        <v>placas médias</v>
      </c>
      <c r="J2029">
        <f>VLOOKUP(A2029,Pr_Base_LNEC!$A$4:$J$6971,6,FALSE)</f>
        <v>0</v>
      </c>
      <c r="K2029">
        <f>VLOOKUP(A2029,Pr_Base_LNEC!$A$4:$J$6971,7,FALSE)</f>
        <v>0</v>
      </c>
    </row>
    <row r="2030" spans="1:11" ht="14.5">
      <c r="A2030" s="20" t="s">
        <v>18860</v>
      </c>
      <c r="B2030" s="20">
        <v>25</v>
      </c>
      <c r="C2030" s="20">
        <v>71</v>
      </c>
      <c r="D2030" s="20">
        <v>97</v>
      </c>
      <c r="E2030" s="20">
        <v>53</v>
      </c>
      <c r="F2030" s="20" t="s">
        <v>18861</v>
      </c>
      <c r="G2030" s="20" t="s">
        <v>18862</v>
      </c>
      <c r="H2030" s="24"/>
      <c r="I2030" s="24" t="str">
        <f ca="1">IFERROR(__xludf.DUMMYFUNCTION("GOOGLETRANSLATE(F2030,""en"",""pt"")"),"Os aglomerados de fibra de média densidade")</f>
        <v>Os aglomerados de fibra de média densidade</v>
      </c>
      <c r="J2030">
        <f>VLOOKUP(A2030,Pr_Base_LNEC!$A$4:$J$6971,6,FALSE)</f>
        <v>0</v>
      </c>
      <c r="K2030">
        <f>VLOOKUP(A2030,Pr_Base_LNEC!$A$4:$J$6971,7,FALSE)</f>
        <v>0</v>
      </c>
    </row>
    <row r="2031" spans="1:11" ht="14.5">
      <c r="A2031" s="20" t="s">
        <v>18863</v>
      </c>
      <c r="B2031" s="20">
        <v>25</v>
      </c>
      <c r="C2031" s="20">
        <v>71</v>
      </c>
      <c r="D2031" s="20">
        <v>97</v>
      </c>
      <c r="E2031" s="20">
        <v>54</v>
      </c>
      <c r="F2031" s="20" t="s">
        <v>18864</v>
      </c>
      <c r="G2031" s="20" t="s">
        <v>18865</v>
      </c>
      <c r="H2031" s="24"/>
      <c r="I2031" s="24" t="str">
        <f ca="1">IFERROR(__xludf.DUMMYFUNCTION("GOOGLETRANSLATE(F2031,""en"",""pt"")"),"As placas de madeira modificados")</f>
        <v>As placas de madeira modificados</v>
      </c>
      <c r="J2031">
        <f>VLOOKUP(A2031,Pr_Base_LNEC!$A$4:$J$6971,6,FALSE)</f>
        <v>0</v>
      </c>
      <c r="K2031">
        <f>VLOOKUP(A2031,Pr_Base_LNEC!$A$4:$J$6971,7,FALSE)</f>
        <v>0</v>
      </c>
    </row>
    <row r="2032" spans="1:11" ht="14.5">
      <c r="A2032" s="20" t="s">
        <v>18866</v>
      </c>
      <c r="B2032" s="20">
        <v>25</v>
      </c>
      <c r="C2032" s="20">
        <v>71</v>
      </c>
      <c r="D2032" s="20">
        <v>97</v>
      </c>
      <c r="E2032" s="20">
        <v>55</v>
      </c>
      <c r="F2032" s="20" t="s">
        <v>18867</v>
      </c>
      <c r="G2032" s="20" t="s">
        <v>18868</v>
      </c>
      <c r="H2032" s="24"/>
      <c r="I2032" s="24" t="str">
        <f ca="1">IFERROR(__xludf.DUMMYFUNCTION("GOOGLETRANSLATE(F2032,""en"",""pt"")"),"placas de tempo madeira modificados")</f>
        <v>placas de tempo madeira modificados</v>
      </c>
      <c r="J2032">
        <f>VLOOKUP(A2032,Pr_Base_LNEC!$A$4:$J$6971,6,FALSE)</f>
        <v>0</v>
      </c>
      <c r="K2032">
        <f>VLOOKUP(A2032,Pr_Base_LNEC!$A$4:$J$6971,7,FALSE)</f>
        <v>0</v>
      </c>
    </row>
    <row r="2033" spans="1:11" ht="14.5">
      <c r="A2033" s="20" t="s">
        <v>18869</v>
      </c>
      <c r="B2033" s="20">
        <v>25</v>
      </c>
      <c r="C2033" s="20">
        <v>71</v>
      </c>
      <c r="D2033" s="20">
        <v>97</v>
      </c>
      <c r="E2033" s="20">
        <v>58</v>
      </c>
      <c r="F2033" s="20" t="s">
        <v>18870</v>
      </c>
      <c r="G2033" s="20" t="s">
        <v>18871</v>
      </c>
      <c r="H2033" s="24"/>
      <c r="I2033" s="24" t="str">
        <f ca="1">IFERROR(__xludf.DUMMYFUNCTION("GOOGLETRANSLATE(F2033,""en"",""pt"")"),"placas de partículas orientadas")</f>
        <v>placas de partículas orientadas</v>
      </c>
      <c r="J2033">
        <f>VLOOKUP(A2033,Pr_Base_LNEC!$A$4:$J$6971,6,FALSE)</f>
        <v>0</v>
      </c>
      <c r="K2033">
        <f>VLOOKUP(A2033,Pr_Base_LNEC!$A$4:$J$6971,7,FALSE)</f>
        <v>0</v>
      </c>
    </row>
    <row r="2034" spans="1:11" ht="14.5">
      <c r="A2034" s="20" t="s">
        <v>18872</v>
      </c>
      <c r="B2034" s="20">
        <v>25</v>
      </c>
      <c r="C2034" s="20">
        <v>71</v>
      </c>
      <c r="D2034" s="20">
        <v>97</v>
      </c>
      <c r="E2034" s="20">
        <v>60</v>
      </c>
      <c r="F2034" s="20" t="s">
        <v>18873</v>
      </c>
      <c r="G2034" s="20" t="s">
        <v>18874</v>
      </c>
      <c r="H2034" s="24"/>
      <c r="I2034" s="24" t="str">
        <f ca="1">IFERROR(__xludf.DUMMYFUNCTION("GOOGLETRANSLATE(F2034,""en"",""pt"")"),"aglomerados")</f>
        <v>aglomerados</v>
      </c>
      <c r="J2034">
        <f>VLOOKUP(A2034,Pr_Base_LNEC!$A$4:$J$6971,6,FALSE)</f>
        <v>0</v>
      </c>
      <c r="K2034">
        <f>VLOOKUP(A2034,Pr_Base_LNEC!$A$4:$J$6971,7,FALSE)</f>
        <v>0</v>
      </c>
    </row>
    <row r="2035" spans="1:11" ht="14.5">
      <c r="A2035" s="20" t="s">
        <v>18875</v>
      </c>
      <c r="B2035" s="20">
        <v>25</v>
      </c>
      <c r="C2035" s="20">
        <v>71</v>
      </c>
      <c r="D2035" s="20">
        <v>97</v>
      </c>
      <c r="E2035" s="20">
        <v>65</v>
      </c>
      <c r="F2035" s="20" t="s">
        <v>18876</v>
      </c>
      <c r="G2035" s="24"/>
      <c r="H2035" s="24"/>
      <c r="I2035" s="24" t="str">
        <f ca="1">IFERROR(__xludf.DUMMYFUNCTION("GOOGLETRANSLATE(F2035,""en"",""pt"")"),"contraplacados revestidos com polímeros")</f>
        <v>contraplacados revestidos com polímeros</v>
      </c>
      <c r="J2035">
        <f>VLOOKUP(A2035,Pr_Base_LNEC!$A$4:$J$6971,6,FALSE)</f>
        <v>0</v>
      </c>
      <c r="K2035">
        <f>VLOOKUP(A2035,Pr_Base_LNEC!$A$4:$J$6971,7,FALSE)</f>
        <v>0</v>
      </c>
    </row>
    <row r="2036" spans="1:11" ht="14.5">
      <c r="A2036" s="20" t="s">
        <v>18877</v>
      </c>
      <c r="B2036" s="20">
        <v>25</v>
      </c>
      <c r="C2036" s="20">
        <v>71</v>
      </c>
      <c r="D2036" s="20">
        <v>97</v>
      </c>
      <c r="E2036" s="20">
        <v>77</v>
      </c>
      <c r="F2036" s="20" t="s">
        <v>18878</v>
      </c>
      <c r="G2036" s="20" t="s">
        <v>18879</v>
      </c>
      <c r="H2036" s="24"/>
      <c r="I2036" s="24" t="str">
        <f ca="1">IFERROR(__xludf.DUMMYFUNCTION("GOOGLETRANSLATE(F2036,""en"",""pt"")"),"Softboards")</f>
        <v>Softboards</v>
      </c>
      <c r="J2036">
        <f>VLOOKUP(A2036,Pr_Base_LNEC!$A$4:$J$6971,6,FALSE)</f>
        <v>0</v>
      </c>
      <c r="K2036">
        <f>VLOOKUP(A2036,Pr_Base_LNEC!$A$4:$J$6971,7,FALSE)</f>
        <v>0</v>
      </c>
    </row>
    <row r="2037" spans="1:11" ht="14.5">
      <c r="A2037" s="20" t="s">
        <v>18880</v>
      </c>
      <c r="B2037" s="20">
        <v>25</v>
      </c>
      <c r="C2037" s="20">
        <v>71</v>
      </c>
      <c r="D2037" s="20">
        <v>97</v>
      </c>
      <c r="E2037" s="20">
        <v>78</v>
      </c>
      <c r="F2037" s="20" t="s">
        <v>18881</v>
      </c>
      <c r="G2037" s="20" t="s">
        <v>18882</v>
      </c>
      <c r="H2037" s="24"/>
      <c r="I2037" s="24" t="str">
        <f ca="1">IFERROR(__xludf.DUMMYFUNCTION("GOOGLETRANSLATE(F2037,""en"",""pt"")"),"placas de plataforma de madeira mole")</f>
        <v>placas de plataforma de madeira mole</v>
      </c>
      <c r="J2037">
        <f>VLOOKUP(A2037,Pr_Base_LNEC!$A$4:$J$6971,6,FALSE)</f>
        <v>0</v>
      </c>
      <c r="K2037">
        <f>VLOOKUP(A2037,Pr_Base_LNEC!$A$4:$J$6971,7,FALSE)</f>
        <v>0</v>
      </c>
    </row>
    <row r="2038" spans="1:11" ht="14.5">
      <c r="A2038" s="20" t="s">
        <v>18883</v>
      </c>
      <c r="B2038" s="20">
        <v>25</v>
      </c>
      <c r="C2038" s="20">
        <v>71</v>
      </c>
      <c r="D2038" s="20">
        <v>97</v>
      </c>
      <c r="E2038" s="20">
        <v>79</v>
      </c>
      <c r="F2038" s="20" t="s">
        <v>18884</v>
      </c>
      <c r="G2038" s="20" t="s">
        <v>18885</v>
      </c>
      <c r="H2038" s="24"/>
      <c r="I2038" s="24" t="str">
        <f ca="1">IFERROR(__xludf.DUMMYFUNCTION("GOOGLETRANSLATE(F2038,""en"",""pt"")"),"placas de vedação de fibra longa")</f>
        <v>placas de vedação de fibra longa</v>
      </c>
      <c r="J2038">
        <f>VLOOKUP(A2038,Pr_Base_LNEC!$A$4:$J$6971,6,FALSE)</f>
        <v>0</v>
      </c>
      <c r="K2038">
        <f>VLOOKUP(A2038,Pr_Base_LNEC!$A$4:$J$6971,7,FALSE)</f>
        <v>0</v>
      </c>
    </row>
    <row r="2039" spans="1:11" ht="14.5">
      <c r="A2039" s="20" t="s">
        <v>18886</v>
      </c>
      <c r="B2039" s="20">
        <v>25</v>
      </c>
      <c r="C2039" s="20">
        <v>71</v>
      </c>
      <c r="D2039" s="20">
        <v>97</v>
      </c>
      <c r="E2039" s="20">
        <v>83</v>
      </c>
      <c r="F2039" s="20" t="s">
        <v>18887</v>
      </c>
      <c r="G2039" s="20" t="s">
        <v>18845</v>
      </c>
      <c r="H2039" s="24"/>
      <c r="I2039" s="24" t="str">
        <f ca="1">IFERROR(__xludf.DUMMYFUNCTION("GOOGLETRANSLATE(F2039,""en"",""pt"")"),"tiras de fibra longa")</f>
        <v>tiras de fibra longa</v>
      </c>
      <c r="J2039">
        <f>VLOOKUP(A2039,Pr_Base_LNEC!$A$4:$J$6971,6,FALSE)</f>
        <v>0</v>
      </c>
      <c r="K2039">
        <f>VLOOKUP(A2039,Pr_Base_LNEC!$A$4:$J$6971,7,FALSE)</f>
        <v>0</v>
      </c>
    </row>
    <row r="2040" spans="1:11" ht="14.5">
      <c r="A2040" s="20" t="s">
        <v>18888</v>
      </c>
      <c r="B2040" s="20">
        <v>25</v>
      </c>
      <c r="C2040" s="20">
        <v>71</v>
      </c>
      <c r="D2040" s="20">
        <v>97</v>
      </c>
      <c r="E2040" s="20">
        <v>84</v>
      </c>
      <c r="F2040" s="20" t="s">
        <v>18889</v>
      </c>
      <c r="G2040" s="20" t="s">
        <v>18890</v>
      </c>
      <c r="H2040" s="24"/>
      <c r="I2040" s="24" t="str">
        <f ca="1">IFERROR(__xludf.DUMMYFUNCTION("GOOGLETRANSLATE(F2040,""en"",""pt"")"),"weatherboards resinosas")</f>
        <v>weatherboards resinosas</v>
      </c>
      <c r="J2040">
        <f>VLOOKUP(A2040,Pr_Base_LNEC!$A$4:$J$6971,6,FALSE)</f>
        <v>0</v>
      </c>
      <c r="K2040">
        <f>VLOOKUP(A2040,Pr_Base_LNEC!$A$4:$J$6971,7,FALSE)</f>
        <v>0</v>
      </c>
    </row>
    <row r="2041" spans="1:11" ht="14.5">
      <c r="A2041" s="20" t="s">
        <v>18891</v>
      </c>
      <c r="B2041" s="20">
        <v>25</v>
      </c>
      <c r="C2041" s="20">
        <v>71</v>
      </c>
      <c r="D2041" s="20">
        <v>97</v>
      </c>
      <c r="E2041" s="20">
        <v>85</v>
      </c>
      <c r="F2041" s="20" t="s">
        <v>18892</v>
      </c>
      <c r="G2041" s="20" t="s">
        <v>18893</v>
      </c>
      <c r="H2041" s="24"/>
      <c r="I2041" s="24" t="str">
        <f ca="1">IFERROR(__xludf.DUMMYFUNCTION("GOOGLETRANSLATE(F2041,""en"",""pt"")"),"contraplacados folheados especialista")</f>
        <v>contraplacados folheados especialista</v>
      </c>
      <c r="J2041">
        <f>VLOOKUP(A2041,Pr_Base_LNEC!$A$4:$J$6971,6,FALSE)</f>
        <v>0</v>
      </c>
      <c r="K2041">
        <f>VLOOKUP(A2041,Pr_Base_LNEC!$A$4:$J$6971,7,FALSE)</f>
        <v>0</v>
      </c>
    </row>
    <row r="2042" spans="1:11" ht="14.5">
      <c r="A2042" s="20" t="s">
        <v>18894</v>
      </c>
      <c r="B2042" s="20">
        <v>25</v>
      </c>
      <c r="C2042" s="20">
        <v>71</v>
      </c>
      <c r="D2042" s="20">
        <v>97</v>
      </c>
      <c r="E2042" s="20">
        <v>86</v>
      </c>
      <c r="F2042" s="20" t="s">
        <v>18895</v>
      </c>
      <c r="G2042" s="20" t="s">
        <v>18896</v>
      </c>
      <c r="H2042" s="24"/>
      <c r="I2042" s="24" t="str">
        <f ca="1">IFERROR(__xludf.DUMMYFUNCTION("GOOGLETRANSLATE(F2042,""en"",""pt"")"),"contraplacados folheados estruturais")</f>
        <v>contraplacados folheados estruturais</v>
      </c>
      <c r="J2042">
        <f>VLOOKUP(A2042,Pr_Base_LNEC!$A$4:$J$6971,6,FALSE)</f>
        <v>0</v>
      </c>
      <c r="K2042">
        <f>VLOOKUP(A2042,Pr_Base_LNEC!$A$4:$J$6971,7,FALSE)</f>
        <v>0</v>
      </c>
    </row>
    <row r="2043" spans="1:11" ht="14.5">
      <c r="A2043" s="20" t="s">
        <v>18897</v>
      </c>
      <c r="B2043" s="20">
        <v>25</v>
      </c>
      <c r="C2043" s="20">
        <v>71</v>
      </c>
      <c r="D2043" s="20">
        <v>97</v>
      </c>
      <c r="E2043" s="20">
        <v>87</v>
      </c>
      <c r="F2043" s="20" t="s">
        <v>18898</v>
      </c>
      <c r="G2043" s="20" t="s">
        <v>18899</v>
      </c>
      <c r="H2043" s="24"/>
      <c r="I2043" s="24" t="str">
        <f ca="1">IFERROR(__xludf.DUMMYFUNCTION("GOOGLETRANSLATE(F2043,""en"",""pt"")"),"tábuas do assoalho de madeira")</f>
        <v>tábuas do assoalho de madeira</v>
      </c>
      <c r="J2043">
        <f>VLOOKUP(A2043,Pr_Base_LNEC!$A$4:$J$6971,6,FALSE)</f>
        <v>0</v>
      </c>
      <c r="K2043">
        <f>VLOOKUP(A2043,Pr_Base_LNEC!$A$4:$J$6971,7,FALSE)</f>
        <v>0</v>
      </c>
    </row>
    <row r="2044" spans="1:11" ht="14.5">
      <c r="A2044" s="20" t="s">
        <v>18900</v>
      </c>
      <c r="B2044" s="20">
        <v>25</v>
      </c>
      <c r="C2044" s="20">
        <v>71</v>
      </c>
      <c r="D2044" s="20">
        <v>97</v>
      </c>
      <c r="E2044" s="20">
        <v>88</v>
      </c>
      <c r="F2044" s="20" t="s">
        <v>18901</v>
      </c>
      <c r="G2044" s="20" t="s">
        <v>18902</v>
      </c>
      <c r="H2044" s="24"/>
      <c r="I2044" s="24" t="str">
        <f ca="1">IFERROR(__xludf.DUMMYFUNCTION("GOOGLETRANSLATE(F2044,""en"",""pt"")"),"placas de guarnição de madeira")</f>
        <v>placas de guarnição de madeira</v>
      </c>
      <c r="J2044">
        <f>VLOOKUP(A2044,Pr_Base_LNEC!$A$4:$J$6971,6,FALSE)</f>
        <v>0</v>
      </c>
      <c r="K2044">
        <f>VLOOKUP(A2044,Pr_Base_LNEC!$A$4:$J$6971,7,FALSE)</f>
        <v>0</v>
      </c>
    </row>
    <row r="2045" spans="1:11" ht="14.5">
      <c r="A2045" s="20" t="s">
        <v>18903</v>
      </c>
      <c r="B2045" s="20">
        <v>25</v>
      </c>
      <c r="C2045" s="20">
        <v>71</v>
      </c>
      <c r="D2045" s="20">
        <v>97</v>
      </c>
      <c r="E2045" s="20">
        <v>89</v>
      </c>
      <c r="F2045" s="20" t="s">
        <v>18904</v>
      </c>
      <c r="G2045" s="20" t="s">
        <v>18905</v>
      </c>
      <c r="H2045" s="24"/>
      <c r="I2045" s="24" t="str">
        <f ca="1">IFERROR(__xludf.DUMMYFUNCTION("GOOGLETRANSLATE(F2045,""en"",""pt"")"),"placas de madeira sarking")</f>
        <v>placas de madeira sarking</v>
      </c>
      <c r="J2045">
        <f>VLOOKUP(A2045,Pr_Base_LNEC!$A$4:$J$6971,6,FALSE)</f>
        <v>0</v>
      </c>
      <c r="K2045">
        <f>VLOOKUP(A2045,Pr_Base_LNEC!$A$4:$J$6971,7,FALSE)</f>
        <v>0</v>
      </c>
    </row>
    <row r="2046" spans="1:11" ht="14.5">
      <c r="A2046" s="20" t="s">
        <v>18906</v>
      </c>
      <c r="B2046" s="20">
        <v>25</v>
      </c>
      <c r="C2046" s="20">
        <v>71</v>
      </c>
      <c r="D2046" s="20">
        <v>97</v>
      </c>
      <c r="E2046" s="20">
        <v>91</v>
      </c>
      <c r="F2046" s="20" t="s">
        <v>18907</v>
      </c>
      <c r="G2046" s="20" t="s">
        <v>18908</v>
      </c>
      <c r="H2046" s="24"/>
      <c r="I2046" s="24" t="str">
        <f ca="1">IFERROR(__xludf.DUMMYFUNCTION("GOOGLETRANSLATE(F2046,""en"",""pt"")"),"contraplacados folheados geral Visual grau")</f>
        <v>contraplacados folheados geral Visual grau</v>
      </c>
      <c r="J2046">
        <f>VLOOKUP(A2046,Pr_Base_LNEC!$A$4:$J$6971,6,FALSE)</f>
        <v>0</v>
      </c>
      <c r="K2046">
        <f>VLOOKUP(A2046,Pr_Base_LNEC!$A$4:$J$6971,7,FALSE)</f>
        <v>0</v>
      </c>
    </row>
    <row r="2047" spans="1:11" ht="14.5">
      <c r="A2047" s="20" t="s">
        <v>18909</v>
      </c>
      <c r="B2047" s="20">
        <v>25</v>
      </c>
      <c r="C2047" s="20">
        <v>71</v>
      </c>
      <c r="D2047" s="20">
        <v>97</v>
      </c>
      <c r="E2047" s="20">
        <v>92</v>
      </c>
      <c r="F2047" s="20" t="s">
        <v>18910</v>
      </c>
      <c r="G2047" s="24"/>
      <c r="H2047" s="24"/>
      <c r="I2047" s="24" t="str">
        <f ca="1">IFERROR(__xludf.DUMMYFUNCTION("GOOGLETRANSLATE(F2047,""en"",""pt"")"),"As placas de fibra de madeira")</f>
        <v>As placas de fibra de madeira</v>
      </c>
      <c r="J2047">
        <f>VLOOKUP(A2047,Pr_Base_LNEC!$A$4:$J$6971,6,FALSE)</f>
        <v>0</v>
      </c>
      <c r="K2047">
        <f>VLOOKUP(A2047,Pr_Base_LNEC!$A$4:$J$6971,7,FALSE)</f>
        <v>0</v>
      </c>
    </row>
    <row r="2048" spans="1:11" ht="14.5">
      <c r="A2048" s="20" t="s">
        <v>18911</v>
      </c>
      <c r="B2048" s="20">
        <v>25</v>
      </c>
      <c r="C2048" s="20">
        <v>71</v>
      </c>
      <c r="D2048" s="20">
        <v>97</v>
      </c>
      <c r="E2048" s="20">
        <v>93</v>
      </c>
      <c r="F2048" s="20" t="s">
        <v>18912</v>
      </c>
      <c r="G2048" s="20" t="s">
        <v>18913</v>
      </c>
      <c r="H2048" s="24"/>
      <c r="I2048" s="24" t="str">
        <f ca="1">IFERROR(__xludf.DUMMYFUNCTION("GOOGLETRANSLATE(F2048,""en"",""pt"")"),"tiras de laminado de madeira e placas")</f>
        <v>tiras de laminado de madeira e placas</v>
      </c>
      <c r="J2048">
        <f>VLOOKUP(A2048,Pr_Base_LNEC!$A$4:$J$6971,6,FALSE)</f>
        <v>0</v>
      </c>
      <c r="K2048">
        <f>VLOOKUP(A2048,Pr_Base_LNEC!$A$4:$J$6971,7,FALSE)</f>
        <v>0</v>
      </c>
    </row>
    <row r="2049" spans="1:11" ht="14.5">
      <c r="A2049" s="20" t="s">
        <v>18914</v>
      </c>
      <c r="B2049" s="20">
        <v>25</v>
      </c>
      <c r="C2049" s="20">
        <v>71</v>
      </c>
      <c r="D2049" s="20">
        <v>97</v>
      </c>
      <c r="E2049" s="20">
        <v>94</v>
      </c>
      <c r="F2049" s="20" t="s">
        <v>18915</v>
      </c>
      <c r="G2049" s="20" t="s">
        <v>18916</v>
      </c>
      <c r="H2049" s="24"/>
      <c r="I2049" s="24" t="str">
        <f ca="1">IFERROR(__xludf.DUMMYFUNCTION("GOOGLETRANSLATE(F2049,""en"",""pt"")"),"Wood-plásticos painéis de cobertura compósitas")</f>
        <v>Wood-plásticos painéis de cobertura compósitas</v>
      </c>
      <c r="J2049">
        <f>VLOOKUP(A2049,Pr_Base_LNEC!$A$4:$J$6971,6,FALSE)</f>
        <v>0</v>
      </c>
      <c r="K2049">
        <f>VLOOKUP(A2049,Pr_Base_LNEC!$A$4:$J$6971,7,FALSE)</f>
        <v>0</v>
      </c>
    </row>
    <row r="2050" spans="1:11" ht="14.5">
      <c r="A2050" s="20" t="s">
        <v>18917</v>
      </c>
      <c r="B2050" s="20">
        <v>25</v>
      </c>
      <c r="C2050" s="20">
        <v>71</v>
      </c>
      <c r="D2050" s="20">
        <v>97</v>
      </c>
      <c r="E2050" s="20">
        <v>95</v>
      </c>
      <c r="F2050" s="20" t="s">
        <v>18918</v>
      </c>
      <c r="G2050" s="20" t="s">
        <v>18919</v>
      </c>
      <c r="H2050" s="24"/>
      <c r="I2050" s="24" t="str">
        <f ca="1">IFERROR(__xludf.DUMMYFUNCTION("GOOGLETRANSLATE(F2050,""en"",""pt"")"),"Wood-plásticos weatherboards compósitos")</f>
        <v>Wood-plásticos weatherboards compósitos</v>
      </c>
      <c r="J2050">
        <f>VLOOKUP(A2050,Pr_Base_LNEC!$A$4:$J$6971,6,FALSE)</f>
        <v>0</v>
      </c>
      <c r="K2050">
        <f>VLOOKUP(A2050,Pr_Base_LNEC!$A$4:$J$6971,7,FALSE)</f>
        <v>0</v>
      </c>
    </row>
    <row r="2051" spans="1:11" ht="14.5">
      <c r="A2051" s="20" t="s">
        <v>18920</v>
      </c>
      <c r="B2051" s="20">
        <v>25</v>
      </c>
      <c r="C2051" s="20">
        <v>71</v>
      </c>
      <c r="D2051" s="20">
        <v>97</v>
      </c>
      <c r="E2051" s="20">
        <v>97</v>
      </c>
      <c r="F2051" s="20" t="s">
        <v>18921</v>
      </c>
      <c r="G2051" s="20" t="s">
        <v>18922</v>
      </c>
      <c r="H2051" s="24"/>
      <c r="I2051" s="24" t="str">
        <f ca="1">IFERROR(__xludf.DUMMYFUNCTION("GOOGLETRANSLATE(F2051,""en"",""pt"")"),"placas de madeira de lã")</f>
        <v>placas de madeira de lã</v>
      </c>
      <c r="J2051">
        <f>VLOOKUP(A2051,Pr_Base_LNEC!$A$4:$J$6971,6,FALSE)</f>
        <v>0</v>
      </c>
      <c r="K2051">
        <f>VLOOKUP(A2051,Pr_Base_LNEC!$A$4:$J$6971,7,FALSE)</f>
        <v>0</v>
      </c>
    </row>
    <row r="2052" spans="1:11" ht="14.5">
      <c r="A2052" s="20" t="s">
        <v>18923</v>
      </c>
      <c r="B2052" s="20">
        <v>25</v>
      </c>
      <c r="C2052" s="20">
        <v>71</v>
      </c>
      <c r="D2052" s="20">
        <v>97</v>
      </c>
      <c r="E2052" s="20">
        <v>98</v>
      </c>
      <c r="F2052" s="20" t="s">
        <v>18924</v>
      </c>
      <c r="G2052" s="20" t="s">
        <v>18925</v>
      </c>
      <c r="H2052" s="24"/>
      <c r="I2052" s="24" t="str">
        <f ca="1">IFERROR(__xludf.DUMMYFUNCTION("GOOGLETRANSLATE(F2052,""en"",""pt"")"),"weatherboards compito de madeira-resina")</f>
        <v>weatherboards compito de madeira-resina</v>
      </c>
      <c r="J2052">
        <f>VLOOKUP(A2052,Pr_Base_LNEC!$A$4:$J$6971,6,FALSE)</f>
        <v>0</v>
      </c>
      <c r="K2052">
        <f>VLOOKUP(A2052,Pr_Base_LNEC!$A$4:$J$6971,7,FALSE)</f>
        <v>0</v>
      </c>
    </row>
    <row r="2053" spans="1:11" ht="14.5">
      <c r="A2053" s="20" t="s">
        <v>18926</v>
      </c>
      <c r="B2053" s="20">
        <v>25</v>
      </c>
      <c r="C2053" s="20">
        <v>80</v>
      </c>
      <c r="D2053" s="24"/>
      <c r="E2053" s="24"/>
      <c r="F2053" s="20" t="s">
        <v>18927</v>
      </c>
      <c r="G2053" s="24"/>
      <c r="H2053" s="24"/>
      <c r="I2053" s="24" t="str">
        <f ca="1">IFERROR(__xludf.DUMMYFUNCTION("GOOGLETRANSLATE(F2053,""en"",""pt"")"),"Fumaça e fogo produtos de controle")</f>
        <v>Fumaça e fogo produtos de controle</v>
      </c>
      <c r="J2053" t="str">
        <f>VLOOKUP(A2053,Pr_Base_LNEC!$A$4:$J$6971,6,FALSE)</f>
        <v>Produtos para Controle de Fumos e Fogo</v>
      </c>
      <c r="K2053">
        <f>VLOOKUP(A2053,Pr_Base_LNEC!$A$4:$J$6971,7,FALSE)</f>
        <v>0</v>
      </c>
    </row>
    <row r="2054" spans="1:11" ht="14.5">
      <c r="A2054" s="20" t="s">
        <v>18928</v>
      </c>
      <c r="B2054" s="20">
        <v>25</v>
      </c>
      <c r="C2054" s="20">
        <v>80</v>
      </c>
      <c r="D2054" s="20">
        <v>79</v>
      </c>
      <c r="E2054" s="24"/>
      <c r="F2054" s="20" t="s">
        <v>18929</v>
      </c>
      <c r="G2054" s="24"/>
      <c r="H2054" s="24"/>
      <c r="I2054" s="24" t="str">
        <f ca="1">IFERROR(__xludf.DUMMYFUNCTION("GOOGLETRANSLATE(F2054,""en"",""pt"")"),"barreiras de fumaça e fogo")</f>
        <v>barreiras de fumaça e fogo</v>
      </c>
      <c r="J2054">
        <f>VLOOKUP(A2054,Pr_Base_LNEC!$A$4:$J$6971,6,FALSE)</f>
        <v>0</v>
      </c>
      <c r="K2054">
        <f>VLOOKUP(A2054,Pr_Base_LNEC!$A$4:$J$6971,7,FALSE)</f>
        <v>0</v>
      </c>
    </row>
    <row r="2055" spans="1:11" ht="14.5">
      <c r="A2055" s="20" t="s">
        <v>18930</v>
      </c>
      <c r="B2055" s="20">
        <v>25</v>
      </c>
      <c r="C2055" s="20">
        <v>80</v>
      </c>
      <c r="D2055" s="20">
        <v>79</v>
      </c>
      <c r="E2055" s="20">
        <v>1</v>
      </c>
      <c r="F2055" s="20" t="s">
        <v>18931</v>
      </c>
      <c r="G2055" s="20" t="s">
        <v>18932</v>
      </c>
      <c r="H2055" s="24"/>
      <c r="I2055" s="24" t="str">
        <f ca="1">IFERROR(__xludf.DUMMYFUNCTION("GOOGLETRANSLATE(F2055,""en"",""pt"")"),"barreiras de fumaça ativos")</f>
        <v>barreiras de fumaça ativos</v>
      </c>
      <c r="J2055">
        <f>VLOOKUP(A2055,Pr_Base_LNEC!$A$4:$J$6971,6,FALSE)</f>
        <v>0</v>
      </c>
      <c r="K2055">
        <f>VLOOKUP(A2055,Pr_Base_LNEC!$A$4:$J$6971,7,FALSE)</f>
        <v>0</v>
      </c>
    </row>
    <row r="2056" spans="1:11" ht="14.5">
      <c r="A2056" s="20" t="s">
        <v>18933</v>
      </c>
      <c r="B2056" s="20">
        <v>25</v>
      </c>
      <c r="C2056" s="20">
        <v>80</v>
      </c>
      <c r="D2056" s="20">
        <v>79</v>
      </c>
      <c r="E2056" s="20">
        <v>14</v>
      </c>
      <c r="F2056" s="20" t="s">
        <v>18934</v>
      </c>
      <c r="G2056" s="24"/>
      <c r="H2056" s="24"/>
      <c r="I2056" s="24" t="str">
        <f ca="1">IFERROR(__xludf.DUMMYFUNCTION("GOOGLETRANSLATE(F2056,""en"",""pt"")"),"estores contra incêndios sanfona")</f>
        <v>estores contra incêndios sanfona</v>
      </c>
      <c r="J2056" t="e">
        <f>VLOOKUP(A2056,Pr_Base_LNEC!$A$4:$J$6971,6,FALSE)</f>
        <v>#N/A</v>
      </c>
      <c r="K2056" t="e">
        <f>VLOOKUP(A2056,Pr_Base_LNEC!$A$4:$J$6971,7,FALSE)</f>
        <v>#N/A</v>
      </c>
    </row>
    <row r="2057" spans="1:11" ht="14.5">
      <c r="A2057" s="20" t="s">
        <v>18935</v>
      </c>
      <c r="B2057" s="20">
        <v>25</v>
      </c>
      <c r="C2057" s="20">
        <v>80</v>
      </c>
      <c r="D2057" s="20">
        <v>79</v>
      </c>
      <c r="E2057" s="20">
        <v>15</v>
      </c>
      <c r="F2057" s="20" t="s">
        <v>18936</v>
      </c>
      <c r="G2057" s="24"/>
      <c r="H2057" s="24"/>
      <c r="I2057" s="24" t="str">
        <f ca="1">IFERROR(__xludf.DUMMYFUNCTION("GOOGLETRANSLATE(F2057,""en"",""pt"")"),"cortinas de fumaça sanfona")</f>
        <v>cortinas de fumaça sanfona</v>
      </c>
      <c r="J2057" t="e">
        <f>VLOOKUP(A2057,Pr_Base_LNEC!$A$4:$J$6971,6,FALSE)</f>
        <v>#N/A</v>
      </c>
      <c r="K2057" t="e">
        <f>VLOOKUP(A2057,Pr_Base_LNEC!$A$4:$J$6971,7,FALSE)</f>
        <v>#N/A</v>
      </c>
    </row>
    <row r="2058" spans="1:11" ht="14.5">
      <c r="A2058" s="20" t="s">
        <v>18937</v>
      </c>
      <c r="B2058" s="20">
        <v>25</v>
      </c>
      <c r="C2058" s="20">
        <v>80</v>
      </c>
      <c r="D2058" s="20">
        <v>79</v>
      </c>
      <c r="E2058" s="20">
        <v>37</v>
      </c>
      <c r="F2058" s="20" t="s">
        <v>18938</v>
      </c>
      <c r="G2058" s="20" t="s">
        <v>18939</v>
      </c>
      <c r="H2058" s="24"/>
      <c r="I2058" s="24" t="str">
        <f ca="1">IFERROR(__xludf.DUMMYFUNCTION("GOOGLETRANSLATE(F2058,""en"",""pt"")"),"barreiras de fumo activos alta temperatura")</f>
        <v>barreiras de fumo activos alta temperatura</v>
      </c>
      <c r="J2058">
        <f>VLOOKUP(A2058,Pr_Base_LNEC!$A$4:$J$6971,6,FALSE)</f>
        <v>0</v>
      </c>
      <c r="K2058">
        <f>VLOOKUP(A2058,Pr_Base_LNEC!$A$4:$J$6971,7,FALSE)</f>
        <v>0</v>
      </c>
    </row>
    <row r="2059" spans="1:11" ht="14.5">
      <c r="A2059" s="20" t="s">
        <v>18940</v>
      </c>
      <c r="B2059" s="20">
        <v>25</v>
      </c>
      <c r="C2059" s="20">
        <v>80</v>
      </c>
      <c r="D2059" s="20">
        <v>79</v>
      </c>
      <c r="E2059" s="20">
        <v>38</v>
      </c>
      <c r="F2059" s="20" t="s">
        <v>18941</v>
      </c>
      <c r="G2059" s="24"/>
      <c r="H2059" s="24"/>
      <c r="I2059" s="24" t="str">
        <f ca="1">IFERROR(__xludf.DUMMYFUNCTION("GOOGLETRANSLATE(F2059,""en"",""pt"")"),"cortinas horizontal incêndio")</f>
        <v>cortinas horizontal incêndio</v>
      </c>
      <c r="J2059" t="e">
        <f>VLOOKUP(A2059,Pr_Base_LNEC!$A$4:$J$6971,6,FALSE)</f>
        <v>#N/A</v>
      </c>
      <c r="K2059" t="e">
        <f>VLOOKUP(A2059,Pr_Base_LNEC!$A$4:$J$6971,7,FALSE)</f>
        <v>#N/A</v>
      </c>
    </row>
    <row r="2060" spans="1:11" ht="14.5">
      <c r="A2060" s="20" t="s">
        <v>18942</v>
      </c>
      <c r="B2060" s="20">
        <v>25</v>
      </c>
      <c r="C2060" s="20">
        <v>80</v>
      </c>
      <c r="D2060" s="20">
        <v>79</v>
      </c>
      <c r="E2060" s="20">
        <v>39</v>
      </c>
      <c r="F2060" s="20" t="s">
        <v>18943</v>
      </c>
      <c r="G2060" s="24"/>
      <c r="H2060" s="24"/>
      <c r="I2060" s="24" t="str">
        <f ca="1">IFERROR(__xludf.DUMMYFUNCTION("GOOGLETRANSLATE(F2060,""en"",""pt"")"),"cortinas de fumaça horizontais")</f>
        <v>cortinas de fumaça horizontais</v>
      </c>
      <c r="J2060" t="e">
        <f>VLOOKUP(A2060,Pr_Base_LNEC!$A$4:$J$6971,6,FALSE)</f>
        <v>#N/A</v>
      </c>
      <c r="K2060" t="e">
        <f>VLOOKUP(A2060,Pr_Base_LNEC!$A$4:$J$6971,7,FALSE)</f>
        <v>#N/A</v>
      </c>
    </row>
    <row r="2061" spans="1:11" ht="14.5">
      <c r="A2061" s="20" t="s">
        <v>18944</v>
      </c>
      <c r="B2061" s="20">
        <v>25</v>
      </c>
      <c r="C2061" s="20">
        <v>80</v>
      </c>
      <c r="D2061" s="20">
        <v>79</v>
      </c>
      <c r="E2061" s="20">
        <v>86</v>
      </c>
      <c r="F2061" s="20" t="s">
        <v>18945</v>
      </c>
      <c r="G2061" s="20" t="s">
        <v>18946</v>
      </c>
      <c r="H2061" s="24"/>
      <c r="I2061" s="24" t="str">
        <f ca="1">IFERROR(__xludf.DUMMYFUNCTION("GOOGLETRANSLATE(F2061,""en"",""pt"")"),"barreiras de fumaça estáticos")</f>
        <v>barreiras de fumaça estáticos</v>
      </c>
      <c r="J2061">
        <f>VLOOKUP(A2061,Pr_Base_LNEC!$A$4:$J$6971,6,FALSE)</f>
        <v>0</v>
      </c>
      <c r="K2061">
        <f>VLOOKUP(A2061,Pr_Base_LNEC!$A$4:$J$6971,7,FALSE)</f>
        <v>0</v>
      </c>
    </row>
    <row r="2062" spans="1:11" ht="14.5">
      <c r="A2062" s="20" t="s">
        <v>18947</v>
      </c>
      <c r="B2062" s="20">
        <v>25</v>
      </c>
      <c r="C2062" s="20">
        <v>80</v>
      </c>
      <c r="D2062" s="20">
        <v>79</v>
      </c>
      <c r="E2062" s="20">
        <v>94</v>
      </c>
      <c r="F2062" s="20" t="s">
        <v>18948</v>
      </c>
      <c r="G2062" s="24"/>
      <c r="H2062" s="24"/>
      <c r="I2062" s="24" t="str">
        <f ca="1">IFERROR(__xludf.DUMMYFUNCTION("GOOGLETRANSLATE(F2062,""en"",""pt"")"),"estores contra incêndios verticais")</f>
        <v>estores contra incêndios verticais</v>
      </c>
      <c r="J2062" t="e">
        <f>VLOOKUP(A2062,Pr_Base_LNEC!$A$4:$J$6971,6,FALSE)</f>
        <v>#N/A</v>
      </c>
      <c r="K2062" t="e">
        <f>VLOOKUP(A2062,Pr_Base_LNEC!$A$4:$J$6971,7,FALSE)</f>
        <v>#N/A</v>
      </c>
    </row>
    <row r="2063" spans="1:11" ht="14.5">
      <c r="A2063" s="20" t="s">
        <v>18949</v>
      </c>
      <c r="B2063" s="20">
        <v>25</v>
      </c>
      <c r="C2063" s="20">
        <v>80</v>
      </c>
      <c r="D2063" s="20">
        <v>79</v>
      </c>
      <c r="E2063" s="20">
        <v>95</v>
      </c>
      <c r="F2063" s="20" t="s">
        <v>18950</v>
      </c>
      <c r="G2063" s="24"/>
      <c r="H2063" s="24"/>
      <c r="I2063" s="24" t="str">
        <f ca="1">IFERROR(__xludf.DUMMYFUNCTION("GOOGLETRANSLATE(F2063,""en"",""pt"")"),"cortinas de fumaça verticais")</f>
        <v>cortinas de fumaça verticais</v>
      </c>
      <c r="J2063" t="e">
        <f>VLOOKUP(A2063,Pr_Base_LNEC!$A$4:$J$6971,6,FALSE)</f>
        <v>#N/A</v>
      </c>
      <c r="K2063" t="e">
        <f>VLOOKUP(A2063,Pr_Base_LNEC!$A$4:$J$6971,7,FALSE)</f>
        <v>#N/A</v>
      </c>
    </row>
    <row r="2064" spans="1:11" ht="14.5">
      <c r="A2064" s="20" t="s">
        <v>18951</v>
      </c>
      <c r="B2064" s="20">
        <v>25</v>
      </c>
      <c r="C2064" s="20">
        <v>80</v>
      </c>
      <c r="D2064" s="20">
        <v>79</v>
      </c>
      <c r="E2064" s="20">
        <v>96</v>
      </c>
      <c r="F2064" s="20" t="s">
        <v>18952</v>
      </c>
      <c r="G2064" s="24"/>
      <c r="H2064" s="24"/>
      <c r="I2064" s="24" t="str">
        <f ca="1">IFERROR(__xludf.DUMMYFUNCTION("GOOGLETRANSLATE(F2064,""en"",""pt"")"),"cortinas de tiras verticais de fumo")</f>
        <v>cortinas de tiras verticais de fumo</v>
      </c>
      <c r="J2064" t="e">
        <f>VLOOKUP(A2064,Pr_Base_LNEC!$A$4:$J$6971,6,FALSE)</f>
        <v>#N/A</v>
      </c>
      <c r="K2064" t="e">
        <f>VLOOKUP(A2064,Pr_Base_LNEC!$A$4:$J$6971,7,FALSE)</f>
        <v>#N/A</v>
      </c>
    </row>
    <row r="2065" spans="1:11" ht="14.5">
      <c r="A2065" s="20" t="s">
        <v>18953</v>
      </c>
      <c r="B2065" s="20">
        <v>25</v>
      </c>
      <c r="C2065" s="20">
        <v>80</v>
      </c>
      <c r="D2065" s="20">
        <v>80</v>
      </c>
      <c r="E2065" s="24"/>
      <c r="F2065" s="20" t="s">
        <v>18954</v>
      </c>
      <c r="G2065" s="24"/>
      <c r="H2065" s="24"/>
      <c r="I2065" s="24" t="str">
        <f ca="1">IFERROR(__xludf.DUMMYFUNCTION("GOOGLETRANSLATE(F2065,""en"",""pt"")"),"barreiras de cavidade de fogo e fumo")</f>
        <v>barreiras de cavidade de fogo e fumo</v>
      </c>
      <c r="J2065">
        <f>VLOOKUP(A2065,Pr_Base_LNEC!$A$4:$J$6971,6,FALSE)</f>
        <v>0</v>
      </c>
      <c r="K2065">
        <f>VLOOKUP(A2065,Pr_Base_LNEC!$A$4:$J$6971,7,FALSE)</f>
        <v>0</v>
      </c>
    </row>
    <row r="2066" spans="1:11" ht="14.5">
      <c r="A2066" s="20" t="s">
        <v>18955</v>
      </c>
      <c r="B2066" s="20">
        <v>25</v>
      </c>
      <c r="C2066" s="20">
        <v>80</v>
      </c>
      <c r="D2066" s="20">
        <v>80</v>
      </c>
      <c r="E2066" s="20">
        <v>14</v>
      </c>
      <c r="F2066" s="20" t="s">
        <v>18956</v>
      </c>
      <c r="G2066" s="20" t="s">
        <v>18957</v>
      </c>
      <c r="H2066" s="24"/>
      <c r="I2066" s="24" t="str">
        <f ca="1">IFERROR(__xludf.DUMMYFUNCTION("GOOGLETRANSLATE(F2066,""en"",""pt"")"),"barreiras cavidade flexível revestido de pano de fibra de vidro tecida")</f>
        <v>barreiras cavidade flexível revestido de pano de fibra de vidro tecida</v>
      </c>
      <c r="J2066">
        <f>VLOOKUP(A2066,Pr_Base_LNEC!$A$4:$J$6971,6,FALSE)</f>
        <v>0</v>
      </c>
      <c r="K2066">
        <f>VLOOKUP(A2066,Pr_Base_LNEC!$A$4:$J$6971,7,FALSE)</f>
        <v>0</v>
      </c>
    </row>
    <row r="2067" spans="1:11" ht="14.5">
      <c r="A2067" s="20" t="s">
        <v>18958</v>
      </c>
      <c r="B2067" s="20">
        <v>25</v>
      </c>
      <c r="C2067" s="20">
        <v>80</v>
      </c>
      <c r="D2067" s="20">
        <v>80</v>
      </c>
      <c r="E2067" s="20">
        <v>30</v>
      </c>
      <c r="F2067" s="20" t="s">
        <v>18959</v>
      </c>
      <c r="G2067" s="20" t="s">
        <v>18960</v>
      </c>
      <c r="H2067" s="24"/>
      <c r="I2067" s="24" t="str">
        <f ca="1">IFERROR(__xludf.DUMMYFUNCTION("GOOGLETRANSLATE(F2067,""en"",""pt"")"),"Fogo isolante tampas")</f>
        <v>Fogo isolante tampas</v>
      </c>
      <c r="J2067">
        <f>VLOOKUP(A2067,Pr_Base_LNEC!$A$4:$J$6971,6,FALSE)</f>
        <v>0</v>
      </c>
      <c r="K2067">
        <f>VLOOKUP(A2067,Pr_Base_LNEC!$A$4:$J$6971,7,FALSE)</f>
        <v>0</v>
      </c>
    </row>
    <row r="2068" spans="1:11" ht="14.5">
      <c r="A2068" s="20" t="s">
        <v>18961</v>
      </c>
      <c r="B2068" s="20">
        <v>25</v>
      </c>
      <c r="C2068" s="20">
        <v>80</v>
      </c>
      <c r="D2068" s="20">
        <v>80</v>
      </c>
      <c r="E2068" s="20">
        <v>42</v>
      </c>
      <c r="F2068" s="20" t="s">
        <v>18962</v>
      </c>
      <c r="G2068" s="20" t="s">
        <v>18963</v>
      </c>
      <c r="H2068" s="24"/>
      <c r="I2068" s="24" t="str">
        <f ca="1">IFERROR(__xludf.DUMMYFUNCTION("GOOGLETRANSLATE(F2068,""en"",""pt"")"),"forrado com a folha intumescente malha barreiras cavidade flexíveis")</f>
        <v>forrado com a folha intumescente malha barreiras cavidade flexíveis</v>
      </c>
      <c r="J2068">
        <f>VLOOKUP(A2068,Pr_Base_LNEC!$A$4:$J$6971,6,FALSE)</f>
        <v>0</v>
      </c>
      <c r="K2068">
        <f>VLOOKUP(A2068,Pr_Base_LNEC!$A$4:$J$6971,7,FALSE)</f>
        <v>0</v>
      </c>
    </row>
    <row r="2069" spans="1:11" ht="14.5">
      <c r="A2069" s="20" t="s">
        <v>18964</v>
      </c>
      <c r="B2069" s="20">
        <v>25</v>
      </c>
      <c r="C2069" s="20">
        <v>80</v>
      </c>
      <c r="D2069" s="20">
        <v>80</v>
      </c>
      <c r="E2069" s="20">
        <v>43</v>
      </c>
      <c r="F2069" s="20" t="s">
        <v>18965</v>
      </c>
      <c r="G2069" s="20" t="s">
        <v>18966</v>
      </c>
      <c r="H2069" s="24"/>
      <c r="I2069" s="24" t="str">
        <f ca="1">IFERROR(__xludf.DUMMYFUNCTION("GOOGLETRANSLATE(F2069,""en"",""pt"")"),"barreiras cavidade folha intumescente")</f>
        <v>barreiras cavidade folha intumescente</v>
      </c>
      <c r="J2069">
        <f>VLOOKUP(A2069,Pr_Base_LNEC!$A$4:$J$6971,6,FALSE)</f>
        <v>0</v>
      </c>
      <c r="K2069">
        <f>VLOOKUP(A2069,Pr_Base_LNEC!$A$4:$J$6971,7,FALSE)</f>
        <v>0</v>
      </c>
    </row>
    <row r="2070" spans="1:11" ht="14.5">
      <c r="A2070" s="20" t="s">
        <v>18967</v>
      </c>
      <c r="B2070" s="20">
        <v>25</v>
      </c>
      <c r="C2070" s="20">
        <v>80</v>
      </c>
      <c r="D2070" s="20">
        <v>80</v>
      </c>
      <c r="E2070" s="20">
        <v>44</v>
      </c>
      <c r="F2070" s="20" t="s">
        <v>18968</v>
      </c>
      <c r="G2070" s="20" t="s">
        <v>18969</v>
      </c>
      <c r="H2070" s="24"/>
      <c r="I2070" s="24" t="str">
        <f ca="1">IFERROR(__xludf.DUMMYFUNCTION("GOOGLETRANSLATE(F2070,""en"",""pt"")"),"barreiras mangas intumescentes de incêndio cavidade de lã mineral")</f>
        <v>barreiras mangas intumescentes de incêndio cavidade de lã mineral</v>
      </c>
      <c r="J2070" t="e">
        <f>VLOOKUP(A2070,Pr_Base_LNEC!$A$4:$J$6971,6,FALSE)</f>
        <v>#N/A</v>
      </c>
      <c r="K2070" t="e">
        <f>VLOOKUP(A2070,Pr_Base_LNEC!$A$4:$J$6971,7,FALSE)</f>
        <v>#N/A</v>
      </c>
    </row>
    <row r="2071" spans="1:11" ht="14.5">
      <c r="A2071" s="20" t="s">
        <v>18970</v>
      </c>
      <c r="B2071" s="20">
        <v>25</v>
      </c>
      <c r="C2071" s="20">
        <v>80</v>
      </c>
      <c r="D2071" s="20">
        <v>80</v>
      </c>
      <c r="E2071" s="20">
        <v>51</v>
      </c>
      <c r="F2071" s="20" t="s">
        <v>18971</v>
      </c>
      <c r="G2071" s="20" t="s">
        <v>18972</v>
      </c>
      <c r="H2071" s="24"/>
      <c r="I2071" s="24" t="str">
        <f ca="1">IFERROR(__xludf.DUMMYFUNCTION("GOOGLETRANSLATE(F2071,""en"",""pt"")"),"fio de lã mineral reforçado barreiras cavidade colchão")</f>
        <v>fio de lã mineral reforçado barreiras cavidade colchão</v>
      </c>
      <c r="J2071">
        <f>VLOOKUP(A2071,Pr_Base_LNEC!$A$4:$J$6971,6,FALSE)</f>
        <v>0</v>
      </c>
      <c r="K2071">
        <f>VLOOKUP(A2071,Pr_Base_LNEC!$A$4:$J$6971,7,FALSE)</f>
        <v>0</v>
      </c>
    </row>
    <row r="2072" spans="1:11" ht="14.5">
      <c r="A2072" s="20" t="s">
        <v>18973</v>
      </c>
      <c r="B2072" s="20">
        <v>25</v>
      </c>
      <c r="C2072" s="20">
        <v>80</v>
      </c>
      <c r="D2072" s="20">
        <v>80</v>
      </c>
      <c r="E2072" s="20">
        <v>79</v>
      </c>
      <c r="F2072" s="20" t="s">
        <v>18974</v>
      </c>
      <c r="G2072" s="20" t="s">
        <v>18975</v>
      </c>
      <c r="H2072" s="24"/>
      <c r="I2072" s="24" t="str">
        <f ca="1">IFERROR(__xludf.DUMMYFUNCTION("GOOGLETRANSLATE(F2072,""en"",""pt"")"),"barreiras pequena cavidade de lã mineral mangas")</f>
        <v>barreiras pequena cavidade de lã mineral mangas</v>
      </c>
      <c r="J2072">
        <f>VLOOKUP(A2072,Pr_Base_LNEC!$A$4:$J$6971,6,FALSE)</f>
        <v>0</v>
      </c>
      <c r="K2072">
        <f>VLOOKUP(A2072,Pr_Base_LNEC!$A$4:$J$6971,7,FALSE)</f>
        <v>0</v>
      </c>
    </row>
    <row r="2073" spans="1:11" ht="14.5">
      <c r="A2073" s="20" t="s">
        <v>18976</v>
      </c>
      <c r="B2073" s="20">
        <v>25</v>
      </c>
      <c r="C2073" s="20">
        <v>80</v>
      </c>
      <c r="D2073" s="20">
        <v>80</v>
      </c>
      <c r="E2073" s="20">
        <v>82</v>
      </c>
      <c r="F2073" s="20" t="s">
        <v>18977</v>
      </c>
      <c r="G2073" s="20" t="s">
        <v>18978</v>
      </c>
      <c r="H2073" s="24"/>
      <c r="I2073" s="24" t="str">
        <f ca="1">IFERROR(__xludf.DUMMYFUNCTION("GOOGLETRANSLATE(F2073,""en"",""pt"")"),"fio revestido mineral pulverizado malha barreiras cavidade flexíveis")</f>
        <v>fio revestido mineral pulverizado malha barreiras cavidade flexíveis</v>
      </c>
      <c r="J2073">
        <f>VLOOKUP(A2073,Pr_Base_LNEC!$A$4:$J$6971,6,FALSE)</f>
        <v>0</v>
      </c>
      <c r="K2073">
        <f>VLOOKUP(A2073,Pr_Base_LNEC!$A$4:$J$6971,7,FALSE)</f>
        <v>0</v>
      </c>
    </row>
    <row r="2074" spans="1:11" ht="14.5">
      <c r="A2074" s="20" t="s">
        <v>18979</v>
      </c>
      <c r="B2074" s="20">
        <v>25</v>
      </c>
      <c r="C2074" s="20">
        <v>80</v>
      </c>
      <c r="D2074" s="20">
        <v>80</v>
      </c>
      <c r="E2074" s="20">
        <v>96</v>
      </c>
      <c r="F2074" s="20" t="s">
        <v>18980</v>
      </c>
      <c r="G2074" s="20" t="s">
        <v>18981</v>
      </c>
      <c r="H2074" s="24"/>
      <c r="I2074" s="24" t="str">
        <f ca="1">IFERROR(__xludf.DUMMYFUNCTION("GOOGLETRANSLATE(F2074,""en"",""pt"")"),"barreiras cavidade flexível com fio de manta de lã mineral")</f>
        <v>barreiras cavidade flexível com fio de manta de lã mineral</v>
      </c>
      <c r="J2074">
        <f>VLOOKUP(A2074,Pr_Base_LNEC!$A$4:$J$6971,6,FALSE)</f>
        <v>0</v>
      </c>
      <c r="K2074">
        <f>VLOOKUP(A2074,Pr_Base_LNEC!$A$4:$J$6971,7,FALSE)</f>
        <v>0</v>
      </c>
    </row>
    <row r="2075" spans="1:11" ht="14.5">
      <c r="A2075" s="20" t="s">
        <v>18982</v>
      </c>
      <c r="B2075" s="20">
        <v>25</v>
      </c>
      <c r="C2075" s="20">
        <v>80</v>
      </c>
      <c r="D2075" s="20">
        <v>81</v>
      </c>
      <c r="E2075" s="24"/>
      <c r="F2075" s="20" t="s">
        <v>18983</v>
      </c>
      <c r="G2075" s="24"/>
      <c r="H2075" s="24"/>
      <c r="I2075" s="24" t="str">
        <f ca="1">IFERROR(__xludf.DUMMYFUNCTION("GOOGLETRANSLATE(F2075,""en"",""pt"")"),"Fumaça e fogo de parada")</f>
        <v>Fumaça e fogo de parada</v>
      </c>
      <c r="J2075">
        <f>VLOOKUP(A2075,Pr_Base_LNEC!$A$4:$J$6971,6,FALSE)</f>
        <v>0</v>
      </c>
      <c r="K2075">
        <f>VLOOKUP(A2075,Pr_Base_LNEC!$A$4:$J$6971,7,FALSE)</f>
        <v>0</v>
      </c>
    </row>
    <row r="2076" spans="1:11" ht="14.5">
      <c r="A2076" s="20" t="s">
        <v>18984</v>
      </c>
      <c r="B2076" s="20">
        <v>25</v>
      </c>
      <c r="C2076" s="20">
        <v>80</v>
      </c>
      <c r="D2076" s="20">
        <v>81</v>
      </c>
      <c r="E2076" s="20">
        <v>12</v>
      </c>
      <c r="F2076" s="20" t="s">
        <v>18985</v>
      </c>
      <c r="G2076" s="20" t="s">
        <v>18986</v>
      </c>
      <c r="H2076" s="24"/>
      <c r="I2076" s="24" t="str">
        <f ca="1">IFERROR(__xludf.DUMMYFUNCTION("GOOGLETRANSLATE(F2076,""en"",""pt"")"),"parada fogo fibra cerâmica")</f>
        <v>parada fogo fibra cerâmica</v>
      </c>
      <c r="J2076">
        <f>VLOOKUP(A2076,Pr_Base_LNEC!$A$4:$J$6971,6,FALSE)</f>
        <v>0</v>
      </c>
      <c r="K2076">
        <f>VLOOKUP(A2076,Pr_Base_LNEC!$A$4:$J$6971,7,FALSE)</f>
        <v>0</v>
      </c>
    </row>
    <row r="2077" spans="1:11" ht="14.5">
      <c r="A2077" s="20" t="s">
        <v>18987</v>
      </c>
      <c r="B2077" s="20">
        <v>25</v>
      </c>
      <c r="C2077" s="20">
        <v>80</v>
      </c>
      <c r="D2077" s="20">
        <v>81</v>
      </c>
      <c r="E2077" s="20">
        <v>29</v>
      </c>
      <c r="F2077" s="20" t="s">
        <v>18988</v>
      </c>
      <c r="G2077" s="20" t="s">
        <v>18989</v>
      </c>
      <c r="H2077" s="24"/>
      <c r="I2077" s="24" t="str">
        <f ca="1">IFERROR(__xludf.DUMMYFUNCTION("GOOGLETRANSLATE(F2077,""en"",""pt"")"),"vedação de folga intumescentes flexíveis")</f>
        <v>vedação de folga intumescentes flexíveis</v>
      </c>
      <c r="J2077">
        <f>VLOOKUP(A2077,Pr_Base_LNEC!$A$4:$J$6971,6,FALSE)</f>
        <v>0</v>
      </c>
      <c r="K2077">
        <f>VLOOKUP(A2077,Pr_Base_LNEC!$A$4:$J$6971,7,FALSE)</f>
        <v>0</v>
      </c>
    </row>
    <row r="2078" spans="1:11" ht="14.5">
      <c r="A2078" s="20" t="s">
        <v>18990</v>
      </c>
      <c r="B2078" s="20">
        <v>25</v>
      </c>
      <c r="C2078" s="20">
        <v>80</v>
      </c>
      <c r="D2078" s="20">
        <v>81</v>
      </c>
      <c r="E2078" s="20">
        <v>34</v>
      </c>
      <c r="F2078" s="20" t="s">
        <v>18991</v>
      </c>
      <c r="G2078" s="24"/>
      <c r="H2078" s="24"/>
      <c r="I2078" s="24" t="str">
        <f ca="1">IFERROR(__xludf.DUMMYFUNCTION("GOOGLETRANSLATE(F2078,""en"",""pt"")"),"Vidro de parada fogo óxido")</f>
        <v>Vidro de parada fogo óxido</v>
      </c>
      <c r="J2078">
        <f>VLOOKUP(A2078,Pr_Base_LNEC!$A$4:$J$6971,6,FALSE)</f>
        <v>0</v>
      </c>
      <c r="K2078">
        <f>VLOOKUP(A2078,Pr_Base_LNEC!$A$4:$J$6971,7,FALSE)</f>
        <v>0</v>
      </c>
    </row>
    <row r="2079" spans="1:11" ht="14.5">
      <c r="A2079" s="20" t="s">
        <v>18992</v>
      </c>
      <c r="B2079" s="20">
        <v>25</v>
      </c>
      <c r="C2079" s="20">
        <v>80</v>
      </c>
      <c r="D2079" s="20">
        <v>81</v>
      </c>
      <c r="E2079" s="20">
        <v>42</v>
      </c>
      <c r="F2079" s="20" t="s">
        <v>18993</v>
      </c>
      <c r="G2079" s="20" t="s">
        <v>18994</v>
      </c>
      <c r="H2079" s="24"/>
      <c r="I2079" s="24" t="str">
        <f ca="1">IFERROR(__xludf.DUMMYFUNCTION("GOOGLETRANSLATE(F2079,""en"",""pt"")"),"vedação de folga linear intumescentes")</f>
        <v>vedação de folga linear intumescentes</v>
      </c>
      <c r="J2079">
        <f>VLOOKUP(A2079,Pr_Base_LNEC!$A$4:$J$6971,6,FALSE)</f>
        <v>0</v>
      </c>
      <c r="K2079">
        <f>VLOOKUP(A2079,Pr_Base_LNEC!$A$4:$J$6971,7,FALSE)</f>
        <v>0</v>
      </c>
    </row>
    <row r="2080" spans="1:11" ht="14.5">
      <c r="A2080" s="20" t="s">
        <v>18995</v>
      </c>
      <c r="B2080" s="20">
        <v>25</v>
      </c>
      <c r="C2080" s="20">
        <v>80</v>
      </c>
      <c r="D2080" s="20">
        <v>81</v>
      </c>
      <c r="E2080" s="20">
        <v>43</v>
      </c>
      <c r="F2080" s="20" t="s">
        <v>18996</v>
      </c>
      <c r="G2080" s="20" t="s">
        <v>18997</v>
      </c>
      <c r="H2080" s="24"/>
      <c r="I2080" s="24" t="str">
        <f ca="1">IFERROR(__xludf.DUMMYFUNCTION("GOOGLETRANSLATE(F2080,""en"",""pt"")"),"almofadas intumescentes")</f>
        <v>almofadas intumescentes</v>
      </c>
      <c r="J2080">
        <f>VLOOKUP(A2080,Pr_Base_LNEC!$A$4:$J$6971,6,FALSE)</f>
        <v>0</v>
      </c>
      <c r="K2080">
        <f>VLOOKUP(A2080,Pr_Base_LNEC!$A$4:$J$6971,7,FALSE)</f>
        <v>0</v>
      </c>
    </row>
    <row r="2081" spans="1:11" ht="14.5">
      <c r="A2081" s="20" t="s">
        <v>18998</v>
      </c>
      <c r="B2081" s="20">
        <v>25</v>
      </c>
      <c r="C2081" s="20">
        <v>80</v>
      </c>
      <c r="D2081" s="20">
        <v>81</v>
      </c>
      <c r="E2081" s="20">
        <v>44</v>
      </c>
      <c r="F2081" s="20" t="s">
        <v>18999</v>
      </c>
      <c r="G2081" s="20" t="s">
        <v>19000</v>
      </c>
      <c r="H2081" s="24"/>
      <c r="I2081" s="24" t="str">
        <f ca="1">IFERROR(__xludf.DUMMYFUNCTION("GOOGLETRANSLATE(F2081,""en"",""pt"")"),"travesseiros trunking intumescentes")</f>
        <v>travesseiros trunking intumescentes</v>
      </c>
      <c r="J2081">
        <f>VLOOKUP(A2081,Pr_Base_LNEC!$A$4:$J$6971,6,FALSE)</f>
        <v>0</v>
      </c>
      <c r="K2081">
        <f>VLOOKUP(A2081,Pr_Base_LNEC!$A$4:$J$6971,7,FALSE)</f>
        <v>0</v>
      </c>
    </row>
    <row r="2082" spans="1:11" ht="14.5">
      <c r="A2082" s="20" t="s">
        <v>19001</v>
      </c>
      <c r="B2082" s="20">
        <v>25</v>
      </c>
      <c r="C2082" s="20">
        <v>80</v>
      </c>
      <c r="D2082" s="20">
        <v>81</v>
      </c>
      <c r="E2082" s="20">
        <v>51</v>
      </c>
      <c r="F2082" s="20" t="s">
        <v>19002</v>
      </c>
      <c r="G2082" s="20" t="s">
        <v>19003</v>
      </c>
      <c r="H2082" s="24"/>
      <c r="I2082" s="24" t="str">
        <f ca="1">IFERROR(__xludf.DUMMYFUNCTION("GOOGLETRANSLATE(F2082,""en"",""pt"")"),"Mineral parada fogo lã")</f>
        <v>Mineral parada fogo lã</v>
      </c>
      <c r="J2082">
        <f>VLOOKUP(A2082,Pr_Base_LNEC!$A$4:$J$6971,6,FALSE)</f>
        <v>0</v>
      </c>
      <c r="K2082">
        <f>VLOOKUP(A2082,Pr_Base_LNEC!$A$4:$J$6971,7,FALSE)</f>
        <v>0</v>
      </c>
    </row>
    <row r="2083" spans="1:11" ht="14.5">
      <c r="A2083" s="20" t="s">
        <v>19004</v>
      </c>
      <c r="B2083" s="20">
        <v>25</v>
      </c>
      <c r="C2083" s="20">
        <v>93</v>
      </c>
      <c r="D2083" s="24"/>
      <c r="E2083" s="24"/>
      <c r="F2083" s="20" t="s">
        <v>19005</v>
      </c>
      <c r="G2083" s="24"/>
      <c r="H2083" s="24"/>
      <c r="I2083" s="24" t="str">
        <f ca="1">IFERROR(__xludf.DUMMYFUNCTION("GOOGLETRANSLATE(F2083,""en"",""pt"")"),"produtos de pele de unidade")</f>
        <v>produtos de pele de unidade</v>
      </c>
      <c r="J2083" t="str">
        <f>VLOOKUP(A2083,Pr_Base_LNEC!$A$4:$J$6971,6,FALSE)</f>
        <v>Produtos Unitários para Exteriores</v>
      </c>
      <c r="K2083">
        <f>VLOOKUP(A2083,Pr_Base_LNEC!$A$4:$J$6971,7,FALSE)</f>
        <v>0</v>
      </c>
    </row>
    <row r="2084" spans="1:11" ht="14.5">
      <c r="A2084" s="20" t="s">
        <v>19006</v>
      </c>
      <c r="B2084" s="20">
        <v>25</v>
      </c>
      <c r="C2084" s="20">
        <v>93</v>
      </c>
      <c r="D2084" s="20">
        <v>45</v>
      </c>
      <c r="E2084" s="24"/>
      <c r="F2084" s="20" t="s">
        <v>19007</v>
      </c>
      <c r="G2084" s="24"/>
      <c r="H2084" s="24"/>
      <c r="I2084" s="24" t="str">
        <f ca="1">IFERROR(__xludf.DUMMYFUNCTION("GOOGLETRANSLATE(F2084,""en"",""pt"")"),"unidades de freio")</f>
        <v>unidades de freio</v>
      </c>
      <c r="J2084" t="e">
        <f>VLOOKUP(A2084,Pr_Base_LNEC!$A$4:$J$6971,6,FALSE)</f>
        <v>#N/A</v>
      </c>
      <c r="K2084" t="e">
        <f>VLOOKUP(A2084,Pr_Base_LNEC!$A$4:$J$6971,7,FALSE)</f>
        <v>#N/A</v>
      </c>
    </row>
    <row r="2085" spans="1:11" ht="14.5">
      <c r="A2085" s="20" t="s">
        <v>19008</v>
      </c>
      <c r="B2085" s="20">
        <v>25</v>
      </c>
      <c r="C2085" s="20">
        <v>93</v>
      </c>
      <c r="D2085" s="20">
        <v>45</v>
      </c>
      <c r="E2085" s="20">
        <v>5</v>
      </c>
      <c r="F2085" s="20" t="s">
        <v>19009</v>
      </c>
      <c r="G2085" s="24"/>
      <c r="H2085" s="24"/>
      <c r="I2085" s="24" t="str">
        <f ca="1">IFERROR(__xludf.DUMMYFUNCTION("GOOGLETRANSLATE(F2085,""en"",""pt"")"),"lancis de asfalto")</f>
        <v>lancis de asfalto</v>
      </c>
      <c r="J2085" t="e">
        <f>VLOOKUP(A2085,Pr_Base_LNEC!$A$4:$J$6971,6,FALSE)</f>
        <v>#N/A</v>
      </c>
      <c r="K2085" t="e">
        <f>VLOOKUP(A2085,Pr_Base_LNEC!$A$4:$J$6971,7,FALSE)</f>
        <v>#N/A</v>
      </c>
    </row>
    <row r="2086" spans="1:11" ht="14.5">
      <c r="A2086" s="20" t="s">
        <v>19010</v>
      </c>
      <c r="B2086" s="20">
        <v>25</v>
      </c>
      <c r="C2086" s="20">
        <v>93</v>
      </c>
      <c r="D2086" s="20">
        <v>45</v>
      </c>
      <c r="E2086" s="20">
        <v>18</v>
      </c>
      <c r="F2086" s="20" t="s">
        <v>19011</v>
      </c>
      <c r="G2086" s="20" t="s">
        <v>19012</v>
      </c>
      <c r="H2086" s="24"/>
      <c r="I2086" s="24" t="str">
        <f ca="1">IFERROR(__xludf.DUMMYFUNCTION("GOOGLETRANSLATE(F2086,""en"",""pt"")"),"placas de concreto")</f>
        <v>placas de concreto</v>
      </c>
      <c r="J2086" t="e">
        <f>VLOOKUP(A2086,Pr_Base_LNEC!$A$4:$J$6971,6,FALSE)</f>
        <v>#N/A</v>
      </c>
      <c r="K2086" t="e">
        <f>VLOOKUP(A2086,Pr_Base_LNEC!$A$4:$J$6971,7,FALSE)</f>
        <v>#N/A</v>
      </c>
    </row>
    <row r="2087" spans="1:11" ht="14.5">
      <c r="A2087" s="20" t="s">
        <v>19013</v>
      </c>
      <c r="B2087" s="20">
        <v>25</v>
      </c>
      <c r="C2087" s="20">
        <v>93</v>
      </c>
      <c r="D2087" s="20">
        <v>45</v>
      </c>
      <c r="E2087" s="20">
        <v>21</v>
      </c>
      <c r="F2087" s="20" t="s">
        <v>19014</v>
      </c>
      <c r="G2087" s="20" t="s">
        <v>19015</v>
      </c>
      <c r="H2087" s="24"/>
      <c r="I2087" s="24" t="str">
        <f ca="1">IFERROR(__xludf.DUMMYFUNCTION("GOOGLETRANSLATE(F2087,""en"",""pt"")"),"freios de segurança concretas")</f>
        <v>freios de segurança concretas</v>
      </c>
      <c r="J2087" t="e">
        <f>VLOOKUP(A2087,Pr_Base_LNEC!$A$4:$J$6971,6,FALSE)</f>
        <v>#N/A</v>
      </c>
      <c r="K2087" t="e">
        <f>VLOOKUP(A2087,Pr_Base_LNEC!$A$4:$J$6971,7,FALSE)</f>
        <v>#N/A</v>
      </c>
    </row>
    <row r="2088" spans="1:11" ht="14.5">
      <c r="A2088" s="20" t="s">
        <v>19016</v>
      </c>
      <c r="B2088" s="20">
        <v>25</v>
      </c>
      <c r="C2088" s="20">
        <v>93</v>
      </c>
      <c r="D2088" s="20">
        <v>45</v>
      </c>
      <c r="E2088" s="20">
        <v>24</v>
      </c>
      <c r="F2088" s="20" t="s">
        <v>19017</v>
      </c>
      <c r="G2088" s="20" t="s">
        <v>19018</v>
      </c>
      <c r="H2088" s="24"/>
      <c r="I2088" s="24" t="str">
        <f ca="1">IFERROR(__xludf.DUMMYFUNCTION("GOOGLETRANSLATE(F2088,""en"",""pt"")"),"Betão de transição e lancis dropper")</f>
        <v>Betão de transição e lancis dropper</v>
      </c>
      <c r="J2088" t="e">
        <f>VLOOKUP(A2088,Pr_Base_LNEC!$A$4:$J$6971,6,FALSE)</f>
        <v>#N/A</v>
      </c>
      <c r="K2088" t="e">
        <f>VLOOKUP(A2088,Pr_Base_LNEC!$A$4:$J$6971,7,FALSE)</f>
        <v>#N/A</v>
      </c>
    </row>
    <row r="2089" spans="1:11" ht="14.5">
      <c r="A2089" s="20" t="s">
        <v>19019</v>
      </c>
      <c r="B2089" s="20">
        <v>25</v>
      </c>
      <c r="C2089" s="20">
        <v>93</v>
      </c>
      <c r="D2089" s="20">
        <v>45</v>
      </c>
      <c r="E2089" s="20">
        <v>26</v>
      </c>
      <c r="F2089" s="20" t="s">
        <v>19020</v>
      </c>
      <c r="G2089" s="24"/>
      <c r="H2089" s="24"/>
      <c r="I2089" s="24" t="str">
        <f ca="1">IFERROR(__xludf.DUMMYFUNCTION("GOOGLETRANSLATE(F2089,""en"",""pt"")"),"lancis de conservação")</f>
        <v>lancis de conservação</v>
      </c>
      <c r="J2089" t="e">
        <f>VLOOKUP(A2089,Pr_Base_LNEC!$A$4:$J$6971,6,FALSE)</f>
        <v>#N/A</v>
      </c>
      <c r="K2089" t="e">
        <f>VLOOKUP(A2089,Pr_Base_LNEC!$A$4:$J$6971,7,FALSE)</f>
        <v>#N/A</v>
      </c>
    </row>
    <row r="2090" spans="1:11" ht="14.5">
      <c r="A2090" s="20" t="s">
        <v>19021</v>
      </c>
      <c r="B2090" s="20">
        <v>25</v>
      </c>
      <c r="C2090" s="20">
        <v>93</v>
      </c>
      <c r="D2090" s="20">
        <v>45</v>
      </c>
      <c r="E2090" s="20">
        <v>56</v>
      </c>
      <c r="F2090" s="20" t="s">
        <v>19022</v>
      </c>
      <c r="G2090" s="20" t="s">
        <v>19023</v>
      </c>
      <c r="H2090" s="24"/>
      <c r="I2090" s="24" t="str">
        <f ca="1">IFERROR(__xludf.DUMMYFUNCTION("GOOGLETRANSLATE(F2090,""en"",""pt"")"),"lancis de pedra natural")</f>
        <v>lancis de pedra natural</v>
      </c>
      <c r="J2090" t="e">
        <f>VLOOKUP(A2090,Pr_Base_LNEC!$A$4:$J$6971,6,FALSE)</f>
        <v>#N/A</v>
      </c>
      <c r="K2090" t="e">
        <f>VLOOKUP(A2090,Pr_Base_LNEC!$A$4:$J$6971,7,FALSE)</f>
        <v>#N/A</v>
      </c>
    </row>
    <row r="2091" spans="1:11" ht="14.5">
      <c r="A2091" s="20" t="s">
        <v>19024</v>
      </c>
      <c r="B2091" s="20">
        <v>25</v>
      </c>
      <c r="C2091" s="20">
        <v>93</v>
      </c>
      <c r="D2091" s="20">
        <v>45</v>
      </c>
      <c r="E2091" s="20">
        <v>60</v>
      </c>
      <c r="F2091" s="20" t="s">
        <v>19025</v>
      </c>
      <c r="G2091" s="24"/>
      <c r="H2091" s="24"/>
      <c r="I2091" s="24" t="str">
        <f ca="1">IFERROR(__xludf.DUMMYFUNCTION("GOOGLETRANSLATE(F2091,""en"",""pt"")"),"lancis Pin")</f>
        <v>lancis Pin</v>
      </c>
      <c r="J2091" t="e">
        <f>VLOOKUP(A2091,Pr_Base_LNEC!$A$4:$J$6971,6,FALSE)</f>
        <v>#N/A</v>
      </c>
      <c r="K2091" t="e">
        <f>VLOOKUP(A2091,Pr_Base_LNEC!$A$4:$J$6971,7,FALSE)</f>
        <v>#N/A</v>
      </c>
    </row>
    <row r="2092" spans="1:11" ht="14.5">
      <c r="A2092" s="20" t="s">
        <v>19026</v>
      </c>
      <c r="B2092" s="20">
        <v>25</v>
      </c>
      <c r="C2092" s="20">
        <v>93</v>
      </c>
      <c r="D2092" s="20">
        <v>45</v>
      </c>
      <c r="E2092" s="20">
        <v>62</v>
      </c>
      <c r="F2092" s="20" t="s">
        <v>19027</v>
      </c>
      <c r="G2092" s="20" t="s">
        <v>19028</v>
      </c>
      <c r="H2092" s="24"/>
      <c r="I2092" s="24" t="str">
        <f ca="1">IFERROR(__xludf.DUMMYFUNCTION("GOOGLETRANSLATE(F2092,""en"",""pt"")"),"plásticos freios")</f>
        <v>plásticos freios</v>
      </c>
      <c r="J2092" t="e">
        <f>VLOOKUP(A2092,Pr_Base_LNEC!$A$4:$J$6971,6,FALSE)</f>
        <v>#N/A</v>
      </c>
      <c r="K2092" t="e">
        <f>VLOOKUP(A2092,Pr_Base_LNEC!$A$4:$J$6971,7,FALSE)</f>
        <v>#N/A</v>
      </c>
    </row>
    <row r="2093" spans="1:11" ht="14.5">
      <c r="A2093" s="20" t="s">
        <v>19029</v>
      </c>
      <c r="B2093" s="20">
        <v>25</v>
      </c>
      <c r="C2093" s="20">
        <v>93</v>
      </c>
      <c r="D2093" s="20">
        <v>45</v>
      </c>
      <c r="E2093" s="20">
        <v>70</v>
      </c>
      <c r="F2093" s="20" t="s">
        <v>19030</v>
      </c>
      <c r="G2093" s="24"/>
      <c r="H2093" s="24"/>
      <c r="I2093" s="24" t="str">
        <f ca="1">IFERROR(__xludf.DUMMYFUNCTION("GOOGLETRANSLATE(F2093,""en"",""pt"")"),"lancis estrada")</f>
        <v>lancis estrada</v>
      </c>
      <c r="J2093" t="e">
        <f>VLOOKUP(A2093,Pr_Base_LNEC!$A$4:$J$6971,6,FALSE)</f>
        <v>#N/A</v>
      </c>
      <c r="K2093" t="e">
        <f>VLOOKUP(A2093,Pr_Base_LNEC!$A$4:$J$6971,7,FALSE)</f>
        <v>#N/A</v>
      </c>
    </row>
    <row r="2094" spans="1:11" ht="14.5">
      <c r="A2094" s="20" t="s">
        <v>19031</v>
      </c>
      <c r="B2094" s="20">
        <v>25</v>
      </c>
      <c r="C2094" s="20">
        <v>93</v>
      </c>
      <c r="D2094" s="20">
        <v>45</v>
      </c>
      <c r="E2094" s="20">
        <v>90</v>
      </c>
      <c r="F2094" s="20" t="s">
        <v>19032</v>
      </c>
      <c r="G2094" s="24"/>
      <c r="H2094" s="24"/>
      <c r="I2094" s="24" t="str">
        <f ca="1">IFERROR(__xludf.DUMMYFUNCTION("GOOGLETRANSLATE(F2094,""en"",""pt"")"),"lancis de transição")</f>
        <v>lancis de transição</v>
      </c>
      <c r="J2094" t="e">
        <f>VLOOKUP(A2094,Pr_Base_LNEC!$A$4:$J$6971,6,FALSE)</f>
        <v>#N/A</v>
      </c>
      <c r="K2094" t="e">
        <f>VLOOKUP(A2094,Pr_Base_LNEC!$A$4:$J$6971,7,FALSE)</f>
        <v>#N/A</v>
      </c>
    </row>
    <row r="2095" spans="1:11" ht="14.5">
      <c r="A2095" s="20" t="s">
        <v>19033</v>
      </c>
      <c r="B2095" s="20">
        <v>25</v>
      </c>
      <c r="C2095" s="20">
        <v>93</v>
      </c>
      <c r="D2095" s="20">
        <v>47</v>
      </c>
      <c r="E2095" s="24"/>
      <c r="F2095" s="20" t="s">
        <v>19034</v>
      </c>
      <c r="G2095" s="24"/>
      <c r="H2095" s="24"/>
      <c r="I2095" s="24" t="str">
        <f ca="1">IFERROR(__xludf.DUMMYFUNCTION("GOOGLETRANSLATE(F2095,""en"",""pt"")"),"produtos de pavimentação passagem de nível")</f>
        <v>produtos de pavimentação passagem de nível</v>
      </c>
      <c r="J2095" t="str">
        <f>VLOOKUP(A2095,Pr_Base_LNEC!$A$4:$J$6971,6,FALSE)</f>
        <v>-</v>
      </c>
      <c r="K2095">
        <f>VLOOKUP(A2095,Pr_Base_LNEC!$A$4:$J$6971,7,FALSE)</f>
        <v>0</v>
      </c>
    </row>
    <row r="2096" spans="1:11" ht="14.5">
      <c r="A2096" s="20" t="s">
        <v>19035</v>
      </c>
      <c r="B2096" s="20">
        <v>25</v>
      </c>
      <c r="C2096" s="20">
        <v>93</v>
      </c>
      <c r="D2096" s="20">
        <v>47</v>
      </c>
      <c r="E2096" s="20">
        <v>27</v>
      </c>
      <c r="F2096" s="20" t="s">
        <v>19036</v>
      </c>
      <c r="G2096" s="20" t="s">
        <v>19037</v>
      </c>
      <c r="H2096" s="24"/>
      <c r="I2096" s="24" t="str">
        <f ca="1">IFERROR(__xludf.DUMMYFUNCTION("GOOGLETRANSLATE(F2096,""en"",""pt"")"),"unidades de passagens de nível concreto modular trilho embutido")</f>
        <v>unidades de passagens de nível concreto modular trilho embutido</v>
      </c>
      <c r="J2096">
        <f>VLOOKUP(A2096,Pr_Base_LNEC!$A$4:$J$6971,6,FALSE)</f>
        <v>0</v>
      </c>
      <c r="K2096">
        <f>VLOOKUP(A2096,Pr_Base_LNEC!$A$4:$J$6971,7,FALSE)</f>
        <v>0</v>
      </c>
    </row>
    <row r="2097" spans="1:11" ht="14.5">
      <c r="A2097" s="20" t="s">
        <v>19038</v>
      </c>
      <c r="B2097" s="20">
        <v>25</v>
      </c>
      <c r="C2097" s="20">
        <v>93</v>
      </c>
      <c r="D2097" s="20">
        <v>47</v>
      </c>
      <c r="E2097" s="20">
        <v>52</v>
      </c>
      <c r="F2097" s="20" t="s">
        <v>19039</v>
      </c>
      <c r="G2097" s="20" t="s">
        <v>19040</v>
      </c>
      <c r="H2097" s="24"/>
      <c r="I2097" s="24" t="str">
        <f ca="1">IFERROR(__xludf.DUMMYFUNCTION("GOOGLETRANSLATE(F2097,""en"",""pt"")"),"passagens de nível painel modulares")</f>
        <v>passagens de nível painel modulares</v>
      </c>
      <c r="J2097">
        <f>VLOOKUP(A2097,Pr_Base_LNEC!$A$4:$J$6971,6,FALSE)</f>
        <v>0</v>
      </c>
      <c r="K2097">
        <f>VLOOKUP(A2097,Pr_Base_LNEC!$A$4:$J$6971,7,FALSE)</f>
        <v>0</v>
      </c>
    </row>
    <row r="2098" spans="1:11" ht="14.5">
      <c r="A2098" s="20" t="s">
        <v>19041</v>
      </c>
      <c r="B2098" s="20">
        <v>25</v>
      </c>
      <c r="C2098" s="20">
        <v>93</v>
      </c>
      <c r="D2098" s="20">
        <v>50</v>
      </c>
      <c r="E2098" s="24"/>
      <c r="F2098" s="20" t="s">
        <v>19042</v>
      </c>
      <c r="G2098" s="24"/>
      <c r="H2098" s="24"/>
      <c r="I2098" s="24" t="str">
        <f ca="1">IFERROR(__xludf.DUMMYFUNCTION("GOOGLETRANSLATE(F2098,""en"",""pt"")"),"Maçonaria nivelamento e unidades de enfrentamento")</f>
        <v>Maçonaria nivelamento e unidades de enfrentamento</v>
      </c>
      <c r="J2098" t="str">
        <f>VLOOKUP(A2098,Pr_Base_LNEC!$A$4:$J$6971,6,FALSE)</f>
        <v>Unidades em alvenaria para coberturas: remates</v>
      </c>
      <c r="K2098">
        <f>VLOOKUP(A2098,Pr_Base_LNEC!$A$4:$J$6971,7,FALSE)</f>
        <v>0</v>
      </c>
    </row>
    <row r="2099" spans="1:11" ht="14.5">
      <c r="A2099" s="20" t="s">
        <v>19043</v>
      </c>
      <c r="B2099" s="20">
        <v>25</v>
      </c>
      <c r="C2099" s="20">
        <v>93</v>
      </c>
      <c r="D2099" s="20">
        <v>50</v>
      </c>
      <c r="E2099" s="20">
        <v>10</v>
      </c>
      <c r="F2099" s="20" t="s">
        <v>19044</v>
      </c>
      <c r="G2099" s="24"/>
      <c r="H2099" s="24"/>
      <c r="I2099" s="24" t="str">
        <f ca="1">IFERROR(__xludf.DUMMYFUNCTION("GOOGLETRANSLATE(F2099,""en"",""pt"")"),"unidades de capeamento de silicato de cálcio")</f>
        <v>unidades de capeamento de silicato de cálcio</v>
      </c>
      <c r="J2099">
        <f>VLOOKUP(A2099,Pr_Base_LNEC!$A$4:$J$6971,6,FALSE)</f>
        <v>0</v>
      </c>
      <c r="K2099">
        <f>VLOOKUP(A2099,Pr_Base_LNEC!$A$4:$J$6971,7,FALSE)</f>
        <v>0</v>
      </c>
    </row>
    <row r="2100" spans="1:11" ht="14.5">
      <c r="A2100" s="20" t="s">
        <v>19045</v>
      </c>
      <c r="B2100" s="20">
        <v>25</v>
      </c>
      <c r="C2100" s="20">
        <v>93</v>
      </c>
      <c r="D2100" s="20">
        <v>50</v>
      </c>
      <c r="E2100" s="20">
        <v>11</v>
      </c>
      <c r="F2100" s="20" t="s">
        <v>19046</v>
      </c>
      <c r="G2100" s="24"/>
      <c r="H2100" s="24"/>
      <c r="I2100" s="24" t="str">
        <f ca="1">IFERROR(__xludf.DUMMYFUNCTION("GOOGLETRANSLATE(F2100,""en"",""pt"")"),"silicato de cálcio unidades lidar")</f>
        <v>silicato de cálcio unidades lidar</v>
      </c>
      <c r="J2100">
        <f>VLOOKUP(A2100,Pr_Base_LNEC!$A$4:$J$6971,6,FALSE)</f>
        <v>0</v>
      </c>
      <c r="K2100">
        <f>VLOOKUP(A2100,Pr_Base_LNEC!$A$4:$J$6971,7,FALSE)</f>
        <v>0</v>
      </c>
    </row>
    <row r="2101" spans="1:11" ht="14.5">
      <c r="A2101" s="20" t="s">
        <v>19047</v>
      </c>
      <c r="B2101" s="20">
        <v>25</v>
      </c>
      <c r="C2101" s="20">
        <v>93</v>
      </c>
      <c r="D2101" s="20">
        <v>50</v>
      </c>
      <c r="E2101" s="20">
        <v>13</v>
      </c>
      <c r="F2101" s="20" t="s">
        <v>19048</v>
      </c>
      <c r="G2101" s="20" t="s">
        <v>19049</v>
      </c>
      <c r="H2101" s="24"/>
      <c r="I2101" s="24" t="str">
        <f ca="1">IFERROR(__xludf.DUMMYFUNCTION("GOOGLETRANSLATE(F2101,""en"",""pt"")"),"unidades de capeamento de pedra elenco")</f>
        <v>unidades de capeamento de pedra elenco</v>
      </c>
      <c r="J2101">
        <f>VLOOKUP(A2101,Pr_Base_LNEC!$A$4:$J$6971,6,FALSE)</f>
        <v>0</v>
      </c>
      <c r="K2101">
        <f>VLOOKUP(A2101,Pr_Base_LNEC!$A$4:$J$6971,7,FALSE)</f>
        <v>0</v>
      </c>
    </row>
    <row r="2102" spans="1:11" ht="14.5">
      <c r="A2102" s="20" t="s">
        <v>19050</v>
      </c>
      <c r="B2102" s="20">
        <v>25</v>
      </c>
      <c r="C2102" s="20">
        <v>93</v>
      </c>
      <c r="D2102" s="20">
        <v>50</v>
      </c>
      <c r="E2102" s="20">
        <v>14</v>
      </c>
      <c r="F2102" s="20" t="s">
        <v>19051</v>
      </c>
      <c r="G2102" s="20" t="s">
        <v>19052</v>
      </c>
      <c r="H2102" s="24"/>
      <c r="I2102" s="24" t="str">
        <f ca="1">IFERROR(__xludf.DUMMYFUNCTION("GOOGLETRANSLATE(F2102,""en"",""pt"")"),"pedra elenco unidades lidar")</f>
        <v>pedra elenco unidades lidar</v>
      </c>
      <c r="J2102">
        <f>VLOOKUP(A2102,Pr_Base_LNEC!$A$4:$J$6971,6,FALSE)</f>
        <v>0</v>
      </c>
      <c r="K2102">
        <f>VLOOKUP(A2102,Pr_Base_LNEC!$A$4:$J$6971,7,FALSE)</f>
        <v>0</v>
      </c>
    </row>
    <row r="2103" spans="1:11" ht="14.5">
      <c r="A2103" s="20" t="s">
        <v>19053</v>
      </c>
      <c r="B2103" s="20">
        <v>25</v>
      </c>
      <c r="C2103" s="20">
        <v>93</v>
      </c>
      <c r="D2103" s="20">
        <v>50</v>
      </c>
      <c r="E2103" s="20">
        <v>16</v>
      </c>
      <c r="F2103" s="20" t="s">
        <v>19054</v>
      </c>
      <c r="G2103" s="20" t="s">
        <v>19055</v>
      </c>
      <c r="H2103" s="24"/>
      <c r="I2103" s="24" t="str">
        <f ca="1">IFERROR(__xludf.DUMMYFUNCTION("GOOGLETRANSLATE(F2103,""en"",""pt"")"),"unidades de nivelamento de tijolos de argila")</f>
        <v>unidades de nivelamento de tijolos de argila</v>
      </c>
      <c r="J2103" t="str">
        <f>VLOOKUP(A2103,Pr_Base_LNEC!$A$4:$J$6971,6,FALSE)</f>
        <v>Tijolo cerâmico em argila para remates para alvenaria</v>
      </c>
      <c r="K2103" t="str">
        <f>VLOOKUP(A2103,Pr_Base_LNEC!$A$4:$J$6971,7,FALSE)</f>
        <v>EN 771-1:2011+A1:2015</v>
      </c>
    </row>
    <row r="2104" spans="1:11" ht="14.5">
      <c r="A2104" s="20" t="s">
        <v>19056</v>
      </c>
      <c r="B2104" s="20">
        <v>25</v>
      </c>
      <c r="C2104" s="20">
        <v>93</v>
      </c>
      <c r="D2104" s="20">
        <v>50</v>
      </c>
      <c r="E2104" s="20">
        <v>17</v>
      </c>
      <c r="F2104" s="20" t="s">
        <v>19057</v>
      </c>
      <c r="G2104" s="20" t="s">
        <v>19058</v>
      </c>
      <c r="H2104" s="24"/>
      <c r="I2104" s="24" t="str">
        <f ca="1">IFERROR(__xludf.DUMMYFUNCTION("GOOGLETRANSLATE(F2104,""en"",""pt"")"),"tijolo de barro unidades lidar")</f>
        <v>tijolo de barro unidades lidar</v>
      </c>
      <c r="J2104" t="str">
        <f>VLOOKUP(A2104,Pr_Base_LNEC!$A$4:$J$6971,6,FALSE)</f>
        <v>Tijolo cerâmico em argila para a cumeeira para alvenaria</v>
      </c>
      <c r="K2104" t="str">
        <f>VLOOKUP(A2104,Pr_Base_LNEC!$A$4:$J$6971,7,FALSE)</f>
        <v>EN 771-1:2011+A1:2015</v>
      </c>
    </row>
    <row r="2105" spans="1:11" ht="14.5">
      <c r="A2105" s="20" t="s">
        <v>19059</v>
      </c>
      <c r="B2105" s="20">
        <v>25</v>
      </c>
      <c r="C2105" s="20">
        <v>93</v>
      </c>
      <c r="D2105" s="20">
        <v>50</v>
      </c>
      <c r="E2105" s="20">
        <v>19</v>
      </c>
      <c r="F2105" s="20" t="s">
        <v>19060</v>
      </c>
      <c r="G2105" s="20" t="s">
        <v>19061</v>
      </c>
      <c r="H2105" s="24"/>
      <c r="I2105" s="24" t="str">
        <f ca="1">IFERROR(__xludf.DUMMYFUNCTION("GOOGLETRANSLATE(F2105,""en"",""pt"")"),"unidades de nivelamento clayware")</f>
        <v>unidades de nivelamento clayware</v>
      </c>
      <c r="J2105">
        <f>VLOOKUP(A2105,Pr_Base_LNEC!$A$4:$J$6971,6,FALSE)</f>
        <v>0</v>
      </c>
      <c r="K2105">
        <f>VLOOKUP(A2105,Pr_Base_LNEC!$A$4:$J$6971,7,FALSE)</f>
        <v>0</v>
      </c>
    </row>
    <row r="2106" spans="1:11" ht="14.5">
      <c r="A2106" s="20" t="s">
        <v>19062</v>
      </c>
      <c r="B2106" s="20">
        <v>25</v>
      </c>
      <c r="C2106" s="20">
        <v>93</v>
      </c>
      <c r="D2106" s="20">
        <v>50</v>
      </c>
      <c r="E2106" s="20">
        <v>20</v>
      </c>
      <c r="F2106" s="20" t="s">
        <v>19063</v>
      </c>
      <c r="G2106" s="20" t="s">
        <v>19064</v>
      </c>
      <c r="H2106" s="24"/>
      <c r="I2106" s="24" t="str">
        <f ca="1">IFERROR(__xludf.DUMMYFUNCTION("GOOGLETRANSLATE(F2106,""en"",""pt"")"),"unidades de enfrentamento clayware")</f>
        <v>unidades de enfrentamento clayware</v>
      </c>
      <c r="J2106">
        <f>VLOOKUP(A2106,Pr_Base_LNEC!$A$4:$J$6971,6,FALSE)</f>
        <v>0</v>
      </c>
      <c r="K2106">
        <f>VLOOKUP(A2106,Pr_Base_LNEC!$A$4:$J$6971,7,FALSE)</f>
        <v>0</v>
      </c>
    </row>
    <row r="2107" spans="1:11" ht="14.5">
      <c r="A2107" s="20" t="s">
        <v>19065</v>
      </c>
      <c r="B2107" s="20">
        <v>25</v>
      </c>
      <c r="C2107" s="20">
        <v>93</v>
      </c>
      <c r="D2107" s="20">
        <v>50</v>
      </c>
      <c r="E2107" s="20">
        <v>22</v>
      </c>
      <c r="F2107" s="20" t="s">
        <v>19066</v>
      </c>
      <c r="G2107" s="20" t="s">
        <v>19067</v>
      </c>
      <c r="H2107" s="24"/>
      <c r="I2107" s="24" t="str">
        <f ca="1">IFERROR(__xludf.DUMMYFUNCTION("GOOGLETRANSLATE(F2107,""en"",""pt"")"),"unidades de nivelamento de concreto")</f>
        <v>unidades de nivelamento de concreto</v>
      </c>
      <c r="J2107">
        <f>VLOOKUP(A2107,Pr_Base_LNEC!$A$4:$J$6971,6,FALSE)</f>
        <v>0</v>
      </c>
      <c r="K2107">
        <f>VLOOKUP(A2107,Pr_Base_LNEC!$A$4:$J$6971,7,FALSE)</f>
        <v>0</v>
      </c>
    </row>
    <row r="2108" spans="1:11" ht="14.5">
      <c r="A2108" s="20" t="s">
        <v>19068</v>
      </c>
      <c r="B2108" s="20">
        <v>25</v>
      </c>
      <c r="C2108" s="20">
        <v>93</v>
      </c>
      <c r="D2108" s="20">
        <v>50</v>
      </c>
      <c r="E2108" s="20">
        <v>23</v>
      </c>
      <c r="F2108" s="20" t="s">
        <v>19069</v>
      </c>
      <c r="G2108" s="20" t="s">
        <v>19070</v>
      </c>
      <c r="H2108" s="24"/>
      <c r="I2108" s="24" t="str">
        <f ca="1">IFERROR(__xludf.DUMMYFUNCTION("GOOGLETRANSLATE(F2108,""en"",""pt"")"),"unidades de enfrentamento concreto")</f>
        <v>unidades de enfrentamento concreto</v>
      </c>
      <c r="J2108">
        <f>VLOOKUP(A2108,Pr_Base_LNEC!$A$4:$J$6971,6,FALSE)</f>
        <v>0</v>
      </c>
      <c r="K2108">
        <f>VLOOKUP(A2108,Pr_Base_LNEC!$A$4:$J$6971,7,FALSE)</f>
        <v>0</v>
      </c>
    </row>
    <row r="2109" spans="1:11" ht="14.5">
      <c r="A2109" s="20" t="s">
        <v>19071</v>
      </c>
      <c r="B2109" s="20">
        <v>25</v>
      </c>
      <c r="C2109" s="20">
        <v>93</v>
      </c>
      <c r="D2109" s="20">
        <v>50</v>
      </c>
      <c r="E2109" s="20">
        <v>34</v>
      </c>
      <c r="F2109" s="20" t="s">
        <v>19072</v>
      </c>
      <c r="G2109" s="20" t="s">
        <v>19073</v>
      </c>
      <c r="H2109" s="24"/>
      <c r="I2109" s="24" t="str">
        <f ca="1">IFERROR(__xludf.DUMMYFUNCTION("GOOGLETRANSLATE(F2109,""en"",""pt"")"),"unidades de enfrentamento concreto reforçado de vidro (GRC)")</f>
        <v>unidades de enfrentamento concreto reforçado de vidro (GRC)</v>
      </c>
      <c r="J2109">
        <f>VLOOKUP(A2109,Pr_Base_LNEC!$A$4:$J$6971,6,FALSE)</f>
        <v>0</v>
      </c>
      <c r="K2109">
        <f>VLOOKUP(A2109,Pr_Base_LNEC!$A$4:$J$6971,7,FALSE)</f>
        <v>0</v>
      </c>
    </row>
    <row r="2110" spans="1:11" ht="14.5">
      <c r="A2110" s="20" t="s">
        <v>19074</v>
      </c>
      <c r="B2110" s="20">
        <v>25</v>
      </c>
      <c r="C2110" s="20">
        <v>93</v>
      </c>
      <c r="D2110" s="20">
        <v>50</v>
      </c>
      <c r="E2110" s="20">
        <v>55</v>
      </c>
      <c r="F2110" s="20" t="s">
        <v>19075</v>
      </c>
      <c r="G2110" s="20" t="s">
        <v>19076</v>
      </c>
      <c r="H2110" s="24"/>
      <c r="I2110" s="24" t="str">
        <f ca="1">IFERROR(__xludf.DUMMYFUNCTION("GOOGLETRANSLATE(F2110,""en"",""pt"")"),"unidades de capeamento de pedra natural")</f>
        <v>unidades de capeamento de pedra natural</v>
      </c>
      <c r="J2110">
        <f>VLOOKUP(A2110,Pr_Base_LNEC!$A$4:$J$6971,6,FALSE)</f>
        <v>0</v>
      </c>
      <c r="K2110">
        <f>VLOOKUP(A2110,Pr_Base_LNEC!$A$4:$J$6971,7,FALSE)</f>
        <v>0</v>
      </c>
    </row>
    <row r="2111" spans="1:11" ht="14.5">
      <c r="A2111" s="20" t="s">
        <v>19077</v>
      </c>
      <c r="B2111" s="20">
        <v>25</v>
      </c>
      <c r="C2111" s="20">
        <v>93</v>
      </c>
      <c r="D2111" s="20">
        <v>50</v>
      </c>
      <c r="E2111" s="20">
        <v>56</v>
      </c>
      <c r="F2111" s="20" t="s">
        <v>19078</v>
      </c>
      <c r="G2111" s="20" t="s">
        <v>19079</v>
      </c>
      <c r="H2111" s="24"/>
      <c r="I2111" s="24" t="str">
        <f ca="1">IFERROR(__xludf.DUMMYFUNCTION("GOOGLETRANSLATE(F2111,""en"",""pt"")"),"pedra natural unidades lidar")</f>
        <v>pedra natural unidades lidar</v>
      </c>
      <c r="J2111">
        <f>VLOOKUP(A2111,Pr_Base_LNEC!$A$4:$J$6971,6,FALSE)</f>
        <v>0</v>
      </c>
      <c r="K2111">
        <f>VLOOKUP(A2111,Pr_Base_LNEC!$A$4:$J$6971,7,FALSE)</f>
        <v>0</v>
      </c>
    </row>
    <row r="2112" spans="1:11" ht="14.5">
      <c r="A2112" s="20" t="s">
        <v>19080</v>
      </c>
      <c r="B2112" s="20">
        <v>25</v>
      </c>
      <c r="C2112" s="20">
        <v>93</v>
      </c>
      <c r="D2112" s="20">
        <v>50</v>
      </c>
      <c r="E2112" s="20">
        <v>76</v>
      </c>
      <c r="F2112" s="20" t="s">
        <v>19081</v>
      </c>
      <c r="G2112" s="20" t="s">
        <v>19082</v>
      </c>
      <c r="H2112" s="24"/>
      <c r="I2112" s="24" t="str">
        <f ca="1">IFERROR(__xludf.DUMMYFUNCTION("GOOGLETRANSLATE(F2112,""en"",""pt"")"),"unidades de nivelamento de ardósia")</f>
        <v>unidades de nivelamento de ardósia</v>
      </c>
      <c r="J2112">
        <f>VLOOKUP(A2112,Pr_Base_LNEC!$A$4:$J$6971,6,FALSE)</f>
        <v>0</v>
      </c>
      <c r="K2112">
        <f>VLOOKUP(A2112,Pr_Base_LNEC!$A$4:$J$6971,7,FALSE)</f>
        <v>0</v>
      </c>
    </row>
    <row r="2113" spans="1:11" ht="14.5">
      <c r="A2113" s="20" t="s">
        <v>19083</v>
      </c>
      <c r="B2113" s="20">
        <v>25</v>
      </c>
      <c r="C2113" s="20">
        <v>93</v>
      </c>
      <c r="D2113" s="20">
        <v>50</v>
      </c>
      <c r="E2113" s="20">
        <v>77</v>
      </c>
      <c r="F2113" s="20" t="s">
        <v>19084</v>
      </c>
      <c r="G2113" s="20" t="s">
        <v>19085</v>
      </c>
      <c r="H2113" s="24"/>
      <c r="I2113" s="24" t="str">
        <f ca="1">IFERROR(__xludf.DUMMYFUNCTION("GOOGLETRANSLATE(F2113,""en"",""pt"")"),"unidades Slate lidar")</f>
        <v>unidades Slate lidar</v>
      </c>
      <c r="J2113">
        <f>VLOOKUP(A2113,Pr_Base_LNEC!$A$4:$J$6971,6,FALSE)</f>
        <v>0</v>
      </c>
      <c r="K2113">
        <f>VLOOKUP(A2113,Pr_Base_LNEC!$A$4:$J$6971,7,FALSE)</f>
        <v>0</v>
      </c>
    </row>
    <row r="2114" spans="1:11" ht="14.5">
      <c r="A2114" s="20" t="s">
        <v>19086</v>
      </c>
      <c r="B2114" s="20">
        <v>25</v>
      </c>
      <c r="C2114" s="20">
        <v>93</v>
      </c>
      <c r="D2114" s="20">
        <v>51</v>
      </c>
      <c r="E2114" s="24"/>
      <c r="F2114" s="20" t="s">
        <v>19087</v>
      </c>
      <c r="G2114" s="24"/>
      <c r="H2114" s="24"/>
      <c r="I2114" s="24" t="str">
        <f ca="1">IFERROR(__xludf.DUMMYFUNCTION("GOOGLETRANSLATE(F2114,""en"",""pt"")"),"Alvenaria unidades vestir")</f>
        <v>Alvenaria unidades vestir</v>
      </c>
      <c r="J2114">
        <f>VLOOKUP(A2114,Pr_Base_LNEC!$A$4:$J$6971,6,FALSE)</f>
        <v>0</v>
      </c>
      <c r="K2114">
        <f>VLOOKUP(A2114,Pr_Base_LNEC!$A$4:$J$6971,7,FALSE)</f>
        <v>0</v>
      </c>
    </row>
    <row r="2115" spans="1:11" ht="14.5">
      <c r="A2115" s="20" t="s">
        <v>19088</v>
      </c>
      <c r="B2115" s="20">
        <v>25</v>
      </c>
      <c r="C2115" s="20">
        <v>93</v>
      </c>
      <c r="D2115" s="20">
        <v>51</v>
      </c>
      <c r="E2115" s="20">
        <v>35</v>
      </c>
      <c r="F2115" s="20" t="s">
        <v>19089</v>
      </c>
      <c r="G2115" s="20" t="s">
        <v>19090</v>
      </c>
      <c r="H2115" s="24"/>
      <c r="I2115" s="24" t="str">
        <f ca="1">IFERROR(__xludf.DUMMYFUNCTION("GOOGLETRANSLATE(F2115,""en"",""pt"")"),"concreto reforçado de vidro (GRC) built-in aberturas empena")</f>
        <v>concreto reforçado de vidro (GRC) built-in aberturas empena</v>
      </c>
      <c r="J2115">
        <f>VLOOKUP(A2115,Pr_Base_LNEC!$A$4:$J$6971,6,FALSE)</f>
        <v>0</v>
      </c>
      <c r="K2115">
        <f>VLOOKUP(A2115,Pr_Base_LNEC!$A$4:$J$6971,7,FALSE)</f>
        <v>0</v>
      </c>
    </row>
    <row r="2116" spans="1:11" ht="14.5">
      <c r="A2116" s="20" t="s">
        <v>19091</v>
      </c>
      <c r="B2116" s="20">
        <v>25</v>
      </c>
      <c r="C2116" s="20">
        <v>93</v>
      </c>
      <c r="D2116" s="20">
        <v>51</v>
      </c>
      <c r="E2116" s="20">
        <v>36</v>
      </c>
      <c r="F2116" s="20" t="s">
        <v>19092</v>
      </c>
      <c r="G2116" s="20" t="s">
        <v>19093</v>
      </c>
      <c r="H2116" s="24"/>
      <c r="I2116" s="24" t="str">
        <f ca="1">IFERROR(__xludf.DUMMYFUNCTION("GOOGLETRANSLATE(F2116,""en"",""pt"")"),"concreto reforçado de vidro (GRC) built-in keystones")</f>
        <v>concreto reforçado de vidro (GRC) built-in keystones</v>
      </c>
      <c r="J2116">
        <f>VLOOKUP(A2116,Pr_Base_LNEC!$A$4:$J$6971,6,FALSE)</f>
        <v>0</v>
      </c>
      <c r="K2116">
        <f>VLOOKUP(A2116,Pr_Base_LNEC!$A$4:$J$6971,7,FALSE)</f>
        <v>0</v>
      </c>
    </row>
    <row r="2117" spans="1:11" ht="14.5">
      <c r="A2117" s="20" t="s">
        <v>19094</v>
      </c>
      <c r="B2117" s="20">
        <v>25</v>
      </c>
      <c r="C2117" s="20">
        <v>93</v>
      </c>
      <c r="D2117" s="20">
        <v>51</v>
      </c>
      <c r="E2117" s="20">
        <v>37</v>
      </c>
      <c r="F2117" s="20" t="s">
        <v>19095</v>
      </c>
      <c r="G2117" s="20" t="s">
        <v>19096</v>
      </c>
      <c r="H2117" s="24"/>
      <c r="I2117" s="24" t="str">
        <f ca="1">IFERROR(__xludf.DUMMYFUNCTION("GOOGLETRANSLATE(F2117,""en"",""pt"")"),"concreto reforçado de vidro (GRC) built-in plintos e cursos de cordas")</f>
        <v>concreto reforçado de vidro (GRC) built-in plintos e cursos de cordas</v>
      </c>
      <c r="J2117">
        <f>VLOOKUP(A2117,Pr_Base_LNEC!$A$4:$J$6971,6,FALSE)</f>
        <v>0</v>
      </c>
      <c r="K2117">
        <f>VLOOKUP(A2117,Pr_Base_LNEC!$A$4:$J$6971,7,FALSE)</f>
        <v>0</v>
      </c>
    </row>
    <row r="2118" spans="1:11" ht="14.5">
      <c r="A2118" s="20" t="s">
        <v>19097</v>
      </c>
      <c r="B2118" s="20">
        <v>25</v>
      </c>
      <c r="C2118" s="20">
        <v>93</v>
      </c>
      <c r="D2118" s="20">
        <v>51</v>
      </c>
      <c r="E2118" s="20">
        <v>38</v>
      </c>
      <c r="F2118" s="20" t="s">
        <v>19098</v>
      </c>
      <c r="G2118" s="20" t="s">
        <v>19099</v>
      </c>
      <c r="H2118" s="24"/>
      <c r="I2118" s="24" t="str">
        <f ca="1">IFERROR(__xludf.DUMMYFUNCTION("GOOGLETRANSLATE(F2118,""en"",""pt"")"),"concreto reforçado de vidro (GRC) built-in quoins")</f>
        <v>concreto reforçado de vidro (GRC) built-in quoins</v>
      </c>
      <c r="J2118">
        <f>VLOOKUP(A2118,Pr_Base_LNEC!$A$4:$J$6971,6,FALSE)</f>
        <v>0</v>
      </c>
      <c r="K2118">
        <f>VLOOKUP(A2118,Pr_Base_LNEC!$A$4:$J$6971,7,FALSE)</f>
        <v>0</v>
      </c>
    </row>
    <row r="2119" spans="1:11" ht="14.5">
      <c r="A2119" s="20" t="s">
        <v>19100</v>
      </c>
      <c r="B2119" s="20">
        <v>25</v>
      </c>
      <c r="C2119" s="20">
        <v>93</v>
      </c>
      <c r="D2119" s="20">
        <v>51</v>
      </c>
      <c r="E2119" s="20">
        <v>39</v>
      </c>
      <c r="F2119" s="20" t="s">
        <v>19101</v>
      </c>
      <c r="G2119" s="24"/>
      <c r="H2119" s="24"/>
      <c r="I2119" s="24" t="str">
        <f ca="1">IFERROR(__xludf.DUMMYFUNCTION("GOOGLETRANSLATE(F2119,""en"",""pt"")"),"concreto reforçado de vidro (GRC) vestir aberturas empena")</f>
        <v>concreto reforçado de vidro (GRC) vestir aberturas empena</v>
      </c>
      <c r="J2119">
        <f>VLOOKUP(A2119,Pr_Base_LNEC!$A$4:$J$6971,6,FALSE)</f>
        <v>0</v>
      </c>
      <c r="K2119">
        <f>VLOOKUP(A2119,Pr_Base_LNEC!$A$4:$J$6971,7,FALSE)</f>
        <v>0</v>
      </c>
    </row>
    <row r="2120" spans="1:11" ht="14.5">
      <c r="A2120" s="20" t="s">
        <v>19102</v>
      </c>
      <c r="B2120" s="20">
        <v>25</v>
      </c>
      <c r="C2120" s="20">
        <v>93</v>
      </c>
      <c r="D2120" s="20">
        <v>51</v>
      </c>
      <c r="E2120" s="20">
        <v>40</v>
      </c>
      <c r="F2120" s="20" t="s">
        <v>19103</v>
      </c>
      <c r="G2120" s="20" t="s">
        <v>19104</v>
      </c>
      <c r="H2120" s="24"/>
      <c r="I2120" s="24" t="str">
        <f ca="1">IFERROR(__xludf.DUMMYFUNCTION("GOOGLETRANSLATE(F2120,""en"",""pt"")"),"concreto reforçado de vidro (GRC) keystones vestir")</f>
        <v>concreto reforçado de vidro (GRC) keystones vestir</v>
      </c>
      <c r="J2120">
        <f>VLOOKUP(A2120,Pr_Base_LNEC!$A$4:$J$6971,6,FALSE)</f>
        <v>0</v>
      </c>
      <c r="K2120">
        <f>VLOOKUP(A2120,Pr_Base_LNEC!$A$4:$J$6971,7,FALSE)</f>
        <v>0</v>
      </c>
    </row>
    <row r="2121" spans="1:11" ht="14.5">
      <c r="A2121" s="20" t="s">
        <v>19105</v>
      </c>
      <c r="B2121" s="20">
        <v>25</v>
      </c>
      <c r="C2121" s="20">
        <v>93</v>
      </c>
      <c r="D2121" s="20">
        <v>51</v>
      </c>
      <c r="E2121" s="20">
        <v>41</v>
      </c>
      <c r="F2121" s="20" t="s">
        <v>19106</v>
      </c>
      <c r="G2121" s="20" t="s">
        <v>19107</v>
      </c>
      <c r="H2121" s="24"/>
      <c r="I2121" s="24" t="str">
        <f ca="1">IFERROR(__xludf.DUMMYFUNCTION("GOOGLETRANSLATE(F2121,""en"",""pt"")"),"concreto reforçado de vidro (GRC) vestir plintos e cursos de cordas")</f>
        <v>concreto reforçado de vidro (GRC) vestir plintos e cursos de cordas</v>
      </c>
      <c r="J2121">
        <f>VLOOKUP(A2121,Pr_Base_LNEC!$A$4:$J$6971,6,FALSE)</f>
        <v>0</v>
      </c>
      <c r="K2121">
        <f>VLOOKUP(A2121,Pr_Base_LNEC!$A$4:$J$6971,7,FALSE)</f>
        <v>0</v>
      </c>
    </row>
    <row r="2122" spans="1:11" ht="14.5">
      <c r="A2122" s="20" t="s">
        <v>19108</v>
      </c>
      <c r="B2122" s="20">
        <v>25</v>
      </c>
      <c r="C2122" s="20">
        <v>93</v>
      </c>
      <c r="D2122" s="20">
        <v>51</v>
      </c>
      <c r="E2122" s="20">
        <v>42</v>
      </c>
      <c r="F2122" s="20" t="s">
        <v>19109</v>
      </c>
      <c r="G2122" s="20" t="s">
        <v>19110</v>
      </c>
      <c r="H2122" s="24"/>
      <c r="I2122" s="24" t="str">
        <f ca="1">IFERROR(__xludf.DUMMYFUNCTION("GOOGLETRANSLATE(F2122,""en"",""pt"")"),"concreto reforçado de vidro (GRC) quoins vestir")</f>
        <v>concreto reforçado de vidro (GRC) quoins vestir</v>
      </c>
      <c r="J2122">
        <f>VLOOKUP(A2122,Pr_Base_LNEC!$A$4:$J$6971,6,FALSE)</f>
        <v>0</v>
      </c>
      <c r="K2122">
        <f>VLOOKUP(A2122,Pr_Base_LNEC!$A$4:$J$6971,7,FALSE)</f>
        <v>0</v>
      </c>
    </row>
    <row r="2123" spans="1:11" ht="14.5">
      <c r="A2123" s="20" t="s">
        <v>19111</v>
      </c>
      <c r="B2123" s="20">
        <v>25</v>
      </c>
      <c r="C2123" s="20">
        <v>93</v>
      </c>
      <c r="D2123" s="20">
        <v>51</v>
      </c>
      <c r="E2123" s="20">
        <v>56</v>
      </c>
      <c r="F2123" s="20" t="s">
        <v>19112</v>
      </c>
      <c r="G2123" s="24"/>
      <c r="H2123" s="24"/>
      <c r="I2123" s="24" t="str">
        <f ca="1">IFERROR(__xludf.DUMMYFUNCTION("GOOGLETRANSLATE(F2123,""en"",""pt"")"),"cornijas de pedra natural")</f>
        <v>cornijas de pedra natural</v>
      </c>
      <c r="J2123">
        <f>VLOOKUP(A2123,Pr_Base_LNEC!$A$4:$J$6971,6,FALSE)</f>
        <v>0</v>
      </c>
      <c r="K2123">
        <f>VLOOKUP(A2123,Pr_Base_LNEC!$A$4:$J$6971,7,FALSE)</f>
        <v>0</v>
      </c>
    </row>
    <row r="2124" spans="1:11" ht="14.5">
      <c r="A2124" s="20" t="s">
        <v>19113</v>
      </c>
      <c r="B2124" s="20">
        <v>25</v>
      </c>
      <c r="C2124" s="20">
        <v>93</v>
      </c>
      <c r="D2124" s="20">
        <v>51</v>
      </c>
      <c r="E2124" s="20">
        <v>57</v>
      </c>
      <c r="F2124" s="20" t="s">
        <v>19114</v>
      </c>
      <c r="G2124" s="24"/>
      <c r="H2124" s="24"/>
      <c r="I2124" s="24" t="str">
        <f ca="1">IFERROR(__xludf.DUMMYFUNCTION("GOOGLETRANSLATE(F2124,""en"",""pt"")"),"dentils pedra natural")</f>
        <v>dentils pedra natural</v>
      </c>
      <c r="J2124">
        <f>VLOOKUP(A2124,Pr_Base_LNEC!$A$4:$J$6971,6,FALSE)</f>
        <v>0</v>
      </c>
      <c r="K2124">
        <f>VLOOKUP(A2124,Pr_Base_LNEC!$A$4:$J$6971,7,FALSE)</f>
        <v>0</v>
      </c>
    </row>
    <row r="2125" spans="1:11" ht="14.5">
      <c r="A2125" s="20" t="s">
        <v>19115</v>
      </c>
      <c r="B2125" s="20">
        <v>25</v>
      </c>
      <c r="C2125" s="20">
        <v>93</v>
      </c>
      <c r="D2125" s="20">
        <v>51</v>
      </c>
      <c r="E2125" s="20">
        <v>58</v>
      </c>
      <c r="F2125" s="20" t="s">
        <v>19116</v>
      </c>
      <c r="G2125" s="24"/>
      <c r="H2125" s="24"/>
      <c r="I2125" s="24" t="str">
        <f ca="1">IFERROR(__xludf.DUMMYFUNCTION("GOOGLETRANSLATE(F2125,""en"",""pt"")"),"aduelas de pedra natural")</f>
        <v>aduelas de pedra natural</v>
      </c>
      <c r="J2125">
        <f>VLOOKUP(A2125,Pr_Base_LNEC!$A$4:$J$6971,6,FALSE)</f>
        <v>0</v>
      </c>
      <c r="K2125">
        <f>VLOOKUP(A2125,Pr_Base_LNEC!$A$4:$J$6971,7,FALSE)</f>
        <v>0</v>
      </c>
    </row>
    <row r="2126" spans="1:11" ht="14.5">
      <c r="A2126" s="20" t="s">
        <v>19117</v>
      </c>
      <c r="B2126" s="20">
        <v>25</v>
      </c>
      <c r="C2126" s="20">
        <v>93</v>
      </c>
      <c r="D2126" s="20">
        <v>52</v>
      </c>
      <c r="E2126" s="24"/>
      <c r="F2126" s="20" t="s">
        <v>19118</v>
      </c>
      <c r="G2126" s="24"/>
      <c r="H2126" s="24"/>
      <c r="I2126" s="24" t="str">
        <f ca="1">IFERROR(__xludf.DUMMYFUNCTION("GOOGLETRANSLATE(F2126,""en"",""pt"")"),"Alvenaria unidades aberturas")</f>
        <v>Alvenaria unidades aberturas</v>
      </c>
      <c r="J2126" t="str">
        <f>VLOOKUP(A2126,Pr_Base_LNEC!$A$4:$J$6971,6,FALSE)</f>
        <v>Unidades de alvenaria para aberturas e/ou desobstrução</v>
      </c>
      <c r="K2126">
        <f>VLOOKUP(A2126,Pr_Base_LNEC!$A$4:$J$6971,7,FALSE)</f>
        <v>0</v>
      </c>
    </row>
    <row r="2127" spans="1:11" ht="14.5">
      <c r="A2127" s="20" t="s">
        <v>19119</v>
      </c>
      <c r="B2127" s="20">
        <v>25</v>
      </c>
      <c r="C2127" s="20">
        <v>93</v>
      </c>
      <c r="D2127" s="20">
        <v>52</v>
      </c>
      <c r="E2127" s="20">
        <v>11</v>
      </c>
      <c r="F2127" s="20" t="s">
        <v>19120</v>
      </c>
      <c r="G2127" s="24"/>
      <c r="H2127" s="24"/>
      <c r="I2127" s="24" t="str">
        <f ca="1">IFERROR(__xludf.DUMMYFUNCTION("GOOGLETRANSLATE(F2127,""en"",""pt"")"),"soleiras de cálcio silicato")</f>
        <v>soleiras de cálcio silicato</v>
      </c>
      <c r="J2127">
        <f>VLOOKUP(A2127,Pr_Base_LNEC!$A$4:$J$6971,6,FALSE)</f>
        <v>0</v>
      </c>
      <c r="K2127">
        <f>VLOOKUP(A2127,Pr_Base_LNEC!$A$4:$J$6971,7,FALSE)</f>
        <v>0</v>
      </c>
    </row>
    <row r="2128" spans="1:11" ht="14.5">
      <c r="A2128" s="20" t="s">
        <v>19121</v>
      </c>
      <c r="B2128" s="20">
        <v>25</v>
      </c>
      <c r="C2128" s="20">
        <v>93</v>
      </c>
      <c r="D2128" s="20">
        <v>52</v>
      </c>
      <c r="E2128" s="20">
        <v>12</v>
      </c>
      <c r="F2128" s="20" t="s">
        <v>19122</v>
      </c>
      <c r="G2128" s="20" t="s">
        <v>19123</v>
      </c>
      <c r="H2128" s="24"/>
      <c r="I2128" s="24" t="str">
        <f ca="1">IFERROR(__xludf.DUMMYFUNCTION("GOOGLETRANSLATE(F2128,""en"",""pt"")"),"soleiras de pedra expressos")</f>
        <v>soleiras de pedra expressos</v>
      </c>
      <c r="J2128">
        <f>VLOOKUP(A2128,Pr_Base_LNEC!$A$4:$J$6971,6,FALSE)</f>
        <v>0</v>
      </c>
      <c r="K2128">
        <f>VLOOKUP(A2128,Pr_Base_LNEC!$A$4:$J$6971,7,FALSE)</f>
        <v>0</v>
      </c>
    </row>
    <row r="2129" spans="1:11" ht="14.5">
      <c r="A2129" s="20" t="s">
        <v>19124</v>
      </c>
      <c r="B2129" s="20">
        <v>25</v>
      </c>
      <c r="C2129" s="20">
        <v>93</v>
      </c>
      <c r="D2129" s="20">
        <v>52</v>
      </c>
      <c r="E2129" s="20">
        <v>13</v>
      </c>
      <c r="F2129" s="20" t="s">
        <v>19125</v>
      </c>
      <c r="G2129" s="20" t="s">
        <v>19126</v>
      </c>
      <c r="H2129" s="24"/>
      <c r="I2129" s="24" t="str">
        <f ca="1">IFERROR(__xludf.DUMMYFUNCTION("GOOGLETRANSLATE(F2129,""en"",""pt"")"),"soleiras de tijolos de argila")</f>
        <v>soleiras de tijolos de argila</v>
      </c>
      <c r="J2129" t="str">
        <f>VLOOKUP(A2129,Pr_Base_LNEC!$A$4:$J$6971,6,FALSE)</f>
        <v>Soleiras de tijolo cerâmico para alvenaria</v>
      </c>
      <c r="K2129" t="str">
        <f>VLOOKUP(A2129,Pr_Base_LNEC!$A$4:$J$6971,7,FALSE)</f>
        <v>EN 771-1:2011+A1:2015</v>
      </c>
    </row>
    <row r="2130" spans="1:11" ht="14.5">
      <c r="A2130" s="20" t="s">
        <v>19127</v>
      </c>
      <c r="B2130" s="20">
        <v>25</v>
      </c>
      <c r="C2130" s="20">
        <v>93</v>
      </c>
      <c r="D2130" s="20">
        <v>52</v>
      </c>
      <c r="E2130" s="20">
        <v>14</v>
      </c>
      <c r="F2130" s="20" t="s">
        <v>19128</v>
      </c>
      <c r="G2130" s="20" t="s">
        <v>19129</v>
      </c>
      <c r="H2130" s="24"/>
      <c r="I2130" s="24" t="str">
        <f ca="1">IFERROR(__xludf.DUMMYFUNCTION("GOOGLETRANSLATE(F2130,""en"",""pt"")"),"soleiras clayware")</f>
        <v>soleiras clayware</v>
      </c>
      <c r="J2130">
        <f>VLOOKUP(A2130,Pr_Base_LNEC!$A$4:$J$6971,6,FALSE)</f>
        <v>0</v>
      </c>
      <c r="K2130">
        <f>VLOOKUP(A2130,Pr_Base_LNEC!$A$4:$J$6971,7,FALSE)</f>
        <v>0</v>
      </c>
    </row>
    <row r="2131" spans="1:11" ht="14.5">
      <c r="A2131" s="20" t="s">
        <v>19130</v>
      </c>
      <c r="B2131" s="20">
        <v>25</v>
      </c>
      <c r="C2131" s="20">
        <v>93</v>
      </c>
      <c r="D2131" s="20">
        <v>52</v>
      </c>
      <c r="E2131" s="20">
        <v>15</v>
      </c>
      <c r="F2131" s="20" t="s">
        <v>19131</v>
      </c>
      <c r="G2131" s="20" t="s">
        <v>19132</v>
      </c>
      <c r="H2131" s="24"/>
      <c r="I2131" s="24" t="str">
        <f ca="1">IFERROR(__xludf.DUMMYFUNCTION("GOOGLETRANSLATE(F2131,""en"",""pt"")"),"soleiras de betão")</f>
        <v>soleiras de betão</v>
      </c>
      <c r="J2131">
        <f>VLOOKUP(A2131,Pr_Base_LNEC!$A$4:$J$6971,6,FALSE)</f>
        <v>0</v>
      </c>
      <c r="K2131">
        <f>VLOOKUP(A2131,Pr_Base_LNEC!$A$4:$J$6971,7,FALSE)</f>
        <v>0</v>
      </c>
    </row>
    <row r="2132" spans="1:11" ht="14.5">
      <c r="A2132" s="20" t="s">
        <v>19133</v>
      </c>
      <c r="B2132" s="20">
        <v>25</v>
      </c>
      <c r="C2132" s="20">
        <v>93</v>
      </c>
      <c r="D2132" s="20">
        <v>52</v>
      </c>
      <c r="E2132" s="20">
        <v>28</v>
      </c>
      <c r="F2132" s="20" t="s">
        <v>19134</v>
      </c>
      <c r="G2132" s="20" t="s">
        <v>19135</v>
      </c>
      <c r="H2132" s="24"/>
      <c r="I2132" s="24" t="str">
        <f ca="1">IFERROR(__xludf.DUMMYFUNCTION("GOOGLETRANSLATE(F2132,""en"",""pt"")"),"soleiras de extensão externos")</f>
        <v>soleiras de extensão externos</v>
      </c>
      <c r="J2132">
        <f>VLOOKUP(A2132,Pr_Base_LNEC!$A$4:$J$6971,6,FALSE)</f>
        <v>0</v>
      </c>
      <c r="K2132">
        <f>VLOOKUP(A2132,Pr_Base_LNEC!$A$4:$J$6971,7,FALSE)</f>
        <v>0</v>
      </c>
    </row>
    <row r="2133" spans="1:11" ht="14.5">
      <c r="A2133" s="20" t="s">
        <v>19136</v>
      </c>
      <c r="B2133" s="20">
        <v>25</v>
      </c>
      <c r="C2133" s="20">
        <v>93</v>
      </c>
      <c r="D2133" s="20">
        <v>52</v>
      </c>
      <c r="E2133" s="20">
        <v>33</v>
      </c>
      <c r="F2133" s="20" t="s">
        <v>19137</v>
      </c>
      <c r="G2133" s="20" t="s">
        <v>19138</v>
      </c>
      <c r="H2133" s="24"/>
      <c r="I2133" s="24" t="str">
        <f ca="1">IFERROR(__xludf.DUMMYFUNCTION("GOOGLETRANSLATE(F2133,""en"",""pt"")"),"concretas (GRC) peitoris baía de vidro reforçado")</f>
        <v>concretas (GRC) peitoris baía de vidro reforçado</v>
      </c>
      <c r="J2133">
        <f>VLOOKUP(A2133,Pr_Base_LNEC!$A$4:$J$6971,6,FALSE)</f>
        <v>0</v>
      </c>
      <c r="K2133">
        <f>VLOOKUP(A2133,Pr_Base_LNEC!$A$4:$J$6971,7,FALSE)</f>
        <v>0</v>
      </c>
    </row>
    <row r="2134" spans="1:11" ht="14.5">
      <c r="A2134" s="20" t="s">
        <v>19139</v>
      </c>
      <c r="B2134" s="20">
        <v>25</v>
      </c>
      <c r="C2134" s="20">
        <v>93</v>
      </c>
      <c r="D2134" s="20">
        <v>52</v>
      </c>
      <c r="E2134" s="20">
        <v>34</v>
      </c>
      <c r="F2134" s="20" t="s">
        <v>19140</v>
      </c>
      <c r="G2134" s="20" t="s">
        <v>19141</v>
      </c>
      <c r="H2134" s="24"/>
      <c r="I2134" s="24" t="str">
        <f ca="1">IFERROR(__xludf.DUMMYFUNCTION("GOOGLETRANSLATE(F2134,""en"",""pt"")"),"Glass-betão armado (GRC) copas das portas")</f>
        <v>Glass-betão armado (GRC) copas das portas</v>
      </c>
      <c r="J2134">
        <f>VLOOKUP(A2134,Pr_Base_LNEC!$A$4:$J$6971,6,FALSE)</f>
        <v>0</v>
      </c>
      <c r="K2134">
        <f>VLOOKUP(A2134,Pr_Base_LNEC!$A$4:$J$6971,7,FALSE)</f>
        <v>0</v>
      </c>
    </row>
    <row r="2135" spans="1:11" ht="14.5">
      <c r="A2135" s="20" t="s">
        <v>19142</v>
      </c>
      <c r="B2135" s="20">
        <v>25</v>
      </c>
      <c r="C2135" s="20">
        <v>93</v>
      </c>
      <c r="D2135" s="20">
        <v>52</v>
      </c>
      <c r="E2135" s="20">
        <v>35</v>
      </c>
      <c r="F2135" s="20" t="s">
        <v>19143</v>
      </c>
      <c r="G2135" s="20" t="s">
        <v>19144</v>
      </c>
      <c r="H2135" s="24"/>
      <c r="I2135" s="24" t="str">
        <f ca="1">IFERROR(__xludf.DUMMYFUNCTION("GOOGLETRANSLATE(F2135,""en"",""pt"")"),"betão reforçado com vidro (GRC) porta rodeia")</f>
        <v>betão reforçado com vidro (GRC) porta rodeia</v>
      </c>
      <c r="J2135">
        <f>VLOOKUP(A2135,Pr_Base_LNEC!$A$4:$J$6971,6,FALSE)</f>
        <v>0</v>
      </c>
      <c r="K2135">
        <f>VLOOKUP(A2135,Pr_Base_LNEC!$A$4:$J$6971,7,FALSE)</f>
        <v>0</v>
      </c>
    </row>
    <row r="2136" spans="1:11" ht="14.5">
      <c r="A2136" s="20" t="s">
        <v>19145</v>
      </c>
      <c r="B2136" s="20">
        <v>25</v>
      </c>
      <c r="C2136" s="20">
        <v>93</v>
      </c>
      <c r="D2136" s="20">
        <v>52</v>
      </c>
      <c r="E2136" s="20">
        <v>36</v>
      </c>
      <c r="F2136" s="20" t="s">
        <v>19146</v>
      </c>
      <c r="G2136" s="20" t="s">
        <v>19147</v>
      </c>
      <c r="H2136" s="24"/>
      <c r="I2136" s="24" t="str">
        <f ca="1">IFERROR(__xludf.DUMMYFUNCTION("GOOGLETRANSLATE(F2136,""en"",""pt"")"),"concretas soleiras (GRC) de vidro reforçado")</f>
        <v>concretas soleiras (GRC) de vidro reforçado</v>
      </c>
      <c r="J2136">
        <f>VLOOKUP(A2136,Pr_Base_LNEC!$A$4:$J$6971,6,FALSE)</f>
        <v>0</v>
      </c>
      <c r="K2136">
        <f>VLOOKUP(A2136,Pr_Base_LNEC!$A$4:$J$6971,7,FALSE)</f>
        <v>0</v>
      </c>
    </row>
    <row r="2137" spans="1:11" ht="14.5">
      <c r="A2137" s="20" t="s">
        <v>19148</v>
      </c>
      <c r="B2137" s="20">
        <v>25</v>
      </c>
      <c r="C2137" s="20">
        <v>93</v>
      </c>
      <c r="D2137" s="20">
        <v>52</v>
      </c>
      <c r="E2137" s="20">
        <v>37</v>
      </c>
      <c r="F2137" s="20" t="s">
        <v>19149</v>
      </c>
      <c r="G2137" s="20" t="s">
        <v>19150</v>
      </c>
      <c r="H2137" s="24"/>
      <c r="I2137" s="24" t="str">
        <f ca="1">IFERROR(__xludf.DUMMYFUNCTION("GOOGLETRANSLATE(F2137,""en"",""pt"")"),"concreto lareira (GRC) de vidro reforçado e recuperador rodeia")</f>
        <v>concreto lareira (GRC) de vidro reforçado e recuperador rodeia</v>
      </c>
      <c r="J2137">
        <f>VLOOKUP(A2137,Pr_Base_LNEC!$A$4:$J$6971,6,FALSE)</f>
        <v>0</v>
      </c>
      <c r="K2137">
        <f>VLOOKUP(A2137,Pr_Base_LNEC!$A$4:$J$6971,7,FALSE)</f>
        <v>0</v>
      </c>
    </row>
    <row r="2138" spans="1:11" ht="14.5">
      <c r="A2138" s="20" t="s">
        <v>19151</v>
      </c>
      <c r="B2138" s="20">
        <v>25</v>
      </c>
      <c r="C2138" s="20">
        <v>93</v>
      </c>
      <c r="D2138" s="20">
        <v>52</v>
      </c>
      <c r="E2138" s="20">
        <v>56</v>
      </c>
      <c r="F2138" s="20" t="s">
        <v>19152</v>
      </c>
      <c r="G2138" s="20" t="s">
        <v>19153</v>
      </c>
      <c r="H2138" s="24"/>
      <c r="I2138" s="24" t="str">
        <f ca="1">IFERROR(__xludf.DUMMYFUNCTION("GOOGLETRANSLATE(F2138,""en"",""pt"")"),"soleiras de pedra natural")</f>
        <v>soleiras de pedra natural</v>
      </c>
      <c r="J2138">
        <f>VLOOKUP(A2138,Pr_Base_LNEC!$A$4:$J$6971,6,FALSE)</f>
        <v>0</v>
      </c>
      <c r="K2138">
        <f>VLOOKUP(A2138,Pr_Base_LNEC!$A$4:$J$6971,7,FALSE)</f>
        <v>0</v>
      </c>
    </row>
    <row r="2139" spans="1:11" ht="14.5">
      <c r="A2139" s="20" t="s">
        <v>19154</v>
      </c>
      <c r="B2139" s="20">
        <v>25</v>
      </c>
      <c r="C2139" s="20">
        <v>93</v>
      </c>
      <c r="D2139" s="20">
        <v>52</v>
      </c>
      <c r="E2139" s="20">
        <v>76</v>
      </c>
      <c r="F2139" s="20" t="s">
        <v>19155</v>
      </c>
      <c r="G2139" s="20" t="s">
        <v>19156</v>
      </c>
      <c r="H2139" s="24"/>
      <c r="I2139" s="24" t="str">
        <f ca="1">IFERROR(__xludf.DUMMYFUNCTION("GOOGLETRANSLATE(F2139,""en"",""pt"")"),"soleiras de ardósia")</f>
        <v>soleiras de ardósia</v>
      </c>
      <c r="J2139">
        <f>VLOOKUP(A2139,Pr_Base_LNEC!$A$4:$J$6971,6,FALSE)</f>
        <v>0</v>
      </c>
      <c r="K2139">
        <f>VLOOKUP(A2139,Pr_Base_LNEC!$A$4:$J$6971,7,FALSE)</f>
        <v>0</v>
      </c>
    </row>
    <row r="2140" spans="1:11" ht="14.5">
      <c r="A2140" s="20" t="s">
        <v>19157</v>
      </c>
      <c r="B2140" s="20">
        <v>25</v>
      </c>
      <c r="C2140" s="20">
        <v>93</v>
      </c>
      <c r="D2140" s="20">
        <v>54</v>
      </c>
      <c r="E2140" s="24"/>
      <c r="F2140" s="20" t="s">
        <v>19158</v>
      </c>
      <c r="G2140" s="24"/>
      <c r="H2140" s="24"/>
      <c r="I2140" s="24" t="str">
        <f ca="1">IFERROR(__xludf.DUMMYFUNCTION("GOOGLETRANSLATE(F2140,""en"",""pt"")"),"Metal nivelamento e unidades de enfrentamento")</f>
        <v>Metal nivelamento e unidades de enfrentamento</v>
      </c>
      <c r="J2140" t="str">
        <f>VLOOKUP(A2140,Pr_Base_LNEC!$A$4:$J$6971,6,FALSE)</f>
        <v>-</v>
      </c>
      <c r="K2140">
        <f>VLOOKUP(A2140,Pr_Base_LNEC!$A$4:$J$6971,7,FALSE)</f>
        <v>0</v>
      </c>
    </row>
    <row r="2141" spans="1:11" ht="14.5">
      <c r="A2141" s="20" t="s">
        <v>19159</v>
      </c>
      <c r="B2141" s="20">
        <v>25</v>
      </c>
      <c r="C2141" s="20">
        <v>93</v>
      </c>
      <c r="D2141" s="20">
        <v>54</v>
      </c>
      <c r="E2141" s="20">
        <v>2</v>
      </c>
      <c r="F2141" s="20" t="s">
        <v>19160</v>
      </c>
      <c r="G2141" s="20" t="s">
        <v>19161</v>
      </c>
      <c r="H2141" s="24"/>
      <c r="I2141" s="24" t="str">
        <f ca="1">IFERROR(__xludf.DUMMYFUNCTION("GOOGLETRANSLATE(F2141,""en"",""pt"")"),"unidades de capeamento de alumínio")</f>
        <v>unidades de capeamento de alumínio</v>
      </c>
      <c r="J2141">
        <f>VLOOKUP(A2141,Pr_Base_LNEC!$A$4:$J$6971,6,FALSE)</f>
        <v>0</v>
      </c>
      <c r="K2141">
        <f>VLOOKUP(A2141,Pr_Base_LNEC!$A$4:$J$6971,7,FALSE)</f>
        <v>0</v>
      </c>
    </row>
    <row r="2142" spans="1:11" ht="14.5">
      <c r="A2142" s="20" t="s">
        <v>19162</v>
      </c>
      <c r="B2142" s="20">
        <v>25</v>
      </c>
      <c r="C2142" s="20">
        <v>93</v>
      </c>
      <c r="D2142" s="20">
        <v>54</v>
      </c>
      <c r="E2142" s="20">
        <v>3</v>
      </c>
      <c r="F2142" s="20" t="s">
        <v>19163</v>
      </c>
      <c r="G2142" s="20" t="s">
        <v>19164</v>
      </c>
      <c r="H2142" s="24"/>
      <c r="I2142" s="24" t="str">
        <f ca="1">IFERROR(__xludf.DUMMYFUNCTION("GOOGLETRANSLATE(F2142,""en"",""pt"")"),"unidades de enfrentamento de alumínio")</f>
        <v>unidades de enfrentamento de alumínio</v>
      </c>
      <c r="J2142">
        <f>VLOOKUP(A2142,Pr_Base_LNEC!$A$4:$J$6971,6,FALSE)</f>
        <v>0</v>
      </c>
      <c r="K2142">
        <f>VLOOKUP(A2142,Pr_Base_LNEC!$A$4:$J$6971,7,FALSE)</f>
        <v>0</v>
      </c>
    </row>
    <row r="2143" spans="1:11" ht="14.5">
      <c r="A2143" s="20" t="s">
        <v>19165</v>
      </c>
      <c r="B2143" s="20">
        <v>25</v>
      </c>
      <c r="C2143" s="20">
        <v>93</v>
      </c>
      <c r="D2143" s="20">
        <v>54</v>
      </c>
      <c r="E2143" s="20">
        <v>11</v>
      </c>
      <c r="F2143" s="20" t="s">
        <v>19166</v>
      </c>
      <c r="G2143" s="24"/>
      <c r="H2143" s="24"/>
      <c r="I2143" s="24" t="str">
        <f ca="1">IFERROR(__xludf.DUMMYFUNCTION("GOOGLETRANSLATE(F2143,""en"",""pt"")"),"unidades de capeamento de aço carbono")</f>
        <v>unidades de capeamento de aço carbono</v>
      </c>
      <c r="J2143">
        <f>VLOOKUP(A2143,Pr_Base_LNEC!$A$4:$J$6971,6,FALSE)</f>
        <v>0</v>
      </c>
      <c r="K2143">
        <f>VLOOKUP(A2143,Pr_Base_LNEC!$A$4:$J$6971,7,FALSE)</f>
        <v>0</v>
      </c>
    </row>
    <row r="2144" spans="1:11" ht="14.5">
      <c r="A2144" s="20" t="s">
        <v>19167</v>
      </c>
      <c r="B2144" s="20">
        <v>25</v>
      </c>
      <c r="C2144" s="20">
        <v>93</v>
      </c>
      <c r="D2144" s="20">
        <v>54</v>
      </c>
      <c r="E2144" s="20">
        <v>12</v>
      </c>
      <c r="F2144" s="20" t="s">
        <v>19168</v>
      </c>
      <c r="G2144" s="24"/>
      <c r="H2144" s="24"/>
      <c r="I2144" s="24" t="str">
        <f ca="1">IFERROR(__xludf.DUMMYFUNCTION("GOOGLETRANSLATE(F2144,""en"",""pt"")"),"De carbono de unidades de aço lidar")</f>
        <v>De carbono de unidades de aço lidar</v>
      </c>
      <c r="J2144">
        <f>VLOOKUP(A2144,Pr_Base_LNEC!$A$4:$J$6971,6,FALSE)</f>
        <v>0</v>
      </c>
      <c r="K2144">
        <f>VLOOKUP(A2144,Pr_Base_LNEC!$A$4:$J$6971,7,FALSE)</f>
        <v>0</v>
      </c>
    </row>
    <row r="2145" spans="1:11" ht="14.5">
      <c r="A2145" s="20" t="s">
        <v>19169</v>
      </c>
      <c r="B2145" s="20">
        <v>25</v>
      </c>
      <c r="C2145" s="20">
        <v>93</v>
      </c>
      <c r="D2145" s="20">
        <v>54</v>
      </c>
      <c r="E2145" s="20">
        <v>15</v>
      </c>
      <c r="F2145" s="20" t="s">
        <v>19170</v>
      </c>
      <c r="G2145" s="24"/>
      <c r="H2145" s="24"/>
      <c r="I2145" s="24" t="str">
        <f ca="1">IFERROR(__xludf.DUMMYFUNCTION("GOOGLETRANSLATE(F2145,""en"",""pt"")"),"unidades de cobre capeadores")</f>
        <v>unidades de cobre capeadores</v>
      </c>
      <c r="J2145">
        <f>VLOOKUP(A2145,Pr_Base_LNEC!$A$4:$J$6971,6,FALSE)</f>
        <v>0</v>
      </c>
      <c r="K2145">
        <f>VLOOKUP(A2145,Pr_Base_LNEC!$A$4:$J$6971,7,FALSE)</f>
        <v>0</v>
      </c>
    </row>
    <row r="2146" spans="1:11" ht="14.5">
      <c r="A2146" s="20" t="s">
        <v>19171</v>
      </c>
      <c r="B2146" s="20">
        <v>25</v>
      </c>
      <c r="C2146" s="20">
        <v>93</v>
      </c>
      <c r="D2146" s="20">
        <v>54</v>
      </c>
      <c r="E2146" s="20">
        <v>16</v>
      </c>
      <c r="F2146" s="20" t="s">
        <v>19172</v>
      </c>
      <c r="G2146" s="24"/>
      <c r="H2146" s="24"/>
      <c r="I2146" s="24" t="str">
        <f ca="1">IFERROR(__xludf.DUMMYFUNCTION("GOOGLETRANSLATE(F2146,""en"",""pt"")"),"unidades de cobre de enfrentamento")</f>
        <v>unidades de cobre de enfrentamento</v>
      </c>
      <c r="J2146">
        <f>VLOOKUP(A2146,Pr_Base_LNEC!$A$4:$J$6971,6,FALSE)</f>
        <v>0</v>
      </c>
      <c r="K2146">
        <f>VLOOKUP(A2146,Pr_Base_LNEC!$A$4:$J$6971,7,FALSE)</f>
        <v>0</v>
      </c>
    </row>
    <row r="2147" spans="1:11" ht="14.5">
      <c r="A2147" s="20" t="s">
        <v>19173</v>
      </c>
      <c r="B2147" s="20">
        <v>25</v>
      </c>
      <c r="C2147" s="20">
        <v>93</v>
      </c>
      <c r="D2147" s="20">
        <v>54</v>
      </c>
      <c r="E2147" s="20">
        <v>46</v>
      </c>
      <c r="F2147" s="20" t="s">
        <v>19174</v>
      </c>
      <c r="G2147" s="24"/>
      <c r="H2147" s="24"/>
      <c r="I2147" s="24" t="str">
        <f ca="1">IFERROR(__xludf.DUMMYFUNCTION("GOOGLETRANSLATE(F2147,""en"",""pt"")"),"unidades de nivelamento de chumbo")</f>
        <v>unidades de nivelamento de chumbo</v>
      </c>
      <c r="J2147">
        <f>VLOOKUP(A2147,Pr_Base_LNEC!$A$4:$J$6971,6,FALSE)</f>
        <v>0</v>
      </c>
      <c r="K2147">
        <f>VLOOKUP(A2147,Pr_Base_LNEC!$A$4:$J$6971,7,FALSE)</f>
        <v>0</v>
      </c>
    </row>
    <row r="2148" spans="1:11" ht="14.5">
      <c r="A2148" s="20" t="s">
        <v>19175</v>
      </c>
      <c r="B2148" s="20">
        <v>25</v>
      </c>
      <c r="C2148" s="20">
        <v>93</v>
      </c>
      <c r="D2148" s="20">
        <v>54</v>
      </c>
      <c r="E2148" s="20">
        <v>47</v>
      </c>
      <c r="F2148" s="20" t="s">
        <v>19176</v>
      </c>
      <c r="G2148" s="24"/>
      <c r="H2148" s="24"/>
      <c r="I2148" s="24" t="str">
        <f ca="1">IFERROR(__xludf.DUMMYFUNCTION("GOOGLETRANSLATE(F2148,""en"",""pt"")"),"unidades de enfrentamento de chumbo")</f>
        <v>unidades de enfrentamento de chumbo</v>
      </c>
      <c r="J2148">
        <f>VLOOKUP(A2148,Pr_Base_LNEC!$A$4:$J$6971,6,FALSE)</f>
        <v>0</v>
      </c>
      <c r="K2148">
        <f>VLOOKUP(A2148,Pr_Base_LNEC!$A$4:$J$6971,7,FALSE)</f>
        <v>0</v>
      </c>
    </row>
    <row r="2149" spans="1:11" ht="14.5">
      <c r="A2149" s="20" t="s">
        <v>19177</v>
      </c>
      <c r="B2149" s="20">
        <v>25</v>
      </c>
      <c r="C2149" s="20">
        <v>93</v>
      </c>
      <c r="D2149" s="20">
        <v>54</v>
      </c>
      <c r="E2149" s="20">
        <v>98</v>
      </c>
      <c r="F2149" s="20" t="s">
        <v>19178</v>
      </c>
      <c r="G2149" s="24"/>
      <c r="H2149" s="24"/>
      <c r="I2149" s="24" t="str">
        <f ca="1">IFERROR(__xludf.DUMMYFUNCTION("GOOGLETRANSLATE(F2149,""en"",""pt"")"),"unidades de nivelamento de zinco")</f>
        <v>unidades de nivelamento de zinco</v>
      </c>
      <c r="J2149">
        <f>VLOOKUP(A2149,Pr_Base_LNEC!$A$4:$J$6971,6,FALSE)</f>
        <v>0</v>
      </c>
      <c r="K2149">
        <f>VLOOKUP(A2149,Pr_Base_LNEC!$A$4:$J$6971,7,FALSE)</f>
        <v>0</v>
      </c>
    </row>
    <row r="2150" spans="1:11" ht="14.5">
      <c r="A2150" s="20" t="s">
        <v>19179</v>
      </c>
      <c r="B2150" s="20">
        <v>25</v>
      </c>
      <c r="C2150" s="20">
        <v>93</v>
      </c>
      <c r="D2150" s="20">
        <v>54</v>
      </c>
      <c r="E2150" s="20">
        <v>99</v>
      </c>
      <c r="F2150" s="20" t="s">
        <v>19180</v>
      </c>
      <c r="G2150" s="24"/>
      <c r="H2150" s="24"/>
      <c r="I2150" s="24" t="str">
        <f ca="1">IFERROR(__xludf.DUMMYFUNCTION("GOOGLETRANSLATE(F2150,""en"",""pt"")"),"unidades de enfrentamento de zinco")</f>
        <v>unidades de enfrentamento de zinco</v>
      </c>
      <c r="J2150">
        <f>VLOOKUP(A2150,Pr_Base_LNEC!$A$4:$J$6971,6,FALSE)</f>
        <v>0</v>
      </c>
      <c r="K2150">
        <f>VLOOKUP(A2150,Pr_Base_LNEC!$A$4:$J$6971,7,FALSE)</f>
        <v>0</v>
      </c>
    </row>
    <row r="2151" spans="1:11" ht="14.5">
      <c r="A2151" s="20" t="s">
        <v>19181</v>
      </c>
      <c r="B2151" s="20">
        <v>25</v>
      </c>
      <c r="C2151" s="20">
        <v>93</v>
      </c>
      <c r="D2151" s="20">
        <v>55</v>
      </c>
      <c r="E2151" s="24"/>
      <c r="F2151" s="20" t="s">
        <v>19182</v>
      </c>
      <c r="G2151" s="24"/>
      <c r="H2151" s="24"/>
      <c r="I2151" s="24" t="str">
        <f ca="1">IFERROR(__xludf.DUMMYFUNCTION("GOOGLETRANSLATE(F2151,""en"",""pt"")"),"soleiras de metal")</f>
        <v>soleiras de metal</v>
      </c>
      <c r="J2151" t="str">
        <f>VLOOKUP(A2151,Pr_Base_LNEC!$A$4:$J$6971,6,FALSE)</f>
        <v>-</v>
      </c>
      <c r="K2151">
        <f>VLOOKUP(A2151,Pr_Base_LNEC!$A$4:$J$6971,7,FALSE)</f>
        <v>0</v>
      </c>
    </row>
    <row r="2152" spans="1:11" ht="14.5">
      <c r="A2152" s="20" t="s">
        <v>19183</v>
      </c>
      <c r="B2152" s="20">
        <v>25</v>
      </c>
      <c r="C2152" s="20">
        <v>93</v>
      </c>
      <c r="D2152" s="20">
        <v>55</v>
      </c>
      <c r="E2152" s="20">
        <v>84</v>
      </c>
      <c r="F2152" s="20" t="s">
        <v>19184</v>
      </c>
      <c r="G2152" s="20" t="s">
        <v>19185</v>
      </c>
      <c r="H2152" s="24"/>
      <c r="I2152" s="24" t="str">
        <f ca="1">IFERROR(__xludf.DUMMYFUNCTION("GOOGLETRANSLATE(F2152,""en"",""pt"")"),"soleiras de aço")</f>
        <v>soleiras de aço</v>
      </c>
      <c r="J2152">
        <f>VLOOKUP(A2152,Pr_Base_LNEC!$A$4:$J$6971,6,FALSE)</f>
        <v>0</v>
      </c>
      <c r="K2152">
        <f>VLOOKUP(A2152,Pr_Base_LNEC!$A$4:$J$6971,7,FALSE)</f>
        <v>0</v>
      </c>
    </row>
    <row r="2153" spans="1:11" ht="14.5">
      <c r="A2153" s="20" t="s">
        <v>19186</v>
      </c>
      <c r="B2153" s="20">
        <v>25</v>
      </c>
      <c r="C2153" s="20">
        <v>93</v>
      </c>
      <c r="D2153" s="20">
        <v>60</v>
      </c>
      <c r="E2153" s="24"/>
      <c r="F2153" s="20" t="s">
        <v>19187</v>
      </c>
      <c r="G2153" s="24"/>
      <c r="H2153" s="24"/>
      <c r="I2153" s="24" t="str">
        <f ca="1">IFERROR(__xludf.DUMMYFUNCTION("GOOGLETRANSLATE(F2153,""en"",""pt"")"),"unidades de pavimentação")</f>
        <v>unidades de pavimentação</v>
      </c>
      <c r="J2153">
        <f>VLOOKUP(A2153,Pr_Base_LNEC!$A$4:$J$6971,6,FALSE)</f>
        <v>0</v>
      </c>
      <c r="K2153">
        <f>VLOOKUP(A2153,Pr_Base_LNEC!$A$4:$J$6971,7,FALSE)</f>
        <v>0</v>
      </c>
    </row>
    <row r="2154" spans="1:11" ht="14.5">
      <c r="A2154" s="20" t="s">
        <v>19188</v>
      </c>
      <c r="B2154" s="20">
        <v>25</v>
      </c>
      <c r="C2154" s="20">
        <v>93</v>
      </c>
      <c r="D2154" s="20">
        <v>60</v>
      </c>
      <c r="E2154" s="20">
        <v>2</v>
      </c>
      <c r="F2154" s="20" t="s">
        <v>19189</v>
      </c>
      <c r="G2154" s="24"/>
      <c r="H2154" s="24"/>
      <c r="I2154" s="24" t="str">
        <f ca="1">IFERROR(__xludf.DUMMYFUNCTION("GOOGLETRANSLATE(F2154,""en"",""pt"")"),"bordas de alumínio")</f>
        <v>bordas de alumínio</v>
      </c>
      <c r="J2154">
        <f>VLOOKUP(A2154,Pr_Base_LNEC!$A$4:$J$6971,6,FALSE)</f>
        <v>0</v>
      </c>
      <c r="K2154">
        <f>VLOOKUP(A2154,Pr_Base_LNEC!$A$4:$J$6971,7,FALSE)</f>
        <v>0</v>
      </c>
    </row>
    <row r="2155" spans="1:11" ht="14.5">
      <c r="A2155" s="20" t="s">
        <v>19190</v>
      </c>
      <c r="B2155" s="20">
        <v>25</v>
      </c>
      <c r="C2155" s="20">
        <v>93</v>
      </c>
      <c r="D2155" s="20">
        <v>60</v>
      </c>
      <c r="E2155" s="20">
        <v>8</v>
      </c>
      <c r="F2155" s="20" t="s">
        <v>19191</v>
      </c>
      <c r="G2155" s="24"/>
      <c r="H2155" s="24"/>
      <c r="I2155" s="24" t="str">
        <f ca="1">IFERROR(__xludf.DUMMYFUNCTION("GOOGLETRANSLATE(F2155,""en"",""pt"")"),"pavers blister táteis")</f>
        <v>pavers blister táteis</v>
      </c>
      <c r="J2155" t="e">
        <f>VLOOKUP(A2155,Pr_Base_LNEC!$A$4:$J$6971,6,FALSE)</f>
        <v>#N/A</v>
      </c>
      <c r="K2155" t="e">
        <f>VLOOKUP(A2155,Pr_Base_LNEC!$A$4:$J$6971,7,FALSE)</f>
        <v>#N/A</v>
      </c>
    </row>
    <row r="2156" spans="1:11" ht="14.5">
      <c r="A2156" s="20" t="s">
        <v>19192</v>
      </c>
      <c r="B2156" s="20">
        <v>25</v>
      </c>
      <c r="C2156" s="20">
        <v>93</v>
      </c>
      <c r="D2156" s="20">
        <v>60</v>
      </c>
      <c r="E2156" s="20">
        <v>9</v>
      </c>
      <c r="F2156" s="20" t="s">
        <v>19193</v>
      </c>
      <c r="G2156" s="20" t="s">
        <v>19194</v>
      </c>
      <c r="H2156" s="24"/>
      <c r="I2156" s="24" t="str">
        <f ca="1">IFERROR(__xludf.DUMMYFUNCTION("GOOGLETRANSLATE(F2156,""en"",""pt"")"),"pavers da argila")</f>
        <v>pavers da argila</v>
      </c>
      <c r="J2156">
        <f>VLOOKUP(A2156,Pr_Base_LNEC!$A$4:$J$6971,6,FALSE)</f>
        <v>0</v>
      </c>
      <c r="K2156">
        <f>VLOOKUP(A2156,Pr_Base_LNEC!$A$4:$J$6971,7,FALSE)</f>
        <v>0</v>
      </c>
    </row>
    <row r="2157" spans="1:11" ht="14.5">
      <c r="A2157" s="20" t="s">
        <v>19195</v>
      </c>
      <c r="B2157" s="20">
        <v>25</v>
      </c>
      <c r="C2157" s="20">
        <v>93</v>
      </c>
      <c r="D2157" s="20">
        <v>60</v>
      </c>
      <c r="E2157" s="20">
        <v>10</v>
      </c>
      <c r="F2157" s="20" t="s">
        <v>19196</v>
      </c>
      <c r="G2157" s="20" t="s">
        <v>19197</v>
      </c>
      <c r="H2157" s="24"/>
      <c r="I2157" s="24" t="str">
        <f ca="1">IFERROR(__xludf.DUMMYFUNCTION("GOOGLETRANSLATE(F2157,""en"",""pt"")"),"telhas de pavimentação argila")</f>
        <v>telhas de pavimentação argila</v>
      </c>
      <c r="J2157">
        <f>VLOOKUP(A2157,Pr_Base_LNEC!$A$4:$J$6971,6,FALSE)</f>
        <v>0</v>
      </c>
      <c r="K2157">
        <f>VLOOKUP(A2157,Pr_Base_LNEC!$A$4:$J$6971,7,FALSE)</f>
        <v>0</v>
      </c>
    </row>
    <row r="2158" spans="1:11" ht="14.5">
      <c r="A2158" s="20" t="s">
        <v>19198</v>
      </c>
      <c r="B2158" s="20">
        <v>25</v>
      </c>
      <c r="C2158" s="20">
        <v>93</v>
      </c>
      <c r="D2158" s="20">
        <v>60</v>
      </c>
      <c r="E2158" s="20">
        <v>11</v>
      </c>
      <c r="F2158" s="20" t="s">
        <v>19199</v>
      </c>
      <c r="G2158" s="20" t="s">
        <v>19200</v>
      </c>
      <c r="H2158" s="24"/>
      <c r="I2158" s="24" t="str">
        <f ca="1">IFERROR(__xludf.DUMMYFUNCTION("GOOGLETRANSLATE(F2158,""en"",""pt"")"),"canais de superfície da argila")</f>
        <v>canais de superfície da argila</v>
      </c>
      <c r="J2158">
        <f>VLOOKUP(A2158,Pr_Base_LNEC!$A$4:$J$6971,6,FALSE)</f>
        <v>0</v>
      </c>
      <c r="K2158">
        <f>VLOOKUP(A2158,Pr_Base_LNEC!$A$4:$J$6971,7,FALSE)</f>
        <v>0</v>
      </c>
    </row>
    <row r="2159" spans="1:11" ht="14.5">
      <c r="A2159" s="20" t="s">
        <v>19201</v>
      </c>
      <c r="B2159" s="20">
        <v>25</v>
      </c>
      <c r="C2159" s="20">
        <v>93</v>
      </c>
      <c r="D2159" s="20">
        <v>60</v>
      </c>
      <c r="E2159" s="20">
        <v>12</v>
      </c>
      <c r="F2159" s="20" t="s">
        <v>19202</v>
      </c>
      <c r="G2159" s="20" t="s">
        <v>19203</v>
      </c>
      <c r="H2159" s="24"/>
      <c r="I2159" s="24" t="str">
        <f ca="1">IFERROR(__xludf.DUMMYFUNCTION("GOOGLETRANSLATE(F2159,""en"",""pt"")"),"unidades de drenagem e meio-fio combinados")</f>
        <v>unidades de drenagem e meio-fio combinados</v>
      </c>
      <c r="J2159">
        <f>VLOOKUP(A2159,Pr_Base_LNEC!$A$4:$J$6971,6,FALSE)</f>
        <v>0</v>
      </c>
      <c r="K2159">
        <f>VLOOKUP(A2159,Pr_Base_LNEC!$A$4:$J$6971,7,FALSE)</f>
        <v>0</v>
      </c>
    </row>
    <row r="2160" spans="1:11" ht="14.5">
      <c r="A2160" s="20" t="s">
        <v>19204</v>
      </c>
      <c r="B2160" s="20">
        <v>25</v>
      </c>
      <c r="C2160" s="20">
        <v>93</v>
      </c>
      <c r="D2160" s="20">
        <v>60</v>
      </c>
      <c r="E2160" s="20">
        <v>13</v>
      </c>
      <c r="F2160" s="20" t="s">
        <v>19205</v>
      </c>
      <c r="G2160" s="20" t="s">
        <v>19206</v>
      </c>
      <c r="H2160" s="24"/>
      <c r="I2160" s="24" t="str">
        <f ca="1">IFERROR(__xludf.DUMMYFUNCTION("GOOGLETRANSLATE(F2160,""en"",""pt"")"),"Betão pavimentadoras celulares")</f>
        <v>Betão pavimentadoras celulares</v>
      </c>
      <c r="J2160">
        <f>VLOOKUP(A2160,Pr_Base_LNEC!$A$4:$J$6971,6,FALSE)</f>
        <v>0</v>
      </c>
      <c r="K2160">
        <f>VLOOKUP(A2160,Pr_Base_LNEC!$A$4:$J$6971,7,FALSE)</f>
        <v>0</v>
      </c>
    </row>
    <row r="2161" spans="1:11" ht="14.5">
      <c r="A2161" s="20" t="s">
        <v>19207</v>
      </c>
      <c r="B2161" s="20">
        <v>25</v>
      </c>
      <c r="C2161" s="20">
        <v>93</v>
      </c>
      <c r="D2161" s="20">
        <v>60</v>
      </c>
      <c r="E2161" s="20">
        <v>14</v>
      </c>
      <c r="F2161" s="20" t="s">
        <v>19208</v>
      </c>
      <c r="G2161" s="20" t="s">
        <v>19209</v>
      </c>
      <c r="H2161" s="24"/>
      <c r="I2161" s="24" t="str">
        <f ca="1">IFERROR(__xludf.DUMMYFUNCTION("GOOGLETRANSLATE(F2161,""en"",""pt"")"),"canais de superfície de betão")</f>
        <v>canais de superfície de betão</v>
      </c>
      <c r="J2161">
        <f>VLOOKUP(A2161,Pr_Base_LNEC!$A$4:$J$6971,6,FALSE)</f>
        <v>0</v>
      </c>
      <c r="K2161">
        <f>VLOOKUP(A2161,Pr_Base_LNEC!$A$4:$J$6971,7,FALSE)</f>
        <v>0</v>
      </c>
    </row>
    <row r="2162" spans="1:11" ht="14.5">
      <c r="A2162" s="20" t="s">
        <v>19210</v>
      </c>
      <c r="B2162" s="20">
        <v>25</v>
      </c>
      <c r="C2162" s="20">
        <v>93</v>
      </c>
      <c r="D2162" s="20">
        <v>60</v>
      </c>
      <c r="E2162" s="20">
        <v>15</v>
      </c>
      <c r="F2162" s="20" t="s">
        <v>19211</v>
      </c>
      <c r="G2162" s="20" t="s">
        <v>19212</v>
      </c>
      <c r="H2162" s="24"/>
      <c r="I2162" s="24" t="str">
        <f ca="1">IFERROR(__xludf.DUMMYFUNCTION("GOOGLETRANSLATE(F2162,""en"",""pt"")"),"unidades de bordas de concreto")</f>
        <v>unidades de bordas de concreto</v>
      </c>
      <c r="J2162">
        <f>VLOOKUP(A2162,Pr_Base_LNEC!$A$4:$J$6971,6,FALSE)</f>
        <v>0</v>
      </c>
      <c r="K2162">
        <f>VLOOKUP(A2162,Pr_Base_LNEC!$A$4:$J$6971,7,FALSE)</f>
        <v>0</v>
      </c>
    </row>
    <row r="2163" spans="1:11" ht="14.5">
      <c r="A2163" s="20" t="s">
        <v>19213</v>
      </c>
      <c r="B2163" s="20">
        <v>25</v>
      </c>
      <c r="C2163" s="20">
        <v>93</v>
      </c>
      <c r="D2163" s="20">
        <v>60</v>
      </c>
      <c r="E2163" s="20">
        <v>16</v>
      </c>
      <c r="F2163" s="20" t="s">
        <v>19214</v>
      </c>
      <c r="G2163" s="20" t="s">
        <v>19215</v>
      </c>
      <c r="H2163" s="24"/>
      <c r="I2163" s="24" t="str">
        <f ca="1">IFERROR(__xludf.DUMMYFUNCTION("GOOGLETRANSLATE(F2163,""en"",""pt"")"),"bandeiras concretas")</f>
        <v>bandeiras concretas</v>
      </c>
      <c r="J2163">
        <f>VLOOKUP(A2163,Pr_Base_LNEC!$A$4:$J$6971,6,FALSE)</f>
        <v>0</v>
      </c>
      <c r="K2163">
        <f>VLOOKUP(A2163,Pr_Base_LNEC!$A$4:$J$6971,7,FALSE)</f>
        <v>0</v>
      </c>
    </row>
    <row r="2164" spans="1:11" ht="14.5">
      <c r="A2164" s="20" t="s">
        <v>19216</v>
      </c>
      <c r="B2164" s="20">
        <v>25</v>
      </c>
      <c r="C2164" s="20">
        <v>93</v>
      </c>
      <c r="D2164" s="20">
        <v>60</v>
      </c>
      <c r="E2164" s="20">
        <v>17</v>
      </c>
      <c r="F2164" s="20" t="s">
        <v>19217</v>
      </c>
      <c r="G2164" s="20" t="s">
        <v>19218</v>
      </c>
      <c r="H2164" s="24"/>
      <c r="I2164" s="24" t="str">
        <f ca="1">IFERROR(__xludf.DUMMYFUNCTION("GOOGLETRANSLATE(F2164,""en"",""pt"")"),"blocos de pavimentação de concreto")</f>
        <v>blocos de pavimentação de concreto</v>
      </c>
      <c r="J2164">
        <f>VLOOKUP(A2164,Pr_Base_LNEC!$A$4:$J$6971,6,FALSE)</f>
        <v>0</v>
      </c>
      <c r="K2164">
        <f>VLOOKUP(A2164,Pr_Base_LNEC!$A$4:$J$6971,7,FALSE)</f>
        <v>0</v>
      </c>
    </row>
    <row r="2165" spans="1:11" ht="14.5">
      <c r="A2165" s="20" t="s">
        <v>19219</v>
      </c>
      <c r="B2165" s="20">
        <v>25</v>
      </c>
      <c r="C2165" s="20">
        <v>93</v>
      </c>
      <c r="D2165" s="20">
        <v>60</v>
      </c>
      <c r="E2165" s="20">
        <v>19</v>
      </c>
      <c r="F2165" s="20" t="s">
        <v>19220</v>
      </c>
      <c r="G2165" s="20" t="s">
        <v>19218</v>
      </c>
      <c r="H2165" s="24"/>
      <c r="I2165" s="24" t="str">
        <f ca="1">IFERROR(__xludf.DUMMYFUNCTION("GOOGLETRANSLATE(F2165,""en"",""pt"")"),"pavers de concreto")</f>
        <v>pavers de concreto</v>
      </c>
      <c r="J2165">
        <f>VLOOKUP(A2165,Pr_Base_LNEC!$A$4:$J$6971,6,FALSE)</f>
        <v>0</v>
      </c>
      <c r="K2165">
        <f>VLOOKUP(A2165,Pr_Base_LNEC!$A$4:$J$6971,7,FALSE)</f>
        <v>0</v>
      </c>
    </row>
    <row r="2166" spans="1:11" ht="14.5">
      <c r="A2166" s="20" t="s">
        <v>19221</v>
      </c>
      <c r="B2166" s="20">
        <v>25</v>
      </c>
      <c r="C2166" s="20">
        <v>93</v>
      </c>
      <c r="D2166" s="20">
        <v>60</v>
      </c>
      <c r="E2166" s="20">
        <v>20</v>
      </c>
      <c r="F2166" s="20" t="s">
        <v>19222</v>
      </c>
      <c r="G2166" s="20" t="s">
        <v>19223</v>
      </c>
      <c r="H2166" s="24"/>
      <c r="I2166" s="24" t="str">
        <f ca="1">IFERROR(__xludf.DUMMYFUNCTION("GOOGLETRANSLATE(F2166,""en"",""pt"")"),"Concretas quadrante e ângulo freios")</f>
        <v>Concretas quadrante e ângulo freios</v>
      </c>
      <c r="J2166">
        <f>VLOOKUP(A2166,Pr_Base_LNEC!$A$4:$J$6971,6,FALSE)</f>
        <v>0</v>
      </c>
      <c r="K2166">
        <f>VLOOKUP(A2166,Pr_Base_LNEC!$A$4:$J$6971,7,FALSE)</f>
        <v>0</v>
      </c>
    </row>
    <row r="2167" spans="1:11" ht="14.5">
      <c r="A2167" s="20" t="s">
        <v>19224</v>
      </c>
      <c r="B2167" s="20">
        <v>25</v>
      </c>
      <c r="C2167" s="20">
        <v>93</v>
      </c>
      <c r="D2167" s="20">
        <v>60</v>
      </c>
      <c r="E2167" s="20">
        <v>22</v>
      </c>
      <c r="F2167" s="20" t="s">
        <v>19225</v>
      </c>
      <c r="G2167" s="20" t="s">
        <v>19226</v>
      </c>
      <c r="H2167" s="24"/>
      <c r="I2167" s="24" t="str">
        <f ca="1">IFERROR(__xludf.DUMMYFUNCTION("GOOGLETRANSLATE(F2167,""en"",""pt"")"),"setts concretas")</f>
        <v>setts concretas</v>
      </c>
      <c r="J2167">
        <f>VLOOKUP(A2167,Pr_Base_LNEC!$A$4:$J$6971,6,FALSE)</f>
        <v>0</v>
      </c>
      <c r="K2167">
        <f>VLOOKUP(A2167,Pr_Base_LNEC!$A$4:$J$6971,7,FALSE)</f>
        <v>0</v>
      </c>
    </row>
    <row r="2168" spans="1:11" ht="14.5">
      <c r="A2168" s="20" t="s">
        <v>19227</v>
      </c>
      <c r="B2168" s="20">
        <v>25</v>
      </c>
      <c r="C2168" s="20">
        <v>93</v>
      </c>
      <c r="D2168" s="20">
        <v>60</v>
      </c>
      <c r="E2168" s="20">
        <v>23</v>
      </c>
      <c r="F2168" s="20" t="s">
        <v>19228</v>
      </c>
      <c r="G2168" s="20" t="s">
        <v>19229</v>
      </c>
      <c r="H2168" s="24"/>
      <c r="I2168" s="24" t="str">
        <f ca="1">IFERROR(__xludf.DUMMYFUNCTION("GOOGLETRANSLATE(F2168,""en"",""pt"")"),"bandeiras táteis concretas")</f>
        <v>bandeiras táteis concretas</v>
      </c>
      <c r="J2168">
        <f>VLOOKUP(A2168,Pr_Base_LNEC!$A$4:$J$6971,6,FALSE)</f>
        <v>0</v>
      </c>
      <c r="K2168">
        <f>VLOOKUP(A2168,Pr_Base_LNEC!$A$4:$J$6971,7,FALSE)</f>
        <v>0</v>
      </c>
    </row>
    <row r="2169" spans="1:11" ht="14.5">
      <c r="A2169" s="20" t="s">
        <v>19230</v>
      </c>
      <c r="B2169" s="20">
        <v>25</v>
      </c>
      <c r="C2169" s="20">
        <v>93</v>
      </c>
      <c r="D2169" s="20">
        <v>60</v>
      </c>
      <c r="E2169" s="20">
        <v>26</v>
      </c>
      <c r="F2169" s="20" t="s">
        <v>19231</v>
      </c>
      <c r="G2169" s="24"/>
      <c r="H2169" s="24"/>
      <c r="I2169" s="24" t="str">
        <f ca="1">IFERROR(__xludf.DUMMYFUNCTION("GOOGLETRANSLATE(F2169,""en"",""pt"")"),"pavers táteis Corduroy")</f>
        <v>pavers táteis Corduroy</v>
      </c>
      <c r="J2169" t="e">
        <f>VLOOKUP(A2169,Pr_Base_LNEC!$A$4:$J$6971,6,FALSE)</f>
        <v>#N/A</v>
      </c>
      <c r="K2169" t="e">
        <f>VLOOKUP(A2169,Pr_Base_LNEC!$A$4:$J$6971,7,FALSE)</f>
        <v>#N/A</v>
      </c>
    </row>
    <row r="2170" spans="1:11" ht="14.5">
      <c r="A2170" s="20" t="s">
        <v>19232</v>
      </c>
      <c r="B2170" s="20">
        <v>25</v>
      </c>
      <c r="C2170" s="20">
        <v>93</v>
      </c>
      <c r="D2170" s="20">
        <v>60</v>
      </c>
      <c r="E2170" s="20">
        <v>33</v>
      </c>
      <c r="F2170" s="20" t="s">
        <v>19233</v>
      </c>
      <c r="G2170" s="24"/>
      <c r="H2170" s="24"/>
      <c r="I2170" s="24" t="str">
        <f ca="1">IFERROR(__xludf.DUMMYFUNCTION("GOOGLETRANSLATE(F2170,""en"",""pt"")"),"Glass-betão armado (GRC) azulejos de pavimentação")</f>
        <v>Glass-betão armado (GRC) azulejos de pavimentação</v>
      </c>
      <c r="J2170">
        <f>VLOOKUP(A2170,Pr_Base_LNEC!$A$4:$J$6971,6,FALSE)</f>
        <v>0</v>
      </c>
      <c r="K2170">
        <f>VLOOKUP(A2170,Pr_Base_LNEC!$A$4:$J$6971,7,FALSE)</f>
        <v>0</v>
      </c>
    </row>
    <row r="2171" spans="1:11" ht="14.5">
      <c r="A2171" s="20" t="s">
        <v>19234</v>
      </c>
      <c r="B2171" s="20">
        <v>25</v>
      </c>
      <c r="C2171" s="20">
        <v>93</v>
      </c>
      <c r="D2171" s="20">
        <v>60</v>
      </c>
      <c r="E2171" s="20">
        <v>52</v>
      </c>
      <c r="F2171" s="20" t="s">
        <v>19235</v>
      </c>
      <c r="G2171" s="24"/>
      <c r="H2171" s="24"/>
      <c r="I2171" s="24" t="str">
        <f ca="1">IFERROR(__xludf.DUMMYFUNCTION("GOOGLETRANSLATE(F2171,""en"",""pt"")"),"Blocos de pedra natural")</f>
        <v>Blocos de pedra natural</v>
      </c>
      <c r="J2171" t="e">
        <f>VLOOKUP(A2171,Pr_Base_LNEC!$A$4:$J$6971,6,FALSE)</f>
        <v>#N/A</v>
      </c>
      <c r="K2171" t="e">
        <f>VLOOKUP(A2171,Pr_Base_LNEC!$A$4:$J$6971,7,FALSE)</f>
        <v>#N/A</v>
      </c>
    </row>
    <row r="2172" spans="1:11" ht="14.5">
      <c r="A2172" s="20" t="s">
        <v>19236</v>
      </c>
      <c r="B2172" s="20">
        <v>25</v>
      </c>
      <c r="C2172" s="20">
        <v>93</v>
      </c>
      <c r="D2172" s="20">
        <v>60</v>
      </c>
      <c r="E2172" s="20">
        <v>53</v>
      </c>
      <c r="F2172" s="20" t="s">
        <v>19237</v>
      </c>
      <c r="G2172" s="24"/>
      <c r="H2172" s="24"/>
      <c r="I2172" s="24" t="str">
        <f ca="1">IFERROR(__xludf.DUMMYFUNCTION("GOOGLETRANSLATE(F2172,""en"",""pt"")"),"bandeiras de pedra natural")</f>
        <v>bandeiras de pedra natural</v>
      </c>
      <c r="J2172" t="e">
        <f>VLOOKUP(A2172,Pr_Base_LNEC!$A$4:$J$6971,6,FALSE)</f>
        <v>#N/A</v>
      </c>
      <c r="K2172" t="e">
        <f>VLOOKUP(A2172,Pr_Base_LNEC!$A$4:$J$6971,7,FALSE)</f>
        <v>#N/A</v>
      </c>
    </row>
    <row r="2173" spans="1:11" ht="14.5">
      <c r="A2173" s="20" t="s">
        <v>19238</v>
      </c>
      <c r="B2173" s="20">
        <v>25</v>
      </c>
      <c r="C2173" s="20">
        <v>93</v>
      </c>
      <c r="D2173" s="20">
        <v>60</v>
      </c>
      <c r="E2173" s="20">
        <v>54</v>
      </c>
      <c r="F2173" s="20" t="s">
        <v>19239</v>
      </c>
      <c r="G2173" s="20" t="s">
        <v>19240</v>
      </c>
      <c r="H2173" s="24"/>
      <c r="I2173" s="24" t="str">
        <f ca="1">IFERROR(__xludf.DUMMYFUNCTION("GOOGLETRANSLATE(F2173,""en"",""pt"")"),"calçamento de pedra natural")</f>
        <v>calçamento de pedra natural</v>
      </c>
      <c r="J2173">
        <f>VLOOKUP(A2173,Pr_Base_LNEC!$A$4:$J$6971,6,FALSE)</f>
        <v>0</v>
      </c>
      <c r="K2173">
        <f>VLOOKUP(A2173,Pr_Base_LNEC!$A$4:$J$6971,7,FALSE)</f>
        <v>0</v>
      </c>
    </row>
    <row r="2174" spans="1:11" ht="14.5">
      <c r="A2174" s="20" t="s">
        <v>19241</v>
      </c>
      <c r="B2174" s="20">
        <v>25</v>
      </c>
      <c r="C2174" s="20">
        <v>93</v>
      </c>
      <c r="D2174" s="20">
        <v>60</v>
      </c>
      <c r="E2174" s="20">
        <v>55</v>
      </c>
      <c r="F2174" s="20" t="s">
        <v>19242</v>
      </c>
      <c r="G2174" s="20" t="s">
        <v>19243</v>
      </c>
      <c r="H2174" s="24"/>
      <c r="I2174" s="24" t="str">
        <f ca="1">IFERROR(__xludf.DUMMYFUNCTION("GOOGLETRANSLATE(F2174,""en"",""pt"")"),"canais de superfície de pedra natural")</f>
        <v>canais de superfície de pedra natural</v>
      </c>
      <c r="J2174">
        <f>VLOOKUP(A2174,Pr_Base_LNEC!$A$4:$J$6971,6,FALSE)</f>
        <v>0</v>
      </c>
      <c r="K2174">
        <f>VLOOKUP(A2174,Pr_Base_LNEC!$A$4:$J$6971,7,FALSE)</f>
        <v>0</v>
      </c>
    </row>
    <row r="2175" spans="1:11" ht="14.5">
      <c r="A2175" s="20" t="s">
        <v>19244</v>
      </c>
      <c r="B2175" s="20">
        <v>25</v>
      </c>
      <c r="C2175" s="20">
        <v>93</v>
      </c>
      <c r="D2175" s="20">
        <v>60</v>
      </c>
      <c r="E2175" s="20">
        <v>57</v>
      </c>
      <c r="F2175" s="20" t="s">
        <v>19245</v>
      </c>
      <c r="G2175" s="20" t="s">
        <v>19246</v>
      </c>
      <c r="H2175" s="24"/>
      <c r="I2175" s="24" t="str">
        <f ca="1">IFERROR(__xludf.DUMMYFUNCTION("GOOGLETRANSLATE(F2175,""en"",""pt"")"),"setts pedra natural")</f>
        <v>setts pedra natural</v>
      </c>
      <c r="J2175">
        <f>VLOOKUP(A2175,Pr_Base_LNEC!$A$4:$J$6971,6,FALSE)</f>
        <v>0</v>
      </c>
      <c r="K2175">
        <f>VLOOKUP(A2175,Pr_Base_LNEC!$A$4:$J$6971,7,FALSE)</f>
        <v>0</v>
      </c>
    </row>
    <row r="2176" spans="1:11" ht="14.5">
      <c r="A2176" s="20" t="s">
        <v>19247</v>
      </c>
      <c r="B2176" s="20">
        <v>25</v>
      </c>
      <c r="C2176" s="20">
        <v>93</v>
      </c>
      <c r="D2176" s="20">
        <v>60</v>
      </c>
      <c r="E2176" s="20">
        <v>58</v>
      </c>
      <c r="F2176" s="20" t="s">
        <v>19248</v>
      </c>
      <c r="G2176" s="20" t="s">
        <v>19249</v>
      </c>
      <c r="H2176" s="24"/>
      <c r="I2176" s="24" t="str">
        <f ca="1">IFERROR(__xludf.DUMMYFUNCTION("GOOGLETRANSLATE(F2176,""en"",""pt"")"),"lajes de pedra natural pavimentação")</f>
        <v>lajes de pedra natural pavimentação</v>
      </c>
      <c r="J2176">
        <f>VLOOKUP(A2176,Pr_Base_LNEC!$A$4:$J$6971,6,FALSE)</f>
        <v>0</v>
      </c>
      <c r="K2176">
        <f>VLOOKUP(A2176,Pr_Base_LNEC!$A$4:$J$6971,7,FALSE)</f>
        <v>0</v>
      </c>
    </row>
    <row r="2177" spans="1:11" ht="14.5">
      <c r="A2177" s="20" t="s">
        <v>19250</v>
      </c>
      <c r="B2177" s="20">
        <v>25</v>
      </c>
      <c r="C2177" s="20">
        <v>93</v>
      </c>
      <c r="D2177" s="20">
        <v>60</v>
      </c>
      <c r="E2177" s="20">
        <v>59</v>
      </c>
      <c r="F2177" s="20" t="s">
        <v>19251</v>
      </c>
      <c r="G2177" s="20" t="s">
        <v>19252</v>
      </c>
      <c r="H2177" s="24"/>
      <c r="I2177" s="24" t="str">
        <f ca="1">IFERROR(__xludf.DUMMYFUNCTION("GOOGLETRANSLATE(F2177,""en"",""pt"")"),"pavers táteis pedra natural")</f>
        <v>pavers táteis pedra natural</v>
      </c>
      <c r="J2177">
        <f>VLOOKUP(A2177,Pr_Base_LNEC!$A$4:$J$6971,6,FALSE)</f>
        <v>0</v>
      </c>
      <c r="K2177">
        <f>VLOOKUP(A2177,Pr_Base_LNEC!$A$4:$J$6971,7,FALSE)</f>
        <v>0</v>
      </c>
    </row>
    <row r="2178" spans="1:11" ht="14.5">
      <c r="A2178" s="20" t="s">
        <v>19253</v>
      </c>
      <c r="B2178" s="20">
        <v>25</v>
      </c>
      <c r="C2178" s="20">
        <v>93</v>
      </c>
      <c r="D2178" s="20">
        <v>60</v>
      </c>
      <c r="E2178" s="20">
        <v>61</v>
      </c>
      <c r="F2178" s="20" t="s">
        <v>19254</v>
      </c>
      <c r="G2178" s="20" t="s">
        <v>19255</v>
      </c>
      <c r="H2178" s="24"/>
      <c r="I2178" s="24" t="str">
        <f ca="1">IFERROR(__xludf.DUMMYFUNCTION("GOOGLETRANSLATE(F2178,""en"",""pt"")"),"Plásticos pavimentadoras celulares")</f>
        <v>Plásticos pavimentadoras celulares</v>
      </c>
      <c r="J2178">
        <f>VLOOKUP(A2178,Pr_Base_LNEC!$A$4:$J$6971,6,FALSE)</f>
        <v>0</v>
      </c>
      <c r="K2178">
        <f>VLOOKUP(A2178,Pr_Base_LNEC!$A$4:$J$6971,7,FALSE)</f>
        <v>0</v>
      </c>
    </row>
    <row r="2179" spans="1:11" ht="14.5">
      <c r="A2179" s="20" t="s">
        <v>19256</v>
      </c>
      <c r="B2179" s="20">
        <v>25</v>
      </c>
      <c r="C2179" s="20">
        <v>93</v>
      </c>
      <c r="D2179" s="20">
        <v>60</v>
      </c>
      <c r="E2179" s="20">
        <v>63</v>
      </c>
      <c r="F2179" s="20" t="s">
        <v>19257</v>
      </c>
      <c r="G2179" s="20" t="s">
        <v>19258</v>
      </c>
      <c r="H2179" s="24"/>
      <c r="I2179" s="24" t="str">
        <f ca="1">IFERROR(__xludf.DUMMYFUNCTION("GOOGLETRANSLATE(F2179,""en"",""pt"")"),"plásticos pavers")</f>
        <v>plásticos pavers</v>
      </c>
      <c r="J2179">
        <f>VLOOKUP(A2179,Pr_Base_LNEC!$A$4:$J$6971,6,FALSE)</f>
        <v>0</v>
      </c>
      <c r="K2179">
        <f>VLOOKUP(A2179,Pr_Base_LNEC!$A$4:$J$6971,7,FALSE)</f>
        <v>0</v>
      </c>
    </row>
    <row r="2180" spans="1:11" ht="14.5">
      <c r="A2180" s="20" t="s">
        <v>19259</v>
      </c>
      <c r="B2180" s="20">
        <v>25</v>
      </c>
      <c r="C2180" s="20">
        <v>93</v>
      </c>
      <c r="D2180" s="20">
        <v>60</v>
      </c>
      <c r="E2180" s="20">
        <v>65</v>
      </c>
      <c r="F2180" s="20" t="s">
        <v>19260</v>
      </c>
      <c r="G2180" s="24"/>
      <c r="H2180" s="24"/>
      <c r="I2180" s="24" t="str">
        <f ca="1">IFERROR(__xludf.DUMMYFUNCTION("GOOGLETRANSLATE(F2180,""en"",""pt"")"),"Plásticos superfície canais")</f>
        <v>Plásticos superfície canais</v>
      </c>
      <c r="J2180">
        <f>VLOOKUP(A2180,Pr_Base_LNEC!$A$4:$J$6971,6,FALSE)</f>
        <v>0</v>
      </c>
      <c r="K2180">
        <f>VLOOKUP(A2180,Pr_Base_LNEC!$A$4:$J$6971,7,FALSE)</f>
        <v>0</v>
      </c>
    </row>
    <row r="2181" spans="1:11" ht="14.5">
      <c r="A2181" s="20" t="s">
        <v>19261</v>
      </c>
      <c r="B2181" s="20">
        <v>25</v>
      </c>
      <c r="C2181" s="20">
        <v>93</v>
      </c>
      <c r="D2181" s="20">
        <v>60</v>
      </c>
      <c r="E2181" s="20">
        <v>78</v>
      </c>
      <c r="F2181" s="20" t="s">
        <v>19262</v>
      </c>
      <c r="G2181" s="20" t="s">
        <v>19263</v>
      </c>
      <c r="H2181" s="24"/>
      <c r="I2181" s="24" t="str">
        <f ca="1">IFERROR(__xludf.DUMMYFUNCTION("GOOGLETRANSLATE(F2181,""en"",""pt"")"),"As lajes de compostos especiais")</f>
        <v>As lajes de compostos especiais</v>
      </c>
      <c r="J2181">
        <f>VLOOKUP(A2181,Pr_Base_LNEC!$A$4:$J$6971,6,FALSE)</f>
        <v>0</v>
      </c>
      <c r="K2181">
        <f>VLOOKUP(A2181,Pr_Base_LNEC!$A$4:$J$6971,7,FALSE)</f>
        <v>0</v>
      </c>
    </row>
    <row r="2182" spans="1:11" ht="14.5">
      <c r="A2182" s="20" t="s">
        <v>19264</v>
      </c>
      <c r="B2182" s="20">
        <v>25</v>
      </c>
      <c r="C2182" s="20">
        <v>93</v>
      </c>
      <c r="D2182" s="20">
        <v>60</v>
      </c>
      <c r="E2182" s="20">
        <v>80</v>
      </c>
      <c r="F2182" s="20" t="s">
        <v>19265</v>
      </c>
      <c r="G2182" s="24"/>
      <c r="H2182" s="24"/>
      <c r="I2182" s="24" t="str">
        <f ca="1">IFERROR(__xludf.DUMMYFUNCTION("GOOGLETRANSLATE(F2182,""en"",""pt"")"),"bordas de aço inoxidável")</f>
        <v>bordas de aço inoxidável</v>
      </c>
      <c r="J2182">
        <f>VLOOKUP(A2182,Pr_Base_LNEC!$A$4:$J$6971,6,FALSE)</f>
        <v>0</v>
      </c>
      <c r="K2182">
        <f>VLOOKUP(A2182,Pr_Base_LNEC!$A$4:$J$6971,7,FALSE)</f>
        <v>0</v>
      </c>
    </row>
    <row r="2183" spans="1:11" ht="14.5">
      <c r="A2183" s="20" t="s">
        <v>19266</v>
      </c>
      <c r="B2183" s="20">
        <v>25</v>
      </c>
      <c r="C2183" s="20">
        <v>93</v>
      </c>
      <c r="D2183" s="20">
        <v>70</v>
      </c>
      <c r="E2183" s="24"/>
      <c r="F2183" s="20" t="s">
        <v>19267</v>
      </c>
      <c r="G2183" s="24"/>
      <c r="H2183" s="24"/>
      <c r="I2183" s="24" t="str">
        <f ca="1">IFERROR(__xludf.DUMMYFUNCTION("GOOGLETRANSLATE(F2183,""en"",""pt"")"),"Rail pavimentação pista")</f>
        <v>Rail pavimentação pista</v>
      </c>
      <c r="J2183" t="str">
        <f>VLOOKUP(A2183,Pr_Base_LNEC!$A$4:$J$6971,6,FALSE)</f>
        <v>-</v>
      </c>
      <c r="K2183">
        <f>VLOOKUP(A2183,Pr_Base_LNEC!$A$4:$J$6971,7,FALSE)</f>
        <v>0</v>
      </c>
    </row>
    <row r="2184" spans="1:11" ht="14.5">
      <c r="A2184" s="20" t="s">
        <v>19268</v>
      </c>
      <c r="B2184" s="20">
        <v>25</v>
      </c>
      <c r="C2184" s="20">
        <v>93</v>
      </c>
      <c r="D2184" s="20">
        <v>70</v>
      </c>
      <c r="E2184" s="20">
        <v>11</v>
      </c>
      <c r="F2184" s="20" t="s">
        <v>19269</v>
      </c>
      <c r="G2184" s="20" t="s">
        <v>19270</v>
      </c>
      <c r="H2184" s="24"/>
      <c r="I2184" s="24" t="str">
        <f ca="1">IFERROR(__xludf.DUMMYFUNCTION("GOOGLETRANSLATE(F2184,""en"",""pt"")"),"Gado-cum-transgressão guardas")</f>
        <v>Gado-cum-transgressão guardas</v>
      </c>
      <c r="J2184">
        <f>VLOOKUP(A2184,Pr_Base_LNEC!$A$4:$J$6971,6,FALSE)</f>
        <v>0</v>
      </c>
      <c r="K2184">
        <f>VLOOKUP(A2184,Pr_Base_LNEC!$A$4:$J$6971,7,FALSE)</f>
        <v>0</v>
      </c>
    </row>
    <row r="2185" spans="1:11" ht="14.5">
      <c r="A2185" s="20" t="s">
        <v>19271</v>
      </c>
      <c r="B2185" s="20">
        <v>25</v>
      </c>
      <c r="C2185" s="20">
        <v>93</v>
      </c>
      <c r="D2185" s="20">
        <v>70</v>
      </c>
      <c r="E2185" s="20">
        <v>70</v>
      </c>
      <c r="F2185" s="20" t="s">
        <v>19272</v>
      </c>
      <c r="G2185" s="20" t="s">
        <v>19273</v>
      </c>
      <c r="H2185" s="24"/>
      <c r="I2185" s="24" t="str">
        <f ca="1">IFERROR(__xludf.DUMMYFUNCTION("GOOGLETRANSLATE(F2185,""en"",""pt"")"),"painéis de enchimento ferroviárias")</f>
        <v>painéis de enchimento ferroviárias</v>
      </c>
      <c r="J2185">
        <f>VLOOKUP(A2185,Pr_Base_LNEC!$A$4:$J$6971,6,FALSE)</f>
        <v>0</v>
      </c>
      <c r="K2185">
        <f>VLOOKUP(A2185,Pr_Base_LNEC!$A$4:$J$6971,7,FALSE)</f>
        <v>0</v>
      </c>
    </row>
    <row r="2186" spans="1:11" ht="14.5">
      <c r="A2186" s="20" t="s">
        <v>19274</v>
      </c>
      <c r="B2186" s="20">
        <v>25</v>
      </c>
      <c r="C2186" s="20">
        <v>93</v>
      </c>
      <c r="D2186" s="20">
        <v>72</v>
      </c>
      <c r="E2186" s="24"/>
      <c r="F2186" s="20" t="s">
        <v>19275</v>
      </c>
      <c r="G2186" s="24"/>
      <c r="H2186" s="24"/>
      <c r="I2186" s="24" t="str">
        <f ca="1">IFERROR(__xludf.DUMMYFUNCTION("GOOGLETRANSLATE(F2186,""en"",""pt"")"),"unidades de telhado e revestimento")</f>
        <v>unidades de telhado e revestimento</v>
      </c>
      <c r="J2186">
        <f>VLOOKUP(A2186,Pr_Base_LNEC!$A$4:$J$6971,6,FALSE)</f>
        <v>0</v>
      </c>
      <c r="K2186">
        <f>VLOOKUP(A2186,Pr_Base_LNEC!$A$4:$J$6971,7,FALSE)</f>
        <v>0</v>
      </c>
    </row>
    <row r="2187" spans="1:11" ht="14.5">
      <c r="A2187" s="20" t="s">
        <v>19276</v>
      </c>
      <c r="B2187" s="20">
        <v>25</v>
      </c>
      <c r="C2187" s="20">
        <v>93</v>
      </c>
      <c r="D2187" s="20">
        <v>72</v>
      </c>
      <c r="E2187" s="20">
        <v>8</v>
      </c>
      <c r="F2187" s="20" t="s">
        <v>19277</v>
      </c>
      <c r="G2187" s="20" t="s">
        <v>19278</v>
      </c>
      <c r="H2187" s="24"/>
      <c r="I2187" s="24" t="str">
        <f ca="1">IFERROR(__xludf.DUMMYFUNCTION("GOOGLETRANSLATE(F2187,""en"",""pt"")"),"Betume telhas de membrana")</f>
        <v>Betume telhas de membrana</v>
      </c>
      <c r="J2187">
        <f>VLOOKUP(A2187,Pr_Base_LNEC!$A$4:$J$6971,6,FALSE)</f>
        <v>0</v>
      </c>
      <c r="K2187">
        <f>VLOOKUP(A2187,Pr_Base_LNEC!$A$4:$J$6971,7,FALSE)</f>
        <v>0</v>
      </c>
    </row>
    <row r="2188" spans="1:11" ht="14.5">
      <c r="A2188" s="20" t="s">
        <v>19279</v>
      </c>
      <c r="B2188" s="20">
        <v>25</v>
      </c>
      <c r="C2188" s="20">
        <v>93</v>
      </c>
      <c r="D2188" s="20">
        <v>72</v>
      </c>
      <c r="E2188" s="20">
        <v>11</v>
      </c>
      <c r="F2188" s="20" t="s">
        <v>19280</v>
      </c>
      <c r="G2188" s="20" t="s">
        <v>19281</v>
      </c>
      <c r="H2188" s="24"/>
      <c r="I2188" s="24" t="str">
        <f ca="1">IFERROR(__xludf.DUMMYFUNCTION("GOOGLETRANSLATE(F2188,""en"",""pt"")"),"ardósias de cerâmica")</f>
        <v>ardósias de cerâmica</v>
      </c>
      <c r="J2188">
        <f>VLOOKUP(A2188,Pr_Base_LNEC!$A$4:$J$6971,6,FALSE)</f>
        <v>0</v>
      </c>
      <c r="K2188">
        <f>VLOOKUP(A2188,Pr_Base_LNEC!$A$4:$J$6971,7,FALSE)</f>
        <v>0</v>
      </c>
    </row>
    <row r="2189" spans="1:11" ht="14.5">
      <c r="A2189" s="20" t="s">
        <v>19282</v>
      </c>
      <c r="B2189" s="20">
        <v>25</v>
      </c>
      <c r="C2189" s="20">
        <v>93</v>
      </c>
      <c r="D2189" s="20">
        <v>72</v>
      </c>
      <c r="E2189" s="20">
        <v>12</v>
      </c>
      <c r="F2189" s="20" t="s">
        <v>19283</v>
      </c>
      <c r="G2189" s="20" t="s">
        <v>19284</v>
      </c>
      <c r="H2189" s="24"/>
      <c r="I2189" s="24" t="str">
        <f ca="1">IFERROR(__xludf.DUMMYFUNCTION("GOOGLETRANSLATE(F2189,""en"",""pt"")"),"telhas de barro de bloqueio")</f>
        <v>telhas de barro de bloqueio</v>
      </c>
      <c r="J2189">
        <f>VLOOKUP(A2189,Pr_Base_LNEC!$A$4:$J$6971,6,FALSE)</f>
        <v>0</v>
      </c>
      <c r="K2189">
        <f>VLOOKUP(A2189,Pr_Base_LNEC!$A$4:$J$6971,7,FALSE)</f>
        <v>0</v>
      </c>
    </row>
    <row r="2190" spans="1:11" ht="14.5">
      <c r="A2190" s="20" t="s">
        <v>19285</v>
      </c>
      <c r="B2190" s="20">
        <v>25</v>
      </c>
      <c r="C2190" s="20">
        <v>93</v>
      </c>
      <c r="D2190" s="20">
        <v>72</v>
      </c>
      <c r="E2190" s="20">
        <v>13</v>
      </c>
      <c r="F2190" s="20" t="s">
        <v>19286</v>
      </c>
      <c r="G2190" s="20" t="s">
        <v>19287</v>
      </c>
      <c r="H2190" s="24"/>
      <c r="I2190" s="24" t="str">
        <f ca="1">IFERROR(__xludf.DUMMYFUNCTION("GOOGLETRANSLATE(F2190,""en"",""pt"")"),"telhas francesas argila")</f>
        <v>telhas francesas argila</v>
      </c>
      <c r="J2190">
        <f>VLOOKUP(A2190,Pr_Base_LNEC!$A$4:$J$6971,6,FALSE)</f>
        <v>0</v>
      </c>
      <c r="K2190">
        <f>VLOOKUP(A2190,Pr_Base_LNEC!$A$4:$J$6971,7,FALSE)</f>
        <v>0</v>
      </c>
    </row>
    <row r="2191" spans="1:11" ht="14.5">
      <c r="A2191" s="20" t="s">
        <v>19288</v>
      </c>
      <c r="B2191" s="20">
        <v>25</v>
      </c>
      <c r="C2191" s="20">
        <v>93</v>
      </c>
      <c r="D2191" s="20">
        <v>72</v>
      </c>
      <c r="E2191" s="20">
        <v>14</v>
      </c>
      <c r="F2191" s="20" t="s">
        <v>19289</v>
      </c>
      <c r="G2191" s="20" t="s">
        <v>19290</v>
      </c>
      <c r="H2191" s="24"/>
      <c r="I2191" s="24" t="str">
        <f ca="1">IFERROR(__xludf.DUMMYFUNCTION("GOOGLETRANSLATE(F2191,""en"",""pt"")"),"Argila acessórios telha que percorre")</f>
        <v>Argila acessórios telha que percorre</v>
      </c>
      <c r="J2191">
        <f>VLOOKUP(A2191,Pr_Base_LNEC!$A$4:$J$6971,6,FALSE)</f>
        <v>0</v>
      </c>
      <c r="K2191">
        <f>VLOOKUP(A2191,Pr_Base_LNEC!$A$4:$J$6971,7,FALSE)</f>
        <v>0</v>
      </c>
    </row>
    <row r="2192" spans="1:11" ht="14.5">
      <c r="A2192" s="20" t="s">
        <v>19291</v>
      </c>
      <c r="B2192" s="20">
        <v>25</v>
      </c>
      <c r="C2192" s="20">
        <v>93</v>
      </c>
      <c r="D2192" s="20">
        <v>72</v>
      </c>
      <c r="E2192" s="20">
        <v>15</v>
      </c>
      <c r="F2192" s="20" t="s">
        <v>19292</v>
      </c>
      <c r="G2192" s="20" t="s">
        <v>19293</v>
      </c>
      <c r="H2192" s="24"/>
      <c r="I2192" s="24" t="str">
        <f ca="1">IFERROR(__xludf.DUMMYFUNCTION("GOOGLETRANSLATE(F2192,""en"",""pt"")"),"telha de barro acessórios ornamentais")</f>
        <v>telha de barro acessórios ornamentais</v>
      </c>
      <c r="J2192">
        <f>VLOOKUP(A2192,Pr_Base_LNEC!$A$4:$J$6971,6,FALSE)</f>
        <v>0</v>
      </c>
      <c r="K2192">
        <f>VLOOKUP(A2192,Pr_Base_LNEC!$A$4:$J$6971,7,FALSE)</f>
        <v>0</v>
      </c>
    </row>
    <row r="2193" spans="1:11" ht="14.5">
      <c r="A2193" s="20" t="s">
        <v>19294</v>
      </c>
      <c r="B2193" s="20">
        <v>25</v>
      </c>
      <c r="C2193" s="20">
        <v>93</v>
      </c>
      <c r="D2193" s="20">
        <v>72</v>
      </c>
      <c r="E2193" s="20">
        <v>16</v>
      </c>
      <c r="F2193" s="20" t="s">
        <v>19295</v>
      </c>
      <c r="G2193" s="20" t="s">
        <v>19296</v>
      </c>
      <c r="H2193" s="24"/>
      <c r="I2193" s="24" t="str">
        <f ca="1">IFERROR(__xludf.DUMMYFUNCTION("GOOGLETRANSLATE(F2193,""en"",""pt"")"),"telha de barro acessórios ângulo vertical da telha")</f>
        <v>telha de barro acessórios ângulo vertical da telha</v>
      </c>
      <c r="J2193">
        <f>VLOOKUP(A2193,Pr_Base_LNEC!$A$4:$J$6971,6,FALSE)</f>
        <v>0</v>
      </c>
      <c r="K2193">
        <f>VLOOKUP(A2193,Pr_Base_LNEC!$A$4:$J$6971,7,FALSE)</f>
        <v>0</v>
      </c>
    </row>
    <row r="2194" spans="1:11" ht="14.5">
      <c r="A2194" s="20" t="s">
        <v>19297</v>
      </c>
      <c r="B2194" s="20">
        <v>25</v>
      </c>
      <c r="C2194" s="20">
        <v>93</v>
      </c>
      <c r="D2194" s="20">
        <v>72</v>
      </c>
      <c r="E2194" s="20">
        <v>17</v>
      </c>
      <c r="F2194" s="20" t="s">
        <v>19298</v>
      </c>
      <c r="G2194" s="20" t="s">
        <v>19299</v>
      </c>
      <c r="H2194" s="24"/>
      <c r="I2194" s="24" t="str">
        <f ca="1">IFERROR(__xludf.DUMMYFUNCTION("GOOGLETRANSLATE(F2194,""en"",""pt"")"),"Betão telhas entrelaçados")</f>
        <v>Betão telhas entrelaçados</v>
      </c>
      <c r="J2194">
        <f>VLOOKUP(A2194,Pr_Base_LNEC!$A$4:$J$6971,6,FALSE)</f>
        <v>0</v>
      </c>
      <c r="K2194">
        <f>VLOOKUP(A2194,Pr_Base_LNEC!$A$4:$J$6971,7,FALSE)</f>
        <v>0</v>
      </c>
    </row>
    <row r="2195" spans="1:11" ht="14.5">
      <c r="A2195" s="20" t="s">
        <v>19300</v>
      </c>
      <c r="B2195" s="20">
        <v>25</v>
      </c>
      <c r="C2195" s="20">
        <v>93</v>
      </c>
      <c r="D2195" s="20">
        <v>72</v>
      </c>
      <c r="E2195" s="20">
        <v>18</v>
      </c>
      <c r="F2195" s="20" t="s">
        <v>19301</v>
      </c>
      <c r="G2195" s="20" t="s">
        <v>19302</v>
      </c>
      <c r="H2195" s="24"/>
      <c r="I2195" s="24" t="str">
        <f ca="1">IFERROR(__xludf.DUMMYFUNCTION("GOOGLETRANSLATE(F2195,""en"",""pt"")"),"Betão telhas francesas")</f>
        <v>Betão telhas francesas</v>
      </c>
      <c r="J2195">
        <f>VLOOKUP(A2195,Pr_Base_LNEC!$A$4:$J$6971,6,FALSE)</f>
        <v>0</v>
      </c>
      <c r="K2195">
        <f>VLOOKUP(A2195,Pr_Base_LNEC!$A$4:$J$6971,7,FALSE)</f>
        <v>0</v>
      </c>
    </row>
    <row r="2196" spans="1:11" ht="14.5">
      <c r="A2196" s="20" t="s">
        <v>19303</v>
      </c>
      <c r="B2196" s="20">
        <v>25</v>
      </c>
      <c r="C2196" s="20">
        <v>93</v>
      </c>
      <c r="D2196" s="20">
        <v>72</v>
      </c>
      <c r="E2196" s="20">
        <v>19</v>
      </c>
      <c r="F2196" s="20" t="s">
        <v>19304</v>
      </c>
      <c r="G2196" s="20" t="s">
        <v>19305</v>
      </c>
      <c r="H2196" s="24"/>
      <c r="I2196" s="24" t="str">
        <f ca="1">IFERROR(__xludf.DUMMYFUNCTION("GOOGLETRANSLATE(F2196,""en"",""pt"")"),"acessórios que percorre telha de concreto")</f>
        <v>acessórios que percorre telha de concreto</v>
      </c>
      <c r="J2196">
        <f>VLOOKUP(A2196,Pr_Base_LNEC!$A$4:$J$6971,6,FALSE)</f>
        <v>0</v>
      </c>
      <c r="K2196">
        <f>VLOOKUP(A2196,Pr_Base_LNEC!$A$4:$J$6971,7,FALSE)</f>
        <v>0</v>
      </c>
    </row>
    <row r="2197" spans="1:11" ht="14.5">
      <c r="A2197" s="20" t="s">
        <v>19306</v>
      </c>
      <c r="B2197" s="20">
        <v>25</v>
      </c>
      <c r="C2197" s="20">
        <v>93</v>
      </c>
      <c r="D2197" s="20">
        <v>72</v>
      </c>
      <c r="E2197" s="20">
        <v>20</v>
      </c>
      <c r="F2197" s="20" t="s">
        <v>19307</v>
      </c>
      <c r="G2197" s="20" t="s">
        <v>19308</v>
      </c>
      <c r="H2197" s="24"/>
      <c r="I2197" s="24" t="str">
        <f ca="1">IFERROR(__xludf.DUMMYFUNCTION("GOOGLETRANSLATE(F2197,""en"",""pt"")"),"acessórios ornamentais telha de concreto")</f>
        <v>acessórios ornamentais telha de concreto</v>
      </c>
      <c r="J2197">
        <f>VLOOKUP(A2197,Pr_Base_LNEC!$A$4:$J$6971,6,FALSE)</f>
        <v>0</v>
      </c>
      <c r="K2197">
        <f>VLOOKUP(A2197,Pr_Base_LNEC!$A$4:$J$6971,7,FALSE)</f>
        <v>0</v>
      </c>
    </row>
    <row r="2198" spans="1:11" ht="14.5">
      <c r="A2198" s="20" t="s">
        <v>19309</v>
      </c>
      <c r="B2198" s="20">
        <v>25</v>
      </c>
      <c r="C2198" s="20">
        <v>93</v>
      </c>
      <c r="D2198" s="20">
        <v>72</v>
      </c>
      <c r="E2198" s="20">
        <v>21</v>
      </c>
      <c r="F2198" s="20" t="s">
        <v>19310</v>
      </c>
      <c r="G2198" s="20" t="s">
        <v>19311</v>
      </c>
      <c r="H2198" s="24"/>
      <c r="I2198" s="24" t="str">
        <f ca="1">IFERROR(__xludf.DUMMYFUNCTION("GOOGLETRANSLATE(F2198,""en"",""pt"")"),"telha de betão acessórios ângulo vertical da telha")</f>
        <v>telha de betão acessórios ângulo vertical da telha</v>
      </c>
      <c r="J2198">
        <f>VLOOKUP(A2198,Pr_Base_LNEC!$A$4:$J$6971,6,FALSE)</f>
        <v>0</v>
      </c>
      <c r="K2198">
        <f>VLOOKUP(A2198,Pr_Base_LNEC!$A$4:$J$6971,7,FALSE)</f>
        <v>0</v>
      </c>
    </row>
    <row r="2199" spans="1:11" ht="14.5">
      <c r="A2199" s="20" t="s">
        <v>19312</v>
      </c>
      <c r="B2199" s="20">
        <v>25</v>
      </c>
      <c r="C2199" s="20">
        <v>93</v>
      </c>
      <c r="D2199" s="20">
        <v>72</v>
      </c>
      <c r="E2199" s="20">
        <v>30</v>
      </c>
      <c r="F2199" s="20" t="s">
        <v>19313</v>
      </c>
      <c r="G2199" s="20" t="s">
        <v>19314</v>
      </c>
      <c r="H2199" s="24"/>
      <c r="I2199" s="24" t="str">
        <f ca="1">IFERROR(__xludf.DUMMYFUNCTION("GOOGLETRANSLATE(F2199,""en"",""pt"")"),"ardósias de fibrocimento")</f>
        <v>ardósias de fibrocimento</v>
      </c>
      <c r="J2199">
        <f>VLOOKUP(A2199,Pr_Base_LNEC!$A$4:$J$6971,6,FALSE)</f>
        <v>0</v>
      </c>
      <c r="K2199">
        <f>VLOOKUP(A2199,Pr_Base_LNEC!$A$4:$J$6971,7,FALSE)</f>
        <v>0</v>
      </c>
    </row>
    <row r="2200" spans="1:11" ht="14.5">
      <c r="A2200" s="20" t="s">
        <v>19315</v>
      </c>
      <c r="B2200" s="20">
        <v>25</v>
      </c>
      <c r="C2200" s="20">
        <v>93</v>
      </c>
      <c r="D2200" s="20">
        <v>72</v>
      </c>
      <c r="E2200" s="20">
        <v>31</v>
      </c>
      <c r="F2200" s="20" t="s">
        <v>19316</v>
      </c>
      <c r="G2200" s="20" t="s">
        <v>19317</v>
      </c>
      <c r="H2200" s="24"/>
      <c r="I2200" s="24" t="str">
        <f ca="1">IFERROR(__xludf.DUMMYFUNCTION("GOOGLETRANSLATE(F2200,""en"",""pt"")"),"De fibrocimento acessórios ardósia que percorre")</f>
        <v>De fibrocimento acessórios ardósia que percorre</v>
      </c>
      <c r="J2200">
        <f>VLOOKUP(A2200,Pr_Base_LNEC!$A$4:$J$6971,6,FALSE)</f>
        <v>0</v>
      </c>
      <c r="K2200">
        <f>VLOOKUP(A2200,Pr_Base_LNEC!$A$4:$J$6971,7,FALSE)</f>
        <v>0</v>
      </c>
    </row>
    <row r="2201" spans="1:11" ht="14.5">
      <c r="A2201" s="20" t="s">
        <v>19318</v>
      </c>
      <c r="B2201" s="20">
        <v>25</v>
      </c>
      <c r="C2201" s="20">
        <v>93</v>
      </c>
      <c r="D2201" s="20">
        <v>72</v>
      </c>
      <c r="E2201" s="20">
        <v>36</v>
      </c>
      <c r="F2201" s="20" t="s">
        <v>19319</v>
      </c>
      <c r="G2201" s="24"/>
      <c r="H2201" s="24"/>
      <c r="I2201" s="24" t="str">
        <f ca="1">IFERROR(__xludf.DUMMYFUNCTION("GOOGLETRANSLATE(F2201,""en"",""pt"")"),"shakes de madeira")</f>
        <v>shakes de madeira</v>
      </c>
      <c r="J2201">
        <f>VLOOKUP(A2201,Pr_Base_LNEC!$A$4:$J$6971,6,FALSE)</f>
        <v>0</v>
      </c>
      <c r="K2201">
        <f>VLOOKUP(A2201,Pr_Base_LNEC!$A$4:$J$6971,7,FALSE)</f>
        <v>0</v>
      </c>
    </row>
    <row r="2202" spans="1:11" ht="14.5">
      <c r="A2202" s="20" t="s">
        <v>19320</v>
      </c>
      <c r="B2202" s="20">
        <v>25</v>
      </c>
      <c r="C2202" s="20">
        <v>93</v>
      </c>
      <c r="D2202" s="20">
        <v>72</v>
      </c>
      <c r="E2202" s="20">
        <v>37</v>
      </c>
      <c r="F2202" s="20" t="s">
        <v>19321</v>
      </c>
      <c r="G2202" s="24"/>
      <c r="H2202" s="24"/>
      <c r="I2202" s="24" t="str">
        <f ca="1">IFERROR(__xludf.DUMMYFUNCTION("GOOGLETRANSLATE(F2202,""en"",""pt"")"),"telhas de madeira")</f>
        <v>telhas de madeira</v>
      </c>
      <c r="J2202">
        <f>VLOOKUP(A2202,Pr_Base_LNEC!$A$4:$J$6971,6,FALSE)</f>
        <v>0</v>
      </c>
      <c r="K2202">
        <f>VLOOKUP(A2202,Pr_Base_LNEC!$A$4:$J$6971,7,FALSE)</f>
        <v>0</v>
      </c>
    </row>
    <row r="2203" spans="1:11" ht="14.5">
      <c r="A2203" s="20" t="s">
        <v>19322</v>
      </c>
      <c r="B2203" s="20">
        <v>25</v>
      </c>
      <c r="C2203" s="20">
        <v>93</v>
      </c>
      <c r="D2203" s="20">
        <v>72</v>
      </c>
      <c r="E2203" s="20">
        <v>52</v>
      </c>
      <c r="F2203" s="20" t="s">
        <v>19323</v>
      </c>
      <c r="G2203" s="20" t="s">
        <v>19324</v>
      </c>
      <c r="H2203" s="24"/>
      <c r="I2203" s="24" t="str">
        <f ca="1">IFERROR(__xludf.DUMMYFUNCTION("GOOGLETRANSLATE(F2203,""en"",""pt"")"),"telhas metálicas")</f>
        <v>telhas metálicas</v>
      </c>
      <c r="J2203">
        <f>VLOOKUP(A2203,Pr_Base_LNEC!$A$4:$J$6971,6,FALSE)</f>
        <v>0</v>
      </c>
      <c r="K2203">
        <f>VLOOKUP(A2203,Pr_Base_LNEC!$A$4:$J$6971,7,FALSE)</f>
        <v>0</v>
      </c>
    </row>
    <row r="2204" spans="1:11" ht="14.5">
      <c r="A2204" s="20" t="s">
        <v>19325</v>
      </c>
      <c r="B2204" s="20">
        <v>25</v>
      </c>
      <c r="C2204" s="20">
        <v>93</v>
      </c>
      <c r="D2204" s="20">
        <v>72</v>
      </c>
      <c r="E2204" s="20">
        <v>56</v>
      </c>
      <c r="F2204" s="20" t="s">
        <v>19326</v>
      </c>
      <c r="G2204" s="20" t="s">
        <v>19327</v>
      </c>
      <c r="H2204" s="24"/>
      <c r="I2204" s="24" t="str">
        <f ca="1">IFERROR(__xludf.DUMMYFUNCTION("GOOGLETRANSLATE(F2204,""en"",""pt"")"),"ardósias naturais")</f>
        <v>ardósias naturais</v>
      </c>
      <c r="J2204">
        <f>VLOOKUP(A2204,Pr_Base_LNEC!$A$4:$J$6971,6,FALSE)</f>
        <v>0</v>
      </c>
      <c r="K2204">
        <f>VLOOKUP(A2204,Pr_Base_LNEC!$A$4:$J$6971,7,FALSE)</f>
        <v>0</v>
      </c>
    </row>
    <row r="2205" spans="1:11" ht="14.5">
      <c r="A2205" s="20" t="s">
        <v>19328</v>
      </c>
      <c r="B2205" s="20">
        <v>25</v>
      </c>
      <c r="C2205" s="20">
        <v>93</v>
      </c>
      <c r="D2205" s="20">
        <v>72</v>
      </c>
      <c r="E2205" s="20">
        <v>57</v>
      </c>
      <c r="F2205" s="20" t="s">
        <v>19329</v>
      </c>
      <c r="G2205" s="20" t="s">
        <v>19330</v>
      </c>
      <c r="H2205" s="24"/>
      <c r="I2205" s="24" t="str">
        <f ca="1">IFERROR(__xludf.DUMMYFUNCTION("GOOGLETRANSLATE(F2205,""en"",""pt"")"),"ardósias de pedra natural")</f>
        <v>ardósias de pedra natural</v>
      </c>
      <c r="J2205">
        <f>VLOOKUP(A2205,Pr_Base_LNEC!$A$4:$J$6971,6,FALSE)</f>
        <v>0</v>
      </c>
      <c r="K2205">
        <f>VLOOKUP(A2205,Pr_Base_LNEC!$A$4:$J$6971,7,FALSE)</f>
        <v>0</v>
      </c>
    </row>
    <row r="2206" spans="1:11" ht="14.5">
      <c r="A2206" s="20" t="s">
        <v>19331</v>
      </c>
      <c r="B2206" s="20">
        <v>25</v>
      </c>
      <c r="C2206" s="20">
        <v>93</v>
      </c>
      <c r="D2206" s="20">
        <v>72</v>
      </c>
      <c r="E2206" s="20">
        <v>72</v>
      </c>
      <c r="F2206" s="20" t="s">
        <v>19332</v>
      </c>
      <c r="G2206" s="20" t="s">
        <v>19333</v>
      </c>
      <c r="H2206" s="24"/>
      <c r="I2206" s="24" t="str">
        <f ca="1">IFERROR(__xludf.DUMMYFUNCTION("GOOGLETRANSLATE(F2206,""en"",""pt"")"),"ardósias interligadas reconstituídos")</f>
        <v>ardósias interligadas reconstituídos</v>
      </c>
      <c r="J2206">
        <f>VLOOKUP(A2206,Pr_Base_LNEC!$A$4:$J$6971,6,FALSE)</f>
        <v>0</v>
      </c>
      <c r="K2206">
        <f>VLOOKUP(A2206,Pr_Base_LNEC!$A$4:$J$6971,7,FALSE)</f>
        <v>0</v>
      </c>
    </row>
    <row r="2207" spans="1:11" ht="14.5">
      <c r="A2207" s="20" t="s">
        <v>19334</v>
      </c>
      <c r="B2207" s="20">
        <v>25</v>
      </c>
      <c r="C2207" s="20">
        <v>93</v>
      </c>
      <c r="D2207" s="20">
        <v>72</v>
      </c>
      <c r="E2207" s="20">
        <v>73</v>
      </c>
      <c r="F2207" s="20" t="s">
        <v>19335</v>
      </c>
      <c r="G2207" s="20" t="s">
        <v>19336</v>
      </c>
      <c r="H2207" s="24"/>
      <c r="I2207" s="24" t="str">
        <f ca="1">IFERROR(__xludf.DUMMYFUNCTION("GOOGLETRANSLATE(F2207,""en"",""pt"")"),"acessórios que percorre ardósia reconstituídos")</f>
        <v>acessórios que percorre ardósia reconstituídos</v>
      </c>
      <c r="J2207">
        <f>VLOOKUP(A2207,Pr_Base_LNEC!$A$4:$J$6971,6,FALSE)</f>
        <v>0</v>
      </c>
      <c r="K2207">
        <f>VLOOKUP(A2207,Pr_Base_LNEC!$A$4:$J$6971,7,FALSE)</f>
        <v>0</v>
      </c>
    </row>
    <row r="2208" spans="1:11" ht="14.5">
      <c r="A2208" s="20" t="s">
        <v>19337</v>
      </c>
      <c r="B2208" s="20">
        <v>25</v>
      </c>
      <c r="C2208" s="20">
        <v>93</v>
      </c>
      <c r="D2208" s="20">
        <v>72</v>
      </c>
      <c r="E2208" s="20">
        <v>79</v>
      </c>
      <c r="F2208" s="20" t="s">
        <v>19338</v>
      </c>
      <c r="G2208" s="20" t="s">
        <v>19339</v>
      </c>
      <c r="H2208" s="24"/>
      <c r="I2208" s="24" t="str">
        <f ca="1">IFERROR(__xludf.DUMMYFUNCTION("GOOGLETRANSLATE(F2208,""en"",""pt"")"),"acessórios que percorre ardósia")</f>
        <v>acessórios que percorre ardósia</v>
      </c>
      <c r="J2208">
        <f>VLOOKUP(A2208,Pr_Base_LNEC!$A$4:$J$6971,6,FALSE)</f>
        <v>0</v>
      </c>
      <c r="K2208">
        <f>VLOOKUP(A2208,Pr_Base_LNEC!$A$4:$J$6971,7,FALSE)</f>
        <v>0</v>
      </c>
    </row>
    <row r="2209" spans="1:11" ht="14.5">
      <c r="A2209" s="20" t="s">
        <v>19340</v>
      </c>
      <c r="B2209" s="20">
        <v>25</v>
      </c>
      <c r="C2209" s="20">
        <v>93</v>
      </c>
      <c r="D2209" s="20">
        <v>72</v>
      </c>
      <c r="E2209" s="20">
        <v>96</v>
      </c>
      <c r="F2209" s="20" t="s">
        <v>19341</v>
      </c>
      <c r="G2209" s="20" t="s">
        <v>19342</v>
      </c>
      <c r="H2209" s="24"/>
      <c r="I2209" s="24" t="str">
        <f ca="1">IFERROR(__xludf.DUMMYFUNCTION("GOOGLETRANSLATE(F2209,""en"",""pt"")"),"shakes de madeira")</f>
        <v>shakes de madeira</v>
      </c>
      <c r="J2209">
        <f>VLOOKUP(A2209,Pr_Base_LNEC!$A$4:$J$6971,6,FALSE)</f>
        <v>0</v>
      </c>
      <c r="K2209">
        <f>VLOOKUP(A2209,Pr_Base_LNEC!$A$4:$J$6971,7,FALSE)</f>
        <v>0</v>
      </c>
    </row>
    <row r="2210" spans="1:11" ht="14.5">
      <c r="A2210" s="20" t="s">
        <v>19343</v>
      </c>
      <c r="B2210" s="20">
        <v>25</v>
      </c>
      <c r="C2210" s="20">
        <v>93</v>
      </c>
      <c r="D2210" s="20">
        <v>72</v>
      </c>
      <c r="E2210" s="20">
        <v>97</v>
      </c>
      <c r="F2210" s="20" t="s">
        <v>19344</v>
      </c>
      <c r="G2210" s="20" t="s">
        <v>19345</v>
      </c>
      <c r="H2210" s="24"/>
      <c r="I2210" s="24" t="str">
        <f ca="1">IFERROR(__xludf.DUMMYFUNCTION("GOOGLETRANSLATE(F2210,""en"",""pt"")"),"telhas de madeira")</f>
        <v>telhas de madeira</v>
      </c>
      <c r="J2210">
        <f>VLOOKUP(A2210,Pr_Base_LNEC!$A$4:$J$6971,6,FALSE)</f>
        <v>0</v>
      </c>
      <c r="K2210">
        <f>VLOOKUP(A2210,Pr_Base_LNEC!$A$4:$J$6971,7,FALSE)</f>
        <v>0</v>
      </c>
    </row>
    <row r="2211" spans="1:11" ht="14.5">
      <c r="A2211" s="20" t="s">
        <v>19346</v>
      </c>
      <c r="B2211" s="20">
        <v>25</v>
      </c>
      <c r="C2211" s="20">
        <v>93</v>
      </c>
      <c r="D2211" s="20">
        <v>72</v>
      </c>
      <c r="E2211" s="20">
        <v>98</v>
      </c>
      <c r="F2211" s="20" t="s">
        <v>19347</v>
      </c>
      <c r="G2211" s="20" t="s">
        <v>19348</v>
      </c>
      <c r="H2211" s="24"/>
      <c r="I2211" s="24" t="str">
        <f ca="1">IFERROR(__xludf.DUMMYFUNCTION("GOOGLETRANSLATE(F2211,""en"",""pt"")"),"Ripa de Madeira ferragens padrão")</f>
        <v>Ripa de Madeira ferragens padrão</v>
      </c>
      <c r="J2211">
        <f>VLOOKUP(A2211,Pr_Base_LNEC!$A$4:$J$6971,6,FALSE)</f>
        <v>0</v>
      </c>
      <c r="K2211">
        <f>VLOOKUP(A2211,Pr_Base_LNEC!$A$4:$J$6971,7,FALSE)</f>
        <v>0</v>
      </c>
    </row>
    <row r="2212" spans="1:11" ht="14.5">
      <c r="A2212" s="20" t="s">
        <v>19349</v>
      </c>
      <c r="B2212" s="20">
        <v>25</v>
      </c>
      <c r="C2212" s="20">
        <v>96</v>
      </c>
      <c r="D2212" s="24"/>
      <c r="E2212" s="24"/>
      <c r="F2212" s="20" t="s">
        <v>19350</v>
      </c>
      <c r="G2212" s="24"/>
      <c r="H2212" s="24"/>
      <c r="I2212" s="24" t="str">
        <f ca="1">IFERROR(__xludf.DUMMYFUNCTION("GOOGLETRANSLATE(F2212,""en"",""pt"")"),"Grade e ralar produtos para a pele")</f>
        <v>Grade e ralar produtos para a pele</v>
      </c>
      <c r="J2212" t="str">
        <f>VLOOKUP(A2212,Pr_Base_LNEC!$A$4:$J$6971,6,FALSE)</f>
        <v>Produtos Exteriores: Grades, Redes, etc.</v>
      </c>
      <c r="K2212">
        <f>VLOOKUP(A2212,Pr_Base_LNEC!$A$4:$J$6971,7,FALSE)</f>
        <v>0</v>
      </c>
    </row>
    <row r="2213" spans="1:11" ht="14.5">
      <c r="A2213" s="20" t="s">
        <v>19351</v>
      </c>
      <c r="B2213" s="20">
        <v>25</v>
      </c>
      <c r="C2213" s="20">
        <v>96</v>
      </c>
      <c r="D2213" s="20">
        <v>35</v>
      </c>
      <c r="E2213" s="24"/>
      <c r="F2213" s="20" t="s">
        <v>19352</v>
      </c>
      <c r="G2213" s="24"/>
      <c r="H2213" s="24"/>
      <c r="I2213" s="24" t="str">
        <f ca="1">IFERROR(__xludf.DUMMYFUNCTION("GOOGLETRANSLATE(F2213,""en"",""pt"")"),"Grades e grades")</f>
        <v>Grades e grades</v>
      </c>
      <c r="J2213" t="str">
        <f>VLOOKUP(A2213,Pr_Base_LNEC!$A$4:$J$6971,6,FALSE)</f>
        <v>-</v>
      </c>
      <c r="K2213">
        <f>VLOOKUP(A2213,Pr_Base_LNEC!$A$4:$J$6971,7,FALSE)</f>
        <v>0</v>
      </c>
    </row>
    <row r="2214" spans="1:11" ht="14.5">
      <c r="A2214" s="20" t="s">
        <v>19353</v>
      </c>
      <c r="B2214" s="20">
        <v>25</v>
      </c>
      <c r="C2214" s="20">
        <v>96</v>
      </c>
      <c r="D2214" s="20">
        <v>35</v>
      </c>
      <c r="E2214" s="20">
        <v>3</v>
      </c>
      <c r="F2214" s="20" t="s">
        <v>19354</v>
      </c>
      <c r="G2214" s="20" t="s">
        <v>19355</v>
      </c>
      <c r="H2214" s="24"/>
      <c r="I2214" s="24" t="str">
        <f ca="1">IFERROR(__xludf.DUMMYFUNCTION("GOOGLETRANSLATE(F2214,""en"",""pt"")"),"Alumínio mata-burro")</f>
        <v>Alumínio mata-burro</v>
      </c>
      <c r="J2214">
        <f>VLOOKUP(A2214,Pr_Base_LNEC!$A$4:$J$6971,6,FALSE)</f>
        <v>0</v>
      </c>
      <c r="K2214">
        <f>VLOOKUP(A2214,Pr_Base_LNEC!$A$4:$J$6971,7,FALSE)</f>
        <v>0</v>
      </c>
    </row>
    <row r="2215" spans="1:11" ht="14.5">
      <c r="A2215" s="20" t="s">
        <v>19356</v>
      </c>
      <c r="B2215" s="20">
        <v>25</v>
      </c>
      <c r="C2215" s="20">
        <v>96</v>
      </c>
      <c r="D2215" s="20">
        <v>35</v>
      </c>
      <c r="E2215" s="20">
        <v>11</v>
      </c>
      <c r="F2215" s="20" t="s">
        <v>19357</v>
      </c>
      <c r="G2215" s="20" t="s">
        <v>19358</v>
      </c>
      <c r="H2215" s="24"/>
      <c r="I2215" s="24" t="str">
        <f ca="1">IFERROR(__xludf.DUMMYFUNCTION("GOOGLETRANSLATE(F2215,""en"",""pt"")"),"Grelhas de carbono gado aço")</f>
        <v>Grelhas de carbono gado aço</v>
      </c>
      <c r="J2215">
        <f>VLOOKUP(A2215,Pr_Base_LNEC!$A$4:$J$6971,6,FALSE)</f>
        <v>0</v>
      </c>
      <c r="K2215">
        <f>VLOOKUP(A2215,Pr_Base_LNEC!$A$4:$J$6971,7,FALSE)</f>
        <v>0</v>
      </c>
    </row>
    <row r="2216" spans="1:11" ht="14.5">
      <c r="A2216" s="20" t="s">
        <v>19359</v>
      </c>
      <c r="B2216" s="20">
        <v>25</v>
      </c>
      <c r="C2216" s="20">
        <v>96</v>
      </c>
      <c r="D2216" s="20">
        <v>35</v>
      </c>
      <c r="E2216" s="20">
        <v>31</v>
      </c>
      <c r="F2216" s="20" t="s">
        <v>19360</v>
      </c>
      <c r="G2216" s="20" t="s">
        <v>19361</v>
      </c>
      <c r="H2216" s="24"/>
      <c r="I2216" s="24" t="str">
        <f ca="1">IFERROR(__xludf.DUMMYFUNCTION("GOOGLETRANSLATE(F2216,""en"",""pt"")"),"grades footway")</f>
        <v>grades footway</v>
      </c>
      <c r="J2216">
        <f>VLOOKUP(A2216,Pr_Base_LNEC!$A$4:$J$6971,6,FALSE)</f>
        <v>0</v>
      </c>
      <c r="K2216">
        <f>VLOOKUP(A2216,Pr_Base_LNEC!$A$4:$J$6971,7,FALSE)</f>
        <v>0</v>
      </c>
    </row>
    <row r="2217" spans="1:11" ht="14.5">
      <c r="A2217" s="20" t="s">
        <v>19362</v>
      </c>
      <c r="B2217" s="20">
        <v>25</v>
      </c>
      <c r="C2217" s="20">
        <v>96</v>
      </c>
      <c r="D2217" s="20">
        <v>35</v>
      </c>
      <c r="E2217" s="20">
        <v>37</v>
      </c>
      <c r="F2217" s="20" t="s">
        <v>19363</v>
      </c>
      <c r="G2217" s="20" t="s">
        <v>19364</v>
      </c>
      <c r="H2217" s="24"/>
      <c r="I2217" s="24" t="str">
        <f ca="1">IFERROR(__xludf.DUMMYFUNCTION("GOOGLETRANSLATE(F2217,""en"",""pt"")"),"Headwall e grades emissário")</f>
        <v>Headwall e grades emissário</v>
      </c>
      <c r="J2217">
        <f>VLOOKUP(A2217,Pr_Base_LNEC!$A$4:$J$6971,6,FALSE)</f>
        <v>0</v>
      </c>
      <c r="K2217">
        <f>VLOOKUP(A2217,Pr_Base_LNEC!$A$4:$J$6971,7,FALSE)</f>
        <v>0</v>
      </c>
    </row>
    <row r="2218" spans="1:11" ht="14.5">
      <c r="A2218" s="20" t="s">
        <v>19365</v>
      </c>
      <c r="B2218" s="20">
        <v>25</v>
      </c>
      <c r="C2218" s="20">
        <v>96</v>
      </c>
      <c r="D2218" s="20">
        <v>35</v>
      </c>
      <c r="E2218" s="20">
        <v>53</v>
      </c>
      <c r="F2218" s="20" t="s">
        <v>19366</v>
      </c>
      <c r="G2218" s="20" t="s">
        <v>19367</v>
      </c>
      <c r="H2218" s="24"/>
      <c r="I2218" s="24" t="str">
        <f ca="1">IFERROR(__xludf.DUMMYFUNCTION("GOOGLETRANSLATE(F2218,""en"",""pt"")"),"grades de blindagem de metal")</f>
        <v>grades de blindagem de metal</v>
      </c>
      <c r="J2218">
        <f>VLOOKUP(A2218,Pr_Base_LNEC!$A$4:$J$6971,6,FALSE)</f>
        <v>0</v>
      </c>
      <c r="K2218">
        <f>VLOOKUP(A2218,Pr_Base_LNEC!$A$4:$J$6971,7,FALSE)</f>
        <v>0</v>
      </c>
    </row>
    <row r="2219" spans="1:11" ht="14.5">
      <c r="A2219" s="20" t="s">
        <v>19368</v>
      </c>
      <c r="B2219" s="20">
        <v>25</v>
      </c>
      <c r="C2219" s="20">
        <v>96</v>
      </c>
      <c r="D2219" s="20">
        <v>35</v>
      </c>
      <c r="E2219" s="20">
        <v>71</v>
      </c>
      <c r="F2219" s="20" t="s">
        <v>19369</v>
      </c>
      <c r="G2219" s="20" t="s">
        <v>19370</v>
      </c>
      <c r="H2219" s="24"/>
      <c r="I2219" s="24" t="str">
        <f ca="1">IFERROR(__xludf.DUMMYFUNCTION("GOOGLETRANSLATE(F2219,""en"",""pt"")"),"plásticos reciclados mata-burro")</f>
        <v>plásticos reciclados mata-burro</v>
      </c>
      <c r="J2219">
        <f>VLOOKUP(A2219,Pr_Base_LNEC!$A$4:$J$6971,6,FALSE)</f>
        <v>0</v>
      </c>
      <c r="K2219">
        <f>VLOOKUP(A2219,Pr_Base_LNEC!$A$4:$J$6971,7,FALSE)</f>
        <v>0</v>
      </c>
    </row>
    <row r="2220" spans="1:11" ht="14.5">
      <c r="A2220" s="20" t="s">
        <v>19371</v>
      </c>
      <c r="B2220" s="20">
        <v>25</v>
      </c>
      <c r="C2220" s="20">
        <v>96</v>
      </c>
      <c r="D2220" s="20">
        <v>35</v>
      </c>
      <c r="E2220" s="20">
        <v>76</v>
      </c>
      <c r="F2220" s="20" t="s">
        <v>19372</v>
      </c>
      <c r="G2220" s="24"/>
      <c r="H2220" s="24"/>
      <c r="I2220" s="24" t="str">
        <f ca="1">IFERROR(__xludf.DUMMYFUNCTION("GOOGLETRANSLATE(F2220,""en"",""pt"")"),"telas de esgoto")</f>
        <v>telas de esgoto</v>
      </c>
      <c r="J2220">
        <f>VLOOKUP(A2220,Pr_Base_LNEC!$A$4:$J$6971,6,FALSE)</f>
        <v>0</v>
      </c>
      <c r="K2220">
        <f>VLOOKUP(A2220,Pr_Base_LNEC!$A$4:$J$6971,7,FALSE)</f>
        <v>0</v>
      </c>
    </row>
    <row r="2221" spans="1:11" ht="14.5">
      <c r="A2221" s="20" t="s">
        <v>19373</v>
      </c>
      <c r="B2221" s="20">
        <v>25</v>
      </c>
      <c r="C2221" s="20">
        <v>96</v>
      </c>
      <c r="D2221" s="20">
        <v>35</v>
      </c>
      <c r="E2221" s="20">
        <v>96</v>
      </c>
      <c r="F2221" s="20" t="s">
        <v>19374</v>
      </c>
      <c r="G2221" s="24"/>
      <c r="H2221" s="24"/>
      <c r="I2221" s="24" t="str">
        <f ca="1">IFERROR(__xludf.DUMMYFUNCTION("GOOGLETRANSLATE(F2221,""en"",""pt"")"),"grades de água")</f>
        <v>grades de água</v>
      </c>
      <c r="J2221">
        <f>VLOOKUP(A2221,Pr_Base_LNEC!$A$4:$J$6971,6,FALSE)</f>
        <v>0</v>
      </c>
      <c r="K2221">
        <f>VLOOKUP(A2221,Pr_Base_LNEC!$A$4:$J$6971,7,FALSE)</f>
        <v>0</v>
      </c>
    </row>
    <row r="2222" spans="1:11" ht="14.5">
      <c r="A2222" s="20" t="s">
        <v>19375</v>
      </c>
      <c r="B2222" s="20">
        <v>30</v>
      </c>
      <c r="C2222" s="24"/>
      <c r="D2222" s="24"/>
      <c r="E2222" s="24"/>
      <c r="F2222" s="20" t="s">
        <v>19376</v>
      </c>
      <c r="G2222" s="24"/>
      <c r="H2222" s="24"/>
      <c r="I2222" s="24" t="str">
        <f ca="1">IFERROR(__xludf.DUMMYFUNCTION("GOOGLETRANSLATE(F2222,""en"",""pt"")"),"produtos de abertura")</f>
        <v>produtos de abertura</v>
      </c>
      <c r="J2222" t="str">
        <f>VLOOKUP(A2222,Pr_Base_LNEC!$A$4:$J$6971,6,FALSE)</f>
        <v>Produtos para Entradas</v>
      </c>
      <c r="K2222">
        <f>VLOOKUP(A2222,Pr_Base_LNEC!$A$4:$J$6971,7,FALSE)</f>
        <v>0</v>
      </c>
    </row>
    <row r="2223" spans="1:11" ht="14.5">
      <c r="A2223" s="20" t="s">
        <v>19377</v>
      </c>
      <c r="B2223" s="20">
        <v>30</v>
      </c>
      <c r="C2223" s="20">
        <v>31</v>
      </c>
      <c r="D2223" s="24"/>
      <c r="E2223" s="24"/>
      <c r="F2223" s="20" t="s">
        <v>19378</v>
      </c>
      <c r="G2223" s="24"/>
      <c r="H2223" s="24"/>
      <c r="I2223" s="24" t="str">
        <f ca="1">IFERROR(__xludf.DUMMYFUNCTION("GOOGLETRANSLATE(F2223,""en"",""pt"")"),"produtos aberturas informes")</f>
        <v>produtos aberturas informes</v>
      </c>
      <c r="J2223" t="str">
        <f>VLOOKUP(A2223,Pr_Base_LNEC!$A$4:$J$6971,6,FALSE)</f>
        <v>Produtos para Entradas sem forma</v>
      </c>
      <c r="K2223">
        <f>VLOOKUP(A2223,Pr_Base_LNEC!$A$4:$J$6971,7,FALSE)</f>
        <v>0</v>
      </c>
    </row>
    <row r="2224" spans="1:11" ht="14.5">
      <c r="A2224" s="20" t="s">
        <v>19379</v>
      </c>
      <c r="B2224" s="20">
        <v>30</v>
      </c>
      <c r="C2224" s="20">
        <v>31</v>
      </c>
      <c r="D2224" s="20">
        <v>68</v>
      </c>
      <c r="E2224" s="24"/>
      <c r="F2224" s="20" t="s">
        <v>19380</v>
      </c>
      <c r="G2224" s="24"/>
      <c r="H2224" s="24"/>
      <c r="I2224" s="24" t="str">
        <f ca="1">IFERROR(__xludf.DUMMYFUNCTION("GOOGLETRANSLATE(F2224,""en"",""pt"")"),"Betumes e compostos envidraçados")</f>
        <v>Betumes e compostos envidraçados</v>
      </c>
      <c r="J2224" t="str">
        <f>VLOOKUP(A2224,Pr_Base_LNEC!$A$4:$J$6971,6,FALSE)</f>
        <v>Mátiques e compostos para envidraçados</v>
      </c>
      <c r="K2224">
        <f>VLOOKUP(A2224,Pr_Base_LNEC!$A$4:$J$6971,7,FALSE)</f>
        <v>0</v>
      </c>
    </row>
    <row r="2225" spans="1:11" ht="14.5">
      <c r="A2225" s="20" t="s">
        <v>19381</v>
      </c>
      <c r="B2225" s="20">
        <v>30</v>
      </c>
      <c r="C2225" s="20">
        <v>31</v>
      </c>
      <c r="D2225" s="20">
        <v>68</v>
      </c>
      <c r="E2225" s="20">
        <v>42</v>
      </c>
      <c r="F2225" s="20" t="s">
        <v>19382</v>
      </c>
      <c r="G2225" s="20" t="s">
        <v>19383</v>
      </c>
      <c r="H2225" s="24"/>
      <c r="I2225" s="24" t="str">
        <f ca="1">IFERROR(__xludf.DUMMYFUNCTION("GOOGLETRANSLATE(F2225,""en"",""pt"")"),"betumes intumescentes")</f>
        <v>betumes intumescentes</v>
      </c>
      <c r="J2225">
        <f>VLOOKUP(A2225,Pr_Base_LNEC!$A$4:$J$6971,6,FALSE)</f>
        <v>0</v>
      </c>
      <c r="K2225">
        <f>VLOOKUP(A2225,Pr_Base_LNEC!$A$4:$J$6971,7,FALSE)</f>
        <v>0</v>
      </c>
    </row>
    <row r="2226" spans="1:11" ht="14.5">
      <c r="A2226" s="20" t="s">
        <v>19384</v>
      </c>
      <c r="B2226" s="20">
        <v>30</v>
      </c>
      <c r="C2226" s="20">
        <v>31</v>
      </c>
      <c r="D2226" s="20">
        <v>68</v>
      </c>
      <c r="E2226" s="20">
        <v>47</v>
      </c>
      <c r="F2226" s="20" t="s">
        <v>19385</v>
      </c>
      <c r="G2226" s="20" t="s">
        <v>19386</v>
      </c>
      <c r="H2226" s="24"/>
      <c r="I2226" s="24" t="str">
        <f ca="1">IFERROR(__xludf.DUMMYFUNCTION("GOOGLETRANSLATE(F2226,""en"",""pt"")"),"betumes óleo de linhaça")</f>
        <v>betumes óleo de linhaça</v>
      </c>
      <c r="J2226">
        <f>VLOOKUP(A2226,Pr_Base_LNEC!$A$4:$J$6971,6,FALSE)</f>
        <v>0</v>
      </c>
      <c r="K2226">
        <f>VLOOKUP(A2226,Pr_Base_LNEC!$A$4:$J$6971,7,FALSE)</f>
        <v>0</v>
      </c>
    </row>
    <row r="2227" spans="1:11" ht="14.5">
      <c r="A2227" s="20" t="s">
        <v>19387</v>
      </c>
      <c r="B2227" s="20">
        <v>30</v>
      </c>
      <c r="C2227" s="20">
        <v>31</v>
      </c>
      <c r="D2227" s="20">
        <v>68</v>
      </c>
      <c r="E2227" s="20">
        <v>51</v>
      </c>
      <c r="F2227" s="20" t="s">
        <v>19388</v>
      </c>
      <c r="G2227" s="20" t="s">
        <v>19389</v>
      </c>
      <c r="H2227" s="24"/>
      <c r="I2227" s="24" t="str">
        <f ca="1">IFERROR(__xludf.DUMMYFUNCTION("GOOGLETRANSLATE(F2227,""en"",""pt"")"),"Metal janela betumes")</f>
        <v>Metal janela betumes</v>
      </c>
      <c r="J2227">
        <f>VLOOKUP(A2227,Pr_Base_LNEC!$A$4:$J$6971,6,FALSE)</f>
        <v>0</v>
      </c>
      <c r="K2227">
        <f>VLOOKUP(A2227,Pr_Base_LNEC!$A$4:$J$6971,7,FALSE)</f>
        <v>0</v>
      </c>
    </row>
    <row r="2228" spans="1:11" ht="14.5">
      <c r="A2228" s="20" t="s">
        <v>19390</v>
      </c>
      <c r="B2228" s="20">
        <v>30</v>
      </c>
      <c r="C2228" s="20">
        <v>31</v>
      </c>
      <c r="D2228" s="20">
        <v>68</v>
      </c>
      <c r="E2228" s="20">
        <v>56</v>
      </c>
      <c r="F2228" s="20" t="s">
        <v>19391</v>
      </c>
      <c r="G2228" s="20" t="s">
        <v>19392</v>
      </c>
      <c r="H2228" s="24"/>
      <c r="I2228" s="24" t="str">
        <f ca="1">IFERROR(__xludf.DUMMYFUNCTION("GOOGLETRANSLATE(F2228,""en"",""pt"")"),"Não definindo compostos envidraçados")</f>
        <v>Não definindo compostos envidraçados</v>
      </c>
      <c r="J2228">
        <f>VLOOKUP(A2228,Pr_Base_LNEC!$A$4:$J$6971,6,FALSE)</f>
        <v>0</v>
      </c>
      <c r="K2228">
        <f>VLOOKUP(A2228,Pr_Base_LNEC!$A$4:$J$6971,7,FALSE)</f>
        <v>0</v>
      </c>
    </row>
    <row r="2229" spans="1:11" ht="14.5">
      <c r="A2229" s="20" t="s">
        <v>19393</v>
      </c>
      <c r="B2229" s="20">
        <v>30</v>
      </c>
      <c r="C2229" s="20">
        <v>31</v>
      </c>
      <c r="D2229" s="20">
        <v>68</v>
      </c>
      <c r="E2229" s="20">
        <v>74</v>
      </c>
      <c r="F2229" s="20" t="s">
        <v>19394</v>
      </c>
      <c r="G2229" s="20" t="s">
        <v>19395</v>
      </c>
      <c r="H2229" s="24"/>
      <c r="I2229" s="24" t="str">
        <f ca="1">IFERROR(__xludf.DUMMYFUNCTION("GOOGLETRANSLATE(F2229,""en"",""pt"")"),"Emborrachamento compostos envidraçados")</f>
        <v>Emborrachamento compostos envidraçados</v>
      </c>
      <c r="J2229">
        <f>VLOOKUP(A2229,Pr_Base_LNEC!$A$4:$J$6971,6,FALSE)</f>
        <v>0</v>
      </c>
      <c r="K2229">
        <f>VLOOKUP(A2229,Pr_Base_LNEC!$A$4:$J$6971,7,FALSE)</f>
        <v>0</v>
      </c>
    </row>
    <row r="2230" spans="1:11" ht="14.5">
      <c r="A2230" s="20" t="s">
        <v>19396</v>
      </c>
      <c r="B2230" s="20">
        <v>30</v>
      </c>
      <c r="C2230" s="20">
        <v>31</v>
      </c>
      <c r="D2230" s="20">
        <v>76</v>
      </c>
      <c r="E2230" s="24"/>
      <c r="F2230" s="20" t="s">
        <v>19397</v>
      </c>
      <c r="G2230" s="24"/>
      <c r="H2230" s="24"/>
      <c r="I2230" s="24" t="str">
        <f ca="1">IFERROR(__xludf.DUMMYFUNCTION("GOOGLETRANSLATE(F2230,""en"",""pt"")"),"selantes")</f>
        <v>selantes</v>
      </c>
      <c r="J2230" t="str">
        <f>VLOOKUP(A2230,Pr_Base_LNEC!$A$4:$J$6971,6,FALSE)</f>
        <v>Selantes</v>
      </c>
      <c r="K2230">
        <f>VLOOKUP(A2230,Pr_Base_LNEC!$A$4:$J$6971,7,FALSE)</f>
        <v>0</v>
      </c>
    </row>
    <row r="2231" spans="1:11" ht="14.5">
      <c r="A2231" s="20" t="s">
        <v>19398</v>
      </c>
      <c r="B2231" s="20">
        <v>30</v>
      </c>
      <c r="C2231" s="20">
        <v>31</v>
      </c>
      <c r="D2231" s="20">
        <v>76</v>
      </c>
      <c r="E2231" s="20">
        <v>2</v>
      </c>
      <c r="F2231" s="20" t="s">
        <v>19399</v>
      </c>
      <c r="G2231" s="20" t="s">
        <v>19400</v>
      </c>
      <c r="H2231" s="24"/>
      <c r="I2231" s="24" t="str">
        <f ca="1">IFERROR(__xludf.DUMMYFUNCTION("GOOGLETRANSLATE(F2231,""en"",""pt"")"),"construção acrílico selantes conjuntas")</f>
        <v>construção acrílico selantes conjuntas</v>
      </c>
      <c r="J2231">
        <f>VLOOKUP(A2231,Pr_Base_LNEC!$A$4:$J$6971,6,FALSE)</f>
        <v>0</v>
      </c>
      <c r="K2231">
        <f>VLOOKUP(A2231,Pr_Base_LNEC!$A$4:$J$6971,7,FALSE)</f>
        <v>0</v>
      </c>
    </row>
    <row r="2232" spans="1:11" ht="14.5">
      <c r="A2232" s="20" t="s">
        <v>19401</v>
      </c>
      <c r="B2232" s="20">
        <v>30</v>
      </c>
      <c r="C2232" s="20">
        <v>31</v>
      </c>
      <c r="D2232" s="20">
        <v>76</v>
      </c>
      <c r="E2232" s="20">
        <v>9</v>
      </c>
      <c r="F2232" s="20" t="s">
        <v>19402</v>
      </c>
      <c r="G2232" s="20" t="s">
        <v>19403</v>
      </c>
      <c r="H2232" s="24"/>
      <c r="I2232" s="24" t="str">
        <f ca="1">IFERROR(__xludf.DUMMYFUNCTION("GOOGLETRANSLATE(F2232,""en"",""pt"")"),"construção de borracha butílica selantes conjuntas")</f>
        <v>construção de borracha butílica selantes conjuntas</v>
      </c>
      <c r="J2232">
        <f>VLOOKUP(A2232,Pr_Base_LNEC!$A$4:$J$6971,6,FALSE)</f>
        <v>0</v>
      </c>
      <c r="K2232">
        <f>VLOOKUP(A2232,Pr_Base_LNEC!$A$4:$J$6971,7,FALSE)</f>
        <v>0</v>
      </c>
    </row>
    <row r="2233" spans="1:11" ht="14.5">
      <c r="A2233" s="20" t="s">
        <v>19404</v>
      </c>
      <c r="B2233" s="20">
        <v>30</v>
      </c>
      <c r="C2233" s="20">
        <v>31</v>
      </c>
      <c r="D2233" s="20">
        <v>76</v>
      </c>
      <c r="E2233" s="20">
        <v>14</v>
      </c>
      <c r="F2233" s="20" t="s">
        <v>19405</v>
      </c>
      <c r="G2233" s="20" t="s">
        <v>19406</v>
      </c>
      <c r="H2233" s="24"/>
      <c r="I2233" s="24" t="str">
        <f ca="1">IFERROR(__xludf.DUMMYFUNCTION("GOOGLETRANSLATE(F2233,""en"",""pt"")"),"Cold-aplicados selantes conjuntas betuminosos")</f>
        <v>Cold-aplicados selantes conjuntas betuminosos</v>
      </c>
      <c r="J2233">
        <f>VLOOKUP(A2233,Pr_Base_LNEC!$A$4:$J$6971,6,FALSE)</f>
        <v>0</v>
      </c>
      <c r="K2233">
        <f>VLOOKUP(A2233,Pr_Base_LNEC!$A$4:$J$6971,7,FALSE)</f>
        <v>0</v>
      </c>
    </row>
    <row r="2234" spans="1:11" ht="14.5">
      <c r="A2234" s="20" t="s">
        <v>19407</v>
      </c>
      <c r="B2234" s="20">
        <v>30</v>
      </c>
      <c r="C2234" s="20">
        <v>31</v>
      </c>
      <c r="D2234" s="20">
        <v>76</v>
      </c>
      <c r="E2234" s="20">
        <v>15</v>
      </c>
      <c r="F2234" s="20" t="s">
        <v>19408</v>
      </c>
      <c r="G2234" s="20" t="s">
        <v>19409</v>
      </c>
      <c r="H2234" s="24"/>
      <c r="I2234" s="24" t="str">
        <f ca="1">IFERROR(__xludf.DUMMYFUNCTION("GOOGLETRANSLATE(F2234,""en"",""pt"")"),"Cold-aplicada concreto pavimento selantes conjuntas betuminosos")</f>
        <v>Cold-aplicada concreto pavimento selantes conjuntas betuminosos</v>
      </c>
      <c r="J2234">
        <f>VLOOKUP(A2234,Pr_Base_LNEC!$A$4:$J$6971,6,FALSE)</f>
        <v>0</v>
      </c>
      <c r="K2234">
        <f>VLOOKUP(A2234,Pr_Base_LNEC!$A$4:$J$6971,7,FALSE)</f>
        <v>0</v>
      </c>
    </row>
    <row r="2235" spans="1:11" ht="14.5">
      <c r="A2235" s="20" t="s">
        <v>19410</v>
      </c>
      <c r="B2235" s="20">
        <v>30</v>
      </c>
      <c r="C2235" s="20">
        <v>31</v>
      </c>
      <c r="D2235" s="20">
        <v>76</v>
      </c>
      <c r="E2235" s="20">
        <v>16</v>
      </c>
      <c r="F2235" s="20" t="s">
        <v>19411</v>
      </c>
      <c r="G2235" s="20" t="s">
        <v>19412</v>
      </c>
      <c r="H2235" s="24"/>
      <c r="I2235" s="24" t="str">
        <f ca="1">IFERROR(__xludf.DUMMYFUNCTION("GOOGLETRANSLATE(F2235,""en"",""pt"")"),"Construção selantes conjuntas")</f>
        <v>Construção selantes conjuntas</v>
      </c>
      <c r="J2235">
        <f>VLOOKUP(A2235,Pr_Base_LNEC!$A$4:$J$6971,6,FALSE)</f>
        <v>0</v>
      </c>
      <c r="K2235">
        <f>VLOOKUP(A2235,Pr_Base_LNEC!$A$4:$J$6971,7,FALSE)</f>
        <v>0</v>
      </c>
    </row>
    <row r="2236" spans="1:11" ht="14.5">
      <c r="A2236" s="20" t="s">
        <v>19413</v>
      </c>
      <c r="B2236" s="20">
        <v>30</v>
      </c>
      <c r="C2236" s="20">
        <v>31</v>
      </c>
      <c r="D2236" s="20">
        <v>76</v>
      </c>
      <c r="E2236" s="20">
        <v>26</v>
      </c>
      <c r="F2236" s="20" t="s">
        <v>19414</v>
      </c>
      <c r="G2236" s="20" t="s">
        <v>19415</v>
      </c>
      <c r="H2236" s="24"/>
      <c r="I2236" s="24" t="str">
        <f ca="1">IFERROR(__xludf.DUMMYFUNCTION("GOOGLETRANSLATE(F2236,""en"",""pt"")"),"selantes de Borda")</f>
        <v>selantes de Borda</v>
      </c>
      <c r="J2236">
        <f>VLOOKUP(A2236,Pr_Base_LNEC!$A$4:$J$6971,6,FALSE)</f>
        <v>0</v>
      </c>
      <c r="K2236">
        <f>VLOOKUP(A2236,Pr_Base_LNEC!$A$4:$J$6971,7,FALSE)</f>
        <v>0</v>
      </c>
    </row>
    <row r="2237" spans="1:11" ht="14.5">
      <c r="A2237" s="20" t="s">
        <v>19416</v>
      </c>
      <c r="B2237" s="20">
        <v>30</v>
      </c>
      <c r="C2237" s="20">
        <v>31</v>
      </c>
      <c r="D2237" s="20">
        <v>76</v>
      </c>
      <c r="E2237" s="20">
        <v>27</v>
      </c>
      <c r="F2237" s="20" t="s">
        <v>19417</v>
      </c>
      <c r="G2237" s="24"/>
      <c r="H2237" s="24"/>
      <c r="I2237" s="24" t="str">
        <f ca="1">IFERROR(__xludf.DUMMYFUNCTION("GOOGLETRANSLATE(F2237,""en"",""pt"")"),"compostos isolantes eléctricos")</f>
        <v>compostos isolantes eléctricos</v>
      </c>
      <c r="J2237" t="e">
        <f>VLOOKUP(A2237,Pr_Base_LNEC!$A$4:$J$6971,6,FALSE)</f>
        <v>#N/A</v>
      </c>
      <c r="K2237" t="e">
        <f>VLOOKUP(A2237,Pr_Base_LNEC!$A$4:$J$6971,7,FALSE)</f>
        <v>#N/A</v>
      </c>
    </row>
    <row r="2238" spans="1:11" ht="14.5">
      <c r="A2238" s="20" t="s">
        <v>19418</v>
      </c>
      <c r="B2238" s="20">
        <v>30</v>
      </c>
      <c r="C2238" s="20">
        <v>31</v>
      </c>
      <c r="D2238" s="20">
        <v>76</v>
      </c>
      <c r="E2238" s="20">
        <v>33</v>
      </c>
      <c r="F2238" s="20" t="s">
        <v>19419</v>
      </c>
      <c r="G2238" s="20" t="s">
        <v>19420</v>
      </c>
      <c r="H2238" s="24"/>
      <c r="I2238" s="24" t="str">
        <f ca="1">IFERROR(__xludf.DUMMYFUNCTION("GOOGLETRANSLATE(F2238,""en"",""pt"")"),"Vidra de compostos e selantes")</f>
        <v>Vidra de compostos e selantes</v>
      </c>
      <c r="J2238">
        <f>VLOOKUP(A2238,Pr_Base_LNEC!$A$4:$J$6971,6,FALSE)</f>
        <v>0</v>
      </c>
      <c r="K2238">
        <f>VLOOKUP(A2238,Pr_Base_LNEC!$A$4:$J$6971,7,FALSE)</f>
        <v>0</v>
      </c>
    </row>
    <row r="2239" spans="1:11" ht="14.5">
      <c r="A2239" s="20" t="s">
        <v>19421</v>
      </c>
      <c r="B2239" s="20">
        <v>30</v>
      </c>
      <c r="C2239" s="20">
        <v>31</v>
      </c>
      <c r="D2239" s="20">
        <v>76</v>
      </c>
      <c r="E2239" s="20">
        <v>34</v>
      </c>
      <c r="F2239" s="20" t="s">
        <v>19422</v>
      </c>
      <c r="G2239" s="24"/>
      <c r="H2239" s="24"/>
      <c r="I2239" s="24" t="str">
        <f ca="1">IFERROR(__xludf.DUMMYFUNCTION("GOOGLETRANSLATE(F2239,""en"",""pt"")"),"Vidros selantes conjuntas")</f>
        <v>Vidros selantes conjuntas</v>
      </c>
      <c r="J2239">
        <f>VLOOKUP(A2239,Pr_Base_LNEC!$A$4:$J$6971,6,FALSE)</f>
        <v>0</v>
      </c>
      <c r="K2239">
        <f>VLOOKUP(A2239,Pr_Base_LNEC!$A$4:$J$6971,7,FALSE)</f>
        <v>0</v>
      </c>
    </row>
    <row r="2240" spans="1:11" ht="14.5">
      <c r="A2240" s="20" t="s">
        <v>19423</v>
      </c>
      <c r="B2240" s="20">
        <v>30</v>
      </c>
      <c r="C2240" s="20">
        <v>31</v>
      </c>
      <c r="D2240" s="20">
        <v>76</v>
      </c>
      <c r="E2240" s="20">
        <v>38</v>
      </c>
      <c r="F2240" s="20" t="s">
        <v>19424</v>
      </c>
      <c r="G2240" s="20" t="s">
        <v>19425</v>
      </c>
      <c r="H2240" s="24"/>
      <c r="I2240" s="24" t="str">
        <f ca="1">IFERROR(__xludf.DUMMYFUNCTION("GOOGLETRANSLATE(F2240,""en"",""pt"")"),"Hot-aplicados selantes conjuntas betuminosos")</f>
        <v>Hot-aplicados selantes conjuntas betuminosos</v>
      </c>
      <c r="J2240">
        <f>VLOOKUP(A2240,Pr_Base_LNEC!$A$4:$J$6971,6,FALSE)</f>
        <v>0</v>
      </c>
      <c r="K2240">
        <f>VLOOKUP(A2240,Pr_Base_LNEC!$A$4:$J$6971,7,FALSE)</f>
        <v>0</v>
      </c>
    </row>
    <row r="2241" spans="1:11" ht="14.5">
      <c r="A2241" s="20" t="s">
        <v>19426</v>
      </c>
      <c r="B2241" s="20">
        <v>30</v>
      </c>
      <c r="C2241" s="20">
        <v>31</v>
      </c>
      <c r="D2241" s="20">
        <v>76</v>
      </c>
      <c r="E2241" s="20">
        <v>39</v>
      </c>
      <c r="F2241" s="20" t="s">
        <v>19427</v>
      </c>
      <c r="G2241" s="20" t="s">
        <v>19428</v>
      </c>
      <c r="H2241" s="24"/>
      <c r="I2241" s="24" t="str">
        <f ca="1">IFERROR(__xludf.DUMMYFUNCTION("GOOGLETRANSLATE(F2241,""en"",""pt"")"),"selantes hidrofílicos")</f>
        <v>selantes hidrofílicos</v>
      </c>
      <c r="J2241">
        <f>VLOOKUP(A2241,Pr_Base_LNEC!$A$4:$J$6971,6,FALSE)</f>
        <v>0</v>
      </c>
      <c r="K2241">
        <f>VLOOKUP(A2241,Pr_Base_LNEC!$A$4:$J$6971,7,FALSE)</f>
        <v>0</v>
      </c>
    </row>
    <row r="2242" spans="1:11" ht="14.5">
      <c r="A2242" s="20" t="s">
        <v>19429</v>
      </c>
      <c r="B2242" s="20">
        <v>30</v>
      </c>
      <c r="C2242" s="20">
        <v>31</v>
      </c>
      <c r="D2242" s="20">
        <v>76</v>
      </c>
      <c r="E2242" s="20">
        <v>40</v>
      </c>
      <c r="F2242" s="20" t="s">
        <v>19430</v>
      </c>
      <c r="G2242" s="20" t="s">
        <v>19431</v>
      </c>
      <c r="H2242" s="24"/>
      <c r="I2242" s="24" t="str">
        <f ca="1">IFERROR(__xludf.DUMMYFUNCTION("GOOGLETRANSLATE(F2242,""en"",""pt"")"),"selantes firestop intumescentes")</f>
        <v>selantes firestop intumescentes</v>
      </c>
      <c r="J2242">
        <f>VLOOKUP(A2242,Pr_Base_LNEC!$A$4:$J$6971,6,FALSE)</f>
        <v>0</v>
      </c>
      <c r="K2242">
        <f>VLOOKUP(A2242,Pr_Base_LNEC!$A$4:$J$6971,7,FALSE)</f>
        <v>0</v>
      </c>
    </row>
    <row r="2243" spans="1:11" ht="14.5">
      <c r="A2243" s="20" t="s">
        <v>19432</v>
      </c>
      <c r="B2243" s="20">
        <v>30</v>
      </c>
      <c r="C2243" s="20">
        <v>31</v>
      </c>
      <c r="D2243" s="20">
        <v>76</v>
      </c>
      <c r="E2243" s="20">
        <v>41</v>
      </c>
      <c r="F2243" s="20" t="s">
        <v>19433</v>
      </c>
      <c r="G2243" s="20" t="s">
        <v>19434</v>
      </c>
      <c r="H2243" s="24"/>
      <c r="I2243" s="24" t="str">
        <f ca="1">IFERROR(__xludf.DUMMYFUNCTION("GOOGLETRANSLATE(F2243,""en"",""pt"")"),"agentes de enchimento de espuma intumescente")</f>
        <v>agentes de enchimento de espuma intumescente</v>
      </c>
      <c r="J2243">
        <f>VLOOKUP(A2243,Pr_Base_LNEC!$A$4:$J$6971,6,FALSE)</f>
        <v>0</v>
      </c>
      <c r="K2243">
        <f>VLOOKUP(A2243,Pr_Base_LNEC!$A$4:$J$6971,7,FALSE)</f>
        <v>0</v>
      </c>
    </row>
    <row r="2244" spans="1:11" ht="14.5">
      <c r="A2244" s="20" t="s">
        <v>19435</v>
      </c>
      <c r="B2244" s="20">
        <v>30</v>
      </c>
      <c r="C2244" s="20">
        <v>31</v>
      </c>
      <c r="D2244" s="20">
        <v>76</v>
      </c>
      <c r="E2244" s="20">
        <v>58</v>
      </c>
      <c r="F2244" s="20" t="s">
        <v>19436</v>
      </c>
      <c r="G2244" s="20" t="s">
        <v>19437</v>
      </c>
      <c r="H2244" s="24"/>
      <c r="I2244" s="24" t="str">
        <f ca="1">IFERROR(__xludf.DUMMYFUNCTION("GOOGLETRANSLATE(F2244,""en"",""pt"")"),"selantes conjuntas aroeira à base de óleo")</f>
        <v>selantes conjuntas aroeira à base de óleo</v>
      </c>
      <c r="J2244">
        <f>VLOOKUP(A2244,Pr_Base_LNEC!$A$4:$J$6971,6,FALSE)</f>
        <v>0</v>
      </c>
      <c r="K2244">
        <f>VLOOKUP(A2244,Pr_Base_LNEC!$A$4:$J$6971,7,FALSE)</f>
        <v>0</v>
      </c>
    </row>
    <row r="2245" spans="1:11" ht="14.5">
      <c r="A2245" s="20" t="s">
        <v>19438</v>
      </c>
      <c r="B2245" s="20">
        <v>30</v>
      </c>
      <c r="C2245" s="20">
        <v>31</v>
      </c>
      <c r="D2245" s="20">
        <v>76</v>
      </c>
      <c r="E2245" s="20">
        <v>62</v>
      </c>
      <c r="F2245" s="20" t="s">
        <v>19439</v>
      </c>
      <c r="G2245" s="20" t="s">
        <v>19440</v>
      </c>
      <c r="H2245" s="24"/>
      <c r="I2245" s="24" t="str">
        <f ca="1">IFERROR(__xludf.DUMMYFUNCTION("GOOGLETRANSLATE(F2245,""en"",""pt"")"),"construção polysulfide selantes conjuntas")</f>
        <v>construção polysulfide selantes conjuntas</v>
      </c>
      <c r="J2245">
        <f>VLOOKUP(A2245,Pr_Base_LNEC!$A$4:$J$6971,6,FALSE)</f>
        <v>0</v>
      </c>
      <c r="K2245">
        <f>VLOOKUP(A2245,Pr_Base_LNEC!$A$4:$J$6971,7,FALSE)</f>
        <v>0</v>
      </c>
    </row>
    <row r="2246" spans="1:11" ht="14.5">
      <c r="A2246" s="20" t="s">
        <v>19441</v>
      </c>
      <c r="B2246" s="20">
        <v>30</v>
      </c>
      <c r="C2246" s="20">
        <v>31</v>
      </c>
      <c r="D2246" s="20">
        <v>76</v>
      </c>
      <c r="E2246" s="20">
        <v>63</v>
      </c>
      <c r="F2246" s="20" t="s">
        <v>19442</v>
      </c>
      <c r="G2246" s="20" t="s">
        <v>19443</v>
      </c>
      <c r="H2246" s="24"/>
      <c r="I2246" s="24" t="str">
        <f ca="1">IFERROR(__xludf.DUMMYFUNCTION("GOOGLETRANSLATE(F2246,""en"",""pt"")"),"Polissulfureto vidraças compostos e selantes")</f>
        <v>Polissulfureto vidraças compostos e selantes</v>
      </c>
      <c r="J2246">
        <f>VLOOKUP(A2246,Pr_Base_LNEC!$A$4:$J$6971,6,FALSE)</f>
        <v>0</v>
      </c>
      <c r="K2246">
        <f>VLOOKUP(A2246,Pr_Base_LNEC!$A$4:$J$6971,7,FALSE)</f>
        <v>0</v>
      </c>
    </row>
    <row r="2247" spans="1:11" ht="14.5">
      <c r="A2247" s="20" t="s">
        <v>19444</v>
      </c>
      <c r="B2247" s="20">
        <v>30</v>
      </c>
      <c r="C2247" s="20">
        <v>31</v>
      </c>
      <c r="D2247" s="20">
        <v>76</v>
      </c>
      <c r="E2247" s="20">
        <v>65</v>
      </c>
      <c r="F2247" s="20" t="s">
        <v>19445</v>
      </c>
      <c r="G2247" s="20" t="s">
        <v>19446</v>
      </c>
      <c r="H2247" s="24"/>
      <c r="I2247" s="24" t="str">
        <f ca="1">IFERROR(__xludf.DUMMYFUNCTION("GOOGLETRANSLATE(F2247,""en"",""pt"")"),"Poliuretano (PUR) selantes construção conjunta")</f>
        <v>Poliuretano (PUR) selantes construção conjunta</v>
      </c>
      <c r="J2247">
        <f>VLOOKUP(A2247,Pr_Base_LNEC!$A$4:$J$6971,6,FALSE)</f>
        <v>0</v>
      </c>
      <c r="K2247">
        <f>VLOOKUP(A2247,Pr_Base_LNEC!$A$4:$J$6971,7,FALSE)</f>
        <v>0</v>
      </c>
    </row>
    <row r="2248" spans="1:11" ht="14.5">
      <c r="A2248" s="20" t="s">
        <v>19447</v>
      </c>
      <c r="B2248" s="20">
        <v>30</v>
      </c>
      <c r="C2248" s="20">
        <v>31</v>
      </c>
      <c r="D2248" s="20">
        <v>76</v>
      </c>
      <c r="E2248" s="20">
        <v>66</v>
      </c>
      <c r="F2248" s="20" t="s">
        <v>19448</v>
      </c>
      <c r="G2248" s="20" t="s">
        <v>19449</v>
      </c>
      <c r="H2248" s="24"/>
      <c r="I2248" s="24" t="str">
        <f ca="1">IFERROR(__xludf.DUMMYFUNCTION("GOOGLETRANSLATE(F2248,""en"",""pt"")"),"Poliuretano (PUR) expandindo os agentes de enchimento de espuma")</f>
        <v>Poliuretano (PUR) expandindo os agentes de enchimento de espuma</v>
      </c>
      <c r="J2248">
        <f>VLOOKUP(A2248,Pr_Base_LNEC!$A$4:$J$6971,6,FALSE)</f>
        <v>0</v>
      </c>
      <c r="K2248">
        <f>VLOOKUP(A2248,Pr_Base_LNEC!$A$4:$J$6971,7,FALSE)</f>
        <v>0</v>
      </c>
    </row>
    <row r="2249" spans="1:11" ht="14.5">
      <c r="A2249" s="20" t="s">
        <v>19450</v>
      </c>
      <c r="B2249" s="20">
        <v>30</v>
      </c>
      <c r="C2249" s="20">
        <v>31</v>
      </c>
      <c r="D2249" s="20">
        <v>76</v>
      </c>
      <c r="E2249" s="20">
        <v>77</v>
      </c>
      <c r="F2249" s="20" t="s">
        <v>19451</v>
      </c>
      <c r="G2249" s="20" t="s">
        <v>19452</v>
      </c>
      <c r="H2249" s="24"/>
      <c r="I2249" s="24" t="str">
        <f ca="1">IFERROR(__xludf.DUMMYFUNCTION("GOOGLETRANSLATE(F2249,""en"",""pt"")"),"construção de silicone selantes conjuntas")</f>
        <v>construção de silicone selantes conjuntas</v>
      </c>
      <c r="J2249">
        <f>VLOOKUP(A2249,Pr_Base_LNEC!$A$4:$J$6971,6,FALSE)</f>
        <v>0</v>
      </c>
      <c r="K2249">
        <f>VLOOKUP(A2249,Pr_Base_LNEC!$A$4:$J$6971,7,FALSE)</f>
        <v>0</v>
      </c>
    </row>
    <row r="2250" spans="1:11" ht="14.5">
      <c r="A2250" s="20" t="s">
        <v>19453</v>
      </c>
      <c r="B2250" s="20">
        <v>30</v>
      </c>
      <c r="C2250" s="20">
        <v>31</v>
      </c>
      <c r="D2250" s="20">
        <v>76</v>
      </c>
      <c r="E2250" s="20">
        <v>78</v>
      </c>
      <c r="F2250" s="20" t="s">
        <v>19454</v>
      </c>
      <c r="G2250" s="20" t="s">
        <v>19455</v>
      </c>
      <c r="H2250" s="24"/>
      <c r="I2250" s="24" t="str">
        <f ca="1">IFERROR(__xludf.DUMMYFUNCTION("GOOGLETRANSLATE(F2250,""en"",""pt"")"),"Silicone vidraças compostos e selantes")</f>
        <v>Silicone vidraças compostos e selantes</v>
      </c>
      <c r="J2250">
        <f>VLOOKUP(A2250,Pr_Base_LNEC!$A$4:$J$6971,6,FALSE)</f>
        <v>0</v>
      </c>
      <c r="K2250">
        <f>VLOOKUP(A2250,Pr_Base_LNEC!$A$4:$J$6971,7,FALSE)</f>
        <v>0</v>
      </c>
    </row>
    <row r="2251" spans="1:11" ht="14.5">
      <c r="A2251" s="20" t="s">
        <v>19456</v>
      </c>
      <c r="B2251" s="20">
        <v>30</v>
      </c>
      <c r="C2251" s="20">
        <v>31</v>
      </c>
      <c r="D2251" s="20">
        <v>76</v>
      </c>
      <c r="E2251" s="20">
        <v>84</v>
      </c>
      <c r="F2251" s="20" t="s">
        <v>19457</v>
      </c>
      <c r="G2251" s="20" t="s">
        <v>19458</v>
      </c>
      <c r="H2251" s="24"/>
      <c r="I2251" s="24" t="str">
        <f ca="1">IFERROR(__xludf.DUMMYFUNCTION("GOOGLETRANSLATE(F2251,""en"",""pt"")"),"selante vidraças selantes colagem estrutural")</f>
        <v>selante vidraças selantes colagem estrutural</v>
      </c>
      <c r="J2251">
        <f>VLOOKUP(A2251,Pr_Base_LNEC!$A$4:$J$6971,6,FALSE)</f>
        <v>0</v>
      </c>
      <c r="K2251">
        <f>VLOOKUP(A2251,Pr_Base_LNEC!$A$4:$J$6971,7,FALSE)</f>
        <v>0</v>
      </c>
    </row>
    <row r="2252" spans="1:11" ht="14.5">
      <c r="A2252" s="20" t="s">
        <v>19459</v>
      </c>
      <c r="B2252" s="20">
        <v>30</v>
      </c>
      <c r="C2252" s="20">
        <v>31</v>
      </c>
      <c r="D2252" s="20">
        <v>76</v>
      </c>
      <c r="E2252" s="20">
        <v>85</v>
      </c>
      <c r="F2252" s="20" t="s">
        <v>19460</v>
      </c>
      <c r="G2252" s="20" t="s">
        <v>19461</v>
      </c>
      <c r="H2252" s="24"/>
      <c r="I2252" s="24" t="str">
        <f ca="1">IFERROR(__xludf.DUMMYFUNCTION("GOOGLETRANSLATE(F2252,""en"",""pt"")"),"selantes vidros selantes tempo estruturais")</f>
        <v>selantes vidros selantes tempo estruturais</v>
      </c>
      <c r="J2252">
        <f>VLOOKUP(A2252,Pr_Base_LNEC!$A$4:$J$6971,6,FALSE)</f>
        <v>0</v>
      </c>
      <c r="K2252">
        <f>VLOOKUP(A2252,Pr_Base_LNEC!$A$4:$J$6971,7,FALSE)</f>
        <v>0</v>
      </c>
    </row>
    <row r="2253" spans="1:11" ht="14.5">
      <c r="A2253" s="20" t="s">
        <v>19462</v>
      </c>
      <c r="B2253" s="20">
        <v>30</v>
      </c>
      <c r="C2253" s="20">
        <v>31</v>
      </c>
      <c r="D2253" s="20">
        <v>76</v>
      </c>
      <c r="E2253" s="20">
        <v>96</v>
      </c>
      <c r="F2253" s="20" t="s">
        <v>19463</v>
      </c>
      <c r="G2253" s="20" t="s">
        <v>19464</v>
      </c>
      <c r="H2253" s="24"/>
      <c r="I2253" s="24" t="str">
        <f ca="1">IFERROR(__xludf.DUMMYFUNCTION("GOOGLETRANSLATE(F2253,""en"",""pt"")"),"selantes abertura de enchimento UV")</f>
        <v>selantes abertura de enchimento UV</v>
      </c>
      <c r="J2253">
        <f>VLOOKUP(A2253,Pr_Base_LNEC!$A$4:$J$6971,6,FALSE)</f>
        <v>0</v>
      </c>
      <c r="K2253">
        <f>VLOOKUP(A2253,Pr_Base_LNEC!$A$4:$J$6971,7,FALSE)</f>
        <v>0</v>
      </c>
    </row>
    <row r="2254" spans="1:11" ht="14.5">
      <c r="A2254" s="20" t="s">
        <v>19465</v>
      </c>
      <c r="B2254" s="20">
        <v>30</v>
      </c>
      <c r="C2254" s="20">
        <v>36</v>
      </c>
      <c r="D2254" s="24"/>
      <c r="E2254" s="24"/>
      <c r="F2254" s="20" t="s">
        <v>19466</v>
      </c>
      <c r="G2254" s="24"/>
      <c r="H2254" s="24"/>
      <c r="I2254" s="24" t="str">
        <f ca="1">IFERROR(__xludf.DUMMYFUNCTION("GOOGLETRANSLATE(F2254,""en"",""pt"")"),"produtos de hardware")</f>
        <v>produtos de hardware</v>
      </c>
      <c r="J2254" t="str">
        <f>VLOOKUP(A2254,Pr_Base_LNEC!$A$4:$J$6971,6,FALSE)</f>
        <v>Produtos para Equipamentos</v>
      </c>
      <c r="K2254">
        <f>VLOOKUP(A2254,Pr_Base_LNEC!$A$4:$J$6971,7,FALSE)</f>
        <v>0</v>
      </c>
    </row>
    <row r="2255" spans="1:11" ht="14.5">
      <c r="A2255" s="20" t="s">
        <v>19467</v>
      </c>
      <c r="B2255" s="20">
        <v>30</v>
      </c>
      <c r="C2255" s="20">
        <v>36</v>
      </c>
      <c r="D2255" s="20">
        <v>8</v>
      </c>
      <c r="E2255" s="24"/>
      <c r="F2255" s="20" t="s">
        <v>19468</v>
      </c>
      <c r="G2255" s="24"/>
      <c r="H2255" s="24"/>
      <c r="I2255" s="24" t="str">
        <f ca="1">IFERROR(__xludf.DUMMYFUNCTION("GOOGLETRANSLATE(F2255,""en"",""pt"")"),"Aparafusamento, de fixação e de bloqueio de hardware")</f>
        <v>Aparafusamento, de fixação e de bloqueio de hardware</v>
      </c>
      <c r="J2255" t="str">
        <f>VLOOKUP(A2255,Pr_Base_LNEC!$A$4:$J$6971,6,FALSE)</f>
        <v>Equipamentos para trancar, bloquear e travar</v>
      </c>
      <c r="K2255">
        <f>VLOOKUP(A2255,Pr_Base_LNEC!$A$4:$J$6971,7,FALSE)</f>
        <v>0</v>
      </c>
    </row>
    <row r="2256" spans="1:11" ht="14.5">
      <c r="A2256" s="20" t="s">
        <v>19469</v>
      </c>
      <c r="B2256" s="20">
        <v>30</v>
      </c>
      <c r="C2256" s="20">
        <v>36</v>
      </c>
      <c r="D2256" s="20">
        <v>8</v>
      </c>
      <c r="E2256" s="20">
        <v>6</v>
      </c>
      <c r="F2256" s="20" t="s">
        <v>19470</v>
      </c>
      <c r="G2256" s="24"/>
      <c r="H2256" s="24"/>
      <c r="I2256" s="24" t="str">
        <f ca="1">IFERROR(__xludf.DUMMYFUNCTION("GOOGLETRANSLATE(F2256,""en"",""pt"")"),"parafusos barril")</f>
        <v>parafusos barril</v>
      </c>
      <c r="J2256">
        <f>VLOOKUP(A2256,Pr_Base_LNEC!$A$4:$J$6971,6,FALSE)</f>
        <v>0</v>
      </c>
      <c r="K2256">
        <f>VLOOKUP(A2256,Pr_Base_LNEC!$A$4:$J$6971,7,FALSE)</f>
        <v>0</v>
      </c>
    </row>
    <row r="2257" spans="1:11" ht="14.5">
      <c r="A2257" s="20" t="s">
        <v>19471</v>
      </c>
      <c r="B2257" s="20">
        <v>30</v>
      </c>
      <c r="C2257" s="20">
        <v>36</v>
      </c>
      <c r="D2257" s="20">
        <v>8</v>
      </c>
      <c r="E2257" s="20">
        <v>11</v>
      </c>
      <c r="F2257" s="20" t="s">
        <v>19472</v>
      </c>
      <c r="G2257" s="24"/>
      <c r="H2257" s="24"/>
      <c r="I2257" s="24" t="str">
        <f ca="1">IFERROR(__xludf.DUMMYFUNCTION("GOOGLETRANSLATE(F2257,""en"",""pt"")"),"gabinete fechaduras")</f>
        <v>gabinete fechaduras</v>
      </c>
      <c r="J2257">
        <f>VLOOKUP(A2257,Pr_Base_LNEC!$A$4:$J$6971,6,FALSE)</f>
        <v>0</v>
      </c>
      <c r="K2257">
        <f>VLOOKUP(A2257,Pr_Base_LNEC!$A$4:$J$6971,7,FALSE)</f>
        <v>0</v>
      </c>
    </row>
    <row r="2258" spans="1:11" ht="14.5">
      <c r="A2258" s="20" t="s">
        <v>19473</v>
      </c>
      <c r="B2258" s="20">
        <v>30</v>
      </c>
      <c r="C2258" s="20">
        <v>36</v>
      </c>
      <c r="D2258" s="20">
        <v>8</v>
      </c>
      <c r="E2258" s="20">
        <v>12</v>
      </c>
      <c r="F2258" s="20" t="s">
        <v>19474</v>
      </c>
      <c r="G2258" s="24"/>
      <c r="H2258" s="24"/>
      <c r="I2258" s="24" t="str">
        <f ca="1">IFERROR(__xludf.DUMMYFUNCTION("GOOGLETRANSLATE(F2258,""en"",""pt"")"),"fechaduras de came")</f>
        <v>fechaduras de came</v>
      </c>
      <c r="J2258">
        <f>VLOOKUP(A2258,Pr_Base_LNEC!$A$4:$J$6971,6,FALSE)</f>
        <v>0</v>
      </c>
      <c r="K2258">
        <f>VLOOKUP(A2258,Pr_Base_LNEC!$A$4:$J$6971,7,FALSE)</f>
        <v>0</v>
      </c>
    </row>
    <row r="2259" spans="1:11" ht="14.5">
      <c r="A2259" s="20" t="s">
        <v>19475</v>
      </c>
      <c r="B2259" s="20">
        <v>30</v>
      </c>
      <c r="C2259" s="20">
        <v>36</v>
      </c>
      <c r="D2259" s="20">
        <v>8</v>
      </c>
      <c r="E2259" s="20">
        <v>13</v>
      </c>
      <c r="F2259" s="20" t="s">
        <v>19476</v>
      </c>
      <c r="G2259" s="24"/>
      <c r="H2259" s="24"/>
      <c r="I2259" s="24" t="str">
        <f ca="1">IFERROR(__xludf.DUMMYFUNCTION("GOOGLETRANSLATE(F2259,""en"",""pt"")"),"A cavidade de deslizamento fechaduras de portas")</f>
        <v>A cavidade de deslizamento fechaduras de portas</v>
      </c>
      <c r="J2259" t="e">
        <f>VLOOKUP(A2259,Pr_Base_LNEC!$A$4:$J$6971,6,FALSE)</f>
        <v>#N/A</v>
      </c>
      <c r="K2259" t="e">
        <f>VLOOKUP(A2259,Pr_Base_LNEC!$A$4:$J$6971,7,FALSE)</f>
        <v>#N/A</v>
      </c>
    </row>
    <row r="2260" spans="1:11" ht="14.5">
      <c r="A2260" s="20" t="s">
        <v>19477</v>
      </c>
      <c r="B2260" s="20">
        <v>30</v>
      </c>
      <c r="C2260" s="20">
        <v>36</v>
      </c>
      <c r="D2260" s="20">
        <v>8</v>
      </c>
      <c r="E2260" s="20">
        <v>15</v>
      </c>
      <c r="F2260" s="20" t="s">
        <v>19478</v>
      </c>
      <c r="G2260" s="24"/>
      <c r="H2260" s="24"/>
      <c r="I2260" s="24" t="str">
        <f ca="1">IFERROR(__xludf.DUMMYFUNCTION("GOOGLETRANSLATE(F2260,""en"",""pt"")"),"fechaduras operadas por moedas")</f>
        <v>fechaduras operadas por moedas</v>
      </c>
      <c r="J2260">
        <f>VLOOKUP(A2260,Pr_Base_LNEC!$A$4:$J$6971,6,FALSE)</f>
        <v>0</v>
      </c>
      <c r="K2260">
        <f>VLOOKUP(A2260,Pr_Base_LNEC!$A$4:$J$6971,7,FALSE)</f>
        <v>0</v>
      </c>
    </row>
    <row r="2261" spans="1:11" ht="14.5">
      <c r="A2261" s="20" t="s">
        <v>19479</v>
      </c>
      <c r="B2261" s="20">
        <v>30</v>
      </c>
      <c r="C2261" s="20">
        <v>36</v>
      </c>
      <c r="D2261" s="20">
        <v>8</v>
      </c>
      <c r="E2261" s="20">
        <v>16</v>
      </c>
      <c r="F2261" s="20" t="s">
        <v>19480</v>
      </c>
      <c r="G2261" s="24"/>
      <c r="H2261" s="24"/>
      <c r="I2261" s="24" t="str">
        <f ca="1">IFERROR(__xludf.DUMMYFUNCTION("GOOGLETRANSLATE(F2261,""en"",""pt"")"),"cadeados de combinação")</f>
        <v>cadeados de combinação</v>
      </c>
      <c r="J2261">
        <f>VLOOKUP(A2261,Pr_Base_LNEC!$A$4:$J$6971,6,FALSE)</f>
        <v>0</v>
      </c>
      <c r="K2261">
        <f>VLOOKUP(A2261,Pr_Base_LNEC!$A$4:$J$6971,7,FALSE)</f>
        <v>0</v>
      </c>
    </row>
    <row r="2262" spans="1:11" ht="14.5">
      <c r="A2262" s="20" t="s">
        <v>19481</v>
      </c>
      <c r="B2262" s="20">
        <v>30</v>
      </c>
      <c r="C2262" s="20">
        <v>36</v>
      </c>
      <c r="D2262" s="20">
        <v>8</v>
      </c>
      <c r="E2262" s="20">
        <v>18</v>
      </c>
      <c r="F2262" s="20" t="s">
        <v>19482</v>
      </c>
      <c r="G2262" s="24"/>
      <c r="H2262" s="24"/>
      <c r="I2262" s="24" t="str">
        <f ca="1">IFERROR(__xludf.DUMMYFUNCTION("GOOGLETRANSLATE(F2262,""en"",""pt"")"),"parafusos Cremorne")</f>
        <v>parafusos Cremorne</v>
      </c>
      <c r="J2262">
        <f>VLOOKUP(A2262,Pr_Base_LNEC!$A$4:$J$6971,6,FALSE)</f>
        <v>0</v>
      </c>
      <c r="K2262">
        <f>VLOOKUP(A2262,Pr_Base_LNEC!$A$4:$J$6971,7,FALSE)</f>
        <v>0</v>
      </c>
    </row>
    <row r="2263" spans="1:11" ht="14.5">
      <c r="A2263" s="20" t="s">
        <v>19483</v>
      </c>
      <c r="B2263" s="20">
        <v>30</v>
      </c>
      <c r="C2263" s="20">
        <v>36</v>
      </c>
      <c r="D2263" s="20">
        <v>8</v>
      </c>
      <c r="E2263" s="20">
        <v>19</v>
      </c>
      <c r="F2263" s="20" t="s">
        <v>19484</v>
      </c>
      <c r="G2263" s="24"/>
      <c r="H2263" s="24"/>
      <c r="I2263" s="24" t="str">
        <f ca="1">IFERROR(__xludf.DUMMYFUNCTION("GOOGLETRANSLATE(F2263,""en"",""pt"")"),"fechaduras de cilindro")</f>
        <v>fechaduras de cilindro</v>
      </c>
      <c r="J2263">
        <f>VLOOKUP(A2263,Pr_Base_LNEC!$A$4:$J$6971,6,FALSE)</f>
        <v>0</v>
      </c>
      <c r="K2263">
        <f>VLOOKUP(A2263,Pr_Base_LNEC!$A$4:$J$6971,7,FALSE)</f>
        <v>0</v>
      </c>
    </row>
    <row r="2264" spans="1:11" ht="14.5">
      <c r="A2264" s="20" t="s">
        <v>19485</v>
      </c>
      <c r="B2264" s="20">
        <v>30</v>
      </c>
      <c r="C2264" s="20">
        <v>36</v>
      </c>
      <c r="D2264" s="20">
        <v>8</v>
      </c>
      <c r="E2264" s="20">
        <v>20</v>
      </c>
      <c r="F2264" s="20" t="s">
        <v>19486</v>
      </c>
      <c r="G2264" s="24"/>
      <c r="H2264" s="24"/>
      <c r="I2264" s="24" t="str">
        <f ca="1">IFERROR(__xludf.DUMMYFUNCTION("GOOGLETRANSLATE(F2264,""en"",""pt"")"),"deadbolts")</f>
        <v>deadbolts</v>
      </c>
      <c r="J2264">
        <f>VLOOKUP(A2264,Pr_Base_LNEC!$A$4:$J$6971,6,FALSE)</f>
        <v>0</v>
      </c>
      <c r="K2264">
        <f>VLOOKUP(A2264,Pr_Base_LNEC!$A$4:$J$6971,7,FALSE)</f>
        <v>0</v>
      </c>
    </row>
    <row r="2265" spans="1:11" ht="14.5">
      <c r="A2265" s="20" t="s">
        <v>19487</v>
      </c>
      <c r="B2265" s="20">
        <v>30</v>
      </c>
      <c r="C2265" s="20">
        <v>36</v>
      </c>
      <c r="D2265" s="20">
        <v>8</v>
      </c>
      <c r="E2265" s="20">
        <v>21</v>
      </c>
      <c r="F2265" s="20" t="s">
        <v>19488</v>
      </c>
      <c r="G2265" s="24"/>
      <c r="H2265" s="24"/>
      <c r="I2265" s="24" t="str">
        <f ca="1">IFERROR(__xludf.DUMMYFUNCTION("GOOGLETRANSLATE(F2265,""en"",""pt"")"),"fechaduras de portas digitais")</f>
        <v>fechaduras de portas digitais</v>
      </c>
      <c r="J2265">
        <f>VLOOKUP(A2265,Pr_Base_LNEC!$A$4:$J$6971,6,FALSE)</f>
        <v>0</v>
      </c>
      <c r="K2265">
        <f>VLOOKUP(A2265,Pr_Base_LNEC!$A$4:$J$6971,7,FALSE)</f>
        <v>0</v>
      </c>
    </row>
    <row r="2266" spans="1:11" ht="14.5">
      <c r="A2266" s="20" t="s">
        <v>19489</v>
      </c>
      <c r="B2266" s="20">
        <v>30</v>
      </c>
      <c r="C2266" s="20">
        <v>36</v>
      </c>
      <c r="D2266" s="20">
        <v>8</v>
      </c>
      <c r="E2266" s="20">
        <v>22</v>
      </c>
      <c r="F2266" s="20" t="s">
        <v>19490</v>
      </c>
      <c r="G2266" s="24"/>
      <c r="H2266" s="24"/>
      <c r="I2266" s="24" t="str">
        <f ca="1">IFERROR(__xludf.DUMMYFUNCTION("GOOGLETRANSLATE(F2266,""en"",""pt"")"),"parafusos de porta")</f>
        <v>parafusos de porta</v>
      </c>
      <c r="J2266">
        <f>VLOOKUP(A2266,Pr_Base_LNEC!$A$4:$J$6971,6,FALSE)</f>
        <v>0</v>
      </c>
      <c r="K2266">
        <f>VLOOKUP(A2266,Pr_Base_LNEC!$A$4:$J$6971,7,FALSE)</f>
        <v>0</v>
      </c>
    </row>
    <row r="2267" spans="1:11" ht="14.5">
      <c r="A2267" s="20" t="s">
        <v>19491</v>
      </c>
      <c r="B2267" s="20">
        <v>30</v>
      </c>
      <c r="C2267" s="20">
        <v>36</v>
      </c>
      <c r="D2267" s="20">
        <v>8</v>
      </c>
      <c r="E2267" s="20">
        <v>23</v>
      </c>
      <c r="F2267" s="20" t="s">
        <v>19492</v>
      </c>
      <c r="G2267" s="20" t="s">
        <v>19493</v>
      </c>
      <c r="H2267" s="24"/>
      <c r="I2267" s="24" t="str">
        <f ca="1">IFERROR(__xludf.DUMMYFUNCTION("GOOGLETRANSLATE(F2267,""en"",""pt"")"),"capturas de porta")</f>
        <v>capturas de porta</v>
      </c>
      <c r="J2267">
        <f>VLOOKUP(A2267,Pr_Base_LNEC!$A$4:$J$6971,6,FALSE)</f>
        <v>0</v>
      </c>
      <c r="K2267">
        <f>VLOOKUP(A2267,Pr_Base_LNEC!$A$4:$J$6971,7,FALSE)</f>
        <v>0</v>
      </c>
    </row>
    <row r="2268" spans="1:11" ht="14.5">
      <c r="A2268" s="20" t="s">
        <v>19494</v>
      </c>
      <c r="B2268" s="20">
        <v>30</v>
      </c>
      <c r="C2268" s="20">
        <v>36</v>
      </c>
      <c r="D2268" s="20">
        <v>8</v>
      </c>
      <c r="E2268" s="20">
        <v>24</v>
      </c>
      <c r="F2268" s="20" t="s">
        <v>19495</v>
      </c>
      <c r="G2268" s="20" t="s">
        <v>19496</v>
      </c>
      <c r="H2268" s="24"/>
      <c r="I2268" s="24" t="str">
        <f ca="1">IFERROR(__xludf.DUMMYFUNCTION("GOOGLETRANSLATE(F2268,""en"",""pt"")"),"fechos")</f>
        <v>fechos</v>
      </c>
      <c r="J2268">
        <f>VLOOKUP(A2268,Pr_Base_LNEC!$A$4:$J$6971,6,FALSE)</f>
        <v>0</v>
      </c>
      <c r="K2268">
        <f>VLOOKUP(A2268,Pr_Base_LNEC!$A$4:$J$6971,7,FALSE)</f>
        <v>0</v>
      </c>
    </row>
    <row r="2269" spans="1:11" ht="14.5">
      <c r="A2269" s="20" t="s">
        <v>19497</v>
      </c>
      <c r="B2269" s="20">
        <v>30</v>
      </c>
      <c r="C2269" s="20">
        <v>36</v>
      </c>
      <c r="D2269" s="20">
        <v>8</v>
      </c>
      <c r="E2269" s="20">
        <v>25</v>
      </c>
      <c r="F2269" s="20" t="s">
        <v>19498</v>
      </c>
      <c r="G2269" s="24"/>
      <c r="H2269" s="24"/>
      <c r="I2269" s="24" t="str">
        <f ca="1">IFERROR(__xludf.DUMMYFUNCTION("GOOGLETRANSLATE(F2269,""en"",""pt"")"),"cadeias e fechos de portas")</f>
        <v>cadeias e fechos de portas</v>
      </c>
      <c r="J2269" t="e">
        <f>VLOOKUP(A2269,Pr_Base_LNEC!$A$4:$J$6971,6,FALSE)</f>
        <v>#N/A</v>
      </c>
      <c r="K2269" t="e">
        <f>VLOOKUP(A2269,Pr_Base_LNEC!$A$4:$J$6971,7,FALSE)</f>
        <v>#N/A</v>
      </c>
    </row>
    <row r="2270" spans="1:11" ht="14.5">
      <c r="A2270" s="20" t="s">
        <v>19499</v>
      </c>
      <c r="B2270" s="20">
        <v>30</v>
      </c>
      <c r="C2270" s="20">
        <v>36</v>
      </c>
      <c r="D2270" s="20">
        <v>8</v>
      </c>
      <c r="E2270" s="20">
        <v>26</v>
      </c>
      <c r="F2270" s="20" t="s">
        <v>19500</v>
      </c>
      <c r="G2270" s="20" t="s">
        <v>19501</v>
      </c>
      <c r="H2270" s="24"/>
      <c r="I2270" s="24" t="str">
        <f ca="1">IFERROR(__xludf.DUMMYFUNCTION("GOOGLETRANSLATE(F2270,""en"",""pt"")"),"parafusos indicador privacidade porta")</f>
        <v>parafusos indicador privacidade porta</v>
      </c>
      <c r="J2270">
        <f>VLOOKUP(A2270,Pr_Base_LNEC!$A$4:$J$6971,6,FALSE)</f>
        <v>0</v>
      </c>
      <c r="K2270">
        <f>VLOOKUP(A2270,Pr_Base_LNEC!$A$4:$J$6971,7,FALSE)</f>
        <v>0</v>
      </c>
    </row>
    <row r="2271" spans="1:11" ht="14.5">
      <c r="A2271" s="20" t="s">
        <v>19502</v>
      </c>
      <c r="B2271" s="20">
        <v>30</v>
      </c>
      <c r="C2271" s="20">
        <v>36</v>
      </c>
      <c r="D2271" s="20">
        <v>8</v>
      </c>
      <c r="E2271" s="20">
        <v>27</v>
      </c>
      <c r="F2271" s="20" t="s">
        <v>19503</v>
      </c>
      <c r="G2271" s="24"/>
      <c r="H2271" s="24"/>
      <c r="I2271" s="24" t="str">
        <f ca="1">IFERROR(__xludf.DUMMYFUNCTION("GOOGLETRANSLATE(F2271,""en"",""pt"")"),"travas elétricas")</f>
        <v>travas elétricas</v>
      </c>
      <c r="J2271">
        <f>VLOOKUP(A2271,Pr_Base_LNEC!$A$4:$J$6971,6,FALSE)</f>
        <v>0</v>
      </c>
      <c r="K2271">
        <f>VLOOKUP(A2271,Pr_Base_LNEC!$A$4:$J$6971,7,FALSE)</f>
        <v>0</v>
      </c>
    </row>
    <row r="2272" spans="1:11" ht="14.5">
      <c r="A2272" s="20" t="s">
        <v>19504</v>
      </c>
      <c r="B2272" s="20">
        <v>30</v>
      </c>
      <c r="C2272" s="20">
        <v>36</v>
      </c>
      <c r="D2272" s="20">
        <v>8</v>
      </c>
      <c r="E2272" s="20">
        <v>28</v>
      </c>
      <c r="F2272" s="20" t="s">
        <v>19505</v>
      </c>
      <c r="G2272" s="20" t="s">
        <v>19506</v>
      </c>
      <c r="H2272" s="24"/>
      <c r="I2272" s="24" t="str">
        <f ca="1">IFERROR(__xludf.DUMMYFUNCTION("GOOGLETRANSLATE(F2272,""en"",""pt"")"),"dispositivos de saída de emergência")</f>
        <v>dispositivos de saída de emergência</v>
      </c>
      <c r="J2272">
        <f>VLOOKUP(A2272,Pr_Base_LNEC!$A$4:$J$6971,6,FALSE)</f>
        <v>0</v>
      </c>
      <c r="K2272">
        <f>VLOOKUP(A2272,Pr_Base_LNEC!$A$4:$J$6971,7,FALSE)</f>
        <v>0</v>
      </c>
    </row>
    <row r="2273" spans="1:11" ht="14.5">
      <c r="A2273" s="20" t="s">
        <v>19507</v>
      </c>
      <c r="B2273" s="20">
        <v>30</v>
      </c>
      <c r="C2273" s="20">
        <v>36</v>
      </c>
      <c r="D2273" s="20">
        <v>8</v>
      </c>
      <c r="E2273" s="20">
        <v>29</v>
      </c>
      <c r="F2273" s="20" t="s">
        <v>19508</v>
      </c>
      <c r="G2273" s="20" t="s">
        <v>19509</v>
      </c>
      <c r="H2273" s="24"/>
      <c r="I2273" s="24" t="str">
        <f ca="1">IFERROR(__xludf.DUMMYFUNCTION("GOOGLETRANSLATE(F2273,""en"",""pt"")"),"parafusos espagnolette")</f>
        <v>parafusos espagnolette</v>
      </c>
      <c r="J2273">
        <f>VLOOKUP(A2273,Pr_Base_LNEC!$A$4:$J$6971,6,FALSE)</f>
        <v>0</v>
      </c>
      <c r="K2273">
        <f>VLOOKUP(A2273,Pr_Base_LNEC!$A$4:$J$6971,7,FALSE)</f>
        <v>0</v>
      </c>
    </row>
    <row r="2274" spans="1:11" ht="14.5">
      <c r="A2274" s="20" t="s">
        <v>19510</v>
      </c>
      <c r="B2274" s="20">
        <v>30</v>
      </c>
      <c r="C2274" s="20">
        <v>36</v>
      </c>
      <c r="D2274" s="20">
        <v>8</v>
      </c>
      <c r="E2274" s="20">
        <v>30</v>
      </c>
      <c r="F2274" s="20" t="s">
        <v>19511</v>
      </c>
      <c r="G2274" s="20" t="s">
        <v>19512</v>
      </c>
      <c r="H2274" s="24"/>
      <c r="I2274" s="24" t="str">
        <f ca="1">IFERROR(__xludf.DUMMYFUNCTION("GOOGLETRANSLATE(F2274,""en"",""pt"")"),"capturas fanlight")</f>
        <v>capturas fanlight</v>
      </c>
      <c r="J2274">
        <f>VLOOKUP(A2274,Pr_Base_LNEC!$A$4:$J$6971,6,FALSE)</f>
        <v>0</v>
      </c>
      <c r="K2274">
        <f>VLOOKUP(A2274,Pr_Base_LNEC!$A$4:$J$6971,7,FALSE)</f>
        <v>0</v>
      </c>
    </row>
    <row r="2275" spans="1:11" ht="14.5">
      <c r="A2275" s="20" t="s">
        <v>19513</v>
      </c>
      <c r="B2275" s="20">
        <v>30</v>
      </c>
      <c r="C2275" s="20">
        <v>36</v>
      </c>
      <c r="D2275" s="20">
        <v>8</v>
      </c>
      <c r="E2275" s="20">
        <v>31</v>
      </c>
      <c r="F2275" s="20" t="s">
        <v>19514</v>
      </c>
      <c r="G2275" s="20" t="s">
        <v>19515</v>
      </c>
      <c r="H2275" s="24"/>
      <c r="I2275" s="24" t="str">
        <f ca="1">IFERROR(__xludf.DUMMYFUNCTION("GOOGLETRANSLATE(F2275,""en"",""pt"")"),"Campo conjuntos de captura de primavera portão")</f>
        <v>Campo conjuntos de captura de primavera portão</v>
      </c>
      <c r="J2275">
        <f>VLOOKUP(A2275,Pr_Base_LNEC!$A$4:$J$6971,6,FALSE)</f>
        <v>0</v>
      </c>
      <c r="K2275">
        <f>VLOOKUP(A2275,Pr_Base_LNEC!$A$4:$J$6971,7,FALSE)</f>
        <v>0</v>
      </c>
    </row>
    <row r="2276" spans="1:11" ht="14.5">
      <c r="A2276" s="20" t="s">
        <v>19516</v>
      </c>
      <c r="B2276" s="20">
        <v>30</v>
      </c>
      <c r="C2276" s="20">
        <v>36</v>
      </c>
      <c r="D2276" s="20">
        <v>8</v>
      </c>
      <c r="E2276" s="20">
        <v>32</v>
      </c>
      <c r="F2276" s="20" t="s">
        <v>19517</v>
      </c>
      <c r="G2276" s="24"/>
      <c r="H2276" s="24"/>
      <c r="I2276" s="24" t="str">
        <f ca="1">IFERROR(__xludf.DUMMYFUNCTION("GOOGLETRANSLATE(F2276,""en"",""pt"")"),"parafusos flush")</f>
        <v>parafusos flush</v>
      </c>
      <c r="J2276">
        <f>VLOOKUP(A2276,Pr_Base_LNEC!$A$4:$J$6971,6,FALSE)</f>
        <v>0</v>
      </c>
      <c r="K2276">
        <f>VLOOKUP(A2276,Pr_Base_LNEC!$A$4:$J$6971,7,FALSE)</f>
        <v>0</v>
      </c>
    </row>
    <row r="2277" spans="1:11" ht="14.5">
      <c r="A2277" s="20" t="s">
        <v>19518</v>
      </c>
      <c r="B2277" s="20">
        <v>30</v>
      </c>
      <c r="C2277" s="20">
        <v>36</v>
      </c>
      <c r="D2277" s="20">
        <v>8</v>
      </c>
      <c r="E2277" s="20">
        <v>33</v>
      </c>
      <c r="F2277" s="20" t="s">
        <v>19519</v>
      </c>
      <c r="G2277" s="24"/>
      <c r="H2277" s="24"/>
      <c r="I2277" s="24" t="str">
        <f ca="1">IFERROR(__xludf.DUMMYFUNCTION("GOOGLETRANSLATE(F2277,""en"",""pt"")"),"fechaduras de mobiliário")</f>
        <v>fechaduras de mobiliário</v>
      </c>
      <c r="J2277">
        <f>VLOOKUP(A2277,Pr_Base_LNEC!$A$4:$J$6971,6,FALSE)</f>
        <v>0</v>
      </c>
      <c r="K2277">
        <f>VLOOKUP(A2277,Pr_Base_LNEC!$A$4:$J$6971,7,FALSE)</f>
        <v>0</v>
      </c>
    </row>
    <row r="2278" spans="1:11" ht="14.5">
      <c r="A2278" s="20" t="s">
        <v>19520</v>
      </c>
      <c r="B2278" s="20">
        <v>30</v>
      </c>
      <c r="C2278" s="20">
        <v>36</v>
      </c>
      <c r="D2278" s="20">
        <v>8</v>
      </c>
      <c r="E2278" s="20">
        <v>34</v>
      </c>
      <c r="F2278" s="20" t="s">
        <v>19521</v>
      </c>
      <c r="G2278" s="20" t="s">
        <v>19522</v>
      </c>
      <c r="H2278" s="24"/>
      <c r="I2278" s="24" t="str">
        <f ca="1">IFERROR(__xludf.DUMMYFUNCTION("GOOGLETRANSLATE(F2278,""en"",""pt"")"),"fechos e as capturas de porta")</f>
        <v>fechos e as capturas de porta</v>
      </c>
      <c r="J2278">
        <f>VLOOKUP(A2278,Pr_Base_LNEC!$A$4:$J$6971,6,FALSE)</f>
        <v>0</v>
      </c>
      <c r="K2278">
        <f>VLOOKUP(A2278,Pr_Base_LNEC!$A$4:$J$6971,7,FALSE)</f>
        <v>0</v>
      </c>
    </row>
    <row r="2279" spans="1:11" ht="14.5">
      <c r="A2279" s="20" t="s">
        <v>19523</v>
      </c>
      <c r="B2279" s="20">
        <v>30</v>
      </c>
      <c r="C2279" s="20">
        <v>36</v>
      </c>
      <c r="D2279" s="20">
        <v>8</v>
      </c>
      <c r="E2279" s="20">
        <v>35</v>
      </c>
      <c r="F2279" s="20" t="s">
        <v>19524</v>
      </c>
      <c r="G2279" s="20" t="s">
        <v>19525</v>
      </c>
      <c r="H2279" s="24"/>
      <c r="I2279" s="24" t="str">
        <f ca="1">IFERROR(__xludf.DUMMYFUNCTION("GOOGLETRANSLATE(F2279,""en"",""pt"")"),"Portão lance nos lacetes")</f>
        <v>Portão lance nos lacetes</v>
      </c>
      <c r="J2279">
        <f>VLOOKUP(A2279,Pr_Base_LNEC!$A$4:$J$6971,6,FALSE)</f>
        <v>0</v>
      </c>
      <c r="K2279">
        <f>VLOOKUP(A2279,Pr_Base_LNEC!$A$4:$J$6971,7,FALSE)</f>
        <v>0</v>
      </c>
    </row>
    <row r="2280" spans="1:11" ht="14.5">
      <c r="A2280" s="20" t="s">
        <v>19526</v>
      </c>
      <c r="B2280" s="20">
        <v>30</v>
      </c>
      <c r="C2280" s="20">
        <v>36</v>
      </c>
      <c r="D2280" s="20">
        <v>8</v>
      </c>
      <c r="E2280" s="20">
        <v>42</v>
      </c>
      <c r="F2280" s="20" t="s">
        <v>19527</v>
      </c>
      <c r="G2280" s="24"/>
      <c r="H2280" s="24"/>
      <c r="I2280" s="24" t="str">
        <f ca="1">IFERROR(__xludf.DUMMYFUNCTION("GOOGLETRANSLATE(F2280,""en"",""pt"")"),"fechaduras indicador")</f>
        <v>fechaduras indicador</v>
      </c>
      <c r="J2280">
        <f>VLOOKUP(A2280,Pr_Base_LNEC!$A$4:$J$6971,6,FALSE)</f>
        <v>0</v>
      </c>
      <c r="K2280">
        <f>VLOOKUP(A2280,Pr_Base_LNEC!$A$4:$J$6971,7,FALSE)</f>
        <v>0</v>
      </c>
    </row>
    <row r="2281" spans="1:11" ht="14.5">
      <c r="A2281" s="20" t="s">
        <v>19528</v>
      </c>
      <c r="B2281" s="20">
        <v>30</v>
      </c>
      <c r="C2281" s="20">
        <v>36</v>
      </c>
      <c r="D2281" s="20">
        <v>8</v>
      </c>
      <c r="E2281" s="20">
        <v>43</v>
      </c>
      <c r="F2281" s="20" t="s">
        <v>19529</v>
      </c>
      <c r="G2281" s="24"/>
      <c r="H2281" s="24"/>
      <c r="I2281" s="24" t="str">
        <f ca="1">IFERROR(__xludf.DUMMYFUNCTION("GOOGLETRANSLATE(F2281,""en"",""pt"")"),"fechaduras de cartão-chave")</f>
        <v>fechaduras de cartão-chave</v>
      </c>
      <c r="J2281">
        <f>VLOOKUP(A2281,Pr_Base_LNEC!$A$4:$J$6971,6,FALSE)</f>
        <v>0</v>
      </c>
      <c r="K2281">
        <f>VLOOKUP(A2281,Pr_Base_LNEC!$A$4:$J$6971,7,FALSE)</f>
        <v>0</v>
      </c>
    </row>
    <row r="2282" spans="1:11" ht="14.5">
      <c r="A2282" s="20" t="s">
        <v>19530</v>
      </c>
      <c r="B2282" s="20">
        <v>30</v>
      </c>
      <c r="C2282" s="20">
        <v>36</v>
      </c>
      <c r="D2282" s="20">
        <v>8</v>
      </c>
      <c r="E2282" s="20">
        <v>44</v>
      </c>
      <c r="F2282" s="20" t="s">
        <v>19531</v>
      </c>
      <c r="G2282" s="24"/>
      <c r="H2282" s="24"/>
      <c r="I2282" s="24" t="str">
        <f ca="1">IFERROR(__xludf.DUMMYFUNCTION("GOOGLETRANSLATE(F2282,""en"",""pt"")"),"fechaduras depósito da chave")</f>
        <v>fechaduras depósito da chave</v>
      </c>
      <c r="J2282">
        <f>VLOOKUP(A2282,Pr_Base_LNEC!$A$4:$J$6971,6,FALSE)</f>
        <v>0</v>
      </c>
      <c r="K2282">
        <f>VLOOKUP(A2282,Pr_Base_LNEC!$A$4:$J$6971,7,FALSE)</f>
        <v>0</v>
      </c>
    </row>
    <row r="2283" spans="1:11" ht="14.5">
      <c r="A2283" s="20" t="s">
        <v>19532</v>
      </c>
      <c r="B2283" s="20">
        <v>30</v>
      </c>
      <c r="C2283" s="20">
        <v>36</v>
      </c>
      <c r="D2283" s="20">
        <v>8</v>
      </c>
      <c r="E2283" s="20">
        <v>45</v>
      </c>
      <c r="F2283" s="20" t="s">
        <v>19533</v>
      </c>
      <c r="G2283" s="24"/>
      <c r="H2283" s="24"/>
      <c r="I2283" s="24" t="str">
        <f ca="1">IFERROR(__xludf.DUMMYFUNCTION("GOOGLETRANSLATE(F2283,""en"",""pt"")"),"fechaduras Knob")</f>
        <v>fechaduras Knob</v>
      </c>
      <c r="J2283">
        <f>VLOOKUP(A2283,Pr_Base_LNEC!$A$4:$J$6971,6,FALSE)</f>
        <v>0</v>
      </c>
      <c r="K2283">
        <f>VLOOKUP(A2283,Pr_Base_LNEC!$A$4:$J$6971,7,FALSE)</f>
        <v>0</v>
      </c>
    </row>
    <row r="2284" spans="1:11" ht="14.5">
      <c r="A2284" s="20" t="s">
        <v>19534</v>
      </c>
      <c r="B2284" s="20">
        <v>30</v>
      </c>
      <c r="C2284" s="20">
        <v>36</v>
      </c>
      <c r="D2284" s="20">
        <v>8</v>
      </c>
      <c r="E2284" s="20">
        <v>46</v>
      </c>
      <c r="F2284" s="20" t="s">
        <v>19535</v>
      </c>
      <c r="G2284" s="24"/>
      <c r="H2284" s="24"/>
      <c r="I2284" s="24" t="str">
        <f ca="1">IFERROR(__xludf.DUMMYFUNCTION("GOOGLETRANSLATE(F2284,""en"",""pt"")"),"fechaduras puxador")</f>
        <v>fechaduras puxador</v>
      </c>
      <c r="J2284">
        <f>VLOOKUP(A2284,Pr_Base_LNEC!$A$4:$J$6971,6,FALSE)</f>
        <v>0</v>
      </c>
      <c r="K2284">
        <f>VLOOKUP(A2284,Pr_Base_LNEC!$A$4:$J$6971,7,FALSE)</f>
        <v>0</v>
      </c>
    </row>
    <row r="2285" spans="1:11" ht="14.5">
      <c r="A2285" s="20" t="s">
        <v>19536</v>
      </c>
      <c r="B2285" s="20">
        <v>30</v>
      </c>
      <c r="C2285" s="20">
        <v>36</v>
      </c>
      <c r="D2285" s="20">
        <v>8</v>
      </c>
      <c r="E2285" s="20">
        <v>48</v>
      </c>
      <c r="F2285" s="20" t="s">
        <v>19537</v>
      </c>
      <c r="G2285" s="24"/>
      <c r="H2285" s="24"/>
      <c r="I2285" s="24" t="str">
        <f ca="1">IFERROR(__xludf.DUMMYFUNCTION("GOOGLETRANSLATE(F2285,""en"",""pt"")"),"hasps Locker")</f>
        <v>hasps Locker</v>
      </c>
      <c r="J2285">
        <f>VLOOKUP(A2285,Pr_Base_LNEC!$A$4:$J$6971,6,FALSE)</f>
        <v>0</v>
      </c>
      <c r="K2285">
        <f>VLOOKUP(A2285,Pr_Base_LNEC!$A$4:$J$6971,7,FALSE)</f>
        <v>0</v>
      </c>
    </row>
    <row r="2286" spans="1:11" ht="14.5">
      <c r="A2286" s="20" t="s">
        <v>19538</v>
      </c>
      <c r="B2286" s="20">
        <v>30</v>
      </c>
      <c r="C2286" s="20">
        <v>36</v>
      </c>
      <c r="D2286" s="20">
        <v>8</v>
      </c>
      <c r="E2286" s="20">
        <v>51</v>
      </c>
      <c r="F2286" s="20" t="s">
        <v>19539</v>
      </c>
      <c r="G2286" s="24"/>
      <c r="H2286" s="24"/>
      <c r="I2286" s="24" t="str">
        <f ca="1">IFERROR(__xludf.DUMMYFUNCTION("GOOGLETRANSLATE(F2286,""en"",""pt"")"),"bloqueios dos microinterruptores")</f>
        <v>bloqueios dos microinterruptores</v>
      </c>
      <c r="J2286">
        <f>VLOOKUP(A2286,Pr_Base_LNEC!$A$4:$J$6971,6,FALSE)</f>
        <v>0</v>
      </c>
      <c r="K2286">
        <f>VLOOKUP(A2286,Pr_Base_LNEC!$A$4:$J$6971,7,FALSE)</f>
        <v>0</v>
      </c>
    </row>
    <row r="2287" spans="1:11" ht="14.5">
      <c r="A2287" s="20" t="s">
        <v>19540</v>
      </c>
      <c r="B2287" s="20">
        <v>30</v>
      </c>
      <c r="C2287" s="20">
        <v>36</v>
      </c>
      <c r="D2287" s="20">
        <v>8</v>
      </c>
      <c r="E2287" s="20">
        <v>52</v>
      </c>
      <c r="F2287" s="20" t="s">
        <v>19541</v>
      </c>
      <c r="G2287" s="24"/>
      <c r="H2287" s="24"/>
      <c r="I2287" s="24" t="str">
        <f ca="1">IFERROR(__xludf.DUMMYFUNCTION("GOOGLETRANSLATE(F2287,""en"",""pt"")"),"parafusos de embutir")</f>
        <v>parafusos de embutir</v>
      </c>
      <c r="J2287">
        <f>VLOOKUP(A2287,Pr_Base_LNEC!$A$4:$J$6971,6,FALSE)</f>
        <v>0</v>
      </c>
      <c r="K2287">
        <f>VLOOKUP(A2287,Pr_Base_LNEC!$A$4:$J$6971,7,FALSE)</f>
        <v>0</v>
      </c>
    </row>
    <row r="2288" spans="1:11" ht="14.5">
      <c r="A2288" s="20" t="s">
        <v>19542</v>
      </c>
      <c r="B2288" s="20">
        <v>30</v>
      </c>
      <c r="C2288" s="20">
        <v>36</v>
      </c>
      <c r="D2288" s="20">
        <v>8</v>
      </c>
      <c r="E2288" s="20">
        <v>53</v>
      </c>
      <c r="F2288" s="20" t="s">
        <v>19543</v>
      </c>
      <c r="G2288" s="24"/>
      <c r="H2288" s="24"/>
      <c r="I2288" s="24" t="str">
        <f ca="1">IFERROR(__xludf.DUMMYFUNCTION("GOOGLETRANSLATE(F2288,""en"",""pt"")"),"fechaduras")</f>
        <v>fechaduras</v>
      </c>
      <c r="J2288">
        <f>VLOOKUP(A2288,Pr_Base_LNEC!$A$4:$J$6971,6,FALSE)</f>
        <v>0</v>
      </c>
      <c r="K2288">
        <f>VLOOKUP(A2288,Pr_Base_LNEC!$A$4:$J$6971,7,FALSE)</f>
        <v>0</v>
      </c>
    </row>
    <row r="2289" spans="1:11" ht="14.5">
      <c r="A2289" s="20" t="s">
        <v>19544</v>
      </c>
      <c r="B2289" s="20">
        <v>30</v>
      </c>
      <c r="C2289" s="20">
        <v>36</v>
      </c>
      <c r="D2289" s="20">
        <v>8</v>
      </c>
      <c r="E2289" s="20">
        <v>54</v>
      </c>
      <c r="F2289" s="20" t="s">
        <v>19545</v>
      </c>
      <c r="G2289" s="20" t="s">
        <v>19546</v>
      </c>
      <c r="H2289" s="24"/>
      <c r="I2289" s="24" t="str">
        <f ca="1">IFERROR(__xludf.DUMMYFUNCTION("GOOGLETRANSLATE(F2289,""en"",""pt"")"),"fechaduras de portas multiponto")</f>
        <v>fechaduras de portas multiponto</v>
      </c>
      <c r="J2289">
        <f>VLOOKUP(A2289,Pr_Base_LNEC!$A$4:$J$6971,6,FALSE)</f>
        <v>0</v>
      </c>
      <c r="K2289">
        <f>VLOOKUP(A2289,Pr_Base_LNEC!$A$4:$J$6971,7,FALSE)</f>
        <v>0</v>
      </c>
    </row>
    <row r="2290" spans="1:11" ht="14.5">
      <c r="A2290" s="20" t="s">
        <v>19547</v>
      </c>
      <c r="B2290" s="20">
        <v>30</v>
      </c>
      <c r="C2290" s="20">
        <v>36</v>
      </c>
      <c r="D2290" s="20">
        <v>8</v>
      </c>
      <c r="E2290" s="20">
        <v>56</v>
      </c>
      <c r="F2290" s="20" t="s">
        <v>19548</v>
      </c>
      <c r="G2290" s="24"/>
      <c r="H2290" s="24"/>
      <c r="I2290" s="24" t="str">
        <f ca="1">IFERROR(__xludf.DUMMYFUNCTION("GOOGLETRANSLATE(F2290,""en"",""pt"")"),"travas noite")</f>
        <v>travas noite</v>
      </c>
      <c r="J2290">
        <f>VLOOKUP(A2290,Pr_Base_LNEC!$A$4:$J$6971,6,FALSE)</f>
        <v>0</v>
      </c>
      <c r="K2290">
        <f>VLOOKUP(A2290,Pr_Base_LNEC!$A$4:$J$6971,7,FALSE)</f>
        <v>0</v>
      </c>
    </row>
    <row r="2291" spans="1:11" ht="14.5">
      <c r="A2291" s="20" t="s">
        <v>19549</v>
      </c>
      <c r="B2291" s="20">
        <v>30</v>
      </c>
      <c r="C2291" s="20">
        <v>36</v>
      </c>
      <c r="D2291" s="20">
        <v>8</v>
      </c>
      <c r="E2291" s="20">
        <v>60</v>
      </c>
      <c r="F2291" s="20" t="s">
        <v>19550</v>
      </c>
      <c r="G2291" s="24"/>
      <c r="H2291" s="24"/>
      <c r="I2291" s="24" t="str">
        <f ca="1">IFERROR(__xludf.DUMMYFUNCTION("GOOGLETRANSLATE(F2291,""en"",""pt"")"),"parafusos almofada")</f>
        <v>parafusos almofada</v>
      </c>
      <c r="J2291">
        <f>VLOOKUP(A2291,Pr_Base_LNEC!$A$4:$J$6971,6,FALSE)</f>
        <v>0</v>
      </c>
      <c r="K2291">
        <f>VLOOKUP(A2291,Pr_Base_LNEC!$A$4:$J$6971,7,FALSE)</f>
        <v>0</v>
      </c>
    </row>
    <row r="2292" spans="1:11" ht="14.5">
      <c r="A2292" s="20" t="s">
        <v>19551</v>
      </c>
      <c r="B2292" s="20">
        <v>30</v>
      </c>
      <c r="C2292" s="20">
        <v>36</v>
      </c>
      <c r="D2292" s="20">
        <v>8</v>
      </c>
      <c r="E2292" s="20">
        <v>61</v>
      </c>
      <c r="F2292" s="20" t="s">
        <v>19552</v>
      </c>
      <c r="G2292" s="20" t="s">
        <v>19553</v>
      </c>
      <c r="H2292" s="24"/>
      <c r="I2292" s="24" t="str">
        <f ca="1">IFERROR(__xludf.DUMMYFUNCTION("GOOGLETRANSLATE(F2292,""en"",""pt"")"),"hasps cadeado e grampos")</f>
        <v>hasps cadeado e grampos</v>
      </c>
      <c r="J2292">
        <f>VLOOKUP(A2292,Pr_Base_LNEC!$A$4:$J$6971,6,FALSE)</f>
        <v>0</v>
      </c>
      <c r="K2292">
        <f>VLOOKUP(A2292,Pr_Base_LNEC!$A$4:$J$6971,7,FALSE)</f>
        <v>0</v>
      </c>
    </row>
    <row r="2293" spans="1:11" ht="14.5">
      <c r="A2293" s="20" t="s">
        <v>19554</v>
      </c>
      <c r="B2293" s="20">
        <v>30</v>
      </c>
      <c r="C2293" s="20">
        <v>36</v>
      </c>
      <c r="D2293" s="20">
        <v>8</v>
      </c>
      <c r="E2293" s="20">
        <v>62</v>
      </c>
      <c r="F2293" s="20" t="s">
        <v>19555</v>
      </c>
      <c r="G2293" s="20" t="s">
        <v>19556</v>
      </c>
      <c r="H2293" s="24"/>
      <c r="I2293" s="24" t="str">
        <f ca="1">IFERROR(__xludf.DUMMYFUNCTION("GOOGLETRANSLATE(F2293,""en"",""pt"")"),"Cadeados e chaves")</f>
        <v>Cadeados e chaves</v>
      </c>
      <c r="J2293">
        <f>VLOOKUP(A2293,Pr_Base_LNEC!$A$4:$J$6971,6,FALSE)</f>
        <v>0</v>
      </c>
      <c r="K2293">
        <f>VLOOKUP(A2293,Pr_Base_LNEC!$A$4:$J$6971,7,FALSE)</f>
        <v>0</v>
      </c>
    </row>
    <row r="2294" spans="1:11" ht="14.5">
      <c r="A2294" s="20" t="s">
        <v>19557</v>
      </c>
      <c r="B2294" s="20">
        <v>30</v>
      </c>
      <c r="C2294" s="20">
        <v>36</v>
      </c>
      <c r="D2294" s="20">
        <v>8</v>
      </c>
      <c r="E2294" s="20">
        <v>63</v>
      </c>
      <c r="F2294" s="20" t="s">
        <v>19558</v>
      </c>
      <c r="G2294" s="20" t="s">
        <v>19559</v>
      </c>
      <c r="H2294" s="24"/>
      <c r="I2294" s="24" t="str">
        <f ca="1">IFERROR(__xludf.DUMMYFUNCTION("GOOGLETRANSLATE(F2294,""en"",""pt"")"),"Pânico dispositivos de saída")</f>
        <v>Pânico dispositivos de saída</v>
      </c>
      <c r="J2294">
        <f>VLOOKUP(A2294,Pr_Base_LNEC!$A$4:$J$6971,6,FALSE)</f>
        <v>0</v>
      </c>
      <c r="K2294">
        <f>VLOOKUP(A2294,Pr_Base_LNEC!$A$4:$J$6971,7,FALSE)</f>
        <v>0</v>
      </c>
    </row>
    <row r="2295" spans="1:11" ht="14.5">
      <c r="A2295" s="20" t="s">
        <v>19560</v>
      </c>
      <c r="B2295" s="20">
        <v>30</v>
      </c>
      <c r="C2295" s="20">
        <v>36</v>
      </c>
      <c r="D2295" s="20">
        <v>8</v>
      </c>
      <c r="E2295" s="20">
        <v>68</v>
      </c>
      <c r="F2295" s="20" t="s">
        <v>19561</v>
      </c>
      <c r="G2295" s="24"/>
      <c r="H2295" s="24"/>
      <c r="I2295" s="24" t="str">
        <f ca="1">IFERROR(__xludf.DUMMYFUNCTION("GOOGLETRANSLATE(F2295,""en"",""pt"")"),"fechaduras de botão")</f>
        <v>fechaduras de botão</v>
      </c>
      <c r="J2295">
        <f>VLOOKUP(A2295,Pr_Base_LNEC!$A$4:$J$6971,6,FALSE)</f>
        <v>0</v>
      </c>
      <c r="K2295">
        <f>VLOOKUP(A2295,Pr_Base_LNEC!$A$4:$J$6971,7,FALSE)</f>
        <v>0</v>
      </c>
    </row>
    <row r="2296" spans="1:11" ht="14.5">
      <c r="A2296" s="20" t="s">
        <v>19562</v>
      </c>
      <c r="B2296" s="20">
        <v>30</v>
      </c>
      <c r="C2296" s="20">
        <v>36</v>
      </c>
      <c r="D2296" s="20">
        <v>8</v>
      </c>
      <c r="E2296" s="20">
        <v>71</v>
      </c>
      <c r="F2296" s="20" t="s">
        <v>19563</v>
      </c>
      <c r="G2296" s="24"/>
      <c r="H2296" s="24"/>
      <c r="I2296" s="24" t="str">
        <f ca="1">IFERROR(__xludf.DUMMYFUNCTION("GOOGLETRANSLATE(F2296,""en"",""pt"")"),"fechaduras aro")</f>
        <v>fechaduras aro</v>
      </c>
      <c r="J2296">
        <f>VLOOKUP(A2296,Pr_Base_LNEC!$A$4:$J$6971,6,FALSE)</f>
        <v>0</v>
      </c>
      <c r="K2296">
        <f>VLOOKUP(A2296,Pr_Base_LNEC!$A$4:$J$6971,7,FALSE)</f>
        <v>0</v>
      </c>
    </row>
    <row r="2297" spans="1:11" ht="14.5">
      <c r="A2297" s="20" t="s">
        <v>19564</v>
      </c>
      <c r="B2297" s="20">
        <v>30</v>
      </c>
      <c r="C2297" s="20">
        <v>36</v>
      </c>
      <c r="D2297" s="20">
        <v>8</v>
      </c>
      <c r="E2297" s="20">
        <v>73</v>
      </c>
      <c r="F2297" s="20" t="s">
        <v>19565</v>
      </c>
      <c r="G2297" s="24"/>
      <c r="H2297" s="24"/>
      <c r="I2297" s="24" t="str">
        <f ca="1">IFERROR(__xludf.DUMMYFUNCTION("GOOGLETRANSLATE(F2297,""en"",""pt"")"),"capturas de rolo")</f>
        <v>capturas de rolo</v>
      </c>
      <c r="J2297">
        <f>VLOOKUP(A2297,Pr_Base_LNEC!$A$4:$J$6971,6,FALSE)</f>
        <v>0</v>
      </c>
      <c r="K2297">
        <f>VLOOKUP(A2297,Pr_Base_LNEC!$A$4:$J$6971,7,FALSE)</f>
        <v>0</v>
      </c>
    </row>
    <row r="2298" spans="1:11" ht="14.5">
      <c r="A2298" s="20" t="s">
        <v>19566</v>
      </c>
      <c r="B2298" s="20">
        <v>30</v>
      </c>
      <c r="C2298" s="20">
        <v>36</v>
      </c>
      <c r="D2298" s="20">
        <v>8</v>
      </c>
      <c r="E2298" s="20">
        <v>75</v>
      </c>
      <c r="F2298" s="20" t="s">
        <v>19567</v>
      </c>
      <c r="G2298" s="24"/>
      <c r="H2298" s="24"/>
      <c r="I2298" s="24" t="str">
        <f ca="1">IFERROR(__xludf.DUMMYFUNCTION("GOOGLETRANSLATE(F2298,""en"",""pt"")"),"fechaduras cofre")</f>
        <v>fechaduras cofre</v>
      </c>
      <c r="J2298">
        <f>VLOOKUP(A2298,Pr_Base_LNEC!$A$4:$J$6971,6,FALSE)</f>
        <v>0</v>
      </c>
      <c r="K2298">
        <f>VLOOKUP(A2298,Pr_Base_LNEC!$A$4:$J$6971,7,FALSE)</f>
        <v>0</v>
      </c>
    </row>
    <row r="2299" spans="1:11" ht="14.5">
      <c r="A2299" s="20" t="s">
        <v>19568</v>
      </c>
      <c r="B2299" s="20">
        <v>30</v>
      </c>
      <c r="C2299" s="20">
        <v>36</v>
      </c>
      <c r="D2299" s="20">
        <v>8</v>
      </c>
      <c r="E2299" s="20">
        <v>76</v>
      </c>
      <c r="F2299" s="20" t="s">
        <v>19569</v>
      </c>
      <c r="G2299" s="24"/>
      <c r="H2299" s="24"/>
      <c r="I2299" s="24" t="str">
        <f ca="1">IFERROR(__xludf.DUMMYFUNCTION("GOOGLETRANSLATE(F2299,""en"",""pt"")"),"fechaduras de guilhotina")</f>
        <v>fechaduras de guilhotina</v>
      </c>
      <c r="J2299">
        <f>VLOOKUP(A2299,Pr_Base_LNEC!$A$4:$J$6971,6,FALSE)</f>
        <v>0</v>
      </c>
      <c r="K2299">
        <f>VLOOKUP(A2299,Pr_Base_LNEC!$A$4:$J$6971,7,FALSE)</f>
        <v>0</v>
      </c>
    </row>
    <row r="2300" spans="1:11" ht="14.5">
      <c r="A2300" s="20" t="s">
        <v>19570</v>
      </c>
      <c r="B2300" s="20">
        <v>30</v>
      </c>
      <c r="C2300" s="20">
        <v>36</v>
      </c>
      <c r="D2300" s="20">
        <v>8</v>
      </c>
      <c r="E2300" s="20">
        <v>77</v>
      </c>
      <c r="F2300" s="20" t="s">
        <v>19571</v>
      </c>
      <c r="G2300" s="20" t="s">
        <v>19572</v>
      </c>
      <c r="H2300" s="24"/>
      <c r="I2300" s="24" t="str">
        <f ca="1">IFERROR(__xludf.DUMMYFUNCTION("GOOGLETRANSLATE(F2300,""en"",""pt"")"),"parafusos de um único ponto")</f>
        <v>parafusos de um único ponto</v>
      </c>
      <c r="J2300">
        <f>VLOOKUP(A2300,Pr_Base_LNEC!$A$4:$J$6971,6,FALSE)</f>
        <v>0</v>
      </c>
      <c r="K2300">
        <f>VLOOKUP(A2300,Pr_Base_LNEC!$A$4:$J$6971,7,FALSE)</f>
        <v>0</v>
      </c>
    </row>
    <row r="2301" spans="1:11" ht="14.5">
      <c r="A2301" s="20" t="s">
        <v>19573</v>
      </c>
      <c r="B2301" s="20">
        <v>30</v>
      </c>
      <c r="C2301" s="20">
        <v>36</v>
      </c>
      <c r="D2301" s="20">
        <v>8</v>
      </c>
      <c r="E2301" s="20">
        <v>80</v>
      </c>
      <c r="F2301" s="20" t="s">
        <v>19574</v>
      </c>
      <c r="G2301" s="24"/>
      <c r="H2301" s="24"/>
      <c r="I2301" s="24" t="str">
        <f ca="1">IFERROR(__xludf.DUMMYFUNCTION("GOOGLETRANSLATE(F2301,""en"",""pt"")"),"Deslizando fechaduras de portas de tela de segurança")</f>
        <v>Deslizando fechaduras de portas de tela de segurança</v>
      </c>
      <c r="J2301" t="e">
        <f>VLOOKUP(A2301,Pr_Base_LNEC!$A$4:$J$6971,6,FALSE)</f>
        <v>#N/A</v>
      </c>
      <c r="K2301" t="e">
        <f>VLOOKUP(A2301,Pr_Base_LNEC!$A$4:$J$6971,7,FALSE)</f>
        <v>#N/A</v>
      </c>
    </row>
    <row r="2302" spans="1:11" ht="14.5">
      <c r="A2302" s="20" t="s">
        <v>19575</v>
      </c>
      <c r="B2302" s="20">
        <v>30</v>
      </c>
      <c r="C2302" s="20">
        <v>36</v>
      </c>
      <c r="D2302" s="20">
        <v>8</v>
      </c>
      <c r="E2302" s="20">
        <v>84</v>
      </c>
      <c r="F2302" s="20" t="s">
        <v>19576</v>
      </c>
      <c r="G2302" s="20" t="s">
        <v>19546</v>
      </c>
      <c r="H2302" s="24"/>
      <c r="I2302" s="24" t="str">
        <f ca="1">IFERROR(__xludf.DUMMYFUNCTION("GOOGLETRANSLATE(F2302,""en"",""pt"")"),"fechaduras de portas de funções especiais")</f>
        <v>fechaduras de portas de funções especiais</v>
      </c>
      <c r="J2302">
        <f>VLOOKUP(A2302,Pr_Base_LNEC!$A$4:$J$6971,6,FALSE)</f>
        <v>0</v>
      </c>
      <c r="K2302">
        <f>VLOOKUP(A2302,Pr_Base_LNEC!$A$4:$J$6971,7,FALSE)</f>
        <v>0</v>
      </c>
    </row>
    <row r="2303" spans="1:11" ht="14.5">
      <c r="A2303" s="20" t="s">
        <v>19577</v>
      </c>
      <c r="B2303" s="20">
        <v>30</v>
      </c>
      <c r="C2303" s="20">
        <v>36</v>
      </c>
      <c r="D2303" s="20">
        <v>8</v>
      </c>
      <c r="E2303" s="20">
        <v>87</v>
      </c>
      <c r="F2303" s="20" t="s">
        <v>19578</v>
      </c>
      <c r="G2303" s="20" t="s">
        <v>19579</v>
      </c>
      <c r="H2303" s="24"/>
      <c r="I2303" s="24" t="str">
        <f ca="1">IFERROR(__xludf.DUMMYFUNCTION("GOOGLETRANSLATE(F2303,""en"",""pt"")"),"resistente ladrão fechaduras de portas")</f>
        <v>resistente ladrão fechaduras de portas</v>
      </c>
      <c r="J2303">
        <f>VLOOKUP(A2303,Pr_Base_LNEC!$A$4:$J$6971,6,FALSE)</f>
        <v>0</v>
      </c>
      <c r="K2303">
        <f>VLOOKUP(A2303,Pr_Base_LNEC!$A$4:$J$6971,7,FALSE)</f>
        <v>0</v>
      </c>
    </row>
    <row r="2304" spans="1:11" ht="14.5">
      <c r="A2304" s="20" t="s">
        <v>19580</v>
      </c>
      <c r="B2304" s="20">
        <v>30</v>
      </c>
      <c r="C2304" s="20">
        <v>36</v>
      </c>
      <c r="D2304" s="20">
        <v>8</v>
      </c>
      <c r="E2304" s="20">
        <v>88</v>
      </c>
      <c r="F2304" s="20" t="s">
        <v>19581</v>
      </c>
      <c r="G2304" s="24"/>
      <c r="H2304" s="24"/>
      <c r="I2304" s="24" t="str">
        <f ca="1">IFERROR(__xludf.DUMMYFUNCTION("GOOGLETRANSLATE(F2304,""en"",""pt"")"),"fechaduras de tempo de atraso")</f>
        <v>fechaduras de tempo de atraso</v>
      </c>
      <c r="J2304">
        <f>VLOOKUP(A2304,Pr_Base_LNEC!$A$4:$J$6971,6,FALSE)</f>
        <v>0</v>
      </c>
      <c r="K2304">
        <f>VLOOKUP(A2304,Pr_Base_LNEC!$A$4:$J$6971,7,FALSE)</f>
        <v>0</v>
      </c>
    </row>
    <row r="2305" spans="1:11" ht="14.5">
      <c r="A2305" s="20" t="s">
        <v>19582</v>
      </c>
      <c r="B2305" s="20">
        <v>30</v>
      </c>
      <c r="C2305" s="20">
        <v>36</v>
      </c>
      <c r="D2305" s="20">
        <v>8</v>
      </c>
      <c r="E2305" s="20">
        <v>91</v>
      </c>
      <c r="F2305" s="20" t="s">
        <v>19583</v>
      </c>
      <c r="G2305" s="24"/>
      <c r="H2305" s="24"/>
      <c r="I2305" s="24" t="str">
        <f ca="1">IFERROR(__xludf.DUMMYFUNCTION("GOOGLETRANSLATE(F2305,""en"",""pt"")"),"travas de embutir tubulares")</f>
        <v>travas de embutir tubulares</v>
      </c>
      <c r="J2305">
        <f>VLOOKUP(A2305,Pr_Base_LNEC!$A$4:$J$6971,6,FALSE)</f>
        <v>0</v>
      </c>
      <c r="K2305">
        <f>VLOOKUP(A2305,Pr_Base_LNEC!$A$4:$J$6971,7,FALSE)</f>
        <v>0</v>
      </c>
    </row>
    <row r="2306" spans="1:11" ht="14.5">
      <c r="A2306" s="20" t="s">
        <v>19584</v>
      </c>
      <c r="B2306" s="20">
        <v>30</v>
      </c>
      <c r="C2306" s="20">
        <v>36</v>
      </c>
      <c r="D2306" s="20">
        <v>8</v>
      </c>
      <c r="E2306" s="20">
        <v>94</v>
      </c>
      <c r="F2306" s="20" t="s">
        <v>19585</v>
      </c>
      <c r="G2306" s="24"/>
      <c r="H2306" s="24"/>
      <c r="I2306" s="24" t="str">
        <f ca="1">IFERROR(__xludf.DUMMYFUNCTION("GOOGLETRANSLATE(F2306,""en"",""pt"")"),"Máquinas de venda fechaduras máquina")</f>
        <v>Máquinas de venda fechaduras máquina</v>
      </c>
      <c r="J2306">
        <f>VLOOKUP(A2306,Pr_Base_LNEC!$A$4:$J$6971,6,FALSE)</f>
        <v>0</v>
      </c>
      <c r="K2306">
        <f>VLOOKUP(A2306,Pr_Base_LNEC!$A$4:$J$6971,7,FALSE)</f>
        <v>0</v>
      </c>
    </row>
    <row r="2307" spans="1:11" ht="14.5">
      <c r="A2307" s="20" t="s">
        <v>19586</v>
      </c>
      <c r="B2307" s="20">
        <v>30</v>
      </c>
      <c r="C2307" s="20">
        <v>36</v>
      </c>
      <c r="D2307" s="20">
        <v>8</v>
      </c>
      <c r="E2307" s="20">
        <v>95</v>
      </c>
      <c r="F2307" s="20" t="s">
        <v>19587</v>
      </c>
      <c r="G2307" s="20" t="s">
        <v>19588</v>
      </c>
      <c r="H2307" s="24"/>
      <c r="I2307" s="24" t="str">
        <f ca="1">IFERROR(__xludf.DUMMYFUNCTION("GOOGLETRANSLATE(F2307,""en"",""pt"")"),"prendedores de batente da janela")</f>
        <v>prendedores de batente da janela</v>
      </c>
      <c r="J2307">
        <f>VLOOKUP(A2307,Pr_Base_LNEC!$A$4:$J$6971,6,FALSE)</f>
        <v>0</v>
      </c>
      <c r="K2307">
        <f>VLOOKUP(A2307,Pr_Base_LNEC!$A$4:$J$6971,7,FALSE)</f>
        <v>0</v>
      </c>
    </row>
    <row r="2308" spans="1:11" ht="14.5">
      <c r="A2308" s="20" t="s">
        <v>19589</v>
      </c>
      <c r="B2308" s="20">
        <v>30</v>
      </c>
      <c r="C2308" s="20">
        <v>36</v>
      </c>
      <c r="D2308" s="20">
        <v>8</v>
      </c>
      <c r="E2308" s="20">
        <v>96</v>
      </c>
      <c r="F2308" s="20" t="s">
        <v>19590</v>
      </c>
      <c r="G2308" s="20" t="s">
        <v>19496</v>
      </c>
      <c r="H2308" s="24"/>
      <c r="I2308" s="24" t="str">
        <f ca="1">IFERROR(__xludf.DUMMYFUNCTION("GOOGLETRANSLATE(F2308,""en"",""pt"")"),"travas de janela")</f>
        <v>travas de janela</v>
      </c>
      <c r="J2308">
        <f>VLOOKUP(A2308,Pr_Base_LNEC!$A$4:$J$6971,6,FALSE)</f>
        <v>0</v>
      </c>
      <c r="K2308">
        <f>VLOOKUP(A2308,Pr_Base_LNEC!$A$4:$J$6971,7,FALSE)</f>
        <v>0</v>
      </c>
    </row>
    <row r="2309" spans="1:11" ht="14.5">
      <c r="A2309" s="20" t="s">
        <v>19591</v>
      </c>
      <c r="B2309" s="20">
        <v>30</v>
      </c>
      <c r="C2309" s="20">
        <v>36</v>
      </c>
      <c r="D2309" s="20">
        <v>8</v>
      </c>
      <c r="E2309" s="20">
        <v>97</v>
      </c>
      <c r="F2309" s="20" t="s">
        <v>19592</v>
      </c>
      <c r="G2309" s="20" t="s">
        <v>19593</v>
      </c>
      <c r="H2309" s="24"/>
      <c r="I2309" s="24" t="str">
        <f ca="1">IFERROR(__xludf.DUMMYFUNCTION("GOOGLETRANSLATE(F2309,""en"",""pt"")"),"bloqueios de janela")</f>
        <v>bloqueios de janela</v>
      </c>
      <c r="J2309">
        <f>VLOOKUP(A2309,Pr_Base_LNEC!$A$4:$J$6971,6,FALSE)</f>
        <v>0</v>
      </c>
      <c r="K2309">
        <f>VLOOKUP(A2309,Pr_Base_LNEC!$A$4:$J$6971,7,FALSE)</f>
        <v>0</v>
      </c>
    </row>
    <row r="2310" spans="1:11" ht="14.5">
      <c r="A2310" s="20" t="s">
        <v>19594</v>
      </c>
      <c r="B2310" s="20">
        <v>30</v>
      </c>
      <c r="C2310" s="20">
        <v>36</v>
      </c>
      <c r="D2310" s="20">
        <v>8</v>
      </c>
      <c r="E2310" s="20">
        <v>98</v>
      </c>
      <c r="F2310" s="20" t="s">
        <v>19595</v>
      </c>
      <c r="G2310" s="20" t="s">
        <v>19596</v>
      </c>
      <c r="H2310" s="24"/>
      <c r="I2310" s="24" t="str">
        <f ca="1">IFERROR(__xludf.DUMMYFUNCTION("GOOGLETRANSLATE(F2310,""en"",""pt"")"),"fixadores caixilho da janela")</f>
        <v>fixadores caixilho da janela</v>
      </c>
      <c r="J2310">
        <f>VLOOKUP(A2310,Pr_Base_LNEC!$A$4:$J$6971,6,FALSE)</f>
        <v>0</v>
      </c>
      <c r="K2310">
        <f>VLOOKUP(A2310,Pr_Base_LNEC!$A$4:$J$6971,7,FALSE)</f>
        <v>0</v>
      </c>
    </row>
    <row r="2311" spans="1:11" ht="14.5">
      <c r="A2311" s="20" t="s">
        <v>19597</v>
      </c>
      <c r="B2311" s="20">
        <v>30</v>
      </c>
      <c r="C2311" s="20">
        <v>36</v>
      </c>
      <c r="D2311" s="20">
        <v>33</v>
      </c>
      <c r="E2311" s="24"/>
      <c r="F2311" s="20" t="s">
        <v>19598</v>
      </c>
      <c r="G2311" s="24"/>
      <c r="H2311" s="24"/>
      <c r="I2311" s="24" t="str">
        <f ca="1">IFERROR(__xludf.DUMMYFUNCTION("GOOGLETRANSLATE(F2311,""en"",""pt"")"),"hardware geral")</f>
        <v>hardware geral</v>
      </c>
      <c r="J2311" t="str">
        <f>VLOOKUP(A2311,Pr_Base_LNEC!$A$4:$J$6971,6,FALSE)</f>
        <v>Equipamento Geral</v>
      </c>
      <c r="K2311">
        <f>VLOOKUP(A2311,Pr_Base_LNEC!$A$4:$J$6971,7,FALSE)</f>
        <v>0</v>
      </c>
    </row>
    <row r="2312" spans="1:11" ht="14.5">
      <c r="A2312" s="20" t="s">
        <v>19599</v>
      </c>
      <c r="B2312" s="20">
        <v>30</v>
      </c>
      <c r="C2312" s="20">
        <v>36</v>
      </c>
      <c r="D2312" s="20">
        <v>33</v>
      </c>
      <c r="E2312" s="20">
        <v>20</v>
      </c>
      <c r="F2312" s="20" t="s">
        <v>19600</v>
      </c>
      <c r="G2312" s="20" t="s">
        <v>19601</v>
      </c>
      <c r="H2312" s="24"/>
      <c r="I2312" s="24" t="str">
        <f ca="1">IFERROR(__xludf.DUMMYFUNCTION("GOOGLETRANSLATE(F2312,""en"",""pt"")"),"protetores de borda de porta")</f>
        <v>protetores de borda de porta</v>
      </c>
      <c r="J2312">
        <f>VLOOKUP(A2312,Pr_Base_LNEC!$A$4:$J$6971,6,FALSE)</f>
        <v>0</v>
      </c>
      <c r="K2312">
        <f>VLOOKUP(A2312,Pr_Base_LNEC!$A$4:$J$6971,7,FALSE)</f>
        <v>0</v>
      </c>
    </row>
    <row r="2313" spans="1:11" ht="14.5">
      <c r="A2313" s="20" t="s">
        <v>19602</v>
      </c>
      <c r="B2313" s="20">
        <v>30</v>
      </c>
      <c r="C2313" s="20">
        <v>36</v>
      </c>
      <c r="D2313" s="20">
        <v>33</v>
      </c>
      <c r="E2313" s="20">
        <v>22</v>
      </c>
      <c r="F2313" s="20" t="s">
        <v>19603</v>
      </c>
      <c r="G2313" s="20" t="s">
        <v>19604</v>
      </c>
      <c r="H2313" s="24"/>
      <c r="I2313" s="24" t="str">
        <f ca="1">IFERROR(__xludf.DUMMYFUNCTION("GOOGLETRANSLATE(F2313,""en"",""pt"")"),"batentes da porta")</f>
        <v>batentes da porta</v>
      </c>
      <c r="J2313">
        <f>VLOOKUP(A2313,Pr_Base_LNEC!$A$4:$J$6971,6,FALSE)</f>
        <v>0</v>
      </c>
      <c r="K2313">
        <f>VLOOKUP(A2313,Pr_Base_LNEC!$A$4:$J$6971,7,FALSE)</f>
        <v>0</v>
      </c>
    </row>
    <row r="2314" spans="1:11" ht="14.5">
      <c r="A2314" s="20" t="s">
        <v>19605</v>
      </c>
      <c r="B2314" s="20">
        <v>30</v>
      </c>
      <c r="C2314" s="20">
        <v>36</v>
      </c>
      <c r="D2314" s="20">
        <v>33</v>
      </c>
      <c r="E2314" s="20">
        <v>24</v>
      </c>
      <c r="F2314" s="20" t="s">
        <v>19606</v>
      </c>
      <c r="G2314" s="20" t="s">
        <v>19607</v>
      </c>
      <c r="H2314" s="24"/>
      <c r="I2314" s="24" t="str">
        <f ca="1">IFERROR(__xludf.DUMMYFUNCTION("GOOGLETRANSLATE(F2314,""en"",""pt"")"),"batentes de porta")</f>
        <v>batentes de porta</v>
      </c>
      <c r="J2314">
        <f>VLOOKUP(A2314,Pr_Base_LNEC!$A$4:$J$6971,6,FALSE)</f>
        <v>0</v>
      </c>
      <c r="K2314">
        <f>VLOOKUP(A2314,Pr_Base_LNEC!$A$4:$J$6971,7,FALSE)</f>
        <v>0</v>
      </c>
    </row>
    <row r="2315" spans="1:11" ht="14.5">
      <c r="A2315" s="20" t="s">
        <v>19608</v>
      </c>
      <c r="B2315" s="20">
        <v>30</v>
      </c>
      <c r="C2315" s="20">
        <v>36</v>
      </c>
      <c r="D2315" s="20">
        <v>33</v>
      </c>
      <c r="E2315" s="20">
        <v>27</v>
      </c>
      <c r="F2315" s="20" t="s">
        <v>19609</v>
      </c>
      <c r="G2315" s="20" t="s">
        <v>19610</v>
      </c>
      <c r="H2315" s="24"/>
      <c r="I2315" s="24" t="str">
        <f ca="1">IFERROR(__xludf.DUMMYFUNCTION("GOOGLETRANSLATE(F2315,""en"",""pt"")"),"espelhos")</f>
        <v>espelhos</v>
      </c>
      <c r="J2315">
        <f>VLOOKUP(A2315,Pr_Base_LNEC!$A$4:$J$6971,6,FALSE)</f>
        <v>0</v>
      </c>
      <c r="K2315">
        <f>VLOOKUP(A2315,Pr_Base_LNEC!$A$4:$J$6971,7,FALSE)</f>
        <v>0</v>
      </c>
    </row>
    <row r="2316" spans="1:11" ht="14.5">
      <c r="A2316" s="20" t="s">
        <v>19611</v>
      </c>
      <c r="B2316" s="20">
        <v>30</v>
      </c>
      <c r="C2316" s="20">
        <v>36</v>
      </c>
      <c r="D2316" s="20">
        <v>33</v>
      </c>
      <c r="E2316" s="20">
        <v>29</v>
      </c>
      <c r="F2316" s="20" t="s">
        <v>19612</v>
      </c>
      <c r="G2316" s="24"/>
      <c r="H2316" s="24"/>
      <c r="I2316" s="24" t="str">
        <f ca="1">IFERROR(__xludf.DUMMYFUNCTION("GOOGLETRANSLATE(F2316,""en"",""pt"")"),"placas de dedo")</f>
        <v>placas de dedo</v>
      </c>
      <c r="J2316">
        <f>VLOOKUP(A2316,Pr_Base_LNEC!$A$4:$J$6971,6,FALSE)</f>
        <v>0</v>
      </c>
      <c r="K2316">
        <f>VLOOKUP(A2316,Pr_Base_LNEC!$A$4:$J$6971,7,FALSE)</f>
        <v>0</v>
      </c>
    </row>
    <row r="2317" spans="1:11" ht="14.5">
      <c r="A2317" s="20" t="s">
        <v>19613</v>
      </c>
      <c r="B2317" s="20">
        <v>30</v>
      </c>
      <c r="C2317" s="20">
        <v>36</v>
      </c>
      <c r="D2317" s="20">
        <v>33</v>
      </c>
      <c r="E2317" s="20">
        <v>31</v>
      </c>
      <c r="F2317" s="20" t="s">
        <v>19614</v>
      </c>
      <c r="G2317" s="24"/>
      <c r="H2317" s="24"/>
      <c r="I2317" s="24" t="str">
        <f ca="1">IFERROR(__xludf.DUMMYFUNCTION("GOOGLETRANSLATE(F2317,""en"",""pt"")"),"raspadores de inicialização fixos")</f>
        <v>raspadores de inicialização fixos</v>
      </c>
      <c r="J2317" t="e">
        <f>VLOOKUP(A2317,Pr_Base_LNEC!$A$4:$J$6971,6,FALSE)</f>
        <v>#N/A</v>
      </c>
      <c r="K2317" t="e">
        <f>VLOOKUP(A2317,Pr_Base_LNEC!$A$4:$J$6971,7,FALSE)</f>
        <v>#N/A</v>
      </c>
    </row>
    <row r="2318" spans="1:11" ht="14.5">
      <c r="A2318" s="20" t="s">
        <v>19615</v>
      </c>
      <c r="B2318" s="20">
        <v>30</v>
      </c>
      <c r="C2318" s="20">
        <v>36</v>
      </c>
      <c r="D2318" s="20">
        <v>33</v>
      </c>
      <c r="E2318" s="20">
        <v>45</v>
      </c>
      <c r="F2318" s="20" t="s">
        <v>19616</v>
      </c>
      <c r="G2318" s="20" t="s">
        <v>19617</v>
      </c>
      <c r="H2318" s="24"/>
      <c r="I2318" s="24" t="str">
        <f ca="1">IFERROR(__xludf.DUMMYFUNCTION("GOOGLETRANSLATE(F2318,""en"",""pt"")"),"placas pontapé")</f>
        <v>placas pontapé</v>
      </c>
      <c r="J2318">
        <f>VLOOKUP(A2318,Pr_Base_LNEC!$A$4:$J$6971,6,FALSE)</f>
        <v>0</v>
      </c>
      <c r="K2318">
        <f>VLOOKUP(A2318,Pr_Base_LNEC!$A$4:$J$6971,7,FALSE)</f>
        <v>0</v>
      </c>
    </row>
    <row r="2319" spans="1:11" ht="14.5">
      <c r="A2319" s="20" t="s">
        <v>19618</v>
      </c>
      <c r="B2319" s="20">
        <v>30</v>
      </c>
      <c r="C2319" s="20">
        <v>36</v>
      </c>
      <c r="D2319" s="20">
        <v>33</v>
      </c>
      <c r="E2319" s="20">
        <v>68</v>
      </c>
      <c r="F2319" s="20" t="s">
        <v>19619</v>
      </c>
      <c r="G2319" s="20" t="s">
        <v>19620</v>
      </c>
      <c r="H2319" s="24"/>
      <c r="I2319" s="24" t="str">
        <f ca="1">IFERROR(__xludf.DUMMYFUNCTION("GOOGLETRANSLATE(F2319,""en"",""pt"")"),"placas de impulso")</f>
        <v>placas de impulso</v>
      </c>
      <c r="J2319">
        <f>VLOOKUP(A2319,Pr_Base_LNEC!$A$4:$J$6971,6,FALSE)</f>
        <v>0</v>
      </c>
      <c r="K2319">
        <f>VLOOKUP(A2319,Pr_Base_LNEC!$A$4:$J$6971,7,FALSE)</f>
        <v>0</v>
      </c>
    </row>
    <row r="2320" spans="1:11" ht="14.5">
      <c r="A2320" s="20" t="s">
        <v>19621</v>
      </c>
      <c r="B2320" s="20">
        <v>30</v>
      </c>
      <c r="C2320" s="20">
        <v>36</v>
      </c>
      <c r="D2320" s="20">
        <v>33</v>
      </c>
      <c r="E2320" s="20">
        <v>72</v>
      </c>
      <c r="F2320" s="20" t="s">
        <v>19622</v>
      </c>
      <c r="G2320" s="24"/>
      <c r="H2320" s="24"/>
      <c r="I2320" s="24" t="str">
        <f ca="1">IFERROR(__xludf.DUMMYFUNCTION("GOOGLETRANSLATE(F2320,""en"",""pt"")"),"rosas")</f>
        <v>rosas</v>
      </c>
      <c r="J2320">
        <f>VLOOKUP(A2320,Pr_Base_LNEC!$A$4:$J$6971,6,FALSE)</f>
        <v>0</v>
      </c>
      <c r="K2320">
        <f>VLOOKUP(A2320,Pr_Base_LNEC!$A$4:$J$6971,7,FALSE)</f>
        <v>0</v>
      </c>
    </row>
    <row r="2321" spans="1:11" ht="14.5">
      <c r="A2321" s="20" t="s">
        <v>19623</v>
      </c>
      <c r="B2321" s="20">
        <v>30</v>
      </c>
      <c r="C2321" s="20">
        <v>36</v>
      </c>
      <c r="D2321" s="20">
        <v>33</v>
      </c>
      <c r="E2321" s="20">
        <v>76</v>
      </c>
      <c r="F2321" s="20" t="s">
        <v>19624</v>
      </c>
      <c r="G2321" s="20" t="s">
        <v>19625</v>
      </c>
      <c r="H2321" s="24"/>
      <c r="I2321" s="24" t="str">
        <f ca="1">IFERROR(__xludf.DUMMYFUNCTION("GOOGLETRANSLATE(F2321,""en"",""pt"")"),"espectadores de segurança")</f>
        <v>espectadores de segurança</v>
      </c>
      <c r="J2321">
        <f>VLOOKUP(A2321,Pr_Base_LNEC!$A$4:$J$6971,6,FALSE)</f>
        <v>0</v>
      </c>
      <c r="K2321">
        <f>VLOOKUP(A2321,Pr_Base_LNEC!$A$4:$J$6971,7,FALSE)</f>
        <v>0</v>
      </c>
    </row>
    <row r="2322" spans="1:11" ht="14.5">
      <c r="A2322" s="20" t="s">
        <v>19626</v>
      </c>
      <c r="B2322" s="20">
        <v>30</v>
      </c>
      <c r="C2322" s="20">
        <v>36</v>
      </c>
      <c r="D2322" s="20">
        <v>36</v>
      </c>
      <c r="E2322" s="24"/>
      <c r="F2322" s="20" t="s">
        <v>19627</v>
      </c>
      <c r="G2322" s="24"/>
      <c r="H2322" s="24"/>
      <c r="I2322" s="24" t="str">
        <f ca="1">IFERROR(__xludf.DUMMYFUNCTION("GOOGLETRANSLATE(F2322,""en"",""pt"")"),"Dobradiças e hardware de suspensão")</f>
        <v>Dobradiças e hardware de suspensão</v>
      </c>
      <c r="J2322">
        <f>VLOOKUP(A2322,Pr_Base_LNEC!$A$4:$J$6971,6,FALSE)</f>
        <v>0</v>
      </c>
      <c r="K2322">
        <f>VLOOKUP(A2322,Pr_Base_LNEC!$A$4:$J$6971,7,FALSE)</f>
        <v>0</v>
      </c>
    </row>
    <row r="2323" spans="1:11" ht="14.5">
      <c r="A2323" s="20" t="s">
        <v>19628</v>
      </c>
      <c r="B2323" s="20">
        <v>30</v>
      </c>
      <c r="C2323" s="20">
        <v>36</v>
      </c>
      <c r="D2323" s="20">
        <v>36</v>
      </c>
      <c r="E2323" s="20">
        <v>4</v>
      </c>
      <c r="F2323" s="20" t="s">
        <v>19629</v>
      </c>
      <c r="G2323" s="20" t="s">
        <v>19630</v>
      </c>
      <c r="H2323" s="24"/>
      <c r="I2323" s="24" t="str">
        <f ca="1">IFERROR(__xludf.DUMMYFUNCTION("GOOGLETRANSLATE(F2323,""en"",""pt"")"),"Stiles anti dedo-armadilha")</f>
        <v>Stiles anti dedo-armadilha</v>
      </c>
      <c r="J2323">
        <f>VLOOKUP(A2323,Pr_Base_LNEC!$A$4:$J$6971,6,FALSE)</f>
        <v>0</v>
      </c>
      <c r="K2323">
        <f>VLOOKUP(A2323,Pr_Base_LNEC!$A$4:$J$6971,7,FALSE)</f>
        <v>0</v>
      </c>
    </row>
    <row r="2324" spans="1:11" ht="14.5">
      <c r="A2324" s="20" t="s">
        <v>19631</v>
      </c>
      <c r="B2324" s="20">
        <v>30</v>
      </c>
      <c r="C2324" s="20">
        <v>36</v>
      </c>
      <c r="D2324" s="20">
        <v>36</v>
      </c>
      <c r="E2324" s="20">
        <v>6</v>
      </c>
      <c r="F2324" s="20" t="s">
        <v>19632</v>
      </c>
      <c r="G2324" s="24"/>
      <c r="H2324" s="24"/>
      <c r="I2324" s="24" t="str">
        <f ca="1">IFERROR(__xludf.DUMMYFUNCTION("GOOGLETRANSLATE(F2324,""en"",""pt"")"),"dobradiças de rolamento")</f>
        <v>dobradiças de rolamento</v>
      </c>
      <c r="J2324">
        <f>VLOOKUP(A2324,Pr_Base_LNEC!$A$4:$J$6971,6,FALSE)</f>
        <v>0</v>
      </c>
      <c r="K2324">
        <f>VLOOKUP(A2324,Pr_Base_LNEC!$A$4:$J$6971,7,FALSE)</f>
        <v>0</v>
      </c>
    </row>
    <row r="2325" spans="1:11" ht="14.5">
      <c r="A2325" s="20" t="s">
        <v>19633</v>
      </c>
      <c r="B2325" s="20">
        <v>30</v>
      </c>
      <c r="C2325" s="20">
        <v>36</v>
      </c>
      <c r="D2325" s="20">
        <v>36</v>
      </c>
      <c r="E2325" s="20">
        <v>7</v>
      </c>
      <c r="F2325" s="20" t="s">
        <v>19634</v>
      </c>
      <c r="G2325" s="24"/>
      <c r="H2325" s="24"/>
      <c r="I2325" s="24" t="str">
        <f ca="1">IFERROR(__xludf.DUMMYFUNCTION("GOOGLETRANSLATE(F2325,""en"",""pt"")"),"dobradiças barril")</f>
        <v>dobradiças barril</v>
      </c>
      <c r="J2325">
        <f>VLOOKUP(A2325,Pr_Base_LNEC!$A$4:$J$6971,6,FALSE)</f>
        <v>0</v>
      </c>
      <c r="K2325">
        <f>VLOOKUP(A2325,Pr_Base_LNEC!$A$4:$J$6971,7,FALSE)</f>
        <v>0</v>
      </c>
    </row>
    <row r="2326" spans="1:11" ht="14.5">
      <c r="A2326" s="20" t="s">
        <v>19635</v>
      </c>
      <c r="B2326" s="20">
        <v>30</v>
      </c>
      <c r="C2326" s="20">
        <v>36</v>
      </c>
      <c r="D2326" s="20">
        <v>36</v>
      </c>
      <c r="E2326" s="20">
        <v>8</v>
      </c>
      <c r="F2326" s="20" t="s">
        <v>19636</v>
      </c>
      <c r="G2326" s="20" t="s">
        <v>19637</v>
      </c>
      <c r="H2326" s="24"/>
      <c r="I2326" s="24" t="str">
        <f ca="1">IFERROR(__xludf.DUMMYFUNCTION("GOOGLETRANSLATE(F2326,""en"",""pt"")"),"guilhotina encaixotado acessórios janela de suspensão")</f>
        <v>guilhotina encaixotado acessórios janela de suspensão</v>
      </c>
      <c r="J2326">
        <f>VLOOKUP(A2326,Pr_Base_LNEC!$A$4:$J$6971,6,FALSE)</f>
        <v>0</v>
      </c>
      <c r="K2326">
        <f>VLOOKUP(A2326,Pr_Base_LNEC!$A$4:$J$6971,7,FALSE)</f>
        <v>0</v>
      </c>
    </row>
    <row r="2327" spans="1:11" ht="14.5">
      <c r="A2327" s="20" t="s">
        <v>19638</v>
      </c>
      <c r="B2327" s="20">
        <v>30</v>
      </c>
      <c r="C2327" s="20">
        <v>36</v>
      </c>
      <c r="D2327" s="20">
        <v>36</v>
      </c>
      <c r="E2327" s="20">
        <v>9</v>
      </c>
      <c r="F2327" s="20" t="s">
        <v>19639</v>
      </c>
      <c r="G2327" s="20" t="s">
        <v>19640</v>
      </c>
      <c r="H2327" s="24"/>
      <c r="I2327" s="24" t="str">
        <f ca="1">IFERROR(__xludf.DUMMYFUNCTION("GOOGLETRANSLATE(F2327,""en"",""pt"")"),"dobradiças bunda")</f>
        <v>dobradiças bunda</v>
      </c>
      <c r="J2327">
        <f>VLOOKUP(A2327,Pr_Base_LNEC!$A$4:$J$6971,6,FALSE)</f>
        <v>0</v>
      </c>
      <c r="K2327">
        <f>VLOOKUP(A2327,Pr_Base_LNEC!$A$4:$J$6971,7,FALSE)</f>
        <v>0</v>
      </c>
    </row>
    <row r="2328" spans="1:11" ht="14.5">
      <c r="A2328" s="20" t="s">
        <v>19641</v>
      </c>
      <c r="B2328" s="20">
        <v>30</v>
      </c>
      <c r="C2328" s="20">
        <v>36</v>
      </c>
      <c r="D2328" s="20">
        <v>36</v>
      </c>
      <c r="E2328" s="20">
        <v>10</v>
      </c>
      <c r="F2328" s="20" t="s">
        <v>19642</v>
      </c>
      <c r="G2328" s="24"/>
      <c r="H2328" s="24"/>
      <c r="I2328" s="24" t="str">
        <f ca="1">IFERROR(__xludf.DUMMYFUNCTION("GOOGLETRANSLATE(F2328,""en"",""pt"")"),"dobradiças janela bunda")</f>
        <v>dobradiças janela bunda</v>
      </c>
      <c r="J2328">
        <f>VLOOKUP(A2328,Pr_Base_LNEC!$A$4:$J$6971,6,FALSE)</f>
        <v>0</v>
      </c>
      <c r="K2328">
        <f>VLOOKUP(A2328,Pr_Base_LNEC!$A$4:$J$6971,7,FALSE)</f>
        <v>0</v>
      </c>
    </row>
    <row r="2329" spans="1:11" ht="14.5">
      <c r="A2329" s="20" t="s">
        <v>19643</v>
      </c>
      <c r="B2329" s="20">
        <v>30</v>
      </c>
      <c r="C2329" s="20">
        <v>36</v>
      </c>
      <c r="D2329" s="20">
        <v>36</v>
      </c>
      <c r="E2329" s="20">
        <v>11</v>
      </c>
      <c r="F2329" s="20" t="s">
        <v>19644</v>
      </c>
      <c r="G2329" s="20" t="s">
        <v>19645</v>
      </c>
      <c r="H2329" s="24"/>
      <c r="I2329" s="24" t="str">
        <f ca="1">IFERROR(__xludf.DUMMYFUNCTION("GOOGLETRANSLATE(F2329,""en"",""pt"")"),"Gabinete e balcão dobradiças")</f>
        <v>Gabinete e balcão dobradiças</v>
      </c>
      <c r="J2329">
        <f>VLOOKUP(A2329,Pr_Base_LNEC!$A$4:$J$6971,6,FALSE)</f>
        <v>0</v>
      </c>
      <c r="K2329">
        <f>VLOOKUP(A2329,Pr_Base_LNEC!$A$4:$J$6971,7,FALSE)</f>
        <v>0</v>
      </c>
    </row>
    <row r="2330" spans="1:11" ht="14.5">
      <c r="A2330" s="20" t="s">
        <v>19646</v>
      </c>
      <c r="B2330" s="20">
        <v>30</v>
      </c>
      <c r="C2330" s="20">
        <v>36</v>
      </c>
      <c r="D2330" s="20">
        <v>36</v>
      </c>
      <c r="E2330" s="20">
        <v>15</v>
      </c>
      <c r="F2330" s="20" t="s">
        <v>19647</v>
      </c>
      <c r="G2330" s="24"/>
      <c r="H2330" s="24"/>
      <c r="I2330" s="24" t="str">
        <f ca="1">IFERROR(__xludf.DUMMYFUNCTION("GOOGLETRANSLATE(F2330,""en"",""pt"")"),"dobradiças ocultas")</f>
        <v>dobradiças ocultas</v>
      </c>
      <c r="J2330">
        <f>VLOOKUP(A2330,Pr_Base_LNEC!$A$4:$J$6971,6,FALSE)</f>
        <v>0</v>
      </c>
      <c r="K2330">
        <f>VLOOKUP(A2330,Pr_Base_LNEC!$A$4:$J$6971,7,FALSE)</f>
        <v>0</v>
      </c>
    </row>
    <row r="2331" spans="1:11" ht="14.5">
      <c r="A2331" s="20" t="s">
        <v>19648</v>
      </c>
      <c r="B2331" s="20">
        <v>30</v>
      </c>
      <c r="C2331" s="20">
        <v>36</v>
      </c>
      <c r="D2331" s="20">
        <v>36</v>
      </c>
      <c r="E2331" s="20">
        <v>16</v>
      </c>
      <c r="F2331" s="20" t="s">
        <v>19649</v>
      </c>
      <c r="G2331" s="20" t="s">
        <v>19640</v>
      </c>
      <c r="H2331" s="24"/>
      <c r="I2331" s="24" t="str">
        <f ca="1">IFERROR(__xludf.DUMMYFUNCTION("GOOGLETRANSLATE(F2331,""en"",""pt"")"),"dobradiças contínuas")</f>
        <v>dobradiças contínuas</v>
      </c>
      <c r="J2331">
        <f>VLOOKUP(A2331,Pr_Base_LNEC!$A$4:$J$6971,6,FALSE)</f>
        <v>0</v>
      </c>
      <c r="K2331">
        <f>VLOOKUP(A2331,Pr_Base_LNEC!$A$4:$J$6971,7,FALSE)</f>
        <v>0</v>
      </c>
    </row>
    <row r="2332" spans="1:11" ht="14.5">
      <c r="A2332" s="20" t="s">
        <v>19650</v>
      </c>
      <c r="B2332" s="20">
        <v>30</v>
      </c>
      <c r="C2332" s="20">
        <v>36</v>
      </c>
      <c r="D2332" s="20">
        <v>36</v>
      </c>
      <c r="E2332" s="20">
        <v>17</v>
      </c>
      <c r="F2332" s="20" t="s">
        <v>19651</v>
      </c>
      <c r="G2332" s="20" t="s">
        <v>19640</v>
      </c>
      <c r="H2332" s="24"/>
      <c r="I2332" s="24" t="str">
        <f ca="1">IFERROR(__xludf.DUMMYFUNCTION("GOOGLETRANSLATE(F2332,""en"",""pt"")"),"dobradiças dobrado")</f>
        <v>dobradiças dobrado</v>
      </c>
      <c r="J2332">
        <f>VLOOKUP(A2332,Pr_Base_LNEC!$A$4:$J$6971,6,FALSE)</f>
        <v>0</v>
      </c>
      <c r="K2332">
        <f>VLOOKUP(A2332,Pr_Base_LNEC!$A$4:$J$6971,7,FALSE)</f>
        <v>0</v>
      </c>
    </row>
    <row r="2333" spans="1:11" ht="14.5">
      <c r="A2333" s="20" t="s">
        <v>19652</v>
      </c>
      <c r="B2333" s="20">
        <v>30</v>
      </c>
      <c r="C2333" s="20">
        <v>36</v>
      </c>
      <c r="D2333" s="20">
        <v>36</v>
      </c>
      <c r="E2333" s="20">
        <v>22</v>
      </c>
      <c r="F2333" s="20" t="s">
        <v>19653</v>
      </c>
      <c r="G2333" s="20" t="s">
        <v>19654</v>
      </c>
      <c r="H2333" s="24"/>
      <c r="I2333" s="24" t="str">
        <f ca="1">IFERROR(__xludf.DUMMYFUNCTION("GOOGLETRANSLATE(F2333,""en"",""pt"")"),"pivôs porta")</f>
        <v>pivôs porta</v>
      </c>
      <c r="J2333">
        <f>VLOOKUP(A2333,Pr_Base_LNEC!$A$4:$J$6971,6,FALSE)</f>
        <v>0</v>
      </c>
      <c r="K2333">
        <f>VLOOKUP(A2333,Pr_Base_LNEC!$A$4:$J$6971,7,FALSE)</f>
        <v>0</v>
      </c>
    </row>
    <row r="2334" spans="1:11" ht="14.5">
      <c r="A2334" s="20" t="s">
        <v>19655</v>
      </c>
      <c r="B2334" s="20">
        <v>30</v>
      </c>
      <c r="C2334" s="20">
        <v>36</v>
      </c>
      <c r="D2334" s="20">
        <v>36</v>
      </c>
      <c r="E2334" s="20">
        <v>23</v>
      </c>
      <c r="F2334" s="20" t="s">
        <v>19656</v>
      </c>
      <c r="G2334" s="20" t="s">
        <v>19657</v>
      </c>
      <c r="H2334" s="24"/>
      <c r="I2334" s="24" t="str">
        <f ca="1">IFERROR(__xludf.DUMMYFUNCTION("GOOGLETRANSLATE(F2334,""en"",""pt"")"),"pista porta e órgãos de rolamento")</f>
        <v>pista porta e órgãos de rolamento</v>
      </c>
      <c r="J2334">
        <f>VLOOKUP(A2334,Pr_Base_LNEC!$A$4:$J$6971,6,FALSE)</f>
        <v>0</v>
      </c>
      <c r="K2334">
        <f>VLOOKUP(A2334,Pr_Base_LNEC!$A$4:$J$6971,7,FALSE)</f>
        <v>0</v>
      </c>
    </row>
    <row r="2335" spans="1:11" ht="14.5">
      <c r="A2335" s="20" t="s">
        <v>19658</v>
      </c>
      <c r="B2335" s="20">
        <v>30</v>
      </c>
      <c r="C2335" s="20">
        <v>36</v>
      </c>
      <c r="D2335" s="20">
        <v>36</v>
      </c>
      <c r="E2335" s="20">
        <v>24</v>
      </c>
      <c r="F2335" s="20" t="s">
        <v>19659</v>
      </c>
      <c r="G2335" s="20" t="s">
        <v>19660</v>
      </c>
      <c r="H2335" s="24"/>
      <c r="I2335" s="24" t="str">
        <f ca="1">IFERROR(__xludf.DUMMYFUNCTION("GOOGLETRANSLATE(F2335,""en"",""pt"")"),"corredores de gaveta")</f>
        <v>corredores de gaveta</v>
      </c>
      <c r="J2335">
        <f>VLOOKUP(A2335,Pr_Base_LNEC!$A$4:$J$6971,6,FALSE)</f>
        <v>0</v>
      </c>
      <c r="K2335">
        <f>VLOOKUP(A2335,Pr_Base_LNEC!$A$4:$J$6971,7,FALSE)</f>
        <v>0</v>
      </c>
    </row>
    <row r="2336" spans="1:11" ht="14.5">
      <c r="A2336" s="20" t="s">
        <v>19661</v>
      </c>
      <c r="B2336" s="20">
        <v>30</v>
      </c>
      <c r="C2336" s="20">
        <v>36</v>
      </c>
      <c r="D2336" s="20">
        <v>36</v>
      </c>
      <c r="E2336" s="20">
        <v>28</v>
      </c>
      <c r="F2336" s="20" t="s">
        <v>19662</v>
      </c>
      <c r="G2336" s="20" t="s">
        <v>19663</v>
      </c>
      <c r="H2336" s="24"/>
      <c r="I2336" s="24" t="str">
        <f ca="1">IFERROR(__xludf.DUMMYFUNCTION("GOOGLETRANSLATE(F2336,""en"",""pt"")"),"dobradiças portão de campo")</f>
        <v>dobradiças portão de campo</v>
      </c>
      <c r="J2336">
        <f>VLOOKUP(A2336,Pr_Base_LNEC!$A$4:$J$6971,6,FALSE)</f>
        <v>0</v>
      </c>
      <c r="K2336">
        <f>VLOOKUP(A2336,Pr_Base_LNEC!$A$4:$J$6971,7,FALSE)</f>
        <v>0</v>
      </c>
    </row>
    <row r="2337" spans="1:11" ht="14.5">
      <c r="A2337" s="20" t="s">
        <v>19664</v>
      </c>
      <c r="B2337" s="20">
        <v>30</v>
      </c>
      <c r="C2337" s="20">
        <v>36</v>
      </c>
      <c r="D2337" s="20">
        <v>36</v>
      </c>
      <c r="E2337" s="20">
        <v>29</v>
      </c>
      <c r="F2337" s="20" t="s">
        <v>19665</v>
      </c>
      <c r="G2337" s="20" t="s">
        <v>19666</v>
      </c>
      <c r="H2337" s="24"/>
      <c r="I2337" s="24" t="str">
        <f ca="1">IFERROR(__xludf.DUMMYFUNCTION("GOOGLETRANSLATE(F2337,""en"",""pt"")"),"molas de piso")</f>
        <v>molas de piso</v>
      </c>
      <c r="J2337">
        <f>VLOOKUP(A2337,Pr_Base_LNEC!$A$4:$J$6971,6,FALSE)</f>
        <v>0</v>
      </c>
      <c r="K2337">
        <f>VLOOKUP(A2337,Pr_Base_LNEC!$A$4:$J$6971,7,FALSE)</f>
        <v>0</v>
      </c>
    </row>
    <row r="2338" spans="1:11" ht="14.5">
      <c r="A2338" s="20" t="s">
        <v>19667</v>
      </c>
      <c r="B2338" s="20">
        <v>30</v>
      </c>
      <c r="C2338" s="20">
        <v>36</v>
      </c>
      <c r="D2338" s="20">
        <v>36</v>
      </c>
      <c r="E2338" s="20">
        <v>30</v>
      </c>
      <c r="F2338" s="20" t="s">
        <v>19668</v>
      </c>
      <c r="G2338" s="24"/>
      <c r="H2338" s="24"/>
      <c r="I2338" s="24" t="str">
        <f ca="1">IFERROR(__xludf.DUMMYFUNCTION("GOOGLETRANSLATE(F2338,""en"",""pt"")"),"dobradiças nivelados")</f>
        <v>dobradiças nivelados</v>
      </c>
      <c r="J2338">
        <f>VLOOKUP(A2338,Pr_Base_LNEC!$A$4:$J$6971,6,FALSE)</f>
        <v>0</v>
      </c>
      <c r="K2338">
        <f>VLOOKUP(A2338,Pr_Base_LNEC!$A$4:$J$6971,7,FALSE)</f>
        <v>0</v>
      </c>
    </row>
    <row r="2339" spans="1:11" ht="14.5">
      <c r="A2339" s="20" t="s">
        <v>19669</v>
      </c>
      <c r="B2339" s="20">
        <v>30</v>
      </c>
      <c r="C2339" s="20">
        <v>36</v>
      </c>
      <c r="D2339" s="20">
        <v>36</v>
      </c>
      <c r="E2339" s="20">
        <v>31</v>
      </c>
      <c r="F2339" s="20" t="s">
        <v>19670</v>
      </c>
      <c r="G2339" s="24"/>
      <c r="H2339" s="24"/>
      <c r="I2339" s="24" t="str">
        <f ca="1">IFERROR(__xludf.DUMMYFUNCTION("GOOGLETRANSLATE(F2339,""en"",""pt"")"),"dobradiças de fricção")</f>
        <v>dobradiças de fricção</v>
      </c>
      <c r="J2339">
        <f>VLOOKUP(A2339,Pr_Base_LNEC!$A$4:$J$6971,6,FALSE)</f>
        <v>0</v>
      </c>
      <c r="K2339">
        <f>VLOOKUP(A2339,Pr_Base_LNEC!$A$4:$J$6971,7,FALSE)</f>
        <v>0</v>
      </c>
    </row>
    <row r="2340" spans="1:11" ht="14.5">
      <c r="A2340" s="20" t="s">
        <v>19671</v>
      </c>
      <c r="B2340" s="20">
        <v>30</v>
      </c>
      <c r="C2340" s="20">
        <v>36</v>
      </c>
      <c r="D2340" s="20">
        <v>36</v>
      </c>
      <c r="E2340" s="20">
        <v>32</v>
      </c>
      <c r="F2340" s="20" t="s">
        <v>19672</v>
      </c>
      <c r="G2340" s="20" t="s">
        <v>19673</v>
      </c>
      <c r="H2340" s="24"/>
      <c r="I2340" s="24" t="str">
        <f ca="1">IFERROR(__xludf.DUMMYFUNCTION("GOOGLETRANSLATE(F2340,""en"",""pt"")"),"dobradiças de articulação atrito")</f>
        <v>dobradiças de articulação atrito</v>
      </c>
      <c r="J2340">
        <f>VLOOKUP(A2340,Pr_Base_LNEC!$A$4:$J$6971,6,FALSE)</f>
        <v>0</v>
      </c>
      <c r="K2340">
        <f>VLOOKUP(A2340,Pr_Base_LNEC!$A$4:$J$6971,7,FALSE)</f>
        <v>0</v>
      </c>
    </row>
    <row r="2341" spans="1:11" ht="14.5">
      <c r="A2341" s="20" t="s">
        <v>19674</v>
      </c>
      <c r="B2341" s="20">
        <v>30</v>
      </c>
      <c r="C2341" s="20">
        <v>36</v>
      </c>
      <c r="D2341" s="20">
        <v>36</v>
      </c>
      <c r="E2341" s="20">
        <v>34</v>
      </c>
      <c r="F2341" s="20" t="s">
        <v>19675</v>
      </c>
      <c r="G2341" s="20" t="s">
        <v>19676</v>
      </c>
      <c r="H2341" s="24"/>
      <c r="I2341" s="24" t="str">
        <f ca="1">IFERROR(__xludf.DUMMYFUNCTION("GOOGLETRANSLATE(F2341,""en"",""pt"")"),"dobradiças da porta")</f>
        <v>dobradiças da porta</v>
      </c>
      <c r="J2341">
        <f>VLOOKUP(A2341,Pr_Base_LNEC!$A$4:$J$6971,6,FALSE)</f>
        <v>0</v>
      </c>
      <c r="K2341">
        <f>VLOOKUP(A2341,Pr_Base_LNEC!$A$4:$J$6971,7,FALSE)</f>
        <v>0</v>
      </c>
    </row>
    <row r="2342" spans="1:11" ht="14.5">
      <c r="A2342" s="20" t="s">
        <v>19677</v>
      </c>
      <c r="B2342" s="20">
        <v>30</v>
      </c>
      <c r="C2342" s="20">
        <v>36</v>
      </c>
      <c r="D2342" s="20">
        <v>36</v>
      </c>
      <c r="E2342" s="20">
        <v>46</v>
      </c>
      <c r="F2342" s="20" t="s">
        <v>19678</v>
      </c>
      <c r="G2342" s="24"/>
      <c r="H2342" s="24"/>
      <c r="I2342" s="24" t="str">
        <f ca="1">IFERROR(__xludf.DUMMYFUNCTION("GOOGLETRANSLATE(F2342,""en"",""pt"")"),"dobradiças de decolagem")</f>
        <v>dobradiças de decolagem</v>
      </c>
      <c r="J2342">
        <f>VLOOKUP(A2342,Pr_Base_LNEC!$A$4:$J$6971,6,FALSE)</f>
        <v>0</v>
      </c>
      <c r="K2342">
        <f>VLOOKUP(A2342,Pr_Base_LNEC!$A$4:$J$6971,7,FALSE)</f>
        <v>0</v>
      </c>
    </row>
    <row r="2343" spans="1:11" ht="14.5">
      <c r="A2343" s="20" t="s">
        <v>19679</v>
      </c>
      <c r="B2343" s="20">
        <v>30</v>
      </c>
      <c r="C2343" s="20">
        <v>36</v>
      </c>
      <c r="D2343" s="20">
        <v>36</v>
      </c>
      <c r="E2343" s="20">
        <v>66</v>
      </c>
      <c r="F2343" s="20" t="s">
        <v>19680</v>
      </c>
      <c r="G2343" s="20" t="s">
        <v>19640</v>
      </c>
      <c r="H2343" s="24"/>
      <c r="I2343" s="24" t="str">
        <f ca="1">IFERROR(__xludf.DUMMYFUNCTION("GOOGLETRANSLATE(F2343,""en"",""pt"")"),"dobradiças da porta projeção")</f>
        <v>dobradiças da porta projeção</v>
      </c>
      <c r="J2343">
        <f>VLOOKUP(A2343,Pr_Base_LNEC!$A$4:$J$6971,6,FALSE)</f>
        <v>0</v>
      </c>
      <c r="K2343">
        <f>VLOOKUP(A2343,Pr_Base_LNEC!$A$4:$J$6971,7,FALSE)</f>
        <v>0</v>
      </c>
    </row>
    <row r="2344" spans="1:11" ht="14.5">
      <c r="A2344" s="20" t="s">
        <v>19681</v>
      </c>
      <c r="B2344" s="20">
        <v>30</v>
      </c>
      <c r="C2344" s="20">
        <v>36</v>
      </c>
      <c r="D2344" s="20">
        <v>36</v>
      </c>
      <c r="E2344" s="20">
        <v>67</v>
      </c>
      <c r="F2344" s="20" t="s">
        <v>19682</v>
      </c>
      <c r="G2344" s="20" t="s">
        <v>19683</v>
      </c>
      <c r="H2344" s="24"/>
      <c r="I2344" s="24" t="str">
        <f ca="1">IFERROR(__xludf.DUMMYFUNCTION("GOOGLETRANSLATE(F2344,""en"",""pt"")"),"dobradiças janela de projeção")</f>
        <v>dobradiças janela de projeção</v>
      </c>
      <c r="J2344">
        <f>VLOOKUP(A2344,Pr_Base_LNEC!$A$4:$J$6971,6,FALSE)</f>
        <v>0</v>
      </c>
      <c r="K2344">
        <f>VLOOKUP(A2344,Pr_Base_LNEC!$A$4:$J$6971,7,FALSE)</f>
        <v>0</v>
      </c>
    </row>
    <row r="2345" spans="1:11" ht="14.5">
      <c r="A2345" s="20" t="s">
        <v>19684</v>
      </c>
      <c r="B2345" s="20">
        <v>30</v>
      </c>
      <c r="C2345" s="20">
        <v>36</v>
      </c>
      <c r="D2345" s="20">
        <v>36</v>
      </c>
      <c r="E2345" s="20">
        <v>71</v>
      </c>
      <c r="F2345" s="20" t="s">
        <v>19685</v>
      </c>
      <c r="G2345" s="20" t="s">
        <v>19640</v>
      </c>
      <c r="H2345" s="24"/>
      <c r="I2345" s="24" t="str">
        <f ca="1">IFERROR(__xludf.DUMMYFUNCTION("GOOGLETRANSLATE(F2345,""en"",""pt"")"),"Subindo dobradiças bunda")</f>
        <v>Subindo dobradiças bunda</v>
      </c>
      <c r="J2345">
        <f>VLOOKUP(A2345,Pr_Base_LNEC!$A$4:$J$6971,6,FALSE)</f>
        <v>0</v>
      </c>
      <c r="K2345">
        <f>VLOOKUP(A2345,Pr_Base_LNEC!$A$4:$J$6971,7,FALSE)</f>
        <v>0</v>
      </c>
    </row>
    <row r="2346" spans="1:11" ht="14.5">
      <c r="A2346" s="20" t="s">
        <v>19686</v>
      </c>
      <c r="B2346" s="20">
        <v>30</v>
      </c>
      <c r="C2346" s="20">
        <v>36</v>
      </c>
      <c r="D2346" s="20">
        <v>36</v>
      </c>
      <c r="E2346" s="20">
        <v>75</v>
      </c>
      <c r="F2346" s="20" t="s">
        <v>19687</v>
      </c>
      <c r="G2346" s="20" t="s">
        <v>19688</v>
      </c>
      <c r="H2346" s="24"/>
      <c r="I2346" s="24" t="str">
        <f ca="1">IFERROR(__xludf.DUMMYFUNCTION("GOOGLETRANSLATE(F2346,""en"",""pt"")"),"Sash saldos janela espiral")</f>
        <v>Sash saldos janela espiral</v>
      </c>
      <c r="J2346">
        <f>VLOOKUP(A2346,Pr_Base_LNEC!$A$4:$J$6971,6,FALSE)</f>
        <v>0</v>
      </c>
      <c r="K2346">
        <f>VLOOKUP(A2346,Pr_Base_LNEC!$A$4:$J$6971,7,FALSE)</f>
        <v>0</v>
      </c>
    </row>
    <row r="2347" spans="1:11" ht="14.5">
      <c r="A2347" s="20" t="s">
        <v>19689</v>
      </c>
      <c r="B2347" s="20">
        <v>30</v>
      </c>
      <c r="C2347" s="20">
        <v>36</v>
      </c>
      <c r="D2347" s="20">
        <v>36</v>
      </c>
      <c r="E2347" s="20">
        <v>79</v>
      </c>
      <c r="F2347" s="20" t="s">
        <v>19690</v>
      </c>
      <c r="G2347" s="20" t="s">
        <v>19691</v>
      </c>
      <c r="H2347" s="24"/>
      <c r="I2347" s="24" t="str">
        <f ca="1">IFERROR(__xludf.DUMMYFUNCTION("GOOGLETRANSLATE(F2347,""en"",""pt"")"),"Único eixo dobradiças")</f>
        <v>Único eixo dobradiças</v>
      </c>
      <c r="J2347">
        <f>VLOOKUP(A2347,Pr_Base_LNEC!$A$4:$J$6971,6,FALSE)</f>
        <v>0</v>
      </c>
      <c r="K2347">
        <f>VLOOKUP(A2347,Pr_Base_LNEC!$A$4:$J$6971,7,FALSE)</f>
        <v>0</v>
      </c>
    </row>
    <row r="2348" spans="1:11" ht="14.5">
      <c r="A2348" s="20" t="s">
        <v>19692</v>
      </c>
      <c r="B2348" s="20">
        <v>30</v>
      </c>
      <c r="C2348" s="20">
        <v>36</v>
      </c>
      <c r="D2348" s="20">
        <v>36</v>
      </c>
      <c r="E2348" s="20">
        <v>80</v>
      </c>
      <c r="F2348" s="20" t="s">
        <v>19693</v>
      </c>
      <c r="G2348" s="20" t="s">
        <v>19694</v>
      </c>
      <c r="H2348" s="24"/>
      <c r="I2348" s="24" t="str">
        <f ca="1">IFERROR(__xludf.DUMMYFUNCTION("GOOGLETRANSLATE(F2348,""en"",""pt"")"),"Único eixo dobradiças janela")</f>
        <v>Único eixo dobradiças janela</v>
      </c>
      <c r="J2348">
        <f>VLOOKUP(A2348,Pr_Base_LNEC!$A$4:$J$6971,6,FALSE)</f>
        <v>0</v>
      </c>
      <c r="K2348">
        <f>VLOOKUP(A2348,Pr_Base_LNEC!$A$4:$J$6971,7,FALSE)</f>
        <v>0</v>
      </c>
    </row>
    <row r="2349" spans="1:11" ht="14.5">
      <c r="A2349" s="20" t="s">
        <v>19695</v>
      </c>
      <c r="B2349" s="20">
        <v>30</v>
      </c>
      <c r="C2349" s="20">
        <v>36</v>
      </c>
      <c r="D2349" s="20">
        <v>36</v>
      </c>
      <c r="E2349" s="20">
        <v>84</v>
      </c>
      <c r="F2349" s="20" t="s">
        <v>19696</v>
      </c>
      <c r="G2349" s="20" t="s">
        <v>19640</v>
      </c>
      <c r="H2349" s="24"/>
      <c r="I2349" s="24" t="str">
        <f ca="1">IFERROR(__xludf.DUMMYFUNCTION("GOOGLETRANSLATE(F2349,""en"",""pt"")"),"dobradiças de mola")</f>
        <v>dobradiças de mola</v>
      </c>
      <c r="J2349">
        <f>VLOOKUP(A2349,Pr_Base_LNEC!$A$4:$J$6971,6,FALSE)</f>
        <v>0</v>
      </c>
      <c r="K2349">
        <f>VLOOKUP(A2349,Pr_Base_LNEC!$A$4:$J$6971,7,FALSE)</f>
        <v>0</v>
      </c>
    </row>
    <row r="2350" spans="1:11" ht="14.5">
      <c r="A2350" s="20" t="s">
        <v>19697</v>
      </c>
      <c r="B2350" s="20">
        <v>30</v>
      </c>
      <c r="C2350" s="20">
        <v>36</v>
      </c>
      <c r="D2350" s="20">
        <v>36</v>
      </c>
      <c r="E2350" s="20">
        <v>88</v>
      </c>
      <c r="F2350" s="20" t="s">
        <v>19698</v>
      </c>
      <c r="G2350" s="20" t="s">
        <v>19640</v>
      </c>
      <c r="H2350" s="24"/>
      <c r="I2350" s="24" t="str">
        <f ca="1">IFERROR(__xludf.DUMMYFUNCTION("GOOGLETRANSLATE(F2350,""en"",""pt"")"),"dobradiças T")</f>
        <v>dobradiças T</v>
      </c>
      <c r="J2350">
        <f>VLOOKUP(A2350,Pr_Base_LNEC!$A$4:$J$6971,6,FALSE)</f>
        <v>0</v>
      </c>
      <c r="K2350">
        <f>VLOOKUP(A2350,Pr_Base_LNEC!$A$4:$J$6971,7,FALSE)</f>
        <v>0</v>
      </c>
    </row>
    <row r="2351" spans="1:11" ht="14.5">
      <c r="A2351" s="20" t="s">
        <v>19699</v>
      </c>
      <c r="B2351" s="20">
        <v>30</v>
      </c>
      <c r="C2351" s="20">
        <v>36</v>
      </c>
      <c r="D2351" s="20">
        <v>36</v>
      </c>
      <c r="E2351" s="20">
        <v>96</v>
      </c>
      <c r="F2351" s="20" t="s">
        <v>19700</v>
      </c>
      <c r="G2351" s="20" t="s">
        <v>19701</v>
      </c>
      <c r="H2351" s="24"/>
      <c r="I2351" s="24" t="str">
        <f ca="1">IFERROR(__xludf.DUMMYFUNCTION("GOOGLETRANSLATE(F2351,""en"",""pt"")"),"dobradiças janela")</f>
        <v>dobradiças janela</v>
      </c>
      <c r="J2351">
        <f>VLOOKUP(A2351,Pr_Base_LNEC!$A$4:$J$6971,6,FALSE)</f>
        <v>0</v>
      </c>
      <c r="K2351">
        <f>VLOOKUP(A2351,Pr_Base_LNEC!$A$4:$J$6971,7,FALSE)</f>
        <v>0</v>
      </c>
    </row>
    <row r="2352" spans="1:11" ht="14.5">
      <c r="A2352" s="20" t="s">
        <v>19702</v>
      </c>
      <c r="B2352" s="20">
        <v>30</v>
      </c>
      <c r="C2352" s="20">
        <v>36</v>
      </c>
      <c r="D2352" s="20">
        <v>59</v>
      </c>
      <c r="E2352" s="24"/>
      <c r="F2352" s="20" t="s">
        <v>19703</v>
      </c>
      <c r="G2352" s="24"/>
      <c r="H2352" s="24"/>
      <c r="I2352" s="24" t="str">
        <f ca="1">IFERROR(__xludf.DUMMYFUNCTION("GOOGLETRANSLATE(F2352,""en"",""pt"")"),"hardware abertura")</f>
        <v>hardware abertura</v>
      </c>
      <c r="J2352">
        <f>VLOOKUP(A2352,Pr_Base_LNEC!$A$4:$J$6971,6,FALSE)</f>
        <v>0</v>
      </c>
      <c r="K2352">
        <f>VLOOKUP(A2352,Pr_Base_LNEC!$A$4:$J$6971,7,FALSE)</f>
        <v>0</v>
      </c>
    </row>
    <row r="2353" spans="1:11" ht="14.5">
      <c r="A2353" s="20" t="s">
        <v>19704</v>
      </c>
      <c r="B2353" s="20">
        <v>30</v>
      </c>
      <c r="C2353" s="20">
        <v>36</v>
      </c>
      <c r="D2353" s="20">
        <v>59</v>
      </c>
      <c r="E2353" s="20">
        <v>15</v>
      </c>
      <c r="F2353" s="20" t="s">
        <v>19705</v>
      </c>
      <c r="G2353" s="20" t="s">
        <v>19706</v>
      </c>
      <c r="H2353" s="24"/>
      <c r="I2353" s="24" t="str">
        <f ca="1">IFERROR(__xludf.DUMMYFUNCTION("GOOGLETRANSLATE(F2353,""en"",""pt"")"),"fecho de portas controladas")</f>
        <v>fecho de portas controladas</v>
      </c>
      <c r="J2353">
        <f>VLOOKUP(A2353,Pr_Base_LNEC!$A$4:$J$6971,6,FALSE)</f>
        <v>0</v>
      </c>
      <c r="K2353">
        <f>VLOOKUP(A2353,Pr_Base_LNEC!$A$4:$J$6971,7,FALSE)</f>
        <v>0</v>
      </c>
    </row>
    <row r="2354" spans="1:11" ht="14.5">
      <c r="A2354" s="20" t="s">
        <v>19707</v>
      </c>
      <c r="B2354" s="20">
        <v>30</v>
      </c>
      <c r="C2354" s="20">
        <v>36</v>
      </c>
      <c r="D2354" s="20">
        <v>59</v>
      </c>
      <c r="E2354" s="20">
        <v>22</v>
      </c>
      <c r="F2354" s="20" t="s">
        <v>19708</v>
      </c>
      <c r="G2354" s="20" t="s">
        <v>19709</v>
      </c>
      <c r="H2354" s="24"/>
      <c r="I2354" s="24" t="str">
        <f ca="1">IFERROR(__xludf.DUMMYFUNCTION("GOOGLETRANSLATE(F2354,""en"",""pt"")"),"coordenadores de porta")</f>
        <v>coordenadores de porta</v>
      </c>
      <c r="J2354">
        <f>VLOOKUP(A2354,Pr_Base_LNEC!$A$4:$J$6971,6,FALSE)</f>
        <v>0</v>
      </c>
      <c r="K2354">
        <f>VLOOKUP(A2354,Pr_Base_LNEC!$A$4:$J$6971,7,FALSE)</f>
        <v>0</v>
      </c>
    </row>
    <row r="2355" spans="1:11" ht="14.5">
      <c r="A2355" s="20" t="s">
        <v>19710</v>
      </c>
      <c r="B2355" s="20">
        <v>30</v>
      </c>
      <c r="C2355" s="20">
        <v>36</v>
      </c>
      <c r="D2355" s="20">
        <v>59</v>
      </c>
      <c r="E2355" s="20">
        <v>24</v>
      </c>
      <c r="F2355" s="20" t="s">
        <v>19711</v>
      </c>
      <c r="G2355" s="20" t="s">
        <v>19712</v>
      </c>
      <c r="H2355" s="24"/>
      <c r="I2355" s="24" t="str">
        <f ca="1">IFERROR(__xludf.DUMMYFUNCTION("GOOGLETRANSLATE(F2355,""en"",""pt"")"),"Porta limitando estadias")</f>
        <v>Porta limitando estadias</v>
      </c>
      <c r="J2355">
        <f>VLOOKUP(A2355,Pr_Base_LNEC!$A$4:$J$6971,6,FALSE)</f>
        <v>0</v>
      </c>
      <c r="K2355">
        <f>VLOOKUP(A2355,Pr_Base_LNEC!$A$4:$J$6971,7,FALSE)</f>
        <v>0</v>
      </c>
    </row>
    <row r="2356" spans="1:11" ht="14.5">
      <c r="A2356" s="20" t="s">
        <v>19713</v>
      </c>
      <c r="B2356" s="20">
        <v>30</v>
      </c>
      <c r="C2356" s="20">
        <v>36</v>
      </c>
      <c r="D2356" s="20">
        <v>59</v>
      </c>
      <c r="E2356" s="20">
        <v>25</v>
      </c>
      <c r="F2356" s="20" t="s">
        <v>19714</v>
      </c>
      <c r="G2356" s="20" t="s">
        <v>19715</v>
      </c>
      <c r="H2356" s="24"/>
      <c r="I2356" s="24" t="str">
        <f ca="1">IFERROR(__xludf.DUMMYFUNCTION("GOOGLETRANSLATE(F2356,""en"",""pt"")"),"Porta sets punho da alavanca")</f>
        <v>Porta sets punho da alavanca</v>
      </c>
      <c r="J2356">
        <f>VLOOKUP(A2356,Pr_Base_LNEC!$A$4:$J$6971,6,FALSE)</f>
        <v>0</v>
      </c>
      <c r="K2356">
        <f>VLOOKUP(A2356,Pr_Base_LNEC!$A$4:$J$6971,7,FALSE)</f>
        <v>0</v>
      </c>
    </row>
    <row r="2357" spans="1:11" ht="14.5">
      <c r="A2357" s="20" t="s">
        <v>19716</v>
      </c>
      <c r="B2357" s="20">
        <v>30</v>
      </c>
      <c r="C2357" s="20">
        <v>36</v>
      </c>
      <c r="D2357" s="20">
        <v>59</v>
      </c>
      <c r="E2357" s="20">
        <v>29</v>
      </c>
      <c r="F2357" s="20" t="s">
        <v>19717</v>
      </c>
      <c r="G2357" s="24"/>
      <c r="H2357" s="24"/>
      <c r="I2357" s="24" t="str">
        <f ca="1">IFERROR(__xludf.DUMMYFUNCTION("GOOGLETRANSLATE(F2357,""en"",""pt"")"),"puxadores com autoclismo")</f>
        <v>puxadores com autoclismo</v>
      </c>
      <c r="J2357" t="e">
        <f>VLOOKUP(A2357,Pr_Base_LNEC!$A$4:$J$6971,6,FALSE)</f>
        <v>#N/A</v>
      </c>
      <c r="K2357" t="e">
        <f>VLOOKUP(A2357,Pr_Base_LNEC!$A$4:$J$6971,7,FALSE)</f>
        <v>#N/A</v>
      </c>
    </row>
    <row r="2358" spans="1:11" ht="14.5">
      <c r="A2358" s="20" t="s">
        <v>19718</v>
      </c>
      <c r="B2358" s="20">
        <v>30</v>
      </c>
      <c r="C2358" s="20">
        <v>36</v>
      </c>
      <c r="D2358" s="20">
        <v>59</v>
      </c>
      <c r="E2358" s="20">
        <v>31</v>
      </c>
      <c r="F2358" s="20" t="s">
        <v>19719</v>
      </c>
      <c r="G2358" s="24"/>
      <c r="H2358" s="24"/>
      <c r="I2358" s="24" t="str">
        <f ca="1">IFERROR(__xludf.DUMMYFUNCTION("GOOGLETRANSLATE(F2358,""en"",""pt"")"),"estadias de móveis")</f>
        <v>estadias de móveis</v>
      </c>
      <c r="J2358">
        <f>VLOOKUP(A2358,Pr_Base_LNEC!$A$4:$J$6971,6,FALSE)</f>
        <v>0</v>
      </c>
      <c r="K2358">
        <f>VLOOKUP(A2358,Pr_Base_LNEC!$A$4:$J$6971,7,FALSE)</f>
        <v>0</v>
      </c>
    </row>
    <row r="2359" spans="1:11" ht="14.5">
      <c r="A2359" s="20" t="s">
        <v>19720</v>
      </c>
      <c r="B2359" s="20">
        <v>30</v>
      </c>
      <c r="C2359" s="20">
        <v>36</v>
      </c>
      <c r="D2359" s="20">
        <v>59</v>
      </c>
      <c r="E2359" s="20">
        <v>32</v>
      </c>
      <c r="F2359" s="20" t="s">
        <v>19721</v>
      </c>
      <c r="G2359" s="20" t="s">
        <v>19722</v>
      </c>
      <c r="H2359" s="24"/>
      <c r="I2359" s="24" t="str">
        <f ca="1">IFERROR(__xludf.DUMMYFUNCTION("GOOGLETRANSLATE(F2359,""en"",""pt"")"),"titulares da porta da garagem")</f>
        <v>titulares da porta da garagem</v>
      </c>
      <c r="J2359">
        <f>VLOOKUP(A2359,Pr_Base_LNEC!$A$4:$J$6971,6,FALSE)</f>
        <v>0</v>
      </c>
      <c r="K2359">
        <f>VLOOKUP(A2359,Pr_Base_LNEC!$A$4:$J$6971,7,FALSE)</f>
        <v>0</v>
      </c>
    </row>
    <row r="2360" spans="1:11" ht="14.5">
      <c r="A2360" s="20" t="s">
        <v>19723</v>
      </c>
      <c r="B2360" s="20">
        <v>30</v>
      </c>
      <c r="C2360" s="20">
        <v>36</v>
      </c>
      <c r="D2360" s="20">
        <v>59</v>
      </c>
      <c r="E2360" s="20">
        <v>33</v>
      </c>
      <c r="F2360" s="20" t="s">
        <v>19724</v>
      </c>
      <c r="G2360" s="20" t="s">
        <v>19725</v>
      </c>
      <c r="H2360" s="24"/>
      <c r="I2360" s="24" t="str">
        <f ca="1">IFERROR(__xludf.DUMMYFUNCTION("GOOGLETRANSLATE(F2360,""en"",""pt"")"),"fechos de portão")</f>
        <v>fechos de portão</v>
      </c>
      <c r="J2360">
        <f>VLOOKUP(A2360,Pr_Base_LNEC!$A$4:$J$6971,6,FALSE)</f>
        <v>0</v>
      </c>
      <c r="K2360">
        <f>VLOOKUP(A2360,Pr_Base_LNEC!$A$4:$J$6971,7,FALSE)</f>
        <v>0</v>
      </c>
    </row>
    <row r="2361" spans="1:11" ht="14.5">
      <c r="A2361" s="20" t="s">
        <v>19726</v>
      </c>
      <c r="B2361" s="20">
        <v>30</v>
      </c>
      <c r="C2361" s="20">
        <v>36</v>
      </c>
      <c r="D2361" s="20">
        <v>59</v>
      </c>
      <c r="E2361" s="20">
        <v>34</v>
      </c>
      <c r="F2361" s="20" t="s">
        <v>19727</v>
      </c>
      <c r="G2361" s="20" t="s">
        <v>19728</v>
      </c>
      <c r="H2361" s="24"/>
      <c r="I2361" s="24" t="str">
        <f ca="1">IFERROR(__xludf.DUMMYFUNCTION("GOOGLETRANSLATE(F2361,""en"",""pt"")"),"puxadores de porta")</f>
        <v>puxadores de porta</v>
      </c>
      <c r="J2361">
        <f>VLOOKUP(A2361,Pr_Base_LNEC!$A$4:$J$6971,6,FALSE)</f>
        <v>0</v>
      </c>
      <c r="K2361">
        <f>VLOOKUP(A2361,Pr_Base_LNEC!$A$4:$J$6971,7,FALSE)</f>
        <v>0</v>
      </c>
    </row>
    <row r="2362" spans="1:11" ht="14.5">
      <c r="A2362" s="20" t="s">
        <v>19729</v>
      </c>
      <c r="B2362" s="20">
        <v>30</v>
      </c>
      <c r="C2362" s="20">
        <v>36</v>
      </c>
      <c r="D2362" s="20">
        <v>59</v>
      </c>
      <c r="E2362" s="20">
        <v>35</v>
      </c>
      <c r="F2362" s="20" t="s">
        <v>19730</v>
      </c>
      <c r="G2362" s="20" t="s">
        <v>19731</v>
      </c>
      <c r="H2362" s="24"/>
      <c r="I2362" s="24" t="str">
        <f ca="1">IFERROR(__xludf.DUMMYFUNCTION("GOOGLETRANSLATE(F2362,""en"",""pt"")"),"molas de porta")</f>
        <v>molas de porta</v>
      </c>
      <c r="J2362">
        <f>VLOOKUP(A2362,Pr_Base_LNEC!$A$4:$J$6971,6,FALSE)</f>
        <v>0</v>
      </c>
      <c r="K2362">
        <f>VLOOKUP(A2362,Pr_Base_LNEC!$A$4:$J$6971,7,FALSE)</f>
        <v>0</v>
      </c>
    </row>
    <row r="2363" spans="1:11" ht="14.5">
      <c r="A2363" s="20" t="s">
        <v>19732</v>
      </c>
      <c r="B2363" s="20">
        <v>30</v>
      </c>
      <c r="C2363" s="20">
        <v>36</v>
      </c>
      <c r="D2363" s="20">
        <v>59</v>
      </c>
      <c r="E2363" s="20">
        <v>36</v>
      </c>
      <c r="F2363" s="20" t="s">
        <v>19733</v>
      </c>
      <c r="G2363" s="20" t="s">
        <v>19734</v>
      </c>
      <c r="H2363" s="24"/>
      <c r="I2363" s="24" t="str">
        <f ca="1">IFERROR(__xludf.DUMMYFUNCTION("GOOGLETRANSLATE(F2363,""en"",""pt"")"),"rodas de portão")</f>
        <v>rodas de portão</v>
      </c>
      <c r="J2363">
        <f>VLOOKUP(A2363,Pr_Base_LNEC!$A$4:$J$6971,6,FALSE)</f>
        <v>0</v>
      </c>
      <c r="K2363">
        <f>VLOOKUP(A2363,Pr_Base_LNEC!$A$4:$J$6971,7,FALSE)</f>
        <v>0</v>
      </c>
    </row>
    <row r="2364" spans="1:11" ht="14.5">
      <c r="A2364" s="20" t="s">
        <v>19735</v>
      </c>
      <c r="B2364" s="20">
        <v>30</v>
      </c>
      <c r="C2364" s="20">
        <v>36</v>
      </c>
      <c r="D2364" s="20">
        <v>59</v>
      </c>
      <c r="E2364" s="20">
        <v>38</v>
      </c>
      <c r="F2364" s="20" t="s">
        <v>19736</v>
      </c>
      <c r="G2364" s="20" t="s">
        <v>19737</v>
      </c>
      <c r="H2364" s="24"/>
      <c r="I2364" s="24" t="str">
        <f ca="1">IFERROR(__xludf.DUMMYFUNCTION("GOOGLETRANSLATE(F2364,""en"",""pt"")"),"Titulares e ganchos")</f>
        <v>Titulares e ganchos</v>
      </c>
      <c r="J2364">
        <f>VLOOKUP(A2364,Pr_Base_LNEC!$A$4:$J$6971,6,FALSE)</f>
        <v>0</v>
      </c>
      <c r="K2364">
        <f>VLOOKUP(A2364,Pr_Base_LNEC!$A$4:$J$6971,7,FALSE)</f>
        <v>0</v>
      </c>
    </row>
    <row r="2365" spans="1:11" ht="14.5">
      <c r="A2365" s="20" t="s">
        <v>19738</v>
      </c>
      <c r="B2365" s="20">
        <v>30</v>
      </c>
      <c r="C2365" s="20">
        <v>36</v>
      </c>
      <c r="D2365" s="20">
        <v>59</v>
      </c>
      <c r="E2365" s="20">
        <v>45</v>
      </c>
      <c r="F2365" s="20" t="s">
        <v>19739</v>
      </c>
      <c r="G2365" s="20" t="s">
        <v>19740</v>
      </c>
      <c r="H2365" s="24"/>
      <c r="I2365" s="24" t="str">
        <f ca="1">IFERROR(__xludf.DUMMYFUNCTION("GOOGLETRANSLATE(F2365,""en"",""pt"")"),"maçanetas")</f>
        <v>maçanetas</v>
      </c>
      <c r="J2365">
        <f>VLOOKUP(A2365,Pr_Base_LNEC!$A$4:$J$6971,6,FALSE)</f>
        <v>0</v>
      </c>
      <c r="K2365">
        <f>VLOOKUP(A2365,Pr_Base_LNEC!$A$4:$J$6971,7,FALSE)</f>
        <v>0</v>
      </c>
    </row>
    <row r="2366" spans="1:11" ht="14.5">
      <c r="A2366" s="20" t="s">
        <v>19741</v>
      </c>
      <c r="B2366" s="20">
        <v>30</v>
      </c>
      <c r="C2366" s="20">
        <v>36</v>
      </c>
      <c r="D2366" s="20">
        <v>59</v>
      </c>
      <c r="E2366" s="20">
        <v>50</v>
      </c>
      <c r="F2366" s="20" t="s">
        <v>19742</v>
      </c>
      <c r="G2366" s="24"/>
      <c r="H2366" s="24"/>
      <c r="I2366" s="24" t="str">
        <f ca="1">IFERROR(__xludf.DUMMYFUNCTION("GOOGLETRANSLATE(F2366,""en"",""pt"")"),"hold magnética")</f>
        <v>hold magnética</v>
      </c>
      <c r="J2366">
        <f>VLOOKUP(A2366,Pr_Base_LNEC!$A$4:$J$6971,6,FALSE)</f>
        <v>0</v>
      </c>
      <c r="K2366">
        <f>VLOOKUP(A2366,Pr_Base_LNEC!$A$4:$J$6971,7,FALSE)</f>
        <v>0</v>
      </c>
    </row>
    <row r="2367" spans="1:11" ht="14.5">
      <c r="A2367" s="20" t="s">
        <v>19743</v>
      </c>
      <c r="B2367" s="20">
        <v>30</v>
      </c>
      <c r="C2367" s="20">
        <v>36</v>
      </c>
      <c r="D2367" s="20">
        <v>59</v>
      </c>
      <c r="E2367" s="20">
        <v>52</v>
      </c>
      <c r="F2367" s="20" t="s">
        <v>19744</v>
      </c>
      <c r="G2367" s="20" t="s">
        <v>19745</v>
      </c>
      <c r="H2367" s="24"/>
      <c r="I2367" s="24" t="str">
        <f ca="1">IFERROR(__xludf.DUMMYFUNCTION("GOOGLETRANSLATE(F2367,""en"",""pt"")"),"placas de pressão Midrail")</f>
        <v>placas de pressão Midrail</v>
      </c>
      <c r="J2367">
        <f>VLOOKUP(A2367,Pr_Base_LNEC!$A$4:$J$6971,6,FALSE)</f>
        <v>0</v>
      </c>
      <c r="K2367">
        <f>VLOOKUP(A2367,Pr_Base_LNEC!$A$4:$J$6971,7,FALSE)</f>
        <v>0</v>
      </c>
    </row>
    <row r="2368" spans="1:11" ht="14.5">
      <c r="A2368" s="20" t="s">
        <v>19746</v>
      </c>
      <c r="B2368" s="20">
        <v>30</v>
      </c>
      <c r="C2368" s="20">
        <v>36</v>
      </c>
      <c r="D2368" s="20">
        <v>59</v>
      </c>
      <c r="E2368" s="20">
        <v>64</v>
      </c>
      <c r="F2368" s="20" t="s">
        <v>19747</v>
      </c>
      <c r="G2368" s="20" t="s">
        <v>19748</v>
      </c>
      <c r="H2368" s="24"/>
      <c r="I2368" s="24" t="str">
        <f ca="1">IFERROR(__xludf.DUMMYFUNCTION("GOOGLETRANSLATE(F2368,""en"",""pt"")"),"puxadores")</f>
        <v>puxadores</v>
      </c>
      <c r="J2368">
        <f>VLOOKUP(A2368,Pr_Base_LNEC!$A$4:$J$6971,6,FALSE)</f>
        <v>0</v>
      </c>
      <c r="K2368">
        <f>VLOOKUP(A2368,Pr_Base_LNEC!$A$4:$J$6971,7,FALSE)</f>
        <v>0</v>
      </c>
    </row>
    <row r="2369" spans="1:11" ht="14.5">
      <c r="A2369" s="20" t="s">
        <v>19749</v>
      </c>
      <c r="B2369" s="20">
        <v>30</v>
      </c>
      <c r="C2369" s="20">
        <v>36</v>
      </c>
      <c r="D2369" s="20">
        <v>59</v>
      </c>
      <c r="E2369" s="20">
        <v>76</v>
      </c>
      <c r="F2369" s="20" t="s">
        <v>19750</v>
      </c>
      <c r="G2369" s="20" t="s">
        <v>19751</v>
      </c>
      <c r="H2369" s="24"/>
      <c r="I2369" s="24" t="str">
        <f ca="1">IFERROR(__xludf.DUMMYFUNCTION("GOOGLETRANSLATE(F2369,""en"",""pt"")"),"puxa caixilho de janela")</f>
        <v>puxa caixilho de janela</v>
      </c>
      <c r="J2369">
        <f>VLOOKUP(A2369,Pr_Base_LNEC!$A$4:$J$6971,6,FALSE)</f>
        <v>0</v>
      </c>
      <c r="K2369">
        <f>VLOOKUP(A2369,Pr_Base_LNEC!$A$4:$J$6971,7,FALSE)</f>
        <v>0</v>
      </c>
    </row>
    <row r="2370" spans="1:11" ht="14.5">
      <c r="A2370" s="20" t="s">
        <v>19752</v>
      </c>
      <c r="B2370" s="20">
        <v>30</v>
      </c>
      <c r="C2370" s="20">
        <v>36</v>
      </c>
      <c r="D2370" s="20">
        <v>59</v>
      </c>
      <c r="E2370" s="20">
        <v>78</v>
      </c>
      <c r="F2370" s="20" t="s">
        <v>19753</v>
      </c>
      <c r="G2370" s="24"/>
      <c r="H2370" s="24"/>
      <c r="I2370" s="24" t="str">
        <f ca="1">IFERROR(__xludf.DUMMYFUNCTION("GOOGLETRANSLATE(F2370,""en"",""pt"")"),"fecho de portas de tela")</f>
        <v>fecho de portas de tela</v>
      </c>
      <c r="J2370" t="e">
        <f>VLOOKUP(A2370,Pr_Base_LNEC!$A$4:$J$6971,6,FALSE)</f>
        <v>#N/A</v>
      </c>
      <c r="K2370" t="e">
        <f>VLOOKUP(A2370,Pr_Base_LNEC!$A$4:$J$6971,7,FALSE)</f>
        <v>#N/A</v>
      </c>
    </row>
    <row r="2371" spans="1:11" ht="14.5">
      <c r="A2371" s="20" t="s">
        <v>19754</v>
      </c>
      <c r="B2371" s="20">
        <v>30</v>
      </c>
      <c r="C2371" s="20">
        <v>36</v>
      </c>
      <c r="D2371" s="20">
        <v>59</v>
      </c>
      <c r="E2371" s="20">
        <v>92</v>
      </c>
      <c r="F2371" s="20" t="s">
        <v>19755</v>
      </c>
      <c r="G2371" s="20" t="s">
        <v>19756</v>
      </c>
      <c r="H2371" s="24"/>
      <c r="I2371" s="24" t="str">
        <f ca="1">IFERROR(__xludf.DUMMYFUNCTION("GOOGLETRANSLATE(F2371,""en"",""pt"")"),"fecho de portas descontrolados")</f>
        <v>fecho de portas descontrolados</v>
      </c>
      <c r="J2371">
        <f>VLOOKUP(A2371,Pr_Base_LNEC!$A$4:$J$6971,6,FALSE)</f>
        <v>0</v>
      </c>
      <c r="K2371">
        <f>VLOOKUP(A2371,Pr_Base_LNEC!$A$4:$J$6971,7,FALSE)</f>
        <v>0</v>
      </c>
    </row>
    <row r="2372" spans="1:11" ht="14.5">
      <c r="A2372" s="20" t="s">
        <v>19757</v>
      </c>
      <c r="B2372" s="20">
        <v>30</v>
      </c>
      <c r="C2372" s="20">
        <v>36</v>
      </c>
      <c r="D2372" s="20">
        <v>59</v>
      </c>
      <c r="E2372" s="20">
        <v>94</v>
      </c>
      <c r="F2372" s="20" t="s">
        <v>19758</v>
      </c>
      <c r="G2372" s="20" t="s">
        <v>19759</v>
      </c>
      <c r="H2372" s="24"/>
      <c r="I2372" s="24" t="str">
        <f ca="1">IFERROR(__xludf.DUMMYFUNCTION("GOOGLETRANSLATE(F2372,""en"",""pt"")"),"estadias de batente da janela")</f>
        <v>estadias de batente da janela</v>
      </c>
      <c r="J2372">
        <f>VLOOKUP(A2372,Pr_Base_LNEC!$A$4:$J$6971,6,FALSE)</f>
        <v>0</v>
      </c>
      <c r="K2372">
        <f>VLOOKUP(A2372,Pr_Base_LNEC!$A$4:$J$6971,7,FALSE)</f>
        <v>0</v>
      </c>
    </row>
    <row r="2373" spans="1:11" ht="14.5">
      <c r="A2373" s="20" t="s">
        <v>19760</v>
      </c>
      <c r="B2373" s="20">
        <v>30</v>
      </c>
      <c r="C2373" s="20">
        <v>36</v>
      </c>
      <c r="D2373" s="20">
        <v>59</v>
      </c>
      <c r="E2373" s="20">
        <v>95</v>
      </c>
      <c r="F2373" s="20" t="s">
        <v>19761</v>
      </c>
      <c r="G2373" s="20" t="s">
        <v>19762</v>
      </c>
      <c r="H2373" s="24"/>
      <c r="I2373" s="24" t="str">
        <f ca="1">IFERROR(__xludf.DUMMYFUNCTION("GOOGLETRANSLATE(F2373,""en"",""pt"")"),"Janela trava e bloqueio operando alças")</f>
        <v>Janela trava e bloqueio operando alças</v>
      </c>
      <c r="J2373">
        <f>VLOOKUP(A2373,Pr_Base_LNEC!$A$4:$J$6971,6,FALSE)</f>
        <v>0</v>
      </c>
      <c r="K2373">
        <f>VLOOKUP(A2373,Pr_Base_LNEC!$A$4:$J$6971,7,FALSE)</f>
        <v>0</v>
      </c>
    </row>
    <row r="2374" spans="1:11" ht="14.5">
      <c r="A2374" s="20" t="s">
        <v>19763</v>
      </c>
      <c r="B2374" s="20">
        <v>30</v>
      </c>
      <c r="C2374" s="20">
        <v>36</v>
      </c>
      <c r="D2374" s="20">
        <v>59</v>
      </c>
      <c r="E2374" s="20">
        <v>96</v>
      </c>
      <c r="F2374" s="20" t="s">
        <v>19764</v>
      </c>
      <c r="G2374" s="20" t="s">
        <v>19765</v>
      </c>
      <c r="H2374" s="24"/>
      <c r="I2374" s="24" t="str">
        <f ca="1">IFERROR(__xludf.DUMMYFUNCTION("GOOGLETRANSLATE(F2374,""en"",""pt"")"),"Janela sobre estadias de batente centro")</f>
        <v>Janela sobre estadias de batente centro</v>
      </c>
      <c r="J2374">
        <f>VLOOKUP(A2374,Pr_Base_LNEC!$A$4:$J$6971,6,FALSE)</f>
        <v>0</v>
      </c>
      <c r="K2374">
        <f>VLOOKUP(A2374,Pr_Base_LNEC!$A$4:$J$6971,7,FALSE)</f>
        <v>0</v>
      </c>
    </row>
    <row r="2375" spans="1:11" ht="14.5">
      <c r="A2375" s="20" t="s">
        <v>19766</v>
      </c>
      <c r="B2375" s="20">
        <v>30</v>
      </c>
      <c r="C2375" s="20">
        <v>36</v>
      </c>
      <c r="D2375" s="20">
        <v>59</v>
      </c>
      <c r="E2375" s="20">
        <v>97</v>
      </c>
      <c r="F2375" s="20" t="s">
        <v>19767</v>
      </c>
      <c r="G2375" s="20" t="s">
        <v>19768</v>
      </c>
      <c r="H2375" s="24"/>
      <c r="I2375" s="24" t="str">
        <f ca="1">IFERROR(__xludf.DUMMYFUNCTION("GOOGLETRANSLATE(F2375,""en"",""pt"")"),"Janela abridores remoto manuais")</f>
        <v>Janela abridores remoto manuais</v>
      </c>
      <c r="J2375">
        <f>VLOOKUP(A2375,Pr_Base_LNEC!$A$4:$J$6971,6,FALSE)</f>
        <v>0</v>
      </c>
      <c r="K2375">
        <f>VLOOKUP(A2375,Pr_Base_LNEC!$A$4:$J$6971,7,FALSE)</f>
        <v>0</v>
      </c>
    </row>
    <row r="2376" spans="1:11" ht="14.5">
      <c r="A2376" s="20" t="s">
        <v>19769</v>
      </c>
      <c r="B2376" s="20">
        <v>30</v>
      </c>
      <c r="C2376" s="20">
        <v>36</v>
      </c>
      <c r="D2376" s="20">
        <v>59</v>
      </c>
      <c r="E2376" s="20">
        <v>98</v>
      </c>
      <c r="F2376" s="20" t="s">
        <v>19770</v>
      </c>
      <c r="G2376" s="20" t="s">
        <v>19771</v>
      </c>
      <c r="H2376" s="24"/>
      <c r="I2376" s="24" t="str">
        <f ca="1">IFERROR(__xludf.DUMMYFUNCTION("GOOGLETRANSLATE(F2376,""en"",""pt"")"),"estadias restritor janela")</f>
        <v>estadias restritor janela</v>
      </c>
      <c r="J2376">
        <f>VLOOKUP(A2376,Pr_Base_LNEC!$A$4:$J$6971,6,FALSE)</f>
        <v>0</v>
      </c>
      <c r="K2376">
        <f>VLOOKUP(A2376,Pr_Base_LNEC!$A$4:$J$6971,7,FALSE)</f>
        <v>0</v>
      </c>
    </row>
    <row r="2377" spans="1:11" ht="14.5">
      <c r="A2377" s="20" t="s">
        <v>19772</v>
      </c>
      <c r="B2377" s="20">
        <v>30</v>
      </c>
      <c r="C2377" s="20">
        <v>59</v>
      </c>
      <c r="D2377" s="24"/>
      <c r="E2377" s="24"/>
      <c r="F2377" s="20" t="s">
        <v>19773</v>
      </c>
      <c r="G2377" s="24"/>
      <c r="H2377" s="24"/>
      <c r="I2377" s="24" t="str">
        <f ca="1">IFERROR(__xludf.DUMMYFUNCTION("GOOGLETRANSLATE(F2377,""en"",""pt"")"),"Aberturas e produtos de componentes de abertura")</f>
        <v>Aberturas e produtos de componentes de abertura</v>
      </c>
      <c r="J2377" t="str">
        <f>VLOOKUP(A2377,Pr_Base_LNEC!$A$4:$J$6971,6,FALSE)</f>
        <v>Componentes para aberturas de Entradas</v>
      </c>
      <c r="K2377">
        <f>VLOOKUP(A2377,Pr_Base_LNEC!$A$4:$J$6971,7,FALSE)</f>
        <v>0</v>
      </c>
    </row>
    <row r="2378" spans="1:11" ht="14.5">
      <c r="A2378" s="20" t="s">
        <v>19774</v>
      </c>
      <c r="B2378" s="20">
        <v>30</v>
      </c>
      <c r="C2378" s="20">
        <v>59</v>
      </c>
      <c r="D2378" s="20">
        <v>1</v>
      </c>
      <c r="E2378" s="24"/>
      <c r="F2378" s="20" t="s">
        <v>19775</v>
      </c>
      <c r="G2378" s="24"/>
      <c r="H2378" s="24"/>
      <c r="I2378" s="24" t="str">
        <f ca="1">IFERROR(__xludf.DUMMYFUNCTION("GOOGLETRANSLATE(F2378,""en"",""pt"")"),"rampas de acesso")</f>
        <v>rampas de acesso</v>
      </c>
      <c r="J2378">
        <f>VLOOKUP(A2378,Pr_Base_LNEC!$A$4:$J$6971,6,FALSE)</f>
        <v>0</v>
      </c>
      <c r="K2378">
        <f>VLOOKUP(A2378,Pr_Base_LNEC!$A$4:$J$6971,7,FALSE)</f>
        <v>0</v>
      </c>
    </row>
    <row r="2379" spans="1:11" ht="14.5">
      <c r="A2379" s="20" t="s">
        <v>19776</v>
      </c>
      <c r="B2379" s="20">
        <v>30</v>
      </c>
      <c r="C2379" s="20">
        <v>59</v>
      </c>
      <c r="D2379" s="20">
        <v>1</v>
      </c>
      <c r="E2379" s="20">
        <v>11</v>
      </c>
      <c r="F2379" s="20" t="s">
        <v>19777</v>
      </c>
      <c r="G2379" s="24"/>
      <c r="H2379" s="24"/>
      <c r="I2379" s="24" t="str">
        <f ca="1">IFERROR(__xludf.DUMMYFUNCTION("GOOGLETRANSLATE(F2379,""en"",""pt"")"),"rampas de veículos")</f>
        <v>rampas de veículos</v>
      </c>
      <c r="J2379">
        <f>VLOOKUP(A2379,Pr_Base_LNEC!$A$4:$J$6971,6,FALSE)</f>
        <v>0</v>
      </c>
      <c r="K2379">
        <f>VLOOKUP(A2379,Pr_Base_LNEC!$A$4:$J$6971,7,FALSE)</f>
        <v>0</v>
      </c>
    </row>
    <row r="2380" spans="1:11" ht="14.5">
      <c r="A2380" s="20" t="s">
        <v>19778</v>
      </c>
      <c r="B2380" s="20">
        <v>30</v>
      </c>
      <c r="C2380" s="20">
        <v>59</v>
      </c>
      <c r="D2380" s="20">
        <v>1</v>
      </c>
      <c r="E2380" s="20">
        <v>23</v>
      </c>
      <c r="F2380" s="20" t="s">
        <v>19779</v>
      </c>
      <c r="G2380" s="24"/>
      <c r="H2380" s="24"/>
      <c r="I2380" s="24" t="str">
        <f ca="1">IFERROR(__xludf.DUMMYFUNCTION("GOOGLETRANSLATE(F2380,""en"",""pt"")"),"rampas de cão")</f>
        <v>rampas de cão</v>
      </c>
      <c r="J2380">
        <f>VLOOKUP(A2380,Pr_Base_LNEC!$A$4:$J$6971,6,FALSE)</f>
        <v>0</v>
      </c>
      <c r="K2380">
        <f>VLOOKUP(A2380,Pr_Base_LNEC!$A$4:$J$6971,7,FALSE)</f>
        <v>0</v>
      </c>
    </row>
    <row r="2381" spans="1:11" ht="14.5">
      <c r="A2381" s="20" t="s">
        <v>19780</v>
      </c>
      <c r="B2381" s="20">
        <v>30</v>
      </c>
      <c r="C2381" s="20">
        <v>59</v>
      </c>
      <c r="D2381" s="20">
        <v>1</v>
      </c>
      <c r="E2381" s="20">
        <v>27</v>
      </c>
      <c r="F2381" s="20" t="s">
        <v>19781</v>
      </c>
      <c r="G2381" s="24"/>
      <c r="H2381" s="24"/>
      <c r="I2381" s="24" t="str">
        <f ca="1">IFERROR(__xludf.DUMMYFUNCTION("GOOGLETRANSLATE(F2381,""en"",""pt"")"),"rampas de carga")</f>
        <v>rampas de carga</v>
      </c>
      <c r="J2381" t="e">
        <f>VLOOKUP(A2381,Pr_Base_LNEC!$A$4:$J$6971,6,FALSE)</f>
        <v>#N/A</v>
      </c>
      <c r="K2381" t="e">
        <f>VLOOKUP(A2381,Pr_Base_LNEC!$A$4:$J$6971,7,FALSE)</f>
        <v>#N/A</v>
      </c>
    </row>
    <row r="2382" spans="1:11" ht="14.5">
      <c r="A2382" s="20" t="s">
        <v>19782</v>
      </c>
      <c r="B2382" s="20">
        <v>30</v>
      </c>
      <c r="C2382" s="20">
        <v>59</v>
      </c>
      <c r="D2382" s="20">
        <v>1</v>
      </c>
      <c r="E2382" s="20">
        <v>90</v>
      </c>
      <c r="F2382" s="20" t="s">
        <v>19783</v>
      </c>
      <c r="G2382" s="24"/>
      <c r="H2382" s="24"/>
      <c r="I2382" s="24" t="str">
        <f ca="1">IFERROR(__xludf.DUMMYFUNCTION("GOOGLETRANSLATE(F2382,""en"",""pt"")"),"rampas de embarque de trem")</f>
        <v>rampas de embarque de trem</v>
      </c>
      <c r="J2382" t="e">
        <f>VLOOKUP(A2382,Pr_Base_LNEC!$A$4:$J$6971,6,FALSE)</f>
        <v>#N/A</v>
      </c>
      <c r="K2382" t="e">
        <f>VLOOKUP(A2382,Pr_Base_LNEC!$A$4:$J$6971,7,FALSE)</f>
        <v>#N/A</v>
      </c>
    </row>
    <row r="2383" spans="1:11" ht="14.5">
      <c r="A2383" s="20" t="s">
        <v>19784</v>
      </c>
      <c r="B2383" s="20">
        <v>30</v>
      </c>
      <c r="C2383" s="20">
        <v>59</v>
      </c>
      <c r="D2383" s="20">
        <v>1</v>
      </c>
      <c r="E2383" s="20">
        <v>96</v>
      </c>
      <c r="F2383" s="20" t="s">
        <v>19785</v>
      </c>
      <c r="G2383" s="24"/>
      <c r="H2383" s="24"/>
      <c r="I2383" s="24" t="str">
        <f ca="1">IFERROR(__xludf.DUMMYFUNCTION("GOOGLETRANSLATE(F2383,""en"",""pt"")"),"rampas para cadeiras de rodas")</f>
        <v>rampas para cadeiras de rodas</v>
      </c>
      <c r="J2383">
        <f>VLOOKUP(A2383,Pr_Base_LNEC!$A$4:$J$6971,6,FALSE)</f>
        <v>0</v>
      </c>
      <c r="K2383">
        <f>VLOOKUP(A2383,Pr_Base_LNEC!$A$4:$J$6971,7,FALSE)</f>
        <v>0</v>
      </c>
    </row>
    <row r="2384" spans="1:11" ht="14.5">
      <c r="A2384" s="20" t="s">
        <v>19786</v>
      </c>
      <c r="B2384" s="20">
        <v>30</v>
      </c>
      <c r="C2384" s="20">
        <v>59</v>
      </c>
      <c r="D2384" s="20">
        <v>7</v>
      </c>
      <c r="E2384" s="24"/>
      <c r="F2384" s="20" t="s">
        <v>19787</v>
      </c>
      <c r="G2384" s="24"/>
      <c r="H2384" s="24"/>
      <c r="I2384" s="24" t="str">
        <f ca="1">IFERROR(__xludf.DUMMYFUNCTION("GOOGLETRANSLATE(F2384,""en"",""pt"")"),"Persianas e dispositivos de sombreamento")</f>
        <v>Persianas e dispositivos de sombreamento</v>
      </c>
      <c r="J2384">
        <f>VLOOKUP(A2384,Pr_Base_LNEC!$A$4:$J$6971,6,FALSE)</f>
        <v>0</v>
      </c>
      <c r="K2384">
        <f>VLOOKUP(A2384,Pr_Base_LNEC!$A$4:$J$6971,7,FALSE)</f>
        <v>0</v>
      </c>
    </row>
    <row r="2385" spans="1:11" ht="14.5">
      <c r="A2385" s="20" t="s">
        <v>19788</v>
      </c>
      <c r="B2385" s="20">
        <v>30</v>
      </c>
      <c r="C2385" s="20">
        <v>59</v>
      </c>
      <c r="D2385" s="20">
        <v>7</v>
      </c>
      <c r="E2385" s="20">
        <v>2</v>
      </c>
      <c r="F2385" s="20" t="s">
        <v>19789</v>
      </c>
      <c r="G2385" s="24"/>
      <c r="H2385" s="24"/>
      <c r="I2385" s="24" t="str">
        <f ca="1">IFERROR(__xludf.DUMMYFUNCTION("GOOGLETRANSLATE(F2385,""en"",""pt"")"),"persianas de alumínio")</f>
        <v>persianas de alumínio</v>
      </c>
      <c r="J2385" t="e">
        <f>VLOOKUP(A2385,Pr_Base_LNEC!$A$4:$J$6971,6,FALSE)</f>
        <v>#N/A</v>
      </c>
      <c r="K2385" t="e">
        <f>VLOOKUP(A2385,Pr_Base_LNEC!$A$4:$J$6971,7,FALSE)</f>
        <v>#N/A</v>
      </c>
    </row>
    <row r="2386" spans="1:11" ht="14.5">
      <c r="A2386" s="20" t="s">
        <v>19790</v>
      </c>
      <c r="B2386" s="20">
        <v>30</v>
      </c>
      <c r="C2386" s="20">
        <v>59</v>
      </c>
      <c r="D2386" s="20">
        <v>7</v>
      </c>
      <c r="E2386" s="20">
        <v>3</v>
      </c>
      <c r="F2386" s="20" t="s">
        <v>19791</v>
      </c>
      <c r="G2386" s="20" t="s">
        <v>19792</v>
      </c>
      <c r="H2386" s="24"/>
      <c r="I2386" s="24" t="str">
        <f ca="1">IFERROR(__xludf.DUMMYFUNCTION("GOOGLETRANSLATE(F2386,""en"",""pt"")"),"telas anti-reflexo")</f>
        <v>telas anti-reflexo</v>
      </c>
      <c r="J2386">
        <f>VLOOKUP(A2386,Pr_Base_LNEC!$A$4:$J$6971,6,FALSE)</f>
        <v>0</v>
      </c>
      <c r="K2386">
        <f>VLOOKUP(A2386,Pr_Base_LNEC!$A$4:$J$6971,7,FALSE)</f>
        <v>0</v>
      </c>
    </row>
    <row r="2387" spans="1:11" ht="14.5">
      <c r="A2387" s="20" t="s">
        <v>19793</v>
      </c>
      <c r="B2387" s="20">
        <v>30</v>
      </c>
      <c r="C2387" s="20">
        <v>59</v>
      </c>
      <c r="D2387" s="20">
        <v>7</v>
      </c>
      <c r="E2387" s="20">
        <v>5</v>
      </c>
      <c r="F2387" s="20" t="s">
        <v>19794</v>
      </c>
      <c r="G2387" s="20" t="s">
        <v>19795</v>
      </c>
      <c r="H2387" s="24"/>
      <c r="I2387" s="24" t="str">
        <f ca="1">IFERROR(__xludf.DUMMYFUNCTION("GOOGLETRANSLATE(F2387,""en"",""pt"")"),"toldos")</f>
        <v>toldos</v>
      </c>
      <c r="J2387">
        <f>VLOOKUP(A2387,Pr_Base_LNEC!$A$4:$J$6971,6,FALSE)</f>
        <v>0</v>
      </c>
      <c r="K2387">
        <f>VLOOKUP(A2387,Pr_Base_LNEC!$A$4:$J$6971,7,FALSE)</f>
        <v>0</v>
      </c>
    </row>
    <row r="2388" spans="1:11" ht="14.5">
      <c r="A2388" s="20" t="s">
        <v>19796</v>
      </c>
      <c r="B2388" s="20">
        <v>30</v>
      </c>
      <c r="C2388" s="20">
        <v>59</v>
      </c>
      <c r="D2388" s="20">
        <v>7</v>
      </c>
      <c r="E2388" s="20">
        <v>7</v>
      </c>
      <c r="F2388" s="20" t="s">
        <v>19797</v>
      </c>
      <c r="G2388" s="24"/>
      <c r="H2388" s="24"/>
      <c r="I2388" s="24" t="str">
        <f ca="1">IFERROR(__xludf.DUMMYFUNCTION("GOOGLETRANSLATE(F2388,""en"",""pt"")"),"persianas")</f>
        <v>persianas</v>
      </c>
      <c r="J2388">
        <f>VLOOKUP(A2388,Pr_Base_LNEC!$A$4:$J$6971,6,FALSE)</f>
        <v>0</v>
      </c>
      <c r="K2388">
        <f>VLOOKUP(A2388,Pr_Base_LNEC!$A$4:$J$6971,7,FALSE)</f>
        <v>0</v>
      </c>
    </row>
    <row r="2389" spans="1:11" ht="14.5">
      <c r="A2389" s="20" t="s">
        <v>19798</v>
      </c>
      <c r="B2389" s="20">
        <v>30</v>
      </c>
      <c r="C2389" s="20">
        <v>59</v>
      </c>
      <c r="D2389" s="20">
        <v>7</v>
      </c>
      <c r="E2389" s="20">
        <v>26</v>
      </c>
      <c r="F2389" s="20" t="s">
        <v>19799</v>
      </c>
      <c r="G2389" s="20" t="s">
        <v>19800</v>
      </c>
      <c r="H2389" s="24"/>
      <c r="I2389" s="24" t="str">
        <f ca="1">IFERROR(__xludf.DUMMYFUNCTION("GOOGLETRANSLATE(F2389,""en"",""pt"")"),"estores de correr externas")</f>
        <v>estores de correr externas</v>
      </c>
      <c r="J2389">
        <f>VLOOKUP(A2389,Pr_Base_LNEC!$A$4:$J$6971,6,FALSE)</f>
        <v>0</v>
      </c>
      <c r="K2389">
        <f>VLOOKUP(A2389,Pr_Base_LNEC!$A$4:$J$6971,7,FALSE)</f>
        <v>0</v>
      </c>
    </row>
    <row r="2390" spans="1:11" ht="14.5">
      <c r="A2390" s="20" t="s">
        <v>19801</v>
      </c>
      <c r="B2390" s="20">
        <v>30</v>
      </c>
      <c r="C2390" s="20">
        <v>59</v>
      </c>
      <c r="D2390" s="20">
        <v>7</v>
      </c>
      <c r="E2390" s="20">
        <v>27</v>
      </c>
      <c r="F2390" s="20" t="s">
        <v>19802</v>
      </c>
      <c r="G2390" s="20" t="s">
        <v>19803</v>
      </c>
      <c r="H2390" s="24"/>
      <c r="I2390" s="24" t="str">
        <f ca="1">IFERROR(__xludf.DUMMYFUNCTION("GOOGLETRANSLATE(F2390,""en"",""pt"")"),"persianas externas")</f>
        <v>persianas externas</v>
      </c>
      <c r="J2390">
        <f>VLOOKUP(A2390,Pr_Base_LNEC!$A$4:$J$6971,6,FALSE)</f>
        <v>0</v>
      </c>
      <c r="K2390">
        <f>VLOOKUP(A2390,Pr_Base_LNEC!$A$4:$J$6971,7,FALSE)</f>
        <v>0</v>
      </c>
    </row>
    <row r="2391" spans="1:11" ht="14.5">
      <c r="A2391" s="20" t="s">
        <v>19804</v>
      </c>
      <c r="B2391" s="20">
        <v>30</v>
      </c>
      <c r="C2391" s="20">
        <v>59</v>
      </c>
      <c r="D2391" s="20">
        <v>7</v>
      </c>
      <c r="E2391" s="20">
        <v>60</v>
      </c>
      <c r="F2391" s="20" t="s">
        <v>19805</v>
      </c>
      <c r="G2391" s="20" t="s">
        <v>19806</v>
      </c>
      <c r="H2391" s="24"/>
      <c r="I2391" s="24" t="str">
        <f ca="1">IFERROR(__xludf.DUMMYFUNCTION("GOOGLETRANSLATE(F2391,""en"",""pt"")"),"cortinas de painel")</f>
        <v>cortinas de painel</v>
      </c>
      <c r="J2391">
        <f>VLOOKUP(A2391,Pr_Base_LNEC!$A$4:$J$6971,6,FALSE)</f>
        <v>0</v>
      </c>
      <c r="K2391">
        <f>VLOOKUP(A2391,Pr_Base_LNEC!$A$4:$J$6971,7,FALSE)</f>
        <v>0</v>
      </c>
    </row>
    <row r="2392" spans="1:11" ht="14.5">
      <c r="A2392" s="20" t="s">
        <v>19807</v>
      </c>
      <c r="B2392" s="20">
        <v>30</v>
      </c>
      <c r="C2392" s="20">
        <v>59</v>
      </c>
      <c r="D2392" s="20">
        <v>7</v>
      </c>
      <c r="E2392" s="20">
        <v>64</v>
      </c>
      <c r="F2392" s="20" t="s">
        <v>19808</v>
      </c>
      <c r="G2392" s="20" t="s">
        <v>19809</v>
      </c>
      <c r="H2392" s="24"/>
      <c r="I2392" s="24" t="str">
        <f ca="1">IFERROR(__xludf.DUMMYFUNCTION("GOOGLETRANSLATE(F2392,""en"",""pt"")"),"blinds Pinoleum")</f>
        <v>blinds Pinoleum</v>
      </c>
      <c r="J2392">
        <f>VLOOKUP(A2392,Pr_Base_LNEC!$A$4:$J$6971,6,FALSE)</f>
        <v>0</v>
      </c>
      <c r="K2392">
        <f>VLOOKUP(A2392,Pr_Base_LNEC!$A$4:$J$6971,7,FALSE)</f>
        <v>0</v>
      </c>
    </row>
    <row r="2393" spans="1:11" ht="14.5">
      <c r="A2393" s="20" t="s">
        <v>19810</v>
      </c>
      <c r="B2393" s="20">
        <v>30</v>
      </c>
      <c r="C2393" s="20">
        <v>59</v>
      </c>
      <c r="D2393" s="20">
        <v>7</v>
      </c>
      <c r="E2393" s="20">
        <v>66</v>
      </c>
      <c r="F2393" s="20" t="s">
        <v>19811</v>
      </c>
      <c r="G2393" s="20" t="s">
        <v>19812</v>
      </c>
      <c r="H2393" s="24"/>
      <c r="I2393" s="24" t="str">
        <f ca="1">IFERROR(__xludf.DUMMYFUNCTION("GOOGLETRANSLATE(F2393,""en"",""pt"")"),"As cortinas plissadas")</f>
        <v>As cortinas plissadas</v>
      </c>
      <c r="J2393">
        <f>VLOOKUP(A2393,Pr_Base_LNEC!$A$4:$J$6971,6,FALSE)</f>
        <v>0</v>
      </c>
      <c r="K2393">
        <f>VLOOKUP(A2393,Pr_Base_LNEC!$A$4:$J$6971,7,FALSE)</f>
        <v>0</v>
      </c>
    </row>
    <row r="2394" spans="1:11" ht="14.5">
      <c r="A2394" s="20" t="s">
        <v>19813</v>
      </c>
      <c r="B2394" s="20">
        <v>30</v>
      </c>
      <c r="C2394" s="20">
        <v>59</v>
      </c>
      <c r="D2394" s="20">
        <v>7</v>
      </c>
      <c r="E2394" s="20">
        <v>68</v>
      </c>
      <c r="F2394" s="20" t="s">
        <v>19814</v>
      </c>
      <c r="G2394" s="24"/>
      <c r="H2394" s="24"/>
      <c r="I2394" s="24" t="str">
        <f ca="1">IFERROR(__xludf.DUMMYFUNCTION("GOOGLETRANSLATE(F2394,""en"",""pt"")"),"cloreto de polivinilo (PVC) obturadores")</f>
        <v>cloreto de polivinilo (PVC) obturadores</v>
      </c>
      <c r="J2394" t="e">
        <f>VLOOKUP(A2394,Pr_Base_LNEC!$A$4:$J$6971,6,FALSE)</f>
        <v>#N/A</v>
      </c>
      <c r="K2394" t="e">
        <f>VLOOKUP(A2394,Pr_Base_LNEC!$A$4:$J$6971,7,FALSE)</f>
        <v>#N/A</v>
      </c>
    </row>
    <row r="2395" spans="1:11" ht="14.5">
      <c r="A2395" s="20" t="s">
        <v>19815</v>
      </c>
      <c r="B2395" s="20">
        <v>30</v>
      </c>
      <c r="C2395" s="20">
        <v>59</v>
      </c>
      <c r="D2395" s="20">
        <v>7</v>
      </c>
      <c r="E2395" s="20">
        <v>72</v>
      </c>
      <c r="F2395" s="20" t="s">
        <v>19816</v>
      </c>
      <c r="G2395" s="20" t="s">
        <v>19817</v>
      </c>
      <c r="H2395" s="24"/>
      <c r="I2395" s="24" t="str">
        <f ca="1">IFERROR(__xludf.DUMMYFUNCTION("GOOGLETRANSLATE(F2395,""en"",""pt"")"),"As cortinas de rolo")</f>
        <v>As cortinas de rolo</v>
      </c>
      <c r="J2395">
        <f>VLOOKUP(A2395,Pr_Base_LNEC!$A$4:$J$6971,6,FALSE)</f>
        <v>0</v>
      </c>
      <c r="K2395">
        <f>VLOOKUP(A2395,Pr_Base_LNEC!$A$4:$J$6971,7,FALSE)</f>
        <v>0</v>
      </c>
    </row>
    <row r="2396" spans="1:11" ht="14.5">
      <c r="A2396" s="20" t="s">
        <v>19818</v>
      </c>
      <c r="B2396" s="20">
        <v>30</v>
      </c>
      <c r="C2396" s="20">
        <v>59</v>
      </c>
      <c r="D2396" s="20">
        <v>7</v>
      </c>
      <c r="E2396" s="20">
        <v>73</v>
      </c>
      <c r="F2396" s="20" t="s">
        <v>19819</v>
      </c>
      <c r="G2396" s="20" t="s">
        <v>19820</v>
      </c>
      <c r="H2396" s="24"/>
      <c r="I2396" s="24" t="str">
        <f ca="1">IFERROR(__xludf.DUMMYFUNCTION("GOOGLETRANSLATE(F2396,""en"",""pt"")"),"cortinas romanas")</f>
        <v>cortinas romanas</v>
      </c>
      <c r="J2396">
        <f>VLOOKUP(A2396,Pr_Base_LNEC!$A$4:$J$6971,6,FALSE)</f>
        <v>0</v>
      </c>
      <c r="K2396">
        <f>VLOOKUP(A2396,Pr_Base_LNEC!$A$4:$J$6971,7,FALSE)</f>
        <v>0</v>
      </c>
    </row>
    <row r="2397" spans="1:11" ht="14.5">
      <c r="A2397" s="20" t="s">
        <v>19821</v>
      </c>
      <c r="B2397" s="20">
        <v>30</v>
      </c>
      <c r="C2397" s="20">
        <v>59</v>
      </c>
      <c r="D2397" s="20">
        <v>7</v>
      </c>
      <c r="E2397" s="20">
        <v>86</v>
      </c>
      <c r="F2397" s="20" t="s">
        <v>19822</v>
      </c>
      <c r="G2397" s="24"/>
      <c r="H2397" s="24"/>
      <c r="I2397" s="24" t="str">
        <f ca="1">IFERROR(__xludf.DUMMYFUNCTION("GOOGLETRANSLATE(F2397,""en"",""pt"")"),"protetores solares")</f>
        <v>protetores solares</v>
      </c>
      <c r="J2397">
        <f>VLOOKUP(A2397,Pr_Base_LNEC!$A$4:$J$6971,6,FALSE)</f>
        <v>0</v>
      </c>
      <c r="K2397">
        <f>VLOOKUP(A2397,Pr_Base_LNEC!$A$4:$J$6971,7,FALSE)</f>
        <v>0</v>
      </c>
    </row>
    <row r="2398" spans="1:11" ht="14.5">
      <c r="A2398" s="20" t="s">
        <v>19823</v>
      </c>
      <c r="B2398" s="20">
        <v>30</v>
      </c>
      <c r="C2398" s="20">
        <v>59</v>
      </c>
      <c r="D2398" s="20">
        <v>7</v>
      </c>
      <c r="E2398" s="20">
        <v>94</v>
      </c>
      <c r="F2398" s="20" t="s">
        <v>19824</v>
      </c>
      <c r="G2398" s="20" t="s">
        <v>19825</v>
      </c>
      <c r="H2398" s="24"/>
      <c r="I2398" s="24" t="str">
        <f ca="1">IFERROR(__xludf.DUMMYFUNCTION("GOOGLETRANSLATE(F2398,""en"",""pt"")"),"venezianas")</f>
        <v>venezianas</v>
      </c>
      <c r="J2398">
        <f>VLOOKUP(A2398,Pr_Base_LNEC!$A$4:$J$6971,6,FALSE)</f>
        <v>0</v>
      </c>
      <c r="K2398">
        <f>VLOOKUP(A2398,Pr_Base_LNEC!$A$4:$J$6971,7,FALSE)</f>
        <v>0</v>
      </c>
    </row>
    <row r="2399" spans="1:11" ht="14.5">
      <c r="A2399" s="20" t="s">
        <v>19826</v>
      </c>
      <c r="B2399" s="20">
        <v>30</v>
      </c>
      <c r="C2399" s="20">
        <v>59</v>
      </c>
      <c r="D2399" s="20">
        <v>7</v>
      </c>
      <c r="E2399" s="20">
        <v>95</v>
      </c>
      <c r="F2399" s="20" t="s">
        <v>19827</v>
      </c>
      <c r="G2399" s="20" t="s">
        <v>19828</v>
      </c>
      <c r="H2399" s="24"/>
      <c r="I2399" s="24" t="str">
        <f ca="1">IFERROR(__xludf.DUMMYFUNCTION("GOOGLETRANSLATE(F2399,""en"",""pt"")"),"persianas verticais")</f>
        <v>persianas verticais</v>
      </c>
      <c r="J2399">
        <f>VLOOKUP(A2399,Pr_Base_LNEC!$A$4:$J$6971,6,FALSE)</f>
        <v>0</v>
      </c>
      <c r="K2399">
        <f>VLOOKUP(A2399,Pr_Base_LNEC!$A$4:$J$6971,7,FALSE)</f>
        <v>0</v>
      </c>
    </row>
    <row r="2400" spans="1:11" ht="14.5">
      <c r="A2400" s="20" t="s">
        <v>19829</v>
      </c>
      <c r="B2400" s="20">
        <v>30</v>
      </c>
      <c r="C2400" s="20">
        <v>59</v>
      </c>
      <c r="D2400" s="20">
        <v>7</v>
      </c>
      <c r="E2400" s="20">
        <v>96</v>
      </c>
      <c r="F2400" s="20" t="s">
        <v>19830</v>
      </c>
      <c r="G2400" s="20" t="s">
        <v>19831</v>
      </c>
      <c r="H2400" s="24"/>
      <c r="I2400" s="24" t="str">
        <f ca="1">IFERROR(__xludf.DUMMYFUNCTION("GOOGLETRANSLATE(F2400,""en"",""pt"")"),"persianas de madeira")</f>
        <v>persianas de madeira</v>
      </c>
      <c r="J2400">
        <f>VLOOKUP(A2400,Pr_Base_LNEC!$A$4:$J$6971,6,FALSE)</f>
        <v>0</v>
      </c>
      <c r="K2400">
        <f>VLOOKUP(A2400,Pr_Base_LNEC!$A$4:$J$6971,7,FALSE)</f>
        <v>0</v>
      </c>
    </row>
    <row r="2401" spans="1:11" ht="14.5">
      <c r="A2401" s="20" t="s">
        <v>19832</v>
      </c>
      <c r="B2401" s="20">
        <v>30</v>
      </c>
      <c r="C2401" s="20">
        <v>59</v>
      </c>
      <c r="D2401" s="20">
        <v>9</v>
      </c>
      <c r="E2401" s="24"/>
      <c r="F2401" s="20" t="s">
        <v>19833</v>
      </c>
      <c r="G2401" s="24"/>
      <c r="H2401" s="24"/>
      <c r="I2401" s="24" t="str">
        <f ca="1">IFERROR(__xludf.DUMMYFUNCTION("GOOGLETRANSLATE(F2401,""en"",""pt"")"),"Brise-soleils e componentes")</f>
        <v>Brise-soleils e componentes</v>
      </c>
      <c r="J2401">
        <f>VLOOKUP(A2401,Pr_Base_LNEC!$A$4:$J$6971,6,FALSE)</f>
        <v>0</v>
      </c>
      <c r="K2401">
        <f>VLOOKUP(A2401,Pr_Base_LNEC!$A$4:$J$6971,7,FALSE)</f>
        <v>0</v>
      </c>
    </row>
    <row r="2402" spans="1:11" ht="14.5">
      <c r="A2402" s="20" t="s">
        <v>19834</v>
      </c>
      <c r="B2402" s="20">
        <v>30</v>
      </c>
      <c r="C2402" s="20">
        <v>59</v>
      </c>
      <c r="D2402" s="20">
        <v>9</v>
      </c>
      <c r="E2402" s="20">
        <v>1</v>
      </c>
      <c r="F2402" s="20" t="s">
        <v>19835</v>
      </c>
      <c r="G2402" s="20" t="s">
        <v>19836</v>
      </c>
      <c r="H2402" s="24"/>
      <c r="I2402" s="24" t="str">
        <f ca="1">IFERROR(__xludf.DUMMYFUNCTION("GOOGLETRANSLATE(F2402,""en"",""pt"")"),"Alumínio brise-soleil braços cinta / escoras")</f>
        <v>Alumínio brise-soleil braços cinta / escoras</v>
      </c>
      <c r="J2402">
        <f>VLOOKUP(A2402,Pr_Base_LNEC!$A$4:$J$6971,6,FALSE)</f>
        <v>0</v>
      </c>
      <c r="K2402">
        <f>VLOOKUP(A2402,Pr_Base_LNEC!$A$4:$J$6971,7,FALSE)</f>
        <v>0</v>
      </c>
    </row>
    <row r="2403" spans="1:11" ht="14.5">
      <c r="A2403" s="20" t="s">
        <v>19837</v>
      </c>
      <c r="B2403" s="20">
        <v>30</v>
      </c>
      <c r="C2403" s="20">
        <v>59</v>
      </c>
      <c r="D2403" s="20">
        <v>9</v>
      </c>
      <c r="E2403" s="20">
        <v>2</v>
      </c>
      <c r="F2403" s="20" t="s">
        <v>19838</v>
      </c>
      <c r="G2403" s="20" t="s">
        <v>19839</v>
      </c>
      <c r="H2403" s="24"/>
      <c r="I2403" s="24" t="str">
        <f ca="1">IFERROR(__xludf.DUMMYFUNCTION("GOOGLETRANSLATE(F2403,""en"",""pt"")"),"os membros de suporte de alumínio brise-soleil")</f>
        <v>os membros de suporte de alumínio brise-soleil</v>
      </c>
      <c r="J2403">
        <f>VLOOKUP(A2403,Pr_Base_LNEC!$A$4:$J$6971,6,FALSE)</f>
        <v>0</v>
      </c>
      <c r="K2403">
        <f>VLOOKUP(A2403,Pr_Base_LNEC!$A$4:$J$6971,7,FALSE)</f>
        <v>0</v>
      </c>
    </row>
    <row r="2404" spans="1:11" ht="14.5">
      <c r="A2404" s="20" t="s">
        <v>19840</v>
      </c>
      <c r="B2404" s="20">
        <v>30</v>
      </c>
      <c r="C2404" s="20">
        <v>59</v>
      </c>
      <c r="D2404" s="20">
        <v>9</v>
      </c>
      <c r="E2404" s="20">
        <v>3</v>
      </c>
      <c r="F2404" s="20" t="s">
        <v>19841</v>
      </c>
      <c r="G2404" s="20" t="s">
        <v>19842</v>
      </c>
      <c r="H2404" s="24"/>
      <c r="I2404" s="24" t="str">
        <f ca="1">IFERROR(__xludf.DUMMYFUNCTION("GOOGLETRANSLATE(F2404,""en"",""pt"")"),"Alumínio brise-soleil grelha lâminas")</f>
        <v>Alumínio brise-soleil grelha lâminas</v>
      </c>
      <c r="J2404">
        <f>VLOOKUP(A2404,Pr_Base_LNEC!$A$4:$J$6971,6,FALSE)</f>
        <v>0</v>
      </c>
      <c r="K2404">
        <f>VLOOKUP(A2404,Pr_Base_LNEC!$A$4:$J$6971,7,FALSE)</f>
        <v>0</v>
      </c>
    </row>
    <row r="2405" spans="1:11" ht="14.5">
      <c r="A2405" s="20" t="s">
        <v>19843</v>
      </c>
      <c r="B2405" s="20">
        <v>30</v>
      </c>
      <c r="C2405" s="20">
        <v>59</v>
      </c>
      <c r="D2405" s="20">
        <v>9</v>
      </c>
      <c r="E2405" s="20">
        <v>4</v>
      </c>
      <c r="F2405" s="20" t="s">
        <v>19844</v>
      </c>
      <c r="G2405" s="20" t="s">
        <v>19845</v>
      </c>
      <c r="H2405" s="24"/>
      <c r="I2405" s="24" t="str">
        <f ca="1">IFERROR(__xludf.DUMMYFUNCTION("GOOGLETRANSLATE(F2405,""en"",""pt"")"),"braços de suporte de alumínio brise-soleil")</f>
        <v>braços de suporte de alumínio brise-soleil</v>
      </c>
      <c r="J2405">
        <f>VLOOKUP(A2405,Pr_Base_LNEC!$A$4:$J$6971,6,FALSE)</f>
        <v>0</v>
      </c>
      <c r="K2405">
        <f>VLOOKUP(A2405,Pr_Base_LNEC!$A$4:$J$6971,7,FALSE)</f>
        <v>0</v>
      </c>
    </row>
    <row r="2406" spans="1:11" ht="14.5">
      <c r="A2406" s="20" t="s">
        <v>19846</v>
      </c>
      <c r="B2406" s="20">
        <v>30</v>
      </c>
      <c r="C2406" s="20">
        <v>59</v>
      </c>
      <c r="D2406" s="20">
        <v>9</v>
      </c>
      <c r="E2406" s="20">
        <v>5</v>
      </c>
      <c r="F2406" s="20" t="s">
        <v>19847</v>
      </c>
      <c r="G2406" s="20" t="s">
        <v>19848</v>
      </c>
      <c r="H2406" s="24"/>
      <c r="I2406" s="24" t="str">
        <f ca="1">IFERROR(__xludf.DUMMYFUNCTION("GOOGLETRANSLATE(F2406,""en"",""pt"")"),"unidades de alumínio brise-soleil")</f>
        <v>unidades de alumínio brise-soleil</v>
      </c>
      <c r="J2406">
        <f>VLOOKUP(A2406,Pr_Base_LNEC!$A$4:$J$6971,6,FALSE)</f>
        <v>0</v>
      </c>
      <c r="K2406">
        <f>VLOOKUP(A2406,Pr_Base_LNEC!$A$4:$J$6971,7,FALSE)</f>
        <v>0</v>
      </c>
    </row>
    <row r="2407" spans="1:11" ht="14.5">
      <c r="A2407" s="20" t="s">
        <v>19849</v>
      </c>
      <c r="B2407" s="20">
        <v>30</v>
      </c>
      <c r="C2407" s="20">
        <v>59</v>
      </c>
      <c r="D2407" s="20">
        <v>9</v>
      </c>
      <c r="E2407" s="20">
        <v>11</v>
      </c>
      <c r="F2407" s="20" t="s">
        <v>19850</v>
      </c>
      <c r="G2407" s="20" t="s">
        <v>19851</v>
      </c>
      <c r="H2407" s="24"/>
      <c r="I2407" s="24" t="str">
        <f ca="1">IFERROR(__xludf.DUMMYFUNCTION("GOOGLETRANSLATE(F2407,""en"",""pt"")"),"aço carbono brise-soleil cinta braços / hastes")</f>
        <v>aço carbono brise-soleil cinta braços / hastes</v>
      </c>
      <c r="J2407">
        <f>VLOOKUP(A2407,Pr_Base_LNEC!$A$4:$J$6971,6,FALSE)</f>
        <v>0</v>
      </c>
      <c r="K2407">
        <f>VLOOKUP(A2407,Pr_Base_LNEC!$A$4:$J$6971,7,FALSE)</f>
        <v>0</v>
      </c>
    </row>
    <row r="2408" spans="1:11" ht="14.5">
      <c r="A2408" s="20" t="s">
        <v>19852</v>
      </c>
      <c r="B2408" s="20">
        <v>30</v>
      </c>
      <c r="C2408" s="20">
        <v>59</v>
      </c>
      <c r="D2408" s="20">
        <v>9</v>
      </c>
      <c r="E2408" s="20">
        <v>12</v>
      </c>
      <c r="F2408" s="20" t="s">
        <v>19853</v>
      </c>
      <c r="G2408" s="20" t="s">
        <v>19854</v>
      </c>
      <c r="H2408" s="24"/>
      <c r="I2408" s="24" t="str">
        <f ca="1">IFERROR(__xludf.DUMMYFUNCTION("GOOGLETRANSLATE(F2408,""en"",""pt"")"),"membros de suporte brise-soleil aço carbono")</f>
        <v>membros de suporte brise-soleil aço carbono</v>
      </c>
      <c r="J2408">
        <f>VLOOKUP(A2408,Pr_Base_LNEC!$A$4:$J$6971,6,FALSE)</f>
        <v>0</v>
      </c>
      <c r="K2408">
        <f>VLOOKUP(A2408,Pr_Base_LNEC!$A$4:$J$6971,7,FALSE)</f>
        <v>0</v>
      </c>
    </row>
    <row r="2409" spans="1:11" ht="14.5">
      <c r="A2409" s="20" t="s">
        <v>19855</v>
      </c>
      <c r="B2409" s="20">
        <v>30</v>
      </c>
      <c r="C2409" s="20">
        <v>59</v>
      </c>
      <c r="D2409" s="20">
        <v>9</v>
      </c>
      <c r="E2409" s="20">
        <v>13</v>
      </c>
      <c r="F2409" s="20" t="s">
        <v>19856</v>
      </c>
      <c r="G2409" s="20" t="s">
        <v>19857</v>
      </c>
      <c r="H2409" s="24"/>
      <c r="I2409" s="24" t="str">
        <f ca="1">IFERROR(__xludf.DUMMYFUNCTION("GOOGLETRANSLATE(F2409,""en"",""pt"")"),"brise-soleil aço carbono grelha lâminas")</f>
        <v>brise-soleil aço carbono grelha lâminas</v>
      </c>
      <c r="J2409">
        <f>VLOOKUP(A2409,Pr_Base_LNEC!$A$4:$J$6971,6,FALSE)</f>
        <v>0</v>
      </c>
      <c r="K2409">
        <f>VLOOKUP(A2409,Pr_Base_LNEC!$A$4:$J$6971,7,FALSE)</f>
        <v>0</v>
      </c>
    </row>
    <row r="2410" spans="1:11" ht="14.5">
      <c r="A2410" s="20" t="s">
        <v>19858</v>
      </c>
      <c r="B2410" s="20">
        <v>30</v>
      </c>
      <c r="C2410" s="20">
        <v>59</v>
      </c>
      <c r="D2410" s="20">
        <v>9</v>
      </c>
      <c r="E2410" s="20">
        <v>14</v>
      </c>
      <c r="F2410" s="20" t="s">
        <v>19859</v>
      </c>
      <c r="G2410" s="20" t="s">
        <v>19860</v>
      </c>
      <c r="H2410" s="24"/>
      <c r="I2410" s="24" t="str">
        <f ca="1">IFERROR(__xludf.DUMMYFUNCTION("GOOGLETRANSLATE(F2410,""en"",""pt"")"),"aço carbono braços de suporte brise-soleil")</f>
        <v>aço carbono braços de suporte brise-soleil</v>
      </c>
      <c r="J2410">
        <f>VLOOKUP(A2410,Pr_Base_LNEC!$A$4:$J$6971,6,FALSE)</f>
        <v>0</v>
      </c>
      <c r="K2410">
        <f>VLOOKUP(A2410,Pr_Base_LNEC!$A$4:$J$6971,7,FALSE)</f>
        <v>0</v>
      </c>
    </row>
    <row r="2411" spans="1:11" ht="14.5">
      <c r="A2411" s="20" t="s">
        <v>19861</v>
      </c>
      <c r="B2411" s="20">
        <v>30</v>
      </c>
      <c r="C2411" s="20">
        <v>59</v>
      </c>
      <c r="D2411" s="20">
        <v>9</v>
      </c>
      <c r="E2411" s="20">
        <v>15</v>
      </c>
      <c r="F2411" s="20" t="s">
        <v>19862</v>
      </c>
      <c r="G2411" s="20" t="s">
        <v>19848</v>
      </c>
      <c r="H2411" s="24"/>
      <c r="I2411" s="24" t="str">
        <f ca="1">IFERROR(__xludf.DUMMYFUNCTION("GOOGLETRANSLATE(F2411,""en"",""pt"")"),"unidades brise-soleil aço carbono")</f>
        <v>unidades brise-soleil aço carbono</v>
      </c>
      <c r="J2411">
        <f>VLOOKUP(A2411,Pr_Base_LNEC!$A$4:$J$6971,6,FALSE)</f>
        <v>0</v>
      </c>
      <c r="K2411">
        <f>VLOOKUP(A2411,Pr_Base_LNEC!$A$4:$J$6971,7,FALSE)</f>
        <v>0</v>
      </c>
    </row>
    <row r="2412" spans="1:11" ht="14.5">
      <c r="A2412" s="20" t="s">
        <v>19863</v>
      </c>
      <c r="B2412" s="20">
        <v>30</v>
      </c>
      <c r="C2412" s="20">
        <v>59</v>
      </c>
      <c r="D2412" s="20">
        <v>9</v>
      </c>
      <c r="E2412" s="20">
        <v>33</v>
      </c>
      <c r="F2412" s="20" t="s">
        <v>19864</v>
      </c>
      <c r="G2412" s="20" t="s">
        <v>19865</v>
      </c>
      <c r="H2412" s="24"/>
      <c r="I2412" s="24" t="str">
        <f ca="1">IFERROR(__xludf.DUMMYFUNCTION("GOOGLETRANSLATE(F2412,""en"",""pt"")"),"Vidro brise-soleil grelha lâminas")</f>
        <v>Vidro brise-soleil grelha lâminas</v>
      </c>
      <c r="J2412">
        <f>VLOOKUP(A2412,Pr_Base_LNEC!$A$4:$J$6971,6,FALSE)</f>
        <v>0</v>
      </c>
      <c r="K2412">
        <f>VLOOKUP(A2412,Pr_Base_LNEC!$A$4:$J$6971,7,FALSE)</f>
        <v>0</v>
      </c>
    </row>
    <row r="2413" spans="1:11" ht="14.5">
      <c r="A2413" s="20" t="s">
        <v>19866</v>
      </c>
      <c r="B2413" s="20">
        <v>30</v>
      </c>
      <c r="C2413" s="20">
        <v>59</v>
      </c>
      <c r="D2413" s="20">
        <v>9</v>
      </c>
      <c r="E2413" s="20">
        <v>62</v>
      </c>
      <c r="F2413" s="20" t="s">
        <v>19867</v>
      </c>
      <c r="G2413" s="24"/>
      <c r="H2413" s="24"/>
      <c r="I2413" s="24" t="str">
        <f ca="1">IFERROR(__xludf.DUMMYFUNCTION("GOOGLETRANSLATE(F2413,""en"",""pt"")"),"Plásticos brise-soleil grelha lâminas")</f>
        <v>Plásticos brise-soleil grelha lâminas</v>
      </c>
      <c r="J2413">
        <f>VLOOKUP(A2413,Pr_Base_LNEC!$A$4:$J$6971,6,FALSE)</f>
        <v>0</v>
      </c>
      <c r="K2413">
        <f>VLOOKUP(A2413,Pr_Base_LNEC!$A$4:$J$6971,7,FALSE)</f>
        <v>0</v>
      </c>
    </row>
    <row r="2414" spans="1:11" ht="14.5">
      <c r="A2414" s="20" t="s">
        <v>19868</v>
      </c>
      <c r="B2414" s="20">
        <v>30</v>
      </c>
      <c r="C2414" s="20">
        <v>59</v>
      </c>
      <c r="D2414" s="20">
        <v>9</v>
      </c>
      <c r="E2414" s="20">
        <v>63</v>
      </c>
      <c r="F2414" s="20" t="s">
        <v>19869</v>
      </c>
      <c r="G2414" s="24"/>
      <c r="H2414" s="24"/>
      <c r="I2414" s="24" t="str">
        <f ca="1">IFERROR(__xludf.DUMMYFUNCTION("GOOGLETRANSLATE(F2414,""en"",""pt"")"),"Plásticos brise-soleil unidades")</f>
        <v>Plásticos brise-soleil unidades</v>
      </c>
      <c r="J2414">
        <f>VLOOKUP(A2414,Pr_Base_LNEC!$A$4:$J$6971,6,FALSE)</f>
        <v>0</v>
      </c>
      <c r="K2414">
        <f>VLOOKUP(A2414,Pr_Base_LNEC!$A$4:$J$6971,7,FALSE)</f>
        <v>0</v>
      </c>
    </row>
    <row r="2415" spans="1:11" ht="14.5">
      <c r="A2415" s="20" t="s">
        <v>19870</v>
      </c>
      <c r="B2415" s="20">
        <v>30</v>
      </c>
      <c r="C2415" s="20">
        <v>59</v>
      </c>
      <c r="D2415" s="20">
        <v>9</v>
      </c>
      <c r="E2415" s="20">
        <v>82</v>
      </c>
      <c r="F2415" s="20" t="s">
        <v>19871</v>
      </c>
      <c r="G2415" s="20" t="s">
        <v>19872</v>
      </c>
      <c r="H2415" s="24"/>
      <c r="I2415" s="24" t="str">
        <f ca="1">IFERROR(__xludf.DUMMYFUNCTION("GOOGLETRANSLATE(F2415,""en"",""pt"")"),"aço inoxidável brise-soleil braços cinta / struts")</f>
        <v>aço inoxidável brise-soleil braços cinta / struts</v>
      </c>
      <c r="J2415">
        <f>VLOOKUP(A2415,Pr_Base_LNEC!$A$4:$J$6971,6,FALSE)</f>
        <v>0</v>
      </c>
      <c r="K2415">
        <f>VLOOKUP(A2415,Pr_Base_LNEC!$A$4:$J$6971,7,FALSE)</f>
        <v>0</v>
      </c>
    </row>
    <row r="2416" spans="1:11" ht="14.5">
      <c r="A2416" s="20" t="s">
        <v>19873</v>
      </c>
      <c r="B2416" s="20">
        <v>30</v>
      </c>
      <c r="C2416" s="20">
        <v>59</v>
      </c>
      <c r="D2416" s="20">
        <v>9</v>
      </c>
      <c r="E2416" s="20">
        <v>83</v>
      </c>
      <c r="F2416" s="20" t="s">
        <v>19874</v>
      </c>
      <c r="G2416" s="20" t="s">
        <v>19875</v>
      </c>
      <c r="H2416" s="24"/>
      <c r="I2416" s="24" t="str">
        <f ca="1">IFERROR(__xludf.DUMMYFUNCTION("GOOGLETRANSLATE(F2416,""en"",""pt"")"),"membros portador brise-soleil de aço inoxidável")</f>
        <v>membros portador brise-soleil de aço inoxidável</v>
      </c>
      <c r="J2416">
        <f>VLOOKUP(A2416,Pr_Base_LNEC!$A$4:$J$6971,6,FALSE)</f>
        <v>0</v>
      </c>
      <c r="K2416">
        <f>VLOOKUP(A2416,Pr_Base_LNEC!$A$4:$J$6971,7,FALSE)</f>
        <v>0</v>
      </c>
    </row>
    <row r="2417" spans="1:11" ht="14.5">
      <c r="A2417" s="20" t="s">
        <v>19876</v>
      </c>
      <c r="B2417" s="20">
        <v>30</v>
      </c>
      <c r="C2417" s="20">
        <v>59</v>
      </c>
      <c r="D2417" s="20">
        <v>9</v>
      </c>
      <c r="E2417" s="20">
        <v>84</v>
      </c>
      <c r="F2417" s="20" t="s">
        <v>19877</v>
      </c>
      <c r="G2417" s="20" t="s">
        <v>19878</v>
      </c>
      <c r="H2417" s="24"/>
      <c r="I2417" s="24" t="str">
        <f ca="1">IFERROR(__xludf.DUMMYFUNCTION("GOOGLETRANSLATE(F2417,""en"",""pt"")"),"brise-soleil de aço inoxidável grelha lâminas")</f>
        <v>brise-soleil de aço inoxidável grelha lâminas</v>
      </c>
      <c r="J2417">
        <f>VLOOKUP(A2417,Pr_Base_LNEC!$A$4:$J$6971,6,FALSE)</f>
        <v>0</v>
      </c>
      <c r="K2417">
        <f>VLOOKUP(A2417,Pr_Base_LNEC!$A$4:$J$6971,7,FALSE)</f>
        <v>0</v>
      </c>
    </row>
    <row r="2418" spans="1:11" ht="14.5">
      <c r="A2418" s="20" t="s">
        <v>19879</v>
      </c>
      <c r="B2418" s="20">
        <v>30</v>
      </c>
      <c r="C2418" s="20">
        <v>59</v>
      </c>
      <c r="D2418" s="20">
        <v>9</v>
      </c>
      <c r="E2418" s="20">
        <v>85</v>
      </c>
      <c r="F2418" s="20" t="s">
        <v>19880</v>
      </c>
      <c r="G2418" s="20" t="s">
        <v>19881</v>
      </c>
      <c r="H2418" s="24"/>
      <c r="I2418" s="24" t="str">
        <f ca="1">IFERROR(__xludf.DUMMYFUNCTION("GOOGLETRANSLATE(F2418,""en"",""pt"")"),"aço inoxidável braços de suporte brise-soleil")</f>
        <v>aço inoxidável braços de suporte brise-soleil</v>
      </c>
      <c r="J2418">
        <f>VLOOKUP(A2418,Pr_Base_LNEC!$A$4:$J$6971,6,FALSE)</f>
        <v>0</v>
      </c>
      <c r="K2418">
        <f>VLOOKUP(A2418,Pr_Base_LNEC!$A$4:$J$6971,7,FALSE)</f>
        <v>0</v>
      </c>
    </row>
    <row r="2419" spans="1:11" ht="14.5">
      <c r="A2419" s="20" t="s">
        <v>19882</v>
      </c>
      <c r="B2419" s="20">
        <v>30</v>
      </c>
      <c r="C2419" s="20">
        <v>59</v>
      </c>
      <c r="D2419" s="20">
        <v>9</v>
      </c>
      <c r="E2419" s="20">
        <v>86</v>
      </c>
      <c r="F2419" s="20" t="s">
        <v>19883</v>
      </c>
      <c r="G2419" s="20" t="s">
        <v>19848</v>
      </c>
      <c r="H2419" s="24"/>
      <c r="I2419" s="24" t="str">
        <f ca="1">IFERROR(__xludf.DUMMYFUNCTION("GOOGLETRANSLATE(F2419,""en"",""pt"")"),"unidades de brise-soleil de aço inoxidável")</f>
        <v>unidades de brise-soleil de aço inoxidável</v>
      </c>
      <c r="J2419">
        <f>VLOOKUP(A2419,Pr_Base_LNEC!$A$4:$J$6971,6,FALSE)</f>
        <v>0</v>
      </c>
      <c r="K2419">
        <f>VLOOKUP(A2419,Pr_Base_LNEC!$A$4:$J$6971,7,FALSE)</f>
        <v>0</v>
      </c>
    </row>
    <row r="2420" spans="1:11" ht="14.5">
      <c r="A2420" s="20" t="s">
        <v>19884</v>
      </c>
      <c r="B2420" s="20">
        <v>30</v>
      </c>
      <c r="C2420" s="20">
        <v>59</v>
      </c>
      <c r="D2420" s="20">
        <v>9</v>
      </c>
      <c r="E2420" s="20">
        <v>90</v>
      </c>
      <c r="F2420" s="20" t="s">
        <v>19885</v>
      </c>
      <c r="G2420" s="20" t="s">
        <v>19886</v>
      </c>
      <c r="H2420" s="24"/>
      <c r="I2420" s="24" t="str">
        <f ca="1">IFERROR(__xludf.DUMMYFUNCTION("GOOGLETRANSLATE(F2420,""en"",""pt"")"),"membros de suporte brise-soleil madeira")</f>
        <v>membros de suporte brise-soleil madeira</v>
      </c>
      <c r="J2420">
        <f>VLOOKUP(A2420,Pr_Base_LNEC!$A$4:$J$6971,6,FALSE)</f>
        <v>0</v>
      </c>
      <c r="K2420">
        <f>VLOOKUP(A2420,Pr_Base_LNEC!$A$4:$J$6971,7,FALSE)</f>
        <v>0</v>
      </c>
    </row>
    <row r="2421" spans="1:11" ht="14.5">
      <c r="A2421" s="20" t="s">
        <v>19887</v>
      </c>
      <c r="B2421" s="20">
        <v>30</v>
      </c>
      <c r="C2421" s="20">
        <v>59</v>
      </c>
      <c r="D2421" s="20">
        <v>9</v>
      </c>
      <c r="E2421" s="20">
        <v>91</v>
      </c>
      <c r="F2421" s="20" t="s">
        <v>19888</v>
      </c>
      <c r="G2421" s="20" t="s">
        <v>19889</v>
      </c>
      <c r="H2421" s="24"/>
      <c r="I2421" s="24" t="str">
        <f ca="1">IFERROR(__xludf.DUMMYFUNCTION("GOOGLETRANSLATE(F2421,""en"",""pt"")"),"brise-soleil madeira grelha lâminas")</f>
        <v>brise-soleil madeira grelha lâminas</v>
      </c>
      <c r="J2421">
        <f>VLOOKUP(A2421,Pr_Base_LNEC!$A$4:$J$6971,6,FALSE)</f>
        <v>0</v>
      </c>
      <c r="K2421">
        <f>VLOOKUP(A2421,Pr_Base_LNEC!$A$4:$J$6971,7,FALSE)</f>
        <v>0</v>
      </c>
    </row>
    <row r="2422" spans="1:11" ht="14.5">
      <c r="A2422" s="20" t="s">
        <v>19890</v>
      </c>
      <c r="B2422" s="20">
        <v>30</v>
      </c>
      <c r="C2422" s="20">
        <v>59</v>
      </c>
      <c r="D2422" s="20">
        <v>9</v>
      </c>
      <c r="E2422" s="20">
        <v>92</v>
      </c>
      <c r="F2422" s="20" t="s">
        <v>19891</v>
      </c>
      <c r="G2422" s="20" t="s">
        <v>19892</v>
      </c>
      <c r="H2422" s="24"/>
      <c r="I2422" s="24" t="str">
        <f ca="1">IFERROR(__xludf.DUMMYFUNCTION("GOOGLETRANSLATE(F2422,""en"",""pt"")"),"braços de suporte de madeira brise-soleil")</f>
        <v>braços de suporte de madeira brise-soleil</v>
      </c>
      <c r="J2422">
        <f>VLOOKUP(A2422,Pr_Base_LNEC!$A$4:$J$6971,6,FALSE)</f>
        <v>0</v>
      </c>
      <c r="K2422">
        <f>VLOOKUP(A2422,Pr_Base_LNEC!$A$4:$J$6971,7,FALSE)</f>
        <v>0</v>
      </c>
    </row>
    <row r="2423" spans="1:11" ht="14.5">
      <c r="A2423" s="20" t="s">
        <v>19893</v>
      </c>
      <c r="B2423" s="20">
        <v>30</v>
      </c>
      <c r="C2423" s="20">
        <v>59</v>
      </c>
      <c r="D2423" s="20">
        <v>9</v>
      </c>
      <c r="E2423" s="20">
        <v>93</v>
      </c>
      <c r="F2423" s="20" t="s">
        <v>19894</v>
      </c>
      <c r="G2423" s="20" t="s">
        <v>19848</v>
      </c>
      <c r="H2423" s="24"/>
      <c r="I2423" s="24" t="str">
        <f ca="1">IFERROR(__xludf.DUMMYFUNCTION("GOOGLETRANSLATE(F2423,""en"",""pt"")"),"unidades brise-soleil madeira")</f>
        <v>unidades brise-soleil madeira</v>
      </c>
      <c r="J2423">
        <f>VLOOKUP(A2423,Pr_Base_LNEC!$A$4:$J$6971,6,FALSE)</f>
        <v>0</v>
      </c>
      <c r="K2423">
        <f>VLOOKUP(A2423,Pr_Base_LNEC!$A$4:$J$6971,7,FALSE)</f>
        <v>0</v>
      </c>
    </row>
    <row r="2424" spans="1:11" ht="14.5">
      <c r="A2424" s="20" t="s">
        <v>19895</v>
      </c>
      <c r="B2424" s="20">
        <v>30</v>
      </c>
      <c r="C2424" s="20">
        <v>59</v>
      </c>
      <c r="D2424" s="20">
        <v>23</v>
      </c>
      <c r="E2424" s="24"/>
      <c r="F2424" s="20" t="s">
        <v>19896</v>
      </c>
      <c r="G2424" s="24"/>
      <c r="H2424" s="24"/>
      <c r="I2424" s="24" t="str">
        <f ca="1">IFERROR(__xludf.DUMMYFUNCTION("GOOGLETRANSLATE(F2424,""en"",""pt"")"),"molduras de portas e folhas")</f>
        <v>molduras de portas e folhas</v>
      </c>
      <c r="J2424">
        <f>VLOOKUP(A2424,Pr_Base_LNEC!$A$4:$J$6971,6,FALSE)</f>
        <v>0</v>
      </c>
      <c r="K2424">
        <f>VLOOKUP(A2424,Pr_Base_LNEC!$A$4:$J$6971,7,FALSE)</f>
        <v>0</v>
      </c>
    </row>
    <row r="2425" spans="1:11" ht="14.5">
      <c r="A2425" s="20" t="s">
        <v>19897</v>
      </c>
      <c r="B2425" s="20">
        <v>30</v>
      </c>
      <c r="C2425" s="20">
        <v>59</v>
      </c>
      <c r="D2425" s="20">
        <v>23</v>
      </c>
      <c r="E2425" s="20">
        <v>2</v>
      </c>
      <c r="F2425" s="20" t="s">
        <v>19898</v>
      </c>
      <c r="G2425" s="20" t="s">
        <v>19899</v>
      </c>
      <c r="H2425" s="24"/>
      <c r="I2425" s="24" t="str">
        <f ca="1">IFERROR(__xludf.DUMMYFUNCTION("GOOGLETRANSLATE(F2425,""en"",""pt"")"),"molduras de portas de alumínio")</f>
        <v>molduras de portas de alumínio</v>
      </c>
      <c r="J2425">
        <f>VLOOKUP(A2425,Pr_Base_LNEC!$A$4:$J$6971,6,FALSE)</f>
        <v>0</v>
      </c>
      <c r="K2425">
        <f>VLOOKUP(A2425,Pr_Base_LNEC!$A$4:$J$6971,7,FALSE)</f>
        <v>0</v>
      </c>
    </row>
    <row r="2426" spans="1:11" ht="14.5">
      <c r="A2426" s="20" t="s">
        <v>19900</v>
      </c>
      <c r="B2426" s="20">
        <v>30</v>
      </c>
      <c r="C2426" s="20">
        <v>59</v>
      </c>
      <c r="D2426" s="20">
        <v>23</v>
      </c>
      <c r="E2426" s="20">
        <v>11</v>
      </c>
      <c r="F2426" s="20" t="s">
        <v>19901</v>
      </c>
      <c r="G2426" s="20" t="s">
        <v>19902</v>
      </c>
      <c r="H2426" s="24"/>
      <c r="I2426" s="24" t="str">
        <f ca="1">IFERROR(__xludf.DUMMYFUNCTION("GOOGLETRANSLATE(F2426,""en"",""pt"")"),"molduras de portas de aço-carbono")</f>
        <v>molduras de portas de aço-carbono</v>
      </c>
      <c r="J2426">
        <f>VLOOKUP(A2426,Pr_Base_LNEC!$A$4:$J$6971,6,FALSE)</f>
        <v>0</v>
      </c>
      <c r="K2426">
        <f>VLOOKUP(A2426,Pr_Base_LNEC!$A$4:$J$6971,7,FALSE)</f>
        <v>0</v>
      </c>
    </row>
    <row r="2427" spans="1:11" ht="14.5">
      <c r="A2427" s="20" t="s">
        <v>19903</v>
      </c>
      <c r="B2427" s="20">
        <v>30</v>
      </c>
      <c r="C2427" s="20">
        <v>59</v>
      </c>
      <c r="D2427" s="20">
        <v>23</v>
      </c>
      <c r="E2427" s="20">
        <v>15</v>
      </c>
      <c r="F2427" s="20" t="s">
        <v>19904</v>
      </c>
      <c r="G2427" s="20" t="s">
        <v>19905</v>
      </c>
      <c r="H2427" s="24"/>
      <c r="I2427" s="24" t="str">
        <f ca="1">IFERROR(__xludf.DUMMYFUNCTION("GOOGLETRANSLATE(F2427,""en"",""pt"")"),"molduras de portas compostas")</f>
        <v>molduras de portas compostas</v>
      </c>
      <c r="J2427">
        <f>VLOOKUP(A2427,Pr_Base_LNEC!$A$4:$J$6971,6,FALSE)</f>
        <v>0</v>
      </c>
      <c r="K2427">
        <f>VLOOKUP(A2427,Pr_Base_LNEC!$A$4:$J$6971,7,FALSE)</f>
        <v>0</v>
      </c>
    </row>
    <row r="2428" spans="1:11" ht="14.5">
      <c r="A2428" s="20" t="s">
        <v>19906</v>
      </c>
      <c r="B2428" s="20">
        <v>30</v>
      </c>
      <c r="C2428" s="20">
        <v>59</v>
      </c>
      <c r="D2428" s="20">
        <v>23</v>
      </c>
      <c r="E2428" s="20">
        <v>16</v>
      </c>
      <c r="F2428" s="20" t="s">
        <v>19907</v>
      </c>
      <c r="G2428" s="20" t="s">
        <v>19908</v>
      </c>
      <c r="H2428" s="24"/>
      <c r="I2428" s="24" t="str">
        <f ca="1">IFERROR(__xludf.DUMMYFUNCTION("GOOGLETRANSLATE(F2428,""en"",""pt"")"),"folhas de porta Composite")</f>
        <v>folhas de porta Composite</v>
      </c>
      <c r="J2428">
        <f>VLOOKUP(A2428,Pr_Base_LNEC!$A$4:$J$6971,6,FALSE)</f>
        <v>0</v>
      </c>
      <c r="K2428">
        <f>VLOOKUP(A2428,Pr_Base_LNEC!$A$4:$J$6971,7,FALSE)</f>
        <v>0</v>
      </c>
    </row>
    <row r="2429" spans="1:11" ht="14.5">
      <c r="A2429" s="20" t="s">
        <v>19909</v>
      </c>
      <c r="B2429" s="20">
        <v>30</v>
      </c>
      <c r="C2429" s="20">
        <v>59</v>
      </c>
      <c r="D2429" s="20">
        <v>23</v>
      </c>
      <c r="E2429" s="20">
        <v>32</v>
      </c>
      <c r="F2429" s="20" t="s">
        <v>19910</v>
      </c>
      <c r="G2429" s="20" t="s">
        <v>19911</v>
      </c>
      <c r="H2429" s="24"/>
      <c r="I2429" s="24" t="str">
        <f ca="1">IFERROR(__xludf.DUMMYFUNCTION("GOOGLETRANSLATE(F2429,""en"",""pt"")"),"folhas de porta de vidro sem moldura")</f>
        <v>folhas de porta de vidro sem moldura</v>
      </c>
      <c r="J2429">
        <f>VLOOKUP(A2429,Pr_Base_LNEC!$A$4:$J$6971,6,FALSE)</f>
        <v>0</v>
      </c>
      <c r="K2429">
        <f>VLOOKUP(A2429,Pr_Base_LNEC!$A$4:$J$6971,7,FALSE)</f>
        <v>0</v>
      </c>
    </row>
    <row r="2430" spans="1:11" ht="14.5">
      <c r="A2430" s="20" t="s">
        <v>19912</v>
      </c>
      <c r="B2430" s="20">
        <v>30</v>
      </c>
      <c r="C2430" s="20">
        <v>59</v>
      </c>
      <c r="D2430" s="20">
        <v>23</v>
      </c>
      <c r="E2430" s="20">
        <v>34</v>
      </c>
      <c r="F2430" s="20" t="s">
        <v>19913</v>
      </c>
      <c r="G2430" s="20" t="s">
        <v>19914</v>
      </c>
      <c r="H2430" s="24"/>
      <c r="I2430" s="24" t="str">
        <f ca="1">IFERROR(__xludf.DUMMYFUNCTION("GOOGLETRANSLATE(F2430,""en"",""pt"")"),"Vidro reforçado plástico (GRP) folhas de porta")</f>
        <v>Vidro reforçado plástico (GRP) folhas de porta</v>
      </c>
      <c r="J2430">
        <f>VLOOKUP(A2430,Pr_Base_LNEC!$A$4:$J$6971,6,FALSE)</f>
        <v>0</v>
      </c>
      <c r="K2430">
        <f>VLOOKUP(A2430,Pr_Base_LNEC!$A$4:$J$6971,7,FALSE)</f>
        <v>0</v>
      </c>
    </row>
    <row r="2431" spans="1:11" ht="14.5">
      <c r="A2431" s="20" t="s">
        <v>19915</v>
      </c>
      <c r="B2431" s="20">
        <v>30</v>
      </c>
      <c r="C2431" s="20">
        <v>59</v>
      </c>
      <c r="D2431" s="20">
        <v>23</v>
      </c>
      <c r="E2431" s="20">
        <v>47</v>
      </c>
      <c r="F2431" s="20" t="s">
        <v>19916</v>
      </c>
      <c r="G2431" s="24"/>
      <c r="H2431" s="24"/>
      <c r="I2431" s="24" t="str">
        <f ca="1">IFERROR(__xludf.DUMMYFUNCTION("GOOGLETRANSLATE(F2431,""en"",""pt"")"),"folhas de porta Louvre")</f>
        <v>folhas de porta Louvre</v>
      </c>
      <c r="J2431" t="e">
        <f>VLOOKUP(A2431,Pr_Base_LNEC!$A$4:$J$6971,6,FALSE)</f>
        <v>#N/A</v>
      </c>
      <c r="K2431" t="e">
        <f>VLOOKUP(A2431,Pr_Base_LNEC!$A$4:$J$6971,7,FALSE)</f>
        <v>#N/A</v>
      </c>
    </row>
    <row r="2432" spans="1:11" ht="14.5">
      <c r="A2432" s="20" t="s">
        <v>19917</v>
      </c>
      <c r="B2432" s="20">
        <v>30</v>
      </c>
      <c r="C2432" s="20">
        <v>59</v>
      </c>
      <c r="D2432" s="20">
        <v>23</v>
      </c>
      <c r="E2432" s="20">
        <v>50</v>
      </c>
      <c r="F2432" s="20" t="s">
        <v>19918</v>
      </c>
      <c r="G2432" s="20" t="s">
        <v>19919</v>
      </c>
      <c r="H2432" s="24"/>
      <c r="I2432" s="24" t="str">
        <f ca="1">IFERROR(__xludf.DUMMYFUNCTION("GOOGLETRANSLATE(F2432,""en"",""pt"")"),"folhas de porta Matchboarded")</f>
        <v>folhas de porta Matchboarded</v>
      </c>
      <c r="J2432">
        <f>VLOOKUP(A2432,Pr_Base_LNEC!$A$4:$J$6971,6,FALSE)</f>
        <v>0</v>
      </c>
      <c r="K2432">
        <f>VLOOKUP(A2432,Pr_Base_LNEC!$A$4:$J$6971,7,FALSE)</f>
        <v>0</v>
      </c>
    </row>
    <row r="2433" spans="1:11" ht="14.5">
      <c r="A2433" s="20" t="s">
        <v>19920</v>
      </c>
      <c r="B2433" s="20">
        <v>30</v>
      </c>
      <c r="C2433" s="20">
        <v>59</v>
      </c>
      <c r="D2433" s="20">
        <v>23</v>
      </c>
      <c r="E2433" s="20">
        <v>53</v>
      </c>
      <c r="F2433" s="20" t="s">
        <v>19921</v>
      </c>
      <c r="G2433" s="20" t="s">
        <v>19922</v>
      </c>
      <c r="H2433" s="24"/>
      <c r="I2433" s="24" t="str">
        <f ca="1">IFERROR(__xludf.DUMMYFUNCTION("GOOGLETRANSLATE(F2433,""en"",""pt"")"),"folhas de porta de metal")</f>
        <v>folhas de porta de metal</v>
      </c>
      <c r="J2433">
        <f>VLOOKUP(A2433,Pr_Base_LNEC!$A$4:$J$6971,6,FALSE)</f>
        <v>0</v>
      </c>
      <c r="K2433">
        <f>VLOOKUP(A2433,Pr_Base_LNEC!$A$4:$J$6971,7,FALSE)</f>
        <v>0</v>
      </c>
    </row>
    <row r="2434" spans="1:11" ht="14.5">
      <c r="A2434" s="20" t="s">
        <v>19923</v>
      </c>
      <c r="B2434" s="20">
        <v>30</v>
      </c>
      <c r="C2434" s="20">
        <v>59</v>
      </c>
      <c r="D2434" s="20">
        <v>23</v>
      </c>
      <c r="E2434" s="20">
        <v>84</v>
      </c>
      <c r="F2434" s="20" t="s">
        <v>19924</v>
      </c>
      <c r="G2434" s="20" t="s">
        <v>19902</v>
      </c>
      <c r="H2434" s="24"/>
      <c r="I2434" s="24" t="str">
        <f ca="1">IFERROR(__xludf.DUMMYFUNCTION("GOOGLETRANSLATE(F2434,""en"",""pt"")"),"molduras de portas de aço inoxidável")</f>
        <v>molduras de portas de aço inoxidável</v>
      </c>
      <c r="J2434">
        <f>VLOOKUP(A2434,Pr_Base_LNEC!$A$4:$J$6971,6,FALSE)</f>
        <v>0</v>
      </c>
      <c r="K2434">
        <f>VLOOKUP(A2434,Pr_Base_LNEC!$A$4:$J$6971,7,FALSE)</f>
        <v>0</v>
      </c>
    </row>
    <row r="2435" spans="1:11" ht="14.5">
      <c r="A2435" s="20" t="s">
        <v>19925</v>
      </c>
      <c r="B2435" s="20">
        <v>30</v>
      </c>
      <c r="C2435" s="20">
        <v>59</v>
      </c>
      <c r="D2435" s="20">
        <v>23</v>
      </c>
      <c r="E2435" s="20">
        <v>91</v>
      </c>
      <c r="F2435" s="20" t="s">
        <v>19926</v>
      </c>
      <c r="G2435" s="24"/>
      <c r="H2435" s="24"/>
      <c r="I2435" s="24" t="str">
        <f ca="1">IFERROR(__xludf.DUMMYFUNCTION("GOOGLETRANSLATE(F2435,""en"",""pt"")"),"de cloreto de polivinilo não plastificado (PVC-U) caixilhos de portas")</f>
        <v>de cloreto de polivinilo não plastificado (PVC-U) caixilhos de portas</v>
      </c>
      <c r="J2435">
        <f>VLOOKUP(A2435,Pr_Base_LNEC!$A$4:$J$6971,6,FALSE)</f>
        <v>0</v>
      </c>
      <c r="K2435">
        <f>VLOOKUP(A2435,Pr_Base_LNEC!$A$4:$J$6971,7,FALSE)</f>
        <v>0</v>
      </c>
    </row>
    <row r="2436" spans="1:11" ht="14.5">
      <c r="A2436" s="20" t="s">
        <v>19927</v>
      </c>
      <c r="B2436" s="20">
        <v>30</v>
      </c>
      <c r="C2436" s="20">
        <v>59</v>
      </c>
      <c r="D2436" s="20">
        <v>23</v>
      </c>
      <c r="E2436" s="20">
        <v>92</v>
      </c>
      <c r="F2436" s="20" t="s">
        <v>19928</v>
      </c>
      <c r="G2436" s="20" t="s">
        <v>19929</v>
      </c>
      <c r="H2436" s="24"/>
      <c r="I2436" s="24" t="str">
        <f ca="1">IFERROR(__xludf.DUMMYFUNCTION("GOOGLETRANSLATE(F2436,""en"",""pt"")"),"de cloreto de polivinilo não plastificado (PVC-U) folhas de porta")</f>
        <v>de cloreto de polivinilo não plastificado (PVC-U) folhas de porta</v>
      </c>
      <c r="J2436">
        <f>VLOOKUP(A2436,Pr_Base_LNEC!$A$4:$J$6971,6,FALSE)</f>
        <v>0</v>
      </c>
      <c r="K2436">
        <f>VLOOKUP(A2436,Pr_Base_LNEC!$A$4:$J$6971,7,FALSE)</f>
        <v>0</v>
      </c>
    </row>
    <row r="2437" spans="1:11" ht="14.5">
      <c r="A2437" s="20" t="s">
        <v>19930</v>
      </c>
      <c r="B2437" s="20">
        <v>30</v>
      </c>
      <c r="C2437" s="20">
        <v>59</v>
      </c>
      <c r="D2437" s="20">
        <v>23</v>
      </c>
      <c r="E2437" s="20">
        <v>96</v>
      </c>
      <c r="F2437" s="20" t="s">
        <v>19931</v>
      </c>
      <c r="G2437" s="20" t="s">
        <v>19932</v>
      </c>
      <c r="H2437" s="24"/>
      <c r="I2437" s="24" t="str">
        <f ca="1">IFERROR(__xludf.DUMMYFUNCTION("GOOGLETRANSLATE(F2437,""en"",""pt"")"),"molduras de portas de madeira")</f>
        <v>molduras de portas de madeira</v>
      </c>
      <c r="J2437">
        <f>VLOOKUP(A2437,Pr_Base_LNEC!$A$4:$J$6971,6,FALSE)</f>
        <v>0</v>
      </c>
      <c r="K2437">
        <f>VLOOKUP(A2437,Pr_Base_LNEC!$A$4:$J$6971,7,FALSE)</f>
        <v>0</v>
      </c>
    </row>
    <row r="2438" spans="1:11" ht="14.5">
      <c r="A2438" s="20" t="s">
        <v>19933</v>
      </c>
      <c r="B2438" s="20">
        <v>30</v>
      </c>
      <c r="C2438" s="20">
        <v>59</v>
      </c>
      <c r="D2438" s="20">
        <v>23</v>
      </c>
      <c r="E2438" s="20">
        <v>97</v>
      </c>
      <c r="F2438" s="20" t="s">
        <v>19934</v>
      </c>
      <c r="G2438" s="20" t="s">
        <v>19935</v>
      </c>
      <c r="H2438" s="24"/>
      <c r="I2438" s="24" t="str">
        <f ca="1">IFERROR(__xludf.DUMMYFUNCTION("GOOGLETRANSLATE(F2438,""en"",""pt"")"),"folhas de madeira da porta de descarga")</f>
        <v>folhas de madeira da porta de descarga</v>
      </c>
      <c r="J2438">
        <f>VLOOKUP(A2438,Pr_Base_LNEC!$A$4:$J$6971,6,FALSE)</f>
        <v>0</v>
      </c>
      <c r="K2438">
        <f>VLOOKUP(A2438,Pr_Base_LNEC!$A$4:$J$6971,7,FALSE)</f>
        <v>0</v>
      </c>
    </row>
    <row r="2439" spans="1:11" ht="14.5">
      <c r="A2439" s="20" t="s">
        <v>19936</v>
      </c>
      <c r="B2439" s="20">
        <v>30</v>
      </c>
      <c r="C2439" s="20">
        <v>59</v>
      </c>
      <c r="D2439" s="20">
        <v>23</v>
      </c>
      <c r="E2439" s="20">
        <v>98</v>
      </c>
      <c r="F2439" s="20" t="s">
        <v>19937</v>
      </c>
      <c r="G2439" s="20" t="s">
        <v>19938</v>
      </c>
      <c r="H2439" s="24"/>
      <c r="I2439" s="24" t="str">
        <f ca="1">IFERROR(__xludf.DUMMYFUNCTION("GOOGLETRANSLATE(F2439,""en"",""pt"")"),"folhas de porta com painéis de madeira")</f>
        <v>folhas de porta com painéis de madeira</v>
      </c>
      <c r="J2439">
        <f>VLOOKUP(A2439,Pr_Base_LNEC!$A$4:$J$6971,6,FALSE)</f>
        <v>0</v>
      </c>
      <c r="K2439">
        <f>VLOOKUP(A2439,Pr_Base_LNEC!$A$4:$J$6971,7,FALSE)</f>
        <v>0</v>
      </c>
    </row>
    <row r="2440" spans="1:11" ht="14.5">
      <c r="A2440" s="20" t="s">
        <v>19939</v>
      </c>
      <c r="B2440" s="20">
        <v>30</v>
      </c>
      <c r="C2440" s="20">
        <v>59</v>
      </c>
      <c r="D2440" s="20">
        <v>24</v>
      </c>
      <c r="E2440" s="24"/>
      <c r="F2440" s="20" t="s">
        <v>19940</v>
      </c>
      <c r="G2440" s="24"/>
      <c r="H2440" s="24"/>
      <c r="I2440" s="24" t="str">
        <f ca="1">IFERROR(__xludf.DUMMYFUNCTION("GOOGLETRANSLATE(F2440,""en"",""pt"")"),"Doorsets")</f>
        <v>Doorsets</v>
      </c>
      <c r="J2440">
        <f>VLOOKUP(A2440,Pr_Base_LNEC!$A$4:$J$6971,6,FALSE)</f>
        <v>0</v>
      </c>
      <c r="K2440">
        <f>VLOOKUP(A2440,Pr_Base_LNEC!$A$4:$J$6971,7,FALSE)</f>
        <v>0</v>
      </c>
    </row>
    <row r="2441" spans="1:11" ht="14.5">
      <c r="A2441" s="20" t="s">
        <v>19941</v>
      </c>
      <c r="B2441" s="20">
        <v>30</v>
      </c>
      <c r="C2441" s="20">
        <v>59</v>
      </c>
      <c r="D2441" s="20">
        <v>24</v>
      </c>
      <c r="E2441" s="20">
        <v>4</v>
      </c>
      <c r="F2441" s="20" t="s">
        <v>19942</v>
      </c>
      <c r="G2441" s="20" t="s">
        <v>19943</v>
      </c>
      <c r="H2441" s="24"/>
      <c r="I2441" s="24" t="str">
        <f ca="1">IFERROR(__xludf.DUMMYFUNCTION("GOOGLETRANSLATE(F2441,""en"",""pt"")"),"doorsets giratórias automáticas")</f>
        <v>doorsets giratórias automáticas</v>
      </c>
      <c r="J2441">
        <f>VLOOKUP(A2441,Pr_Base_LNEC!$A$4:$J$6971,6,FALSE)</f>
        <v>0</v>
      </c>
      <c r="K2441">
        <f>VLOOKUP(A2441,Pr_Base_LNEC!$A$4:$J$6971,7,FALSE)</f>
        <v>0</v>
      </c>
    </row>
    <row r="2442" spans="1:11" ht="14.5">
      <c r="A2442" s="20" t="s">
        <v>19944</v>
      </c>
      <c r="B2442" s="20">
        <v>30</v>
      </c>
      <c r="C2442" s="20">
        <v>59</v>
      </c>
      <c r="D2442" s="20">
        <v>24</v>
      </c>
      <c r="E2442" s="20">
        <v>14</v>
      </c>
      <c r="F2442" s="20" t="s">
        <v>19945</v>
      </c>
      <c r="G2442" s="20" t="s">
        <v>19946</v>
      </c>
      <c r="H2442" s="24"/>
      <c r="I2442" s="24" t="str">
        <f ca="1">IFERROR(__xludf.DUMMYFUNCTION("GOOGLETRANSLATE(F2442,""en"",""pt"")"),"conjuntos portão e grade dobráveis")</f>
        <v>conjuntos portão e grade dobráveis</v>
      </c>
      <c r="J2442">
        <f>VLOOKUP(A2442,Pr_Base_LNEC!$A$4:$J$6971,6,FALSE)</f>
        <v>0</v>
      </c>
      <c r="K2442">
        <f>VLOOKUP(A2442,Pr_Base_LNEC!$A$4:$J$6971,7,FALSE)</f>
        <v>0</v>
      </c>
    </row>
    <row r="2443" spans="1:11" ht="14.5">
      <c r="A2443" s="20" t="s">
        <v>19947</v>
      </c>
      <c r="B2443" s="20">
        <v>30</v>
      </c>
      <c r="C2443" s="20">
        <v>59</v>
      </c>
      <c r="D2443" s="20">
        <v>24</v>
      </c>
      <c r="E2443" s="20">
        <v>15</v>
      </c>
      <c r="F2443" s="20" t="s">
        <v>19948</v>
      </c>
      <c r="G2443" s="24"/>
      <c r="H2443" s="24"/>
      <c r="I2443" s="24" t="str">
        <f ca="1">IFERROR(__xludf.DUMMYFUNCTION("GOOGLETRANSLATE(F2443,""en"",""pt"")"),"doorsets combinação")</f>
        <v>doorsets combinação</v>
      </c>
      <c r="J2443">
        <f>VLOOKUP(A2443,Pr_Base_LNEC!$A$4:$J$6971,6,FALSE)</f>
        <v>0</v>
      </c>
      <c r="K2443">
        <f>VLOOKUP(A2443,Pr_Base_LNEC!$A$4:$J$6971,7,FALSE)</f>
        <v>0</v>
      </c>
    </row>
    <row r="2444" spans="1:11" ht="14.5">
      <c r="A2444" s="20" t="s">
        <v>19949</v>
      </c>
      <c r="B2444" s="20">
        <v>30</v>
      </c>
      <c r="C2444" s="20">
        <v>59</v>
      </c>
      <c r="D2444" s="20">
        <v>24</v>
      </c>
      <c r="E2444" s="20">
        <v>16</v>
      </c>
      <c r="F2444" s="20" t="s">
        <v>19950</v>
      </c>
      <c r="G2444" s="20" t="s">
        <v>19951</v>
      </c>
      <c r="H2444" s="24"/>
      <c r="I2444" s="24" t="str">
        <f ca="1">IFERROR(__xludf.DUMMYFUNCTION("GOOGLETRANSLATE(F2444,""en"",""pt"")"),"doorsets composite")</f>
        <v>doorsets composite</v>
      </c>
      <c r="J2444">
        <f>VLOOKUP(A2444,Pr_Base_LNEC!$A$4:$J$6971,6,FALSE)</f>
        <v>0</v>
      </c>
      <c r="K2444">
        <f>VLOOKUP(A2444,Pr_Base_LNEC!$A$4:$J$6971,7,FALSE)</f>
        <v>0</v>
      </c>
    </row>
    <row r="2445" spans="1:11" ht="14.5">
      <c r="A2445" s="20" t="s">
        <v>19952</v>
      </c>
      <c r="B2445" s="20">
        <v>30</v>
      </c>
      <c r="C2445" s="20">
        <v>59</v>
      </c>
      <c r="D2445" s="20">
        <v>24</v>
      </c>
      <c r="E2445" s="20">
        <v>28</v>
      </c>
      <c r="F2445" s="20" t="s">
        <v>19953</v>
      </c>
      <c r="G2445" s="24"/>
      <c r="H2445" s="24"/>
      <c r="I2445" s="24" t="str">
        <f ca="1">IFERROR(__xludf.DUMMYFUNCTION("GOOGLETRANSLATE(F2445,""en"",""pt"")"),"doorsets fogo")</f>
        <v>doorsets fogo</v>
      </c>
      <c r="J2445">
        <f>VLOOKUP(A2445,Pr_Base_LNEC!$A$4:$J$6971,6,FALSE)</f>
        <v>0</v>
      </c>
      <c r="K2445">
        <f>VLOOKUP(A2445,Pr_Base_LNEC!$A$4:$J$6971,7,FALSE)</f>
        <v>0</v>
      </c>
    </row>
    <row r="2446" spans="1:11" ht="14.5">
      <c r="A2446" s="20" t="s">
        <v>19954</v>
      </c>
      <c r="B2446" s="20">
        <v>30</v>
      </c>
      <c r="C2446" s="20">
        <v>59</v>
      </c>
      <c r="D2446" s="20">
        <v>24</v>
      </c>
      <c r="E2446" s="20">
        <v>30</v>
      </c>
      <c r="F2446" s="20" t="s">
        <v>19955</v>
      </c>
      <c r="G2446" s="20" t="s">
        <v>19956</v>
      </c>
      <c r="H2446" s="24"/>
      <c r="I2446" s="24" t="str">
        <f ca="1">IFERROR(__xludf.DUMMYFUNCTION("GOOGLETRANSLATE(F2446,""en"",""pt"")"),"doorsets flexíveis")</f>
        <v>doorsets flexíveis</v>
      </c>
      <c r="J2446">
        <f>VLOOKUP(A2446,Pr_Base_LNEC!$A$4:$J$6971,6,FALSE)</f>
        <v>0</v>
      </c>
      <c r="K2446">
        <f>VLOOKUP(A2446,Pr_Base_LNEC!$A$4:$J$6971,7,FALSE)</f>
        <v>0</v>
      </c>
    </row>
    <row r="2447" spans="1:11" ht="14.5">
      <c r="A2447" s="20" t="s">
        <v>19957</v>
      </c>
      <c r="B2447" s="20">
        <v>30</v>
      </c>
      <c r="C2447" s="20">
        <v>59</v>
      </c>
      <c r="D2447" s="20">
        <v>24</v>
      </c>
      <c r="E2447" s="20">
        <v>34</v>
      </c>
      <c r="F2447" s="20" t="s">
        <v>19958</v>
      </c>
      <c r="G2447" s="20" t="s">
        <v>19959</v>
      </c>
      <c r="H2447" s="24"/>
      <c r="I2447" s="24" t="str">
        <f ca="1">IFERROR(__xludf.DUMMYFUNCTION("GOOGLETRANSLATE(F2447,""en"",""pt"")"),"Plástico reforçado com vidro (GRP) doorsets")</f>
        <v>Plástico reforçado com vidro (GRP) doorsets</v>
      </c>
      <c r="J2447">
        <f>VLOOKUP(A2447,Pr_Base_LNEC!$A$4:$J$6971,6,FALSE)</f>
        <v>0</v>
      </c>
      <c r="K2447">
        <f>VLOOKUP(A2447,Pr_Base_LNEC!$A$4:$J$6971,7,FALSE)</f>
        <v>0</v>
      </c>
    </row>
    <row r="2448" spans="1:11" ht="14.5">
      <c r="A2448" s="20" t="s">
        <v>19960</v>
      </c>
      <c r="B2448" s="20">
        <v>30</v>
      </c>
      <c r="C2448" s="20">
        <v>59</v>
      </c>
      <c r="D2448" s="20">
        <v>24</v>
      </c>
      <c r="E2448" s="20">
        <v>37</v>
      </c>
      <c r="F2448" s="20" t="s">
        <v>19961</v>
      </c>
      <c r="G2448" s="20" t="s">
        <v>19962</v>
      </c>
      <c r="H2448" s="24"/>
      <c r="I2448" s="24" t="str">
        <f ca="1">IFERROR(__xludf.DUMMYFUNCTION("GOOGLETRANSLATE(F2448,""en"",""pt"")"),"doorsets alta segurança")</f>
        <v>doorsets alta segurança</v>
      </c>
      <c r="J2448">
        <f>VLOOKUP(A2448,Pr_Base_LNEC!$A$4:$J$6971,6,FALSE)</f>
        <v>0</v>
      </c>
      <c r="K2448">
        <f>VLOOKUP(A2448,Pr_Base_LNEC!$A$4:$J$6971,7,FALSE)</f>
        <v>0</v>
      </c>
    </row>
    <row r="2449" spans="1:11" ht="14.5">
      <c r="A2449" s="20" t="s">
        <v>19963</v>
      </c>
      <c r="B2449" s="20">
        <v>30</v>
      </c>
      <c r="C2449" s="20">
        <v>59</v>
      </c>
      <c r="D2449" s="20">
        <v>24</v>
      </c>
      <c r="E2449" s="20">
        <v>38</v>
      </c>
      <c r="F2449" s="20" t="s">
        <v>19964</v>
      </c>
      <c r="G2449" s="20" t="s">
        <v>19965</v>
      </c>
      <c r="H2449" s="24"/>
      <c r="I2449" s="24" t="str">
        <f ca="1">IFERROR(__xludf.DUMMYFUNCTION("GOOGLETRANSLATE(F2449,""en"",""pt"")"),"doorsets alta velocidade")</f>
        <v>doorsets alta velocidade</v>
      </c>
      <c r="J2449">
        <f>VLOOKUP(A2449,Pr_Base_LNEC!$A$4:$J$6971,6,FALSE)</f>
        <v>0</v>
      </c>
      <c r="K2449">
        <f>VLOOKUP(A2449,Pr_Base_LNEC!$A$4:$J$6971,7,FALSE)</f>
        <v>0</v>
      </c>
    </row>
    <row r="2450" spans="1:11" ht="14.5">
      <c r="A2450" s="20" t="s">
        <v>19966</v>
      </c>
      <c r="B2450" s="20">
        <v>30</v>
      </c>
      <c r="C2450" s="20">
        <v>59</v>
      </c>
      <c r="D2450" s="20">
        <v>24</v>
      </c>
      <c r="E2450" s="20">
        <v>48</v>
      </c>
      <c r="F2450" s="20" t="s">
        <v>19967</v>
      </c>
      <c r="G2450" s="24"/>
      <c r="H2450" s="24"/>
      <c r="I2450" s="24" t="str">
        <f ca="1">IFERROR(__xludf.DUMMYFUNCTION("GOOGLETRANSLATE(F2450,""en"",""pt"")"),"doorsets Loading Bay")</f>
        <v>doorsets Loading Bay</v>
      </c>
      <c r="J2450">
        <f>VLOOKUP(A2450,Pr_Base_LNEC!$A$4:$J$6971,6,FALSE)</f>
        <v>0</v>
      </c>
      <c r="K2450">
        <f>VLOOKUP(A2450,Pr_Base_LNEC!$A$4:$J$6971,7,FALSE)</f>
        <v>0</v>
      </c>
    </row>
    <row r="2451" spans="1:11" ht="14.5">
      <c r="A2451" s="20" t="s">
        <v>19968</v>
      </c>
      <c r="B2451" s="20">
        <v>30</v>
      </c>
      <c r="C2451" s="20">
        <v>59</v>
      </c>
      <c r="D2451" s="20">
        <v>24</v>
      </c>
      <c r="E2451" s="20">
        <v>49</v>
      </c>
      <c r="F2451" s="20" t="s">
        <v>19969</v>
      </c>
      <c r="G2451" s="24"/>
      <c r="H2451" s="24"/>
      <c r="I2451" s="24" t="str">
        <f ca="1">IFERROR(__xludf.DUMMYFUNCTION("GOOGLETRANSLATE(F2451,""en"",""pt"")"),"doorsets Louvre")</f>
        <v>doorsets Louvre</v>
      </c>
      <c r="J2451" t="e">
        <f>VLOOKUP(A2451,Pr_Base_LNEC!$A$4:$J$6971,6,FALSE)</f>
        <v>#N/A</v>
      </c>
      <c r="K2451" t="e">
        <f>VLOOKUP(A2451,Pr_Base_LNEC!$A$4:$J$6971,7,FALSE)</f>
        <v>#N/A</v>
      </c>
    </row>
    <row r="2452" spans="1:11" ht="14.5">
      <c r="A2452" s="20" t="s">
        <v>19970</v>
      </c>
      <c r="B2452" s="20">
        <v>30</v>
      </c>
      <c r="C2452" s="20">
        <v>59</v>
      </c>
      <c r="D2452" s="20">
        <v>24</v>
      </c>
      <c r="E2452" s="20">
        <v>50</v>
      </c>
      <c r="F2452" s="20" t="s">
        <v>19971</v>
      </c>
      <c r="G2452" s="20" t="s">
        <v>19972</v>
      </c>
      <c r="H2452" s="24"/>
      <c r="I2452" s="24" t="str">
        <f ca="1">IFERROR(__xludf.DUMMYFUNCTION("GOOGLETRANSLATE(F2452,""en"",""pt"")"),"doorsets giram manuais")</f>
        <v>doorsets giram manuais</v>
      </c>
      <c r="J2452">
        <f>VLOOKUP(A2452,Pr_Base_LNEC!$A$4:$J$6971,6,FALSE)</f>
        <v>0</v>
      </c>
      <c r="K2452">
        <f>VLOOKUP(A2452,Pr_Base_LNEC!$A$4:$J$6971,7,FALSE)</f>
        <v>0</v>
      </c>
    </row>
    <row r="2453" spans="1:11" ht="14.5">
      <c r="A2453" s="20" t="s">
        <v>19973</v>
      </c>
      <c r="B2453" s="20">
        <v>30</v>
      </c>
      <c r="C2453" s="20">
        <v>59</v>
      </c>
      <c r="D2453" s="20">
        <v>24</v>
      </c>
      <c r="E2453" s="20">
        <v>52</v>
      </c>
      <c r="F2453" s="20" t="s">
        <v>19974</v>
      </c>
      <c r="G2453" s="20" t="s">
        <v>19975</v>
      </c>
      <c r="H2453" s="24"/>
      <c r="I2453" s="24" t="str">
        <f ca="1">IFERROR(__xludf.DUMMYFUNCTION("GOOGLETRANSLATE(F2453,""en"",""pt"")"),"doorsets de metal")</f>
        <v>doorsets de metal</v>
      </c>
      <c r="J2453">
        <f>VLOOKUP(A2453,Pr_Base_LNEC!$A$4:$J$6971,6,FALSE)</f>
        <v>0</v>
      </c>
      <c r="K2453">
        <f>VLOOKUP(A2453,Pr_Base_LNEC!$A$4:$J$6971,7,FALSE)</f>
        <v>0</v>
      </c>
    </row>
    <row r="2454" spans="1:11" ht="14.5">
      <c r="A2454" s="20" t="s">
        <v>19976</v>
      </c>
      <c r="B2454" s="20">
        <v>30</v>
      </c>
      <c r="C2454" s="20">
        <v>59</v>
      </c>
      <c r="D2454" s="20">
        <v>24</v>
      </c>
      <c r="E2454" s="20">
        <v>64</v>
      </c>
      <c r="F2454" s="20" t="s">
        <v>19977</v>
      </c>
      <c r="G2454" s="24"/>
      <c r="H2454" s="24"/>
      <c r="I2454" s="24" t="str">
        <f ca="1">IFERROR(__xludf.DUMMYFUNCTION("GOOGLETRANSLATE(F2454,""en"",""pt"")"),"cloreto de polivinilo (PVC) conjuntos de tira de cortina")</f>
        <v>cloreto de polivinilo (PVC) conjuntos de tira de cortina</v>
      </c>
      <c r="J2454">
        <f>VLOOKUP(A2454,Pr_Base_LNEC!$A$4:$J$6971,6,FALSE)</f>
        <v>0</v>
      </c>
      <c r="K2454">
        <f>VLOOKUP(A2454,Pr_Base_LNEC!$A$4:$J$6971,7,FALSE)</f>
        <v>0</v>
      </c>
    </row>
    <row r="2455" spans="1:11" ht="14.5">
      <c r="A2455" s="20" t="s">
        <v>19978</v>
      </c>
      <c r="B2455" s="20">
        <v>30</v>
      </c>
      <c r="C2455" s="20">
        <v>59</v>
      </c>
      <c r="D2455" s="20">
        <v>24</v>
      </c>
      <c r="E2455" s="20">
        <v>75</v>
      </c>
      <c r="F2455" s="20" t="s">
        <v>19979</v>
      </c>
      <c r="G2455" s="20" t="s">
        <v>19980</v>
      </c>
      <c r="H2455" s="24"/>
      <c r="I2455" s="24" t="str">
        <f ca="1">IFERROR(__xludf.DUMMYFUNCTION("GOOGLETRANSLATE(F2455,""en"",""pt"")"),"doorsets seccionadas")</f>
        <v>doorsets seccionadas</v>
      </c>
      <c r="J2455">
        <f>VLOOKUP(A2455,Pr_Base_LNEC!$A$4:$J$6971,6,FALSE)</f>
        <v>0</v>
      </c>
      <c r="K2455">
        <f>VLOOKUP(A2455,Pr_Base_LNEC!$A$4:$J$6971,7,FALSE)</f>
        <v>0</v>
      </c>
    </row>
    <row r="2456" spans="1:11" ht="14.5">
      <c r="A2456" s="20" t="s">
        <v>19981</v>
      </c>
      <c r="B2456" s="20">
        <v>30</v>
      </c>
      <c r="C2456" s="20">
        <v>59</v>
      </c>
      <c r="D2456" s="20">
        <v>24</v>
      </c>
      <c r="E2456" s="20">
        <v>80</v>
      </c>
      <c r="F2456" s="20" t="s">
        <v>19982</v>
      </c>
      <c r="G2456" s="20" t="s">
        <v>19983</v>
      </c>
      <c r="H2456" s="24"/>
      <c r="I2456" s="24" t="str">
        <f ca="1">IFERROR(__xludf.DUMMYFUNCTION("GOOGLETRANSLATE(F2456,""en"",""pt"")"),"Porta de correr e divisórias conjuntos")</f>
        <v>Porta de correr e divisórias conjuntos</v>
      </c>
      <c r="J2456">
        <f>VLOOKUP(A2456,Pr_Base_LNEC!$A$4:$J$6971,6,FALSE)</f>
        <v>0</v>
      </c>
      <c r="K2456">
        <f>VLOOKUP(A2456,Pr_Base_LNEC!$A$4:$J$6971,7,FALSE)</f>
        <v>0</v>
      </c>
    </row>
    <row r="2457" spans="1:11" ht="14.5">
      <c r="A2457" s="20" t="s">
        <v>19984</v>
      </c>
      <c r="B2457" s="20">
        <v>30</v>
      </c>
      <c r="C2457" s="20">
        <v>59</v>
      </c>
      <c r="D2457" s="20">
        <v>24</v>
      </c>
      <c r="E2457" s="20">
        <v>81</v>
      </c>
      <c r="F2457" s="20" t="s">
        <v>19985</v>
      </c>
      <c r="G2457" s="20" t="s">
        <v>19986</v>
      </c>
      <c r="H2457" s="24"/>
      <c r="I2457" s="24" t="str">
        <f ca="1">IFERROR(__xludf.DUMMYFUNCTION("GOOGLETRANSLATE(F2457,""en"",""pt"")"),"Deslizante doorsets dobráveis")</f>
        <v>Deslizante doorsets dobráveis</v>
      </c>
      <c r="J2457">
        <f>VLOOKUP(A2457,Pr_Base_LNEC!$A$4:$J$6971,6,FALSE)</f>
        <v>0</v>
      </c>
      <c r="K2457">
        <f>VLOOKUP(A2457,Pr_Base_LNEC!$A$4:$J$6971,7,FALSE)</f>
        <v>0</v>
      </c>
    </row>
    <row r="2458" spans="1:11" ht="14.5">
      <c r="A2458" s="20" t="s">
        <v>19987</v>
      </c>
      <c r="B2458" s="20">
        <v>30</v>
      </c>
      <c r="C2458" s="20">
        <v>59</v>
      </c>
      <c r="D2458" s="20">
        <v>24</v>
      </c>
      <c r="E2458" s="20">
        <v>83</v>
      </c>
      <c r="F2458" s="20" t="s">
        <v>19988</v>
      </c>
      <c r="G2458" s="24"/>
      <c r="H2458" s="24"/>
      <c r="I2458" s="24" t="str">
        <f ca="1">IFERROR(__xludf.DUMMYFUNCTION("GOOGLETRANSLATE(F2458,""en"",""pt"")"),"Deslizante persianas dobráveis")</f>
        <v>Deslizante persianas dobráveis</v>
      </c>
      <c r="J2458" t="e">
        <f>VLOOKUP(A2458,Pr_Base_LNEC!$A$4:$J$6971,6,FALSE)</f>
        <v>#N/A</v>
      </c>
      <c r="K2458" t="e">
        <f>VLOOKUP(A2458,Pr_Base_LNEC!$A$4:$J$6971,7,FALSE)</f>
        <v>#N/A</v>
      </c>
    </row>
    <row r="2459" spans="1:11" ht="14.5">
      <c r="A2459" s="20" t="s">
        <v>19989</v>
      </c>
      <c r="B2459" s="20">
        <v>30</v>
      </c>
      <c r="C2459" s="20">
        <v>59</v>
      </c>
      <c r="D2459" s="20">
        <v>24</v>
      </c>
      <c r="E2459" s="20">
        <v>92</v>
      </c>
      <c r="F2459" s="20" t="s">
        <v>19990</v>
      </c>
      <c r="G2459" s="20" t="s">
        <v>19991</v>
      </c>
      <c r="H2459" s="24"/>
      <c r="I2459" s="24" t="str">
        <f ca="1">IFERROR(__xludf.DUMMYFUNCTION("GOOGLETRANSLATE(F2459,""en"",""pt"")"),"de cloreto de polivinilo não plastificado (PVC-U) doorsets")</f>
        <v>de cloreto de polivinilo não plastificado (PVC-U) doorsets</v>
      </c>
      <c r="J2459">
        <f>VLOOKUP(A2459,Pr_Base_LNEC!$A$4:$J$6971,6,FALSE)</f>
        <v>0</v>
      </c>
      <c r="K2459">
        <f>VLOOKUP(A2459,Pr_Base_LNEC!$A$4:$J$6971,7,FALSE)</f>
        <v>0</v>
      </c>
    </row>
    <row r="2460" spans="1:11" ht="14.5">
      <c r="A2460" s="20" t="s">
        <v>19992</v>
      </c>
      <c r="B2460" s="20">
        <v>30</v>
      </c>
      <c r="C2460" s="20">
        <v>59</v>
      </c>
      <c r="D2460" s="20">
        <v>24</v>
      </c>
      <c r="E2460" s="20">
        <v>93</v>
      </c>
      <c r="F2460" s="20" t="s">
        <v>19993</v>
      </c>
      <c r="G2460" s="20" t="s">
        <v>19994</v>
      </c>
      <c r="H2460" s="24"/>
      <c r="I2460" s="24" t="str">
        <f ca="1">IFERROR(__xludf.DUMMYFUNCTION("GOOGLETRANSLATE(F2460,""en"",""pt"")"),"Up-and-over doorsets")</f>
        <v>Up-and-over doorsets</v>
      </c>
      <c r="J2460">
        <f>VLOOKUP(A2460,Pr_Base_LNEC!$A$4:$J$6971,6,FALSE)</f>
        <v>0</v>
      </c>
      <c r="K2460">
        <f>VLOOKUP(A2460,Pr_Base_LNEC!$A$4:$J$6971,7,FALSE)</f>
        <v>0</v>
      </c>
    </row>
    <row r="2461" spans="1:11" ht="14.5">
      <c r="A2461" s="20" t="s">
        <v>19995</v>
      </c>
      <c r="B2461" s="20">
        <v>30</v>
      </c>
      <c r="C2461" s="20">
        <v>59</v>
      </c>
      <c r="D2461" s="20">
        <v>24</v>
      </c>
      <c r="E2461" s="20">
        <v>97</v>
      </c>
      <c r="F2461" s="20" t="s">
        <v>19996</v>
      </c>
      <c r="G2461" s="20" t="s">
        <v>19997</v>
      </c>
      <c r="H2461" s="24"/>
      <c r="I2461" s="24" t="str">
        <f ca="1">IFERROR(__xludf.DUMMYFUNCTION("GOOGLETRANSLATE(F2461,""en"",""pt"")"),"doorsets madeira")</f>
        <v>doorsets madeira</v>
      </c>
      <c r="J2461">
        <f>VLOOKUP(A2461,Pr_Base_LNEC!$A$4:$J$6971,6,FALSE)</f>
        <v>0</v>
      </c>
      <c r="K2461">
        <f>VLOOKUP(A2461,Pr_Base_LNEC!$A$4:$J$6971,7,FALSE)</f>
        <v>0</v>
      </c>
    </row>
    <row r="2462" spans="1:11" ht="14.5">
      <c r="A2462" s="20" t="s">
        <v>19998</v>
      </c>
      <c r="B2462" s="20">
        <v>30</v>
      </c>
      <c r="C2462" s="20">
        <v>59</v>
      </c>
      <c r="D2462" s="20">
        <v>28</v>
      </c>
      <c r="E2462" s="24"/>
      <c r="F2462" s="20" t="s">
        <v>19999</v>
      </c>
      <c r="G2462" s="24"/>
      <c r="H2462" s="24"/>
      <c r="I2462" s="24" t="str">
        <f ca="1">IFERROR(__xludf.DUMMYFUNCTION("GOOGLETRANSLATE(F2462,""en"",""pt"")"),"produtos de fuga")</f>
        <v>produtos de fuga</v>
      </c>
      <c r="J2462">
        <f>VLOOKUP(A2462,Pr_Base_LNEC!$A$4:$J$6971,6,FALSE)</f>
        <v>0</v>
      </c>
      <c r="K2462">
        <f>VLOOKUP(A2462,Pr_Base_LNEC!$A$4:$J$6971,7,FALSE)</f>
        <v>0</v>
      </c>
    </row>
    <row r="2463" spans="1:11" ht="14.5">
      <c r="A2463" s="20" t="s">
        <v>20000</v>
      </c>
      <c r="B2463" s="20">
        <v>30</v>
      </c>
      <c r="C2463" s="20">
        <v>59</v>
      </c>
      <c r="D2463" s="20">
        <v>28</v>
      </c>
      <c r="E2463" s="20">
        <v>26</v>
      </c>
      <c r="F2463" s="20" t="s">
        <v>20001</v>
      </c>
      <c r="G2463" s="24"/>
      <c r="H2463" s="24"/>
      <c r="I2463" s="24" t="str">
        <f ca="1">IFERROR(__xludf.DUMMYFUNCTION("GOOGLETRANSLATE(F2463,""en"",""pt"")"),"cadeiras de fuga")</f>
        <v>cadeiras de fuga</v>
      </c>
      <c r="J2463">
        <f>VLOOKUP(A2463,Pr_Base_LNEC!$A$4:$J$6971,6,FALSE)</f>
        <v>0</v>
      </c>
      <c r="K2463">
        <f>VLOOKUP(A2463,Pr_Base_LNEC!$A$4:$J$6971,7,FALSE)</f>
        <v>0</v>
      </c>
    </row>
    <row r="2464" spans="1:11" ht="14.5">
      <c r="A2464" s="20" t="s">
        <v>20002</v>
      </c>
      <c r="B2464" s="20">
        <v>30</v>
      </c>
      <c r="C2464" s="20">
        <v>59</v>
      </c>
      <c r="D2464" s="20">
        <v>28</v>
      </c>
      <c r="E2464" s="20">
        <v>27</v>
      </c>
      <c r="F2464" s="20" t="s">
        <v>20003</v>
      </c>
      <c r="G2464" s="24"/>
      <c r="H2464" s="24"/>
      <c r="I2464" s="24" t="str">
        <f ca="1">IFERROR(__xludf.DUMMYFUNCTION("GOOGLETRANSLATE(F2464,""en"",""pt"")"),"rampas de escape")</f>
        <v>rampas de escape</v>
      </c>
      <c r="J2464">
        <f>VLOOKUP(A2464,Pr_Base_LNEC!$A$4:$J$6971,6,FALSE)</f>
        <v>0</v>
      </c>
      <c r="K2464">
        <f>VLOOKUP(A2464,Pr_Base_LNEC!$A$4:$J$6971,7,FALSE)</f>
        <v>0</v>
      </c>
    </row>
    <row r="2465" spans="1:11" ht="14.5">
      <c r="A2465" s="20" t="s">
        <v>20004</v>
      </c>
      <c r="B2465" s="20">
        <v>30</v>
      </c>
      <c r="C2465" s="20">
        <v>59</v>
      </c>
      <c r="D2465" s="20">
        <v>28</v>
      </c>
      <c r="E2465" s="20">
        <v>28</v>
      </c>
      <c r="F2465" s="20" t="s">
        <v>20005</v>
      </c>
      <c r="G2465" s="24"/>
      <c r="H2465" s="24"/>
      <c r="I2465" s="24" t="str">
        <f ca="1">IFERROR(__xludf.DUMMYFUNCTION("GOOGLETRANSLATE(F2465,""en"",""pt"")"),"lâminas de fuga")</f>
        <v>lâminas de fuga</v>
      </c>
      <c r="J2465">
        <f>VLOOKUP(A2465,Pr_Base_LNEC!$A$4:$J$6971,6,FALSE)</f>
        <v>0</v>
      </c>
      <c r="K2465">
        <f>VLOOKUP(A2465,Pr_Base_LNEC!$A$4:$J$6971,7,FALSE)</f>
        <v>0</v>
      </c>
    </row>
    <row r="2466" spans="1:11" ht="14.5">
      <c r="A2466" s="20" t="s">
        <v>20006</v>
      </c>
      <c r="B2466" s="20">
        <v>30</v>
      </c>
      <c r="C2466" s="20">
        <v>59</v>
      </c>
      <c r="D2466" s="20">
        <v>28</v>
      </c>
      <c r="E2466" s="20">
        <v>78</v>
      </c>
      <c r="F2466" s="20" t="s">
        <v>20007</v>
      </c>
      <c r="G2466" s="24"/>
      <c r="H2466" s="24"/>
      <c r="I2466" s="24" t="str">
        <f ca="1">IFERROR(__xludf.DUMMYFUNCTION("GOOGLETRANSLATE(F2466,""en"",""pt"")"),"Slings")</f>
        <v>Slings</v>
      </c>
      <c r="J2466">
        <f>VLOOKUP(A2466,Pr_Base_LNEC!$A$4:$J$6971,6,FALSE)</f>
        <v>0</v>
      </c>
      <c r="K2466">
        <f>VLOOKUP(A2466,Pr_Base_LNEC!$A$4:$J$6971,7,FALSE)</f>
        <v>0</v>
      </c>
    </row>
    <row r="2467" spans="1:11" ht="14.5">
      <c r="A2467" s="20" t="s">
        <v>20008</v>
      </c>
      <c r="B2467" s="20">
        <v>30</v>
      </c>
      <c r="C2467" s="20">
        <v>59</v>
      </c>
      <c r="D2467" s="20">
        <v>29</v>
      </c>
      <c r="E2467" s="24"/>
      <c r="F2467" s="20" t="s">
        <v>20009</v>
      </c>
      <c r="G2467" s="24"/>
      <c r="H2467" s="24"/>
      <c r="I2467" s="24" t="str">
        <f ca="1">IFERROR(__xludf.DUMMYFUNCTION("GOOGLETRANSLATE(F2467,""en"",""pt"")"),"Fixos telhado ventiladores, terminais e acessórios")</f>
        <v>Fixos telhado ventiladores, terminais e acessórios</v>
      </c>
      <c r="J2467">
        <f>VLOOKUP(A2467,Pr_Base_LNEC!$A$4:$J$6971,6,FALSE)</f>
        <v>0</v>
      </c>
      <c r="K2467">
        <f>VLOOKUP(A2467,Pr_Base_LNEC!$A$4:$J$6971,7,FALSE)</f>
        <v>0</v>
      </c>
    </row>
    <row r="2468" spans="1:11" ht="14.5">
      <c r="A2468" s="20" t="s">
        <v>20010</v>
      </c>
      <c r="B2468" s="20">
        <v>30</v>
      </c>
      <c r="C2468" s="20">
        <v>59</v>
      </c>
      <c r="D2468" s="20">
        <v>29</v>
      </c>
      <c r="E2468" s="20">
        <v>2</v>
      </c>
      <c r="F2468" s="20" t="s">
        <v>20011</v>
      </c>
      <c r="G2468" s="20" t="s">
        <v>20012</v>
      </c>
      <c r="H2468" s="24"/>
      <c r="I2468" s="24" t="str">
        <f ca="1">IFERROR(__xludf.DUMMYFUNCTION("GOOGLETRANSLATE(F2468,""en"",""pt"")"),"ventiladores Abutment")</f>
        <v>ventiladores Abutment</v>
      </c>
      <c r="J2468">
        <f>VLOOKUP(A2468,Pr_Base_LNEC!$A$4:$J$6971,6,FALSE)</f>
        <v>0</v>
      </c>
      <c r="K2468">
        <f>VLOOKUP(A2468,Pr_Base_LNEC!$A$4:$J$6971,7,FALSE)</f>
        <v>0</v>
      </c>
    </row>
    <row r="2469" spans="1:11" ht="14.5">
      <c r="A2469" s="20" t="s">
        <v>20013</v>
      </c>
      <c r="B2469" s="20">
        <v>30</v>
      </c>
      <c r="C2469" s="20">
        <v>59</v>
      </c>
      <c r="D2469" s="20">
        <v>29</v>
      </c>
      <c r="E2469" s="20">
        <v>15</v>
      </c>
      <c r="F2469" s="20" t="s">
        <v>20014</v>
      </c>
      <c r="G2469" s="20" t="s">
        <v>20015</v>
      </c>
      <c r="H2469" s="24"/>
      <c r="I2469" s="24" t="str">
        <f ca="1">IFERROR(__xludf.DUMMYFUNCTION("GOOGLETRANSLATE(F2469,""en"",""pt"")"),"Combinado beirais fáscia grelhas e ventilador bandejas")</f>
        <v>Combinado beirais fáscia grelhas e ventilador bandejas</v>
      </c>
      <c r="J2469">
        <f>VLOOKUP(A2469,Pr_Base_LNEC!$A$4:$J$6971,6,FALSE)</f>
        <v>0</v>
      </c>
      <c r="K2469">
        <f>VLOOKUP(A2469,Pr_Base_LNEC!$A$4:$J$6971,7,FALSE)</f>
        <v>0</v>
      </c>
    </row>
    <row r="2470" spans="1:11" ht="14.5">
      <c r="A2470" s="20" t="s">
        <v>20016</v>
      </c>
      <c r="B2470" s="20">
        <v>30</v>
      </c>
      <c r="C2470" s="20">
        <v>59</v>
      </c>
      <c r="D2470" s="20">
        <v>29</v>
      </c>
      <c r="E2470" s="20">
        <v>30</v>
      </c>
      <c r="F2470" s="20" t="s">
        <v>20017</v>
      </c>
      <c r="G2470" s="20" t="s">
        <v>20018</v>
      </c>
      <c r="H2470" s="24"/>
      <c r="I2470" s="24" t="str">
        <f ca="1">IFERROR(__xludf.DUMMYFUNCTION("GOOGLETRANSLATE(F2470,""en"",""pt"")"),"ventiladores de teto planas")</f>
        <v>ventiladores de teto planas</v>
      </c>
      <c r="J2470">
        <f>VLOOKUP(A2470,Pr_Base_LNEC!$A$4:$J$6971,6,FALSE)</f>
        <v>0</v>
      </c>
      <c r="K2470">
        <f>VLOOKUP(A2470,Pr_Base_LNEC!$A$4:$J$6971,7,FALSE)</f>
        <v>0</v>
      </c>
    </row>
    <row r="2471" spans="1:11" ht="14.5">
      <c r="A2471" s="20" t="s">
        <v>20019</v>
      </c>
      <c r="B2471" s="20">
        <v>30</v>
      </c>
      <c r="C2471" s="20">
        <v>59</v>
      </c>
      <c r="D2471" s="20">
        <v>29</v>
      </c>
      <c r="E2471" s="20">
        <v>62</v>
      </c>
      <c r="F2471" s="20" t="s">
        <v>20020</v>
      </c>
      <c r="G2471" s="20" t="s">
        <v>20021</v>
      </c>
      <c r="H2471" s="24"/>
      <c r="I2471" s="24" t="str">
        <f ca="1">IFERROR(__xludf.DUMMYFUNCTION("GOOGLETRANSLATE(F2471,""en"",""pt"")"),"apoio Plásticos beirais underlay")</f>
        <v>apoio Plásticos beirais underlay</v>
      </c>
      <c r="J2471">
        <f>VLOOKUP(A2471,Pr_Base_LNEC!$A$4:$J$6971,6,FALSE)</f>
        <v>0</v>
      </c>
      <c r="K2471">
        <f>VLOOKUP(A2471,Pr_Base_LNEC!$A$4:$J$6971,7,FALSE)</f>
        <v>0</v>
      </c>
    </row>
    <row r="2472" spans="1:11" ht="14.5">
      <c r="A2472" s="20" t="s">
        <v>20022</v>
      </c>
      <c r="B2472" s="20">
        <v>30</v>
      </c>
      <c r="C2472" s="20">
        <v>59</v>
      </c>
      <c r="D2472" s="20">
        <v>29</v>
      </c>
      <c r="E2472" s="20">
        <v>64</v>
      </c>
      <c r="F2472" s="20" t="s">
        <v>20023</v>
      </c>
      <c r="G2472" s="20" t="s">
        <v>20024</v>
      </c>
      <c r="H2472" s="24"/>
      <c r="I2472" s="24" t="str">
        <f ca="1">IFERROR(__xludf.DUMMYFUNCTION("GOOGLETRANSLATE(F2472,""en"",""pt"")"),"Plásticos viga ventilador bandejas")</f>
        <v>Plásticos viga ventilador bandejas</v>
      </c>
      <c r="J2472">
        <f>VLOOKUP(A2472,Pr_Base_LNEC!$A$4:$J$6971,6,FALSE)</f>
        <v>0</v>
      </c>
      <c r="K2472">
        <f>VLOOKUP(A2472,Pr_Base_LNEC!$A$4:$J$6971,7,FALSE)</f>
        <v>0</v>
      </c>
    </row>
    <row r="2473" spans="1:11" ht="14.5">
      <c r="A2473" s="20" t="s">
        <v>20025</v>
      </c>
      <c r="B2473" s="20">
        <v>30</v>
      </c>
      <c r="C2473" s="20">
        <v>59</v>
      </c>
      <c r="D2473" s="20">
        <v>29</v>
      </c>
      <c r="E2473" s="20">
        <v>71</v>
      </c>
      <c r="F2473" s="20" t="s">
        <v>20026</v>
      </c>
      <c r="G2473" s="20" t="s">
        <v>20027</v>
      </c>
      <c r="H2473" s="24"/>
      <c r="I2473" s="24" t="str">
        <f ca="1">IFERROR(__xludf.DUMMYFUNCTION("GOOGLETRANSLATE(F2473,""en"",""pt"")"),"telhas de ventilação cumeeira")</f>
        <v>telhas de ventilação cumeeira</v>
      </c>
      <c r="J2473">
        <f>VLOOKUP(A2473,Pr_Base_LNEC!$A$4:$J$6971,6,FALSE)</f>
        <v>0</v>
      </c>
      <c r="K2473">
        <f>VLOOKUP(A2473,Pr_Base_LNEC!$A$4:$J$6971,7,FALSE)</f>
        <v>0</v>
      </c>
    </row>
    <row r="2474" spans="1:11" ht="14.5">
      <c r="A2474" s="20" t="s">
        <v>20028</v>
      </c>
      <c r="B2474" s="20">
        <v>30</v>
      </c>
      <c r="C2474" s="20">
        <v>59</v>
      </c>
      <c r="D2474" s="20">
        <v>29</v>
      </c>
      <c r="E2474" s="20">
        <v>72</v>
      </c>
      <c r="F2474" s="20" t="s">
        <v>20029</v>
      </c>
      <c r="G2474" s="20" t="s">
        <v>20030</v>
      </c>
      <c r="H2474" s="24"/>
      <c r="I2474" s="24" t="str">
        <f ca="1">IFERROR(__xludf.DUMMYFUNCTION("GOOGLETRANSLATE(F2474,""en"",""pt"")"),"terminais de inclinação do telhado")</f>
        <v>terminais de inclinação do telhado</v>
      </c>
      <c r="J2474">
        <f>VLOOKUP(A2474,Pr_Base_LNEC!$A$4:$J$6971,6,FALSE)</f>
        <v>0</v>
      </c>
      <c r="K2474">
        <f>VLOOKUP(A2474,Pr_Base_LNEC!$A$4:$J$6971,7,FALSE)</f>
        <v>0</v>
      </c>
    </row>
    <row r="2475" spans="1:11" ht="14.5">
      <c r="A2475" s="20" t="s">
        <v>20031</v>
      </c>
      <c r="B2475" s="20">
        <v>30</v>
      </c>
      <c r="C2475" s="20">
        <v>59</v>
      </c>
      <c r="D2475" s="20">
        <v>29</v>
      </c>
      <c r="E2475" s="20">
        <v>73</v>
      </c>
      <c r="F2475" s="20" t="s">
        <v>20032</v>
      </c>
      <c r="G2475" s="20" t="s">
        <v>20033</v>
      </c>
      <c r="H2475" s="24"/>
      <c r="I2475" s="24" t="str">
        <f ca="1">IFERROR(__xludf.DUMMYFUNCTION("GOOGLETRANSLATE(F2475,""en"",""pt"")"),"telhas de ventilação inclinação do telhado")</f>
        <v>telhas de ventilação inclinação do telhado</v>
      </c>
      <c r="J2475">
        <f>VLOOKUP(A2475,Pr_Base_LNEC!$A$4:$J$6971,6,FALSE)</f>
        <v>0</v>
      </c>
      <c r="K2475">
        <f>VLOOKUP(A2475,Pr_Base_LNEC!$A$4:$J$6971,7,FALSE)</f>
        <v>0</v>
      </c>
    </row>
    <row r="2476" spans="1:11" ht="14.5">
      <c r="A2476" s="20" t="s">
        <v>20034</v>
      </c>
      <c r="B2476" s="20">
        <v>30</v>
      </c>
      <c r="C2476" s="20">
        <v>59</v>
      </c>
      <c r="D2476" s="20">
        <v>29</v>
      </c>
      <c r="E2476" s="20">
        <v>74</v>
      </c>
      <c r="F2476" s="20" t="s">
        <v>20035</v>
      </c>
      <c r="G2476" s="20" t="s">
        <v>20036</v>
      </c>
      <c r="H2476" s="24"/>
      <c r="I2476" s="24" t="str">
        <f ca="1">IFERROR(__xludf.DUMMYFUNCTION("GOOGLETRANSLATE(F2476,""en"",""pt"")"),"terminais de telhado")</f>
        <v>terminais de telhado</v>
      </c>
      <c r="J2476">
        <f>VLOOKUP(A2476,Pr_Base_LNEC!$A$4:$J$6971,6,FALSE)</f>
        <v>0</v>
      </c>
      <c r="K2476">
        <f>VLOOKUP(A2476,Pr_Base_LNEC!$A$4:$J$6971,7,FALSE)</f>
        <v>0</v>
      </c>
    </row>
    <row r="2477" spans="1:11" ht="14.5">
      <c r="A2477" s="20" t="s">
        <v>20037</v>
      </c>
      <c r="B2477" s="20">
        <v>30</v>
      </c>
      <c r="C2477" s="20">
        <v>59</v>
      </c>
      <c r="D2477" s="20">
        <v>29</v>
      </c>
      <c r="E2477" s="20">
        <v>75</v>
      </c>
      <c r="F2477" s="20" t="s">
        <v>20038</v>
      </c>
      <c r="G2477" s="20" t="s">
        <v>20039</v>
      </c>
      <c r="H2477" s="24"/>
      <c r="I2477" s="24" t="str">
        <f ca="1">IFERROR(__xludf.DUMMYFUNCTION("GOOGLETRANSLATE(F2477,""en"",""pt"")"),"unidade de ventilador de telhado")</f>
        <v>unidade de ventilador de telhado</v>
      </c>
      <c r="J2477">
        <f>VLOOKUP(A2477,Pr_Base_LNEC!$A$4:$J$6971,6,FALSE)</f>
        <v>0</v>
      </c>
      <c r="K2477">
        <f>VLOOKUP(A2477,Pr_Base_LNEC!$A$4:$J$6971,7,FALSE)</f>
        <v>0</v>
      </c>
    </row>
    <row r="2478" spans="1:11" ht="14.5">
      <c r="A2478" s="20" t="s">
        <v>20040</v>
      </c>
      <c r="B2478" s="20">
        <v>30</v>
      </c>
      <c r="C2478" s="20">
        <v>59</v>
      </c>
      <c r="D2478" s="20">
        <v>29</v>
      </c>
      <c r="E2478" s="20">
        <v>77</v>
      </c>
      <c r="F2478" s="20" t="s">
        <v>20041</v>
      </c>
      <c r="G2478" s="20" t="s">
        <v>20042</v>
      </c>
      <c r="H2478" s="24"/>
      <c r="I2478" s="24" t="str">
        <f ca="1">IFERROR(__xludf.DUMMYFUNCTION("GOOGLETRANSLATE(F2478,""en"",""pt"")"),"ventiladores de telhado rotativos")</f>
        <v>ventiladores de telhado rotativos</v>
      </c>
      <c r="J2478" t="e">
        <f>VLOOKUP(A2478,Pr_Base_LNEC!$A$4:$J$6971,6,FALSE)</f>
        <v>#N/A</v>
      </c>
      <c r="K2478" t="e">
        <f>VLOOKUP(A2478,Pr_Base_LNEC!$A$4:$J$6971,7,FALSE)</f>
        <v>#N/A</v>
      </c>
    </row>
    <row r="2479" spans="1:11" ht="14.5">
      <c r="A2479" s="20" t="s">
        <v>20043</v>
      </c>
      <c r="B2479" s="20">
        <v>30</v>
      </c>
      <c r="C2479" s="20">
        <v>59</v>
      </c>
      <c r="D2479" s="20">
        <v>29</v>
      </c>
      <c r="E2479" s="20">
        <v>82</v>
      </c>
      <c r="F2479" s="20" t="s">
        <v>20044</v>
      </c>
      <c r="G2479" s="20" t="s">
        <v>20045</v>
      </c>
      <c r="H2479" s="24"/>
      <c r="I2479" s="24" t="str">
        <f ca="1">IFERROR(__xludf.DUMMYFUNCTION("GOOGLETRANSLATE(F2479,""en"",""pt"")"),"ventiladores de strip")</f>
        <v>ventiladores de strip</v>
      </c>
      <c r="J2479">
        <f>VLOOKUP(A2479,Pr_Base_LNEC!$A$4:$J$6971,6,FALSE)</f>
        <v>0</v>
      </c>
      <c r="K2479">
        <f>VLOOKUP(A2479,Pr_Base_LNEC!$A$4:$J$6971,7,FALSE)</f>
        <v>0</v>
      </c>
    </row>
    <row r="2480" spans="1:11" ht="14.5">
      <c r="A2480" s="20" t="s">
        <v>20046</v>
      </c>
      <c r="B2480" s="20">
        <v>30</v>
      </c>
      <c r="C2480" s="20">
        <v>59</v>
      </c>
      <c r="D2480" s="20">
        <v>33</v>
      </c>
      <c r="E2480" s="24"/>
      <c r="F2480" s="20" t="s">
        <v>20047</v>
      </c>
      <c r="G2480" s="24"/>
      <c r="H2480" s="24"/>
      <c r="I2480" s="24" t="str">
        <f ca="1">IFERROR(__xludf.DUMMYFUNCTION("GOOGLETRANSLATE(F2480,""en"",""pt"")"),"Portão rodeia e folhas")</f>
        <v>Portão rodeia e folhas</v>
      </c>
      <c r="J2480">
        <f>VLOOKUP(A2480,Pr_Base_LNEC!$A$4:$J$6971,6,FALSE)</f>
        <v>0</v>
      </c>
      <c r="K2480">
        <f>VLOOKUP(A2480,Pr_Base_LNEC!$A$4:$J$6971,7,FALSE)</f>
        <v>0</v>
      </c>
    </row>
    <row r="2481" spans="1:11" ht="14.5">
      <c r="A2481" s="20" t="s">
        <v>20048</v>
      </c>
      <c r="B2481" s="20">
        <v>30</v>
      </c>
      <c r="C2481" s="20">
        <v>59</v>
      </c>
      <c r="D2481" s="20">
        <v>33</v>
      </c>
      <c r="E2481" s="20">
        <v>2</v>
      </c>
      <c r="F2481" s="20" t="s">
        <v>20049</v>
      </c>
      <c r="G2481" s="20" t="s">
        <v>20050</v>
      </c>
      <c r="H2481" s="24"/>
      <c r="I2481" s="24" t="str">
        <f ca="1">IFERROR(__xludf.DUMMYFUNCTION("GOOGLETRANSLATE(F2481,""en"",""pt"")"),"folhas de folha de porta de alumínio")</f>
        <v>folhas de folha de porta de alumínio</v>
      </c>
      <c r="J2481">
        <f>VLOOKUP(A2481,Pr_Base_LNEC!$A$4:$J$6971,6,FALSE)</f>
        <v>0</v>
      </c>
      <c r="K2481">
        <f>VLOOKUP(A2481,Pr_Base_LNEC!$A$4:$J$6971,7,FALSE)</f>
        <v>0</v>
      </c>
    </row>
    <row r="2482" spans="1:11" ht="14.5">
      <c r="A2482" s="20" t="s">
        <v>20051</v>
      </c>
      <c r="B2482" s="20">
        <v>30</v>
      </c>
      <c r="C2482" s="20">
        <v>59</v>
      </c>
      <c r="D2482" s="20">
        <v>33</v>
      </c>
      <c r="E2482" s="20">
        <v>3</v>
      </c>
      <c r="F2482" s="20" t="s">
        <v>20052</v>
      </c>
      <c r="G2482" s="20" t="s">
        <v>20053</v>
      </c>
      <c r="H2482" s="24"/>
      <c r="I2482" s="24" t="str">
        <f ca="1">IFERROR(__xludf.DUMMYFUNCTION("GOOGLETRANSLATE(F2482,""en"",""pt"")"),"folhas de porta vertical, trilho de alumínio")</f>
        <v>folhas de porta vertical, trilho de alumínio</v>
      </c>
      <c r="J2482">
        <f>VLOOKUP(A2482,Pr_Base_LNEC!$A$4:$J$6971,6,FALSE)</f>
        <v>0</v>
      </c>
      <c r="K2482">
        <f>VLOOKUP(A2482,Pr_Base_LNEC!$A$4:$J$6971,7,FALSE)</f>
        <v>0</v>
      </c>
    </row>
    <row r="2483" spans="1:11" ht="14.5">
      <c r="A2483" s="20" t="s">
        <v>20054</v>
      </c>
      <c r="B2483" s="20">
        <v>30</v>
      </c>
      <c r="C2483" s="20">
        <v>59</v>
      </c>
      <c r="D2483" s="20">
        <v>33</v>
      </c>
      <c r="E2483" s="20">
        <v>11</v>
      </c>
      <c r="F2483" s="20" t="s">
        <v>20055</v>
      </c>
      <c r="G2483" s="20" t="s">
        <v>20056</v>
      </c>
      <c r="H2483" s="24"/>
      <c r="I2483" s="24" t="str">
        <f ca="1">IFERROR(__xludf.DUMMYFUNCTION("GOOGLETRANSLATE(F2483,""en"",""pt"")"),"aço carbono expandido malha folhas de porta")</f>
        <v>aço carbono expandido malha folhas de porta</v>
      </c>
      <c r="J2483">
        <f>VLOOKUP(A2483,Pr_Base_LNEC!$A$4:$J$6971,6,FALSE)</f>
        <v>0</v>
      </c>
      <c r="K2483">
        <f>VLOOKUP(A2483,Pr_Base_LNEC!$A$4:$J$6971,7,FALSE)</f>
        <v>0</v>
      </c>
    </row>
    <row r="2484" spans="1:11" ht="14.5">
      <c r="A2484" s="20" t="s">
        <v>20057</v>
      </c>
      <c r="B2484" s="20">
        <v>30</v>
      </c>
      <c r="C2484" s="20">
        <v>59</v>
      </c>
      <c r="D2484" s="20">
        <v>33</v>
      </c>
      <c r="E2484" s="20">
        <v>12</v>
      </c>
      <c r="F2484" s="20" t="s">
        <v>20058</v>
      </c>
      <c r="G2484" s="20" t="s">
        <v>20059</v>
      </c>
      <c r="H2484" s="24"/>
      <c r="I2484" s="24" t="str">
        <f ca="1">IFERROR(__xludf.DUMMYFUNCTION("GOOGLETRANSLATE(F2484,""en"",""pt"")"),"as folhas de porta de campo de aço carbono")</f>
        <v>as folhas de porta de campo de aço carbono</v>
      </c>
      <c r="J2484">
        <f>VLOOKUP(A2484,Pr_Base_LNEC!$A$4:$J$6971,6,FALSE)</f>
        <v>0</v>
      </c>
      <c r="K2484">
        <f>VLOOKUP(A2484,Pr_Base_LNEC!$A$4:$J$6971,7,FALSE)</f>
        <v>0</v>
      </c>
    </row>
    <row r="2485" spans="1:11" ht="14.5">
      <c r="A2485" s="20" t="s">
        <v>20060</v>
      </c>
      <c r="B2485" s="20">
        <v>30</v>
      </c>
      <c r="C2485" s="20">
        <v>59</v>
      </c>
      <c r="D2485" s="20">
        <v>33</v>
      </c>
      <c r="E2485" s="20">
        <v>13</v>
      </c>
      <c r="F2485" s="20" t="s">
        <v>20061</v>
      </c>
      <c r="G2485" s="20" t="s">
        <v>20062</v>
      </c>
      <c r="H2485" s="24"/>
      <c r="I2485" s="24" t="str">
        <f ca="1">IFERROR(__xludf.DUMMYFUNCTION("GOOGLETRANSLATE(F2485,""en"",""pt"")"),"folhas de porta em paliçada de aço de carbono")</f>
        <v>folhas de porta em paliçada de aço de carbono</v>
      </c>
      <c r="J2485">
        <f>VLOOKUP(A2485,Pr_Base_LNEC!$A$4:$J$6971,6,FALSE)</f>
        <v>0</v>
      </c>
      <c r="K2485">
        <f>VLOOKUP(A2485,Pr_Base_LNEC!$A$4:$J$6971,7,FALSE)</f>
        <v>0</v>
      </c>
    </row>
    <row r="2486" spans="1:11" ht="14.5">
      <c r="A2486" s="20" t="s">
        <v>20063</v>
      </c>
      <c r="B2486" s="20">
        <v>30</v>
      </c>
      <c r="C2486" s="20">
        <v>59</v>
      </c>
      <c r="D2486" s="20">
        <v>33</v>
      </c>
      <c r="E2486" s="20">
        <v>14</v>
      </c>
      <c r="F2486" s="20" t="s">
        <v>20064</v>
      </c>
      <c r="G2486" s="20" t="s">
        <v>20065</v>
      </c>
      <c r="H2486" s="24"/>
      <c r="I2486" s="24" t="str">
        <f ca="1">IFERROR(__xludf.DUMMYFUNCTION("GOOGLETRANSLATE(F2486,""en"",""pt"")"),"as folhas de porta de chapa de aço carbono")</f>
        <v>as folhas de porta de chapa de aço carbono</v>
      </c>
      <c r="J2486">
        <f>VLOOKUP(A2486,Pr_Base_LNEC!$A$4:$J$6971,6,FALSE)</f>
        <v>0</v>
      </c>
      <c r="K2486">
        <f>VLOOKUP(A2486,Pr_Base_LNEC!$A$4:$J$6971,7,FALSE)</f>
        <v>0</v>
      </c>
    </row>
    <row r="2487" spans="1:11" ht="14.5">
      <c r="A2487" s="20" t="s">
        <v>20066</v>
      </c>
      <c r="B2487" s="20">
        <v>30</v>
      </c>
      <c r="C2487" s="20">
        <v>59</v>
      </c>
      <c r="D2487" s="20">
        <v>33</v>
      </c>
      <c r="E2487" s="20">
        <v>15</v>
      </c>
      <c r="F2487" s="20" t="s">
        <v>20067</v>
      </c>
      <c r="G2487" s="20" t="s">
        <v>20068</v>
      </c>
      <c r="H2487" s="24"/>
      <c r="I2487" s="24" t="str">
        <f ca="1">IFERROR(__xludf.DUMMYFUNCTION("GOOGLETRANSLATE(F2487,""en"",""pt"")"),"folhas de porta corte vertical de aço carbono")</f>
        <v>folhas de porta corte vertical de aço carbono</v>
      </c>
      <c r="J2487">
        <f>VLOOKUP(A2487,Pr_Base_LNEC!$A$4:$J$6971,6,FALSE)</f>
        <v>0</v>
      </c>
      <c r="K2487">
        <f>VLOOKUP(A2487,Pr_Base_LNEC!$A$4:$J$6971,7,FALSE)</f>
        <v>0</v>
      </c>
    </row>
    <row r="2488" spans="1:11" ht="14.5">
      <c r="A2488" s="20" t="s">
        <v>20069</v>
      </c>
      <c r="B2488" s="20">
        <v>30</v>
      </c>
      <c r="C2488" s="20">
        <v>59</v>
      </c>
      <c r="D2488" s="20">
        <v>33</v>
      </c>
      <c r="E2488" s="20">
        <v>16</v>
      </c>
      <c r="F2488" s="20" t="s">
        <v>20070</v>
      </c>
      <c r="G2488" s="20" t="s">
        <v>20071</v>
      </c>
      <c r="H2488" s="24"/>
      <c r="I2488" s="24" t="str">
        <f ca="1">IFERROR(__xludf.DUMMYFUNCTION("GOOGLETRANSLATE(F2488,""en"",""pt"")"),"aço carbono soldada malha de folhas de porta")</f>
        <v>aço carbono soldada malha de folhas de porta</v>
      </c>
      <c r="J2488">
        <f>VLOOKUP(A2488,Pr_Base_LNEC!$A$4:$J$6971,6,FALSE)</f>
        <v>0</v>
      </c>
      <c r="K2488">
        <f>VLOOKUP(A2488,Pr_Base_LNEC!$A$4:$J$6971,7,FALSE)</f>
        <v>0</v>
      </c>
    </row>
    <row r="2489" spans="1:11" ht="14.5">
      <c r="A2489" s="20" t="s">
        <v>20072</v>
      </c>
      <c r="B2489" s="20">
        <v>30</v>
      </c>
      <c r="C2489" s="20">
        <v>59</v>
      </c>
      <c r="D2489" s="20">
        <v>33</v>
      </c>
      <c r="E2489" s="20">
        <v>33</v>
      </c>
      <c r="F2489" s="20" t="s">
        <v>20073</v>
      </c>
      <c r="G2489" s="20" t="s">
        <v>20074</v>
      </c>
      <c r="H2489" s="24"/>
      <c r="I2489" s="24" t="str">
        <f ca="1">IFERROR(__xludf.DUMMYFUNCTION("GOOGLETRANSLATE(F2489,""en"",""pt"")"),"arcos portão")</f>
        <v>arcos portão</v>
      </c>
      <c r="J2489">
        <f>VLOOKUP(A2489,Pr_Base_LNEC!$A$4:$J$6971,6,FALSE)</f>
        <v>0</v>
      </c>
      <c r="K2489">
        <f>VLOOKUP(A2489,Pr_Base_LNEC!$A$4:$J$6971,7,FALSE)</f>
        <v>0</v>
      </c>
    </row>
    <row r="2490" spans="1:11" ht="14.5">
      <c r="A2490" s="20" t="s">
        <v>20075</v>
      </c>
      <c r="B2490" s="20">
        <v>30</v>
      </c>
      <c r="C2490" s="20">
        <v>59</v>
      </c>
      <c r="D2490" s="20">
        <v>33</v>
      </c>
      <c r="E2490" s="20">
        <v>34</v>
      </c>
      <c r="F2490" s="20" t="s">
        <v>20076</v>
      </c>
      <c r="G2490" s="20" t="s">
        <v>20077</v>
      </c>
      <c r="H2490" s="24"/>
      <c r="I2490" s="24" t="str">
        <f ca="1">IFERROR(__xludf.DUMMYFUNCTION("GOOGLETRANSLATE(F2490,""en"",""pt"")"),"folhas de porta de vidro de enchimento")</f>
        <v>folhas de porta de vidro de enchimento</v>
      </c>
      <c r="J2490">
        <f>VLOOKUP(A2490,Pr_Base_LNEC!$A$4:$J$6971,6,FALSE)</f>
        <v>0</v>
      </c>
      <c r="K2490">
        <f>VLOOKUP(A2490,Pr_Base_LNEC!$A$4:$J$6971,7,FALSE)</f>
        <v>0</v>
      </c>
    </row>
    <row r="2491" spans="1:11" ht="14.5">
      <c r="A2491" s="20" t="s">
        <v>20078</v>
      </c>
      <c r="B2491" s="20">
        <v>30</v>
      </c>
      <c r="C2491" s="20">
        <v>59</v>
      </c>
      <c r="D2491" s="20">
        <v>33</v>
      </c>
      <c r="E2491" s="20">
        <v>35</v>
      </c>
      <c r="F2491" s="20" t="s">
        <v>20079</v>
      </c>
      <c r="G2491" s="20" t="s">
        <v>20080</v>
      </c>
      <c r="H2491" s="24"/>
      <c r="I2491" s="24" t="str">
        <f ca="1">IFERROR(__xludf.DUMMYFUNCTION("GOOGLETRANSLATE(F2491,""en"",""pt"")"),"Vidra de plásticos folhas de porta")</f>
        <v>Vidra de plásticos folhas de porta</v>
      </c>
      <c r="J2491">
        <f>VLOOKUP(A2491,Pr_Base_LNEC!$A$4:$J$6971,6,FALSE)</f>
        <v>0</v>
      </c>
      <c r="K2491">
        <f>VLOOKUP(A2491,Pr_Base_LNEC!$A$4:$J$6971,7,FALSE)</f>
        <v>0</v>
      </c>
    </row>
    <row r="2492" spans="1:11" ht="14.5">
      <c r="A2492" s="20" t="s">
        <v>20081</v>
      </c>
      <c r="B2492" s="20">
        <v>30</v>
      </c>
      <c r="C2492" s="20">
        <v>59</v>
      </c>
      <c r="D2492" s="20">
        <v>33</v>
      </c>
      <c r="E2492" s="20">
        <v>36</v>
      </c>
      <c r="F2492" s="20" t="s">
        <v>20082</v>
      </c>
      <c r="G2492" s="20" t="s">
        <v>20083</v>
      </c>
      <c r="H2492" s="24"/>
      <c r="I2492" s="24" t="str">
        <f ca="1">IFERROR(__xludf.DUMMYFUNCTION("GOOGLETRANSLATE(F2492,""en"",""pt"")"),"folhas de portas de campo Hardwood")</f>
        <v>folhas de portas de campo Hardwood</v>
      </c>
      <c r="J2492">
        <f>VLOOKUP(A2492,Pr_Base_LNEC!$A$4:$J$6971,6,FALSE)</f>
        <v>0</v>
      </c>
      <c r="K2492">
        <f>VLOOKUP(A2492,Pr_Base_LNEC!$A$4:$J$6971,7,FALSE)</f>
        <v>0</v>
      </c>
    </row>
    <row r="2493" spans="1:11" ht="14.5">
      <c r="A2493" s="20" t="s">
        <v>20084</v>
      </c>
      <c r="B2493" s="20">
        <v>30</v>
      </c>
      <c r="C2493" s="20">
        <v>59</v>
      </c>
      <c r="D2493" s="20">
        <v>33</v>
      </c>
      <c r="E2493" s="20">
        <v>37</v>
      </c>
      <c r="F2493" s="20" t="s">
        <v>20085</v>
      </c>
      <c r="G2493" s="20" t="s">
        <v>20086</v>
      </c>
      <c r="H2493" s="24"/>
      <c r="I2493" s="24" t="str">
        <f ca="1">IFERROR(__xludf.DUMMYFUNCTION("GOOGLETRANSLATE(F2493,""en"",""pt"")"),"as folhas de porta de madeira de lei")</f>
        <v>as folhas de porta de madeira de lei</v>
      </c>
      <c r="J2493">
        <f>VLOOKUP(A2493,Pr_Base_LNEC!$A$4:$J$6971,6,FALSE)</f>
        <v>0</v>
      </c>
      <c r="K2493">
        <f>VLOOKUP(A2493,Pr_Base_LNEC!$A$4:$J$6971,7,FALSE)</f>
        <v>0</v>
      </c>
    </row>
    <row r="2494" spans="1:11" ht="14.5">
      <c r="A2494" s="20" t="s">
        <v>20087</v>
      </c>
      <c r="B2494" s="20">
        <v>30</v>
      </c>
      <c r="C2494" s="20">
        <v>59</v>
      </c>
      <c r="D2494" s="20">
        <v>33</v>
      </c>
      <c r="E2494" s="20">
        <v>38</v>
      </c>
      <c r="F2494" s="20" t="s">
        <v>20088</v>
      </c>
      <c r="G2494" s="20" t="s">
        <v>20089</v>
      </c>
      <c r="H2494" s="24"/>
      <c r="I2494" s="24" t="str">
        <f ca="1">IFERROR(__xludf.DUMMYFUNCTION("GOOGLETRANSLATE(F2494,""en"",""pt"")"),"portão folhosa rodeia")</f>
        <v>portão folhosa rodeia</v>
      </c>
      <c r="J2494">
        <f>VLOOKUP(A2494,Pr_Base_LNEC!$A$4:$J$6971,6,FALSE)</f>
        <v>0</v>
      </c>
      <c r="K2494">
        <f>VLOOKUP(A2494,Pr_Base_LNEC!$A$4:$J$6971,7,FALSE)</f>
        <v>0</v>
      </c>
    </row>
    <row r="2495" spans="1:11" ht="14.5">
      <c r="A2495" s="20" t="s">
        <v>20090</v>
      </c>
      <c r="B2495" s="20">
        <v>30</v>
      </c>
      <c r="C2495" s="20">
        <v>59</v>
      </c>
      <c r="D2495" s="20">
        <v>33</v>
      </c>
      <c r="E2495" s="20">
        <v>39</v>
      </c>
      <c r="F2495" s="20" t="s">
        <v>20091</v>
      </c>
      <c r="G2495" s="20" t="s">
        <v>20092</v>
      </c>
      <c r="H2495" s="24"/>
      <c r="I2495" s="24" t="str">
        <f ca="1">IFERROR(__xludf.DUMMYFUNCTION("GOOGLETRANSLATE(F2495,""en"",""pt"")"),"folhas de porta em paliçada folhosa")</f>
        <v>folhas de porta em paliçada folhosa</v>
      </c>
      <c r="J2495">
        <f>VLOOKUP(A2495,Pr_Base_LNEC!$A$4:$J$6971,6,FALSE)</f>
        <v>0</v>
      </c>
      <c r="K2495">
        <f>VLOOKUP(A2495,Pr_Base_LNEC!$A$4:$J$6971,7,FALSE)</f>
        <v>0</v>
      </c>
    </row>
    <row r="2496" spans="1:11" ht="14.5">
      <c r="A2496" s="20" t="s">
        <v>20093</v>
      </c>
      <c r="B2496" s="20">
        <v>30</v>
      </c>
      <c r="C2496" s="20">
        <v>59</v>
      </c>
      <c r="D2496" s="20">
        <v>33</v>
      </c>
      <c r="E2496" s="20">
        <v>52</v>
      </c>
      <c r="F2496" s="20" t="s">
        <v>20094</v>
      </c>
      <c r="G2496" s="20" t="s">
        <v>20095</v>
      </c>
      <c r="H2496" s="24"/>
      <c r="I2496" s="24" t="str">
        <f ca="1">IFERROR(__xludf.DUMMYFUNCTION("GOOGLETRANSLATE(F2496,""en"",""pt"")"),"Metal da porta envolve")</f>
        <v>Metal da porta envolve</v>
      </c>
      <c r="J2496">
        <f>VLOOKUP(A2496,Pr_Base_LNEC!$A$4:$J$6971,6,FALSE)</f>
        <v>0</v>
      </c>
      <c r="K2496">
        <f>VLOOKUP(A2496,Pr_Base_LNEC!$A$4:$J$6971,7,FALSE)</f>
        <v>0</v>
      </c>
    </row>
    <row r="2497" spans="1:11" ht="14.5">
      <c r="A2497" s="20" t="s">
        <v>20096</v>
      </c>
      <c r="B2497" s="20">
        <v>30</v>
      </c>
      <c r="C2497" s="20">
        <v>59</v>
      </c>
      <c r="D2497" s="20">
        <v>33</v>
      </c>
      <c r="E2497" s="20">
        <v>62</v>
      </c>
      <c r="F2497" s="20" t="s">
        <v>20097</v>
      </c>
      <c r="G2497" s="20" t="s">
        <v>20098</v>
      </c>
      <c r="H2497" s="24"/>
      <c r="I2497" s="24" t="str">
        <f ca="1">IFERROR(__xludf.DUMMYFUNCTION("GOOGLETRANSLATE(F2497,""en"",""pt"")"),"folhas de porta Plastics")</f>
        <v>folhas de porta Plastics</v>
      </c>
      <c r="J2497">
        <f>VLOOKUP(A2497,Pr_Base_LNEC!$A$4:$J$6971,6,FALSE)</f>
        <v>0</v>
      </c>
      <c r="K2497">
        <f>VLOOKUP(A2497,Pr_Base_LNEC!$A$4:$J$6971,7,FALSE)</f>
        <v>0</v>
      </c>
    </row>
    <row r="2498" spans="1:11" ht="14.5">
      <c r="A2498" s="20" t="s">
        <v>20099</v>
      </c>
      <c r="B2498" s="20">
        <v>30</v>
      </c>
      <c r="C2498" s="20">
        <v>59</v>
      </c>
      <c r="D2498" s="20">
        <v>33</v>
      </c>
      <c r="E2498" s="20">
        <v>63</v>
      </c>
      <c r="F2498" s="20" t="s">
        <v>20100</v>
      </c>
      <c r="G2498" s="20" t="s">
        <v>20101</v>
      </c>
      <c r="H2498" s="24"/>
      <c r="I2498" s="24" t="str">
        <f ca="1">IFERROR(__xludf.DUMMYFUNCTION("GOOGLETRANSLATE(F2498,""en"",""pt"")"),"as folhas de porta de folha contraplacado")</f>
        <v>as folhas de porta de folha contraplacado</v>
      </c>
      <c r="J2498">
        <f>VLOOKUP(A2498,Pr_Base_LNEC!$A$4:$J$6971,6,FALSE)</f>
        <v>0</v>
      </c>
      <c r="K2498">
        <f>VLOOKUP(A2498,Pr_Base_LNEC!$A$4:$J$6971,7,FALSE)</f>
        <v>0</v>
      </c>
    </row>
    <row r="2499" spans="1:11" ht="14.5">
      <c r="A2499" s="20" t="s">
        <v>20102</v>
      </c>
      <c r="B2499" s="20">
        <v>30</v>
      </c>
      <c r="C2499" s="20">
        <v>59</v>
      </c>
      <c r="D2499" s="20">
        <v>33</v>
      </c>
      <c r="E2499" s="20">
        <v>78</v>
      </c>
      <c r="F2499" s="20" t="s">
        <v>20103</v>
      </c>
      <c r="G2499" s="20" t="s">
        <v>20104</v>
      </c>
      <c r="H2499" s="24"/>
      <c r="I2499" s="24" t="str">
        <f ca="1">IFERROR(__xludf.DUMMYFUNCTION("GOOGLETRANSLATE(F2499,""en"",""pt"")"),"aço inoxidável expandido malha folhas de portão")</f>
        <v>aço inoxidável expandido malha folhas de portão</v>
      </c>
      <c r="J2499">
        <f>VLOOKUP(A2499,Pr_Base_LNEC!$A$4:$J$6971,6,FALSE)</f>
        <v>0</v>
      </c>
      <c r="K2499">
        <f>VLOOKUP(A2499,Pr_Base_LNEC!$A$4:$J$6971,7,FALSE)</f>
        <v>0</v>
      </c>
    </row>
    <row r="2500" spans="1:11" ht="14.5">
      <c r="A2500" s="20" t="s">
        <v>20105</v>
      </c>
      <c r="B2500" s="20">
        <v>30</v>
      </c>
      <c r="C2500" s="20">
        <v>59</v>
      </c>
      <c r="D2500" s="20">
        <v>33</v>
      </c>
      <c r="E2500" s="20">
        <v>82</v>
      </c>
      <c r="F2500" s="20" t="s">
        <v>20106</v>
      </c>
      <c r="G2500" s="20" t="s">
        <v>20107</v>
      </c>
      <c r="H2500" s="24"/>
      <c r="I2500" s="24" t="str">
        <f ca="1">IFERROR(__xludf.DUMMYFUNCTION("GOOGLETRANSLATE(F2500,""en"",""pt"")"),"folhas folha de portão de aço inoxidável")</f>
        <v>folhas folha de portão de aço inoxidável</v>
      </c>
      <c r="J2500">
        <f>VLOOKUP(A2500,Pr_Base_LNEC!$A$4:$J$6971,6,FALSE)</f>
        <v>0</v>
      </c>
      <c r="K2500">
        <f>VLOOKUP(A2500,Pr_Base_LNEC!$A$4:$J$6971,7,FALSE)</f>
        <v>0</v>
      </c>
    </row>
    <row r="2501" spans="1:11" ht="14.5">
      <c r="A2501" s="20" t="s">
        <v>20108</v>
      </c>
      <c r="B2501" s="20">
        <v>30</v>
      </c>
      <c r="C2501" s="20">
        <v>59</v>
      </c>
      <c r="D2501" s="20">
        <v>33</v>
      </c>
      <c r="E2501" s="20">
        <v>84</v>
      </c>
      <c r="F2501" s="20" t="s">
        <v>20109</v>
      </c>
      <c r="G2501" s="20" t="s">
        <v>20110</v>
      </c>
      <c r="H2501" s="24"/>
      <c r="I2501" s="24" t="str">
        <f ca="1">IFERROR(__xludf.DUMMYFUNCTION("GOOGLETRANSLATE(F2501,""en"",""pt"")"),"folhas de porta vertical, trilho de aço inoxidável")</f>
        <v>folhas de porta vertical, trilho de aço inoxidável</v>
      </c>
      <c r="J2501">
        <f>VLOOKUP(A2501,Pr_Base_LNEC!$A$4:$J$6971,6,FALSE)</f>
        <v>0</v>
      </c>
      <c r="K2501">
        <f>VLOOKUP(A2501,Pr_Base_LNEC!$A$4:$J$6971,7,FALSE)</f>
        <v>0</v>
      </c>
    </row>
    <row r="2502" spans="1:11" ht="14.5">
      <c r="A2502" s="20" t="s">
        <v>20111</v>
      </c>
      <c r="B2502" s="20">
        <v>30</v>
      </c>
      <c r="C2502" s="20">
        <v>59</v>
      </c>
      <c r="D2502" s="20">
        <v>33</v>
      </c>
      <c r="E2502" s="20">
        <v>98</v>
      </c>
      <c r="F2502" s="20" t="s">
        <v>20112</v>
      </c>
      <c r="G2502" s="20" t="s">
        <v>20113</v>
      </c>
      <c r="H2502" s="24"/>
      <c r="I2502" s="24" t="str">
        <f ca="1">IFERROR(__xludf.DUMMYFUNCTION("GOOGLETRANSLATE(F2502,""en"",""pt"")"),"Ferro forjado folhas de porta decorativos")</f>
        <v>Ferro forjado folhas de porta decorativos</v>
      </c>
      <c r="J2502">
        <f>VLOOKUP(A2502,Pr_Base_LNEC!$A$4:$J$6971,6,FALSE)</f>
        <v>0</v>
      </c>
      <c r="K2502">
        <f>VLOOKUP(A2502,Pr_Base_LNEC!$A$4:$J$6971,7,FALSE)</f>
        <v>0</v>
      </c>
    </row>
    <row r="2503" spans="1:11" ht="14.5">
      <c r="A2503" s="20" t="s">
        <v>20114</v>
      </c>
      <c r="B2503" s="20">
        <v>30</v>
      </c>
      <c r="C2503" s="20">
        <v>59</v>
      </c>
      <c r="D2503" s="20">
        <v>33</v>
      </c>
      <c r="E2503" s="20">
        <v>99</v>
      </c>
      <c r="F2503" s="20" t="s">
        <v>20115</v>
      </c>
      <c r="G2503" s="20" t="s">
        <v>20116</v>
      </c>
      <c r="H2503" s="24"/>
      <c r="I2503" s="24" t="str">
        <f ca="1">IFERROR(__xludf.DUMMYFUNCTION("GOOGLETRANSLATE(F2503,""en"",""pt"")"),"Ferro forjado folhas portão verticais ferroviárias")</f>
        <v>Ferro forjado folhas portão verticais ferroviárias</v>
      </c>
      <c r="J2503">
        <f>VLOOKUP(A2503,Pr_Base_LNEC!$A$4:$J$6971,6,FALSE)</f>
        <v>0</v>
      </c>
      <c r="K2503">
        <f>VLOOKUP(A2503,Pr_Base_LNEC!$A$4:$J$6971,7,FALSE)</f>
        <v>0</v>
      </c>
    </row>
    <row r="2504" spans="1:11" ht="14.5">
      <c r="A2504" s="20" t="s">
        <v>20117</v>
      </c>
      <c r="B2504" s="20">
        <v>30</v>
      </c>
      <c r="C2504" s="20">
        <v>59</v>
      </c>
      <c r="D2504" s="20">
        <v>34</v>
      </c>
      <c r="E2504" s="24"/>
      <c r="F2504" s="20" t="s">
        <v>20118</v>
      </c>
      <c r="G2504" s="24"/>
      <c r="H2504" s="24"/>
      <c r="I2504" s="24" t="str">
        <f ca="1">IFERROR(__xludf.DUMMYFUNCTION("GOOGLETRANSLATE(F2504,""en"",""pt"")"),"Portões e catracas")</f>
        <v>Portões e catracas</v>
      </c>
      <c r="J2504">
        <f>VLOOKUP(A2504,Pr_Base_LNEC!$A$4:$J$6971,6,FALSE)</f>
        <v>0</v>
      </c>
      <c r="K2504">
        <f>VLOOKUP(A2504,Pr_Base_LNEC!$A$4:$J$6971,7,FALSE)</f>
        <v>0</v>
      </c>
    </row>
    <row r="2505" spans="1:11" ht="14.5">
      <c r="A2505" s="20" t="s">
        <v>20119</v>
      </c>
      <c r="B2505" s="20">
        <v>30</v>
      </c>
      <c r="C2505" s="20">
        <v>59</v>
      </c>
      <c r="D2505" s="20">
        <v>34</v>
      </c>
      <c r="E2505" s="20">
        <v>1</v>
      </c>
      <c r="F2505" s="20" t="s">
        <v>20120</v>
      </c>
      <c r="G2505" s="20" t="s">
        <v>20121</v>
      </c>
      <c r="H2505" s="24"/>
      <c r="I2505" s="24" t="str">
        <f ca="1">IFERROR(__xludf.DUMMYFUNCTION("GOOGLETRANSLATE(F2505,""en"",""pt"")"),"Alumínio catracas altura total")</f>
        <v>Alumínio catracas altura total</v>
      </c>
      <c r="J2505">
        <f>VLOOKUP(A2505,Pr_Base_LNEC!$A$4:$J$6971,6,FALSE)</f>
        <v>0</v>
      </c>
      <c r="K2505">
        <f>VLOOKUP(A2505,Pr_Base_LNEC!$A$4:$J$6971,7,FALSE)</f>
        <v>0</v>
      </c>
    </row>
    <row r="2506" spans="1:11" ht="14.5">
      <c r="A2506" s="20" t="s">
        <v>20122</v>
      </c>
      <c r="B2506" s="20">
        <v>30</v>
      </c>
      <c r="C2506" s="20">
        <v>59</v>
      </c>
      <c r="D2506" s="20">
        <v>34</v>
      </c>
      <c r="E2506" s="20">
        <v>2</v>
      </c>
      <c r="F2506" s="20" t="s">
        <v>20123</v>
      </c>
      <c r="G2506" s="20" t="s">
        <v>20124</v>
      </c>
      <c r="H2506" s="24"/>
      <c r="I2506" s="24" t="str">
        <f ca="1">IFERROR(__xludf.DUMMYFUNCTION("GOOGLETRANSLATE(F2506,""en"",""pt"")"),"portas de alumínio")</f>
        <v>portas de alumínio</v>
      </c>
      <c r="J2506">
        <f>VLOOKUP(A2506,Pr_Base_LNEC!$A$4:$J$6971,6,FALSE)</f>
        <v>0</v>
      </c>
      <c r="K2506">
        <f>VLOOKUP(A2506,Pr_Base_LNEC!$A$4:$J$6971,7,FALSE)</f>
        <v>0</v>
      </c>
    </row>
    <row r="2507" spans="1:11" ht="14.5">
      <c r="A2507" s="20" t="s">
        <v>20125</v>
      </c>
      <c r="B2507" s="20">
        <v>30</v>
      </c>
      <c r="C2507" s="20">
        <v>59</v>
      </c>
      <c r="D2507" s="20">
        <v>34</v>
      </c>
      <c r="E2507" s="20">
        <v>3</v>
      </c>
      <c r="F2507" s="20" t="s">
        <v>20126</v>
      </c>
      <c r="G2507" s="20" t="s">
        <v>20127</v>
      </c>
      <c r="H2507" s="24"/>
      <c r="I2507" s="24" t="str">
        <f ca="1">IFERROR(__xludf.DUMMYFUNCTION("GOOGLETRANSLATE(F2507,""en"",""pt"")"),"portas de proteção de alumínio")</f>
        <v>portas de proteção de alumínio</v>
      </c>
      <c r="J2507">
        <f>VLOOKUP(A2507,Pr_Base_LNEC!$A$4:$J$6971,6,FALSE)</f>
        <v>0</v>
      </c>
      <c r="K2507">
        <f>VLOOKUP(A2507,Pr_Base_LNEC!$A$4:$J$6971,7,FALSE)</f>
        <v>0</v>
      </c>
    </row>
    <row r="2508" spans="1:11" ht="14.5">
      <c r="A2508" s="20" t="s">
        <v>20128</v>
      </c>
      <c r="B2508" s="20">
        <v>30</v>
      </c>
      <c r="C2508" s="20">
        <v>59</v>
      </c>
      <c r="D2508" s="20">
        <v>34</v>
      </c>
      <c r="E2508" s="20">
        <v>10</v>
      </c>
      <c r="F2508" s="20" t="s">
        <v>20129</v>
      </c>
      <c r="G2508" s="24"/>
      <c r="H2508" s="24"/>
      <c r="I2508" s="24" t="str">
        <f ca="1">IFERROR(__xludf.DUMMYFUNCTION("GOOGLETRANSLATE(F2508,""en"",""pt"")"),"comportas do canal")</f>
        <v>comportas do canal</v>
      </c>
      <c r="J2508">
        <f>VLOOKUP(A2508,Pr_Base_LNEC!$A$4:$J$6971,6,FALSE)</f>
        <v>0</v>
      </c>
      <c r="K2508">
        <f>VLOOKUP(A2508,Pr_Base_LNEC!$A$4:$J$6971,7,FALSE)</f>
        <v>0</v>
      </c>
    </row>
    <row r="2509" spans="1:11" ht="14.5">
      <c r="A2509" s="20" t="s">
        <v>20130</v>
      </c>
      <c r="B2509" s="20">
        <v>30</v>
      </c>
      <c r="C2509" s="20">
        <v>59</v>
      </c>
      <c r="D2509" s="20">
        <v>34</v>
      </c>
      <c r="E2509" s="20">
        <v>11</v>
      </c>
      <c r="F2509" s="20" t="s">
        <v>20131</v>
      </c>
      <c r="G2509" s="20" t="s">
        <v>20132</v>
      </c>
      <c r="H2509" s="24"/>
      <c r="I2509" s="24" t="str">
        <f ca="1">IFERROR(__xludf.DUMMYFUNCTION("GOOGLETRANSLATE(F2509,""en"",""pt"")"),"portões freio de aço carbono")</f>
        <v>portões freio de aço carbono</v>
      </c>
      <c r="J2509">
        <f>VLOOKUP(A2509,Pr_Base_LNEC!$A$4:$J$6971,6,FALSE)</f>
        <v>0</v>
      </c>
      <c r="K2509">
        <f>VLOOKUP(A2509,Pr_Base_LNEC!$A$4:$J$6971,7,FALSE)</f>
        <v>0</v>
      </c>
    </row>
    <row r="2510" spans="1:11" ht="14.5">
      <c r="A2510" s="20" t="s">
        <v>20133</v>
      </c>
      <c r="B2510" s="20">
        <v>30</v>
      </c>
      <c r="C2510" s="20">
        <v>59</v>
      </c>
      <c r="D2510" s="20">
        <v>34</v>
      </c>
      <c r="E2510" s="20">
        <v>12</v>
      </c>
      <c r="F2510" s="20" t="s">
        <v>20134</v>
      </c>
      <c r="G2510" s="20" t="s">
        <v>20135</v>
      </c>
      <c r="H2510" s="24"/>
      <c r="I2510" s="24" t="str">
        <f ca="1">IFERROR(__xludf.DUMMYFUNCTION("GOOGLETRANSLATE(F2510,""en"",""pt"")"),"portões cão de aço carbono")</f>
        <v>portões cão de aço carbono</v>
      </c>
      <c r="J2510">
        <f>VLOOKUP(A2510,Pr_Base_LNEC!$A$4:$J$6971,6,FALSE)</f>
        <v>0</v>
      </c>
      <c r="K2510">
        <f>VLOOKUP(A2510,Pr_Base_LNEC!$A$4:$J$6971,7,FALSE)</f>
        <v>0</v>
      </c>
    </row>
    <row r="2511" spans="1:11" ht="14.5">
      <c r="A2511" s="20" t="s">
        <v>20136</v>
      </c>
      <c r="B2511" s="20">
        <v>30</v>
      </c>
      <c r="C2511" s="20">
        <v>59</v>
      </c>
      <c r="D2511" s="20">
        <v>34</v>
      </c>
      <c r="E2511" s="20">
        <v>13</v>
      </c>
      <c r="F2511" s="20" t="s">
        <v>20137</v>
      </c>
      <c r="G2511" s="20" t="s">
        <v>20138</v>
      </c>
      <c r="H2511" s="24"/>
      <c r="I2511" s="24" t="str">
        <f ca="1">IFERROR(__xludf.DUMMYFUNCTION("GOOGLETRANSLATE(F2511,""en"",""pt"")"),"aço carbono catracas altura completa")</f>
        <v>aço carbono catracas altura completa</v>
      </c>
      <c r="J2511">
        <f>VLOOKUP(A2511,Pr_Base_LNEC!$A$4:$J$6971,6,FALSE)</f>
        <v>0</v>
      </c>
      <c r="K2511">
        <f>VLOOKUP(A2511,Pr_Base_LNEC!$A$4:$J$6971,7,FALSE)</f>
        <v>0</v>
      </c>
    </row>
    <row r="2512" spans="1:11" ht="14.5">
      <c r="A2512" s="20" t="s">
        <v>20139</v>
      </c>
      <c r="B2512" s="20">
        <v>30</v>
      </c>
      <c r="C2512" s="20">
        <v>59</v>
      </c>
      <c r="D2512" s="20">
        <v>34</v>
      </c>
      <c r="E2512" s="20">
        <v>14</v>
      </c>
      <c r="F2512" s="20" t="s">
        <v>20140</v>
      </c>
      <c r="G2512" s="20" t="s">
        <v>20141</v>
      </c>
      <c r="H2512" s="24"/>
      <c r="I2512" s="24" t="str">
        <f ca="1">IFERROR(__xludf.DUMMYFUNCTION("GOOGLETRANSLATE(F2512,""en"",""pt"")"),"portões de aço de carbono")</f>
        <v>portões de aço de carbono</v>
      </c>
      <c r="J2512">
        <f>VLOOKUP(A2512,Pr_Base_LNEC!$A$4:$J$6971,6,FALSE)</f>
        <v>0</v>
      </c>
      <c r="K2512">
        <f>VLOOKUP(A2512,Pr_Base_LNEC!$A$4:$J$6971,7,FALSE)</f>
        <v>0</v>
      </c>
    </row>
    <row r="2513" spans="1:11" ht="14.5">
      <c r="A2513" s="20" t="s">
        <v>20142</v>
      </c>
      <c r="B2513" s="20">
        <v>30</v>
      </c>
      <c r="C2513" s="20">
        <v>59</v>
      </c>
      <c r="D2513" s="20">
        <v>34</v>
      </c>
      <c r="E2513" s="20">
        <v>15</v>
      </c>
      <c r="F2513" s="20" t="s">
        <v>20143</v>
      </c>
      <c r="G2513" s="20" t="s">
        <v>20144</v>
      </c>
      <c r="H2513" s="24"/>
      <c r="I2513" s="24" t="str">
        <f ca="1">IFERROR(__xludf.DUMMYFUNCTION("GOOGLETRANSLATE(F2513,""en"",""pt"")"),"aço carbono catracas meia altura")</f>
        <v>aço carbono catracas meia altura</v>
      </c>
      <c r="J2513">
        <f>VLOOKUP(A2513,Pr_Base_LNEC!$A$4:$J$6971,6,FALSE)</f>
        <v>0</v>
      </c>
      <c r="K2513">
        <f>VLOOKUP(A2513,Pr_Base_LNEC!$A$4:$J$6971,7,FALSE)</f>
        <v>0</v>
      </c>
    </row>
    <row r="2514" spans="1:11" ht="14.5">
      <c r="A2514" s="20" t="s">
        <v>20145</v>
      </c>
      <c r="B2514" s="20">
        <v>30</v>
      </c>
      <c r="C2514" s="20">
        <v>59</v>
      </c>
      <c r="D2514" s="20">
        <v>34</v>
      </c>
      <c r="E2514" s="20">
        <v>16</v>
      </c>
      <c r="F2514" s="20" t="s">
        <v>20146</v>
      </c>
      <c r="G2514" s="20" t="s">
        <v>20147</v>
      </c>
      <c r="H2514" s="24"/>
      <c r="I2514" s="24" t="str">
        <f ca="1">IFERROR(__xludf.DUMMYFUNCTION("GOOGLETRANSLATE(F2514,""en"",""pt"")"),"Carbono portões de aço beijando")</f>
        <v>Carbono portões de aço beijando</v>
      </c>
      <c r="J2514">
        <f>VLOOKUP(A2514,Pr_Base_LNEC!$A$4:$J$6971,6,FALSE)</f>
        <v>0</v>
      </c>
      <c r="K2514">
        <f>VLOOKUP(A2514,Pr_Base_LNEC!$A$4:$J$6971,7,FALSE)</f>
        <v>0</v>
      </c>
    </row>
    <row r="2515" spans="1:11" ht="14.5">
      <c r="A2515" s="20" t="s">
        <v>20148</v>
      </c>
      <c r="B2515" s="20">
        <v>30</v>
      </c>
      <c r="C2515" s="20">
        <v>59</v>
      </c>
      <c r="D2515" s="20">
        <v>34</v>
      </c>
      <c r="E2515" s="20">
        <v>17</v>
      </c>
      <c r="F2515" s="20" t="s">
        <v>20149</v>
      </c>
      <c r="G2515" s="20" t="s">
        <v>20150</v>
      </c>
      <c r="H2515" s="24"/>
      <c r="I2515" s="24" t="str">
        <f ca="1">IFERROR(__xludf.DUMMYFUNCTION("GOOGLETRANSLATE(F2515,""en"",""pt"")"),"inibidores da mota de aço carbono")</f>
        <v>inibidores da mota de aço carbono</v>
      </c>
      <c r="J2515">
        <f>VLOOKUP(A2515,Pr_Base_LNEC!$A$4:$J$6971,6,FALSE)</f>
        <v>0</v>
      </c>
      <c r="K2515">
        <f>VLOOKUP(A2515,Pr_Base_LNEC!$A$4:$J$6971,7,FALSE)</f>
        <v>0</v>
      </c>
    </row>
    <row r="2516" spans="1:11" ht="14.5">
      <c r="A2516" s="20" t="s">
        <v>20151</v>
      </c>
      <c r="B2516" s="20">
        <v>30</v>
      </c>
      <c r="C2516" s="20">
        <v>59</v>
      </c>
      <c r="D2516" s="20">
        <v>34</v>
      </c>
      <c r="E2516" s="20">
        <v>18</v>
      </c>
      <c r="F2516" s="20" t="s">
        <v>20152</v>
      </c>
      <c r="G2516" s="20" t="s">
        <v>20153</v>
      </c>
      <c r="H2516" s="24"/>
      <c r="I2516" s="24" t="str">
        <f ca="1">IFERROR(__xludf.DUMMYFUNCTION("GOOGLETRANSLATE(F2516,""en"",""pt"")"),"portas de segurança em aço de carbono")</f>
        <v>portas de segurança em aço de carbono</v>
      </c>
      <c r="J2516">
        <f>VLOOKUP(A2516,Pr_Base_LNEC!$A$4:$J$6971,6,FALSE)</f>
        <v>0</v>
      </c>
      <c r="K2516">
        <f>VLOOKUP(A2516,Pr_Base_LNEC!$A$4:$J$6971,7,FALSE)</f>
        <v>0</v>
      </c>
    </row>
    <row r="2517" spans="1:11" ht="14.5">
      <c r="A2517" s="20" t="s">
        <v>20154</v>
      </c>
      <c r="B2517" s="20">
        <v>30</v>
      </c>
      <c r="C2517" s="20">
        <v>59</v>
      </c>
      <c r="D2517" s="20">
        <v>34</v>
      </c>
      <c r="E2517" s="20">
        <v>20</v>
      </c>
      <c r="F2517" s="20" t="s">
        <v>20155</v>
      </c>
      <c r="G2517" s="20" t="s">
        <v>20156</v>
      </c>
      <c r="H2517" s="24"/>
      <c r="I2517" s="24" t="str">
        <f ca="1">IFERROR(__xludf.DUMMYFUNCTION("GOOGLETRANSLATE(F2517,""en"",""pt"")"),"portões composite")</f>
        <v>portões composite</v>
      </c>
      <c r="J2517">
        <f>VLOOKUP(A2517,Pr_Base_LNEC!$A$4:$J$6971,6,FALSE)</f>
        <v>0</v>
      </c>
      <c r="K2517">
        <f>VLOOKUP(A2517,Pr_Base_LNEC!$A$4:$J$6971,7,FALSE)</f>
        <v>0</v>
      </c>
    </row>
    <row r="2518" spans="1:11" ht="14.5">
      <c r="A2518" s="20" t="s">
        <v>20157</v>
      </c>
      <c r="B2518" s="20">
        <v>30</v>
      </c>
      <c r="C2518" s="20">
        <v>59</v>
      </c>
      <c r="D2518" s="20">
        <v>34</v>
      </c>
      <c r="E2518" s="20">
        <v>30</v>
      </c>
      <c r="F2518" s="20" t="s">
        <v>20158</v>
      </c>
      <c r="G2518" s="24"/>
      <c r="H2518" s="24"/>
      <c r="I2518" s="24" t="str">
        <f ca="1">IFERROR(__xludf.DUMMYFUNCTION("GOOGLETRANSLATE(F2518,""en"",""pt"")"),"comportas")</f>
        <v>comportas</v>
      </c>
      <c r="J2518">
        <f>VLOOKUP(A2518,Pr_Base_LNEC!$A$4:$J$6971,6,FALSE)</f>
        <v>0</v>
      </c>
      <c r="K2518">
        <f>VLOOKUP(A2518,Pr_Base_LNEC!$A$4:$J$6971,7,FALSE)</f>
        <v>0</v>
      </c>
    </row>
    <row r="2519" spans="1:11" ht="14.5">
      <c r="A2519" s="20" t="s">
        <v>20159</v>
      </c>
      <c r="B2519" s="20">
        <v>30</v>
      </c>
      <c r="C2519" s="20">
        <v>59</v>
      </c>
      <c r="D2519" s="20">
        <v>34</v>
      </c>
      <c r="E2519" s="20">
        <v>35</v>
      </c>
      <c r="F2519" s="20" t="s">
        <v>20160</v>
      </c>
      <c r="G2519" s="20" t="s">
        <v>20161</v>
      </c>
      <c r="H2519" s="24"/>
      <c r="I2519" s="24" t="str">
        <f ca="1">IFERROR(__xludf.DUMMYFUNCTION("GOOGLETRANSLATE(F2519,""en"",""pt"")"),"portas envidraçadas")</f>
        <v>portas envidraçadas</v>
      </c>
      <c r="J2519">
        <f>VLOOKUP(A2519,Pr_Base_LNEC!$A$4:$J$6971,6,FALSE)</f>
        <v>0</v>
      </c>
      <c r="K2519">
        <f>VLOOKUP(A2519,Pr_Base_LNEC!$A$4:$J$6971,7,FALSE)</f>
        <v>0</v>
      </c>
    </row>
    <row r="2520" spans="1:11" ht="14.5">
      <c r="A2520" s="20" t="s">
        <v>20162</v>
      </c>
      <c r="B2520" s="20">
        <v>30</v>
      </c>
      <c r="C2520" s="20">
        <v>59</v>
      </c>
      <c r="D2520" s="20">
        <v>34</v>
      </c>
      <c r="E2520" s="20">
        <v>36</v>
      </c>
      <c r="F2520" s="20" t="s">
        <v>20163</v>
      </c>
      <c r="G2520" s="20" t="s">
        <v>20164</v>
      </c>
      <c r="H2520" s="24"/>
      <c r="I2520" s="24" t="str">
        <f ca="1">IFERROR(__xludf.DUMMYFUNCTION("GOOGLETRANSLATE(F2520,""en"",""pt"")"),"portões freio de madeira")</f>
        <v>portões freio de madeira</v>
      </c>
      <c r="J2520">
        <f>VLOOKUP(A2520,Pr_Base_LNEC!$A$4:$J$6971,6,FALSE)</f>
        <v>0</v>
      </c>
      <c r="K2520">
        <f>VLOOKUP(A2520,Pr_Base_LNEC!$A$4:$J$6971,7,FALSE)</f>
        <v>0</v>
      </c>
    </row>
    <row r="2521" spans="1:11" ht="14.5">
      <c r="A2521" s="20" t="s">
        <v>20165</v>
      </c>
      <c r="B2521" s="20">
        <v>30</v>
      </c>
      <c r="C2521" s="20">
        <v>59</v>
      </c>
      <c r="D2521" s="20">
        <v>34</v>
      </c>
      <c r="E2521" s="20">
        <v>37</v>
      </c>
      <c r="F2521" s="20" t="s">
        <v>20166</v>
      </c>
      <c r="G2521" s="20" t="s">
        <v>20167</v>
      </c>
      <c r="H2521" s="24"/>
      <c r="I2521" s="24" t="str">
        <f ca="1">IFERROR(__xludf.DUMMYFUNCTION("GOOGLETRANSLATE(F2521,""en"",""pt"")"),"portões cão de madeira")</f>
        <v>portões cão de madeira</v>
      </c>
      <c r="J2521">
        <f>VLOOKUP(A2521,Pr_Base_LNEC!$A$4:$J$6971,6,FALSE)</f>
        <v>0</v>
      </c>
      <c r="K2521">
        <f>VLOOKUP(A2521,Pr_Base_LNEC!$A$4:$J$6971,7,FALSE)</f>
        <v>0</v>
      </c>
    </row>
    <row r="2522" spans="1:11" ht="14.5">
      <c r="A2522" s="20" t="s">
        <v>20168</v>
      </c>
      <c r="B2522" s="20">
        <v>30</v>
      </c>
      <c r="C2522" s="20">
        <v>59</v>
      </c>
      <c r="D2522" s="20">
        <v>34</v>
      </c>
      <c r="E2522" s="20">
        <v>38</v>
      </c>
      <c r="F2522" s="20" t="s">
        <v>20169</v>
      </c>
      <c r="G2522" s="20" t="s">
        <v>20170</v>
      </c>
      <c r="H2522" s="24"/>
      <c r="I2522" s="24" t="str">
        <f ca="1">IFERROR(__xludf.DUMMYFUNCTION("GOOGLETRANSLATE(F2522,""en"",""pt"")"),"portas de madeira")</f>
        <v>portas de madeira</v>
      </c>
      <c r="J2522">
        <f>VLOOKUP(A2522,Pr_Base_LNEC!$A$4:$J$6971,6,FALSE)</f>
        <v>0</v>
      </c>
      <c r="K2522">
        <f>VLOOKUP(A2522,Pr_Base_LNEC!$A$4:$J$6971,7,FALSE)</f>
        <v>0</v>
      </c>
    </row>
    <row r="2523" spans="1:11" ht="14.5">
      <c r="A2523" s="20" t="s">
        <v>20171</v>
      </c>
      <c r="B2523" s="20">
        <v>30</v>
      </c>
      <c r="C2523" s="20">
        <v>59</v>
      </c>
      <c r="D2523" s="20">
        <v>34</v>
      </c>
      <c r="E2523" s="20">
        <v>39</v>
      </c>
      <c r="F2523" s="20" t="s">
        <v>20172</v>
      </c>
      <c r="G2523" s="20" t="s">
        <v>20173</v>
      </c>
      <c r="H2523" s="24"/>
      <c r="I2523" s="24" t="str">
        <f ca="1">IFERROR(__xludf.DUMMYFUNCTION("GOOGLETRANSLATE(F2523,""en"",""pt"")"),"portões de beijo de madeira")</f>
        <v>portões de beijo de madeira</v>
      </c>
      <c r="J2523">
        <f>VLOOKUP(A2523,Pr_Base_LNEC!$A$4:$J$6971,6,FALSE)</f>
        <v>0</v>
      </c>
      <c r="K2523">
        <f>VLOOKUP(A2523,Pr_Base_LNEC!$A$4:$J$6971,7,FALSE)</f>
        <v>0</v>
      </c>
    </row>
    <row r="2524" spans="1:11" ht="14.5">
      <c r="A2524" s="20" t="s">
        <v>20174</v>
      </c>
      <c r="B2524" s="20">
        <v>30</v>
      </c>
      <c r="C2524" s="20">
        <v>59</v>
      </c>
      <c r="D2524" s="20">
        <v>34</v>
      </c>
      <c r="E2524" s="20">
        <v>40</v>
      </c>
      <c r="F2524" s="20" t="s">
        <v>20175</v>
      </c>
      <c r="G2524" s="20" t="s">
        <v>20176</v>
      </c>
      <c r="H2524" s="24"/>
      <c r="I2524" s="24" t="str">
        <f ca="1">IFERROR(__xludf.DUMMYFUNCTION("GOOGLETRANSLATE(F2524,""en"",""pt"")"),"Stiles escada de madeira")</f>
        <v>Stiles escada de madeira</v>
      </c>
      <c r="J2524">
        <f>VLOOKUP(A2524,Pr_Base_LNEC!$A$4:$J$6971,6,FALSE)</f>
        <v>0</v>
      </c>
      <c r="K2524">
        <f>VLOOKUP(A2524,Pr_Base_LNEC!$A$4:$J$6971,7,FALSE)</f>
        <v>0</v>
      </c>
    </row>
    <row r="2525" spans="1:11" ht="14.5">
      <c r="A2525" s="20" t="s">
        <v>20177</v>
      </c>
      <c r="B2525" s="20">
        <v>30</v>
      </c>
      <c r="C2525" s="20">
        <v>59</v>
      </c>
      <c r="D2525" s="20">
        <v>34</v>
      </c>
      <c r="E2525" s="20">
        <v>41</v>
      </c>
      <c r="F2525" s="20" t="s">
        <v>20178</v>
      </c>
      <c r="G2525" s="20" t="s">
        <v>20179</v>
      </c>
      <c r="H2525" s="24"/>
      <c r="I2525" s="24" t="str">
        <f ca="1">IFERROR(__xludf.DUMMYFUNCTION("GOOGLETRANSLATE(F2525,""en"",""pt"")"),"Hardwood pós e ferroviário Stiles")</f>
        <v>Hardwood pós e ferroviário Stiles</v>
      </c>
      <c r="J2525">
        <f>VLOOKUP(A2525,Pr_Base_LNEC!$A$4:$J$6971,6,FALSE)</f>
        <v>0</v>
      </c>
      <c r="K2525">
        <f>VLOOKUP(A2525,Pr_Base_LNEC!$A$4:$J$6971,7,FALSE)</f>
        <v>0</v>
      </c>
    </row>
    <row r="2526" spans="1:11" ht="14.5">
      <c r="A2526" s="20" t="s">
        <v>20180</v>
      </c>
      <c r="B2526" s="20">
        <v>30</v>
      </c>
      <c r="C2526" s="20">
        <v>59</v>
      </c>
      <c r="D2526" s="20">
        <v>34</v>
      </c>
      <c r="E2526" s="20">
        <v>65</v>
      </c>
      <c r="F2526" s="20" t="s">
        <v>20181</v>
      </c>
      <c r="G2526" s="20" t="s">
        <v>20182</v>
      </c>
      <c r="H2526" s="24"/>
      <c r="I2526" s="24" t="str">
        <f ca="1">IFERROR(__xludf.DUMMYFUNCTION("GOOGLETRANSLATE(F2526,""en"",""pt"")"),"portões plásticos")</f>
        <v>portões plásticos</v>
      </c>
      <c r="J2526">
        <f>VLOOKUP(A2526,Pr_Base_LNEC!$A$4:$J$6971,6,FALSE)</f>
        <v>0</v>
      </c>
      <c r="K2526">
        <f>VLOOKUP(A2526,Pr_Base_LNEC!$A$4:$J$6971,7,FALSE)</f>
        <v>0</v>
      </c>
    </row>
    <row r="2527" spans="1:11" ht="14.5">
      <c r="A2527" s="20" t="s">
        <v>20183</v>
      </c>
      <c r="B2527" s="20">
        <v>30</v>
      </c>
      <c r="C2527" s="20">
        <v>59</v>
      </c>
      <c r="D2527" s="20">
        <v>34</v>
      </c>
      <c r="E2527" s="20">
        <v>78</v>
      </c>
      <c r="F2527" s="20" t="s">
        <v>20184</v>
      </c>
      <c r="G2527" s="20" t="s">
        <v>20185</v>
      </c>
      <c r="H2527" s="24"/>
      <c r="I2527" s="24" t="str">
        <f ca="1">IFERROR(__xludf.DUMMYFUNCTION("GOOGLETRANSLATE(F2527,""en"",""pt"")"),"aço inoxidável catracas altura total")</f>
        <v>aço inoxidável catracas altura total</v>
      </c>
      <c r="J2527">
        <f>VLOOKUP(A2527,Pr_Base_LNEC!$A$4:$J$6971,6,FALSE)</f>
        <v>0</v>
      </c>
      <c r="K2527">
        <f>VLOOKUP(A2527,Pr_Base_LNEC!$A$4:$J$6971,7,FALSE)</f>
        <v>0</v>
      </c>
    </row>
    <row r="2528" spans="1:11" ht="14.5">
      <c r="A2528" s="20" t="s">
        <v>20186</v>
      </c>
      <c r="B2528" s="20">
        <v>30</v>
      </c>
      <c r="C2528" s="20">
        <v>59</v>
      </c>
      <c r="D2528" s="20">
        <v>34</v>
      </c>
      <c r="E2528" s="20">
        <v>80</v>
      </c>
      <c r="F2528" s="20" t="s">
        <v>20187</v>
      </c>
      <c r="G2528" s="20" t="s">
        <v>20188</v>
      </c>
      <c r="H2528" s="24"/>
      <c r="I2528" s="24" t="str">
        <f ca="1">IFERROR(__xludf.DUMMYFUNCTION("GOOGLETRANSLATE(F2528,""en"",""pt"")"),"portas de aço inoxidável")</f>
        <v>portas de aço inoxidável</v>
      </c>
      <c r="J2528">
        <f>VLOOKUP(A2528,Pr_Base_LNEC!$A$4:$J$6971,6,FALSE)</f>
        <v>0</v>
      </c>
      <c r="K2528">
        <f>VLOOKUP(A2528,Pr_Base_LNEC!$A$4:$J$6971,7,FALSE)</f>
        <v>0</v>
      </c>
    </row>
    <row r="2529" spans="1:11" ht="14.5">
      <c r="A2529" s="20" t="s">
        <v>20189</v>
      </c>
      <c r="B2529" s="20">
        <v>30</v>
      </c>
      <c r="C2529" s="20">
        <v>59</v>
      </c>
      <c r="D2529" s="20">
        <v>34</v>
      </c>
      <c r="E2529" s="20">
        <v>88</v>
      </c>
      <c r="F2529" s="20" t="s">
        <v>20190</v>
      </c>
      <c r="G2529" s="20" t="s">
        <v>20191</v>
      </c>
      <c r="H2529" s="24"/>
      <c r="I2529" s="24" t="str">
        <f ca="1">IFERROR(__xludf.DUMMYFUNCTION("GOOGLETRANSLATE(F2529,""en"",""pt"")"),"aço inoxidável catracas meia altura")</f>
        <v>aço inoxidável catracas meia altura</v>
      </c>
      <c r="J2529">
        <f>VLOOKUP(A2529,Pr_Base_LNEC!$A$4:$J$6971,6,FALSE)</f>
        <v>0</v>
      </c>
      <c r="K2529">
        <f>VLOOKUP(A2529,Pr_Base_LNEC!$A$4:$J$6971,7,FALSE)</f>
        <v>0</v>
      </c>
    </row>
    <row r="2530" spans="1:11" ht="14.5">
      <c r="A2530" s="20" t="s">
        <v>20192</v>
      </c>
      <c r="B2530" s="20">
        <v>30</v>
      </c>
      <c r="C2530" s="20">
        <v>59</v>
      </c>
      <c r="D2530" s="20">
        <v>34</v>
      </c>
      <c r="E2530" s="20">
        <v>90</v>
      </c>
      <c r="F2530" s="20" t="s">
        <v>20193</v>
      </c>
      <c r="G2530" s="20" t="s">
        <v>20194</v>
      </c>
      <c r="H2530" s="24"/>
      <c r="I2530" s="24" t="str">
        <f ca="1">IFERROR(__xludf.DUMMYFUNCTION("GOOGLETRANSLATE(F2530,""en"",""pt"")"),"portas de segurança em aço inoxidável")</f>
        <v>portas de segurança em aço inoxidável</v>
      </c>
      <c r="J2530">
        <f>VLOOKUP(A2530,Pr_Base_LNEC!$A$4:$J$6971,6,FALSE)</f>
        <v>0</v>
      </c>
      <c r="K2530">
        <f>VLOOKUP(A2530,Pr_Base_LNEC!$A$4:$J$6971,7,FALSE)</f>
        <v>0</v>
      </c>
    </row>
    <row r="2531" spans="1:11" ht="14.5">
      <c r="A2531" s="20" t="s">
        <v>20195</v>
      </c>
      <c r="B2531" s="20">
        <v>30</v>
      </c>
      <c r="C2531" s="20">
        <v>59</v>
      </c>
      <c r="D2531" s="20">
        <v>34</v>
      </c>
      <c r="E2531" s="20">
        <v>98</v>
      </c>
      <c r="F2531" s="20" t="s">
        <v>20196</v>
      </c>
      <c r="G2531" s="20" t="s">
        <v>20197</v>
      </c>
      <c r="H2531" s="24"/>
      <c r="I2531" s="24" t="str">
        <f ca="1">IFERROR(__xludf.DUMMYFUNCTION("GOOGLETRANSLATE(F2531,""en"",""pt"")"),"portões de ferro forjado")</f>
        <v>portões de ferro forjado</v>
      </c>
      <c r="J2531">
        <f>VLOOKUP(A2531,Pr_Base_LNEC!$A$4:$J$6971,6,FALSE)</f>
        <v>0</v>
      </c>
      <c r="K2531">
        <f>VLOOKUP(A2531,Pr_Base_LNEC!$A$4:$J$6971,7,FALSE)</f>
        <v>0</v>
      </c>
    </row>
    <row r="2532" spans="1:11" ht="14.5">
      <c r="A2532" s="20" t="s">
        <v>20198</v>
      </c>
      <c r="B2532" s="20">
        <v>30</v>
      </c>
      <c r="C2532" s="20">
        <v>59</v>
      </c>
      <c r="D2532" s="20">
        <v>36</v>
      </c>
      <c r="E2532" s="24"/>
      <c r="F2532" s="20" t="s">
        <v>20199</v>
      </c>
      <c r="G2532" s="24"/>
      <c r="H2532" s="24"/>
      <c r="I2532" s="24" t="str">
        <f ca="1">IFERROR(__xludf.DUMMYFUNCTION("GOOGLETRANSLATE(F2532,""en"",""pt"")"),"Escotilhas e painéis de acesso")</f>
        <v>Escotilhas e painéis de acesso</v>
      </c>
      <c r="J2532">
        <f>VLOOKUP(A2532,Pr_Base_LNEC!$A$4:$J$6971,6,FALSE)</f>
        <v>0</v>
      </c>
      <c r="K2532">
        <f>VLOOKUP(A2532,Pr_Base_LNEC!$A$4:$J$6971,7,FALSE)</f>
        <v>0</v>
      </c>
    </row>
    <row r="2533" spans="1:11" ht="14.5">
      <c r="A2533" s="20" t="s">
        <v>20200</v>
      </c>
      <c r="B2533" s="20">
        <v>30</v>
      </c>
      <c r="C2533" s="20">
        <v>59</v>
      </c>
      <c r="D2533" s="20">
        <v>36</v>
      </c>
      <c r="E2533" s="20">
        <v>1</v>
      </c>
      <c r="F2533" s="20" t="s">
        <v>20201</v>
      </c>
      <c r="G2533" s="20" t="s">
        <v>20202</v>
      </c>
      <c r="H2533" s="24"/>
      <c r="I2533" s="24" t="str">
        <f ca="1">IFERROR(__xludf.DUMMYFUNCTION("GOOGLETRANSLATE(F2533,""en"",""pt"")"),"painéis de acesso")</f>
        <v>painéis de acesso</v>
      </c>
      <c r="J2533">
        <f>VLOOKUP(A2533,Pr_Base_LNEC!$A$4:$J$6971,6,FALSE)</f>
        <v>0</v>
      </c>
      <c r="K2533">
        <f>VLOOKUP(A2533,Pr_Base_LNEC!$A$4:$J$6971,7,FALSE)</f>
        <v>0</v>
      </c>
    </row>
    <row r="2534" spans="1:11" ht="14.5">
      <c r="A2534" s="20" t="s">
        <v>20203</v>
      </c>
      <c r="B2534" s="20">
        <v>30</v>
      </c>
      <c r="C2534" s="20">
        <v>59</v>
      </c>
      <c r="D2534" s="20">
        <v>36</v>
      </c>
      <c r="E2534" s="20">
        <v>2</v>
      </c>
      <c r="F2534" s="20" t="s">
        <v>20204</v>
      </c>
      <c r="G2534" s="20" t="s">
        <v>20205</v>
      </c>
      <c r="H2534" s="24"/>
      <c r="I2534" s="24" t="str">
        <f ca="1">IFERROR(__xludf.DUMMYFUNCTION("GOOGLETRANSLATE(F2534,""en"",""pt"")"),"escotilhas de acesso de alumínio")</f>
        <v>escotilhas de acesso de alumínio</v>
      </c>
      <c r="J2534">
        <f>VLOOKUP(A2534,Pr_Base_LNEC!$A$4:$J$6971,6,FALSE)</f>
        <v>0</v>
      </c>
      <c r="K2534">
        <f>VLOOKUP(A2534,Pr_Base_LNEC!$A$4:$J$6971,7,FALSE)</f>
        <v>0</v>
      </c>
    </row>
    <row r="2535" spans="1:11" ht="14.5">
      <c r="A2535" s="20" t="s">
        <v>20206</v>
      </c>
      <c r="B2535" s="20">
        <v>30</v>
      </c>
      <c r="C2535" s="20">
        <v>59</v>
      </c>
      <c r="D2535" s="20">
        <v>36</v>
      </c>
      <c r="E2535" s="20">
        <v>11</v>
      </c>
      <c r="F2535" s="20" t="s">
        <v>20207</v>
      </c>
      <c r="G2535" s="20" t="s">
        <v>20208</v>
      </c>
      <c r="H2535" s="24"/>
      <c r="I2535" s="24" t="str">
        <f ca="1">IFERROR(__xludf.DUMMYFUNCTION("GOOGLETRANSLATE(F2535,""en"",""pt"")"),"escotilhas de acesso de aço carbono")</f>
        <v>escotilhas de acesso de aço carbono</v>
      </c>
      <c r="J2535">
        <f>VLOOKUP(A2535,Pr_Base_LNEC!$A$4:$J$6971,6,FALSE)</f>
        <v>0</v>
      </c>
      <c r="K2535">
        <f>VLOOKUP(A2535,Pr_Base_LNEC!$A$4:$J$6971,7,FALSE)</f>
        <v>0</v>
      </c>
    </row>
    <row r="2536" spans="1:11" ht="14.5">
      <c r="A2536" s="20" t="s">
        <v>20209</v>
      </c>
      <c r="B2536" s="20">
        <v>30</v>
      </c>
      <c r="C2536" s="20">
        <v>59</v>
      </c>
      <c r="D2536" s="20">
        <v>36</v>
      </c>
      <c r="E2536" s="20">
        <v>30</v>
      </c>
      <c r="F2536" s="20" t="s">
        <v>20210</v>
      </c>
      <c r="G2536" s="20" t="s">
        <v>20211</v>
      </c>
      <c r="H2536" s="24"/>
      <c r="I2536" s="24" t="str">
        <f ca="1">IFERROR(__xludf.DUMMYFUNCTION("GOOGLETRANSLATE(F2536,""en"",""pt"")"),"escotilhas de piso")</f>
        <v>escotilhas de piso</v>
      </c>
      <c r="J2536">
        <f>VLOOKUP(A2536,Pr_Base_LNEC!$A$4:$J$6971,6,FALSE)</f>
        <v>0</v>
      </c>
      <c r="K2536">
        <f>VLOOKUP(A2536,Pr_Base_LNEC!$A$4:$J$6971,7,FALSE)</f>
        <v>0</v>
      </c>
    </row>
    <row r="2537" spans="1:11" ht="14.5">
      <c r="A2537" s="20" t="s">
        <v>20212</v>
      </c>
      <c r="B2537" s="20">
        <v>30</v>
      </c>
      <c r="C2537" s="20">
        <v>59</v>
      </c>
      <c r="D2537" s="20">
        <v>36</v>
      </c>
      <c r="E2537" s="20">
        <v>50</v>
      </c>
      <c r="F2537" s="20" t="s">
        <v>20213</v>
      </c>
      <c r="G2537" s="24"/>
      <c r="H2537" s="24"/>
      <c r="I2537" s="24" t="str">
        <f ca="1">IFERROR(__xludf.DUMMYFUNCTION("GOOGLETRANSLATE(F2537,""en"",""pt"")"),"alçapões manuais")</f>
        <v>alçapões manuais</v>
      </c>
      <c r="J2537">
        <f>VLOOKUP(A2537,Pr_Base_LNEC!$A$4:$J$6971,6,FALSE)</f>
        <v>0</v>
      </c>
      <c r="K2537">
        <f>VLOOKUP(A2537,Pr_Base_LNEC!$A$4:$J$6971,7,FALSE)</f>
        <v>0</v>
      </c>
    </row>
    <row r="2538" spans="1:11" ht="14.5">
      <c r="A2538" s="20" t="s">
        <v>20214</v>
      </c>
      <c r="B2538" s="20">
        <v>30</v>
      </c>
      <c r="C2538" s="20">
        <v>59</v>
      </c>
      <c r="D2538" s="20">
        <v>36</v>
      </c>
      <c r="E2538" s="20">
        <v>74</v>
      </c>
      <c r="F2538" s="20" t="s">
        <v>20215</v>
      </c>
      <c r="G2538" s="20" t="s">
        <v>20216</v>
      </c>
      <c r="H2538" s="24"/>
      <c r="I2538" s="24" t="str">
        <f ca="1">IFERROR(__xludf.DUMMYFUNCTION("GOOGLETRANSLATE(F2538,""en"",""pt"")"),"escotilhas telhado")</f>
        <v>escotilhas telhado</v>
      </c>
      <c r="J2538">
        <f>VLOOKUP(A2538,Pr_Base_LNEC!$A$4:$J$6971,6,FALSE)</f>
        <v>0</v>
      </c>
      <c r="K2538">
        <f>VLOOKUP(A2538,Pr_Base_LNEC!$A$4:$J$6971,7,FALSE)</f>
        <v>0</v>
      </c>
    </row>
    <row r="2539" spans="1:11" ht="14.5">
      <c r="A2539" s="20" t="s">
        <v>20217</v>
      </c>
      <c r="B2539" s="20">
        <v>30</v>
      </c>
      <c r="C2539" s="20">
        <v>59</v>
      </c>
      <c r="D2539" s="20">
        <v>36</v>
      </c>
      <c r="E2539" s="20">
        <v>76</v>
      </c>
      <c r="F2539" s="20" t="s">
        <v>20218</v>
      </c>
      <c r="G2539" s="20" t="s">
        <v>20219</v>
      </c>
      <c r="H2539" s="24"/>
      <c r="I2539" s="24" t="str">
        <f ca="1">IFERROR(__xludf.DUMMYFUNCTION("GOOGLETRANSLATE(F2539,""en"",""pt"")"),"escotilhas de segurança de fecho automático")</f>
        <v>escotilhas de segurança de fecho automático</v>
      </c>
      <c r="J2539">
        <f>VLOOKUP(A2539,Pr_Base_LNEC!$A$4:$J$6971,6,FALSE)</f>
        <v>0</v>
      </c>
      <c r="K2539">
        <f>VLOOKUP(A2539,Pr_Base_LNEC!$A$4:$J$6971,7,FALSE)</f>
        <v>0</v>
      </c>
    </row>
    <row r="2540" spans="1:11" ht="14.5">
      <c r="A2540" s="20" t="s">
        <v>20220</v>
      </c>
      <c r="B2540" s="20">
        <v>30</v>
      </c>
      <c r="C2540" s="20">
        <v>59</v>
      </c>
      <c r="D2540" s="20">
        <v>36</v>
      </c>
      <c r="E2540" s="20">
        <v>78</v>
      </c>
      <c r="F2540" s="20" t="s">
        <v>20221</v>
      </c>
      <c r="G2540" s="20" t="s">
        <v>20222</v>
      </c>
      <c r="H2540" s="24"/>
      <c r="I2540" s="24" t="str">
        <f ca="1">IFERROR(__xludf.DUMMYFUNCTION("GOOGLETRANSLATE(F2540,""en"",""pt"")"),"alçapões de fecho automático")</f>
        <v>alçapões de fecho automático</v>
      </c>
      <c r="J2540">
        <f>VLOOKUP(A2540,Pr_Base_LNEC!$A$4:$J$6971,6,FALSE)</f>
        <v>0</v>
      </c>
      <c r="K2540">
        <f>VLOOKUP(A2540,Pr_Base_LNEC!$A$4:$J$6971,7,FALSE)</f>
        <v>0</v>
      </c>
    </row>
    <row r="2541" spans="1:11" ht="14.5">
      <c r="A2541" s="20" t="s">
        <v>20223</v>
      </c>
      <c r="B2541" s="20">
        <v>30</v>
      </c>
      <c r="C2541" s="20">
        <v>59</v>
      </c>
      <c r="D2541" s="20">
        <v>36</v>
      </c>
      <c r="E2541" s="20">
        <v>80</v>
      </c>
      <c r="F2541" s="20" t="s">
        <v>20224</v>
      </c>
      <c r="G2541" s="20" t="s">
        <v>20225</v>
      </c>
      <c r="H2541" s="24"/>
      <c r="I2541" s="24" t="str">
        <f ca="1">IFERROR(__xludf.DUMMYFUNCTION("GOOGLETRANSLATE(F2541,""en"",""pt"")"),"escotilhas de acesso de aço inoxidável")</f>
        <v>escotilhas de acesso de aço inoxidável</v>
      </c>
      <c r="J2541">
        <f>VLOOKUP(A2541,Pr_Base_LNEC!$A$4:$J$6971,6,FALSE)</f>
        <v>0</v>
      </c>
      <c r="K2541">
        <f>VLOOKUP(A2541,Pr_Base_LNEC!$A$4:$J$6971,7,FALSE)</f>
        <v>0</v>
      </c>
    </row>
    <row r="2542" spans="1:11" ht="14.5">
      <c r="A2542" s="20" t="s">
        <v>20226</v>
      </c>
      <c r="B2542" s="20">
        <v>30</v>
      </c>
      <c r="C2542" s="20">
        <v>59</v>
      </c>
      <c r="D2542" s="20">
        <v>36</v>
      </c>
      <c r="E2542" s="20">
        <v>96</v>
      </c>
      <c r="F2542" s="20" t="s">
        <v>20227</v>
      </c>
      <c r="G2542" s="20" t="s">
        <v>20228</v>
      </c>
      <c r="H2542" s="24"/>
      <c r="I2542" s="24" t="str">
        <f ca="1">IFERROR(__xludf.DUMMYFUNCTION("GOOGLETRANSLATE(F2542,""en"",""pt"")"),"escotilhas de parede")</f>
        <v>escotilhas de parede</v>
      </c>
      <c r="J2542">
        <f>VLOOKUP(A2542,Pr_Base_LNEC!$A$4:$J$6971,6,FALSE)</f>
        <v>0</v>
      </c>
      <c r="K2542">
        <f>VLOOKUP(A2542,Pr_Base_LNEC!$A$4:$J$6971,7,FALSE)</f>
        <v>0</v>
      </c>
    </row>
    <row r="2543" spans="1:11" ht="14.5">
      <c r="A2543" s="20" t="s">
        <v>20229</v>
      </c>
      <c r="B2543" s="20">
        <v>30</v>
      </c>
      <c r="C2543" s="20">
        <v>59</v>
      </c>
      <c r="D2543" s="20">
        <v>46</v>
      </c>
      <c r="E2543" s="24"/>
      <c r="F2543" s="20" t="s">
        <v>20230</v>
      </c>
      <c r="G2543" s="24"/>
      <c r="H2543" s="24"/>
      <c r="I2543" s="24" t="str">
        <f ca="1">IFERROR(__xludf.DUMMYFUNCTION("GOOGLETRANSLATE(F2543,""en"",""pt"")"),"barreiras elevador")</f>
        <v>barreiras elevador</v>
      </c>
      <c r="J2543">
        <f>VLOOKUP(A2543,Pr_Base_LNEC!$A$4:$J$6971,6,FALSE)</f>
        <v>0</v>
      </c>
      <c r="K2543">
        <f>VLOOKUP(A2543,Pr_Base_LNEC!$A$4:$J$6971,7,FALSE)</f>
        <v>0</v>
      </c>
    </row>
    <row r="2544" spans="1:11" ht="14.5">
      <c r="A2544" s="20" t="s">
        <v>20231</v>
      </c>
      <c r="B2544" s="20">
        <v>30</v>
      </c>
      <c r="C2544" s="20">
        <v>59</v>
      </c>
      <c r="D2544" s="20">
        <v>46</v>
      </c>
      <c r="E2544" s="20">
        <v>46</v>
      </c>
      <c r="F2544" s="20" t="s">
        <v>20232</v>
      </c>
      <c r="G2544" s="20" t="s">
        <v>20233</v>
      </c>
      <c r="H2544" s="24"/>
      <c r="I2544" s="24" t="str">
        <f ca="1">IFERROR(__xludf.DUMMYFUNCTION("GOOGLETRANSLATE(F2544,""en"",""pt"")"),"doorsets elevador de pouso")</f>
        <v>doorsets elevador de pouso</v>
      </c>
      <c r="J2544">
        <f>VLOOKUP(A2544,Pr_Base_LNEC!$A$4:$J$6971,6,FALSE)</f>
        <v>0</v>
      </c>
      <c r="K2544">
        <f>VLOOKUP(A2544,Pr_Base_LNEC!$A$4:$J$6971,7,FALSE)</f>
        <v>0</v>
      </c>
    </row>
    <row r="2545" spans="1:11" ht="14.5">
      <c r="A2545" s="20" t="s">
        <v>20234</v>
      </c>
      <c r="B2545" s="20">
        <v>30</v>
      </c>
      <c r="C2545" s="20">
        <v>59</v>
      </c>
      <c r="D2545" s="20">
        <v>46</v>
      </c>
      <c r="E2545" s="20">
        <v>47</v>
      </c>
      <c r="F2545" s="20" t="s">
        <v>20235</v>
      </c>
      <c r="G2545" s="20" t="s">
        <v>20233</v>
      </c>
      <c r="H2545" s="24"/>
      <c r="I2545" s="24" t="str">
        <f ca="1">IFERROR(__xludf.DUMMYFUNCTION("GOOGLETRANSLATE(F2545,""en"",""pt"")"),"quadros de elevação de pouso")</f>
        <v>quadros de elevação de pouso</v>
      </c>
      <c r="J2545">
        <f>VLOOKUP(A2545,Pr_Base_LNEC!$A$4:$J$6971,6,FALSE)</f>
        <v>0</v>
      </c>
      <c r="K2545">
        <f>VLOOKUP(A2545,Pr_Base_LNEC!$A$4:$J$6971,7,FALSE)</f>
        <v>0</v>
      </c>
    </row>
    <row r="2546" spans="1:11" ht="14.5">
      <c r="A2546" s="20" t="s">
        <v>20236</v>
      </c>
      <c r="B2546" s="20">
        <v>30</v>
      </c>
      <c r="C2546" s="20">
        <v>59</v>
      </c>
      <c r="D2546" s="20">
        <v>46</v>
      </c>
      <c r="E2546" s="20">
        <v>48</v>
      </c>
      <c r="F2546" s="20" t="s">
        <v>20237</v>
      </c>
      <c r="G2546" s="20" t="s">
        <v>20233</v>
      </c>
      <c r="H2546" s="24"/>
      <c r="I2546" s="24" t="str">
        <f ca="1">IFERROR(__xludf.DUMMYFUNCTION("GOOGLETRANSLATE(F2546,""en"",""pt"")"),"soleiras elevador de pouso")</f>
        <v>soleiras elevador de pouso</v>
      </c>
      <c r="J2546">
        <f>VLOOKUP(A2546,Pr_Base_LNEC!$A$4:$J$6971,6,FALSE)</f>
        <v>0</v>
      </c>
      <c r="K2546">
        <f>VLOOKUP(A2546,Pr_Base_LNEC!$A$4:$J$6971,7,FALSE)</f>
        <v>0</v>
      </c>
    </row>
    <row r="2547" spans="1:11" ht="14.5">
      <c r="A2547" s="20" t="s">
        <v>20238</v>
      </c>
      <c r="B2547" s="20">
        <v>30</v>
      </c>
      <c r="C2547" s="20">
        <v>59</v>
      </c>
      <c r="D2547" s="20">
        <v>46</v>
      </c>
      <c r="E2547" s="20">
        <v>49</v>
      </c>
      <c r="F2547" s="20" t="s">
        <v>20239</v>
      </c>
      <c r="G2547" s="24"/>
      <c r="H2547" s="24"/>
      <c r="I2547" s="24" t="str">
        <f ca="1">IFERROR(__xludf.DUMMYFUNCTION("GOOGLETRANSLATE(F2547,""en"",""pt"")"),"barreiras plataforma de um elevador")</f>
        <v>barreiras plataforma de um elevador</v>
      </c>
      <c r="J2547">
        <f>VLOOKUP(A2547,Pr_Base_LNEC!$A$4:$J$6971,6,FALSE)</f>
        <v>0</v>
      </c>
      <c r="K2547">
        <f>VLOOKUP(A2547,Pr_Base_LNEC!$A$4:$J$6971,7,FALSE)</f>
        <v>0</v>
      </c>
    </row>
    <row r="2548" spans="1:11" ht="14.5">
      <c r="A2548" s="20" t="s">
        <v>20240</v>
      </c>
      <c r="B2548" s="20">
        <v>30</v>
      </c>
      <c r="C2548" s="20">
        <v>59</v>
      </c>
      <c r="D2548" s="20">
        <v>46</v>
      </c>
      <c r="E2548" s="20">
        <v>63</v>
      </c>
      <c r="F2548" s="20" t="s">
        <v>20241</v>
      </c>
      <c r="G2548" s="24"/>
      <c r="H2548" s="24"/>
      <c r="I2548" s="24" t="str">
        <f ca="1">IFERROR(__xludf.DUMMYFUNCTION("GOOGLETRANSLATE(F2548,""en"",""pt"")"),"plataforma elevatória doorsets desembarque e portões")</f>
        <v>plataforma elevatória doorsets desembarque e portões</v>
      </c>
      <c r="J2548">
        <f>VLOOKUP(A2548,Pr_Base_LNEC!$A$4:$J$6971,6,FALSE)</f>
        <v>0</v>
      </c>
      <c r="K2548">
        <f>VLOOKUP(A2548,Pr_Base_LNEC!$A$4:$J$6971,7,FALSE)</f>
        <v>0</v>
      </c>
    </row>
    <row r="2549" spans="1:11" ht="14.5">
      <c r="A2549" s="20" t="s">
        <v>20242</v>
      </c>
      <c r="B2549" s="20">
        <v>30</v>
      </c>
      <c r="C2549" s="20">
        <v>59</v>
      </c>
      <c r="D2549" s="20">
        <v>48</v>
      </c>
      <c r="E2549" s="24"/>
      <c r="F2549" s="20" t="s">
        <v>20243</v>
      </c>
      <c r="G2549" s="24"/>
      <c r="H2549" s="24"/>
      <c r="I2549" s="24" t="str">
        <f ca="1">IFERROR(__xludf.DUMMYFUNCTION("GOOGLETRANSLATE(F2549,""en"",""pt"")"),"Louvre e componentes")</f>
        <v>Louvre e componentes</v>
      </c>
      <c r="J2549">
        <f>VLOOKUP(A2549,Pr_Base_LNEC!$A$4:$J$6971,6,FALSE)</f>
        <v>0</v>
      </c>
      <c r="K2549">
        <f>VLOOKUP(A2549,Pr_Base_LNEC!$A$4:$J$6971,7,FALSE)</f>
        <v>0</v>
      </c>
    </row>
    <row r="2550" spans="1:11" ht="14.5">
      <c r="A2550" s="20" t="s">
        <v>20244</v>
      </c>
      <c r="B2550" s="20">
        <v>30</v>
      </c>
      <c r="C2550" s="20">
        <v>59</v>
      </c>
      <c r="D2550" s="20">
        <v>48</v>
      </c>
      <c r="E2550" s="20">
        <v>2</v>
      </c>
      <c r="F2550" s="20" t="s">
        <v>20245</v>
      </c>
      <c r="G2550" s="20" t="s">
        <v>20246</v>
      </c>
      <c r="H2550" s="24"/>
      <c r="I2550" s="24" t="str">
        <f ca="1">IFERROR(__xludf.DUMMYFUNCTION("GOOGLETRANSLATE(F2550,""en"",""pt"")"),"pás de lâminas de alumínio")</f>
        <v>pás de lâminas de alumínio</v>
      </c>
      <c r="J2550">
        <f>VLOOKUP(A2550,Pr_Base_LNEC!$A$4:$J$6971,6,FALSE)</f>
        <v>0</v>
      </c>
      <c r="K2550">
        <f>VLOOKUP(A2550,Pr_Base_LNEC!$A$4:$J$6971,7,FALSE)</f>
        <v>0</v>
      </c>
    </row>
    <row r="2551" spans="1:11" ht="14.5">
      <c r="A2551" s="20" t="s">
        <v>20247</v>
      </c>
      <c r="B2551" s="20">
        <v>30</v>
      </c>
      <c r="C2551" s="20">
        <v>59</v>
      </c>
      <c r="D2551" s="20">
        <v>48</v>
      </c>
      <c r="E2551" s="20">
        <v>3</v>
      </c>
      <c r="F2551" s="20" t="s">
        <v>20248</v>
      </c>
      <c r="G2551" s="20" t="s">
        <v>20249</v>
      </c>
      <c r="H2551" s="24"/>
      <c r="I2551" s="24" t="str">
        <f ca="1">IFERROR(__xludf.DUMMYFUNCTION("GOOGLETRANSLATE(F2551,""en"",""pt"")"),"quadros grelha de alumínio")</f>
        <v>quadros grelha de alumínio</v>
      </c>
      <c r="J2551">
        <f>VLOOKUP(A2551,Pr_Base_LNEC!$A$4:$J$6971,6,FALSE)</f>
        <v>0</v>
      </c>
      <c r="K2551">
        <f>VLOOKUP(A2551,Pr_Base_LNEC!$A$4:$J$6971,7,FALSE)</f>
        <v>0</v>
      </c>
    </row>
    <row r="2552" spans="1:11" ht="14.5">
      <c r="A2552" s="20" t="s">
        <v>20250</v>
      </c>
      <c r="B2552" s="20">
        <v>30</v>
      </c>
      <c r="C2552" s="20">
        <v>59</v>
      </c>
      <c r="D2552" s="20">
        <v>48</v>
      </c>
      <c r="E2552" s="20">
        <v>4</v>
      </c>
      <c r="F2552" s="20" t="s">
        <v>20251</v>
      </c>
      <c r="G2552" s="20" t="s">
        <v>20252</v>
      </c>
      <c r="H2552" s="24"/>
      <c r="I2552" s="24" t="str">
        <f ca="1">IFERROR(__xludf.DUMMYFUNCTION("GOOGLETRANSLATE(F2552,""en"",""pt"")"),"unidades de painel de alumínio grelha")</f>
        <v>unidades de painel de alumínio grelha</v>
      </c>
      <c r="J2552">
        <f>VLOOKUP(A2552,Pr_Base_LNEC!$A$4:$J$6971,6,FALSE)</f>
        <v>0</v>
      </c>
      <c r="K2552">
        <f>VLOOKUP(A2552,Pr_Base_LNEC!$A$4:$J$6971,7,FALSE)</f>
        <v>0</v>
      </c>
    </row>
    <row r="2553" spans="1:11" ht="14.5">
      <c r="A2553" s="20" t="s">
        <v>20253</v>
      </c>
      <c r="B2553" s="20">
        <v>30</v>
      </c>
      <c r="C2553" s="20">
        <v>59</v>
      </c>
      <c r="D2553" s="20">
        <v>48</v>
      </c>
      <c r="E2553" s="20">
        <v>11</v>
      </c>
      <c r="F2553" s="20" t="s">
        <v>20254</v>
      </c>
      <c r="G2553" s="20" t="s">
        <v>20255</v>
      </c>
      <c r="H2553" s="24"/>
      <c r="I2553" s="24" t="str">
        <f ca="1">IFERROR(__xludf.DUMMYFUNCTION("GOOGLETRANSLATE(F2553,""en"",""pt"")"),"pás de lâminas de aço de carbono")</f>
        <v>pás de lâminas de aço de carbono</v>
      </c>
      <c r="J2553">
        <f>VLOOKUP(A2553,Pr_Base_LNEC!$A$4:$J$6971,6,FALSE)</f>
        <v>0</v>
      </c>
      <c r="K2553">
        <f>VLOOKUP(A2553,Pr_Base_LNEC!$A$4:$J$6971,7,FALSE)</f>
        <v>0</v>
      </c>
    </row>
    <row r="2554" spans="1:11" ht="14.5">
      <c r="A2554" s="20" t="s">
        <v>20256</v>
      </c>
      <c r="B2554" s="20">
        <v>30</v>
      </c>
      <c r="C2554" s="20">
        <v>59</v>
      </c>
      <c r="D2554" s="20">
        <v>48</v>
      </c>
      <c r="E2554" s="20">
        <v>12</v>
      </c>
      <c r="F2554" s="20" t="s">
        <v>20257</v>
      </c>
      <c r="G2554" s="20" t="s">
        <v>20258</v>
      </c>
      <c r="H2554" s="24"/>
      <c r="I2554" s="24" t="str">
        <f ca="1">IFERROR(__xludf.DUMMYFUNCTION("GOOGLETRANSLATE(F2554,""en"",""pt"")"),"quadros de lâminas de aço de carbono")</f>
        <v>quadros de lâminas de aço de carbono</v>
      </c>
      <c r="J2554">
        <f>VLOOKUP(A2554,Pr_Base_LNEC!$A$4:$J$6971,6,FALSE)</f>
        <v>0</v>
      </c>
      <c r="K2554">
        <f>VLOOKUP(A2554,Pr_Base_LNEC!$A$4:$J$6971,7,FALSE)</f>
        <v>0</v>
      </c>
    </row>
    <row r="2555" spans="1:11" ht="14.5">
      <c r="A2555" s="20" t="s">
        <v>20259</v>
      </c>
      <c r="B2555" s="20">
        <v>30</v>
      </c>
      <c r="C2555" s="20">
        <v>59</v>
      </c>
      <c r="D2555" s="20">
        <v>48</v>
      </c>
      <c r="E2555" s="20">
        <v>13</v>
      </c>
      <c r="F2555" s="20" t="s">
        <v>20260</v>
      </c>
      <c r="G2555" s="20" t="s">
        <v>20261</v>
      </c>
      <c r="H2555" s="24"/>
      <c r="I2555" s="24" t="str">
        <f ca="1">IFERROR(__xludf.DUMMYFUNCTION("GOOGLETRANSLATE(F2555,""en"",""pt"")"),"unidades de painéis de lâminas de aço de carbono")</f>
        <v>unidades de painéis de lâminas de aço de carbono</v>
      </c>
      <c r="J2555">
        <f>VLOOKUP(A2555,Pr_Base_LNEC!$A$4:$J$6971,6,FALSE)</f>
        <v>0</v>
      </c>
      <c r="K2555">
        <f>VLOOKUP(A2555,Pr_Base_LNEC!$A$4:$J$6971,7,FALSE)</f>
        <v>0</v>
      </c>
    </row>
    <row r="2556" spans="1:11" ht="14.5">
      <c r="A2556" s="20" t="s">
        <v>20262</v>
      </c>
      <c r="B2556" s="20">
        <v>30</v>
      </c>
      <c r="C2556" s="20">
        <v>59</v>
      </c>
      <c r="D2556" s="20">
        <v>48</v>
      </c>
      <c r="E2556" s="20">
        <v>34</v>
      </c>
      <c r="F2556" s="20" t="s">
        <v>20263</v>
      </c>
      <c r="G2556" s="20" t="s">
        <v>20264</v>
      </c>
      <c r="H2556" s="24"/>
      <c r="I2556" s="24" t="str">
        <f ca="1">IFERROR(__xludf.DUMMYFUNCTION("GOOGLETRANSLATE(F2556,""en"",""pt"")"),"lâminas de vidro grelha")</f>
        <v>lâminas de vidro grelha</v>
      </c>
      <c r="J2556">
        <f>VLOOKUP(A2556,Pr_Base_LNEC!$A$4:$J$6971,6,FALSE)</f>
        <v>0</v>
      </c>
      <c r="K2556">
        <f>VLOOKUP(A2556,Pr_Base_LNEC!$A$4:$J$6971,7,FALSE)</f>
        <v>0</v>
      </c>
    </row>
    <row r="2557" spans="1:11" ht="14.5">
      <c r="A2557" s="20" t="s">
        <v>20265</v>
      </c>
      <c r="B2557" s="20">
        <v>30</v>
      </c>
      <c r="C2557" s="20">
        <v>59</v>
      </c>
      <c r="D2557" s="20">
        <v>48</v>
      </c>
      <c r="E2557" s="20">
        <v>52</v>
      </c>
      <c r="F2557" s="20" t="s">
        <v>20266</v>
      </c>
      <c r="G2557" s="24"/>
      <c r="H2557" s="24"/>
      <c r="I2557" s="24" t="str">
        <f ca="1">IFERROR(__xludf.DUMMYFUNCTION("GOOGLETRANSLATE(F2557,""en"",""pt"")"),"unidades grelha espelho")</f>
        <v>unidades grelha espelho</v>
      </c>
      <c r="J2557">
        <f>VLOOKUP(A2557,Pr_Base_LNEC!$A$4:$J$6971,6,FALSE)</f>
        <v>0</v>
      </c>
      <c r="K2557">
        <f>VLOOKUP(A2557,Pr_Base_LNEC!$A$4:$J$6971,7,FALSE)</f>
        <v>0</v>
      </c>
    </row>
    <row r="2558" spans="1:11" ht="14.5">
      <c r="A2558" s="20" t="s">
        <v>20267</v>
      </c>
      <c r="B2558" s="20">
        <v>30</v>
      </c>
      <c r="C2558" s="20">
        <v>59</v>
      </c>
      <c r="D2558" s="20">
        <v>48</v>
      </c>
      <c r="E2558" s="20">
        <v>65</v>
      </c>
      <c r="F2558" s="20" t="s">
        <v>20268</v>
      </c>
      <c r="G2558" s="20" t="s">
        <v>20269</v>
      </c>
      <c r="H2558" s="24"/>
      <c r="I2558" s="24" t="str">
        <f ca="1">IFERROR(__xludf.DUMMYFUNCTION("GOOGLETRANSLATE(F2558,""en"",""pt"")"),"pás de lâminas de plástico")</f>
        <v>pás de lâminas de plástico</v>
      </c>
      <c r="J2558">
        <f>VLOOKUP(A2558,Pr_Base_LNEC!$A$4:$J$6971,6,FALSE)</f>
        <v>0</v>
      </c>
      <c r="K2558">
        <f>VLOOKUP(A2558,Pr_Base_LNEC!$A$4:$J$6971,7,FALSE)</f>
        <v>0</v>
      </c>
    </row>
    <row r="2559" spans="1:11" ht="14.5">
      <c r="A2559" s="20" t="s">
        <v>20270</v>
      </c>
      <c r="B2559" s="20">
        <v>30</v>
      </c>
      <c r="C2559" s="20">
        <v>59</v>
      </c>
      <c r="D2559" s="20">
        <v>48</v>
      </c>
      <c r="E2559" s="20">
        <v>77</v>
      </c>
      <c r="F2559" s="20" t="s">
        <v>20271</v>
      </c>
      <c r="G2559" s="20" t="s">
        <v>20272</v>
      </c>
      <c r="H2559" s="24"/>
      <c r="I2559" s="24" t="str">
        <f ca="1">IFERROR(__xludf.DUMMYFUNCTION("GOOGLETRANSLATE(F2559,""en"",""pt"")"),"Triagem e portas de acesso de ventilação")</f>
        <v>Triagem e portas de acesso de ventilação</v>
      </c>
      <c r="J2559">
        <f>VLOOKUP(A2559,Pr_Base_LNEC!$A$4:$J$6971,6,FALSE)</f>
        <v>0</v>
      </c>
      <c r="K2559">
        <f>VLOOKUP(A2559,Pr_Base_LNEC!$A$4:$J$6971,7,FALSE)</f>
        <v>0</v>
      </c>
    </row>
    <row r="2560" spans="1:11" ht="14.5">
      <c r="A2560" s="20" t="s">
        <v>20273</v>
      </c>
      <c r="B2560" s="20">
        <v>30</v>
      </c>
      <c r="C2560" s="20">
        <v>59</v>
      </c>
      <c r="D2560" s="20">
        <v>48</v>
      </c>
      <c r="E2560" s="20">
        <v>78</v>
      </c>
      <c r="F2560" s="20" t="s">
        <v>20274</v>
      </c>
      <c r="G2560" s="20" t="s">
        <v>20275</v>
      </c>
      <c r="H2560" s="24"/>
      <c r="I2560" s="24" t="str">
        <f ca="1">IFERROR(__xludf.DUMMYFUNCTION("GOOGLETRANSLATE(F2560,""en"",""pt"")"),"Triagem e estruturas de suporte de ventilação grelha")</f>
        <v>Triagem e estruturas de suporte de ventilação grelha</v>
      </c>
      <c r="J2560">
        <f>VLOOKUP(A2560,Pr_Base_LNEC!$A$4:$J$6971,6,FALSE)</f>
        <v>0</v>
      </c>
      <c r="K2560">
        <f>VLOOKUP(A2560,Pr_Base_LNEC!$A$4:$J$6971,7,FALSE)</f>
        <v>0</v>
      </c>
    </row>
    <row r="2561" spans="1:11" ht="14.5">
      <c r="A2561" s="20" t="s">
        <v>20276</v>
      </c>
      <c r="B2561" s="20">
        <v>30</v>
      </c>
      <c r="C2561" s="20">
        <v>59</v>
      </c>
      <c r="D2561" s="20">
        <v>48</v>
      </c>
      <c r="E2561" s="20">
        <v>83</v>
      </c>
      <c r="F2561" s="20" t="s">
        <v>20277</v>
      </c>
      <c r="G2561" s="20" t="s">
        <v>20278</v>
      </c>
      <c r="H2561" s="24"/>
      <c r="I2561" s="24" t="str">
        <f ca="1">IFERROR(__xludf.DUMMYFUNCTION("GOOGLETRANSLATE(F2561,""en"",""pt"")"),"lâminas grelha de aço inoxidável")</f>
        <v>lâminas grelha de aço inoxidável</v>
      </c>
      <c r="J2561">
        <f>VLOOKUP(A2561,Pr_Base_LNEC!$A$4:$J$6971,6,FALSE)</f>
        <v>0</v>
      </c>
      <c r="K2561">
        <f>VLOOKUP(A2561,Pr_Base_LNEC!$A$4:$J$6971,7,FALSE)</f>
        <v>0</v>
      </c>
    </row>
    <row r="2562" spans="1:11" ht="14.5">
      <c r="A2562" s="20" t="s">
        <v>20279</v>
      </c>
      <c r="B2562" s="20">
        <v>30</v>
      </c>
      <c r="C2562" s="20">
        <v>59</v>
      </c>
      <c r="D2562" s="20">
        <v>48</v>
      </c>
      <c r="E2562" s="20">
        <v>84</v>
      </c>
      <c r="F2562" s="20" t="s">
        <v>20280</v>
      </c>
      <c r="G2562" s="20" t="s">
        <v>20281</v>
      </c>
      <c r="H2562" s="24"/>
      <c r="I2562" s="24" t="str">
        <f ca="1">IFERROR(__xludf.DUMMYFUNCTION("GOOGLETRANSLATE(F2562,""en"",""pt"")"),"quadros grelha de aço inoxidável")</f>
        <v>quadros grelha de aço inoxidável</v>
      </c>
      <c r="J2562">
        <f>VLOOKUP(A2562,Pr_Base_LNEC!$A$4:$J$6971,6,FALSE)</f>
        <v>0</v>
      </c>
      <c r="K2562">
        <f>VLOOKUP(A2562,Pr_Base_LNEC!$A$4:$J$6971,7,FALSE)</f>
        <v>0</v>
      </c>
    </row>
    <row r="2563" spans="1:11" ht="14.5">
      <c r="A2563" s="20" t="s">
        <v>20282</v>
      </c>
      <c r="B2563" s="20">
        <v>30</v>
      </c>
      <c r="C2563" s="20">
        <v>59</v>
      </c>
      <c r="D2563" s="20">
        <v>48</v>
      </c>
      <c r="E2563" s="20">
        <v>85</v>
      </c>
      <c r="F2563" s="20" t="s">
        <v>20283</v>
      </c>
      <c r="G2563" s="20" t="s">
        <v>20284</v>
      </c>
      <c r="H2563" s="24"/>
      <c r="I2563" s="24" t="str">
        <f ca="1">IFERROR(__xludf.DUMMYFUNCTION("GOOGLETRANSLATE(F2563,""en"",""pt"")"),"unidades de painéis grelha de aço inoxidável")</f>
        <v>unidades de painéis grelha de aço inoxidável</v>
      </c>
      <c r="J2563">
        <f>VLOOKUP(A2563,Pr_Base_LNEC!$A$4:$J$6971,6,FALSE)</f>
        <v>0</v>
      </c>
      <c r="K2563">
        <f>VLOOKUP(A2563,Pr_Base_LNEC!$A$4:$J$6971,7,FALSE)</f>
        <v>0</v>
      </c>
    </row>
    <row r="2564" spans="1:11" ht="14.5">
      <c r="A2564" s="20" t="s">
        <v>20285</v>
      </c>
      <c r="B2564" s="20">
        <v>30</v>
      </c>
      <c r="C2564" s="20">
        <v>59</v>
      </c>
      <c r="D2564" s="20">
        <v>48</v>
      </c>
      <c r="E2564" s="20">
        <v>96</v>
      </c>
      <c r="F2564" s="20" t="s">
        <v>20286</v>
      </c>
      <c r="G2564" s="20" t="s">
        <v>20287</v>
      </c>
      <c r="H2564" s="24"/>
      <c r="I2564" s="24" t="str">
        <f ca="1">IFERROR(__xludf.DUMMYFUNCTION("GOOGLETRANSLATE(F2564,""en"",""pt"")"),"pás de lâminas de madeira")</f>
        <v>pás de lâminas de madeira</v>
      </c>
      <c r="J2564">
        <f>VLOOKUP(A2564,Pr_Base_LNEC!$A$4:$J$6971,6,FALSE)</f>
        <v>0</v>
      </c>
      <c r="K2564">
        <f>VLOOKUP(A2564,Pr_Base_LNEC!$A$4:$J$6971,7,FALSE)</f>
        <v>0</v>
      </c>
    </row>
    <row r="2565" spans="1:11" ht="14.5">
      <c r="A2565" s="20" t="s">
        <v>20288</v>
      </c>
      <c r="B2565" s="20">
        <v>30</v>
      </c>
      <c r="C2565" s="20">
        <v>59</v>
      </c>
      <c r="D2565" s="20">
        <v>48</v>
      </c>
      <c r="E2565" s="20">
        <v>97</v>
      </c>
      <c r="F2565" s="20" t="s">
        <v>20289</v>
      </c>
      <c r="G2565" s="20" t="s">
        <v>20290</v>
      </c>
      <c r="H2565" s="24"/>
      <c r="I2565" s="24" t="str">
        <f ca="1">IFERROR(__xludf.DUMMYFUNCTION("GOOGLETRANSLATE(F2565,""en"",""pt"")"),"quadros grelha de madeira")</f>
        <v>quadros grelha de madeira</v>
      </c>
      <c r="J2565">
        <f>VLOOKUP(A2565,Pr_Base_LNEC!$A$4:$J$6971,6,FALSE)</f>
        <v>0</v>
      </c>
      <c r="K2565">
        <f>VLOOKUP(A2565,Pr_Base_LNEC!$A$4:$J$6971,7,FALSE)</f>
        <v>0</v>
      </c>
    </row>
    <row r="2566" spans="1:11" ht="14.5">
      <c r="A2566" s="20" t="s">
        <v>20291</v>
      </c>
      <c r="B2566" s="20">
        <v>30</v>
      </c>
      <c r="C2566" s="20">
        <v>59</v>
      </c>
      <c r="D2566" s="20">
        <v>48</v>
      </c>
      <c r="E2566" s="20">
        <v>98</v>
      </c>
      <c r="F2566" s="20" t="s">
        <v>20292</v>
      </c>
      <c r="G2566" s="20" t="s">
        <v>20293</v>
      </c>
      <c r="H2566" s="24"/>
      <c r="I2566" s="24" t="str">
        <f ca="1">IFERROR(__xludf.DUMMYFUNCTION("GOOGLETRANSLATE(F2566,""en"",""pt"")"),"unidades de painéis de madeira grelha")</f>
        <v>unidades de painéis de madeira grelha</v>
      </c>
      <c r="J2566">
        <f>VLOOKUP(A2566,Pr_Base_LNEC!$A$4:$J$6971,6,FALSE)</f>
        <v>0</v>
      </c>
      <c r="K2566">
        <f>VLOOKUP(A2566,Pr_Base_LNEC!$A$4:$J$6971,7,FALSE)</f>
        <v>0</v>
      </c>
    </row>
    <row r="2567" spans="1:11" ht="14.5">
      <c r="A2567" s="20" t="s">
        <v>20294</v>
      </c>
      <c r="B2567" s="20">
        <v>30</v>
      </c>
      <c r="C2567" s="20">
        <v>59</v>
      </c>
      <c r="D2567" s="20">
        <v>57</v>
      </c>
      <c r="E2567" s="24"/>
      <c r="F2567" s="20" t="s">
        <v>20295</v>
      </c>
      <c r="G2567" s="24"/>
      <c r="H2567" s="24"/>
      <c r="I2567" s="24" t="str">
        <f ca="1">IFERROR(__xludf.DUMMYFUNCTION("GOOGLETRANSLATE(F2567,""en"",""pt"")"),"Abrindo produtos de segurança e proteção")</f>
        <v>Abrindo produtos de segurança e proteção</v>
      </c>
      <c r="J2567">
        <f>VLOOKUP(A2567,Pr_Base_LNEC!$A$4:$J$6971,6,FALSE)</f>
        <v>0</v>
      </c>
      <c r="K2567">
        <f>VLOOKUP(A2567,Pr_Base_LNEC!$A$4:$J$6971,7,FALSE)</f>
        <v>0</v>
      </c>
    </row>
    <row r="2568" spans="1:11" ht="14.5">
      <c r="A2568" s="20" t="s">
        <v>20296</v>
      </c>
      <c r="B2568" s="20">
        <v>30</v>
      </c>
      <c r="C2568" s="20">
        <v>59</v>
      </c>
      <c r="D2568" s="20">
        <v>57</v>
      </c>
      <c r="E2568" s="20">
        <v>4</v>
      </c>
      <c r="F2568" s="20" t="s">
        <v>20297</v>
      </c>
      <c r="G2568" s="20" t="s">
        <v>20298</v>
      </c>
      <c r="H2568" s="24"/>
      <c r="I2568" s="24" t="str">
        <f ca="1">IFERROR(__xludf.DUMMYFUNCTION("GOOGLETRANSLATE(F2568,""en"",""pt"")"),"barras de janela anti-roubo")</f>
        <v>barras de janela anti-roubo</v>
      </c>
      <c r="J2568">
        <f>VLOOKUP(A2568,Pr_Base_LNEC!$A$4:$J$6971,6,FALSE)</f>
        <v>0</v>
      </c>
      <c r="K2568">
        <f>VLOOKUP(A2568,Pr_Base_LNEC!$A$4:$J$6971,7,FALSE)</f>
        <v>0</v>
      </c>
    </row>
    <row r="2569" spans="1:11" ht="14.5">
      <c r="A2569" s="20" t="s">
        <v>20299</v>
      </c>
      <c r="B2569" s="20">
        <v>30</v>
      </c>
      <c r="C2569" s="20">
        <v>59</v>
      </c>
      <c r="D2569" s="20">
        <v>57</v>
      </c>
      <c r="E2569" s="20">
        <v>7</v>
      </c>
      <c r="F2569" s="20" t="s">
        <v>20300</v>
      </c>
      <c r="G2569" s="20" t="s">
        <v>20301</v>
      </c>
      <c r="H2569" s="24"/>
      <c r="I2569" s="24" t="str">
        <f ca="1">IFERROR(__xludf.DUMMYFUNCTION("GOOGLETRANSLATE(F2569,""en"",""pt"")"),"guardas de aves")</f>
        <v>guardas de aves</v>
      </c>
      <c r="J2569">
        <f>VLOOKUP(A2569,Pr_Base_LNEC!$A$4:$J$6971,6,FALSE)</f>
        <v>0</v>
      </c>
      <c r="K2569">
        <f>VLOOKUP(A2569,Pr_Base_LNEC!$A$4:$J$6971,7,FALSE)</f>
        <v>0</v>
      </c>
    </row>
    <row r="2570" spans="1:11" ht="14.5">
      <c r="A2570" s="20" t="s">
        <v>20302</v>
      </c>
      <c r="B2570" s="20">
        <v>30</v>
      </c>
      <c r="C2570" s="20">
        <v>59</v>
      </c>
      <c r="D2570" s="20">
        <v>57</v>
      </c>
      <c r="E2570" s="20">
        <v>8</v>
      </c>
      <c r="F2570" s="20" t="s">
        <v>20303</v>
      </c>
      <c r="G2570" s="20" t="s">
        <v>20304</v>
      </c>
      <c r="H2570" s="24"/>
      <c r="I2570" s="24" t="str">
        <f ca="1">IFERROR(__xludf.DUMMYFUNCTION("GOOGLETRANSLATE(F2570,""en"",""pt"")"),"Pássaro malha guarda")</f>
        <v>Pássaro malha guarda</v>
      </c>
      <c r="J2570">
        <f>VLOOKUP(A2570,Pr_Base_LNEC!$A$4:$J$6971,6,FALSE)</f>
        <v>0</v>
      </c>
      <c r="K2570">
        <f>VLOOKUP(A2570,Pr_Base_LNEC!$A$4:$J$6971,7,FALSE)</f>
        <v>0</v>
      </c>
    </row>
    <row r="2571" spans="1:11" ht="14.5">
      <c r="A2571" s="20" t="s">
        <v>20305</v>
      </c>
      <c r="B2571" s="20">
        <v>30</v>
      </c>
      <c r="C2571" s="20">
        <v>59</v>
      </c>
      <c r="D2571" s="20">
        <v>57</v>
      </c>
      <c r="E2571" s="20">
        <v>28</v>
      </c>
      <c r="F2571" s="20" t="s">
        <v>20306</v>
      </c>
      <c r="G2571" s="24"/>
      <c r="H2571" s="24"/>
      <c r="I2571" s="24" t="str">
        <f ca="1">IFERROR(__xludf.DUMMYFUNCTION("GOOGLETRANSLATE(F2571,""en"",""pt"")"),"persianas escada rolante")</f>
        <v>persianas escada rolante</v>
      </c>
      <c r="J2571">
        <f>VLOOKUP(A2571,Pr_Base_LNEC!$A$4:$J$6971,6,FALSE)</f>
        <v>0</v>
      </c>
      <c r="K2571">
        <f>VLOOKUP(A2571,Pr_Base_LNEC!$A$4:$J$6971,7,FALSE)</f>
        <v>0</v>
      </c>
    </row>
    <row r="2572" spans="1:11" ht="14.5">
      <c r="A2572" s="20" t="s">
        <v>20307</v>
      </c>
      <c r="B2572" s="20">
        <v>30</v>
      </c>
      <c r="C2572" s="20">
        <v>59</v>
      </c>
      <c r="D2572" s="20">
        <v>57</v>
      </c>
      <c r="E2572" s="20">
        <v>29</v>
      </c>
      <c r="F2572" s="20" t="s">
        <v>20308</v>
      </c>
      <c r="G2572" s="24"/>
      <c r="H2572" s="24"/>
      <c r="I2572" s="24" t="str">
        <f ca="1">IFERROR(__xludf.DUMMYFUNCTION("GOOGLETRANSLATE(F2572,""en"",""pt"")"),"portadas corta-fogo")</f>
        <v>portadas corta-fogo</v>
      </c>
      <c r="J2572">
        <f>VLOOKUP(A2572,Pr_Base_LNEC!$A$4:$J$6971,6,FALSE)</f>
        <v>0</v>
      </c>
      <c r="K2572">
        <f>VLOOKUP(A2572,Pr_Base_LNEC!$A$4:$J$6971,7,FALSE)</f>
        <v>0</v>
      </c>
    </row>
    <row r="2573" spans="1:11" ht="14.5">
      <c r="A2573" s="20" t="s">
        <v>20309</v>
      </c>
      <c r="B2573" s="20">
        <v>30</v>
      </c>
      <c r="C2573" s="20">
        <v>59</v>
      </c>
      <c r="D2573" s="20">
        <v>57</v>
      </c>
      <c r="E2573" s="20">
        <v>40</v>
      </c>
      <c r="F2573" s="20" t="s">
        <v>20310</v>
      </c>
      <c r="G2573" s="20" t="s">
        <v>20311</v>
      </c>
      <c r="H2573" s="24"/>
      <c r="I2573" s="24" t="str">
        <f ca="1">IFERROR(__xludf.DUMMYFUNCTION("GOOGLETRANSLATE(F2573,""en"",""pt"")"),"malha guarda inseto")</f>
        <v>malha guarda inseto</v>
      </c>
      <c r="J2573">
        <f>VLOOKUP(A2573,Pr_Base_LNEC!$A$4:$J$6971,6,FALSE)</f>
        <v>0</v>
      </c>
      <c r="K2573">
        <f>VLOOKUP(A2573,Pr_Base_LNEC!$A$4:$J$6971,7,FALSE)</f>
        <v>0</v>
      </c>
    </row>
    <row r="2574" spans="1:11" ht="14.5">
      <c r="A2574" s="20" t="s">
        <v>20312</v>
      </c>
      <c r="B2574" s="20">
        <v>30</v>
      </c>
      <c r="C2574" s="20">
        <v>59</v>
      </c>
      <c r="D2574" s="20">
        <v>57</v>
      </c>
      <c r="E2574" s="20">
        <v>41</v>
      </c>
      <c r="F2574" s="20" t="s">
        <v>20313</v>
      </c>
      <c r="G2574" s="20" t="s">
        <v>20314</v>
      </c>
      <c r="H2574" s="24"/>
      <c r="I2574" s="24" t="str">
        <f ca="1">IFERROR(__xludf.DUMMYFUNCTION("GOOGLETRANSLATE(F2574,""en"",""pt"")"),"guardas de insetos")</f>
        <v>guardas de insetos</v>
      </c>
      <c r="J2574">
        <f>VLOOKUP(A2574,Pr_Base_LNEC!$A$4:$J$6971,6,FALSE)</f>
        <v>0</v>
      </c>
      <c r="K2574">
        <f>VLOOKUP(A2574,Pr_Base_LNEC!$A$4:$J$6971,7,FALSE)</f>
        <v>0</v>
      </c>
    </row>
    <row r="2575" spans="1:11" ht="14.5">
      <c r="A2575" s="20" t="s">
        <v>20315</v>
      </c>
      <c r="B2575" s="20">
        <v>30</v>
      </c>
      <c r="C2575" s="20">
        <v>59</v>
      </c>
      <c r="D2575" s="20">
        <v>57</v>
      </c>
      <c r="E2575" s="20">
        <v>58</v>
      </c>
      <c r="F2575" s="20" t="s">
        <v>20316</v>
      </c>
      <c r="G2575" s="20" t="s">
        <v>20317</v>
      </c>
      <c r="H2575" s="24"/>
      <c r="I2575" s="24" t="str">
        <f ca="1">IFERROR(__xludf.DUMMYFUNCTION("GOOGLETRANSLATE(F2575,""en"",""pt"")"),"ventiladores gerais")</f>
        <v>ventiladores gerais</v>
      </c>
      <c r="J2575">
        <f>VLOOKUP(A2575,Pr_Base_LNEC!$A$4:$J$6971,6,FALSE)</f>
        <v>0</v>
      </c>
      <c r="K2575">
        <f>VLOOKUP(A2575,Pr_Base_LNEC!$A$4:$J$6971,7,FALSE)</f>
        <v>0</v>
      </c>
    </row>
    <row r="2576" spans="1:11" ht="14.5">
      <c r="A2576" s="20" t="s">
        <v>20318</v>
      </c>
      <c r="B2576" s="20">
        <v>30</v>
      </c>
      <c r="C2576" s="20">
        <v>59</v>
      </c>
      <c r="D2576" s="20">
        <v>57</v>
      </c>
      <c r="E2576" s="20">
        <v>76</v>
      </c>
      <c r="F2576" s="20" t="s">
        <v>20319</v>
      </c>
      <c r="G2576" s="24"/>
      <c r="H2576" s="24"/>
      <c r="I2576" s="24" t="str">
        <f ca="1">IFERROR(__xludf.DUMMYFUNCTION("GOOGLETRANSLATE(F2576,""en"",""pt"")"),"persianas de segurança")</f>
        <v>persianas de segurança</v>
      </c>
      <c r="J2576">
        <f>VLOOKUP(A2576,Pr_Base_LNEC!$A$4:$J$6971,6,FALSE)</f>
        <v>0</v>
      </c>
      <c r="K2576">
        <f>VLOOKUP(A2576,Pr_Base_LNEC!$A$4:$J$6971,7,FALSE)</f>
        <v>0</v>
      </c>
    </row>
    <row r="2577" spans="1:11" ht="14.5">
      <c r="A2577" s="20" t="s">
        <v>20320</v>
      </c>
      <c r="B2577" s="20">
        <v>30</v>
      </c>
      <c r="C2577" s="20">
        <v>59</v>
      </c>
      <c r="D2577" s="20">
        <v>57</v>
      </c>
      <c r="E2577" s="20">
        <v>77</v>
      </c>
      <c r="F2577" s="20" t="s">
        <v>20321</v>
      </c>
      <c r="G2577" s="20" t="s">
        <v>20322</v>
      </c>
      <c r="H2577" s="24"/>
      <c r="I2577" s="24" t="str">
        <f ca="1">IFERROR(__xludf.DUMMYFUNCTION("GOOGLETRANSLATE(F2577,""en"",""pt"")"),"telas nas janelas de segurança")</f>
        <v>telas nas janelas de segurança</v>
      </c>
      <c r="J2577">
        <f>VLOOKUP(A2577,Pr_Base_LNEC!$A$4:$J$6971,6,FALSE)</f>
        <v>0</v>
      </c>
      <c r="K2577">
        <f>VLOOKUP(A2577,Pr_Base_LNEC!$A$4:$J$6971,7,FALSE)</f>
        <v>0</v>
      </c>
    </row>
    <row r="2578" spans="1:11" ht="14.5">
      <c r="A2578" s="20" t="s">
        <v>20323</v>
      </c>
      <c r="B2578" s="20">
        <v>30</v>
      </c>
      <c r="C2578" s="20">
        <v>59</v>
      </c>
      <c r="D2578" s="20">
        <v>58</v>
      </c>
      <c r="E2578" s="24"/>
      <c r="F2578" s="20" t="s">
        <v>20324</v>
      </c>
      <c r="G2578" s="24"/>
      <c r="H2578" s="24"/>
      <c r="I2578" s="24" t="str">
        <f ca="1">IFERROR(__xludf.DUMMYFUNCTION("GOOGLETRANSLATE(F2578,""en"",""pt"")"),"ventiladores de telhado operáveis")</f>
        <v>ventiladores de telhado operáveis</v>
      </c>
      <c r="J2578">
        <f>VLOOKUP(A2578,Pr_Base_LNEC!$A$4:$J$6971,6,FALSE)</f>
        <v>0</v>
      </c>
      <c r="K2578">
        <f>VLOOKUP(A2578,Pr_Base_LNEC!$A$4:$J$6971,7,FALSE)</f>
        <v>0</v>
      </c>
    </row>
    <row r="2579" spans="1:11" ht="14.5">
      <c r="A2579" s="20" t="s">
        <v>20325</v>
      </c>
      <c r="B2579" s="20">
        <v>30</v>
      </c>
      <c r="C2579" s="20">
        <v>59</v>
      </c>
      <c r="D2579" s="20">
        <v>58</v>
      </c>
      <c r="E2579" s="20">
        <v>50</v>
      </c>
      <c r="F2579" s="20" t="s">
        <v>20326</v>
      </c>
      <c r="G2579" s="20" t="s">
        <v>20327</v>
      </c>
      <c r="H2579" s="24"/>
      <c r="I2579" s="24" t="str">
        <f ca="1">IFERROR(__xludf.DUMMYFUNCTION("GOOGLETRANSLATE(F2579,""en"",""pt"")"),"controlo vidrados manuais ventiladores de telhado")</f>
        <v>controlo vidrados manuais ventiladores de telhado</v>
      </c>
      <c r="J2579">
        <f>VLOOKUP(A2579,Pr_Base_LNEC!$A$4:$J$6971,6,FALSE)</f>
        <v>0</v>
      </c>
      <c r="K2579">
        <f>VLOOKUP(A2579,Pr_Base_LNEC!$A$4:$J$6971,7,FALSE)</f>
        <v>0</v>
      </c>
    </row>
    <row r="2580" spans="1:11" ht="14.5">
      <c r="A2580" s="20" t="s">
        <v>20328</v>
      </c>
      <c r="B2580" s="20">
        <v>30</v>
      </c>
      <c r="C2580" s="20">
        <v>59</v>
      </c>
      <c r="D2580" s="20">
        <v>58</v>
      </c>
      <c r="E2580" s="20">
        <v>88</v>
      </c>
      <c r="F2580" s="20" t="s">
        <v>20329</v>
      </c>
      <c r="G2580" s="20" t="s">
        <v>20330</v>
      </c>
      <c r="H2580" s="24"/>
      <c r="I2580" s="24" t="str">
        <f ca="1">IFERROR(__xludf.DUMMYFUNCTION("GOOGLETRANSLATE(F2580,""en"",""pt"")"),"controlo vidrados termostáticas ventiladores de telhado")</f>
        <v>controlo vidrados termostáticas ventiladores de telhado</v>
      </c>
      <c r="J2580">
        <f>VLOOKUP(A2580,Pr_Base_LNEC!$A$4:$J$6971,6,FALSE)</f>
        <v>0</v>
      </c>
      <c r="K2580">
        <f>VLOOKUP(A2580,Pr_Base_LNEC!$A$4:$J$6971,7,FALSE)</f>
        <v>0</v>
      </c>
    </row>
    <row r="2581" spans="1:11" ht="14.5">
      <c r="A2581" s="20" t="s">
        <v>20331</v>
      </c>
      <c r="B2581" s="20">
        <v>30</v>
      </c>
      <c r="C2581" s="20">
        <v>59</v>
      </c>
      <c r="D2581" s="20">
        <v>59</v>
      </c>
      <c r="E2581" s="24"/>
      <c r="F2581" s="20" t="s">
        <v>20332</v>
      </c>
      <c r="G2581" s="24"/>
      <c r="H2581" s="24"/>
      <c r="I2581" s="24" t="str">
        <f ca="1">IFERROR(__xludf.DUMMYFUNCTION("GOOGLETRANSLATE(F2581,""en"",""pt"")"),"barreiras veiculares operáveis")</f>
        <v>barreiras veiculares operáveis</v>
      </c>
      <c r="J2581">
        <f>VLOOKUP(A2581,Pr_Base_LNEC!$A$4:$J$6971,6,FALSE)</f>
        <v>0</v>
      </c>
      <c r="K2581">
        <f>VLOOKUP(A2581,Pr_Base_LNEC!$A$4:$J$6971,7,FALSE)</f>
        <v>0</v>
      </c>
    </row>
    <row r="2582" spans="1:11" ht="14.5">
      <c r="A2582" s="20" t="s">
        <v>20333</v>
      </c>
      <c r="B2582" s="20">
        <v>30</v>
      </c>
      <c r="C2582" s="20">
        <v>59</v>
      </c>
      <c r="D2582" s="20">
        <v>59</v>
      </c>
      <c r="E2582" s="20">
        <v>11</v>
      </c>
      <c r="F2582" s="20" t="s">
        <v>20334</v>
      </c>
      <c r="G2582" s="20" t="s">
        <v>20335</v>
      </c>
      <c r="H2582" s="24"/>
      <c r="I2582" s="24" t="str">
        <f ca="1">IFERROR(__xludf.DUMMYFUNCTION("GOOGLETRANSLATE(F2582,""en"",""pt"")"),"barreiras veiculares feixe deslizante em consola")</f>
        <v>barreiras veiculares feixe deslizante em consola</v>
      </c>
      <c r="J2582">
        <f>VLOOKUP(A2582,Pr_Base_LNEC!$A$4:$J$6971,6,FALSE)</f>
        <v>0</v>
      </c>
      <c r="K2582">
        <f>VLOOKUP(A2582,Pr_Base_LNEC!$A$4:$J$6971,7,FALSE)</f>
        <v>0</v>
      </c>
    </row>
    <row r="2583" spans="1:11" ht="14.5">
      <c r="A2583" s="20" t="s">
        <v>20336</v>
      </c>
      <c r="B2583" s="20">
        <v>30</v>
      </c>
      <c r="C2583" s="20">
        <v>59</v>
      </c>
      <c r="D2583" s="20">
        <v>59</v>
      </c>
      <c r="E2583" s="20">
        <v>38</v>
      </c>
      <c r="F2583" s="20" t="s">
        <v>20337</v>
      </c>
      <c r="G2583" s="20" t="s">
        <v>20338</v>
      </c>
      <c r="H2583" s="24"/>
      <c r="I2583" s="24" t="str">
        <f ca="1">IFERROR(__xludf.DUMMYFUNCTION("GOOGLETRANSLATE(F2583,""en"",""pt"")"),"restritores de altura")</f>
        <v>restritores de altura</v>
      </c>
      <c r="J2583">
        <f>VLOOKUP(A2583,Pr_Base_LNEC!$A$4:$J$6971,6,FALSE)</f>
        <v>0</v>
      </c>
      <c r="K2583">
        <f>VLOOKUP(A2583,Pr_Base_LNEC!$A$4:$J$6971,7,FALSE)</f>
        <v>0</v>
      </c>
    </row>
    <row r="2584" spans="1:11" ht="14.5">
      <c r="A2584" s="20" t="s">
        <v>20339</v>
      </c>
      <c r="B2584" s="20">
        <v>30</v>
      </c>
      <c r="C2584" s="20">
        <v>59</v>
      </c>
      <c r="D2584" s="20">
        <v>59</v>
      </c>
      <c r="E2584" s="20">
        <v>39</v>
      </c>
      <c r="F2584" s="20" t="s">
        <v>20340</v>
      </c>
      <c r="G2584" s="20" t="s">
        <v>20341</v>
      </c>
      <c r="H2584" s="24"/>
      <c r="I2584" s="24" t="str">
        <f ca="1">IFERROR(__xludf.DUMMYFUNCTION("GOOGLETRANSLATE(F2584,""en"",""pt"")"),"Horizontal balançar barreiras veiculares")</f>
        <v>Horizontal balançar barreiras veiculares</v>
      </c>
      <c r="J2584">
        <f>VLOOKUP(A2584,Pr_Base_LNEC!$A$4:$J$6971,6,FALSE)</f>
        <v>0</v>
      </c>
      <c r="K2584">
        <f>VLOOKUP(A2584,Pr_Base_LNEC!$A$4:$J$6971,7,FALSE)</f>
        <v>0</v>
      </c>
    </row>
    <row r="2585" spans="1:11" ht="14.5">
      <c r="A2585" s="20" t="s">
        <v>20342</v>
      </c>
      <c r="B2585" s="20">
        <v>30</v>
      </c>
      <c r="C2585" s="20">
        <v>59</v>
      </c>
      <c r="D2585" s="20">
        <v>59</v>
      </c>
      <c r="E2585" s="20">
        <v>72</v>
      </c>
      <c r="F2585" s="20" t="s">
        <v>20343</v>
      </c>
      <c r="G2585" s="20" t="s">
        <v>20344</v>
      </c>
      <c r="H2585" s="24"/>
      <c r="I2585" s="24" t="str">
        <f ca="1">IFERROR(__xludf.DUMMYFUNCTION("GOOGLETRANSLATE(F2585,""en"",""pt"")"),"barreiras veiculares braço subindo")</f>
        <v>barreiras veiculares braço subindo</v>
      </c>
      <c r="J2585">
        <f>VLOOKUP(A2585,Pr_Base_LNEC!$A$4:$J$6971,6,FALSE)</f>
        <v>0</v>
      </c>
      <c r="K2585">
        <f>VLOOKUP(A2585,Pr_Base_LNEC!$A$4:$J$6971,7,FALSE)</f>
        <v>0</v>
      </c>
    </row>
    <row r="2586" spans="1:11" ht="14.5">
      <c r="A2586" s="20" t="s">
        <v>20345</v>
      </c>
      <c r="B2586" s="20">
        <v>30</v>
      </c>
      <c r="C2586" s="20">
        <v>59</v>
      </c>
      <c r="D2586" s="20">
        <v>59</v>
      </c>
      <c r="E2586" s="20">
        <v>79</v>
      </c>
      <c r="F2586" s="20" t="s">
        <v>20346</v>
      </c>
      <c r="G2586" s="20" t="s">
        <v>20347</v>
      </c>
      <c r="H2586" s="24"/>
      <c r="I2586" s="24" t="str">
        <f ca="1">IFERROR(__xludf.DUMMYFUNCTION("GOOGLETRANSLATE(F2586,""en"",""pt"")"),"Deslizando barreiras veiculares")</f>
        <v>Deslizando barreiras veiculares</v>
      </c>
      <c r="J2586">
        <f>VLOOKUP(A2586,Pr_Base_LNEC!$A$4:$J$6971,6,FALSE)</f>
        <v>0</v>
      </c>
      <c r="K2586">
        <f>VLOOKUP(A2586,Pr_Base_LNEC!$A$4:$J$6971,7,FALSE)</f>
        <v>0</v>
      </c>
    </row>
    <row r="2587" spans="1:11" ht="14.5">
      <c r="A2587" s="20" t="s">
        <v>20348</v>
      </c>
      <c r="B2587" s="20">
        <v>30</v>
      </c>
      <c r="C2587" s="20">
        <v>59</v>
      </c>
      <c r="D2587" s="20">
        <v>60</v>
      </c>
      <c r="E2587" s="24"/>
      <c r="F2587" s="20" t="s">
        <v>20349</v>
      </c>
      <c r="G2587" s="24"/>
      <c r="H2587" s="24"/>
      <c r="I2587" s="24" t="str">
        <f ca="1">IFERROR(__xludf.DUMMYFUNCTION("GOOGLETRANSLATE(F2587,""en"",""pt"")"),"pontes de embarque")</f>
        <v>pontes de embarque</v>
      </c>
      <c r="J2587">
        <f>VLOOKUP(A2587,Pr_Base_LNEC!$A$4:$J$6971,6,FALSE)</f>
        <v>0</v>
      </c>
      <c r="K2587">
        <f>VLOOKUP(A2587,Pr_Base_LNEC!$A$4:$J$6971,7,FALSE)</f>
        <v>0</v>
      </c>
    </row>
    <row r="2588" spans="1:11" ht="14.5">
      <c r="A2588" s="20" t="s">
        <v>20350</v>
      </c>
      <c r="B2588" s="20">
        <v>30</v>
      </c>
      <c r="C2588" s="20">
        <v>59</v>
      </c>
      <c r="D2588" s="20">
        <v>60</v>
      </c>
      <c r="E2588" s="20">
        <v>3</v>
      </c>
      <c r="F2588" s="20" t="s">
        <v>20351</v>
      </c>
      <c r="G2588" s="20" t="s">
        <v>20352</v>
      </c>
      <c r="H2588" s="24"/>
      <c r="I2588" s="24" t="str">
        <f ca="1">IFERROR(__xludf.DUMMYFUNCTION("GOOGLETRANSLATE(F2588,""en"",""pt"")"),"Avental pontes de embarque de carro de passageiros")</f>
        <v>Avental pontes de embarque de carro de passageiros</v>
      </c>
      <c r="J2588">
        <f>VLOOKUP(A2588,Pr_Base_LNEC!$A$4:$J$6971,6,FALSE)</f>
        <v>0</v>
      </c>
      <c r="K2588">
        <f>VLOOKUP(A2588,Pr_Base_LNEC!$A$4:$J$6971,7,FALSE)</f>
        <v>0</v>
      </c>
    </row>
    <row r="2589" spans="1:11" ht="14.5">
      <c r="A2589" s="20" t="s">
        <v>20353</v>
      </c>
      <c r="B2589" s="20">
        <v>30</v>
      </c>
      <c r="C2589" s="20">
        <v>59</v>
      </c>
      <c r="D2589" s="20">
        <v>60</v>
      </c>
      <c r="E2589" s="20">
        <v>15</v>
      </c>
      <c r="F2589" s="20" t="s">
        <v>20354</v>
      </c>
      <c r="G2589" s="20" t="s">
        <v>20355</v>
      </c>
      <c r="H2589" s="24"/>
      <c r="I2589" s="24" t="str">
        <f ca="1">IFERROR(__xludf.DUMMYFUNCTION("GOOGLETRANSLATE(F2589,""en"",""pt"")"),"Commuter pontes de embarque de passageiros")</f>
        <v>Commuter pontes de embarque de passageiros</v>
      </c>
      <c r="J2589">
        <f>VLOOKUP(A2589,Pr_Base_LNEC!$A$4:$J$6971,6,FALSE)</f>
        <v>0</v>
      </c>
      <c r="K2589">
        <f>VLOOKUP(A2589,Pr_Base_LNEC!$A$4:$J$6971,7,FALSE)</f>
        <v>0</v>
      </c>
    </row>
    <row r="2590" spans="1:11" ht="14.5">
      <c r="A2590" s="20" t="s">
        <v>20356</v>
      </c>
      <c r="B2590" s="20">
        <v>30</v>
      </c>
      <c r="C2590" s="20">
        <v>59</v>
      </c>
      <c r="D2590" s="20">
        <v>60</v>
      </c>
      <c r="E2590" s="20">
        <v>56</v>
      </c>
      <c r="F2590" s="20" t="s">
        <v>20357</v>
      </c>
      <c r="G2590" s="20" t="s">
        <v>20358</v>
      </c>
      <c r="H2590" s="24"/>
      <c r="I2590" s="24" t="str">
        <f ca="1">IFERROR(__xludf.DUMMYFUNCTION("GOOGLETRANSLATE(F2590,""en"",""pt"")"),"Noseloader pontes de embarque de passageiros")</f>
        <v>Noseloader pontes de embarque de passageiros</v>
      </c>
      <c r="J2590">
        <f>VLOOKUP(A2590,Pr_Base_LNEC!$A$4:$J$6971,6,FALSE)</f>
        <v>0</v>
      </c>
      <c r="K2590">
        <f>VLOOKUP(A2590,Pr_Base_LNEC!$A$4:$J$6971,7,FALSE)</f>
        <v>0</v>
      </c>
    </row>
    <row r="2591" spans="1:11" ht="14.5">
      <c r="A2591" s="20" t="s">
        <v>20359</v>
      </c>
      <c r="B2591" s="20">
        <v>30</v>
      </c>
      <c r="C2591" s="20">
        <v>59</v>
      </c>
      <c r="D2591" s="20">
        <v>60</v>
      </c>
      <c r="E2591" s="20">
        <v>80</v>
      </c>
      <c r="F2591" s="20" t="s">
        <v>20360</v>
      </c>
      <c r="G2591" s="24"/>
      <c r="H2591" s="24"/>
      <c r="I2591" s="24" t="str">
        <f ca="1">IFERROR(__xludf.DUMMYFUNCTION("GOOGLETRANSLATE(F2591,""en"",""pt"")"),"passadiços navio de embarque")</f>
        <v>passadiços navio de embarque</v>
      </c>
      <c r="J2591" t="e">
        <f>VLOOKUP(A2591,Pr_Base_LNEC!$A$4:$J$6971,6,FALSE)</f>
        <v>#N/A</v>
      </c>
      <c r="K2591" t="e">
        <f>VLOOKUP(A2591,Pr_Base_LNEC!$A$4:$J$6971,7,FALSE)</f>
        <v>#N/A</v>
      </c>
    </row>
    <row r="2592" spans="1:11" ht="14.5">
      <c r="A2592" s="20" t="s">
        <v>20361</v>
      </c>
      <c r="B2592" s="20">
        <v>30</v>
      </c>
      <c r="C2592" s="20">
        <v>59</v>
      </c>
      <c r="D2592" s="20">
        <v>60</v>
      </c>
      <c r="E2592" s="20">
        <v>87</v>
      </c>
      <c r="F2592" s="20" t="s">
        <v>20362</v>
      </c>
      <c r="G2592" s="20" t="s">
        <v>20363</v>
      </c>
      <c r="H2592" s="24"/>
      <c r="I2592" s="24" t="str">
        <f ca="1">IFERROR(__xludf.DUMMYFUNCTION("GOOGLETRANSLATE(F2592,""en"",""pt"")"),"pontes de embarque de passageiros ponte T")</f>
        <v>pontes de embarque de passageiros ponte T</v>
      </c>
      <c r="J2592">
        <f>VLOOKUP(A2592,Pr_Base_LNEC!$A$4:$J$6971,6,FALSE)</f>
        <v>0</v>
      </c>
      <c r="K2592">
        <f>VLOOKUP(A2592,Pr_Base_LNEC!$A$4:$J$6971,7,FALSE)</f>
        <v>0</v>
      </c>
    </row>
    <row r="2593" spans="1:11" ht="14.5">
      <c r="A2593" s="20" t="s">
        <v>20364</v>
      </c>
      <c r="B2593" s="20">
        <v>30</v>
      </c>
      <c r="C2593" s="20">
        <v>59</v>
      </c>
      <c r="D2593" s="20">
        <v>61</v>
      </c>
      <c r="E2593" s="24"/>
      <c r="F2593" s="20" t="s">
        <v>20365</v>
      </c>
      <c r="G2593" s="24"/>
      <c r="H2593" s="24"/>
      <c r="I2593" s="24" t="str">
        <f ca="1">IFERROR(__xludf.DUMMYFUNCTION("GOOGLETRANSLATE(F2593,""en"",""pt"")"),"Pavimento e floorlight e produtos de ventilação")</f>
        <v>Pavimento e floorlight e produtos de ventilação</v>
      </c>
      <c r="J2593">
        <f>VLOOKUP(A2593,Pr_Base_LNEC!$A$4:$J$6971,6,FALSE)</f>
        <v>0</v>
      </c>
      <c r="K2593">
        <f>VLOOKUP(A2593,Pr_Base_LNEC!$A$4:$J$6971,7,FALSE)</f>
        <v>0</v>
      </c>
    </row>
    <row r="2594" spans="1:11" ht="14.5">
      <c r="A2594" s="20" t="s">
        <v>20366</v>
      </c>
      <c r="B2594" s="20">
        <v>30</v>
      </c>
      <c r="C2594" s="20">
        <v>59</v>
      </c>
      <c r="D2594" s="20">
        <v>61</v>
      </c>
      <c r="E2594" s="20">
        <v>32</v>
      </c>
      <c r="F2594" s="20" t="s">
        <v>20367</v>
      </c>
      <c r="G2594" s="20" t="s">
        <v>20368</v>
      </c>
      <c r="H2594" s="24"/>
      <c r="I2594" s="24" t="str">
        <f ca="1">IFERROR(__xludf.DUMMYFUNCTION("GOOGLETRANSLATE(F2594,""en"",""pt"")"),"painéis floorlight vitrificadas")</f>
        <v>painéis floorlight vitrificadas</v>
      </c>
      <c r="J2594">
        <f>VLOOKUP(A2594,Pr_Base_LNEC!$A$4:$J$6971,6,FALSE)</f>
        <v>0</v>
      </c>
      <c r="K2594">
        <f>VLOOKUP(A2594,Pr_Base_LNEC!$A$4:$J$6971,7,FALSE)</f>
        <v>0</v>
      </c>
    </row>
    <row r="2595" spans="1:11" ht="14.5">
      <c r="A2595" s="20" t="s">
        <v>20369</v>
      </c>
      <c r="B2595" s="20">
        <v>30</v>
      </c>
      <c r="C2595" s="20">
        <v>59</v>
      </c>
      <c r="D2595" s="20">
        <v>61</v>
      </c>
      <c r="E2595" s="20">
        <v>33</v>
      </c>
      <c r="F2595" s="20" t="s">
        <v>20370</v>
      </c>
      <c r="G2595" s="20" t="s">
        <v>20371</v>
      </c>
      <c r="H2595" s="24"/>
      <c r="I2595" s="24" t="str">
        <f ca="1">IFERROR(__xludf.DUMMYFUNCTION("GOOGLETRANSLATE(F2595,""en"",""pt"")"),"painel de acesso floorlight lift-out vitrificada")</f>
        <v>painel de acesso floorlight lift-out vitrificada</v>
      </c>
      <c r="J2595">
        <f>VLOOKUP(A2595,Pr_Base_LNEC!$A$4:$J$6971,6,FALSE)</f>
        <v>0</v>
      </c>
      <c r="K2595">
        <f>VLOOKUP(A2595,Pr_Base_LNEC!$A$4:$J$6971,7,FALSE)</f>
        <v>0</v>
      </c>
    </row>
    <row r="2596" spans="1:11" ht="14.5">
      <c r="A2596" s="20" t="s">
        <v>20372</v>
      </c>
      <c r="B2596" s="20">
        <v>30</v>
      </c>
      <c r="C2596" s="20">
        <v>59</v>
      </c>
      <c r="D2596" s="20">
        <v>61</v>
      </c>
      <c r="E2596" s="20">
        <v>34</v>
      </c>
      <c r="F2596" s="20" t="s">
        <v>20373</v>
      </c>
      <c r="G2596" s="20" t="s">
        <v>20374</v>
      </c>
      <c r="H2596" s="24"/>
      <c r="I2596" s="24" t="str">
        <f ca="1">IFERROR(__xludf.DUMMYFUNCTION("GOOGLETRANSLATE(F2596,""en"",""pt"")"),"Vitrificada lift-out acesso pavimento painéis de luz")</f>
        <v>Vitrificada lift-out acesso pavimento painéis de luz</v>
      </c>
      <c r="J2596">
        <f>VLOOKUP(A2596,Pr_Base_LNEC!$A$4:$J$6971,6,FALSE)</f>
        <v>0</v>
      </c>
      <c r="K2596">
        <f>VLOOKUP(A2596,Pr_Base_LNEC!$A$4:$J$6971,7,FALSE)</f>
        <v>0</v>
      </c>
    </row>
    <row r="2597" spans="1:11" ht="14.5">
      <c r="A2597" s="20" t="s">
        <v>20375</v>
      </c>
      <c r="B2597" s="20">
        <v>30</v>
      </c>
      <c r="C2597" s="20">
        <v>59</v>
      </c>
      <c r="D2597" s="20">
        <v>61</v>
      </c>
      <c r="E2597" s="20">
        <v>35</v>
      </c>
      <c r="F2597" s="20" t="s">
        <v>20376</v>
      </c>
      <c r="G2597" s="20" t="s">
        <v>20377</v>
      </c>
      <c r="H2597" s="24"/>
      <c r="I2597" s="24" t="str">
        <f ca="1">IFERROR(__xludf.DUMMYFUNCTION("GOOGLETRANSLATE(F2597,""en"",""pt"")"),"Vidrados painéis de luz pavimento")</f>
        <v>Vidrados painéis de luz pavimento</v>
      </c>
      <c r="J2597">
        <f>VLOOKUP(A2597,Pr_Base_LNEC!$A$4:$J$6971,6,FALSE)</f>
        <v>0</v>
      </c>
      <c r="K2597">
        <f>VLOOKUP(A2597,Pr_Base_LNEC!$A$4:$J$6971,7,FALSE)</f>
        <v>0</v>
      </c>
    </row>
    <row r="2598" spans="1:11" ht="14.5">
      <c r="A2598" s="20" t="s">
        <v>20378</v>
      </c>
      <c r="B2598" s="20">
        <v>30</v>
      </c>
      <c r="C2598" s="20">
        <v>59</v>
      </c>
      <c r="D2598" s="20">
        <v>61</v>
      </c>
      <c r="E2598" s="20">
        <v>36</v>
      </c>
      <c r="F2598" s="20" t="s">
        <v>20379</v>
      </c>
      <c r="G2598" s="20" t="s">
        <v>20380</v>
      </c>
      <c r="H2598" s="24"/>
      <c r="I2598" s="24" t="str">
        <f ca="1">IFERROR(__xludf.DUMMYFUNCTION("GOOGLETRANSLATE(F2598,""en"",""pt"")"),"fumo vitrificada ventilação painéis")</f>
        <v>fumo vitrificada ventilação painéis</v>
      </c>
      <c r="J2598">
        <f>VLOOKUP(A2598,Pr_Base_LNEC!$A$4:$J$6971,6,FALSE)</f>
        <v>0</v>
      </c>
      <c r="K2598">
        <f>VLOOKUP(A2598,Pr_Base_LNEC!$A$4:$J$6971,7,FALSE)</f>
        <v>0</v>
      </c>
    </row>
    <row r="2599" spans="1:11" ht="14.5">
      <c r="A2599" s="20" t="s">
        <v>20381</v>
      </c>
      <c r="B2599" s="20">
        <v>30</v>
      </c>
      <c r="C2599" s="20">
        <v>59</v>
      </c>
      <c r="D2599" s="20">
        <v>61</v>
      </c>
      <c r="E2599" s="20">
        <v>57</v>
      </c>
      <c r="F2599" s="20" t="s">
        <v>20382</v>
      </c>
      <c r="G2599" s="20" t="s">
        <v>20383</v>
      </c>
      <c r="H2599" s="24"/>
      <c r="I2599" s="24" t="str">
        <f ca="1">IFERROR(__xludf.DUMMYFUNCTION("GOOGLETRANSLATE(F2599,""en"",""pt"")"),"painéis de fumo de ventilação não vidrados")</f>
        <v>painéis de fumo de ventilação não vidrados</v>
      </c>
      <c r="J2599">
        <f>VLOOKUP(A2599,Pr_Base_LNEC!$A$4:$J$6971,6,FALSE)</f>
        <v>0</v>
      </c>
      <c r="K2599">
        <f>VLOOKUP(A2599,Pr_Base_LNEC!$A$4:$J$6971,7,FALSE)</f>
        <v>0</v>
      </c>
    </row>
    <row r="2600" spans="1:11" ht="14.5">
      <c r="A2600" s="20" t="s">
        <v>20384</v>
      </c>
      <c r="B2600" s="20">
        <v>30</v>
      </c>
      <c r="C2600" s="20">
        <v>59</v>
      </c>
      <c r="D2600" s="20">
        <v>71</v>
      </c>
      <c r="E2600" s="24"/>
      <c r="F2600" s="20" t="s">
        <v>20385</v>
      </c>
      <c r="G2600" s="24"/>
      <c r="H2600" s="24"/>
      <c r="I2600" s="24" t="str">
        <f ca="1">IFERROR(__xludf.DUMMYFUNCTION("GOOGLETRANSLATE(F2600,""en"",""pt"")"),"Lixo e calha de linho entradas e aberturas")</f>
        <v>Lixo e calha de linho entradas e aberturas</v>
      </c>
      <c r="J2600">
        <f>VLOOKUP(A2600,Pr_Base_LNEC!$A$4:$J$6971,6,FALSE)</f>
        <v>0</v>
      </c>
      <c r="K2600">
        <f>VLOOKUP(A2600,Pr_Base_LNEC!$A$4:$J$6971,7,FALSE)</f>
        <v>0</v>
      </c>
    </row>
    <row r="2601" spans="1:11" ht="14.5">
      <c r="A2601" s="20" t="s">
        <v>20386</v>
      </c>
      <c r="B2601" s="20">
        <v>30</v>
      </c>
      <c r="C2601" s="20">
        <v>59</v>
      </c>
      <c r="D2601" s="20">
        <v>71</v>
      </c>
      <c r="E2601" s="20">
        <v>12</v>
      </c>
      <c r="F2601" s="20" t="s">
        <v>20387</v>
      </c>
      <c r="G2601" s="20" t="s">
        <v>20388</v>
      </c>
      <c r="H2601" s="24"/>
      <c r="I2601" s="24" t="str">
        <f ca="1">IFERROR(__xludf.DUMMYFUNCTION("GOOGLETRANSLATE(F2601,""en"",""pt"")"),"Chute portas automática de incêndio")</f>
        <v>Chute portas automática de incêndio</v>
      </c>
      <c r="J2601">
        <f>VLOOKUP(A2601,Pr_Base_LNEC!$A$4:$J$6971,6,FALSE)</f>
        <v>0</v>
      </c>
      <c r="K2601">
        <f>VLOOKUP(A2601,Pr_Base_LNEC!$A$4:$J$6971,7,FALSE)</f>
        <v>0</v>
      </c>
    </row>
    <row r="2602" spans="1:11" ht="14.5">
      <c r="A2602" s="20" t="s">
        <v>20389</v>
      </c>
      <c r="B2602" s="20">
        <v>30</v>
      </c>
      <c r="C2602" s="20">
        <v>59</v>
      </c>
      <c r="D2602" s="20">
        <v>71</v>
      </c>
      <c r="E2602" s="20">
        <v>13</v>
      </c>
      <c r="F2602" s="20" t="s">
        <v>20390</v>
      </c>
      <c r="G2602" s="20" t="s">
        <v>20391</v>
      </c>
      <c r="H2602" s="24"/>
      <c r="I2602" s="24" t="str">
        <f ca="1">IFERROR(__xludf.DUMMYFUNCTION("GOOGLETRANSLATE(F2602,""en"",""pt"")"),"travas de porta Chute")</f>
        <v>travas de porta Chute</v>
      </c>
      <c r="J2602">
        <f>VLOOKUP(A2602,Pr_Base_LNEC!$A$4:$J$6971,6,FALSE)</f>
        <v>0</v>
      </c>
      <c r="K2602">
        <f>VLOOKUP(A2602,Pr_Base_LNEC!$A$4:$J$6971,7,FALSE)</f>
        <v>0</v>
      </c>
    </row>
    <row r="2603" spans="1:11" ht="14.5">
      <c r="A2603" s="20" t="s">
        <v>20392</v>
      </c>
      <c r="B2603" s="20">
        <v>30</v>
      </c>
      <c r="C2603" s="20">
        <v>59</v>
      </c>
      <c r="D2603" s="20">
        <v>71</v>
      </c>
      <c r="E2603" s="20">
        <v>21</v>
      </c>
      <c r="F2603" s="20" t="s">
        <v>20393</v>
      </c>
      <c r="G2603" s="20" t="s">
        <v>20394</v>
      </c>
      <c r="H2603" s="24"/>
      <c r="I2603" s="24" t="str">
        <f ca="1">IFERROR(__xludf.DUMMYFUNCTION("GOOGLETRANSLATE(F2603,""en"",""pt"")"),"saídas de descarga rampa de lixo")</f>
        <v>saídas de descarga rampa de lixo</v>
      </c>
      <c r="J2603">
        <f>VLOOKUP(A2603,Pr_Base_LNEC!$A$4:$J$6971,6,FALSE)</f>
        <v>0</v>
      </c>
      <c r="K2603">
        <f>VLOOKUP(A2603,Pr_Base_LNEC!$A$4:$J$6971,7,FALSE)</f>
        <v>0</v>
      </c>
    </row>
    <row r="2604" spans="1:11" ht="14.5">
      <c r="A2604" s="20" t="s">
        <v>20395</v>
      </c>
      <c r="B2604" s="20">
        <v>30</v>
      </c>
      <c r="C2604" s="20">
        <v>59</v>
      </c>
      <c r="D2604" s="20">
        <v>71</v>
      </c>
      <c r="E2604" s="20">
        <v>22</v>
      </c>
      <c r="F2604" s="20" t="s">
        <v>20396</v>
      </c>
      <c r="G2604" s="24"/>
      <c r="H2604" s="24"/>
      <c r="I2604" s="24" t="str">
        <f ca="1">IFERROR(__xludf.DUMMYFUNCTION("GOOGLETRANSLATE(F2604,""en"",""pt"")"),"doorsets lixo calha")</f>
        <v>doorsets lixo calha</v>
      </c>
      <c r="J2604">
        <f>VLOOKUP(A2604,Pr_Base_LNEC!$A$4:$J$6971,6,FALSE)</f>
        <v>0</v>
      </c>
      <c r="K2604">
        <f>VLOOKUP(A2604,Pr_Base_LNEC!$A$4:$J$6971,7,FALSE)</f>
        <v>0</v>
      </c>
    </row>
    <row r="2605" spans="1:11" ht="14.5">
      <c r="A2605" s="20" t="s">
        <v>20397</v>
      </c>
      <c r="B2605" s="20">
        <v>30</v>
      </c>
      <c r="C2605" s="20">
        <v>59</v>
      </c>
      <c r="D2605" s="20">
        <v>71</v>
      </c>
      <c r="E2605" s="20">
        <v>23</v>
      </c>
      <c r="F2605" s="20" t="s">
        <v>20398</v>
      </c>
      <c r="G2605" s="20" t="s">
        <v>20399</v>
      </c>
      <c r="H2605" s="24"/>
      <c r="I2605" s="24" t="str">
        <f ca="1">IFERROR(__xludf.DUMMYFUNCTION("GOOGLETRANSLATE(F2605,""en"",""pt"")"),"funis lixo calha")</f>
        <v>funis lixo calha</v>
      </c>
      <c r="J2605">
        <f>VLOOKUP(A2605,Pr_Base_LNEC!$A$4:$J$6971,6,FALSE)</f>
        <v>0</v>
      </c>
      <c r="K2605">
        <f>VLOOKUP(A2605,Pr_Base_LNEC!$A$4:$J$6971,7,FALSE)</f>
        <v>0</v>
      </c>
    </row>
    <row r="2606" spans="1:11" ht="14.5">
      <c r="A2606" s="20" t="s">
        <v>20400</v>
      </c>
      <c r="B2606" s="20">
        <v>30</v>
      </c>
      <c r="C2606" s="20">
        <v>59</v>
      </c>
      <c r="D2606" s="20">
        <v>71</v>
      </c>
      <c r="E2606" s="20">
        <v>46</v>
      </c>
      <c r="F2606" s="20" t="s">
        <v>20401</v>
      </c>
      <c r="G2606" s="20" t="s">
        <v>20402</v>
      </c>
      <c r="H2606" s="24"/>
      <c r="I2606" s="24" t="str">
        <f ca="1">IFERROR(__xludf.DUMMYFUNCTION("GOOGLETRANSLATE(F2606,""en"",""pt"")"),"saídas de descarga rampa de linho")</f>
        <v>saídas de descarga rampa de linho</v>
      </c>
      <c r="J2606">
        <f>VLOOKUP(A2606,Pr_Base_LNEC!$A$4:$J$6971,6,FALSE)</f>
        <v>0</v>
      </c>
      <c r="K2606">
        <f>VLOOKUP(A2606,Pr_Base_LNEC!$A$4:$J$6971,7,FALSE)</f>
        <v>0</v>
      </c>
    </row>
    <row r="2607" spans="1:11" ht="14.5">
      <c r="A2607" s="20" t="s">
        <v>20403</v>
      </c>
      <c r="B2607" s="20">
        <v>30</v>
      </c>
      <c r="C2607" s="20">
        <v>59</v>
      </c>
      <c r="D2607" s="20">
        <v>71</v>
      </c>
      <c r="E2607" s="20">
        <v>47</v>
      </c>
      <c r="F2607" s="20" t="s">
        <v>20404</v>
      </c>
      <c r="G2607" s="24"/>
      <c r="H2607" s="24"/>
      <c r="I2607" s="24" t="str">
        <f ca="1">IFERROR(__xludf.DUMMYFUNCTION("GOOGLETRANSLATE(F2607,""en"",""pt"")"),"doorsets rampa de linho")</f>
        <v>doorsets rampa de linho</v>
      </c>
      <c r="J2607">
        <f>VLOOKUP(A2607,Pr_Base_LNEC!$A$4:$J$6971,6,FALSE)</f>
        <v>0</v>
      </c>
      <c r="K2607">
        <f>VLOOKUP(A2607,Pr_Base_LNEC!$A$4:$J$6971,7,FALSE)</f>
        <v>0</v>
      </c>
    </row>
    <row r="2608" spans="1:11" ht="14.5">
      <c r="A2608" s="20" t="s">
        <v>20405</v>
      </c>
      <c r="B2608" s="20">
        <v>30</v>
      </c>
      <c r="C2608" s="20">
        <v>59</v>
      </c>
      <c r="D2608" s="20">
        <v>71</v>
      </c>
      <c r="E2608" s="20">
        <v>48</v>
      </c>
      <c r="F2608" s="20" t="s">
        <v>20406</v>
      </c>
      <c r="G2608" s="20" t="s">
        <v>20407</v>
      </c>
      <c r="H2608" s="24"/>
      <c r="I2608" s="24" t="str">
        <f ca="1">IFERROR(__xludf.DUMMYFUNCTION("GOOGLETRANSLATE(F2608,""en"",""pt"")"),"funis rampa de linho")</f>
        <v>funis rampa de linho</v>
      </c>
      <c r="J2608">
        <f>VLOOKUP(A2608,Pr_Base_LNEC!$A$4:$J$6971,6,FALSE)</f>
        <v>0</v>
      </c>
      <c r="K2608">
        <f>VLOOKUP(A2608,Pr_Base_LNEC!$A$4:$J$6971,7,FALSE)</f>
        <v>0</v>
      </c>
    </row>
    <row r="2609" spans="1:11" ht="14.5">
      <c r="A2609" s="20" t="s">
        <v>20408</v>
      </c>
      <c r="B2609" s="20">
        <v>30</v>
      </c>
      <c r="C2609" s="20">
        <v>59</v>
      </c>
      <c r="D2609" s="20">
        <v>72</v>
      </c>
      <c r="E2609" s="24"/>
      <c r="F2609" s="20" t="s">
        <v>20409</v>
      </c>
      <c r="G2609" s="24"/>
      <c r="H2609" s="24"/>
      <c r="I2609" s="24" t="str">
        <f ca="1">IFERROR(__xludf.DUMMYFUNCTION("GOOGLETRANSLATE(F2609,""en"",""pt"")"),"rooflights")</f>
        <v>rooflights</v>
      </c>
      <c r="J2609">
        <f>VLOOKUP(A2609,Pr_Base_LNEC!$A$4:$J$6971,6,FALSE)</f>
        <v>0</v>
      </c>
      <c r="K2609">
        <f>VLOOKUP(A2609,Pr_Base_LNEC!$A$4:$J$6971,7,FALSE)</f>
        <v>0</v>
      </c>
    </row>
    <row r="2610" spans="1:11" ht="14.5">
      <c r="A2610" s="20" t="s">
        <v>20410</v>
      </c>
      <c r="B2610" s="20">
        <v>30</v>
      </c>
      <c r="C2610" s="20">
        <v>59</v>
      </c>
      <c r="D2610" s="20">
        <v>72</v>
      </c>
      <c r="E2610" s="20">
        <v>17</v>
      </c>
      <c r="F2610" s="20" t="s">
        <v>20411</v>
      </c>
      <c r="G2610" s="24"/>
      <c r="H2610" s="24"/>
      <c r="I2610" s="24" t="str">
        <f ca="1">IFERROR(__xludf.DUMMYFUNCTION("GOOGLETRANSLATE(F2610,""en"",""pt"")"),"rooflights contínuas")</f>
        <v>rooflights contínuas</v>
      </c>
      <c r="J2610">
        <f>VLOOKUP(A2610,Pr_Base_LNEC!$A$4:$J$6971,6,FALSE)</f>
        <v>0</v>
      </c>
      <c r="K2610">
        <f>VLOOKUP(A2610,Pr_Base_LNEC!$A$4:$J$6971,7,FALSE)</f>
        <v>0</v>
      </c>
    </row>
    <row r="2611" spans="1:11" ht="14.5">
      <c r="A2611" s="20" t="s">
        <v>20412</v>
      </c>
      <c r="B2611" s="20">
        <v>30</v>
      </c>
      <c r="C2611" s="20">
        <v>59</v>
      </c>
      <c r="D2611" s="20">
        <v>72</v>
      </c>
      <c r="E2611" s="20">
        <v>21</v>
      </c>
      <c r="F2611" s="20" t="s">
        <v>20413</v>
      </c>
      <c r="G2611" s="20" t="s">
        <v>20414</v>
      </c>
      <c r="H2611" s="24"/>
      <c r="I2611" s="24" t="str">
        <f ca="1">IFERROR(__xludf.DUMMYFUNCTION("GOOGLETRANSLATE(F2611,""en"",""pt"")"),"tubos de luz do dia")</f>
        <v>tubos de luz do dia</v>
      </c>
      <c r="J2611">
        <f>VLOOKUP(A2611,Pr_Base_LNEC!$A$4:$J$6971,6,FALSE)</f>
        <v>0</v>
      </c>
      <c r="K2611">
        <f>VLOOKUP(A2611,Pr_Base_LNEC!$A$4:$J$6971,7,FALSE)</f>
        <v>0</v>
      </c>
    </row>
    <row r="2612" spans="1:11" ht="14.5">
      <c r="A2612" s="20" t="s">
        <v>20415</v>
      </c>
      <c r="B2612" s="20">
        <v>30</v>
      </c>
      <c r="C2612" s="20">
        <v>59</v>
      </c>
      <c r="D2612" s="20">
        <v>72</v>
      </c>
      <c r="E2612" s="20">
        <v>24</v>
      </c>
      <c r="F2612" s="20" t="s">
        <v>20416</v>
      </c>
      <c r="G2612" s="24"/>
      <c r="H2612" s="24"/>
      <c r="I2612" s="24" t="str">
        <f ca="1">IFERROR(__xludf.DUMMYFUNCTION("GOOGLETRANSLATE(F2612,""en"",""pt"")"),"dormers")</f>
        <v>dormers</v>
      </c>
      <c r="J2612">
        <f>VLOOKUP(A2612,Pr_Base_LNEC!$A$4:$J$6971,6,FALSE)</f>
        <v>0</v>
      </c>
      <c r="K2612">
        <f>VLOOKUP(A2612,Pr_Base_LNEC!$A$4:$J$6971,7,FALSE)</f>
        <v>0</v>
      </c>
    </row>
    <row r="2613" spans="1:11" ht="14.5">
      <c r="A2613" s="20" t="s">
        <v>20417</v>
      </c>
      <c r="B2613" s="20">
        <v>30</v>
      </c>
      <c r="C2613" s="20">
        <v>59</v>
      </c>
      <c r="D2613" s="20">
        <v>72</v>
      </c>
      <c r="E2613" s="20">
        <v>25</v>
      </c>
      <c r="F2613" s="20" t="s">
        <v>20418</v>
      </c>
      <c r="G2613" s="20" t="s">
        <v>20419</v>
      </c>
      <c r="H2613" s="24"/>
      <c r="I2613" s="24" t="str">
        <f ca="1">IFERROR(__xludf.DUMMYFUNCTION("GOOGLETRANSLATE(F2613,""en"",""pt"")"),"difusores de tubo de luz de vidros duplos")</f>
        <v>difusores de tubo de luz de vidros duplos</v>
      </c>
      <c r="J2613">
        <f>VLOOKUP(A2613,Pr_Base_LNEC!$A$4:$J$6971,6,FALSE)</f>
        <v>0</v>
      </c>
      <c r="K2613">
        <f>VLOOKUP(A2613,Pr_Base_LNEC!$A$4:$J$6971,7,FALSE)</f>
        <v>0</v>
      </c>
    </row>
    <row r="2614" spans="1:11" ht="14.5">
      <c r="A2614" s="20" t="s">
        <v>20420</v>
      </c>
      <c r="B2614" s="20">
        <v>30</v>
      </c>
      <c r="C2614" s="20">
        <v>59</v>
      </c>
      <c r="D2614" s="20">
        <v>72</v>
      </c>
      <c r="E2614" s="20">
        <v>30</v>
      </c>
      <c r="F2614" s="20" t="s">
        <v>20421</v>
      </c>
      <c r="G2614" s="20" t="s">
        <v>20422</v>
      </c>
      <c r="H2614" s="24"/>
      <c r="I2614" s="24" t="str">
        <f ca="1">IFERROR(__xludf.DUMMYFUNCTION("GOOGLETRANSLATE(F2614,""en"",""pt"")"),"Clarabóias isolantes montados na fábrica (feiras)")</f>
        <v>Clarabóias isolantes montados na fábrica (feiras)</v>
      </c>
      <c r="J2614">
        <f>VLOOKUP(A2614,Pr_Base_LNEC!$A$4:$J$6971,6,FALSE)</f>
        <v>0</v>
      </c>
      <c r="K2614">
        <f>VLOOKUP(A2614,Pr_Base_LNEC!$A$4:$J$6971,7,FALSE)</f>
        <v>0</v>
      </c>
    </row>
    <row r="2615" spans="1:11" ht="14.5">
      <c r="A2615" s="20" t="s">
        <v>20423</v>
      </c>
      <c r="B2615" s="20">
        <v>30</v>
      </c>
      <c r="C2615" s="20">
        <v>59</v>
      </c>
      <c r="D2615" s="20">
        <v>72</v>
      </c>
      <c r="E2615" s="20">
        <v>31</v>
      </c>
      <c r="F2615" s="20" t="s">
        <v>20424</v>
      </c>
      <c r="G2615" s="20" t="s">
        <v>20425</v>
      </c>
      <c r="H2615" s="24"/>
      <c r="I2615" s="24" t="str">
        <f ca="1">IFERROR(__xludf.DUMMYFUNCTION("GOOGLETRANSLATE(F2615,""en"",""pt"")"),"rooflights emolduradas")</f>
        <v>rooflights emolduradas</v>
      </c>
      <c r="J2615">
        <f>VLOOKUP(A2615,Pr_Base_LNEC!$A$4:$J$6971,6,FALSE)</f>
        <v>0</v>
      </c>
      <c r="K2615">
        <f>VLOOKUP(A2615,Pr_Base_LNEC!$A$4:$J$6971,7,FALSE)</f>
        <v>0</v>
      </c>
    </row>
    <row r="2616" spans="1:11" ht="14.5">
      <c r="A2616" s="20" t="s">
        <v>20426</v>
      </c>
      <c r="B2616" s="20">
        <v>30</v>
      </c>
      <c r="C2616" s="20">
        <v>59</v>
      </c>
      <c r="D2616" s="20">
        <v>72</v>
      </c>
      <c r="E2616" s="20">
        <v>33</v>
      </c>
      <c r="F2616" s="20" t="s">
        <v>20427</v>
      </c>
      <c r="G2616" s="20" t="s">
        <v>20428</v>
      </c>
      <c r="H2616" s="24"/>
      <c r="I2616" s="24" t="str">
        <f ca="1">IFERROR(__xludf.DUMMYFUNCTION("GOOGLETRANSLATE(F2616,""en"",""pt"")"),"painéis de acesso rooflight envidraçada lift-out")</f>
        <v>painéis de acesso rooflight envidraçada lift-out</v>
      </c>
      <c r="J2616">
        <f>VLOOKUP(A2616,Pr_Base_LNEC!$A$4:$J$6971,6,FALSE)</f>
        <v>0</v>
      </c>
      <c r="K2616">
        <f>VLOOKUP(A2616,Pr_Base_LNEC!$A$4:$J$6971,7,FALSE)</f>
        <v>0</v>
      </c>
    </row>
    <row r="2617" spans="1:11" ht="14.5">
      <c r="A2617" s="20" t="s">
        <v>20429</v>
      </c>
      <c r="B2617" s="20">
        <v>30</v>
      </c>
      <c r="C2617" s="20">
        <v>59</v>
      </c>
      <c r="D2617" s="20">
        <v>72</v>
      </c>
      <c r="E2617" s="20">
        <v>34</v>
      </c>
      <c r="F2617" s="20" t="s">
        <v>20430</v>
      </c>
      <c r="G2617" s="20" t="s">
        <v>20431</v>
      </c>
      <c r="H2617" s="24"/>
      <c r="I2617" s="24" t="str">
        <f ca="1">IFERROR(__xludf.DUMMYFUNCTION("GOOGLETRANSLATE(F2617,""en"",""pt"")"),"painéis Rooflight vitrificadas")</f>
        <v>painéis Rooflight vitrificadas</v>
      </c>
      <c r="J2617">
        <f>VLOOKUP(A2617,Pr_Base_LNEC!$A$4:$J$6971,6,FALSE)</f>
        <v>0</v>
      </c>
      <c r="K2617">
        <f>VLOOKUP(A2617,Pr_Base_LNEC!$A$4:$J$6971,7,FALSE)</f>
        <v>0</v>
      </c>
    </row>
    <row r="2618" spans="1:11" ht="14.5">
      <c r="A2618" s="20" t="s">
        <v>20432</v>
      </c>
      <c r="B2618" s="20">
        <v>30</v>
      </c>
      <c r="C2618" s="20">
        <v>59</v>
      </c>
      <c r="D2618" s="20">
        <v>72</v>
      </c>
      <c r="E2618" s="20">
        <v>42</v>
      </c>
      <c r="F2618" s="20" t="s">
        <v>20433</v>
      </c>
      <c r="G2618" s="24"/>
      <c r="H2618" s="24"/>
      <c r="I2618" s="24" t="str">
        <f ca="1">IFERROR(__xludf.DUMMYFUNCTION("GOOGLETRANSLATE(F2618,""en"",""pt"")"),"rooflights individuais")</f>
        <v>rooflights individuais</v>
      </c>
      <c r="J2618">
        <f>VLOOKUP(A2618,Pr_Base_LNEC!$A$4:$J$6971,6,FALSE)</f>
        <v>0</v>
      </c>
      <c r="K2618">
        <f>VLOOKUP(A2618,Pr_Base_LNEC!$A$4:$J$6971,7,FALSE)</f>
        <v>0</v>
      </c>
    </row>
    <row r="2619" spans="1:11" ht="14.5">
      <c r="A2619" s="20" t="s">
        <v>20434</v>
      </c>
      <c r="B2619" s="20">
        <v>30</v>
      </c>
      <c r="C2619" s="20">
        <v>59</v>
      </c>
      <c r="D2619" s="20">
        <v>72</v>
      </c>
      <c r="E2619" s="20">
        <v>46</v>
      </c>
      <c r="F2619" s="20" t="s">
        <v>20435</v>
      </c>
      <c r="G2619" s="24"/>
      <c r="H2619" s="24"/>
      <c r="I2619" s="24" t="str">
        <f ca="1">IFERROR(__xludf.DUMMYFUNCTION("GOOGLETRANSLATE(F2619,""en"",""pt"")"),"lanterna luzes")</f>
        <v>lanterna luzes</v>
      </c>
      <c r="J2619">
        <f>VLOOKUP(A2619,Pr_Base_LNEC!$A$4:$J$6971,6,FALSE)</f>
        <v>0</v>
      </c>
      <c r="K2619">
        <f>VLOOKUP(A2619,Pr_Base_LNEC!$A$4:$J$6971,7,FALSE)</f>
        <v>0</v>
      </c>
    </row>
    <row r="2620" spans="1:11" ht="14.5">
      <c r="A2620" s="20" t="s">
        <v>20436</v>
      </c>
      <c r="B2620" s="20">
        <v>30</v>
      </c>
      <c r="C2620" s="20">
        <v>59</v>
      </c>
      <c r="D2620" s="20">
        <v>72</v>
      </c>
      <c r="E2620" s="20">
        <v>48</v>
      </c>
      <c r="F2620" s="20" t="s">
        <v>20437</v>
      </c>
      <c r="G2620" s="24"/>
      <c r="H2620" s="24"/>
      <c r="I2620" s="24" t="str">
        <f ca="1">IFERROR(__xludf.DUMMYFUNCTION("GOOGLETRANSLATE(F2620,""en"",""pt"")"),"reflectores de luz (motorizados)")</f>
        <v>reflectores de luz (motorizados)</v>
      </c>
      <c r="J2620">
        <f>VLOOKUP(A2620,Pr_Base_LNEC!$A$4:$J$6971,6,FALSE)</f>
        <v>0</v>
      </c>
      <c r="K2620">
        <f>VLOOKUP(A2620,Pr_Base_LNEC!$A$4:$J$6971,7,FALSE)</f>
        <v>0</v>
      </c>
    </row>
    <row r="2621" spans="1:11" ht="14.5">
      <c r="A2621" s="20" t="s">
        <v>20438</v>
      </c>
      <c r="B2621" s="20">
        <v>30</v>
      </c>
      <c r="C2621" s="20">
        <v>59</v>
      </c>
      <c r="D2621" s="20">
        <v>72</v>
      </c>
      <c r="E2621" s="20">
        <v>57</v>
      </c>
      <c r="F2621" s="20" t="s">
        <v>20439</v>
      </c>
      <c r="G2621" s="24"/>
      <c r="H2621" s="24"/>
      <c r="I2621" s="24" t="str">
        <f ca="1">IFERROR(__xludf.DUMMYFUNCTION("GOOGLETRANSLATE(F2621,""en"",""pt"")"),"luzes do norte")</f>
        <v>luzes do norte</v>
      </c>
      <c r="J2621">
        <f>VLOOKUP(A2621,Pr_Base_LNEC!$A$4:$J$6971,6,FALSE)</f>
        <v>0</v>
      </c>
      <c r="K2621">
        <f>VLOOKUP(A2621,Pr_Base_LNEC!$A$4:$J$6971,7,FALSE)</f>
        <v>0</v>
      </c>
    </row>
    <row r="2622" spans="1:11" ht="14.5">
      <c r="A2622" s="20" t="s">
        <v>20440</v>
      </c>
      <c r="B2622" s="20">
        <v>30</v>
      </c>
      <c r="C2622" s="20">
        <v>59</v>
      </c>
      <c r="D2622" s="20">
        <v>72</v>
      </c>
      <c r="E2622" s="20">
        <v>77</v>
      </c>
      <c r="F2622" s="20" t="s">
        <v>20441</v>
      </c>
      <c r="G2622" s="24"/>
      <c r="H2622" s="24"/>
      <c r="I2622" s="24" t="str">
        <f ca="1">IFERROR(__xludf.DUMMYFUNCTION("GOOGLETRANSLATE(F2622,""en"",""pt"")"),"clarabóias")</f>
        <v>clarabóias</v>
      </c>
      <c r="J2622">
        <f>VLOOKUP(A2622,Pr_Base_LNEC!$A$4:$J$6971,6,FALSE)</f>
        <v>0</v>
      </c>
      <c r="K2622">
        <f>VLOOKUP(A2622,Pr_Base_LNEC!$A$4:$J$6971,7,FALSE)</f>
        <v>0</v>
      </c>
    </row>
    <row r="2623" spans="1:11" ht="14.5">
      <c r="A2623" s="20" t="s">
        <v>20442</v>
      </c>
      <c r="B2623" s="20">
        <v>30</v>
      </c>
      <c r="C2623" s="20">
        <v>59</v>
      </c>
      <c r="D2623" s="20">
        <v>72</v>
      </c>
      <c r="E2623" s="20">
        <v>94</v>
      </c>
      <c r="F2623" s="20" t="s">
        <v>20443</v>
      </c>
      <c r="G2623" s="20" t="s">
        <v>20444</v>
      </c>
      <c r="H2623" s="24"/>
      <c r="I2623" s="24" t="str">
        <f ca="1">IFERROR(__xludf.DUMMYFUNCTION("GOOGLETRANSLATE(F2623,""en"",""pt"")"),"Ventilação difusores tubo de luz")</f>
        <v>Ventilação difusores tubo de luz</v>
      </c>
      <c r="J2623">
        <f>VLOOKUP(A2623,Pr_Base_LNEC!$A$4:$J$6971,6,FALSE)</f>
        <v>0</v>
      </c>
      <c r="K2623">
        <f>VLOOKUP(A2623,Pr_Base_LNEC!$A$4:$J$6971,7,FALSE)</f>
        <v>0</v>
      </c>
    </row>
    <row r="2624" spans="1:11" ht="14.5">
      <c r="A2624" s="20" t="s">
        <v>20445</v>
      </c>
      <c r="B2624" s="20">
        <v>30</v>
      </c>
      <c r="C2624" s="20">
        <v>59</v>
      </c>
      <c r="D2624" s="20">
        <v>84</v>
      </c>
      <c r="E2624" s="24"/>
      <c r="F2624" s="20" t="s">
        <v>20446</v>
      </c>
      <c r="G2624" s="24"/>
      <c r="H2624" s="24"/>
      <c r="I2624" s="24" t="str">
        <f ca="1">IFERROR(__xludf.DUMMYFUNCTION("GOOGLETRANSLATE(F2624,""en"",""pt"")"),"Persianas e grades")</f>
        <v>Persianas e grades</v>
      </c>
      <c r="J2624">
        <f>VLOOKUP(A2624,Pr_Base_LNEC!$A$4:$J$6971,6,FALSE)</f>
        <v>0</v>
      </c>
      <c r="K2624">
        <f>VLOOKUP(A2624,Pr_Base_LNEC!$A$4:$J$6971,7,FALSE)</f>
        <v>0</v>
      </c>
    </row>
    <row r="2625" spans="1:11" ht="14.5">
      <c r="A2625" s="20" t="s">
        <v>20447</v>
      </c>
      <c r="B2625" s="20">
        <v>30</v>
      </c>
      <c r="C2625" s="20">
        <v>59</v>
      </c>
      <c r="D2625" s="20">
        <v>84</v>
      </c>
      <c r="E2625" s="20">
        <v>30</v>
      </c>
      <c r="F2625" s="20" t="s">
        <v>20448</v>
      </c>
      <c r="G2625" s="20" t="s">
        <v>20449</v>
      </c>
      <c r="H2625" s="24"/>
      <c r="I2625" s="24" t="str">
        <f ca="1">IFERROR(__xludf.DUMMYFUNCTION("GOOGLETRANSLATE(F2625,""en"",""pt"")"),"Fire-resistindo estores")</f>
        <v>Fire-resistindo estores</v>
      </c>
      <c r="J2625">
        <f>VLOOKUP(A2625,Pr_Base_LNEC!$A$4:$J$6971,6,FALSE)</f>
        <v>0</v>
      </c>
      <c r="K2625">
        <f>VLOOKUP(A2625,Pr_Base_LNEC!$A$4:$J$6971,7,FALSE)</f>
        <v>0</v>
      </c>
    </row>
    <row r="2626" spans="1:11" ht="14.5">
      <c r="A2626" s="20" t="s">
        <v>20450</v>
      </c>
      <c r="B2626" s="20">
        <v>30</v>
      </c>
      <c r="C2626" s="20">
        <v>59</v>
      </c>
      <c r="D2626" s="20">
        <v>84</v>
      </c>
      <c r="E2626" s="20">
        <v>72</v>
      </c>
      <c r="F2626" s="20" t="s">
        <v>20451</v>
      </c>
      <c r="G2626" s="20" t="s">
        <v>20452</v>
      </c>
      <c r="H2626" s="24"/>
      <c r="I2626" s="24" t="str">
        <f ca="1">IFERROR(__xludf.DUMMYFUNCTION("GOOGLETRANSLATE(F2626,""en"",""pt"")"),"grelhas de rolos")</f>
        <v>grelhas de rolos</v>
      </c>
      <c r="J2626">
        <f>VLOOKUP(A2626,Pr_Base_LNEC!$A$4:$J$6971,6,FALSE)</f>
        <v>0</v>
      </c>
      <c r="K2626">
        <f>VLOOKUP(A2626,Pr_Base_LNEC!$A$4:$J$6971,7,FALSE)</f>
        <v>0</v>
      </c>
    </row>
    <row r="2627" spans="1:11" ht="14.5">
      <c r="A2627" s="20" t="s">
        <v>20453</v>
      </c>
      <c r="B2627" s="20">
        <v>30</v>
      </c>
      <c r="C2627" s="20">
        <v>59</v>
      </c>
      <c r="D2627" s="20">
        <v>84</v>
      </c>
      <c r="E2627" s="20">
        <v>73</v>
      </c>
      <c r="F2627" s="20" t="s">
        <v>20454</v>
      </c>
      <c r="G2627" s="20" t="s">
        <v>20455</v>
      </c>
      <c r="H2627" s="24"/>
      <c r="I2627" s="24" t="str">
        <f ca="1">IFERROR(__xludf.DUMMYFUNCTION("GOOGLETRANSLATE(F2627,""en"",""pt"")"),"Persianas")</f>
        <v>Persianas</v>
      </c>
      <c r="J2627">
        <f>VLOOKUP(A2627,Pr_Base_LNEC!$A$4:$J$6971,6,FALSE)</f>
        <v>0</v>
      </c>
      <c r="K2627">
        <f>VLOOKUP(A2627,Pr_Base_LNEC!$A$4:$J$6971,7,FALSE)</f>
        <v>0</v>
      </c>
    </row>
    <row r="2628" spans="1:11" ht="14.5">
      <c r="A2628" s="20" t="s">
        <v>20456</v>
      </c>
      <c r="B2628" s="20">
        <v>30</v>
      </c>
      <c r="C2628" s="20">
        <v>59</v>
      </c>
      <c r="D2628" s="20">
        <v>94</v>
      </c>
      <c r="E2628" s="24"/>
      <c r="F2628" s="20" t="s">
        <v>20457</v>
      </c>
      <c r="G2628" s="24"/>
      <c r="H2628" s="24"/>
      <c r="I2628" s="24" t="str">
        <f ca="1">IFERROR(__xludf.DUMMYFUNCTION("GOOGLETRANSLATE(F2628,""en"",""pt"")"),"grelhas de ventilação")</f>
        <v>grelhas de ventilação</v>
      </c>
      <c r="J2628">
        <f>VLOOKUP(A2628,Pr_Base_LNEC!$A$4:$J$6971,6,FALSE)</f>
        <v>0</v>
      </c>
      <c r="K2628">
        <f>VLOOKUP(A2628,Pr_Base_LNEC!$A$4:$J$6971,7,FALSE)</f>
        <v>0</v>
      </c>
    </row>
    <row r="2629" spans="1:11" ht="14.5">
      <c r="A2629" s="20" t="s">
        <v>20458</v>
      </c>
      <c r="B2629" s="20">
        <v>30</v>
      </c>
      <c r="C2629" s="20">
        <v>59</v>
      </c>
      <c r="D2629" s="20">
        <v>94</v>
      </c>
      <c r="E2629" s="20">
        <v>4</v>
      </c>
      <c r="F2629" s="20" t="s">
        <v>20459</v>
      </c>
      <c r="G2629" s="24"/>
      <c r="H2629" s="24"/>
      <c r="I2629" s="24" t="str">
        <f ca="1">IFERROR(__xludf.DUMMYFUNCTION("GOOGLETRANSLATE(F2629,""en"",""pt"")"),"grelhas de ventilação do ar")</f>
        <v>grelhas de ventilação do ar</v>
      </c>
      <c r="J2629">
        <f>VLOOKUP(A2629,Pr_Base_LNEC!$A$4:$J$6971,6,FALSE)</f>
        <v>0</v>
      </c>
      <c r="K2629">
        <f>VLOOKUP(A2629,Pr_Base_LNEC!$A$4:$J$6971,7,FALSE)</f>
        <v>0</v>
      </c>
    </row>
    <row r="2630" spans="1:11" ht="14.5">
      <c r="A2630" s="20" t="s">
        <v>20460</v>
      </c>
      <c r="B2630" s="20">
        <v>30</v>
      </c>
      <c r="C2630" s="20">
        <v>59</v>
      </c>
      <c r="D2630" s="20">
        <v>94</v>
      </c>
      <c r="E2630" s="20">
        <v>6</v>
      </c>
      <c r="F2630" s="20" t="s">
        <v>20461</v>
      </c>
      <c r="G2630" s="20" t="s">
        <v>20462</v>
      </c>
      <c r="H2630" s="24"/>
      <c r="I2630" s="24" t="str">
        <f ca="1">IFERROR(__xludf.DUMMYFUNCTION("GOOGLETRANSLATE(F2630,""en"",""pt"")"),"grades de transferência de ar")</f>
        <v>grades de transferência de ar</v>
      </c>
      <c r="J2630">
        <f>VLOOKUP(A2630,Pr_Base_LNEC!$A$4:$J$6971,6,FALSE)</f>
        <v>0</v>
      </c>
      <c r="K2630">
        <f>VLOOKUP(A2630,Pr_Base_LNEC!$A$4:$J$6971,7,FALSE)</f>
        <v>0</v>
      </c>
    </row>
    <row r="2631" spans="1:11" ht="14.5">
      <c r="A2631" s="20" t="s">
        <v>20463</v>
      </c>
      <c r="B2631" s="20">
        <v>30</v>
      </c>
      <c r="C2631" s="20">
        <v>59</v>
      </c>
      <c r="D2631" s="20">
        <v>94</v>
      </c>
      <c r="E2631" s="20">
        <v>26</v>
      </c>
      <c r="F2631" s="20" t="s">
        <v>20464</v>
      </c>
      <c r="G2631" s="20" t="s">
        <v>20465</v>
      </c>
      <c r="H2631" s="24"/>
      <c r="I2631" s="24" t="str">
        <f ca="1">IFERROR(__xludf.DUMMYFUNCTION("GOOGLETRANSLATE(F2631,""en"",""pt"")"),"Eaves fascia grades")</f>
        <v>Eaves fascia grades</v>
      </c>
      <c r="J2631">
        <f>VLOOKUP(A2631,Pr_Base_LNEC!$A$4:$J$6971,6,FALSE)</f>
        <v>0</v>
      </c>
      <c r="K2631">
        <f>VLOOKUP(A2631,Pr_Base_LNEC!$A$4:$J$6971,7,FALSE)</f>
        <v>0</v>
      </c>
    </row>
    <row r="2632" spans="1:11" ht="14.5">
      <c r="A2632" s="20" t="s">
        <v>20466</v>
      </c>
      <c r="B2632" s="20">
        <v>30</v>
      </c>
      <c r="C2632" s="20">
        <v>59</v>
      </c>
      <c r="D2632" s="20">
        <v>94</v>
      </c>
      <c r="E2632" s="20">
        <v>31</v>
      </c>
      <c r="F2632" s="20" t="s">
        <v>20467</v>
      </c>
      <c r="G2632" s="20" t="s">
        <v>20468</v>
      </c>
      <c r="H2632" s="24"/>
      <c r="I2632" s="24" t="str">
        <f ca="1">IFERROR(__xludf.DUMMYFUNCTION("GOOGLETRANSLATE(F2632,""en"",""pt"")"),"grades de transferência de ar resistentes ao fogo")</f>
        <v>grades de transferência de ar resistentes ao fogo</v>
      </c>
      <c r="J2632">
        <f>VLOOKUP(A2632,Pr_Base_LNEC!$A$4:$J$6971,6,FALSE)</f>
        <v>0</v>
      </c>
      <c r="K2632">
        <f>VLOOKUP(A2632,Pr_Base_LNEC!$A$4:$J$6971,7,FALSE)</f>
        <v>0</v>
      </c>
    </row>
    <row r="2633" spans="1:11" ht="14.5">
      <c r="A2633" s="20" t="s">
        <v>20469</v>
      </c>
      <c r="B2633" s="20">
        <v>30</v>
      </c>
      <c r="C2633" s="20">
        <v>59</v>
      </c>
      <c r="D2633" s="20">
        <v>94</v>
      </c>
      <c r="E2633" s="20">
        <v>32</v>
      </c>
      <c r="F2633" s="20" t="s">
        <v>20470</v>
      </c>
      <c r="G2633" s="20" t="s">
        <v>20471</v>
      </c>
      <c r="H2633" s="24"/>
      <c r="I2633" s="24" t="str">
        <f ca="1">IFERROR(__xludf.DUMMYFUNCTION("GOOGLETRANSLATE(F2633,""en"",""pt"")"),"Fire-resistindo grades de transferência de ar com persianas de fumaça")</f>
        <v>Fire-resistindo grades de transferência de ar com persianas de fumaça</v>
      </c>
      <c r="J2633">
        <f>VLOOKUP(A2633,Pr_Base_LNEC!$A$4:$J$6971,6,FALSE)</f>
        <v>0</v>
      </c>
      <c r="K2633">
        <f>VLOOKUP(A2633,Pr_Base_LNEC!$A$4:$J$6971,7,FALSE)</f>
        <v>0</v>
      </c>
    </row>
    <row r="2634" spans="1:11" ht="14.5">
      <c r="A2634" s="20" t="s">
        <v>20472</v>
      </c>
      <c r="B2634" s="20">
        <v>30</v>
      </c>
      <c r="C2634" s="20">
        <v>59</v>
      </c>
      <c r="D2634" s="20">
        <v>94</v>
      </c>
      <c r="E2634" s="20">
        <v>78</v>
      </c>
      <c r="F2634" s="20" t="s">
        <v>20473</v>
      </c>
      <c r="G2634" s="20" t="s">
        <v>20474</v>
      </c>
      <c r="H2634" s="24"/>
      <c r="I2634" s="24" t="str">
        <f ca="1">IFERROR(__xludf.DUMMYFUNCTION("GOOGLETRANSLATE(F2634,""en"",""pt"")"),"grades intradorso")</f>
        <v>grades intradorso</v>
      </c>
      <c r="J2634">
        <f>VLOOKUP(A2634,Pr_Base_LNEC!$A$4:$J$6971,6,FALSE)</f>
        <v>0</v>
      </c>
      <c r="K2634">
        <f>VLOOKUP(A2634,Pr_Base_LNEC!$A$4:$J$6971,7,FALSE)</f>
        <v>0</v>
      </c>
    </row>
    <row r="2635" spans="1:11" ht="14.5">
      <c r="A2635" s="20" t="s">
        <v>20475</v>
      </c>
      <c r="B2635" s="20">
        <v>30</v>
      </c>
      <c r="C2635" s="20">
        <v>59</v>
      </c>
      <c r="D2635" s="20">
        <v>94</v>
      </c>
      <c r="E2635" s="20">
        <v>90</v>
      </c>
      <c r="F2635" s="20" t="s">
        <v>20476</v>
      </c>
      <c r="G2635" s="20" t="s">
        <v>20477</v>
      </c>
      <c r="H2635" s="24"/>
      <c r="I2635" s="24" t="str">
        <f ca="1">IFERROR(__xludf.DUMMYFUNCTION("GOOGLETRANSLATE(F2635,""en"",""pt"")"),"respiradouros do trickle")</f>
        <v>respiradouros do trickle</v>
      </c>
      <c r="J2635">
        <f>VLOOKUP(A2635,Pr_Base_LNEC!$A$4:$J$6971,6,FALSE)</f>
        <v>0</v>
      </c>
      <c r="K2635">
        <f>VLOOKUP(A2635,Pr_Base_LNEC!$A$4:$J$6971,7,FALSE)</f>
        <v>0</v>
      </c>
    </row>
    <row r="2636" spans="1:11" ht="14.5">
      <c r="A2636" s="20" t="s">
        <v>20478</v>
      </c>
      <c r="B2636" s="20">
        <v>30</v>
      </c>
      <c r="C2636" s="20">
        <v>59</v>
      </c>
      <c r="D2636" s="20">
        <v>96</v>
      </c>
      <c r="E2636" s="24"/>
      <c r="F2636" s="20" t="s">
        <v>20479</v>
      </c>
      <c r="G2636" s="24"/>
      <c r="H2636" s="24"/>
      <c r="I2636" s="24" t="str">
        <f ca="1">IFERROR(__xludf.DUMMYFUNCTION("GOOGLETRANSLATE(F2636,""en"",""pt"")"),"produtos de ventilação de parede")</f>
        <v>produtos de ventilação de parede</v>
      </c>
      <c r="J2636">
        <f>VLOOKUP(A2636,Pr_Base_LNEC!$A$4:$J$6971,6,FALSE)</f>
        <v>0</v>
      </c>
      <c r="K2636">
        <f>VLOOKUP(A2636,Pr_Base_LNEC!$A$4:$J$6971,7,FALSE)</f>
        <v>0</v>
      </c>
    </row>
    <row r="2637" spans="1:11" ht="14.5">
      <c r="A2637" s="20" t="s">
        <v>20480</v>
      </c>
      <c r="B2637" s="20">
        <v>30</v>
      </c>
      <c r="C2637" s="20">
        <v>59</v>
      </c>
      <c r="D2637" s="20">
        <v>96</v>
      </c>
      <c r="E2637" s="20">
        <v>11</v>
      </c>
      <c r="F2637" s="20" t="s">
        <v>20481</v>
      </c>
      <c r="G2637" s="24"/>
      <c r="H2637" s="24"/>
      <c r="I2637" s="24" t="str">
        <f ca="1">IFERROR(__xludf.DUMMYFUNCTION("GOOGLETRANSLATE(F2637,""en"",""pt"")"),"ventiladores cavidade")</f>
        <v>ventiladores cavidade</v>
      </c>
      <c r="J2637">
        <f>VLOOKUP(A2637,Pr_Base_LNEC!$A$4:$J$6971,6,FALSE)</f>
        <v>0</v>
      </c>
      <c r="K2637">
        <f>VLOOKUP(A2637,Pr_Base_LNEC!$A$4:$J$6971,7,FALSE)</f>
        <v>0</v>
      </c>
    </row>
    <row r="2638" spans="1:11" ht="14.5">
      <c r="A2638" s="20" t="s">
        <v>20482</v>
      </c>
      <c r="B2638" s="20">
        <v>30</v>
      </c>
      <c r="C2638" s="20">
        <v>59</v>
      </c>
      <c r="D2638" s="20">
        <v>96</v>
      </c>
      <c r="E2638" s="20">
        <v>33</v>
      </c>
      <c r="F2638" s="20" t="s">
        <v>20483</v>
      </c>
      <c r="G2638" s="24"/>
      <c r="H2638" s="24"/>
      <c r="I2638" s="24" t="str">
        <f ca="1">IFERROR(__xludf.DUMMYFUNCTION("GOOGLETRANSLATE(F2638,""en"",""pt"")"),"grelhas de ventilação de gás")</f>
        <v>grelhas de ventilação de gás</v>
      </c>
      <c r="J2638">
        <f>VLOOKUP(A2638,Pr_Base_LNEC!$A$4:$J$6971,6,FALSE)</f>
        <v>0</v>
      </c>
      <c r="K2638">
        <f>VLOOKUP(A2638,Pr_Base_LNEC!$A$4:$J$6971,7,FALSE)</f>
        <v>0</v>
      </c>
    </row>
    <row r="2639" spans="1:11" ht="14.5">
      <c r="A2639" s="20" t="s">
        <v>20484</v>
      </c>
      <c r="B2639" s="20">
        <v>30</v>
      </c>
      <c r="C2639" s="20">
        <v>59</v>
      </c>
      <c r="D2639" s="20">
        <v>96</v>
      </c>
      <c r="E2639" s="20">
        <v>35</v>
      </c>
      <c r="F2639" s="20" t="s">
        <v>20485</v>
      </c>
      <c r="G2639" s="24"/>
      <c r="H2639" s="24"/>
      <c r="I2639" s="24" t="str">
        <f ca="1">IFERROR(__xludf.DUMMYFUNCTION("GOOGLETRANSLATE(F2639,""en"",""pt"")"),"saídas de ventilação ao nível do solo")</f>
        <v>saídas de ventilação ao nível do solo</v>
      </c>
      <c r="J2639">
        <f>VLOOKUP(A2639,Pr_Base_LNEC!$A$4:$J$6971,6,FALSE)</f>
        <v>0</v>
      </c>
      <c r="K2639">
        <f>VLOOKUP(A2639,Pr_Base_LNEC!$A$4:$J$6971,7,FALSE)</f>
        <v>0</v>
      </c>
    </row>
    <row r="2640" spans="1:11" ht="14.5">
      <c r="A2640" s="20" t="s">
        <v>20486</v>
      </c>
      <c r="B2640" s="20">
        <v>30</v>
      </c>
      <c r="C2640" s="20">
        <v>59</v>
      </c>
      <c r="D2640" s="20">
        <v>96</v>
      </c>
      <c r="E2640" s="20">
        <v>92</v>
      </c>
      <c r="F2640" s="20" t="s">
        <v>20487</v>
      </c>
      <c r="G2640" s="20" t="s">
        <v>20488</v>
      </c>
      <c r="H2640" s="24"/>
      <c r="I2640" s="24" t="str">
        <f ca="1">IFERROR(__xludf.DUMMYFUNCTION("GOOGLETRANSLATE(F2640,""en"",""pt"")"),"As condutas de ventilação")</f>
        <v>As condutas de ventilação</v>
      </c>
      <c r="J2640">
        <f>VLOOKUP(A2640,Pr_Base_LNEC!$A$4:$J$6971,6,FALSE)</f>
        <v>0</v>
      </c>
      <c r="K2640">
        <f>VLOOKUP(A2640,Pr_Base_LNEC!$A$4:$J$6971,7,FALSE)</f>
        <v>0</v>
      </c>
    </row>
    <row r="2641" spans="1:11" ht="14.5">
      <c r="A2641" s="20" t="s">
        <v>20489</v>
      </c>
      <c r="B2641" s="20">
        <v>30</v>
      </c>
      <c r="C2641" s="20">
        <v>59</v>
      </c>
      <c r="D2641" s="20">
        <v>96</v>
      </c>
      <c r="E2641" s="20">
        <v>93</v>
      </c>
      <c r="F2641" s="20" t="s">
        <v>20490</v>
      </c>
      <c r="G2641" s="20" t="s">
        <v>20491</v>
      </c>
      <c r="H2641" s="24"/>
      <c r="I2641" s="24" t="str">
        <f ca="1">IFERROR(__xludf.DUMMYFUNCTION("GOOGLETRANSLATE(F2641,""en"",""pt"")"),"grades de ventilação")</f>
        <v>grades de ventilação</v>
      </c>
      <c r="J2641">
        <f>VLOOKUP(A2641,Pr_Base_LNEC!$A$4:$J$6971,6,FALSE)</f>
        <v>0</v>
      </c>
      <c r="K2641">
        <f>VLOOKUP(A2641,Pr_Base_LNEC!$A$4:$J$6971,7,FALSE)</f>
        <v>0</v>
      </c>
    </row>
    <row r="2642" spans="1:11" ht="14.5">
      <c r="A2642" s="20" t="s">
        <v>20492</v>
      </c>
      <c r="B2642" s="20">
        <v>30</v>
      </c>
      <c r="C2642" s="20">
        <v>59</v>
      </c>
      <c r="D2642" s="20">
        <v>96</v>
      </c>
      <c r="E2642" s="20">
        <v>96</v>
      </c>
      <c r="F2642" s="20" t="s">
        <v>20493</v>
      </c>
      <c r="G2642" s="24"/>
      <c r="H2642" s="24"/>
      <c r="I2642" s="24" t="str">
        <f ca="1">IFERROR(__xludf.DUMMYFUNCTION("GOOGLETRANSLATE(F2642,""en"",""pt"")"),"saídas de ventilação de parede")</f>
        <v>saídas de ventilação de parede</v>
      </c>
      <c r="J2642">
        <f>VLOOKUP(A2642,Pr_Base_LNEC!$A$4:$J$6971,6,FALSE)</f>
        <v>0</v>
      </c>
      <c r="K2642">
        <f>VLOOKUP(A2642,Pr_Base_LNEC!$A$4:$J$6971,7,FALSE)</f>
        <v>0</v>
      </c>
    </row>
    <row r="2643" spans="1:11" ht="14.5">
      <c r="A2643" s="20" t="s">
        <v>20494</v>
      </c>
      <c r="B2643" s="20">
        <v>30</v>
      </c>
      <c r="C2643" s="20">
        <v>59</v>
      </c>
      <c r="D2643" s="20">
        <v>97</v>
      </c>
      <c r="E2643" s="24"/>
      <c r="F2643" s="20" t="s">
        <v>20495</v>
      </c>
      <c r="G2643" s="24"/>
      <c r="H2643" s="24"/>
      <c r="I2643" s="24" t="str">
        <f ca="1">IFERROR(__xludf.DUMMYFUNCTION("GOOGLETRANSLATE(F2643,""en"",""pt"")"),"painéis de janela")</f>
        <v>painéis de janela</v>
      </c>
      <c r="J2643">
        <f>VLOOKUP(A2643,Pr_Base_LNEC!$A$4:$J$6971,6,FALSE)</f>
        <v>0</v>
      </c>
      <c r="K2643">
        <f>VLOOKUP(A2643,Pr_Base_LNEC!$A$4:$J$6971,7,FALSE)</f>
        <v>0</v>
      </c>
    </row>
    <row r="2644" spans="1:11" ht="14.5">
      <c r="A2644" s="20" t="s">
        <v>20496</v>
      </c>
      <c r="B2644" s="20">
        <v>30</v>
      </c>
      <c r="C2644" s="20">
        <v>59</v>
      </c>
      <c r="D2644" s="20">
        <v>97</v>
      </c>
      <c r="E2644" s="20">
        <v>16</v>
      </c>
      <c r="F2644" s="20" t="s">
        <v>20497</v>
      </c>
      <c r="G2644" s="20" t="s">
        <v>20498</v>
      </c>
      <c r="H2644" s="24"/>
      <c r="I2644" s="24" t="str">
        <f ca="1">IFERROR(__xludf.DUMMYFUNCTION("GOOGLETRANSLATE(F2644,""en"",""pt"")"),"painéis de janela de segurança vitrificada")</f>
        <v>painéis de janela de segurança vitrificada</v>
      </c>
      <c r="J2644">
        <f>VLOOKUP(A2644,Pr_Base_LNEC!$A$4:$J$6971,6,FALSE)</f>
        <v>0</v>
      </c>
      <c r="K2644">
        <f>VLOOKUP(A2644,Pr_Base_LNEC!$A$4:$J$6971,7,FALSE)</f>
        <v>0</v>
      </c>
    </row>
    <row r="2645" spans="1:11" ht="14.5">
      <c r="A2645" s="20" t="s">
        <v>20499</v>
      </c>
      <c r="B2645" s="20">
        <v>30</v>
      </c>
      <c r="C2645" s="20">
        <v>59</v>
      </c>
      <c r="D2645" s="20">
        <v>97</v>
      </c>
      <c r="E2645" s="20">
        <v>80</v>
      </c>
      <c r="F2645" s="20" t="s">
        <v>20500</v>
      </c>
      <c r="G2645" s="20" t="s">
        <v>20501</v>
      </c>
      <c r="H2645" s="24"/>
      <c r="I2645" s="24" t="str">
        <f ca="1">IFERROR(__xludf.DUMMYFUNCTION("GOOGLETRANSLATE(F2645,""en"",""pt"")"),"Falar através de unidades")</f>
        <v>Falar através de unidades</v>
      </c>
      <c r="J2645">
        <f>VLOOKUP(A2645,Pr_Base_LNEC!$A$4:$J$6971,6,FALSE)</f>
        <v>0</v>
      </c>
      <c r="K2645">
        <f>VLOOKUP(A2645,Pr_Base_LNEC!$A$4:$J$6971,7,FALSE)</f>
        <v>0</v>
      </c>
    </row>
    <row r="2646" spans="1:11" ht="14.5">
      <c r="A2646" s="20" t="s">
        <v>20502</v>
      </c>
      <c r="B2646" s="20">
        <v>30</v>
      </c>
      <c r="C2646" s="20">
        <v>59</v>
      </c>
      <c r="D2646" s="20">
        <v>97</v>
      </c>
      <c r="E2646" s="20">
        <v>90</v>
      </c>
      <c r="F2646" s="20" t="s">
        <v>20503</v>
      </c>
      <c r="G2646" s="20" t="s">
        <v>20504</v>
      </c>
      <c r="H2646" s="24"/>
      <c r="I2646" s="24" t="str">
        <f ca="1">IFERROR(__xludf.DUMMYFUNCTION("GOOGLETRANSLATE(F2646,""en"",""pt"")"),"unidades de transação")</f>
        <v>unidades de transação</v>
      </c>
      <c r="J2646">
        <f>VLOOKUP(A2646,Pr_Base_LNEC!$A$4:$J$6971,6,FALSE)</f>
        <v>0</v>
      </c>
      <c r="K2646">
        <f>VLOOKUP(A2646,Pr_Base_LNEC!$A$4:$J$6971,7,FALSE)</f>
        <v>0</v>
      </c>
    </row>
    <row r="2647" spans="1:11" ht="14.5">
      <c r="A2647" s="20" t="s">
        <v>20505</v>
      </c>
      <c r="B2647" s="20">
        <v>30</v>
      </c>
      <c r="C2647" s="20">
        <v>59</v>
      </c>
      <c r="D2647" s="20">
        <v>97</v>
      </c>
      <c r="E2647" s="20">
        <v>94</v>
      </c>
      <c r="F2647" s="20" t="s">
        <v>20506</v>
      </c>
      <c r="G2647" s="20" t="s">
        <v>20507</v>
      </c>
      <c r="H2647" s="24"/>
      <c r="I2647" s="24" t="str">
        <f ca="1">IFERROR(__xludf.DUMMYFUNCTION("GOOGLETRANSLATE(F2647,""en"",""pt"")"),"painéis de visão")</f>
        <v>painéis de visão</v>
      </c>
      <c r="J2647">
        <f>VLOOKUP(A2647,Pr_Base_LNEC!$A$4:$J$6971,6,FALSE)</f>
        <v>0</v>
      </c>
      <c r="K2647">
        <f>VLOOKUP(A2647,Pr_Base_LNEC!$A$4:$J$6971,7,FALSE)</f>
        <v>0</v>
      </c>
    </row>
    <row r="2648" spans="1:11" ht="14.5">
      <c r="A2648" s="20" t="s">
        <v>20508</v>
      </c>
      <c r="B2648" s="20">
        <v>30</v>
      </c>
      <c r="C2648" s="20">
        <v>59</v>
      </c>
      <c r="D2648" s="20">
        <v>98</v>
      </c>
      <c r="E2648" s="24"/>
      <c r="F2648" s="20" t="s">
        <v>20509</v>
      </c>
      <c r="G2648" s="24"/>
      <c r="H2648" s="24"/>
      <c r="I2648" s="24" t="str">
        <f ca="1">IFERROR(__xludf.DUMMYFUNCTION("GOOGLETRANSLATE(F2648,""en"",""pt"")"),"unidades de janela")</f>
        <v>unidades de janela</v>
      </c>
      <c r="J2648">
        <f>VLOOKUP(A2648,Pr_Base_LNEC!$A$4:$J$6971,6,FALSE)</f>
        <v>0</v>
      </c>
      <c r="K2648">
        <f>VLOOKUP(A2648,Pr_Base_LNEC!$A$4:$J$6971,7,FALSE)</f>
        <v>0</v>
      </c>
    </row>
    <row r="2649" spans="1:11" ht="14.5">
      <c r="A2649" s="20" t="s">
        <v>20510</v>
      </c>
      <c r="B2649" s="20">
        <v>30</v>
      </c>
      <c r="C2649" s="20">
        <v>59</v>
      </c>
      <c r="D2649" s="20">
        <v>98</v>
      </c>
      <c r="E2649" s="20">
        <v>2</v>
      </c>
      <c r="F2649" s="20" t="s">
        <v>20511</v>
      </c>
      <c r="G2649" s="20" t="s">
        <v>20512</v>
      </c>
      <c r="H2649" s="24"/>
      <c r="I2649" s="24" t="str">
        <f ca="1">IFERROR(__xludf.DUMMYFUNCTION("GOOGLETRANSLATE(F2649,""en"",""pt"")"),"unidades de janela de alumínio")</f>
        <v>unidades de janela de alumínio</v>
      </c>
      <c r="J2649">
        <f>VLOOKUP(A2649,Pr_Base_LNEC!$A$4:$J$6971,6,FALSE)</f>
        <v>0</v>
      </c>
      <c r="K2649">
        <f>VLOOKUP(A2649,Pr_Base_LNEC!$A$4:$J$6971,7,FALSE)</f>
        <v>0</v>
      </c>
    </row>
    <row r="2650" spans="1:11" ht="14.5">
      <c r="A2650" s="20" t="s">
        <v>20513</v>
      </c>
      <c r="B2650" s="20">
        <v>30</v>
      </c>
      <c r="C2650" s="20">
        <v>59</v>
      </c>
      <c r="D2650" s="20">
        <v>98</v>
      </c>
      <c r="E2650" s="20">
        <v>3</v>
      </c>
      <c r="F2650" s="20" t="s">
        <v>20514</v>
      </c>
      <c r="G2650" s="20" t="s">
        <v>20515</v>
      </c>
      <c r="H2650" s="24"/>
      <c r="I2650" s="24" t="str">
        <f ca="1">IFERROR(__xludf.DUMMYFUNCTION("GOOGLETRANSLATE(F2650,""en"",""pt"")"),"unidades de janela de armadura de telhado de alumínio")</f>
        <v>unidades de janela de armadura de telhado de alumínio</v>
      </c>
      <c r="J2650">
        <f>VLOOKUP(A2650,Pr_Base_LNEC!$A$4:$J$6971,6,FALSE)</f>
        <v>0</v>
      </c>
      <c r="K2650">
        <f>VLOOKUP(A2650,Pr_Base_LNEC!$A$4:$J$6971,7,FALSE)</f>
        <v>0</v>
      </c>
    </row>
    <row r="2651" spans="1:11" ht="14.5">
      <c r="A2651" s="20" t="s">
        <v>20516</v>
      </c>
      <c r="B2651" s="20">
        <v>30</v>
      </c>
      <c r="C2651" s="20">
        <v>59</v>
      </c>
      <c r="D2651" s="20">
        <v>98</v>
      </c>
      <c r="E2651" s="20">
        <v>15</v>
      </c>
      <c r="F2651" s="20" t="s">
        <v>20517</v>
      </c>
      <c r="G2651" s="20" t="s">
        <v>20518</v>
      </c>
      <c r="H2651" s="24"/>
      <c r="I2651" s="24" t="str">
        <f ca="1">IFERROR(__xludf.DUMMYFUNCTION("GOOGLETRANSLATE(F2651,""en"",""pt"")"),"unidades de janela Composite")</f>
        <v>unidades de janela Composite</v>
      </c>
      <c r="J2651">
        <f>VLOOKUP(A2651,Pr_Base_LNEC!$A$4:$J$6971,6,FALSE)</f>
        <v>0</v>
      </c>
      <c r="K2651">
        <f>VLOOKUP(A2651,Pr_Base_LNEC!$A$4:$J$6971,7,FALSE)</f>
        <v>0</v>
      </c>
    </row>
    <row r="2652" spans="1:11" ht="14.5">
      <c r="A2652" s="20" t="s">
        <v>20519</v>
      </c>
      <c r="B2652" s="20">
        <v>30</v>
      </c>
      <c r="C2652" s="20">
        <v>59</v>
      </c>
      <c r="D2652" s="20">
        <v>98</v>
      </c>
      <c r="E2652" s="20">
        <v>34</v>
      </c>
      <c r="F2652" s="20" t="s">
        <v>20520</v>
      </c>
      <c r="G2652" s="24"/>
      <c r="H2652" s="24"/>
      <c r="I2652" s="24" t="str">
        <f ca="1">IFERROR(__xludf.DUMMYFUNCTION("GOOGLETRANSLATE(F2652,""en"",""pt"")"),"unidades de janela de vidro do Louvre")</f>
        <v>unidades de janela de vidro do Louvre</v>
      </c>
      <c r="J2652" t="e">
        <f>VLOOKUP(A2652,Pr_Base_LNEC!$A$4:$J$6971,6,FALSE)</f>
        <v>#N/A</v>
      </c>
      <c r="K2652" t="e">
        <f>VLOOKUP(A2652,Pr_Base_LNEC!$A$4:$J$6971,7,FALSE)</f>
        <v>#N/A</v>
      </c>
    </row>
    <row r="2653" spans="1:11" ht="14.5">
      <c r="A2653" s="20" t="s">
        <v>20521</v>
      </c>
      <c r="B2653" s="20">
        <v>30</v>
      </c>
      <c r="C2653" s="20">
        <v>59</v>
      </c>
      <c r="D2653" s="20">
        <v>98</v>
      </c>
      <c r="E2653" s="20">
        <v>72</v>
      </c>
      <c r="F2653" s="20" t="s">
        <v>20522</v>
      </c>
      <c r="G2653" s="20" t="s">
        <v>20523</v>
      </c>
      <c r="H2653" s="24"/>
      <c r="I2653" s="24" t="str">
        <f ca="1">IFERROR(__xludf.DUMMYFUNCTION("GOOGLETRANSLATE(F2653,""en"",""pt"")"),"unidades de janela de armadura de telhado de poliuretano rígida")</f>
        <v>unidades de janela de armadura de telhado de poliuretano rígida</v>
      </c>
      <c r="J2653">
        <f>VLOOKUP(A2653,Pr_Base_LNEC!$A$4:$J$6971,6,FALSE)</f>
        <v>0</v>
      </c>
      <c r="K2653">
        <f>VLOOKUP(A2653,Pr_Base_LNEC!$A$4:$J$6971,7,FALSE)</f>
        <v>0</v>
      </c>
    </row>
    <row r="2654" spans="1:11" ht="14.5">
      <c r="A2654" s="20" t="s">
        <v>20524</v>
      </c>
      <c r="B2654" s="20">
        <v>30</v>
      </c>
      <c r="C2654" s="20">
        <v>59</v>
      </c>
      <c r="D2654" s="20">
        <v>98</v>
      </c>
      <c r="E2654" s="20">
        <v>83</v>
      </c>
      <c r="F2654" s="20" t="s">
        <v>20525</v>
      </c>
      <c r="G2654" s="20" t="s">
        <v>20526</v>
      </c>
      <c r="H2654" s="24"/>
      <c r="I2654" s="24" t="str">
        <f ca="1">IFERROR(__xludf.DUMMYFUNCTION("GOOGLETRANSLATE(F2654,""en"",""pt"")"),"unidades de janela de aço")</f>
        <v>unidades de janela de aço</v>
      </c>
      <c r="J2654">
        <f>VLOOKUP(A2654,Pr_Base_LNEC!$A$4:$J$6971,6,FALSE)</f>
        <v>0</v>
      </c>
      <c r="K2654">
        <f>VLOOKUP(A2654,Pr_Base_LNEC!$A$4:$J$6971,7,FALSE)</f>
        <v>0</v>
      </c>
    </row>
    <row r="2655" spans="1:11" ht="14.5">
      <c r="A2655" s="20" t="s">
        <v>20527</v>
      </c>
      <c r="B2655" s="20">
        <v>30</v>
      </c>
      <c r="C2655" s="20">
        <v>59</v>
      </c>
      <c r="D2655" s="20">
        <v>98</v>
      </c>
      <c r="E2655" s="20">
        <v>84</v>
      </c>
      <c r="F2655" s="20" t="s">
        <v>20528</v>
      </c>
      <c r="G2655" s="20" t="s">
        <v>20529</v>
      </c>
      <c r="H2655" s="24"/>
      <c r="I2655" s="24" t="str">
        <f ca="1">IFERROR(__xludf.DUMMYFUNCTION("GOOGLETRANSLATE(F2655,""en"",""pt"")"),"unidades de janela de telhado de armação de aço")</f>
        <v>unidades de janela de telhado de armação de aço</v>
      </c>
      <c r="J2655">
        <f>VLOOKUP(A2655,Pr_Base_LNEC!$A$4:$J$6971,6,FALSE)</f>
        <v>0</v>
      </c>
      <c r="K2655">
        <f>VLOOKUP(A2655,Pr_Base_LNEC!$A$4:$J$6971,7,FALSE)</f>
        <v>0</v>
      </c>
    </row>
    <row r="2656" spans="1:11" ht="14.5">
      <c r="A2656" s="20" t="s">
        <v>20530</v>
      </c>
      <c r="B2656" s="20">
        <v>30</v>
      </c>
      <c r="C2656" s="20">
        <v>59</v>
      </c>
      <c r="D2656" s="20">
        <v>98</v>
      </c>
      <c r="E2656" s="20">
        <v>92</v>
      </c>
      <c r="F2656" s="20" t="s">
        <v>20531</v>
      </c>
      <c r="G2656" s="20" t="s">
        <v>20532</v>
      </c>
      <c r="H2656" s="24"/>
      <c r="I2656" s="24" t="str">
        <f ca="1">IFERROR(__xludf.DUMMYFUNCTION("GOOGLETRANSLATE(F2656,""en"",""pt"")"),"de cloreto de polivinilo não plastificado unidades de janela (PVC-U)")</f>
        <v>de cloreto de polivinilo não plastificado unidades de janela (PVC-U)</v>
      </c>
      <c r="J2656">
        <f>VLOOKUP(A2656,Pr_Base_LNEC!$A$4:$J$6971,6,FALSE)</f>
        <v>0</v>
      </c>
      <c r="K2656">
        <f>VLOOKUP(A2656,Pr_Base_LNEC!$A$4:$J$6971,7,FALSE)</f>
        <v>0</v>
      </c>
    </row>
    <row r="2657" spans="1:11" ht="14.5">
      <c r="A2657" s="20" t="s">
        <v>20533</v>
      </c>
      <c r="B2657" s="20">
        <v>30</v>
      </c>
      <c r="C2657" s="20">
        <v>59</v>
      </c>
      <c r="D2657" s="20">
        <v>98</v>
      </c>
      <c r="E2657" s="20">
        <v>93</v>
      </c>
      <c r="F2657" s="20" t="s">
        <v>20534</v>
      </c>
      <c r="G2657" s="20" t="s">
        <v>20535</v>
      </c>
      <c r="H2657" s="24"/>
      <c r="I2657" s="24" t="str">
        <f ca="1">IFERROR(__xludf.DUMMYFUNCTION("GOOGLETRANSLATE(F2657,""en"",""pt"")"),"de cloreto de polivinilo não plastificado unidades de janela de telhado (PVC-U)")</f>
        <v>de cloreto de polivinilo não plastificado unidades de janela de telhado (PVC-U)</v>
      </c>
      <c r="J2657" t="e">
        <f>VLOOKUP(A2657,Pr_Base_LNEC!$A$4:$J$6971,6,FALSE)</f>
        <v>#N/A</v>
      </c>
      <c r="K2657" t="e">
        <f>VLOOKUP(A2657,Pr_Base_LNEC!$A$4:$J$6971,7,FALSE)</f>
        <v>#N/A</v>
      </c>
    </row>
    <row r="2658" spans="1:11" ht="14.5">
      <c r="A2658" s="20" t="s">
        <v>20536</v>
      </c>
      <c r="B2658" s="20">
        <v>30</v>
      </c>
      <c r="C2658" s="20">
        <v>59</v>
      </c>
      <c r="D2658" s="20">
        <v>98</v>
      </c>
      <c r="E2658" s="20">
        <v>96</v>
      </c>
      <c r="F2658" s="20" t="s">
        <v>20537</v>
      </c>
      <c r="G2658" s="20" t="s">
        <v>20538</v>
      </c>
      <c r="H2658" s="24"/>
      <c r="I2658" s="24" t="str">
        <f ca="1">IFERROR(__xludf.DUMMYFUNCTION("GOOGLETRANSLATE(F2658,""en"",""pt"")"),"unidades de janela de madeira")</f>
        <v>unidades de janela de madeira</v>
      </c>
      <c r="J2658">
        <f>VLOOKUP(A2658,Pr_Base_LNEC!$A$4:$J$6971,6,FALSE)</f>
        <v>0</v>
      </c>
      <c r="K2658">
        <f>VLOOKUP(A2658,Pr_Base_LNEC!$A$4:$J$6971,7,FALSE)</f>
        <v>0</v>
      </c>
    </row>
    <row r="2659" spans="1:11" ht="14.5">
      <c r="A2659" s="20" t="s">
        <v>20539</v>
      </c>
      <c r="B2659" s="20">
        <v>30</v>
      </c>
      <c r="C2659" s="20">
        <v>59</v>
      </c>
      <c r="D2659" s="20">
        <v>98</v>
      </c>
      <c r="E2659" s="20">
        <v>97</v>
      </c>
      <c r="F2659" s="20" t="s">
        <v>20540</v>
      </c>
      <c r="G2659" s="20" t="s">
        <v>20541</v>
      </c>
      <c r="H2659" s="24"/>
      <c r="I2659" s="24" t="str">
        <f ca="1">IFERROR(__xludf.DUMMYFUNCTION("GOOGLETRANSLATE(F2659,""en"",""pt"")"),"unidades de janela de armadura de telhado de madeira")</f>
        <v>unidades de janela de armadura de telhado de madeira</v>
      </c>
      <c r="J2659">
        <f>VLOOKUP(A2659,Pr_Base_LNEC!$A$4:$J$6971,6,FALSE)</f>
        <v>0</v>
      </c>
      <c r="K2659">
        <f>VLOOKUP(A2659,Pr_Base_LNEC!$A$4:$J$6971,7,FALSE)</f>
        <v>0</v>
      </c>
    </row>
    <row r="2660" spans="1:11" ht="14.5">
      <c r="A2660" s="20" t="s">
        <v>20542</v>
      </c>
      <c r="B2660" s="20">
        <v>30</v>
      </c>
      <c r="C2660" s="20">
        <v>59</v>
      </c>
      <c r="D2660" s="20">
        <v>99</v>
      </c>
      <c r="E2660" s="24"/>
      <c r="F2660" s="20" t="s">
        <v>20543</v>
      </c>
      <c r="G2660" s="24"/>
      <c r="H2660" s="24"/>
      <c r="I2660" s="24" t="str">
        <f ca="1">IFERROR(__xludf.DUMMYFUNCTION("GOOGLETRANSLATE(F2660,""en"",""pt"")"),"paredes janela")</f>
        <v>paredes janela</v>
      </c>
      <c r="J2660">
        <f>VLOOKUP(A2660,Pr_Base_LNEC!$A$4:$J$6971,6,FALSE)</f>
        <v>0</v>
      </c>
      <c r="K2660">
        <f>VLOOKUP(A2660,Pr_Base_LNEC!$A$4:$J$6971,7,FALSE)</f>
        <v>0</v>
      </c>
    </row>
    <row r="2661" spans="1:11" ht="14.5">
      <c r="A2661" s="20" t="s">
        <v>20544</v>
      </c>
      <c r="B2661" s="20">
        <v>30</v>
      </c>
      <c r="C2661" s="20">
        <v>59</v>
      </c>
      <c r="D2661" s="20">
        <v>99</v>
      </c>
      <c r="E2661" s="20">
        <v>2</v>
      </c>
      <c r="F2661" s="20" t="s">
        <v>20545</v>
      </c>
      <c r="G2661" s="20" t="s">
        <v>20546</v>
      </c>
      <c r="H2661" s="24"/>
      <c r="I2661" s="24" t="str">
        <f ca="1">IFERROR(__xludf.DUMMYFUNCTION("GOOGLETRANSLATE(F2661,""en"",""pt"")"),"paredes janela de alumínio")</f>
        <v>paredes janela de alumínio</v>
      </c>
      <c r="J2661">
        <f>VLOOKUP(A2661,Pr_Base_LNEC!$A$4:$J$6971,6,FALSE)</f>
        <v>0</v>
      </c>
      <c r="K2661">
        <f>VLOOKUP(A2661,Pr_Base_LNEC!$A$4:$J$6971,7,FALSE)</f>
        <v>0</v>
      </c>
    </row>
    <row r="2662" spans="1:11" ht="14.5">
      <c r="A2662" s="20" t="s">
        <v>20547</v>
      </c>
      <c r="B2662" s="20">
        <v>30</v>
      </c>
      <c r="C2662" s="20">
        <v>59</v>
      </c>
      <c r="D2662" s="20">
        <v>99</v>
      </c>
      <c r="E2662" s="20">
        <v>15</v>
      </c>
      <c r="F2662" s="20" t="s">
        <v>20548</v>
      </c>
      <c r="G2662" s="20" t="s">
        <v>20549</v>
      </c>
      <c r="H2662" s="24"/>
      <c r="I2662" s="24" t="str">
        <f ca="1">IFERROR(__xludf.DUMMYFUNCTION("GOOGLETRANSLATE(F2662,""en"",""pt"")"),"paredes janela compósitos")</f>
        <v>paredes janela compósitos</v>
      </c>
      <c r="J2662">
        <f>VLOOKUP(A2662,Pr_Base_LNEC!$A$4:$J$6971,6,FALSE)</f>
        <v>0</v>
      </c>
      <c r="K2662">
        <f>VLOOKUP(A2662,Pr_Base_LNEC!$A$4:$J$6971,7,FALSE)</f>
        <v>0</v>
      </c>
    </row>
    <row r="2663" spans="1:11" ht="14.5">
      <c r="A2663" s="20" t="s">
        <v>20550</v>
      </c>
      <c r="B2663" s="20">
        <v>30</v>
      </c>
      <c r="C2663" s="20">
        <v>59</v>
      </c>
      <c r="D2663" s="20">
        <v>99</v>
      </c>
      <c r="E2663" s="20">
        <v>83</v>
      </c>
      <c r="F2663" s="20" t="s">
        <v>20551</v>
      </c>
      <c r="G2663" s="20" t="s">
        <v>20552</v>
      </c>
      <c r="H2663" s="24"/>
      <c r="I2663" s="24" t="str">
        <f ca="1">IFERROR(__xludf.DUMMYFUNCTION("GOOGLETRANSLATE(F2663,""en"",""pt"")"),"paredes janela de aço")</f>
        <v>paredes janela de aço</v>
      </c>
      <c r="J2663">
        <f>VLOOKUP(A2663,Pr_Base_LNEC!$A$4:$J$6971,6,FALSE)</f>
        <v>0</v>
      </c>
      <c r="K2663">
        <f>VLOOKUP(A2663,Pr_Base_LNEC!$A$4:$J$6971,7,FALSE)</f>
        <v>0</v>
      </c>
    </row>
    <row r="2664" spans="1:11" ht="14.5">
      <c r="A2664" s="20" t="s">
        <v>20553</v>
      </c>
      <c r="B2664" s="20">
        <v>30</v>
      </c>
      <c r="C2664" s="20">
        <v>59</v>
      </c>
      <c r="D2664" s="20">
        <v>99</v>
      </c>
      <c r="E2664" s="20">
        <v>92</v>
      </c>
      <c r="F2664" s="20" t="s">
        <v>20554</v>
      </c>
      <c r="G2664" s="20" t="s">
        <v>20555</v>
      </c>
      <c r="H2664" s="24"/>
      <c r="I2664" s="24" t="str">
        <f ca="1">IFERROR(__xludf.DUMMYFUNCTION("GOOGLETRANSLATE(F2664,""en"",""pt"")"),"cloreto de polivinilo não plastificado (PVC-U) paredes janela")</f>
        <v>cloreto de polivinilo não plastificado (PVC-U) paredes janela</v>
      </c>
      <c r="J2664">
        <f>VLOOKUP(A2664,Pr_Base_LNEC!$A$4:$J$6971,6,FALSE)</f>
        <v>0</v>
      </c>
      <c r="K2664">
        <f>VLOOKUP(A2664,Pr_Base_LNEC!$A$4:$J$6971,7,FALSE)</f>
        <v>0</v>
      </c>
    </row>
    <row r="2665" spans="1:11" ht="14.5">
      <c r="A2665" s="20" t="s">
        <v>20556</v>
      </c>
      <c r="B2665" s="20">
        <v>30</v>
      </c>
      <c r="C2665" s="20">
        <v>59</v>
      </c>
      <c r="D2665" s="20">
        <v>99</v>
      </c>
      <c r="E2665" s="20">
        <v>96</v>
      </c>
      <c r="F2665" s="20" t="s">
        <v>20557</v>
      </c>
      <c r="G2665" s="20" t="s">
        <v>20558</v>
      </c>
      <c r="H2665" s="24"/>
      <c r="I2665" s="24" t="str">
        <f ca="1">IFERROR(__xludf.DUMMYFUNCTION("GOOGLETRANSLATE(F2665,""en"",""pt"")"),"paredes janelas madeira")</f>
        <v>paredes janelas madeira</v>
      </c>
      <c r="J2665">
        <f>VLOOKUP(A2665,Pr_Base_LNEC!$A$4:$J$6971,6,FALSE)</f>
        <v>0</v>
      </c>
      <c r="K2665">
        <f>VLOOKUP(A2665,Pr_Base_LNEC!$A$4:$J$6971,7,FALSE)</f>
        <v>0</v>
      </c>
    </row>
    <row r="2666" spans="1:11" ht="14.5">
      <c r="A2666" s="20" t="s">
        <v>20559</v>
      </c>
      <c r="B2666" s="20">
        <v>35</v>
      </c>
      <c r="C2666" s="24"/>
      <c r="D2666" s="24"/>
      <c r="E2666" s="24"/>
      <c r="F2666" s="20" t="s">
        <v>20560</v>
      </c>
      <c r="G2666" s="24"/>
      <c r="H2666" s="24"/>
      <c r="I2666" s="24" t="str">
        <f ca="1">IFERROR(__xludf.DUMMYFUNCTION("GOOGLETRANSLATE(F2666,""en"",""pt"")"),"Cobertura e acabamento de produtos")</f>
        <v>Cobertura e acabamento de produtos</v>
      </c>
      <c r="J2666" t="str">
        <f>VLOOKUP(A2666,Pr_Base_LNEC!$A$4:$J$6971,6,FALSE)</f>
        <v>Produtos para Revestimento e Acabamento</v>
      </c>
      <c r="K2666">
        <f>VLOOKUP(A2666,Pr_Base_LNEC!$A$4:$J$6971,7,FALSE)</f>
        <v>0</v>
      </c>
    </row>
    <row r="2667" spans="1:11" ht="14.5">
      <c r="A2667" s="20" t="s">
        <v>20561</v>
      </c>
      <c r="B2667" s="20">
        <v>35</v>
      </c>
      <c r="C2667" s="20">
        <v>31</v>
      </c>
      <c r="D2667" s="24"/>
      <c r="E2667" s="24"/>
      <c r="F2667" s="20" t="s">
        <v>20562</v>
      </c>
      <c r="G2667" s="24"/>
      <c r="H2667" s="24"/>
      <c r="I2667" s="24" t="str">
        <f ca="1">IFERROR(__xludf.DUMMYFUNCTION("GOOGLETRANSLATE(F2667,""en"",""pt"")"),"cobertura sem forma e produtos de acabamento")</f>
        <v>cobertura sem forma e produtos de acabamento</v>
      </c>
      <c r="J2667" t="str">
        <f>VLOOKUP(A2667,Pr_Base_LNEC!$A$4:$J$6971,6,FALSE)</f>
        <v>Produtos para Revestimento e Acabamento sem forma</v>
      </c>
      <c r="K2667">
        <f>VLOOKUP(A2667,Pr_Base_LNEC!$A$4:$J$6971,7,FALSE)</f>
        <v>0</v>
      </c>
    </row>
    <row r="2668" spans="1:11" ht="14.5">
      <c r="A2668" s="20" t="s">
        <v>20563</v>
      </c>
      <c r="B2668" s="20">
        <v>35</v>
      </c>
      <c r="C2668" s="20">
        <v>31</v>
      </c>
      <c r="D2668" s="20">
        <v>5</v>
      </c>
      <c r="E2668" s="24"/>
      <c r="F2668" s="20" t="s">
        <v>20564</v>
      </c>
      <c r="G2668" s="24"/>
      <c r="H2668" s="24"/>
      <c r="I2668" s="24" t="str">
        <f ca="1">IFERROR(__xludf.DUMMYFUNCTION("GOOGLETRANSLATE(F2668,""en"",""pt"")"),"Asfalto, betume e misturas de resina")</f>
        <v>Asfalto, betume e misturas de resina</v>
      </c>
      <c r="J2668">
        <f>VLOOKUP(A2668,Pr_Base_LNEC!$A$4:$J$6971,6,FALSE)</f>
        <v>0</v>
      </c>
      <c r="K2668">
        <f>VLOOKUP(A2668,Pr_Base_LNEC!$A$4:$J$6971,7,FALSE)</f>
        <v>0</v>
      </c>
    </row>
    <row r="2669" spans="1:11" ht="14.5">
      <c r="A2669" s="20" t="s">
        <v>20565</v>
      </c>
      <c r="B2669" s="20">
        <v>35</v>
      </c>
      <c r="C2669" s="20">
        <v>31</v>
      </c>
      <c r="D2669" s="20">
        <v>5</v>
      </c>
      <c r="E2669" s="20">
        <v>3</v>
      </c>
      <c r="F2669" s="20" t="s">
        <v>20566</v>
      </c>
      <c r="G2669" s="20" t="s">
        <v>20567</v>
      </c>
      <c r="H2669" s="24"/>
      <c r="I2669" s="24" t="str">
        <f ca="1">IFERROR(__xludf.DUMMYFUNCTION("GOOGLETRANSLATE(F2669,""en"",""pt"")"),"Asfalto-concreto (AC) cursos de base")</f>
        <v>Asfalto-concreto (AC) cursos de base</v>
      </c>
      <c r="J2669">
        <f>VLOOKUP(A2669,Pr_Base_LNEC!$A$4:$J$6971,6,FALSE)</f>
        <v>0</v>
      </c>
      <c r="K2669">
        <f>VLOOKUP(A2669,Pr_Base_LNEC!$A$4:$J$6971,7,FALSE)</f>
        <v>0</v>
      </c>
    </row>
    <row r="2670" spans="1:11" ht="14.5">
      <c r="A2670" s="20" t="s">
        <v>20568</v>
      </c>
      <c r="B2670" s="20">
        <v>35</v>
      </c>
      <c r="C2670" s="20">
        <v>31</v>
      </c>
      <c r="D2670" s="20">
        <v>5</v>
      </c>
      <c r="E2670" s="20">
        <v>4</v>
      </c>
      <c r="F2670" s="20" t="s">
        <v>20569</v>
      </c>
      <c r="G2670" s="20" t="s">
        <v>20570</v>
      </c>
      <c r="H2670" s="24"/>
      <c r="I2670" s="24" t="str">
        <f ca="1">IFERROR(__xludf.DUMMYFUNCTION("GOOGLETRANSLATE(F2670,""en"",""pt"")"),"Asfalto-concreto (AC) binder")</f>
        <v>Asfalto-concreto (AC) binder</v>
      </c>
      <c r="J2670">
        <f>VLOOKUP(A2670,Pr_Base_LNEC!$A$4:$J$6971,6,FALSE)</f>
        <v>0</v>
      </c>
      <c r="K2670">
        <f>VLOOKUP(A2670,Pr_Base_LNEC!$A$4:$J$6971,7,FALSE)</f>
        <v>0</v>
      </c>
    </row>
    <row r="2671" spans="1:11" ht="14.5">
      <c r="A2671" s="20" t="s">
        <v>20571</v>
      </c>
      <c r="B2671" s="20">
        <v>35</v>
      </c>
      <c r="C2671" s="20">
        <v>31</v>
      </c>
      <c r="D2671" s="20">
        <v>5</v>
      </c>
      <c r="E2671" s="20">
        <v>5</v>
      </c>
      <c r="F2671" s="20" t="s">
        <v>20572</v>
      </c>
      <c r="G2671" s="20" t="s">
        <v>20573</v>
      </c>
      <c r="H2671" s="24"/>
      <c r="I2671" s="24" t="str">
        <f ca="1">IFERROR(__xludf.DUMMYFUNCTION("GOOGLETRANSLATE(F2671,""en"",""pt"")"),"Asfalto-concreto (AC) cursos de superfície")</f>
        <v>Asfalto-concreto (AC) cursos de superfície</v>
      </c>
      <c r="J2671">
        <f>VLOOKUP(A2671,Pr_Base_LNEC!$A$4:$J$6971,6,FALSE)</f>
        <v>0</v>
      </c>
      <c r="K2671">
        <f>VLOOKUP(A2671,Pr_Base_LNEC!$A$4:$J$6971,7,FALSE)</f>
        <v>0</v>
      </c>
    </row>
    <row r="2672" spans="1:11" ht="14.5">
      <c r="A2672" s="20" t="s">
        <v>20574</v>
      </c>
      <c r="B2672" s="20">
        <v>35</v>
      </c>
      <c r="C2672" s="20">
        <v>31</v>
      </c>
      <c r="D2672" s="20">
        <v>5</v>
      </c>
      <c r="E2672" s="20">
        <v>7</v>
      </c>
      <c r="F2672" s="20" t="s">
        <v>20575</v>
      </c>
      <c r="G2672" s="20" t="s">
        <v>20576</v>
      </c>
      <c r="H2672" s="24"/>
      <c r="I2672" s="24" t="str">
        <f ca="1">IFERROR(__xludf.DUMMYFUNCTION("GOOGLETRANSLATE(F2672,""en"",""pt"")"),"Betume fragmentos revestidos")</f>
        <v>Betume fragmentos revestidos</v>
      </c>
      <c r="J2672">
        <f>VLOOKUP(A2672,Pr_Base_LNEC!$A$4:$J$6971,6,FALSE)</f>
        <v>0</v>
      </c>
      <c r="K2672">
        <f>VLOOKUP(A2672,Pr_Base_LNEC!$A$4:$J$6971,7,FALSE)</f>
        <v>0</v>
      </c>
    </row>
    <row r="2673" spans="1:11" ht="14.5">
      <c r="A2673" s="20" t="s">
        <v>20577</v>
      </c>
      <c r="B2673" s="20">
        <v>35</v>
      </c>
      <c r="C2673" s="20">
        <v>31</v>
      </c>
      <c r="D2673" s="20">
        <v>5</v>
      </c>
      <c r="E2673" s="20">
        <v>8</v>
      </c>
      <c r="F2673" s="20" t="s">
        <v>20578</v>
      </c>
      <c r="G2673" s="20" t="s">
        <v>20579</v>
      </c>
      <c r="H2673" s="24"/>
      <c r="I2673" s="24" t="str">
        <f ca="1">IFERROR(__xludf.DUMMYFUNCTION("GOOGLETRANSLATE(F2673,""en"",""pt"")"),"Betume matrizes de fibra de vidro e da emulsão de sanduíche")</f>
        <v>Betume matrizes de fibra de vidro e da emulsão de sanduíche</v>
      </c>
      <c r="J2673">
        <f>VLOOKUP(A2673,Pr_Base_LNEC!$A$4:$J$6971,6,FALSE)</f>
        <v>0</v>
      </c>
      <c r="K2673">
        <f>VLOOKUP(A2673,Pr_Base_LNEC!$A$4:$J$6971,7,FALSE)</f>
        <v>0</v>
      </c>
    </row>
    <row r="2674" spans="1:11" ht="14.5">
      <c r="A2674" s="20" t="s">
        <v>20580</v>
      </c>
      <c r="B2674" s="20">
        <v>35</v>
      </c>
      <c r="C2674" s="20">
        <v>31</v>
      </c>
      <c r="D2674" s="20">
        <v>5</v>
      </c>
      <c r="E2674" s="20">
        <v>10</v>
      </c>
      <c r="F2674" s="20" t="s">
        <v>20581</v>
      </c>
      <c r="G2674" s="20" t="s">
        <v>20582</v>
      </c>
      <c r="H2674" s="24"/>
      <c r="I2674" s="24" t="str">
        <f ca="1">IFERROR(__xludf.DUMMYFUNCTION("GOOGLETRANSLATE(F2674,""en"",""pt"")"),"surfacings grão ligados")</f>
        <v>surfacings grão ligados</v>
      </c>
      <c r="J2674">
        <f>VLOOKUP(A2674,Pr_Base_LNEC!$A$4:$J$6971,6,FALSE)</f>
        <v>0</v>
      </c>
      <c r="K2674">
        <f>VLOOKUP(A2674,Pr_Base_LNEC!$A$4:$J$6971,7,FALSE)</f>
        <v>0</v>
      </c>
    </row>
    <row r="2675" spans="1:11" ht="14.5">
      <c r="A2675" s="20" t="s">
        <v>20583</v>
      </c>
      <c r="B2675" s="20">
        <v>35</v>
      </c>
      <c r="C2675" s="20">
        <v>31</v>
      </c>
      <c r="D2675" s="20">
        <v>5</v>
      </c>
      <c r="E2675" s="20">
        <v>19</v>
      </c>
      <c r="F2675" s="20" t="s">
        <v>20584</v>
      </c>
      <c r="G2675" s="20" t="s">
        <v>20585</v>
      </c>
      <c r="H2675" s="24"/>
      <c r="I2675" s="24" t="str">
        <f ca="1">IFERROR(__xludf.DUMMYFUNCTION("GOOGLETRANSLATE(F2675,""en"",""pt"")"),"Cut-back e betume fluxado ligantes")</f>
        <v>Cut-back e betume fluxado ligantes</v>
      </c>
      <c r="J2675">
        <f>VLOOKUP(A2675,Pr_Base_LNEC!$A$4:$J$6971,6,FALSE)</f>
        <v>0</v>
      </c>
      <c r="K2675">
        <f>VLOOKUP(A2675,Pr_Base_LNEC!$A$4:$J$6971,7,FALSE)</f>
        <v>0</v>
      </c>
    </row>
    <row r="2676" spans="1:11" ht="14.5">
      <c r="A2676" s="20" t="s">
        <v>20586</v>
      </c>
      <c r="B2676" s="20">
        <v>35</v>
      </c>
      <c r="C2676" s="20">
        <v>31</v>
      </c>
      <c r="D2676" s="20">
        <v>5</v>
      </c>
      <c r="E2676" s="20">
        <v>36</v>
      </c>
      <c r="F2676" s="20" t="s">
        <v>20587</v>
      </c>
      <c r="G2676" s="20" t="s">
        <v>20588</v>
      </c>
      <c r="H2676" s="24"/>
      <c r="I2676" s="24" t="str">
        <f ca="1">IFERROR(__xludf.DUMMYFUNCTION("GOOGLETRANSLATE(F2676,""en"",""pt"")"),"betume rígidos pavimentação de grau")</f>
        <v>betume rígidos pavimentação de grau</v>
      </c>
      <c r="J2676">
        <f>VLOOKUP(A2676,Pr_Base_LNEC!$A$4:$J$6971,6,FALSE)</f>
        <v>0</v>
      </c>
      <c r="K2676">
        <f>VLOOKUP(A2676,Pr_Base_LNEC!$A$4:$J$6971,7,FALSE)</f>
        <v>0</v>
      </c>
    </row>
    <row r="2677" spans="1:11" ht="14.5">
      <c r="A2677" s="20" t="s">
        <v>20589</v>
      </c>
      <c r="B2677" s="20">
        <v>35</v>
      </c>
      <c r="C2677" s="20">
        <v>31</v>
      </c>
      <c r="D2677" s="20">
        <v>5</v>
      </c>
      <c r="E2677" s="20">
        <v>37</v>
      </c>
      <c r="F2677" s="20" t="s">
        <v>20590</v>
      </c>
      <c r="G2677" s="20" t="s">
        <v>20591</v>
      </c>
      <c r="H2677" s="24"/>
      <c r="I2677" s="24" t="str">
        <f ca="1">IFERROR(__xludf.DUMMYFUNCTION("GOOGLETRANSLATE(F2677,""en"",""pt"")"),"Hot-aplicado oxidado betume revestimentos")</f>
        <v>Hot-aplicado oxidado betume revestimentos</v>
      </c>
      <c r="J2677">
        <f>VLOOKUP(A2677,Pr_Base_LNEC!$A$4:$J$6971,6,FALSE)</f>
        <v>0</v>
      </c>
      <c r="K2677">
        <f>VLOOKUP(A2677,Pr_Base_LNEC!$A$4:$J$6971,7,FALSE)</f>
        <v>0</v>
      </c>
    </row>
    <row r="2678" spans="1:11" ht="14.5">
      <c r="A2678" s="20" t="s">
        <v>20592</v>
      </c>
      <c r="B2678" s="20">
        <v>35</v>
      </c>
      <c r="C2678" s="20">
        <v>31</v>
      </c>
      <c r="D2678" s="20">
        <v>5</v>
      </c>
      <c r="E2678" s="20">
        <v>38</v>
      </c>
      <c r="F2678" s="20" t="s">
        <v>20593</v>
      </c>
      <c r="G2678" s="20" t="s">
        <v>20594</v>
      </c>
      <c r="H2678" s="24"/>
      <c r="I2678" s="24" t="str">
        <f ca="1">IFERROR(__xludf.DUMMYFUNCTION("GOOGLETRANSLATE(F2678,""en"",""pt"")"),"asfalto a quente de aço (HRA) cursos de base")</f>
        <v>asfalto a quente de aço (HRA) cursos de base</v>
      </c>
      <c r="J2678">
        <f>VLOOKUP(A2678,Pr_Base_LNEC!$A$4:$J$6971,6,FALSE)</f>
        <v>0</v>
      </c>
      <c r="K2678">
        <f>VLOOKUP(A2678,Pr_Base_LNEC!$A$4:$J$6971,7,FALSE)</f>
        <v>0</v>
      </c>
    </row>
    <row r="2679" spans="1:11" ht="14.5">
      <c r="A2679" s="20" t="s">
        <v>20595</v>
      </c>
      <c r="B2679" s="20">
        <v>35</v>
      </c>
      <c r="C2679" s="20">
        <v>31</v>
      </c>
      <c r="D2679" s="20">
        <v>5</v>
      </c>
      <c r="E2679" s="20">
        <v>39</v>
      </c>
      <c r="F2679" s="20" t="s">
        <v>20596</v>
      </c>
      <c r="G2679" s="20" t="s">
        <v>20597</v>
      </c>
      <c r="H2679" s="24"/>
      <c r="I2679" s="24" t="str">
        <f ca="1">IFERROR(__xludf.DUMMYFUNCTION("GOOGLETRANSLATE(F2679,""en"",""pt"")"),"de asfalto a quente de aço (HRA) binder")</f>
        <v>de asfalto a quente de aço (HRA) binder</v>
      </c>
      <c r="J2679">
        <f>VLOOKUP(A2679,Pr_Base_LNEC!$A$4:$J$6971,6,FALSE)</f>
        <v>0</v>
      </c>
      <c r="K2679">
        <f>VLOOKUP(A2679,Pr_Base_LNEC!$A$4:$J$6971,7,FALSE)</f>
        <v>0</v>
      </c>
    </row>
    <row r="2680" spans="1:11" ht="14.5">
      <c r="A2680" s="20" t="s">
        <v>20598</v>
      </c>
      <c r="B2680" s="20">
        <v>35</v>
      </c>
      <c r="C2680" s="20">
        <v>31</v>
      </c>
      <c r="D2680" s="20">
        <v>5</v>
      </c>
      <c r="E2680" s="20">
        <v>40</v>
      </c>
      <c r="F2680" s="20" t="s">
        <v>20599</v>
      </c>
      <c r="G2680" s="20" t="s">
        <v>20600</v>
      </c>
      <c r="H2680" s="24"/>
      <c r="I2680" s="24" t="str">
        <f ca="1">IFERROR(__xludf.DUMMYFUNCTION("GOOGLETRANSLATE(F2680,""en"",""pt"")"),"Laminados a quente de asfalto (HRA) cursos de superfície e suspensões")</f>
        <v>Laminados a quente de asfalto (HRA) cursos de superfície e suspensões</v>
      </c>
      <c r="J2680">
        <f>VLOOKUP(A2680,Pr_Base_LNEC!$A$4:$J$6971,6,FALSE)</f>
        <v>0</v>
      </c>
      <c r="K2680">
        <f>VLOOKUP(A2680,Pr_Base_LNEC!$A$4:$J$6971,7,FALSE)</f>
        <v>0</v>
      </c>
    </row>
    <row r="2681" spans="1:11" ht="14.5">
      <c r="A2681" s="20" t="s">
        <v>20601</v>
      </c>
      <c r="B2681" s="20">
        <v>35</v>
      </c>
      <c r="C2681" s="20">
        <v>31</v>
      </c>
      <c r="D2681" s="20">
        <v>5</v>
      </c>
      <c r="E2681" s="20">
        <v>42</v>
      </c>
      <c r="F2681" s="20" t="s">
        <v>20602</v>
      </c>
      <c r="G2681" s="20" t="s">
        <v>20603</v>
      </c>
      <c r="H2681" s="24"/>
      <c r="I2681" s="24" t="str">
        <f ca="1">IFERROR(__xludf.DUMMYFUNCTION("GOOGLETRANSLATE(F2681,""en"",""pt"")"),"Impermeáveis ​​surfacings esportes texturizados")</f>
        <v>Impermeáveis ​​surfacings esportes texturizados</v>
      </c>
      <c r="J2681">
        <f>VLOOKUP(A2681,Pr_Base_LNEC!$A$4:$J$6971,6,FALSE)</f>
        <v>0</v>
      </c>
      <c r="K2681">
        <f>VLOOKUP(A2681,Pr_Base_LNEC!$A$4:$J$6971,7,FALSE)</f>
        <v>0</v>
      </c>
    </row>
    <row r="2682" spans="1:11" ht="14.5">
      <c r="A2682" s="20" t="s">
        <v>20604</v>
      </c>
      <c r="B2682" s="20">
        <v>35</v>
      </c>
      <c r="C2682" s="20">
        <v>31</v>
      </c>
      <c r="D2682" s="20">
        <v>5</v>
      </c>
      <c r="E2682" s="20">
        <v>50</v>
      </c>
      <c r="F2682" s="20" t="s">
        <v>20605</v>
      </c>
      <c r="G2682" s="20" t="s">
        <v>20606</v>
      </c>
      <c r="H2682" s="24"/>
      <c r="I2682" s="24" t="str">
        <f ca="1">IFERROR(__xludf.DUMMYFUNCTION("GOOGLETRANSLATE(F2682,""en"",""pt"")"),"mastique (MA), cursos de superfície")</f>
        <v>mastique (MA), cursos de superfície</v>
      </c>
      <c r="J2682">
        <f>VLOOKUP(A2682,Pr_Base_LNEC!$A$4:$J$6971,6,FALSE)</f>
        <v>0</v>
      </c>
      <c r="K2682">
        <f>VLOOKUP(A2682,Pr_Base_LNEC!$A$4:$J$6971,7,FALSE)</f>
        <v>0</v>
      </c>
    </row>
    <row r="2683" spans="1:11" ht="14.5">
      <c r="A2683" s="20" t="s">
        <v>20607</v>
      </c>
      <c r="B2683" s="20">
        <v>35</v>
      </c>
      <c r="C2683" s="20">
        <v>31</v>
      </c>
      <c r="D2683" s="20">
        <v>5</v>
      </c>
      <c r="E2683" s="20">
        <v>60</v>
      </c>
      <c r="F2683" s="20" t="s">
        <v>20608</v>
      </c>
      <c r="G2683" s="20" t="s">
        <v>20588</v>
      </c>
      <c r="H2683" s="24"/>
      <c r="I2683" s="24" t="str">
        <f ca="1">IFERROR(__xludf.DUMMYFUNCTION("GOOGLETRANSLATE(F2683,""en"",""pt"")"),"betumes de pavimentação de grau")</f>
        <v>betumes de pavimentação de grau</v>
      </c>
      <c r="J2683">
        <f>VLOOKUP(A2683,Pr_Base_LNEC!$A$4:$J$6971,6,FALSE)</f>
        <v>0</v>
      </c>
      <c r="K2683">
        <f>VLOOKUP(A2683,Pr_Base_LNEC!$A$4:$J$6971,7,FALSE)</f>
        <v>0</v>
      </c>
    </row>
    <row r="2684" spans="1:11" ht="14.5">
      <c r="A2684" s="20" t="s">
        <v>20609</v>
      </c>
      <c r="B2684" s="20">
        <v>35</v>
      </c>
      <c r="C2684" s="20">
        <v>31</v>
      </c>
      <c r="D2684" s="20">
        <v>5</v>
      </c>
      <c r="E2684" s="20">
        <v>64</v>
      </c>
      <c r="F2684" s="20" t="s">
        <v>20610</v>
      </c>
      <c r="G2684" s="20" t="s">
        <v>20611</v>
      </c>
      <c r="H2684" s="24"/>
      <c r="I2684" s="24" t="str">
        <f ca="1">IFERROR(__xludf.DUMMYFUNCTION("GOOGLETRANSLATE(F2684,""en"",""pt"")"),"de etileno propileno dieno monómero (EPDM) surfacings granulado de borracha ligada a poliuretano")</f>
        <v>de etileno propileno dieno monómero (EPDM) surfacings granulado de borracha ligada a poliuretano</v>
      </c>
      <c r="J2684">
        <f>VLOOKUP(A2684,Pr_Base_LNEC!$A$4:$J$6971,6,FALSE)</f>
        <v>0</v>
      </c>
      <c r="K2684">
        <f>VLOOKUP(A2684,Pr_Base_LNEC!$A$4:$J$6971,7,FALSE)</f>
        <v>0</v>
      </c>
    </row>
    <row r="2685" spans="1:11" ht="14.5">
      <c r="A2685" s="20" t="s">
        <v>20612</v>
      </c>
      <c r="B2685" s="20">
        <v>35</v>
      </c>
      <c r="C2685" s="20">
        <v>31</v>
      </c>
      <c r="D2685" s="20">
        <v>5</v>
      </c>
      <c r="E2685" s="20">
        <v>65</v>
      </c>
      <c r="F2685" s="20" t="s">
        <v>20613</v>
      </c>
      <c r="G2685" s="20" t="s">
        <v>20614</v>
      </c>
      <c r="H2685" s="24"/>
      <c r="I2685" s="24" t="str">
        <f ca="1">IFERROR(__xludf.DUMMYFUNCTION("GOOGLETRANSLATE(F2685,""en"",""pt"")"),"Poroso asfalto de betão (PAC) cursos de superfície")</f>
        <v>Poroso asfalto de betão (PAC) cursos de superfície</v>
      </c>
      <c r="J2685">
        <f>VLOOKUP(A2685,Pr_Base_LNEC!$A$4:$J$6971,6,FALSE)</f>
        <v>0</v>
      </c>
      <c r="K2685">
        <f>VLOOKUP(A2685,Pr_Base_LNEC!$A$4:$J$6971,7,FALSE)</f>
        <v>0</v>
      </c>
    </row>
    <row r="2686" spans="1:11" ht="14.5">
      <c r="A2686" s="20" t="s">
        <v>20615</v>
      </c>
      <c r="B2686" s="20">
        <v>35</v>
      </c>
      <c r="C2686" s="20">
        <v>31</v>
      </c>
      <c r="D2686" s="20">
        <v>5</v>
      </c>
      <c r="E2686" s="20">
        <v>70</v>
      </c>
      <c r="F2686" s="20" t="s">
        <v>20616</v>
      </c>
      <c r="G2686" s="20" t="s">
        <v>20617</v>
      </c>
      <c r="H2686" s="24"/>
      <c r="I2686" s="24" t="str">
        <f ca="1">IFERROR(__xludf.DUMMYFUNCTION("GOOGLETRANSLATE(F2686,""en"",""pt"")"),"surfacings agregada aglutinada-resina")</f>
        <v>surfacings agregada aglutinada-resina</v>
      </c>
      <c r="J2686">
        <f>VLOOKUP(A2686,Pr_Base_LNEC!$A$4:$J$6971,6,FALSE)</f>
        <v>0</v>
      </c>
      <c r="K2686">
        <f>VLOOKUP(A2686,Pr_Base_LNEC!$A$4:$J$6971,7,FALSE)</f>
        <v>0</v>
      </c>
    </row>
    <row r="2687" spans="1:11" ht="14.5">
      <c r="A2687" s="20" t="s">
        <v>20618</v>
      </c>
      <c r="B2687" s="20">
        <v>35</v>
      </c>
      <c r="C2687" s="20">
        <v>31</v>
      </c>
      <c r="D2687" s="20">
        <v>5</v>
      </c>
      <c r="E2687" s="20">
        <v>71</v>
      </c>
      <c r="F2687" s="20" t="s">
        <v>20619</v>
      </c>
      <c r="G2687" s="20" t="s">
        <v>20620</v>
      </c>
      <c r="H2687" s="24"/>
      <c r="I2687" s="24" t="str">
        <f ca="1">IFERROR(__xludf.DUMMYFUNCTION("GOOGLETRANSLATE(F2687,""en"",""pt"")"),"surfacings agregados mistos ligados a resina")</f>
        <v>surfacings agregados mistos ligados a resina</v>
      </c>
      <c r="J2687">
        <f>VLOOKUP(A2687,Pr_Base_LNEC!$A$4:$J$6971,6,FALSE)</f>
        <v>0</v>
      </c>
      <c r="K2687">
        <f>VLOOKUP(A2687,Pr_Base_LNEC!$A$4:$J$6971,7,FALSE)</f>
        <v>0</v>
      </c>
    </row>
    <row r="2688" spans="1:11" ht="14.5">
      <c r="A2688" s="20" t="s">
        <v>20621</v>
      </c>
      <c r="B2688" s="20">
        <v>35</v>
      </c>
      <c r="C2688" s="20">
        <v>31</v>
      </c>
      <c r="D2688" s="20">
        <v>5</v>
      </c>
      <c r="E2688" s="20">
        <v>72</v>
      </c>
      <c r="F2688" s="20" t="s">
        <v>20622</v>
      </c>
      <c r="G2688" s="20" t="s">
        <v>20623</v>
      </c>
      <c r="H2688" s="24"/>
      <c r="I2688" s="24" t="str">
        <f ca="1">IFERROR(__xludf.DUMMYFUNCTION("GOOGLETRANSLATE(F2688,""en"",""pt"")"),"Coberturas, pavimentos e tankando mastique (MA)")</f>
        <v>Coberturas, pavimentos e tankando mastique (MA)</v>
      </c>
      <c r="J2688">
        <f>VLOOKUP(A2688,Pr_Base_LNEC!$A$4:$J$6971,6,FALSE)</f>
        <v>0</v>
      </c>
      <c r="K2688">
        <f>VLOOKUP(A2688,Pr_Base_LNEC!$A$4:$J$6971,7,FALSE)</f>
        <v>0</v>
      </c>
    </row>
    <row r="2689" spans="1:11" ht="14.5">
      <c r="A2689" s="20" t="s">
        <v>20624</v>
      </c>
      <c r="B2689" s="20">
        <v>35</v>
      </c>
      <c r="C2689" s="20">
        <v>31</v>
      </c>
      <c r="D2689" s="20">
        <v>5</v>
      </c>
      <c r="E2689" s="20">
        <v>75</v>
      </c>
      <c r="F2689" s="20" t="s">
        <v>20625</v>
      </c>
      <c r="G2689" s="24"/>
      <c r="H2689" s="24"/>
      <c r="I2689" s="24" t="str">
        <f ca="1">IFERROR(__xludf.DUMMYFUNCTION("GOOGLETRANSLATE(F2689,""en"",""pt"")"),"asfalto areia")</f>
        <v>asfalto areia</v>
      </c>
      <c r="J2689">
        <f>VLOOKUP(A2689,Pr_Base_LNEC!$A$4:$J$6971,6,FALSE)</f>
        <v>0</v>
      </c>
      <c r="K2689">
        <f>VLOOKUP(A2689,Pr_Base_LNEC!$A$4:$J$6971,7,FALSE)</f>
        <v>0</v>
      </c>
    </row>
    <row r="2690" spans="1:11" ht="14.5">
      <c r="A2690" s="20" t="s">
        <v>20626</v>
      </c>
      <c r="B2690" s="20">
        <v>35</v>
      </c>
      <c r="C2690" s="20">
        <v>31</v>
      </c>
      <c r="D2690" s="20">
        <v>5</v>
      </c>
      <c r="E2690" s="20">
        <v>83</v>
      </c>
      <c r="F2690" s="20" t="s">
        <v>20627</v>
      </c>
      <c r="G2690" s="20" t="s">
        <v>20628</v>
      </c>
      <c r="H2690" s="24"/>
      <c r="I2690" s="24" t="str">
        <f ca="1">IFERROR(__xludf.DUMMYFUNCTION("GOOGLETRANSLATE(F2690,""en"",""pt"")"),"Pedra de asfalto de mastique (SMA) binder")</f>
        <v>Pedra de asfalto de mastique (SMA) binder</v>
      </c>
      <c r="J2690">
        <f>VLOOKUP(A2690,Pr_Base_LNEC!$A$4:$J$6971,6,FALSE)</f>
        <v>0</v>
      </c>
      <c r="K2690">
        <f>VLOOKUP(A2690,Pr_Base_LNEC!$A$4:$J$6971,7,FALSE)</f>
        <v>0</v>
      </c>
    </row>
    <row r="2691" spans="1:11" ht="14.5">
      <c r="A2691" s="20" t="s">
        <v>20629</v>
      </c>
      <c r="B2691" s="20">
        <v>35</v>
      </c>
      <c r="C2691" s="20">
        <v>31</v>
      </c>
      <c r="D2691" s="20">
        <v>5</v>
      </c>
      <c r="E2691" s="20">
        <v>84</v>
      </c>
      <c r="F2691" s="20" t="s">
        <v>20630</v>
      </c>
      <c r="G2691" s="20" t="s">
        <v>20631</v>
      </c>
      <c r="H2691" s="24"/>
      <c r="I2691" s="24" t="str">
        <f ca="1">IFERROR(__xludf.DUMMYFUNCTION("GOOGLETRANSLATE(F2691,""en"",""pt"")"),"Pedra de asfalto de mastique (SMA) cursos regulação")</f>
        <v>Pedra de asfalto de mastique (SMA) cursos regulação</v>
      </c>
      <c r="J2691">
        <f>VLOOKUP(A2691,Pr_Base_LNEC!$A$4:$J$6971,6,FALSE)</f>
        <v>0</v>
      </c>
      <c r="K2691">
        <f>VLOOKUP(A2691,Pr_Base_LNEC!$A$4:$J$6971,7,FALSE)</f>
        <v>0</v>
      </c>
    </row>
    <row r="2692" spans="1:11" ht="14.5">
      <c r="A2692" s="20" t="s">
        <v>20632</v>
      </c>
      <c r="B2692" s="20">
        <v>35</v>
      </c>
      <c r="C2692" s="20">
        <v>31</v>
      </c>
      <c r="D2692" s="20">
        <v>5</v>
      </c>
      <c r="E2692" s="20">
        <v>85</v>
      </c>
      <c r="F2692" s="20" t="s">
        <v>20633</v>
      </c>
      <c r="G2692" s="20" t="s">
        <v>20634</v>
      </c>
      <c r="H2692" s="24"/>
      <c r="I2692" s="24" t="str">
        <f ca="1">IFERROR(__xludf.DUMMYFUNCTION("GOOGLETRANSLATE(F2692,""en"",""pt"")"),"Pedra de asfalto de mastique (SMA) cursos de superfície")</f>
        <v>Pedra de asfalto de mastique (SMA) cursos de superfície</v>
      </c>
      <c r="J2692">
        <f>VLOOKUP(A2692,Pr_Base_LNEC!$A$4:$J$6971,6,FALSE)</f>
        <v>0</v>
      </c>
      <c r="K2692">
        <f>VLOOKUP(A2692,Pr_Base_LNEC!$A$4:$J$6971,7,FALSE)</f>
        <v>0</v>
      </c>
    </row>
    <row r="2693" spans="1:11" ht="14.5">
      <c r="A2693" s="20" t="s">
        <v>20635</v>
      </c>
      <c r="B2693" s="20">
        <v>35</v>
      </c>
      <c r="C2693" s="20">
        <v>31</v>
      </c>
      <c r="D2693" s="20">
        <v>6</v>
      </c>
      <c r="E2693" s="24"/>
      <c r="F2693" s="20" t="s">
        <v>20636</v>
      </c>
      <c r="G2693" s="24"/>
      <c r="H2693" s="24"/>
      <c r="I2693" s="24" t="str">
        <f ca="1">IFERROR(__xludf.DUMMYFUNCTION("GOOGLETRANSLATE(F2693,""en"",""pt"")"),"compostos de cama e underlay")</f>
        <v>compostos de cama e underlay</v>
      </c>
      <c r="J2693">
        <f>VLOOKUP(A2693,Pr_Base_LNEC!$A$4:$J$6971,6,FALSE)</f>
        <v>0</v>
      </c>
      <c r="K2693">
        <f>VLOOKUP(A2693,Pr_Base_LNEC!$A$4:$J$6971,7,FALSE)</f>
        <v>0</v>
      </c>
    </row>
    <row r="2694" spans="1:11" ht="14.5">
      <c r="A2694" s="20" t="s">
        <v>20637</v>
      </c>
      <c r="B2694" s="20">
        <v>35</v>
      </c>
      <c r="C2694" s="20">
        <v>31</v>
      </c>
      <c r="D2694" s="20">
        <v>6</v>
      </c>
      <c r="E2694" s="20">
        <v>12</v>
      </c>
      <c r="F2694" s="20" t="s">
        <v>20638</v>
      </c>
      <c r="G2694" s="20" t="s">
        <v>20639</v>
      </c>
      <c r="H2694" s="24"/>
      <c r="I2694" s="24" t="str">
        <f ca="1">IFERROR(__xludf.DUMMYFUNCTION("GOOGLETRANSLATE(F2694,""en"",""pt"")"),"misturas de nivelamento cimento betonilha")</f>
        <v>misturas de nivelamento cimento betonilha</v>
      </c>
      <c r="J2694">
        <f>VLOOKUP(A2694,Pr_Base_LNEC!$A$4:$J$6971,6,FALSE)</f>
        <v>0</v>
      </c>
      <c r="K2694">
        <f>VLOOKUP(A2694,Pr_Base_LNEC!$A$4:$J$6971,7,FALSE)</f>
        <v>0</v>
      </c>
    </row>
    <row r="2695" spans="1:11" ht="14.5">
      <c r="A2695" s="20" t="s">
        <v>20640</v>
      </c>
      <c r="B2695" s="20">
        <v>35</v>
      </c>
      <c r="C2695" s="20">
        <v>31</v>
      </c>
      <c r="D2695" s="20">
        <v>6</v>
      </c>
      <c r="E2695" s="20">
        <v>15</v>
      </c>
      <c r="F2695" s="20" t="s">
        <v>20641</v>
      </c>
      <c r="G2695" s="20" t="s">
        <v>20642</v>
      </c>
      <c r="H2695" s="24"/>
      <c r="I2695" s="24" t="str">
        <f ca="1">IFERROR(__xludf.DUMMYFUNCTION("GOOGLETRANSLATE(F2695,""en"",""pt"")"),"Betão (Granito) usando misturas betonilha")</f>
        <v>Betão (Granito) usando misturas betonilha</v>
      </c>
      <c r="J2695">
        <f>VLOOKUP(A2695,Pr_Base_LNEC!$A$4:$J$6971,6,FALSE)</f>
        <v>0</v>
      </c>
      <c r="K2695">
        <f>VLOOKUP(A2695,Pr_Base_LNEC!$A$4:$J$6971,7,FALSE)</f>
        <v>0</v>
      </c>
    </row>
    <row r="2696" spans="1:11" ht="14.5">
      <c r="A2696" s="20" t="s">
        <v>20643</v>
      </c>
      <c r="B2696" s="20">
        <v>35</v>
      </c>
      <c r="C2696" s="20">
        <v>31</v>
      </c>
      <c r="D2696" s="20">
        <v>6</v>
      </c>
      <c r="E2696" s="20">
        <v>28</v>
      </c>
      <c r="F2696" s="20" t="s">
        <v>20644</v>
      </c>
      <c r="G2696" s="20" t="s">
        <v>20645</v>
      </c>
      <c r="H2696" s="24"/>
      <c r="I2696" s="24" t="str">
        <f ca="1">IFERROR(__xludf.DUMMYFUNCTION("GOOGLETRANSLATE(F2696,""en"",""pt"")"),"nivelamento betonilha misturas reforçados com fibras")</f>
        <v>nivelamento betonilha misturas reforçados com fibras</v>
      </c>
      <c r="J2696">
        <f>VLOOKUP(A2696,Pr_Base_LNEC!$A$4:$J$6971,6,FALSE)</f>
        <v>0</v>
      </c>
      <c r="K2696">
        <f>VLOOKUP(A2696,Pr_Base_LNEC!$A$4:$J$6971,7,FALSE)</f>
        <v>0</v>
      </c>
    </row>
    <row r="2697" spans="1:11" ht="14.5">
      <c r="A2697" s="20" t="s">
        <v>20646</v>
      </c>
      <c r="B2697" s="20">
        <v>35</v>
      </c>
      <c r="C2697" s="20">
        <v>31</v>
      </c>
      <c r="D2697" s="20">
        <v>6</v>
      </c>
      <c r="E2697" s="20">
        <v>29</v>
      </c>
      <c r="F2697" s="20" t="s">
        <v>20647</v>
      </c>
      <c r="G2697" s="20" t="s">
        <v>20648</v>
      </c>
      <c r="H2697" s="24"/>
      <c r="I2697" s="24" t="str">
        <f ca="1">IFERROR(__xludf.DUMMYFUNCTION("GOOGLETRANSLATE(F2697,""en"",""pt"")"),"misturas de nivelamento concreta Belas betonilha")</f>
        <v>misturas de nivelamento concreta Belas betonilha</v>
      </c>
      <c r="J2697">
        <f>VLOOKUP(A2697,Pr_Base_LNEC!$A$4:$J$6971,6,FALSE)</f>
        <v>0</v>
      </c>
      <c r="K2697">
        <f>VLOOKUP(A2697,Pr_Base_LNEC!$A$4:$J$6971,7,FALSE)</f>
        <v>0</v>
      </c>
    </row>
    <row r="2698" spans="1:11" ht="14.5">
      <c r="A2698" s="20" t="s">
        <v>20649</v>
      </c>
      <c r="B2698" s="20">
        <v>35</v>
      </c>
      <c r="C2698" s="20">
        <v>31</v>
      </c>
      <c r="D2698" s="20">
        <v>6</v>
      </c>
      <c r="E2698" s="20">
        <v>31</v>
      </c>
      <c r="F2698" s="20" t="s">
        <v>20650</v>
      </c>
      <c r="G2698" s="20" t="s">
        <v>20651</v>
      </c>
      <c r="H2698" s="24"/>
      <c r="I2698" s="24" t="str">
        <f ca="1">IFERROR(__xludf.DUMMYFUNCTION("GOOGLETRANSLATE(F2698,""en"",""pt"")"),"selos de chão")</f>
        <v>selos de chão</v>
      </c>
      <c r="J2698">
        <f>VLOOKUP(A2698,Pr_Base_LNEC!$A$4:$J$6971,6,FALSE)</f>
        <v>0</v>
      </c>
      <c r="K2698">
        <f>VLOOKUP(A2698,Pr_Base_LNEC!$A$4:$J$6971,7,FALSE)</f>
        <v>0</v>
      </c>
    </row>
    <row r="2699" spans="1:11" ht="14.5">
      <c r="A2699" s="20" t="s">
        <v>20652</v>
      </c>
      <c r="B2699" s="20">
        <v>35</v>
      </c>
      <c r="C2699" s="20">
        <v>31</v>
      </c>
      <c r="D2699" s="20">
        <v>6</v>
      </c>
      <c r="E2699" s="20">
        <v>32</v>
      </c>
      <c r="F2699" s="20" t="s">
        <v>20653</v>
      </c>
      <c r="G2699" s="20" t="s">
        <v>20654</v>
      </c>
      <c r="H2699" s="24"/>
      <c r="I2699" s="24" t="str">
        <f ca="1">IFERROR(__xludf.DUMMYFUNCTION("GOOGLETRANSLATE(F2699,""en"",""pt"")"),"Fluxo de piso aplicado")</f>
        <v>Fluxo de piso aplicado</v>
      </c>
      <c r="J2699">
        <f>VLOOKUP(A2699,Pr_Base_LNEC!$A$4:$J$6971,6,FALSE)</f>
        <v>0</v>
      </c>
      <c r="K2699">
        <f>VLOOKUP(A2699,Pr_Base_LNEC!$A$4:$J$6971,7,FALSE)</f>
        <v>0</v>
      </c>
    </row>
    <row r="2700" spans="1:11" ht="14.5">
      <c r="A2700" s="20" t="s">
        <v>20655</v>
      </c>
      <c r="B2700" s="20">
        <v>35</v>
      </c>
      <c r="C2700" s="20">
        <v>31</v>
      </c>
      <c r="D2700" s="20">
        <v>6</v>
      </c>
      <c r="E2700" s="20">
        <v>36</v>
      </c>
      <c r="F2700" s="20" t="s">
        <v>20656</v>
      </c>
      <c r="G2700" s="20" t="s">
        <v>20657</v>
      </c>
      <c r="H2700" s="24"/>
      <c r="I2700" s="24" t="str">
        <f ca="1">IFERROR(__xludf.DUMMYFUNCTION("GOOGLETRANSLATE(F2700,""en"",""pt"")"),"Pesados ​​piso aplicado de escoamento")</f>
        <v>Pesados ​​piso aplicado de escoamento</v>
      </c>
      <c r="J2700">
        <f>VLOOKUP(A2700,Pr_Base_LNEC!$A$4:$J$6971,6,FALSE)</f>
        <v>0</v>
      </c>
      <c r="K2700">
        <f>VLOOKUP(A2700,Pr_Base_LNEC!$A$4:$J$6971,7,FALSE)</f>
        <v>0</v>
      </c>
    </row>
    <row r="2701" spans="1:11" ht="14.5">
      <c r="A2701" s="20" t="s">
        <v>20658</v>
      </c>
      <c r="B2701" s="20">
        <v>35</v>
      </c>
      <c r="C2701" s="20">
        <v>31</v>
      </c>
      <c r="D2701" s="20">
        <v>6</v>
      </c>
      <c r="E2701" s="20">
        <v>37</v>
      </c>
      <c r="F2701" s="20" t="s">
        <v>20659</v>
      </c>
      <c r="G2701" s="20" t="s">
        <v>20660</v>
      </c>
      <c r="H2701" s="24"/>
      <c r="I2701" s="24" t="str">
        <f ca="1">IFERROR(__xludf.DUMMYFUNCTION("GOOGLETRANSLATE(F2701,""en"",""pt"")"),"pisos betonilha pesados")</f>
        <v>pisos betonilha pesados</v>
      </c>
      <c r="J2701">
        <f>VLOOKUP(A2701,Pr_Base_LNEC!$A$4:$J$6971,6,FALSE)</f>
        <v>0</v>
      </c>
      <c r="K2701">
        <f>VLOOKUP(A2701,Pr_Base_LNEC!$A$4:$J$6971,7,FALSE)</f>
        <v>0</v>
      </c>
    </row>
    <row r="2702" spans="1:11" ht="14.5">
      <c r="A2702" s="20" t="s">
        <v>20661</v>
      </c>
      <c r="B2702" s="20">
        <v>35</v>
      </c>
      <c r="C2702" s="20">
        <v>31</v>
      </c>
      <c r="D2702" s="20">
        <v>6</v>
      </c>
      <c r="E2702" s="20">
        <v>38</v>
      </c>
      <c r="F2702" s="20" t="s">
        <v>20662</v>
      </c>
      <c r="G2702" s="20" t="s">
        <v>20663</v>
      </c>
      <c r="H2702" s="24"/>
      <c r="I2702" s="24" t="str">
        <f ca="1">IFERROR(__xludf.DUMMYFUNCTION("GOOGLETRANSLATE(F2702,""en"",""pt"")"),"revestimentos de piso de alta espessura")</f>
        <v>revestimentos de piso de alta espessura</v>
      </c>
      <c r="J2702">
        <f>VLOOKUP(A2702,Pr_Base_LNEC!$A$4:$J$6971,6,FALSE)</f>
        <v>0</v>
      </c>
      <c r="K2702">
        <f>VLOOKUP(A2702,Pr_Base_LNEC!$A$4:$J$6971,7,FALSE)</f>
        <v>0</v>
      </c>
    </row>
    <row r="2703" spans="1:11" ht="14.5">
      <c r="A2703" s="20" t="s">
        <v>20664</v>
      </c>
      <c r="B2703" s="20">
        <v>35</v>
      </c>
      <c r="C2703" s="20">
        <v>31</v>
      </c>
      <c r="D2703" s="20">
        <v>6</v>
      </c>
      <c r="E2703" s="20">
        <v>47</v>
      </c>
      <c r="F2703" s="20" t="s">
        <v>20665</v>
      </c>
      <c r="G2703" s="20" t="s">
        <v>20666</v>
      </c>
      <c r="H2703" s="24"/>
      <c r="I2703" s="24" t="str">
        <f ca="1">IFERROR(__xludf.DUMMYFUNCTION("GOOGLETRANSLATE(F2703,""en"",""pt"")"),"Leve agregado de nivelamento da mesa misturas")</f>
        <v>Leve agregado de nivelamento da mesa misturas</v>
      </c>
      <c r="J2703">
        <f>VLOOKUP(A2703,Pr_Base_LNEC!$A$4:$J$6971,6,FALSE)</f>
        <v>0</v>
      </c>
      <c r="K2703">
        <f>VLOOKUP(A2703,Pr_Base_LNEC!$A$4:$J$6971,7,FALSE)</f>
        <v>0</v>
      </c>
    </row>
    <row r="2704" spans="1:11" ht="14.5">
      <c r="A2704" s="20" t="s">
        <v>20667</v>
      </c>
      <c r="B2704" s="20">
        <v>35</v>
      </c>
      <c r="C2704" s="20">
        <v>31</v>
      </c>
      <c r="D2704" s="20">
        <v>6</v>
      </c>
      <c r="E2704" s="20">
        <v>55</v>
      </c>
      <c r="F2704" s="20" t="s">
        <v>20668</v>
      </c>
      <c r="G2704" s="20" t="s">
        <v>20669</v>
      </c>
      <c r="H2704" s="24"/>
      <c r="I2704" s="24" t="str">
        <f ca="1">IFERROR(__xludf.DUMMYFUNCTION("GOOGLETRANSLATE(F2704,""en"",""pt"")"),"piso de multicamadas")</f>
        <v>piso de multicamadas</v>
      </c>
      <c r="J2704">
        <f>VLOOKUP(A2704,Pr_Base_LNEC!$A$4:$J$6971,6,FALSE)</f>
        <v>0</v>
      </c>
      <c r="K2704">
        <f>VLOOKUP(A2704,Pr_Base_LNEC!$A$4:$J$6971,7,FALSE)</f>
        <v>0</v>
      </c>
    </row>
    <row r="2705" spans="1:11" ht="14.5">
      <c r="A2705" s="20" t="s">
        <v>20670</v>
      </c>
      <c r="B2705" s="20">
        <v>35</v>
      </c>
      <c r="C2705" s="20">
        <v>31</v>
      </c>
      <c r="D2705" s="20">
        <v>6</v>
      </c>
      <c r="E2705" s="20">
        <v>64</v>
      </c>
      <c r="F2705" s="20" t="s">
        <v>20671</v>
      </c>
      <c r="G2705" s="20" t="s">
        <v>15060</v>
      </c>
      <c r="H2705" s="24"/>
      <c r="I2705" s="24" t="str">
        <f ca="1">IFERROR(__xludf.DUMMYFUNCTION("GOOGLETRANSLATE(F2705,""en"",""pt"")"),"-Polímero modificado de nivelamento betonilha misturas")</f>
        <v>-Polímero modificado de nivelamento betonilha misturas</v>
      </c>
      <c r="J2705">
        <f>VLOOKUP(A2705,Pr_Base_LNEC!$A$4:$J$6971,6,FALSE)</f>
        <v>0</v>
      </c>
      <c r="K2705">
        <f>VLOOKUP(A2705,Pr_Base_LNEC!$A$4:$J$6971,7,FALSE)</f>
        <v>0</v>
      </c>
    </row>
    <row r="2706" spans="1:11" ht="14.5">
      <c r="A2706" s="20" t="s">
        <v>20672</v>
      </c>
      <c r="B2706" s="20">
        <v>35</v>
      </c>
      <c r="C2706" s="20">
        <v>31</v>
      </c>
      <c r="D2706" s="20">
        <v>6</v>
      </c>
      <c r="E2706" s="20">
        <v>65</v>
      </c>
      <c r="F2706" s="20" t="s">
        <v>20673</v>
      </c>
      <c r="G2706" s="20" t="s">
        <v>20674</v>
      </c>
      <c r="H2706" s="24"/>
      <c r="I2706" s="24" t="str">
        <f ca="1">IFERROR(__xludf.DUMMYFUNCTION("GOOGLETRANSLATE(F2706,""en"",""pt"")"),"-Polímero modificado desgasta misturas betonilha")</f>
        <v>-Polímero modificado desgasta misturas betonilha</v>
      </c>
      <c r="J2706">
        <f>VLOOKUP(A2706,Pr_Base_LNEC!$A$4:$J$6971,6,FALSE)</f>
        <v>0</v>
      </c>
      <c r="K2706">
        <f>VLOOKUP(A2706,Pr_Base_LNEC!$A$4:$J$6971,7,FALSE)</f>
        <v>0</v>
      </c>
    </row>
    <row r="2707" spans="1:11" ht="14.5">
      <c r="A2707" s="20" t="s">
        <v>20675</v>
      </c>
      <c r="B2707" s="20">
        <v>35</v>
      </c>
      <c r="C2707" s="20">
        <v>31</v>
      </c>
      <c r="D2707" s="20">
        <v>6</v>
      </c>
      <c r="E2707" s="20">
        <v>69</v>
      </c>
      <c r="F2707" s="20" t="s">
        <v>20676</v>
      </c>
      <c r="G2707" s="20" t="s">
        <v>20677</v>
      </c>
      <c r="H2707" s="24"/>
      <c r="I2707" s="24" t="str">
        <f ca="1">IFERROR(__xludf.DUMMYFUNCTION("GOOGLETRANSLATE(F2707,""en"",""pt"")"),"misturas de secagem rápida nivelamento betonilha")</f>
        <v>misturas de secagem rápida nivelamento betonilha</v>
      </c>
      <c r="J2707">
        <f>VLOOKUP(A2707,Pr_Base_LNEC!$A$4:$J$6971,6,FALSE)</f>
        <v>0</v>
      </c>
      <c r="K2707">
        <f>VLOOKUP(A2707,Pr_Base_LNEC!$A$4:$J$6971,7,FALSE)</f>
        <v>0</v>
      </c>
    </row>
    <row r="2708" spans="1:11" ht="14.5">
      <c r="A2708" s="20" t="s">
        <v>20678</v>
      </c>
      <c r="B2708" s="20">
        <v>35</v>
      </c>
      <c r="C2708" s="20">
        <v>31</v>
      </c>
      <c r="D2708" s="20">
        <v>6</v>
      </c>
      <c r="E2708" s="20">
        <v>71</v>
      </c>
      <c r="F2708" s="20" t="s">
        <v>20679</v>
      </c>
      <c r="G2708" s="20" t="s">
        <v>20680</v>
      </c>
      <c r="H2708" s="24"/>
      <c r="I2708" s="24" t="str">
        <f ca="1">IFERROR(__xludf.DUMMYFUNCTION("GOOGLETRANSLATE(F2708,""en"",""pt"")"),"nivelamento de betão pronto e argamassas vestindo")</f>
        <v>nivelamento de betão pronto e argamassas vestindo</v>
      </c>
      <c r="J2708">
        <f>VLOOKUP(A2708,Pr_Base_LNEC!$A$4:$J$6971,6,FALSE)</f>
        <v>0</v>
      </c>
      <c r="K2708">
        <f>VLOOKUP(A2708,Pr_Base_LNEC!$A$4:$J$6971,7,FALSE)</f>
        <v>0</v>
      </c>
    </row>
    <row r="2709" spans="1:11" ht="14.5">
      <c r="A2709" s="20" t="s">
        <v>20681</v>
      </c>
      <c r="B2709" s="20">
        <v>35</v>
      </c>
      <c r="C2709" s="20">
        <v>31</v>
      </c>
      <c r="D2709" s="20">
        <v>6</v>
      </c>
      <c r="E2709" s="20">
        <v>72</v>
      </c>
      <c r="F2709" s="20" t="s">
        <v>20682</v>
      </c>
      <c r="G2709" s="20" t="s">
        <v>20683</v>
      </c>
      <c r="H2709" s="24"/>
      <c r="I2709" s="24" t="str">
        <f ca="1">IFERROR(__xludf.DUMMYFUNCTION("GOOGLETRANSLATE(F2709,""en"",""pt"")"),"betonilhas de sulfato de cálcio auto-alisar pronto-mista")</f>
        <v>betonilhas de sulfato de cálcio auto-alisar pronto-mista</v>
      </c>
      <c r="J2709">
        <f>VLOOKUP(A2709,Pr_Base_LNEC!$A$4:$J$6971,6,FALSE)</f>
        <v>0</v>
      </c>
      <c r="K2709">
        <f>VLOOKUP(A2709,Pr_Base_LNEC!$A$4:$J$6971,7,FALSE)</f>
        <v>0</v>
      </c>
    </row>
    <row r="2710" spans="1:11" ht="14.5">
      <c r="A2710" s="20" t="s">
        <v>20684</v>
      </c>
      <c r="B2710" s="20">
        <v>35</v>
      </c>
      <c r="C2710" s="20">
        <v>31</v>
      </c>
      <c r="D2710" s="20">
        <v>6</v>
      </c>
      <c r="E2710" s="20">
        <v>73</v>
      </c>
      <c r="F2710" s="20" t="s">
        <v>20685</v>
      </c>
      <c r="G2710" s="20" t="s">
        <v>20686</v>
      </c>
      <c r="H2710" s="24"/>
      <c r="I2710" s="24" t="str">
        <f ca="1">IFERROR(__xludf.DUMMYFUNCTION("GOOGLETRANSLATE(F2710,""en"",""pt"")"),"Pronto-mista trowelled betonilhas de sulfato de cálcio")</f>
        <v>Pronto-mista trowelled betonilhas de sulfato de cálcio</v>
      </c>
      <c r="J2710">
        <f>VLOOKUP(A2710,Pr_Base_LNEC!$A$4:$J$6971,6,FALSE)</f>
        <v>0</v>
      </c>
      <c r="K2710">
        <f>VLOOKUP(A2710,Pr_Base_LNEC!$A$4:$J$6971,7,FALSE)</f>
        <v>0</v>
      </c>
    </row>
    <row r="2711" spans="1:11" ht="14.5">
      <c r="A2711" s="20" t="s">
        <v>20687</v>
      </c>
      <c r="B2711" s="20">
        <v>35</v>
      </c>
      <c r="C2711" s="20">
        <v>31</v>
      </c>
      <c r="D2711" s="20">
        <v>6</v>
      </c>
      <c r="E2711" s="20">
        <v>77</v>
      </c>
      <c r="F2711" s="20" t="s">
        <v>20688</v>
      </c>
      <c r="G2711" s="20" t="s">
        <v>20689</v>
      </c>
      <c r="H2711" s="24"/>
      <c r="I2711" s="24" t="str">
        <f ca="1">IFERROR(__xludf.DUMMYFUNCTION("GOOGLETRANSLATE(F2711,""en"",""pt"")"),"piso de betonilha")</f>
        <v>piso de betonilha</v>
      </c>
      <c r="J2711">
        <f>VLOOKUP(A2711,Pr_Base_LNEC!$A$4:$J$6971,6,FALSE)</f>
        <v>0</v>
      </c>
      <c r="K2711">
        <f>VLOOKUP(A2711,Pr_Base_LNEC!$A$4:$J$6971,7,FALSE)</f>
        <v>0</v>
      </c>
    </row>
    <row r="2712" spans="1:11" ht="14.5">
      <c r="A2712" s="20" t="s">
        <v>20690</v>
      </c>
      <c r="B2712" s="20">
        <v>35</v>
      </c>
      <c r="C2712" s="20">
        <v>31</v>
      </c>
      <c r="D2712" s="20">
        <v>6</v>
      </c>
      <c r="E2712" s="20">
        <v>78</v>
      </c>
      <c r="F2712" s="20" t="s">
        <v>20691</v>
      </c>
      <c r="G2712" s="20" t="s">
        <v>20692</v>
      </c>
      <c r="H2712" s="24"/>
      <c r="I2712" s="24" t="str">
        <f ca="1">IFERROR(__xludf.DUMMYFUNCTION("GOOGLETRANSLATE(F2712,""en"",""pt"")"),"nivelamento betonilha misturas auto-alisando")</f>
        <v>nivelamento betonilha misturas auto-alisando</v>
      </c>
      <c r="J2712">
        <f>VLOOKUP(A2712,Pr_Base_LNEC!$A$4:$J$6971,6,FALSE)</f>
        <v>0</v>
      </c>
      <c r="K2712">
        <f>VLOOKUP(A2712,Pr_Base_LNEC!$A$4:$J$6971,7,FALSE)</f>
        <v>0</v>
      </c>
    </row>
    <row r="2713" spans="1:11" ht="14.5">
      <c r="A2713" s="20" t="s">
        <v>20693</v>
      </c>
      <c r="B2713" s="20">
        <v>35</v>
      </c>
      <c r="C2713" s="20">
        <v>31</v>
      </c>
      <c r="D2713" s="20">
        <v>6</v>
      </c>
      <c r="E2713" s="20">
        <v>79</v>
      </c>
      <c r="F2713" s="20" t="s">
        <v>20694</v>
      </c>
      <c r="G2713" s="20" t="s">
        <v>20695</v>
      </c>
      <c r="H2713" s="24"/>
      <c r="I2713" s="24" t="str">
        <f ca="1">IFERROR(__xludf.DUMMYFUNCTION("GOOGLETRANSLATE(F2713,""en"",""pt"")"),"usando misturas betonilha auto-alisando")</f>
        <v>usando misturas betonilha auto-alisando</v>
      </c>
      <c r="J2713">
        <f>VLOOKUP(A2713,Pr_Base_LNEC!$A$4:$J$6971,6,FALSE)</f>
        <v>0</v>
      </c>
      <c r="K2713">
        <f>VLOOKUP(A2713,Pr_Base_LNEC!$A$4:$J$6971,7,FALSE)</f>
        <v>0</v>
      </c>
    </row>
    <row r="2714" spans="1:11" ht="14.5">
      <c r="A2714" s="20" t="s">
        <v>20696</v>
      </c>
      <c r="B2714" s="20">
        <v>35</v>
      </c>
      <c r="C2714" s="20">
        <v>31</v>
      </c>
      <c r="D2714" s="20">
        <v>6</v>
      </c>
      <c r="E2714" s="20">
        <v>80</v>
      </c>
      <c r="F2714" s="20" t="s">
        <v>20697</v>
      </c>
      <c r="G2714" s="20" t="s">
        <v>20698</v>
      </c>
      <c r="H2714" s="24"/>
      <c r="I2714" s="24" t="str">
        <f ca="1">IFERROR(__xludf.DUMMYFUNCTION("GOOGLETRANSLATE(F2714,""en"",""pt"")"),"Alisar e nivelar compostos underlay")</f>
        <v>Alisar e nivelar compostos underlay</v>
      </c>
      <c r="J2714">
        <f>VLOOKUP(A2714,Pr_Base_LNEC!$A$4:$J$6971,6,FALSE)</f>
        <v>0</v>
      </c>
      <c r="K2714">
        <f>VLOOKUP(A2714,Pr_Base_LNEC!$A$4:$J$6971,7,FALSE)</f>
        <v>0</v>
      </c>
    </row>
    <row r="2715" spans="1:11" ht="14.5">
      <c r="A2715" s="20" t="s">
        <v>20699</v>
      </c>
      <c r="B2715" s="20">
        <v>35</v>
      </c>
      <c r="C2715" s="20">
        <v>31</v>
      </c>
      <c r="D2715" s="20">
        <v>22</v>
      </c>
      <c r="E2715" s="24"/>
      <c r="F2715" s="20" t="s">
        <v>20700</v>
      </c>
      <c r="G2715" s="24"/>
      <c r="H2715" s="24"/>
      <c r="I2715" s="24" t="str">
        <f ca="1">IFERROR(__xludf.DUMMYFUNCTION("GOOGLETRANSLATE(F2715,""en"",""pt"")"),"revestimentos decorativos")</f>
        <v>revestimentos decorativos</v>
      </c>
      <c r="J2715">
        <f>VLOOKUP(A2715,Pr_Base_LNEC!$A$4:$J$6971,6,FALSE)</f>
        <v>0</v>
      </c>
      <c r="K2715">
        <f>VLOOKUP(A2715,Pr_Base_LNEC!$A$4:$J$6971,7,FALSE)</f>
        <v>0</v>
      </c>
    </row>
    <row r="2716" spans="1:11" ht="14.5">
      <c r="A2716" s="20" t="s">
        <v>20701</v>
      </c>
      <c r="B2716" s="20">
        <v>35</v>
      </c>
      <c r="C2716" s="20">
        <v>31</v>
      </c>
      <c r="D2716" s="20">
        <v>22</v>
      </c>
      <c r="E2716" s="20">
        <v>2</v>
      </c>
      <c r="F2716" s="20" t="s">
        <v>20702</v>
      </c>
      <c r="G2716" s="20" t="s">
        <v>20703</v>
      </c>
      <c r="H2716" s="24"/>
      <c r="I2716" s="24" t="str">
        <f ca="1">IFERROR(__xludf.DUMMYFUNCTION("GOOGLETRANSLATE(F2716,""en"",""pt"")"),"tintas de alumínio")</f>
        <v>tintas de alumínio</v>
      </c>
      <c r="J2716">
        <f>VLOOKUP(A2716,Pr_Base_LNEC!$A$4:$J$6971,6,FALSE)</f>
        <v>0</v>
      </c>
      <c r="K2716">
        <f>VLOOKUP(A2716,Pr_Base_LNEC!$A$4:$J$6971,7,FALSE)</f>
        <v>0</v>
      </c>
    </row>
    <row r="2717" spans="1:11" ht="14.5">
      <c r="A2717" s="20" t="s">
        <v>20704</v>
      </c>
      <c r="B2717" s="20">
        <v>35</v>
      </c>
      <c r="C2717" s="20">
        <v>31</v>
      </c>
      <c r="D2717" s="20">
        <v>22</v>
      </c>
      <c r="E2717" s="20">
        <v>12</v>
      </c>
      <c r="F2717" s="20" t="s">
        <v>20705</v>
      </c>
      <c r="G2717" s="20" t="s">
        <v>20706</v>
      </c>
      <c r="H2717" s="24"/>
      <c r="I2717" s="24" t="str">
        <f ca="1">IFERROR(__xludf.DUMMYFUNCTION("GOOGLETRANSLATE(F2717,""en"",""pt"")"),"tintas de caseína")</f>
        <v>tintas de caseína</v>
      </c>
      <c r="J2717">
        <f>VLOOKUP(A2717,Pr_Base_LNEC!$A$4:$J$6971,6,FALSE)</f>
        <v>0</v>
      </c>
      <c r="K2717">
        <f>VLOOKUP(A2717,Pr_Base_LNEC!$A$4:$J$6971,7,FALSE)</f>
        <v>0</v>
      </c>
    </row>
    <row r="2718" spans="1:11" ht="14.5">
      <c r="A2718" s="20" t="s">
        <v>20707</v>
      </c>
      <c r="B2718" s="20">
        <v>35</v>
      </c>
      <c r="C2718" s="20">
        <v>31</v>
      </c>
      <c r="D2718" s="20">
        <v>22</v>
      </c>
      <c r="E2718" s="20">
        <v>13</v>
      </c>
      <c r="F2718" s="20" t="s">
        <v>20708</v>
      </c>
      <c r="G2718" s="20" t="s">
        <v>20709</v>
      </c>
      <c r="H2718" s="24"/>
      <c r="I2718" s="24" t="str">
        <f ca="1">IFERROR(__xludf.DUMMYFUNCTION("GOOGLETRANSLATE(F2718,""en"",""pt"")"),"tintas de cimento")</f>
        <v>tintas de cimento</v>
      </c>
      <c r="J2718">
        <f>VLOOKUP(A2718,Pr_Base_LNEC!$A$4:$J$6971,6,FALSE)</f>
        <v>0</v>
      </c>
      <c r="K2718">
        <f>VLOOKUP(A2718,Pr_Base_LNEC!$A$4:$J$6971,7,FALSE)</f>
        <v>0</v>
      </c>
    </row>
    <row r="2719" spans="1:11" ht="14.5">
      <c r="A2719" s="20" t="s">
        <v>20710</v>
      </c>
      <c r="B2719" s="20">
        <v>35</v>
      </c>
      <c r="C2719" s="20">
        <v>31</v>
      </c>
      <c r="D2719" s="20">
        <v>22</v>
      </c>
      <c r="E2719" s="20">
        <v>15</v>
      </c>
      <c r="F2719" s="20" t="s">
        <v>20711</v>
      </c>
      <c r="G2719" s="20" t="s">
        <v>20712</v>
      </c>
      <c r="H2719" s="24"/>
      <c r="I2719" s="24" t="str">
        <f ca="1">IFERROR(__xludf.DUMMYFUNCTION("GOOGLETRANSLATE(F2719,""en"",""pt"")"),"Concretas casacos de acabamento")</f>
        <v>Concretas casacos de acabamento</v>
      </c>
      <c r="J2719">
        <f>VLOOKUP(A2719,Pr_Base_LNEC!$A$4:$J$6971,6,FALSE)</f>
        <v>0</v>
      </c>
      <c r="K2719">
        <f>VLOOKUP(A2719,Pr_Base_LNEC!$A$4:$J$6971,7,FALSE)</f>
        <v>0</v>
      </c>
    </row>
    <row r="2720" spans="1:11" ht="14.5">
      <c r="A2720" s="20" t="s">
        <v>20713</v>
      </c>
      <c r="B2720" s="20">
        <v>35</v>
      </c>
      <c r="C2720" s="20">
        <v>31</v>
      </c>
      <c r="D2720" s="20">
        <v>22</v>
      </c>
      <c r="E2720" s="20">
        <v>16</v>
      </c>
      <c r="F2720" s="20" t="s">
        <v>20714</v>
      </c>
      <c r="G2720" s="20" t="s">
        <v>20715</v>
      </c>
      <c r="H2720" s="24"/>
      <c r="I2720" s="24" t="str">
        <f ca="1">IFERROR(__xludf.DUMMYFUNCTION("GOOGLETRANSLATE(F2720,""en"",""pt"")"),"Betão revestimentos de flash")</f>
        <v>Betão revestimentos de flash</v>
      </c>
      <c r="J2720">
        <f>VLOOKUP(A2720,Pr_Base_LNEC!$A$4:$J$6971,6,FALSE)</f>
        <v>0</v>
      </c>
      <c r="K2720">
        <f>VLOOKUP(A2720,Pr_Base_LNEC!$A$4:$J$6971,7,FALSE)</f>
        <v>0</v>
      </c>
    </row>
    <row r="2721" spans="1:11" ht="14.5">
      <c r="A2721" s="20" t="s">
        <v>20716</v>
      </c>
      <c r="B2721" s="20">
        <v>35</v>
      </c>
      <c r="C2721" s="20">
        <v>31</v>
      </c>
      <c r="D2721" s="20">
        <v>22</v>
      </c>
      <c r="E2721" s="20">
        <v>17</v>
      </c>
      <c r="F2721" s="20" t="s">
        <v>20717</v>
      </c>
      <c r="G2721" s="24"/>
      <c r="H2721" s="24"/>
      <c r="I2721" s="24" t="str">
        <f ca="1">IFERROR(__xludf.DUMMYFUNCTION("GOOGLETRANSLATE(F2721,""en"",""pt"")"),"piso Corantes para concreto")</f>
        <v>piso Corantes para concreto</v>
      </c>
      <c r="J2721">
        <f>VLOOKUP(A2721,Pr_Base_LNEC!$A$4:$J$6971,6,FALSE)</f>
        <v>0</v>
      </c>
      <c r="K2721">
        <f>VLOOKUP(A2721,Pr_Base_LNEC!$A$4:$J$6971,7,FALSE)</f>
        <v>0</v>
      </c>
    </row>
    <row r="2722" spans="1:11" ht="14.5">
      <c r="A2722" s="20" t="s">
        <v>20718</v>
      </c>
      <c r="B2722" s="20">
        <v>35</v>
      </c>
      <c r="C2722" s="20">
        <v>31</v>
      </c>
      <c r="D2722" s="20">
        <v>22</v>
      </c>
      <c r="E2722" s="20">
        <v>18</v>
      </c>
      <c r="F2722" s="20" t="s">
        <v>20719</v>
      </c>
      <c r="G2722" s="20" t="s">
        <v>20720</v>
      </c>
      <c r="H2722" s="24"/>
      <c r="I2722" s="24" t="str">
        <f ca="1">IFERROR(__xludf.DUMMYFUNCTION("GOOGLETRANSLATE(F2722,""en"",""pt"")"),"piso tintas de concreto")</f>
        <v>piso tintas de concreto</v>
      </c>
      <c r="J2722">
        <f>VLOOKUP(A2722,Pr_Base_LNEC!$A$4:$J$6971,6,FALSE)</f>
        <v>0</v>
      </c>
      <c r="K2722">
        <f>VLOOKUP(A2722,Pr_Base_LNEC!$A$4:$J$6971,7,FALSE)</f>
        <v>0</v>
      </c>
    </row>
    <row r="2723" spans="1:11" ht="14.5">
      <c r="A2723" s="20" t="s">
        <v>20721</v>
      </c>
      <c r="B2723" s="20">
        <v>35</v>
      </c>
      <c r="C2723" s="20">
        <v>31</v>
      </c>
      <c r="D2723" s="20">
        <v>22</v>
      </c>
      <c r="E2723" s="20">
        <v>19</v>
      </c>
      <c r="F2723" s="20" t="s">
        <v>20722</v>
      </c>
      <c r="G2723" s="20" t="s">
        <v>20723</v>
      </c>
      <c r="H2723" s="24"/>
      <c r="I2723" s="24" t="str">
        <f ca="1">IFERROR(__xludf.DUMMYFUNCTION("GOOGLETRANSLATE(F2723,""en"",""pt"")"),"manchas de concreto")</f>
        <v>manchas de concreto</v>
      </c>
      <c r="J2723">
        <f>VLOOKUP(A2723,Pr_Base_LNEC!$A$4:$J$6971,6,FALSE)</f>
        <v>0</v>
      </c>
      <c r="K2723">
        <f>VLOOKUP(A2723,Pr_Base_LNEC!$A$4:$J$6971,7,FALSE)</f>
        <v>0</v>
      </c>
    </row>
    <row r="2724" spans="1:11" ht="14.5">
      <c r="A2724" s="20" t="s">
        <v>20724</v>
      </c>
      <c r="B2724" s="20">
        <v>35</v>
      </c>
      <c r="C2724" s="20">
        <v>31</v>
      </c>
      <c r="D2724" s="20">
        <v>22</v>
      </c>
      <c r="E2724" s="20">
        <v>23</v>
      </c>
      <c r="F2724" s="20" t="s">
        <v>20725</v>
      </c>
      <c r="G2724" s="20" t="s">
        <v>20726</v>
      </c>
      <c r="H2724" s="24"/>
      <c r="I2724" s="24" t="str">
        <f ca="1">IFERROR(__xludf.DUMMYFUNCTION("GOOGLETRANSLATE(F2724,""en"",""pt"")"),"enfermidade")</f>
        <v>enfermidade</v>
      </c>
      <c r="J2724">
        <f>VLOOKUP(A2724,Pr_Base_LNEC!$A$4:$J$6971,6,FALSE)</f>
        <v>0</v>
      </c>
      <c r="K2724">
        <f>VLOOKUP(A2724,Pr_Base_LNEC!$A$4:$J$6971,7,FALSE)</f>
        <v>0</v>
      </c>
    </row>
    <row r="2725" spans="1:11" ht="14.5">
      <c r="A2725" s="20" t="s">
        <v>20727</v>
      </c>
      <c r="B2725" s="20">
        <v>35</v>
      </c>
      <c r="C2725" s="20">
        <v>31</v>
      </c>
      <c r="D2725" s="20">
        <v>22</v>
      </c>
      <c r="E2725" s="20">
        <v>37</v>
      </c>
      <c r="F2725" s="20" t="s">
        <v>20728</v>
      </c>
      <c r="G2725" s="20" t="s">
        <v>20729</v>
      </c>
      <c r="H2725" s="24"/>
      <c r="I2725" s="24" t="str">
        <f ca="1">IFERROR(__xludf.DUMMYFUNCTION("GOOGLETRANSLATE(F2725,""en"",""pt"")"),"tinta à base de água de alta pigmento")</f>
        <v>tinta à base de água de alta pigmento</v>
      </c>
      <c r="J2725">
        <f>VLOOKUP(A2725,Pr_Base_LNEC!$A$4:$J$6971,6,FALSE)</f>
        <v>0</v>
      </c>
      <c r="K2725">
        <f>VLOOKUP(A2725,Pr_Base_LNEC!$A$4:$J$6971,7,FALSE)</f>
        <v>0</v>
      </c>
    </row>
    <row r="2726" spans="1:11" ht="14.5">
      <c r="A2726" s="20" t="s">
        <v>20730</v>
      </c>
      <c r="B2726" s="20">
        <v>35</v>
      </c>
      <c r="C2726" s="20">
        <v>31</v>
      </c>
      <c r="D2726" s="20">
        <v>22</v>
      </c>
      <c r="E2726" s="20">
        <v>47</v>
      </c>
      <c r="F2726" s="20" t="s">
        <v>20731</v>
      </c>
      <c r="G2726" s="20" t="s">
        <v>20732</v>
      </c>
      <c r="H2726" s="24"/>
      <c r="I2726" s="24" t="str">
        <f ca="1">IFERROR(__xludf.DUMMYFUNCTION("GOOGLETRANSLATE(F2726,""en"",""pt"")"),"Limewashes")</f>
        <v>Limewashes</v>
      </c>
      <c r="J2726">
        <f>VLOOKUP(A2726,Pr_Base_LNEC!$A$4:$J$6971,6,FALSE)</f>
        <v>0</v>
      </c>
      <c r="K2726">
        <f>VLOOKUP(A2726,Pr_Base_LNEC!$A$4:$J$6971,7,FALSE)</f>
        <v>0</v>
      </c>
    </row>
    <row r="2727" spans="1:11" ht="14.5">
      <c r="A2727" s="20" t="s">
        <v>20733</v>
      </c>
      <c r="B2727" s="20">
        <v>35</v>
      </c>
      <c r="C2727" s="20">
        <v>31</v>
      </c>
      <c r="D2727" s="20">
        <v>22</v>
      </c>
      <c r="E2727" s="20">
        <v>52</v>
      </c>
      <c r="F2727" s="20" t="s">
        <v>20734</v>
      </c>
      <c r="G2727" s="20" t="s">
        <v>20735</v>
      </c>
      <c r="H2727" s="24"/>
      <c r="I2727" s="24" t="str">
        <f ca="1">IFERROR(__xludf.DUMMYFUNCTION("GOOGLETRANSLATE(F2727,""en"",""pt"")"),"tintas de óxido de ferro micáceo")</f>
        <v>tintas de óxido de ferro micáceo</v>
      </c>
      <c r="J2727">
        <f>VLOOKUP(A2727,Pr_Base_LNEC!$A$4:$J$6971,6,FALSE)</f>
        <v>0</v>
      </c>
      <c r="K2727">
        <f>VLOOKUP(A2727,Pr_Base_LNEC!$A$4:$J$6971,7,FALSE)</f>
        <v>0</v>
      </c>
    </row>
    <row r="2728" spans="1:11" ht="14.5">
      <c r="A2728" s="20" t="s">
        <v>20736</v>
      </c>
      <c r="B2728" s="20">
        <v>35</v>
      </c>
      <c r="C2728" s="20">
        <v>31</v>
      </c>
      <c r="D2728" s="20">
        <v>22</v>
      </c>
      <c r="E2728" s="20">
        <v>54</v>
      </c>
      <c r="F2728" s="20" t="s">
        <v>20737</v>
      </c>
      <c r="G2728" s="20" t="s">
        <v>20738</v>
      </c>
      <c r="H2728" s="24"/>
      <c r="I2728" s="24" t="str">
        <f ca="1">IFERROR(__xludf.DUMMYFUNCTION("GOOGLETRANSLATE(F2728,""en"",""pt"")"),"revestimentos multi-color")</f>
        <v>revestimentos multi-color</v>
      </c>
      <c r="J2728">
        <f>VLOOKUP(A2728,Pr_Base_LNEC!$A$4:$J$6971,6,FALSE)</f>
        <v>0</v>
      </c>
      <c r="K2728">
        <f>VLOOKUP(A2728,Pr_Base_LNEC!$A$4:$J$6971,7,FALSE)</f>
        <v>0</v>
      </c>
    </row>
    <row r="2729" spans="1:11" ht="14.5">
      <c r="A2729" s="20" t="s">
        <v>20739</v>
      </c>
      <c r="B2729" s="20">
        <v>35</v>
      </c>
      <c r="C2729" s="20">
        <v>31</v>
      </c>
      <c r="D2729" s="20">
        <v>22</v>
      </c>
      <c r="E2729" s="20">
        <v>55</v>
      </c>
      <c r="F2729" s="20" t="s">
        <v>20740</v>
      </c>
      <c r="G2729" s="20" t="s">
        <v>20741</v>
      </c>
      <c r="H2729" s="24"/>
      <c r="I2729" s="24" t="str">
        <f ca="1">IFERROR(__xludf.DUMMYFUNCTION("GOOGLETRANSLATE(F2729,""en"",""pt"")"),"Multi-cor revestimentos acabamento respingos")</f>
        <v>Multi-cor revestimentos acabamento respingos</v>
      </c>
      <c r="J2729">
        <f>VLOOKUP(A2729,Pr_Base_LNEC!$A$4:$J$6971,6,FALSE)</f>
        <v>0</v>
      </c>
      <c r="K2729">
        <f>VLOOKUP(A2729,Pr_Base_LNEC!$A$4:$J$6971,7,FALSE)</f>
        <v>0</v>
      </c>
    </row>
    <row r="2730" spans="1:11" ht="14.5">
      <c r="A2730" s="20" t="s">
        <v>20742</v>
      </c>
      <c r="B2730" s="20">
        <v>35</v>
      </c>
      <c r="C2730" s="20">
        <v>31</v>
      </c>
      <c r="D2730" s="20">
        <v>22</v>
      </c>
      <c r="E2730" s="20">
        <v>58</v>
      </c>
      <c r="F2730" s="20" t="s">
        <v>20743</v>
      </c>
      <c r="G2730" s="24"/>
      <c r="H2730" s="24"/>
      <c r="I2730" s="24" t="str">
        <f ca="1">IFERROR(__xludf.DUMMYFUNCTION("GOOGLETRANSLATE(F2730,""en"",""pt"")"),"têmperas-bound petróleo")</f>
        <v>têmperas-bound petróleo</v>
      </c>
      <c r="J2730">
        <f>VLOOKUP(A2730,Pr_Base_LNEC!$A$4:$J$6971,6,FALSE)</f>
        <v>0</v>
      </c>
      <c r="K2730">
        <f>VLOOKUP(A2730,Pr_Base_LNEC!$A$4:$J$6971,7,FALSE)</f>
        <v>0</v>
      </c>
    </row>
    <row r="2731" spans="1:11" ht="14.5">
      <c r="A2731" s="20" t="s">
        <v>20744</v>
      </c>
      <c r="B2731" s="20">
        <v>35</v>
      </c>
      <c r="C2731" s="20">
        <v>31</v>
      </c>
      <c r="D2731" s="20">
        <v>22</v>
      </c>
      <c r="E2731" s="20">
        <v>62</v>
      </c>
      <c r="F2731" s="20" t="s">
        <v>20745</v>
      </c>
      <c r="G2731" s="20" t="s">
        <v>20746</v>
      </c>
      <c r="H2731" s="24"/>
      <c r="I2731" s="24" t="str">
        <f ca="1">IFERROR(__xludf.DUMMYFUNCTION("GOOGLETRANSLATE(F2731,""en"",""pt"")"),"tintas a óleo da planta")</f>
        <v>tintas a óleo da planta</v>
      </c>
      <c r="J2731">
        <f>VLOOKUP(A2731,Pr_Base_LNEC!$A$4:$J$6971,6,FALSE)</f>
        <v>0</v>
      </c>
      <c r="K2731">
        <f>VLOOKUP(A2731,Pr_Base_LNEC!$A$4:$J$6971,7,FALSE)</f>
        <v>0</v>
      </c>
    </row>
    <row r="2732" spans="1:11" ht="14.5">
      <c r="A2732" s="20" t="s">
        <v>20747</v>
      </c>
      <c r="B2732" s="20">
        <v>35</v>
      </c>
      <c r="C2732" s="20">
        <v>31</v>
      </c>
      <c r="D2732" s="20">
        <v>22</v>
      </c>
      <c r="E2732" s="20">
        <v>64</v>
      </c>
      <c r="F2732" s="20" t="s">
        <v>20748</v>
      </c>
      <c r="G2732" s="20" t="s">
        <v>20749</v>
      </c>
      <c r="H2732" s="24"/>
      <c r="I2732" s="24" t="str">
        <f ca="1">IFERROR(__xludf.DUMMYFUNCTION("GOOGLETRANSLATE(F2732,""en"",""pt"")"),"tintas textura de plástico")</f>
        <v>tintas textura de plástico</v>
      </c>
      <c r="J2732">
        <f>VLOOKUP(A2732,Pr_Base_LNEC!$A$4:$J$6971,6,FALSE)</f>
        <v>0</v>
      </c>
      <c r="K2732">
        <f>VLOOKUP(A2732,Pr_Base_LNEC!$A$4:$J$6971,7,FALSE)</f>
        <v>0</v>
      </c>
    </row>
    <row r="2733" spans="1:11" ht="14.5">
      <c r="A2733" s="20" t="s">
        <v>20750</v>
      </c>
      <c r="B2733" s="20">
        <v>35</v>
      </c>
      <c r="C2733" s="20">
        <v>31</v>
      </c>
      <c r="D2733" s="20">
        <v>22</v>
      </c>
      <c r="E2733" s="20">
        <v>72</v>
      </c>
      <c r="F2733" s="20" t="s">
        <v>20751</v>
      </c>
      <c r="G2733" s="20" t="s">
        <v>20752</v>
      </c>
      <c r="H2733" s="24"/>
      <c r="I2733" s="24" t="str">
        <f ca="1">IFERROR(__xludf.DUMMYFUNCTION("GOOGLETRANSLATE(F2733,""en"",""pt"")"),"tintas de alvenaria respirável à base de resina")</f>
        <v>tintas de alvenaria respirável à base de resina</v>
      </c>
      <c r="J2733">
        <f>VLOOKUP(A2733,Pr_Base_LNEC!$A$4:$J$6971,6,FALSE)</f>
        <v>0</v>
      </c>
      <c r="K2733">
        <f>VLOOKUP(A2733,Pr_Base_LNEC!$A$4:$J$6971,7,FALSE)</f>
        <v>0</v>
      </c>
    </row>
    <row r="2734" spans="1:11" ht="14.5">
      <c r="A2734" s="20" t="s">
        <v>20753</v>
      </c>
      <c r="B2734" s="20">
        <v>35</v>
      </c>
      <c r="C2734" s="20">
        <v>31</v>
      </c>
      <c r="D2734" s="20">
        <v>22</v>
      </c>
      <c r="E2734" s="20">
        <v>74</v>
      </c>
      <c r="F2734" s="20" t="s">
        <v>20754</v>
      </c>
      <c r="G2734" s="24"/>
      <c r="H2734" s="24"/>
      <c r="I2734" s="24" t="str">
        <f ca="1">IFERROR(__xludf.DUMMYFUNCTION("GOOGLETRANSLATE(F2734,""en"",""pt"")"),"corantes de madeira semi-transparentes")</f>
        <v>corantes de madeira semi-transparentes</v>
      </c>
      <c r="J2734">
        <f>VLOOKUP(A2734,Pr_Base_LNEC!$A$4:$J$6971,6,FALSE)</f>
        <v>0</v>
      </c>
      <c r="K2734">
        <f>VLOOKUP(A2734,Pr_Base_LNEC!$A$4:$J$6971,7,FALSE)</f>
        <v>0</v>
      </c>
    </row>
    <row r="2735" spans="1:11" ht="14.5">
      <c r="A2735" s="20" t="s">
        <v>20755</v>
      </c>
      <c r="B2735" s="20">
        <v>35</v>
      </c>
      <c r="C2735" s="20">
        <v>31</v>
      </c>
      <c r="D2735" s="20">
        <v>22</v>
      </c>
      <c r="E2735" s="20">
        <v>75</v>
      </c>
      <c r="F2735" s="20" t="s">
        <v>20756</v>
      </c>
      <c r="G2735" s="24"/>
      <c r="H2735" s="24"/>
      <c r="I2735" s="24" t="str">
        <f ca="1">IFERROR(__xludf.DUMMYFUNCTION("GOOGLETRANSLATE(F2735,""en"",""pt"")"),"óleos de madeira semi-transparentes")</f>
        <v>óleos de madeira semi-transparentes</v>
      </c>
      <c r="J2735">
        <f>VLOOKUP(A2735,Pr_Base_LNEC!$A$4:$J$6971,6,FALSE)</f>
        <v>0</v>
      </c>
      <c r="K2735">
        <f>VLOOKUP(A2735,Pr_Base_LNEC!$A$4:$J$6971,7,FALSE)</f>
        <v>0</v>
      </c>
    </row>
    <row r="2736" spans="1:11" ht="14.5">
      <c r="A2736" s="20" t="s">
        <v>20757</v>
      </c>
      <c r="B2736" s="20">
        <v>35</v>
      </c>
      <c r="C2736" s="20">
        <v>31</v>
      </c>
      <c r="D2736" s="20">
        <v>22</v>
      </c>
      <c r="E2736" s="20">
        <v>76</v>
      </c>
      <c r="F2736" s="20" t="s">
        <v>20758</v>
      </c>
      <c r="G2736" s="20" t="s">
        <v>20759</v>
      </c>
      <c r="H2736" s="24"/>
      <c r="I2736" s="24" t="str">
        <f ca="1">IFERROR(__xludf.DUMMYFUNCTION("GOOGLETRANSLATE(F2736,""en"",""pt"")"),"manchas de madeira semi-transparentes")</f>
        <v>manchas de madeira semi-transparentes</v>
      </c>
      <c r="J2736">
        <f>VLOOKUP(A2736,Pr_Base_LNEC!$A$4:$J$6971,6,FALSE)</f>
        <v>0</v>
      </c>
      <c r="K2736">
        <f>VLOOKUP(A2736,Pr_Base_LNEC!$A$4:$J$6971,7,FALSE)</f>
        <v>0</v>
      </c>
    </row>
    <row r="2737" spans="1:11" ht="14.5">
      <c r="A2737" s="20" t="s">
        <v>20760</v>
      </c>
      <c r="B2737" s="20">
        <v>35</v>
      </c>
      <c r="C2737" s="20">
        <v>31</v>
      </c>
      <c r="D2737" s="20">
        <v>22</v>
      </c>
      <c r="E2737" s="20">
        <v>77</v>
      </c>
      <c r="F2737" s="20" t="s">
        <v>20761</v>
      </c>
      <c r="G2737" s="20" t="s">
        <v>20762</v>
      </c>
      <c r="H2737" s="24"/>
      <c r="I2737" s="24" t="str">
        <f ca="1">IFERROR(__xludf.DUMMYFUNCTION("GOOGLETRANSLATE(F2737,""en"",""pt"")"),"revestimentos de alvenaria à base de silicato")</f>
        <v>revestimentos de alvenaria à base de silicato</v>
      </c>
      <c r="J2737">
        <f>VLOOKUP(A2737,Pr_Base_LNEC!$A$4:$J$6971,6,FALSE)</f>
        <v>0</v>
      </c>
      <c r="K2737">
        <f>VLOOKUP(A2737,Pr_Base_LNEC!$A$4:$J$6971,7,FALSE)</f>
        <v>0</v>
      </c>
    </row>
    <row r="2738" spans="1:11" ht="14.5">
      <c r="A2738" s="20" t="s">
        <v>20763</v>
      </c>
      <c r="B2738" s="20">
        <v>35</v>
      </c>
      <c r="C2738" s="20">
        <v>31</v>
      </c>
      <c r="D2738" s="20">
        <v>22</v>
      </c>
      <c r="E2738" s="20">
        <v>79</v>
      </c>
      <c r="F2738" s="20" t="s">
        <v>20764</v>
      </c>
      <c r="G2738" s="20" t="s">
        <v>20765</v>
      </c>
      <c r="H2738" s="24"/>
      <c r="I2738" s="24" t="str">
        <f ca="1">IFERROR(__xludf.DUMMYFUNCTION("GOOGLETRANSLATE(F2738,""en"",""pt"")"),"casacos de acabamento à base de solventes")</f>
        <v>casacos de acabamento à base de solventes</v>
      </c>
      <c r="J2738">
        <f>VLOOKUP(A2738,Pr_Base_LNEC!$A$4:$J$6971,6,FALSE)</f>
        <v>0</v>
      </c>
      <c r="K2738">
        <f>VLOOKUP(A2738,Pr_Base_LNEC!$A$4:$J$6971,7,FALSE)</f>
        <v>0</v>
      </c>
    </row>
    <row r="2739" spans="1:11" ht="14.5">
      <c r="A2739" s="20" t="s">
        <v>20766</v>
      </c>
      <c r="B2739" s="20">
        <v>35</v>
      </c>
      <c r="C2739" s="20">
        <v>31</v>
      </c>
      <c r="D2739" s="20">
        <v>22</v>
      </c>
      <c r="E2739" s="20">
        <v>80</v>
      </c>
      <c r="F2739" s="20" t="s">
        <v>20767</v>
      </c>
      <c r="G2739" s="20" t="s">
        <v>20768</v>
      </c>
      <c r="H2739" s="24"/>
      <c r="I2739" s="24" t="str">
        <f ca="1">IFERROR(__xludf.DUMMYFUNCTION("GOOGLETRANSLATE(F2739,""en"",""pt"")"),"Com solvente acabamentos de brilho")</f>
        <v>Com solvente acabamentos de brilho</v>
      </c>
      <c r="J2739">
        <f>VLOOKUP(A2739,Pr_Base_LNEC!$A$4:$J$6971,6,FALSE)</f>
        <v>0</v>
      </c>
      <c r="K2739">
        <f>VLOOKUP(A2739,Pr_Base_LNEC!$A$4:$J$6971,7,FALSE)</f>
        <v>0</v>
      </c>
    </row>
    <row r="2740" spans="1:11" ht="14.5">
      <c r="A2740" s="20" t="s">
        <v>20769</v>
      </c>
      <c r="B2740" s="20">
        <v>35</v>
      </c>
      <c r="C2740" s="20">
        <v>31</v>
      </c>
      <c r="D2740" s="20">
        <v>22</v>
      </c>
      <c r="E2740" s="20">
        <v>81</v>
      </c>
      <c r="F2740" s="20" t="s">
        <v>20770</v>
      </c>
      <c r="G2740" s="20" t="s">
        <v>20771</v>
      </c>
      <c r="H2740" s="24"/>
      <c r="I2740" s="24" t="str">
        <f ca="1">IFERROR(__xludf.DUMMYFUNCTION("GOOGLETRANSLATE(F2740,""en"",""pt"")"),"tintas de alvenaria Com solvente")</f>
        <v>tintas de alvenaria Com solvente</v>
      </c>
      <c r="J2740">
        <f>VLOOKUP(A2740,Pr_Base_LNEC!$A$4:$J$6971,6,FALSE)</f>
        <v>0</v>
      </c>
      <c r="K2740">
        <f>VLOOKUP(A2740,Pr_Base_LNEC!$A$4:$J$6971,7,FALSE)</f>
        <v>0</v>
      </c>
    </row>
    <row r="2741" spans="1:11" ht="14.5">
      <c r="A2741" s="20" t="s">
        <v>20772</v>
      </c>
      <c r="B2741" s="20">
        <v>35</v>
      </c>
      <c r="C2741" s="20">
        <v>31</v>
      </c>
      <c r="D2741" s="20">
        <v>22</v>
      </c>
      <c r="E2741" s="20">
        <v>82</v>
      </c>
      <c r="F2741" s="20" t="s">
        <v>20773</v>
      </c>
      <c r="G2741" s="20" t="s">
        <v>20774</v>
      </c>
      <c r="H2741" s="24"/>
      <c r="I2741" s="24" t="str">
        <f ca="1">IFERROR(__xludf.DUMMYFUNCTION("GOOGLETRANSLATE(F2741,""en"",""pt"")"),"acabamentos mate e planas a partir de solvente")</f>
        <v>acabamentos mate e planas a partir de solvente</v>
      </c>
      <c r="J2741">
        <f>VLOOKUP(A2741,Pr_Base_LNEC!$A$4:$J$6971,6,FALSE)</f>
        <v>0</v>
      </c>
      <c r="K2741">
        <f>VLOOKUP(A2741,Pr_Base_LNEC!$A$4:$J$6971,7,FALSE)</f>
        <v>0</v>
      </c>
    </row>
    <row r="2742" spans="1:11" ht="14.5">
      <c r="A2742" s="20" t="s">
        <v>20775</v>
      </c>
      <c r="B2742" s="20">
        <v>35</v>
      </c>
      <c r="C2742" s="20">
        <v>31</v>
      </c>
      <c r="D2742" s="20">
        <v>22</v>
      </c>
      <c r="E2742" s="20">
        <v>83</v>
      </c>
      <c r="F2742" s="20" t="s">
        <v>20776</v>
      </c>
      <c r="G2742" s="20" t="s">
        <v>20777</v>
      </c>
      <c r="H2742" s="24"/>
      <c r="I2742" s="24" t="str">
        <f ca="1">IFERROR(__xludf.DUMMYFUNCTION("GOOGLETRANSLATE(F2742,""en"",""pt"")"),"acabamentos meados de brilho Com solvente")</f>
        <v>acabamentos meados de brilho Com solvente</v>
      </c>
      <c r="J2742">
        <f>VLOOKUP(A2742,Pr_Base_LNEC!$A$4:$J$6971,6,FALSE)</f>
        <v>0</v>
      </c>
      <c r="K2742">
        <f>VLOOKUP(A2742,Pr_Base_LNEC!$A$4:$J$6971,7,FALSE)</f>
        <v>0</v>
      </c>
    </row>
    <row r="2743" spans="1:11" ht="14.5">
      <c r="A2743" s="20" t="s">
        <v>20778</v>
      </c>
      <c r="B2743" s="20">
        <v>35</v>
      </c>
      <c r="C2743" s="20">
        <v>31</v>
      </c>
      <c r="D2743" s="20">
        <v>22</v>
      </c>
      <c r="E2743" s="20">
        <v>87</v>
      </c>
      <c r="F2743" s="20" t="s">
        <v>20779</v>
      </c>
      <c r="G2743" s="20" t="s">
        <v>20732</v>
      </c>
      <c r="H2743" s="24"/>
      <c r="I2743" s="24" t="str">
        <f ca="1">IFERROR(__xludf.DUMMYFUNCTION("GOOGLETRANSLATE(F2743,""en"",""pt"")"),"lavagens cal sebo")</f>
        <v>lavagens cal sebo</v>
      </c>
      <c r="J2743">
        <f>VLOOKUP(A2743,Pr_Base_LNEC!$A$4:$J$6971,6,FALSE)</f>
        <v>0</v>
      </c>
      <c r="K2743">
        <f>VLOOKUP(A2743,Pr_Base_LNEC!$A$4:$J$6971,7,FALSE)</f>
        <v>0</v>
      </c>
    </row>
    <row r="2744" spans="1:11" ht="14.5">
      <c r="A2744" s="20" t="s">
        <v>20780</v>
      </c>
      <c r="B2744" s="20">
        <v>35</v>
      </c>
      <c r="C2744" s="20">
        <v>31</v>
      </c>
      <c r="D2744" s="20">
        <v>22</v>
      </c>
      <c r="E2744" s="20">
        <v>95</v>
      </c>
      <c r="F2744" s="20" t="s">
        <v>20781</v>
      </c>
      <c r="G2744" s="20" t="s">
        <v>20782</v>
      </c>
      <c r="H2744" s="24"/>
      <c r="I2744" s="24" t="str">
        <f ca="1">IFERROR(__xludf.DUMMYFUNCTION("GOOGLETRANSLATE(F2744,""en"",""pt"")"),"acabamentos à base de água gloss")</f>
        <v>acabamentos à base de água gloss</v>
      </c>
      <c r="J2744">
        <f>VLOOKUP(A2744,Pr_Base_LNEC!$A$4:$J$6971,6,FALSE)</f>
        <v>0</v>
      </c>
      <c r="K2744">
        <f>VLOOKUP(A2744,Pr_Base_LNEC!$A$4:$J$6971,7,FALSE)</f>
        <v>0</v>
      </c>
    </row>
    <row r="2745" spans="1:11" ht="14.5">
      <c r="A2745" s="20" t="s">
        <v>20783</v>
      </c>
      <c r="B2745" s="20">
        <v>35</v>
      </c>
      <c r="C2745" s="20">
        <v>31</v>
      </c>
      <c r="D2745" s="20">
        <v>22</v>
      </c>
      <c r="E2745" s="20">
        <v>96</v>
      </c>
      <c r="F2745" s="20" t="s">
        <v>20784</v>
      </c>
      <c r="G2745" s="20" t="s">
        <v>20785</v>
      </c>
      <c r="H2745" s="24"/>
      <c r="I2745" s="24" t="str">
        <f ca="1">IFERROR(__xludf.DUMMYFUNCTION("GOOGLETRANSLATE(F2745,""en"",""pt"")"),"tintas à base de água de alvenaria")</f>
        <v>tintas à base de água de alvenaria</v>
      </c>
      <c r="J2745">
        <f>VLOOKUP(A2745,Pr_Base_LNEC!$A$4:$J$6971,6,FALSE)</f>
        <v>0</v>
      </c>
      <c r="K2745">
        <f>VLOOKUP(A2745,Pr_Base_LNEC!$A$4:$J$6971,7,FALSE)</f>
        <v>0</v>
      </c>
    </row>
    <row r="2746" spans="1:11" ht="14.5">
      <c r="A2746" s="20" t="s">
        <v>20786</v>
      </c>
      <c r="B2746" s="20">
        <v>35</v>
      </c>
      <c r="C2746" s="20">
        <v>31</v>
      </c>
      <c r="D2746" s="20">
        <v>22</v>
      </c>
      <c r="E2746" s="20">
        <v>97</v>
      </c>
      <c r="F2746" s="20" t="s">
        <v>20787</v>
      </c>
      <c r="G2746" s="20" t="s">
        <v>20788</v>
      </c>
      <c r="H2746" s="24"/>
      <c r="I2746" s="24" t="str">
        <f ca="1">IFERROR(__xludf.DUMMYFUNCTION("GOOGLETRANSLATE(F2746,""en"",""pt"")"),"Waterborne mate e acabamentos lisos")</f>
        <v>Waterborne mate e acabamentos lisos</v>
      </c>
      <c r="J2746">
        <f>VLOOKUP(A2746,Pr_Base_LNEC!$A$4:$J$6971,6,FALSE)</f>
        <v>0</v>
      </c>
      <c r="K2746">
        <f>VLOOKUP(A2746,Pr_Base_LNEC!$A$4:$J$6971,7,FALSE)</f>
        <v>0</v>
      </c>
    </row>
    <row r="2747" spans="1:11" ht="14.5">
      <c r="A2747" s="20" t="s">
        <v>20789</v>
      </c>
      <c r="B2747" s="20">
        <v>35</v>
      </c>
      <c r="C2747" s="20">
        <v>31</v>
      </c>
      <c r="D2747" s="20">
        <v>22</v>
      </c>
      <c r="E2747" s="20">
        <v>98</v>
      </c>
      <c r="F2747" s="20" t="s">
        <v>20790</v>
      </c>
      <c r="G2747" s="20" t="s">
        <v>20791</v>
      </c>
      <c r="H2747" s="24"/>
      <c r="I2747" s="24" t="str">
        <f ca="1">IFERROR(__xludf.DUMMYFUNCTION("GOOGLETRANSLATE(F2747,""en"",""pt"")"),"acabamentos à base de água meados de brilho")</f>
        <v>acabamentos à base de água meados de brilho</v>
      </c>
      <c r="J2747">
        <f>VLOOKUP(A2747,Pr_Base_LNEC!$A$4:$J$6971,6,FALSE)</f>
        <v>0</v>
      </c>
      <c r="K2747">
        <f>VLOOKUP(A2747,Pr_Base_LNEC!$A$4:$J$6971,7,FALSE)</f>
        <v>0</v>
      </c>
    </row>
    <row r="2748" spans="1:11" ht="14.5">
      <c r="A2748" s="20" t="s">
        <v>20792</v>
      </c>
      <c r="B2748" s="20">
        <v>35</v>
      </c>
      <c r="C2748" s="20">
        <v>31</v>
      </c>
      <c r="D2748" s="20">
        <v>64</v>
      </c>
      <c r="E2748" s="24"/>
      <c r="F2748" s="20" t="s">
        <v>20793</v>
      </c>
      <c r="G2748" s="24"/>
      <c r="H2748" s="24"/>
      <c r="I2748" s="24" t="str">
        <f ca="1">IFERROR(__xludf.DUMMYFUNCTION("GOOGLETRANSLATE(F2748,""en"",""pt"")"),"Gesso e torna")</f>
        <v>Gesso e torna</v>
      </c>
      <c r="J2748">
        <f>VLOOKUP(A2748,Pr_Base_LNEC!$A$4:$J$6971,6,FALSE)</f>
        <v>0</v>
      </c>
      <c r="K2748">
        <f>VLOOKUP(A2748,Pr_Base_LNEC!$A$4:$J$6971,7,FALSE)</f>
        <v>0</v>
      </c>
    </row>
    <row r="2749" spans="1:11" ht="14.5">
      <c r="A2749" s="20" t="s">
        <v>20794</v>
      </c>
      <c r="B2749" s="20">
        <v>35</v>
      </c>
      <c r="C2749" s="20">
        <v>31</v>
      </c>
      <c r="D2749" s="20">
        <v>64</v>
      </c>
      <c r="E2749" s="20">
        <v>1</v>
      </c>
      <c r="F2749" s="20" t="s">
        <v>20795</v>
      </c>
      <c r="G2749" s="20" t="s">
        <v>20796</v>
      </c>
      <c r="H2749" s="24"/>
      <c r="I2749" s="24" t="str">
        <f ca="1">IFERROR(__xludf.DUMMYFUNCTION("GOOGLETRANSLATE(F2749,""en"",""pt"")"),"gesso acrílico")</f>
        <v>gesso acrílico</v>
      </c>
      <c r="J2749">
        <f>VLOOKUP(A2749,Pr_Base_LNEC!$A$4:$J$6971,6,FALSE)</f>
        <v>0</v>
      </c>
      <c r="K2749">
        <f>VLOOKUP(A2749,Pr_Base_LNEC!$A$4:$J$6971,7,FALSE)</f>
        <v>0</v>
      </c>
    </row>
    <row r="2750" spans="1:11" ht="14.5">
      <c r="A2750" s="20" t="s">
        <v>20797</v>
      </c>
      <c r="B2750" s="20">
        <v>35</v>
      </c>
      <c r="C2750" s="20">
        <v>31</v>
      </c>
      <c r="D2750" s="20">
        <v>64</v>
      </c>
      <c r="E2750" s="20">
        <v>2</v>
      </c>
      <c r="F2750" s="20" t="s">
        <v>20798</v>
      </c>
      <c r="G2750" s="20" t="s">
        <v>20799</v>
      </c>
      <c r="H2750" s="24"/>
      <c r="I2750" s="24" t="str">
        <f ca="1">IFERROR(__xludf.DUMMYFUNCTION("GOOGLETRANSLATE(F2750,""en"",""pt"")"),"acrílico torna")</f>
        <v>acrílico torna</v>
      </c>
      <c r="J2750">
        <f>VLOOKUP(A2750,Pr_Base_LNEC!$A$4:$J$6971,6,FALSE)</f>
        <v>0</v>
      </c>
      <c r="K2750">
        <f>VLOOKUP(A2750,Pr_Base_LNEC!$A$4:$J$6971,7,FALSE)</f>
        <v>0</v>
      </c>
    </row>
    <row r="2751" spans="1:11" ht="14.5">
      <c r="A2751" s="20" t="s">
        <v>20800</v>
      </c>
      <c r="B2751" s="20">
        <v>35</v>
      </c>
      <c r="C2751" s="20">
        <v>31</v>
      </c>
      <c r="D2751" s="20">
        <v>64</v>
      </c>
      <c r="E2751" s="20">
        <v>7</v>
      </c>
      <c r="F2751" s="20" t="s">
        <v>20801</v>
      </c>
      <c r="G2751" s="20" t="s">
        <v>20802</v>
      </c>
      <c r="H2751" s="24"/>
      <c r="I2751" s="24" t="str">
        <f ca="1">IFERROR(__xludf.DUMMYFUNCTION("GOOGLETRANSLATE(F2751,""en"",""pt"")"),"biocida torna")</f>
        <v>biocida torna</v>
      </c>
      <c r="J2751">
        <f>VLOOKUP(A2751,Pr_Base_LNEC!$A$4:$J$6971,6,FALSE)</f>
        <v>0</v>
      </c>
      <c r="K2751">
        <f>VLOOKUP(A2751,Pr_Base_LNEC!$A$4:$J$6971,7,FALSE)</f>
        <v>0</v>
      </c>
    </row>
    <row r="2752" spans="1:11" ht="14.5">
      <c r="A2752" s="20" t="s">
        <v>20803</v>
      </c>
      <c r="B2752" s="20">
        <v>35</v>
      </c>
      <c r="C2752" s="20">
        <v>31</v>
      </c>
      <c r="D2752" s="20">
        <v>64</v>
      </c>
      <c r="E2752" s="20">
        <v>8</v>
      </c>
      <c r="F2752" s="20" t="s">
        <v>20804</v>
      </c>
      <c r="G2752" s="20" t="s">
        <v>20805</v>
      </c>
      <c r="H2752" s="24"/>
      <c r="I2752" s="24" t="str">
        <f ca="1">IFERROR(__xludf.DUMMYFUNCTION("GOOGLETRANSLATE(F2752,""en"",""pt"")"),"emplastros de colagem")</f>
        <v>emplastros de colagem</v>
      </c>
      <c r="J2752">
        <f>VLOOKUP(A2752,Pr_Base_LNEC!$A$4:$J$6971,6,FALSE)</f>
        <v>0</v>
      </c>
      <c r="K2752">
        <f>VLOOKUP(A2752,Pr_Base_LNEC!$A$4:$J$6971,7,FALSE)</f>
        <v>0</v>
      </c>
    </row>
    <row r="2753" spans="1:11" ht="14.5">
      <c r="A2753" s="20" t="s">
        <v>20806</v>
      </c>
      <c r="B2753" s="20">
        <v>35</v>
      </c>
      <c r="C2753" s="20">
        <v>31</v>
      </c>
      <c r="D2753" s="20">
        <v>64</v>
      </c>
      <c r="E2753" s="20">
        <v>9</v>
      </c>
      <c r="F2753" s="20" t="s">
        <v>20807</v>
      </c>
      <c r="G2753" s="20" t="s">
        <v>20808</v>
      </c>
      <c r="H2753" s="24"/>
      <c r="I2753" s="24" t="str">
        <f ca="1">IFERROR(__xludf.DUMMYFUNCTION("GOOGLETRANSLATE(F2753,""en"",""pt"")"),"Browning emplastros")</f>
        <v>Browning emplastros</v>
      </c>
      <c r="J2753">
        <f>VLOOKUP(A2753,Pr_Base_LNEC!$A$4:$J$6971,6,FALSE)</f>
        <v>0</v>
      </c>
      <c r="K2753">
        <f>VLOOKUP(A2753,Pr_Base_LNEC!$A$4:$J$6971,7,FALSE)</f>
        <v>0</v>
      </c>
    </row>
    <row r="2754" spans="1:11" ht="14.5">
      <c r="A2754" s="20" t="s">
        <v>20809</v>
      </c>
      <c r="B2754" s="20">
        <v>35</v>
      </c>
      <c r="C2754" s="20">
        <v>31</v>
      </c>
      <c r="D2754" s="20">
        <v>64</v>
      </c>
      <c r="E2754" s="20">
        <v>12</v>
      </c>
      <c r="F2754" s="20" t="s">
        <v>20810</v>
      </c>
      <c r="G2754" s="20" t="s">
        <v>20811</v>
      </c>
      <c r="H2754" s="24"/>
      <c r="I2754" s="24" t="str">
        <f ca="1">IFERROR(__xludf.DUMMYFUNCTION("GOOGLETRANSLATE(F2754,""en"",""pt"")"),"rebocos cimentícios")</f>
        <v>rebocos cimentícios</v>
      </c>
      <c r="J2754">
        <f>VLOOKUP(A2754,Pr_Base_LNEC!$A$4:$J$6971,6,FALSE)</f>
        <v>0</v>
      </c>
      <c r="K2754">
        <f>VLOOKUP(A2754,Pr_Base_LNEC!$A$4:$J$6971,7,FALSE)</f>
        <v>0</v>
      </c>
    </row>
    <row r="2755" spans="1:11" ht="14.5">
      <c r="A2755" s="20" t="s">
        <v>20812</v>
      </c>
      <c r="B2755" s="20">
        <v>35</v>
      </c>
      <c r="C2755" s="20">
        <v>31</v>
      </c>
      <c r="D2755" s="20">
        <v>64</v>
      </c>
      <c r="E2755" s="20">
        <v>14</v>
      </c>
      <c r="F2755" s="20" t="s">
        <v>20813</v>
      </c>
      <c r="G2755" s="20" t="s">
        <v>20814</v>
      </c>
      <c r="H2755" s="24"/>
      <c r="I2755" s="24" t="str">
        <f ca="1">IFERROR(__xludf.DUMMYFUNCTION("GOOGLETRANSLATE(F2755,""en"",""pt"")"),"emplastros de argila")</f>
        <v>emplastros de argila</v>
      </c>
      <c r="J2755">
        <f>VLOOKUP(A2755,Pr_Base_LNEC!$A$4:$J$6971,6,FALSE)</f>
        <v>0</v>
      </c>
      <c r="K2755">
        <f>VLOOKUP(A2755,Pr_Base_LNEC!$A$4:$J$6971,7,FALSE)</f>
        <v>0</v>
      </c>
    </row>
    <row r="2756" spans="1:11" ht="14.5">
      <c r="A2756" s="20" t="s">
        <v>20815</v>
      </c>
      <c r="B2756" s="20">
        <v>35</v>
      </c>
      <c r="C2756" s="20">
        <v>31</v>
      </c>
      <c r="D2756" s="20">
        <v>64</v>
      </c>
      <c r="E2756" s="20">
        <v>29</v>
      </c>
      <c r="F2756" s="20" t="s">
        <v>20816</v>
      </c>
      <c r="G2756" s="20" t="s">
        <v>20817</v>
      </c>
      <c r="H2756" s="24"/>
      <c r="I2756" s="24" t="str">
        <f ca="1">IFERROR(__xludf.DUMMYFUNCTION("GOOGLETRANSLATE(F2756,""en"",""pt"")"),"Fábricas emplastros mistos")</f>
        <v>Fábricas emplastros mistos</v>
      </c>
      <c r="J2756">
        <f>VLOOKUP(A2756,Pr_Base_LNEC!$A$4:$J$6971,6,FALSE)</f>
        <v>0</v>
      </c>
      <c r="K2756">
        <f>VLOOKUP(A2756,Pr_Base_LNEC!$A$4:$J$6971,7,FALSE)</f>
        <v>0</v>
      </c>
    </row>
    <row r="2757" spans="1:11" ht="14.5">
      <c r="A2757" s="20" t="s">
        <v>20818</v>
      </c>
      <c r="B2757" s="20">
        <v>35</v>
      </c>
      <c r="C2757" s="20">
        <v>31</v>
      </c>
      <c r="D2757" s="20">
        <v>64</v>
      </c>
      <c r="E2757" s="20">
        <v>31</v>
      </c>
      <c r="F2757" s="20" t="s">
        <v>20819</v>
      </c>
      <c r="G2757" s="20" t="s">
        <v>20820</v>
      </c>
      <c r="H2757" s="24"/>
      <c r="I2757" s="24" t="str">
        <f ca="1">IFERROR(__xludf.DUMMYFUNCTION("GOOGLETRANSLATE(F2757,""en"",""pt"")"),"emplastros fibrosos")</f>
        <v>emplastros fibrosos</v>
      </c>
      <c r="J2757">
        <f>VLOOKUP(A2757,Pr_Base_LNEC!$A$4:$J$6971,6,FALSE)</f>
        <v>0</v>
      </c>
      <c r="K2757">
        <f>VLOOKUP(A2757,Pr_Base_LNEC!$A$4:$J$6971,7,FALSE)</f>
        <v>0</v>
      </c>
    </row>
    <row r="2758" spans="1:11" ht="14.5">
      <c r="A2758" s="20" t="s">
        <v>20821</v>
      </c>
      <c r="B2758" s="20">
        <v>35</v>
      </c>
      <c r="C2758" s="20">
        <v>31</v>
      </c>
      <c r="D2758" s="20">
        <v>64</v>
      </c>
      <c r="E2758" s="20">
        <v>32</v>
      </c>
      <c r="F2758" s="20" t="s">
        <v>20822</v>
      </c>
      <c r="G2758" s="20" t="s">
        <v>20823</v>
      </c>
      <c r="H2758" s="24"/>
      <c r="I2758" s="24" t="str">
        <f ca="1">IFERROR(__xludf.DUMMYFUNCTION("GOOGLETRANSLATE(F2758,""en"",""pt"")"),"rebocos de acabamento")</f>
        <v>rebocos de acabamento</v>
      </c>
      <c r="J2758">
        <f>VLOOKUP(A2758,Pr_Base_LNEC!$A$4:$J$6971,6,FALSE)</f>
        <v>0</v>
      </c>
      <c r="K2758">
        <f>VLOOKUP(A2758,Pr_Base_LNEC!$A$4:$J$6971,7,FALSE)</f>
        <v>0</v>
      </c>
    </row>
    <row r="2759" spans="1:11" ht="14.5">
      <c r="A2759" s="20" t="s">
        <v>20824</v>
      </c>
      <c r="B2759" s="20">
        <v>35</v>
      </c>
      <c r="C2759" s="20">
        <v>31</v>
      </c>
      <c r="D2759" s="20">
        <v>64</v>
      </c>
      <c r="E2759" s="20">
        <v>35</v>
      </c>
      <c r="F2759" s="20" t="s">
        <v>20825</v>
      </c>
      <c r="G2759" s="20" t="s">
        <v>20826</v>
      </c>
      <c r="H2759" s="24"/>
      <c r="I2759" s="24" t="str">
        <f ca="1">IFERROR(__xludf.DUMMYFUNCTION("GOOGLETRANSLATE(F2759,""en"",""pt"")"),"rebocos de gesso")</f>
        <v>rebocos de gesso</v>
      </c>
      <c r="J2759">
        <f>VLOOKUP(A2759,Pr_Base_LNEC!$A$4:$J$6971,6,FALSE)</f>
        <v>0</v>
      </c>
      <c r="K2759">
        <f>VLOOKUP(A2759,Pr_Base_LNEC!$A$4:$J$6971,7,FALSE)</f>
        <v>0</v>
      </c>
    </row>
    <row r="2760" spans="1:11" ht="14.5">
      <c r="A2760" s="20" t="s">
        <v>20827</v>
      </c>
      <c r="B2760" s="20">
        <v>35</v>
      </c>
      <c r="C2760" s="20">
        <v>31</v>
      </c>
      <c r="D2760" s="20">
        <v>64</v>
      </c>
      <c r="E2760" s="20">
        <v>42</v>
      </c>
      <c r="F2760" s="20" t="s">
        <v>20828</v>
      </c>
      <c r="G2760" s="20" t="s">
        <v>20829</v>
      </c>
      <c r="H2760" s="24"/>
      <c r="I2760" s="24" t="str">
        <f ca="1">IFERROR(__xludf.DUMMYFUNCTION("GOOGLETRANSLATE(F2760,""en"",""pt"")"),"isolante emplastros")</f>
        <v>isolante emplastros</v>
      </c>
      <c r="J2760">
        <f>VLOOKUP(A2760,Pr_Base_LNEC!$A$4:$J$6971,6,FALSE)</f>
        <v>0</v>
      </c>
      <c r="K2760">
        <f>VLOOKUP(A2760,Pr_Base_LNEC!$A$4:$J$6971,7,FALSE)</f>
        <v>0</v>
      </c>
    </row>
    <row r="2761" spans="1:11" ht="14.5">
      <c r="A2761" s="20" t="s">
        <v>20830</v>
      </c>
      <c r="B2761" s="20">
        <v>35</v>
      </c>
      <c r="C2761" s="20">
        <v>31</v>
      </c>
      <c r="D2761" s="20">
        <v>64</v>
      </c>
      <c r="E2761" s="20">
        <v>47</v>
      </c>
      <c r="F2761" s="20" t="s">
        <v>20831</v>
      </c>
      <c r="G2761" s="20" t="s">
        <v>20832</v>
      </c>
      <c r="H2761" s="24"/>
      <c r="I2761" s="24" t="str">
        <f ca="1">IFERROR(__xludf.DUMMYFUNCTION("GOOGLETRANSLATE(F2761,""en"",""pt"")"),"estuques de cal")</f>
        <v>estuques de cal</v>
      </c>
      <c r="J2761">
        <f>VLOOKUP(A2761,Pr_Base_LNEC!$A$4:$J$6971,6,FALSE)</f>
        <v>0</v>
      </c>
      <c r="K2761">
        <f>VLOOKUP(A2761,Pr_Base_LNEC!$A$4:$J$6971,7,FALSE)</f>
        <v>0</v>
      </c>
    </row>
    <row r="2762" spans="1:11" ht="14.5">
      <c r="A2762" s="20" t="s">
        <v>20833</v>
      </c>
      <c r="B2762" s="20">
        <v>35</v>
      </c>
      <c r="C2762" s="20">
        <v>31</v>
      </c>
      <c r="D2762" s="20">
        <v>64</v>
      </c>
      <c r="E2762" s="20">
        <v>48</v>
      </c>
      <c r="F2762" s="20" t="s">
        <v>20834</v>
      </c>
      <c r="G2762" s="20" t="s">
        <v>20835</v>
      </c>
      <c r="H2762" s="24"/>
      <c r="I2762" s="24" t="str">
        <f ca="1">IFERROR(__xludf.DUMMYFUNCTION("GOOGLETRANSLATE(F2762,""en"",""pt"")"),"rebocos de cal")</f>
        <v>rebocos de cal</v>
      </c>
      <c r="J2762">
        <f>VLOOKUP(A2762,Pr_Base_LNEC!$A$4:$J$6971,6,FALSE)</f>
        <v>0</v>
      </c>
      <c r="K2762">
        <f>VLOOKUP(A2762,Pr_Base_LNEC!$A$4:$J$6971,7,FALSE)</f>
        <v>0</v>
      </c>
    </row>
    <row r="2763" spans="1:11" ht="14.5">
      <c r="A2763" s="20" t="s">
        <v>20836</v>
      </c>
      <c r="B2763" s="20">
        <v>35</v>
      </c>
      <c r="C2763" s="20">
        <v>31</v>
      </c>
      <c r="D2763" s="20">
        <v>64</v>
      </c>
      <c r="E2763" s="20">
        <v>64</v>
      </c>
      <c r="F2763" s="20" t="s">
        <v>20837</v>
      </c>
      <c r="G2763" s="20" t="s">
        <v>20838</v>
      </c>
      <c r="H2763" s="24"/>
      <c r="I2763" s="24" t="str">
        <f ca="1">IFERROR(__xludf.DUMMYFUNCTION("GOOGLETRANSLATE(F2763,""en"",""pt"")"),"emplastros poliméricos")</f>
        <v>emplastros poliméricos</v>
      </c>
      <c r="J2763">
        <f>VLOOKUP(A2763,Pr_Base_LNEC!$A$4:$J$6971,6,FALSE)</f>
        <v>0</v>
      </c>
      <c r="K2763">
        <f>VLOOKUP(A2763,Pr_Base_LNEC!$A$4:$J$6971,7,FALSE)</f>
        <v>0</v>
      </c>
    </row>
    <row r="2764" spans="1:11" ht="14.5">
      <c r="A2764" s="20" t="s">
        <v>20839</v>
      </c>
      <c r="B2764" s="20">
        <v>35</v>
      </c>
      <c r="C2764" s="20">
        <v>31</v>
      </c>
      <c r="D2764" s="20">
        <v>64</v>
      </c>
      <c r="E2764" s="20">
        <v>65</v>
      </c>
      <c r="F2764" s="20" t="s">
        <v>20840</v>
      </c>
      <c r="G2764" s="20" t="s">
        <v>20841</v>
      </c>
      <c r="H2764" s="24"/>
      <c r="I2764" s="24" t="str">
        <f ca="1">IFERROR(__xludf.DUMMYFUNCTION("GOOGLETRANSLATE(F2764,""en"",""pt"")"),"-Polímero modificado torna")</f>
        <v>-Polímero modificado torna</v>
      </c>
      <c r="J2764">
        <f>VLOOKUP(A2764,Pr_Base_LNEC!$A$4:$J$6971,6,FALSE)</f>
        <v>0</v>
      </c>
      <c r="K2764">
        <f>VLOOKUP(A2764,Pr_Base_LNEC!$A$4:$J$6971,7,FALSE)</f>
        <v>0</v>
      </c>
    </row>
    <row r="2765" spans="1:11" ht="14.5">
      <c r="A2765" s="20" t="s">
        <v>20842</v>
      </c>
      <c r="B2765" s="20">
        <v>35</v>
      </c>
      <c r="C2765" s="20">
        <v>31</v>
      </c>
      <c r="D2765" s="20">
        <v>64</v>
      </c>
      <c r="E2765" s="20">
        <v>67</v>
      </c>
      <c r="F2765" s="20" t="s">
        <v>20843</v>
      </c>
      <c r="G2765" s="20" t="s">
        <v>20844</v>
      </c>
      <c r="H2765" s="24"/>
      <c r="I2765" s="24" t="str">
        <f ca="1">IFERROR(__xludf.DUMMYFUNCTION("GOOGLETRANSLATE(F2765,""en"",""pt"")"),"emplastros de projeção")</f>
        <v>emplastros de projeção</v>
      </c>
      <c r="J2765">
        <f>VLOOKUP(A2765,Pr_Base_LNEC!$A$4:$J$6971,6,FALSE)</f>
        <v>0</v>
      </c>
      <c r="K2765">
        <f>VLOOKUP(A2765,Pr_Base_LNEC!$A$4:$J$6971,7,FALSE)</f>
        <v>0</v>
      </c>
    </row>
    <row r="2766" spans="1:11" ht="14.5">
      <c r="A2766" s="20" t="s">
        <v>20845</v>
      </c>
      <c r="B2766" s="20">
        <v>35</v>
      </c>
      <c r="C2766" s="20">
        <v>31</v>
      </c>
      <c r="D2766" s="20">
        <v>64</v>
      </c>
      <c r="E2766" s="20">
        <v>70</v>
      </c>
      <c r="F2766" s="20" t="s">
        <v>20846</v>
      </c>
      <c r="G2766" s="20" t="s">
        <v>20847</v>
      </c>
      <c r="H2766" s="24"/>
      <c r="I2766" s="24" t="str">
        <f ca="1">IFERROR(__xludf.DUMMYFUNCTION("GOOGLETRANSLATE(F2766,""en"",""pt"")"),"Rendem-grau resinas")</f>
        <v>Rendem-grau resinas</v>
      </c>
      <c r="J2766">
        <f>VLOOKUP(A2766,Pr_Base_LNEC!$A$4:$J$6971,6,FALSE)</f>
        <v>0</v>
      </c>
      <c r="K2766">
        <f>VLOOKUP(A2766,Pr_Base_LNEC!$A$4:$J$6971,7,FALSE)</f>
        <v>0</v>
      </c>
    </row>
    <row r="2767" spans="1:11" ht="14.5">
      <c r="A2767" s="20" t="s">
        <v>20848</v>
      </c>
      <c r="B2767" s="20">
        <v>35</v>
      </c>
      <c r="C2767" s="20">
        <v>31</v>
      </c>
      <c r="D2767" s="20">
        <v>64</v>
      </c>
      <c r="E2767" s="20">
        <v>71</v>
      </c>
      <c r="F2767" s="20" t="s">
        <v>20849</v>
      </c>
      <c r="G2767" s="20" t="s">
        <v>20850</v>
      </c>
      <c r="H2767" s="24"/>
      <c r="I2767" s="24" t="str">
        <f ca="1">IFERROR(__xludf.DUMMYFUNCTION("GOOGLETRANSLATE(F2767,""en"",""pt"")"),"Renovação de emplastros")</f>
        <v>Renovação de emplastros</v>
      </c>
      <c r="J2767">
        <f>VLOOKUP(A2767,Pr_Base_LNEC!$A$4:$J$6971,6,FALSE)</f>
        <v>0</v>
      </c>
      <c r="K2767">
        <f>VLOOKUP(A2767,Pr_Base_LNEC!$A$4:$J$6971,7,FALSE)</f>
        <v>0</v>
      </c>
    </row>
    <row r="2768" spans="1:11" ht="14.5">
      <c r="A2768" s="20" t="s">
        <v>20851</v>
      </c>
      <c r="B2768" s="20">
        <v>35</v>
      </c>
      <c r="C2768" s="20">
        <v>31</v>
      </c>
      <c r="D2768" s="20">
        <v>64</v>
      </c>
      <c r="E2768" s="20">
        <v>76</v>
      </c>
      <c r="F2768" s="20" t="s">
        <v>20852</v>
      </c>
      <c r="G2768" s="24"/>
      <c r="H2768" s="24"/>
      <c r="I2768" s="24" t="str">
        <f ca="1">IFERROR(__xludf.DUMMYFUNCTION("GOOGLETRANSLATE(F2768,""en"",""pt"")"),"Scagliola")</f>
        <v>Scagliola</v>
      </c>
      <c r="J2768">
        <f>VLOOKUP(A2768,Pr_Base_LNEC!$A$4:$J$6971,6,FALSE)</f>
        <v>0</v>
      </c>
      <c r="K2768">
        <f>VLOOKUP(A2768,Pr_Base_LNEC!$A$4:$J$6971,7,FALSE)</f>
        <v>0</v>
      </c>
    </row>
    <row r="2769" spans="1:11" ht="14.5">
      <c r="A2769" s="20" t="s">
        <v>20853</v>
      </c>
      <c r="B2769" s="20">
        <v>35</v>
      </c>
      <c r="C2769" s="20">
        <v>31</v>
      </c>
      <c r="D2769" s="20">
        <v>64</v>
      </c>
      <c r="E2769" s="20">
        <v>77</v>
      </c>
      <c r="F2769" s="20" t="s">
        <v>20854</v>
      </c>
      <c r="G2769" s="20" t="s">
        <v>20855</v>
      </c>
      <c r="H2769" s="24"/>
      <c r="I2769" s="24" t="str">
        <f ca="1">IFERROR(__xludf.DUMMYFUNCTION("GOOGLETRANSLATE(F2769,""en"",""pt"")"),"silicone torna")</f>
        <v>silicone torna</v>
      </c>
      <c r="J2769">
        <f>VLOOKUP(A2769,Pr_Base_LNEC!$A$4:$J$6971,6,FALSE)</f>
        <v>0</v>
      </c>
      <c r="K2769">
        <f>VLOOKUP(A2769,Pr_Base_LNEC!$A$4:$J$6971,7,FALSE)</f>
        <v>0</v>
      </c>
    </row>
    <row r="2770" spans="1:11" ht="14.5">
      <c r="A2770" s="20" t="s">
        <v>20856</v>
      </c>
      <c r="B2770" s="20">
        <v>35</v>
      </c>
      <c r="C2770" s="20">
        <v>31</v>
      </c>
      <c r="D2770" s="20">
        <v>64</v>
      </c>
      <c r="E2770" s="20">
        <v>80</v>
      </c>
      <c r="F2770" s="20" t="s">
        <v>20857</v>
      </c>
      <c r="G2770" s="20" t="s">
        <v>20858</v>
      </c>
      <c r="H2770" s="24"/>
      <c r="I2770" s="24" t="str">
        <f ca="1">IFERROR(__xludf.DUMMYFUNCTION("GOOGLETRANSLATE(F2770,""en"",""pt"")"),"emplastros fundido sólido")</f>
        <v>emplastros fundido sólido</v>
      </c>
      <c r="J2770">
        <f>VLOOKUP(A2770,Pr_Base_LNEC!$A$4:$J$6971,6,FALSE)</f>
        <v>0</v>
      </c>
      <c r="K2770">
        <f>VLOOKUP(A2770,Pr_Base_LNEC!$A$4:$J$6971,7,FALSE)</f>
        <v>0</v>
      </c>
    </row>
    <row r="2771" spans="1:11" ht="14.5">
      <c r="A2771" s="20" t="s">
        <v>20859</v>
      </c>
      <c r="B2771" s="20">
        <v>35</v>
      </c>
      <c r="C2771" s="20">
        <v>31</v>
      </c>
      <c r="D2771" s="20">
        <v>64</v>
      </c>
      <c r="E2771" s="20">
        <v>84</v>
      </c>
      <c r="F2771" s="20" t="s">
        <v>20860</v>
      </c>
      <c r="G2771" s="20" t="s">
        <v>20861</v>
      </c>
      <c r="H2771" s="24"/>
      <c r="I2771" s="24" t="str">
        <f ca="1">IFERROR(__xludf.DUMMYFUNCTION("GOOGLETRANSLATE(F2771,""en"",""pt"")"),"emplastros quadra de squash")</f>
        <v>emplastros quadra de squash</v>
      </c>
      <c r="J2771">
        <f>VLOOKUP(A2771,Pr_Base_LNEC!$A$4:$J$6971,6,FALSE)</f>
        <v>0</v>
      </c>
      <c r="K2771">
        <f>VLOOKUP(A2771,Pr_Base_LNEC!$A$4:$J$6971,7,FALSE)</f>
        <v>0</v>
      </c>
    </row>
    <row r="2772" spans="1:11" ht="14.5">
      <c r="A2772" s="20" t="s">
        <v>20862</v>
      </c>
      <c r="B2772" s="20">
        <v>35</v>
      </c>
      <c r="C2772" s="20">
        <v>31</v>
      </c>
      <c r="D2772" s="20">
        <v>64</v>
      </c>
      <c r="E2772" s="20">
        <v>85</v>
      </c>
      <c r="F2772" s="20" t="s">
        <v>20863</v>
      </c>
      <c r="G2772" s="24"/>
      <c r="H2772" s="24"/>
      <c r="I2772" s="24" t="str">
        <f ca="1">IFERROR(__xludf.DUMMYFUNCTION("GOOGLETRANSLATE(F2772,""en"",""pt"")"),"Reboco")</f>
        <v>Reboco</v>
      </c>
      <c r="J2772">
        <f>VLOOKUP(A2772,Pr_Base_LNEC!$A$4:$J$6971,6,FALSE)</f>
        <v>0</v>
      </c>
      <c r="K2772">
        <f>VLOOKUP(A2772,Pr_Base_LNEC!$A$4:$J$6971,7,FALSE)</f>
        <v>0</v>
      </c>
    </row>
    <row r="2773" spans="1:11" ht="14.5">
      <c r="A2773" s="20" t="s">
        <v>20864</v>
      </c>
      <c r="B2773" s="20">
        <v>35</v>
      </c>
      <c r="C2773" s="20">
        <v>31</v>
      </c>
      <c r="D2773" s="20">
        <v>64</v>
      </c>
      <c r="E2773" s="20">
        <v>86</v>
      </c>
      <c r="F2773" s="20" t="s">
        <v>20865</v>
      </c>
      <c r="G2773" s="20" t="s">
        <v>20866</v>
      </c>
      <c r="H2773" s="24"/>
      <c r="I2773" s="24" t="str">
        <f ca="1">IFERROR(__xludf.DUMMYFUNCTION("GOOGLETRANSLATE(F2773,""en"",""pt"")"),"rebocos sintéticos")</f>
        <v>rebocos sintéticos</v>
      </c>
      <c r="J2773">
        <f>VLOOKUP(A2773,Pr_Base_LNEC!$A$4:$J$6971,6,FALSE)</f>
        <v>0</v>
      </c>
      <c r="K2773">
        <f>VLOOKUP(A2773,Pr_Base_LNEC!$A$4:$J$6971,7,FALSE)</f>
        <v>0</v>
      </c>
    </row>
    <row r="2774" spans="1:11" ht="14.5">
      <c r="A2774" s="20" t="s">
        <v>20867</v>
      </c>
      <c r="B2774" s="20">
        <v>35</v>
      </c>
      <c r="C2774" s="20">
        <v>31</v>
      </c>
      <c r="D2774" s="20">
        <v>64</v>
      </c>
      <c r="E2774" s="20">
        <v>98</v>
      </c>
      <c r="F2774" s="20" t="s">
        <v>20868</v>
      </c>
      <c r="G2774" s="20" t="s">
        <v>20869</v>
      </c>
      <c r="H2774" s="24"/>
      <c r="I2774" s="24" t="str">
        <f ca="1">IFERROR(__xludf.DUMMYFUNCTION("GOOGLETRANSLATE(F2774,""en"",""pt"")"),"raios-X sub emplastros")</f>
        <v>raios-X sub emplastros</v>
      </c>
      <c r="J2774">
        <f>VLOOKUP(A2774,Pr_Base_LNEC!$A$4:$J$6971,6,FALSE)</f>
        <v>0</v>
      </c>
      <c r="K2774">
        <f>VLOOKUP(A2774,Pr_Base_LNEC!$A$4:$J$6971,7,FALSE)</f>
        <v>0</v>
      </c>
    </row>
    <row r="2775" spans="1:11" ht="14.5">
      <c r="A2775" s="20" t="s">
        <v>20870</v>
      </c>
      <c r="B2775" s="20">
        <v>35</v>
      </c>
      <c r="C2775" s="20">
        <v>31</v>
      </c>
      <c r="D2775" s="20">
        <v>64</v>
      </c>
      <c r="E2775" s="20">
        <v>99</v>
      </c>
      <c r="F2775" s="20" t="s">
        <v>20871</v>
      </c>
      <c r="G2775" s="20" t="s">
        <v>20872</v>
      </c>
      <c r="H2775" s="24"/>
      <c r="I2775" s="24" t="str">
        <f ca="1">IFERROR(__xludf.DUMMYFUNCTION("GOOGLETRANSLATE(F2775,""en"",""pt"")"),"emplastros oxicloreto de zinco")</f>
        <v>emplastros oxicloreto de zinco</v>
      </c>
      <c r="J2775">
        <f>VLOOKUP(A2775,Pr_Base_LNEC!$A$4:$J$6971,6,FALSE)</f>
        <v>0</v>
      </c>
      <c r="K2775">
        <f>VLOOKUP(A2775,Pr_Base_LNEC!$A$4:$J$6971,7,FALSE)</f>
        <v>0</v>
      </c>
    </row>
    <row r="2776" spans="1:11" ht="14.5">
      <c r="A2776" s="20" t="s">
        <v>20873</v>
      </c>
      <c r="B2776" s="20">
        <v>35</v>
      </c>
      <c r="C2776" s="20">
        <v>31</v>
      </c>
      <c r="D2776" s="20">
        <v>65</v>
      </c>
      <c r="E2776" s="24"/>
      <c r="F2776" s="20" t="s">
        <v>20874</v>
      </c>
      <c r="G2776" s="24"/>
      <c r="H2776" s="24"/>
      <c r="I2776" s="24" t="str">
        <f ca="1">IFERROR(__xludf.DUMMYFUNCTION("GOOGLETRANSLATE(F2776,""en"",""pt"")"),"Preparação de materiais, materiais de enchimento e rolhas")</f>
        <v>Preparação de materiais, materiais de enchimento e rolhas</v>
      </c>
      <c r="J2776">
        <f>VLOOKUP(A2776,Pr_Base_LNEC!$A$4:$J$6971,6,FALSE)</f>
        <v>0</v>
      </c>
      <c r="K2776">
        <f>VLOOKUP(A2776,Pr_Base_LNEC!$A$4:$J$6971,7,FALSE)</f>
        <v>0</v>
      </c>
    </row>
    <row r="2777" spans="1:11" ht="14.5">
      <c r="A2777" s="20" t="s">
        <v>20875</v>
      </c>
      <c r="B2777" s="20">
        <v>35</v>
      </c>
      <c r="C2777" s="20">
        <v>31</v>
      </c>
      <c r="D2777" s="20">
        <v>65</v>
      </c>
      <c r="E2777" s="20">
        <v>1</v>
      </c>
      <c r="F2777" s="20" t="s">
        <v>20876</v>
      </c>
      <c r="G2777" s="20" t="s">
        <v>20877</v>
      </c>
      <c r="H2777" s="24"/>
      <c r="I2777" s="24" t="str">
        <f ca="1">IFERROR(__xludf.DUMMYFUNCTION("GOOGLETRANSLATE(F2777,""en"",""pt"")"),"abrasivos")</f>
        <v>abrasivos</v>
      </c>
      <c r="J2777">
        <f>VLOOKUP(A2777,Pr_Base_LNEC!$A$4:$J$6971,6,FALSE)</f>
        <v>0</v>
      </c>
      <c r="K2777">
        <f>VLOOKUP(A2777,Pr_Base_LNEC!$A$4:$J$6971,7,FALSE)</f>
        <v>0</v>
      </c>
    </row>
    <row r="2778" spans="1:11" ht="14.5">
      <c r="A2778" s="20" t="s">
        <v>20878</v>
      </c>
      <c r="B2778" s="20">
        <v>35</v>
      </c>
      <c r="C2778" s="20">
        <v>31</v>
      </c>
      <c r="D2778" s="20">
        <v>65</v>
      </c>
      <c r="E2778" s="20">
        <v>2</v>
      </c>
      <c r="F2778" s="20" t="s">
        <v>20879</v>
      </c>
      <c r="G2778" s="20" t="s">
        <v>20880</v>
      </c>
      <c r="H2778" s="24"/>
      <c r="I2778" s="24" t="str">
        <f ca="1">IFERROR(__xludf.DUMMYFUNCTION("GOOGLETRANSLATE(F2778,""en"",""pt"")"),"blocos abrasivos")</f>
        <v>blocos abrasivos</v>
      </c>
      <c r="J2778">
        <f>VLOOKUP(A2778,Pr_Base_LNEC!$A$4:$J$6971,6,FALSE)</f>
        <v>0</v>
      </c>
      <c r="K2778">
        <f>VLOOKUP(A2778,Pr_Base_LNEC!$A$4:$J$6971,7,FALSE)</f>
        <v>0</v>
      </c>
    </row>
    <row r="2779" spans="1:11" ht="14.5">
      <c r="A2779" s="20" t="s">
        <v>20881</v>
      </c>
      <c r="B2779" s="20">
        <v>35</v>
      </c>
      <c r="C2779" s="20">
        <v>31</v>
      </c>
      <c r="D2779" s="20">
        <v>65</v>
      </c>
      <c r="E2779" s="20">
        <v>12</v>
      </c>
      <c r="F2779" s="20" t="s">
        <v>20882</v>
      </c>
      <c r="G2779" s="24"/>
      <c r="H2779" s="24"/>
      <c r="I2779" s="24" t="str">
        <f ca="1">IFERROR(__xludf.DUMMYFUNCTION("GOOGLETRANSLATE(F2779,""en"",""pt"")"),"Cimento e de argamassa enchimentos")</f>
        <v>Cimento e de argamassa enchimentos</v>
      </c>
      <c r="J2779">
        <f>VLOOKUP(A2779,Pr_Base_LNEC!$A$4:$J$6971,6,FALSE)</f>
        <v>0</v>
      </c>
      <c r="K2779">
        <f>VLOOKUP(A2779,Pr_Base_LNEC!$A$4:$J$6971,7,FALSE)</f>
        <v>0</v>
      </c>
    </row>
    <row r="2780" spans="1:11" ht="14.5">
      <c r="A2780" s="20" t="s">
        <v>20883</v>
      </c>
      <c r="B2780" s="20">
        <v>35</v>
      </c>
      <c r="C2780" s="20">
        <v>31</v>
      </c>
      <c r="D2780" s="20">
        <v>65</v>
      </c>
      <c r="E2780" s="20">
        <v>13</v>
      </c>
      <c r="F2780" s="20" t="s">
        <v>20884</v>
      </c>
      <c r="G2780" s="24"/>
      <c r="H2780" s="24"/>
      <c r="I2780" s="24" t="str">
        <f ca="1">IFERROR(__xludf.DUMMYFUNCTION("GOOGLETRANSLATE(F2780,""en"",""pt"")"),"cargas químicas")</f>
        <v>cargas químicas</v>
      </c>
      <c r="J2780">
        <f>VLOOKUP(A2780,Pr_Base_LNEC!$A$4:$J$6971,6,FALSE)</f>
        <v>0</v>
      </c>
      <c r="K2780">
        <f>VLOOKUP(A2780,Pr_Base_LNEC!$A$4:$J$6971,7,FALSE)</f>
        <v>0</v>
      </c>
    </row>
    <row r="2781" spans="1:11" ht="14.5">
      <c r="A2781" s="20" t="s">
        <v>20885</v>
      </c>
      <c r="B2781" s="20">
        <v>35</v>
      </c>
      <c r="C2781" s="20">
        <v>31</v>
      </c>
      <c r="D2781" s="20">
        <v>65</v>
      </c>
      <c r="E2781" s="20">
        <v>20</v>
      </c>
      <c r="F2781" s="20" t="s">
        <v>20886</v>
      </c>
      <c r="G2781" s="20" t="s">
        <v>20887</v>
      </c>
      <c r="H2781" s="24"/>
      <c r="I2781" s="24" t="str">
        <f ca="1">IFERROR(__xludf.DUMMYFUNCTION("GOOGLETRANSLATE(F2781,""en"",""pt"")"),"vedantes do decorador")</f>
        <v>vedantes do decorador</v>
      </c>
      <c r="J2781">
        <f>VLOOKUP(A2781,Pr_Base_LNEC!$A$4:$J$6971,6,FALSE)</f>
        <v>0</v>
      </c>
      <c r="K2781">
        <f>VLOOKUP(A2781,Pr_Base_LNEC!$A$4:$J$6971,7,FALSE)</f>
        <v>0</v>
      </c>
    </row>
    <row r="2782" spans="1:11" ht="14.5">
      <c r="A2782" s="20" t="s">
        <v>20888</v>
      </c>
      <c r="B2782" s="20">
        <v>35</v>
      </c>
      <c r="C2782" s="20">
        <v>31</v>
      </c>
      <c r="D2782" s="20">
        <v>65</v>
      </c>
      <c r="E2782" s="20">
        <v>21</v>
      </c>
      <c r="F2782" s="20" t="s">
        <v>20889</v>
      </c>
      <c r="G2782" s="20" t="s">
        <v>20890</v>
      </c>
      <c r="H2782" s="24"/>
      <c r="I2782" s="24" t="str">
        <f ca="1">IFERROR(__xludf.DUMMYFUNCTION("GOOGLETRANSLATE(F2782,""en"",""pt"")"),"enchimentos flexíveis do decorador")</f>
        <v>enchimentos flexíveis do decorador</v>
      </c>
      <c r="J2782">
        <f>VLOOKUP(A2782,Pr_Base_LNEC!$A$4:$J$6971,6,FALSE)</f>
        <v>0</v>
      </c>
      <c r="K2782">
        <f>VLOOKUP(A2782,Pr_Base_LNEC!$A$4:$J$6971,7,FALSE)</f>
        <v>0</v>
      </c>
    </row>
    <row r="2783" spans="1:11" ht="14.5">
      <c r="A2783" s="20" t="s">
        <v>20891</v>
      </c>
      <c r="B2783" s="20">
        <v>35</v>
      </c>
      <c r="C2783" s="20">
        <v>31</v>
      </c>
      <c r="D2783" s="20">
        <v>65</v>
      </c>
      <c r="E2783" s="20">
        <v>22</v>
      </c>
      <c r="F2783" s="20" t="s">
        <v>20892</v>
      </c>
      <c r="G2783" s="20" t="s">
        <v>20893</v>
      </c>
      <c r="H2783" s="24"/>
      <c r="I2783" s="24" t="str">
        <f ca="1">IFERROR(__xludf.DUMMYFUNCTION("GOOGLETRANSLATE(F2783,""en"",""pt"")"),"soluções Desengraxante")</f>
        <v>soluções Desengraxante</v>
      </c>
      <c r="J2783">
        <f>VLOOKUP(A2783,Pr_Base_LNEC!$A$4:$J$6971,6,FALSE)</f>
        <v>0</v>
      </c>
      <c r="K2783">
        <f>VLOOKUP(A2783,Pr_Base_LNEC!$A$4:$J$6971,7,FALSE)</f>
        <v>0</v>
      </c>
    </row>
    <row r="2784" spans="1:11" ht="14.5">
      <c r="A2784" s="20" t="s">
        <v>20894</v>
      </c>
      <c r="B2784" s="20">
        <v>35</v>
      </c>
      <c r="C2784" s="20">
        <v>31</v>
      </c>
      <c r="D2784" s="20">
        <v>65</v>
      </c>
      <c r="E2784" s="20">
        <v>23</v>
      </c>
      <c r="F2784" s="20" t="s">
        <v>20895</v>
      </c>
      <c r="G2784" s="20" t="s">
        <v>20896</v>
      </c>
      <c r="H2784" s="24"/>
      <c r="I2784" s="24" t="str">
        <f ca="1">IFERROR(__xludf.DUMMYFUNCTION("GOOGLETRANSLATE(F2784,""en"",""pt"")"),"soluções de detergente")</f>
        <v>soluções de detergente</v>
      </c>
      <c r="J2784">
        <f>VLOOKUP(A2784,Pr_Base_LNEC!$A$4:$J$6971,6,FALSE)</f>
        <v>0</v>
      </c>
      <c r="K2784">
        <f>VLOOKUP(A2784,Pr_Base_LNEC!$A$4:$J$6971,7,FALSE)</f>
        <v>0</v>
      </c>
    </row>
    <row r="2785" spans="1:11" ht="14.5">
      <c r="A2785" s="20" t="s">
        <v>20897</v>
      </c>
      <c r="B2785" s="20">
        <v>35</v>
      </c>
      <c r="C2785" s="20">
        <v>31</v>
      </c>
      <c r="D2785" s="20">
        <v>65</v>
      </c>
      <c r="E2785" s="20">
        <v>24</v>
      </c>
      <c r="F2785" s="20" t="s">
        <v>20898</v>
      </c>
      <c r="G2785" s="20" t="s">
        <v>20899</v>
      </c>
      <c r="H2785" s="24"/>
      <c r="I2785" s="24" t="str">
        <f ca="1">IFERROR(__xludf.DUMMYFUNCTION("GOOGLETRANSLATE(F2785,""en"",""pt"")"),"O ar seco pressionados abrasivos")</f>
        <v>O ar seco pressionados abrasivos</v>
      </c>
      <c r="J2785">
        <f>VLOOKUP(A2785,Pr_Base_LNEC!$A$4:$J$6971,6,FALSE)</f>
        <v>0</v>
      </c>
      <c r="K2785">
        <f>VLOOKUP(A2785,Pr_Base_LNEC!$A$4:$J$6971,7,FALSE)</f>
        <v>0</v>
      </c>
    </row>
    <row r="2786" spans="1:11" ht="14.5">
      <c r="A2786" s="20" t="s">
        <v>20900</v>
      </c>
      <c r="B2786" s="20">
        <v>35</v>
      </c>
      <c r="C2786" s="20">
        <v>31</v>
      </c>
      <c r="D2786" s="20">
        <v>65</v>
      </c>
      <c r="E2786" s="20">
        <v>25</v>
      </c>
      <c r="F2786" s="20" t="s">
        <v>20901</v>
      </c>
      <c r="G2786" s="20" t="s">
        <v>20902</v>
      </c>
      <c r="H2786" s="24"/>
      <c r="I2786" s="24" t="str">
        <f ca="1">IFERROR(__xludf.DUMMYFUNCTION("GOOGLETRANSLATE(F2786,""en"",""pt"")"),"O ar seco pressionados micro-abrasivos")</f>
        <v>O ar seco pressionados micro-abrasivos</v>
      </c>
      <c r="J2786">
        <f>VLOOKUP(A2786,Pr_Base_LNEC!$A$4:$J$6971,6,FALSE)</f>
        <v>0</v>
      </c>
      <c r="K2786">
        <f>VLOOKUP(A2786,Pr_Base_LNEC!$A$4:$J$6971,7,FALSE)</f>
        <v>0</v>
      </c>
    </row>
    <row r="2787" spans="1:11" ht="14.5">
      <c r="A2787" s="20" t="s">
        <v>20903</v>
      </c>
      <c r="B2787" s="20">
        <v>35</v>
      </c>
      <c r="C2787" s="20">
        <v>31</v>
      </c>
      <c r="D2787" s="20">
        <v>65</v>
      </c>
      <c r="E2787" s="20">
        <v>26</v>
      </c>
      <c r="F2787" s="20" t="s">
        <v>20904</v>
      </c>
      <c r="G2787" s="20" t="s">
        <v>20905</v>
      </c>
      <c r="H2787" s="24"/>
      <c r="I2787" s="24" t="str">
        <f ca="1">IFERROR(__xludf.DUMMYFUNCTION("GOOGLETRANSLATE(F2787,""en"",""pt"")"),"pós para polvilhar")</f>
        <v>pós para polvilhar</v>
      </c>
      <c r="J2787">
        <f>VLOOKUP(A2787,Pr_Base_LNEC!$A$4:$J$6971,6,FALSE)</f>
        <v>0</v>
      </c>
      <c r="K2787">
        <f>VLOOKUP(A2787,Pr_Base_LNEC!$A$4:$J$6971,7,FALSE)</f>
        <v>0</v>
      </c>
    </row>
    <row r="2788" spans="1:11" ht="14.5">
      <c r="A2788" s="20" t="s">
        <v>20906</v>
      </c>
      <c r="B2788" s="20">
        <v>35</v>
      </c>
      <c r="C2788" s="20">
        <v>31</v>
      </c>
      <c r="D2788" s="20">
        <v>65</v>
      </c>
      <c r="E2788" s="20">
        <v>27</v>
      </c>
      <c r="F2788" s="20" t="s">
        <v>20907</v>
      </c>
      <c r="G2788" s="20" t="s">
        <v>20908</v>
      </c>
      <c r="H2788" s="24"/>
      <c r="I2788" s="24" t="str">
        <f ca="1">IFERROR(__xludf.DUMMYFUNCTION("GOOGLETRANSLATE(F2788,""en"",""pt"")"),"compostos de controlo eflorescência")</f>
        <v>compostos de controlo eflorescência</v>
      </c>
      <c r="J2788">
        <f>VLOOKUP(A2788,Pr_Base_LNEC!$A$4:$J$6971,6,FALSE)</f>
        <v>0</v>
      </c>
      <c r="K2788">
        <f>VLOOKUP(A2788,Pr_Base_LNEC!$A$4:$J$6971,7,FALSE)</f>
        <v>0</v>
      </c>
    </row>
    <row r="2789" spans="1:11" ht="14.5">
      <c r="A2789" s="20" t="s">
        <v>20909</v>
      </c>
      <c r="B2789" s="20">
        <v>35</v>
      </c>
      <c r="C2789" s="20">
        <v>31</v>
      </c>
      <c r="D2789" s="20">
        <v>65</v>
      </c>
      <c r="E2789" s="20">
        <v>28</v>
      </c>
      <c r="F2789" s="20" t="s">
        <v>20910</v>
      </c>
      <c r="G2789" s="20" t="s">
        <v>20911</v>
      </c>
      <c r="H2789" s="24"/>
      <c r="I2789" s="24" t="str">
        <f ca="1">IFERROR(__xludf.DUMMYFUNCTION("GOOGLETRANSLATE(F2789,""en"",""pt"")"),"selantes de grãos final")</f>
        <v>selantes de grãos final</v>
      </c>
      <c r="J2789">
        <f>VLOOKUP(A2789,Pr_Base_LNEC!$A$4:$J$6971,6,FALSE)</f>
        <v>0</v>
      </c>
      <c r="K2789">
        <f>VLOOKUP(A2789,Pr_Base_LNEC!$A$4:$J$6971,7,FALSE)</f>
        <v>0</v>
      </c>
    </row>
    <row r="2790" spans="1:11" ht="14.5">
      <c r="A2790" s="20" t="s">
        <v>20912</v>
      </c>
      <c r="B2790" s="20">
        <v>35</v>
      </c>
      <c r="C2790" s="20">
        <v>31</v>
      </c>
      <c r="D2790" s="20">
        <v>65</v>
      </c>
      <c r="E2790" s="20">
        <v>29</v>
      </c>
      <c r="F2790" s="20" t="s">
        <v>20913</v>
      </c>
      <c r="G2790" s="20" t="s">
        <v>20914</v>
      </c>
      <c r="H2790" s="24"/>
      <c r="I2790" s="24" t="str">
        <f ca="1">IFERROR(__xludf.DUMMYFUNCTION("GOOGLETRANSLATE(F2790,""en"",""pt"")"),"agentes de enchimento de superfície fina")</f>
        <v>agentes de enchimento de superfície fina</v>
      </c>
      <c r="J2790">
        <f>VLOOKUP(A2790,Pr_Base_LNEC!$A$4:$J$6971,6,FALSE)</f>
        <v>0</v>
      </c>
      <c r="K2790">
        <f>VLOOKUP(A2790,Pr_Base_LNEC!$A$4:$J$6971,7,FALSE)</f>
        <v>0</v>
      </c>
    </row>
    <row r="2791" spans="1:11" ht="14.5">
      <c r="A2791" s="20" t="s">
        <v>20915</v>
      </c>
      <c r="B2791" s="20">
        <v>35</v>
      </c>
      <c r="C2791" s="20">
        <v>31</v>
      </c>
      <c r="D2791" s="20">
        <v>65</v>
      </c>
      <c r="E2791" s="20">
        <v>30</v>
      </c>
      <c r="F2791" s="20" t="s">
        <v>20916</v>
      </c>
      <c r="G2791" s="20" t="s">
        <v>20917</v>
      </c>
      <c r="H2791" s="24"/>
      <c r="I2791" s="24" t="str">
        <f ca="1">IFERROR(__xludf.DUMMYFUNCTION("GOOGLETRANSLATE(F2791,""en"",""pt"")"),"compostos de acabamento")</f>
        <v>compostos de acabamento</v>
      </c>
      <c r="J2791">
        <f>VLOOKUP(A2791,Pr_Base_LNEC!$A$4:$J$6971,6,FALSE)</f>
        <v>0</v>
      </c>
      <c r="K2791">
        <f>VLOOKUP(A2791,Pr_Base_LNEC!$A$4:$J$6971,7,FALSE)</f>
        <v>0</v>
      </c>
    </row>
    <row r="2792" spans="1:11" ht="14.5">
      <c r="A2792" s="20" t="s">
        <v>20918</v>
      </c>
      <c r="B2792" s="20">
        <v>35</v>
      </c>
      <c r="C2792" s="20">
        <v>31</v>
      </c>
      <c r="D2792" s="20">
        <v>65</v>
      </c>
      <c r="E2792" s="20">
        <v>31</v>
      </c>
      <c r="F2792" s="20" t="s">
        <v>20919</v>
      </c>
      <c r="G2792" s="24"/>
      <c r="H2792" s="24"/>
      <c r="I2792" s="24" t="str">
        <f ca="1">IFERROR(__xludf.DUMMYFUNCTION("GOOGLETRANSLATE(F2792,""en"",""pt"")"),"enchimentos resistentes ao fogo")</f>
        <v>enchimentos resistentes ao fogo</v>
      </c>
      <c r="J2792">
        <f>VLOOKUP(A2792,Pr_Base_LNEC!$A$4:$J$6971,6,FALSE)</f>
        <v>0</v>
      </c>
      <c r="K2792">
        <f>VLOOKUP(A2792,Pr_Base_LNEC!$A$4:$J$6971,7,FALSE)</f>
        <v>0</v>
      </c>
    </row>
    <row r="2793" spans="1:11" ht="14.5">
      <c r="A2793" s="20" t="s">
        <v>20920</v>
      </c>
      <c r="B2793" s="20">
        <v>35</v>
      </c>
      <c r="C2793" s="20">
        <v>31</v>
      </c>
      <c r="D2793" s="20">
        <v>65</v>
      </c>
      <c r="E2793" s="20">
        <v>34</v>
      </c>
      <c r="F2793" s="20" t="s">
        <v>20921</v>
      </c>
      <c r="G2793" s="20" t="s">
        <v>20922</v>
      </c>
      <c r="H2793" s="24"/>
      <c r="I2793" s="24" t="str">
        <f ca="1">IFERROR(__xludf.DUMMYFUNCTION("GOOGLETRANSLATE(F2793,""en"",""pt"")"),"compostos à base de gesso de cama")</f>
        <v>compostos à base de gesso de cama</v>
      </c>
      <c r="J2793">
        <f>VLOOKUP(A2793,Pr_Base_LNEC!$A$4:$J$6971,6,FALSE)</f>
        <v>0</v>
      </c>
      <c r="K2793">
        <f>VLOOKUP(A2793,Pr_Base_LNEC!$A$4:$J$6971,7,FALSE)</f>
        <v>0</v>
      </c>
    </row>
    <row r="2794" spans="1:11" ht="14.5">
      <c r="A2794" s="20" t="s">
        <v>20923</v>
      </c>
      <c r="B2794" s="20">
        <v>35</v>
      </c>
      <c r="C2794" s="20">
        <v>31</v>
      </c>
      <c r="D2794" s="20">
        <v>65</v>
      </c>
      <c r="E2794" s="20">
        <v>50</v>
      </c>
      <c r="F2794" s="20" t="s">
        <v>20924</v>
      </c>
      <c r="G2794" s="20" t="s">
        <v>20925</v>
      </c>
      <c r="H2794" s="24"/>
      <c r="I2794" s="24" t="str">
        <f ca="1">IFERROR(__xludf.DUMMYFUNCTION("GOOGLETRANSLATE(F2794,""en"",""pt"")"),"estabilizadores de alvenaria")</f>
        <v>estabilizadores de alvenaria</v>
      </c>
      <c r="J2794">
        <f>VLOOKUP(A2794,Pr_Base_LNEC!$A$4:$J$6971,6,FALSE)</f>
        <v>0</v>
      </c>
      <c r="K2794">
        <f>VLOOKUP(A2794,Pr_Base_LNEC!$A$4:$J$6971,7,FALSE)</f>
        <v>0</v>
      </c>
    </row>
    <row r="2795" spans="1:11" ht="14.5">
      <c r="A2795" s="20" t="s">
        <v>20926</v>
      </c>
      <c r="B2795" s="20">
        <v>35</v>
      </c>
      <c r="C2795" s="20">
        <v>31</v>
      </c>
      <c r="D2795" s="20">
        <v>65</v>
      </c>
      <c r="E2795" s="20">
        <v>74</v>
      </c>
      <c r="F2795" s="20" t="s">
        <v>20927</v>
      </c>
      <c r="G2795" s="20" t="s">
        <v>20928</v>
      </c>
      <c r="H2795" s="24"/>
      <c r="I2795" s="24" t="str">
        <f ca="1">IFERROR(__xludf.DUMMYFUNCTION("GOOGLETRANSLATE(F2795,""en"",""pt"")"),"removedores de ferrugem")</f>
        <v>removedores de ferrugem</v>
      </c>
      <c r="J2795">
        <f>VLOOKUP(A2795,Pr_Base_LNEC!$A$4:$J$6971,6,FALSE)</f>
        <v>0</v>
      </c>
      <c r="K2795">
        <f>VLOOKUP(A2795,Pr_Base_LNEC!$A$4:$J$6971,7,FALSE)</f>
        <v>0</v>
      </c>
    </row>
    <row r="2796" spans="1:11" ht="14.5">
      <c r="A2796" s="20" t="s">
        <v>20929</v>
      </c>
      <c r="B2796" s="20">
        <v>35</v>
      </c>
      <c r="C2796" s="20">
        <v>31</v>
      </c>
      <c r="D2796" s="20">
        <v>65</v>
      </c>
      <c r="E2796" s="20">
        <v>79</v>
      </c>
      <c r="F2796" s="20" t="s">
        <v>20930</v>
      </c>
      <c r="G2796" s="20" t="s">
        <v>20931</v>
      </c>
      <c r="H2796" s="24"/>
      <c r="I2796" s="24" t="str">
        <f ca="1">IFERROR(__xludf.DUMMYFUNCTION("GOOGLETRANSLATE(F2796,""en"",""pt"")"),"rolhas")</f>
        <v>rolhas</v>
      </c>
      <c r="J2796">
        <f>VLOOKUP(A2796,Pr_Base_LNEC!$A$4:$J$6971,6,FALSE)</f>
        <v>0</v>
      </c>
      <c r="K2796">
        <f>VLOOKUP(A2796,Pr_Base_LNEC!$A$4:$J$6971,7,FALSE)</f>
        <v>0</v>
      </c>
    </row>
    <row r="2797" spans="1:11" ht="14.5">
      <c r="A2797" s="20" t="s">
        <v>20932</v>
      </c>
      <c r="B2797" s="20">
        <v>35</v>
      </c>
      <c r="C2797" s="20">
        <v>31</v>
      </c>
      <c r="D2797" s="20">
        <v>65</v>
      </c>
      <c r="E2797" s="20">
        <v>80</v>
      </c>
      <c r="F2797" s="20" t="s">
        <v>20933</v>
      </c>
      <c r="G2797" s="20" t="s">
        <v>20934</v>
      </c>
      <c r="H2797" s="24"/>
      <c r="I2797" s="24" t="str">
        <f ca="1">IFERROR(__xludf.DUMMYFUNCTION("GOOGLETRANSLATE(F2797,""en"",""pt"")"),"enchimentos rolha")</f>
        <v>enchimentos rolha</v>
      </c>
      <c r="J2797">
        <f>VLOOKUP(A2797,Pr_Base_LNEC!$A$4:$J$6971,6,FALSE)</f>
        <v>0</v>
      </c>
      <c r="K2797">
        <f>VLOOKUP(A2797,Pr_Base_LNEC!$A$4:$J$6971,7,FALSE)</f>
        <v>0</v>
      </c>
    </row>
    <row r="2798" spans="1:11" ht="14.5">
      <c r="A2798" s="20" t="s">
        <v>20935</v>
      </c>
      <c r="B2798" s="20">
        <v>35</v>
      </c>
      <c r="C2798" s="20">
        <v>31</v>
      </c>
      <c r="D2798" s="20">
        <v>65</v>
      </c>
      <c r="E2798" s="20">
        <v>82</v>
      </c>
      <c r="F2798" s="20" t="s">
        <v>20936</v>
      </c>
      <c r="G2798" s="20" t="s">
        <v>20937</v>
      </c>
      <c r="H2798" s="24"/>
      <c r="I2798" s="24" t="str">
        <f ca="1">IFERROR(__xludf.DUMMYFUNCTION("GOOGLETRANSLATE(F2798,""en"",""pt"")"),"agentes de enchimento de superfície")</f>
        <v>agentes de enchimento de superfície</v>
      </c>
      <c r="J2798">
        <f>VLOOKUP(A2798,Pr_Base_LNEC!$A$4:$J$6971,6,FALSE)</f>
        <v>0</v>
      </c>
      <c r="K2798">
        <f>VLOOKUP(A2798,Pr_Base_LNEC!$A$4:$J$6971,7,FALSE)</f>
        <v>0</v>
      </c>
    </row>
    <row r="2799" spans="1:11" ht="14.5">
      <c r="A2799" s="20" t="s">
        <v>20938</v>
      </c>
      <c r="B2799" s="20">
        <v>35</v>
      </c>
      <c r="C2799" s="20">
        <v>31</v>
      </c>
      <c r="D2799" s="20">
        <v>65</v>
      </c>
      <c r="E2799" s="20">
        <v>95</v>
      </c>
      <c r="F2799" s="20" t="s">
        <v>20939</v>
      </c>
      <c r="G2799" s="20" t="s">
        <v>20940</v>
      </c>
      <c r="H2799" s="24"/>
      <c r="I2799" s="24" t="str">
        <f ca="1">IFERROR(__xludf.DUMMYFUNCTION("GOOGLETRANSLATE(F2799,""en"",""pt"")"),"agentes de enchimento à base de cera")</f>
        <v>agentes de enchimento à base de cera</v>
      </c>
      <c r="J2799">
        <f>VLOOKUP(A2799,Pr_Base_LNEC!$A$4:$J$6971,6,FALSE)</f>
        <v>0</v>
      </c>
      <c r="K2799">
        <f>VLOOKUP(A2799,Pr_Base_LNEC!$A$4:$J$6971,7,FALSE)</f>
        <v>0</v>
      </c>
    </row>
    <row r="2800" spans="1:11" ht="14.5">
      <c r="A2800" s="20" t="s">
        <v>20941</v>
      </c>
      <c r="B2800" s="20">
        <v>35</v>
      </c>
      <c r="C2800" s="20">
        <v>31</v>
      </c>
      <c r="D2800" s="20">
        <v>65</v>
      </c>
      <c r="E2800" s="20">
        <v>96</v>
      </c>
      <c r="F2800" s="20" t="s">
        <v>20942</v>
      </c>
      <c r="G2800" s="20" t="s">
        <v>20943</v>
      </c>
      <c r="H2800" s="24"/>
      <c r="I2800" s="24" t="str">
        <f ca="1">IFERROR(__xludf.DUMMYFUNCTION("GOOGLETRANSLATE(F2800,""en"",""pt"")"),"ar húmido pressionados abrasivos")</f>
        <v>ar húmido pressionados abrasivos</v>
      </c>
      <c r="J2800">
        <f>VLOOKUP(A2800,Pr_Base_LNEC!$A$4:$J$6971,6,FALSE)</f>
        <v>0</v>
      </c>
      <c r="K2800">
        <f>VLOOKUP(A2800,Pr_Base_LNEC!$A$4:$J$6971,7,FALSE)</f>
        <v>0</v>
      </c>
    </row>
    <row r="2801" spans="1:11" ht="14.5">
      <c r="A2801" s="20" t="s">
        <v>20944</v>
      </c>
      <c r="B2801" s="20">
        <v>35</v>
      </c>
      <c r="C2801" s="20">
        <v>31</v>
      </c>
      <c r="D2801" s="20">
        <v>65</v>
      </c>
      <c r="E2801" s="20">
        <v>97</v>
      </c>
      <c r="F2801" s="20" t="s">
        <v>20945</v>
      </c>
      <c r="G2801" s="24"/>
      <c r="H2801" s="24"/>
      <c r="I2801" s="24" t="str">
        <f ca="1">IFERROR(__xludf.DUMMYFUNCTION("GOOGLETRANSLATE(F2801,""en"",""pt"")"),"agentes umectantes")</f>
        <v>agentes umectantes</v>
      </c>
      <c r="J2801">
        <f>VLOOKUP(A2801,Pr_Base_LNEC!$A$4:$J$6971,6,FALSE)</f>
        <v>0</v>
      </c>
      <c r="K2801">
        <f>VLOOKUP(A2801,Pr_Base_LNEC!$A$4:$J$6971,7,FALSE)</f>
        <v>0</v>
      </c>
    </row>
    <row r="2802" spans="1:11" ht="14.5">
      <c r="A2802" s="20" t="s">
        <v>20946</v>
      </c>
      <c r="B2802" s="20">
        <v>35</v>
      </c>
      <c r="C2802" s="20">
        <v>31</v>
      </c>
      <c r="D2802" s="20">
        <v>65</v>
      </c>
      <c r="E2802" s="20">
        <v>98</v>
      </c>
      <c r="F2802" s="20" t="s">
        <v>20947</v>
      </c>
      <c r="G2802" s="20" t="s">
        <v>20948</v>
      </c>
      <c r="H2802" s="24"/>
      <c r="I2802" s="24" t="str">
        <f ca="1">IFERROR(__xludf.DUMMYFUNCTION("GOOGLETRANSLATE(F2802,""en"",""pt"")"),"soluções de amarração de madeira")</f>
        <v>soluções de amarração de madeira</v>
      </c>
      <c r="J2802">
        <f>VLOOKUP(A2802,Pr_Base_LNEC!$A$4:$J$6971,6,FALSE)</f>
        <v>0</v>
      </c>
      <c r="K2802">
        <f>VLOOKUP(A2802,Pr_Base_LNEC!$A$4:$J$6971,7,FALSE)</f>
        <v>0</v>
      </c>
    </row>
    <row r="2803" spans="1:11" ht="14.5">
      <c r="A2803" s="20" t="s">
        <v>20949</v>
      </c>
      <c r="B2803" s="20">
        <v>35</v>
      </c>
      <c r="C2803" s="20">
        <v>31</v>
      </c>
      <c r="D2803" s="20">
        <v>66</v>
      </c>
      <c r="E2803" s="24"/>
      <c r="F2803" s="20" t="s">
        <v>20950</v>
      </c>
      <c r="G2803" s="24"/>
      <c r="H2803" s="24"/>
      <c r="I2803" s="24" t="str">
        <f ca="1">IFERROR(__xludf.DUMMYFUNCTION("GOOGLETRANSLATE(F2803,""en"",""pt"")"),"revestimentos preparatórias")</f>
        <v>revestimentos preparatórias</v>
      </c>
      <c r="J2803">
        <f>VLOOKUP(A2803,Pr_Base_LNEC!$A$4:$J$6971,6,FALSE)</f>
        <v>0</v>
      </c>
      <c r="K2803">
        <f>VLOOKUP(A2803,Pr_Base_LNEC!$A$4:$J$6971,7,FALSE)</f>
        <v>0</v>
      </c>
    </row>
    <row r="2804" spans="1:11" ht="14.5">
      <c r="A2804" s="20" t="s">
        <v>20951</v>
      </c>
      <c r="B2804" s="20">
        <v>35</v>
      </c>
      <c r="C2804" s="20">
        <v>31</v>
      </c>
      <c r="D2804" s="20">
        <v>66</v>
      </c>
      <c r="E2804" s="20">
        <v>2</v>
      </c>
      <c r="F2804" s="20" t="s">
        <v>20952</v>
      </c>
      <c r="G2804" s="20" t="s">
        <v>20953</v>
      </c>
      <c r="H2804" s="24"/>
      <c r="I2804" s="24" t="str">
        <f ca="1">IFERROR(__xludf.DUMMYFUNCTION("GOOGLETRANSLATE(F2804,""en"",""pt"")"),"promotores de adesão")</f>
        <v>promotores de adesão</v>
      </c>
      <c r="J2804">
        <f>VLOOKUP(A2804,Pr_Base_LNEC!$A$4:$J$6971,6,FALSE)</f>
        <v>0</v>
      </c>
      <c r="K2804">
        <f>VLOOKUP(A2804,Pr_Base_LNEC!$A$4:$J$6971,7,FALSE)</f>
        <v>0</v>
      </c>
    </row>
    <row r="2805" spans="1:11" ht="14.5">
      <c r="A2805" s="20" t="s">
        <v>20954</v>
      </c>
      <c r="B2805" s="20">
        <v>35</v>
      </c>
      <c r="C2805" s="20">
        <v>31</v>
      </c>
      <c r="D2805" s="20">
        <v>66</v>
      </c>
      <c r="E2805" s="20">
        <v>3</v>
      </c>
      <c r="F2805" s="20" t="s">
        <v>20955</v>
      </c>
      <c r="G2805" s="20" t="s">
        <v>20956</v>
      </c>
      <c r="H2805" s="24"/>
      <c r="I2805" s="24" t="str">
        <f ca="1">IFERROR(__xludf.DUMMYFUNCTION("GOOGLETRANSLATE(F2805,""en"",""pt"")"),"iniciadores alcalino-resistindo")</f>
        <v>iniciadores alcalino-resistindo</v>
      </c>
      <c r="J2805">
        <f>VLOOKUP(A2805,Pr_Base_LNEC!$A$4:$J$6971,6,FALSE)</f>
        <v>0</v>
      </c>
      <c r="K2805">
        <f>VLOOKUP(A2805,Pr_Base_LNEC!$A$4:$J$6971,7,FALSE)</f>
        <v>0</v>
      </c>
    </row>
    <row r="2806" spans="1:11" ht="14.5">
      <c r="A2806" s="20" t="s">
        <v>20957</v>
      </c>
      <c r="B2806" s="20">
        <v>35</v>
      </c>
      <c r="C2806" s="20">
        <v>31</v>
      </c>
      <c r="D2806" s="20">
        <v>66</v>
      </c>
      <c r="E2806" s="20">
        <v>7</v>
      </c>
      <c r="F2806" s="20" t="s">
        <v>20958</v>
      </c>
      <c r="G2806" s="20" t="s">
        <v>20959</v>
      </c>
      <c r="H2806" s="24"/>
      <c r="I2806" s="24" t="str">
        <f ca="1">IFERROR(__xludf.DUMMYFUNCTION("GOOGLETRANSLATE(F2806,""en"",""pt"")"),"manchas basecoat")</f>
        <v>manchas basecoat</v>
      </c>
      <c r="J2806">
        <f>VLOOKUP(A2806,Pr_Base_LNEC!$A$4:$J$6971,6,FALSE)</f>
        <v>0</v>
      </c>
      <c r="K2806">
        <f>VLOOKUP(A2806,Pr_Base_LNEC!$A$4:$J$6971,7,FALSE)</f>
        <v>0</v>
      </c>
    </row>
    <row r="2807" spans="1:11" ht="14.5">
      <c r="A2807" s="20" t="s">
        <v>20960</v>
      </c>
      <c r="B2807" s="20">
        <v>35</v>
      </c>
      <c r="C2807" s="20">
        <v>31</v>
      </c>
      <c r="D2807" s="20">
        <v>66</v>
      </c>
      <c r="E2807" s="20">
        <v>8</v>
      </c>
      <c r="F2807" s="20" t="s">
        <v>20961</v>
      </c>
      <c r="G2807" s="20" t="s">
        <v>20962</v>
      </c>
      <c r="H2807" s="24"/>
      <c r="I2807" s="24" t="str">
        <f ca="1">IFERROR(__xludf.DUMMYFUNCTION("GOOGLETRANSLATE(F2807,""en"",""pt"")"),"betume primers")</f>
        <v>betume primers</v>
      </c>
      <c r="J2807">
        <f>VLOOKUP(A2807,Pr_Base_LNEC!$A$4:$J$6971,6,FALSE)</f>
        <v>0</v>
      </c>
      <c r="K2807">
        <f>VLOOKUP(A2807,Pr_Base_LNEC!$A$4:$J$6971,7,FALSE)</f>
        <v>0</v>
      </c>
    </row>
    <row r="2808" spans="1:11" ht="14.5">
      <c r="A2808" s="20" t="s">
        <v>20963</v>
      </c>
      <c r="B2808" s="20">
        <v>35</v>
      </c>
      <c r="C2808" s="20">
        <v>31</v>
      </c>
      <c r="D2808" s="20">
        <v>66</v>
      </c>
      <c r="E2808" s="20">
        <v>9</v>
      </c>
      <c r="F2808" s="20" t="s">
        <v>20964</v>
      </c>
      <c r="G2808" s="20" t="s">
        <v>20965</v>
      </c>
      <c r="H2808" s="24"/>
      <c r="I2808" s="24" t="str">
        <f ca="1">IFERROR(__xludf.DUMMYFUNCTION("GOOGLETRANSLATE(F2808,""en"",""pt"")"),"casacos de ligação")</f>
        <v>casacos de ligação</v>
      </c>
      <c r="J2808">
        <f>VLOOKUP(A2808,Pr_Base_LNEC!$A$4:$J$6971,6,FALSE)</f>
        <v>0</v>
      </c>
      <c r="K2808">
        <f>VLOOKUP(A2808,Pr_Base_LNEC!$A$4:$J$6971,7,FALSE)</f>
        <v>0</v>
      </c>
    </row>
    <row r="2809" spans="1:11" ht="14.5">
      <c r="A2809" s="20" t="s">
        <v>20966</v>
      </c>
      <c r="B2809" s="20">
        <v>35</v>
      </c>
      <c r="C2809" s="20">
        <v>31</v>
      </c>
      <c r="D2809" s="20">
        <v>66</v>
      </c>
      <c r="E2809" s="20">
        <v>15</v>
      </c>
      <c r="F2809" s="20" t="s">
        <v>20967</v>
      </c>
      <c r="G2809" s="20" t="s">
        <v>20968</v>
      </c>
      <c r="H2809" s="24"/>
      <c r="I2809" s="24" t="str">
        <f ca="1">IFERROR(__xludf.DUMMYFUNCTION("GOOGLETRANSLATE(F2809,""en"",""pt"")"),"Combinadas camadas de barreira e de colagem")</f>
        <v>Combinadas camadas de barreira e de colagem</v>
      </c>
      <c r="J2809">
        <f>VLOOKUP(A2809,Pr_Base_LNEC!$A$4:$J$6971,6,FALSE)</f>
        <v>0</v>
      </c>
      <c r="K2809">
        <f>VLOOKUP(A2809,Pr_Base_LNEC!$A$4:$J$6971,7,FALSE)</f>
        <v>0</v>
      </c>
    </row>
    <row r="2810" spans="1:11" ht="14.5">
      <c r="A2810" s="20" t="s">
        <v>20969</v>
      </c>
      <c r="B2810" s="20">
        <v>35</v>
      </c>
      <c r="C2810" s="20">
        <v>31</v>
      </c>
      <c r="D2810" s="20">
        <v>66</v>
      </c>
      <c r="E2810" s="20">
        <v>16</v>
      </c>
      <c r="F2810" s="20" t="s">
        <v>20970</v>
      </c>
      <c r="G2810" s="20" t="s">
        <v>20971</v>
      </c>
      <c r="H2810" s="24"/>
      <c r="I2810" s="24" t="str">
        <f ca="1">IFERROR(__xludf.DUMMYFUNCTION("GOOGLETRANSLATE(F2810,""en"",""pt"")"),"Concretas revestimentos de cura")</f>
        <v>Concretas revestimentos de cura</v>
      </c>
      <c r="J2810">
        <f>VLOOKUP(A2810,Pr_Base_LNEC!$A$4:$J$6971,6,FALSE)</f>
        <v>0</v>
      </c>
      <c r="K2810">
        <f>VLOOKUP(A2810,Pr_Base_LNEC!$A$4:$J$6971,7,FALSE)</f>
        <v>0</v>
      </c>
    </row>
    <row r="2811" spans="1:11" ht="14.5">
      <c r="A2811" s="20" t="s">
        <v>20972</v>
      </c>
      <c r="B2811" s="20">
        <v>35</v>
      </c>
      <c r="C2811" s="20">
        <v>31</v>
      </c>
      <c r="D2811" s="20">
        <v>66</v>
      </c>
      <c r="E2811" s="20">
        <v>21</v>
      </c>
      <c r="F2811" s="20" t="s">
        <v>20973</v>
      </c>
      <c r="G2811" s="20" t="s">
        <v>20974</v>
      </c>
      <c r="H2811" s="24"/>
      <c r="I2811" s="24" t="str">
        <f ca="1">IFERROR(__xludf.DUMMYFUNCTION("GOOGLETRANSLATE(F2811,""en"",""pt"")"),"descolagem compostos")</f>
        <v>descolagem compostos</v>
      </c>
      <c r="J2811">
        <f>VLOOKUP(A2811,Pr_Base_LNEC!$A$4:$J$6971,6,FALSE)</f>
        <v>0</v>
      </c>
      <c r="K2811">
        <f>VLOOKUP(A2811,Pr_Base_LNEC!$A$4:$J$6971,7,FALSE)</f>
        <v>0</v>
      </c>
    </row>
    <row r="2812" spans="1:11" ht="14.5">
      <c r="A2812" s="20" t="s">
        <v>20975</v>
      </c>
      <c r="B2812" s="20">
        <v>35</v>
      </c>
      <c r="C2812" s="20">
        <v>31</v>
      </c>
      <c r="D2812" s="20">
        <v>66</v>
      </c>
      <c r="E2812" s="20">
        <v>22</v>
      </c>
      <c r="F2812" s="20" t="s">
        <v>20976</v>
      </c>
      <c r="G2812" s="24"/>
      <c r="H2812" s="24"/>
      <c r="I2812" s="24" t="str">
        <f ca="1">IFERROR(__xludf.DUMMYFUNCTION("GOOGLETRANSLATE(F2812,""en"",""pt"")"),"vestir compostos")</f>
        <v>vestir compostos</v>
      </c>
      <c r="J2812">
        <f>VLOOKUP(A2812,Pr_Base_LNEC!$A$4:$J$6971,6,FALSE)</f>
        <v>0</v>
      </c>
      <c r="K2812">
        <f>VLOOKUP(A2812,Pr_Base_LNEC!$A$4:$J$6971,7,FALSE)</f>
        <v>0</v>
      </c>
    </row>
    <row r="2813" spans="1:11" ht="14.5">
      <c r="A2813" s="20" t="s">
        <v>20977</v>
      </c>
      <c r="B2813" s="20">
        <v>35</v>
      </c>
      <c r="C2813" s="20">
        <v>31</v>
      </c>
      <c r="D2813" s="20">
        <v>66</v>
      </c>
      <c r="E2813" s="20">
        <v>26</v>
      </c>
      <c r="F2813" s="20" t="s">
        <v>20978</v>
      </c>
      <c r="G2813" s="20" t="s">
        <v>20979</v>
      </c>
      <c r="H2813" s="24"/>
      <c r="I2813" s="24" t="str">
        <f ca="1">IFERROR(__xludf.DUMMYFUNCTION("GOOGLETRANSLATE(F2813,""en"",""pt"")"),"gravura primers")</f>
        <v>gravura primers</v>
      </c>
      <c r="J2813">
        <f>VLOOKUP(A2813,Pr_Base_LNEC!$A$4:$J$6971,6,FALSE)</f>
        <v>0</v>
      </c>
      <c r="K2813">
        <f>VLOOKUP(A2813,Pr_Base_LNEC!$A$4:$J$6971,7,FALSE)</f>
        <v>0</v>
      </c>
    </row>
    <row r="2814" spans="1:11" ht="14.5">
      <c r="A2814" s="20" t="s">
        <v>20980</v>
      </c>
      <c r="B2814" s="20">
        <v>35</v>
      </c>
      <c r="C2814" s="20">
        <v>31</v>
      </c>
      <c r="D2814" s="20">
        <v>66</v>
      </c>
      <c r="E2814" s="20">
        <v>30</v>
      </c>
      <c r="F2814" s="20" t="s">
        <v>20981</v>
      </c>
      <c r="G2814" s="20" t="s">
        <v>20982</v>
      </c>
      <c r="H2814" s="24"/>
      <c r="I2814" s="24" t="str">
        <f ca="1">IFERROR(__xludf.DUMMYFUNCTION("GOOGLETRANSLATE(F2814,""en"",""pt"")"),"iniciadores de cobertura do pavimento")</f>
        <v>iniciadores de cobertura do pavimento</v>
      </c>
      <c r="J2814">
        <f>VLOOKUP(A2814,Pr_Base_LNEC!$A$4:$J$6971,6,FALSE)</f>
        <v>0</v>
      </c>
      <c r="K2814">
        <f>VLOOKUP(A2814,Pr_Base_LNEC!$A$4:$J$6971,7,FALSE)</f>
        <v>0</v>
      </c>
    </row>
    <row r="2815" spans="1:11" ht="14.5">
      <c r="A2815" s="20" t="s">
        <v>20983</v>
      </c>
      <c r="B2815" s="20">
        <v>35</v>
      </c>
      <c r="C2815" s="20">
        <v>31</v>
      </c>
      <c r="D2815" s="20">
        <v>66</v>
      </c>
      <c r="E2815" s="20">
        <v>34</v>
      </c>
      <c r="F2815" s="20" t="s">
        <v>20984</v>
      </c>
      <c r="G2815" s="20" t="s">
        <v>20985</v>
      </c>
      <c r="H2815" s="24"/>
      <c r="I2815" s="24" t="str">
        <f ca="1">IFERROR(__xludf.DUMMYFUNCTION("GOOGLETRANSLATE(F2815,""en"",""pt"")"),"basecoats gilding")</f>
        <v>basecoats gilding</v>
      </c>
      <c r="J2815">
        <f>VLOOKUP(A2815,Pr_Base_LNEC!$A$4:$J$6971,6,FALSE)</f>
        <v>0</v>
      </c>
      <c r="K2815">
        <f>VLOOKUP(A2815,Pr_Base_LNEC!$A$4:$J$6971,7,FALSE)</f>
        <v>0</v>
      </c>
    </row>
    <row r="2816" spans="1:11" ht="14.5">
      <c r="A2816" s="20" t="s">
        <v>20986</v>
      </c>
      <c r="B2816" s="20">
        <v>35</v>
      </c>
      <c r="C2816" s="20">
        <v>31</v>
      </c>
      <c r="D2816" s="20">
        <v>66</v>
      </c>
      <c r="E2816" s="20">
        <v>50</v>
      </c>
      <c r="F2816" s="20" t="s">
        <v>20987</v>
      </c>
      <c r="G2816" s="20" t="s">
        <v>20988</v>
      </c>
      <c r="H2816" s="24"/>
      <c r="I2816" s="24" t="str">
        <f ca="1">IFERROR(__xludf.DUMMYFUNCTION("GOOGLETRANSLATE(F2816,""en"",""pt"")"),"mastique (MA) iniciadores")</f>
        <v>mastique (MA) iniciadores</v>
      </c>
      <c r="J2816">
        <f>VLOOKUP(A2816,Pr_Base_LNEC!$A$4:$J$6971,6,FALSE)</f>
        <v>0</v>
      </c>
      <c r="K2816">
        <f>VLOOKUP(A2816,Pr_Base_LNEC!$A$4:$J$6971,7,FALSE)</f>
        <v>0</v>
      </c>
    </row>
    <row r="2817" spans="1:11" ht="14.5">
      <c r="A2817" s="20" t="s">
        <v>20989</v>
      </c>
      <c r="B2817" s="20">
        <v>35</v>
      </c>
      <c r="C2817" s="20">
        <v>31</v>
      </c>
      <c r="D2817" s="20">
        <v>66</v>
      </c>
      <c r="E2817" s="20">
        <v>51</v>
      </c>
      <c r="F2817" s="20" t="s">
        <v>20990</v>
      </c>
      <c r="G2817" s="20" t="s">
        <v>20991</v>
      </c>
      <c r="H2817" s="24"/>
      <c r="I2817" s="24" t="str">
        <f ca="1">IFERROR(__xludf.DUMMYFUNCTION("GOOGLETRANSLATE(F2817,""en"",""pt"")"),"iniciadores chumbo metálico")</f>
        <v>iniciadores chumbo metálico</v>
      </c>
      <c r="J2817">
        <f>VLOOKUP(A2817,Pr_Base_LNEC!$A$4:$J$6971,6,FALSE)</f>
        <v>0</v>
      </c>
      <c r="K2817">
        <f>VLOOKUP(A2817,Pr_Base_LNEC!$A$4:$J$6971,7,FALSE)</f>
        <v>0</v>
      </c>
    </row>
    <row r="2818" spans="1:11" ht="14.5">
      <c r="A2818" s="20" t="s">
        <v>20992</v>
      </c>
      <c r="B2818" s="20">
        <v>35</v>
      </c>
      <c r="C2818" s="20">
        <v>31</v>
      </c>
      <c r="D2818" s="20">
        <v>66</v>
      </c>
      <c r="E2818" s="20">
        <v>52</v>
      </c>
      <c r="F2818" s="20" t="s">
        <v>20993</v>
      </c>
      <c r="G2818" s="24"/>
      <c r="H2818" s="24"/>
      <c r="I2818" s="24" t="str">
        <f ca="1">IFERROR(__xludf.DUMMYFUNCTION("GOOGLETRANSLATE(F2818,""en"",""pt"")"),"Betume modificado primers")</f>
        <v>Betume modificado primers</v>
      </c>
      <c r="J2818">
        <f>VLOOKUP(A2818,Pr_Base_LNEC!$A$4:$J$6971,6,FALSE)</f>
        <v>0</v>
      </c>
      <c r="K2818">
        <f>VLOOKUP(A2818,Pr_Base_LNEC!$A$4:$J$6971,7,FALSE)</f>
        <v>0</v>
      </c>
    </row>
    <row r="2819" spans="1:11" ht="14.5">
      <c r="A2819" s="20" t="s">
        <v>20994</v>
      </c>
      <c r="B2819" s="20">
        <v>35</v>
      </c>
      <c r="C2819" s="20">
        <v>31</v>
      </c>
      <c r="D2819" s="20">
        <v>66</v>
      </c>
      <c r="E2819" s="20">
        <v>53</v>
      </c>
      <c r="F2819" s="20" t="s">
        <v>20995</v>
      </c>
      <c r="G2819" s="20" t="s">
        <v>20996</v>
      </c>
      <c r="H2819" s="24"/>
      <c r="I2819" s="24" t="str">
        <f ca="1">IFERROR(__xludf.DUMMYFUNCTION("GOOGLETRANSLATE(F2819,""en"",""pt"")"),"soluções mordentes")</f>
        <v>soluções mordentes</v>
      </c>
      <c r="J2819">
        <f>VLOOKUP(A2819,Pr_Base_LNEC!$A$4:$J$6971,6,FALSE)</f>
        <v>0</v>
      </c>
      <c r="K2819">
        <f>VLOOKUP(A2819,Pr_Base_LNEC!$A$4:$J$6971,7,FALSE)</f>
        <v>0</v>
      </c>
    </row>
    <row r="2820" spans="1:11" ht="14.5">
      <c r="A2820" s="20" t="s">
        <v>20997</v>
      </c>
      <c r="B2820" s="20">
        <v>35</v>
      </c>
      <c r="C2820" s="20">
        <v>31</v>
      </c>
      <c r="D2820" s="20">
        <v>66</v>
      </c>
      <c r="E2820" s="20">
        <v>55</v>
      </c>
      <c r="F2820" s="20" t="s">
        <v>20998</v>
      </c>
      <c r="G2820" s="20" t="s">
        <v>20999</v>
      </c>
      <c r="H2820" s="24"/>
      <c r="I2820" s="24" t="str">
        <f ca="1">IFERROR(__xludf.DUMMYFUNCTION("GOOGLETRANSLATE(F2820,""en"",""pt"")"),"basecoats acabamento multi-color")</f>
        <v>basecoats acabamento multi-color</v>
      </c>
      <c r="J2820">
        <f>VLOOKUP(A2820,Pr_Base_LNEC!$A$4:$J$6971,6,FALSE)</f>
        <v>0</v>
      </c>
      <c r="K2820">
        <f>VLOOKUP(A2820,Pr_Base_LNEC!$A$4:$J$6971,7,FALSE)</f>
        <v>0</v>
      </c>
    </row>
    <row r="2821" spans="1:11" ht="14.5">
      <c r="A2821" s="20" t="s">
        <v>21000</v>
      </c>
      <c r="B2821" s="20">
        <v>35</v>
      </c>
      <c r="C2821" s="20">
        <v>31</v>
      </c>
      <c r="D2821" s="20">
        <v>66</v>
      </c>
      <c r="E2821" s="20">
        <v>57</v>
      </c>
      <c r="F2821" s="20" t="s">
        <v>21001</v>
      </c>
      <c r="G2821" s="20" t="s">
        <v>21002</v>
      </c>
      <c r="H2821" s="24"/>
      <c r="I2821" s="24" t="str">
        <f ca="1">IFERROR(__xludf.DUMMYFUNCTION("GOOGLETRANSLATE(F2821,""en"",""pt"")"),"iniciadores não betuminosos")</f>
        <v>iniciadores não betuminosos</v>
      </c>
      <c r="J2821">
        <f>VLOOKUP(A2821,Pr_Base_LNEC!$A$4:$J$6971,6,FALSE)</f>
        <v>0</v>
      </c>
      <c r="K2821">
        <f>VLOOKUP(A2821,Pr_Base_LNEC!$A$4:$J$6971,7,FALSE)</f>
        <v>0</v>
      </c>
    </row>
    <row r="2822" spans="1:11" ht="14.5">
      <c r="A2822" s="20" t="s">
        <v>21003</v>
      </c>
      <c r="B2822" s="20">
        <v>35</v>
      </c>
      <c r="C2822" s="20">
        <v>31</v>
      </c>
      <c r="D2822" s="20">
        <v>66</v>
      </c>
      <c r="E2822" s="20">
        <v>60</v>
      </c>
      <c r="F2822" s="20" t="s">
        <v>21004</v>
      </c>
      <c r="G2822" s="20" t="s">
        <v>21005</v>
      </c>
      <c r="H2822" s="24"/>
      <c r="I2822" s="24" t="str">
        <f ca="1">IFERROR(__xludf.DUMMYFUNCTION("GOOGLETRANSLATE(F2822,""en"",""pt"")"),"pavimentação de primers")</f>
        <v>pavimentação de primers</v>
      </c>
      <c r="J2822">
        <f>VLOOKUP(A2822,Pr_Base_LNEC!$A$4:$J$6971,6,FALSE)</f>
        <v>0</v>
      </c>
      <c r="K2822">
        <f>VLOOKUP(A2822,Pr_Base_LNEC!$A$4:$J$6971,7,FALSE)</f>
        <v>0</v>
      </c>
    </row>
    <row r="2823" spans="1:11" ht="14.5">
      <c r="A2823" s="20" t="s">
        <v>21006</v>
      </c>
      <c r="B2823" s="20">
        <v>35</v>
      </c>
      <c r="C2823" s="20">
        <v>31</v>
      </c>
      <c r="D2823" s="20">
        <v>66</v>
      </c>
      <c r="E2823" s="20">
        <v>62</v>
      </c>
      <c r="F2823" s="20" t="s">
        <v>21007</v>
      </c>
      <c r="G2823" s="20" t="s">
        <v>21008</v>
      </c>
      <c r="H2823" s="24"/>
      <c r="I2823" s="24" t="str">
        <f ca="1">IFERROR(__xludf.DUMMYFUNCTION("GOOGLETRANSLATE(F2823,""en"",""pt"")"),"iniciadores de gesso")</f>
        <v>iniciadores de gesso</v>
      </c>
      <c r="J2823">
        <f>VLOOKUP(A2823,Pr_Base_LNEC!$A$4:$J$6971,6,FALSE)</f>
        <v>0</v>
      </c>
      <c r="K2823">
        <f>VLOOKUP(A2823,Pr_Base_LNEC!$A$4:$J$6971,7,FALSE)</f>
        <v>0</v>
      </c>
    </row>
    <row r="2824" spans="1:11" ht="14.5">
      <c r="A2824" s="20" t="s">
        <v>21009</v>
      </c>
      <c r="B2824" s="20">
        <v>35</v>
      </c>
      <c r="C2824" s="20">
        <v>31</v>
      </c>
      <c r="D2824" s="20">
        <v>66</v>
      </c>
      <c r="E2824" s="20">
        <v>63</v>
      </c>
      <c r="F2824" s="20" t="s">
        <v>21010</v>
      </c>
      <c r="G2824" s="20" t="s">
        <v>21011</v>
      </c>
      <c r="H2824" s="24"/>
      <c r="I2824" s="24" t="str">
        <f ca="1">IFERROR(__xludf.DUMMYFUNCTION("GOOGLETRANSLATE(F2824,""en"",""pt"")"),"iniciadores de gesso")</f>
        <v>iniciadores de gesso</v>
      </c>
      <c r="J2824">
        <f>VLOOKUP(A2824,Pr_Base_LNEC!$A$4:$J$6971,6,FALSE)</f>
        <v>0</v>
      </c>
      <c r="K2824">
        <f>VLOOKUP(A2824,Pr_Base_LNEC!$A$4:$J$6971,7,FALSE)</f>
        <v>0</v>
      </c>
    </row>
    <row r="2825" spans="1:11" ht="14.5">
      <c r="A2825" s="20" t="s">
        <v>21012</v>
      </c>
      <c r="B2825" s="20">
        <v>35</v>
      </c>
      <c r="C2825" s="20">
        <v>31</v>
      </c>
      <c r="D2825" s="20">
        <v>66</v>
      </c>
      <c r="E2825" s="20">
        <v>67</v>
      </c>
      <c r="F2825" s="20" t="s">
        <v>21013</v>
      </c>
      <c r="G2825" s="20" t="s">
        <v>21014</v>
      </c>
      <c r="H2825" s="24"/>
      <c r="I2825" s="24" t="str">
        <f ca="1">IFERROR(__xludf.DUMMYFUNCTION("GOOGLETRANSLATE(F2825,""en"",""pt"")"),"Primer-selantes")</f>
        <v>Primer-selantes</v>
      </c>
      <c r="J2825">
        <f>VLOOKUP(A2825,Pr_Base_LNEC!$A$4:$J$6971,6,FALSE)</f>
        <v>0</v>
      </c>
      <c r="K2825">
        <f>VLOOKUP(A2825,Pr_Base_LNEC!$A$4:$J$6971,7,FALSE)</f>
        <v>0</v>
      </c>
    </row>
    <row r="2826" spans="1:11" ht="14.5">
      <c r="A2826" s="20" t="s">
        <v>21015</v>
      </c>
      <c r="B2826" s="20">
        <v>35</v>
      </c>
      <c r="C2826" s="20">
        <v>31</v>
      </c>
      <c r="D2826" s="20">
        <v>66</v>
      </c>
      <c r="E2826" s="20">
        <v>68</v>
      </c>
      <c r="F2826" s="20" t="s">
        <v>21016</v>
      </c>
      <c r="G2826" s="20" t="s">
        <v>21017</v>
      </c>
      <c r="H2826" s="24"/>
      <c r="I2826" s="24" t="str">
        <f ca="1">IFERROR(__xludf.DUMMYFUNCTION("GOOGLETRANSLATE(F2826,""en"",""pt"")"),"Primer-undercoats")</f>
        <v>Primer-undercoats</v>
      </c>
      <c r="J2826">
        <f>VLOOKUP(A2826,Pr_Base_LNEC!$A$4:$J$6971,6,FALSE)</f>
        <v>0</v>
      </c>
      <c r="K2826">
        <f>VLOOKUP(A2826,Pr_Base_LNEC!$A$4:$J$6971,7,FALSE)</f>
        <v>0</v>
      </c>
    </row>
    <row r="2827" spans="1:11" ht="14.5">
      <c r="A2827" s="20" t="s">
        <v>21018</v>
      </c>
      <c r="B2827" s="20">
        <v>35</v>
      </c>
      <c r="C2827" s="20">
        <v>31</v>
      </c>
      <c r="D2827" s="20">
        <v>66</v>
      </c>
      <c r="E2827" s="20">
        <v>70</v>
      </c>
      <c r="F2827" s="20" t="s">
        <v>21019</v>
      </c>
      <c r="G2827" s="20" t="s">
        <v>21020</v>
      </c>
      <c r="H2827" s="24"/>
      <c r="I2827" s="24" t="str">
        <f ca="1">IFERROR(__xludf.DUMMYFUNCTION("GOOGLETRANSLATE(F2827,""en"",""pt"")"),"tratamentos de reforço")</f>
        <v>tratamentos de reforço</v>
      </c>
      <c r="J2827">
        <f>VLOOKUP(A2827,Pr_Base_LNEC!$A$4:$J$6971,6,FALSE)</f>
        <v>0</v>
      </c>
      <c r="K2827">
        <f>VLOOKUP(A2827,Pr_Base_LNEC!$A$4:$J$6971,7,FALSE)</f>
        <v>0</v>
      </c>
    </row>
    <row r="2828" spans="1:11" ht="14.5">
      <c r="A2828" s="20" t="s">
        <v>21021</v>
      </c>
      <c r="B2828" s="20">
        <v>35</v>
      </c>
      <c r="C2828" s="20">
        <v>31</v>
      </c>
      <c r="D2828" s="20">
        <v>66</v>
      </c>
      <c r="E2828" s="20">
        <v>71</v>
      </c>
      <c r="F2828" s="20" t="s">
        <v>21022</v>
      </c>
      <c r="G2828" s="20" t="s">
        <v>21023</v>
      </c>
      <c r="H2828" s="24"/>
      <c r="I2828" s="24" t="str">
        <f ca="1">IFERROR(__xludf.DUMMYFUNCTION("GOOGLETRANSLATE(F2828,""en"",""pt"")"),"iniciadores de revestimento de resina")</f>
        <v>iniciadores de revestimento de resina</v>
      </c>
      <c r="J2828">
        <f>VLOOKUP(A2828,Pr_Base_LNEC!$A$4:$J$6971,6,FALSE)</f>
        <v>0</v>
      </c>
      <c r="K2828">
        <f>VLOOKUP(A2828,Pr_Base_LNEC!$A$4:$J$6971,7,FALSE)</f>
        <v>0</v>
      </c>
    </row>
    <row r="2829" spans="1:11" ht="14.5">
      <c r="A2829" s="20" t="s">
        <v>21024</v>
      </c>
      <c r="B2829" s="20">
        <v>35</v>
      </c>
      <c r="C2829" s="20">
        <v>31</v>
      </c>
      <c r="D2829" s="20">
        <v>66</v>
      </c>
      <c r="E2829" s="20">
        <v>75</v>
      </c>
      <c r="F2829" s="20" t="s">
        <v>21025</v>
      </c>
      <c r="G2829" s="20" t="s">
        <v>21026</v>
      </c>
      <c r="H2829" s="24"/>
      <c r="I2829" s="24" t="str">
        <f ca="1">IFERROR(__xludf.DUMMYFUNCTION("GOOGLETRANSLATE(F2829,""en"",""pt"")"),"primers lixadas")</f>
        <v>primers lixadas</v>
      </c>
      <c r="J2829">
        <f>VLOOKUP(A2829,Pr_Base_LNEC!$A$4:$J$6971,6,FALSE)</f>
        <v>0</v>
      </c>
      <c r="K2829">
        <f>VLOOKUP(A2829,Pr_Base_LNEC!$A$4:$J$6971,7,FALSE)</f>
        <v>0</v>
      </c>
    </row>
    <row r="2830" spans="1:11" ht="14.5">
      <c r="A2830" s="20" t="s">
        <v>21027</v>
      </c>
      <c r="B2830" s="20">
        <v>35</v>
      </c>
      <c r="C2830" s="20">
        <v>31</v>
      </c>
      <c r="D2830" s="20">
        <v>66</v>
      </c>
      <c r="E2830" s="20">
        <v>76</v>
      </c>
      <c r="F2830" s="20" t="s">
        <v>21028</v>
      </c>
      <c r="G2830" s="24"/>
      <c r="H2830" s="24"/>
      <c r="I2830" s="24" t="str">
        <f ca="1">IFERROR(__xludf.DUMMYFUNCTION("GOOGLETRANSLATE(F2830,""en"",""pt"")"),"iniciadores à base de silicato")</f>
        <v>iniciadores à base de silicato</v>
      </c>
      <c r="J2830">
        <f>VLOOKUP(A2830,Pr_Base_LNEC!$A$4:$J$6971,6,FALSE)</f>
        <v>0</v>
      </c>
      <c r="K2830">
        <f>VLOOKUP(A2830,Pr_Base_LNEC!$A$4:$J$6971,7,FALSE)</f>
        <v>0</v>
      </c>
    </row>
    <row r="2831" spans="1:11" ht="14.5">
      <c r="A2831" s="20" t="s">
        <v>21029</v>
      </c>
      <c r="B2831" s="20">
        <v>35</v>
      </c>
      <c r="C2831" s="20">
        <v>31</v>
      </c>
      <c r="D2831" s="20">
        <v>66</v>
      </c>
      <c r="E2831" s="20">
        <v>77</v>
      </c>
      <c r="F2831" s="20" t="s">
        <v>21030</v>
      </c>
      <c r="G2831" s="20" t="s">
        <v>21031</v>
      </c>
      <c r="H2831" s="24"/>
      <c r="I2831" s="24" t="str">
        <f ca="1">IFERROR(__xludf.DUMMYFUNCTION("GOOGLETRANSLATE(F2831,""en"",""pt"")"),"primers selante")</f>
        <v>primers selante</v>
      </c>
      <c r="J2831">
        <f>VLOOKUP(A2831,Pr_Base_LNEC!$A$4:$J$6971,6,FALSE)</f>
        <v>0</v>
      </c>
      <c r="K2831">
        <f>VLOOKUP(A2831,Pr_Base_LNEC!$A$4:$J$6971,7,FALSE)</f>
        <v>0</v>
      </c>
    </row>
    <row r="2832" spans="1:11" ht="14.5">
      <c r="A2832" s="20" t="s">
        <v>21032</v>
      </c>
      <c r="B2832" s="20">
        <v>35</v>
      </c>
      <c r="C2832" s="20">
        <v>31</v>
      </c>
      <c r="D2832" s="20">
        <v>66</v>
      </c>
      <c r="E2832" s="20">
        <v>78</v>
      </c>
      <c r="F2832" s="20" t="s">
        <v>21033</v>
      </c>
      <c r="G2832" s="20" t="s">
        <v>21034</v>
      </c>
      <c r="H2832" s="24"/>
      <c r="I2832" s="24" t="str">
        <f ca="1">IFERROR(__xludf.DUMMYFUNCTION("GOOGLETRANSLATE(F2832,""en"",""pt"")"),"plano de escorregamento iniciadores de tinta de emulsão de betume")</f>
        <v>plano de escorregamento iniciadores de tinta de emulsão de betume</v>
      </c>
      <c r="J2832">
        <f>VLOOKUP(A2832,Pr_Base_LNEC!$A$4:$J$6971,6,FALSE)</f>
        <v>0</v>
      </c>
      <c r="K2832">
        <f>VLOOKUP(A2832,Pr_Base_LNEC!$A$4:$J$6971,7,FALSE)</f>
        <v>0</v>
      </c>
    </row>
    <row r="2833" spans="1:11" ht="14.5">
      <c r="A2833" s="20" t="s">
        <v>21035</v>
      </c>
      <c r="B2833" s="20">
        <v>35</v>
      </c>
      <c r="C2833" s="20">
        <v>31</v>
      </c>
      <c r="D2833" s="20">
        <v>66</v>
      </c>
      <c r="E2833" s="20">
        <v>80</v>
      </c>
      <c r="F2833" s="20" t="s">
        <v>21036</v>
      </c>
      <c r="G2833" s="20" t="s">
        <v>21037</v>
      </c>
      <c r="H2833" s="24"/>
      <c r="I2833" s="24" t="str">
        <f ca="1">IFERROR(__xludf.DUMMYFUNCTION("GOOGLETRANSLATE(F2833,""en"",""pt"")"),"revestimentos de base à base de solvente")</f>
        <v>revestimentos de base à base de solvente</v>
      </c>
      <c r="J2833">
        <f>VLOOKUP(A2833,Pr_Base_LNEC!$A$4:$J$6971,6,FALSE)</f>
        <v>0</v>
      </c>
      <c r="K2833">
        <f>VLOOKUP(A2833,Pr_Base_LNEC!$A$4:$J$6971,7,FALSE)</f>
        <v>0</v>
      </c>
    </row>
    <row r="2834" spans="1:11" ht="14.5">
      <c r="A2834" s="20" t="s">
        <v>21038</v>
      </c>
      <c r="B2834" s="20">
        <v>35</v>
      </c>
      <c r="C2834" s="20">
        <v>31</v>
      </c>
      <c r="D2834" s="20">
        <v>66</v>
      </c>
      <c r="E2834" s="20">
        <v>81</v>
      </c>
      <c r="F2834" s="20" t="s">
        <v>21039</v>
      </c>
      <c r="G2834" s="20" t="s">
        <v>21040</v>
      </c>
      <c r="H2834" s="24"/>
      <c r="I2834" s="24" t="str">
        <f ca="1">IFERROR(__xludf.DUMMYFUNCTION("GOOGLETRANSLATE(F2834,""en"",""pt"")"),"iniciadores de metais de base solvente")</f>
        <v>iniciadores de metais de base solvente</v>
      </c>
      <c r="J2834">
        <f>VLOOKUP(A2834,Pr_Base_LNEC!$A$4:$J$6971,6,FALSE)</f>
        <v>0</v>
      </c>
      <c r="K2834">
        <f>VLOOKUP(A2834,Pr_Base_LNEC!$A$4:$J$6971,7,FALSE)</f>
        <v>0</v>
      </c>
    </row>
    <row r="2835" spans="1:11" ht="14.5">
      <c r="A2835" s="20" t="s">
        <v>21041</v>
      </c>
      <c r="B2835" s="20">
        <v>35</v>
      </c>
      <c r="C2835" s="20">
        <v>31</v>
      </c>
      <c r="D2835" s="20">
        <v>66</v>
      </c>
      <c r="E2835" s="20">
        <v>82</v>
      </c>
      <c r="F2835" s="20" t="s">
        <v>21042</v>
      </c>
      <c r="G2835" s="20" t="s">
        <v>21043</v>
      </c>
      <c r="H2835" s="24"/>
      <c r="I2835" s="24" t="str">
        <f ca="1">IFERROR(__xludf.DUMMYFUNCTION("GOOGLETRANSLATE(F2835,""en"",""pt"")"),"subcapas à base de solvente")</f>
        <v>subcapas à base de solvente</v>
      </c>
      <c r="J2835">
        <f>VLOOKUP(A2835,Pr_Base_LNEC!$A$4:$J$6971,6,FALSE)</f>
        <v>0</v>
      </c>
      <c r="K2835">
        <f>VLOOKUP(A2835,Pr_Base_LNEC!$A$4:$J$6971,7,FALSE)</f>
        <v>0</v>
      </c>
    </row>
    <row r="2836" spans="1:11" ht="14.5">
      <c r="A2836" s="20" t="s">
        <v>21044</v>
      </c>
      <c r="B2836" s="20">
        <v>35</v>
      </c>
      <c r="C2836" s="20">
        <v>31</v>
      </c>
      <c r="D2836" s="20">
        <v>66</v>
      </c>
      <c r="E2836" s="20">
        <v>83</v>
      </c>
      <c r="F2836" s="20" t="s">
        <v>21045</v>
      </c>
      <c r="G2836" s="20" t="s">
        <v>21046</v>
      </c>
      <c r="H2836" s="24"/>
      <c r="I2836" s="24" t="str">
        <f ca="1">IFERROR(__xludf.DUMMYFUNCTION("GOOGLETRANSLATE(F2836,""en"",""pt"")"),"iniciadores de madeira Com solvente")</f>
        <v>iniciadores de madeira Com solvente</v>
      </c>
      <c r="J2836">
        <f>VLOOKUP(A2836,Pr_Base_LNEC!$A$4:$J$6971,6,FALSE)</f>
        <v>0</v>
      </c>
      <c r="K2836">
        <f>VLOOKUP(A2836,Pr_Base_LNEC!$A$4:$J$6971,7,FALSE)</f>
        <v>0</v>
      </c>
    </row>
    <row r="2837" spans="1:11" ht="14.5">
      <c r="A2837" s="20" t="s">
        <v>21047</v>
      </c>
      <c r="B2837" s="20">
        <v>35</v>
      </c>
      <c r="C2837" s="20">
        <v>31</v>
      </c>
      <c r="D2837" s="20">
        <v>66</v>
      </c>
      <c r="E2837" s="20">
        <v>88</v>
      </c>
      <c r="F2837" s="20" t="s">
        <v>21048</v>
      </c>
      <c r="G2837" s="20" t="s">
        <v>21049</v>
      </c>
      <c r="H2837" s="24"/>
      <c r="I2837" s="24" t="str">
        <f ca="1">IFERROR(__xludf.DUMMYFUNCTION("GOOGLETRANSLATE(F2837,""en"",""pt"")"),"diluentes")</f>
        <v>diluentes</v>
      </c>
      <c r="J2837">
        <f>VLOOKUP(A2837,Pr_Base_LNEC!$A$4:$J$6971,6,FALSE)</f>
        <v>0</v>
      </c>
      <c r="K2837">
        <f>VLOOKUP(A2837,Pr_Base_LNEC!$A$4:$J$6971,7,FALSE)</f>
        <v>0</v>
      </c>
    </row>
    <row r="2838" spans="1:11" ht="14.5">
      <c r="A2838" s="20" t="s">
        <v>21050</v>
      </c>
      <c r="B2838" s="20">
        <v>35</v>
      </c>
      <c r="C2838" s="20">
        <v>31</v>
      </c>
      <c r="D2838" s="20">
        <v>66</v>
      </c>
      <c r="E2838" s="20">
        <v>92</v>
      </c>
      <c r="F2838" s="20" t="s">
        <v>21051</v>
      </c>
      <c r="G2838" s="20" t="s">
        <v>21052</v>
      </c>
      <c r="H2838" s="24"/>
      <c r="I2838" s="24" t="str">
        <f ca="1">IFERROR(__xludf.DUMMYFUNCTION("GOOGLETRANSLATE(F2838,""en"",""pt"")"),"primers universais")</f>
        <v>primers universais</v>
      </c>
      <c r="J2838">
        <f>VLOOKUP(A2838,Pr_Base_LNEC!$A$4:$J$6971,6,FALSE)</f>
        <v>0</v>
      </c>
      <c r="K2838">
        <f>VLOOKUP(A2838,Pr_Base_LNEC!$A$4:$J$6971,7,FALSE)</f>
        <v>0</v>
      </c>
    </row>
    <row r="2839" spans="1:11" ht="14.5">
      <c r="A2839" s="20" t="s">
        <v>21053</v>
      </c>
      <c r="B2839" s="20">
        <v>35</v>
      </c>
      <c r="C2839" s="20">
        <v>31</v>
      </c>
      <c r="D2839" s="20">
        <v>66</v>
      </c>
      <c r="E2839" s="20">
        <v>94</v>
      </c>
      <c r="F2839" s="20" t="s">
        <v>21054</v>
      </c>
      <c r="G2839" s="20" t="s">
        <v>21055</v>
      </c>
      <c r="H2839" s="24"/>
      <c r="I2839" s="24" t="str">
        <f ca="1">IFERROR(__xludf.DUMMYFUNCTION("GOOGLETRANSLATE(F2839,""en"",""pt"")"),"iniciadores de acrílicos à base de água")</f>
        <v>iniciadores de acrílicos à base de água</v>
      </c>
      <c r="J2839">
        <f>VLOOKUP(A2839,Pr_Base_LNEC!$A$4:$J$6971,6,FALSE)</f>
        <v>0</v>
      </c>
      <c r="K2839">
        <f>VLOOKUP(A2839,Pr_Base_LNEC!$A$4:$J$6971,7,FALSE)</f>
        <v>0</v>
      </c>
    </row>
    <row r="2840" spans="1:11" ht="14.5">
      <c r="A2840" s="20" t="s">
        <v>21056</v>
      </c>
      <c r="B2840" s="20">
        <v>35</v>
      </c>
      <c r="C2840" s="20">
        <v>31</v>
      </c>
      <c r="D2840" s="20">
        <v>66</v>
      </c>
      <c r="E2840" s="20">
        <v>95</v>
      </c>
      <c r="F2840" s="20" t="s">
        <v>21057</v>
      </c>
      <c r="G2840" s="20" t="s">
        <v>21058</v>
      </c>
      <c r="H2840" s="24"/>
      <c r="I2840" s="24" t="str">
        <f ca="1">IFERROR(__xludf.DUMMYFUNCTION("GOOGLETRANSLATE(F2840,""en"",""pt"")"),"tintas aquosas")</f>
        <v>tintas aquosas</v>
      </c>
      <c r="J2840">
        <f>VLOOKUP(A2840,Pr_Base_LNEC!$A$4:$J$6971,6,FALSE)</f>
        <v>0</v>
      </c>
      <c r="K2840">
        <f>VLOOKUP(A2840,Pr_Base_LNEC!$A$4:$J$6971,7,FALSE)</f>
        <v>0</v>
      </c>
    </row>
    <row r="2841" spans="1:11" ht="14.5">
      <c r="A2841" s="20" t="s">
        <v>21059</v>
      </c>
      <c r="B2841" s="20">
        <v>35</v>
      </c>
      <c r="C2841" s="20">
        <v>31</v>
      </c>
      <c r="D2841" s="20">
        <v>66</v>
      </c>
      <c r="E2841" s="20">
        <v>96</v>
      </c>
      <c r="F2841" s="20" t="s">
        <v>21060</v>
      </c>
      <c r="G2841" s="20" t="s">
        <v>21061</v>
      </c>
      <c r="H2841" s="24"/>
      <c r="I2841" s="24" t="str">
        <f ca="1">IFERROR(__xludf.DUMMYFUNCTION("GOOGLETRANSLATE(F2841,""en"",""pt"")"),"iniciadores de metal à base de água")</f>
        <v>iniciadores de metal à base de água</v>
      </c>
      <c r="J2841">
        <f>VLOOKUP(A2841,Pr_Base_LNEC!$A$4:$J$6971,6,FALSE)</f>
        <v>0</v>
      </c>
      <c r="K2841">
        <f>VLOOKUP(A2841,Pr_Base_LNEC!$A$4:$J$6971,7,FALSE)</f>
        <v>0</v>
      </c>
    </row>
    <row r="2842" spans="1:11" ht="14.5">
      <c r="A2842" s="20" t="s">
        <v>21062</v>
      </c>
      <c r="B2842" s="20">
        <v>35</v>
      </c>
      <c r="C2842" s="20">
        <v>31</v>
      </c>
      <c r="D2842" s="20">
        <v>66</v>
      </c>
      <c r="E2842" s="20">
        <v>97</v>
      </c>
      <c r="F2842" s="20" t="s">
        <v>21063</v>
      </c>
      <c r="G2842" s="20" t="s">
        <v>21064</v>
      </c>
      <c r="H2842" s="24"/>
      <c r="I2842" s="24" t="str">
        <f ca="1">IFERROR(__xludf.DUMMYFUNCTION("GOOGLETRANSLATE(F2842,""en"",""pt"")"),"Waterborne diluído undercoats")</f>
        <v>Waterborne diluído undercoats</v>
      </c>
      <c r="J2842">
        <f>VLOOKUP(A2842,Pr_Base_LNEC!$A$4:$J$6971,6,FALSE)</f>
        <v>0</v>
      </c>
      <c r="K2842">
        <f>VLOOKUP(A2842,Pr_Base_LNEC!$A$4:$J$6971,7,FALSE)</f>
        <v>0</v>
      </c>
    </row>
    <row r="2843" spans="1:11" ht="14.5">
      <c r="A2843" s="20" t="s">
        <v>21065</v>
      </c>
      <c r="B2843" s="20">
        <v>35</v>
      </c>
      <c r="C2843" s="20">
        <v>31</v>
      </c>
      <c r="D2843" s="20">
        <v>66</v>
      </c>
      <c r="E2843" s="20">
        <v>98</v>
      </c>
      <c r="F2843" s="20" t="s">
        <v>21066</v>
      </c>
      <c r="G2843" s="20" t="s">
        <v>21067</v>
      </c>
      <c r="H2843" s="24"/>
      <c r="I2843" s="24" t="str">
        <f ca="1">IFERROR(__xludf.DUMMYFUNCTION("GOOGLETRANSLATE(F2843,""en"",""pt"")"),"iniciadores de madeira à base de água")</f>
        <v>iniciadores de madeira à base de água</v>
      </c>
      <c r="J2843">
        <f>VLOOKUP(A2843,Pr_Base_LNEC!$A$4:$J$6971,6,FALSE)</f>
        <v>0</v>
      </c>
      <c r="K2843">
        <f>VLOOKUP(A2843,Pr_Base_LNEC!$A$4:$J$6971,7,FALSE)</f>
        <v>0</v>
      </c>
    </row>
    <row r="2844" spans="1:11" ht="14.5">
      <c r="A2844" s="20" t="s">
        <v>21068</v>
      </c>
      <c r="B2844" s="20">
        <v>35</v>
      </c>
      <c r="C2844" s="20">
        <v>31</v>
      </c>
      <c r="D2844" s="20">
        <v>66</v>
      </c>
      <c r="E2844" s="20">
        <v>99</v>
      </c>
      <c r="F2844" s="20" t="s">
        <v>21069</v>
      </c>
      <c r="G2844" s="20" t="s">
        <v>21070</v>
      </c>
      <c r="H2844" s="24"/>
      <c r="I2844" s="24" t="str">
        <f ca="1">IFERROR(__xludf.DUMMYFUNCTION("GOOGLETRANSLATE(F2844,""en"",""pt"")"),"undercoats transmitidas pela água")</f>
        <v>undercoats transmitidas pela água</v>
      </c>
      <c r="J2844">
        <f>VLOOKUP(A2844,Pr_Base_LNEC!$A$4:$J$6971,6,FALSE)</f>
        <v>0</v>
      </c>
      <c r="K2844">
        <f>VLOOKUP(A2844,Pr_Base_LNEC!$A$4:$J$6971,7,FALSE)</f>
        <v>0</v>
      </c>
    </row>
    <row r="2845" spans="1:11" ht="14.5">
      <c r="A2845" s="20" t="s">
        <v>21071</v>
      </c>
      <c r="B2845" s="20">
        <v>35</v>
      </c>
      <c r="C2845" s="20">
        <v>31</v>
      </c>
      <c r="D2845" s="20">
        <v>67</v>
      </c>
      <c r="E2845" s="24"/>
      <c r="F2845" s="20" t="s">
        <v>21072</v>
      </c>
      <c r="G2845" s="24"/>
      <c r="H2845" s="24"/>
      <c r="I2845" s="24" t="str">
        <f ca="1">IFERROR(__xludf.DUMMYFUNCTION("GOOGLETRANSLATE(F2845,""en"",""pt"")"),"Conservantes, aditivos e tratamentos ignífugos")</f>
        <v>Conservantes, aditivos e tratamentos ignífugos</v>
      </c>
      <c r="J2845">
        <f>VLOOKUP(A2845,Pr_Base_LNEC!$A$4:$J$6971,6,FALSE)</f>
        <v>0</v>
      </c>
      <c r="K2845">
        <f>VLOOKUP(A2845,Pr_Base_LNEC!$A$4:$J$6971,7,FALSE)</f>
        <v>0</v>
      </c>
    </row>
    <row r="2846" spans="1:11" ht="14.5">
      <c r="A2846" s="20" t="s">
        <v>21073</v>
      </c>
      <c r="B2846" s="20">
        <v>35</v>
      </c>
      <c r="C2846" s="20">
        <v>31</v>
      </c>
      <c r="D2846" s="20">
        <v>67</v>
      </c>
      <c r="E2846" s="20">
        <v>1</v>
      </c>
      <c r="F2846" s="20" t="s">
        <v>21074</v>
      </c>
      <c r="G2846" s="24"/>
      <c r="H2846" s="24"/>
      <c r="I2846" s="24" t="str">
        <f ca="1">IFERROR(__xludf.DUMMYFUNCTION("GOOGLETRANSLATE(F2846,""en"",""pt"")"),"aditivos retardadores acrílico")</f>
        <v>aditivos retardadores acrílico</v>
      </c>
      <c r="J2846" t="e">
        <f>VLOOKUP(A2846,Pr_Base_LNEC!$A$4:$J$6971,6,FALSE)</f>
        <v>#N/A</v>
      </c>
      <c r="K2846" t="e">
        <f>VLOOKUP(A2846,Pr_Base_LNEC!$A$4:$J$6971,7,FALSE)</f>
        <v>#N/A</v>
      </c>
    </row>
    <row r="2847" spans="1:11" ht="14.5">
      <c r="A2847" s="20" t="s">
        <v>21075</v>
      </c>
      <c r="B2847" s="20">
        <v>35</v>
      </c>
      <c r="C2847" s="20">
        <v>31</v>
      </c>
      <c r="D2847" s="20">
        <v>67</v>
      </c>
      <c r="E2847" s="20">
        <v>7</v>
      </c>
      <c r="F2847" s="20" t="s">
        <v>21076</v>
      </c>
      <c r="G2847" s="20" t="s">
        <v>21077</v>
      </c>
      <c r="H2847" s="24"/>
      <c r="I2847" s="24" t="str">
        <f ca="1">IFERROR(__xludf.DUMMYFUNCTION("GOOGLETRANSLATE(F2847,""en"",""pt"")"),"Borato de sedimento e conservantes haste")</f>
        <v>Borato de sedimento e conservantes haste</v>
      </c>
      <c r="J2847">
        <f>VLOOKUP(A2847,Pr_Base_LNEC!$A$4:$J$6971,6,FALSE)</f>
        <v>0</v>
      </c>
      <c r="K2847">
        <f>VLOOKUP(A2847,Pr_Base_LNEC!$A$4:$J$6971,7,FALSE)</f>
        <v>0</v>
      </c>
    </row>
    <row r="2848" spans="1:11" ht="14.5">
      <c r="A2848" s="20" t="s">
        <v>21078</v>
      </c>
      <c r="B2848" s="20">
        <v>35</v>
      </c>
      <c r="C2848" s="20">
        <v>31</v>
      </c>
      <c r="D2848" s="20">
        <v>67</v>
      </c>
      <c r="E2848" s="20">
        <v>8</v>
      </c>
      <c r="F2848" s="20" t="s">
        <v>21079</v>
      </c>
      <c r="G2848" s="20" t="s">
        <v>21080</v>
      </c>
      <c r="H2848" s="24"/>
      <c r="I2848" s="24" t="str">
        <f ca="1">IFERROR(__xludf.DUMMYFUNCTION("GOOGLETRANSLATE(F2848,""en"",""pt"")"),"conservantes composto de boro")</f>
        <v>conservantes composto de boro</v>
      </c>
      <c r="J2848">
        <f>VLOOKUP(A2848,Pr_Base_LNEC!$A$4:$J$6971,6,FALSE)</f>
        <v>0</v>
      </c>
      <c r="K2848">
        <f>VLOOKUP(A2848,Pr_Base_LNEC!$A$4:$J$6971,7,FALSE)</f>
        <v>0</v>
      </c>
    </row>
    <row r="2849" spans="1:11" ht="14.5">
      <c r="A2849" s="20" t="s">
        <v>21081</v>
      </c>
      <c r="B2849" s="20">
        <v>35</v>
      </c>
      <c r="C2849" s="20">
        <v>31</v>
      </c>
      <c r="D2849" s="20">
        <v>67</v>
      </c>
      <c r="E2849" s="20">
        <v>14</v>
      </c>
      <c r="F2849" s="20" t="s">
        <v>21082</v>
      </c>
      <c r="G2849" s="24"/>
      <c r="H2849" s="24"/>
      <c r="I2849" s="24" t="str">
        <f ca="1">IFERROR(__xludf.DUMMYFUNCTION("GOOGLETRANSLATE(F2849,""en"",""pt"")"),"acabamentos retardadores de chama claras")</f>
        <v>acabamentos retardadores de chama claras</v>
      </c>
      <c r="J2849">
        <f>VLOOKUP(A2849,Pr_Base_LNEC!$A$4:$J$6971,6,FALSE)</f>
        <v>0</v>
      </c>
      <c r="K2849">
        <f>VLOOKUP(A2849,Pr_Base_LNEC!$A$4:$J$6971,7,FALSE)</f>
        <v>0</v>
      </c>
    </row>
    <row r="2850" spans="1:11" ht="14.5">
      <c r="A2850" s="20" t="s">
        <v>21083</v>
      </c>
      <c r="B2850" s="20">
        <v>35</v>
      </c>
      <c r="C2850" s="20">
        <v>31</v>
      </c>
      <c r="D2850" s="20">
        <v>67</v>
      </c>
      <c r="E2850" s="20">
        <v>15</v>
      </c>
      <c r="F2850" s="20" t="s">
        <v>21084</v>
      </c>
      <c r="G2850" s="20" t="s">
        <v>21085</v>
      </c>
      <c r="H2850" s="24"/>
      <c r="I2850" s="24" t="str">
        <f ca="1">IFERROR(__xludf.DUMMYFUNCTION("GOOGLETRANSLATE(F2850,""en"",""pt"")"),"conservantes cobre-orgânica")</f>
        <v>conservantes cobre-orgânica</v>
      </c>
      <c r="J2850">
        <f>VLOOKUP(A2850,Pr_Base_LNEC!$A$4:$J$6971,6,FALSE)</f>
        <v>0</v>
      </c>
      <c r="K2850">
        <f>VLOOKUP(A2850,Pr_Base_LNEC!$A$4:$J$6971,7,FALSE)</f>
        <v>0</v>
      </c>
    </row>
    <row r="2851" spans="1:11" ht="14.5">
      <c r="A2851" s="20" t="s">
        <v>21086</v>
      </c>
      <c r="B2851" s="20">
        <v>35</v>
      </c>
      <c r="C2851" s="20">
        <v>31</v>
      </c>
      <c r="D2851" s="20">
        <v>67</v>
      </c>
      <c r="E2851" s="20">
        <v>24</v>
      </c>
      <c r="F2851" s="20" t="s">
        <v>21087</v>
      </c>
      <c r="G2851" s="24"/>
      <c r="H2851" s="24"/>
      <c r="I2851" s="24" t="str">
        <f ca="1">IFERROR(__xludf.DUMMYFUNCTION("GOOGLETRANSLATE(F2851,""en"",""pt"")"),"Seque soluções à prova de fogo de interiores")</f>
        <v>Seque soluções à prova de fogo de interiores</v>
      </c>
      <c r="J2851">
        <f>VLOOKUP(A2851,Pr_Base_LNEC!$A$4:$J$6971,6,FALSE)</f>
        <v>0</v>
      </c>
      <c r="K2851">
        <f>VLOOKUP(A2851,Pr_Base_LNEC!$A$4:$J$6971,7,FALSE)</f>
        <v>0</v>
      </c>
    </row>
    <row r="2852" spans="1:11" ht="14.5">
      <c r="A2852" s="20" t="s">
        <v>21088</v>
      </c>
      <c r="B2852" s="20">
        <v>35</v>
      </c>
      <c r="C2852" s="20">
        <v>31</v>
      </c>
      <c r="D2852" s="20">
        <v>67</v>
      </c>
      <c r="E2852" s="20">
        <v>34</v>
      </c>
      <c r="F2852" s="20" t="s">
        <v>21089</v>
      </c>
      <c r="G2852" s="24"/>
      <c r="H2852" s="24"/>
      <c r="I2852" s="24" t="str">
        <f ca="1">IFERROR(__xludf.DUMMYFUNCTION("GOOGLETRANSLATE(F2852,""en"",""pt"")"),"conservantes à base de glicol")</f>
        <v>conservantes à base de glicol</v>
      </c>
      <c r="J2852">
        <f>VLOOKUP(A2852,Pr_Base_LNEC!$A$4:$J$6971,6,FALSE)</f>
        <v>0</v>
      </c>
      <c r="K2852">
        <f>VLOOKUP(A2852,Pr_Base_LNEC!$A$4:$J$6971,7,FALSE)</f>
        <v>0</v>
      </c>
    </row>
    <row r="2853" spans="1:11" ht="14.5">
      <c r="A2853" s="20" t="s">
        <v>21090</v>
      </c>
      <c r="B2853" s="20">
        <v>35</v>
      </c>
      <c r="C2853" s="20">
        <v>31</v>
      </c>
      <c r="D2853" s="20">
        <v>67</v>
      </c>
      <c r="E2853" s="20">
        <v>37</v>
      </c>
      <c r="F2853" s="20" t="s">
        <v>21091</v>
      </c>
      <c r="G2853" s="20" t="s">
        <v>21092</v>
      </c>
      <c r="H2853" s="24"/>
      <c r="I2853" s="24" t="str">
        <f ca="1">IFERROR(__xludf.DUMMYFUNCTION("GOOGLETRANSLATE(F2853,""en"",""pt"")"),"Casa longhorn tratamentos de madeira besouro")</f>
        <v>Casa longhorn tratamentos de madeira besouro</v>
      </c>
      <c r="J2853">
        <f>VLOOKUP(A2853,Pr_Base_LNEC!$A$4:$J$6971,6,FALSE)</f>
        <v>0</v>
      </c>
      <c r="K2853">
        <f>VLOOKUP(A2853,Pr_Base_LNEC!$A$4:$J$6971,7,FALSE)</f>
        <v>0</v>
      </c>
    </row>
    <row r="2854" spans="1:11" ht="14.5">
      <c r="A2854" s="20" t="s">
        <v>21093</v>
      </c>
      <c r="B2854" s="20">
        <v>35</v>
      </c>
      <c r="C2854" s="20">
        <v>31</v>
      </c>
      <c r="D2854" s="20">
        <v>67</v>
      </c>
      <c r="E2854" s="20">
        <v>39</v>
      </c>
      <c r="F2854" s="20" t="s">
        <v>21094</v>
      </c>
      <c r="G2854" s="20" t="s">
        <v>21095</v>
      </c>
      <c r="H2854" s="24"/>
      <c r="I2854" s="24" t="str">
        <f ca="1">IFERROR(__xludf.DUMMYFUNCTION("GOOGLETRANSLATE(F2854,""en"",""pt"")"),"As soluções retardadoras do fogo-resistente à humidade")</f>
        <v>As soluções retardadoras do fogo-resistente à humidade</v>
      </c>
      <c r="J2854">
        <f>VLOOKUP(A2854,Pr_Base_LNEC!$A$4:$J$6971,6,FALSE)</f>
        <v>0</v>
      </c>
      <c r="K2854">
        <f>VLOOKUP(A2854,Pr_Base_LNEC!$A$4:$J$6971,7,FALSE)</f>
        <v>0</v>
      </c>
    </row>
    <row r="2855" spans="1:11" ht="14.5">
      <c r="A2855" s="20" t="s">
        <v>21096</v>
      </c>
      <c r="B2855" s="20">
        <v>35</v>
      </c>
      <c r="C2855" s="20">
        <v>31</v>
      </c>
      <c r="D2855" s="20">
        <v>67</v>
      </c>
      <c r="E2855" s="20">
        <v>41</v>
      </c>
      <c r="F2855" s="20" t="s">
        <v>21097</v>
      </c>
      <c r="G2855" s="24"/>
      <c r="H2855" s="24"/>
      <c r="I2855" s="24" t="str">
        <f ca="1">IFERROR(__xludf.DUMMYFUNCTION("GOOGLETRANSLATE(F2855,""en"",""pt"")"),"Insecticidas pintar aditivos")</f>
        <v>Insecticidas pintar aditivos</v>
      </c>
      <c r="J2855" t="e">
        <f>VLOOKUP(A2855,Pr_Base_LNEC!$A$4:$J$6971,6,FALSE)</f>
        <v>#N/A</v>
      </c>
      <c r="K2855" t="e">
        <f>VLOOKUP(A2855,Pr_Base_LNEC!$A$4:$J$6971,7,FALSE)</f>
        <v>#N/A</v>
      </c>
    </row>
    <row r="2856" spans="1:11" ht="14.5">
      <c r="A2856" s="20" t="s">
        <v>21098</v>
      </c>
      <c r="B2856" s="20">
        <v>35</v>
      </c>
      <c r="C2856" s="20">
        <v>31</v>
      </c>
      <c r="D2856" s="20">
        <v>67</v>
      </c>
      <c r="E2856" s="20">
        <v>42</v>
      </c>
      <c r="F2856" s="20" t="s">
        <v>21099</v>
      </c>
      <c r="G2856" s="24"/>
      <c r="H2856" s="24"/>
      <c r="I2856" s="24" t="str">
        <f ca="1">IFERROR(__xludf.DUMMYFUNCTION("GOOGLETRANSLATE(F2856,""en"",""pt"")"),"soluções fogo-retardantes de interiores")</f>
        <v>soluções fogo-retardantes de interiores</v>
      </c>
      <c r="J2856">
        <f>VLOOKUP(A2856,Pr_Base_LNEC!$A$4:$J$6971,6,FALSE)</f>
        <v>0</v>
      </c>
      <c r="K2856">
        <f>VLOOKUP(A2856,Pr_Base_LNEC!$A$4:$J$6971,7,FALSE)</f>
        <v>0</v>
      </c>
    </row>
    <row r="2857" spans="1:11" ht="14.5">
      <c r="A2857" s="20" t="s">
        <v>21100</v>
      </c>
      <c r="B2857" s="20">
        <v>35</v>
      </c>
      <c r="C2857" s="20">
        <v>31</v>
      </c>
      <c r="D2857" s="20">
        <v>67</v>
      </c>
      <c r="E2857" s="20">
        <v>46</v>
      </c>
      <c r="F2857" s="20" t="s">
        <v>21101</v>
      </c>
      <c r="G2857" s="24"/>
      <c r="H2857" s="24"/>
      <c r="I2857" s="24" t="str">
        <f ca="1">IFERROR(__xludf.DUMMYFUNCTION("GOOGLETRANSLATE(F2857,""en"",""pt"")"),"Látex aditivos retardadores")</f>
        <v>Látex aditivos retardadores</v>
      </c>
      <c r="J2857" t="e">
        <f>VLOOKUP(A2857,Pr_Base_LNEC!$A$4:$J$6971,6,FALSE)</f>
        <v>#N/A</v>
      </c>
      <c r="K2857" t="e">
        <f>VLOOKUP(A2857,Pr_Base_LNEC!$A$4:$J$6971,7,FALSE)</f>
        <v>#N/A</v>
      </c>
    </row>
    <row r="2858" spans="1:11" ht="14.5">
      <c r="A2858" s="20" t="s">
        <v>21102</v>
      </c>
      <c r="B2858" s="20">
        <v>35</v>
      </c>
      <c r="C2858" s="20">
        <v>31</v>
      </c>
      <c r="D2858" s="20">
        <v>67</v>
      </c>
      <c r="E2858" s="20">
        <v>47</v>
      </c>
      <c r="F2858" s="20" t="s">
        <v>21103</v>
      </c>
      <c r="G2858" s="24"/>
      <c r="H2858" s="24"/>
      <c r="I2858" s="24" t="str">
        <f ca="1">IFERROR(__xludf.DUMMYFUNCTION("GOOGLETRANSLATE(F2858,""en"",""pt"")"),"soluções ignífugas-resistentes Leach")</f>
        <v>soluções ignífugas-resistentes Leach</v>
      </c>
      <c r="J2858">
        <f>VLOOKUP(A2858,Pr_Base_LNEC!$A$4:$J$6971,6,FALSE)</f>
        <v>0</v>
      </c>
      <c r="K2858">
        <f>VLOOKUP(A2858,Pr_Base_LNEC!$A$4:$J$6971,7,FALSE)</f>
        <v>0</v>
      </c>
    </row>
    <row r="2859" spans="1:11" ht="14.5">
      <c r="A2859" s="20" t="s">
        <v>21104</v>
      </c>
      <c r="B2859" s="20">
        <v>35</v>
      </c>
      <c r="C2859" s="20">
        <v>31</v>
      </c>
      <c r="D2859" s="20">
        <v>67</v>
      </c>
      <c r="E2859" s="20">
        <v>52</v>
      </c>
      <c r="F2859" s="20" t="s">
        <v>21105</v>
      </c>
      <c r="G2859" s="20" t="s">
        <v>21106</v>
      </c>
      <c r="H2859" s="24"/>
      <c r="I2859" s="24" t="str">
        <f ca="1">IFERROR(__xludf.DUMMYFUNCTION("GOOGLETRANSLATE(F2859,""en"",""pt"")"),"conservantes micro-suportado-emulsão")</f>
        <v>conservantes micro-suportado-emulsão</v>
      </c>
      <c r="J2859">
        <f>VLOOKUP(A2859,Pr_Base_LNEC!$A$4:$J$6971,6,FALSE)</f>
        <v>0</v>
      </c>
      <c r="K2859">
        <f>VLOOKUP(A2859,Pr_Base_LNEC!$A$4:$J$6971,7,FALSE)</f>
        <v>0</v>
      </c>
    </row>
    <row r="2860" spans="1:11" ht="14.5">
      <c r="A2860" s="20" t="s">
        <v>21107</v>
      </c>
      <c r="B2860" s="20">
        <v>35</v>
      </c>
      <c r="C2860" s="20">
        <v>31</v>
      </c>
      <c r="D2860" s="20">
        <v>67</v>
      </c>
      <c r="E2860" s="20">
        <v>59</v>
      </c>
      <c r="F2860" s="20" t="s">
        <v>21108</v>
      </c>
      <c r="G2860" s="20" t="s">
        <v>21109</v>
      </c>
      <c r="H2860" s="24"/>
      <c r="I2860" s="24" t="str">
        <f ca="1">IFERROR(__xludf.DUMMYFUNCTION("GOOGLETRANSLATE(F2860,""en"",""pt"")"),"conservantes orgânicos à base de solvente")</f>
        <v>conservantes orgânicos à base de solvente</v>
      </c>
      <c r="J2860">
        <f>VLOOKUP(A2860,Pr_Base_LNEC!$A$4:$J$6971,6,FALSE)</f>
        <v>0</v>
      </c>
      <c r="K2860">
        <f>VLOOKUP(A2860,Pr_Base_LNEC!$A$4:$J$6971,7,FALSE)</f>
        <v>0</v>
      </c>
    </row>
    <row r="2861" spans="1:11" ht="14.5">
      <c r="A2861" s="20" t="s">
        <v>21110</v>
      </c>
      <c r="B2861" s="20">
        <v>35</v>
      </c>
      <c r="C2861" s="20">
        <v>31</v>
      </c>
      <c r="D2861" s="20">
        <v>67</v>
      </c>
      <c r="E2861" s="20">
        <v>88</v>
      </c>
      <c r="F2861" s="20" t="s">
        <v>21111</v>
      </c>
      <c r="G2861" s="20" t="s">
        <v>21112</v>
      </c>
      <c r="H2861" s="24"/>
      <c r="I2861" s="24" t="str">
        <f ca="1">IFERROR(__xludf.DUMMYFUNCTION("GOOGLETRANSLATE(F2861,""en"",""pt"")"),"Colmo tratamentos de fogo-conservante")</f>
        <v>Colmo tratamentos de fogo-conservante</v>
      </c>
      <c r="J2861">
        <f>VLOOKUP(A2861,Pr_Base_LNEC!$A$4:$J$6971,6,FALSE)</f>
        <v>0</v>
      </c>
      <c r="K2861">
        <f>VLOOKUP(A2861,Pr_Base_LNEC!$A$4:$J$6971,7,FALSE)</f>
        <v>0</v>
      </c>
    </row>
    <row r="2862" spans="1:11" ht="14.5">
      <c r="A2862" s="20" t="s">
        <v>21113</v>
      </c>
      <c r="B2862" s="20">
        <v>35</v>
      </c>
      <c r="C2862" s="20">
        <v>31</v>
      </c>
      <c r="D2862" s="20">
        <v>67</v>
      </c>
      <c r="E2862" s="20">
        <v>89</v>
      </c>
      <c r="F2862" s="20" t="s">
        <v>21114</v>
      </c>
      <c r="G2862" s="20" t="s">
        <v>21115</v>
      </c>
      <c r="H2862" s="24"/>
      <c r="I2862" s="24" t="str">
        <f ca="1">IFERROR(__xludf.DUMMYFUNCTION("GOOGLETRANSLATE(F2862,""en"",""pt"")"),"Palha tratamentos à prova de fogo")</f>
        <v>Palha tratamentos à prova de fogo</v>
      </c>
      <c r="J2862">
        <f>VLOOKUP(A2862,Pr_Base_LNEC!$A$4:$J$6971,6,FALSE)</f>
        <v>0</v>
      </c>
      <c r="K2862">
        <f>VLOOKUP(A2862,Pr_Base_LNEC!$A$4:$J$6971,7,FALSE)</f>
        <v>0</v>
      </c>
    </row>
    <row r="2863" spans="1:11" ht="14.5">
      <c r="A2863" s="20" t="s">
        <v>21116</v>
      </c>
      <c r="B2863" s="20">
        <v>35</v>
      </c>
      <c r="C2863" s="20">
        <v>31</v>
      </c>
      <c r="D2863" s="20">
        <v>67</v>
      </c>
      <c r="E2863" s="20">
        <v>96</v>
      </c>
      <c r="F2863" s="20" t="s">
        <v>21117</v>
      </c>
      <c r="G2863" s="20" t="s">
        <v>21118</v>
      </c>
      <c r="H2863" s="24"/>
      <c r="I2863" s="24" t="str">
        <f ca="1">IFERROR(__xludf.DUMMYFUNCTION("GOOGLETRANSLATE(F2863,""en"",""pt"")"),"conservantes à base de água")</f>
        <v>conservantes à base de água</v>
      </c>
      <c r="J2863">
        <f>VLOOKUP(A2863,Pr_Base_LNEC!$A$4:$J$6971,6,FALSE)</f>
        <v>0</v>
      </c>
      <c r="K2863">
        <f>VLOOKUP(A2863,Pr_Base_LNEC!$A$4:$J$6971,7,FALSE)</f>
        <v>0</v>
      </c>
    </row>
    <row r="2864" spans="1:11" ht="14.5">
      <c r="A2864" s="20" t="s">
        <v>21119</v>
      </c>
      <c r="B2864" s="20">
        <v>35</v>
      </c>
      <c r="C2864" s="20">
        <v>31</v>
      </c>
      <c r="D2864" s="20">
        <v>67</v>
      </c>
      <c r="E2864" s="20">
        <v>97</v>
      </c>
      <c r="F2864" s="20" t="s">
        <v>21120</v>
      </c>
      <c r="G2864" s="24"/>
      <c r="H2864" s="24"/>
      <c r="I2864" s="24" t="str">
        <f ca="1">IFERROR(__xludf.DUMMYFUNCTION("GOOGLETRANSLATE(F2864,""en"",""pt"")"),"micro-emulsão à base de água conservantes")</f>
        <v>micro-emulsão à base de água conservantes</v>
      </c>
      <c r="J2864">
        <f>VLOOKUP(A2864,Pr_Base_LNEC!$A$4:$J$6971,6,FALSE)</f>
        <v>0</v>
      </c>
      <c r="K2864">
        <f>VLOOKUP(A2864,Pr_Base_LNEC!$A$4:$J$6971,7,FALSE)</f>
        <v>0</v>
      </c>
    </row>
    <row r="2865" spans="1:11" ht="14.5">
      <c r="A2865" s="20" t="s">
        <v>21121</v>
      </c>
      <c r="B2865" s="20">
        <v>35</v>
      </c>
      <c r="C2865" s="20">
        <v>31</v>
      </c>
      <c r="D2865" s="20">
        <v>67</v>
      </c>
      <c r="E2865" s="20">
        <v>98</v>
      </c>
      <c r="F2865" s="20" t="s">
        <v>21122</v>
      </c>
      <c r="G2865" s="20" t="s">
        <v>21123</v>
      </c>
      <c r="H2865" s="24"/>
      <c r="I2865" s="24" t="str">
        <f ca="1">IFERROR(__xludf.DUMMYFUNCTION("GOOGLETRANSLATE(F2865,""en"",""pt"")"),"conservantes orgânicos à base de água")</f>
        <v>conservantes orgânicos à base de água</v>
      </c>
      <c r="J2865">
        <f>VLOOKUP(A2865,Pr_Base_LNEC!$A$4:$J$6971,6,FALSE)</f>
        <v>0</v>
      </c>
      <c r="K2865">
        <f>VLOOKUP(A2865,Pr_Base_LNEC!$A$4:$J$6971,7,FALSE)</f>
        <v>0</v>
      </c>
    </row>
    <row r="2866" spans="1:11" ht="14.5">
      <c r="A2866" s="20" t="s">
        <v>21124</v>
      </c>
      <c r="B2866" s="20">
        <v>35</v>
      </c>
      <c r="C2866" s="20">
        <v>31</v>
      </c>
      <c r="D2866" s="20">
        <v>68</v>
      </c>
      <c r="E2866" s="24"/>
      <c r="F2866" s="20" t="s">
        <v>21125</v>
      </c>
      <c r="G2866" s="24"/>
      <c r="H2866" s="24"/>
      <c r="I2866" s="24" t="str">
        <f ca="1">IFERROR(__xludf.DUMMYFUNCTION("GOOGLETRANSLATE(F2866,""en"",""pt"")"),"Revestimentos protectores")</f>
        <v>Revestimentos protectores</v>
      </c>
      <c r="J2866">
        <f>VLOOKUP(A2866,Pr_Base_LNEC!$A$4:$J$6971,6,FALSE)</f>
        <v>0</v>
      </c>
      <c r="K2866">
        <f>VLOOKUP(A2866,Pr_Base_LNEC!$A$4:$J$6971,7,FALSE)</f>
        <v>0</v>
      </c>
    </row>
    <row r="2867" spans="1:11" ht="14.5">
      <c r="A2867" s="20" t="s">
        <v>21126</v>
      </c>
      <c r="B2867" s="20">
        <v>35</v>
      </c>
      <c r="C2867" s="20">
        <v>31</v>
      </c>
      <c r="D2867" s="20">
        <v>68</v>
      </c>
      <c r="E2867" s="20">
        <v>1</v>
      </c>
      <c r="F2867" s="20" t="s">
        <v>21127</v>
      </c>
      <c r="G2867" s="20" t="s">
        <v>21128</v>
      </c>
      <c r="H2867" s="24"/>
      <c r="I2867" s="24" t="str">
        <f ca="1">IFERROR(__xludf.DUMMYFUNCTION("GOOGLETRANSLATE(F2867,""en"",""pt"")"),"revestimento impermeável com base em acrílico")</f>
        <v>revestimento impermeável com base em acrílico</v>
      </c>
      <c r="J2867">
        <f>VLOOKUP(A2867,Pr_Base_LNEC!$A$4:$J$6971,6,FALSE)</f>
        <v>0</v>
      </c>
      <c r="K2867">
        <f>VLOOKUP(A2867,Pr_Base_LNEC!$A$4:$J$6971,7,FALSE)</f>
        <v>0</v>
      </c>
    </row>
    <row r="2868" spans="1:11" ht="14.5">
      <c r="A2868" s="20" t="s">
        <v>21129</v>
      </c>
      <c r="B2868" s="20">
        <v>35</v>
      </c>
      <c r="C2868" s="20">
        <v>31</v>
      </c>
      <c r="D2868" s="20">
        <v>68</v>
      </c>
      <c r="E2868" s="20">
        <v>2</v>
      </c>
      <c r="F2868" s="20" t="s">
        <v>21130</v>
      </c>
      <c r="G2868" s="20" t="s">
        <v>21131</v>
      </c>
      <c r="H2868" s="24"/>
      <c r="I2868" s="24" t="str">
        <f ca="1">IFERROR(__xludf.DUMMYFUNCTION("GOOGLETRANSLATE(F2868,""en"",""pt"")"),"betume aniónicos emulsões")</f>
        <v>betume aniónicos emulsões</v>
      </c>
      <c r="J2868">
        <f>VLOOKUP(A2868,Pr_Base_LNEC!$A$4:$J$6971,6,FALSE)</f>
        <v>0</v>
      </c>
      <c r="K2868">
        <f>VLOOKUP(A2868,Pr_Base_LNEC!$A$4:$J$6971,7,FALSE)</f>
        <v>0</v>
      </c>
    </row>
    <row r="2869" spans="1:11" ht="14.5">
      <c r="A2869" s="20" t="s">
        <v>21132</v>
      </c>
      <c r="B2869" s="20">
        <v>35</v>
      </c>
      <c r="C2869" s="20">
        <v>31</v>
      </c>
      <c r="D2869" s="20">
        <v>68</v>
      </c>
      <c r="E2869" s="20">
        <v>3</v>
      </c>
      <c r="F2869" s="20" t="s">
        <v>21133</v>
      </c>
      <c r="G2869" s="20" t="s">
        <v>21134</v>
      </c>
      <c r="H2869" s="24"/>
      <c r="I2869" s="24" t="str">
        <f ca="1">IFERROR(__xludf.DUMMYFUNCTION("GOOGLETRANSLATE(F2869,""en"",""pt"")"),"anodização")</f>
        <v>anodização</v>
      </c>
      <c r="J2869">
        <f>VLOOKUP(A2869,Pr_Base_LNEC!$A$4:$J$6971,6,FALSE)</f>
        <v>0</v>
      </c>
      <c r="K2869">
        <f>VLOOKUP(A2869,Pr_Base_LNEC!$A$4:$J$6971,7,FALSE)</f>
        <v>0</v>
      </c>
    </row>
    <row r="2870" spans="1:11" ht="14.5">
      <c r="A2870" s="20" t="s">
        <v>21135</v>
      </c>
      <c r="B2870" s="20">
        <v>35</v>
      </c>
      <c r="C2870" s="20">
        <v>31</v>
      </c>
      <c r="D2870" s="20">
        <v>68</v>
      </c>
      <c r="E2870" s="20">
        <v>4</v>
      </c>
      <c r="F2870" s="20" t="s">
        <v>21136</v>
      </c>
      <c r="G2870" s="20" t="s">
        <v>21137</v>
      </c>
      <c r="H2870" s="24"/>
      <c r="I2870" s="24" t="str">
        <f ca="1">IFERROR(__xludf.DUMMYFUNCTION("GOOGLETRANSLATE(F2870,""en"",""pt"")"),"revestimentos anti-carbonatação")</f>
        <v>revestimentos anti-carbonatação</v>
      </c>
      <c r="J2870">
        <f>VLOOKUP(A2870,Pr_Base_LNEC!$A$4:$J$6971,6,FALSE)</f>
        <v>0</v>
      </c>
      <c r="K2870">
        <f>VLOOKUP(A2870,Pr_Base_LNEC!$A$4:$J$6971,7,FALSE)</f>
        <v>0</v>
      </c>
    </row>
    <row r="2871" spans="1:11" ht="14.5">
      <c r="A2871" s="20" t="s">
        <v>21138</v>
      </c>
      <c r="B2871" s="20">
        <v>35</v>
      </c>
      <c r="C2871" s="20">
        <v>31</v>
      </c>
      <c r="D2871" s="20">
        <v>68</v>
      </c>
      <c r="E2871" s="20">
        <v>5</v>
      </c>
      <c r="F2871" s="20" t="s">
        <v>21139</v>
      </c>
      <c r="G2871" s="20" t="s">
        <v>21140</v>
      </c>
      <c r="H2871" s="24"/>
      <c r="I2871" s="24" t="str">
        <f ca="1">IFERROR(__xludf.DUMMYFUNCTION("GOOGLETRANSLATE(F2871,""en"",""pt"")"),"revestimentos anti-grafite")</f>
        <v>revestimentos anti-grafite</v>
      </c>
      <c r="J2871">
        <f>VLOOKUP(A2871,Pr_Base_LNEC!$A$4:$J$6971,6,FALSE)</f>
        <v>0</v>
      </c>
      <c r="K2871">
        <f>VLOOKUP(A2871,Pr_Base_LNEC!$A$4:$J$6971,7,FALSE)</f>
        <v>0</v>
      </c>
    </row>
    <row r="2872" spans="1:11" ht="14.5">
      <c r="A2872" s="20" t="s">
        <v>21141</v>
      </c>
      <c r="B2872" s="20">
        <v>35</v>
      </c>
      <c r="C2872" s="20">
        <v>31</v>
      </c>
      <c r="D2872" s="20">
        <v>68</v>
      </c>
      <c r="E2872" s="20">
        <v>6</v>
      </c>
      <c r="F2872" s="20" t="s">
        <v>21142</v>
      </c>
      <c r="G2872" s="20" t="s">
        <v>21143</v>
      </c>
      <c r="H2872" s="24"/>
      <c r="I2872" s="24" t="str">
        <f ca="1">IFERROR(__xludf.DUMMYFUNCTION("GOOGLETRANSLATE(F2872,""en"",""pt"")"),"revestimentos de barreira")</f>
        <v>revestimentos de barreira</v>
      </c>
      <c r="J2872">
        <f>VLOOKUP(A2872,Pr_Base_LNEC!$A$4:$J$6971,6,FALSE)</f>
        <v>0</v>
      </c>
      <c r="K2872">
        <f>VLOOKUP(A2872,Pr_Base_LNEC!$A$4:$J$6971,7,FALSE)</f>
        <v>0</v>
      </c>
    </row>
    <row r="2873" spans="1:11" ht="14.5">
      <c r="A2873" s="20" t="s">
        <v>21144</v>
      </c>
      <c r="B2873" s="20">
        <v>35</v>
      </c>
      <c r="C2873" s="20">
        <v>31</v>
      </c>
      <c r="D2873" s="20">
        <v>68</v>
      </c>
      <c r="E2873" s="20">
        <v>7</v>
      </c>
      <c r="F2873" s="20" t="s">
        <v>21145</v>
      </c>
      <c r="G2873" s="20" t="s">
        <v>21146</v>
      </c>
      <c r="H2873" s="24"/>
      <c r="I2873" s="24" t="str">
        <f ca="1">IFERROR(__xludf.DUMMYFUNCTION("GOOGLETRANSLATE(F2873,""en"",""pt"")"),"revestimentos pretos base de betume")</f>
        <v>revestimentos pretos base de betume</v>
      </c>
      <c r="J2873">
        <f>VLOOKUP(A2873,Pr_Base_LNEC!$A$4:$J$6971,6,FALSE)</f>
        <v>0</v>
      </c>
      <c r="K2873">
        <f>VLOOKUP(A2873,Pr_Base_LNEC!$A$4:$J$6971,7,FALSE)</f>
        <v>0</v>
      </c>
    </row>
    <row r="2874" spans="1:11" ht="14.5">
      <c r="A2874" s="20" t="s">
        <v>21147</v>
      </c>
      <c r="B2874" s="20">
        <v>35</v>
      </c>
      <c r="C2874" s="20">
        <v>31</v>
      </c>
      <c r="D2874" s="20">
        <v>68</v>
      </c>
      <c r="E2874" s="20">
        <v>9</v>
      </c>
      <c r="F2874" s="20" t="s">
        <v>21148</v>
      </c>
      <c r="G2874" s="20" t="s">
        <v>21149</v>
      </c>
      <c r="H2874" s="24"/>
      <c r="I2874" s="24" t="str">
        <f ca="1">IFERROR(__xludf.DUMMYFUNCTION("GOOGLETRANSLATE(F2874,""en"",""pt"")"),"Emulsão betuminosa revestimentos impermeáveis")</f>
        <v>Emulsão betuminosa revestimentos impermeáveis</v>
      </c>
      <c r="J2874">
        <f>VLOOKUP(A2874,Pr_Base_LNEC!$A$4:$J$6971,6,FALSE)</f>
        <v>0</v>
      </c>
      <c r="K2874">
        <f>VLOOKUP(A2874,Pr_Base_LNEC!$A$4:$J$6971,7,FALSE)</f>
        <v>0</v>
      </c>
    </row>
    <row r="2875" spans="1:11" ht="14.5">
      <c r="A2875" s="20" t="s">
        <v>21150</v>
      </c>
      <c r="B2875" s="20">
        <v>35</v>
      </c>
      <c r="C2875" s="20">
        <v>31</v>
      </c>
      <c r="D2875" s="20">
        <v>68</v>
      </c>
      <c r="E2875" s="20">
        <v>10</v>
      </c>
      <c r="F2875" s="20" t="s">
        <v>21151</v>
      </c>
      <c r="G2875" s="20" t="s">
        <v>21152</v>
      </c>
      <c r="H2875" s="24"/>
      <c r="I2875" s="24" t="str">
        <f ca="1">IFERROR(__xludf.DUMMYFUNCTION("GOOGLETRANSLATE(F2875,""en"",""pt"")"),"betume preto revestimentos")</f>
        <v>betume preto revestimentos</v>
      </c>
      <c r="J2875">
        <f>VLOOKUP(A2875,Pr_Base_LNEC!$A$4:$J$6971,6,FALSE)</f>
        <v>0</v>
      </c>
      <c r="K2875">
        <f>VLOOKUP(A2875,Pr_Base_LNEC!$A$4:$J$6971,7,FALSE)</f>
        <v>0</v>
      </c>
    </row>
    <row r="2876" spans="1:11" ht="14.5">
      <c r="A2876" s="20" t="s">
        <v>21153</v>
      </c>
      <c r="B2876" s="20">
        <v>35</v>
      </c>
      <c r="C2876" s="20">
        <v>31</v>
      </c>
      <c r="D2876" s="20">
        <v>68</v>
      </c>
      <c r="E2876" s="20">
        <v>11</v>
      </c>
      <c r="F2876" s="20" t="s">
        <v>21154</v>
      </c>
      <c r="G2876" s="20" t="s">
        <v>21155</v>
      </c>
      <c r="H2876" s="24"/>
      <c r="I2876" s="24" t="str">
        <f ca="1">IFERROR(__xludf.DUMMYFUNCTION("GOOGLETRANSLATE(F2876,""en"",""pt"")"),"betume catiónicos emulsões")</f>
        <v>betume catiónicos emulsões</v>
      </c>
      <c r="J2876">
        <f>VLOOKUP(A2876,Pr_Base_LNEC!$A$4:$J$6971,6,FALSE)</f>
        <v>0</v>
      </c>
      <c r="K2876">
        <f>VLOOKUP(A2876,Pr_Base_LNEC!$A$4:$J$6971,7,FALSE)</f>
        <v>0</v>
      </c>
    </row>
    <row r="2877" spans="1:11" ht="14.5">
      <c r="A2877" s="20" t="s">
        <v>21156</v>
      </c>
      <c r="B2877" s="20">
        <v>35</v>
      </c>
      <c r="C2877" s="20">
        <v>31</v>
      </c>
      <c r="D2877" s="20">
        <v>68</v>
      </c>
      <c r="E2877" s="20">
        <v>12</v>
      </c>
      <c r="F2877" s="20" t="s">
        <v>21157</v>
      </c>
      <c r="G2877" s="20" t="s">
        <v>21158</v>
      </c>
      <c r="H2877" s="24"/>
      <c r="I2877" s="24" t="str">
        <f ca="1">IFERROR(__xludf.DUMMYFUNCTION("GOOGLETRANSLATE(F2877,""en"",""pt"")"),"revestimentos de celulose")</f>
        <v>revestimentos de celulose</v>
      </c>
      <c r="J2877">
        <f>VLOOKUP(A2877,Pr_Base_LNEC!$A$4:$J$6971,6,FALSE)</f>
        <v>0</v>
      </c>
      <c r="K2877">
        <f>VLOOKUP(A2877,Pr_Base_LNEC!$A$4:$J$6971,7,FALSE)</f>
        <v>0</v>
      </c>
    </row>
    <row r="2878" spans="1:11" ht="14.5">
      <c r="A2878" s="20" t="s">
        <v>21159</v>
      </c>
      <c r="B2878" s="20">
        <v>35</v>
      </c>
      <c r="C2878" s="20">
        <v>31</v>
      </c>
      <c r="D2878" s="20">
        <v>68</v>
      </c>
      <c r="E2878" s="20">
        <v>13</v>
      </c>
      <c r="F2878" s="20" t="s">
        <v>21160</v>
      </c>
      <c r="G2878" s="24"/>
      <c r="H2878" s="24"/>
      <c r="I2878" s="24" t="str">
        <f ca="1">IFERROR(__xludf.DUMMYFUNCTION("GOOGLETRANSLATE(F2878,""en"",""pt"")"),"Cromagem")</f>
        <v>Cromagem</v>
      </c>
      <c r="J2878">
        <f>VLOOKUP(A2878,Pr_Base_LNEC!$A$4:$J$6971,6,FALSE)</f>
        <v>0</v>
      </c>
      <c r="K2878">
        <f>VLOOKUP(A2878,Pr_Base_LNEC!$A$4:$J$6971,7,FALSE)</f>
        <v>0</v>
      </c>
    </row>
    <row r="2879" spans="1:11" ht="14.5">
      <c r="A2879" s="20" t="s">
        <v>21161</v>
      </c>
      <c r="B2879" s="20">
        <v>35</v>
      </c>
      <c r="C2879" s="20">
        <v>31</v>
      </c>
      <c r="D2879" s="20">
        <v>68</v>
      </c>
      <c r="E2879" s="20">
        <v>14</v>
      </c>
      <c r="F2879" s="20" t="s">
        <v>21162</v>
      </c>
      <c r="G2879" s="20" t="s">
        <v>21163</v>
      </c>
      <c r="H2879" s="24"/>
      <c r="I2879" s="24" t="str">
        <f ca="1">IFERROR(__xludf.DUMMYFUNCTION("GOOGLETRANSLATE(F2879,""en"",""pt"")"),"Limpar chão vernizes")</f>
        <v>Limpar chão vernizes</v>
      </c>
      <c r="J2879">
        <f>VLOOKUP(A2879,Pr_Base_LNEC!$A$4:$J$6971,6,FALSE)</f>
        <v>0</v>
      </c>
      <c r="K2879">
        <f>VLOOKUP(A2879,Pr_Base_LNEC!$A$4:$J$6971,7,FALSE)</f>
        <v>0</v>
      </c>
    </row>
    <row r="2880" spans="1:11" ht="14.5">
      <c r="A2880" s="20" t="s">
        <v>21164</v>
      </c>
      <c r="B2880" s="20">
        <v>35</v>
      </c>
      <c r="C2880" s="20">
        <v>31</v>
      </c>
      <c r="D2880" s="20">
        <v>68</v>
      </c>
      <c r="E2880" s="20">
        <v>15</v>
      </c>
      <c r="F2880" s="20" t="s">
        <v>21165</v>
      </c>
      <c r="G2880" s="20" t="s">
        <v>21166</v>
      </c>
      <c r="H2880" s="24"/>
      <c r="I2880" s="24" t="str">
        <f ca="1">IFERROR(__xludf.DUMMYFUNCTION("GOOGLETRANSLATE(F2880,""en"",""pt"")"),"Limpar vernizes")</f>
        <v>Limpar vernizes</v>
      </c>
      <c r="J2880">
        <f>VLOOKUP(A2880,Pr_Base_LNEC!$A$4:$J$6971,6,FALSE)</f>
        <v>0</v>
      </c>
      <c r="K2880">
        <f>VLOOKUP(A2880,Pr_Base_LNEC!$A$4:$J$6971,7,FALSE)</f>
        <v>0</v>
      </c>
    </row>
    <row r="2881" spans="1:11" ht="14.5">
      <c r="A2881" s="20" t="s">
        <v>21167</v>
      </c>
      <c r="B2881" s="20">
        <v>35</v>
      </c>
      <c r="C2881" s="20">
        <v>31</v>
      </c>
      <c r="D2881" s="20">
        <v>68</v>
      </c>
      <c r="E2881" s="20">
        <v>16</v>
      </c>
      <c r="F2881" s="20" t="s">
        <v>21168</v>
      </c>
      <c r="G2881" s="20" t="s">
        <v>21169</v>
      </c>
      <c r="H2881" s="24"/>
      <c r="I2881" s="24" t="str">
        <f ca="1">IFERROR(__xludf.DUMMYFUNCTION("GOOGLETRANSLATE(F2881,""en"",""pt"")"),"A frio aplicado betume soluções")</f>
        <v>A frio aplicado betume soluções</v>
      </c>
      <c r="J2881">
        <f>VLOOKUP(A2881,Pr_Base_LNEC!$A$4:$J$6971,6,FALSE)</f>
        <v>0</v>
      </c>
      <c r="K2881">
        <f>VLOOKUP(A2881,Pr_Base_LNEC!$A$4:$J$6971,7,FALSE)</f>
        <v>0</v>
      </c>
    </row>
    <row r="2882" spans="1:11" ht="14.5">
      <c r="A2882" s="20" t="s">
        <v>21170</v>
      </c>
      <c r="B2882" s="20">
        <v>35</v>
      </c>
      <c r="C2882" s="20">
        <v>31</v>
      </c>
      <c r="D2882" s="20">
        <v>68</v>
      </c>
      <c r="E2882" s="20">
        <v>17</v>
      </c>
      <c r="F2882" s="20" t="s">
        <v>21171</v>
      </c>
      <c r="G2882" s="20" t="s">
        <v>21172</v>
      </c>
      <c r="H2882" s="24"/>
      <c r="I2882" s="24" t="str">
        <f ca="1">IFERROR(__xludf.DUMMYFUNCTION("GOOGLETRANSLATE(F2882,""en"",""pt"")"),"A frio aplicada betume modificado com polímero de revestimentos impermeáveis")</f>
        <v>A frio aplicada betume modificado com polímero de revestimentos impermeáveis</v>
      </c>
      <c r="J2882">
        <f>VLOOKUP(A2882,Pr_Base_LNEC!$A$4:$J$6971,6,FALSE)</f>
        <v>0</v>
      </c>
      <c r="K2882">
        <f>VLOOKUP(A2882,Pr_Base_LNEC!$A$4:$J$6971,7,FALSE)</f>
        <v>0</v>
      </c>
    </row>
    <row r="2883" spans="1:11" ht="14.5">
      <c r="A2883" s="20" t="s">
        <v>21173</v>
      </c>
      <c r="B2883" s="20">
        <v>35</v>
      </c>
      <c r="C2883" s="20">
        <v>31</v>
      </c>
      <c r="D2883" s="20">
        <v>68</v>
      </c>
      <c r="E2883" s="20">
        <v>18</v>
      </c>
      <c r="F2883" s="20" t="s">
        <v>21174</v>
      </c>
      <c r="G2883" s="20" t="s">
        <v>21175</v>
      </c>
      <c r="H2883" s="24"/>
      <c r="I2883" s="24" t="str">
        <f ca="1">IFERROR(__xludf.DUMMYFUNCTION("GOOGLETRANSLATE(F2883,""en"",""pt"")"),"polidores de concreto")</f>
        <v>polidores de concreto</v>
      </c>
      <c r="J2883">
        <f>VLOOKUP(A2883,Pr_Base_LNEC!$A$4:$J$6971,6,FALSE)</f>
        <v>0</v>
      </c>
      <c r="K2883">
        <f>VLOOKUP(A2883,Pr_Base_LNEC!$A$4:$J$6971,7,FALSE)</f>
        <v>0</v>
      </c>
    </row>
    <row r="2884" spans="1:11" ht="14.5">
      <c r="A2884" s="20" t="s">
        <v>21176</v>
      </c>
      <c r="B2884" s="20">
        <v>35</v>
      </c>
      <c r="C2884" s="20">
        <v>31</v>
      </c>
      <c r="D2884" s="20">
        <v>68</v>
      </c>
      <c r="E2884" s="20">
        <v>19</v>
      </c>
      <c r="F2884" s="20" t="s">
        <v>21177</v>
      </c>
      <c r="G2884" s="24"/>
      <c r="H2884" s="24"/>
      <c r="I2884" s="24" t="str">
        <f ca="1">IFERROR(__xludf.DUMMYFUNCTION("GOOGLETRANSLATE(F2884,""en"",""pt"")"),"chapeamento de cobre")</f>
        <v>chapeamento de cobre</v>
      </c>
      <c r="J2884">
        <f>VLOOKUP(A2884,Pr_Base_LNEC!$A$4:$J$6971,6,FALSE)</f>
        <v>0</v>
      </c>
      <c r="K2884">
        <f>VLOOKUP(A2884,Pr_Base_LNEC!$A$4:$J$6971,7,FALSE)</f>
        <v>0</v>
      </c>
    </row>
    <row r="2885" spans="1:11" ht="14.5">
      <c r="A2885" s="20" t="s">
        <v>21178</v>
      </c>
      <c r="B2885" s="20">
        <v>35</v>
      </c>
      <c r="C2885" s="20">
        <v>31</v>
      </c>
      <c r="D2885" s="20">
        <v>68</v>
      </c>
      <c r="E2885" s="20">
        <v>21</v>
      </c>
      <c r="F2885" s="20" t="s">
        <v>21179</v>
      </c>
      <c r="G2885" s="20" t="s">
        <v>21180</v>
      </c>
      <c r="H2885" s="24"/>
      <c r="I2885" s="24" t="str">
        <f ca="1">IFERROR(__xludf.DUMMYFUNCTION("GOOGLETRANSLATE(F2885,""en"",""pt"")"),"poliuretano telha cortiça (PUR) vernizes")</f>
        <v>poliuretano telha cortiça (PUR) vernizes</v>
      </c>
      <c r="J2885">
        <f>VLOOKUP(A2885,Pr_Base_LNEC!$A$4:$J$6971,6,FALSE)</f>
        <v>0</v>
      </c>
      <c r="K2885">
        <f>VLOOKUP(A2885,Pr_Base_LNEC!$A$4:$J$6971,7,FALSE)</f>
        <v>0</v>
      </c>
    </row>
    <row r="2886" spans="1:11" ht="14.5">
      <c r="A2886" s="20" t="s">
        <v>21181</v>
      </c>
      <c r="B2886" s="20">
        <v>35</v>
      </c>
      <c r="C2886" s="20">
        <v>31</v>
      </c>
      <c r="D2886" s="20">
        <v>68</v>
      </c>
      <c r="E2886" s="20">
        <v>27</v>
      </c>
      <c r="F2886" s="20" t="s">
        <v>21182</v>
      </c>
      <c r="G2886" s="20" t="s">
        <v>21183</v>
      </c>
      <c r="H2886" s="24"/>
      <c r="I2886" s="24" t="str">
        <f ca="1">IFERROR(__xludf.DUMMYFUNCTION("GOOGLETRANSLATE(F2886,""en"",""pt"")"),"revestimentos de resina epóxi")</f>
        <v>revestimentos de resina epóxi</v>
      </c>
      <c r="J2886">
        <f>VLOOKUP(A2886,Pr_Base_LNEC!$A$4:$J$6971,6,FALSE)</f>
        <v>0</v>
      </c>
      <c r="K2886">
        <f>VLOOKUP(A2886,Pr_Base_LNEC!$A$4:$J$6971,7,FALSE)</f>
        <v>0</v>
      </c>
    </row>
    <row r="2887" spans="1:11" ht="14.5">
      <c r="A2887" s="20" t="s">
        <v>21184</v>
      </c>
      <c r="B2887" s="20">
        <v>35</v>
      </c>
      <c r="C2887" s="20">
        <v>31</v>
      </c>
      <c r="D2887" s="20">
        <v>68</v>
      </c>
      <c r="E2887" s="20">
        <v>28</v>
      </c>
      <c r="F2887" s="20" t="s">
        <v>21185</v>
      </c>
      <c r="G2887" s="20" t="s">
        <v>21186</v>
      </c>
      <c r="H2887" s="24"/>
      <c r="I2887" s="24" t="str">
        <f ca="1">IFERROR(__xludf.DUMMYFUNCTION("GOOGLETRANSLATE(F2887,""en"",""pt"")"),"revestimentos epóxi subaquática")</f>
        <v>revestimentos epóxi subaquática</v>
      </c>
      <c r="J2887">
        <f>VLOOKUP(A2887,Pr_Base_LNEC!$A$4:$J$6971,6,FALSE)</f>
        <v>0</v>
      </c>
      <c r="K2887">
        <f>VLOOKUP(A2887,Pr_Base_LNEC!$A$4:$J$6971,7,FALSE)</f>
        <v>0</v>
      </c>
    </row>
    <row r="2888" spans="1:11" ht="14.5">
      <c r="A2888" s="20" t="s">
        <v>21187</v>
      </c>
      <c r="B2888" s="20">
        <v>35</v>
      </c>
      <c r="C2888" s="20">
        <v>31</v>
      </c>
      <c r="D2888" s="20">
        <v>68</v>
      </c>
      <c r="E2888" s="20">
        <v>29</v>
      </c>
      <c r="F2888" s="20" t="s">
        <v>21188</v>
      </c>
      <c r="G2888" s="20" t="s">
        <v>21189</v>
      </c>
      <c r="H2888" s="24"/>
      <c r="I2888" s="24" t="str">
        <f ca="1">IFERROR(__xludf.DUMMYFUNCTION("GOOGLETRANSLATE(F2888,""en"",""pt"")"),"revestimentos ignífugo")</f>
        <v>revestimentos ignífugo</v>
      </c>
      <c r="J2888">
        <f>VLOOKUP(A2888,Pr_Base_LNEC!$A$4:$J$6971,6,FALSE)</f>
        <v>0</v>
      </c>
      <c r="K2888">
        <f>VLOOKUP(A2888,Pr_Base_LNEC!$A$4:$J$6971,7,FALSE)</f>
        <v>0</v>
      </c>
    </row>
    <row r="2889" spans="1:11" ht="14.5">
      <c r="A2889" s="20" t="s">
        <v>21190</v>
      </c>
      <c r="B2889" s="20">
        <v>35</v>
      </c>
      <c r="C2889" s="20">
        <v>31</v>
      </c>
      <c r="D2889" s="20">
        <v>68</v>
      </c>
      <c r="E2889" s="20">
        <v>31</v>
      </c>
      <c r="F2889" s="20" t="s">
        <v>21191</v>
      </c>
      <c r="G2889" s="20" t="s">
        <v>21192</v>
      </c>
      <c r="H2889" s="24"/>
      <c r="I2889" s="24" t="str">
        <f ca="1">IFERROR(__xludf.DUMMYFUNCTION("GOOGLETRANSLATE(F2889,""en"",""pt"")"),"corantes piso")</f>
        <v>corantes piso</v>
      </c>
      <c r="J2889">
        <f>VLOOKUP(A2889,Pr_Base_LNEC!$A$4:$J$6971,6,FALSE)</f>
        <v>0</v>
      </c>
      <c r="K2889">
        <f>VLOOKUP(A2889,Pr_Base_LNEC!$A$4:$J$6971,7,FALSE)</f>
        <v>0</v>
      </c>
    </row>
    <row r="2890" spans="1:11" ht="14.5">
      <c r="A2890" s="20" t="s">
        <v>21193</v>
      </c>
      <c r="B2890" s="20">
        <v>35</v>
      </c>
      <c r="C2890" s="20">
        <v>31</v>
      </c>
      <c r="D2890" s="20">
        <v>68</v>
      </c>
      <c r="E2890" s="20">
        <v>32</v>
      </c>
      <c r="F2890" s="20" t="s">
        <v>21194</v>
      </c>
      <c r="G2890" s="20" t="s">
        <v>21195</v>
      </c>
      <c r="H2890" s="24"/>
      <c r="I2890" s="24" t="str">
        <f ca="1">IFERROR(__xludf.DUMMYFUNCTION("GOOGLETRANSLATE(F2890,""en"",""pt"")"),"pomadas para soalhos")</f>
        <v>pomadas para soalhos</v>
      </c>
      <c r="J2890">
        <f>VLOOKUP(A2890,Pr_Base_LNEC!$A$4:$J$6971,6,FALSE)</f>
        <v>0</v>
      </c>
      <c r="K2890">
        <f>VLOOKUP(A2890,Pr_Base_LNEC!$A$4:$J$6971,7,FALSE)</f>
        <v>0</v>
      </c>
    </row>
    <row r="2891" spans="1:11" ht="14.5">
      <c r="A2891" s="20" t="s">
        <v>21196</v>
      </c>
      <c r="B2891" s="20">
        <v>35</v>
      </c>
      <c r="C2891" s="20">
        <v>31</v>
      </c>
      <c r="D2891" s="20">
        <v>68</v>
      </c>
      <c r="E2891" s="20">
        <v>33</v>
      </c>
      <c r="F2891" s="20" t="s">
        <v>21197</v>
      </c>
      <c r="G2891" s="20" t="s">
        <v>21198</v>
      </c>
      <c r="H2891" s="24"/>
      <c r="I2891" s="24" t="str">
        <f ca="1">IFERROR(__xludf.DUMMYFUNCTION("GOOGLETRANSLATE(F2891,""en"",""pt"")"),"revestimentos fungicidas")</f>
        <v>revestimentos fungicidas</v>
      </c>
      <c r="J2891">
        <f>VLOOKUP(A2891,Pr_Base_LNEC!$A$4:$J$6971,6,FALSE)</f>
        <v>0</v>
      </c>
      <c r="K2891">
        <f>VLOOKUP(A2891,Pr_Base_LNEC!$A$4:$J$6971,7,FALSE)</f>
        <v>0</v>
      </c>
    </row>
    <row r="2892" spans="1:11" ht="14.5">
      <c r="A2892" s="20" t="s">
        <v>21199</v>
      </c>
      <c r="B2892" s="20">
        <v>35</v>
      </c>
      <c r="C2892" s="20">
        <v>31</v>
      </c>
      <c r="D2892" s="20">
        <v>68</v>
      </c>
      <c r="E2892" s="20">
        <v>34</v>
      </c>
      <c r="F2892" s="20" t="s">
        <v>21200</v>
      </c>
      <c r="G2892" s="20" t="s">
        <v>21201</v>
      </c>
      <c r="H2892" s="24"/>
      <c r="I2892" s="24" t="str">
        <f ca="1">IFERROR(__xludf.DUMMYFUNCTION("GOOGLETRANSLATE(F2892,""en"",""pt"")"),"revestimentos galvanizados")</f>
        <v>revestimentos galvanizados</v>
      </c>
      <c r="J2892">
        <f>VLOOKUP(A2892,Pr_Base_LNEC!$A$4:$J$6971,6,FALSE)</f>
        <v>0</v>
      </c>
      <c r="K2892">
        <f>VLOOKUP(A2892,Pr_Base_LNEC!$A$4:$J$6971,7,FALSE)</f>
        <v>0</v>
      </c>
    </row>
    <row r="2893" spans="1:11" ht="14.5">
      <c r="A2893" s="20" t="s">
        <v>21202</v>
      </c>
      <c r="B2893" s="20">
        <v>35</v>
      </c>
      <c r="C2893" s="20">
        <v>31</v>
      </c>
      <c r="D2893" s="20">
        <v>68</v>
      </c>
      <c r="E2893" s="20">
        <v>35</v>
      </c>
      <c r="F2893" s="20" t="s">
        <v>21203</v>
      </c>
      <c r="G2893" s="24"/>
      <c r="H2893" s="24"/>
      <c r="I2893" s="24" t="str">
        <f ca="1">IFERROR(__xludf.DUMMYFUNCTION("GOOGLETRANSLATE(F2893,""en"",""pt"")"),"Folheado a ouro")</f>
        <v>Folheado a ouro</v>
      </c>
      <c r="J2893">
        <f>VLOOKUP(A2893,Pr_Base_LNEC!$A$4:$J$6971,6,FALSE)</f>
        <v>0</v>
      </c>
      <c r="K2893">
        <f>VLOOKUP(A2893,Pr_Base_LNEC!$A$4:$J$6971,7,FALSE)</f>
        <v>0</v>
      </c>
    </row>
    <row r="2894" spans="1:11" ht="14.5">
      <c r="A2894" s="20" t="s">
        <v>21204</v>
      </c>
      <c r="B2894" s="20">
        <v>35</v>
      </c>
      <c r="C2894" s="20">
        <v>31</v>
      </c>
      <c r="D2894" s="20">
        <v>68</v>
      </c>
      <c r="E2894" s="20">
        <v>36</v>
      </c>
      <c r="F2894" s="20" t="s">
        <v>21205</v>
      </c>
      <c r="G2894" s="20" t="s">
        <v>21206</v>
      </c>
      <c r="H2894" s="24"/>
      <c r="I2894" s="24" t="str">
        <f ca="1">IFERROR(__xludf.DUMMYFUNCTION("GOOGLETRANSLATE(F2894,""en"",""pt"")"),"óleos cera dura")</f>
        <v>óleos cera dura</v>
      </c>
      <c r="J2894">
        <f>VLOOKUP(A2894,Pr_Base_LNEC!$A$4:$J$6971,6,FALSE)</f>
        <v>0</v>
      </c>
      <c r="K2894">
        <f>VLOOKUP(A2894,Pr_Base_LNEC!$A$4:$J$6971,7,FALSE)</f>
        <v>0</v>
      </c>
    </row>
    <row r="2895" spans="1:11" ht="14.5">
      <c r="A2895" s="20" t="s">
        <v>21207</v>
      </c>
      <c r="B2895" s="20">
        <v>35</v>
      </c>
      <c r="C2895" s="20">
        <v>31</v>
      </c>
      <c r="D2895" s="20">
        <v>68</v>
      </c>
      <c r="E2895" s="20">
        <v>37</v>
      </c>
      <c r="F2895" s="20" t="s">
        <v>21208</v>
      </c>
      <c r="G2895" s="20" t="s">
        <v>21209</v>
      </c>
      <c r="H2895" s="24"/>
      <c r="I2895" s="24" t="str">
        <f ca="1">IFERROR(__xludf.DUMMYFUNCTION("GOOGLETRANSLATE(F2895,""en"",""pt"")"),"revestimentos resistentes ao calor")</f>
        <v>revestimentos resistentes ao calor</v>
      </c>
      <c r="J2895">
        <f>VLOOKUP(A2895,Pr_Base_LNEC!$A$4:$J$6971,6,FALSE)</f>
        <v>0</v>
      </c>
      <c r="K2895">
        <f>VLOOKUP(A2895,Pr_Base_LNEC!$A$4:$J$6971,7,FALSE)</f>
        <v>0</v>
      </c>
    </row>
    <row r="2896" spans="1:11" ht="14.5">
      <c r="A2896" s="20" t="s">
        <v>21210</v>
      </c>
      <c r="B2896" s="20">
        <v>35</v>
      </c>
      <c r="C2896" s="20">
        <v>31</v>
      </c>
      <c r="D2896" s="20">
        <v>68</v>
      </c>
      <c r="E2896" s="20">
        <v>38</v>
      </c>
      <c r="F2896" s="20" t="s">
        <v>21211</v>
      </c>
      <c r="G2896" s="20" t="s">
        <v>21212</v>
      </c>
      <c r="H2896" s="24"/>
      <c r="I2896" s="24" t="str">
        <f ca="1">IFERROR(__xludf.DUMMYFUNCTION("GOOGLETRANSLATE(F2896,""en"",""pt"")"),"Hot-aplicado de betume modificado com polímero de revestimentos impermeáveis")</f>
        <v>Hot-aplicado de betume modificado com polímero de revestimentos impermeáveis</v>
      </c>
      <c r="J2896">
        <f>VLOOKUP(A2896,Pr_Base_LNEC!$A$4:$J$6971,6,FALSE)</f>
        <v>0</v>
      </c>
      <c r="K2896">
        <f>VLOOKUP(A2896,Pr_Base_LNEC!$A$4:$J$6971,7,FALSE)</f>
        <v>0</v>
      </c>
    </row>
    <row r="2897" spans="1:11" ht="14.5">
      <c r="A2897" s="20" t="s">
        <v>21213</v>
      </c>
      <c r="B2897" s="20">
        <v>35</v>
      </c>
      <c r="C2897" s="20">
        <v>31</v>
      </c>
      <c r="D2897" s="20">
        <v>68</v>
      </c>
      <c r="E2897" s="20">
        <v>39</v>
      </c>
      <c r="F2897" s="20" t="s">
        <v>21214</v>
      </c>
      <c r="G2897" s="20" t="s">
        <v>21215</v>
      </c>
      <c r="H2897" s="24"/>
      <c r="I2897" s="24" t="str">
        <f ca="1">IFERROR(__xludf.DUMMYFUNCTION("GOOGLETRANSLATE(F2897,""en"",""pt"")"),"galvanizings imersão a quente")</f>
        <v>galvanizings imersão a quente</v>
      </c>
      <c r="J2897">
        <f>VLOOKUP(A2897,Pr_Base_LNEC!$A$4:$J$6971,6,FALSE)</f>
        <v>0</v>
      </c>
      <c r="K2897">
        <f>VLOOKUP(A2897,Pr_Base_LNEC!$A$4:$J$6971,7,FALSE)</f>
        <v>0</v>
      </c>
    </row>
    <row r="2898" spans="1:11" ht="14.5">
      <c r="A2898" s="20" t="s">
        <v>21216</v>
      </c>
      <c r="B2898" s="20">
        <v>35</v>
      </c>
      <c r="C2898" s="20">
        <v>31</v>
      </c>
      <c r="D2898" s="20">
        <v>68</v>
      </c>
      <c r="E2898" s="20">
        <v>40</v>
      </c>
      <c r="F2898" s="20" t="s">
        <v>21217</v>
      </c>
      <c r="G2898" s="20" t="s">
        <v>21218</v>
      </c>
      <c r="H2898" s="24"/>
      <c r="I2898" s="24" t="str">
        <f ca="1">IFERROR(__xludf.DUMMYFUNCTION("GOOGLETRANSLATE(F2898,""en"",""pt"")"),"revestimentos de higiene")</f>
        <v>revestimentos de higiene</v>
      </c>
      <c r="J2898">
        <f>VLOOKUP(A2898,Pr_Base_LNEC!$A$4:$J$6971,6,FALSE)</f>
        <v>0</v>
      </c>
      <c r="K2898">
        <f>VLOOKUP(A2898,Pr_Base_LNEC!$A$4:$J$6971,7,FALSE)</f>
        <v>0</v>
      </c>
    </row>
    <row r="2899" spans="1:11" ht="14.5">
      <c r="A2899" s="20" t="s">
        <v>21219</v>
      </c>
      <c r="B2899" s="20">
        <v>35</v>
      </c>
      <c r="C2899" s="20">
        <v>31</v>
      </c>
      <c r="D2899" s="20">
        <v>68</v>
      </c>
      <c r="E2899" s="20">
        <v>43</v>
      </c>
      <c r="F2899" s="20" t="s">
        <v>21220</v>
      </c>
      <c r="G2899" s="20" t="s">
        <v>21221</v>
      </c>
      <c r="H2899" s="24"/>
      <c r="I2899" s="24" t="str">
        <f ca="1">IFERROR(__xludf.DUMMYFUNCTION("GOOGLETRANSLATE(F2899,""en"",""pt"")"),"revestimentos protetores intumescentes")</f>
        <v>revestimentos protetores intumescentes</v>
      </c>
      <c r="J2899">
        <f>VLOOKUP(A2899,Pr_Base_LNEC!$A$4:$J$6971,6,FALSE)</f>
        <v>0</v>
      </c>
      <c r="K2899">
        <f>VLOOKUP(A2899,Pr_Base_LNEC!$A$4:$J$6971,7,FALSE)</f>
        <v>0</v>
      </c>
    </row>
    <row r="2900" spans="1:11" ht="14.5">
      <c r="A2900" s="20" t="s">
        <v>21222</v>
      </c>
      <c r="B2900" s="20">
        <v>35</v>
      </c>
      <c r="C2900" s="20">
        <v>31</v>
      </c>
      <c r="D2900" s="20">
        <v>68</v>
      </c>
      <c r="E2900" s="20">
        <v>46</v>
      </c>
      <c r="F2900" s="20" t="s">
        <v>21223</v>
      </c>
      <c r="G2900" s="20" t="s">
        <v>21224</v>
      </c>
      <c r="H2900" s="24"/>
      <c r="I2900" s="24" t="str">
        <f ca="1">IFERROR(__xludf.DUMMYFUNCTION("GOOGLETRANSLATE(F2900,""en"",""pt"")"),"lacas")</f>
        <v>lacas</v>
      </c>
      <c r="J2900">
        <f>VLOOKUP(A2900,Pr_Base_LNEC!$A$4:$J$6971,6,FALSE)</f>
        <v>0</v>
      </c>
      <c r="K2900">
        <f>VLOOKUP(A2900,Pr_Base_LNEC!$A$4:$J$6971,7,FALSE)</f>
        <v>0</v>
      </c>
    </row>
    <row r="2901" spans="1:11" ht="14.5">
      <c r="A2901" s="20" t="s">
        <v>21225</v>
      </c>
      <c r="B2901" s="20">
        <v>35</v>
      </c>
      <c r="C2901" s="20">
        <v>31</v>
      </c>
      <c r="D2901" s="20">
        <v>68</v>
      </c>
      <c r="E2901" s="20">
        <v>47</v>
      </c>
      <c r="F2901" s="20" t="s">
        <v>21226</v>
      </c>
      <c r="G2901" s="20" t="s">
        <v>21227</v>
      </c>
      <c r="H2901" s="24"/>
      <c r="I2901" s="24" t="str">
        <f ca="1">IFERROR(__xludf.DUMMYFUNCTION("GOOGLETRANSLATE(F2901,""en"",""pt"")"),"resinas líquidas de tank")</f>
        <v>resinas líquidas de tank</v>
      </c>
      <c r="J2901">
        <f>VLOOKUP(A2901,Pr_Base_LNEC!$A$4:$J$6971,6,FALSE)</f>
        <v>0</v>
      </c>
      <c r="K2901">
        <f>VLOOKUP(A2901,Pr_Base_LNEC!$A$4:$J$6971,7,FALSE)</f>
        <v>0</v>
      </c>
    </row>
    <row r="2902" spans="1:11" ht="14.5">
      <c r="A2902" s="20" t="s">
        <v>21228</v>
      </c>
      <c r="B2902" s="20">
        <v>35</v>
      </c>
      <c r="C2902" s="20">
        <v>31</v>
      </c>
      <c r="D2902" s="20">
        <v>68</v>
      </c>
      <c r="E2902" s="20">
        <v>51</v>
      </c>
      <c r="F2902" s="20" t="s">
        <v>21229</v>
      </c>
      <c r="G2902" s="20" t="s">
        <v>21230</v>
      </c>
      <c r="H2902" s="24"/>
      <c r="I2902" s="24" t="str">
        <f ca="1">IFERROR(__xludf.DUMMYFUNCTION("GOOGLETRANSLATE(F2902,""en"",""pt"")"),"mastique (MA), pomadas")</f>
        <v>mastique (MA), pomadas</v>
      </c>
      <c r="J2902">
        <f>VLOOKUP(A2902,Pr_Base_LNEC!$A$4:$J$6971,6,FALSE)</f>
        <v>0</v>
      </c>
      <c r="K2902">
        <f>VLOOKUP(A2902,Pr_Base_LNEC!$A$4:$J$6971,7,FALSE)</f>
        <v>0</v>
      </c>
    </row>
    <row r="2903" spans="1:11" ht="14.5">
      <c r="A2903" s="20" t="s">
        <v>21231</v>
      </c>
      <c r="B2903" s="20">
        <v>35</v>
      </c>
      <c r="C2903" s="20">
        <v>31</v>
      </c>
      <c r="D2903" s="20">
        <v>68</v>
      </c>
      <c r="E2903" s="20">
        <v>52</v>
      </c>
      <c r="F2903" s="20" t="s">
        <v>21232</v>
      </c>
      <c r="G2903" s="20" t="s">
        <v>21233</v>
      </c>
      <c r="H2903" s="24"/>
      <c r="I2903" s="24" t="str">
        <f ca="1">IFERROR(__xludf.DUMMYFUNCTION("GOOGLETRANSLATE(F2903,""en"",""pt"")"),"revestimentos de passagem de membrana")</f>
        <v>revestimentos de passagem de membrana</v>
      </c>
      <c r="J2903">
        <f>VLOOKUP(A2903,Pr_Base_LNEC!$A$4:$J$6971,6,FALSE)</f>
        <v>0</v>
      </c>
      <c r="K2903">
        <f>VLOOKUP(A2903,Pr_Base_LNEC!$A$4:$J$6971,7,FALSE)</f>
        <v>0</v>
      </c>
    </row>
    <row r="2904" spans="1:11" ht="14.5">
      <c r="A2904" s="20" t="s">
        <v>21234</v>
      </c>
      <c r="B2904" s="20">
        <v>35</v>
      </c>
      <c r="C2904" s="20">
        <v>31</v>
      </c>
      <c r="D2904" s="20">
        <v>68</v>
      </c>
      <c r="E2904" s="20">
        <v>55</v>
      </c>
      <c r="F2904" s="20" t="s">
        <v>21235</v>
      </c>
      <c r="G2904" s="20" t="s">
        <v>21236</v>
      </c>
      <c r="H2904" s="24"/>
      <c r="I2904" s="24" t="str">
        <f ca="1">IFERROR(__xludf.DUMMYFUNCTION("GOOGLETRANSLATE(F2904,""en"",""pt"")"),"Multi-cor casacos acabamento envernizado")</f>
        <v>Multi-cor casacos acabamento envernizado</v>
      </c>
      <c r="J2904">
        <f>VLOOKUP(A2904,Pr_Base_LNEC!$A$4:$J$6971,6,FALSE)</f>
        <v>0</v>
      </c>
      <c r="K2904">
        <f>VLOOKUP(A2904,Pr_Base_LNEC!$A$4:$J$6971,7,FALSE)</f>
        <v>0</v>
      </c>
    </row>
    <row r="2905" spans="1:11" ht="14.5">
      <c r="A2905" s="20" t="s">
        <v>21237</v>
      </c>
      <c r="B2905" s="20">
        <v>35</v>
      </c>
      <c r="C2905" s="20">
        <v>31</v>
      </c>
      <c r="D2905" s="20">
        <v>68</v>
      </c>
      <c r="E2905" s="20">
        <v>60</v>
      </c>
      <c r="F2905" s="20" t="s">
        <v>21238</v>
      </c>
      <c r="G2905" s="20" t="s">
        <v>21239</v>
      </c>
      <c r="H2905" s="24"/>
      <c r="I2905" s="24" t="str">
        <f ca="1">IFERROR(__xludf.DUMMYFUNCTION("GOOGLETRANSLATE(F2905,""en"",""pt"")"),"óleos patination")</f>
        <v>óleos patination</v>
      </c>
      <c r="J2905">
        <f>VLOOKUP(A2905,Pr_Base_LNEC!$A$4:$J$6971,6,FALSE)</f>
        <v>0</v>
      </c>
      <c r="K2905">
        <f>VLOOKUP(A2905,Pr_Base_LNEC!$A$4:$J$6971,7,FALSE)</f>
        <v>0</v>
      </c>
    </row>
    <row r="2906" spans="1:11" ht="14.5">
      <c r="A2906" s="20" t="s">
        <v>21240</v>
      </c>
      <c r="B2906" s="20">
        <v>35</v>
      </c>
      <c r="C2906" s="20">
        <v>31</v>
      </c>
      <c r="D2906" s="20">
        <v>68</v>
      </c>
      <c r="E2906" s="20">
        <v>62</v>
      </c>
      <c r="F2906" s="20" t="s">
        <v>21241</v>
      </c>
      <c r="G2906" s="20" t="s">
        <v>21242</v>
      </c>
      <c r="H2906" s="24"/>
      <c r="I2906" s="24" t="str">
        <f ca="1">IFERROR(__xludf.DUMMYFUNCTION("GOOGLETRANSLATE(F2906,""en"",""pt"")"),"resina de polímero de revestimento impermeável")</f>
        <v>resina de polímero de revestimento impermeável</v>
      </c>
      <c r="J2906">
        <f>VLOOKUP(A2906,Pr_Base_LNEC!$A$4:$J$6971,6,FALSE)</f>
        <v>0</v>
      </c>
      <c r="K2906">
        <f>VLOOKUP(A2906,Pr_Base_LNEC!$A$4:$J$6971,7,FALSE)</f>
        <v>0</v>
      </c>
    </row>
    <row r="2907" spans="1:11" ht="14.5">
      <c r="A2907" s="20" t="s">
        <v>21243</v>
      </c>
      <c r="B2907" s="20">
        <v>35</v>
      </c>
      <c r="C2907" s="20">
        <v>31</v>
      </c>
      <c r="D2907" s="20">
        <v>68</v>
      </c>
      <c r="E2907" s="20">
        <v>63</v>
      </c>
      <c r="F2907" s="20" t="s">
        <v>21244</v>
      </c>
      <c r="G2907" s="20" t="s">
        <v>21245</v>
      </c>
      <c r="H2907" s="24"/>
      <c r="I2907" s="24" t="str">
        <f ca="1">IFERROR(__xludf.DUMMYFUNCTION("GOOGLETRANSLATE(F2907,""en"",""pt"")"),"resina poliéster revestimento impermeável")</f>
        <v>resina poliéster revestimento impermeável</v>
      </c>
      <c r="J2907">
        <f>VLOOKUP(A2907,Pr_Base_LNEC!$A$4:$J$6971,6,FALSE)</f>
        <v>0</v>
      </c>
      <c r="K2907">
        <f>VLOOKUP(A2907,Pr_Base_LNEC!$A$4:$J$6971,7,FALSE)</f>
        <v>0</v>
      </c>
    </row>
    <row r="2908" spans="1:11" ht="14.5">
      <c r="A2908" s="20" t="s">
        <v>21246</v>
      </c>
      <c r="B2908" s="20">
        <v>35</v>
      </c>
      <c r="C2908" s="20">
        <v>31</v>
      </c>
      <c r="D2908" s="20">
        <v>68</v>
      </c>
      <c r="E2908" s="20">
        <v>64</v>
      </c>
      <c r="F2908" s="20" t="s">
        <v>21247</v>
      </c>
      <c r="G2908" s="20" t="s">
        <v>21248</v>
      </c>
      <c r="H2908" s="24"/>
      <c r="I2908" s="24" t="str">
        <f ca="1">IFERROR(__xludf.DUMMYFUNCTION("GOOGLETRANSLATE(F2908,""en"",""pt"")"),"Poliuretano (PUR) revestimentos impermeáveis")</f>
        <v>Poliuretano (PUR) revestimentos impermeáveis</v>
      </c>
      <c r="J2908">
        <f>VLOOKUP(A2908,Pr_Base_LNEC!$A$4:$J$6971,6,FALSE)</f>
        <v>0</v>
      </c>
      <c r="K2908">
        <f>VLOOKUP(A2908,Pr_Base_LNEC!$A$4:$J$6971,7,FALSE)</f>
        <v>0</v>
      </c>
    </row>
    <row r="2909" spans="1:11" ht="14.5">
      <c r="A2909" s="20" t="s">
        <v>21249</v>
      </c>
      <c r="B2909" s="20">
        <v>35</v>
      </c>
      <c r="C2909" s="20">
        <v>31</v>
      </c>
      <c r="D2909" s="20">
        <v>68</v>
      </c>
      <c r="E2909" s="20">
        <v>65</v>
      </c>
      <c r="F2909" s="20" t="s">
        <v>21250</v>
      </c>
      <c r="G2909" s="20" t="s">
        <v>21251</v>
      </c>
      <c r="H2909" s="24"/>
      <c r="I2909" s="24" t="str">
        <f ca="1">IFERROR(__xludf.DUMMYFUNCTION("GOOGLETRANSLATE(F2909,""en"",""pt"")"),"Fluoreto de polivinilideno (PVDF) revestimentos")</f>
        <v>Fluoreto de polivinilideno (PVDF) revestimentos</v>
      </c>
      <c r="J2909">
        <f>VLOOKUP(A2909,Pr_Base_LNEC!$A$4:$J$6971,6,FALSE)</f>
        <v>0</v>
      </c>
      <c r="K2909">
        <f>VLOOKUP(A2909,Pr_Base_LNEC!$A$4:$J$6971,7,FALSE)</f>
        <v>0</v>
      </c>
    </row>
    <row r="2910" spans="1:11" ht="14.5">
      <c r="A2910" s="20" t="s">
        <v>21252</v>
      </c>
      <c r="B2910" s="20">
        <v>35</v>
      </c>
      <c r="C2910" s="20">
        <v>31</v>
      </c>
      <c r="D2910" s="20">
        <v>68</v>
      </c>
      <c r="E2910" s="20">
        <v>66</v>
      </c>
      <c r="F2910" s="20" t="s">
        <v>21253</v>
      </c>
      <c r="G2910" s="20" t="s">
        <v>21254</v>
      </c>
      <c r="H2910" s="24"/>
      <c r="I2910" s="24" t="str">
        <f ca="1">IFERROR(__xludf.DUMMYFUNCTION("GOOGLETRANSLATE(F2910,""en"",""pt"")"),"revestimentos em pó")</f>
        <v>revestimentos em pó</v>
      </c>
      <c r="J2910">
        <f>VLOOKUP(A2910,Pr_Base_LNEC!$A$4:$J$6971,6,FALSE)</f>
        <v>0</v>
      </c>
      <c r="K2910">
        <f>VLOOKUP(A2910,Pr_Base_LNEC!$A$4:$J$6971,7,FALSE)</f>
        <v>0</v>
      </c>
    </row>
    <row r="2911" spans="1:11" ht="14.5">
      <c r="A2911" s="20" t="s">
        <v>21255</v>
      </c>
      <c r="B2911" s="20">
        <v>35</v>
      </c>
      <c r="C2911" s="20">
        <v>31</v>
      </c>
      <c r="D2911" s="20">
        <v>68</v>
      </c>
      <c r="E2911" s="20">
        <v>69</v>
      </c>
      <c r="F2911" s="20" t="s">
        <v>21256</v>
      </c>
      <c r="G2911" s="24"/>
      <c r="H2911" s="24"/>
      <c r="I2911" s="24" t="str">
        <f ca="1">IFERROR(__xludf.DUMMYFUNCTION("GOOGLETRANSLATE(F2911,""en"",""pt"")"),"tintas óxido vermelho")</f>
        <v>tintas óxido vermelho</v>
      </c>
      <c r="J2911">
        <f>VLOOKUP(A2911,Pr_Base_LNEC!$A$4:$J$6971,6,FALSE)</f>
        <v>0</v>
      </c>
      <c r="K2911">
        <f>VLOOKUP(A2911,Pr_Base_LNEC!$A$4:$J$6971,7,FALSE)</f>
        <v>0</v>
      </c>
    </row>
    <row r="2912" spans="1:11" ht="14.5">
      <c r="A2912" s="20" t="s">
        <v>21257</v>
      </c>
      <c r="B2912" s="20">
        <v>35</v>
      </c>
      <c r="C2912" s="20">
        <v>31</v>
      </c>
      <c r="D2912" s="20">
        <v>68</v>
      </c>
      <c r="E2912" s="20">
        <v>70</v>
      </c>
      <c r="F2912" s="20" t="s">
        <v>21258</v>
      </c>
      <c r="G2912" s="20" t="s">
        <v>21259</v>
      </c>
      <c r="H2912" s="24"/>
      <c r="I2912" s="24" t="str">
        <f ca="1">IFERROR(__xludf.DUMMYFUNCTION("GOOGLETRANSLATE(F2912,""en"",""pt"")"),"revestimentos de pavimentos de resina")</f>
        <v>revestimentos de pavimentos de resina</v>
      </c>
      <c r="J2912">
        <f>VLOOKUP(A2912,Pr_Base_LNEC!$A$4:$J$6971,6,FALSE)</f>
        <v>0</v>
      </c>
      <c r="K2912">
        <f>VLOOKUP(A2912,Pr_Base_LNEC!$A$4:$J$6971,7,FALSE)</f>
        <v>0</v>
      </c>
    </row>
    <row r="2913" spans="1:11" ht="14.5">
      <c r="A2913" s="20" t="s">
        <v>21260</v>
      </c>
      <c r="B2913" s="20">
        <v>35</v>
      </c>
      <c r="C2913" s="20">
        <v>31</v>
      </c>
      <c r="D2913" s="20">
        <v>68</v>
      </c>
      <c r="E2913" s="20">
        <v>72</v>
      </c>
      <c r="F2913" s="20" t="s">
        <v>21261</v>
      </c>
      <c r="G2913" s="24"/>
      <c r="H2913" s="24"/>
      <c r="I2913" s="24" t="str">
        <f ca="1">IFERROR(__xludf.DUMMYFUNCTION("GOOGLETRANSLATE(F2913,""en"",""pt"")"),"revestimentos anti-corrosão de sacrifício")</f>
        <v>revestimentos anti-corrosão de sacrifício</v>
      </c>
      <c r="J2913">
        <f>VLOOKUP(A2913,Pr_Base_LNEC!$A$4:$J$6971,6,FALSE)</f>
        <v>0</v>
      </c>
      <c r="K2913">
        <f>VLOOKUP(A2913,Pr_Base_LNEC!$A$4:$J$6971,7,FALSE)</f>
        <v>0</v>
      </c>
    </row>
    <row r="2914" spans="1:11" ht="14.5">
      <c r="A2914" s="20" t="s">
        <v>21262</v>
      </c>
      <c r="B2914" s="20">
        <v>35</v>
      </c>
      <c r="C2914" s="20">
        <v>31</v>
      </c>
      <c r="D2914" s="20">
        <v>68</v>
      </c>
      <c r="E2914" s="20">
        <v>74</v>
      </c>
      <c r="F2914" s="20" t="s">
        <v>21263</v>
      </c>
      <c r="G2914" s="20" t="s">
        <v>21264</v>
      </c>
      <c r="H2914" s="24"/>
      <c r="I2914" s="24" t="str">
        <f ca="1">IFERROR(__xludf.DUMMYFUNCTION("GOOGLETRANSLATE(F2914,""en"",""pt"")"),"revestimentos Sherardized")</f>
        <v>revestimentos Sherardized</v>
      </c>
      <c r="J2914">
        <f>VLOOKUP(A2914,Pr_Base_LNEC!$A$4:$J$6971,6,FALSE)</f>
        <v>0</v>
      </c>
      <c r="K2914">
        <f>VLOOKUP(A2914,Pr_Base_LNEC!$A$4:$J$6971,7,FALSE)</f>
        <v>0</v>
      </c>
    </row>
    <row r="2915" spans="1:11" ht="14.5">
      <c r="A2915" s="20" t="s">
        <v>21265</v>
      </c>
      <c r="B2915" s="20">
        <v>35</v>
      </c>
      <c r="C2915" s="20">
        <v>31</v>
      </c>
      <c r="D2915" s="20">
        <v>68</v>
      </c>
      <c r="E2915" s="20">
        <v>75</v>
      </c>
      <c r="F2915" s="20" t="s">
        <v>21266</v>
      </c>
      <c r="G2915" s="24"/>
      <c r="H2915" s="24"/>
      <c r="I2915" s="24" t="str">
        <f ca="1">IFERROR(__xludf.DUMMYFUNCTION("GOOGLETRANSLATE(F2915,""en"",""pt"")"),"chapeamento de prata")</f>
        <v>chapeamento de prata</v>
      </c>
      <c r="J2915">
        <f>VLOOKUP(A2915,Pr_Base_LNEC!$A$4:$J$6971,6,FALSE)</f>
        <v>0</v>
      </c>
      <c r="K2915">
        <f>VLOOKUP(A2915,Pr_Base_LNEC!$A$4:$J$6971,7,FALSE)</f>
        <v>0</v>
      </c>
    </row>
    <row r="2916" spans="1:11" ht="14.5">
      <c r="A2916" s="20" t="s">
        <v>21267</v>
      </c>
      <c r="B2916" s="20">
        <v>35</v>
      </c>
      <c r="C2916" s="20">
        <v>31</v>
      </c>
      <c r="D2916" s="20">
        <v>68</v>
      </c>
      <c r="E2916" s="20">
        <v>80</v>
      </c>
      <c r="F2916" s="20" t="s">
        <v>21268</v>
      </c>
      <c r="G2916" s="24"/>
      <c r="H2916" s="24"/>
      <c r="I2916" s="24" t="str">
        <f ca="1">IFERROR(__xludf.DUMMYFUNCTION("GOOGLETRANSLATE(F2916,""en"",""pt"")"),"revestimentos impermeáveis ​​sem solventes")</f>
        <v>revestimentos impermeáveis ​​sem solventes</v>
      </c>
      <c r="J2916" t="e">
        <f>VLOOKUP(A2916,Pr_Base_LNEC!$A$4:$J$6971,6,FALSE)</f>
        <v>#N/A</v>
      </c>
      <c r="K2916" t="e">
        <f>VLOOKUP(A2916,Pr_Base_LNEC!$A$4:$J$6971,7,FALSE)</f>
        <v>#N/A</v>
      </c>
    </row>
    <row r="2917" spans="1:11" ht="14.5">
      <c r="A2917" s="20" t="s">
        <v>21269</v>
      </c>
      <c r="B2917" s="20">
        <v>35</v>
      </c>
      <c r="C2917" s="20">
        <v>31</v>
      </c>
      <c r="D2917" s="20">
        <v>68</v>
      </c>
      <c r="E2917" s="20">
        <v>81</v>
      </c>
      <c r="F2917" s="20" t="s">
        <v>21270</v>
      </c>
      <c r="G2917" s="20" t="s">
        <v>21271</v>
      </c>
      <c r="H2917" s="24"/>
      <c r="I2917" s="24" t="str">
        <f ca="1">IFERROR(__xludf.DUMMYFUNCTION("GOOGLETRANSLATE(F2917,""en"",""pt"")"),"revestimentos reflexivos solares")</f>
        <v>revestimentos reflexivos solares</v>
      </c>
      <c r="J2917">
        <f>VLOOKUP(A2917,Pr_Base_LNEC!$A$4:$J$6971,6,FALSE)</f>
        <v>0</v>
      </c>
      <c r="K2917">
        <f>VLOOKUP(A2917,Pr_Base_LNEC!$A$4:$J$6971,7,FALSE)</f>
        <v>0</v>
      </c>
    </row>
    <row r="2918" spans="1:11" ht="14.5">
      <c r="A2918" s="20" t="s">
        <v>21272</v>
      </c>
      <c r="B2918" s="20">
        <v>35</v>
      </c>
      <c r="C2918" s="20">
        <v>31</v>
      </c>
      <c r="D2918" s="20">
        <v>68</v>
      </c>
      <c r="E2918" s="20">
        <v>82</v>
      </c>
      <c r="F2918" s="20" t="s">
        <v>21273</v>
      </c>
      <c r="G2918" s="24"/>
      <c r="H2918" s="24"/>
      <c r="I2918" s="24" t="str">
        <f ca="1">IFERROR(__xludf.DUMMYFUNCTION("GOOGLETRANSLATE(F2918,""en"",""pt"")"),"revestimentos anti-corrosão reflexivos solares")</f>
        <v>revestimentos anti-corrosão reflexivos solares</v>
      </c>
      <c r="J2918">
        <f>VLOOKUP(A2918,Pr_Base_LNEC!$A$4:$J$6971,6,FALSE)</f>
        <v>0</v>
      </c>
      <c r="K2918">
        <f>VLOOKUP(A2918,Pr_Base_LNEC!$A$4:$J$6971,7,FALSE)</f>
        <v>0</v>
      </c>
    </row>
    <row r="2919" spans="1:11" ht="14.5">
      <c r="A2919" s="20" t="s">
        <v>21274</v>
      </c>
      <c r="B2919" s="20">
        <v>35</v>
      </c>
      <c r="C2919" s="20">
        <v>31</v>
      </c>
      <c r="D2919" s="20">
        <v>68</v>
      </c>
      <c r="E2919" s="20">
        <v>83</v>
      </c>
      <c r="F2919" s="20" t="s">
        <v>21275</v>
      </c>
      <c r="G2919" s="24"/>
      <c r="H2919" s="24"/>
      <c r="I2919" s="24" t="str">
        <f ca="1">IFERROR(__xludf.DUMMYFUNCTION("GOOGLETRANSLATE(F2919,""en"",""pt"")"),"Pulverize-aplicado à prova de fogo revestimentos")</f>
        <v>Pulverize-aplicado à prova de fogo revestimentos</v>
      </c>
      <c r="J2919">
        <f>VLOOKUP(A2919,Pr_Base_LNEC!$A$4:$J$6971,6,FALSE)</f>
        <v>0</v>
      </c>
      <c r="K2919">
        <f>VLOOKUP(A2919,Pr_Base_LNEC!$A$4:$J$6971,7,FALSE)</f>
        <v>0</v>
      </c>
    </row>
    <row r="2920" spans="1:11" ht="14.5">
      <c r="A2920" s="20" t="s">
        <v>21276</v>
      </c>
      <c r="B2920" s="20">
        <v>35</v>
      </c>
      <c r="C2920" s="20">
        <v>31</v>
      </c>
      <c r="D2920" s="20">
        <v>68</v>
      </c>
      <c r="E2920" s="20">
        <v>84</v>
      </c>
      <c r="F2920" s="20" t="s">
        <v>21277</v>
      </c>
      <c r="G2920" s="24"/>
      <c r="H2920" s="24"/>
      <c r="I2920" s="24" t="str">
        <f ca="1">IFERROR(__xludf.DUMMYFUNCTION("GOOGLETRANSLATE(F2920,""en"",""pt"")"),"Pulverizar-aplicado isolamento térmico")</f>
        <v>Pulverizar-aplicado isolamento térmico</v>
      </c>
      <c r="J2920">
        <f>VLOOKUP(A2920,Pr_Base_LNEC!$A$4:$J$6971,6,FALSE)</f>
        <v>0</v>
      </c>
      <c r="K2920">
        <f>VLOOKUP(A2920,Pr_Base_LNEC!$A$4:$J$6971,7,FALSE)</f>
        <v>0</v>
      </c>
    </row>
    <row r="2921" spans="1:11" ht="14.5">
      <c r="A2921" s="20" t="s">
        <v>21278</v>
      </c>
      <c r="B2921" s="20">
        <v>35</v>
      </c>
      <c r="C2921" s="20">
        <v>31</v>
      </c>
      <c r="D2921" s="20">
        <v>68</v>
      </c>
      <c r="E2921" s="20">
        <v>85</v>
      </c>
      <c r="F2921" s="20" t="s">
        <v>21279</v>
      </c>
      <c r="G2921" s="24"/>
      <c r="H2921" s="24"/>
      <c r="I2921" s="24" t="str">
        <f ca="1">IFERROR(__xludf.DUMMYFUNCTION("GOOGLETRANSLATE(F2921,""en"",""pt"")"),"revestimentos em pó cerca de aço")</f>
        <v>revestimentos em pó cerca de aço</v>
      </c>
      <c r="J2921">
        <f>VLOOKUP(A2921,Pr_Base_LNEC!$A$4:$J$6971,6,FALSE)</f>
        <v>0</v>
      </c>
      <c r="K2921">
        <f>VLOOKUP(A2921,Pr_Base_LNEC!$A$4:$J$6971,7,FALSE)</f>
        <v>0</v>
      </c>
    </row>
    <row r="2922" spans="1:11" ht="14.5">
      <c r="A2922" s="20" t="s">
        <v>21280</v>
      </c>
      <c r="B2922" s="20">
        <v>35</v>
      </c>
      <c r="C2922" s="20">
        <v>31</v>
      </c>
      <c r="D2922" s="20">
        <v>68</v>
      </c>
      <c r="E2922" s="20">
        <v>86</v>
      </c>
      <c r="F2922" s="20" t="s">
        <v>21281</v>
      </c>
      <c r="G2922" s="20" t="s">
        <v>21282</v>
      </c>
      <c r="H2922" s="24"/>
      <c r="I2922" s="24" t="str">
        <f ca="1">IFERROR(__xludf.DUMMYFUNCTION("GOOGLETRANSLATE(F2922,""en"",""pt"")"),"produtos de preservação de superfície")</f>
        <v>produtos de preservação de superfície</v>
      </c>
      <c r="J2922">
        <f>VLOOKUP(A2922,Pr_Base_LNEC!$A$4:$J$6971,6,FALSE)</f>
        <v>0</v>
      </c>
      <c r="K2922">
        <f>VLOOKUP(A2922,Pr_Base_LNEC!$A$4:$J$6971,7,FALSE)</f>
        <v>0</v>
      </c>
    </row>
    <row r="2923" spans="1:11" ht="14.5">
      <c r="A2923" s="20" t="s">
        <v>21283</v>
      </c>
      <c r="B2923" s="20">
        <v>35</v>
      </c>
      <c r="C2923" s="20">
        <v>31</v>
      </c>
      <c r="D2923" s="20">
        <v>68</v>
      </c>
      <c r="E2923" s="20">
        <v>87</v>
      </c>
      <c r="F2923" s="20" t="s">
        <v>21284</v>
      </c>
      <c r="G2923" s="20" t="s">
        <v>21285</v>
      </c>
      <c r="H2923" s="24"/>
      <c r="I2923" s="24" t="str">
        <f ca="1">IFERROR(__xludf.DUMMYFUNCTION("GOOGLETRANSLATE(F2923,""en"",""pt"")"),"revestimentos pretos à base de alcatrão")</f>
        <v>revestimentos pretos à base de alcatrão</v>
      </c>
      <c r="J2923">
        <f>VLOOKUP(A2923,Pr_Base_LNEC!$A$4:$J$6971,6,FALSE)</f>
        <v>0</v>
      </c>
      <c r="K2923">
        <f>VLOOKUP(A2923,Pr_Base_LNEC!$A$4:$J$6971,7,FALSE)</f>
        <v>0</v>
      </c>
    </row>
    <row r="2924" spans="1:11" ht="14.5">
      <c r="A2924" s="20" t="s">
        <v>21286</v>
      </c>
      <c r="B2924" s="20">
        <v>35</v>
      </c>
      <c r="C2924" s="20">
        <v>31</v>
      </c>
      <c r="D2924" s="20">
        <v>68</v>
      </c>
      <c r="E2924" s="20">
        <v>88</v>
      </c>
      <c r="F2924" s="20" t="s">
        <v>21287</v>
      </c>
      <c r="G2924" s="20" t="s">
        <v>21288</v>
      </c>
      <c r="H2924" s="24"/>
      <c r="I2924" s="24" t="str">
        <f ca="1">IFERROR(__xludf.DUMMYFUNCTION("GOOGLETRANSLATE(F2924,""en"",""pt"")"),"revestimentos impermeáveis ​​de copolímeros de blocos termoplástico")</f>
        <v>revestimentos impermeáveis ​​de copolímeros de blocos termoplástico</v>
      </c>
      <c r="J2924">
        <f>VLOOKUP(A2924,Pr_Base_LNEC!$A$4:$J$6971,6,FALSE)</f>
        <v>0</v>
      </c>
      <c r="K2924">
        <f>VLOOKUP(A2924,Pr_Base_LNEC!$A$4:$J$6971,7,FALSE)</f>
        <v>0</v>
      </c>
    </row>
    <row r="2925" spans="1:11" ht="14.5">
      <c r="A2925" s="20" t="s">
        <v>21289</v>
      </c>
      <c r="B2925" s="20">
        <v>35</v>
      </c>
      <c r="C2925" s="20">
        <v>31</v>
      </c>
      <c r="D2925" s="20">
        <v>68</v>
      </c>
      <c r="E2925" s="20">
        <v>96</v>
      </c>
      <c r="F2925" s="20" t="s">
        <v>21290</v>
      </c>
      <c r="G2925" s="20" t="s">
        <v>21291</v>
      </c>
      <c r="H2925" s="24"/>
      <c r="I2925" s="24" t="str">
        <f ca="1">IFERROR(__xludf.DUMMYFUNCTION("GOOGLETRANSLATE(F2925,""en"",""pt"")"),"revestimentos impermeáveis ​​de polímero dispersível em água-")</f>
        <v>revestimentos impermeáveis ​​de polímero dispersível em água-</v>
      </c>
      <c r="J2925">
        <f>VLOOKUP(A2925,Pr_Base_LNEC!$A$4:$J$6971,6,FALSE)</f>
        <v>0</v>
      </c>
      <c r="K2925">
        <f>VLOOKUP(A2925,Pr_Base_LNEC!$A$4:$J$6971,7,FALSE)</f>
        <v>0</v>
      </c>
    </row>
    <row r="2926" spans="1:11" ht="14.5">
      <c r="A2926" s="20" t="s">
        <v>21292</v>
      </c>
      <c r="B2926" s="20">
        <v>35</v>
      </c>
      <c r="C2926" s="20">
        <v>31</v>
      </c>
      <c r="D2926" s="20">
        <v>68</v>
      </c>
      <c r="E2926" s="20">
        <v>97</v>
      </c>
      <c r="F2926" s="20" t="s">
        <v>21293</v>
      </c>
      <c r="G2926" s="20" t="s">
        <v>21294</v>
      </c>
      <c r="H2926" s="24"/>
      <c r="I2926" s="24" t="str">
        <f ca="1">IFERROR(__xludf.DUMMYFUNCTION("GOOGLETRANSLATE(F2926,""en"",""pt"")"),"repelentes de água")</f>
        <v>repelentes de água</v>
      </c>
      <c r="J2926">
        <f>VLOOKUP(A2926,Pr_Base_LNEC!$A$4:$J$6971,6,FALSE)</f>
        <v>0</v>
      </c>
      <c r="K2926">
        <f>VLOOKUP(A2926,Pr_Base_LNEC!$A$4:$J$6971,7,FALSE)</f>
        <v>0</v>
      </c>
    </row>
    <row r="2927" spans="1:11" ht="14.5">
      <c r="A2927" s="20" t="s">
        <v>21295</v>
      </c>
      <c r="B2927" s="20">
        <v>35</v>
      </c>
      <c r="C2927" s="20">
        <v>31</v>
      </c>
      <c r="D2927" s="20">
        <v>68</v>
      </c>
      <c r="E2927" s="20">
        <v>98</v>
      </c>
      <c r="F2927" s="20" t="s">
        <v>21296</v>
      </c>
      <c r="G2927" s="20" t="s">
        <v>21297</v>
      </c>
      <c r="H2927" s="24"/>
      <c r="I2927" s="24" t="str">
        <f ca="1">IFERROR(__xludf.DUMMYFUNCTION("GOOGLETRANSLATE(F2927,""en"",""pt"")"),"Yacht vernizes")</f>
        <v>Yacht vernizes</v>
      </c>
      <c r="J2927">
        <f>VLOOKUP(A2927,Pr_Base_LNEC!$A$4:$J$6971,6,FALSE)</f>
        <v>0</v>
      </c>
      <c r="K2927">
        <f>VLOOKUP(A2927,Pr_Base_LNEC!$A$4:$J$6971,7,FALSE)</f>
        <v>0</v>
      </c>
    </row>
    <row r="2928" spans="1:11" ht="14.5">
      <c r="A2928" s="20" t="s">
        <v>21298</v>
      </c>
      <c r="B2928" s="20">
        <v>35</v>
      </c>
      <c r="C2928" s="20">
        <v>31</v>
      </c>
      <c r="D2928" s="20">
        <v>68</v>
      </c>
      <c r="E2928" s="20">
        <v>99</v>
      </c>
      <c r="F2928" s="20" t="s">
        <v>21299</v>
      </c>
      <c r="G2928" s="20" t="s">
        <v>21300</v>
      </c>
      <c r="H2928" s="24"/>
      <c r="I2928" s="24" t="str">
        <f ca="1">IFERROR(__xludf.DUMMYFUNCTION("GOOGLETRANSLATE(F2928,""en"",""pt"")"),"zinco chapeamento")</f>
        <v>zinco chapeamento</v>
      </c>
      <c r="J2928">
        <f>VLOOKUP(A2928,Pr_Base_LNEC!$A$4:$J$6971,6,FALSE)</f>
        <v>0</v>
      </c>
      <c r="K2928">
        <f>VLOOKUP(A2928,Pr_Base_LNEC!$A$4:$J$6971,7,FALSE)</f>
        <v>0</v>
      </c>
    </row>
    <row r="2929" spans="1:11" ht="14.5">
      <c r="A2929" s="20" t="s">
        <v>21301</v>
      </c>
      <c r="B2929" s="20">
        <v>35</v>
      </c>
      <c r="C2929" s="20">
        <v>31</v>
      </c>
      <c r="D2929" s="20">
        <v>77</v>
      </c>
      <c r="E2929" s="24"/>
      <c r="F2929" s="20" t="s">
        <v>21302</v>
      </c>
      <c r="G2929" s="24"/>
      <c r="H2929" s="24"/>
      <c r="I2929" s="24" t="str">
        <f ca="1">IFERROR(__xludf.DUMMYFUNCTION("GOOGLETRANSLATE(F2929,""en"",""pt"")"),"selantes de superfície")</f>
        <v>selantes de superfície</v>
      </c>
      <c r="J2929">
        <f>VLOOKUP(A2929,Pr_Base_LNEC!$A$4:$J$6971,6,FALSE)</f>
        <v>0</v>
      </c>
      <c r="K2929">
        <f>VLOOKUP(A2929,Pr_Base_LNEC!$A$4:$J$6971,7,FALSE)</f>
        <v>0</v>
      </c>
    </row>
    <row r="2930" spans="1:11" ht="14.5">
      <c r="A2930" s="20" t="s">
        <v>21303</v>
      </c>
      <c r="B2930" s="20">
        <v>35</v>
      </c>
      <c r="C2930" s="20">
        <v>31</v>
      </c>
      <c r="D2930" s="20">
        <v>77</v>
      </c>
      <c r="E2930" s="20">
        <v>5</v>
      </c>
      <c r="F2930" s="20" t="s">
        <v>21304</v>
      </c>
      <c r="G2930" s="20" t="s">
        <v>21305</v>
      </c>
      <c r="H2930" s="24"/>
      <c r="I2930" s="24" t="str">
        <f ca="1">IFERROR(__xludf.DUMMYFUNCTION("GOOGLETRANSLATE(F2930,""en"",""pt"")"),"selantes anti-grafite")</f>
        <v>selantes anti-grafite</v>
      </c>
      <c r="J2930">
        <f>VLOOKUP(A2930,Pr_Base_LNEC!$A$4:$J$6971,6,FALSE)</f>
        <v>0</v>
      </c>
      <c r="K2930">
        <f>VLOOKUP(A2930,Pr_Base_LNEC!$A$4:$J$6971,7,FALSE)</f>
        <v>0</v>
      </c>
    </row>
    <row r="2931" spans="1:11" ht="14.5">
      <c r="A2931" s="20" t="s">
        <v>21306</v>
      </c>
      <c r="B2931" s="20">
        <v>35</v>
      </c>
      <c r="C2931" s="20">
        <v>31</v>
      </c>
      <c r="D2931" s="20">
        <v>77</v>
      </c>
      <c r="E2931" s="20">
        <v>8</v>
      </c>
      <c r="F2931" s="20" t="s">
        <v>21307</v>
      </c>
      <c r="G2931" s="20" t="s">
        <v>21308</v>
      </c>
      <c r="H2931" s="24"/>
      <c r="I2931" s="24" t="str">
        <f ca="1">IFERROR(__xludf.DUMMYFUNCTION("GOOGLETRANSLATE(F2931,""en"",""pt"")"),"aferidores de impregnação à base de betume")</f>
        <v>aferidores de impregnação à base de betume</v>
      </c>
      <c r="J2931">
        <f>VLOOKUP(A2931,Pr_Base_LNEC!$A$4:$J$6971,6,FALSE)</f>
        <v>0</v>
      </c>
      <c r="K2931">
        <f>VLOOKUP(A2931,Pr_Base_LNEC!$A$4:$J$6971,7,FALSE)</f>
        <v>0</v>
      </c>
    </row>
    <row r="2932" spans="1:11" ht="14.5">
      <c r="A2932" s="20" t="s">
        <v>21309</v>
      </c>
      <c r="B2932" s="20">
        <v>35</v>
      </c>
      <c r="C2932" s="20">
        <v>31</v>
      </c>
      <c r="D2932" s="20">
        <v>77</v>
      </c>
      <c r="E2932" s="20">
        <v>12</v>
      </c>
      <c r="F2932" s="20" t="s">
        <v>21310</v>
      </c>
      <c r="G2932" s="20" t="s">
        <v>21311</v>
      </c>
      <c r="H2932" s="24"/>
      <c r="I2932" s="24" t="str">
        <f ca="1">IFERROR(__xludf.DUMMYFUNCTION("GOOGLETRANSLATE(F2932,""en"",""pt"")"),"aferidores de superfície da mesa à base de cimento")</f>
        <v>aferidores de superfície da mesa à base de cimento</v>
      </c>
      <c r="J2932">
        <f>VLOOKUP(A2932,Pr_Base_LNEC!$A$4:$J$6971,6,FALSE)</f>
        <v>0</v>
      </c>
      <c r="K2932">
        <f>VLOOKUP(A2932,Pr_Base_LNEC!$A$4:$J$6971,7,FALSE)</f>
        <v>0</v>
      </c>
    </row>
    <row r="2933" spans="1:11" ht="14.5">
      <c r="A2933" s="20" t="s">
        <v>21312</v>
      </c>
      <c r="B2933" s="20">
        <v>35</v>
      </c>
      <c r="C2933" s="20">
        <v>31</v>
      </c>
      <c r="D2933" s="20">
        <v>77</v>
      </c>
      <c r="E2933" s="20">
        <v>15</v>
      </c>
      <c r="F2933" s="20" t="s">
        <v>21313</v>
      </c>
      <c r="G2933" s="20" t="s">
        <v>21314</v>
      </c>
      <c r="H2933" s="24"/>
      <c r="I2933" s="24" t="str">
        <f ca="1">IFERROR(__xludf.DUMMYFUNCTION("GOOGLETRANSLATE(F2933,""en"",""pt"")"),"selantes concretas")</f>
        <v>selantes concretas</v>
      </c>
      <c r="J2933">
        <f>VLOOKUP(A2933,Pr_Base_LNEC!$A$4:$J$6971,6,FALSE)</f>
        <v>0</v>
      </c>
      <c r="K2933">
        <f>VLOOKUP(A2933,Pr_Base_LNEC!$A$4:$J$6971,7,FALSE)</f>
        <v>0</v>
      </c>
    </row>
    <row r="2934" spans="1:11" ht="14.5">
      <c r="A2934" s="20" t="s">
        <v>21315</v>
      </c>
      <c r="B2934" s="20">
        <v>35</v>
      </c>
      <c r="C2934" s="20">
        <v>31</v>
      </c>
      <c r="D2934" s="20">
        <v>77</v>
      </c>
      <c r="E2934" s="20">
        <v>16</v>
      </c>
      <c r="F2934" s="20" t="s">
        <v>21316</v>
      </c>
      <c r="G2934" s="20" t="s">
        <v>21317</v>
      </c>
      <c r="H2934" s="24"/>
      <c r="I2934" s="24" t="str">
        <f ca="1">IFERROR(__xludf.DUMMYFUNCTION("GOOGLETRANSLATE(F2934,""en"",""pt"")"),"selantes pavimentos de cortiça")</f>
        <v>selantes pavimentos de cortiça</v>
      </c>
      <c r="J2934">
        <f>VLOOKUP(A2934,Pr_Base_LNEC!$A$4:$J$6971,6,FALSE)</f>
        <v>0</v>
      </c>
      <c r="K2934">
        <f>VLOOKUP(A2934,Pr_Base_LNEC!$A$4:$J$6971,7,FALSE)</f>
        <v>0</v>
      </c>
    </row>
    <row r="2935" spans="1:11" ht="14.5">
      <c r="A2935" s="20" t="s">
        <v>21318</v>
      </c>
      <c r="B2935" s="20">
        <v>35</v>
      </c>
      <c r="C2935" s="20">
        <v>31</v>
      </c>
      <c r="D2935" s="20">
        <v>77</v>
      </c>
      <c r="E2935" s="20">
        <v>24</v>
      </c>
      <c r="F2935" s="20" t="s">
        <v>21319</v>
      </c>
      <c r="G2935" s="20" t="s">
        <v>21320</v>
      </c>
      <c r="H2935" s="24"/>
      <c r="I2935" s="24" t="str">
        <f ca="1">IFERROR(__xludf.DUMMYFUNCTION("GOOGLETRANSLATE(F2935,""en"",""pt"")"),"selantes acabamento agitação seco")</f>
        <v>selantes acabamento agitação seco</v>
      </c>
      <c r="J2935">
        <f>VLOOKUP(A2935,Pr_Base_LNEC!$A$4:$J$6971,6,FALSE)</f>
        <v>0</v>
      </c>
      <c r="K2935">
        <f>VLOOKUP(A2935,Pr_Base_LNEC!$A$4:$J$6971,7,FALSE)</f>
        <v>0</v>
      </c>
    </row>
    <row r="2936" spans="1:11" ht="14.5">
      <c r="A2936" s="20" t="s">
        <v>21321</v>
      </c>
      <c r="B2936" s="20">
        <v>35</v>
      </c>
      <c r="C2936" s="20">
        <v>31</v>
      </c>
      <c r="D2936" s="20">
        <v>77</v>
      </c>
      <c r="E2936" s="20">
        <v>25</v>
      </c>
      <c r="F2936" s="20" t="s">
        <v>21322</v>
      </c>
      <c r="G2936" s="20" t="s">
        <v>21323</v>
      </c>
      <c r="H2936" s="24"/>
      <c r="I2936" s="24" t="str">
        <f ca="1">IFERROR(__xludf.DUMMYFUNCTION("GOOGLETRANSLATE(F2936,""en"",""pt"")"),"selantes dustproofing")</f>
        <v>selantes dustproofing</v>
      </c>
      <c r="J2936">
        <f>VLOOKUP(A2936,Pr_Base_LNEC!$A$4:$J$6971,6,FALSE)</f>
        <v>0</v>
      </c>
      <c r="K2936">
        <f>VLOOKUP(A2936,Pr_Base_LNEC!$A$4:$J$6971,7,FALSE)</f>
        <v>0</v>
      </c>
    </row>
    <row r="2937" spans="1:11" ht="14.5">
      <c r="A2937" s="20" t="s">
        <v>21324</v>
      </c>
      <c r="B2937" s="20">
        <v>35</v>
      </c>
      <c r="C2937" s="20">
        <v>31</v>
      </c>
      <c r="D2937" s="20">
        <v>77</v>
      </c>
      <c r="E2937" s="20">
        <v>30</v>
      </c>
      <c r="F2937" s="20" t="s">
        <v>21325</v>
      </c>
      <c r="G2937" s="20" t="s">
        <v>21326</v>
      </c>
      <c r="H2937" s="24"/>
      <c r="I2937" s="24" t="str">
        <f ca="1">IFERROR(__xludf.DUMMYFUNCTION("GOOGLETRANSLATE(F2937,""en"",""pt"")"),"selantes superfície do piso")</f>
        <v>selantes superfície do piso</v>
      </c>
      <c r="J2937">
        <f>VLOOKUP(A2937,Pr_Base_LNEC!$A$4:$J$6971,6,FALSE)</f>
        <v>0</v>
      </c>
      <c r="K2937">
        <f>VLOOKUP(A2937,Pr_Base_LNEC!$A$4:$J$6971,7,FALSE)</f>
        <v>0</v>
      </c>
    </row>
    <row r="2938" spans="1:11" ht="14.5">
      <c r="A2938" s="20" t="s">
        <v>21327</v>
      </c>
      <c r="B2938" s="20">
        <v>35</v>
      </c>
      <c r="C2938" s="20">
        <v>31</v>
      </c>
      <c r="D2938" s="20">
        <v>77</v>
      </c>
      <c r="E2938" s="20">
        <v>42</v>
      </c>
      <c r="F2938" s="20" t="s">
        <v>21328</v>
      </c>
      <c r="G2938" s="20" t="s">
        <v>21329</v>
      </c>
      <c r="H2938" s="24"/>
      <c r="I2938" s="24" t="str">
        <f ca="1">IFERROR(__xludf.DUMMYFUNCTION("GOOGLETRANSLATE(F2938,""en"",""pt"")"),"aferidores revestimento intumescente")</f>
        <v>aferidores revestimento intumescente</v>
      </c>
      <c r="J2938">
        <f>VLOOKUP(A2938,Pr_Base_LNEC!$A$4:$J$6971,6,FALSE)</f>
        <v>0</v>
      </c>
      <c r="K2938">
        <f>VLOOKUP(A2938,Pr_Base_LNEC!$A$4:$J$6971,7,FALSE)</f>
        <v>0</v>
      </c>
    </row>
    <row r="2939" spans="1:11" ht="14.5">
      <c r="A2939" s="20" t="s">
        <v>21330</v>
      </c>
      <c r="B2939" s="20">
        <v>35</v>
      </c>
      <c r="C2939" s="20">
        <v>31</v>
      </c>
      <c r="D2939" s="20">
        <v>77</v>
      </c>
      <c r="E2939" s="20">
        <v>46</v>
      </c>
      <c r="F2939" s="20" t="s">
        <v>21331</v>
      </c>
      <c r="G2939" s="24"/>
      <c r="H2939" s="24"/>
      <c r="I2939" s="24" t="str">
        <f ca="1">IFERROR(__xludf.DUMMYFUNCTION("GOOGLETRANSLATE(F2939,""en"",""pt"")"),"membranas líquidas aplicadas")</f>
        <v>membranas líquidas aplicadas</v>
      </c>
      <c r="J2939" t="e">
        <f>VLOOKUP(A2939,Pr_Base_LNEC!$A$4:$J$6971,6,FALSE)</f>
        <v>#N/A</v>
      </c>
      <c r="K2939" t="e">
        <f>VLOOKUP(A2939,Pr_Base_LNEC!$A$4:$J$6971,7,FALSE)</f>
        <v>#N/A</v>
      </c>
    </row>
    <row r="2940" spans="1:11" ht="14.5">
      <c r="A2940" s="20" t="s">
        <v>21332</v>
      </c>
      <c r="B2940" s="20">
        <v>35</v>
      </c>
      <c r="C2940" s="20">
        <v>31</v>
      </c>
      <c r="D2940" s="20">
        <v>77</v>
      </c>
      <c r="E2940" s="20">
        <v>50</v>
      </c>
      <c r="F2940" s="20" t="s">
        <v>21333</v>
      </c>
      <c r="G2940" s="20" t="s">
        <v>21334</v>
      </c>
      <c r="H2940" s="24"/>
      <c r="I2940" s="24" t="str">
        <f ca="1">IFERROR(__xludf.DUMMYFUNCTION("GOOGLETRANSLATE(F2940,""en"",""pt"")"),"mastique (MA), cimentos resistentes a óleo")</f>
        <v>mastique (MA), cimentos resistentes a óleo</v>
      </c>
      <c r="J2940">
        <f>VLOOKUP(A2940,Pr_Base_LNEC!$A$4:$J$6971,6,FALSE)</f>
        <v>0</v>
      </c>
      <c r="K2940">
        <f>VLOOKUP(A2940,Pr_Base_LNEC!$A$4:$J$6971,7,FALSE)</f>
        <v>0</v>
      </c>
    </row>
    <row r="2941" spans="1:11" ht="14.5">
      <c r="A2941" s="20" t="s">
        <v>21335</v>
      </c>
      <c r="B2941" s="20">
        <v>35</v>
      </c>
      <c r="C2941" s="20">
        <v>31</v>
      </c>
      <c r="D2941" s="20">
        <v>77</v>
      </c>
      <c r="E2941" s="20">
        <v>60</v>
      </c>
      <c r="F2941" s="20" t="s">
        <v>21336</v>
      </c>
      <c r="G2941" s="20" t="s">
        <v>21337</v>
      </c>
      <c r="H2941" s="24"/>
      <c r="I2941" s="24" t="str">
        <f ca="1">IFERROR(__xludf.DUMMYFUNCTION("GOOGLETRANSLATE(F2941,""en"",""pt"")"),"Pavimentação selantes e estabilizadores")</f>
        <v>Pavimentação selantes e estabilizadores</v>
      </c>
      <c r="J2941">
        <f>VLOOKUP(A2941,Pr_Base_LNEC!$A$4:$J$6971,6,FALSE)</f>
        <v>0</v>
      </c>
      <c r="K2941">
        <f>VLOOKUP(A2941,Pr_Base_LNEC!$A$4:$J$6971,7,FALSE)</f>
        <v>0</v>
      </c>
    </row>
    <row r="2942" spans="1:11" ht="14.5">
      <c r="A2942" s="20" t="s">
        <v>21338</v>
      </c>
      <c r="B2942" s="20">
        <v>35</v>
      </c>
      <c r="C2942" s="20">
        <v>31</v>
      </c>
      <c r="D2942" s="20">
        <v>77</v>
      </c>
      <c r="E2942" s="20">
        <v>72</v>
      </c>
      <c r="F2942" s="20" t="s">
        <v>21339</v>
      </c>
      <c r="G2942" s="20" t="s">
        <v>21340</v>
      </c>
      <c r="H2942" s="24"/>
      <c r="I2942" s="24" t="str">
        <f ca="1">IFERROR(__xludf.DUMMYFUNCTION("GOOGLETRANSLATE(F2942,""en"",""pt"")"),"selantes de pavimentos em resina")</f>
        <v>selantes de pavimentos em resina</v>
      </c>
      <c r="J2942">
        <f>VLOOKUP(A2942,Pr_Base_LNEC!$A$4:$J$6971,6,FALSE)</f>
        <v>0</v>
      </c>
      <c r="K2942">
        <f>VLOOKUP(A2942,Pr_Base_LNEC!$A$4:$J$6971,7,FALSE)</f>
        <v>0</v>
      </c>
    </row>
    <row r="2943" spans="1:11" ht="14.5">
      <c r="A2943" s="20" t="s">
        <v>21341</v>
      </c>
      <c r="B2943" s="20">
        <v>35</v>
      </c>
      <c r="C2943" s="20">
        <v>31</v>
      </c>
      <c r="D2943" s="20">
        <v>77</v>
      </c>
      <c r="E2943" s="20">
        <v>76</v>
      </c>
      <c r="F2943" s="20" t="s">
        <v>21342</v>
      </c>
      <c r="G2943" s="20" t="s">
        <v>21343</v>
      </c>
      <c r="H2943" s="24"/>
      <c r="I2943" s="24" t="str">
        <f ca="1">IFERROR(__xludf.DUMMYFUNCTION("GOOGLETRANSLATE(F2943,""en"",""pt"")"),"aferidores")</f>
        <v>aferidores</v>
      </c>
      <c r="J2943">
        <f>VLOOKUP(A2943,Pr_Base_LNEC!$A$4:$J$6971,6,FALSE)</f>
        <v>0</v>
      </c>
      <c r="K2943">
        <f>VLOOKUP(A2943,Pr_Base_LNEC!$A$4:$J$6971,7,FALSE)</f>
        <v>0</v>
      </c>
    </row>
    <row r="2944" spans="1:11" ht="14.5">
      <c r="A2944" s="20" t="s">
        <v>21344</v>
      </c>
      <c r="B2944" s="20">
        <v>35</v>
      </c>
      <c r="C2944" s="20">
        <v>31</v>
      </c>
      <c r="D2944" s="20">
        <v>77</v>
      </c>
      <c r="E2944" s="20">
        <v>83</v>
      </c>
      <c r="F2944" s="20" t="s">
        <v>21345</v>
      </c>
      <c r="G2944" s="20" t="s">
        <v>21346</v>
      </c>
      <c r="H2944" s="24"/>
      <c r="I2944" s="24" t="str">
        <f ca="1">IFERROR(__xludf.DUMMYFUNCTION("GOOGLETRANSLATE(F2944,""en"",""pt"")"),"Pulverizados demãos de acabamento de revestimento monolítico")</f>
        <v>Pulverizados demãos de acabamento de revestimento monolítico</v>
      </c>
      <c r="J2944">
        <f>VLOOKUP(A2944,Pr_Base_LNEC!$A$4:$J$6971,6,FALSE)</f>
        <v>0</v>
      </c>
      <c r="K2944">
        <f>VLOOKUP(A2944,Pr_Base_LNEC!$A$4:$J$6971,7,FALSE)</f>
        <v>0</v>
      </c>
    </row>
    <row r="2945" spans="1:11" ht="14.5">
      <c r="A2945" s="20" t="s">
        <v>21347</v>
      </c>
      <c r="B2945" s="20">
        <v>35</v>
      </c>
      <c r="C2945" s="20">
        <v>31</v>
      </c>
      <c r="D2945" s="20">
        <v>77</v>
      </c>
      <c r="E2945" s="20">
        <v>84</v>
      </c>
      <c r="F2945" s="20" t="s">
        <v>21348</v>
      </c>
      <c r="G2945" s="20" t="s">
        <v>21349</v>
      </c>
      <c r="H2945" s="24"/>
      <c r="I2945" s="24" t="str">
        <f ca="1">IFERROR(__xludf.DUMMYFUNCTION("GOOGLETRANSLATE(F2945,""en"",""pt"")"),"Pulverizados aferidores de revestimento monolítico")</f>
        <v>Pulverizados aferidores de revestimento monolítico</v>
      </c>
      <c r="J2945">
        <f>VLOOKUP(A2945,Pr_Base_LNEC!$A$4:$J$6971,6,FALSE)</f>
        <v>0</v>
      </c>
      <c r="K2945">
        <f>VLOOKUP(A2945,Pr_Base_LNEC!$A$4:$J$6971,7,FALSE)</f>
        <v>0</v>
      </c>
    </row>
    <row r="2946" spans="1:11" ht="14.5">
      <c r="A2946" s="20" t="s">
        <v>21350</v>
      </c>
      <c r="B2946" s="20">
        <v>35</v>
      </c>
      <c r="C2946" s="20">
        <v>31</v>
      </c>
      <c r="D2946" s="20">
        <v>77</v>
      </c>
      <c r="E2946" s="20">
        <v>92</v>
      </c>
      <c r="F2946" s="20" t="s">
        <v>21351</v>
      </c>
      <c r="G2946" s="20" t="s">
        <v>21352</v>
      </c>
      <c r="H2946" s="24"/>
      <c r="I2946" s="24" t="str">
        <f ca="1">IFERROR(__xludf.DUMMYFUNCTION("GOOGLETRANSLATE(F2946,""en"",""pt"")"),"Ultravioleta (UV) cimentos resistentes")</f>
        <v>Ultravioleta (UV) cimentos resistentes</v>
      </c>
      <c r="J2946">
        <f>VLOOKUP(A2946,Pr_Base_LNEC!$A$4:$J$6971,6,FALSE)</f>
        <v>0</v>
      </c>
      <c r="K2946">
        <f>VLOOKUP(A2946,Pr_Base_LNEC!$A$4:$J$6971,7,FALSE)</f>
        <v>0</v>
      </c>
    </row>
    <row r="2947" spans="1:11" ht="14.5">
      <c r="A2947" s="20" t="s">
        <v>21353</v>
      </c>
      <c r="B2947" s="20">
        <v>35</v>
      </c>
      <c r="C2947" s="20">
        <v>31</v>
      </c>
      <c r="D2947" s="20">
        <v>77</v>
      </c>
      <c r="E2947" s="20">
        <v>96</v>
      </c>
      <c r="F2947" s="20" t="s">
        <v>21354</v>
      </c>
      <c r="G2947" s="20" t="s">
        <v>21355</v>
      </c>
      <c r="H2947" s="24"/>
      <c r="I2947" s="24" t="str">
        <f ca="1">IFERROR(__xludf.DUMMYFUNCTION("GOOGLETRANSLATE(F2947,""en"",""pt"")"),"aferidores do assoalho de madeira")</f>
        <v>aferidores do assoalho de madeira</v>
      </c>
      <c r="J2947">
        <f>VLOOKUP(A2947,Pr_Base_LNEC!$A$4:$J$6971,6,FALSE)</f>
        <v>0</v>
      </c>
      <c r="K2947">
        <f>VLOOKUP(A2947,Pr_Base_LNEC!$A$4:$J$6971,7,FALSE)</f>
        <v>0</v>
      </c>
    </row>
    <row r="2948" spans="1:11" ht="14.5">
      <c r="A2948" s="20" t="s">
        <v>21356</v>
      </c>
      <c r="B2948" s="20">
        <v>35</v>
      </c>
      <c r="C2948" s="20">
        <v>31</v>
      </c>
      <c r="D2948" s="20">
        <v>85</v>
      </c>
      <c r="E2948" s="24"/>
      <c r="F2948" s="20" t="s">
        <v>21357</v>
      </c>
      <c r="G2948" s="24"/>
      <c r="H2948" s="24"/>
      <c r="I2948" s="24" t="str">
        <f ca="1">IFERROR(__xludf.DUMMYFUNCTION("GOOGLETRANSLATE(F2948,""en"",""pt"")"),"revestimentos especiais")</f>
        <v>revestimentos especiais</v>
      </c>
      <c r="J2948">
        <f>VLOOKUP(A2948,Pr_Base_LNEC!$A$4:$J$6971,6,FALSE)</f>
        <v>0</v>
      </c>
      <c r="K2948">
        <f>VLOOKUP(A2948,Pr_Base_LNEC!$A$4:$J$6971,7,FALSE)</f>
        <v>0</v>
      </c>
    </row>
    <row r="2949" spans="1:11" ht="14.5">
      <c r="A2949" s="20" t="s">
        <v>21358</v>
      </c>
      <c r="B2949" s="20">
        <v>35</v>
      </c>
      <c r="C2949" s="20">
        <v>31</v>
      </c>
      <c r="D2949" s="20">
        <v>85</v>
      </c>
      <c r="E2949" s="20">
        <v>2</v>
      </c>
      <c r="F2949" s="20" t="s">
        <v>21359</v>
      </c>
      <c r="G2949" s="20" t="s">
        <v>21360</v>
      </c>
      <c r="H2949" s="24"/>
      <c r="I2949" s="24" t="str">
        <f ca="1">IFERROR(__xludf.DUMMYFUNCTION("GOOGLETRANSLATE(F2949,""en"",""pt"")"),"revestimentos rampa acústicos")</f>
        <v>revestimentos rampa acústicos</v>
      </c>
      <c r="J2949">
        <f>VLOOKUP(A2949,Pr_Base_LNEC!$A$4:$J$6971,6,FALSE)</f>
        <v>0</v>
      </c>
      <c r="K2949">
        <f>VLOOKUP(A2949,Pr_Base_LNEC!$A$4:$J$6971,7,FALSE)</f>
        <v>0</v>
      </c>
    </row>
    <row r="2950" spans="1:11" ht="14.5">
      <c r="A2950" s="20" t="s">
        <v>21361</v>
      </c>
      <c r="B2950" s="20">
        <v>35</v>
      </c>
      <c r="C2950" s="20">
        <v>31</v>
      </c>
      <c r="D2950" s="20">
        <v>85</v>
      </c>
      <c r="E2950" s="20">
        <v>3</v>
      </c>
      <c r="F2950" s="20" t="s">
        <v>21362</v>
      </c>
      <c r="G2950" s="20" t="s">
        <v>21363</v>
      </c>
      <c r="H2950" s="24"/>
      <c r="I2950" s="24" t="str">
        <f ca="1">IFERROR(__xludf.DUMMYFUNCTION("GOOGLETRANSLATE(F2950,""en"",""pt"")"),"tintas anti-escalada")</f>
        <v>tintas anti-escalada</v>
      </c>
      <c r="J2950">
        <f>VLOOKUP(A2950,Pr_Base_LNEC!$A$4:$J$6971,6,FALSE)</f>
        <v>0</v>
      </c>
      <c r="K2950">
        <f>VLOOKUP(A2950,Pr_Base_LNEC!$A$4:$J$6971,7,FALSE)</f>
        <v>0</v>
      </c>
    </row>
    <row r="2951" spans="1:11" ht="14.5">
      <c r="A2951" s="20" t="s">
        <v>21364</v>
      </c>
      <c r="B2951" s="20">
        <v>35</v>
      </c>
      <c r="C2951" s="20">
        <v>31</v>
      </c>
      <c r="D2951" s="20">
        <v>85</v>
      </c>
      <c r="E2951" s="20">
        <v>4</v>
      </c>
      <c r="F2951" s="20" t="s">
        <v>21365</v>
      </c>
      <c r="G2951" s="20" t="s">
        <v>21366</v>
      </c>
      <c r="H2951" s="24"/>
      <c r="I2951" s="24" t="str">
        <f ca="1">IFERROR(__xludf.DUMMYFUNCTION("GOOGLETRANSLATE(F2951,""en"",""pt"")"),"revestimentos de piso anti-derrapante")</f>
        <v>revestimentos de piso anti-derrapante</v>
      </c>
      <c r="J2951">
        <f>VLOOKUP(A2951,Pr_Base_LNEC!$A$4:$J$6971,6,FALSE)</f>
        <v>0</v>
      </c>
      <c r="K2951">
        <f>VLOOKUP(A2951,Pr_Base_LNEC!$A$4:$J$6971,7,FALSE)</f>
        <v>0</v>
      </c>
    </row>
    <row r="2952" spans="1:11" ht="14.5">
      <c r="A2952" s="20" t="s">
        <v>21367</v>
      </c>
      <c r="B2952" s="20">
        <v>35</v>
      </c>
      <c r="C2952" s="20">
        <v>31</v>
      </c>
      <c r="D2952" s="20">
        <v>85</v>
      </c>
      <c r="E2952" s="20">
        <v>5</v>
      </c>
      <c r="F2952" s="20" t="s">
        <v>21368</v>
      </c>
      <c r="G2952" s="24"/>
      <c r="H2952" s="24"/>
      <c r="I2952" s="24" t="str">
        <f ca="1">IFERROR(__xludf.DUMMYFUNCTION("GOOGLETRANSLATE(F2952,""en"",""pt"")"),"tratamentos tapete anti-estáticos")</f>
        <v>tratamentos tapete anti-estáticos</v>
      </c>
      <c r="J2952">
        <f>VLOOKUP(A2952,Pr_Base_LNEC!$A$4:$J$6971,6,FALSE)</f>
        <v>0</v>
      </c>
      <c r="K2952">
        <f>VLOOKUP(A2952,Pr_Base_LNEC!$A$4:$J$6971,7,FALSE)</f>
        <v>0</v>
      </c>
    </row>
    <row r="2953" spans="1:11" ht="14.5">
      <c r="A2953" s="20" t="s">
        <v>21369</v>
      </c>
      <c r="B2953" s="20">
        <v>35</v>
      </c>
      <c r="C2953" s="20">
        <v>31</v>
      </c>
      <c r="D2953" s="20">
        <v>85</v>
      </c>
      <c r="E2953" s="20">
        <v>13</v>
      </c>
      <c r="F2953" s="20" t="s">
        <v>21370</v>
      </c>
      <c r="G2953" s="20" t="s">
        <v>21371</v>
      </c>
      <c r="H2953" s="24"/>
      <c r="I2953" s="24" t="str">
        <f ca="1">IFERROR(__xludf.DUMMYFUNCTION("GOOGLETRANSLATE(F2953,""en"",""pt"")"),"marcas rodoviárias borracha clorada")</f>
        <v>marcas rodoviárias borracha clorada</v>
      </c>
      <c r="J2953">
        <f>VLOOKUP(A2953,Pr_Base_LNEC!$A$4:$J$6971,6,FALSE)</f>
        <v>0</v>
      </c>
      <c r="K2953">
        <f>VLOOKUP(A2953,Pr_Base_LNEC!$A$4:$J$6971,7,FALSE)</f>
        <v>0</v>
      </c>
    </row>
    <row r="2954" spans="1:11" ht="14.5">
      <c r="A2954" s="20" t="s">
        <v>21372</v>
      </c>
      <c r="B2954" s="20">
        <v>35</v>
      </c>
      <c r="C2954" s="20">
        <v>31</v>
      </c>
      <c r="D2954" s="20">
        <v>85</v>
      </c>
      <c r="E2954" s="20">
        <v>21</v>
      </c>
      <c r="F2954" s="20" t="s">
        <v>21373</v>
      </c>
      <c r="G2954" s="24"/>
      <c r="H2954" s="24"/>
      <c r="I2954" s="24" t="str">
        <f ca="1">IFERROR(__xludf.DUMMYFUNCTION("GOOGLETRANSLATE(F2954,""en"",""pt"")"),"Damp revestimentos à prova")</f>
        <v>Damp revestimentos à prova</v>
      </c>
      <c r="J2954">
        <f>VLOOKUP(A2954,Pr_Base_LNEC!$A$4:$J$6971,6,FALSE)</f>
        <v>0</v>
      </c>
      <c r="K2954">
        <f>VLOOKUP(A2954,Pr_Base_LNEC!$A$4:$J$6971,7,FALSE)</f>
        <v>0</v>
      </c>
    </row>
    <row r="2955" spans="1:11" ht="14.5">
      <c r="A2955" s="20" t="s">
        <v>21374</v>
      </c>
      <c r="B2955" s="20">
        <v>35</v>
      </c>
      <c r="C2955" s="20">
        <v>31</v>
      </c>
      <c r="D2955" s="20">
        <v>85</v>
      </c>
      <c r="E2955" s="20">
        <v>24</v>
      </c>
      <c r="F2955" s="20" t="s">
        <v>21375</v>
      </c>
      <c r="G2955" s="20" t="s">
        <v>21376</v>
      </c>
      <c r="H2955" s="24"/>
      <c r="I2955" s="24" t="str">
        <f ca="1">IFERROR(__xludf.DUMMYFUNCTION("GOOGLETRANSLATE(F2955,""en"",""pt"")"),"tintas podridão seca")</f>
        <v>tintas podridão seca</v>
      </c>
      <c r="J2955">
        <f>VLOOKUP(A2955,Pr_Base_LNEC!$A$4:$J$6971,6,FALSE)</f>
        <v>0</v>
      </c>
      <c r="K2955">
        <f>VLOOKUP(A2955,Pr_Base_LNEC!$A$4:$J$6971,7,FALSE)</f>
        <v>0</v>
      </c>
    </row>
    <row r="2956" spans="1:11" ht="14.5">
      <c r="A2956" s="20" t="s">
        <v>21377</v>
      </c>
      <c r="B2956" s="20">
        <v>35</v>
      </c>
      <c r="C2956" s="20">
        <v>31</v>
      </c>
      <c r="D2956" s="20">
        <v>85</v>
      </c>
      <c r="E2956" s="20">
        <v>26</v>
      </c>
      <c r="F2956" s="20" t="s">
        <v>21378</v>
      </c>
      <c r="G2956" s="24"/>
      <c r="H2956" s="24"/>
      <c r="I2956" s="24" t="str">
        <f ca="1">IFERROR(__xludf.DUMMYFUNCTION("GOOGLETRANSLATE(F2956,""en"",""pt"")"),"tintas elastoméricas")</f>
        <v>tintas elastoméricas</v>
      </c>
      <c r="J2956">
        <f>VLOOKUP(A2956,Pr_Base_LNEC!$A$4:$J$6971,6,FALSE)</f>
        <v>0</v>
      </c>
      <c r="K2956">
        <f>VLOOKUP(A2956,Pr_Base_LNEC!$A$4:$J$6971,7,FALSE)</f>
        <v>0</v>
      </c>
    </row>
    <row r="2957" spans="1:11" ht="14.5">
      <c r="A2957" s="20" t="s">
        <v>21379</v>
      </c>
      <c r="B2957" s="20">
        <v>35</v>
      </c>
      <c r="C2957" s="20">
        <v>31</v>
      </c>
      <c r="D2957" s="20">
        <v>85</v>
      </c>
      <c r="E2957" s="20">
        <v>27</v>
      </c>
      <c r="F2957" s="20" t="s">
        <v>21380</v>
      </c>
      <c r="G2957" s="20" t="s">
        <v>21381</v>
      </c>
      <c r="H2957" s="24"/>
      <c r="I2957" s="24" t="str">
        <f ca="1">IFERROR(__xludf.DUMMYFUNCTION("GOOGLETRANSLATE(F2957,""en"",""pt"")"),"marcas rodoviárias pintura epóxi")</f>
        <v>marcas rodoviárias pintura epóxi</v>
      </c>
      <c r="J2957">
        <f>VLOOKUP(A2957,Pr_Base_LNEC!$A$4:$J$6971,6,FALSE)</f>
        <v>0</v>
      </c>
      <c r="K2957">
        <f>VLOOKUP(A2957,Pr_Base_LNEC!$A$4:$J$6971,7,FALSE)</f>
        <v>0</v>
      </c>
    </row>
    <row r="2958" spans="1:11" ht="14.5">
      <c r="A2958" s="20" t="s">
        <v>21382</v>
      </c>
      <c r="B2958" s="20">
        <v>35</v>
      </c>
      <c r="C2958" s="20">
        <v>31</v>
      </c>
      <c r="D2958" s="20">
        <v>85</v>
      </c>
      <c r="E2958" s="20">
        <v>29</v>
      </c>
      <c r="F2958" s="20" t="s">
        <v>21383</v>
      </c>
      <c r="G2958" s="24"/>
      <c r="H2958" s="24"/>
      <c r="I2958" s="24" t="str">
        <f ca="1">IFERROR(__xludf.DUMMYFUNCTION("GOOGLETRANSLATE(F2958,""en"",""pt"")"),"tintas fluorescentes")</f>
        <v>tintas fluorescentes</v>
      </c>
      <c r="J2958">
        <f>VLOOKUP(A2958,Pr_Base_LNEC!$A$4:$J$6971,6,FALSE)</f>
        <v>0</v>
      </c>
      <c r="K2958">
        <f>VLOOKUP(A2958,Pr_Base_LNEC!$A$4:$J$6971,7,FALSE)</f>
        <v>0</v>
      </c>
    </row>
    <row r="2959" spans="1:11" ht="14.5">
      <c r="A2959" s="20" t="s">
        <v>21384</v>
      </c>
      <c r="B2959" s="20">
        <v>35</v>
      </c>
      <c r="C2959" s="20">
        <v>31</v>
      </c>
      <c r="D2959" s="20">
        <v>85</v>
      </c>
      <c r="E2959" s="20">
        <v>35</v>
      </c>
      <c r="F2959" s="20" t="s">
        <v>21385</v>
      </c>
      <c r="G2959" s="20" t="s">
        <v>21386</v>
      </c>
      <c r="H2959" s="24"/>
      <c r="I2959" s="24" t="str">
        <f ca="1">IFERROR(__xludf.DUMMYFUNCTION("GOOGLETRANSLATE(F2959,""en"",""pt"")"),"folha gilding")</f>
        <v>folha gilding</v>
      </c>
      <c r="J2959">
        <f>VLOOKUP(A2959,Pr_Base_LNEC!$A$4:$J$6971,6,FALSE)</f>
        <v>0</v>
      </c>
      <c r="K2959">
        <f>VLOOKUP(A2959,Pr_Base_LNEC!$A$4:$J$6971,7,FALSE)</f>
        <v>0</v>
      </c>
    </row>
    <row r="2960" spans="1:11" ht="14.5">
      <c r="A2960" s="20" t="s">
        <v>21387</v>
      </c>
      <c r="B2960" s="20">
        <v>35</v>
      </c>
      <c r="C2960" s="20">
        <v>31</v>
      </c>
      <c r="D2960" s="20">
        <v>85</v>
      </c>
      <c r="E2960" s="20">
        <v>36</v>
      </c>
      <c r="F2960" s="20" t="s">
        <v>21388</v>
      </c>
      <c r="G2960" s="20" t="s">
        <v>21389</v>
      </c>
      <c r="H2960" s="24"/>
      <c r="I2960" s="24" t="str">
        <f ca="1">IFERROR(__xludf.DUMMYFUNCTION("GOOGLETRANSLATE(F2960,""en"",""pt"")"),"tamanho gilding")</f>
        <v>tamanho gilding</v>
      </c>
      <c r="J2960">
        <f>VLOOKUP(A2960,Pr_Base_LNEC!$A$4:$J$6971,6,FALSE)</f>
        <v>0</v>
      </c>
      <c r="K2960">
        <f>VLOOKUP(A2960,Pr_Base_LNEC!$A$4:$J$6971,7,FALSE)</f>
        <v>0</v>
      </c>
    </row>
    <row r="2961" spans="1:11" ht="14.5">
      <c r="A2961" s="20" t="s">
        <v>21390</v>
      </c>
      <c r="B2961" s="20">
        <v>35</v>
      </c>
      <c r="C2961" s="20">
        <v>31</v>
      </c>
      <c r="D2961" s="20">
        <v>85</v>
      </c>
      <c r="E2961" s="20">
        <v>46</v>
      </c>
      <c r="F2961" s="20" t="s">
        <v>21391</v>
      </c>
      <c r="G2961" s="20" t="s">
        <v>21392</v>
      </c>
      <c r="H2961" s="24"/>
      <c r="I2961" s="24" t="str">
        <f ca="1">IFERROR(__xludf.DUMMYFUNCTION("GOOGLETRANSLATE(F2961,""en"",""pt"")"),"marcas rodoviárias ligeiros")</f>
        <v>marcas rodoviárias ligeiros</v>
      </c>
      <c r="J2961">
        <f>VLOOKUP(A2961,Pr_Base_LNEC!$A$4:$J$6971,6,FALSE)</f>
        <v>0</v>
      </c>
      <c r="K2961">
        <f>VLOOKUP(A2961,Pr_Base_LNEC!$A$4:$J$6971,7,FALSE)</f>
        <v>0</v>
      </c>
    </row>
    <row r="2962" spans="1:11" ht="14.5">
      <c r="A2962" s="20" t="s">
        <v>21393</v>
      </c>
      <c r="B2962" s="20">
        <v>35</v>
      </c>
      <c r="C2962" s="20">
        <v>31</v>
      </c>
      <c r="D2962" s="20">
        <v>85</v>
      </c>
      <c r="E2962" s="20">
        <v>47</v>
      </c>
      <c r="F2962" s="20" t="s">
        <v>21394</v>
      </c>
      <c r="G2962" s="20" t="s">
        <v>21395</v>
      </c>
      <c r="H2962" s="24"/>
      <c r="I2962" s="24" t="str">
        <f ca="1">IFERROR(__xludf.DUMMYFUNCTION("GOOGLETRANSLATE(F2962,""en"",""pt"")"),"Linha de marcação tintas")</f>
        <v>Linha de marcação tintas</v>
      </c>
      <c r="J2962">
        <f>VLOOKUP(A2962,Pr_Base_LNEC!$A$4:$J$6971,6,FALSE)</f>
        <v>0</v>
      </c>
      <c r="K2962">
        <f>VLOOKUP(A2962,Pr_Base_LNEC!$A$4:$J$6971,7,FALSE)</f>
        <v>0</v>
      </c>
    </row>
    <row r="2963" spans="1:11" ht="14.5">
      <c r="A2963" s="20" t="s">
        <v>21396</v>
      </c>
      <c r="B2963" s="20">
        <v>35</v>
      </c>
      <c r="C2963" s="20">
        <v>31</v>
      </c>
      <c r="D2963" s="20">
        <v>85</v>
      </c>
      <c r="E2963" s="20">
        <v>48</v>
      </c>
      <c r="F2963" s="20" t="s">
        <v>21397</v>
      </c>
      <c r="G2963" s="20" t="s">
        <v>21398</v>
      </c>
      <c r="H2963" s="24"/>
      <c r="I2963" s="24" t="str">
        <f ca="1">IFERROR(__xludf.DUMMYFUNCTION("GOOGLETRANSLATE(F2963,""en"",""pt"")"),"tintas luminosas")</f>
        <v>tintas luminosas</v>
      </c>
      <c r="J2963">
        <f>VLOOKUP(A2963,Pr_Base_LNEC!$A$4:$J$6971,6,FALSE)</f>
        <v>0</v>
      </c>
      <c r="K2963">
        <f>VLOOKUP(A2963,Pr_Base_LNEC!$A$4:$J$6971,7,FALSE)</f>
        <v>0</v>
      </c>
    </row>
    <row r="2964" spans="1:11" ht="14.5">
      <c r="A2964" s="20" t="s">
        <v>21399</v>
      </c>
      <c r="B2964" s="20">
        <v>35</v>
      </c>
      <c r="C2964" s="20">
        <v>31</v>
      </c>
      <c r="D2964" s="20">
        <v>85</v>
      </c>
      <c r="E2964" s="20">
        <v>51</v>
      </c>
      <c r="F2964" s="20" t="s">
        <v>21400</v>
      </c>
      <c r="G2964" s="24"/>
      <c r="H2964" s="24"/>
      <c r="I2964" s="24" t="str">
        <f ca="1">IFERROR(__xludf.DUMMYFUNCTION("GOOGLETRANSLATE(F2964,""en"",""pt"")"),"Metálico resistente ao desgaste, revestimentos de baixo atrito")</f>
        <v>Metálico resistente ao desgaste, revestimentos de baixo atrito</v>
      </c>
      <c r="J2964">
        <f>VLOOKUP(A2964,Pr_Base_LNEC!$A$4:$J$6971,6,FALSE)</f>
        <v>0</v>
      </c>
      <c r="K2964">
        <f>VLOOKUP(A2964,Pr_Base_LNEC!$A$4:$J$6971,7,FALSE)</f>
        <v>0</v>
      </c>
    </row>
    <row r="2965" spans="1:11" ht="14.5">
      <c r="A2965" s="20" t="s">
        <v>21401</v>
      </c>
      <c r="B2965" s="20">
        <v>35</v>
      </c>
      <c r="C2965" s="20">
        <v>31</v>
      </c>
      <c r="D2965" s="20">
        <v>85</v>
      </c>
      <c r="E2965" s="20">
        <v>60</v>
      </c>
      <c r="F2965" s="20" t="s">
        <v>21402</v>
      </c>
      <c r="G2965" s="20" t="s">
        <v>21403</v>
      </c>
      <c r="H2965" s="24"/>
      <c r="I2965" s="24" t="str">
        <f ca="1">IFERROR(__xludf.DUMMYFUNCTION("GOOGLETRANSLATE(F2965,""en"",""pt"")"),"tintas fosforescentes")</f>
        <v>tintas fosforescentes</v>
      </c>
      <c r="J2965">
        <f>VLOOKUP(A2965,Pr_Base_LNEC!$A$4:$J$6971,6,FALSE)</f>
        <v>0</v>
      </c>
      <c r="K2965">
        <f>VLOOKUP(A2965,Pr_Base_LNEC!$A$4:$J$6971,7,FALSE)</f>
        <v>0</v>
      </c>
    </row>
    <row r="2966" spans="1:11" ht="14.5">
      <c r="A2966" s="20" t="s">
        <v>21404</v>
      </c>
      <c r="B2966" s="20">
        <v>35</v>
      </c>
      <c r="C2966" s="20">
        <v>31</v>
      </c>
      <c r="D2966" s="20">
        <v>85</v>
      </c>
      <c r="E2966" s="20">
        <v>61</v>
      </c>
      <c r="F2966" s="20" t="s">
        <v>21405</v>
      </c>
      <c r="G2966" s="24"/>
      <c r="H2966" s="24"/>
      <c r="I2966" s="24" t="str">
        <f ca="1">IFERROR(__xludf.DUMMYFUNCTION("GOOGLETRANSLATE(F2966,""en"",""pt"")"),"Tinta à base de resina de poliuretano")</f>
        <v>Tinta à base de resina de poliuretano</v>
      </c>
      <c r="J2966">
        <f>VLOOKUP(A2966,Pr_Base_LNEC!$A$4:$J$6971,6,FALSE)</f>
        <v>0</v>
      </c>
      <c r="K2966">
        <f>VLOOKUP(A2966,Pr_Base_LNEC!$A$4:$J$6971,7,FALSE)</f>
        <v>0</v>
      </c>
    </row>
    <row r="2967" spans="1:11" ht="14.5">
      <c r="A2967" s="20" t="s">
        <v>21406</v>
      </c>
      <c r="B2967" s="20">
        <v>35</v>
      </c>
      <c r="C2967" s="20">
        <v>31</v>
      </c>
      <c r="D2967" s="20">
        <v>85</v>
      </c>
      <c r="E2967" s="20">
        <v>62</v>
      </c>
      <c r="F2967" s="20" t="s">
        <v>21407</v>
      </c>
      <c r="G2967" s="20" t="s">
        <v>21408</v>
      </c>
      <c r="H2967" s="24"/>
      <c r="I2967" s="24" t="str">
        <f ca="1">IFERROR(__xludf.DUMMYFUNCTION("GOOGLETRANSLATE(F2967,""en"",""pt"")"),"Poliuretano (PUR) superfícies de borracha de pulverização")</f>
        <v>Poliuretano (PUR) superfícies de borracha de pulverização</v>
      </c>
      <c r="J2967">
        <f>VLOOKUP(A2967,Pr_Base_LNEC!$A$4:$J$6971,6,FALSE)</f>
        <v>0</v>
      </c>
      <c r="K2967">
        <f>VLOOKUP(A2967,Pr_Base_LNEC!$A$4:$J$6971,7,FALSE)</f>
        <v>0</v>
      </c>
    </row>
    <row r="2968" spans="1:11" ht="14.5">
      <c r="A2968" s="20" t="s">
        <v>21409</v>
      </c>
      <c r="B2968" s="20">
        <v>35</v>
      </c>
      <c r="C2968" s="20">
        <v>31</v>
      </c>
      <c r="D2968" s="20">
        <v>85</v>
      </c>
      <c r="E2968" s="20">
        <v>65</v>
      </c>
      <c r="F2968" s="20" t="s">
        <v>21410</v>
      </c>
      <c r="G2968" s="20" t="s">
        <v>21411</v>
      </c>
      <c r="H2968" s="24"/>
      <c r="I2968" s="24" t="str">
        <f ca="1">IFERROR(__xludf.DUMMYFUNCTION("GOOGLETRANSLATE(F2968,""en"",""pt"")"),"marcações de estrada pré-formados")</f>
        <v>marcações de estrada pré-formados</v>
      </c>
      <c r="J2968">
        <f>VLOOKUP(A2968,Pr_Base_LNEC!$A$4:$J$6971,6,FALSE)</f>
        <v>0</v>
      </c>
      <c r="K2968">
        <f>VLOOKUP(A2968,Pr_Base_LNEC!$A$4:$J$6971,7,FALSE)</f>
        <v>0</v>
      </c>
    </row>
    <row r="2969" spans="1:11" ht="14.5">
      <c r="A2969" s="20" t="s">
        <v>21412</v>
      </c>
      <c r="B2969" s="20">
        <v>35</v>
      </c>
      <c r="C2969" s="20">
        <v>31</v>
      </c>
      <c r="D2969" s="20">
        <v>85</v>
      </c>
      <c r="E2969" s="20">
        <v>70</v>
      </c>
      <c r="F2969" s="20" t="s">
        <v>21413</v>
      </c>
      <c r="G2969" s="20" t="s">
        <v>21414</v>
      </c>
      <c r="H2969" s="24"/>
      <c r="I2969" s="24" t="str">
        <f ca="1">IFERROR(__xludf.DUMMYFUNCTION("GOOGLETRANSLATE(F2969,""en"",""pt"")"),"esmaltes radiador")</f>
        <v>esmaltes radiador</v>
      </c>
      <c r="J2969">
        <f>VLOOKUP(A2969,Pr_Base_LNEC!$A$4:$J$6971,6,FALSE)</f>
        <v>0</v>
      </c>
      <c r="K2969">
        <f>VLOOKUP(A2969,Pr_Base_LNEC!$A$4:$J$6971,7,FALSE)</f>
        <v>0</v>
      </c>
    </row>
    <row r="2970" spans="1:11" ht="14.5">
      <c r="A2970" s="20" t="s">
        <v>21415</v>
      </c>
      <c r="B2970" s="20">
        <v>35</v>
      </c>
      <c r="C2970" s="20">
        <v>31</v>
      </c>
      <c r="D2970" s="20">
        <v>85</v>
      </c>
      <c r="E2970" s="20">
        <v>72</v>
      </c>
      <c r="F2970" s="20" t="s">
        <v>21416</v>
      </c>
      <c r="G2970" s="24"/>
      <c r="H2970" s="24"/>
      <c r="I2970" s="24" t="str">
        <f ca="1">IFERROR(__xludf.DUMMYFUNCTION("GOOGLETRANSLATE(F2970,""en"",""pt"")"),"revestimentos anti-reflexo")</f>
        <v>revestimentos anti-reflexo</v>
      </c>
      <c r="J2970">
        <f>VLOOKUP(A2970,Pr_Base_LNEC!$A$4:$J$6971,6,FALSE)</f>
        <v>0</v>
      </c>
      <c r="K2970">
        <f>VLOOKUP(A2970,Pr_Base_LNEC!$A$4:$J$6971,7,FALSE)</f>
        <v>0</v>
      </c>
    </row>
    <row r="2971" spans="1:11" ht="14.5">
      <c r="A2971" s="20" t="s">
        <v>21417</v>
      </c>
      <c r="B2971" s="20">
        <v>35</v>
      </c>
      <c r="C2971" s="20">
        <v>31</v>
      </c>
      <c r="D2971" s="20">
        <v>85</v>
      </c>
      <c r="E2971" s="20">
        <v>78</v>
      </c>
      <c r="F2971" s="20" t="s">
        <v>21418</v>
      </c>
      <c r="G2971" s="20" t="s">
        <v>21419</v>
      </c>
      <c r="H2971" s="24"/>
      <c r="I2971" s="24" t="str">
        <f ca="1">IFERROR(__xludf.DUMMYFUNCTION("GOOGLETRANSLATE(F2971,""en"",""pt"")"),"plano de escorregamento tintas de emulsão betuminosa")</f>
        <v>plano de escorregamento tintas de emulsão betuminosa</v>
      </c>
      <c r="J2971">
        <f>VLOOKUP(A2971,Pr_Base_LNEC!$A$4:$J$6971,6,FALSE)</f>
        <v>0</v>
      </c>
      <c r="K2971">
        <f>VLOOKUP(A2971,Pr_Base_LNEC!$A$4:$J$6971,7,FALSE)</f>
        <v>0</v>
      </c>
    </row>
    <row r="2972" spans="1:11" ht="14.5">
      <c r="A2972" s="20" t="s">
        <v>21420</v>
      </c>
      <c r="B2972" s="20">
        <v>35</v>
      </c>
      <c r="C2972" s="20">
        <v>31</v>
      </c>
      <c r="D2972" s="20">
        <v>85</v>
      </c>
      <c r="E2972" s="20">
        <v>80</v>
      </c>
      <c r="F2972" s="20" t="s">
        <v>21421</v>
      </c>
      <c r="G2972" s="20" t="s">
        <v>21422</v>
      </c>
      <c r="H2972" s="24"/>
      <c r="I2972" s="24" t="str">
        <f ca="1">IFERROR(__xludf.DUMMYFUNCTION("GOOGLETRANSLATE(F2972,""en"",""pt"")"),"tratamentos de superfície antiderrapante")</f>
        <v>tratamentos de superfície antiderrapante</v>
      </c>
      <c r="J2972">
        <f>VLOOKUP(A2972,Pr_Base_LNEC!$A$4:$J$6971,6,FALSE)</f>
        <v>0</v>
      </c>
      <c r="K2972">
        <f>VLOOKUP(A2972,Pr_Base_LNEC!$A$4:$J$6971,7,FALSE)</f>
        <v>0</v>
      </c>
    </row>
    <row r="2973" spans="1:11" ht="14.5">
      <c r="A2973" s="20" t="s">
        <v>21423</v>
      </c>
      <c r="B2973" s="20">
        <v>35</v>
      </c>
      <c r="C2973" s="20">
        <v>31</v>
      </c>
      <c r="D2973" s="20">
        <v>85</v>
      </c>
      <c r="E2973" s="20">
        <v>81</v>
      </c>
      <c r="F2973" s="20" t="s">
        <v>21424</v>
      </c>
      <c r="G2973" s="24"/>
      <c r="H2973" s="24"/>
      <c r="I2973" s="24" t="str">
        <f ca="1">IFERROR(__xludf.DUMMYFUNCTION("GOOGLETRANSLATE(F2973,""en"",""pt"")"),"Som revestimentos de amortecimento")</f>
        <v>Som revestimentos de amortecimento</v>
      </c>
      <c r="J2973">
        <f>VLOOKUP(A2973,Pr_Base_LNEC!$A$4:$J$6971,6,FALSE)</f>
        <v>0</v>
      </c>
      <c r="K2973">
        <f>VLOOKUP(A2973,Pr_Base_LNEC!$A$4:$J$6971,7,FALSE)</f>
        <v>0</v>
      </c>
    </row>
    <row r="2974" spans="1:11" ht="14.5">
      <c r="A2974" s="20" t="s">
        <v>21425</v>
      </c>
      <c r="B2974" s="20">
        <v>35</v>
      </c>
      <c r="C2974" s="20">
        <v>31</v>
      </c>
      <c r="D2974" s="20">
        <v>85</v>
      </c>
      <c r="E2974" s="20">
        <v>82</v>
      </c>
      <c r="F2974" s="20" t="s">
        <v>21426</v>
      </c>
      <c r="G2974" s="20" t="s">
        <v>21427</v>
      </c>
      <c r="H2974" s="24"/>
      <c r="I2974" s="24" t="str">
        <f ca="1">IFERROR(__xludf.DUMMYFUNCTION("GOOGLETRANSLATE(F2974,""en"",""pt"")"),"endurecedores de superfície")</f>
        <v>endurecedores de superfície</v>
      </c>
      <c r="J2974">
        <f>VLOOKUP(A2974,Pr_Base_LNEC!$A$4:$J$6971,6,FALSE)</f>
        <v>0</v>
      </c>
      <c r="K2974">
        <f>VLOOKUP(A2974,Pr_Base_LNEC!$A$4:$J$6971,7,FALSE)</f>
        <v>0</v>
      </c>
    </row>
    <row r="2975" spans="1:11" ht="14.5">
      <c r="A2975" s="20" t="s">
        <v>21428</v>
      </c>
      <c r="B2975" s="20">
        <v>35</v>
      </c>
      <c r="C2975" s="20">
        <v>31</v>
      </c>
      <c r="D2975" s="20">
        <v>85</v>
      </c>
      <c r="E2975" s="20">
        <v>88</v>
      </c>
      <c r="F2975" s="20" t="s">
        <v>21429</v>
      </c>
      <c r="G2975" s="20" t="s">
        <v>21430</v>
      </c>
      <c r="H2975" s="24"/>
      <c r="I2975" s="24" t="str">
        <f ca="1">IFERROR(__xludf.DUMMYFUNCTION("GOOGLETRANSLATE(F2975,""en"",""pt"")"),"marcações de linha termoplásticos")</f>
        <v>marcações de linha termoplásticos</v>
      </c>
      <c r="J2975">
        <f>VLOOKUP(A2975,Pr_Base_LNEC!$A$4:$J$6971,6,FALSE)</f>
        <v>0</v>
      </c>
      <c r="K2975">
        <f>VLOOKUP(A2975,Pr_Base_LNEC!$A$4:$J$6971,7,FALSE)</f>
        <v>0</v>
      </c>
    </row>
    <row r="2976" spans="1:11" ht="14.5">
      <c r="A2976" s="20" t="s">
        <v>21431</v>
      </c>
      <c r="B2976" s="20">
        <v>35</v>
      </c>
      <c r="C2976" s="20">
        <v>31</v>
      </c>
      <c r="D2976" s="20">
        <v>85</v>
      </c>
      <c r="E2976" s="20">
        <v>90</v>
      </c>
      <c r="F2976" s="20" t="s">
        <v>21432</v>
      </c>
      <c r="G2976" s="20" t="s">
        <v>21433</v>
      </c>
      <c r="H2976" s="24"/>
      <c r="I2976" s="24" t="str">
        <f ca="1">IFERROR(__xludf.DUMMYFUNCTION("GOOGLETRANSLATE(F2976,""en"",""pt"")"),"marcações de estrada termoplásticas")</f>
        <v>marcações de estrada termoplásticas</v>
      </c>
      <c r="J2976">
        <f>VLOOKUP(A2976,Pr_Base_LNEC!$A$4:$J$6971,6,FALSE)</f>
        <v>0</v>
      </c>
      <c r="K2976">
        <f>VLOOKUP(A2976,Pr_Base_LNEC!$A$4:$J$6971,7,FALSE)</f>
        <v>0</v>
      </c>
    </row>
    <row r="2977" spans="1:11" ht="14.5">
      <c r="A2977" s="20" t="s">
        <v>21434</v>
      </c>
      <c r="B2977" s="20">
        <v>35</v>
      </c>
      <c r="C2977" s="20">
        <v>31</v>
      </c>
      <c r="D2977" s="20">
        <v>85</v>
      </c>
      <c r="E2977" s="20">
        <v>94</v>
      </c>
      <c r="F2977" s="20" t="s">
        <v>21435</v>
      </c>
      <c r="G2977" s="24"/>
      <c r="H2977" s="24"/>
      <c r="I2977" s="24" t="str">
        <f ca="1">IFERROR(__xludf.DUMMYFUNCTION("GOOGLETRANSLATE(F2977,""en"",""pt"")"),"esmaltes vítreos")</f>
        <v>esmaltes vítreos</v>
      </c>
      <c r="J2977">
        <f>VLOOKUP(A2977,Pr_Base_LNEC!$A$4:$J$6971,6,FALSE)</f>
        <v>0</v>
      </c>
      <c r="K2977">
        <f>VLOOKUP(A2977,Pr_Base_LNEC!$A$4:$J$6971,7,FALSE)</f>
        <v>0</v>
      </c>
    </row>
    <row r="2978" spans="1:11" ht="14.5">
      <c r="A2978" s="20" t="s">
        <v>21436</v>
      </c>
      <c r="B2978" s="20">
        <v>35</v>
      </c>
      <c r="C2978" s="20">
        <v>31</v>
      </c>
      <c r="D2978" s="20">
        <v>85</v>
      </c>
      <c r="E2978" s="20">
        <v>96</v>
      </c>
      <c r="F2978" s="20" t="s">
        <v>21437</v>
      </c>
      <c r="G2978" s="20" t="s">
        <v>21438</v>
      </c>
      <c r="H2978" s="24"/>
      <c r="I2978" s="24" t="str">
        <f ca="1">IFERROR(__xludf.DUMMYFUNCTION("GOOGLETRANSLATE(F2978,""en"",""pt"")"),"revestimentos de resina à base de água")</f>
        <v>revestimentos de resina à base de água</v>
      </c>
      <c r="J2978">
        <f>VLOOKUP(A2978,Pr_Base_LNEC!$A$4:$J$6971,6,FALSE)</f>
        <v>0</v>
      </c>
      <c r="K2978">
        <f>VLOOKUP(A2978,Pr_Base_LNEC!$A$4:$J$6971,7,FALSE)</f>
        <v>0</v>
      </c>
    </row>
    <row r="2979" spans="1:11" ht="14.5">
      <c r="A2979" s="20" t="s">
        <v>21439</v>
      </c>
      <c r="B2979" s="20">
        <v>35</v>
      </c>
      <c r="C2979" s="20">
        <v>31</v>
      </c>
      <c r="D2979" s="20">
        <v>85</v>
      </c>
      <c r="E2979" s="20">
        <v>97</v>
      </c>
      <c r="F2979" s="20" t="s">
        <v>21440</v>
      </c>
      <c r="G2979" s="24"/>
      <c r="H2979" s="24"/>
      <c r="I2979" s="24" t="str">
        <f ca="1">IFERROR(__xludf.DUMMYFUNCTION("GOOGLETRANSLATE(F2979,""en"",""pt"")"),"Ao desgaste e à abrasão do revestimento resistente")</f>
        <v>Ao desgaste e à abrasão do revestimento resistente</v>
      </c>
      <c r="J2979">
        <f>VLOOKUP(A2979,Pr_Base_LNEC!$A$4:$J$6971,6,FALSE)</f>
        <v>0</v>
      </c>
      <c r="K2979">
        <f>VLOOKUP(A2979,Pr_Base_LNEC!$A$4:$J$6971,7,FALSE)</f>
        <v>0</v>
      </c>
    </row>
    <row r="2980" spans="1:11" ht="14.5">
      <c r="A2980" s="20" t="s">
        <v>21441</v>
      </c>
      <c r="B2980" s="20">
        <v>35</v>
      </c>
      <c r="C2980" s="20">
        <v>31</v>
      </c>
      <c r="D2980" s="20">
        <v>85</v>
      </c>
      <c r="E2980" s="20">
        <v>98</v>
      </c>
      <c r="F2980" s="20" t="s">
        <v>21442</v>
      </c>
      <c r="G2980" s="20" t="s">
        <v>21443</v>
      </c>
      <c r="H2980" s="24"/>
      <c r="I2980" s="24" t="str">
        <f ca="1">IFERROR(__xludf.DUMMYFUNCTION("GOOGLETRANSLATE(F2980,""en"",""pt"")"),"Desgastando materiais agitação superfície secos")</f>
        <v>Desgastando materiais agitação superfície secos</v>
      </c>
      <c r="J2980">
        <f>VLOOKUP(A2980,Pr_Base_LNEC!$A$4:$J$6971,6,FALSE)</f>
        <v>0</v>
      </c>
      <c r="K2980">
        <f>VLOOKUP(A2980,Pr_Base_LNEC!$A$4:$J$6971,7,FALSE)</f>
        <v>0</v>
      </c>
    </row>
    <row r="2981" spans="1:11" ht="14.5">
      <c r="A2981" s="20" t="s">
        <v>21444</v>
      </c>
      <c r="B2981" s="20">
        <v>35</v>
      </c>
      <c r="C2981" s="20">
        <v>57</v>
      </c>
      <c r="D2981" s="24"/>
      <c r="E2981" s="24"/>
      <c r="F2981" s="20" t="s">
        <v>21445</v>
      </c>
      <c r="G2981" s="24"/>
      <c r="H2981" s="24"/>
      <c r="I2981" s="24" t="str">
        <f ca="1">IFERROR(__xludf.DUMMYFUNCTION("GOOGLETRANSLATE(F2981,""en"",""pt"")"),"Não-rígida de folha, esteira e de tira de revestimento e produtos de acabamento")</f>
        <v>Não-rígida de folha, esteira e de tira de revestimento e produtos de acabamento</v>
      </c>
      <c r="J2981" t="str">
        <f>VLOOKUP(A2981,Pr_Base_LNEC!$A$4:$J$6971,6,FALSE)</f>
        <v>Revestimentos e Acabamentos não rigidos</v>
      </c>
      <c r="K2981">
        <f>VLOOKUP(A2981,Pr_Base_LNEC!$A$4:$J$6971,7,FALSE)</f>
        <v>0</v>
      </c>
    </row>
    <row r="2982" spans="1:11" ht="14.5">
      <c r="A2982" s="20" t="s">
        <v>21446</v>
      </c>
      <c r="B2982" s="20">
        <v>35</v>
      </c>
      <c r="C2982" s="20">
        <v>57</v>
      </c>
      <c r="D2982" s="20">
        <v>11</v>
      </c>
      <c r="E2982" s="24"/>
      <c r="F2982" s="20" t="s">
        <v>21447</v>
      </c>
      <c r="G2982" s="24"/>
      <c r="H2982" s="24"/>
      <c r="I2982" s="24" t="str">
        <f ca="1">IFERROR(__xludf.DUMMYFUNCTION("GOOGLETRANSLATE(F2982,""en"",""pt"")"),"Tapetes, tapete azulejos, revestimentos, forros e tapetes")</f>
        <v>Tapetes, tapete azulejos, revestimentos, forros e tapetes</v>
      </c>
      <c r="J2982">
        <f>VLOOKUP(A2982,Pr_Base_LNEC!$A$4:$J$6971,6,FALSE)</f>
        <v>0</v>
      </c>
      <c r="K2982">
        <f>VLOOKUP(A2982,Pr_Base_LNEC!$A$4:$J$6971,7,FALSE)</f>
        <v>0</v>
      </c>
    </row>
    <row r="2983" spans="1:11" ht="14.5">
      <c r="A2983" s="20" t="s">
        <v>21448</v>
      </c>
      <c r="B2983" s="20">
        <v>35</v>
      </c>
      <c r="C2983" s="20">
        <v>57</v>
      </c>
      <c r="D2983" s="20">
        <v>11</v>
      </c>
      <c r="E2983" s="20">
        <v>5</v>
      </c>
      <c r="F2983" s="20" t="s">
        <v>21449</v>
      </c>
      <c r="G2983" s="20" t="s">
        <v>21450</v>
      </c>
      <c r="H2983" s="24"/>
      <c r="I2983" s="24" t="str">
        <f ca="1">IFERROR(__xludf.DUMMYFUNCTION("GOOGLETRANSLATE(F2983,""en"",""pt"")"),"tapetes Axminster")</f>
        <v>tapetes Axminster</v>
      </c>
      <c r="J2983">
        <f>VLOOKUP(A2983,Pr_Base_LNEC!$A$4:$J$6971,6,FALSE)</f>
        <v>0</v>
      </c>
      <c r="K2983">
        <f>VLOOKUP(A2983,Pr_Base_LNEC!$A$4:$J$6971,7,FALSE)</f>
        <v>0</v>
      </c>
    </row>
    <row r="2984" spans="1:11" ht="14.5">
      <c r="A2984" s="20" t="s">
        <v>21451</v>
      </c>
      <c r="B2984" s="20">
        <v>35</v>
      </c>
      <c r="C2984" s="20">
        <v>57</v>
      </c>
      <c r="D2984" s="20">
        <v>11</v>
      </c>
      <c r="E2984" s="20">
        <v>7</v>
      </c>
      <c r="F2984" s="20" t="s">
        <v>21452</v>
      </c>
      <c r="G2984" s="24"/>
      <c r="H2984" s="24"/>
      <c r="I2984" s="24" t="str">
        <f ca="1">IFERROR(__xludf.DUMMYFUNCTION("GOOGLETRANSLATE(F2984,""en"",""pt"")"),"tapetes ligados")</f>
        <v>tapetes ligados</v>
      </c>
      <c r="J2984" t="e">
        <f>VLOOKUP(A2984,Pr_Base_LNEC!$A$4:$J$6971,6,FALSE)</f>
        <v>#N/A</v>
      </c>
      <c r="K2984" t="e">
        <f>VLOOKUP(A2984,Pr_Base_LNEC!$A$4:$J$6971,7,FALSE)</f>
        <v>#N/A</v>
      </c>
    </row>
    <row r="2985" spans="1:11" ht="14.5">
      <c r="A2985" s="20" t="s">
        <v>21453</v>
      </c>
      <c r="B2985" s="20">
        <v>35</v>
      </c>
      <c r="C2985" s="20">
        <v>57</v>
      </c>
      <c r="D2985" s="20">
        <v>11</v>
      </c>
      <c r="E2985" s="20">
        <v>8</v>
      </c>
      <c r="F2985" s="20" t="s">
        <v>21454</v>
      </c>
      <c r="G2985" s="24"/>
      <c r="H2985" s="24"/>
      <c r="I2985" s="24" t="str">
        <f ca="1">IFERROR(__xludf.DUMMYFUNCTION("GOOGLETRANSLATE(F2985,""en"",""pt"")"),"telhas de tapete ligado")</f>
        <v>telhas de tapete ligado</v>
      </c>
      <c r="J2985" t="e">
        <f>VLOOKUP(A2985,Pr_Base_LNEC!$A$4:$J$6971,6,FALSE)</f>
        <v>#N/A</v>
      </c>
      <c r="K2985" t="e">
        <f>VLOOKUP(A2985,Pr_Base_LNEC!$A$4:$J$6971,7,FALSE)</f>
        <v>#N/A</v>
      </c>
    </row>
    <row r="2986" spans="1:11" ht="14.5">
      <c r="A2986" s="20" t="s">
        <v>21455</v>
      </c>
      <c r="B2986" s="20">
        <v>35</v>
      </c>
      <c r="C2986" s="20">
        <v>57</v>
      </c>
      <c r="D2986" s="20">
        <v>11</v>
      </c>
      <c r="E2986" s="20">
        <v>11</v>
      </c>
      <c r="F2986" s="20" t="s">
        <v>21456</v>
      </c>
      <c r="G2986" s="20" t="s">
        <v>21457</v>
      </c>
      <c r="H2986" s="24"/>
      <c r="I2986" s="24" t="str">
        <f ca="1">IFERROR(__xludf.DUMMYFUNCTION("GOOGLETRANSLATE(F2986,""en"",""pt"")"),"underlays plástico alveolar")</f>
        <v>underlays plástico alveolar</v>
      </c>
      <c r="J2986">
        <f>VLOOKUP(A2986,Pr_Base_LNEC!$A$4:$J$6971,6,FALSE)</f>
        <v>0</v>
      </c>
      <c r="K2986">
        <f>VLOOKUP(A2986,Pr_Base_LNEC!$A$4:$J$6971,7,FALSE)</f>
        <v>0</v>
      </c>
    </row>
    <row r="2987" spans="1:11" ht="14.5">
      <c r="A2987" s="20" t="s">
        <v>21458</v>
      </c>
      <c r="B2987" s="20">
        <v>35</v>
      </c>
      <c r="C2987" s="20">
        <v>57</v>
      </c>
      <c r="D2987" s="20">
        <v>11</v>
      </c>
      <c r="E2987" s="20">
        <v>13</v>
      </c>
      <c r="F2987" s="20" t="s">
        <v>21459</v>
      </c>
      <c r="G2987" s="20" t="s">
        <v>21460</v>
      </c>
      <c r="H2987" s="24"/>
      <c r="I2987" s="24" t="str">
        <f ca="1">IFERROR(__xludf.DUMMYFUNCTION("GOOGLETRANSLATE(F2987,""en"",""pt"")"),"underlays borracha celular")</f>
        <v>underlays borracha celular</v>
      </c>
      <c r="J2987">
        <f>VLOOKUP(A2987,Pr_Base_LNEC!$A$4:$J$6971,6,FALSE)</f>
        <v>0</v>
      </c>
      <c r="K2987">
        <f>VLOOKUP(A2987,Pr_Base_LNEC!$A$4:$J$6971,7,FALSE)</f>
        <v>0</v>
      </c>
    </row>
    <row r="2988" spans="1:11" ht="14.5">
      <c r="A2988" s="20" t="s">
        <v>21461</v>
      </c>
      <c r="B2988" s="20">
        <v>35</v>
      </c>
      <c r="C2988" s="20">
        <v>57</v>
      </c>
      <c r="D2988" s="20">
        <v>11</v>
      </c>
      <c r="E2988" s="20">
        <v>15</v>
      </c>
      <c r="F2988" s="20" t="s">
        <v>21462</v>
      </c>
      <c r="G2988" s="20" t="s">
        <v>21463</v>
      </c>
      <c r="H2988" s="24"/>
      <c r="I2988" s="24" t="str">
        <f ca="1">IFERROR(__xludf.DUMMYFUNCTION("GOOGLETRANSLATE(F2988,""en"",""pt"")"),"Forros fibrosos ou não-fibrosos combinados")</f>
        <v>Forros fibrosos ou não-fibrosos combinados</v>
      </c>
      <c r="J2988">
        <f>VLOOKUP(A2988,Pr_Base_LNEC!$A$4:$J$6971,6,FALSE)</f>
        <v>0</v>
      </c>
      <c r="K2988">
        <f>VLOOKUP(A2988,Pr_Base_LNEC!$A$4:$J$6971,7,FALSE)</f>
        <v>0</v>
      </c>
    </row>
    <row r="2989" spans="1:11" ht="14.5">
      <c r="A2989" s="20" t="s">
        <v>21464</v>
      </c>
      <c r="B2989" s="20">
        <v>35</v>
      </c>
      <c r="C2989" s="20">
        <v>57</v>
      </c>
      <c r="D2989" s="20">
        <v>11</v>
      </c>
      <c r="E2989" s="20">
        <v>24</v>
      </c>
      <c r="F2989" s="20" t="s">
        <v>21465</v>
      </c>
      <c r="G2989" s="20" t="s">
        <v>21466</v>
      </c>
      <c r="H2989" s="24"/>
      <c r="I2989" s="24" t="str">
        <f ca="1">IFERROR(__xludf.DUMMYFUNCTION("GOOGLETRANSLATE(F2989,""en"",""pt"")"),"Seque interlays papel de feltro")</f>
        <v>Seque interlays papel de feltro</v>
      </c>
      <c r="J2989">
        <f>VLOOKUP(A2989,Pr_Base_LNEC!$A$4:$J$6971,6,FALSE)</f>
        <v>0</v>
      </c>
      <c r="K2989">
        <f>VLOOKUP(A2989,Pr_Base_LNEC!$A$4:$J$6971,7,FALSE)</f>
        <v>0</v>
      </c>
    </row>
    <row r="2990" spans="1:11" ht="14.5">
      <c r="A2990" s="20" t="s">
        <v>21467</v>
      </c>
      <c r="B2990" s="20">
        <v>35</v>
      </c>
      <c r="C2990" s="20">
        <v>57</v>
      </c>
      <c r="D2990" s="20">
        <v>11</v>
      </c>
      <c r="E2990" s="20">
        <v>26</v>
      </c>
      <c r="F2990" s="20" t="s">
        <v>21468</v>
      </c>
      <c r="G2990" s="20" t="s">
        <v>21469</v>
      </c>
      <c r="H2990" s="24"/>
      <c r="I2990" s="24" t="str">
        <f ca="1">IFERROR(__xludf.DUMMYFUNCTION("GOOGLETRANSLATE(F2990,""en"",""pt"")"),"tapetes de entrada")</f>
        <v>tapetes de entrada</v>
      </c>
      <c r="J2990">
        <f>VLOOKUP(A2990,Pr_Base_LNEC!$A$4:$J$6971,6,FALSE)</f>
        <v>0</v>
      </c>
      <c r="K2990">
        <f>VLOOKUP(A2990,Pr_Base_LNEC!$A$4:$J$6971,7,FALSE)</f>
        <v>0</v>
      </c>
    </row>
    <row r="2991" spans="1:11" ht="14.5">
      <c r="A2991" s="20" t="s">
        <v>21470</v>
      </c>
      <c r="B2991" s="20">
        <v>35</v>
      </c>
      <c r="C2991" s="20">
        <v>57</v>
      </c>
      <c r="D2991" s="20">
        <v>11</v>
      </c>
      <c r="E2991" s="20">
        <v>27</v>
      </c>
      <c r="F2991" s="20" t="s">
        <v>21471</v>
      </c>
      <c r="G2991" s="20" t="s">
        <v>21472</v>
      </c>
      <c r="H2991" s="24"/>
      <c r="I2991" s="24" t="str">
        <f ca="1">IFERROR(__xludf.DUMMYFUNCTION("GOOGLETRANSLATE(F2991,""en"",""pt"")"),"Etileno propileno dieno monómero (EPDM) tapetes de borracha")</f>
        <v>Etileno propileno dieno monómero (EPDM) tapetes de borracha</v>
      </c>
      <c r="J2991">
        <f>VLOOKUP(A2991,Pr_Base_LNEC!$A$4:$J$6971,6,FALSE)</f>
        <v>0</v>
      </c>
      <c r="K2991">
        <f>VLOOKUP(A2991,Pr_Base_LNEC!$A$4:$J$6971,7,FALSE)</f>
        <v>0</v>
      </c>
    </row>
    <row r="2992" spans="1:11" ht="14.5">
      <c r="A2992" s="20" t="s">
        <v>21473</v>
      </c>
      <c r="B2992" s="20">
        <v>35</v>
      </c>
      <c r="C2992" s="20">
        <v>57</v>
      </c>
      <c r="D2992" s="20">
        <v>11</v>
      </c>
      <c r="E2992" s="20">
        <v>28</v>
      </c>
      <c r="F2992" s="20" t="s">
        <v>21474</v>
      </c>
      <c r="G2992" s="24"/>
      <c r="H2992" s="24"/>
      <c r="I2992" s="24" t="str">
        <f ca="1">IFERROR(__xludf.DUMMYFUNCTION("GOOGLETRANSLATE(F2992,""en"",""pt"")"),"esteiras de exercício")</f>
        <v>esteiras de exercício</v>
      </c>
      <c r="J2992">
        <f>VLOOKUP(A2992,Pr_Base_LNEC!$A$4:$J$6971,6,FALSE)</f>
        <v>0</v>
      </c>
      <c r="K2992">
        <f>VLOOKUP(A2992,Pr_Base_LNEC!$A$4:$J$6971,7,FALSE)</f>
        <v>0</v>
      </c>
    </row>
    <row r="2993" spans="1:11" ht="14.5">
      <c r="A2993" s="20" t="s">
        <v>21475</v>
      </c>
      <c r="B2993" s="20">
        <v>35</v>
      </c>
      <c r="C2993" s="20">
        <v>57</v>
      </c>
      <c r="D2993" s="20">
        <v>11</v>
      </c>
      <c r="E2993" s="20">
        <v>29</v>
      </c>
      <c r="F2993" s="20" t="s">
        <v>21476</v>
      </c>
      <c r="G2993" s="20" t="s">
        <v>21477</v>
      </c>
      <c r="H2993" s="24"/>
      <c r="I2993" s="24" t="str">
        <f ca="1">IFERROR(__xludf.DUMMYFUNCTION("GOOGLETRANSLATE(F2993,""en"",""pt"")"),"carpete needled planas")</f>
        <v>carpete needled planas</v>
      </c>
      <c r="J2993">
        <f>VLOOKUP(A2993,Pr_Base_LNEC!$A$4:$J$6971,6,FALSE)</f>
        <v>0</v>
      </c>
      <c r="K2993">
        <f>VLOOKUP(A2993,Pr_Base_LNEC!$A$4:$J$6971,7,FALSE)</f>
        <v>0</v>
      </c>
    </row>
    <row r="2994" spans="1:11" ht="14.5">
      <c r="A2994" s="20" t="s">
        <v>21478</v>
      </c>
      <c r="B2994" s="20">
        <v>35</v>
      </c>
      <c r="C2994" s="20">
        <v>57</v>
      </c>
      <c r="D2994" s="20">
        <v>11</v>
      </c>
      <c r="E2994" s="20">
        <v>30</v>
      </c>
      <c r="F2994" s="20" t="s">
        <v>21479</v>
      </c>
      <c r="G2994" s="20" t="s">
        <v>21480</v>
      </c>
      <c r="H2994" s="24"/>
      <c r="I2994" s="24" t="str">
        <f ca="1">IFERROR(__xludf.DUMMYFUNCTION("GOOGLETRANSLATE(F2994,""en"",""pt"")"),"carpetes agulhados planas")</f>
        <v>carpetes agulhados planas</v>
      </c>
      <c r="J2994">
        <f>VLOOKUP(A2994,Pr_Base_LNEC!$A$4:$J$6971,6,FALSE)</f>
        <v>0</v>
      </c>
      <c r="K2994">
        <f>VLOOKUP(A2994,Pr_Base_LNEC!$A$4:$J$6971,7,FALSE)</f>
        <v>0</v>
      </c>
    </row>
    <row r="2995" spans="1:11" ht="14.5">
      <c r="A2995" s="20" t="s">
        <v>21481</v>
      </c>
      <c r="B2995" s="20">
        <v>35</v>
      </c>
      <c r="C2995" s="20">
        <v>57</v>
      </c>
      <c r="D2995" s="20">
        <v>11</v>
      </c>
      <c r="E2995" s="20">
        <v>31</v>
      </c>
      <c r="F2995" s="20" t="s">
        <v>21482</v>
      </c>
      <c r="G2995" s="20" t="s">
        <v>21483</v>
      </c>
      <c r="H2995" s="24"/>
      <c r="I2995" s="24" t="str">
        <f ca="1">IFERROR(__xludf.DUMMYFUNCTION("GOOGLETRANSLATE(F2995,""en"",""pt"")"),"tapetes flocados")</f>
        <v>tapetes flocados</v>
      </c>
      <c r="J2995">
        <f>VLOOKUP(A2995,Pr_Base_LNEC!$A$4:$J$6971,6,FALSE)</f>
        <v>0</v>
      </c>
      <c r="K2995">
        <f>VLOOKUP(A2995,Pr_Base_LNEC!$A$4:$J$6971,7,FALSE)</f>
        <v>0</v>
      </c>
    </row>
    <row r="2996" spans="1:11" ht="14.5">
      <c r="A2996" s="20" t="s">
        <v>21484</v>
      </c>
      <c r="B2996" s="20">
        <v>35</v>
      </c>
      <c r="C2996" s="20">
        <v>57</v>
      </c>
      <c r="D2996" s="20">
        <v>11</v>
      </c>
      <c r="E2996" s="20">
        <v>36</v>
      </c>
      <c r="F2996" s="20" t="s">
        <v>21485</v>
      </c>
      <c r="G2996" s="20" t="s">
        <v>21486</v>
      </c>
      <c r="H2996" s="24"/>
      <c r="I2996" s="24" t="str">
        <f ca="1">IFERROR(__xludf.DUMMYFUNCTION("GOOGLETRANSLATE(F2996,""en"",""pt"")"),"underlays cortiça Hessian-faced")</f>
        <v>underlays cortiça Hessian-faced</v>
      </c>
      <c r="J2996">
        <f>VLOOKUP(A2996,Pr_Base_LNEC!$A$4:$J$6971,6,FALSE)</f>
        <v>0</v>
      </c>
      <c r="K2996">
        <f>VLOOKUP(A2996,Pr_Base_LNEC!$A$4:$J$6971,7,FALSE)</f>
        <v>0</v>
      </c>
    </row>
    <row r="2997" spans="1:11" ht="14.5">
      <c r="A2997" s="20" t="s">
        <v>21487</v>
      </c>
      <c r="B2997" s="20">
        <v>35</v>
      </c>
      <c r="C2997" s="20">
        <v>57</v>
      </c>
      <c r="D2997" s="20">
        <v>11</v>
      </c>
      <c r="E2997" s="20">
        <v>40</v>
      </c>
      <c r="F2997" s="20" t="s">
        <v>21488</v>
      </c>
      <c r="G2997" s="20" t="s">
        <v>21489</v>
      </c>
      <c r="H2997" s="24"/>
      <c r="I2997" s="24" t="str">
        <f ca="1">IFERROR(__xludf.DUMMYFUNCTION("GOOGLETRANSLATE(F2997,""en"",""pt"")"),"Forros fibrosas impregnadas")</f>
        <v>Forros fibrosas impregnadas</v>
      </c>
      <c r="J2997">
        <f>VLOOKUP(A2997,Pr_Base_LNEC!$A$4:$J$6971,6,FALSE)</f>
        <v>0</v>
      </c>
      <c r="K2997">
        <f>VLOOKUP(A2997,Pr_Base_LNEC!$A$4:$J$6971,7,FALSE)</f>
        <v>0</v>
      </c>
    </row>
    <row r="2998" spans="1:11" ht="14.5">
      <c r="A2998" s="20" t="s">
        <v>21490</v>
      </c>
      <c r="B2998" s="20">
        <v>35</v>
      </c>
      <c r="C2998" s="20">
        <v>57</v>
      </c>
      <c r="D2998" s="20">
        <v>11</v>
      </c>
      <c r="E2998" s="20">
        <v>45</v>
      </c>
      <c r="F2998" s="20" t="s">
        <v>21491</v>
      </c>
      <c r="G2998" s="20" t="s">
        <v>21492</v>
      </c>
      <c r="H2998" s="24"/>
      <c r="I2998" s="24" t="str">
        <f ca="1">IFERROR(__xludf.DUMMYFUNCTION("GOOGLETRANSLATE(F2998,""en"",""pt"")"),"tapetes de malha")</f>
        <v>tapetes de malha</v>
      </c>
      <c r="J2998">
        <f>VLOOKUP(A2998,Pr_Base_LNEC!$A$4:$J$6971,6,FALSE)</f>
        <v>0</v>
      </c>
      <c r="K2998">
        <f>VLOOKUP(A2998,Pr_Base_LNEC!$A$4:$J$6971,7,FALSE)</f>
        <v>0</v>
      </c>
    </row>
    <row r="2999" spans="1:11" ht="14.5">
      <c r="A2999" s="20" t="s">
        <v>21493</v>
      </c>
      <c r="B2999" s="20">
        <v>35</v>
      </c>
      <c r="C2999" s="20">
        <v>57</v>
      </c>
      <c r="D2999" s="20">
        <v>11</v>
      </c>
      <c r="E2999" s="20">
        <v>46</v>
      </c>
      <c r="F2999" s="20" t="s">
        <v>21494</v>
      </c>
      <c r="G2999" s="24"/>
      <c r="H2999" s="24"/>
      <c r="I2999" s="24" t="str">
        <f ca="1">IFERROR(__xludf.DUMMYFUNCTION("GOOGLETRANSLATE(F2999,""en"",""pt"")"),"esteiras almofada solta-laid")</f>
        <v>esteiras almofada solta-laid</v>
      </c>
      <c r="J2999">
        <f>VLOOKUP(A2999,Pr_Base_LNEC!$A$4:$J$6971,6,FALSE)</f>
        <v>0</v>
      </c>
      <c r="K2999">
        <f>VLOOKUP(A2999,Pr_Base_LNEC!$A$4:$J$6971,7,FALSE)</f>
        <v>0</v>
      </c>
    </row>
    <row r="3000" spans="1:11" ht="14.5">
      <c r="A3000" s="20" t="s">
        <v>21495</v>
      </c>
      <c r="B3000" s="20">
        <v>35</v>
      </c>
      <c r="C3000" s="20">
        <v>57</v>
      </c>
      <c r="D3000" s="20">
        <v>11</v>
      </c>
      <c r="E3000" s="20">
        <v>47</v>
      </c>
      <c r="F3000" s="20" t="s">
        <v>21496</v>
      </c>
      <c r="G3000" s="24"/>
      <c r="H3000" s="24"/>
      <c r="I3000" s="24" t="str">
        <f ca="1">IFERROR(__xludf.DUMMYFUNCTION("GOOGLETRANSLATE(F3000,""en"",""pt"")"),"esteiras fadiga Loose-laid")</f>
        <v>esteiras fadiga Loose-laid</v>
      </c>
      <c r="J3000">
        <f>VLOOKUP(A3000,Pr_Base_LNEC!$A$4:$J$6971,6,FALSE)</f>
        <v>0</v>
      </c>
      <c r="K3000">
        <f>VLOOKUP(A3000,Pr_Base_LNEC!$A$4:$J$6971,7,FALSE)</f>
        <v>0</v>
      </c>
    </row>
    <row r="3001" spans="1:11" ht="14.5">
      <c r="A3001" s="20" t="s">
        <v>21497</v>
      </c>
      <c r="B3001" s="20">
        <v>35</v>
      </c>
      <c r="C3001" s="20">
        <v>57</v>
      </c>
      <c r="D3001" s="20">
        <v>11</v>
      </c>
      <c r="E3001" s="20">
        <v>49</v>
      </c>
      <c r="F3001" s="20" t="s">
        <v>21498</v>
      </c>
      <c r="G3001" s="20" t="s">
        <v>21499</v>
      </c>
      <c r="H3001" s="24"/>
      <c r="I3001" s="24" t="str">
        <f ca="1">IFERROR(__xludf.DUMMYFUNCTION("GOOGLETRANSLATE(F3001,""en"",""pt"")"),"esteiras Loose-laid")</f>
        <v>esteiras Loose-laid</v>
      </c>
      <c r="J3001">
        <f>VLOOKUP(A3001,Pr_Base_LNEC!$A$4:$J$6971,6,FALSE)</f>
        <v>0</v>
      </c>
      <c r="K3001">
        <f>VLOOKUP(A3001,Pr_Base_LNEC!$A$4:$J$6971,7,FALSE)</f>
        <v>0</v>
      </c>
    </row>
    <row r="3002" spans="1:11" ht="14.5">
      <c r="A3002" s="20" t="s">
        <v>21500</v>
      </c>
      <c r="B3002" s="20">
        <v>35</v>
      </c>
      <c r="C3002" s="20">
        <v>57</v>
      </c>
      <c r="D3002" s="20">
        <v>11</v>
      </c>
      <c r="E3002" s="20">
        <v>56</v>
      </c>
      <c r="F3002" s="20" t="s">
        <v>21501</v>
      </c>
      <c r="G3002" s="20" t="s">
        <v>21502</v>
      </c>
      <c r="H3002" s="24"/>
      <c r="I3002" s="24" t="str">
        <f ca="1">IFERROR(__xludf.DUMMYFUNCTION("GOOGLETRANSLATE(F3002,""en"",""pt"")"),"underlays sentiram Needled")</f>
        <v>underlays sentiram Needled</v>
      </c>
      <c r="J3002">
        <f>VLOOKUP(A3002,Pr_Base_LNEC!$A$4:$J$6971,6,FALSE)</f>
        <v>0</v>
      </c>
      <c r="K3002">
        <f>VLOOKUP(A3002,Pr_Base_LNEC!$A$4:$J$6971,7,FALSE)</f>
        <v>0</v>
      </c>
    </row>
    <row r="3003" spans="1:11" ht="14.5">
      <c r="A3003" s="20" t="s">
        <v>21503</v>
      </c>
      <c r="B3003" s="20">
        <v>35</v>
      </c>
      <c r="C3003" s="20">
        <v>57</v>
      </c>
      <c r="D3003" s="20">
        <v>11</v>
      </c>
      <c r="E3003" s="20">
        <v>57</v>
      </c>
      <c r="F3003" s="20" t="s">
        <v>21504</v>
      </c>
      <c r="G3003" s="20" t="s">
        <v>21505</v>
      </c>
      <c r="H3003" s="24"/>
      <c r="I3003" s="24" t="str">
        <f ca="1">IFERROR(__xludf.DUMMYFUNCTION("GOOGLETRANSLATE(F3003,""en"",""pt"")"),"carpete pilha Needled")</f>
        <v>carpete pilha Needled</v>
      </c>
      <c r="J3003">
        <f>VLOOKUP(A3003,Pr_Base_LNEC!$A$4:$J$6971,6,FALSE)</f>
        <v>0</v>
      </c>
      <c r="K3003">
        <f>VLOOKUP(A3003,Pr_Base_LNEC!$A$4:$J$6971,7,FALSE)</f>
        <v>0</v>
      </c>
    </row>
    <row r="3004" spans="1:11" ht="14.5">
      <c r="A3004" s="20" t="s">
        <v>21506</v>
      </c>
      <c r="B3004" s="20">
        <v>35</v>
      </c>
      <c r="C3004" s="20">
        <v>57</v>
      </c>
      <c r="D3004" s="20">
        <v>11</v>
      </c>
      <c r="E3004" s="20">
        <v>58</v>
      </c>
      <c r="F3004" s="20" t="s">
        <v>21507</v>
      </c>
      <c r="G3004" s="20" t="s">
        <v>21508</v>
      </c>
      <c r="H3004" s="24"/>
      <c r="I3004" s="24" t="str">
        <f ca="1">IFERROR(__xludf.DUMMYFUNCTION("GOOGLETRANSLATE(F3004,""en"",""pt"")"),"carpetes agulhados")</f>
        <v>carpetes agulhados</v>
      </c>
      <c r="J3004">
        <f>VLOOKUP(A3004,Pr_Base_LNEC!$A$4:$J$6971,6,FALSE)</f>
        <v>0</v>
      </c>
      <c r="K3004">
        <f>VLOOKUP(A3004,Pr_Base_LNEC!$A$4:$J$6971,7,FALSE)</f>
        <v>0</v>
      </c>
    </row>
    <row r="3005" spans="1:11" ht="14.5">
      <c r="A3005" s="20" t="s">
        <v>21509</v>
      </c>
      <c r="B3005" s="20">
        <v>35</v>
      </c>
      <c r="C3005" s="20">
        <v>57</v>
      </c>
      <c r="D3005" s="20">
        <v>11</v>
      </c>
      <c r="E3005" s="20">
        <v>62</v>
      </c>
      <c r="F3005" s="20" t="s">
        <v>21510</v>
      </c>
      <c r="G3005" s="20" t="s">
        <v>21511</v>
      </c>
      <c r="H3005" s="24"/>
      <c r="I3005" s="24" t="str">
        <f ca="1">IFERROR(__xludf.DUMMYFUNCTION("GOOGLETRANSLATE(F3005,""en"",""pt"")"),"carpete Pilha")</f>
        <v>carpete Pilha</v>
      </c>
      <c r="J3005">
        <f>VLOOKUP(A3005,Pr_Base_LNEC!$A$4:$J$6971,6,FALSE)</f>
        <v>0</v>
      </c>
      <c r="K3005">
        <f>VLOOKUP(A3005,Pr_Base_LNEC!$A$4:$J$6971,7,FALSE)</f>
        <v>0</v>
      </c>
    </row>
    <row r="3006" spans="1:11" ht="14.5">
      <c r="A3006" s="20" t="s">
        <v>21512</v>
      </c>
      <c r="B3006" s="20">
        <v>35</v>
      </c>
      <c r="C3006" s="20">
        <v>57</v>
      </c>
      <c r="D3006" s="20">
        <v>11</v>
      </c>
      <c r="E3006" s="20">
        <v>64</v>
      </c>
      <c r="F3006" s="20" t="s">
        <v>21513</v>
      </c>
      <c r="G3006" s="20" t="s">
        <v>21514</v>
      </c>
      <c r="H3006" s="24"/>
      <c r="I3006" s="24" t="str">
        <f ca="1">IFERROR(__xludf.DUMMYFUNCTION("GOOGLETRANSLATE(F3006,""en"",""pt"")"),"carpetes")</f>
        <v>carpetes</v>
      </c>
      <c r="J3006">
        <f>VLOOKUP(A3006,Pr_Base_LNEC!$A$4:$J$6971,6,FALSE)</f>
        <v>0</v>
      </c>
      <c r="K3006">
        <f>VLOOKUP(A3006,Pr_Base_LNEC!$A$4:$J$6971,7,FALSE)</f>
        <v>0</v>
      </c>
    </row>
    <row r="3007" spans="1:11" ht="14.5">
      <c r="A3007" s="20" t="s">
        <v>21515</v>
      </c>
      <c r="B3007" s="20">
        <v>35</v>
      </c>
      <c r="C3007" s="20">
        <v>57</v>
      </c>
      <c r="D3007" s="20">
        <v>11</v>
      </c>
      <c r="E3007" s="20">
        <v>66</v>
      </c>
      <c r="F3007" s="20" t="s">
        <v>21516</v>
      </c>
      <c r="G3007" s="20" t="s">
        <v>21517</v>
      </c>
      <c r="H3007" s="24"/>
      <c r="I3007" s="24" t="str">
        <f ca="1">IFERROR(__xludf.DUMMYFUNCTION("GOOGLETRANSLATE(F3007,""en"",""pt"")"),"Polibutilo teraftalato (PBT) tapetes de cerdas")</f>
        <v>Polibutilo teraftalato (PBT) tapetes de cerdas</v>
      </c>
      <c r="J3007">
        <f>VLOOKUP(A3007,Pr_Base_LNEC!$A$4:$J$6971,6,FALSE)</f>
        <v>0</v>
      </c>
      <c r="K3007">
        <f>VLOOKUP(A3007,Pr_Base_LNEC!$A$4:$J$6971,7,FALSE)</f>
        <v>0</v>
      </c>
    </row>
    <row r="3008" spans="1:11" ht="14.5">
      <c r="A3008" s="20" t="s">
        <v>21518</v>
      </c>
      <c r="B3008" s="20">
        <v>35</v>
      </c>
      <c r="C3008" s="20">
        <v>57</v>
      </c>
      <c r="D3008" s="20">
        <v>11</v>
      </c>
      <c r="E3008" s="20">
        <v>68</v>
      </c>
      <c r="F3008" s="20" t="s">
        <v>21519</v>
      </c>
      <c r="G3008" s="20" t="s">
        <v>21520</v>
      </c>
      <c r="H3008" s="24"/>
      <c r="I3008" s="24" t="str">
        <f ca="1">IFERROR(__xludf.DUMMYFUNCTION("GOOGLETRANSLATE(F3008,""en"",""pt"")"),"cloreto de polivinilo (PVC) tapetes de cerdas")</f>
        <v>cloreto de polivinilo (PVC) tapetes de cerdas</v>
      </c>
      <c r="J3008">
        <f>VLOOKUP(A3008,Pr_Base_LNEC!$A$4:$J$6971,6,FALSE)</f>
        <v>0</v>
      </c>
      <c r="K3008">
        <f>VLOOKUP(A3008,Pr_Base_LNEC!$A$4:$J$6971,7,FALSE)</f>
        <v>0</v>
      </c>
    </row>
    <row r="3009" spans="1:11" ht="14.5">
      <c r="A3009" s="20" t="s">
        <v>21521</v>
      </c>
      <c r="B3009" s="20">
        <v>35</v>
      </c>
      <c r="C3009" s="20">
        <v>57</v>
      </c>
      <c r="D3009" s="20">
        <v>11</v>
      </c>
      <c r="E3009" s="20">
        <v>72</v>
      </c>
      <c r="F3009" s="20" t="s">
        <v>21522</v>
      </c>
      <c r="G3009" s="20" t="s">
        <v>21523</v>
      </c>
      <c r="H3009" s="24"/>
      <c r="I3009" s="24" t="str">
        <f ca="1">IFERROR(__xludf.DUMMYFUNCTION("GOOGLETRANSLATE(F3009,""en"",""pt"")"),"tapetes de junco")</f>
        <v>tapetes de junco</v>
      </c>
      <c r="J3009">
        <f>VLOOKUP(A3009,Pr_Base_LNEC!$A$4:$J$6971,6,FALSE)</f>
        <v>0</v>
      </c>
      <c r="K3009">
        <f>VLOOKUP(A3009,Pr_Base_LNEC!$A$4:$J$6971,7,FALSE)</f>
        <v>0</v>
      </c>
    </row>
    <row r="3010" spans="1:11" ht="14.5">
      <c r="A3010" s="20" t="s">
        <v>21524</v>
      </c>
      <c r="B3010" s="20">
        <v>35</v>
      </c>
      <c r="C3010" s="20">
        <v>57</v>
      </c>
      <c r="D3010" s="20">
        <v>11</v>
      </c>
      <c r="E3010" s="20">
        <v>74</v>
      </c>
      <c r="F3010" s="20" t="s">
        <v>21525</v>
      </c>
      <c r="G3010" s="20" t="s">
        <v>21526</v>
      </c>
      <c r="H3010" s="24"/>
      <c r="I3010" s="24" t="str">
        <f ca="1">IFERROR(__xludf.DUMMYFUNCTION("GOOGLETRANSLATE(F3010,""en"",""pt"")"),"underlays migalha de borracha")</f>
        <v>underlays migalha de borracha</v>
      </c>
      <c r="J3010">
        <f>VLOOKUP(A3010,Pr_Base_LNEC!$A$4:$J$6971,6,FALSE)</f>
        <v>0</v>
      </c>
      <c r="K3010">
        <f>VLOOKUP(A3010,Pr_Base_LNEC!$A$4:$J$6971,7,FALSE)</f>
        <v>0</v>
      </c>
    </row>
    <row r="3011" spans="1:11" ht="14.5">
      <c r="A3011" s="20" t="s">
        <v>21527</v>
      </c>
      <c r="B3011" s="20">
        <v>35</v>
      </c>
      <c r="C3011" s="20">
        <v>57</v>
      </c>
      <c r="D3011" s="20">
        <v>11</v>
      </c>
      <c r="E3011" s="20">
        <v>85</v>
      </c>
      <c r="F3011" s="20" t="s">
        <v>21528</v>
      </c>
      <c r="G3011" s="20" t="s">
        <v>21529</v>
      </c>
      <c r="H3011" s="24"/>
      <c r="I3011" s="24" t="str">
        <f ca="1">IFERROR(__xludf.DUMMYFUNCTION("GOOGLETRANSLATE(F3011,""en"",""pt"")"),"superfícies de relva sintética")</f>
        <v>superfícies de relva sintética</v>
      </c>
      <c r="J3011">
        <f>VLOOKUP(A3011,Pr_Base_LNEC!$A$4:$J$6971,6,FALSE)</f>
        <v>0</v>
      </c>
      <c r="K3011">
        <f>VLOOKUP(A3011,Pr_Base_LNEC!$A$4:$J$6971,7,FALSE)</f>
        <v>0</v>
      </c>
    </row>
    <row r="3012" spans="1:11" ht="14.5">
      <c r="A3012" s="20" t="s">
        <v>21530</v>
      </c>
      <c r="B3012" s="20">
        <v>35</v>
      </c>
      <c r="C3012" s="20">
        <v>57</v>
      </c>
      <c r="D3012" s="20">
        <v>11</v>
      </c>
      <c r="E3012" s="20">
        <v>91</v>
      </c>
      <c r="F3012" s="20" t="s">
        <v>21531</v>
      </c>
      <c r="G3012" s="20" t="s">
        <v>21532</v>
      </c>
      <c r="H3012" s="24"/>
      <c r="I3012" s="24" t="str">
        <f ca="1">IFERROR(__xludf.DUMMYFUNCTION("GOOGLETRANSLATE(F3012,""en"",""pt"")"),"tapetes tufados")</f>
        <v>tapetes tufados</v>
      </c>
      <c r="J3012">
        <f>VLOOKUP(A3012,Pr_Base_LNEC!$A$4:$J$6971,6,FALSE)</f>
        <v>0</v>
      </c>
      <c r="K3012">
        <f>VLOOKUP(A3012,Pr_Base_LNEC!$A$4:$J$6971,7,FALSE)</f>
        <v>0</v>
      </c>
    </row>
    <row r="3013" spans="1:11" ht="14.5">
      <c r="A3013" s="20" t="s">
        <v>21533</v>
      </c>
      <c r="B3013" s="20">
        <v>35</v>
      </c>
      <c r="C3013" s="20">
        <v>57</v>
      </c>
      <c r="D3013" s="20">
        <v>11</v>
      </c>
      <c r="E3013" s="20">
        <v>97</v>
      </c>
      <c r="F3013" s="20" t="s">
        <v>21534</v>
      </c>
      <c r="G3013" s="20" t="s">
        <v>21535</v>
      </c>
      <c r="H3013" s="24"/>
      <c r="I3013" s="24" t="str">
        <f ca="1">IFERROR(__xludf.DUMMYFUNCTION("GOOGLETRANSLATE(F3013,""en"",""pt"")"),"tapetes Wilton")</f>
        <v>tapetes Wilton</v>
      </c>
      <c r="J3013">
        <f>VLOOKUP(A3013,Pr_Base_LNEC!$A$4:$J$6971,6,FALSE)</f>
        <v>0</v>
      </c>
      <c r="K3013">
        <f>VLOOKUP(A3013,Pr_Base_LNEC!$A$4:$J$6971,7,FALSE)</f>
        <v>0</v>
      </c>
    </row>
    <row r="3014" spans="1:11" ht="14.5">
      <c r="A3014" s="20" t="s">
        <v>21536</v>
      </c>
      <c r="B3014" s="20">
        <v>35</v>
      </c>
      <c r="C3014" s="20">
        <v>57</v>
      </c>
      <c r="D3014" s="20">
        <v>15</v>
      </c>
      <c r="E3014" s="24"/>
      <c r="F3014" s="20" t="s">
        <v>21537</v>
      </c>
      <c r="G3014" s="24"/>
      <c r="H3014" s="24"/>
      <c r="I3014" s="24" t="str">
        <f ca="1">IFERROR(__xludf.DUMMYFUNCTION("GOOGLETRANSLATE(F3014,""en"",""pt"")"),"revestimento composto e produtos underlay")</f>
        <v>revestimento composto e produtos underlay</v>
      </c>
      <c r="J3014">
        <f>VLOOKUP(A3014,Pr_Base_LNEC!$A$4:$J$6971,6,FALSE)</f>
        <v>0</v>
      </c>
      <c r="K3014">
        <f>VLOOKUP(A3014,Pr_Base_LNEC!$A$4:$J$6971,7,FALSE)</f>
        <v>0</v>
      </c>
    </row>
    <row r="3015" spans="1:11" ht="14.5">
      <c r="A3015" s="20" t="s">
        <v>21538</v>
      </c>
      <c r="B3015" s="20">
        <v>35</v>
      </c>
      <c r="C3015" s="20">
        <v>57</v>
      </c>
      <c r="D3015" s="20">
        <v>15</v>
      </c>
      <c r="E3015" s="20">
        <v>40</v>
      </c>
      <c r="F3015" s="20" t="s">
        <v>21539</v>
      </c>
      <c r="G3015" s="20" t="s">
        <v>21540</v>
      </c>
      <c r="H3015" s="24"/>
      <c r="I3015" s="24" t="str">
        <f ca="1">IFERROR(__xludf.DUMMYFUNCTION("GOOGLETRANSLATE(F3015,""en"",""pt"")"),"IN SITU camadas de absorção de choque polímero")</f>
        <v>IN SITU camadas de absorção de choque polímero</v>
      </c>
      <c r="J3015">
        <f>VLOOKUP(A3015,Pr_Base_LNEC!$A$4:$J$6971,6,FALSE)</f>
        <v>0</v>
      </c>
      <c r="K3015">
        <f>VLOOKUP(A3015,Pr_Base_LNEC!$A$4:$J$6971,7,FALSE)</f>
        <v>0</v>
      </c>
    </row>
    <row r="3016" spans="1:11" ht="14.5">
      <c r="A3016" s="20" t="s">
        <v>21541</v>
      </c>
      <c r="B3016" s="20">
        <v>35</v>
      </c>
      <c r="C3016" s="20">
        <v>57</v>
      </c>
      <c r="D3016" s="20">
        <v>15</v>
      </c>
      <c r="E3016" s="20">
        <v>42</v>
      </c>
      <c r="F3016" s="20" t="s">
        <v>21542</v>
      </c>
      <c r="G3016" s="20" t="s">
        <v>21543</v>
      </c>
      <c r="H3016" s="24"/>
      <c r="I3016" s="24" t="str">
        <f ca="1">IFERROR(__xludf.DUMMYFUNCTION("GOOGLETRANSLATE(F3016,""en"",""pt"")"),"Interlocking painéis de absorção de choque")</f>
        <v>Interlocking painéis de absorção de choque</v>
      </c>
      <c r="J3016">
        <f>VLOOKUP(A3016,Pr_Base_LNEC!$A$4:$J$6971,6,FALSE)</f>
        <v>0</v>
      </c>
      <c r="K3016">
        <f>VLOOKUP(A3016,Pr_Base_LNEC!$A$4:$J$6971,7,FALSE)</f>
        <v>0</v>
      </c>
    </row>
    <row r="3017" spans="1:11" ht="14.5">
      <c r="A3017" s="20" t="s">
        <v>21544</v>
      </c>
      <c r="B3017" s="20">
        <v>35</v>
      </c>
      <c r="C3017" s="20">
        <v>57</v>
      </c>
      <c r="D3017" s="20">
        <v>15</v>
      </c>
      <c r="E3017" s="20">
        <v>75</v>
      </c>
      <c r="F3017" s="20" t="s">
        <v>21545</v>
      </c>
      <c r="G3017" s="20" t="s">
        <v>21546</v>
      </c>
      <c r="H3017" s="24"/>
      <c r="I3017" s="24" t="str">
        <f ca="1">IFERROR(__xludf.DUMMYFUNCTION("GOOGLETRANSLATE(F3017,""en"",""pt"")"),"camadas de absorção de choque de areia envolvida")</f>
        <v>camadas de absorção de choque de areia envolvida</v>
      </c>
      <c r="J3017">
        <f>VLOOKUP(A3017,Pr_Base_LNEC!$A$4:$J$6971,6,FALSE)</f>
        <v>0</v>
      </c>
      <c r="K3017">
        <f>VLOOKUP(A3017,Pr_Base_LNEC!$A$4:$J$6971,7,FALSE)</f>
        <v>0</v>
      </c>
    </row>
    <row r="3018" spans="1:11" ht="14.5">
      <c r="A3018" s="20" t="s">
        <v>21547</v>
      </c>
      <c r="B3018" s="20">
        <v>35</v>
      </c>
      <c r="C3018" s="20">
        <v>57</v>
      </c>
      <c r="D3018" s="20">
        <v>15</v>
      </c>
      <c r="E3018" s="20">
        <v>80</v>
      </c>
      <c r="F3018" s="20" t="s">
        <v>21548</v>
      </c>
      <c r="G3018" s="20" t="s">
        <v>21549</v>
      </c>
      <c r="H3018" s="24"/>
      <c r="I3018" s="24" t="str">
        <f ca="1">IFERROR(__xludf.DUMMYFUNCTION("GOOGLETRANSLATE(F3018,""en"",""pt"")"),"camadas de absorção de choque folha formato")</f>
        <v>camadas de absorção de choque folha formato</v>
      </c>
      <c r="J3018">
        <f>VLOOKUP(A3018,Pr_Base_LNEC!$A$4:$J$6971,6,FALSE)</f>
        <v>0</v>
      </c>
      <c r="K3018">
        <f>VLOOKUP(A3018,Pr_Base_LNEC!$A$4:$J$6971,7,FALSE)</f>
        <v>0</v>
      </c>
    </row>
    <row r="3019" spans="1:11" ht="14.5">
      <c r="A3019" s="20" t="s">
        <v>21550</v>
      </c>
      <c r="B3019" s="20">
        <v>35</v>
      </c>
      <c r="C3019" s="20">
        <v>57</v>
      </c>
      <c r="D3019" s="20">
        <v>22</v>
      </c>
      <c r="E3019" s="24"/>
      <c r="F3019" s="20" t="s">
        <v>21551</v>
      </c>
      <c r="G3019" s="24"/>
      <c r="H3019" s="24"/>
      <c r="I3019" s="24" t="str">
        <f ca="1">IFERROR(__xludf.DUMMYFUNCTION("GOOGLETRANSLATE(F3019,""en"",""pt"")"),"Decorativa papéis e revestimentos de rolos")</f>
        <v>Decorativa papéis e revestimentos de rolos</v>
      </c>
      <c r="J3019">
        <f>VLOOKUP(A3019,Pr_Base_LNEC!$A$4:$J$6971,6,FALSE)</f>
        <v>0</v>
      </c>
      <c r="K3019">
        <f>VLOOKUP(A3019,Pr_Base_LNEC!$A$4:$J$6971,7,FALSE)</f>
        <v>0</v>
      </c>
    </row>
    <row r="3020" spans="1:11" ht="14.5">
      <c r="A3020" s="20" t="s">
        <v>21552</v>
      </c>
      <c r="B3020" s="20">
        <v>35</v>
      </c>
      <c r="C3020" s="20">
        <v>57</v>
      </c>
      <c r="D3020" s="20">
        <v>22</v>
      </c>
      <c r="E3020" s="20">
        <v>8</v>
      </c>
      <c r="F3020" s="20" t="s">
        <v>21553</v>
      </c>
      <c r="G3020" s="20" t="s">
        <v>21554</v>
      </c>
      <c r="H3020" s="24"/>
      <c r="I3020" s="24" t="str">
        <f ca="1">IFERROR(__xludf.DUMMYFUNCTION("GOOGLETRANSLATE(F3020,""en"",""pt"")"),"papéis de fronteira")</f>
        <v>papéis de fronteira</v>
      </c>
      <c r="J3020">
        <f>VLOOKUP(A3020,Pr_Base_LNEC!$A$4:$J$6971,6,FALSE)</f>
        <v>0</v>
      </c>
      <c r="K3020">
        <f>VLOOKUP(A3020,Pr_Base_LNEC!$A$4:$J$6971,7,FALSE)</f>
        <v>0</v>
      </c>
    </row>
    <row r="3021" spans="1:11" ht="14.5">
      <c r="A3021" s="20" t="s">
        <v>21555</v>
      </c>
      <c r="B3021" s="20">
        <v>35</v>
      </c>
      <c r="C3021" s="20">
        <v>57</v>
      </c>
      <c r="D3021" s="20">
        <v>22</v>
      </c>
      <c r="E3021" s="20">
        <v>15</v>
      </c>
      <c r="F3021" s="20" t="s">
        <v>21556</v>
      </c>
      <c r="G3021" s="20" t="s">
        <v>21557</v>
      </c>
      <c r="H3021" s="24"/>
      <c r="I3021" s="24" t="str">
        <f ca="1">IFERROR(__xludf.DUMMYFUNCTION("GOOGLETRANSLATE(F3021,""en"",""pt"")"),"revestimentos de cortiça rolo")</f>
        <v>revestimentos de cortiça rolo</v>
      </c>
      <c r="J3021">
        <f>VLOOKUP(A3021,Pr_Base_LNEC!$A$4:$J$6971,6,FALSE)</f>
        <v>0</v>
      </c>
      <c r="K3021">
        <f>VLOOKUP(A3021,Pr_Base_LNEC!$A$4:$J$6971,7,FALSE)</f>
        <v>0</v>
      </c>
    </row>
    <row r="3022" spans="1:11" ht="14.5">
      <c r="A3022" s="20" t="s">
        <v>21558</v>
      </c>
      <c r="B3022" s="20">
        <v>35</v>
      </c>
      <c r="C3022" s="20">
        <v>57</v>
      </c>
      <c r="D3022" s="20">
        <v>22</v>
      </c>
      <c r="E3022" s="20">
        <v>38</v>
      </c>
      <c r="F3022" s="20" t="s">
        <v>21559</v>
      </c>
      <c r="G3022" s="20" t="s">
        <v>21560</v>
      </c>
      <c r="H3022" s="24"/>
      <c r="I3022" s="24" t="str">
        <f ca="1">IFERROR(__xludf.DUMMYFUNCTION("GOOGLETRANSLATE(F3022,""en"",""pt"")"),"revestimentos de rolos pesados")</f>
        <v>revestimentos de rolos pesados</v>
      </c>
      <c r="J3022">
        <f>VLOOKUP(A3022,Pr_Base_LNEC!$A$4:$J$6971,6,FALSE)</f>
        <v>0</v>
      </c>
      <c r="K3022">
        <f>VLOOKUP(A3022,Pr_Base_LNEC!$A$4:$J$6971,7,FALSE)</f>
        <v>0</v>
      </c>
    </row>
    <row r="3023" spans="1:11" ht="14.5">
      <c r="A3023" s="20" t="s">
        <v>21561</v>
      </c>
      <c r="B3023" s="20">
        <v>35</v>
      </c>
      <c r="C3023" s="20">
        <v>57</v>
      </c>
      <c r="D3023" s="20">
        <v>22</v>
      </c>
      <c r="E3023" s="20">
        <v>42</v>
      </c>
      <c r="F3023" s="20" t="s">
        <v>21562</v>
      </c>
      <c r="G3023" s="20" t="s">
        <v>21563</v>
      </c>
      <c r="H3023" s="24"/>
      <c r="I3023" s="24" t="str">
        <f ca="1">IFERROR(__xludf.DUMMYFUNCTION("GOOGLETRANSLATE(F3023,""en"",""pt"")"),"revestimentos de rolos enraizar")</f>
        <v>revestimentos de rolos enraizar</v>
      </c>
      <c r="J3023">
        <f>VLOOKUP(A3023,Pr_Base_LNEC!$A$4:$J$6971,6,FALSE)</f>
        <v>0</v>
      </c>
      <c r="K3023">
        <f>VLOOKUP(A3023,Pr_Base_LNEC!$A$4:$J$6971,7,FALSE)</f>
        <v>0</v>
      </c>
    </row>
    <row r="3024" spans="1:11" ht="14.5">
      <c r="A3024" s="20" t="s">
        <v>21564</v>
      </c>
      <c r="B3024" s="20">
        <v>35</v>
      </c>
      <c r="C3024" s="20">
        <v>57</v>
      </c>
      <c r="D3024" s="20">
        <v>22</v>
      </c>
      <c r="E3024" s="20">
        <v>46</v>
      </c>
      <c r="F3024" s="20" t="s">
        <v>21565</v>
      </c>
      <c r="G3024" s="20" t="s">
        <v>21566</v>
      </c>
      <c r="H3024" s="24"/>
      <c r="I3024" s="24" t="str">
        <f ca="1">IFERROR(__xludf.DUMMYFUNCTION("GOOGLETRANSLATE(F3024,""en"",""pt"")"),"papéis de revestimento lastreados em linho")</f>
        <v>papéis de revestimento lastreados em linho</v>
      </c>
      <c r="J3024">
        <f>VLOOKUP(A3024,Pr_Base_LNEC!$A$4:$J$6971,6,FALSE)</f>
        <v>0</v>
      </c>
      <c r="K3024">
        <f>VLOOKUP(A3024,Pr_Base_LNEC!$A$4:$J$6971,7,FALSE)</f>
        <v>0</v>
      </c>
    </row>
    <row r="3025" spans="1:11" ht="14.5">
      <c r="A3025" s="20" t="s">
        <v>21567</v>
      </c>
      <c r="B3025" s="20">
        <v>35</v>
      </c>
      <c r="C3025" s="20">
        <v>57</v>
      </c>
      <c r="D3025" s="20">
        <v>22</v>
      </c>
      <c r="E3025" s="20">
        <v>48</v>
      </c>
      <c r="F3025" s="20" t="s">
        <v>21568</v>
      </c>
      <c r="G3025" s="20" t="s">
        <v>21569</v>
      </c>
      <c r="H3025" s="24"/>
      <c r="I3025" s="24" t="str">
        <f ca="1">IFERROR(__xludf.DUMMYFUNCTION("GOOGLETRANSLATE(F3025,""en"",""pt"")"),"papéis de forro")</f>
        <v>papéis de forro</v>
      </c>
      <c r="J3025">
        <f>VLOOKUP(A3025,Pr_Base_LNEC!$A$4:$J$6971,6,FALSE)</f>
        <v>0</v>
      </c>
      <c r="K3025">
        <f>VLOOKUP(A3025,Pr_Base_LNEC!$A$4:$J$6971,7,FALSE)</f>
        <v>0</v>
      </c>
    </row>
    <row r="3026" spans="1:11" ht="14.5">
      <c r="A3026" s="20" t="s">
        <v>21570</v>
      </c>
      <c r="B3026" s="20">
        <v>35</v>
      </c>
      <c r="C3026" s="20">
        <v>57</v>
      </c>
      <c r="D3026" s="20">
        <v>22</v>
      </c>
      <c r="E3026" s="20">
        <v>51</v>
      </c>
      <c r="F3026" s="20" t="s">
        <v>21571</v>
      </c>
      <c r="G3026" s="20" t="s">
        <v>21572</v>
      </c>
      <c r="H3026" s="24"/>
      <c r="I3026" s="24" t="str">
        <f ca="1">IFERROR(__xludf.DUMMYFUNCTION("GOOGLETRANSLATE(F3026,""en"",""pt"")"),"revestimentos folha de rolo de metal")</f>
        <v>revestimentos folha de rolo de metal</v>
      </c>
      <c r="J3026">
        <f>VLOOKUP(A3026,Pr_Base_LNEC!$A$4:$J$6971,6,FALSE)</f>
        <v>0</v>
      </c>
      <c r="K3026">
        <f>VLOOKUP(A3026,Pr_Base_LNEC!$A$4:$J$6971,7,FALSE)</f>
        <v>0</v>
      </c>
    </row>
    <row r="3027" spans="1:11" ht="14.5">
      <c r="A3027" s="20" t="s">
        <v>21573</v>
      </c>
      <c r="B3027" s="20">
        <v>35</v>
      </c>
      <c r="C3027" s="20">
        <v>57</v>
      </c>
      <c r="D3027" s="20">
        <v>22</v>
      </c>
      <c r="E3027" s="20">
        <v>52</v>
      </c>
      <c r="F3027" s="20" t="s">
        <v>21574</v>
      </c>
      <c r="G3027" s="20" t="s">
        <v>21575</v>
      </c>
      <c r="H3027" s="24"/>
      <c r="I3027" s="24" t="str">
        <f ca="1">IFERROR(__xludf.DUMMYFUNCTION("GOOGLETRANSLATE(F3027,""en"",""pt"")"),"revestimentos de rolos efeito metálico")</f>
        <v>revestimentos de rolos efeito metálico</v>
      </c>
      <c r="J3027">
        <f>VLOOKUP(A3027,Pr_Base_LNEC!$A$4:$J$6971,6,FALSE)</f>
        <v>0</v>
      </c>
      <c r="K3027">
        <f>VLOOKUP(A3027,Pr_Base_LNEC!$A$4:$J$6971,7,FALSE)</f>
        <v>0</v>
      </c>
    </row>
    <row r="3028" spans="1:11" ht="14.5">
      <c r="A3028" s="20" t="s">
        <v>21576</v>
      </c>
      <c r="B3028" s="20">
        <v>35</v>
      </c>
      <c r="C3028" s="20">
        <v>57</v>
      </c>
      <c r="D3028" s="20">
        <v>22</v>
      </c>
      <c r="E3028" s="20">
        <v>53</v>
      </c>
      <c r="F3028" s="20" t="s">
        <v>21577</v>
      </c>
      <c r="G3028" s="20" t="s">
        <v>21578</v>
      </c>
      <c r="H3028" s="24"/>
      <c r="I3028" s="24" t="str">
        <f ca="1">IFERROR(__xludf.DUMMYFUNCTION("GOOGLETRANSLATE(F3028,""en"",""pt"")"),"revestimentos de rolos metalizados")</f>
        <v>revestimentos de rolos metalizados</v>
      </c>
      <c r="J3028">
        <f>VLOOKUP(A3028,Pr_Base_LNEC!$A$4:$J$6971,6,FALSE)</f>
        <v>0</v>
      </c>
      <c r="K3028">
        <f>VLOOKUP(A3028,Pr_Base_LNEC!$A$4:$J$6971,7,FALSE)</f>
        <v>0</v>
      </c>
    </row>
    <row r="3029" spans="1:11" ht="14.5">
      <c r="A3029" s="20" t="s">
        <v>21579</v>
      </c>
      <c r="B3029" s="20">
        <v>35</v>
      </c>
      <c r="C3029" s="20">
        <v>57</v>
      </c>
      <c r="D3029" s="20">
        <v>22</v>
      </c>
      <c r="E3029" s="20">
        <v>54</v>
      </c>
      <c r="F3029" s="20" t="s">
        <v>21580</v>
      </c>
      <c r="G3029" s="20" t="s">
        <v>21581</v>
      </c>
      <c r="H3029" s="24"/>
      <c r="I3029" s="24" t="str">
        <f ca="1">IFERROR(__xludf.DUMMYFUNCTION("GOOGLETRANSLATE(F3029,""en"",""pt"")"),"revestimentos de rolos Mural")</f>
        <v>revestimentos de rolos Mural</v>
      </c>
      <c r="J3029">
        <f>VLOOKUP(A3029,Pr_Base_LNEC!$A$4:$J$6971,6,FALSE)</f>
        <v>0</v>
      </c>
      <c r="K3029">
        <f>VLOOKUP(A3029,Pr_Base_LNEC!$A$4:$J$6971,7,FALSE)</f>
        <v>0</v>
      </c>
    </row>
    <row r="3030" spans="1:11" ht="14.5">
      <c r="A3030" s="20" t="s">
        <v>21582</v>
      </c>
      <c r="B3030" s="20">
        <v>35</v>
      </c>
      <c r="C3030" s="20">
        <v>57</v>
      </c>
      <c r="D3030" s="20">
        <v>22</v>
      </c>
      <c r="E3030" s="20">
        <v>58</v>
      </c>
      <c r="F3030" s="20" t="s">
        <v>21583</v>
      </c>
      <c r="G3030" s="20" t="s">
        <v>21584</v>
      </c>
      <c r="H3030" s="24"/>
      <c r="I3030" s="24" t="str">
        <f ca="1">IFERROR(__xludf.DUMMYFUNCTION("GOOGLETRANSLATE(F3030,""en"",""pt"")"),"Não-tecido papéis de revestimento")</f>
        <v>Não-tecido papéis de revestimento</v>
      </c>
      <c r="J3030">
        <f>VLOOKUP(A3030,Pr_Base_LNEC!$A$4:$J$6971,6,FALSE)</f>
        <v>0</v>
      </c>
      <c r="K3030">
        <f>VLOOKUP(A3030,Pr_Base_LNEC!$A$4:$J$6971,7,FALSE)</f>
        <v>0</v>
      </c>
    </row>
    <row r="3031" spans="1:11" ht="14.5">
      <c r="A3031" s="20" t="s">
        <v>21585</v>
      </c>
      <c r="B3031" s="20">
        <v>35</v>
      </c>
      <c r="C3031" s="20">
        <v>57</v>
      </c>
      <c r="D3031" s="20">
        <v>22</v>
      </c>
      <c r="E3031" s="20">
        <v>60</v>
      </c>
      <c r="F3031" s="20" t="s">
        <v>21586</v>
      </c>
      <c r="G3031" s="20" t="s">
        <v>21587</v>
      </c>
      <c r="H3031" s="24"/>
      <c r="I3031" s="24" t="str">
        <f ca="1">IFERROR(__xludf.DUMMYFUNCTION("GOOGLETRANSLATE(F3031,""en"",""pt"")"),"revestimentos de rolos de papel")</f>
        <v>revestimentos de rolos de papel</v>
      </c>
      <c r="J3031">
        <f>VLOOKUP(A3031,Pr_Base_LNEC!$A$4:$J$6971,6,FALSE)</f>
        <v>0</v>
      </c>
      <c r="K3031">
        <f>VLOOKUP(A3031,Pr_Base_LNEC!$A$4:$J$6971,7,FALSE)</f>
        <v>0</v>
      </c>
    </row>
    <row r="3032" spans="1:11" ht="14.5">
      <c r="A3032" s="20" t="s">
        <v>21588</v>
      </c>
      <c r="B3032" s="20">
        <v>35</v>
      </c>
      <c r="C3032" s="20">
        <v>57</v>
      </c>
      <c r="D3032" s="20">
        <v>22</v>
      </c>
      <c r="E3032" s="20">
        <v>72</v>
      </c>
      <c r="F3032" s="20" t="s">
        <v>21589</v>
      </c>
      <c r="G3032" s="20" t="s">
        <v>21590</v>
      </c>
      <c r="H3032" s="24"/>
      <c r="I3032" s="24" t="str">
        <f ca="1">IFERROR(__xludf.DUMMYFUNCTION("GOOGLETRANSLATE(F3032,""en"",""pt"")"),"revestimentos de rolos de alívio")</f>
        <v>revestimentos de rolos de alívio</v>
      </c>
      <c r="J3032">
        <f>VLOOKUP(A3032,Pr_Base_LNEC!$A$4:$J$6971,6,FALSE)</f>
        <v>0</v>
      </c>
      <c r="K3032">
        <f>VLOOKUP(A3032,Pr_Base_LNEC!$A$4:$J$6971,7,FALSE)</f>
        <v>0</v>
      </c>
    </row>
    <row r="3033" spans="1:11" ht="14.5">
      <c r="A3033" s="20" t="s">
        <v>21591</v>
      </c>
      <c r="B3033" s="20">
        <v>35</v>
      </c>
      <c r="C3033" s="20">
        <v>57</v>
      </c>
      <c r="D3033" s="20">
        <v>22</v>
      </c>
      <c r="E3033" s="20">
        <v>88</v>
      </c>
      <c r="F3033" s="20" t="s">
        <v>21592</v>
      </c>
      <c r="G3033" s="20" t="s">
        <v>21593</v>
      </c>
      <c r="H3033" s="24"/>
      <c r="I3033" s="24" t="str">
        <f ca="1">IFERROR(__xludf.DUMMYFUNCTION("GOOGLETRANSLATE(F3033,""en"",""pt"")"),"revestimentos de rolos têxteis")</f>
        <v>revestimentos de rolos têxteis</v>
      </c>
      <c r="J3033">
        <f>VLOOKUP(A3033,Pr_Base_LNEC!$A$4:$J$6971,6,FALSE)</f>
        <v>0</v>
      </c>
      <c r="K3033">
        <f>VLOOKUP(A3033,Pr_Base_LNEC!$A$4:$J$6971,7,FALSE)</f>
        <v>0</v>
      </c>
    </row>
    <row r="3034" spans="1:11" ht="14.5">
      <c r="A3034" s="20" t="s">
        <v>21594</v>
      </c>
      <c r="B3034" s="20">
        <v>35</v>
      </c>
      <c r="C3034" s="20">
        <v>57</v>
      </c>
      <c r="D3034" s="20">
        <v>22</v>
      </c>
      <c r="E3034" s="20">
        <v>90</v>
      </c>
      <c r="F3034" s="20" t="s">
        <v>21595</v>
      </c>
      <c r="G3034" s="20" t="s">
        <v>21596</v>
      </c>
      <c r="H3034" s="24"/>
      <c r="I3034" s="24" t="str">
        <f ca="1">IFERROR(__xludf.DUMMYFUNCTION("GOOGLETRANSLATE(F3034,""en"",""pt"")"),"revestimentos de rolos efeito texturizado")</f>
        <v>revestimentos de rolos efeito texturizado</v>
      </c>
      <c r="J3034">
        <f>VLOOKUP(A3034,Pr_Base_LNEC!$A$4:$J$6971,6,FALSE)</f>
        <v>0</v>
      </c>
      <c r="K3034">
        <f>VLOOKUP(A3034,Pr_Base_LNEC!$A$4:$J$6971,7,FALSE)</f>
        <v>0</v>
      </c>
    </row>
    <row r="3035" spans="1:11" ht="14.5">
      <c r="A3035" s="20" t="s">
        <v>21597</v>
      </c>
      <c r="B3035" s="20">
        <v>35</v>
      </c>
      <c r="C3035" s="20">
        <v>57</v>
      </c>
      <c r="D3035" s="20">
        <v>22</v>
      </c>
      <c r="E3035" s="20">
        <v>95</v>
      </c>
      <c r="F3035" s="20" t="s">
        <v>21598</v>
      </c>
      <c r="G3035" s="20" t="s">
        <v>21599</v>
      </c>
      <c r="H3035" s="24"/>
      <c r="I3035" s="24" t="str">
        <f ca="1">IFERROR(__xludf.DUMMYFUNCTION("GOOGLETRANSLATE(F3035,""en"",""pt"")"),"revestimentos de vinil rolo")</f>
        <v>revestimentos de vinil rolo</v>
      </c>
      <c r="J3035">
        <f>VLOOKUP(A3035,Pr_Base_LNEC!$A$4:$J$6971,6,FALSE)</f>
        <v>0</v>
      </c>
      <c r="K3035">
        <f>VLOOKUP(A3035,Pr_Base_LNEC!$A$4:$J$6971,7,FALSE)</f>
        <v>0</v>
      </c>
    </row>
    <row r="3036" spans="1:11" ht="14.5">
      <c r="A3036" s="20" t="s">
        <v>21600</v>
      </c>
      <c r="B3036" s="20">
        <v>35</v>
      </c>
      <c r="C3036" s="20">
        <v>57</v>
      </c>
      <c r="D3036" s="20">
        <v>71</v>
      </c>
      <c r="E3036" s="24"/>
      <c r="F3036" s="20" t="s">
        <v>21601</v>
      </c>
      <c r="G3036" s="24"/>
      <c r="H3036" s="24"/>
      <c r="I3036" s="24" t="str">
        <f ca="1">IFERROR(__xludf.DUMMYFUNCTION("GOOGLETRANSLATE(F3036,""en"",""pt"")"),"Revestimentos de piso resilientes")</f>
        <v>Revestimentos de piso resilientes</v>
      </c>
      <c r="J3036">
        <f>VLOOKUP(A3036,Pr_Base_LNEC!$A$4:$J$6971,6,FALSE)</f>
        <v>0</v>
      </c>
      <c r="K3036">
        <f>VLOOKUP(A3036,Pr_Base_LNEC!$A$4:$J$6971,7,FALSE)</f>
        <v>0</v>
      </c>
    </row>
    <row r="3037" spans="1:11" ht="14.5">
      <c r="A3037" s="20" t="s">
        <v>21602</v>
      </c>
      <c r="B3037" s="20">
        <v>35</v>
      </c>
      <c r="C3037" s="20">
        <v>57</v>
      </c>
      <c r="D3037" s="20">
        <v>71</v>
      </c>
      <c r="E3037" s="20">
        <v>2</v>
      </c>
      <c r="F3037" s="20" t="s">
        <v>21603</v>
      </c>
      <c r="G3037" s="20" t="s">
        <v>21604</v>
      </c>
      <c r="H3037" s="24"/>
      <c r="I3037" s="24" t="str">
        <f ca="1">IFERROR(__xludf.DUMMYFUNCTION("GOOGLETRANSLATE(F3037,""en"",""pt"")"),"telhas de aglomerado composto de cortiça")</f>
        <v>telhas de aglomerado composto de cortiça</v>
      </c>
      <c r="J3037">
        <f>VLOOKUP(A3037,Pr_Base_LNEC!$A$4:$J$6971,6,FALSE)</f>
        <v>0</v>
      </c>
      <c r="K3037">
        <f>VLOOKUP(A3037,Pr_Base_LNEC!$A$4:$J$6971,7,FALSE)</f>
        <v>0</v>
      </c>
    </row>
    <row r="3038" spans="1:11" ht="14.5">
      <c r="A3038" s="20" t="s">
        <v>21605</v>
      </c>
      <c r="B3038" s="20">
        <v>35</v>
      </c>
      <c r="C3038" s="20">
        <v>57</v>
      </c>
      <c r="D3038" s="20">
        <v>71</v>
      </c>
      <c r="E3038" s="20">
        <v>4</v>
      </c>
      <c r="F3038" s="20" t="s">
        <v>21606</v>
      </c>
      <c r="G3038" s="20" t="s">
        <v>21607</v>
      </c>
      <c r="H3038" s="24"/>
      <c r="I3038" s="24" t="str">
        <f ca="1">IFERROR(__xludf.DUMMYFUNCTION("GOOGLETRANSLATE(F3038,""en"",""pt"")"),"telhas aglomeradas composição de cortiça com cloreto de polivinilo (PVC) camada de desgaste")</f>
        <v>telhas aglomeradas composição de cortiça com cloreto de polivinilo (PVC) camada de desgaste</v>
      </c>
      <c r="J3038">
        <f>VLOOKUP(A3038,Pr_Base_LNEC!$A$4:$J$6971,6,FALSE)</f>
        <v>0</v>
      </c>
      <c r="K3038">
        <f>VLOOKUP(A3038,Pr_Base_LNEC!$A$4:$J$6971,7,FALSE)</f>
        <v>0</v>
      </c>
    </row>
    <row r="3039" spans="1:11" ht="14.5">
      <c r="A3039" s="20" t="s">
        <v>21608</v>
      </c>
      <c r="B3039" s="20">
        <v>35</v>
      </c>
      <c r="C3039" s="20">
        <v>57</v>
      </c>
      <c r="D3039" s="20">
        <v>71</v>
      </c>
      <c r="E3039" s="20">
        <v>12</v>
      </c>
      <c r="F3039" s="20" t="s">
        <v>21609</v>
      </c>
      <c r="G3039" s="24"/>
      <c r="H3039" s="24"/>
      <c r="I3039" s="24" t="str">
        <f ca="1">IFERROR(__xludf.DUMMYFUNCTION("GOOGLETRANSLATE(F3039,""en"",""pt"")"),"folhas compostas")</f>
        <v>folhas compostas</v>
      </c>
      <c r="J3039" t="e">
        <f>VLOOKUP(A3039,Pr_Base_LNEC!$A$4:$J$6971,6,FALSE)</f>
        <v>#N/A</v>
      </c>
      <c r="K3039" t="e">
        <f>VLOOKUP(A3039,Pr_Base_LNEC!$A$4:$J$6971,7,FALSE)</f>
        <v>#N/A</v>
      </c>
    </row>
    <row r="3040" spans="1:11" ht="14.5">
      <c r="A3040" s="20" t="s">
        <v>21610</v>
      </c>
      <c r="B3040" s="20">
        <v>35</v>
      </c>
      <c r="C3040" s="20">
        <v>57</v>
      </c>
      <c r="D3040" s="20">
        <v>71</v>
      </c>
      <c r="E3040" s="20">
        <v>13</v>
      </c>
      <c r="F3040" s="20" t="s">
        <v>21611</v>
      </c>
      <c r="G3040" s="20" t="s">
        <v>21612</v>
      </c>
      <c r="H3040" s="24"/>
      <c r="I3040" s="24" t="str">
        <f ca="1">IFERROR(__xludf.DUMMYFUNCTION("GOOGLETRANSLATE(F3040,""en"",""pt"")"),"telhas de borracha compostas")</f>
        <v>telhas de borracha compostas</v>
      </c>
      <c r="J3040">
        <f>VLOOKUP(A3040,Pr_Base_LNEC!$A$4:$J$6971,6,FALSE)</f>
        <v>0</v>
      </c>
      <c r="K3040">
        <f>VLOOKUP(A3040,Pr_Base_LNEC!$A$4:$J$6971,7,FALSE)</f>
        <v>0</v>
      </c>
    </row>
    <row r="3041" spans="1:11" ht="14.5">
      <c r="A3041" s="20" t="s">
        <v>21613</v>
      </c>
      <c r="B3041" s="20">
        <v>35</v>
      </c>
      <c r="C3041" s="20">
        <v>57</v>
      </c>
      <c r="D3041" s="20">
        <v>71</v>
      </c>
      <c r="E3041" s="20">
        <v>14</v>
      </c>
      <c r="F3041" s="20" t="s">
        <v>21614</v>
      </c>
      <c r="G3041" s="24"/>
      <c r="H3041" s="24"/>
      <c r="I3041" s="24" t="str">
        <f ca="1">IFERROR(__xludf.DUMMYFUNCTION("GOOGLETRANSLATE(F3041,""en"",""pt"")"),"telhas de compósitos")</f>
        <v>telhas de compósitos</v>
      </c>
      <c r="J3041" t="e">
        <f>VLOOKUP(A3041,Pr_Base_LNEC!$A$4:$J$6971,6,FALSE)</f>
        <v>#N/A</v>
      </c>
      <c r="K3041" t="e">
        <f>VLOOKUP(A3041,Pr_Base_LNEC!$A$4:$J$6971,7,FALSE)</f>
        <v>#N/A</v>
      </c>
    </row>
    <row r="3042" spans="1:11" ht="14.5">
      <c r="A3042" s="20" t="s">
        <v>21615</v>
      </c>
      <c r="B3042" s="20">
        <v>35</v>
      </c>
      <c r="C3042" s="20">
        <v>57</v>
      </c>
      <c r="D3042" s="20">
        <v>71</v>
      </c>
      <c r="E3042" s="20">
        <v>15</v>
      </c>
      <c r="F3042" s="20" t="s">
        <v>21616</v>
      </c>
      <c r="G3042" s="20" t="s">
        <v>21617</v>
      </c>
      <c r="H3042" s="24"/>
      <c r="I3042" s="24" t="str">
        <f ca="1">IFERROR(__xludf.DUMMYFUNCTION("GOOGLETRANSLATE(F3042,""en"",""pt"")"),"linóleo cortiça (tapete cortiça) folhas")</f>
        <v>linóleo cortiça (tapete cortiça) folhas</v>
      </c>
      <c r="J3042">
        <f>VLOOKUP(A3042,Pr_Base_LNEC!$A$4:$J$6971,6,FALSE)</f>
        <v>0</v>
      </c>
      <c r="K3042">
        <f>VLOOKUP(A3042,Pr_Base_LNEC!$A$4:$J$6971,7,FALSE)</f>
        <v>0</v>
      </c>
    </row>
    <row r="3043" spans="1:11" ht="14.5">
      <c r="A3043" s="20" t="s">
        <v>21618</v>
      </c>
      <c r="B3043" s="20">
        <v>35</v>
      </c>
      <c r="C3043" s="20">
        <v>57</v>
      </c>
      <c r="D3043" s="20">
        <v>71</v>
      </c>
      <c r="E3043" s="20">
        <v>17</v>
      </c>
      <c r="F3043" s="20" t="s">
        <v>21619</v>
      </c>
      <c r="G3043" s="20" t="s">
        <v>21620</v>
      </c>
      <c r="H3043" s="24"/>
      <c r="I3043" s="24" t="str">
        <f ca="1">IFERROR(__xludf.DUMMYFUNCTION("GOOGLETRANSLATE(F3043,""en"",""pt"")"),"folhas de linóleo lastreados em cortiça")</f>
        <v>folhas de linóleo lastreados em cortiça</v>
      </c>
      <c r="J3043">
        <f>VLOOKUP(A3043,Pr_Base_LNEC!$A$4:$J$6971,6,FALSE)</f>
        <v>0</v>
      </c>
      <c r="K3043">
        <f>VLOOKUP(A3043,Pr_Base_LNEC!$A$4:$J$6971,7,FALSE)</f>
        <v>0</v>
      </c>
    </row>
    <row r="3044" spans="1:11" ht="14.5">
      <c r="A3044" s="20" t="s">
        <v>21621</v>
      </c>
      <c r="B3044" s="20">
        <v>35</v>
      </c>
      <c r="C3044" s="20">
        <v>57</v>
      </c>
      <c r="D3044" s="20">
        <v>71</v>
      </c>
      <c r="E3044" s="20">
        <v>19</v>
      </c>
      <c r="F3044" s="20" t="s">
        <v>21622</v>
      </c>
      <c r="G3044" s="20" t="s">
        <v>21623</v>
      </c>
      <c r="H3044" s="24"/>
      <c r="I3044" s="24" t="str">
        <f ca="1">IFERROR(__xludf.DUMMYFUNCTION("GOOGLETRANSLATE(F3044,""en"",""pt"")"),"de cloreto de polivinilo-backed cortiça (PVC) folhas")</f>
        <v>de cloreto de polivinilo-backed cortiça (PVC) folhas</v>
      </c>
      <c r="J3044">
        <f>VLOOKUP(A3044,Pr_Base_LNEC!$A$4:$J$6971,6,FALSE)</f>
        <v>0</v>
      </c>
      <c r="K3044">
        <f>VLOOKUP(A3044,Pr_Base_LNEC!$A$4:$J$6971,7,FALSE)</f>
        <v>0</v>
      </c>
    </row>
    <row r="3045" spans="1:11" ht="14.5">
      <c r="A3045" s="20" t="s">
        <v>21624</v>
      </c>
      <c r="B3045" s="20">
        <v>35</v>
      </c>
      <c r="C3045" s="20">
        <v>57</v>
      </c>
      <c r="D3045" s="20">
        <v>71</v>
      </c>
      <c r="E3045" s="20">
        <v>20</v>
      </c>
      <c r="F3045" s="20" t="s">
        <v>21625</v>
      </c>
      <c r="G3045" s="20" t="s">
        <v>21626</v>
      </c>
      <c r="H3045" s="24"/>
      <c r="I3045" s="24" t="str">
        <f ca="1">IFERROR(__xludf.DUMMYFUNCTION("GOOGLETRANSLATE(F3045,""en"",""pt"")"),"de cloreto de polivinilo-backed cortiça (PVC) telhas")</f>
        <v>de cloreto de polivinilo-backed cortiça (PVC) telhas</v>
      </c>
      <c r="J3045">
        <f>VLOOKUP(A3045,Pr_Base_LNEC!$A$4:$J$6971,6,FALSE)</f>
        <v>0</v>
      </c>
      <c r="K3045">
        <f>VLOOKUP(A3045,Pr_Base_LNEC!$A$4:$J$6971,7,FALSE)</f>
        <v>0</v>
      </c>
    </row>
    <row r="3046" spans="1:11" ht="14.5">
      <c r="A3046" s="20" t="s">
        <v>21627</v>
      </c>
      <c r="B3046" s="20">
        <v>35</v>
      </c>
      <c r="C3046" s="20">
        <v>57</v>
      </c>
      <c r="D3046" s="20">
        <v>71</v>
      </c>
      <c r="E3046" s="20">
        <v>22</v>
      </c>
      <c r="F3046" s="20" t="s">
        <v>21628</v>
      </c>
      <c r="G3046" s="24"/>
      <c r="H3046" s="24"/>
      <c r="I3046" s="24" t="str">
        <f ca="1">IFERROR(__xludf.DUMMYFUNCTION("GOOGLETRANSLATE(F3046,""en"",""pt"")"),"folhas de cortiça")</f>
        <v>folhas de cortiça</v>
      </c>
      <c r="J3046" t="e">
        <f>VLOOKUP(A3046,Pr_Base_LNEC!$A$4:$J$6971,6,FALSE)</f>
        <v>#N/A</v>
      </c>
      <c r="K3046" t="e">
        <f>VLOOKUP(A3046,Pr_Base_LNEC!$A$4:$J$6971,7,FALSE)</f>
        <v>#N/A</v>
      </c>
    </row>
    <row r="3047" spans="1:11" ht="14.5">
      <c r="A3047" s="20" t="s">
        <v>21629</v>
      </c>
      <c r="B3047" s="20">
        <v>35</v>
      </c>
      <c r="C3047" s="20">
        <v>57</v>
      </c>
      <c r="D3047" s="20">
        <v>71</v>
      </c>
      <c r="E3047" s="20">
        <v>23</v>
      </c>
      <c r="F3047" s="20" t="s">
        <v>21630</v>
      </c>
      <c r="G3047" s="24"/>
      <c r="H3047" s="24"/>
      <c r="I3047" s="24" t="str">
        <f ca="1">IFERROR(__xludf.DUMMYFUNCTION("GOOGLETRANSLATE(F3047,""en"",""pt"")"),"ladrilhos de cortiça")</f>
        <v>ladrilhos de cortiça</v>
      </c>
      <c r="J3047" t="e">
        <f>VLOOKUP(A3047,Pr_Base_LNEC!$A$4:$J$6971,6,FALSE)</f>
        <v>#N/A</v>
      </c>
      <c r="K3047" t="e">
        <f>VLOOKUP(A3047,Pr_Base_LNEC!$A$4:$J$6971,7,FALSE)</f>
        <v>#N/A</v>
      </c>
    </row>
    <row r="3048" spans="1:11" ht="14.5">
      <c r="A3048" s="20" t="s">
        <v>21631</v>
      </c>
      <c r="B3048" s="20">
        <v>35</v>
      </c>
      <c r="C3048" s="20">
        <v>57</v>
      </c>
      <c r="D3048" s="20">
        <v>71</v>
      </c>
      <c r="E3048" s="20">
        <v>25</v>
      </c>
      <c r="F3048" s="20" t="s">
        <v>21632</v>
      </c>
      <c r="G3048" s="20" t="s">
        <v>21633</v>
      </c>
      <c r="H3048" s="24"/>
      <c r="I3048" s="24" t="str">
        <f ca="1">IFERROR(__xludf.DUMMYFUNCTION("GOOGLETRANSLATE(F3048,""en"",""pt"")"),"Etileno propileno dieno monómero (EPDM) telhas de borracha")</f>
        <v>Etileno propileno dieno monómero (EPDM) telhas de borracha</v>
      </c>
      <c r="J3048">
        <f>VLOOKUP(A3048,Pr_Base_LNEC!$A$4:$J$6971,6,FALSE)</f>
        <v>0</v>
      </c>
      <c r="K3048">
        <f>VLOOKUP(A3048,Pr_Base_LNEC!$A$4:$J$6971,7,FALSE)</f>
        <v>0</v>
      </c>
    </row>
    <row r="3049" spans="1:11" ht="14.5">
      <c r="A3049" s="20" t="s">
        <v>21634</v>
      </c>
      <c r="B3049" s="20">
        <v>35</v>
      </c>
      <c r="C3049" s="20">
        <v>57</v>
      </c>
      <c r="D3049" s="20">
        <v>71</v>
      </c>
      <c r="E3049" s="20">
        <v>26</v>
      </c>
      <c r="F3049" s="20" t="s">
        <v>21635</v>
      </c>
      <c r="G3049" s="20" t="s">
        <v>21636</v>
      </c>
      <c r="H3049" s="24"/>
      <c r="I3049" s="24" t="str">
        <f ca="1">IFERROR(__xludf.DUMMYFUNCTION("GOOGLETRANSLATE(F3049,""en"",""pt"")"),"Expandidas (almofadado) de cloreto de polivinilo (PVC) folhas")</f>
        <v>Expandidas (almofadado) de cloreto de polivinilo (PVC) folhas</v>
      </c>
      <c r="J3049">
        <f>VLOOKUP(A3049,Pr_Base_LNEC!$A$4:$J$6971,6,FALSE)</f>
        <v>0</v>
      </c>
      <c r="K3049">
        <f>VLOOKUP(A3049,Pr_Base_LNEC!$A$4:$J$6971,7,FALSE)</f>
        <v>0</v>
      </c>
    </row>
    <row r="3050" spans="1:11" ht="14.5">
      <c r="A3050" s="20" t="s">
        <v>21637</v>
      </c>
      <c r="B3050" s="20">
        <v>35</v>
      </c>
      <c r="C3050" s="20">
        <v>57</v>
      </c>
      <c r="D3050" s="20">
        <v>71</v>
      </c>
      <c r="E3050" s="20">
        <v>27</v>
      </c>
      <c r="F3050" s="20" t="s">
        <v>21638</v>
      </c>
      <c r="G3050" s="20" t="s">
        <v>21639</v>
      </c>
      <c r="H3050" s="24"/>
      <c r="I3050" s="24" t="str">
        <f ca="1">IFERROR(__xludf.DUMMYFUNCTION("GOOGLETRANSLATE(F3050,""en"",""pt"")"),"Expandidas (almofadado) de cloreto de polivinilo (PVC) telhas")</f>
        <v>Expandidas (almofadado) de cloreto de polivinilo (PVC) telhas</v>
      </c>
      <c r="J3050">
        <f>VLOOKUP(A3050,Pr_Base_LNEC!$A$4:$J$6971,6,FALSE)</f>
        <v>0</v>
      </c>
      <c r="K3050">
        <f>VLOOKUP(A3050,Pr_Base_LNEC!$A$4:$J$6971,7,FALSE)</f>
        <v>0</v>
      </c>
    </row>
    <row r="3051" spans="1:11" ht="14.5">
      <c r="A3051" s="20" t="s">
        <v>21640</v>
      </c>
      <c r="B3051" s="20">
        <v>35</v>
      </c>
      <c r="C3051" s="20">
        <v>57</v>
      </c>
      <c r="D3051" s="20">
        <v>71</v>
      </c>
      <c r="E3051" s="20">
        <v>28</v>
      </c>
      <c r="F3051" s="20" t="s">
        <v>21641</v>
      </c>
      <c r="G3051" s="20" t="s">
        <v>21642</v>
      </c>
      <c r="H3051" s="24"/>
      <c r="I3051" s="24" t="str">
        <f ca="1">IFERROR(__xludf.DUMMYFUNCTION("GOOGLETRANSLATE(F3051,""en"",""pt"")"),"Enchido de cloreto de polivinilo-backed fibroso (PVC) folhas")</f>
        <v>Enchido de cloreto de polivinilo-backed fibroso (PVC) folhas</v>
      </c>
      <c r="J3051">
        <f>VLOOKUP(A3051,Pr_Base_LNEC!$A$4:$J$6971,6,FALSE)</f>
        <v>0</v>
      </c>
      <c r="K3051">
        <f>VLOOKUP(A3051,Pr_Base_LNEC!$A$4:$J$6971,7,FALSE)</f>
        <v>0</v>
      </c>
    </row>
    <row r="3052" spans="1:11" ht="14.5">
      <c r="A3052" s="20" t="s">
        <v>21643</v>
      </c>
      <c r="B3052" s="20">
        <v>35</v>
      </c>
      <c r="C3052" s="20">
        <v>57</v>
      </c>
      <c r="D3052" s="20">
        <v>71</v>
      </c>
      <c r="E3052" s="20">
        <v>30</v>
      </c>
      <c r="F3052" s="20" t="s">
        <v>21644</v>
      </c>
      <c r="G3052" s="20" t="s">
        <v>21645</v>
      </c>
      <c r="H3052" s="24"/>
      <c r="I3052" s="24" t="str">
        <f ca="1">IFERROR(__xludf.DUMMYFUNCTION("GOOGLETRANSLATE(F3052,""en"",""pt"")"),"resinas de revestimento da superfície do pavimento")</f>
        <v>resinas de revestimento da superfície do pavimento</v>
      </c>
      <c r="J3052">
        <f>VLOOKUP(A3052,Pr_Base_LNEC!$A$4:$J$6971,6,FALSE)</f>
        <v>0</v>
      </c>
      <c r="K3052">
        <f>VLOOKUP(A3052,Pr_Base_LNEC!$A$4:$J$6971,7,FALSE)</f>
        <v>0</v>
      </c>
    </row>
    <row r="3053" spans="1:11" ht="14.5">
      <c r="A3053" s="20" t="s">
        <v>21646</v>
      </c>
      <c r="B3053" s="20">
        <v>35</v>
      </c>
      <c r="C3053" s="20">
        <v>57</v>
      </c>
      <c r="D3053" s="20">
        <v>71</v>
      </c>
      <c r="E3053" s="20">
        <v>31</v>
      </c>
      <c r="F3053" s="20" t="s">
        <v>21647</v>
      </c>
      <c r="G3053" s="20" t="s">
        <v>21648</v>
      </c>
      <c r="H3053" s="24"/>
      <c r="I3053" s="24" t="str">
        <f ca="1">IFERROR(__xludf.DUMMYFUNCTION("GOOGLETRANSLATE(F3053,""en"",""pt"")"),"folhas de linóleo lastreados em espuma")</f>
        <v>folhas de linóleo lastreados em espuma</v>
      </c>
      <c r="J3053">
        <f>VLOOKUP(A3053,Pr_Base_LNEC!$A$4:$J$6971,6,FALSE)</f>
        <v>0</v>
      </c>
      <c r="K3053">
        <f>VLOOKUP(A3053,Pr_Base_LNEC!$A$4:$J$6971,7,FALSE)</f>
        <v>0</v>
      </c>
    </row>
    <row r="3054" spans="1:11" ht="14.5">
      <c r="A3054" s="20" t="s">
        <v>21649</v>
      </c>
      <c r="B3054" s="20">
        <v>35</v>
      </c>
      <c r="C3054" s="20">
        <v>57</v>
      </c>
      <c r="D3054" s="20">
        <v>71</v>
      </c>
      <c r="E3054" s="20">
        <v>32</v>
      </c>
      <c r="F3054" s="20" t="s">
        <v>21650</v>
      </c>
      <c r="G3054" s="20" t="s">
        <v>21651</v>
      </c>
      <c r="H3054" s="24"/>
      <c r="I3054" s="24" t="str">
        <f ca="1">IFERROR(__xludf.DUMMYFUNCTION("GOOGLETRANSLATE(F3054,""en"",""pt"")"),"cloreto de espuma, de polivinilo (PVC) folhas")</f>
        <v>cloreto de espuma, de polivinilo (PVC) folhas</v>
      </c>
      <c r="J3054">
        <f>VLOOKUP(A3054,Pr_Base_LNEC!$A$4:$J$6971,6,FALSE)</f>
        <v>0</v>
      </c>
      <c r="K3054">
        <f>VLOOKUP(A3054,Pr_Base_LNEC!$A$4:$J$6971,7,FALSE)</f>
        <v>0</v>
      </c>
    </row>
    <row r="3055" spans="1:11" ht="14.5">
      <c r="A3055" s="20" t="s">
        <v>21652</v>
      </c>
      <c r="B3055" s="20">
        <v>35</v>
      </c>
      <c r="C3055" s="20">
        <v>57</v>
      </c>
      <c r="D3055" s="20">
        <v>71</v>
      </c>
      <c r="E3055" s="20">
        <v>33</v>
      </c>
      <c r="F3055" s="20" t="s">
        <v>21653</v>
      </c>
      <c r="G3055" s="20" t="s">
        <v>21654</v>
      </c>
      <c r="H3055" s="24"/>
      <c r="I3055" s="24" t="str">
        <f ca="1">IFERROR(__xludf.DUMMYFUNCTION("GOOGLETRANSLATE(F3055,""en"",""pt"")"),"cloreto de espuma, de polivinilo (PVC) telhas")</f>
        <v>cloreto de espuma, de polivinilo (PVC) telhas</v>
      </c>
      <c r="J3055">
        <f>VLOOKUP(A3055,Pr_Base_LNEC!$A$4:$J$6971,6,FALSE)</f>
        <v>0</v>
      </c>
      <c r="K3055">
        <f>VLOOKUP(A3055,Pr_Base_LNEC!$A$4:$J$6971,7,FALSE)</f>
        <v>0</v>
      </c>
    </row>
    <row r="3056" spans="1:11" ht="14.5">
      <c r="A3056" s="20" t="s">
        <v>21655</v>
      </c>
      <c r="B3056" s="20">
        <v>35</v>
      </c>
      <c r="C3056" s="20">
        <v>57</v>
      </c>
      <c r="D3056" s="20">
        <v>71</v>
      </c>
      <c r="E3056" s="20">
        <v>34</v>
      </c>
      <c r="F3056" s="20" t="s">
        <v>21656</v>
      </c>
      <c r="G3056" s="20" t="s">
        <v>21657</v>
      </c>
      <c r="H3056" s="24"/>
      <c r="I3056" s="24" t="str">
        <f ca="1">IFERROR(__xludf.DUMMYFUNCTION("GOOGLETRANSLATE(F3056,""en"",""pt"")"),"folhas de borracha liso-backed espuma")</f>
        <v>folhas de borracha liso-backed espuma</v>
      </c>
      <c r="J3056">
        <f>VLOOKUP(A3056,Pr_Base_LNEC!$A$4:$J$6971,6,FALSE)</f>
        <v>0</v>
      </c>
      <c r="K3056">
        <f>VLOOKUP(A3056,Pr_Base_LNEC!$A$4:$J$6971,7,FALSE)</f>
        <v>0</v>
      </c>
    </row>
    <row r="3057" spans="1:11" ht="14.5">
      <c r="A3057" s="20" t="s">
        <v>21658</v>
      </c>
      <c r="B3057" s="20">
        <v>35</v>
      </c>
      <c r="C3057" s="20">
        <v>57</v>
      </c>
      <c r="D3057" s="20">
        <v>71</v>
      </c>
      <c r="E3057" s="20">
        <v>35</v>
      </c>
      <c r="F3057" s="20" t="s">
        <v>21659</v>
      </c>
      <c r="G3057" s="20" t="s">
        <v>21660</v>
      </c>
      <c r="H3057" s="24"/>
      <c r="I3057" s="24" t="str">
        <f ca="1">IFERROR(__xludf.DUMMYFUNCTION("GOOGLETRANSLATE(F3057,""en"",""pt"")"),"folhas de borracha granulares")</f>
        <v>folhas de borracha granulares</v>
      </c>
      <c r="J3057">
        <f>VLOOKUP(A3057,Pr_Base_LNEC!$A$4:$J$6971,6,FALSE)</f>
        <v>0</v>
      </c>
      <c r="K3057">
        <f>VLOOKUP(A3057,Pr_Base_LNEC!$A$4:$J$6971,7,FALSE)</f>
        <v>0</v>
      </c>
    </row>
    <row r="3058" spans="1:11" ht="14.5">
      <c r="A3058" s="20" t="s">
        <v>21661</v>
      </c>
      <c r="B3058" s="20">
        <v>35</v>
      </c>
      <c r="C3058" s="20">
        <v>57</v>
      </c>
      <c r="D3058" s="20">
        <v>71</v>
      </c>
      <c r="E3058" s="20">
        <v>36</v>
      </c>
      <c r="F3058" s="20" t="s">
        <v>21662</v>
      </c>
      <c r="G3058" s="20" t="s">
        <v>21663</v>
      </c>
      <c r="H3058" s="24"/>
      <c r="I3058" s="24" t="str">
        <f ca="1">IFERROR(__xludf.DUMMYFUNCTION("GOOGLETRANSLATE(F3058,""en"",""pt"")"),"telhas de borracha granulares")</f>
        <v>telhas de borracha granulares</v>
      </c>
      <c r="J3058">
        <f>VLOOKUP(A3058,Pr_Base_LNEC!$A$4:$J$6971,6,FALSE)</f>
        <v>0</v>
      </c>
      <c r="K3058">
        <f>VLOOKUP(A3058,Pr_Base_LNEC!$A$4:$J$6971,7,FALSE)</f>
        <v>0</v>
      </c>
    </row>
    <row r="3059" spans="1:11" ht="14.5">
      <c r="A3059" s="20" t="s">
        <v>21664</v>
      </c>
      <c r="B3059" s="20">
        <v>35</v>
      </c>
      <c r="C3059" s="20">
        <v>57</v>
      </c>
      <c r="D3059" s="20">
        <v>71</v>
      </c>
      <c r="E3059" s="20">
        <v>37</v>
      </c>
      <c r="F3059" s="20" t="s">
        <v>21665</v>
      </c>
      <c r="G3059" s="20" t="s">
        <v>21666</v>
      </c>
      <c r="H3059" s="24"/>
      <c r="I3059" s="24" t="str">
        <f ca="1">IFERROR(__xludf.DUMMYFUNCTION("GOOGLETRANSLATE(F3059,""en"",""pt"")"),"telhas de borracha martelados")</f>
        <v>telhas de borracha martelados</v>
      </c>
      <c r="J3059">
        <f>VLOOKUP(A3059,Pr_Base_LNEC!$A$4:$J$6971,6,FALSE)</f>
        <v>0</v>
      </c>
      <c r="K3059">
        <f>VLOOKUP(A3059,Pr_Base_LNEC!$A$4:$J$6971,7,FALSE)</f>
        <v>0</v>
      </c>
    </row>
    <row r="3060" spans="1:11" ht="14.5">
      <c r="A3060" s="20" t="s">
        <v>21667</v>
      </c>
      <c r="B3060" s="20">
        <v>35</v>
      </c>
      <c r="C3060" s="20">
        <v>57</v>
      </c>
      <c r="D3060" s="20">
        <v>71</v>
      </c>
      <c r="E3060" s="20">
        <v>43</v>
      </c>
      <c r="F3060" s="20" t="s">
        <v>21668</v>
      </c>
      <c r="G3060" s="20" t="s">
        <v>21669</v>
      </c>
      <c r="H3060" s="24"/>
      <c r="I3060" s="24" t="str">
        <f ca="1">IFERROR(__xludf.DUMMYFUNCTION("GOOGLETRANSLATE(F3060,""en"",""pt"")"),"Juta ou poliéster-backed feltro de cloreto de polivinilo (PVC) folhas")</f>
        <v>Juta ou poliéster-backed feltro de cloreto de polivinilo (PVC) folhas</v>
      </c>
      <c r="J3060">
        <f>VLOOKUP(A3060,Pr_Base_LNEC!$A$4:$J$6971,6,FALSE)</f>
        <v>0</v>
      </c>
      <c r="K3060">
        <f>VLOOKUP(A3060,Pr_Base_LNEC!$A$4:$J$6971,7,FALSE)</f>
        <v>0</v>
      </c>
    </row>
    <row r="3061" spans="1:11" ht="14.5">
      <c r="A3061" s="20" t="s">
        <v>21670</v>
      </c>
      <c r="B3061" s="20">
        <v>35</v>
      </c>
      <c r="C3061" s="20">
        <v>57</v>
      </c>
      <c r="D3061" s="20">
        <v>71</v>
      </c>
      <c r="E3061" s="20">
        <v>44</v>
      </c>
      <c r="F3061" s="20" t="s">
        <v>21671</v>
      </c>
      <c r="G3061" s="20" t="s">
        <v>21672</v>
      </c>
      <c r="H3061" s="24"/>
      <c r="I3061" s="24" t="str">
        <f ca="1">IFERROR(__xludf.DUMMYFUNCTION("GOOGLETRANSLATE(F3061,""en"",""pt"")"),"Juta ou poliéster-backed feltro de cloreto de polivinilo (PVC) telhas")</f>
        <v>Juta ou poliéster-backed feltro de cloreto de polivinilo (PVC) telhas</v>
      </c>
      <c r="J3061">
        <f>VLOOKUP(A3061,Pr_Base_LNEC!$A$4:$J$6971,6,FALSE)</f>
        <v>0</v>
      </c>
      <c r="K3061">
        <f>VLOOKUP(A3061,Pr_Base_LNEC!$A$4:$J$6971,7,FALSE)</f>
        <v>0</v>
      </c>
    </row>
    <row r="3062" spans="1:11" ht="14.5">
      <c r="A3062" s="20" t="s">
        <v>21673</v>
      </c>
      <c r="B3062" s="20">
        <v>35</v>
      </c>
      <c r="C3062" s="20">
        <v>57</v>
      </c>
      <c r="D3062" s="20">
        <v>71</v>
      </c>
      <c r="E3062" s="20">
        <v>46</v>
      </c>
      <c r="F3062" s="20" t="s">
        <v>21674</v>
      </c>
      <c r="G3062" s="20" t="s">
        <v>21675</v>
      </c>
      <c r="H3062" s="24"/>
      <c r="I3062" s="24" t="str">
        <f ca="1">IFERROR(__xludf.DUMMYFUNCTION("GOOGLETRANSLATE(F3062,""en"",""pt"")"),"folhas de linóleo")</f>
        <v>folhas de linóleo</v>
      </c>
      <c r="J3062">
        <f>VLOOKUP(A3062,Pr_Base_LNEC!$A$4:$J$6971,6,FALSE)</f>
        <v>0</v>
      </c>
      <c r="K3062">
        <f>VLOOKUP(A3062,Pr_Base_LNEC!$A$4:$J$6971,7,FALSE)</f>
        <v>0</v>
      </c>
    </row>
    <row r="3063" spans="1:11" ht="14.5">
      <c r="A3063" s="20" t="s">
        <v>21676</v>
      </c>
      <c r="B3063" s="20">
        <v>35</v>
      </c>
      <c r="C3063" s="20">
        <v>57</v>
      </c>
      <c r="D3063" s="20">
        <v>71</v>
      </c>
      <c r="E3063" s="20">
        <v>49</v>
      </c>
      <c r="F3063" s="20" t="s">
        <v>21677</v>
      </c>
      <c r="G3063" s="20" t="s">
        <v>21678</v>
      </c>
      <c r="H3063" s="24"/>
      <c r="I3063" s="24" t="str">
        <f ca="1">IFERROR(__xludf.DUMMYFUNCTION("GOOGLETRANSLATE(F3063,""en"",""pt"")"),"telhas de linóleo")</f>
        <v>telhas de linóleo</v>
      </c>
      <c r="J3063">
        <f>VLOOKUP(A3063,Pr_Base_LNEC!$A$4:$J$6971,6,FALSE)</f>
        <v>0</v>
      </c>
      <c r="K3063">
        <f>VLOOKUP(A3063,Pr_Base_LNEC!$A$4:$J$6971,7,FALSE)</f>
        <v>0</v>
      </c>
    </row>
    <row r="3064" spans="1:11" ht="14.5">
      <c r="A3064" s="20" t="s">
        <v>21679</v>
      </c>
      <c r="B3064" s="20">
        <v>35</v>
      </c>
      <c r="C3064" s="20">
        <v>57</v>
      </c>
      <c r="D3064" s="20">
        <v>71</v>
      </c>
      <c r="E3064" s="20">
        <v>60</v>
      </c>
      <c r="F3064" s="20" t="s">
        <v>21680</v>
      </c>
      <c r="G3064" s="20" t="s">
        <v>21681</v>
      </c>
      <c r="H3064" s="24"/>
      <c r="I3064" s="24" t="str">
        <f ca="1">IFERROR(__xludf.DUMMYFUNCTION("GOOGLETRANSLATE(F3064,""en"",""pt"")"),"reforçada área molhada de cloreto de polivinilo (PVC) folhas com base em partículas")</f>
        <v>reforçada área molhada de cloreto de polivinilo (PVC) folhas com base em partículas</v>
      </c>
      <c r="J3064">
        <f>VLOOKUP(A3064,Pr_Base_LNEC!$A$4:$J$6971,6,FALSE)</f>
        <v>0</v>
      </c>
      <c r="K3064">
        <f>VLOOKUP(A3064,Pr_Base_LNEC!$A$4:$J$6971,7,FALSE)</f>
        <v>0</v>
      </c>
    </row>
    <row r="3065" spans="1:11" ht="14.5">
      <c r="A3065" s="20" t="s">
        <v>21682</v>
      </c>
      <c r="B3065" s="20">
        <v>35</v>
      </c>
      <c r="C3065" s="20">
        <v>57</v>
      </c>
      <c r="D3065" s="20">
        <v>71</v>
      </c>
      <c r="E3065" s="20">
        <v>61</v>
      </c>
      <c r="F3065" s="20" t="s">
        <v>21683</v>
      </c>
      <c r="G3065" s="20" t="s">
        <v>21684</v>
      </c>
      <c r="H3065" s="24"/>
      <c r="I3065" s="24" t="str">
        <f ca="1">IFERROR(__xludf.DUMMYFUNCTION("GOOGLETRANSLATE(F3065,""en"",""pt"")"),"reforçada anti-derrapante de cloreto de polivinilo (PVC) folhas com base em partículas")</f>
        <v>reforçada anti-derrapante de cloreto de polivinilo (PVC) folhas com base em partículas</v>
      </c>
      <c r="J3065">
        <f>VLOOKUP(A3065,Pr_Base_LNEC!$A$4:$J$6971,6,FALSE)</f>
        <v>0</v>
      </c>
      <c r="K3065">
        <f>VLOOKUP(A3065,Pr_Base_LNEC!$A$4:$J$6971,7,FALSE)</f>
        <v>0</v>
      </c>
    </row>
    <row r="3066" spans="1:11" ht="14.5">
      <c r="A3066" s="20" t="s">
        <v>21685</v>
      </c>
      <c r="B3066" s="20">
        <v>35</v>
      </c>
      <c r="C3066" s="20">
        <v>57</v>
      </c>
      <c r="D3066" s="20">
        <v>71</v>
      </c>
      <c r="E3066" s="20">
        <v>62</v>
      </c>
      <c r="F3066" s="20" t="s">
        <v>21686</v>
      </c>
      <c r="G3066" s="20" t="s">
        <v>21687</v>
      </c>
      <c r="H3066" s="24"/>
      <c r="I3066" s="24" t="str">
        <f ca="1">IFERROR(__xludf.DUMMYFUNCTION("GOOGLETRANSLATE(F3066,""en"",""pt"")"),"reforçada anti-derrapante de cloreto de polivinilo (PVC) ladrilhos à base de partículas")</f>
        <v>reforçada anti-derrapante de cloreto de polivinilo (PVC) ladrilhos à base de partículas</v>
      </c>
      <c r="J3066">
        <f>VLOOKUP(A3066,Pr_Base_LNEC!$A$4:$J$6971,6,FALSE)</f>
        <v>0</v>
      </c>
      <c r="K3066">
        <f>VLOOKUP(A3066,Pr_Base_LNEC!$A$4:$J$6971,7,FALSE)</f>
        <v>0</v>
      </c>
    </row>
    <row r="3067" spans="1:11" ht="14.5">
      <c r="A3067" s="20" t="s">
        <v>21688</v>
      </c>
      <c r="B3067" s="20">
        <v>35</v>
      </c>
      <c r="C3067" s="20">
        <v>57</v>
      </c>
      <c r="D3067" s="20">
        <v>71</v>
      </c>
      <c r="E3067" s="20">
        <v>67</v>
      </c>
      <c r="F3067" s="20" t="s">
        <v>21689</v>
      </c>
      <c r="G3067" s="20" t="s">
        <v>21690</v>
      </c>
      <c r="H3067" s="24"/>
      <c r="I3067" s="24" t="str">
        <f ca="1">IFERROR(__xludf.DUMMYFUNCTION("GOOGLETRANSLATE(F3067,""en"",""pt"")"),"cloreto de polivinilo (PVC) folhas")</f>
        <v>cloreto de polivinilo (PVC) folhas</v>
      </c>
      <c r="J3067">
        <f>VLOOKUP(A3067,Pr_Base_LNEC!$A$4:$J$6971,6,FALSE)</f>
        <v>0</v>
      </c>
      <c r="K3067">
        <f>VLOOKUP(A3067,Pr_Base_LNEC!$A$4:$J$6971,7,FALSE)</f>
        <v>0</v>
      </c>
    </row>
    <row r="3068" spans="1:11" ht="14.5">
      <c r="A3068" s="20" t="s">
        <v>21691</v>
      </c>
      <c r="B3068" s="20">
        <v>35</v>
      </c>
      <c r="C3068" s="20">
        <v>57</v>
      </c>
      <c r="D3068" s="20">
        <v>71</v>
      </c>
      <c r="E3068" s="20">
        <v>68</v>
      </c>
      <c r="F3068" s="20" t="s">
        <v>21692</v>
      </c>
      <c r="G3068" s="20" t="s">
        <v>21693</v>
      </c>
      <c r="H3068" s="24"/>
      <c r="I3068" s="24" t="str">
        <f ca="1">IFERROR(__xludf.DUMMYFUNCTION("GOOGLETRANSLATE(F3068,""en"",""pt"")"),"cloreto de polivinilo (PVC) telhas")</f>
        <v>cloreto de polivinilo (PVC) telhas</v>
      </c>
      <c r="J3068">
        <f>VLOOKUP(A3068,Pr_Base_LNEC!$A$4:$J$6971,6,FALSE)</f>
        <v>0</v>
      </c>
      <c r="K3068">
        <f>VLOOKUP(A3068,Pr_Base_LNEC!$A$4:$J$6971,7,FALSE)</f>
        <v>0</v>
      </c>
    </row>
    <row r="3069" spans="1:11" ht="14.5">
      <c r="A3069" s="20" t="s">
        <v>21694</v>
      </c>
      <c r="B3069" s="20">
        <v>35</v>
      </c>
      <c r="C3069" s="20">
        <v>57</v>
      </c>
      <c r="D3069" s="20">
        <v>71</v>
      </c>
      <c r="E3069" s="20">
        <v>72</v>
      </c>
      <c r="F3069" s="20" t="s">
        <v>21695</v>
      </c>
      <c r="G3069" s="20" t="s">
        <v>21696</v>
      </c>
      <c r="H3069" s="24"/>
      <c r="I3069" s="24" t="str">
        <f ca="1">IFERROR(__xludf.DUMMYFUNCTION("GOOGLETRANSLATE(F3069,""en"",""pt"")"),"folhas de borracha de alívio")</f>
        <v>folhas de borracha de alívio</v>
      </c>
      <c r="J3069">
        <f>VLOOKUP(A3069,Pr_Base_LNEC!$A$4:$J$6971,6,FALSE)</f>
        <v>0</v>
      </c>
      <c r="K3069">
        <f>VLOOKUP(A3069,Pr_Base_LNEC!$A$4:$J$6971,7,FALSE)</f>
        <v>0</v>
      </c>
    </row>
    <row r="3070" spans="1:11" ht="14.5">
      <c r="A3070" s="20" t="s">
        <v>21697</v>
      </c>
      <c r="B3070" s="20">
        <v>35</v>
      </c>
      <c r="C3070" s="20">
        <v>57</v>
      </c>
      <c r="D3070" s="20">
        <v>71</v>
      </c>
      <c r="E3070" s="20">
        <v>73</v>
      </c>
      <c r="F3070" s="20" t="s">
        <v>21698</v>
      </c>
      <c r="G3070" s="20" t="s">
        <v>21699</v>
      </c>
      <c r="H3070" s="24"/>
      <c r="I3070" s="24" t="str">
        <f ca="1">IFERROR(__xludf.DUMMYFUNCTION("GOOGLETRANSLATE(F3070,""en"",""pt"")"),"telhas de borracha de alívio")</f>
        <v>telhas de borracha de alívio</v>
      </c>
      <c r="J3070">
        <f>VLOOKUP(A3070,Pr_Base_LNEC!$A$4:$J$6971,6,FALSE)</f>
        <v>0</v>
      </c>
      <c r="K3070">
        <f>VLOOKUP(A3070,Pr_Base_LNEC!$A$4:$J$6971,7,FALSE)</f>
        <v>0</v>
      </c>
    </row>
    <row r="3071" spans="1:11" ht="14.5">
      <c r="A3071" s="20" t="s">
        <v>21700</v>
      </c>
      <c r="B3071" s="20">
        <v>35</v>
      </c>
      <c r="C3071" s="20">
        <v>57</v>
      </c>
      <c r="D3071" s="20">
        <v>71</v>
      </c>
      <c r="E3071" s="20">
        <v>74</v>
      </c>
      <c r="F3071" s="20" t="s">
        <v>21701</v>
      </c>
      <c r="G3071" s="20" t="s">
        <v>21702</v>
      </c>
      <c r="H3071" s="24"/>
      <c r="I3071" s="24" t="str">
        <f ca="1">IFERROR(__xludf.DUMMYFUNCTION("GOOGLETRANSLATE(F3071,""en"",""pt"")"),"tapetes de borracha e folhas")</f>
        <v>tapetes de borracha e folhas</v>
      </c>
      <c r="J3071">
        <f>VLOOKUP(A3071,Pr_Base_LNEC!$A$4:$J$6971,6,FALSE)</f>
        <v>0</v>
      </c>
      <c r="K3071">
        <f>VLOOKUP(A3071,Pr_Base_LNEC!$A$4:$J$6971,7,FALSE)</f>
        <v>0</v>
      </c>
    </row>
    <row r="3072" spans="1:11" ht="14.5">
      <c r="A3072" s="20" t="s">
        <v>21703</v>
      </c>
      <c r="B3072" s="20">
        <v>35</v>
      </c>
      <c r="C3072" s="20">
        <v>57</v>
      </c>
      <c r="D3072" s="20">
        <v>71</v>
      </c>
      <c r="E3072" s="20">
        <v>75</v>
      </c>
      <c r="F3072" s="20" t="s">
        <v>21704</v>
      </c>
      <c r="G3072" s="20" t="s">
        <v>21705</v>
      </c>
      <c r="H3072" s="24"/>
      <c r="I3072" s="24" t="str">
        <f ca="1">IFERROR(__xludf.DUMMYFUNCTION("GOOGLETRANSLATE(F3072,""en"",""pt"")"),"telhas de borracha")</f>
        <v>telhas de borracha</v>
      </c>
      <c r="J3072">
        <f>VLOOKUP(A3072,Pr_Base_LNEC!$A$4:$J$6971,6,FALSE)</f>
        <v>0</v>
      </c>
      <c r="K3072">
        <f>VLOOKUP(A3072,Pr_Base_LNEC!$A$4:$J$6971,7,FALSE)</f>
        <v>0</v>
      </c>
    </row>
    <row r="3073" spans="1:11" ht="14.5">
      <c r="A3073" s="20" t="s">
        <v>21706</v>
      </c>
      <c r="B3073" s="20">
        <v>35</v>
      </c>
      <c r="C3073" s="20">
        <v>57</v>
      </c>
      <c r="D3073" s="20">
        <v>71</v>
      </c>
      <c r="E3073" s="20">
        <v>76</v>
      </c>
      <c r="F3073" s="20" t="s">
        <v>21707</v>
      </c>
      <c r="G3073" s="20" t="s">
        <v>21708</v>
      </c>
      <c r="H3073" s="24"/>
      <c r="I3073" s="24" t="str">
        <f ca="1">IFERROR(__xludf.DUMMYFUNCTION("GOOGLETRANSLATE(F3073,""en"",""pt"")"),"cloreto de polivinilo semi-flexível (PVC) telhas")</f>
        <v>cloreto de polivinilo semi-flexível (PVC) telhas</v>
      </c>
      <c r="J3073">
        <f>VLOOKUP(A3073,Pr_Base_LNEC!$A$4:$J$6971,6,FALSE)</f>
        <v>0</v>
      </c>
      <c r="K3073">
        <f>VLOOKUP(A3073,Pr_Base_LNEC!$A$4:$J$6971,7,FALSE)</f>
        <v>0</v>
      </c>
    </row>
    <row r="3074" spans="1:11" ht="14.5">
      <c r="A3074" s="20" t="s">
        <v>21709</v>
      </c>
      <c r="B3074" s="20">
        <v>35</v>
      </c>
      <c r="C3074" s="20">
        <v>57</v>
      </c>
      <c r="D3074" s="20">
        <v>71</v>
      </c>
      <c r="E3074" s="20">
        <v>80</v>
      </c>
      <c r="F3074" s="20" t="s">
        <v>21710</v>
      </c>
      <c r="G3074" s="20" t="s">
        <v>21711</v>
      </c>
      <c r="H3074" s="24"/>
      <c r="I3074" s="24" t="str">
        <f ca="1">IFERROR(__xludf.DUMMYFUNCTION("GOOGLETRANSLATE(F3074,""en"",""pt"")"),"folhas de borracha suaves")</f>
        <v>folhas de borracha suaves</v>
      </c>
      <c r="J3074">
        <f>VLOOKUP(A3074,Pr_Base_LNEC!$A$4:$J$6971,6,FALSE)</f>
        <v>0</v>
      </c>
      <c r="K3074">
        <f>VLOOKUP(A3074,Pr_Base_LNEC!$A$4:$J$6971,7,FALSE)</f>
        <v>0</v>
      </c>
    </row>
    <row r="3075" spans="1:11" ht="14.5">
      <c r="A3075" s="20" t="s">
        <v>21712</v>
      </c>
      <c r="B3075" s="20">
        <v>35</v>
      </c>
      <c r="C3075" s="20">
        <v>57</v>
      </c>
      <c r="D3075" s="20">
        <v>71</v>
      </c>
      <c r="E3075" s="20">
        <v>84</v>
      </c>
      <c r="F3075" s="20" t="s">
        <v>21713</v>
      </c>
      <c r="G3075" s="20" t="s">
        <v>21714</v>
      </c>
      <c r="H3075" s="24"/>
      <c r="I3075" s="24" t="str">
        <f ca="1">IFERROR(__xludf.DUMMYFUNCTION("GOOGLETRANSLATE(F3075,""en"",""pt"")"),"telhas de borracha suaves")</f>
        <v>telhas de borracha suaves</v>
      </c>
      <c r="J3075">
        <f>VLOOKUP(A3075,Pr_Base_LNEC!$A$4:$J$6971,6,FALSE)</f>
        <v>0</v>
      </c>
      <c r="K3075">
        <f>VLOOKUP(A3075,Pr_Base_LNEC!$A$4:$J$6971,7,FALSE)</f>
        <v>0</v>
      </c>
    </row>
    <row r="3076" spans="1:11" ht="14.5">
      <c r="A3076" s="20" t="s">
        <v>21715</v>
      </c>
      <c r="B3076" s="20">
        <v>35</v>
      </c>
      <c r="C3076" s="20">
        <v>57</v>
      </c>
      <c r="D3076" s="20">
        <v>71</v>
      </c>
      <c r="E3076" s="20">
        <v>86</v>
      </c>
      <c r="F3076" s="20" t="s">
        <v>21716</v>
      </c>
      <c r="G3076" s="20" t="s">
        <v>21717</v>
      </c>
      <c r="H3076" s="24"/>
      <c r="I3076" s="24" t="str">
        <f ca="1">IFERROR(__xludf.DUMMYFUNCTION("GOOGLETRANSLATE(F3076,""en"",""pt"")"),"folhas de borracha maciça")</f>
        <v>folhas de borracha maciça</v>
      </c>
      <c r="J3076">
        <f>VLOOKUP(A3076,Pr_Base_LNEC!$A$4:$J$6971,6,FALSE)</f>
        <v>0</v>
      </c>
      <c r="K3076">
        <f>VLOOKUP(A3076,Pr_Base_LNEC!$A$4:$J$6971,7,FALSE)</f>
        <v>0</v>
      </c>
    </row>
    <row r="3077" spans="1:11" ht="14.5">
      <c r="A3077" s="20" t="s">
        <v>21718</v>
      </c>
      <c r="B3077" s="20">
        <v>35</v>
      </c>
      <c r="C3077" s="20">
        <v>57</v>
      </c>
      <c r="D3077" s="20">
        <v>71</v>
      </c>
      <c r="E3077" s="20">
        <v>87</v>
      </c>
      <c r="F3077" s="20" t="s">
        <v>21719</v>
      </c>
      <c r="G3077" s="20" t="s">
        <v>21720</v>
      </c>
      <c r="H3077" s="24"/>
      <c r="I3077" s="24" t="str">
        <f ca="1">IFERROR(__xludf.DUMMYFUNCTION("GOOGLETRANSLATE(F3077,""en"",""pt"")"),"estabilizar underlays")</f>
        <v>estabilizar underlays</v>
      </c>
      <c r="J3077">
        <f>VLOOKUP(A3077,Pr_Base_LNEC!$A$4:$J$6971,6,FALSE)</f>
        <v>0</v>
      </c>
      <c r="K3077">
        <f>VLOOKUP(A3077,Pr_Base_LNEC!$A$4:$J$6971,7,FALSE)</f>
        <v>0</v>
      </c>
    </row>
    <row r="3078" spans="1:11" ht="14.5">
      <c r="A3078" s="20" t="s">
        <v>21721</v>
      </c>
      <c r="B3078" s="20">
        <v>35</v>
      </c>
      <c r="C3078" s="20">
        <v>57</v>
      </c>
      <c r="D3078" s="20">
        <v>88</v>
      </c>
      <c r="E3078" s="24"/>
      <c r="F3078" s="20" t="s">
        <v>21722</v>
      </c>
      <c r="G3078" s="24"/>
      <c r="H3078" s="24"/>
      <c r="I3078" s="24" t="str">
        <f ca="1">IFERROR(__xludf.DUMMYFUNCTION("GOOGLETRANSLATE(F3078,""en"",""pt"")"),"têxteis")</f>
        <v>têxteis</v>
      </c>
      <c r="J3078">
        <f>VLOOKUP(A3078,Pr_Base_LNEC!$A$4:$J$6971,6,FALSE)</f>
        <v>0</v>
      </c>
      <c r="K3078">
        <f>VLOOKUP(A3078,Pr_Base_LNEC!$A$4:$J$6971,7,FALSE)</f>
        <v>0</v>
      </c>
    </row>
    <row r="3079" spans="1:11" ht="14.5">
      <c r="A3079" s="20" t="s">
        <v>21723</v>
      </c>
      <c r="B3079" s="20">
        <v>35</v>
      </c>
      <c r="C3079" s="20">
        <v>57</v>
      </c>
      <c r="D3079" s="20">
        <v>88</v>
      </c>
      <c r="E3079" s="20">
        <v>16</v>
      </c>
      <c r="F3079" s="20" t="s">
        <v>21724</v>
      </c>
      <c r="G3079" s="24"/>
      <c r="H3079" s="24"/>
      <c r="I3079" s="24" t="str">
        <f ca="1">IFERROR(__xludf.DUMMYFUNCTION("GOOGLETRANSLATE(F3079,""en"",""pt"")"),"tecidos de algodão")</f>
        <v>tecidos de algodão</v>
      </c>
      <c r="J3079">
        <f>VLOOKUP(A3079,Pr_Base_LNEC!$A$4:$J$6971,6,FALSE)</f>
        <v>0</v>
      </c>
      <c r="K3079">
        <f>VLOOKUP(A3079,Pr_Base_LNEC!$A$4:$J$6971,7,FALSE)</f>
        <v>0</v>
      </c>
    </row>
    <row r="3080" spans="1:11" ht="14.5">
      <c r="A3080" s="20" t="s">
        <v>21725</v>
      </c>
      <c r="B3080" s="20">
        <v>35</v>
      </c>
      <c r="C3080" s="20">
        <v>57</v>
      </c>
      <c r="D3080" s="20">
        <v>88</v>
      </c>
      <c r="E3080" s="20">
        <v>46</v>
      </c>
      <c r="F3080" s="20" t="s">
        <v>21726</v>
      </c>
      <c r="G3080" s="24"/>
      <c r="H3080" s="24"/>
      <c r="I3080" s="24" t="str">
        <f ca="1">IFERROR(__xludf.DUMMYFUNCTION("GOOGLETRANSLATE(F3080,""en"",""pt"")"),"têxteis de linho")</f>
        <v>têxteis de linho</v>
      </c>
      <c r="J3080">
        <f>VLOOKUP(A3080,Pr_Base_LNEC!$A$4:$J$6971,6,FALSE)</f>
        <v>0</v>
      </c>
      <c r="K3080">
        <f>VLOOKUP(A3080,Pr_Base_LNEC!$A$4:$J$6971,7,FALSE)</f>
        <v>0</v>
      </c>
    </row>
    <row r="3081" spans="1:11" ht="14.5">
      <c r="A3081" s="20" t="s">
        <v>21727</v>
      </c>
      <c r="B3081" s="20">
        <v>35</v>
      </c>
      <c r="C3081" s="20">
        <v>57</v>
      </c>
      <c r="D3081" s="20">
        <v>88</v>
      </c>
      <c r="E3081" s="20">
        <v>97</v>
      </c>
      <c r="F3081" s="20" t="s">
        <v>21728</v>
      </c>
      <c r="G3081" s="24"/>
      <c r="H3081" s="24"/>
      <c r="I3081" s="24" t="str">
        <f ca="1">IFERROR(__xludf.DUMMYFUNCTION("GOOGLETRANSLATE(F3081,""en"",""pt"")"),"tecidos de lã")</f>
        <v>tecidos de lã</v>
      </c>
      <c r="J3081">
        <f>VLOOKUP(A3081,Pr_Base_LNEC!$A$4:$J$6971,6,FALSE)</f>
        <v>0</v>
      </c>
      <c r="K3081">
        <f>VLOOKUP(A3081,Pr_Base_LNEC!$A$4:$J$6971,7,FALSE)</f>
        <v>0</v>
      </c>
    </row>
    <row r="3082" spans="1:11" ht="14.5">
      <c r="A3082" s="20" t="s">
        <v>21729</v>
      </c>
      <c r="B3082" s="20">
        <v>35</v>
      </c>
      <c r="C3082" s="20">
        <v>57</v>
      </c>
      <c r="D3082" s="20">
        <v>88</v>
      </c>
      <c r="E3082" s="20">
        <v>98</v>
      </c>
      <c r="F3082" s="20" t="s">
        <v>21730</v>
      </c>
      <c r="G3082" s="24"/>
      <c r="H3082" s="24"/>
      <c r="I3082" s="24" t="str">
        <f ca="1">IFERROR(__xludf.DUMMYFUNCTION("GOOGLETRANSLATE(F3082,""en"",""pt"")"),"têxteis de lã de nylon")</f>
        <v>têxteis de lã de nylon</v>
      </c>
      <c r="J3082">
        <f>VLOOKUP(A3082,Pr_Base_LNEC!$A$4:$J$6971,6,FALSE)</f>
        <v>0</v>
      </c>
      <c r="K3082">
        <f>VLOOKUP(A3082,Pr_Base_LNEC!$A$4:$J$6971,7,FALSE)</f>
        <v>0</v>
      </c>
    </row>
    <row r="3083" spans="1:11" ht="14.5">
      <c r="A3083" s="20" t="s">
        <v>21731</v>
      </c>
      <c r="B3083" s="20">
        <v>35</v>
      </c>
      <c r="C3083" s="20">
        <v>90</v>
      </c>
      <c r="D3083" s="24"/>
      <c r="E3083" s="24"/>
      <c r="F3083" s="20" t="s">
        <v>21732</v>
      </c>
      <c r="G3083" s="24"/>
      <c r="H3083" s="24"/>
      <c r="I3083" s="24" t="str">
        <f ca="1">IFERROR(__xludf.DUMMYFUNCTION("GOOGLETRANSLATE(F3083,""en"",""pt"")"),"produtos de acabamento")</f>
        <v>produtos de acabamento</v>
      </c>
      <c r="J3083" t="str">
        <f>VLOOKUP(A3083,Pr_Base_LNEC!$A$4:$J$6971,6,FALSE)</f>
        <v>Produtos para Retificação e Aperfeiçoamentos</v>
      </c>
      <c r="K3083">
        <f>VLOOKUP(A3083,Pr_Base_LNEC!$A$4:$J$6971,7,FALSE)</f>
        <v>0</v>
      </c>
    </row>
    <row r="3084" spans="1:11" ht="14.5">
      <c r="A3084" s="20" t="s">
        <v>21733</v>
      </c>
      <c r="B3084" s="20">
        <v>35</v>
      </c>
      <c r="C3084" s="20">
        <v>90</v>
      </c>
      <c r="D3084" s="20">
        <v>7</v>
      </c>
      <c r="E3084" s="24"/>
      <c r="F3084" s="20" t="s">
        <v>21734</v>
      </c>
      <c r="G3084" s="24"/>
      <c r="H3084" s="24"/>
      <c r="I3084" s="24" t="str">
        <f ca="1">IFERROR(__xludf.DUMMYFUNCTION("GOOGLETRANSLATE(F3084,""en"",""pt"")"),"Grânulos, paradas e filetes")</f>
        <v>Grânulos, paradas e filetes</v>
      </c>
      <c r="J3084">
        <f>VLOOKUP(A3084,Pr_Base_LNEC!$A$4:$J$6971,6,FALSE)</f>
        <v>0</v>
      </c>
      <c r="K3084">
        <f>VLOOKUP(A3084,Pr_Base_LNEC!$A$4:$J$6971,7,FALSE)</f>
        <v>0</v>
      </c>
    </row>
    <row r="3085" spans="1:11" ht="14.5">
      <c r="A3085" s="20" t="s">
        <v>21735</v>
      </c>
      <c r="B3085" s="20">
        <v>35</v>
      </c>
      <c r="C3085" s="20">
        <v>90</v>
      </c>
      <c r="D3085" s="20">
        <v>7</v>
      </c>
      <c r="E3085" s="20">
        <v>4</v>
      </c>
      <c r="F3085" s="20" t="s">
        <v>21736</v>
      </c>
      <c r="G3085" s="20" t="s">
        <v>21737</v>
      </c>
      <c r="H3085" s="24"/>
      <c r="I3085" s="24" t="str">
        <f ca="1">IFERROR(__xludf.DUMMYFUNCTION("GOOGLETRANSLATE(F3085,""en"",""pt"")"),"filetes ângulo")</f>
        <v>filetes ângulo</v>
      </c>
      <c r="J3085">
        <f>VLOOKUP(A3085,Pr_Base_LNEC!$A$4:$J$6971,6,FALSE)</f>
        <v>0</v>
      </c>
      <c r="K3085">
        <f>VLOOKUP(A3085,Pr_Base_LNEC!$A$4:$J$6971,7,FALSE)</f>
        <v>0</v>
      </c>
    </row>
    <row r="3086" spans="1:11" ht="14.5">
      <c r="A3086" s="20" t="s">
        <v>21738</v>
      </c>
      <c r="B3086" s="20">
        <v>35</v>
      </c>
      <c r="C3086" s="20">
        <v>90</v>
      </c>
      <c r="D3086" s="20">
        <v>7</v>
      </c>
      <c r="E3086" s="20">
        <v>8</v>
      </c>
      <c r="F3086" s="20" t="s">
        <v>21739</v>
      </c>
      <c r="G3086" s="20" t="s">
        <v>21740</v>
      </c>
      <c r="H3086" s="24"/>
      <c r="I3086" s="24" t="str">
        <f ca="1">IFERROR(__xludf.DUMMYFUNCTION("GOOGLETRANSLATE(F3086,""en"",""pt"")"),"Betume impregnados de painéis de fibras filetes")</f>
        <v>Betume impregnados de painéis de fibras filetes</v>
      </c>
      <c r="J3086">
        <f>VLOOKUP(A3086,Pr_Base_LNEC!$A$4:$J$6971,6,FALSE)</f>
        <v>0</v>
      </c>
      <c r="K3086">
        <f>VLOOKUP(A3086,Pr_Base_LNEC!$A$4:$J$6971,7,FALSE)</f>
        <v>0</v>
      </c>
    </row>
    <row r="3087" spans="1:11" ht="14.5">
      <c r="A3087" s="20" t="s">
        <v>21741</v>
      </c>
      <c r="B3087" s="20">
        <v>35</v>
      </c>
      <c r="C3087" s="20">
        <v>90</v>
      </c>
      <c r="D3087" s="20">
        <v>7</v>
      </c>
      <c r="E3087" s="20">
        <v>15</v>
      </c>
      <c r="F3087" s="20" t="s">
        <v>21742</v>
      </c>
      <c r="G3087" s="24"/>
      <c r="H3087" s="24"/>
      <c r="I3087" s="24" t="str">
        <f ca="1">IFERROR(__xludf.DUMMYFUNCTION("GOOGLETRANSLATE(F3087,""en"",""pt"")"),"cames de cobre")</f>
        <v>cames de cobre</v>
      </c>
      <c r="J3087" t="e">
        <f>VLOOKUP(A3087,Pr_Base_LNEC!$A$4:$J$6971,6,FALSE)</f>
        <v>#N/A</v>
      </c>
      <c r="K3087" t="e">
        <f>VLOOKUP(A3087,Pr_Base_LNEC!$A$4:$J$6971,7,FALSE)</f>
        <v>#N/A</v>
      </c>
    </row>
    <row r="3088" spans="1:11" ht="14.5">
      <c r="A3088" s="20" t="s">
        <v>21743</v>
      </c>
      <c r="B3088" s="20">
        <v>35</v>
      </c>
      <c r="C3088" s="20">
        <v>90</v>
      </c>
      <c r="D3088" s="20">
        <v>7</v>
      </c>
      <c r="E3088" s="20">
        <v>24</v>
      </c>
      <c r="F3088" s="20" t="s">
        <v>21744</v>
      </c>
      <c r="G3088" s="20" t="s">
        <v>21745</v>
      </c>
      <c r="H3088" s="24"/>
      <c r="I3088" s="24" t="str">
        <f ca="1">IFERROR(__xludf.DUMMYFUNCTION("GOOGLETRANSLATE(F3088,""en"",""pt"")"),"contas de revestimento seco")</f>
        <v>contas de revestimento seco</v>
      </c>
      <c r="J3088">
        <f>VLOOKUP(A3088,Pr_Base_LNEC!$A$4:$J$6971,6,FALSE)</f>
        <v>0</v>
      </c>
      <c r="K3088">
        <f>VLOOKUP(A3088,Pr_Base_LNEC!$A$4:$J$6971,7,FALSE)</f>
        <v>0</v>
      </c>
    </row>
    <row r="3089" spans="1:11" ht="14.5">
      <c r="A3089" s="20" t="s">
        <v>21746</v>
      </c>
      <c r="B3089" s="20">
        <v>35</v>
      </c>
      <c r="C3089" s="20">
        <v>90</v>
      </c>
      <c r="D3089" s="20">
        <v>7</v>
      </c>
      <c r="E3089" s="20">
        <v>33</v>
      </c>
      <c r="F3089" s="20" t="s">
        <v>21747</v>
      </c>
      <c r="G3089" s="20" t="s">
        <v>21748</v>
      </c>
      <c r="H3089" s="24"/>
      <c r="I3089" s="24" t="str">
        <f ca="1">IFERROR(__xludf.DUMMYFUNCTION("GOOGLETRANSLATE(F3089,""en"",""pt"")"),"vidros contas")</f>
        <v>vidros contas</v>
      </c>
      <c r="J3089">
        <f>VLOOKUP(A3089,Pr_Base_LNEC!$A$4:$J$6971,6,FALSE)</f>
        <v>0</v>
      </c>
      <c r="K3089">
        <f>VLOOKUP(A3089,Pr_Base_LNEC!$A$4:$J$6971,7,FALSE)</f>
        <v>0</v>
      </c>
    </row>
    <row r="3090" spans="1:11" ht="14.5">
      <c r="A3090" s="20" t="s">
        <v>21749</v>
      </c>
      <c r="B3090" s="20">
        <v>35</v>
      </c>
      <c r="C3090" s="20">
        <v>90</v>
      </c>
      <c r="D3090" s="20">
        <v>7</v>
      </c>
      <c r="E3090" s="20">
        <v>47</v>
      </c>
      <c r="F3090" s="20" t="s">
        <v>21750</v>
      </c>
      <c r="G3090" s="24"/>
      <c r="H3090" s="24"/>
      <c r="I3090" s="24" t="str">
        <f ca="1">IFERROR(__xludf.DUMMYFUNCTION("GOOGLETRANSLATE(F3090,""en"",""pt"")"),"cames chumbo")</f>
        <v>cames chumbo</v>
      </c>
      <c r="J3090">
        <f>VLOOKUP(A3090,Pr_Base_LNEC!$A$4:$J$6971,6,FALSE)</f>
        <v>0</v>
      </c>
      <c r="K3090">
        <f>VLOOKUP(A3090,Pr_Base_LNEC!$A$4:$J$6971,7,FALSE)</f>
        <v>0</v>
      </c>
    </row>
    <row r="3091" spans="1:11" ht="14.5">
      <c r="A3091" s="20" t="s">
        <v>21751</v>
      </c>
      <c r="B3091" s="20">
        <v>35</v>
      </c>
      <c r="C3091" s="20">
        <v>90</v>
      </c>
      <c r="D3091" s="20">
        <v>7</v>
      </c>
      <c r="E3091" s="20">
        <v>63</v>
      </c>
      <c r="F3091" s="20" t="s">
        <v>21752</v>
      </c>
      <c r="G3091" s="20" t="s">
        <v>21753</v>
      </c>
      <c r="H3091" s="24"/>
      <c r="I3091" s="24" t="str">
        <f ca="1">IFERROR(__xludf.DUMMYFUNCTION("GOOGLETRANSLATE(F3091,""en"",""pt"")"),"contas de gesso")</f>
        <v>contas de gesso</v>
      </c>
      <c r="J3091">
        <f>VLOOKUP(A3091,Pr_Base_LNEC!$A$4:$J$6971,6,FALSE)</f>
        <v>0</v>
      </c>
      <c r="K3091">
        <f>VLOOKUP(A3091,Pr_Base_LNEC!$A$4:$J$6971,7,FALSE)</f>
        <v>0</v>
      </c>
    </row>
    <row r="3092" spans="1:11" ht="14.5">
      <c r="A3092" s="20" t="s">
        <v>21754</v>
      </c>
      <c r="B3092" s="20">
        <v>35</v>
      </c>
      <c r="C3092" s="20">
        <v>90</v>
      </c>
      <c r="D3092" s="20">
        <v>7</v>
      </c>
      <c r="E3092" s="20">
        <v>72</v>
      </c>
      <c r="F3092" s="20" t="s">
        <v>21755</v>
      </c>
      <c r="G3092" s="20" t="s">
        <v>21756</v>
      </c>
      <c r="H3092" s="24"/>
      <c r="I3092" s="24" t="str">
        <f ca="1">IFERROR(__xludf.DUMMYFUNCTION("GOOGLETRANSLATE(F3092,""en"",""pt"")"),"renderização contas")</f>
        <v>renderização contas</v>
      </c>
      <c r="J3092">
        <f>VLOOKUP(A3092,Pr_Base_LNEC!$A$4:$J$6971,6,FALSE)</f>
        <v>0</v>
      </c>
      <c r="K3092">
        <f>VLOOKUP(A3092,Pr_Base_LNEC!$A$4:$J$6971,7,FALSE)</f>
        <v>0</v>
      </c>
    </row>
    <row r="3093" spans="1:11" ht="14.5">
      <c r="A3093" s="20" t="s">
        <v>21757</v>
      </c>
      <c r="B3093" s="20">
        <v>35</v>
      </c>
      <c r="C3093" s="20">
        <v>90</v>
      </c>
      <c r="D3093" s="20">
        <v>7</v>
      </c>
      <c r="E3093" s="20">
        <v>73</v>
      </c>
      <c r="F3093" s="20" t="s">
        <v>21758</v>
      </c>
      <c r="G3093" s="24"/>
      <c r="H3093" s="24"/>
      <c r="I3093" s="24" t="str">
        <f ca="1">IFERROR(__xludf.DUMMYFUNCTION("GOOGLETRANSLATE(F3093,""en"",""pt"")"),"renderização pára")</f>
        <v>renderização pára</v>
      </c>
      <c r="J3093">
        <f>VLOOKUP(A3093,Pr_Base_LNEC!$A$4:$J$6971,6,FALSE)</f>
        <v>0</v>
      </c>
      <c r="K3093">
        <f>VLOOKUP(A3093,Pr_Base_LNEC!$A$4:$J$6971,7,FALSE)</f>
        <v>0</v>
      </c>
    </row>
    <row r="3094" spans="1:11" ht="14.5">
      <c r="A3094" s="20" t="s">
        <v>21759</v>
      </c>
      <c r="B3094" s="20">
        <v>35</v>
      </c>
      <c r="C3094" s="20">
        <v>90</v>
      </c>
      <c r="D3094" s="20">
        <v>7</v>
      </c>
      <c r="E3094" s="20">
        <v>88</v>
      </c>
      <c r="F3094" s="20" t="s">
        <v>21760</v>
      </c>
      <c r="G3094" s="20" t="s">
        <v>21761</v>
      </c>
      <c r="H3094" s="24"/>
      <c r="I3094" s="24" t="str">
        <f ca="1">IFERROR(__xludf.DUMMYFUNCTION("GOOGLETRANSLATE(F3094,""en"",""pt"")"),"Grânulos de gesso fino-coat")</f>
        <v>Grânulos de gesso fino-coat</v>
      </c>
      <c r="J3094">
        <f>VLOOKUP(A3094,Pr_Base_LNEC!$A$4:$J$6971,6,FALSE)</f>
        <v>0</v>
      </c>
      <c r="K3094">
        <f>VLOOKUP(A3094,Pr_Base_LNEC!$A$4:$J$6971,7,FALSE)</f>
        <v>0</v>
      </c>
    </row>
    <row r="3095" spans="1:11" ht="14.5">
      <c r="A3095" s="20" t="s">
        <v>21762</v>
      </c>
      <c r="B3095" s="20">
        <v>35</v>
      </c>
      <c r="C3095" s="20">
        <v>90</v>
      </c>
      <c r="D3095" s="20">
        <v>7</v>
      </c>
      <c r="E3095" s="20">
        <v>89</v>
      </c>
      <c r="F3095" s="20" t="s">
        <v>21763</v>
      </c>
      <c r="G3095" s="20" t="s">
        <v>21764</v>
      </c>
      <c r="H3095" s="24"/>
      <c r="I3095" s="24" t="str">
        <f ca="1">IFERROR(__xludf.DUMMYFUNCTION("GOOGLETRANSLATE(F3095,""en"",""pt"")"),"filetes de madeira")</f>
        <v>filetes de madeira</v>
      </c>
      <c r="J3095">
        <f>VLOOKUP(A3095,Pr_Base_LNEC!$A$4:$J$6971,6,FALSE)</f>
        <v>0</v>
      </c>
      <c r="K3095">
        <f>VLOOKUP(A3095,Pr_Base_LNEC!$A$4:$J$6971,7,FALSE)</f>
        <v>0</v>
      </c>
    </row>
    <row r="3096" spans="1:11" ht="14.5">
      <c r="A3096" s="20" t="s">
        <v>21765</v>
      </c>
      <c r="B3096" s="20">
        <v>35</v>
      </c>
      <c r="C3096" s="20">
        <v>90</v>
      </c>
      <c r="D3096" s="20">
        <v>9</v>
      </c>
      <c r="E3096" s="24"/>
      <c r="F3096" s="20" t="s">
        <v>21766</v>
      </c>
      <c r="G3096" s="24"/>
      <c r="H3096" s="24"/>
      <c r="I3096" s="24" t="str">
        <f ca="1">IFERROR(__xludf.DUMMYFUNCTION("GOOGLETRANSLATE(F3096,""en"",""pt"")"),"juntas de dilatação da ponte")</f>
        <v>juntas de dilatação da ponte</v>
      </c>
      <c r="J3096">
        <f>VLOOKUP(A3096,Pr_Base_LNEC!$A$4:$J$6971,6,FALSE)</f>
        <v>0</v>
      </c>
      <c r="K3096">
        <f>VLOOKUP(A3096,Pr_Base_LNEC!$A$4:$J$6971,7,FALSE)</f>
        <v>0</v>
      </c>
    </row>
    <row r="3097" spans="1:11" ht="14.5">
      <c r="A3097" s="20" t="s">
        <v>21767</v>
      </c>
      <c r="B3097" s="20">
        <v>35</v>
      </c>
      <c r="C3097" s="20">
        <v>90</v>
      </c>
      <c r="D3097" s="20">
        <v>9</v>
      </c>
      <c r="E3097" s="20">
        <v>11</v>
      </c>
      <c r="F3097" s="20" t="s">
        <v>21768</v>
      </c>
      <c r="G3097" s="20" t="s">
        <v>21769</v>
      </c>
      <c r="H3097" s="24"/>
      <c r="I3097" s="24" t="str">
        <f ca="1">IFERROR(__xludf.DUMMYFUNCTION("GOOGLETRANSLATE(F3097,""en"",""pt"")"),"articulações cantilever pente expansão ou dente")</f>
        <v>articulações cantilever pente expansão ou dente</v>
      </c>
      <c r="J3097">
        <f>VLOOKUP(A3097,Pr_Base_LNEC!$A$4:$J$6971,6,FALSE)</f>
        <v>0</v>
      </c>
      <c r="K3097">
        <f>VLOOKUP(A3097,Pr_Base_LNEC!$A$4:$J$6971,7,FALSE)</f>
        <v>0</v>
      </c>
    </row>
    <row r="3098" spans="1:11" ht="14.5">
      <c r="A3098" s="20" t="s">
        <v>21770</v>
      </c>
      <c r="B3098" s="20">
        <v>35</v>
      </c>
      <c r="C3098" s="20">
        <v>90</v>
      </c>
      <c r="D3098" s="20">
        <v>9</v>
      </c>
      <c r="E3098" s="20">
        <v>27</v>
      </c>
      <c r="F3098" s="20" t="s">
        <v>21771</v>
      </c>
      <c r="G3098" s="20" t="s">
        <v>21772</v>
      </c>
      <c r="H3098" s="24"/>
      <c r="I3098" s="24" t="str">
        <f ca="1">IFERROR(__xludf.DUMMYFUNCTION("GOOGLETRANSLATE(F3098,""en"",""pt"")"),"junta de expansão elastomérica em corredores de metais")</f>
        <v>junta de expansão elastomérica em corredores de metais</v>
      </c>
      <c r="J3098">
        <f>VLOOKUP(A3098,Pr_Base_LNEC!$A$4:$J$6971,6,FALSE)</f>
        <v>0</v>
      </c>
      <c r="K3098">
        <f>VLOOKUP(A3098,Pr_Base_LNEC!$A$4:$J$6971,7,FALSE)</f>
        <v>0</v>
      </c>
    </row>
    <row r="3099" spans="1:11" ht="14.5">
      <c r="A3099" s="20" t="s">
        <v>21773</v>
      </c>
      <c r="B3099" s="20">
        <v>35</v>
      </c>
      <c r="C3099" s="20">
        <v>90</v>
      </c>
      <c r="D3099" s="20">
        <v>9</v>
      </c>
      <c r="E3099" s="20">
        <v>28</v>
      </c>
      <c r="F3099" s="20" t="s">
        <v>21774</v>
      </c>
      <c r="G3099" s="20" t="s">
        <v>21775</v>
      </c>
      <c r="H3099" s="24"/>
      <c r="I3099" s="24" t="str">
        <f ca="1">IFERROR(__xludf.DUMMYFUNCTION("GOOGLETRANSLATE(F3099,""en"",""pt"")"),"almofadas elastoméricas")</f>
        <v>almofadas elastoméricas</v>
      </c>
      <c r="J3099">
        <f>VLOOKUP(A3099,Pr_Base_LNEC!$A$4:$J$6971,6,FALSE)</f>
        <v>0</v>
      </c>
      <c r="K3099">
        <f>VLOOKUP(A3099,Pr_Base_LNEC!$A$4:$J$6971,7,FALSE)</f>
        <v>0</v>
      </c>
    </row>
    <row r="3100" spans="1:11" ht="14.5">
      <c r="A3100" s="20" t="s">
        <v>21776</v>
      </c>
      <c r="B3100" s="20">
        <v>35</v>
      </c>
      <c r="C3100" s="20">
        <v>90</v>
      </c>
      <c r="D3100" s="20">
        <v>9</v>
      </c>
      <c r="E3100" s="20">
        <v>71</v>
      </c>
      <c r="F3100" s="20" t="s">
        <v>21777</v>
      </c>
      <c r="G3100" s="20" t="s">
        <v>21778</v>
      </c>
      <c r="H3100" s="24"/>
      <c r="I3100" s="24" t="str">
        <f ca="1">IFERROR(__xludf.DUMMYFUNCTION("GOOGLETRANSLATE(F3100,""en"",""pt"")"),"juntas de dilatação elastomérico reforçado")</f>
        <v>juntas de dilatação elastomérico reforçado</v>
      </c>
      <c r="J3100">
        <f>VLOOKUP(A3100,Pr_Base_LNEC!$A$4:$J$6971,6,FALSE)</f>
        <v>0</v>
      </c>
      <c r="K3100">
        <f>VLOOKUP(A3100,Pr_Base_LNEC!$A$4:$J$6971,7,FALSE)</f>
        <v>0</v>
      </c>
    </row>
    <row r="3101" spans="1:11" ht="14.5">
      <c r="A3101" s="20" t="s">
        <v>21779</v>
      </c>
      <c r="B3101" s="20">
        <v>35</v>
      </c>
      <c r="C3101" s="20">
        <v>90</v>
      </c>
      <c r="D3101" s="20">
        <v>9</v>
      </c>
      <c r="E3101" s="20">
        <v>85</v>
      </c>
      <c r="F3101" s="20" t="s">
        <v>21780</v>
      </c>
      <c r="G3101" s="20" t="s">
        <v>21781</v>
      </c>
      <c r="H3101" s="24"/>
      <c r="I3101" s="24" t="str">
        <f ca="1">IFERROR(__xludf.DUMMYFUNCTION("GOOGLETRANSLATE(F3101,""en"",""pt"")"),"juntas de dilatação suportados")</f>
        <v>juntas de dilatação suportados</v>
      </c>
      <c r="J3101">
        <f>VLOOKUP(A3101,Pr_Base_LNEC!$A$4:$J$6971,6,FALSE)</f>
        <v>0</v>
      </c>
      <c r="K3101">
        <f>VLOOKUP(A3101,Pr_Base_LNEC!$A$4:$J$6971,7,FALSE)</f>
        <v>0</v>
      </c>
    </row>
    <row r="3102" spans="1:11" ht="14.5">
      <c r="A3102" s="20" t="s">
        <v>21782</v>
      </c>
      <c r="B3102" s="20">
        <v>35</v>
      </c>
      <c r="C3102" s="20">
        <v>90</v>
      </c>
      <c r="D3102" s="20">
        <v>15</v>
      </c>
      <c r="E3102" s="24"/>
      <c r="F3102" s="20" t="s">
        <v>21783</v>
      </c>
      <c r="G3102" s="24"/>
      <c r="H3102" s="24"/>
      <c r="I3102" s="24" t="str">
        <f ca="1">IFERROR(__xludf.DUMMYFUNCTION("GOOGLETRANSLATE(F3102,""en"",""pt"")"),"construção de concreto acessórios conjuntas")</f>
        <v>construção de concreto acessórios conjuntas</v>
      </c>
      <c r="J3102">
        <f>VLOOKUP(A3102,Pr_Base_LNEC!$A$4:$J$6971,6,FALSE)</f>
        <v>0</v>
      </c>
      <c r="K3102">
        <f>VLOOKUP(A3102,Pr_Base_LNEC!$A$4:$J$6971,7,FALSE)</f>
        <v>0</v>
      </c>
    </row>
    <row r="3103" spans="1:11" ht="14.5">
      <c r="A3103" s="20" t="s">
        <v>21784</v>
      </c>
      <c r="B3103" s="20">
        <v>35</v>
      </c>
      <c r="C3103" s="20">
        <v>90</v>
      </c>
      <c r="D3103" s="20">
        <v>15</v>
      </c>
      <c r="E3103" s="20">
        <v>4</v>
      </c>
      <c r="F3103" s="20" t="s">
        <v>21785</v>
      </c>
      <c r="G3103" s="20" t="s">
        <v>21786</v>
      </c>
      <c r="H3103" s="24"/>
      <c r="I3103" s="24" t="str">
        <f ca="1">IFERROR(__xludf.DUMMYFUNCTION("GOOGLETRANSLATE(F3103,""en"",""pt"")"),"articulações blindados")</f>
        <v>articulações blindados</v>
      </c>
      <c r="J3103">
        <f>VLOOKUP(A3103,Pr_Base_LNEC!$A$4:$J$6971,6,FALSE)</f>
        <v>0</v>
      </c>
      <c r="K3103">
        <f>VLOOKUP(A3103,Pr_Base_LNEC!$A$4:$J$6971,7,FALSE)</f>
        <v>0</v>
      </c>
    </row>
    <row r="3104" spans="1:11" ht="14.5">
      <c r="A3104" s="20" t="s">
        <v>21787</v>
      </c>
      <c r="B3104" s="20">
        <v>35</v>
      </c>
      <c r="C3104" s="20">
        <v>90</v>
      </c>
      <c r="D3104" s="20">
        <v>15</v>
      </c>
      <c r="E3104" s="20">
        <v>8</v>
      </c>
      <c r="F3104" s="20" t="s">
        <v>21788</v>
      </c>
      <c r="G3104" s="20" t="s">
        <v>21789</v>
      </c>
      <c r="H3104" s="24"/>
      <c r="I3104" s="24" t="str">
        <f ca="1">IFERROR(__xludf.DUMMYFUNCTION("GOOGLETRANSLATE(F3104,""en"",""pt"")"),"Inferior-de-laje plásticos rachar indutores")</f>
        <v>Inferior-de-laje plásticos rachar indutores</v>
      </c>
      <c r="J3104">
        <f>VLOOKUP(A3104,Pr_Base_LNEC!$A$4:$J$6971,6,FALSE)</f>
        <v>0</v>
      </c>
      <c r="K3104">
        <f>VLOOKUP(A3104,Pr_Base_LNEC!$A$4:$J$6971,7,FALSE)</f>
        <v>0</v>
      </c>
    </row>
    <row r="3105" spans="1:11" ht="14.5">
      <c r="A3105" s="20" t="s">
        <v>21790</v>
      </c>
      <c r="B3105" s="20">
        <v>35</v>
      </c>
      <c r="C3105" s="20">
        <v>90</v>
      </c>
      <c r="D3105" s="20">
        <v>15</v>
      </c>
      <c r="E3105" s="20">
        <v>11</v>
      </c>
      <c r="F3105" s="20" t="s">
        <v>21791</v>
      </c>
      <c r="G3105" s="20" t="s">
        <v>21792</v>
      </c>
      <c r="H3105" s="24"/>
      <c r="I3105" s="24" t="str">
        <f ca="1">IFERROR(__xludf.DUMMYFUNCTION("GOOGLETRANSLATE(F3105,""en"",""pt"")"),"Carbono arris aço armaes")</f>
        <v>Carbono arris aço armaes</v>
      </c>
      <c r="J3105">
        <f>VLOOKUP(A3105,Pr_Base_LNEC!$A$4:$J$6971,6,FALSE)</f>
        <v>0</v>
      </c>
      <c r="K3105">
        <f>VLOOKUP(A3105,Pr_Base_LNEC!$A$4:$J$6971,7,FALSE)</f>
        <v>0</v>
      </c>
    </row>
    <row r="3106" spans="1:11" ht="14.5">
      <c r="A3106" s="20" t="s">
        <v>21793</v>
      </c>
      <c r="B3106" s="20">
        <v>35</v>
      </c>
      <c r="C3106" s="20">
        <v>90</v>
      </c>
      <c r="D3106" s="20">
        <v>15</v>
      </c>
      <c r="E3106" s="20">
        <v>12</v>
      </c>
      <c r="F3106" s="20" t="s">
        <v>21794</v>
      </c>
      <c r="G3106" s="20" t="s">
        <v>21795</v>
      </c>
      <c r="H3106" s="24"/>
      <c r="I3106" s="24" t="str">
        <f ca="1">IFERROR(__xludf.DUMMYFUNCTION("GOOGLETRANSLATE(F3106,""en"",""pt"")"),"conectores de carga de aço carbono de cisalhamento")</f>
        <v>conectores de carga de aço carbono de cisalhamento</v>
      </c>
      <c r="J3106">
        <f>VLOOKUP(A3106,Pr_Base_LNEC!$A$4:$J$6971,6,FALSE)</f>
        <v>0</v>
      </c>
      <c r="K3106">
        <f>VLOOKUP(A3106,Pr_Base_LNEC!$A$4:$J$6971,7,FALSE)</f>
        <v>0</v>
      </c>
    </row>
    <row r="3107" spans="1:11" ht="14.5">
      <c r="A3107" s="20" t="s">
        <v>21796</v>
      </c>
      <c r="B3107" s="20">
        <v>35</v>
      </c>
      <c r="C3107" s="20">
        <v>90</v>
      </c>
      <c r="D3107" s="20">
        <v>15</v>
      </c>
      <c r="E3107" s="20">
        <v>13</v>
      </c>
      <c r="F3107" s="20" t="s">
        <v>21797</v>
      </c>
      <c r="G3107" s="20" t="s">
        <v>21798</v>
      </c>
      <c r="H3107" s="24"/>
      <c r="I3107" s="24" t="str">
        <f ca="1">IFERROR(__xludf.DUMMYFUNCTION("GOOGLETRANSLATE(F3107,""en"",""pt"")"),"Carbono indutores de crack de tiras de aço")</f>
        <v>Carbono indutores de crack de tiras de aço</v>
      </c>
      <c r="J3107">
        <f>VLOOKUP(A3107,Pr_Base_LNEC!$A$4:$J$6971,6,FALSE)</f>
        <v>0</v>
      </c>
      <c r="K3107">
        <f>VLOOKUP(A3107,Pr_Base_LNEC!$A$4:$J$6971,7,FALSE)</f>
        <v>0</v>
      </c>
    </row>
    <row r="3108" spans="1:11" ht="14.5">
      <c r="A3108" s="20" t="s">
        <v>21799</v>
      </c>
      <c r="B3108" s="20">
        <v>35</v>
      </c>
      <c r="C3108" s="20">
        <v>90</v>
      </c>
      <c r="D3108" s="20">
        <v>15</v>
      </c>
      <c r="E3108" s="20">
        <v>14</v>
      </c>
      <c r="F3108" s="20" t="s">
        <v>21800</v>
      </c>
      <c r="G3108" s="20" t="s">
        <v>21801</v>
      </c>
      <c r="H3108" s="24"/>
      <c r="I3108" s="24" t="str">
        <f ca="1">IFERROR(__xludf.DUMMYFUNCTION("GOOGLETRANSLATE(F3108,""en"",""pt"")"),"borracha centralmente colocado waterstops flexíveis")</f>
        <v>borracha centralmente colocado waterstops flexíveis</v>
      </c>
      <c r="J3108">
        <f>VLOOKUP(A3108,Pr_Base_LNEC!$A$4:$J$6971,6,FALSE)</f>
        <v>0</v>
      </c>
      <c r="K3108">
        <f>VLOOKUP(A3108,Pr_Base_LNEC!$A$4:$J$6971,7,FALSE)</f>
        <v>0</v>
      </c>
    </row>
    <row r="3109" spans="1:11" ht="14.5">
      <c r="A3109" s="20" t="s">
        <v>21802</v>
      </c>
      <c r="B3109" s="20">
        <v>35</v>
      </c>
      <c r="C3109" s="20">
        <v>90</v>
      </c>
      <c r="D3109" s="20">
        <v>15</v>
      </c>
      <c r="E3109" s="20">
        <v>15</v>
      </c>
      <c r="F3109" s="20" t="s">
        <v>21803</v>
      </c>
      <c r="G3109" s="20" t="s">
        <v>21804</v>
      </c>
      <c r="H3109" s="24"/>
      <c r="I3109" s="24" t="str">
        <f ca="1">IFERROR(__xludf.DUMMYFUNCTION("GOOGLETRANSLATE(F3109,""en"",""pt"")"),"Centralmente colocado cloreto de polivinilo (PVC), elasteros waterstops flexíveis")</f>
        <v>Centralmente colocado cloreto de polivinilo (PVC), elasteros waterstops flexíveis</v>
      </c>
      <c r="J3109">
        <f>VLOOKUP(A3109,Pr_Base_LNEC!$A$4:$J$6971,6,FALSE)</f>
        <v>0</v>
      </c>
      <c r="K3109">
        <f>VLOOKUP(A3109,Pr_Base_LNEC!$A$4:$J$6971,7,FALSE)</f>
        <v>0</v>
      </c>
    </row>
    <row r="3110" spans="1:11" ht="14.5">
      <c r="A3110" s="20" t="s">
        <v>21805</v>
      </c>
      <c r="B3110" s="20">
        <v>35</v>
      </c>
      <c r="C3110" s="20">
        <v>90</v>
      </c>
      <c r="D3110" s="20">
        <v>15</v>
      </c>
      <c r="E3110" s="20">
        <v>16</v>
      </c>
      <c r="F3110" s="20" t="s">
        <v>21806</v>
      </c>
      <c r="G3110" s="20" t="s">
        <v>21807</v>
      </c>
      <c r="H3110" s="24"/>
      <c r="I3110" s="24" t="str">
        <f ca="1">IFERROR(__xludf.DUMMYFUNCTION("GOOGLETRANSLATE(F3110,""en"",""pt"")"),"Centralmente colocado cloreto de polivinilo não plastificado (PVC-U) waterstops flexíveis")</f>
        <v>Centralmente colocado cloreto de polivinilo não plastificado (PVC-U) waterstops flexíveis</v>
      </c>
      <c r="J3110">
        <f>VLOOKUP(A3110,Pr_Base_LNEC!$A$4:$J$6971,6,FALSE)</f>
        <v>0</v>
      </c>
      <c r="K3110">
        <f>VLOOKUP(A3110,Pr_Base_LNEC!$A$4:$J$6971,7,FALSE)</f>
        <v>0</v>
      </c>
    </row>
    <row r="3111" spans="1:11" ht="14.5">
      <c r="A3111" s="20" t="s">
        <v>21808</v>
      </c>
      <c r="B3111" s="20">
        <v>35</v>
      </c>
      <c r="C3111" s="20">
        <v>90</v>
      </c>
      <c r="D3111" s="20">
        <v>15</v>
      </c>
      <c r="E3111" s="20">
        <v>19</v>
      </c>
      <c r="F3111" s="20" t="s">
        <v>21809</v>
      </c>
      <c r="G3111" s="20" t="s">
        <v>21810</v>
      </c>
      <c r="H3111" s="24"/>
      <c r="I3111" s="24" t="str">
        <f ca="1">IFERROR(__xludf.DUMMYFUNCTION("GOOGLETRANSLATE(F3111,""en"",""pt"")"),"waterstops metal revestido")</f>
        <v>waterstops metal revestido</v>
      </c>
      <c r="J3111">
        <f>VLOOKUP(A3111,Pr_Base_LNEC!$A$4:$J$6971,6,FALSE)</f>
        <v>0</v>
      </c>
      <c r="K3111">
        <f>VLOOKUP(A3111,Pr_Base_LNEC!$A$4:$J$6971,7,FALSE)</f>
        <v>0</v>
      </c>
    </row>
    <row r="3112" spans="1:11" ht="14.5">
      <c r="A3112" s="20" t="s">
        <v>21811</v>
      </c>
      <c r="B3112" s="20">
        <v>35</v>
      </c>
      <c r="C3112" s="20">
        <v>90</v>
      </c>
      <c r="D3112" s="20">
        <v>15</v>
      </c>
      <c r="E3112" s="20">
        <v>37</v>
      </c>
      <c r="F3112" s="20" t="s">
        <v>21812</v>
      </c>
      <c r="G3112" s="20" t="s">
        <v>21813</v>
      </c>
      <c r="H3112" s="24"/>
      <c r="I3112" s="24" t="str">
        <f ca="1">IFERROR(__xludf.DUMMYFUNCTION("GOOGLETRANSLATE(F3112,""en"",""pt"")"),"Dirigidos perno conectores de cisalhamento")</f>
        <v>Dirigidos perno conectores de cisalhamento</v>
      </c>
      <c r="J3112">
        <f>VLOOKUP(A3112,Pr_Base_LNEC!$A$4:$J$6971,6,FALSE)</f>
        <v>0</v>
      </c>
      <c r="K3112">
        <f>VLOOKUP(A3112,Pr_Base_LNEC!$A$4:$J$6971,7,FALSE)</f>
        <v>0</v>
      </c>
    </row>
    <row r="3113" spans="1:11" ht="14.5">
      <c r="A3113" s="20" t="s">
        <v>21814</v>
      </c>
      <c r="B3113" s="20">
        <v>35</v>
      </c>
      <c r="C3113" s="20">
        <v>90</v>
      </c>
      <c r="D3113" s="20">
        <v>15</v>
      </c>
      <c r="E3113" s="20">
        <v>42</v>
      </c>
      <c r="F3113" s="20" t="s">
        <v>21815</v>
      </c>
      <c r="G3113" s="20" t="s">
        <v>21816</v>
      </c>
      <c r="H3113" s="24"/>
      <c r="I3113" s="24" t="str">
        <f ca="1">IFERROR(__xludf.DUMMYFUNCTION("GOOGLETRANSLATE(F3113,""en"",""pt"")"),"waterstops mangueira injetáveis")</f>
        <v>waterstops mangueira injetáveis</v>
      </c>
      <c r="J3113">
        <f>VLOOKUP(A3113,Pr_Base_LNEC!$A$4:$J$6971,6,FALSE)</f>
        <v>0</v>
      </c>
      <c r="K3113">
        <f>VLOOKUP(A3113,Pr_Base_LNEC!$A$4:$J$6971,7,FALSE)</f>
        <v>0</v>
      </c>
    </row>
    <row r="3114" spans="1:11" ht="14.5">
      <c r="A3114" s="20" t="s">
        <v>21817</v>
      </c>
      <c r="B3114" s="20">
        <v>35</v>
      </c>
      <c r="C3114" s="20">
        <v>90</v>
      </c>
      <c r="D3114" s="20">
        <v>15</v>
      </c>
      <c r="E3114" s="20">
        <v>48</v>
      </c>
      <c r="F3114" s="20" t="s">
        <v>21818</v>
      </c>
      <c r="G3114" s="20" t="s">
        <v>21819</v>
      </c>
      <c r="H3114" s="24"/>
      <c r="I3114" s="24" t="str">
        <f ca="1">IFERROR(__xludf.DUMMYFUNCTION("GOOGLETRANSLATE(F3114,""en"",""pt"")"),"conectores de loop")</f>
        <v>conectores de loop</v>
      </c>
      <c r="J3114">
        <f>VLOOKUP(A3114,Pr_Base_LNEC!$A$4:$J$6971,6,FALSE)</f>
        <v>0</v>
      </c>
      <c r="K3114">
        <f>VLOOKUP(A3114,Pr_Base_LNEC!$A$4:$J$6971,7,FALSE)</f>
        <v>0</v>
      </c>
    </row>
    <row r="3115" spans="1:11" ht="14.5">
      <c r="A3115" s="20" t="s">
        <v>21820</v>
      </c>
      <c r="B3115" s="20">
        <v>35</v>
      </c>
      <c r="C3115" s="20">
        <v>90</v>
      </c>
      <c r="D3115" s="20">
        <v>15</v>
      </c>
      <c r="E3115" s="20">
        <v>63</v>
      </c>
      <c r="F3115" s="20" t="s">
        <v>21821</v>
      </c>
      <c r="G3115" s="20" t="s">
        <v>21822</v>
      </c>
      <c r="H3115" s="24"/>
      <c r="I3115" s="24" t="str">
        <f ca="1">IFERROR(__xludf.DUMMYFUNCTION("GOOGLETRANSLATE(F3115,""en"",""pt"")"),"Plásticos indutores de crack tira")</f>
        <v>Plásticos indutores de crack tira</v>
      </c>
      <c r="J3115">
        <f>VLOOKUP(A3115,Pr_Base_LNEC!$A$4:$J$6971,6,FALSE)</f>
        <v>0</v>
      </c>
      <c r="K3115">
        <f>VLOOKUP(A3115,Pr_Base_LNEC!$A$4:$J$6971,7,FALSE)</f>
        <v>0</v>
      </c>
    </row>
    <row r="3116" spans="1:11" ht="14.5">
      <c r="A3116" s="20" t="s">
        <v>21823</v>
      </c>
      <c r="B3116" s="20">
        <v>35</v>
      </c>
      <c r="C3116" s="20">
        <v>90</v>
      </c>
      <c r="D3116" s="20">
        <v>15</v>
      </c>
      <c r="E3116" s="20">
        <v>72</v>
      </c>
      <c r="F3116" s="20" t="s">
        <v>21824</v>
      </c>
      <c r="G3116" s="20" t="s">
        <v>21825</v>
      </c>
      <c r="H3116" s="24"/>
      <c r="I3116" s="24" t="str">
        <f ca="1">IFERROR(__xludf.DUMMYFUNCTION("GOOGLETRANSLATE(F3116,""en"",""pt"")"),"Borracha waterstops flexíveis")</f>
        <v>Borracha waterstops flexíveis</v>
      </c>
      <c r="J3116">
        <f>VLOOKUP(A3116,Pr_Base_LNEC!$A$4:$J$6971,6,FALSE)</f>
        <v>0</v>
      </c>
      <c r="K3116">
        <f>VLOOKUP(A3116,Pr_Base_LNEC!$A$4:$J$6971,7,FALSE)</f>
        <v>0</v>
      </c>
    </row>
    <row r="3117" spans="1:11" ht="14.5">
      <c r="A3117" s="20" t="s">
        <v>21826</v>
      </c>
      <c r="B3117" s="20">
        <v>35</v>
      </c>
      <c r="C3117" s="20">
        <v>90</v>
      </c>
      <c r="D3117" s="20">
        <v>15</v>
      </c>
      <c r="E3117" s="20">
        <v>74</v>
      </c>
      <c r="F3117" s="20" t="s">
        <v>21827</v>
      </c>
      <c r="G3117" s="20" t="s">
        <v>21828</v>
      </c>
      <c r="H3117" s="24"/>
      <c r="I3117" s="24" t="str">
        <f ca="1">IFERROR(__xludf.DUMMYFUNCTION("GOOGLETRANSLATE(F3117,""en"",""pt"")"),"waterstops hidrofílicos borracha")</f>
        <v>waterstops hidrofílicos borracha</v>
      </c>
      <c r="J3117">
        <f>VLOOKUP(A3117,Pr_Base_LNEC!$A$4:$J$6971,6,FALSE)</f>
        <v>0</v>
      </c>
      <c r="K3117">
        <f>VLOOKUP(A3117,Pr_Base_LNEC!$A$4:$J$6971,7,FALSE)</f>
        <v>0</v>
      </c>
    </row>
    <row r="3118" spans="1:11" ht="14.5">
      <c r="A3118" s="20" t="s">
        <v>21829</v>
      </c>
      <c r="B3118" s="20">
        <v>35</v>
      </c>
      <c r="C3118" s="20">
        <v>90</v>
      </c>
      <c r="D3118" s="20">
        <v>15</v>
      </c>
      <c r="E3118" s="20">
        <v>77</v>
      </c>
      <c r="F3118" s="20" t="s">
        <v>21830</v>
      </c>
      <c r="G3118" s="20" t="s">
        <v>21831</v>
      </c>
      <c r="H3118" s="24"/>
      <c r="I3118" s="24" t="str">
        <f ca="1">IFERROR(__xludf.DUMMYFUNCTION("GOOGLETRANSLATE(F3118,""en"",""pt"")"),"Encolhimento indutores tubo de crack")</f>
        <v>Encolhimento indutores tubo de crack</v>
      </c>
      <c r="J3118">
        <f>VLOOKUP(A3118,Pr_Base_LNEC!$A$4:$J$6971,6,FALSE)</f>
        <v>0</v>
      </c>
      <c r="K3118">
        <f>VLOOKUP(A3118,Pr_Base_LNEC!$A$4:$J$6971,7,FALSE)</f>
        <v>0</v>
      </c>
    </row>
    <row r="3119" spans="1:11" ht="14.5">
      <c r="A3119" s="20" t="s">
        <v>21832</v>
      </c>
      <c r="B3119" s="20">
        <v>35</v>
      </c>
      <c r="C3119" s="20">
        <v>90</v>
      </c>
      <c r="D3119" s="20">
        <v>15</v>
      </c>
      <c r="E3119" s="20">
        <v>82</v>
      </c>
      <c r="F3119" s="20" t="s">
        <v>21833</v>
      </c>
      <c r="G3119" s="20" t="s">
        <v>21834</v>
      </c>
      <c r="H3119" s="24"/>
      <c r="I3119" s="24" t="str">
        <f ca="1">IFERROR(__xludf.DUMMYFUNCTION("GOOGLETRANSLATE(F3119,""en"",""pt"")"),"armaduras de aço inoxidável arris")</f>
        <v>armaduras de aço inoxidável arris</v>
      </c>
      <c r="J3119">
        <f>VLOOKUP(A3119,Pr_Base_LNEC!$A$4:$J$6971,6,FALSE)</f>
        <v>0</v>
      </c>
      <c r="K3119">
        <f>VLOOKUP(A3119,Pr_Base_LNEC!$A$4:$J$6971,7,FALSE)</f>
        <v>0</v>
      </c>
    </row>
    <row r="3120" spans="1:11" ht="14.5">
      <c r="A3120" s="20" t="s">
        <v>21835</v>
      </c>
      <c r="B3120" s="20">
        <v>35</v>
      </c>
      <c r="C3120" s="20">
        <v>90</v>
      </c>
      <c r="D3120" s="20">
        <v>15</v>
      </c>
      <c r="E3120" s="20">
        <v>83</v>
      </c>
      <c r="F3120" s="20" t="s">
        <v>21836</v>
      </c>
      <c r="G3120" s="20" t="s">
        <v>21837</v>
      </c>
      <c r="H3120" s="24"/>
      <c r="I3120" s="24" t="str">
        <f ca="1">IFERROR(__xludf.DUMMYFUNCTION("GOOGLETRANSLATE(F3120,""en"",""pt"")"),"conectores de carga de cisalhamento de aço inoxidável")</f>
        <v>conectores de carga de cisalhamento de aço inoxidável</v>
      </c>
      <c r="J3120">
        <f>VLOOKUP(A3120,Pr_Base_LNEC!$A$4:$J$6971,6,FALSE)</f>
        <v>0</v>
      </c>
      <c r="K3120">
        <f>VLOOKUP(A3120,Pr_Base_LNEC!$A$4:$J$6971,7,FALSE)</f>
        <v>0</v>
      </c>
    </row>
    <row r="3121" spans="1:11" ht="14.5">
      <c r="A3121" s="20" t="s">
        <v>21838</v>
      </c>
      <c r="B3121" s="20">
        <v>35</v>
      </c>
      <c r="C3121" s="20">
        <v>90</v>
      </c>
      <c r="D3121" s="20">
        <v>15</v>
      </c>
      <c r="E3121" s="20">
        <v>84</v>
      </c>
      <c r="F3121" s="20" t="s">
        <v>21839</v>
      </c>
      <c r="G3121" s="20" t="s">
        <v>21840</v>
      </c>
      <c r="H3121" s="24"/>
      <c r="I3121" s="24" t="str">
        <f ca="1">IFERROR(__xludf.DUMMYFUNCTION("GOOGLETRANSLATE(F3121,""en"",""pt"")"),"aço inoxidável indutores tira de crack")</f>
        <v>aço inoxidável indutores tira de crack</v>
      </c>
      <c r="J3121">
        <f>VLOOKUP(A3121,Pr_Base_LNEC!$A$4:$J$6971,6,FALSE)</f>
        <v>0</v>
      </c>
      <c r="K3121">
        <f>VLOOKUP(A3121,Pr_Base_LNEC!$A$4:$J$6971,7,FALSE)</f>
        <v>0</v>
      </c>
    </row>
    <row r="3122" spans="1:11" ht="14.5">
      <c r="A3122" s="20" t="s">
        <v>21841</v>
      </c>
      <c r="B3122" s="20">
        <v>35</v>
      </c>
      <c r="C3122" s="20">
        <v>90</v>
      </c>
      <c r="D3122" s="20">
        <v>15</v>
      </c>
      <c r="E3122" s="20">
        <v>85</v>
      </c>
      <c r="F3122" s="20" t="s">
        <v>21842</v>
      </c>
      <c r="G3122" s="20" t="s">
        <v>21843</v>
      </c>
      <c r="H3122" s="24"/>
      <c r="I3122" s="24" t="str">
        <f ca="1">IFERROR(__xludf.DUMMYFUNCTION("GOOGLETRANSLATE(F3122,""en"",""pt"")"),"Superfície montado cloreto de polivinilo (PVC) waterstops flexíveis")</f>
        <v>Superfície montado cloreto de polivinilo (PVC) waterstops flexíveis</v>
      </c>
      <c r="J3122">
        <f>VLOOKUP(A3122,Pr_Base_LNEC!$A$4:$J$6971,6,FALSE)</f>
        <v>0</v>
      </c>
      <c r="K3122">
        <f>VLOOKUP(A3122,Pr_Base_LNEC!$A$4:$J$6971,7,FALSE)</f>
        <v>0</v>
      </c>
    </row>
    <row r="3123" spans="1:11" ht="14.5">
      <c r="A3123" s="20" t="s">
        <v>21844</v>
      </c>
      <c r="B3123" s="20">
        <v>35</v>
      </c>
      <c r="C3123" s="20">
        <v>90</v>
      </c>
      <c r="D3123" s="20">
        <v>15</v>
      </c>
      <c r="E3123" s="20">
        <v>86</v>
      </c>
      <c r="F3123" s="20" t="s">
        <v>21845</v>
      </c>
      <c r="G3123" s="20" t="s">
        <v>21846</v>
      </c>
      <c r="H3123" s="24"/>
      <c r="I3123" s="24" t="str">
        <f ca="1">IFERROR(__xludf.DUMMYFUNCTION("GOOGLETRANSLATE(F3123,""en"",""pt"")"),"waterstops hidrofílicos elastómero sintético")</f>
        <v>waterstops hidrofílicos elastómero sintético</v>
      </c>
      <c r="J3123">
        <f>VLOOKUP(A3123,Pr_Base_LNEC!$A$4:$J$6971,6,FALSE)</f>
        <v>0</v>
      </c>
      <c r="K3123">
        <f>VLOOKUP(A3123,Pr_Base_LNEC!$A$4:$J$6971,7,FALSE)</f>
        <v>0</v>
      </c>
    </row>
    <row r="3124" spans="1:11" ht="14.5">
      <c r="A3124" s="20" t="s">
        <v>21847</v>
      </c>
      <c r="B3124" s="20">
        <v>35</v>
      </c>
      <c r="C3124" s="20">
        <v>90</v>
      </c>
      <c r="D3124" s="20">
        <v>15</v>
      </c>
      <c r="E3124" s="20">
        <v>88</v>
      </c>
      <c r="F3124" s="20" t="s">
        <v>21848</v>
      </c>
      <c r="G3124" s="20" t="s">
        <v>21849</v>
      </c>
      <c r="H3124" s="24"/>
      <c r="I3124" s="24" t="str">
        <f ca="1">IFERROR(__xludf.DUMMYFUNCTION("GOOGLETRANSLATE(F3124,""en"",""pt"")"),"conectores de carga de quebra térmica de cisalhamento")</f>
        <v>conectores de carga de quebra térmica de cisalhamento</v>
      </c>
      <c r="J3124">
        <f>VLOOKUP(A3124,Pr_Base_LNEC!$A$4:$J$6971,6,FALSE)</f>
        <v>0</v>
      </c>
      <c r="K3124">
        <f>VLOOKUP(A3124,Pr_Base_LNEC!$A$4:$J$6971,7,FALSE)</f>
        <v>0</v>
      </c>
    </row>
    <row r="3125" spans="1:11" ht="14.5">
      <c r="A3125" s="20" t="s">
        <v>21850</v>
      </c>
      <c r="B3125" s="20">
        <v>35</v>
      </c>
      <c r="C3125" s="20">
        <v>90</v>
      </c>
      <c r="D3125" s="20">
        <v>15</v>
      </c>
      <c r="E3125" s="20">
        <v>89</v>
      </c>
      <c r="F3125" s="20" t="s">
        <v>21851</v>
      </c>
      <c r="G3125" s="20" t="s">
        <v>21852</v>
      </c>
      <c r="H3125" s="24"/>
      <c r="I3125" s="24" t="str">
        <f ca="1">IFERROR(__xludf.DUMMYFUNCTION("GOOGLETRANSLATE(F3125,""en"",""pt"")"),"placas de conexão de corte térmico")</f>
        <v>placas de conexão de corte térmico</v>
      </c>
      <c r="J3125">
        <f>VLOOKUP(A3125,Pr_Base_LNEC!$A$4:$J$6971,6,FALSE)</f>
        <v>0</v>
      </c>
      <c r="K3125">
        <f>VLOOKUP(A3125,Pr_Base_LNEC!$A$4:$J$6971,7,FALSE)</f>
        <v>0</v>
      </c>
    </row>
    <row r="3126" spans="1:11" ht="14.5">
      <c r="A3126" s="20" t="s">
        <v>21853</v>
      </c>
      <c r="B3126" s="20">
        <v>35</v>
      </c>
      <c r="C3126" s="20">
        <v>90</v>
      </c>
      <c r="D3126" s="20">
        <v>22</v>
      </c>
      <c r="E3126" s="24"/>
      <c r="F3126" s="20" t="s">
        <v>21854</v>
      </c>
      <c r="G3126" s="24"/>
      <c r="H3126" s="24"/>
      <c r="I3126" s="24" t="str">
        <f ca="1">IFERROR(__xludf.DUMMYFUNCTION("GOOGLETRANSLATE(F3126,""en"",""pt"")"),"tiras divisórias e borda")</f>
        <v>tiras divisórias e borda</v>
      </c>
      <c r="J3126">
        <f>VLOOKUP(A3126,Pr_Base_LNEC!$A$4:$J$6971,6,FALSE)</f>
        <v>0</v>
      </c>
      <c r="K3126">
        <f>VLOOKUP(A3126,Pr_Base_LNEC!$A$4:$J$6971,7,FALSE)</f>
        <v>0</v>
      </c>
    </row>
    <row r="3127" spans="1:11" ht="14.5">
      <c r="A3127" s="20" t="s">
        <v>21855</v>
      </c>
      <c r="B3127" s="20">
        <v>35</v>
      </c>
      <c r="C3127" s="20">
        <v>90</v>
      </c>
      <c r="D3127" s="20">
        <v>22</v>
      </c>
      <c r="E3127" s="20">
        <v>36</v>
      </c>
      <c r="F3127" s="20" t="s">
        <v>21856</v>
      </c>
      <c r="G3127" s="20" t="s">
        <v>21857</v>
      </c>
      <c r="H3127" s="24"/>
      <c r="I3127" s="24" t="str">
        <f ca="1">IFERROR(__xludf.DUMMYFUNCTION("GOOGLETRANSLATE(F3127,""en"",""pt"")"),"orlas de madeira")</f>
        <v>orlas de madeira</v>
      </c>
      <c r="J3127">
        <f>VLOOKUP(A3127,Pr_Base_LNEC!$A$4:$J$6971,6,FALSE)</f>
        <v>0</v>
      </c>
      <c r="K3127">
        <f>VLOOKUP(A3127,Pr_Base_LNEC!$A$4:$J$6971,7,FALSE)</f>
        <v>0</v>
      </c>
    </row>
    <row r="3128" spans="1:11" ht="14.5">
      <c r="A3128" s="20" t="s">
        <v>21858</v>
      </c>
      <c r="B3128" s="20">
        <v>35</v>
      </c>
      <c r="C3128" s="20">
        <v>90</v>
      </c>
      <c r="D3128" s="20">
        <v>22</v>
      </c>
      <c r="E3128" s="20">
        <v>51</v>
      </c>
      <c r="F3128" s="20" t="s">
        <v>21859</v>
      </c>
      <c r="G3128" s="20" t="s">
        <v>21860</v>
      </c>
      <c r="H3128" s="24"/>
      <c r="I3128" s="24" t="str">
        <f ca="1">IFERROR(__xludf.DUMMYFUNCTION("GOOGLETRANSLATE(F3128,""en"",""pt"")"),"edgings ângulo de metal")</f>
        <v>edgings ângulo de metal</v>
      </c>
      <c r="J3128">
        <f>VLOOKUP(A3128,Pr_Base_LNEC!$A$4:$J$6971,6,FALSE)</f>
        <v>0</v>
      </c>
      <c r="K3128">
        <f>VLOOKUP(A3128,Pr_Base_LNEC!$A$4:$J$6971,7,FALSE)</f>
        <v>0</v>
      </c>
    </row>
    <row r="3129" spans="1:11" ht="14.5">
      <c r="A3129" s="20" t="s">
        <v>21861</v>
      </c>
      <c r="B3129" s="20">
        <v>35</v>
      </c>
      <c r="C3129" s="20">
        <v>90</v>
      </c>
      <c r="D3129" s="20">
        <v>22</v>
      </c>
      <c r="E3129" s="20">
        <v>52</v>
      </c>
      <c r="F3129" s="20" t="s">
        <v>21862</v>
      </c>
      <c r="G3129" s="20" t="s">
        <v>21863</v>
      </c>
      <c r="H3129" s="24"/>
      <c r="I3129" s="24" t="str">
        <f ca="1">IFERROR(__xludf.DUMMYFUNCTION("GOOGLETRANSLATE(F3129,""en"",""pt"")"),"orlas de metal")</f>
        <v>orlas de metal</v>
      </c>
      <c r="J3129">
        <f>VLOOKUP(A3129,Pr_Base_LNEC!$A$4:$J$6971,6,FALSE)</f>
        <v>0</v>
      </c>
      <c r="K3129">
        <f>VLOOKUP(A3129,Pr_Base_LNEC!$A$4:$J$6971,7,FALSE)</f>
        <v>0</v>
      </c>
    </row>
    <row r="3130" spans="1:11" ht="14.5">
      <c r="A3130" s="20" t="s">
        <v>21864</v>
      </c>
      <c r="B3130" s="20">
        <v>35</v>
      </c>
      <c r="C3130" s="20">
        <v>90</v>
      </c>
      <c r="D3130" s="20">
        <v>22</v>
      </c>
      <c r="E3130" s="20">
        <v>63</v>
      </c>
      <c r="F3130" s="20" t="s">
        <v>21865</v>
      </c>
      <c r="G3130" s="20" t="s">
        <v>21866</v>
      </c>
      <c r="H3130" s="24"/>
      <c r="I3130" s="24" t="str">
        <f ca="1">IFERROR(__xludf.DUMMYFUNCTION("GOOGLETRANSLATE(F3130,""en"",""pt"")"),"plásticos orlas")</f>
        <v>plásticos orlas</v>
      </c>
      <c r="J3130">
        <f>VLOOKUP(A3130,Pr_Base_LNEC!$A$4:$J$6971,6,FALSE)</f>
        <v>0</v>
      </c>
      <c r="K3130">
        <f>VLOOKUP(A3130,Pr_Base_LNEC!$A$4:$J$6971,7,FALSE)</f>
        <v>0</v>
      </c>
    </row>
    <row r="3131" spans="1:11" ht="14.5">
      <c r="A3131" s="20" t="s">
        <v>21867</v>
      </c>
      <c r="B3131" s="20">
        <v>35</v>
      </c>
      <c r="C3131" s="20">
        <v>90</v>
      </c>
      <c r="D3131" s="20">
        <v>22</v>
      </c>
      <c r="E3131" s="20">
        <v>66</v>
      </c>
      <c r="F3131" s="20" t="s">
        <v>21868</v>
      </c>
      <c r="G3131" s="20" t="s">
        <v>21869</v>
      </c>
      <c r="H3131" s="24"/>
      <c r="I3131" s="24" t="str">
        <f ca="1">IFERROR(__xludf.DUMMYFUNCTION("GOOGLETRANSLATE(F3131,""en"",""pt"")"),"articulações tira ladrilhos pré-formados")</f>
        <v>articulações tira ladrilhos pré-formados</v>
      </c>
      <c r="J3131">
        <f>VLOOKUP(A3131,Pr_Base_LNEC!$A$4:$J$6971,6,FALSE)</f>
        <v>0</v>
      </c>
      <c r="K3131">
        <f>VLOOKUP(A3131,Pr_Base_LNEC!$A$4:$J$6971,7,FALSE)</f>
        <v>0</v>
      </c>
    </row>
    <row r="3132" spans="1:11" ht="14.5">
      <c r="A3132" s="20" t="s">
        <v>21870</v>
      </c>
      <c r="B3132" s="20">
        <v>35</v>
      </c>
      <c r="C3132" s="20">
        <v>90</v>
      </c>
      <c r="D3132" s="20">
        <v>22</v>
      </c>
      <c r="E3132" s="20">
        <v>72</v>
      </c>
      <c r="F3132" s="20" t="s">
        <v>21871</v>
      </c>
      <c r="G3132" s="20" t="s">
        <v>21872</v>
      </c>
      <c r="H3132" s="24"/>
      <c r="I3132" s="24" t="str">
        <f ca="1">IFERROR(__xludf.DUMMYFUNCTION("GOOGLETRANSLATE(F3132,""en"",""pt"")"),"edgings plásticos reciclados")</f>
        <v>edgings plásticos reciclados</v>
      </c>
      <c r="J3132">
        <f>VLOOKUP(A3132,Pr_Base_LNEC!$A$4:$J$6971,6,FALSE)</f>
        <v>0</v>
      </c>
      <c r="K3132">
        <f>VLOOKUP(A3132,Pr_Base_LNEC!$A$4:$J$6971,7,FALSE)</f>
        <v>0</v>
      </c>
    </row>
    <row r="3133" spans="1:11" ht="14.5">
      <c r="A3133" s="20" t="s">
        <v>21873</v>
      </c>
      <c r="B3133" s="20">
        <v>35</v>
      </c>
      <c r="C3133" s="20">
        <v>90</v>
      </c>
      <c r="D3133" s="20">
        <v>22</v>
      </c>
      <c r="E3133" s="20">
        <v>80</v>
      </c>
      <c r="F3133" s="20" t="s">
        <v>21874</v>
      </c>
      <c r="G3133" s="20" t="s">
        <v>21875</v>
      </c>
      <c r="H3133" s="24"/>
      <c r="I3133" s="24" t="str">
        <f ca="1">IFERROR(__xludf.DUMMYFUNCTION("GOOGLETRANSLATE(F3133,""en"",""pt"")"),"edgings resinosas")</f>
        <v>edgings resinosas</v>
      </c>
      <c r="J3133">
        <f>VLOOKUP(A3133,Pr_Base_LNEC!$A$4:$J$6971,6,FALSE)</f>
        <v>0</v>
      </c>
      <c r="K3133">
        <f>VLOOKUP(A3133,Pr_Base_LNEC!$A$4:$J$6971,7,FALSE)</f>
        <v>0</v>
      </c>
    </row>
    <row r="3134" spans="1:11" ht="14.5">
      <c r="A3134" s="20" t="s">
        <v>21876</v>
      </c>
      <c r="B3134" s="20">
        <v>35</v>
      </c>
      <c r="C3134" s="20">
        <v>90</v>
      </c>
      <c r="D3134" s="20">
        <v>22</v>
      </c>
      <c r="E3134" s="20">
        <v>88</v>
      </c>
      <c r="F3134" s="20" t="s">
        <v>21877</v>
      </c>
      <c r="G3134" s="20" t="s">
        <v>21878</v>
      </c>
      <c r="H3134" s="24"/>
      <c r="I3134" s="24" t="str">
        <f ca="1">IFERROR(__xludf.DUMMYFUNCTION("GOOGLETRANSLATE(F3134,""en"",""pt"")"),"edgings Timber grama")</f>
        <v>edgings Timber grama</v>
      </c>
      <c r="J3134">
        <f>VLOOKUP(A3134,Pr_Base_LNEC!$A$4:$J$6971,6,FALSE)</f>
        <v>0</v>
      </c>
      <c r="K3134">
        <f>VLOOKUP(A3134,Pr_Base_LNEC!$A$4:$J$6971,7,FALSE)</f>
        <v>0</v>
      </c>
    </row>
    <row r="3135" spans="1:11" ht="14.5">
      <c r="A3135" s="20" t="s">
        <v>21879</v>
      </c>
      <c r="B3135" s="20">
        <v>35</v>
      </c>
      <c r="C3135" s="20">
        <v>90</v>
      </c>
      <c r="D3135" s="20">
        <v>27</v>
      </c>
      <c r="E3135" s="24"/>
      <c r="F3135" s="20" t="s">
        <v>21880</v>
      </c>
      <c r="G3135" s="24"/>
      <c r="H3135" s="24"/>
      <c r="I3135" s="24" t="str">
        <f ca="1">IFERROR(__xludf.DUMMYFUNCTION("GOOGLETRANSLATE(F3135,""en"",""pt"")"),"Juntas de expansão")</f>
        <v>Juntas de expansão</v>
      </c>
      <c r="J3135">
        <f>VLOOKUP(A3135,Pr_Base_LNEC!$A$4:$J$6971,6,FALSE)</f>
        <v>0</v>
      </c>
      <c r="K3135">
        <f>VLOOKUP(A3135,Pr_Base_LNEC!$A$4:$J$6971,7,FALSE)</f>
        <v>0</v>
      </c>
    </row>
    <row r="3136" spans="1:11" ht="14.5">
      <c r="A3136" s="20" t="s">
        <v>21881</v>
      </c>
      <c r="B3136" s="20">
        <v>35</v>
      </c>
      <c r="C3136" s="20">
        <v>90</v>
      </c>
      <c r="D3136" s="20">
        <v>27</v>
      </c>
      <c r="E3136" s="20">
        <v>11</v>
      </c>
      <c r="F3136" s="20" t="s">
        <v>21882</v>
      </c>
      <c r="G3136" s="24"/>
      <c r="H3136" s="24"/>
      <c r="I3136" s="24" t="str">
        <f ca="1">IFERROR(__xludf.DUMMYFUNCTION("GOOGLETRANSLATE(F3136,""en"",""pt"")"),"Cloropreno e juntas de dilatação de alumínio")</f>
        <v>Cloropreno e juntas de dilatação de alumínio</v>
      </c>
      <c r="J3136">
        <f>VLOOKUP(A3136,Pr_Base_LNEC!$A$4:$J$6971,6,FALSE)</f>
        <v>0</v>
      </c>
      <c r="K3136">
        <f>VLOOKUP(A3136,Pr_Base_LNEC!$A$4:$J$6971,7,FALSE)</f>
        <v>0</v>
      </c>
    </row>
    <row r="3137" spans="1:11" ht="14.5">
      <c r="A3137" s="20" t="s">
        <v>21883</v>
      </c>
      <c r="B3137" s="20">
        <v>35</v>
      </c>
      <c r="C3137" s="20">
        <v>90</v>
      </c>
      <c r="D3137" s="20">
        <v>27</v>
      </c>
      <c r="E3137" s="20">
        <v>12</v>
      </c>
      <c r="F3137" s="20" t="s">
        <v>21884</v>
      </c>
      <c r="G3137" s="24"/>
      <c r="H3137" s="24"/>
      <c r="I3137" s="24" t="str">
        <f ca="1">IFERROR(__xludf.DUMMYFUNCTION("GOOGLETRANSLATE(F3137,""en"",""pt"")"),"juntas de cloropreno e de expansão de cobre")</f>
        <v>juntas de cloropreno e de expansão de cobre</v>
      </c>
      <c r="J3137">
        <f>VLOOKUP(A3137,Pr_Base_LNEC!$A$4:$J$6971,6,FALSE)</f>
        <v>0</v>
      </c>
      <c r="K3137">
        <f>VLOOKUP(A3137,Pr_Base_LNEC!$A$4:$J$6971,7,FALSE)</f>
        <v>0</v>
      </c>
    </row>
    <row r="3138" spans="1:11" ht="14.5">
      <c r="A3138" s="20" t="s">
        <v>21885</v>
      </c>
      <c r="B3138" s="20">
        <v>35</v>
      </c>
      <c r="C3138" s="20">
        <v>90</v>
      </c>
      <c r="D3138" s="20">
        <v>27</v>
      </c>
      <c r="E3138" s="20">
        <v>13</v>
      </c>
      <c r="F3138" s="20" t="s">
        <v>21886</v>
      </c>
      <c r="G3138" s="24"/>
      <c r="H3138" s="24"/>
      <c r="I3138" s="24" t="str">
        <f ca="1">IFERROR(__xludf.DUMMYFUNCTION("GOOGLETRANSLATE(F3138,""en"",""pt"")"),"Cloropreno e juntas de dilatação de chumbo")</f>
        <v>Cloropreno e juntas de dilatação de chumbo</v>
      </c>
      <c r="J3138">
        <f>VLOOKUP(A3138,Pr_Base_LNEC!$A$4:$J$6971,6,FALSE)</f>
        <v>0</v>
      </c>
      <c r="K3138">
        <f>VLOOKUP(A3138,Pr_Base_LNEC!$A$4:$J$6971,7,FALSE)</f>
        <v>0</v>
      </c>
    </row>
    <row r="3139" spans="1:11" ht="14.5">
      <c r="A3139" s="20" t="s">
        <v>21887</v>
      </c>
      <c r="B3139" s="20">
        <v>35</v>
      </c>
      <c r="C3139" s="20">
        <v>90</v>
      </c>
      <c r="D3139" s="20">
        <v>27</v>
      </c>
      <c r="E3139" s="20">
        <v>14</v>
      </c>
      <c r="F3139" s="20" t="s">
        <v>21888</v>
      </c>
      <c r="G3139" s="24"/>
      <c r="H3139" s="24"/>
      <c r="I3139" s="24" t="str">
        <f ca="1">IFERROR(__xludf.DUMMYFUNCTION("GOOGLETRANSLATE(F3139,""en"",""pt"")"),"Chloroprene e juntas de dilatação em aço inoxidável")</f>
        <v>Chloroprene e juntas de dilatação em aço inoxidável</v>
      </c>
      <c r="J3139">
        <f>VLOOKUP(A3139,Pr_Base_LNEC!$A$4:$J$6971,6,FALSE)</f>
        <v>0</v>
      </c>
      <c r="K3139">
        <f>VLOOKUP(A3139,Pr_Base_LNEC!$A$4:$J$6971,7,FALSE)</f>
        <v>0</v>
      </c>
    </row>
    <row r="3140" spans="1:11" ht="14.5">
      <c r="A3140" s="20" t="s">
        <v>21889</v>
      </c>
      <c r="B3140" s="20">
        <v>35</v>
      </c>
      <c r="C3140" s="20">
        <v>90</v>
      </c>
      <c r="D3140" s="20">
        <v>27</v>
      </c>
      <c r="E3140" s="20">
        <v>15</v>
      </c>
      <c r="F3140" s="20" t="s">
        <v>21890</v>
      </c>
      <c r="G3140" s="24"/>
      <c r="H3140" s="24"/>
      <c r="I3140" s="24" t="str">
        <f ca="1">IFERROR(__xludf.DUMMYFUNCTION("GOOGLETRANSLATE(F3140,""en"",""pt"")"),"juntas de dilatação de cloropreno e de zinco")</f>
        <v>juntas de dilatação de cloropreno e de zinco</v>
      </c>
      <c r="J3140">
        <f>VLOOKUP(A3140,Pr_Base_LNEC!$A$4:$J$6971,6,FALSE)</f>
        <v>0</v>
      </c>
      <c r="K3140">
        <f>VLOOKUP(A3140,Pr_Base_LNEC!$A$4:$J$6971,7,FALSE)</f>
        <v>0</v>
      </c>
    </row>
    <row r="3141" spans="1:11" ht="14.5">
      <c r="A3141" s="20" t="s">
        <v>21891</v>
      </c>
      <c r="B3141" s="20">
        <v>35</v>
      </c>
      <c r="C3141" s="20">
        <v>90</v>
      </c>
      <c r="D3141" s="20">
        <v>28</v>
      </c>
      <c r="E3141" s="24"/>
      <c r="F3141" s="20" t="s">
        <v>21892</v>
      </c>
      <c r="G3141" s="24"/>
      <c r="H3141" s="24"/>
      <c r="I3141" s="24" t="str">
        <f ca="1">IFERROR(__xludf.DUMMYFUNCTION("GOOGLETRANSLATE(F3141,""en"",""pt"")"),"acabamentos externos e soleiras")</f>
        <v>acabamentos externos e soleiras</v>
      </c>
      <c r="J3141">
        <f>VLOOKUP(A3141,Pr_Base_LNEC!$A$4:$J$6971,6,FALSE)</f>
        <v>0</v>
      </c>
      <c r="K3141">
        <f>VLOOKUP(A3141,Pr_Base_LNEC!$A$4:$J$6971,7,FALSE)</f>
        <v>0</v>
      </c>
    </row>
    <row r="3142" spans="1:11" ht="14.5">
      <c r="A3142" s="20" t="s">
        <v>21893</v>
      </c>
      <c r="B3142" s="20">
        <v>35</v>
      </c>
      <c r="C3142" s="20">
        <v>90</v>
      </c>
      <c r="D3142" s="20">
        <v>28</v>
      </c>
      <c r="E3142" s="20">
        <v>2</v>
      </c>
      <c r="F3142" s="20" t="s">
        <v>21894</v>
      </c>
      <c r="G3142" s="24"/>
      <c r="H3142" s="24"/>
      <c r="I3142" s="24" t="str">
        <f ca="1">IFERROR(__xludf.DUMMYFUNCTION("GOOGLETRANSLATE(F3142,""en"",""pt"")"),"fáscias alumínio")</f>
        <v>fáscias alumínio</v>
      </c>
      <c r="J3142" t="e">
        <f>VLOOKUP(A3142,Pr_Base_LNEC!$A$4:$J$6971,6,FALSE)</f>
        <v>#N/A</v>
      </c>
      <c r="K3142" t="e">
        <f>VLOOKUP(A3142,Pr_Base_LNEC!$A$4:$J$6971,7,FALSE)</f>
        <v>#N/A</v>
      </c>
    </row>
    <row r="3143" spans="1:11" ht="14.5">
      <c r="A3143" s="20" t="s">
        <v>21895</v>
      </c>
      <c r="B3143" s="20">
        <v>35</v>
      </c>
      <c r="C3143" s="20">
        <v>90</v>
      </c>
      <c r="D3143" s="20">
        <v>28</v>
      </c>
      <c r="E3143" s="20">
        <v>4</v>
      </c>
      <c r="F3143" s="20" t="s">
        <v>21896</v>
      </c>
      <c r="G3143" s="20" t="s">
        <v>21897</v>
      </c>
      <c r="H3143" s="24"/>
      <c r="I3143" s="24" t="str">
        <f ca="1">IFERROR(__xludf.DUMMYFUNCTION("GOOGLETRANSLATE(F3143,""en"",""pt"")"),"dispositivos de segurança anti-climb")</f>
        <v>dispositivos de segurança anti-climb</v>
      </c>
      <c r="J3143">
        <f>VLOOKUP(A3143,Pr_Base_LNEC!$A$4:$J$6971,6,FALSE)</f>
        <v>0</v>
      </c>
      <c r="K3143">
        <f>VLOOKUP(A3143,Pr_Base_LNEC!$A$4:$J$6971,7,FALSE)</f>
        <v>0</v>
      </c>
    </row>
    <row r="3144" spans="1:11" ht="14.5">
      <c r="A3144" s="20" t="s">
        <v>21898</v>
      </c>
      <c r="B3144" s="20">
        <v>35</v>
      </c>
      <c r="C3144" s="20">
        <v>90</v>
      </c>
      <c r="D3144" s="20">
        <v>28</v>
      </c>
      <c r="E3144" s="20">
        <v>11</v>
      </c>
      <c r="F3144" s="20" t="s">
        <v>21899</v>
      </c>
      <c r="G3144" s="24"/>
      <c r="H3144" s="24"/>
      <c r="I3144" s="24" t="str">
        <f ca="1">IFERROR(__xludf.DUMMYFUNCTION("GOOGLETRANSLATE(F3144,""en"",""pt"")"),"fáscia de aço de carbono")</f>
        <v>fáscia de aço de carbono</v>
      </c>
      <c r="J3144" t="e">
        <f>VLOOKUP(A3144,Pr_Base_LNEC!$A$4:$J$6971,6,FALSE)</f>
        <v>#N/A</v>
      </c>
      <c r="K3144" t="e">
        <f>VLOOKUP(A3144,Pr_Base_LNEC!$A$4:$J$6971,7,FALSE)</f>
        <v>#N/A</v>
      </c>
    </row>
    <row r="3145" spans="1:11" ht="14.5">
      <c r="A3145" s="20" t="s">
        <v>21900</v>
      </c>
      <c r="B3145" s="20">
        <v>35</v>
      </c>
      <c r="C3145" s="20">
        <v>90</v>
      </c>
      <c r="D3145" s="20">
        <v>28</v>
      </c>
      <c r="E3145" s="20">
        <v>15</v>
      </c>
      <c r="F3145" s="20" t="s">
        <v>21901</v>
      </c>
      <c r="G3145" s="20" t="s">
        <v>21902</v>
      </c>
      <c r="H3145" s="24"/>
      <c r="I3145" s="24" t="str">
        <f ca="1">IFERROR(__xludf.DUMMYFUNCTION("GOOGLETRANSLATE(F3145,""en"",""pt"")"),"tampas")</f>
        <v>tampas</v>
      </c>
      <c r="J3145">
        <f>VLOOKUP(A3145,Pr_Base_LNEC!$A$4:$J$6971,6,FALSE)</f>
        <v>0</v>
      </c>
      <c r="K3145">
        <f>VLOOKUP(A3145,Pr_Base_LNEC!$A$4:$J$6971,7,FALSE)</f>
        <v>0</v>
      </c>
    </row>
    <row r="3146" spans="1:11" ht="14.5">
      <c r="A3146" s="20" t="s">
        <v>21903</v>
      </c>
      <c r="B3146" s="20">
        <v>35</v>
      </c>
      <c r="C3146" s="20">
        <v>90</v>
      </c>
      <c r="D3146" s="20">
        <v>28</v>
      </c>
      <c r="E3146" s="20">
        <v>23</v>
      </c>
      <c r="F3146" s="20" t="s">
        <v>21904</v>
      </c>
      <c r="G3146" s="24"/>
      <c r="H3146" s="24"/>
      <c r="I3146" s="24" t="str">
        <f ca="1">IFERROR(__xludf.DUMMYFUNCTION("GOOGLETRANSLATE(F3146,""en"",""pt"")"),"pele dupla de plástico reforçado com vidro (GRP) Componentes")</f>
        <v>pele dupla de plástico reforçado com vidro (GRP) Componentes</v>
      </c>
      <c r="J3146">
        <f>VLOOKUP(A3146,Pr_Base_LNEC!$A$4:$J$6971,6,FALSE)</f>
        <v>0</v>
      </c>
      <c r="K3146">
        <f>VLOOKUP(A3146,Pr_Base_LNEC!$A$4:$J$6971,7,FALSE)</f>
        <v>0</v>
      </c>
    </row>
    <row r="3147" spans="1:11" ht="14.5">
      <c r="A3147" s="20" t="s">
        <v>21905</v>
      </c>
      <c r="B3147" s="20">
        <v>35</v>
      </c>
      <c r="C3147" s="20">
        <v>90</v>
      </c>
      <c r="D3147" s="20">
        <v>28</v>
      </c>
      <c r="E3147" s="20">
        <v>32</v>
      </c>
      <c r="F3147" s="20" t="s">
        <v>21906</v>
      </c>
      <c r="G3147" s="20" t="s">
        <v>21907</v>
      </c>
      <c r="H3147" s="24"/>
      <c r="I3147" s="24" t="str">
        <f ca="1">IFERROR(__xludf.DUMMYFUNCTION("GOOGLETRANSLATE(F3147,""en"",""pt"")"),"plásticos reforçados de vidro (GRP) componentes de fachada")</f>
        <v>plásticos reforçados de vidro (GRP) componentes de fachada</v>
      </c>
      <c r="J3147">
        <f>VLOOKUP(A3147,Pr_Base_LNEC!$A$4:$J$6971,6,FALSE)</f>
        <v>0</v>
      </c>
      <c r="K3147">
        <f>VLOOKUP(A3147,Pr_Base_LNEC!$A$4:$J$6971,7,FALSE)</f>
        <v>0</v>
      </c>
    </row>
    <row r="3148" spans="1:11" ht="14.5">
      <c r="A3148" s="20" t="s">
        <v>21908</v>
      </c>
      <c r="B3148" s="20">
        <v>35</v>
      </c>
      <c r="C3148" s="20">
        <v>90</v>
      </c>
      <c r="D3148" s="20">
        <v>28</v>
      </c>
      <c r="E3148" s="20">
        <v>33</v>
      </c>
      <c r="F3148" s="20" t="s">
        <v>21909</v>
      </c>
      <c r="G3148" s="20" t="s">
        <v>21910</v>
      </c>
      <c r="H3148" s="24"/>
      <c r="I3148" s="24" t="str">
        <f ca="1">IFERROR(__xludf.DUMMYFUNCTION("GOOGLETRANSLATE(F3148,""en"",""pt"")"),"plásticos reforçados de vidro (GRP) elementos de cobertura")</f>
        <v>plásticos reforçados de vidro (GRP) elementos de cobertura</v>
      </c>
      <c r="J3148">
        <f>VLOOKUP(A3148,Pr_Base_LNEC!$A$4:$J$6971,6,FALSE)</f>
        <v>0</v>
      </c>
      <c r="K3148">
        <f>VLOOKUP(A3148,Pr_Base_LNEC!$A$4:$J$6971,7,FALSE)</f>
        <v>0</v>
      </c>
    </row>
    <row r="3149" spans="1:11" ht="14.5">
      <c r="A3149" s="20" t="s">
        <v>21911</v>
      </c>
      <c r="B3149" s="20">
        <v>35</v>
      </c>
      <c r="C3149" s="20">
        <v>90</v>
      </c>
      <c r="D3149" s="20">
        <v>28</v>
      </c>
      <c r="E3149" s="20">
        <v>36</v>
      </c>
      <c r="F3149" s="20" t="s">
        <v>21912</v>
      </c>
      <c r="G3149" s="20" t="s">
        <v>21913</v>
      </c>
      <c r="H3149" s="24"/>
      <c r="I3149" s="24" t="str">
        <f ca="1">IFERROR(__xludf.DUMMYFUNCTION("GOOGLETRANSLATE(F3149,""en"",""pt"")"),"coifas de madeira")</f>
        <v>coifas de madeira</v>
      </c>
      <c r="J3149">
        <f>VLOOKUP(A3149,Pr_Base_LNEC!$A$4:$J$6971,6,FALSE)</f>
        <v>0</v>
      </c>
      <c r="K3149">
        <f>VLOOKUP(A3149,Pr_Base_LNEC!$A$4:$J$6971,7,FALSE)</f>
        <v>0</v>
      </c>
    </row>
    <row r="3150" spans="1:11" ht="14.5">
      <c r="A3150" s="20" t="s">
        <v>21914</v>
      </c>
      <c r="B3150" s="20">
        <v>35</v>
      </c>
      <c r="C3150" s="20">
        <v>90</v>
      </c>
      <c r="D3150" s="20">
        <v>28</v>
      </c>
      <c r="E3150" s="20">
        <v>50</v>
      </c>
      <c r="F3150" s="20" t="s">
        <v>21915</v>
      </c>
      <c r="G3150" s="20" t="s">
        <v>21916</v>
      </c>
      <c r="H3150" s="24"/>
      <c r="I3150" s="24" t="str">
        <f ca="1">IFERROR(__xludf.DUMMYFUNCTION("GOOGLETRANSLATE(F3150,""en"",""pt"")"),"perfis de costura membrana de pé")</f>
        <v>perfis de costura membrana de pé</v>
      </c>
      <c r="J3150">
        <f>VLOOKUP(A3150,Pr_Base_LNEC!$A$4:$J$6971,6,FALSE)</f>
        <v>0</v>
      </c>
      <c r="K3150">
        <f>VLOOKUP(A3150,Pr_Base_LNEC!$A$4:$J$6971,7,FALSE)</f>
        <v>0</v>
      </c>
    </row>
    <row r="3151" spans="1:11" ht="14.5">
      <c r="A3151" s="20" t="s">
        <v>21917</v>
      </c>
      <c r="B3151" s="20">
        <v>35</v>
      </c>
      <c r="C3151" s="20">
        <v>90</v>
      </c>
      <c r="D3151" s="20">
        <v>28</v>
      </c>
      <c r="E3151" s="20">
        <v>51</v>
      </c>
      <c r="F3151" s="20" t="s">
        <v>21918</v>
      </c>
      <c r="G3151" s="20" t="s">
        <v>21919</v>
      </c>
      <c r="H3151" s="24"/>
      <c r="I3151" s="24" t="str">
        <f ca="1">IFERROR(__xludf.DUMMYFUNCTION("GOOGLETRANSLATE(F3151,""en"",""pt"")"),"guarnições de gotejamento de metal")</f>
        <v>guarnições de gotejamento de metal</v>
      </c>
      <c r="J3151">
        <f>VLOOKUP(A3151,Pr_Base_LNEC!$A$4:$J$6971,6,FALSE)</f>
        <v>0</v>
      </c>
      <c r="K3151">
        <f>VLOOKUP(A3151,Pr_Base_LNEC!$A$4:$J$6971,7,FALSE)</f>
        <v>0</v>
      </c>
    </row>
    <row r="3152" spans="1:11" ht="14.5">
      <c r="A3152" s="20" t="s">
        <v>21920</v>
      </c>
      <c r="B3152" s="20">
        <v>35</v>
      </c>
      <c r="C3152" s="20">
        <v>90</v>
      </c>
      <c r="D3152" s="20">
        <v>28</v>
      </c>
      <c r="E3152" s="20">
        <v>52</v>
      </c>
      <c r="F3152" s="20" t="s">
        <v>21921</v>
      </c>
      <c r="G3152" s="20" t="s">
        <v>21922</v>
      </c>
      <c r="H3152" s="24"/>
      <c r="I3152" s="24" t="str">
        <f ca="1">IFERROR(__xludf.DUMMYFUNCTION("GOOGLETRANSLATE(F3152,""en"",""pt"")"),"guarnições de acabamento de metal")</f>
        <v>guarnições de acabamento de metal</v>
      </c>
      <c r="J3152">
        <f>VLOOKUP(A3152,Pr_Base_LNEC!$A$4:$J$6971,6,FALSE)</f>
        <v>0</v>
      </c>
      <c r="K3152">
        <f>VLOOKUP(A3152,Pr_Base_LNEC!$A$4:$J$6971,7,FALSE)</f>
        <v>0</v>
      </c>
    </row>
    <row r="3153" spans="1:11" ht="14.5">
      <c r="A3153" s="20" t="s">
        <v>21923</v>
      </c>
      <c r="B3153" s="20">
        <v>35</v>
      </c>
      <c r="C3153" s="20">
        <v>90</v>
      </c>
      <c r="D3153" s="20">
        <v>28</v>
      </c>
      <c r="E3153" s="20">
        <v>62</v>
      </c>
      <c r="F3153" s="20" t="s">
        <v>21924</v>
      </c>
      <c r="G3153" s="20" t="s">
        <v>21925</v>
      </c>
      <c r="H3153" s="24"/>
      <c r="I3153" s="24" t="str">
        <f ca="1">IFERROR(__xludf.DUMMYFUNCTION("GOOGLETRANSLATE(F3153,""en"",""pt"")"),"Plásticos e placas de guarnição de material compósito")</f>
        <v>Plásticos e placas de guarnição de material compósito</v>
      </c>
      <c r="J3153">
        <f>VLOOKUP(A3153,Pr_Base_LNEC!$A$4:$J$6971,6,FALSE)</f>
        <v>0</v>
      </c>
      <c r="K3153">
        <f>VLOOKUP(A3153,Pr_Base_LNEC!$A$4:$J$6971,7,FALSE)</f>
        <v>0</v>
      </c>
    </row>
    <row r="3154" spans="1:11" ht="14.5">
      <c r="A3154" s="20" t="s">
        <v>21926</v>
      </c>
      <c r="B3154" s="20">
        <v>35</v>
      </c>
      <c r="C3154" s="20">
        <v>90</v>
      </c>
      <c r="D3154" s="20">
        <v>28</v>
      </c>
      <c r="E3154" s="20">
        <v>64</v>
      </c>
      <c r="F3154" s="20" t="s">
        <v>21927</v>
      </c>
      <c r="G3154" s="24"/>
      <c r="H3154" s="24"/>
      <c r="I3154" s="24" t="str">
        <f ca="1">IFERROR(__xludf.DUMMYFUNCTION("GOOGLETRANSLATE(F3154,""en"",""pt"")"),"cloreto de polivinilo (PVC) perfis posição de costura")</f>
        <v>cloreto de polivinilo (PVC) perfis posição de costura</v>
      </c>
      <c r="J3154">
        <f>VLOOKUP(A3154,Pr_Base_LNEC!$A$4:$J$6971,6,FALSE)</f>
        <v>0</v>
      </c>
      <c r="K3154">
        <f>VLOOKUP(A3154,Pr_Base_LNEC!$A$4:$J$6971,7,FALSE)</f>
        <v>0</v>
      </c>
    </row>
    <row r="3155" spans="1:11" ht="14.5">
      <c r="A3155" s="20" t="s">
        <v>21928</v>
      </c>
      <c r="B3155" s="20">
        <v>35</v>
      </c>
      <c r="C3155" s="20">
        <v>90</v>
      </c>
      <c r="D3155" s="20">
        <v>28</v>
      </c>
      <c r="E3155" s="20">
        <v>72</v>
      </c>
      <c r="F3155" s="20" t="s">
        <v>21929</v>
      </c>
      <c r="G3155" s="20" t="s">
        <v>21930</v>
      </c>
      <c r="H3155" s="24"/>
      <c r="I3155" s="24" t="str">
        <f ca="1">IFERROR(__xludf.DUMMYFUNCTION("GOOGLETRANSLATE(F3155,""en"",""pt"")"),"Telhado membrana perímetro guarnições")</f>
        <v>Telhado membrana perímetro guarnições</v>
      </c>
      <c r="J3155">
        <f>VLOOKUP(A3155,Pr_Base_LNEC!$A$4:$J$6971,6,FALSE)</f>
        <v>0</v>
      </c>
      <c r="K3155">
        <f>VLOOKUP(A3155,Pr_Base_LNEC!$A$4:$J$6971,7,FALSE)</f>
        <v>0</v>
      </c>
    </row>
    <row r="3156" spans="1:11" ht="14.5">
      <c r="A3156" s="20" t="s">
        <v>21931</v>
      </c>
      <c r="B3156" s="20">
        <v>35</v>
      </c>
      <c r="C3156" s="20">
        <v>90</v>
      </c>
      <c r="D3156" s="20">
        <v>28</v>
      </c>
      <c r="E3156" s="20">
        <v>76</v>
      </c>
      <c r="F3156" s="20" t="s">
        <v>21932</v>
      </c>
      <c r="G3156" s="24"/>
      <c r="H3156" s="24"/>
      <c r="I3156" s="24" t="str">
        <f ca="1">IFERROR(__xludf.DUMMYFUNCTION("GOOGLETRANSLATE(F3156,""en"",""pt"")"),"vidro com nervuras pele única")</f>
        <v>vidro com nervuras pele única</v>
      </c>
      <c r="J3156">
        <f>VLOOKUP(A3156,Pr_Base_LNEC!$A$4:$J$6971,6,FALSE)</f>
        <v>0</v>
      </c>
      <c r="K3156">
        <f>VLOOKUP(A3156,Pr_Base_LNEC!$A$4:$J$6971,7,FALSE)</f>
        <v>0</v>
      </c>
    </row>
    <row r="3157" spans="1:11" ht="14.5">
      <c r="A3157" s="20" t="s">
        <v>21933</v>
      </c>
      <c r="B3157" s="20">
        <v>35</v>
      </c>
      <c r="C3157" s="20">
        <v>90</v>
      </c>
      <c r="D3157" s="20">
        <v>28</v>
      </c>
      <c r="E3157" s="20">
        <v>79</v>
      </c>
      <c r="F3157" s="20" t="s">
        <v>21934</v>
      </c>
      <c r="G3157" s="24"/>
      <c r="H3157" s="24"/>
      <c r="I3157" s="24" t="str">
        <f ca="1">IFERROR(__xludf.DUMMYFUNCTION("GOOGLETRANSLATE(F3157,""en"",""pt"")"),"coifas resinosas")</f>
        <v>coifas resinosas</v>
      </c>
      <c r="J3157">
        <f>VLOOKUP(A3157,Pr_Base_LNEC!$A$4:$J$6971,6,FALSE)</f>
        <v>0</v>
      </c>
      <c r="K3157">
        <f>VLOOKUP(A3157,Pr_Base_LNEC!$A$4:$J$6971,7,FALSE)</f>
        <v>0</v>
      </c>
    </row>
    <row r="3158" spans="1:11" ht="14.5">
      <c r="A3158" s="20" t="s">
        <v>21935</v>
      </c>
      <c r="B3158" s="20">
        <v>35</v>
      </c>
      <c r="C3158" s="20">
        <v>90</v>
      </c>
      <c r="D3158" s="20">
        <v>28</v>
      </c>
      <c r="E3158" s="20">
        <v>82</v>
      </c>
      <c r="F3158" s="20" t="s">
        <v>21936</v>
      </c>
      <c r="G3158" s="24"/>
      <c r="H3158" s="24"/>
      <c r="I3158" s="24" t="str">
        <f ca="1">IFERROR(__xludf.DUMMYFUNCTION("GOOGLETRANSLATE(F3158,""en"",""pt"")"),"cappings aço inox e coifas")</f>
        <v>cappings aço inox e coifas</v>
      </c>
      <c r="J3158">
        <f>VLOOKUP(A3158,Pr_Base_LNEC!$A$4:$J$6971,6,FALSE)</f>
        <v>0</v>
      </c>
      <c r="K3158">
        <f>VLOOKUP(A3158,Pr_Base_LNEC!$A$4:$J$6971,7,FALSE)</f>
        <v>0</v>
      </c>
    </row>
    <row r="3159" spans="1:11" ht="14.5">
      <c r="A3159" s="20" t="s">
        <v>21937</v>
      </c>
      <c r="B3159" s="20">
        <v>35</v>
      </c>
      <c r="C3159" s="20">
        <v>90</v>
      </c>
      <c r="D3159" s="20">
        <v>28</v>
      </c>
      <c r="E3159" s="20">
        <v>83</v>
      </c>
      <c r="F3159" s="20" t="s">
        <v>21938</v>
      </c>
      <c r="G3159" s="24"/>
      <c r="H3159" s="24"/>
      <c r="I3159" s="24" t="str">
        <f ca="1">IFERROR(__xludf.DUMMYFUNCTION("GOOGLETRANSLATE(F3159,""en"",""pt"")"),"fáscia de aço inoxidável")</f>
        <v>fáscia de aço inoxidável</v>
      </c>
      <c r="J3159" t="e">
        <f>VLOOKUP(A3159,Pr_Base_LNEC!$A$4:$J$6971,6,FALSE)</f>
        <v>#N/A</v>
      </c>
      <c r="K3159" t="e">
        <f>VLOOKUP(A3159,Pr_Base_LNEC!$A$4:$J$6971,7,FALSE)</f>
        <v>#N/A</v>
      </c>
    </row>
    <row r="3160" spans="1:11" ht="14.5">
      <c r="A3160" s="20" t="s">
        <v>21939</v>
      </c>
      <c r="B3160" s="20">
        <v>35</v>
      </c>
      <c r="C3160" s="20">
        <v>90</v>
      </c>
      <c r="D3160" s="20">
        <v>28</v>
      </c>
      <c r="E3160" s="20">
        <v>84</v>
      </c>
      <c r="F3160" s="20" t="s">
        <v>21940</v>
      </c>
      <c r="G3160" s="20" t="s">
        <v>21941</v>
      </c>
      <c r="H3160" s="24"/>
      <c r="I3160" s="24" t="str">
        <f ca="1">IFERROR(__xludf.DUMMYFUNCTION("GOOGLETRANSLATE(F3160,""en"",""pt"")"),"undersills de aço inoxidável")</f>
        <v>undersills de aço inoxidável</v>
      </c>
      <c r="J3160">
        <f>VLOOKUP(A3160,Pr_Base_LNEC!$A$4:$J$6971,6,FALSE)</f>
        <v>0</v>
      </c>
      <c r="K3160">
        <f>VLOOKUP(A3160,Pr_Base_LNEC!$A$4:$J$6971,7,FALSE)</f>
        <v>0</v>
      </c>
    </row>
    <row r="3161" spans="1:11" ht="14.5">
      <c r="A3161" s="20" t="s">
        <v>21942</v>
      </c>
      <c r="B3161" s="20">
        <v>35</v>
      </c>
      <c r="C3161" s="20">
        <v>90</v>
      </c>
      <c r="D3161" s="20">
        <v>28</v>
      </c>
      <c r="E3161" s="20">
        <v>92</v>
      </c>
      <c r="F3161" s="20" t="s">
        <v>21943</v>
      </c>
      <c r="G3161" s="20" t="s">
        <v>21944</v>
      </c>
      <c r="H3161" s="24"/>
      <c r="I3161" s="24" t="str">
        <f ca="1">IFERROR(__xludf.DUMMYFUNCTION("GOOGLETRANSLATE(F3161,""en"",""pt"")"),"de cloreto de polivinilo não plastificado (PVC-U) guarnições de acabamento")</f>
        <v>de cloreto de polivinilo não plastificado (PVC-U) guarnições de acabamento</v>
      </c>
      <c r="J3161">
        <f>VLOOKUP(A3161,Pr_Base_LNEC!$A$4:$J$6971,6,FALSE)</f>
        <v>0</v>
      </c>
      <c r="K3161">
        <f>VLOOKUP(A3161,Pr_Base_LNEC!$A$4:$J$6971,7,FALSE)</f>
        <v>0</v>
      </c>
    </row>
    <row r="3162" spans="1:11" ht="14.5">
      <c r="A3162" s="20" t="s">
        <v>21945</v>
      </c>
      <c r="B3162" s="20">
        <v>35</v>
      </c>
      <c r="C3162" s="20">
        <v>90</v>
      </c>
      <c r="D3162" s="20">
        <v>28</v>
      </c>
      <c r="E3162" s="20">
        <v>93</v>
      </c>
      <c r="F3162" s="20" t="s">
        <v>21946</v>
      </c>
      <c r="G3162" s="24"/>
      <c r="H3162" s="24"/>
      <c r="I3162" s="24" t="str">
        <f ca="1">IFERROR(__xludf.DUMMYFUNCTION("GOOGLETRANSLATE(F3162,""en"",""pt"")"),"de cloreto de polivinilo não plastificado (PVC-U) soleiras")</f>
        <v>de cloreto de polivinilo não plastificado (PVC-U) soleiras</v>
      </c>
      <c r="J3162">
        <f>VLOOKUP(A3162,Pr_Base_LNEC!$A$4:$J$6971,6,FALSE)</f>
        <v>0</v>
      </c>
      <c r="K3162">
        <f>VLOOKUP(A3162,Pr_Base_LNEC!$A$4:$J$6971,7,FALSE)</f>
        <v>0</v>
      </c>
    </row>
    <row r="3163" spans="1:11" ht="14.5">
      <c r="A3163" s="20" t="s">
        <v>21947</v>
      </c>
      <c r="B3163" s="20">
        <v>35</v>
      </c>
      <c r="C3163" s="20">
        <v>90</v>
      </c>
      <c r="D3163" s="20">
        <v>28</v>
      </c>
      <c r="E3163" s="20">
        <v>96</v>
      </c>
      <c r="F3163" s="20" t="s">
        <v>21948</v>
      </c>
      <c r="G3163" s="20" t="s">
        <v>21949</v>
      </c>
      <c r="H3163" s="24"/>
      <c r="I3163" s="24" t="str">
        <f ca="1">IFERROR(__xludf.DUMMYFUNCTION("GOOGLETRANSLATE(F3163,""en"",""pt"")"),"guarnições de acabamento de madeira")</f>
        <v>guarnições de acabamento de madeira</v>
      </c>
      <c r="J3163">
        <f>VLOOKUP(A3163,Pr_Base_LNEC!$A$4:$J$6971,6,FALSE)</f>
        <v>0</v>
      </c>
      <c r="K3163">
        <f>VLOOKUP(A3163,Pr_Base_LNEC!$A$4:$J$6971,7,FALSE)</f>
        <v>0</v>
      </c>
    </row>
    <row r="3164" spans="1:11" ht="14.5">
      <c r="A3164" s="20" t="s">
        <v>21950</v>
      </c>
      <c r="B3164" s="20">
        <v>35</v>
      </c>
      <c r="C3164" s="20">
        <v>90</v>
      </c>
      <c r="D3164" s="20">
        <v>28</v>
      </c>
      <c r="E3164" s="20">
        <v>97</v>
      </c>
      <c r="F3164" s="20" t="s">
        <v>21951</v>
      </c>
      <c r="G3164" s="20" t="s">
        <v>21952</v>
      </c>
      <c r="H3164" s="24"/>
      <c r="I3164" s="24" t="str">
        <f ca="1">IFERROR(__xludf.DUMMYFUNCTION("GOOGLETRANSLATE(F3164,""en"",""pt"")"),"placas de guarnição de madeira")</f>
        <v>placas de guarnição de madeira</v>
      </c>
      <c r="J3164">
        <f>VLOOKUP(A3164,Pr_Base_LNEC!$A$4:$J$6971,6,FALSE)</f>
        <v>0</v>
      </c>
      <c r="K3164">
        <f>VLOOKUP(A3164,Pr_Base_LNEC!$A$4:$J$6971,7,FALSE)</f>
        <v>0</v>
      </c>
    </row>
    <row r="3165" spans="1:11" ht="14.5">
      <c r="A3165" s="20" t="s">
        <v>21953</v>
      </c>
      <c r="B3165" s="20">
        <v>35</v>
      </c>
      <c r="C3165" s="20">
        <v>90</v>
      </c>
      <c r="D3165" s="20">
        <v>30</v>
      </c>
      <c r="E3165" s="24"/>
      <c r="F3165" s="20" t="s">
        <v>21954</v>
      </c>
      <c r="G3165" s="24"/>
      <c r="H3165" s="24"/>
      <c r="I3165" s="24" t="str">
        <f ca="1">IFERROR(__xludf.DUMMYFUNCTION("GOOGLETRANSLATE(F3165,""en"",""pt"")"),"rufos")</f>
        <v>rufos</v>
      </c>
      <c r="J3165">
        <f>VLOOKUP(A3165,Pr_Base_LNEC!$A$4:$J$6971,6,FALSE)</f>
        <v>0</v>
      </c>
      <c r="K3165">
        <f>VLOOKUP(A3165,Pr_Base_LNEC!$A$4:$J$6971,7,FALSE)</f>
        <v>0</v>
      </c>
    </row>
    <row r="3166" spans="1:11" ht="14.5">
      <c r="A3166" s="20" t="s">
        <v>21955</v>
      </c>
      <c r="B3166" s="20">
        <v>35</v>
      </c>
      <c r="C3166" s="20">
        <v>90</v>
      </c>
      <c r="D3166" s="20">
        <v>30</v>
      </c>
      <c r="E3166" s="20">
        <v>1</v>
      </c>
      <c r="F3166" s="20" t="s">
        <v>21956</v>
      </c>
      <c r="G3166" s="20" t="s">
        <v>21957</v>
      </c>
      <c r="H3166" s="24"/>
      <c r="I3166" s="24" t="str">
        <f ca="1">IFERROR(__xludf.DUMMYFUNCTION("GOOGLETRANSLATE(F3166,""en"",""pt"")"),"rufos de alumínio")</f>
        <v>rufos de alumínio</v>
      </c>
      <c r="J3166">
        <f>VLOOKUP(A3166,Pr_Base_LNEC!$A$4:$J$6971,6,FALSE)</f>
        <v>0</v>
      </c>
      <c r="K3166">
        <f>VLOOKUP(A3166,Pr_Base_LNEC!$A$4:$J$6971,7,FALSE)</f>
        <v>0</v>
      </c>
    </row>
    <row r="3167" spans="1:11" ht="14.5">
      <c r="A3167" s="20" t="s">
        <v>21958</v>
      </c>
      <c r="B3167" s="20">
        <v>35</v>
      </c>
      <c r="C3167" s="20">
        <v>90</v>
      </c>
      <c r="D3167" s="20">
        <v>30</v>
      </c>
      <c r="E3167" s="20">
        <v>8</v>
      </c>
      <c r="F3167" s="20" t="s">
        <v>21959</v>
      </c>
      <c r="G3167" s="20" t="s">
        <v>21960</v>
      </c>
      <c r="H3167" s="24"/>
      <c r="I3167" s="24" t="str">
        <f ca="1">IFERROR(__xludf.DUMMYFUNCTION("GOOGLETRANSLATE(F3167,""en"",""pt"")"),"rufos baseados em betume")</f>
        <v>rufos baseados em betume</v>
      </c>
      <c r="J3167">
        <f>VLOOKUP(A3167,Pr_Base_LNEC!$A$4:$J$6971,6,FALSE)</f>
        <v>0</v>
      </c>
      <c r="K3167">
        <f>VLOOKUP(A3167,Pr_Base_LNEC!$A$4:$J$6971,7,FALSE)</f>
        <v>0</v>
      </c>
    </row>
    <row r="3168" spans="1:11" ht="14.5">
      <c r="A3168" s="20" t="s">
        <v>21961</v>
      </c>
      <c r="B3168" s="20">
        <v>35</v>
      </c>
      <c r="C3168" s="20">
        <v>90</v>
      </c>
      <c r="D3168" s="20">
        <v>30</v>
      </c>
      <c r="E3168" s="20">
        <v>11</v>
      </c>
      <c r="F3168" s="20" t="s">
        <v>21962</v>
      </c>
      <c r="G3168" s="20" t="s">
        <v>21957</v>
      </c>
      <c r="H3168" s="24"/>
      <c r="I3168" s="24" t="str">
        <f ca="1">IFERROR(__xludf.DUMMYFUNCTION("GOOGLETRANSLATE(F3168,""en"",""pt"")"),"rufos de aço de carbono")</f>
        <v>rufos de aço de carbono</v>
      </c>
      <c r="J3168">
        <f>VLOOKUP(A3168,Pr_Base_LNEC!$A$4:$J$6971,6,FALSE)</f>
        <v>0</v>
      </c>
      <c r="K3168">
        <f>VLOOKUP(A3168,Pr_Base_LNEC!$A$4:$J$6971,7,FALSE)</f>
        <v>0</v>
      </c>
    </row>
    <row r="3169" spans="1:11" ht="14.5">
      <c r="A3169" s="20" t="s">
        <v>21963</v>
      </c>
      <c r="B3169" s="20">
        <v>35</v>
      </c>
      <c r="C3169" s="20">
        <v>90</v>
      </c>
      <c r="D3169" s="20">
        <v>30</v>
      </c>
      <c r="E3169" s="20">
        <v>15</v>
      </c>
      <c r="F3169" s="20" t="s">
        <v>21964</v>
      </c>
      <c r="G3169" s="20" t="s">
        <v>21957</v>
      </c>
      <c r="H3169" s="24"/>
      <c r="I3169" s="24" t="str">
        <f ca="1">IFERROR(__xludf.DUMMYFUNCTION("GOOGLETRANSLATE(F3169,""en"",""pt"")"),"rufos de cobre")</f>
        <v>rufos de cobre</v>
      </c>
      <c r="J3169">
        <f>VLOOKUP(A3169,Pr_Base_LNEC!$A$4:$J$6971,6,FALSE)</f>
        <v>0</v>
      </c>
      <c r="K3169">
        <f>VLOOKUP(A3169,Pr_Base_LNEC!$A$4:$J$6971,7,FALSE)</f>
        <v>0</v>
      </c>
    </row>
    <row r="3170" spans="1:11" ht="14.5">
      <c r="A3170" s="20" t="s">
        <v>21965</v>
      </c>
      <c r="B3170" s="20">
        <v>35</v>
      </c>
      <c r="C3170" s="20">
        <v>90</v>
      </c>
      <c r="D3170" s="20">
        <v>30</v>
      </c>
      <c r="E3170" s="20">
        <v>18</v>
      </c>
      <c r="F3170" s="20" t="s">
        <v>21966</v>
      </c>
      <c r="G3170" s="20" t="s">
        <v>21967</v>
      </c>
      <c r="H3170" s="24"/>
      <c r="I3170" s="24" t="str">
        <f ca="1">IFERROR(__xludf.DUMMYFUNCTION("GOOGLETRANSLATE(F3170,""en"",""pt"")"),"ardósias de cobre")</f>
        <v>ardósias de cobre</v>
      </c>
      <c r="J3170">
        <f>VLOOKUP(A3170,Pr_Base_LNEC!$A$4:$J$6971,6,FALSE)</f>
        <v>0</v>
      </c>
      <c r="K3170">
        <f>VLOOKUP(A3170,Pr_Base_LNEC!$A$4:$J$6971,7,FALSE)</f>
        <v>0</v>
      </c>
    </row>
    <row r="3171" spans="1:11" ht="14.5">
      <c r="A3171" s="20" t="s">
        <v>21968</v>
      </c>
      <c r="B3171" s="20">
        <v>35</v>
      </c>
      <c r="C3171" s="20">
        <v>90</v>
      </c>
      <c r="D3171" s="20">
        <v>30</v>
      </c>
      <c r="E3171" s="20">
        <v>34</v>
      </c>
      <c r="F3171" s="20" t="s">
        <v>21969</v>
      </c>
      <c r="G3171" s="20" t="s">
        <v>21970</v>
      </c>
      <c r="H3171" s="24"/>
      <c r="I3171" s="24" t="str">
        <f ca="1">IFERROR(__xludf.DUMMYFUNCTION("GOOGLETRANSLATE(F3171,""en"",""pt"")"),"plásticos reforçados de vidro (GRP) rufos")</f>
        <v>plásticos reforçados de vidro (GRP) rufos</v>
      </c>
      <c r="J3171">
        <f>VLOOKUP(A3171,Pr_Base_LNEC!$A$4:$J$6971,6,FALSE)</f>
        <v>0</v>
      </c>
      <c r="K3171">
        <f>VLOOKUP(A3171,Pr_Base_LNEC!$A$4:$J$6971,7,FALSE)</f>
        <v>0</v>
      </c>
    </row>
    <row r="3172" spans="1:11" ht="14.5">
      <c r="A3172" s="20" t="s">
        <v>21971</v>
      </c>
      <c r="B3172" s="20">
        <v>35</v>
      </c>
      <c r="C3172" s="20">
        <v>90</v>
      </c>
      <c r="D3172" s="20">
        <v>30</v>
      </c>
      <c r="E3172" s="20">
        <v>46</v>
      </c>
      <c r="F3172" s="20" t="s">
        <v>21972</v>
      </c>
      <c r="G3172" s="20" t="s">
        <v>21957</v>
      </c>
      <c r="H3172" s="24"/>
      <c r="I3172" s="24" t="str">
        <f ca="1">IFERROR(__xludf.DUMMYFUNCTION("GOOGLETRANSLATE(F3172,""en"",""pt"")"),"rufos de chumbo")</f>
        <v>rufos de chumbo</v>
      </c>
      <c r="J3172">
        <f>VLOOKUP(A3172,Pr_Base_LNEC!$A$4:$J$6971,6,FALSE)</f>
        <v>0</v>
      </c>
      <c r="K3172">
        <f>VLOOKUP(A3172,Pr_Base_LNEC!$A$4:$J$6971,7,FALSE)</f>
        <v>0</v>
      </c>
    </row>
    <row r="3173" spans="1:11" ht="14.5">
      <c r="A3173" s="20" t="s">
        <v>21973</v>
      </c>
      <c r="B3173" s="20">
        <v>35</v>
      </c>
      <c r="C3173" s="20">
        <v>90</v>
      </c>
      <c r="D3173" s="20">
        <v>30</v>
      </c>
      <c r="E3173" s="20">
        <v>47</v>
      </c>
      <c r="F3173" s="20" t="s">
        <v>21974</v>
      </c>
      <c r="G3173" s="20" t="s">
        <v>21975</v>
      </c>
      <c r="H3173" s="24"/>
      <c r="I3173" s="24" t="str">
        <f ca="1">IFERROR(__xludf.DUMMYFUNCTION("GOOGLETRANSLATE(F3173,""en"",""pt"")"),"ardósias de chumbo")</f>
        <v>ardósias de chumbo</v>
      </c>
      <c r="J3173">
        <f>VLOOKUP(A3173,Pr_Base_LNEC!$A$4:$J$6971,6,FALSE)</f>
        <v>0</v>
      </c>
      <c r="K3173">
        <f>VLOOKUP(A3173,Pr_Base_LNEC!$A$4:$J$6971,7,FALSE)</f>
        <v>0</v>
      </c>
    </row>
    <row r="3174" spans="1:11" ht="14.5">
      <c r="A3174" s="20" t="s">
        <v>21976</v>
      </c>
      <c r="B3174" s="20">
        <v>35</v>
      </c>
      <c r="C3174" s="20">
        <v>90</v>
      </c>
      <c r="D3174" s="20">
        <v>30</v>
      </c>
      <c r="E3174" s="20">
        <v>64</v>
      </c>
      <c r="F3174" s="20" t="s">
        <v>21977</v>
      </c>
      <c r="G3174" s="20" t="s">
        <v>21978</v>
      </c>
      <c r="H3174" s="24"/>
      <c r="I3174" s="24" t="str">
        <f ca="1">IFERROR(__xludf.DUMMYFUNCTION("GOOGLETRANSLATE(F3174,""en"",""pt"")"),"O polietileno (PE) rufos baseados")</f>
        <v>O polietileno (PE) rufos baseados</v>
      </c>
      <c r="J3174">
        <f>VLOOKUP(A3174,Pr_Base_LNEC!$A$4:$J$6971,6,FALSE)</f>
        <v>0</v>
      </c>
      <c r="K3174">
        <f>VLOOKUP(A3174,Pr_Base_LNEC!$A$4:$J$6971,7,FALSE)</f>
        <v>0</v>
      </c>
    </row>
    <row r="3175" spans="1:11" ht="14.5">
      <c r="A3175" s="20" t="s">
        <v>21979</v>
      </c>
      <c r="B3175" s="20">
        <v>35</v>
      </c>
      <c r="C3175" s="20">
        <v>90</v>
      </c>
      <c r="D3175" s="20">
        <v>30</v>
      </c>
      <c r="E3175" s="20">
        <v>72</v>
      </c>
      <c r="F3175" s="20" t="s">
        <v>21980</v>
      </c>
      <c r="G3175" s="20" t="s">
        <v>21981</v>
      </c>
      <c r="H3175" s="24"/>
      <c r="I3175" s="24" t="str">
        <f ca="1">IFERROR(__xludf.DUMMYFUNCTION("GOOGLETRANSLATE(F3175,""en"",""pt"")"),"rufos plásticos reciclados")</f>
        <v>rufos plásticos reciclados</v>
      </c>
      <c r="J3175">
        <f>VLOOKUP(A3175,Pr_Base_LNEC!$A$4:$J$6971,6,FALSE)</f>
        <v>0</v>
      </c>
      <c r="K3175">
        <f>VLOOKUP(A3175,Pr_Base_LNEC!$A$4:$J$6971,7,FALSE)</f>
        <v>0</v>
      </c>
    </row>
    <row r="3176" spans="1:11" ht="14.5">
      <c r="A3176" s="20" t="s">
        <v>21982</v>
      </c>
      <c r="B3176" s="20">
        <v>35</v>
      </c>
      <c r="C3176" s="20">
        <v>90</v>
      </c>
      <c r="D3176" s="20">
        <v>30</v>
      </c>
      <c r="E3176" s="20">
        <v>83</v>
      </c>
      <c r="F3176" s="20" t="s">
        <v>21983</v>
      </c>
      <c r="G3176" s="20" t="s">
        <v>21957</v>
      </c>
      <c r="H3176" s="24"/>
      <c r="I3176" s="24" t="str">
        <f ca="1">IFERROR(__xludf.DUMMYFUNCTION("GOOGLETRANSLATE(F3176,""en"",""pt"")"),"rufos de aço inoxidável")</f>
        <v>rufos de aço inoxidável</v>
      </c>
      <c r="J3176">
        <f>VLOOKUP(A3176,Pr_Base_LNEC!$A$4:$J$6971,6,FALSE)</f>
        <v>0</v>
      </c>
      <c r="K3176">
        <f>VLOOKUP(A3176,Pr_Base_LNEC!$A$4:$J$6971,7,FALSE)</f>
        <v>0</v>
      </c>
    </row>
    <row r="3177" spans="1:11" ht="14.5">
      <c r="A3177" s="20" t="s">
        <v>21984</v>
      </c>
      <c r="B3177" s="20">
        <v>35</v>
      </c>
      <c r="C3177" s="20">
        <v>90</v>
      </c>
      <c r="D3177" s="20">
        <v>30</v>
      </c>
      <c r="E3177" s="20">
        <v>99</v>
      </c>
      <c r="F3177" s="20" t="s">
        <v>21985</v>
      </c>
      <c r="G3177" s="20" t="s">
        <v>21957</v>
      </c>
      <c r="H3177" s="24"/>
      <c r="I3177" s="24" t="str">
        <f ca="1">IFERROR(__xludf.DUMMYFUNCTION("GOOGLETRANSLATE(F3177,""en"",""pt"")"),"rufos de zinco")</f>
        <v>rufos de zinco</v>
      </c>
      <c r="J3177">
        <f>VLOOKUP(A3177,Pr_Base_LNEC!$A$4:$J$6971,6,FALSE)</f>
        <v>0</v>
      </c>
      <c r="K3177">
        <f>VLOOKUP(A3177,Pr_Base_LNEC!$A$4:$J$6971,7,FALSE)</f>
        <v>0</v>
      </c>
    </row>
    <row r="3178" spans="1:11" ht="14.5">
      <c r="A3178" s="20" t="s">
        <v>21986</v>
      </c>
      <c r="B3178" s="20">
        <v>35</v>
      </c>
      <c r="C3178" s="20">
        <v>90</v>
      </c>
      <c r="D3178" s="20">
        <v>31</v>
      </c>
      <c r="E3178" s="24"/>
      <c r="F3178" s="20" t="s">
        <v>21987</v>
      </c>
      <c r="G3178" s="24"/>
      <c r="H3178" s="24"/>
      <c r="I3178" s="24" t="str">
        <f ca="1">IFERROR(__xludf.DUMMYFUNCTION("GOOGLETRANSLATE(F3178,""en"",""pt"")"),"Piso e escadas guarnições")</f>
        <v>Piso e escadas guarnições</v>
      </c>
      <c r="J3178">
        <f>VLOOKUP(A3178,Pr_Base_LNEC!$A$4:$J$6971,6,FALSE)</f>
        <v>0</v>
      </c>
      <c r="K3178">
        <f>VLOOKUP(A3178,Pr_Base_LNEC!$A$4:$J$6971,7,FALSE)</f>
        <v>0</v>
      </c>
    </row>
    <row r="3179" spans="1:11" ht="14.5">
      <c r="A3179" s="20" t="s">
        <v>21988</v>
      </c>
      <c r="B3179" s="20">
        <v>35</v>
      </c>
      <c r="C3179" s="20">
        <v>90</v>
      </c>
      <c r="D3179" s="20">
        <v>31</v>
      </c>
      <c r="E3179" s="20">
        <v>11</v>
      </c>
      <c r="F3179" s="20" t="s">
        <v>21989</v>
      </c>
      <c r="G3179" s="20" t="s">
        <v>21990</v>
      </c>
      <c r="H3179" s="24"/>
      <c r="I3179" s="24" t="str">
        <f ca="1">IFERROR(__xludf.DUMMYFUNCTION("GOOGLETRANSLATE(F3179,""en"",""pt"")"),"garras do tapete")</f>
        <v>garras do tapete</v>
      </c>
      <c r="J3179">
        <f>VLOOKUP(A3179,Pr_Base_LNEC!$A$4:$J$6971,6,FALSE)</f>
        <v>0</v>
      </c>
      <c r="K3179">
        <f>VLOOKUP(A3179,Pr_Base_LNEC!$A$4:$J$6971,7,FALSE)</f>
        <v>0</v>
      </c>
    </row>
    <row r="3180" spans="1:11" ht="14.5">
      <c r="A3180" s="20" t="s">
        <v>21991</v>
      </c>
      <c r="B3180" s="20">
        <v>35</v>
      </c>
      <c r="C3180" s="20">
        <v>90</v>
      </c>
      <c r="D3180" s="20">
        <v>31</v>
      </c>
      <c r="E3180" s="20">
        <v>12</v>
      </c>
      <c r="F3180" s="20" t="s">
        <v>21992</v>
      </c>
      <c r="G3180" s="20" t="s">
        <v>21993</v>
      </c>
      <c r="H3180" s="24"/>
      <c r="I3180" s="24" t="str">
        <f ca="1">IFERROR(__xludf.DUMMYFUNCTION("GOOGLETRANSLATE(F3180,""en"",""pt"")"),"tiras de garra tapete")</f>
        <v>tiras de garra tapete</v>
      </c>
      <c r="J3180">
        <f>VLOOKUP(A3180,Pr_Base_LNEC!$A$4:$J$6971,6,FALSE)</f>
        <v>0</v>
      </c>
      <c r="K3180">
        <f>VLOOKUP(A3180,Pr_Base_LNEC!$A$4:$J$6971,7,FALSE)</f>
        <v>0</v>
      </c>
    </row>
    <row r="3181" spans="1:11" ht="14.5">
      <c r="A3181" s="20" t="s">
        <v>21994</v>
      </c>
      <c r="B3181" s="20">
        <v>35</v>
      </c>
      <c r="C3181" s="20">
        <v>90</v>
      </c>
      <c r="D3181" s="20">
        <v>31</v>
      </c>
      <c r="E3181" s="20">
        <v>26</v>
      </c>
      <c r="F3181" s="20" t="s">
        <v>21995</v>
      </c>
      <c r="G3181" s="20" t="s">
        <v>21996</v>
      </c>
      <c r="H3181" s="24"/>
      <c r="I3181" s="24" t="str">
        <f ca="1">IFERROR(__xludf.DUMMYFUNCTION("GOOGLETRANSLATE(F3181,""en"",""pt"")"),"cloreto de polivinilo (PVC) flexível cantos dos degraus")</f>
        <v>cloreto de polivinilo (PVC) flexível cantos dos degraus</v>
      </c>
      <c r="J3181">
        <f>VLOOKUP(A3181,Pr_Base_LNEC!$A$4:$J$6971,6,FALSE)</f>
        <v>0</v>
      </c>
      <c r="K3181">
        <f>VLOOKUP(A3181,Pr_Base_LNEC!$A$4:$J$6971,7,FALSE)</f>
        <v>0</v>
      </c>
    </row>
    <row r="3182" spans="1:11" ht="14.5">
      <c r="A3182" s="20" t="s">
        <v>21997</v>
      </c>
      <c r="B3182" s="20">
        <v>35</v>
      </c>
      <c r="C3182" s="20">
        <v>90</v>
      </c>
      <c r="D3182" s="20">
        <v>31</v>
      </c>
      <c r="E3182" s="20">
        <v>27</v>
      </c>
      <c r="F3182" s="20" t="s">
        <v>21998</v>
      </c>
      <c r="G3182" s="20" t="s">
        <v>21999</v>
      </c>
      <c r="H3182" s="24"/>
      <c r="I3182" s="24" t="str">
        <f ca="1">IFERROR(__xludf.DUMMYFUNCTION("GOOGLETRANSLATE(F3182,""en"",""pt"")"),"revestimentos para escadas flexíveis")</f>
        <v>revestimentos para escadas flexíveis</v>
      </c>
      <c r="J3182">
        <f>VLOOKUP(A3182,Pr_Base_LNEC!$A$4:$J$6971,6,FALSE)</f>
        <v>0</v>
      </c>
      <c r="K3182">
        <f>VLOOKUP(A3182,Pr_Base_LNEC!$A$4:$J$6971,7,FALSE)</f>
        <v>0</v>
      </c>
    </row>
    <row r="3183" spans="1:11" ht="14.5">
      <c r="A3183" s="20" t="s">
        <v>22000</v>
      </c>
      <c r="B3183" s="20">
        <v>35</v>
      </c>
      <c r="C3183" s="20">
        <v>90</v>
      </c>
      <c r="D3183" s="20">
        <v>31</v>
      </c>
      <c r="E3183" s="20">
        <v>28</v>
      </c>
      <c r="F3183" s="20" t="s">
        <v>22001</v>
      </c>
      <c r="G3183" s="20" t="s">
        <v>22002</v>
      </c>
      <c r="H3183" s="24"/>
      <c r="I3183" s="24" t="str">
        <f ca="1">IFERROR(__xludf.DUMMYFUNCTION("GOOGLETRANSLATE(F3183,""en"",""pt"")"),"Construção Pavimento guarnições conjuntas")</f>
        <v>Construção Pavimento guarnições conjuntas</v>
      </c>
      <c r="J3183">
        <f>VLOOKUP(A3183,Pr_Base_LNEC!$A$4:$J$6971,6,FALSE)</f>
        <v>0</v>
      </c>
      <c r="K3183">
        <f>VLOOKUP(A3183,Pr_Base_LNEC!$A$4:$J$6971,7,FALSE)</f>
        <v>0</v>
      </c>
    </row>
    <row r="3184" spans="1:11" ht="14.5">
      <c r="A3184" s="20" t="s">
        <v>22003</v>
      </c>
      <c r="B3184" s="20">
        <v>35</v>
      </c>
      <c r="C3184" s="20">
        <v>90</v>
      </c>
      <c r="D3184" s="20">
        <v>31</v>
      </c>
      <c r="E3184" s="20">
        <v>29</v>
      </c>
      <c r="F3184" s="20" t="s">
        <v>22004</v>
      </c>
      <c r="G3184" s="20" t="s">
        <v>22005</v>
      </c>
      <c r="H3184" s="24"/>
      <c r="I3184" s="24" t="str">
        <f ca="1">IFERROR(__xludf.DUMMYFUNCTION("GOOGLETRANSLATE(F3184,""en"",""pt"")"),"réguas de cobertura chão")</f>
        <v>réguas de cobertura chão</v>
      </c>
      <c r="J3184">
        <f>VLOOKUP(A3184,Pr_Base_LNEC!$A$4:$J$6971,6,FALSE)</f>
        <v>0</v>
      </c>
      <c r="K3184">
        <f>VLOOKUP(A3184,Pr_Base_LNEC!$A$4:$J$6971,7,FALSE)</f>
        <v>0</v>
      </c>
    </row>
    <row r="3185" spans="1:11" ht="14.5">
      <c r="A3185" s="20" t="s">
        <v>22006</v>
      </c>
      <c r="B3185" s="20">
        <v>35</v>
      </c>
      <c r="C3185" s="20">
        <v>90</v>
      </c>
      <c r="D3185" s="20">
        <v>31</v>
      </c>
      <c r="E3185" s="20">
        <v>30</v>
      </c>
      <c r="F3185" s="20" t="s">
        <v>22007</v>
      </c>
      <c r="G3185" s="20" t="s">
        <v>22008</v>
      </c>
      <c r="H3185" s="24"/>
      <c r="I3185" s="24" t="str">
        <f ca="1">IFERROR(__xludf.DUMMYFUNCTION("GOOGLETRANSLATE(F3185,""en"",""pt"")"),"tiras Piso divisórias")</f>
        <v>tiras Piso divisórias</v>
      </c>
      <c r="J3185">
        <f>VLOOKUP(A3185,Pr_Base_LNEC!$A$4:$J$6971,6,FALSE)</f>
        <v>0</v>
      </c>
      <c r="K3185">
        <f>VLOOKUP(A3185,Pr_Base_LNEC!$A$4:$J$6971,7,FALSE)</f>
        <v>0</v>
      </c>
    </row>
    <row r="3186" spans="1:11" ht="14.5">
      <c r="A3186" s="20" t="s">
        <v>22009</v>
      </c>
      <c r="B3186" s="20">
        <v>35</v>
      </c>
      <c r="C3186" s="20">
        <v>90</v>
      </c>
      <c r="D3186" s="20">
        <v>31</v>
      </c>
      <c r="E3186" s="20">
        <v>31</v>
      </c>
      <c r="F3186" s="20" t="s">
        <v>22010</v>
      </c>
      <c r="G3186" s="20" t="s">
        <v>22011</v>
      </c>
      <c r="H3186" s="24"/>
      <c r="I3186" s="24" t="str">
        <f ca="1">IFERROR(__xludf.DUMMYFUNCTION("GOOGLETRANSLATE(F3186,""en"",""pt"")"),"guarnições aresta do piso")</f>
        <v>guarnições aresta do piso</v>
      </c>
      <c r="J3186">
        <f>VLOOKUP(A3186,Pr_Base_LNEC!$A$4:$J$6971,6,FALSE)</f>
        <v>0</v>
      </c>
      <c r="K3186">
        <f>VLOOKUP(A3186,Pr_Base_LNEC!$A$4:$J$6971,7,FALSE)</f>
        <v>0</v>
      </c>
    </row>
    <row r="3187" spans="1:11" ht="14.5">
      <c r="A3187" s="20" t="s">
        <v>22012</v>
      </c>
      <c r="B3187" s="20">
        <v>35</v>
      </c>
      <c r="C3187" s="20">
        <v>90</v>
      </c>
      <c r="D3187" s="20">
        <v>31</v>
      </c>
      <c r="E3187" s="20">
        <v>32</v>
      </c>
      <c r="F3187" s="20" t="s">
        <v>22013</v>
      </c>
      <c r="G3187" s="20" t="s">
        <v>22014</v>
      </c>
      <c r="H3187" s="24"/>
      <c r="I3187" s="24" t="str">
        <f ca="1">IFERROR(__xludf.DUMMYFUNCTION("GOOGLETRANSLATE(F3187,""en"",""pt"")"),"tiras Piso afiação")</f>
        <v>tiras Piso afiação</v>
      </c>
      <c r="J3187">
        <f>VLOOKUP(A3187,Pr_Base_LNEC!$A$4:$J$6971,6,FALSE)</f>
        <v>0</v>
      </c>
      <c r="K3187">
        <f>VLOOKUP(A3187,Pr_Base_LNEC!$A$4:$J$6971,7,FALSE)</f>
        <v>0</v>
      </c>
    </row>
    <row r="3188" spans="1:11" ht="14.5">
      <c r="A3188" s="20" t="s">
        <v>22015</v>
      </c>
      <c r="B3188" s="20">
        <v>35</v>
      </c>
      <c r="C3188" s="20">
        <v>90</v>
      </c>
      <c r="D3188" s="20">
        <v>31</v>
      </c>
      <c r="E3188" s="20">
        <v>33</v>
      </c>
      <c r="F3188" s="20" t="s">
        <v>22016</v>
      </c>
      <c r="G3188" s="20" t="s">
        <v>22017</v>
      </c>
      <c r="H3188" s="24"/>
      <c r="I3188" s="24" t="str">
        <f ca="1">IFERROR(__xludf.DUMMYFUNCTION("GOOGLETRANSLATE(F3188,""en"",""pt"")"),"tiras limiar chão")</f>
        <v>tiras limiar chão</v>
      </c>
      <c r="J3188">
        <f>VLOOKUP(A3188,Pr_Base_LNEC!$A$4:$J$6971,6,FALSE)</f>
        <v>0</v>
      </c>
      <c r="K3188">
        <f>VLOOKUP(A3188,Pr_Base_LNEC!$A$4:$J$6971,7,FALSE)</f>
        <v>0</v>
      </c>
    </row>
    <row r="3189" spans="1:11" ht="14.5">
      <c r="A3189" s="20" t="s">
        <v>22018</v>
      </c>
      <c r="B3189" s="20">
        <v>35</v>
      </c>
      <c r="C3189" s="20">
        <v>90</v>
      </c>
      <c r="D3189" s="20">
        <v>31</v>
      </c>
      <c r="E3189" s="20">
        <v>36</v>
      </c>
      <c r="F3189" s="20" t="s">
        <v>22019</v>
      </c>
      <c r="G3189" s="20" t="s">
        <v>22020</v>
      </c>
      <c r="H3189" s="24"/>
      <c r="I3189" s="24" t="str">
        <f ca="1">IFERROR(__xludf.DUMMYFUNCTION("GOOGLETRANSLATE(F3189,""en"",""pt"")"),"tiras limiar piso de madeira")</f>
        <v>tiras limiar piso de madeira</v>
      </c>
      <c r="J3189">
        <f>VLOOKUP(A3189,Pr_Base_LNEC!$A$4:$J$6971,6,FALSE)</f>
        <v>0</v>
      </c>
      <c r="K3189">
        <f>VLOOKUP(A3189,Pr_Base_LNEC!$A$4:$J$6971,7,FALSE)</f>
        <v>0</v>
      </c>
    </row>
    <row r="3190" spans="1:11" ht="14.5">
      <c r="A3190" s="20" t="s">
        <v>22021</v>
      </c>
      <c r="B3190" s="20">
        <v>35</v>
      </c>
      <c r="C3190" s="20">
        <v>90</v>
      </c>
      <c r="D3190" s="20">
        <v>31</v>
      </c>
      <c r="E3190" s="20">
        <v>37</v>
      </c>
      <c r="F3190" s="20" t="s">
        <v>22022</v>
      </c>
      <c r="G3190" s="20" t="s">
        <v>22023</v>
      </c>
      <c r="H3190" s="24"/>
      <c r="I3190" s="24" t="str">
        <f ca="1">IFERROR(__xludf.DUMMYFUNCTION("GOOGLETRANSLATE(F3190,""en"",""pt"")"),"Hardwood escada guarnições")</f>
        <v>Hardwood escada guarnições</v>
      </c>
      <c r="J3190">
        <f>VLOOKUP(A3190,Pr_Base_LNEC!$A$4:$J$6971,6,FALSE)</f>
        <v>0</v>
      </c>
      <c r="K3190">
        <f>VLOOKUP(A3190,Pr_Base_LNEC!$A$4:$J$6971,7,FALSE)</f>
        <v>0</v>
      </c>
    </row>
    <row r="3191" spans="1:11" ht="14.5">
      <c r="A3191" s="20" t="s">
        <v>22024</v>
      </c>
      <c r="B3191" s="20">
        <v>35</v>
      </c>
      <c r="C3191" s="20">
        <v>90</v>
      </c>
      <c r="D3191" s="20">
        <v>31</v>
      </c>
      <c r="E3191" s="20">
        <v>50</v>
      </c>
      <c r="F3191" s="20" t="s">
        <v>22025</v>
      </c>
      <c r="G3191" s="20" t="s">
        <v>22026</v>
      </c>
      <c r="H3191" s="24"/>
      <c r="I3191" s="24" t="str">
        <f ca="1">IFERROR(__xludf.DUMMYFUNCTION("GOOGLETRANSLATE(F3191,""en"",""pt"")"),"quadros Mat bem")</f>
        <v>quadros Mat bem</v>
      </c>
      <c r="J3191">
        <f>VLOOKUP(A3191,Pr_Base_LNEC!$A$4:$J$6971,6,FALSE)</f>
        <v>0</v>
      </c>
      <c r="K3191">
        <f>VLOOKUP(A3191,Pr_Base_LNEC!$A$4:$J$6971,7,FALSE)</f>
        <v>0</v>
      </c>
    </row>
    <row r="3192" spans="1:11" ht="14.5">
      <c r="A3192" s="20" t="s">
        <v>22027</v>
      </c>
      <c r="B3192" s="20">
        <v>35</v>
      </c>
      <c r="C3192" s="20">
        <v>90</v>
      </c>
      <c r="D3192" s="20">
        <v>31</v>
      </c>
      <c r="E3192" s="20">
        <v>58</v>
      </c>
      <c r="F3192" s="20" t="s">
        <v>22028</v>
      </c>
      <c r="G3192" s="20" t="s">
        <v>22029</v>
      </c>
      <c r="H3192" s="24"/>
      <c r="I3192" s="24" t="str">
        <f ca="1">IFERROR(__xludf.DUMMYFUNCTION("GOOGLETRANSLATE(F3192,""en"",""pt"")"),"tiras de transição andar Uma peça")</f>
        <v>tiras de transição andar Uma peça</v>
      </c>
      <c r="J3192">
        <f>VLOOKUP(A3192,Pr_Base_LNEC!$A$4:$J$6971,6,FALSE)</f>
        <v>0</v>
      </c>
      <c r="K3192">
        <f>VLOOKUP(A3192,Pr_Base_LNEC!$A$4:$J$6971,7,FALSE)</f>
        <v>0</v>
      </c>
    </row>
    <row r="3193" spans="1:11" ht="14.5">
      <c r="A3193" s="20" t="s">
        <v>22030</v>
      </c>
      <c r="B3193" s="20">
        <v>35</v>
      </c>
      <c r="C3193" s="20">
        <v>90</v>
      </c>
      <c r="D3193" s="20">
        <v>31</v>
      </c>
      <c r="E3193" s="20">
        <v>66</v>
      </c>
      <c r="F3193" s="20" t="s">
        <v>22031</v>
      </c>
      <c r="G3193" s="20" t="s">
        <v>22032</v>
      </c>
      <c r="H3193" s="24"/>
      <c r="I3193" s="24" t="str">
        <f ca="1">IFERROR(__xludf.DUMMYFUNCTION("GOOGLETRANSLATE(F3193,""en"",""pt"")"),"articulações tiras pré-formadas para betonilhas")</f>
        <v>articulações tiras pré-formadas para betonilhas</v>
      </c>
      <c r="J3193">
        <f>VLOOKUP(A3193,Pr_Base_LNEC!$A$4:$J$6971,6,FALSE)</f>
        <v>0</v>
      </c>
      <c r="K3193">
        <f>VLOOKUP(A3193,Pr_Base_LNEC!$A$4:$J$6971,7,FALSE)</f>
        <v>0</v>
      </c>
    </row>
    <row r="3194" spans="1:11" ht="14.5">
      <c r="A3194" s="20" t="s">
        <v>22033</v>
      </c>
      <c r="B3194" s="20">
        <v>35</v>
      </c>
      <c r="C3194" s="20">
        <v>90</v>
      </c>
      <c r="D3194" s="20">
        <v>31</v>
      </c>
      <c r="E3194" s="20">
        <v>70</v>
      </c>
      <c r="F3194" s="20" t="s">
        <v>22034</v>
      </c>
      <c r="G3194" s="20" t="s">
        <v>22035</v>
      </c>
      <c r="H3194" s="24"/>
      <c r="I3194" s="24" t="str">
        <f ca="1">IFERROR(__xludf.DUMMYFUNCTION("GOOGLETRANSLATE(F3194,""en"",""pt"")"),"Radiador tampas piso tubulação")</f>
        <v>Radiador tampas piso tubulação</v>
      </c>
      <c r="J3194">
        <f>VLOOKUP(A3194,Pr_Base_LNEC!$A$4:$J$6971,6,FALSE)</f>
        <v>0</v>
      </c>
      <c r="K3194">
        <f>VLOOKUP(A3194,Pr_Base_LNEC!$A$4:$J$6971,7,FALSE)</f>
        <v>0</v>
      </c>
    </row>
    <row r="3195" spans="1:11" ht="14.5">
      <c r="A3195" s="20" t="s">
        <v>22036</v>
      </c>
      <c r="B3195" s="20">
        <v>35</v>
      </c>
      <c r="C3195" s="20">
        <v>90</v>
      </c>
      <c r="D3195" s="20">
        <v>31</v>
      </c>
      <c r="E3195" s="20">
        <v>71</v>
      </c>
      <c r="F3195" s="20" t="s">
        <v>22037</v>
      </c>
      <c r="G3195" s="20" t="s">
        <v>22038</v>
      </c>
      <c r="H3195" s="24"/>
      <c r="I3195" s="24" t="str">
        <f ca="1">IFERROR(__xludf.DUMMYFUNCTION("GOOGLETRANSLATE(F3195,""en"",""pt"")"),"piso de acesso levantado guarnições nível de mudança")</f>
        <v>piso de acesso levantado guarnições nível de mudança</v>
      </c>
      <c r="J3195">
        <f>VLOOKUP(A3195,Pr_Base_LNEC!$A$4:$J$6971,6,FALSE)</f>
        <v>0</v>
      </c>
      <c r="K3195">
        <f>VLOOKUP(A3195,Pr_Base_LNEC!$A$4:$J$6971,7,FALSE)</f>
        <v>0</v>
      </c>
    </row>
    <row r="3196" spans="1:11" ht="14.5">
      <c r="A3196" s="20" t="s">
        <v>22039</v>
      </c>
      <c r="B3196" s="20">
        <v>35</v>
      </c>
      <c r="C3196" s="20">
        <v>90</v>
      </c>
      <c r="D3196" s="20">
        <v>31</v>
      </c>
      <c r="E3196" s="20">
        <v>72</v>
      </c>
      <c r="F3196" s="20" t="s">
        <v>22040</v>
      </c>
      <c r="G3196" s="20" t="s">
        <v>22041</v>
      </c>
      <c r="H3196" s="24"/>
      <c r="I3196" s="24" t="str">
        <f ca="1">IFERROR(__xludf.DUMMYFUNCTION("GOOGLETRANSLATE(F3196,""en"",""pt"")"),"painéis verticais de cercadura de soalho de acesso elevado")</f>
        <v>painéis verticais de cercadura de soalho de acesso elevado</v>
      </c>
      <c r="J3196">
        <f>VLOOKUP(A3196,Pr_Base_LNEC!$A$4:$J$6971,6,FALSE)</f>
        <v>0</v>
      </c>
      <c r="K3196">
        <f>VLOOKUP(A3196,Pr_Base_LNEC!$A$4:$J$6971,7,FALSE)</f>
        <v>0</v>
      </c>
    </row>
    <row r="3197" spans="1:11" ht="14.5">
      <c r="A3197" s="20" t="s">
        <v>22042</v>
      </c>
      <c r="B3197" s="20">
        <v>35</v>
      </c>
      <c r="C3197" s="20">
        <v>90</v>
      </c>
      <c r="D3197" s="20">
        <v>31</v>
      </c>
      <c r="E3197" s="20">
        <v>73</v>
      </c>
      <c r="F3197" s="20" t="s">
        <v>22043</v>
      </c>
      <c r="G3197" s="20" t="s">
        <v>22044</v>
      </c>
      <c r="H3197" s="24"/>
      <c r="I3197" s="24" t="str">
        <f ca="1">IFERROR(__xludf.DUMMYFUNCTION("GOOGLETRANSLATE(F3197,""en"",""pt"")"),"Rendem grau enseadas resina")</f>
        <v>Rendem grau enseadas resina</v>
      </c>
      <c r="J3197">
        <f>VLOOKUP(A3197,Pr_Base_LNEC!$A$4:$J$6971,6,FALSE)</f>
        <v>0</v>
      </c>
      <c r="K3197">
        <f>VLOOKUP(A3197,Pr_Base_LNEC!$A$4:$J$6971,7,FALSE)</f>
        <v>0</v>
      </c>
    </row>
    <row r="3198" spans="1:11" ht="14.5">
      <c r="A3198" s="20" t="s">
        <v>22045</v>
      </c>
      <c r="B3198" s="20">
        <v>35</v>
      </c>
      <c r="C3198" s="20">
        <v>90</v>
      </c>
      <c r="D3198" s="20">
        <v>31</v>
      </c>
      <c r="E3198" s="20">
        <v>74</v>
      </c>
      <c r="F3198" s="20" t="s">
        <v>22046</v>
      </c>
      <c r="G3198" s="20" t="s">
        <v>22047</v>
      </c>
      <c r="H3198" s="24"/>
      <c r="I3198" s="24" t="str">
        <f ca="1">IFERROR(__xludf.DUMMYFUNCTION("GOOGLETRANSLATE(F3198,""en"",""pt"")"),"focinhos escadas rígidas")</f>
        <v>focinhos escadas rígidas</v>
      </c>
      <c r="J3198">
        <f>VLOOKUP(A3198,Pr_Base_LNEC!$A$4:$J$6971,6,FALSE)</f>
        <v>0</v>
      </c>
      <c r="K3198">
        <f>VLOOKUP(A3198,Pr_Base_LNEC!$A$4:$J$6971,7,FALSE)</f>
        <v>0</v>
      </c>
    </row>
    <row r="3199" spans="1:11" ht="14.5">
      <c r="A3199" s="20" t="s">
        <v>22048</v>
      </c>
      <c r="B3199" s="20">
        <v>35</v>
      </c>
      <c r="C3199" s="20">
        <v>90</v>
      </c>
      <c r="D3199" s="20">
        <v>31</v>
      </c>
      <c r="E3199" s="20">
        <v>75</v>
      </c>
      <c r="F3199" s="20" t="s">
        <v>22049</v>
      </c>
      <c r="G3199" s="20" t="s">
        <v>22050</v>
      </c>
      <c r="H3199" s="24"/>
      <c r="I3199" s="24" t="str">
        <f ca="1">IFERROR(__xludf.DUMMYFUNCTION("GOOGLETRANSLATE(F3199,""en"",""pt"")"),"Borracha inserções de lacete de escada composta")</f>
        <v>Borracha inserções de lacete de escada composta</v>
      </c>
      <c r="J3199">
        <f>VLOOKUP(A3199,Pr_Base_LNEC!$A$4:$J$6971,6,FALSE)</f>
        <v>0</v>
      </c>
      <c r="K3199">
        <f>VLOOKUP(A3199,Pr_Base_LNEC!$A$4:$J$6971,7,FALSE)</f>
        <v>0</v>
      </c>
    </row>
    <row r="3200" spans="1:11" ht="14.5">
      <c r="A3200" s="20" t="s">
        <v>22051</v>
      </c>
      <c r="B3200" s="20">
        <v>35</v>
      </c>
      <c r="C3200" s="20">
        <v>90</v>
      </c>
      <c r="D3200" s="20">
        <v>31</v>
      </c>
      <c r="E3200" s="20">
        <v>83</v>
      </c>
      <c r="F3200" s="20" t="s">
        <v>22052</v>
      </c>
      <c r="G3200" s="24"/>
      <c r="H3200" s="24"/>
      <c r="I3200" s="24" t="str">
        <f ca="1">IFERROR(__xludf.DUMMYFUNCTION("GOOGLETRANSLATE(F3200,""en"",""pt"")"),"hastes da escada")</f>
        <v>hastes da escada</v>
      </c>
      <c r="J3200">
        <f>VLOOKUP(A3200,Pr_Base_LNEC!$A$4:$J$6971,6,FALSE)</f>
        <v>0</v>
      </c>
      <c r="K3200">
        <f>VLOOKUP(A3200,Pr_Base_LNEC!$A$4:$J$6971,7,FALSE)</f>
        <v>0</v>
      </c>
    </row>
    <row r="3201" spans="1:11" ht="14.5">
      <c r="A3201" s="20" t="s">
        <v>22053</v>
      </c>
      <c r="B3201" s="20">
        <v>35</v>
      </c>
      <c r="C3201" s="20">
        <v>90</v>
      </c>
      <c r="D3201" s="20">
        <v>31</v>
      </c>
      <c r="E3201" s="20">
        <v>84</v>
      </c>
      <c r="F3201" s="20" t="s">
        <v>22054</v>
      </c>
      <c r="G3201" s="20" t="s">
        <v>22055</v>
      </c>
      <c r="H3201" s="24"/>
      <c r="I3201" s="24" t="str">
        <f ca="1">IFERROR(__xludf.DUMMYFUNCTION("GOOGLETRANSLATE(F3201,""en"",""pt"")"),"remates de degrau")</f>
        <v>remates de degrau</v>
      </c>
      <c r="J3201">
        <f>VLOOKUP(A3201,Pr_Base_LNEC!$A$4:$J$6971,6,FALSE)</f>
        <v>0</v>
      </c>
      <c r="K3201">
        <f>VLOOKUP(A3201,Pr_Base_LNEC!$A$4:$J$6971,7,FALSE)</f>
        <v>0</v>
      </c>
    </row>
    <row r="3202" spans="1:11" ht="14.5">
      <c r="A3202" s="20" t="s">
        <v>22056</v>
      </c>
      <c r="B3202" s="20">
        <v>35</v>
      </c>
      <c r="C3202" s="20">
        <v>90</v>
      </c>
      <c r="D3202" s="20">
        <v>31</v>
      </c>
      <c r="E3202" s="20">
        <v>90</v>
      </c>
      <c r="F3202" s="20" t="s">
        <v>22057</v>
      </c>
      <c r="G3202" s="20" t="s">
        <v>22058</v>
      </c>
      <c r="H3202" s="24"/>
      <c r="I3202" s="24" t="str">
        <f ca="1">IFERROR(__xludf.DUMMYFUNCTION("GOOGLETRANSLATE(F3202,""en"",""pt"")"),"tiras de transição andar de duas partes")</f>
        <v>tiras de transição andar de duas partes</v>
      </c>
      <c r="J3202">
        <f>VLOOKUP(A3202,Pr_Base_LNEC!$A$4:$J$6971,6,FALSE)</f>
        <v>0</v>
      </c>
      <c r="K3202">
        <f>VLOOKUP(A3202,Pr_Base_LNEC!$A$4:$J$6971,7,FALSE)</f>
        <v>0</v>
      </c>
    </row>
    <row r="3203" spans="1:11" ht="14.5">
      <c r="A3203" s="20" t="s">
        <v>22059</v>
      </c>
      <c r="B3203" s="20">
        <v>35</v>
      </c>
      <c r="C3203" s="20">
        <v>90</v>
      </c>
      <c r="D3203" s="20">
        <v>31</v>
      </c>
      <c r="E3203" s="20">
        <v>95</v>
      </c>
      <c r="F3203" s="20" t="s">
        <v>22060</v>
      </c>
      <c r="G3203" s="20" t="s">
        <v>22061</v>
      </c>
      <c r="H3203" s="24"/>
      <c r="I3203" s="24" t="str">
        <f ca="1">IFERROR(__xludf.DUMMYFUNCTION("GOOGLETRANSLATE(F3203,""en"",""pt"")"),"Desgastando tiras de vedação serradas-conjunta betonilha")</f>
        <v>Desgastando tiras de vedação serradas-conjunta betonilha</v>
      </c>
      <c r="J3203">
        <f>VLOOKUP(A3203,Pr_Base_LNEC!$A$4:$J$6971,6,FALSE)</f>
        <v>0</v>
      </c>
      <c r="K3203">
        <f>VLOOKUP(A3203,Pr_Base_LNEC!$A$4:$J$6971,7,FALSE)</f>
        <v>0</v>
      </c>
    </row>
    <row r="3204" spans="1:11" ht="14.5">
      <c r="A3204" s="20" t="s">
        <v>22062</v>
      </c>
      <c r="B3204" s="20">
        <v>35</v>
      </c>
      <c r="C3204" s="20">
        <v>90</v>
      </c>
      <c r="D3204" s="20">
        <v>31</v>
      </c>
      <c r="E3204" s="20">
        <v>96</v>
      </c>
      <c r="F3204" s="20" t="s">
        <v>22063</v>
      </c>
      <c r="G3204" s="20" t="s">
        <v>22064</v>
      </c>
      <c r="H3204" s="24"/>
      <c r="I3204" s="24" t="str">
        <f ca="1">IFERROR(__xludf.DUMMYFUNCTION("GOOGLETRANSLATE(F3204,""en"",""pt"")"),"tiras de limiar de chão à base de madeira")</f>
        <v>tiras de limiar de chão à base de madeira</v>
      </c>
      <c r="J3204">
        <f>VLOOKUP(A3204,Pr_Base_LNEC!$A$4:$J$6971,6,FALSE)</f>
        <v>0</v>
      </c>
      <c r="K3204">
        <f>VLOOKUP(A3204,Pr_Base_LNEC!$A$4:$J$6971,7,FALSE)</f>
        <v>0</v>
      </c>
    </row>
    <row r="3205" spans="1:11" ht="14.5">
      <c r="A3205" s="20" t="s">
        <v>22065</v>
      </c>
      <c r="B3205" s="20">
        <v>35</v>
      </c>
      <c r="C3205" s="20">
        <v>90</v>
      </c>
      <c r="D3205" s="20">
        <v>31</v>
      </c>
      <c r="E3205" s="20">
        <v>97</v>
      </c>
      <c r="F3205" s="20" t="s">
        <v>22066</v>
      </c>
      <c r="G3205" s="20" t="s">
        <v>22067</v>
      </c>
      <c r="H3205" s="24"/>
      <c r="I3205" s="24" t="str">
        <f ca="1">IFERROR(__xludf.DUMMYFUNCTION("GOOGLETRANSLATE(F3205,""en"",""pt"")"),"tiras de transição chão à base de madeira")</f>
        <v>tiras de transição chão à base de madeira</v>
      </c>
      <c r="J3205">
        <f>VLOOKUP(A3205,Pr_Base_LNEC!$A$4:$J$6971,6,FALSE)</f>
        <v>0</v>
      </c>
      <c r="K3205">
        <f>VLOOKUP(A3205,Pr_Base_LNEC!$A$4:$J$6971,7,FALSE)</f>
        <v>0</v>
      </c>
    </row>
    <row r="3206" spans="1:11" ht="14.5">
      <c r="A3206" s="20" t="s">
        <v>22068</v>
      </c>
      <c r="B3206" s="20">
        <v>35</v>
      </c>
      <c r="C3206" s="20">
        <v>90</v>
      </c>
      <c r="D3206" s="20">
        <v>33</v>
      </c>
      <c r="E3206" s="24"/>
      <c r="F3206" s="20" t="s">
        <v>22069</v>
      </c>
      <c r="G3206" s="24"/>
      <c r="H3206" s="24"/>
      <c r="I3206" s="24" t="str">
        <f ca="1">IFERROR(__xludf.DUMMYFUNCTION("GOOGLETRANSLATE(F3206,""en"",""pt"")"),"Juntas, weatherstrips e defletores")</f>
        <v>Juntas, weatherstrips e defletores</v>
      </c>
      <c r="J3206">
        <f>VLOOKUP(A3206,Pr_Base_LNEC!$A$4:$J$6971,6,FALSE)</f>
        <v>0</v>
      </c>
      <c r="K3206">
        <f>VLOOKUP(A3206,Pr_Base_LNEC!$A$4:$J$6971,7,FALSE)</f>
        <v>0</v>
      </c>
    </row>
    <row r="3207" spans="1:11" ht="14.5">
      <c r="A3207" s="20" t="s">
        <v>22070</v>
      </c>
      <c r="B3207" s="20">
        <v>35</v>
      </c>
      <c r="C3207" s="20">
        <v>90</v>
      </c>
      <c r="D3207" s="20">
        <v>33</v>
      </c>
      <c r="E3207" s="20">
        <v>12</v>
      </c>
      <c r="F3207" s="20" t="s">
        <v>22071</v>
      </c>
      <c r="G3207" s="20" t="s">
        <v>22072</v>
      </c>
      <c r="H3207" s="24"/>
      <c r="I3207" s="24" t="str">
        <f ca="1">IFERROR(__xludf.DUMMYFUNCTION("GOOGLETRANSLATE(F3207,""en"",""pt"")"),"juntas de borracha celulares")</f>
        <v>juntas de borracha celulares</v>
      </c>
      <c r="J3207">
        <f>VLOOKUP(A3207,Pr_Base_LNEC!$A$4:$J$6971,6,FALSE)</f>
        <v>0</v>
      </c>
      <c r="K3207">
        <f>VLOOKUP(A3207,Pr_Base_LNEC!$A$4:$J$6971,7,FALSE)</f>
        <v>0</v>
      </c>
    </row>
    <row r="3208" spans="1:11" ht="14.5">
      <c r="A3208" s="20" t="s">
        <v>22073</v>
      </c>
      <c r="B3208" s="20">
        <v>35</v>
      </c>
      <c r="C3208" s="20">
        <v>90</v>
      </c>
      <c r="D3208" s="20">
        <v>33</v>
      </c>
      <c r="E3208" s="20">
        <v>20</v>
      </c>
      <c r="F3208" s="20" t="s">
        <v>22074</v>
      </c>
      <c r="G3208" s="20" t="s">
        <v>22075</v>
      </c>
      <c r="H3208" s="24"/>
      <c r="I3208" s="24" t="str">
        <f ca="1">IFERROR(__xludf.DUMMYFUNCTION("GOOGLETRANSLATE(F3208,""en"",""pt"")"),"Fachada de cortina de vitrificação e as juntas do painel")</f>
        <v>Fachada de cortina de vitrificação e as juntas do painel</v>
      </c>
      <c r="J3208">
        <f>VLOOKUP(A3208,Pr_Base_LNEC!$A$4:$J$6971,6,FALSE)</f>
        <v>0</v>
      </c>
      <c r="K3208">
        <f>VLOOKUP(A3208,Pr_Base_LNEC!$A$4:$J$6971,7,FALSE)</f>
        <v>0</v>
      </c>
    </row>
    <row r="3209" spans="1:11" ht="14.5">
      <c r="A3209" s="20" t="s">
        <v>22076</v>
      </c>
      <c r="B3209" s="20">
        <v>35</v>
      </c>
      <c r="C3209" s="20">
        <v>90</v>
      </c>
      <c r="D3209" s="20">
        <v>33</v>
      </c>
      <c r="E3209" s="20">
        <v>22</v>
      </c>
      <c r="F3209" s="20" t="s">
        <v>22077</v>
      </c>
      <c r="G3209" s="20" t="s">
        <v>22078</v>
      </c>
      <c r="H3209" s="24"/>
      <c r="I3209" s="24" t="str">
        <f ca="1">IFERROR(__xludf.DUMMYFUNCTION("GOOGLETRANSLATE(F3209,""en"",""pt"")"),"weatherstrips e vedações de portas e janelas")</f>
        <v>weatherstrips e vedações de portas e janelas</v>
      </c>
      <c r="J3209">
        <f>VLOOKUP(A3209,Pr_Base_LNEC!$A$4:$J$6971,6,FALSE)</f>
        <v>0</v>
      </c>
      <c r="K3209">
        <f>VLOOKUP(A3209,Pr_Base_LNEC!$A$4:$J$6971,7,FALSE)</f>
        <v>0</v>
      </c>
    </row>
    <row r="3210" spans="1:11" ht="14.5">
      <c r="A3210" s="20" t="s">
        <v>22079</v>
      </c>
      <c r="B3210" s="20">
        <v>35</v>
      </c>
      <c r="C3210" s="20">
        <v>90</v>
      </c>
      <c r="D3210" s="20">
        <v>33</v>
      </c>
      <c r="E3210" s="20">
        <v>23</v>
      </c>
      <c r="F3210" s="20" t="s">
        <v>22080</v>
      </c>
      <c r="G3210" s="20" t="s">
        <v>22081</v>
      </c>
      <c r="H3210" s="24"/>
      <c r="I3210" s="24" t="str">
        <f ca="1">IFERROR(__xludf.DUMMYFUNCTION("GOOGLETRANSLATE(F3210,""en"",""pt"")"),"Porta weatherstrips limiar e selos")</f>
        <v>Porta weatherstrips limiar e selos</v>
      </c>
      <c r="J3210">
        <f>VLOOKUP(A3210,Pr_Base_LNEC!$A$4:$J$6971,6,FALSE)</f>
        <v>0</v>
      </c>
      <c r="K3210">
        <f>VLOOKUP(A3210,Pr_Base_LNEC!$A$4:$J$6971,7,FALSE)</f>
        <v>0</v>
      </c>
    </row>
    <row r="3211" spans="1:11" ht="14.5">
      <c r="A3211" s="20" t="s">
        <v>22082</v>
      </c>
      <c r="B3211" s="20">
        <v>35</v>
      </c>
      <c r="C3211" s="20">
        <v>90</v>
      </c>
      <c r="D3211" s="20">
        <v>33</v>
      </c>
      <c r="E3211" s="20">
        <v>24</v>
      </c>
      <c r="F3211" s="20" t="s">
        <v>22083</v>
      </c>
      <c r="G3211" s="20" t="s">
        <v>22084</v>
      </c>
      <c r="H3211" s="24"/>
      <c r="I3211" s="24" t="str">
        <f ca="1">IFERROR(__xludf.DUMMYFUNCTION("GOOGLETRANSLATE(F3211,""en"",""pt"")"),"monómero de etileno propileno dieno (EPDM) combinado juntas hidrofílicos")</f>
        <v>monómero de etileno propileno dieno (EPDM) combinado juntas hidrofílicos</v>
      </c>
      <c r="J3211">
        <f>VLOOKUP(A3211,Pr_Base_LNEC!$A$4:$J$6971,6,FALSE)</f>
        <v>0</v>
      </c>
      <c r="K3211">
        <f>VLOOKUP(A3211,Pr_Base_LNEC!$A$4:$J$6971,7,FALSE)</f>
        <v>0</v>
      </c>
    </row>
    <row r="3212" spans="1:11" ht="14.5">
      <c r="A3212" s="20" t="s">
        <v>22085</v>
      </c>
      <c r="B3212" s="20">
        <v>35</v>
      </c>
      <c r="C3212" s="20">
        <v>90</v>
      </c>
      <c r="D3212" s="20">
        <v>33</v>
      </c>
      <c r="E3212" s="20">
        <v>25</v>
      </c>
      <c r="F3212" s="20" t="s">
        <v>22086</v>
      </c>
      <c r="G3212" s="20" t="s">
        <v>22087</v>
      </c>
      <c r="H3212" s="24"/>
      <c r="I3212" s="24" t="str">
        <f ca="1">IFERROR(__xludf.DUMMYFUNCTION("GOOGLETRANSLATE(F3212,""en"",""pt"")"),"Etileno propileno dieno monómero (EPDM) juntas")</f>
        <v>Etileno propileno dieno monómero (EPDM) juntas</v>
      </c>
      <c r="J3212">
        <f>VLOOKUP(A3212,Pr_Base_LNEC!$A$4:$J$6971,6,FALSE)</f>
        <v>0</v>
      </c>
      <c r="K3212">
        <f>VLOOKUP(A3212,Pr_Base_LNEC!$A$4:$J$6971,7,FALSE)</f>
        <v>0</v>
      </c>
    </row>
    <row r="3213" spans="1:11" ht="14.5">
      <c r="A3213" s="20" t="s">
        <v>22088</v>
      </c>
      <c r="B3213" s="20">
        <v>35</v>
      </c>
      <c r="C3213" s="20">
        <v>90</v>
      </c>
      <c r="D3213" s="20">
        <v>33</v>
      </c>
      <c r="E3213" s="20">
        <v>26</v>
      </c>
      <c r="F3213" s="20" t="s">
        <v>22089</v>
      </c>
      <c r="G3213" s="20" t="s">
        <v>22090</v>
      </c>
      <c r="H3213" s="24"/>
      <c r="I3213" s="24" t="str">
        <f ca="1">IFERROR(__xludf.DUMMYFUNCTION("GOOGLETRANSLATE(F3213,""en"",""pt"")"),"secção de etileno propileno dieno monómero (EPDM), borracha de vitrificação guarnições")</f>
        <v>secção de etileno propileno dieno monómero (EPDM), borracha de vitrificação guarnições</v>
      </c>
      <c r="J3213">
        <f>VLOOKUP(A3213,Pr_Base_LNEC!$A$4:$J$6971,6,FALSE)</f>
        <v>0</v>
      </c>
      <c r="K3213">
        <f>VLOOKUP(A3213,Pr_Base_LNEC!$A$4:$J$6971,7,FALSE)</f>
        <v>0</v>
      </c>
    </row>
    <row r="3214" spans="1:11" ht="14.5">
      <c r="A3214" s="20" t="s">
        <v>22091</v>
      </c>
      <c r="B3214" s="20">
        <v>35</v>
      </c>
      <c r="C3214" s="20">
        <v>90</v>
      </c>
      <c r="D3214" s="20">
        <v>33</v>
      </c>
      <c r="E3214" s="20">
        <v>28</v>
      </c>
      <c r="F3214" s="20" t="s">
        <v>22092</v>
      </c>
      <c r="G3214" s="20" t="s">
        <v>22093</v>
      </c>
      <c r="H3214" s="24"/>
      <c r="I3214" s="24" t="str">
        <f ca="1">IFERROR(__xludf.DUMMYFUNCTION("GOOGLETRANSLATE(F3214,""en"",""pt"")"),"cloreto de polivinilo extrudido (PVC) juntas de envidraçamento")</f>
        <v>cloreto de polivinilo extrudido (PVC) juntas de envidraçamento</v>
      </c>
      <c r="J3214">
        <f>VLOOKUP(A3214,Pr_Base_LNEC!$A$4:$J$6971,6,FALSE)</f>
        <v>0</v>
      </c>
      <c r="K3214">
        <f>VLOOKUP(A3214,Pr_Base_LNEC!$A$4:$J$6971,7,FALSE)</f>
        <v>0</v>
      </c>
    </row>
    <row r="3215" spans="1:11" ht="14.5">
      <c r="A3215" s="20" t="s">
        <v>22094</v>
      </c>
      <c r="B3215" s="20">
        <v>35</v>
      </c>
      <c r="C3215" s="20">
        <v>90</v>
      </c>
      <c r="D3215" s="20">
        <v>33</v>
      </c>
      <c r="E3215" s="20">
        <v>34</v>
      </c>
      <c r="F3215" s="20" t="s">
        <v>22095</v>
      </c>
      <c r="G3215" s="20" t="s">
        <v>22096</v>
      </c>
      <c r="H3215" s="24"/>
      <c r="I3215" s="24" t="str">
        <f ca="1">IFERROR(__xludf.DUMMYFUNCTION("GOOGLETRANSLATE(F3215,""en"",""pt"")"),"plásticos reforçados de vidro (GRP) cladding neoprene")</f>
        <v>plásticos reforçados de vidro (GRP) cladding neoprene</v>
      </c>
      <c r="J3215">
        <f>VLOOKUP(A3215,Pr_Base_LNEC!$A$4:$J$6971,6,FALSE)</f>
        <v>0</v>
      </c>
      <c r="K3215">
        <f>VLOOKUP(A3215,Pr_Base_LNEC!$A$4:$J$6971,7,FALSE)</f>
        <v>0</v>
      </c>
    </row>
    <row r="3216" spans="1:11" ht="14.5">
      <c r="A3216" s="20" t="s">
        <v>22097</v>
      </c>
      <c r="B3216" s="20">
        <v>35</v>
      </c>
      <c r="C3216" s="20">
        <v>90</v>
      </c>
      <c r="D3216" s="20">
        <v>33</v>
      </c>
      <c r="E3216" s="20">
        <v>39</v>
      </c>
      <c r="F3216" s="20" t="s">
        <v>22098</v>
      </c>
      <c r="G3216" s="20" t="s">
        <v>22099</v>
      </c>
      <c r="H3216" s="24"/>
      <c r="I3216" s="24" t="str">
        <f ca="1">IFERROR(__xludf.DUMMYFUNCTION("GOOGLETRANSLATE(F3216,""en"",""pt"")"),"juntas hidrofílicos")</f>
        <v>juntas hidrofílicos</v>
      </c>
      <c r="J3216">
        <f>VLOOKUP(A3216,Pr_Base_LNEC!$A$4:$J$6971,6,FALSE)</f>
        <v>0</v>
      </c>
      <c r="K3216">
        <f>VLOOKUP(A3216,Pr_Base_LNEC!$A$4:$J$6971,7,FALSE)</f>
        <v>0</v>
      </c>
    </row>
    <row r="3217" spans="1:11" ht="14.5">
      <c r="A3217" s="20" t="s">
        <v>22100</v>
      </c>
      <c r="B3217" s="20">
        <v>35</v>
      </c>
      <c r="C3217" s="20">
        <v>90</v>
      </c>
      <c r="D3217" s="20">
        <v>33</v>
      </c>
      <c r="E3217" s="20">
        <v>56</v>
      </c>
      <c r="F3217" s="20" t="s">
        <v>22101</v>
      </c>
      <c r="G3217" s="20" t="s">
        <v>22102</v>
      </c>
      <c r="H3217" s="24"/>
      <c r="I3217" s="24" t="str">
        <f ca="1">IFERROR(__xludf.DUMMYFUNCTION("GOOGLETRANSLATE(F3217,""en"",""pt"")"),"defletores de neoprene")</f>
        <v>defletores de neoprene</v>
      </c>
      <c r="J3217">
        <f>VLOOKUP(A3217,Pr_Base_LNEC!$A$4:$J$6971,6,FALSE)</f>
        <v>0</v>
      </c>
      <c r="K3217">
        <f>VLOOKUP(A3217,Pr_Base_LNEC!$A$4:$J$6971,7,FALSE)</f>
        <v>0</v>
      </c>
    </row>
    <row r="3218" spans="1:11" ht="14.5">
      <c r="A3218" s="20" t="s">
        <v>22103</v>
      </c>
      <c r="B3218" s="20">
        <v>35</v>
      </c>
      <c r="C3218" s="20">
        <v>90</v>
      </c>
      <c r="D3218" s="20">
        <v>33</v>
      </c>
      <c r="E3218" s="20">
        <v>57</v>
      </c>
      <c r="F3218" s="20" t="s">
        <v>22104</v>
      </c>
      <c r="G3218" s="20" t="s">
        <v>22105</v>
      </c>
      <c r="H3218" s="24"/>
      <c r="I3218" s="24" t="str">
        <f ca="1">IFERROR(__xludf.DUMMYFUNCTION("GOOGLETRANSLATE(F3218,""en"",""pt"")"),"juntas de borracha e não celulares")</f>
        <v>juntas de borracha e não celulares</v>
      </c>
      <c r="J3218">
        <f>VLOOKUP(A3218,Pr_Base_LNEC!$A$4:$J$6971,6,FALSE)</f>
        <v>0</v>
      </c>
      <c r="K3218">
        <f>VLOOKUP(A3218,Pr_Base_LNEC!$A$4:$J$6971,7,FALSE)</f>
        <v>0</v>
      </c>
    </row>
    <row r="3219" spans="1:11" ht="14.5">
      <c r="A3219" s="20" t="s">
        <v>22106</v>
      </c>
      <c r="B3219" s="20">
        <v>35</v>
      </c>
      <c r="C3219" s="20">
        <v>90</v>
      </c>
      <c r="D3219" s="20">
        <v>33</v>
      </c>
      <c r="E3219" s="20">
        <v>64</v>
      </c>
      <c r="F3219" s="20" t="s">
        <v>22107</v>
      </c>
      <c r="G3219" s="20" t="s">
        <v>22108</v>
      </c>
      <c r="H3219" s="24"/>
      <c r="I3219" s="24" t="str">
        <f ca="1">IFERROR(__xludf.DUMMYFUNCTION("GOOGLETRANSLATE(F3219,""en"",""pt"")"),"defletores de polipropileno")</f>
        <v>defletores de polipropileno</v>
      </c>
      <c r="J3219">
        <f>VLOOKUP(A3219,Pr_Base_LNEC!$A$4:$J$6971,6,FALSE)</f>
        <v>0</v>
      </c>
      <c r="K3219">
        <f>VLOOKUP(A3219,Pr_Base_LNEC!$A$4:$J$6971,7,FALSE)</f>
        <v>0</v>
      </c>
    </row>
    <row r="3220" spans="1:11" ht="14.5">
      <c r="A3220" s="20" t="s">
        <v>22109</v>
      </c>
      <c r="B3220" s="20">
        <v>35</v>
      </c>
      <c r="C3220" s="20">
        <v>90</v>
      </c>
      <c r="D3220" s="20">
        <v>33</v>
      </c>
      <c r="E3220" s="20">
        <v>66</v>
      </c>
      <c r="F3220" s="20" t="s">
        <v>22110</v>
      </c>
      <c r="G3220" s="20" t="s">
        <v>22111</v>
      </c>
      <c r="H3220" s="24"/>
      <c r="I3220" s="24" t="str">
        <f ca="1">IFERROR(__xludf.DUMMYFUNCTION("GOOGLETRANSLATE(F3220,""en"",""pt"")"),"Pré-formado butil tira vidraças guarnições")</f>
        <v>Pré-formado butil tira vidraças guarnições</v>
      </c>
      <c r="J3220">
        <f>VLOOKUP(A3220,Pr_Base_LNEC!$A$4:$J$6971,6,FALSE)</f>
        <v>0</v>
      </c>
      <c r="K3220">
        <f>VLOOKUP(A3220,Pr_Base_LNEC!$A$4:$J$6971,7,FALSE)</f>
        <v>0</v>
      </c>
    </row>
    <row r="3221" spans="1:11" ht="14.5">
      <c r="A3221" s="20" t="s">
        <v>22112</v>
      </c>
      <c r="B3221" s="20">
        <v>35</v>
      </c>
      <c r="C3221" s="20">
        <v>90</v>
      </c>
      <c r="D3221" s="20">
        <v>33</v>
      </c>
      <c r="E3221" s="20">
        <v>77</v>
      </c>
      <c r="F3221" s="20" t="s">
        <v>22113</v>
      </c>
      <c r="G3221" s="20" t="s">
        <v>22114</v>
      </c>
      <c r="H3221" s="24"/>
      <c r="I3221" s="24" t="str">
        <f ca="1">IFERROR(__xludf.DUMMYFUNCTION("GOOGLETRANSLATE(F3221,""en"",""pt"")"),"Single-sided vidraças juntas")</f>
        <v>Single-sided vidraças juntas</v>
      </c>
      <c r="J3221">
        <f>VLOOKUP(A3221,Pr_Base_LNEC!$A$4:$J$6971,6,FALSE)</f>
        <v>0</v>
      </c>
      <c r="K3221">
        <f>VLOOKUP(A3221,Pr_Base_LNEC!$A$4:$J$6971,7,FALSE)</f>
        <v>0</v>
      </c>
    </row>
    <row r="3222" spans="1:11" ht="14.5">
      <c r="A3222" s="20" t="s">
        <v>22115</v>
      </c>
      <c r="B3222" s="20">
        <v>35</v>
      </c>
      <c r="C3222" s="20">
        <v>90</v>
      </c>
      <c r="D3222" s="20">
        <v>33</v>
      </c>
      <c r="E3222" s="20">
        <v>84</v>
      </c>
      <c r="F3222" s="20" t="s">
        <v>22116</v>
      </c>
      <c r="G3222" s="20" t="s">
        <v>22117</v>
      </c>
      <c r="H3222" s="24"/>
      <c r="I3222" s="24" t="str">
        <f ca="1">IFERROR(__xludf.DUMMYFUNCTION("GOOGLETRANSLATE(F3222,""en"",""pt"")"),"defletores de aço inoxidável")</f>
        <v>defletores de aço inoxidável</v>
      </c>
      <c r="J3222">
        <f>VLOOKUP(A3222,Pr_Base_LNEC!$A$4:$J$6971,6,FALSE)</f>
        <v>0</v>
      </c>
      <c r="K3222">
        <f>VLOOKUP(A3222,Pr_Base_LNEC!$A$4:$J$6971,7,FALSE)</f>
        <v>0</v>
      </c>
    </row>
    <row r="3223" spans="1:11" ht="14.5">
      <c r="A3223" s="20" t="s">
        <v>22118</v>
      </c>
      <c r="B3223" s="20">
        <v>35</v>
      </c>
      <c r="C3223" s="20">
        <v>90</v>
      </c>
      <c r="D3223" s="20">
        <v>33</v>
      </c>
      <c r="E3223" s="20">
        <v>86</v>
      </c>
      <c r="F3223" s="20" t="s">
        <v>22119</v>
      </c>
      <c r="G3223" s="20" t="s">
        <v>22120</v>
      </c>
      <c r="H3223" s="24"/>
      <c r="I3223" s="24" t="str">
        <f ca="1">IFERROR(__xludf.DUMMYFUNCTION("GOOGLETRANSLATE(F3223,""en"",""pt"")"),"juntas de borracha vidraças sintéticos")</f>
        <v>juntas de borracha vidraças sintéticos</v>
      </c>
      <c r="J3223">
        <f>VLOOKUP(A3223,Pr_Base_LNEC!$A$4:$J$6971,6,FALSE)</f>
        <v>0</v>
      </c>
      <c r="K3223">
        <f>VLOOKUP(A3223,Pr_Base_LNEC!$A$4:$J$6971,7,FALSE)</f>
        <v>0</v>
      </c>
    </row>
    <row r="3224" spans="1:11" ht="14.5">
      <c r="A3224" s="20" t="s">
        <v>22121</v>
      </c>
      <c r="B3224" s="20">
        <v>35</v>
      </c>
      <c r="C3224" s="20">
        <v>90</v>
      </c>
      <c r="D3224" s="20">
        <v>33</v>
      </c>
      <c r="E3224" s="20">
        <v>97</v>
      </c>
      <c r="F3224" s="20" t="s">
        <v>22122</v>
      </c>
      <c r="G3224" s="20" t="s">
        <v>22123</v>
      </c>
      <c r="H3224" s="24"/>
      <c r="I3224" s="24" t="str">
        <f ca="1">IFERROR(__xludf.DUMMYFUNCTION("GOOGLETRANSLATE(F3224,""en"",""pt"")"),"weatherstripping")</f>
        <v>weatherstripping</v>
      </c>
      <c r="J3224">
        <f>VLOOKUP(A3224,Pr_Base_LNEC!$A$4:$J$6971,6,FALSE)</f>
        <v>0</v>
      </c>
      <c r="K3224">
        <f>VLOOKUP(A3224,Pr_Base_LNEC!$A$4:$J$6971,7,FALSE)</f>
        <v>0</v>
      </c>
    </row>
    <row r="3225" spans="1:11" ht="14.5">
      <c r="A3225" s="20" t="s">
        <v>22124</v>
      </c>
      <c r="B3225" s="20">
        <v>35</v>
      </c>
      <c r="C3225" s="20">
        <v>90</v>
      </c>
      <c r="D3225" s="20">
        <v>33</v>
      </c>
      <c r="E3225" s="20">
        <v>99</v>
      </c>
      <c r="F3225" s="20" t="s">
        <v>22125</v>
      </c>
      <c r="G3225" s="20" t="s">
        <v>22126</v>
      </c>
      <c r="H3225" s="24"/>
      <c r="I3225" s="24" t="str">
        <f ca="1">IFERROR(__xludf.DUMMYFUNCTION("GOOGLETRANSLATE(F3225,""en"",""pt"")"),"juntas zipper")</f>
        <v>juntas zipper</v>
      </c>
      <c r="J3225">
        <f>VLOOKUP(A3225,Pr_Base_LNEC!$A$4:$J$6971,6,FALSE)</f>
        <v>0</v>
      </c>
      <c r="K3225">
        <f>VLOOKUP(A3225,Pr_Base_LNEC!$A$4:$J$6971,7,FALSE)</f>
        <v>0</v>
      </c>
    </row>
    <row r="3226" spans="1:11" ht="14.5">
      <c r="A3226" s="20" t="s">
        <v>22127</v>
      </c>
      <c r="B3226" s="20">
        <v>35</v>
      </c>
      <c r="C3226" s="20">
        <v>90</v>
      </c>
      <c r="D3226" s="20">
        <v>43</v>
      </c>
      <c r="E3226" s="24"/>
      <c r="F3226" s="20" t="s">
        <v>22128</v>
      </c>
      <c r="G3226" s="24"/>
      <c r="H3226" s="24"/>
      <c r="I3226" s="24" t="str">
        <f ca="1">IFERROR(__xludf.DUMMYFUNCTION("GOOGLETRANSLATE(F3226,""en"",""pt"")"),"paredes e tectos acabamentos interiores")</f>
        <v>paredes e tectos acabamentos interiores</v>
      </c>
      <c r="J3226">
        <f>VLOOKUP(A3226,Pr_Base_LNEC!$A$4:$J$6971,6,FALSE)</f>
        <v>0</v>
      </c>
      <c r="K3226">
        <f>VLOOKUP(A3226,Pr_Base_LNEC!$A$4:$J$6971,7,FALSE)</f>
        <v>0</v>
      </c>
    </row>
    <row r="3227" spans="1:11" ht="14.5">
      <c r="A3227" s="20" t="s">
        <v>22129</v>
      </c>
      <c r="B3227" s="20">
        <v>35</v>
      </c>
      <c r="C3227" s="20">
        <v>90</v>
      </c>
      <c r="D3227" s="20">
        <v>43</v>
      </c>
      <c r="E3227" s="20">
        <v>2</v>
      </c>
      <c r="F3227" s="20" t="s">
        <v>22130</v>
      </c>
      <c r="G3227" s="20" t="s">
        <v>22131</v>
      </c>
      <c r="H3227" s="24"/>
      <c r="I3227" s="24" t="str">
        <f ca="1">IFERROR(__xludf.DUMMYFUNCTION("GOOGLETRANSLATE(F3227,""en"",""pt"")"),"rodapés de alumínio")</f>
        <v>rodapés de alumínio</v>
      </c>
      <c r="J3227">
        <f>VLOOKUP(A3227,Pr_Base_LNEC!$A$4:$J$6971,6,FALSE)</f>
        <v>0</v>
      </c>
      <c r="K3227">
        <f>VLOOKUP(A3227,Pr_Base_LNEC!$A$4:$J$6971,7,FALSE)</f>
        <v>0</v>
      </c>
    </row>
    <row r="3228" spans="1:11" ht="14.5">
      <c r="A3228" s="20" t="s">
        <v>22132</v>
      </c>
      <c r="B3228" s="20">
        <v>35</v>
      </c>
      <c r="C3228" s="20">
        <v>90</v>
      </c>
      <c r="D3228" s="20">
        <v>43</v>
      </c>
      <c r="E3228" s="20">
        <v>3</v>
      </c>
      <c r="F3228" s="20" t="s">
        <v>22133</v>
      </c>
      <c r="G3228" s="24"/>
      <c r="H3228" s="24"/>
      <c r="I3228" s="24" t="str">
        <f ca="1">IFERROR(__xludf.DUMMYFUNCTION("GOOGLETRANSLATE(F3228,""en"",""pt"")"),"guarnições ângulo")</f>
        <v>guarnições ângulo</v>
      </c>
      <c r="J3228">
        <f>VLOOKUP(A3228,Pr_Base_LNEC!$A$4:$J$6971,6,FALSE)</f>
        <v>0</v>
      </c>
      <c r="K3228">
        <f>VLOOKUP(A3228,Pr_Base_LNEC!$A$4:$J$6971,7,FALSE)</f>
        <v>0</v>
      </c>
    </row>
    <row r="3229" spans="1:11" ht="14.5">
      <c r="A3229" s="20" t="s">
        <v>22134</v>
      </c>
      <c r="B3229" s="20">
        <v>35</v>
      </c>
      <c r="C3229" s="20">
        <v>90</v>
      </c>
      <c r="D3229" s="20">
        <v>43</v>
      </c>
      <c r="E3229" s="20">
        <v>4</v>
      </c>
      <c r="F3229" s="20" t="s">
        <v>22135</v>
      </c>
      <c r="G3229" s="24"/>
      <c r="H3229" s="24"/>
      <c r="I3229" s="24" t="str">
        <f ca="1">IFERROR(__xludf.DUMMYFUNCTION("GOOGLETRANSLATE(F3229,""en"",""pt"")"),"arrises")</f>
        <v>arrises</v>
      </c>
      <c r="J3229">
        <f>VLOOKUP(A3229,Pr_Base_LNEC!$A$4:$J$6971,6,FALSE)</f>
        <v>0</v>
      </c>
      <c r="K3229">
        <f>VLOOKUP(A3229,Pr_Base_LNEC!$A$4:$J$6971,7,FALSE)</f>
        <v>0</v>
      </c>
    </row>
    <row r="3230" spans="1:11" ht="14.5">
      <c r="A3230" s="20" t="s">
        <v>22136</v>
      </c>
      <c r="B3230" s="20">
        <v>35</v>
      </c>
      <c r="C3230" s="20">
        <v>90</v>
      </c>
      <c r="D3230" s="20">
        <v>43</v>
      </c>
      <c r="E3230" s="20">
        <v>12</v>
      </c>
      <c r="F3230" s="20" t="s">
        <v>22137</v>
      </c>
      <c r="G3230" s="20" t="s">
        <v>22138</v>
      </c>
      <c r="H3230" s="24"/>
      <c r="I3230" s="24" t="str">
        <f ca="1">IFERROR(__xludf.DUMMYFUNCTION("GOOGLETRANSLATE(F3230,""en"",""pt"")"),"Tecto perímetro guarnições")</f>
        <v>Tecto perímetro guarnições</v>
      </c>
      <c r="J3230">
        <f>VLOOKUP(A3230,Pr_Base_LNEC!$A$4:$J$6971,6,FALSE)</f>
        <v>0</v>
      </c>
      <c r="K3230">
        <f>VLOOKUP(A3230,Pr_Base_LNEC!$A$4:$J$6971,7,FALSE)</f>
        <v>0</v>
      </c>
    </row>
    <row r="3231" spans="1:11" ht="14.5">
      <c r="A3231" s="20" t="s">
        <v>22139</v>
      </c>
      <c r="B3231" s="20">
        <v>35</v>
      </c>
      <c r="C3231" s="20">
        <v>90</v>
      </c>
      <c r="D3231" s="20">
        <v>43</v>
      </c>
      <c r="E3231" s="20">
        <v>13</v>
      </c>
      <c r="F3231" s="20" t="s">
        <v>22140</v>
      </c>
      <c r="G3231" s="20" t="s">
        <v>22141</v>
      </c>
      <c r="H3231" s="24"/>
      <c r="I3231" s="24" t="str">
        <f ca="1">IFERROR(__xludf.DUMMYFUNCTION("GOOGLETRANSLATE(F3231,""en"",""pt"")"),"guardas de coluna")</f>
        <v>guardas de coluna</v>
      </c>
      <c r="J3231">
        <f>VLOOKUP(A3231,Pr_Base_LNEC!$A$4:$J$6971,6,FALSE)</f>
        <v>0</v>
      </c>
      <c r="K3231">
        <f>VLOOKUP(A3231,Pr_Base_LNEC!$A$4:$J$6971,7,FALSE)</f>
        <v>0</v>
      </c>
    </row>
    <row r="3232" spans="1:11" ht="14.5">
      <c r="A3232" s="20" t="s">
        <v>22142</v>
      </c>
      <c r="B3232" s="20">
        <v>35</v>
      </c>
      <c r="C3232" s="20">
        <v>90</v>
      </c>
      <c r="D3232" s="20">
        <v>43</v>
      </c>
      <c r="E3232" s="20">
        <v>14</v>
      </c>
      <c r="F3232" s="20" t="s">
        <v>22143</v>
      </c>
      <c r="G3232" s="20" t="s">
        <v>22144</v>
      </c>
      <c r="H3232" s="24"/>
      <c r="I3232" s="24" t="str">
        <f ca="1">IFERROR(__xludf.DUMMYFUNCTION("GOOGLETRANSLATE(F3232,""en"",""pt"")"),"skirtings Cork Cove")</f>
        <v>skirtings Cork Cove</v>
      </c>
      <c r="J3232">
        <f>VLOOKUP(A3232,Pr_Base_LNEC!$A$4:$J$6971,6,FALSE)</f>
        <v>0</v>
      </c>
      <c r="K3232">
        <f>VLOOKUP(A3232,Pr_Base_LNEC!$A$4:$J$6971,7,FALSE)</f>
        <v>0</v>
      </c>
    </row>
    <row r="3233" spans="1:11" ht="14.5">
      <c r="A3233" s="20" t="s">
        <v>22145</v>
      </c>
      <c r="B3233" s="20">
        <v>35</v>
      </c>
      <c r="C3233" s="20">
        <v>90</v>
      </c>
      <c r="D3233" s="20">
        <v>43</v>
      </c>
      <c r="E3233" s="20">
        <v>15</v>
      </c>
      <c r="F3233" s="20" t="s">
        <v>22146</v>
      </c>
      <c r="G3233" s="20" t="s">
        <v>22147</v>
      </c>
      <c r="H3233" s="24"/>
      <c r="I3233" s="24" t="str">
        <f ca="1">IFERROR(__xludf.DUMMYFUNCTION("GOOGLETRANSLATE(F3233,""en"",""pt"")"),"guardas de canto")</f>
        <v>guardas de canto</v>
      </c>
      <c r="J3233">
        <f>VLOOKUP(A3233,Pr_Base_LNEC!$A$4:$J$6971,6,FALSE)</f>
        <v>0</v>
      </c>
      <c r="K3233">
        <f>VLOOKUP(A3233,Pr_Base_LNEC!$A$4:$J$6971,7,FALSE)</f>
        <v>0</v>
      </c>
    </row>
    <row r="3234" spans="1:11" ht="14.5">
      <c r="A3234" s="20" t="s">
        <v>22148</v>
      </c>
      <c r="B3234" s="20">
        <v>35</v>
      </c>
      <c r="C3234" s="20">
        <v>90</v>
      </c>
      <c r="D3234" s="20">
        <v>43</v>
      </c>
      <c r="E3234" s="20">
        <v>16</v>
      </c>
      <c r="F3234" s="20" t="s">
        <v>22149</v>
      </c>
      <c r="G3234" s="20" t="s">
        <v>22150</v>
      </c>
      <c r="H3234" s="24"/>
      <c r="I3234" s="24" t="str">
        <f ca="1">IFERROR(__xludf.DUMMYFUNCTION("GOOGLETRANSLATE(F3234,""en"",""pt"")"),"tiras de cobertura")</f>
        <v>tiras de cobertura</v>
      </c>
      <c r="J3234">
        <f>VLOOKUP(A3234,Pr_Base_LNEC!$A$4:$J$6971,6,FALSE)</f>
        <v>0</v>
      </c>
      <c r="K3234">
        <f>VLOOKUP(A3234,Pr_Base_LNEC!$A$4:$J$6971,7,FALSE)</f>
        <v>0</v>
      </c>
    </row>
    <row r="3235" spans="1:11" ht="14.5">
      <c r="A3235" s="20" t="s">
        <v>22151</v>
      </c>
      <c r="B3235" s="20">
        <v>35</v>
      </c>
      <c r="C3235" s="20">
        <v>90</v>
      </c>
      <c r="D3235" s="20">
        <v>43</v>
      </c>
      <c r="E3235" s="20">
        <v>17</v>
      </c>
      <c r="F3235" s="20" t="s">
        <v>22152</v>
      </c>
      <c r="G3235" s="24"/>
      <c r="H3235" s="24"/>
      <c r="I3235" s="24" t="str">
        <f ca="1">IFERROR(__xludf.DUMMYFUNCTION("GOOGLETRANSLATE(F3235,""en"",""pt"")"),"Coves")</f>
        <v>Coves</v>
      </c>
      <c r="J3235">
        <f>VLOOKUP(A3235,Pr_Base_LNEC!$A$4:$J$6971,6,FALSE)</f>
        <v>0</v>
      </c>
      <c r="K3235">
        <f>VLOOKUP(A3235,Pr_Base_LNEC!$A$4:$J$6971,7,FALSE)</f>
        <v>0</v>
      </c>
    </row>
    <row r="3236" spans="1:11" ht="14.5">
      <c r="A3236" s="20" t="s">
        <v>22153</v>
      </c>
      <c r="B3236" s="20">
        <v>35</v>
      </c>
      <c r="C3236" s="20">
        <v>90</v>
      </c>
      <c r="D3236" s="20">
        <v>43</v>
      </c>
      <c r="E3236" s="20">
        <v>21</v>
      </c>
      <c r="F3236" s="20" t="s">
        <v>22154</v>
      </c>
      <c r="G3236" s="20" t="s">
        <v>22155</v>
      </c>
      <c r="H3236" s="24"/>
      <c r="I3236" s="24" t="str">
        <f ca="1">IFERROR(__xludf.DUMMYFUNCTION("GOOGLETRANSLATE(F3236,""en"",""pt"")"),"ripas de ponta")</f>
        <v>ripas de ponta</v>
      </c>
      <c r="J3236">
        <f>VLOOKUP(A3236,Pr_Base_LNEC!$A$4:$J$6971,6,FALSE)</f>
        <v>0</v>
      </c>
      <c r="K3236">
        <f>VLOOKUP(A3236,Pr_Base_LNEC!$A$4:$J$6971,7,FALSE)</f>
        <v>0</v>
      </c>
    </row>
    <row r="3237" spans="1:11" ht="14.5">
      <c r="A3237" s="20" t="s">
        <v>22156</v>
      </c>
      <c r="B3237" s="20">
        <v>35</v>
      </c>
      <c r="C3237" s="20">
        <v>90</v>
      </c>
      <c r="D3237" s="20">
        <v>43</v>
      </c>
      <c r="E3237" s="20">
        <v>22</v>
      </c>
      <c r="F3237" s="20" t="s">
        <v>22157</v>
      </c>
      <c r="G3237" s="20" t="s">
        <v>22158</v>
      </c>
      <c r="H3237" s="24"/>
      <c r="I3237" s="24" t="str">
        <f ca="1">IFERROR(__xludf.DUMMYFUNCTION("GOOGLETRANSLATE(F3237,""en"",""pt"")"),"guarnições de Borda")</f>
        <v>guarnições de Borda</v>
      </c>
      <c r="J3237">
        <f>VLOOKUP(A3237,Pr_Base_LNEC!$A$4:$J$6971,6,FALSE)</f>
        <v>0</v>
      </c>
      <c r="K3237">
        <f>VLOOKUP(A3237,Pr_Base_LNEC!$A$4:$J$6971,7,FALSE)</f>
        <v>0</v>
      </c>
    </row>
    <row r="3238" spans="1:11" ht="14.5">
      <c r="A3238" s="20" t="s">
        <v>22159</v>
      </c>
      <c r="B3238" s="20">
        <v>35</v>
      </c>
      <c r="C3238" s="20">
        <v>90</v>
      </c>
      <c r="D3238" s="20">
        <v>43</v>
      </c>
      <c r="E3238" s="20">
        <v>29</v>
      </c>
      <c r="F3238" s="20" t="s">
        <v>22160</v>
      </c>
      <c r="G3238" s="20" t="s">
        <v>22161</v>
      </c>
      <c r="H3238" s="24"/>
      <c r="I3238" s="24" t="str">
        <f ca="1">IFERROR(__xludf.DUMMYFUNCTION("GOOGLETRANSLATE(F3238,""en"",""pt"")"),"molduras de gesso fibrosos")</f>
        <v>molduras de gesso fibrosos</v>
      </c>
      <c r="J3238">
        <f>VLOOKUP(A3238,Pr_Base_LNEC!$A$4:$J$6971,6,FALSE)</f>
        <v>0</v>
      </c>
      <c r="K3238">
        <f>VLOOKUP(A3238,Pr_Base_LNEC!$A$4:$J$6971,7,FALSE)</f>
        <v>0</v>
      </c>
    </row>
    <row r="3239" spans="1:11" ht="14.5">
      <c r="A3239" s="20" t="s">
        <v>22162</v>
      </c>
      <c r="B3239" s="20">
        <v>35</v>
      </c>
      <c r="C3239" s="20">
        <v>90</v>
      </c>
      <c r="D3239" s="20">
        <v>43</v>
      </c>
      <c r="E3239" s="20">
        <v>30</v>
      </c>
      <c r="F3239" s="20" t="s">
        <v>22163</v>
      </c>
      <c r="G3239" s="24"/>
      <c r="H3239" s="24"/>
      <c r="I3239" s="24" t="str">
        <f ca="1">IFERROR(__xludf.DUMMYFUNCTION("GOOGLETRANSLATE(F3239,""en"",""pt"")"),"tampas de isolamento de incêndio")</f>
        <v>tampas de isolamento de incêndio</v>
      </c>
      <c r="J3239">
        <f>VLOOKUP(A3239,Pr_Base_LNEC!$A$4:$J$6971,6,FALSE)</f>
        <v>0</v>
      </c>
      <c r="K3239">
        <f>VLOOKUP(A3239,Pr_Base_LNEC!$A$4:$J$6971,7,FALSE)</f>
        <v>0</v>
      </c>
    </row>
    <row r="3240" spans="1:11" ht="14.5">
      <c r="A3240" s="20" t="s">
        <v>22164</v>
      </c>
      <c r="B3240" s="20">
        <v>35</v>
      </c>
      <c r="C3240" s="20">
        <v>90</v>
      </c>
      <c r="D3240" s="20">
        <v>43</v>
      </c>
      <c r="E3240" s="20">
        <v>42</v>
      </c>
      <c r="F3240" s="20" t="s">
        <v>22165</v>
      </c>
      <c r="G3240" s="20" t="s">
        <v>22166</v>
      </c>
      <c r="H3240" s="24"/>
      <c r="I3240" s="24" t="str">
        <f ca="1">IFERROR(__xludf.DUMMYFUNCTION("GOOGLETRANSLATE(F3240,""en"",""pt"")"),"vazadas de proteção intumescentes")</f>
        <v>vazadas de proteção intumescentes</v>
      </c>
      <c r="J3240">
        <f>VLOOKUP(A3240,Pr_Base_LNEC!$A$4:$J$6971,6,FALSE)</f>
        <v>0</v>
      </c>
      <c r="K3240">
        <f>VLOOKUP(A3240,Pr_Base_LNEC!$A$4:$J$6971,7,FALSE)</f>
        <v>0</v>
      </c>
    </row>
    <row r="3241" spans="1:11" ht="14.5">
      <c r="A3241" s="20" t="s">
        <v>22167</v>
      </c>
      <c r="B3241" s="20">
        <v>35</v>
      </c>
      <c r="C3241" s="20">
        <v>90</v>
      </c>
      <c r="D3241" s="20">
        <v>43</v>
      </c>
      <c r="E3241" s="20">
        <v>47</v>
      </c>
      <c r="F3241" s="20" t="s">
        <v>22168</v>
      </c>
      <c r="G3241" s="20" t="s">
        <v>22169</v>
      </c>
      <c r="H3241" s="24"/>
      <c r="I3241" s="24" t="str">
        <f ca="1">IFERROR(__xludf.DUMMYFUNCTION("GOOGLETRANSLATE(F3241,""en"",""pt"")"),"cornijas de iluminação")</f>
        <v>cornijas de iluminação</v>
      </c>
      <c r="J3241">
        <f>VLOOKUP(A3241,Pr_Base_LNEC!$A$4:$J$6971,6,FALSE)</f>
        <v>0</v>
      </c>
      <c r="K3241">
        <f>VLOOKUP(A3241,Pr_Base_LNEC!$A$4:$J$6971,7,FALSE)</f>
        <v>0</v>
      </c>
    </row>
    <row r="3242" spans="1:11" ht="14.5">
      <c r="A3242" s="20" t="s">
        <v>22170</v>
      </c>
      <c r="B3242" s="20">
        <v>35</v>
      </c>
      <c r="C3242" s="20">
        <v>90</v>
      </c>
      <c r="D3242" s="20">
        <v>43</v>
      </c>
      <c r="E3242" s="20">
        <v>48</v>
      </c>
      <c r="F3242" s="20" t="s">
        <v>22171</v>
      </c>
      <c r="G3242" s="20" t="s">
        <v>22172</v>
      </c>
      <c r="H3242" s="24"/>
      <c r="I3242" s="24" t="str">
        <f ca="1">IFERROR(__xludf.DUMMYFUNCTION("GOOGLETRANSLATE(F3242,""en"",""pt"")"),"painéis de fibras de média densidade (MDF) architraves")</f>
        <v>painéis de fibras de média densidade (MDF) architraves</v>
      </c>
      <c r="J3242">
        <f>VLOOKUP(A3242,Pr_Base_LNEC!$A$4:$J$6971,6,FALSE)</f>
        <v>0</v>
      </c>
      <c r="K3242">
        <f>VLOOKUP(A3242,Pr_Base_LNEC!$A$4:$J$6971,7,FALSE)</f>
        <v>0</v>
      </c>
    </row>
    <row r="3243" spans="1:11" ht="14.5">
      <c r="A3243" s="20" t="s">
        <v>22173</v>
      </c>
      <c r="B3243" s="20">
        <v>35</v>
      </c>
      <c r="C3243" s="20">
        <v>90</v>
      </c>
      <c r="D3243" s="20">
        <v>43</v>
      </c>
      <c r="E3243" s="20">
        <v>49</v>
      </c>
      <c r="F3243" s="20" t="s">
        <v>22174</v>
      </c>
      <c r="G3243" s="24"/>
      <c r="H3243" s="24"/>
      <c r="I3243" s="24" t="str">
        <f ca="1">IFERROR(__xludf.DUMMYFUNCTION("GOOGLETRANSLATE(F3243,""en"",""pt"")"),"painéis de fibras de média densidade (MDF) encostos")</f>
        <v>painéis de fibras de média densidade (MDF) encostos</v>
      </c>
      <c r="J3243">
        <f>VLOOKUP(A3243,Pr_Base_LNEC!$A$4:$J$6971,6,FALSE)</f>
        <v>0</v>
      </c>
      <c r="K3243">
        <f>VLOOKUP(A3243,Pr_Base_LNEC!$A$4:$J$6971,7,FALSE)</f>
        <v>0</v>
      </c>
    </row>
    <row r="3244" spans="1:11" ht="14.5">
      <c r="A3244" s="20" t="s">
        <v>22175</v>
      </c>
      <c r="B3244" s="20">
        <v>35</v>
      </c>
      <c r="C3244" s="20">
        <v>90</v>
      </c>
      <c r="D3244" s="20">
        <v>43</v>
      </c>
      <c r="E3244" s="20">
        <v>50</v>
      </c>
      <c r="F3244" s="20" t="s">
        <v>22176</v>
      </c>
      <c r="G3244" s="24"/>
      <c r="H3244" s="24"/>
      <c r="I3244" s="24" t="str">
        <f ca="1">IFERROR(__xludf.DUMMYFUNCTION("GOOGLETRANSLATE(F3244,""en"",""pt"")"),"painéis de fibras de média densidade (MDF) tiras de cobertura")</f>
        <v>painéis de fibras de média densidade (MDF) tiras de cobertura</v>
      </c>
      <c r="J3244">
        <f>VLOOKUP(A3244,Pr_Base_LNEC!$A$4:$J$6971,6,FALSE)</f>
        <v>0</v>
      </c>
      <c r="K3244">
        <f>VLOOKUP(A3244,Pr_Base_LNEC!$A$4:$J$6971,7,FALSE)</f>
        <v>0</v>
      </c>
    </row>
    <row r="3245" spans="1:11" ht="14.5">
      <c r="A3245" s="20" t="s">
        <v>22177</v>
      </c>
      <c r="B3245" s="20">
        <v>35</v>
      </c>
      <c r="C3245" s="20">
        <v>90</v>
      </c>
      <c r="D3245" s="20">
        <v>43</v>
      </c>
      <c r="E3245" s="20">
        <v>51</v>
      </c>
      <c r="F3245" s="20" t="s">
        <v>22178</v>
      </c>
      <c r="G3245" s="20" t="s">
        <v>22179</v>
      </c>
      <c r="H3245" s="24"/>
      <c r="I3245" s="24" t="str">
        <f ca="1">IFERROR(__xludf.DUMMYFUNCTION("GOOGLETRANSLATE(F3245,""en"",""pt"")"),"fibras de média densidade (MDF) de Dado carris")</f>
        <v>fibras de média densidade (MDF) de Dado carris</v>
      </c>
      <c r="J3245">
        <f>VLOOKUP(A3245,Pr_Base_LNEC!$A$4:$J$6971,6,FALSE)</f>
        <v>0</v>
      </c>
      <c r="K3245">
        <f>VLOOKUP(A3245,Pr_Base_LNEC!$A$4:$J$6971,7,FALSE)</f>
        <v>0</v>
      </c>
    </row>
    <row r="3246" spans="1:11" ht="14.5">
      <c r="A3246" s="20" t="s">
        <v>22180</v>
      </c>
      <c r="B3246" s="20">
        <v>35</v>
      </c>
      <c r="C3246" s="20">
        <v>90</v>
      </c>
      <c r="D3246" s="20">
        <v>43</v>
      </c>
      <c r="E3246" s="20">
        <v>52</v>
      </c>
      <c r="F3246" s="20" t="s">
        <v>22181</v>
      </c>
      <c r="G3246" s="24"/>
      <c r="H3246" s="24"/>
      <c r="I3246" s="24" t="str">
        <f ca="1">IFERROR(__xludf.DUMMYFUNCTION("GOOGLETRANSLATE(F3246,""en"",""pt"")"),"painéis de fibras de média densidade (MDF) guarnições borda")</f>
        <v>painéis de fibras de média densidade (MDF) guarnições borda</v>
      </c>
      <c r="J3246">
        <f>VLOOKUP(A3246,Pr_Base_LNEC!$A$4:$J$6971,6,FALSE)</f>
        <v>0</v>
      </c>
      <c r="K3246">
        <f>VLOOKUP(A3246,Pr_Base_LNEC!$A$4:$J$6971,7,FALSE)</f>
        <v>0</v>
      </c>
    </row>
    <row r="3247" spans="1:11" ht="14.5">
      <c r="A3247" s="20" t="s">
        <v>22182</v>
      </c>
      <c r="B3247" s="20">
        <v>35</v>
      </c>
      <c r="C3247" s="20">
        <v>90</v>
      </c>
      <c r="D3247" s="20">
        <v>43</v>
      </c>
      <c r="E3247" s="20">
        <v>53</v>
      </c>
      <c r="F3247" s="20" t="s">
        <v>22183</v>
      </c>
      <c r="G3247" s="20" t="s">
        <v>22184</v>
      </c>
      <c r="H3247" s="24"/>
      <c r="I3247" s="24" t="str">
        <f ca="1">IFERROR(__xludf.DUMMYFUNCTION("GOOGLETRANSLATE(F3247,""en"",""pt"")"),"painéis de fibras de média densidade (MDF) placas de guarnição")</f>
        <v>painéis de fibras de média densidade (MDF) placas de guarnição</v>
      </c>
      <c r="J3247">
        <f>VLOOKUP(A3247,Pr_Base_LNEC!$A$4:$J$6971,6,FALSE)</f>
        <v>0</v>
      </c>
      <c r="K3247">
        <f>VLOOKUP(A3247,Pr_Base_LNEC!$A$4:$J$6971,7,FALSE)</f>
        <v>0</v>
      </c>
    </row>
    <row r="3248" spans="1:11" ht="14.5">
      <c r="A3248" s="20" t="s">
        <v>22185</v>
      </c>
      <c r="B3248" s="20">
        <v>35</v>
      </c>
      <c r="C3248" s="20">
        <v>90</v>
      </c>
      <c r="D3248" s="20">
        <v>43</v>
      </c>
      <c r="E3248" s="20">
        <v>54</v>
      </c>
      <c r="F3248" s="20" t="s">
        <v>22186</v>
      </c>
      <c r="G3248" s="20" t="s">
        <v>22187</v>
      </c>
      <c r="H3248" s="24"/>
      <c r="I3248" s="24" t="str">
        <f ca="1">IFERROR(__xludf.DUMMYFUNCTION("GOOGLETRANSLATE(F3248,""en"",""pt"")"),"painéis de fibras de média densidade (MDF) molduras e guarnições")</f>
        <v>painéis de fibras de média densidade (MDF) molduras e guarnições</v>
      </c>
      <c r="J3248">
        <f>VLOOKUP(A3248,Pr_Base_LNEC!$A$4:$J$6971,6,FALSE)</f>
        <v>0</v>
      </c>
      <c r="K3248">
        <f>VLOOKUP(A3248,Pr_Base_LNEC!$A$4:$J$6971,7,FALSE)</f>
        <v>0</v>
      </c>
    </row>
    <row r="3249" spans="1:11" ht="14.5">
      <c r="A3249" s="20" t="s">
        <v>22188</v>
      </c>
      <c r="B3249" s="20">
        <v>35</v>
      </c>
      <c r="C3249" s="20">
        <v>90</v>
      </c>
      <c r="D3249" s="20">
        <v>43</v>
      </c>
      <c r="E3249" s="20">
        <v>55</v>
      </c>
      <c r="F3249" s="20" t="s">
        <v>22189</v>
      </c>
      <c r="G3249" s="24"/>
      <c r="H3249" s="24"/>
      <c r="I3249" s="24" t="str">
        <f ca="1">IFERROR(__xludf.DUMMYFUNCTION("GOOGLETRANSLATE(F3249,""en"",""pt"")"),"fibras de média densidade (MDF) de ripas de montagem")</f>
        <v>fibras de média densidade (MDF) de ripas de montagem</v>
      </c>
      <c r="J3249">
        <f>VLOOKUP(A3249,Pr_Base_LNEC!$A$4:$J$6971,6,FALSE)</f>
        <v>0</v>
      </c>
      <c r="K3249">
        <f>VLOOKUP(A3249,Pr_Base_LNEC!$A$4:$J$6971,7,FALSE)</f>
        <v>0</v>
      </c>
    </row>
    <row r="3250" spans="1:11" ht="14.5">
      <c r="A3250" s="20" t="s">
        <v>22190</v>
      </c>
      <c r="B3250" s="20">
        <v>35</v>
      </c>
      <c r="C3250" s="20">
        <v>90</v>
      </c>
      <c r="D3250" s="20">
        <v>43</v>
      </c>
      <c r="E3250" s="20">
        <v>56</v>
      </c>
      <c r="F3250" s="20" t="s">
        <v>22191</v>
      </c>
      <c r="G3250" s="20" t="s">
        <v>22192</v>
      </c>
      <c r="H3250" s="24"/>
      <c r="I3250" s="24" t="str">
        <f ca="1">IFERROR(__xludf.DUMMYFUNCTION("GOOGLETRANSLATE(F3250,""en"",""pt"")"),"Painéis de média densidade (MDF) trilhos de imagem")</f>
        <v>Painéis de média densidade (MDF) trilhos de imagem</v>
      </c>
      <c r="J3250">
        <f>VLOOKUP(A3250,Pr_Base_LNEC!$A$4:$J$6971,6,FALSE)</f>
        <v>0</v>
      </c>
      <c r="K3250">
        <f>VLOOKUP(A3250,Pr_Base_LNEC!$A$4:$J$6971,7,FALSE)</f>
        <v>0</v>
      </c>
    </row>
    <row r="3251" spans="1:11" ht="14.5">
      <c r="A3251" s="20" t="s">
        <v>22193</v>
      </c>
      <c r="B3251" s="20">
        <v>35</v>
      </c>
      <c r="C3251" s="20">
        <v>90</v>
      </c>
      <c r="D3251" s="20">
        <v>43</v>
      </c>
      <c r="E3251" s="20">
        <v>57</v>
      </c>
      <c r="F3251" s="20" t="s">
        <v>22194</v>
      </c>
      <c r="G3251" s="24"/>
      <c r="H3251" s="24"/>
      <c r="I3251" s="24" t="str">
        <f ca="1">IFERROR(__xludf.DUMMYFUNCTION("GOOGLETRANSLATE(F3251,""en"",""pt"")"),"painéis de fibras de média densidade (MDF) de protecção carris")</f>
        <v>painéis de fibras de média densidade (MDF) de protecção carris</v>
      </c>
      <c r="J3251">
        <f>VLOOKUP(A3251,Pr_Base_LNEC!$A$4:$J$6971,6,FALSE)</f>
        <v>0</v>
      </c>
      <c r="K3251">
        <f>VLOOKUP(A3251,Pr_Base_LNEC!$A$4:$J$6971,7,FALSE)</f>
        <v>0</v>
      </c>
    </row>
    <row r="3252" spans="1:11" ht="14.5">
      <c r="A3252" s="20" t="s">
        <v>22195</v>
      </c>
      <c r="B3252" s="20">
        <v>35</v>
      </c>
      <c r="C3252" s="20">
        <v>90</v>
      </c>
      <c r="D3252" s="20">
        <v>43</v>
      </c>
      <c r="E3252" s="20">
        <v>58</v>
      </c>
      <c r="F3252" s="20" t="s">
        <v>22196</v>
      </c>
      <c r="G3252" s="20" t="s">
        <v>22197</v>
      </c>
      <c r="H3252" s="24"/>
      <c r="I3252" s="24" t="str">
        <f ca="1">IFERROR(__xludf.DUMMYFUNCTION("GOOGLETRANSLATE(F3252,""en"",""pt"")"),"painéis de fibras de média densidade (MDF) rodapés")</f>
        <v>painéis de fibras de média densidade (MDF) rodapés</v>
      </c>
      <c r="J3252">
        <f>VLOOKUP(A3252,Pr_Base_LNEC!$A$4:$J$6971,6,FALSE)</f>
        <v>0</v>
      </c>
      <c r="K3252">
        <f>VLOOKUP(A3252,Pr_Base_LNEC!$A$4:$J$6971,7,FALSE)</f>
        <v>0</v>
      </c>
    </row>
    <row r="3253" spans="1:11" ht="14.5">
      <c r="A3253" s="20" t="s">
        <v>22198</v>
      </c>
      <c r="B3253" s="20">
        <v>35</v>
      </c>
      <c r="C3253" s="20">
        <v>90</v>
      </c>
      <c r="D3253" s="20">
        <v>43</v>
      </c>
      <c r="E3253" s="20">
        <v>59</v>
      </c>
      <c r="F3253" s="20" t="s">
        <v>22199</v>
      </c>
      <c r="G3253" s="20" t="s">
        <v>22131</v>
      </c>
      <c r="H3253" s="24"/>
      <c r="I3253" s="24" t="str">
        <f ca="1">IFERROR(__xludf.DUMMYFUNCTION("GOOGLETRANSLATE(F3253,""en"",""pt"")"),"rodapés de metal")</f>
        <v>rodapés de metal</v>
      </c>
      <c r="J3253">
        <f>VLOOKUP(A3253,Pr_Base_LNEC!$A$4:$J$6971,6,FALSE)</f>
        <v>0</v>
      </c>
      <c r="K3253">
        <f>VLOOKUP(A3253,Pr_Base_LNEC!$A$4:$J$6971,7,FALSE)</f>
        <v>0</v>
      </c>
    </row>
    <row r="3254" spans="1:11" ht="14.5">
      <c r="A3254" s="20" t="s">
        <v>22200</v>
      </c>
      <c r="B3254" s="20">
        <v>35</v>
      </c>
      <c r="C3254" s="20">
        <v>90</v>
      </c>
      <c r="D3254" s="20">
        <v>43</v>
      </c>
      <c r="E3254" s="20">
        <v>60</v>
      </c>
      <c r="F3254" s="20" t="s">
        <v>22201</v>
      </c>
      <c r="G3254" s="20" t="s">
        <v>22202</v>
      </c>
      <c r="H3254" s="24"/>
      <c r="I3254" s="24" t="str">
        <f ca="1">IFERROR(__xludf.DUMMYFUNCTION("GOOGLETRANSLATE(F3254,""en"",""pt"")"),"partição painel peças mais estreitas")</f>
        <v>partição painel peças mais estreitas</v>
      </c>
      <c r="J3254">
        <f>VLOOKUP(A3254,Pr_Base_LNEC!$A$4:$J$6971,6,FALSE)</f>
        <v>0</v>
      </c>
      <c r="K3254">
        <f>VLOOKUP(A3254,Pr_Base_LNEC!$A$4:$J$6971,7,FALSE)</f>
        <v>0</v>
      </c>
    </row>
    <row r="3255" spans="1:11" ht="14.5">
      <c r="A3255" s="20" t="s">
        <v>22203</v>
      </c>
      <c r="B3255" s="20">
        <v>35</v>
      </c>
      <c r="C3255" s="20">
        <v>90</v>
      </c>
      <c r="D3255" s="20">
        <v>43</v>
      </c>
      <c r="E3255" s="20">
        <v>61</v>
      </c>
      <c r="F3255" s="20" t="s">
        <v>22204</v>
      </c>
      <c r="G3255" s="24"/>
      <c r="H3255" s="24"/>
      <c r="I3255" s="24" t="str">
        <f ca="1">IFERROR(__xludf.DUMMYFUNCTION("GOOGLETRANSLATE(F3255,""en"",""pt"")"),"pilastras")</f>
        <v>pilastras</v>
      </c>
      <c r="J3255">
        <f>VLOOKUP(A3255,Pr_Base_LNEC!$A$4:$J$6971,6,FALSE)</f>
        <v>0</v>
      </c>
      <c r="K3255">
        <f>VLOOKUP(A3255,Pr_Base_LNEC!$A$4:$J$6971,7,FALSE)</f>
        <v>0</v>
      </c>
    </row>
    <row r="3256" spans="1:11" ht="14.5">
      <c r="A3256" s="20" t="s">
        <v>22205</v>
      </c>
      <c r="B3256" s="20">
        <v>35</v>
      </c>
      <c r="C3256" s="20">
        <v>90</v>
      </c>
      <c r="D3256" s="20">
        <v>43</v>
      </c>
      <c r="E3256" s="20">
        <v>62</v>
      </c>
      <c r="F3256" s="20" t="s">
        <v>22206</v>
      </c>
      <c r="G3256" s="24"/>
      <c r="H3256" s="24"/>
      <c r="I3256" s="24" t="str">
        <f ca="1">IFERROR(__xludf.DUMMYFUNCTION("GOOGLETRANSLATE(F3256,""en"",""pt"")"),"cornijas de gesso")</f>
        <v>cornijas de gesso</v>
      </c>
      <c r="J3256">
        <f>VLOOKUP(A3256,Pr_Base_LNEC!$A$4:$J$6971,6,FALSE)</f>
        <v>0</v>
      </c>
      <c r="K3256">
        <f>VLOOKUP(A3256,Pr_Base_LNEC!$A$4:$J$6971,7,FALSE)</f>
        <v>0</v>
      </c>
    </row>
    <row r="3257" spans="1:11" ht="14.5">
      <c r="A3257" s="20" t="s">
        <v>22207</v>
      </c>
      <c r="B3257" s="20">
        <v>35</v>
      </c>
      <c r="C3257" s="20">
        <v>90</v>
      </c>
      <c r="D3257" s="20">
        <v>43</v>
      </c>
      <c r="E3257" s="20">
        <v>63</v>
      </c>
      <c r="F3257" s="20" t="s">
        <v>22208</v>
      </c>
      <c r="G3257" s="20" t="s">
        <v>22209</v>
      </c>
      <c r="H3257" s="24"/>
      <c r="I3257" s="24" t="str">
        <f ca="1">IFERROR(__xludf.DUMMYFUNCTION("GOOGLETRANSLATE(F3257,""en"",""pt"")"),"plásticos rodapés")</f>
        <v>plásticos rodapés</v>
      </c>
      <c r="J3257">
        <f>VLOOKUP(A3257,Pr_Base_LNEC!$A$4:$J$6971,6,FALSE)</f>
        <v>0</v>
      </c>
      <c r="K3257">
        <f>VLOOKUP(A3257,Pr_Base_LNEC!$A$4:$J$6971,7,FALSE)</f>
        <v>0</v>
      </c>
    </row>
    <row r="3258" spans="1:11" ht="14.5">
      <c r="A3258" s="20" t="s">
        <v>22210</v>
      </c>
      <c r="B3258" s="20">
        <v>35</v>
      </c>
      <c r="C3258" s="20">
        <v>90</v>
      </c>
      <c r="D3258" s="20">
        <v>43</v>
      </c>
      <c r="E3258" s="20">
        <v>64</v>
      </c>
      <c r="F3258" s="20" t="s">
        <v>22211</v>
      </c>
      <c r="G3258" s="20" t="s">
        <v>22212</v>
      </c>
      <c r="H3258" s="24"/>
      <c r="I3258" s="24" t="str">
        <f ca="1">IFERROR(__xludf.DUMMYFUNCTION("GOOGLETRANSLATE(F3258,""en"",""pt"")"),"cloreto de polivinilo (PVC) rodapés cove")</f>
        <v>cloreto de polivinilo (PVC) rodapés cove</v>
      </c>
      <c r="J3258">
        <f>VLOOKUP(A3258,Pr_Base_LNEC!$A$4:$J$6971,6,FALSE)</f>
        <v>0</v>
      </c>
      <c r="K3258">
        <f>VLOOKUP(A3258,Pr_Base_LNEC!$A$4:$J$6971,7,FALSE)</f>
        <v>0</v>
      </c>
    </row>
    <row r="3259" spans="1:11" ht="14.5">
      <c r="A3259" s="20" t="s">
        <v>22213</v>
      </c>
      <c r="B3259" s="20">
        <v>35</v>
      </c>
      <c r="C3259" s="20">
        <v>90</v>
      </c>
      <c r="D3259" s="20">
        <v>43</v>
      </c>
      <c r="E3259" s="20">
        <v>66</v>
      </c>
      <c r="F3259" s="20" t="s">
        <v>22214</v>
      </c>
      <c r="G3259" s="20" t="s">
        <v>22215</v>
      </c>
      <c r="H3259" s="24"/>
      <c r="I3259" s="24" t="str">
        <f ca="1">IFERROR(__xludf.DUMMYFUNCTION("GOOGLETRANSLATE(F3259,""en"",""pt"")"),"invólucros pré-formados")</f>
        <v>invólucros pré-formados</v>
      </c>
      <c r="J3259">
        <f>VLOOKUP(A3259,Pr_Base_LNEC!$A$4:$J$6971,6,FALSE)</f>
        <v>0</v>
      </c>
      <c r="K3259">
        <f>VLOOKUP(A3259,Pr_Base_LNEC!$A$4:$J$6971,7,FALSE)</f>
        <v>0</v>
      </c>
    </row>
    <row r="3260" spans="1:11" ht="14.5">
      <c r="A3260" s="20" t="s">
        <v>22216</v>
      </c>
      <c r="B3260" s="20">
        <v>35</v>
      </c>
      <c r="C3260" s="20">
        <v>90</v>
      </c>
      <c r="D3260" s="20">
        <v>43</v>
      </c>
      <c r="E3260" s="20">
        <v>70</v>
      </c>
      <c r="F3260" s="20" t="s">
        <v>22217</v>
      </c>
      <c r="G3260" s="20" t="s">
        <v>22218</v>
      </c>
      <c r="H3260" s="24"/>
      <c r="I3260" s="24" t="str">
        <f ca="1">IFERROR(__xludf.DUMMYFUNCTION("GOOGLETRANSLATE(F3260,""en"",""pt"")"),"Protecções")</f>
        <v>Protecções</v>
      </c>
      <c r="J3260">
        <f>VLOOKUP(A3260,Pr_Base_LNEC!$A$4:$J$6971,6,FALSE)</f>
        <v>0</v>
      </c>
      <c r="K3260">
        <f>VLOOKUP(A3260,Pr_Base_LNEC!$A$4:$J$6971,7,FALSE)</f>
        <v>0</v>
      </c>
    </row>
    <row r="3261" spans="1:11" ht="14.5">
      <c r="A3261" s="20" t="s">
        <v>22219</v>
      </c>
      <c r="B3261" s="20">
        <v>35</v>
      </c>
      <c r="C3261" s="20">
        <v>90</v>
      </c>
      <c r="D3261" s="20">
        <v>43</v>
      </c>
      <c r="E3261" s="20">
        <v>74</v>
      </c>
      <c r="F3261" s="20" t="s">
        <v>22220</v>
      </c>
      <c r="G3261" s="20" t="s">
        <v>22221</v>
      </c>
      <c r="H3261" s="24"/>
      <c r="I3261" s="24" t="str">
        <f ca="1">IFERROR(__xludf.DUMMYFUNCTION("GOOGLETRANSLATE(F3261,""en"",""pt"")"),"skirtings enseada de borracha")</f>
        <v>skirtings enseada de borracha</v>
      </c>
      <c r="J3261">
        <f>VLOOKUP(A3261,Pr_Base_LNEC!$A$4:$J$6971,6,FALSE)</f>
        <v>0</v>
      </c>
      <c r="K3261">
        <f>VLOOKUP(A3261,Pr_Base_LNEC!$A$4:$J$6971,7,FALSE)</f>
        <v>0</v>
      </c>
    </row>
    <row r="3262" spans="1:11" ht="14.5">
      <c r="A3262" s="20" t="s">
        <v>22222</v>
      </c>
      <c r="B3262" s="20">
        <v>35</v>
      </c>
      <c r="C3262" s="20">
        <v>90</v>
      </c>
      <c r="D3262" s="20">
        <v>43</v>
      </c>
      <c r="E3262" s="20">
        <v>84</v>
      </c>
      <c r="F3262" s="20" t="s">
        <v>22223</v>
      </c>
      <c r="G3262" s="20" t="s">
        <v>22224</v>
      </c>
      <c r="H3262" s="24"/>
      <c r="I3262" s="24" t="str">
        <f ca="1">IFERROR(__xludf.DUMMYFUNCTION("GOOGLETRANSLATE(F3262,""en"",""pt"")"),"moldes de gesso sólido")</f>
        <v>moldes de gesso sólido</v>
      </c>
      <c r="J3262">
        <f>VLOOKUP(A3262,Pr_Base_LNEC!$A$4:$J$6971,6,FALSE)</f>
        <v>0</v>
      </c>
      <c r="K3262">
        <f>VLOOKUP(A3262,Pr_Base_LNEC!$A$4:$J$6971,7,FALSE)</f>
        <v>0</v>
      </c>
    </row>
    <row r="3263" spans="1:11" ht="14.5">
      <c r="A3263" s="20" t="s">
        <v>22225</v>
      </c>
      <c r="B3263" s="20">
        <v>35</v>
      </c>
      <c r="C3263" s="20">
        <v>90</v>
      </c>
      <c r="D3263" s="20">
        <v>43</v>
      </c>
      <c r="E3263" s="20">
        <v>86</v>
      </c>
      <c r="F3263" s="20" t="s">
        <v>22226</v>
      </c>
      <c r="G3263" s="20" t="s">
        <v>22227</v>
      </c>
      <c r="H3263" s="24"/>
      <c r="I3263" s="24" t="str">
        <f ca="1">IFERROR(__xludf.DUMMYFUNCTION("GOOGLETRANSLATE(F3263,""en"",""pt"")"),"painéis de proteção de parede")</f>
        <v>painéis de proteção de parede</v>
      </c>
      <c r="J3263">
        <f>VLOOKUP(A3263,Pr_Base_LNEC!$A$4:$J$6971,6,FALSE)</f>
        <v>0</v>
      </c>
      <c r="K3263">
        <f>VLOOKUP(A3263,Pr_Base_LNEC!$A$4:$J$6971,7,FALSE)</f>
        <v>0</v>
      </c>
    </row>
    <row r="3264" spans="1:11" ht="14.5">
      <c r="A3264" s="20" t="s">
        <v>22228</v>
      </c>
      <c r="B3264" s="20">
        <v>35</v>
      </c>
      <c r="C3264" s="20">
        <v>90</v>
      </c>
      <c r="D3264" s="20">
        <v>43</v>
      </c>
      <c r="E3264" s="20">
        <v>87</v>
      </c>
      <c r="F3264" s="20" t="s">
        <v>22229</v>
      </c>
      <c r="G3264" s="20" t="s">
        <v>22230</v>
      </c>
      <c r="H3264" s="24"/>
      <c r="I3264" s="24" t="str">
        <f ca="1">IFERROR(__xludf.DUMMYFUNCTION("GOOGLETRANSLATE(F3264,""en"",""pt"")"),"arquitraves madeira")</f>
        <v>arquitraves madeira</v>
      </c>
      <c r="J3264">
        <f>VLOOKUP(A3264,Pr_Base_LNEC!$A$4:$J$6971,6,FALSE)</f>
        <v>0</v>
      </c>
      <c r="K3264">
        <f>VLOOKUP(A3264,Pr_Base_LNEC!$A$4:$J$6971,7,FALSE)</f>
        <v>0</v>
      </c>
    </row>
    <row r="3265" spans="1:11" ht="14.5">
      <c r="A3265" s="20" t="s">
        <v>22231</v>
      </c>
      <c r="B3265" s="20">
        <v>35</v>
      </c>
      <c r="C3265" s="20">
        <v>90</v>
      </c>
      <c r="D3265" s="20">
        <v>43</v>
      </c>
      <c r="E3265" s="20">
        <v>88</v>
      </c>
      <c r="F3265" s="20" t="s">
        <v>22232</v>
      </c>
      <c r="G3265" s="20" t="s">
        <v>22233</v>
      </c>
      <c r="H3265" s="24"/>
      <c r="I3265" s="24" t="str">
        <f ca="1">IFERROR(__xludf.DUMMYFUNCTION("GOOGLETRANSLATE(F3265,""en"",""pt"")"),"encostos de madeira")</f>
        <v>encostos de madeira</v>
      </c>
      <c r="J3265">
        <f>VLOOKUP(A3265,Pr_Base_LNEC!$A$4:$J$6971,6,FALSE)</f>
        <v>0</v>
      </c>
      <c r="K3265">
        <f>VLOOKUP(A3265,Pr_Base_LNEC!$A$4:$J$6971,7,FALSE)</f>
        <v>0</v>
      </c>
    </row>
    <row r="3266" spans="1:11" ht="14.5">
      <c r="A3266" s="20" t="s">
        <v>22234</v>
      </c>
      <c r="B3266" s="20">
        <v>35</v>
      </c>
      <c r="C3266" s="20">
        <v>90</v>
      </c>
      <c r="D3266" s="20">
        <v>43</v>
      </c>
      <c r="E3266" s="20">
        <v>89</v>
      </c>
      <c r="F3266" s="20" t="s">
        <v>22235</v>
      </c>
      <c r="G3266" s="20" t="s">
        <v>22236</v>
      </c>
      <c r="H3266" s="24"/>
      <c r="I3266" s="24" t="str">
        <f ca="1">IFERROR(__xludf.DUMMYFUNCTION("GOOGLETRANSLATE(F3266,""en"",""pt"")"),"tiras de cobertura de madeira")</f>
        <v>tiras de cobertura de madeira</v>
      </c>
      <c r="J3266">
        <f>VLOOKUP(A3266,Pr_Base_LNEC!$A$4:$J$6971,6,FALSE)</f>
        <v>0</v>
      </c>
      <c r="K3266">
        <f>VLOOKUP(A3266,Pr_Base_LNEC!$A$4:$J$6971,7,FALSE)</f>
        <v>0</v>
      </c>
    </row>
    <row r="3267" spans="1:11" ht="14.5">
      <c r="A3267" s="20" t="s">
        <v>22237</v>
      </c>
      <c r="B3267" s="20">
        <v>35</v>
      </c>
      <c r="C3267" s="20">
        <v>90</v>
      </c>
      <c r="D3267" s="20">
        <v>43</v>
      </c>
      <c r="E3267" s="20">
        <v>90</v>
      </c>
      <c r="F3267" s="20" t="s">
        <v>22238</v>
      </c>
      <c r="G3267" s="20" t="s">
        <v>22239</v>
      </c>
      <c r="H3267" s="24"/>
      <c r="I3267" s="24" t="str">
        <f ca="1">IFERROR(__xludf.DUMMYFUNCTION("GOOGLETRANSLATE(F3267,""en"",""pt"")"),"trilhos de madeira dado")</f>
        <v>trilhos de madeira dado</v>
      </c>
      <c r="J3267">
        <f>VLOOKUP(A3267,Pr_Base_LNEC!$A$4:$J$6971,6,FALSE)</f>
        <v>0</v>
      </c>
      <c r="K3267">
        <f>VLOOKUP(A3267,Pr_Base_LNEC!$A$4:$J$6971,7,FALSE)</f>
        <v>0</v>
      </c>
    </row>
    <row r="3268" spans="1:11" ht="14.5">
      <c r="A3268" s="20" t="s">
        <v>22240</v>
      </c>
      <c r="B3268" s="20">
        <v>35</v>
      </c>
      <c r="C3268" s="20">
        <v>90</v>
      </c>
      <c r="D3268" s="20">
        <v>43</v>
      </c>
      <c r="E3268" s="20">
        <v>91</v>
      </c>
      <c r="F3268" s="20" t="s">
        <v>22241</v>
      </c>
      <c r="G3268" s="20" t="s">
        <v>22242</v>
      </c>
      <c r="H3268" s="24"/>
      <c r="I3268" s="24" t="str">
        <f ca="1">IFERROR(__xludf.DUMMYFUNCTION("GOOGLETRANSLATE(F3268,""en"",""pt"")"),"guarnições borda de madeira")</f>
        <v>guarnições borda de madeira</v>
      </c>
      <c r="J3268">
        <f>VLOOKUP(A3268,Pr_Base_LNEC!$A$4:$J$6971,6,FALSE)</f>
        <v>0</v>
      </c>
      <c r="K3268">
        <f>VLOOKUP(A3268,Pr_Base_LNEC!$A$4:$J$6971,7,FALSE)</f>
        <v>0</v>
      </c>
    </row>
    <row r="3269" spans="1:11" ht="14.5">
      <c r="A3269" s="20" t="s">
        <v>22243</v>
      </c>
      <c r="B3269" s="20">
        <v>35</v>
      </c>
      <c r="C3269" s="20">
        <v>90</v>
      </c>
      <c r="D3269" s="20">
        <v>43</v>
      </c>
      <c r="E3269" s="20">
        <v>92</v>
      </c>
      <c r="F3269" s="20" t="s">
        <v>22244</v>
      </c>
      <c r="G3269" s="20" t="s">
        <v>22245</v>
      </c>
      <c r="H3269" s="24"/>
      <c r="I3269" s="24" t="str">
        <f ca="1">IFERROR(__xludf.DUMMYFUNCTION("GOOGLETRANSLATE(F3269,""en"",""pt"")"),"filetes de madeira")</f>
        <v>filetes de madeira</v>
      </c>
      <c r="J3269">
        <f>VLOOKUP(A3269,Pr_Base_LNEC!$A$4:$J$6971,6,FALSE)</f>
        <v>0</v>
      </c>
      <c r="K3269">
        <f>VLOOKUP(A3269,Pr_Base_LNEC!$A$4:$J$6971,7,FALSE)</f>
        <v>0</v>
      </c>
    </row>
    <row r="3270" spans="1:11" ht="14.5">
      <c r="A3270" s="20" t="s">
        <v>22246</v>
      </c>
      <c r="B3270" s="20">
        <v>35</v>
      </c>
      <c r="C3270" s="20">
        <v>90</v>
      </c>
      <c r="D3270" s="20">
        <v>43</v>
      </c>
      <c r="E3270" s="20">
        <v>93</v>
      </c>
      <c r="F3270" s="20" t="s">
        <v>22247</v>
      </c>
      <c r="G3270" s="20" t="s">
        <v>22248</v>
      </c>
      <c r="H3270" s="24"/>
      <c r="I3270" s="24" t="str">
        <f ca="1">IFERROR(__xludf.DUMMYFUNCTION("GOOGLETRANSLATE(F3270,""en"",""pt"")"),"placas de revestimento de madeira")</f>
        <v>placas de revestimento de madeira</v>
      </c>
      <c r="J3270">
        <f>VLOOKUP(A3270,Pr_Base_LNEC!$A$4:$J$6971,6,FALSE)</f>
        <v>0</v>
      </c>
      <c r="K3270">
        <f>VLOOKUP(A3270,Pr_Base_LNEC!$A$4:$J$6971,7,FALSE)</f>
        <v>0</v>
      </c>
    </row>
    <row r="3271" spans="1:11" ht="14.5">
      <c r="A3271" s="20" t="s">
        <v>22249</v>
      </c>
      <c r="B3271" s="20">
        <v>35</v>
      </c>
      <c r="C3271" s="20">
        <v>90</v>
      </c>
      <c r="D3271" s="20">
        <v>43</v>
      </c>
      <c r="E3271" s="20">
        <v>94</v>
      </c>
      <c r="F3271" s="20" t="s">
        <v>22250</v>
      </c>
      <c r="G3271" s="20" t="s">
        <v>22187</v>
      </c>
      <c r="H3271" s="24"/>
      <c r="I3271" s="24" t="str">
        <f ca="1">IFERROR(__xludf.DUMMYFUNCTION("GOOGLETRANSLATE(F3271,""en"",""pt"")"),"molduras de madeira e as guarnições")</f>
        <v>molduras de madeira e as guarnições</v>
      </c>
      <c r="J3271">
        <f>VLOOKUP(A3271,Pr_Base_LNEC!$A$4:$J$6971,6,FALSE)</f>
        <v>0</v>
      </c>
      <c r="K3271">
        <f>VLOOKUP(A3271,Pr_Base_LNEC!$A$4:$J$6971,7,FALSE)</f>
        <v>0</v>
      </c>
    </row>
    <row r="3272" spans="1:11" ht="14.5">
      <c r="A3272" s="20" t="s">
        <v>22251</v>
      </c>
      <c r="B3272" s="20">
        <v>35</v>
      </c>
      <c r="C3272" s="20">
        <v>90</v>
      </c>
      <c r="D3272" s="20">
        <v>43</v>
      </c>
      <c r="E3272" s="20">
        <v>95</v>
      </c>
      <c r="F3272" s="20" t="s">
        <v>22252</v>
      </c>
      <c r="G3272" s="20" t="s">
        <v>22253</v>
      </c>
      <c r="H3272" s="24"/>
      <c r="I3272" s="24" t="str">
        <f ca="1">IFERROR(__xludf.DUMMYFUNCTION("GOOGLETRANSLATE(F3272,""en"",""pt"")"),"Madeira de montagem ripas")</f>
        <v>Madeira de montagem ripas</v>
      </c>
      <c r="J3272">
        <f>VLOOKUP(A3272,Pr_Base_LNEC!$A$4:$J$6971,6,FALSE)</f>
        <v>0</v>
      </c>
      <c r="K3272">
        <f>VLOOKUP(A3272,Pr_Base_LNEC!$A$4:$J$6971,7,FALSE)</f>
        <v>0</v>
      </c>
    </row>
    <row r="3273" spans="1:11" ht="14.5">
      <c r="A3273" s="20" t="s">
        <v>22254</v>
      </c>
      <c r="B3273" s="20">
        <v>35</v>
      </c>
      <c r="C3273" s="20">
        <v>90</v>
      </c>
      <c r="D3273" s="20">
        <v>43</v>
      </c>
      <c r="E3273" s="20">
        <v>96</v>
      </c>
      <c r="F3273" s="20" t="s">
        <v>22255</v>
      </c>
      <c r="G3273" s="20" t="s">
        <v>22256</v>
      </c>
      <c r="H3273" s="24"/>
      <c r="I3273" s="24" t="str">
        <f ca="1">IFERROR(__xludf.DUMMYFUNCTION("GOOGLETRANSLATE(F3273,""en"",""pt"")"),"Madeira trilhos de imagem")</f>
        <v>Madeira trilhos de imagem</v>
      </c>
      <c r="J3273">
        <f>VLOOKUP(A3273,Pr_Base_LNEC!$A$4:$J$6971,6,FALSE)</f>
        <v>0</v>
      </c>
      <c r="K3273">
        <f>VLOOKUP(A3273,Pr_Base_LNEC!$A$4:$J$6971,7,FALSE)</f>
        <v>0</v>
      </c>
    </row>
    <row r="3274" spans="1:11" ht="14.5">
      <c r="A3274" s="20" t="s">
        <v>22257</v>
      </c>
      <c r="B3274" s="20">
        <v>35</v>
      </c>
      <c r="C3274" s="20">
        <v>90</v>
      </c>
      <c r="D3274" s="20">
        <v>43</v>
      </c>
      <c r="E3274" s="20">
        <v>97</v>
      </c>
      <c r="F3274" s="20" t="s">
        <v>22258</v>
      </c>
      <c r="G3274" s="20" t="s">
        <v>22259</v>
      </c>
      <c r="H3274" s="24"/>
      <c r="I3274" s="24" t="str">
        <f ca="1">IFERROR(__xludf.DUMMYFUNCTION("GOOGLETRANSLATE(F3274,""en"",""pt"")"),"rails de protecção da madeira")</f>
        <v>rails de protecção da madeira</v>
      </c>
      <c r="J3274">
        <f>VLOOKUP(A3274,Pr_Base_LNEC!$A$4:$J$6971,6,FALSE)</f>
        <v>0</v>
      </c>
      <c r="K3274">
        <f>VLOOKUP(A3274,Pr_Base_LNEC!$A$4:$J$6971,7,FALSE)</f>
        <v>0</v>
      </c>
    </row>
    <row r="3275" spans="1:11" ht="14.5">
      <c r="A3275" s="20" t="s">
        <v>22260</v>
      </c>
      <c r="B3275" s="20">
        <v>35</v>
      </c>
      <c r="C3275" s="20">
        <v>90</v>
      </c>
      <c r="D3275" s="20">
        <v>43</v>
      </c>
      <c r="E3275" s="20">
        <v>98</v>
      </c>
      <c r="F3275" s="20" t="s">
        <v>22261</v>
      </c>
      <c r="G3275" s="20" t="s">
        <v>22262</v>
      </c>
      <c r="H3275" s="24"/>
      <c r="I3275" s="24" t="str">
        <f ca="1">IFERROR(__xludf.DUMMYFUNCTION("GOOGLETRANSLATE(F3275,""en"",""pt"")"),"rodapés de madeira")</f>
        <v>rodapés de madeira</v>
      </c>
      <c r="J3275">
        <f>VLOOKUP(A3275,Pr_Base_LNEC!$A$4:$J$6971,6,FALSE)</f>
        <v>0</v>
      </c>
      <c r="K3275">
        <f>VLOOKUP(A3275,Pr_Base_LNEC!$A$4:$J$6971,7,FALSE)</f>
        <v>0</v>
      </c>
    </row>
    <row r="3276" spans="1:11" ht="14.5">
      <c r="A3276" s="20" t="s">
        <v>22263</v>
      </c>
      <c r="B3276" s="20">
        <v>35</v>
      </c>
      <c r="C3276" s="20">
        <v>90</v>
      </c>
      <c r="D3276" s="20">
        <v>50</v>
      </c>
      <c r="E3276" s="24"/>
      <c r="F3276" s="20" t="s">
        <v>22264</v>
      </c>
      <c r="G3276" s="24"/>
      <c r="H3276" s="24"/>
      <c r="I3276" s="24" t="str">
        <f ca="1">IFERROR(__xludf.DUMMYFUNCTION("GOOGLETRANSLATE(F3276,""en"",""pt"")"),"produtos auxiliares de alvenaria walling")</f>
        <v>produtos auxiliares de alvenaria walling</v>
      </c>
      <c r="J3276">
        <f>VLOOKUP(A3276,Pr_Base_LNEC!$A$4:$J$6971,6,FALSE)</f>
        <v>0</v>
      </c>
      <c r="K3276">
        <f>VLOOKUP(A3276,Pr_Base_LNEC!$A$4:$J$6971,7,FALSE)</f>
        <v>0</v>
      </c>
    </row>
    <row r="3277" spans="1:11" ht="14.5">
      <c r="A3277" s="20" t="s">
        <v>22265</v>
      </c>
      <c r="B3277" s="20">
        <v>35</v>
      </c>
      <c r="C3277" s="20">
        <v>90</v>
      </c>
      <c r="D3277" s="20">
        <v>50</v>
      </c>
      <c r="E3277" s="20">
        <v>3</v>
      </c>
      <c r="F3277" s="20" t="s">
        <v>22266</v>
      </c>
      <c r="G3277" s="20" t="s">
        <v>22267</v>
      </c>
      <c r="H3277" s="24"/>
      <c r="I3277" s="24" t="str">
        <f ca="1">IFERROR(__xludf.DUMMYFUNCTION("GOOGLETRANSLATE(F3277,""en"",""pt"")"),"Airbricks")</f>
        <v>Airbricks</v>
      </c>
      <c r="J3277">
        <f>VLOOKUP(A3277,Pr_Base_LNEC!$A$4:$J$6971,6,FALSE)</f>
        <v>0</v>
      </c>
      <c r="K3277">
        <f>VLOOKUP(A3277,Pr_Base_LNEC!$A$4:$J$6971,7,FALSE)</f>
        <v>0</v>
      </c>
    </row>
    <row r="3278" spans="1:11" ht="14.5">
      <c r="A3278" s="20" t="s">
        <v>22268</v>
      </c>
      <c r="B3278" s="20">
        <v>35</v>
      </c>
      <c r="C3278" s="20">
        <v>90</v>
      </c>
      <c r="D3278" s="20">
        <v>50</v>
      </c>
      <c r="E3278" s="20">
        <v>61</v>
      </c>
      <c r="F3278" s="20" t="s">
        <v>22269</v>
      </c>
      <c r="G3278" s="20" t="s">
        <v>22270</v>
      </c>
      <c r="H3278" s="24"/>
      <c r="I3278" s="24" t="str">
        <f ca="1">IFERROR(__xludf.DUMMYFUNCTION("GOOGLETRANSLATE(F3278,""en"",""pt"")"),"Perpend plásticos conjuntas ventiladores cavidade")</f>
        <v>Perpend plásticos conjuntas ventiladores cavidade</v>
      </c>
      <c r="J3278">
        <f>VLOOKUP(A3278,Pr_Base_LNEC!$A$4:$J$6971,6,FALSE)</f>
        <v>0</v>
      </c>
      <c r="K3278">
        <f>VLOOKUP(A3278,Pr_Base_LNEC!$A$4:$J$6971,7,FALSE)</f>
        <v>0</v>
      </c>
    </row>
    <row r="3279" spans="1:11" ht="14.5">
      <c r="A3279" s="20" t="s">
        <v>22271</v>
      </c>
      <c r="B3279" s="20">
        <v>35</v>
      </c>
      <c r="C3279" s="20">
        <v>90</v>
      </c>
      <c r="D3279" s="20">
        <v>50</v>
      </c>
      <c r="E3279" s="20">
        <v>62</v>
      </c>
      <c r="F3279" s="20" t="s">
        <v>22272</v>
      </c>
      <c r="G3279" s="20" t="s">
        <v>22273</v>
      </c>
      <c r="H3279" s="24"/>
      <c r="I3279" s="24" t="str">
        <f ca="1">IFERROR(__xludf.DUMMYFUNCTION("GOOGLETRANSLATE(F3279,""en"",""pt"")"),"Perpend plásticos conjuntas de dreno buracos")</f>
        <v>Perpend plásticos conjuntas de dreno buracos</v>
      </c>
      <c r="J3279">
        <f>VLOOKUP(A3279,Pr_Base_LNEC!$A$4:$J$6971,6,FALSE)</f>
        <v>0</v>
      </c>
      <c r="K3279">
        <f>VLOOKUP(A3279,Pr_Base_LNEC!$A$4:$J$6971,7,FALSE)</f>
        <v>0</v>
      </c>
    </row>
    <row r="3280" spans="1:11" ht="14.5">
      <c r="A3280" s="20" t="s">
        <v>22274</v>
      </c>
      <c r="B3280" s="20">
        <v>35</v>
      </c>
      <c r="C3280" s="20">
        <v>90</v>
      </c>
      <c r="D3280" s="20">
        <v>50</v>
      </c>
      <c r="E3280" s="20">
        <v>63</v>
      </c>
      <c r="F3280" s="20" t="s">
        <v>22275</v>
      </c>
      <c r="G3280" s="24"/>
      <c r="H3280" s="24"/>
      <c r="I3280" s="24" t="str">
        <f ca="1">IFERROR(__xludf.DUMMYFUNCTION("GOOGLETRANSLATE(F3280,""en"",""pt"")"),"Perpend barbacãs junção metal")</f>
        <v>Perpend barbacãs junção metal</v>
      </c>
      <c r="J3280" t="e">
        <f>VLOOKUP(A3280,Pr_Base_LNEC!$A$4:$J$6971,6,FALSE)</f>
        <v>#N/A</v>
      </c>
      <c r="K3280" t="e">
        <f>VLOOKUP(A3280,Pr_Base_LNEC!$A$4:$J$6971,7,FALSE)</f>
        <v>#N/A</v>
      </c>
    </row>
    <row r="3281" spans="1:11" ht="14.5">
      <c r="A3281" s="20" t="s">
        <v>22276</v>
      </c>
      <c r="B3281" s="20">
        <v>35</v>
      </c>
      <c r="C3281" s="20">
        <v>90</v>
      </c>
      <c r="D3281" s="20">
        <v>50</v>
      </c>
      <c r="E3281" s="20">
        <v>64</v>
      </c>
      <c r="F3281" s="20" t="s">
        <v>22277</v>
      </c>
      <c r="G3281" s="20" t="s">
        <v>22278</v>
      </c>
      <c r="H3281" s="24"/>
      <c r="I3281" s="24" t="str">
        <f ca="1">IFERROR(__xludf.DUMMYFUNCTION("GOOGLETRANSLATE(F3281,""en"",""pt"")"),"Plásticos de fecho da cavidade")</f>
        <v>Plásticos de fecho da cavidade</v>
      </c>
      <c r="J3281">
        <f>VLOOKUP(A3281,Pr_Base_LNEC!$A$4:$J$6971,6,FALSE)</f>
        <v>0</v>
      </c>
      <c r="K3281">
        <f>VLOOKUP(A3281,Pr_Base_LNEC!$A$4:$J$6971,7,FALSE)</f>
        <v>0</v>
      </c>
    </row>
    <row r="3282" spans="1:11" ht="14.5">
      <c r="A3282" s="20" t="s">
        <v>22279</v>
      </c>
      <c r="B3282" s="20">
        <v>35</v>
      </c>
      <c r="C3282" s="20">
        <v>90</v>
      </c>
      <c r="D3282" s="20">
        <v>50</v>
      </c>
      <c r="E3282" s="20">
        <v>88</v>
      </c>
      <c r="F3282" s="20" t="s">
        <v>22280</v>
      </c>
      <c r="G3282" s="20" t="s">
        <v>22281</v>
      </c>
      <c r="H3282" s="24"/>
      <c r="I3282" s="24" t="str">
        <f ca="1">IFERROR(__xludf.DUMMYFUNCTION("GOOGLETRANSLATE(F3282,""en"",""pt"")"),"linhas de dobragem de telha")</f>
        <v>linhas de dobragem de telha</v>
      </c>
      <c r="J3282">
        <f>VLOOKUP(A3282,Pr_Base_LNEC!$A$4:$J$6971,6,FALSE)</f>
        <v>0</v>
      </c>
      <c r="K3282">
        <f>VLOOKUP(A3282,Pr_Base_LNEC!$A$4:$J$6971,7,FALSE)</f>
        <v>0</v>
      </c>
    </row>
    <row r="3283" spans="1:11" ht="14.5">
      <c r="A3283" s="20" t="s">
        <v>22282</v>
      </c>
      <c r="B3283" s="20">
        <v>35</v>
      </c>
      <c r="C3283" s="20">
        <v>90</v>
      </c>
      <c r="D3283" s="20">
        <v>53</v>
      </c>
      <c r="E3283" s="24"/>
      <c r="F3283" s="20" t="s">
        <v>22283</v>
      </c>
      <c r="G3283" s="24"/>
      <c r="H3283" s="24"/>
      <c r="I3283" s="24" t="str">
        <f ca="1">IFERROR(__xludf.DUMMYFUNCTION("GOOGLETRANSLATE(F3283,""en"",""pt"")"),"As juntas de dilatação")</f>
        <v>As juntas de dilatação</v>
      </c>
      <c r="J3283">
        <f>VLOOKUP(A3283,Pr_Base_LNEC!$A$4:$J$6971,6,FALSE)</f>
        <v>0</v>
      </c>
      <c r="K3283">
        <f>VLOOKUP(A3283,Pr_Base_LNEC!$A$4:$J$6971,7,FALSE)</f>
        <v>0</v>
      </c>
    </row>
    <row r="3284" spans="1:11" ht="14.5">
      <c r="A3284" s="20" t="s">
        <v>22284</v>
      </c>
      <c r="B3284" s="20">
        <v>35</v>
      </c>
      <c r="C3284" s="20">
        <v>90</v>
      </c>
      <c r="D3284" s="20">
        <v>53</v>
      </c>
      <c r="E3284" s="20">
        <v>11</v>
      </c>
      <c r="F3284" s="20" t="s">
        <v>22285</v>
      </c>
      <c r="G3284" s="20" t="s">
        <v>22286</v>
      </c>
      <c r="H3284" s="24"/>
      <c r="I3284" s="24" t="str">
        <f ca="1">IFERROR(__xludf.DUMMYFUNCTION("GOOGLETRANSLATE(F3284,""en"",""pt"")"),"Fundido em juntas de dilatação betonilha")</f>
        <v>Fundido em juntas de dilatação betonilha</v>
      </c>
      <c r="J3284">
        <f>VLOOKUP(A3284,Pr_Base_LNEC!$A$4:$J$6971,6,FALSE)</f>
        <v>0</v>
      </c>
      <c r="K3284">
        <f>VLOOKUP(A3284,Pr_Base_LNEC!$A$4:$J$6971,7,FALSE)</f>
        <v>0</v>
      </c>
    </row>
    <row r="3285" spans="1:11" ht="14.5">
      <c r="A3285" s="20" t="s">
        <v>22287</v>
      </c>
      <c r="B3285" s="20">
        <v>35</v>
      </c>
      <c r="C3285" s="20">
        <v>90</v>
      </c>
      <c r="D3285" s="20">
        <v>53</v>
      </c>
      <c r="E3285" s="20">
        <v>30</v>
      </c>
      <c r="F3285" s="20" t="s">
        <v>22288</v>
      </c>
      <c r="G3285" s="20" t="s">
        <v>22289</v>
      </c>
      <c r="H3285" s="24"/>
      <c r="I3285" s="24" t="str">
        <f ca="1">IFERROR(__xludf.DUMMYFUNCTION("GOOGLETRANSLATE(F3285,""en"",""pt"")"),"juntas de dilatação de fibrocimento")</f>
        <v>juntas de dilatação de fibrocimento</v>
      </c>
      <c r="J3285">
        <f>VLOOKUP(A3285,Pr_Base_LNEC!$A$4:$J$6971,6,FALSE)</f>
        <v>0</v>
      </c>
      <c r="K3285">
        <f>VLOOKUP(A3285,Pr_Base_LNEC!$A$4:$J$6971,7,FALSE)</f>
        <v>0</v>
      </c>
    </row>
    <row r="3286" spans="1:11" ht="14.5">
      <c r="A3286" s="20" t="s">
        <v>22290</v>
      </c>
      <c r="B3286" s="20">
        <v>35</v>
      </c>
      <c r="C3286" s="20">
        <v>90</v>
      </c>
      <c r="D3286" s="20">
        <v>53</v>
      </c>
      <c r="E3286" s="20">
        <v>42</v>
      </c>
      <c r="F3286" s="20" t="s">
        <v>22291</v>
      </c>
      <c r="G3286" s="20" t="s">
        <v>22292</v>
      </c>
      <c r="H3286" s="24"/>
      <c r="I3286" s="24" t="str">
        <f ca="1">IFERROR(__xludf.DUMMYFUNCTION("GOOGLETRANSLATE(F3286,""en"",""pt"")"),"Isolados rendem construção do sistema e juntas de dilatação")</f>
        <v>Isolados rendem construção do sistema e juntas de dilatação</v>
      </c>
      <c r="J3286">
        <f>VLOOKUP(A3286,Pr_Base_LNEC!$A$4:$J$6971,6,FALSE)</f>
        <v>0</v>
      </c>
      <c r="K3286">
        <f>VLOOKUP(A3286,Pr_Base_LNEC!$A$4:$J$6971,7,FALSE)</f>
        <v>0</v>
      </c>
    </row>
    <row r="3287" spans="1:11" ht="14.5">
      <c r="A3287" s="20" t="s">
        <v>22293</v>
      </c>
      <c r="B3287" s="20">
        <v>35</v>
      </c>
      <c r="C3287" s="20">
        <v>90</v>
      </c>
      <c r="D3287" s="20">
        <v>53</v>
      </c>
      <c r="E3287" s="20">
        <v>50</v>
      </c>
      <c r="F3287" s="20" t="s">
        <v>22294</v>
      </c>
      <c r="G3287" s="20" t="s">
        <v>22295</v>
      </c>
      <c r="H3287" s="24"/>
      <c r="I3287" s="24" t="str">
        <f ca="1">IFERROR(__xludf.DUMMYFUNCTION("GOOGLETRANSLATE(F3287,""en"",""pt"")"),"mastique (MA), juntas de dilatação")</f>
        <v>mastique (MA), juntas de dilatação</v>
      </c>
      <c r="J3287">
        <f>VLOOKUP(A3287,Pr_Base_LNEC!$A$4:$J$6971,6,FALSE)</f>
        <v>0</v>
      </c>
      <c r="K3287">
        <f>VLOOKUP(A3287,Pr_Base_LNEC!$A$4:$J$6971,7,FALSE)</f>
        <v>0</v>
      </c>
    </row>
    <row r="3288" spans="1:11" ht="14.5">
      <c r="A3288" s="20" t="s">
        <v>22296</v>
      </c>
      <c r="B3288" s="20">
        <v>35</v>
      </c>
      <c r="C3288" s="20">
        <v>90</v>
      </c>
      <c r="D3288" s="20">
        <v>53</v>
      </c>
      <c r="E3288" s="20">
        <v>52</v>
      </c>
      <c r="F3288" s="20" t="s">
        <v>22297</v>
      </c>
      <c r="G3288" s="20" t="s">
        <v>22298</v>
      </c>
      <c r="H3288" s="24"/>
      <c r="I3288" s="24" t="str">
        <f ca="1">IFERROR(__xludf.DUMMYFUNCTION("GOOGLETRANSLATE(F3288,""en"",""pt"")"),"Metal movimento articular afiação ângulos")</f>
        <v>Metal movimento articular afiação ângulos</v>
      </c>
      <c r="J3288">
        <f>VLOOKUP(A3288,Pr_Base_LNEC!$A$4:$J$6971,6,FALSE)</f>
        <v>0</v>
      </c>
      <c r="K3288">
        <f>VLOOKUP(A3288,Pr_Base_LNEC!$A$4:$J$6971,7,FALSE)</f>
        <v>0</v>
      </c>
    </row>
    <row r="3289" spans="1:11" ht="14.5">
      <c r="A3289" s="20" t="s">
        <v>22299</v>
      </c>
      <c r="B3289" s="20">
        <v>35</v>
      </c>
      <c r="C3289" s="20">
        <v>90</v>
      </c>
      <c r="D3289" s="20">
        <v>53</v>
      </c>
      <c r="E3289" s="20">
        <v>53</v>
      </c>
      <c r="F3289" s="20" t="s">
        <v>22300</v>
      </c>
      <c r="G3289" s="20" t="s">
        <v>22301</v>
      </c>
      <c r="H3289" s="24"/>
      <c r="I3289" s="24" t="str">
        <f ca="1">IFERROR(__xludf.DUMMYFUNCTION("GOOGLETRANSLATE(F3289,""en"",""pt"")"),"juntas de dilatação seção de metal")</f>
        <v>juntas de dilatação seção de metal</v>
      </c>
      <c r="J3289">
        <f>VLOOKUP(A3289,Pr_Base_LNEC!$A$4:$J$6971,6,FALSE)</f>
        <v>0</v>
      </c>
      <c r="K3289">
        <f>VLOOKUP(A3289,Pr_Base_LNEC!$A$4:$J$6971,7,FALSE)</f>
        <v>0</v>
      </c>
    </row>
    <row r="3290" spans="1:11" ht="14.5">
      <c r="A3290" s="20" t="s">
        <v>22302</v>
      </c>
      <c r="B3290" s="20">
        <v>35</v>
      </c>
      <c r="C3290" s="20">
        <v>90</v>
      </c>
      <c r="D3290" s="20">
        <v>53</v>
      </c>
      <c r="E3290" s="20">
        <v>54</v>
      </c>
      <c r="F3290" s="20" t="s">
        <v>22303</v>
      </c>
      <c r="G3290" s="20" t="s">
        <v>22304</v>
      </c>
      <c r="H3290" s="24"/>
      <c r="I3290" s="24" t="str">
        <f ca="1">IFERROR(__xludf.DUMMYFUNCTION("GOOGLETRANSLATE(F3290,""en"",""pt"")"),"juntas de dilatação de cobertura plana menores")</f>
        <v>juntas de dilatação de cobertura plana menores</v>
      </c>
      <c r="J3290">
        <f>VLOOKUP(A3290,Pr_Base_LNEC!$A$4:$J$6971,6,FALSE)</f>
        <v>0</v>
      </c>
      <c r="K3290">
        <f>VLOOKUP(A3290,Pr_Base_LNEC!$A$4:$J$6971,7,FALSE)</f>
        <v>0</v>
      </c>
    </row>
    <row r="3291" spans="1:11" ht="14.5">
      <c r="A3291" s="20" t="s">
        <v>22305</v>
      </c>
      <c r="B3291" s="20">
        <v>35</v>
      </c>
      <c r="C3291" s="20">
        <v>90</v>
      </c>
      <c r="D3291" s="20">
        <v>53</v>
      </c>
      <c r="E3291" s="20">
        <v>72</v>
      </c>
      <c r="F3291" s="20" t="s">
        <v>22306</v>
      </c>
      <c r="G3291" s="20" t="s">
        <v>22307</v>
      </c>
      <c r="H3291" s="24"/>
      <c r="I3291" s="24" t="str">
        <f ca="1">IFERROR(__xludf.DUMMYFUNCTION("GOOGLETRANSLATE(F3291,""en"",""pt"")"),"juntas de dilatação resina tira piso")</f>
        <v>juntas de dilatação resina tira piso</v>
      </c>
      <c r="J3291">
        <f>VLOOKUP(A3291,Pr_Base_LNEC!$A$4:$J$6971,6,FALSE)</f>
        <v>0</v>
      </c>
      <c r="K3291">
        <f>VLOOKUP(A3291,Pr_Base_LNEC!$A$4:$J$6971,7,FALSE)</f>
        <v>0</v>
      </c>
    </row>
    <row r="3292" spans="1:11" ht="14.5">
      <c r="A3292" s="20" t="s">
        <v>22308</v>
      </c>
      <c r="B3292" s="20">
        <v>35</v>
      </c>
      <c r="C3292" s="20">
        <v>90</v>
      </c>
      <c r="D3292" s="20">
        <v>53</v>
      </c>
      <c r="E3292" s="20">
        <v>85</v>
      </c>
      <c r="F3292" s="20" t="s">
        <v>22309</v>
      </c>
      <c r="G3292" s="20" t="s">
        <v>22310</v>
      </c>
      <c r="H3292" s="24"/>
      <c r="I3292" s="24" t="str">
        <f ca="1">IFERROR(__xludf.DUMMYFUNCTION("GOOGLETRANSLATE(F3292,""en"",""pt"")"),"juntas de dilatação de revestimento monolítico pulverizadas")</f>
        <v>juntas de dilatação de revestimento monolítico pulverizadas</v>
      </c>
      <c r="J3292">
        <f>VLOOKUP(A3292,Pr_Base_LNEC!$A$4:$J$6971,6,FALSE)</f>
        <v>0</v>
      </c>
      <c r="K3292">
        <f>VLOOKUP(A3292,Pr_Base_LNEC!$A$4:$J$6971,7,FALSE)</f>
        <v>0</v>
      </c>
    </row>
    <row r="3293" spans="1:11" ht="14.5">
      <c r="A3293" s="20" t="s">
        <v>22311</v>
      </c>
      <c r="B3293" s="20">
        <v>35</v>
      </c>
      <c r="C3293" s="20">
        <v>90</v>
      </c>
      <c r="D3293" s="20">
        <v>53</v>
      </c>
      <c r="E3293" s="20">
        <v>86</v>
      </c>
      <c r="F3293" s="20" t="s">
        <v>22312</v>
      </c>
      <c r="G3293" s="20" t="s">
        <v>22313</v>
      </c>
      <c r="H3293" s="24"/>
      <c r="I3293" s="24" t="str">
        <f ca="1">IFERROR(__xludf.DUMMYFUNCTION("GOOGLETRANSLATE(F3293,""en"",""pt"")"),"juntas de dilatação da tira")</f>
        <v>juntas de dilatação da tira</v>
      </c>
      <c r="J3293">
        <f>VLOOKUP(A3293,Pr_Base_LNEC!$A$4:$J$6971,6,FALSE)</f>
        <v>0</v>
      </c>
      <c r="K3293">
        <f>VLOOKUP(A3293,Pr_Base_LNEC!$A$4:$J$6971,7,FALSE)</f>
        <v>0</v>
      </c>
    </row>
    <row r="3294" spans="1:11" ht="14.5">
      <c r="A3294" s="20" t="s">
        <v>22314</v>
      </c>
      <c r="B3294" s="20">
        <v>35</v>
      </c>
      <c r="C3294" s="20">
        <v>90</v>
      </c>
      <c r="D3294" s="20">
        <v>53</v>
      </c>
      <c r="E3294" s="20">
        <v>88</v>
      </c>
      <c r="F3294" s="20" t="s">
        <v>22315</v>
      </c>
      <c r="G3294" s="20" t="s">
        <v>22316</v>
      </c>
      <c r="H3294" s="24"/>
      <c r="I3294" s="24" t="str">
        <f ca="1">IFERROR(__xludf.DUMMYFUNCTION("GOOGLETRANSLATE(F3294,""en"",""pt"")"),"juntas de dilatação pavimentos de madeira")</f>
        <v>juntas de dilatação pavimentos de madeira</v>
      </c>
      <c r="J3294">
        <f>VLOOKUP(A3294,Pr_Base_LNEC!$A$4:$J$6971,6,FALSE)</f>
        <v>0</v>
      </c>
      <c r="K3294">
        <f>VLOOKUP(A3294,Pr_Base_LNEC!$A$4:$J$6971,7,FALSE)</f>
        <v>0</v>
      </c>
    </row>
    <row r="3295" spans="1:11" ht="14.5">
      <c r="A3295" s="20" t="s">
        <v>22317</v>
      </c>
      <c r="B3295" s="20">
        <v>35</v>
      </c>
      <c r="C3295" s="20">
        <v>90</v>
      </c>
      <c r="D3295" s="20">
        <v>53</v>
      </c>
      <c r="E3295" s="20">
        <v>93</v>
      </c>
      <c r="F3295" s="20" t="s">
        <v>22318</v>
      </c>
      <c r="G3295" s="20" t="s">
        <v>22319</v>
      </c>
      <c r="H3295" s="24"/>
      <c r="I3295" s="24" t="str">
        <f ca="1">IFERROR(__xludf.DUMMYFUNCTION("GOOGLETRANSLATE(F3295,""en"",""pt"")"),"cloreto de polivinilo não plastificado (PVC-U) prestam e juntas de dilatação de gesso externos")</f>
        <v>cloreto de polivinilo não plastificado (PVC-U) prestam e juntas de dilatação de gesso externos</v>
      </c>
      <c r="J3295">
        <f>VLOOKUP(A3295,Pr_Base_LNEC!$A$4:$J$6971,6,FALSE)</f>
        <v>0</v>
      </c>
      <c r="K3295">
        <f>VLOOKUP(A3295,Pr_Base_LNEC!$A$4:$J$6971,7,FALSE)</f>
        <v>0</v>
      </c>
    </row>
    <row r="3296" spans="1:11" ht="14.5">
      <c r="A3296" s="20" t="s">
        <v>22320</v>
      </c>
      <c r="B3296" s="20">
        <v>35</v>
      </c>
      <c r="C3296" s="20">
        <v>90</v>
      </c>
      <c r="D3296" s="20">
        <v>60</v>
      </c>
      <c r="E3296" s="24"/>
      <c r="F3296" s="20" t="s">
        <v>22321</v>
      </c>
      <c r="G3296" s="24"/>
      <c r="H3296" s="24"/>
      <c r="I3296" s="24" t="str">
        <f ca="1">IFERROR(__xludf.DUMMYFUNCTION("GOOGLETRANSLATE(F3296,""en"",""pt"")"),"Pavimentação pregos e inserções")</f>
        <v>Pavimentação pregos e inserções</v>
      </c>
      <c r="J3296">
        <f>VLOOKUP(A3296,Pr_Base_LNEC!$A$4:$J$6971,6,FALSE)</f>
        <v>0</v>
      </c>
      <c r="K3296">
        <f>VLOOKUP(A3296,Pr_Base_LNEC!$A$4:$J$6971,7,FALSE)</f>
        <v>0</v>
      </c>
    </row>
    <row r="3297" spans="1:11" ht="14.5">
      <c r="A3297" s="20" t="s">
        <v>22322</v>
      </c>
      <c r="B3297" s="20">
        <v>35</v>
      </c>
      <c r="C3297" s="20">
        <v>90</v>
      </c>
      <c r="D3297" s="20">
        <v>60</v>
      </c>
      <c r="E3297" s="20">
        <v>22</v>
      </c>
      <c r="F3297" s="20" t="s">
        <v>22323</v>
      </c>
      <c r="G3297" s="20" t="s">
        <v>22324</v>
      </c>
      <c r="H3297" s="24"/>
      <c r="I3297" s="24" t="str">
        <f ca="1">IFERROR(__xludf.DUMMYFUNCTION("GOOGLETRANSLATE(F3297,""en"",""pt"")"),"inserções de demarcação")</f>
        <v>inserções de demarcação</v>
      </c>
      <c r="J3297">
        <f>VLOOKUP(A3297,Pr_Base_LNEC!$A$4:$J$6971,6,FALSE)</f>
        <v>0</v>
      </c>
      <c r="K3297">
        <f>VLOOKUP(A3297,Pr_Base_LNEC!$A$4:$J$6971,7,FALSE)</f>
        <v>0</v>
      </c>
    </row>
    <row r="3298" spans="1:11" ht="14.5">
      <c r="A3298" s="20" t="s">
        <v>22325</v>
      </c>
      <c r="B3298" s="20">
        <v>35</v>
      </c>
      <c r="C3298" s="20">
        <v>90</v>
      </c>
      <c r="D3298" s="20">
        <v>60</v>
      </c>
      <c r="E3298" s="20">
        <v>41</v>
      </c>
      <c r="F3298" s="20" t="s">
        <v>22326</v>
      </c>
      <c r="G3298" s="24"/>
      <c r="H3298" s="24"/>
      <c r="I3298" s="24" t="str">
        <f ca="1">IFERROR(__xludf.DUMMYFUNCTION("GOOGLETRANSLATE(F3298,""en"",""pt"")"),"pregos rodoviários luminosos")</f>
        <v>pregos rodoviários luminosos</v>
      </c>
      <c r="J3298">
        <f>VLOOKUP(A3298,Pr_Base_LNEC!$A$4:$J$6971,6,FALSE)</f>
        <v>0</v>
      </c>
      <c r="K3298">
        <f>VLOOKUP(A3298,Pr_Base_LNEC!$A$4:$J$6971,7,FALSE)</f>
        <v>0</v>
      </c>
    </row>
    <row r="3299" spans="1:11" ht="14.5">
      <c r="A3299" s="20" t="s">
        <v>22327</v>
      </c>
      <c r="B3299" s="20">
        <v>35</v>
      </c>
      <c r="C3299" s="20">
        <v>90</v>
      </c>
      <c r="D3299" s="20">
        <v>60</v>
      </c>
      <c r="E3299" s="20">
        <v>57</v>
      </c>
      <c r="F3299" s="20" t="s">
        <v>22328</v>
      </c>
      <c r="G3299" s="24"/>
      <c r="H3299" s="24"/>
      <c r="I3299" s="24" t="str">
        <f ca="1">IFERROR(__xludf.DUMMYFUNCTION("GOOGLETRANSLATE(F3299,""en"",""pt"")"),"Anti-reflexo pregos estrada")</f>
        <v>Anti-reflexo pregos estrada</v>
      </c>
      <c r="J3299">
        <f>VLOOKUP(A3299,Pr_Base_LNEC!$A$4:$J$6971,6,FALSE)</f>
        <v>0</v>
      </c>
      <c r="K3299">
        <f>VLOOKUP(A3299,Pr_Base_LNEC!$A$4:$J$6971,7,FALSE)</f>
        <v>0</v>
      </c>
    </row>
    <row r="3300" spans="1:11" ht="14.5">
      <c r="A3300" s="20" t="s">
        <v>22329</v>
      </c>
      <c r="B3300" s="20">
        <v>35</v>
      </c>
      <c r="C3300" s="20">
        <v>90</v>
      </c>
      <c r="D3300" s="20">
        <v>60</v>
      </c>
      <c r="E3300" s="20">
        <v>62</v>
      </c>
      <c r="F3300" s="20" t="s">
        <v>22330</v>
      </c>
      <c r="G3300" s="20" t="s">
        <v>22331</v>
      </c>
      <c r="H3300" s="24"/>
      <c r="I3300" s="24" t="str">
        <f ca="1">IFERROR(__xludf.DUMMYFUNCTION("GOOGLETRANSLATE(F3300,""en"",""pt"")"),"pregos estrada de pedestres delineação")</f>
        <v>pregos estrada de pedestres delineação</v>
      </c>
      <c r="J3300">
        <f>VLOOKUP(A3300,Pr_Base_LNEC!$A$4:$J$6971,6,FALSE)</f>
        <v>0</v>
      </c>
      <c r="K3300">
        <f>VLOOKUP(A3300,Pr_Base_LNEC!$A$4:$J$6971,7,FALSE)</f>
        <v>0</v>
      </c>
    </row>
    <row r="3301" spans="1:11" ht="14.5">
      <c r="A3301" s="20" t="s">
        <v>22332</v>
      </c>
      <c r="B3301" s="20">
        <v>35</v>
      </c>
      <c r="C3301" s="20">
        <v>90</v>
      </c>
      <c r="D3301" s="20">
        <v>60</v>
      </c>
      <c r="E3301" s="20">
        <v>71</v>
      </c>
      <c r="F3301" s="20" t="s">
        <v>22333</v>
      </c>
      <c r="G3301" s="20" t="s">
        <v>22334</v>
      </c>
      <c r="H3301" s="24"/>
      <c r="I3301" s="24" t="str">
        <f ca="1">IFERROR(__xludf.DUMMYFUNCTION("GOOGLETRANSLATE(F3301,""en"",""pt"")"),"Retro-reflectoras pregos estrada")</f>
        <v>Retro-reflectoras pregos estrada</v>
      </c>
      <c r="J3301">
        <f>VLOOKUP(A3301,Pr_Base_LNEC!$A$4:$J$6971,6,FALSE)</f>
        <v>0</v>
      </c>
      <c r="K3301">
        <f>VLOOKUP(A3301,Pr_Base_LNEC!$A$4:$J$6971,7,FALSE)</f>
        <v>0</v>
      </c>
    </row>
    <row r="3302" spans="1:11" ht="14.5">
      <c r="A3302" s="20" t="s">
        <v>22335</v>
      </c>
      <c r="B3302" s="20">
        <v>35</v>
      </c>
      <c r="C3302" s="20">
        <v>90</v>
      </c>
      <c r="D3302" s="20">
        <v>60</v>
      </c>
      <c r="E3302" s="20">
        <v>77</v>
      </c>
      <c r="F3302" s="20" t="s">
        <v>22336</v>
      </c>
      <c r="G3302" s="20" t="s">
        <v>22337</v>
      </c>
      <c r="H3302" s="24"/>
      <c r="I3302" s="24" t="str">
        <f ca="1">IFERROR(__xludf.DUMMYFUNCTION("GOOGLETRANSLATE(F3302,""en"",""pt"")"),"pregos dissuasão Skate")</f>
        <v>pregos dissuasão Skate</v>
      </c>
      <c r="J3302">
        <f>VLOOKUP(A3302,Pr_Base_LNEC!$A$4:$J$6971,6,FALSE)</f>
        <v>0</v>
      </c>
      <c r="K3302">
        <f>VLOOKUP(A3302,Pr_Base_LNEC!$A$4:$J$6971,7,FALSE)</f>
        <v>0</v>
      </c>
    </row>
    <row r="3303" spans="1:11" ht="14.5">
      <c r="A3303" s="20" t="s">
        <v>22338</v>
      </c>
      <c r="B3303" s="20">
        <v>35</v>
      </c>
      <c r="C3303" s="20">
        <v>90</v>
      </c>
      <c r="D3303" s="20">
        <v>60</v>
      </c>
      <c r="E3303" s="20">
        <v>78</v>
      </c>
      <c r="F3303" s="20" t="s">
        <v>22339</v>
      </c>
      <c r="G3303" s="20" t="s">
        <v>22340</v>
      </c>
      <c r="H3303" s="24"/>
      <c r="I3303" s="24" t="str">
        <f ca="1">IFERROR(__xludf.DUMMYFUNCTION("GOOGLETRANSLATE(F3303,""en"",""pt"")"),"inserções elenco antiderrapante")</f>
        <v>inserções elenco antiderrapante</v>
      </c>
      <c r="J3303">
        <f>VLOOKUP(A3303,Pr_Base_LNEC!$A$4:$J$6971,6,FALSE)</f>
        <v>0</v>
      </c>
      <c r="K3303">
        <f>VLOOKUP(A3303,Pr_Base_LNEC!$A$4:$J$6971,7,FALSE)</f>
        <v>0</v>
      </c>
    </row>
    <row r="3304" spans="1:11" ht="14.5">
      <c r="A3304" s="20" t="s">
        <v>22341</v>
      </c>
      <c r="B3304" s="20">
        <v>35</v>
      </c>
      <c r="C3304" s="20">
        <v>90</v>
      </c>
      <c r="D3304" s="20">
        <v>60</v>
      </c>
      <c r="E3304" s="20">
        <v>79</v>
      </c>
      <c r="F3304" s="20" t="s">
        <v>22342</v>
      </c>
      <c r="G3304" s="20" t="s">
        <v>22343</v>
      </c>
      <c r="H3304" s="24"/>
      <c r="I3304" s="24" t="str">
        <f ca="1">IFERROR(__xludf.DUMMYFUNCTION("GOOGLETRANSLATE(F3304,""en"",""pt"")"),"inserções de abatimento antiderrapante")</f>
        <v>inserções de abatimento antiderrapante</v>
      </c>
      <c r="J3304">
        <f>VLOOKUP(A3304,Pr_Base_LNEC!$A$4:$J$6971,6,FALSE)</f>
        <v>0</v>
      </c>
      <c r="K3304">
        <f>VLOOKUP(A3304,Pr_Base_LNEC!$A$4:$J$6971,7,FALSE)</f>
        <v>0</v>
      </c>
    </row>
    <row r="3305" spans="1:11" ht="14.5">
      <c r="A3305" s="20" t="s">
        <v>22344</v>
      </c>
      <c r="B3305" s="20">
        <v>35</v>
      </c>
      <c r="C3305" s="20">
        <v>90</v>
      </c>
      <c r="D3305" s="20">
        <v>60</v>
      </c>
      <c r="E3305" s="20">
        <v>87</v>
      </c>
      <c r="F3305" s="20" t="s">
        <v>22345</v>
      </c>
      <c r="G3305" s="20" t="s">
        <v>22346</v>
      </c>
      <c r="H3305" s="24"/>
      <c r="I3305" s="24" t="str">
        <f ca="1">IFERROR(__xludf.DUMMYFUNCTION("GOOGLETRANSLATE(F3305,""en"",""pt"")"),"pregos pavimentação tátil")</f>
        <v>pregos pavimentação tátil</v>
      </c>
      <c r="J3305">
        <f>VLOOKUP(A3305,Pr_Base_LNEC!$A$4:$J$6971,6,FALSE)</f>
        <v>0</v>
      </c>
      <c r="K3305">
        <f>VLOOKUP(A3305,Pr_Base_LNEC!$A$4:$J$6971,7,FALSE)</f>
        <v>0</v>
      </c>
    </row>
    <row r="3306" spans="1:11" ht="14.5">
      <c r="A3306" s="20" t="s">
        <v>22347</v>
      </c>
      <c r="B3306" s="20">
        <v>35</v>
      </c>
      <c r="C3306" s="20">
        <v>90</v>
      </c>
      <c r="D3306" s="20">
        <v>87</v>
      </c>
      <c r="E3306" s="24"/>
      <c r="F3306" s="20" t="s">
        <v>22348</v>
      </c>
      <c r="G3306" s="24"/>
      <c r="H3306" s="24"/>
      <c r="I3306" s="24" t="str">
        <f ca="1">IFERROR(__xludf.DUMMYFUNCTION("GOOGLETRANSLATE(F3306,""en"",""pt"")"),"Fitas, tiras e enchimentos perfil")</f>
        <v>Fitas, tiras e enchimentos perfil</v>
      </c>
      <c r="J3306">
        <f>VLOOKUP(A3306,Pr_Base_LNEC!$A$4:$J$6971,6,FALSE)</f>
        <v>0</v>
      </c>
      <c r="K3306">
        <f>VLOOKUP(A3306,Pr_Base_LNEC!$A$4:$J$6971,7,FALSE)</f>
        <v>0</v>
      </c>
    </row>
    <row r="3307" spans="1:11" ht="14.5">
      <c r="A3307" s="20" t="s">
        <v>22349</v>
      </c>
      <c r="B3307" s="20">
        <v>35</v>
      </c>
      <c r="C3307" s="20">
        <v>90</v>
      </c>
      <c r="D3307" s="20">
        <v>87</v>
      </c>
      <c r="E3307" s="20">
        <v>1</v>
      </c>
      <c r="F3307" s="20" t="s">
        <v>22350</v>
      </c>
      <c r="G3307" s="20" t="s">
        <v>22351</v>
      </c>
      <c r="H3307" s="24"/>
      <c r="I3307" s="24" t="str">
        <f ca="1">IFERROR(__xludf.DUMMYFUNCTION("GOOGLETRANSLATE(F3307,""en"",""pt"")"),"fitas de fixação adesivo acrílico")</f>
        <v>fitas de fixação adesivo acrílico</v>
      </c>
      <c r="J3307">
        <f>VLOOKUP(A3307,Pr_Base_LNEC!$A$4:$J$6971,6,FALSE)</f>
        <v>0</v>
      </c>
      <c r="K3307">
        <f>VLOOKUP(A3307,Pr_Base_LNEC!$A$4:$J$6971,7,FALSE)</f>
        <v>0</v>
      </c>
    </row>
    <row r="3308" spans="1:11" ht="14.5">
      <c r="A3308" s="20" t="s">
        <v>22352</v>
      </c>
      <c r="B3308" s="20">
        <v>35</v>
      </c>
      <c r="C3308" s="20">
        <v>90</v>
      </c>
      <c r="D3308" s="20">
        <v>87</v>
      </c>
      <c r="E3308" s="20">
        <v>2</v>
      </c>
      <c r="F3308" s="20" t="s">
        <v>22353</v>
      </c>
      <c r="G3308" s="20" t="s">
        <v>22354</v>
      </c>
      <c r="H3308" s="24"/>
      <c r="I3308" s="24" t="str">
        <f ca="1">IFERROR(__xludf.DUMMYFUNCTION("GOOGLETRANSLATE(F3308,""en"",""pt"")"),"fitas vedantes adesivas acrílicas")</f>
        <v>fitas vedantes adesivas acrílicas</v>
      </c>
      <c r="J3308">
        <f>VLOOKUP(A3308,Pr_Base_LNEC!$A$4:$J$6971,6,FALSE)</f>
        <v>0</v>
      </c>
      <c r="K3308">
        <f>VLOOKUP(A3308,Pr_Base_LNEC!$A$4:$J$6971,7,FALSE)</f>
        <v>0</v>
      </c>
    </row>
    <row r="3309" spans="1:11" ht="14.5">
      <c r="A3309" s="20" t="s">
        <v>22355</v>
      </c>
      <c r="B3309" s="20">
        <v>35</v>
      </c>
      <c r="C3309" s="20">
        <v>90</v>
      </c>
      <c r="D3309" s="20">
        <v>87</v>
      </c>
      <c r="E3309" s="20">
        <v>3</v>
      </c>
      <c r="F3309" s="20" t="s">
        <v>22356</v>
      </c>
      <c r="G3309" s="24"/>
      <c r="H3309" s="24"/>
      <c r="I3309" s="24" t="str">
        <f ca="1">IFERROR(__xludf.DUMMYFUNCTION("GOOGLETRANSLATE(F3309,""en"",""pt"")"),"fitas condutor de alumínio")</f>
        <v>fitas condutor de alumínio</v>
      </c>
      <c r="J3309">
        <f>VLOOKUP(A3309,Pr_Base_LNEC!$A$4:$J$6971,6,FALSE)</f>
        <v>0</v>
      </c>
      <c r="K3309">
        <f>VLOOKUP(A3309,Pr_Base_LNEC!$A$4:$J$6971,7,FALSE)</f>
        <v>0</v>
      </c>
    </row>
    <row r="3310" spans="1:11" ht="14.5">
      <c r="A3310" s="20" t="s">
        <v>22357</v>
      </c>
      <c r="B3310" s="20">
        <v>35</v>
      </c>
      <c r="C3310" s="20">
        <v>90</v>
      </c>
      <c r="D3310" s="20">
        <v>87</v>
      </c>
      <c r="E3310" s="20">
        <v>4</v>
      </c>
      <c r="F3310" s="20" t="s">
        <v>22358</v>
      </c>
      <c r="G3310" s="20" t="s">
        <v>22359</v>
      </c>
      <c r="H3310" s="24"/>
      <c r="I3310" s="24" t="str">
        <f ca="1">IFERROR(__xludf.DUMMYFUNCTION("GOOGLETRANSLATE(F3310,""en"",""pt"")"),"fitas de folha de alumínio")</f>
        <v>fitas de folha de alumínio</v>
      </c>
      <c r="J3310">
        <f>VLOOKUP(A3310,Pr_Base_LNEC!$A$4:$J$6971,6,FALSE)</f>
        <v>0</v>
      </c>
      <c r="K3310">
        <f>VLOOKUP(A3310,Pr_Base_LNEC!$A$4:$J$6971,7,FALSE)</f>
        <v>0</v>
      </c>
    </row>
    <row r="3311" spans="1:11" ht="14.5">
      <c r="A3311" s="20" t="s">
        <v>22360</v>
      </c>
      <c r="B3311" s="20">
        <v>35</v>
      </c>
      <c r="C3311" s="20">
        <v>90</v>
      </c>
      <c r="D3311" s="20">
        <v>87</v>
      </c>
      <c r="E3311" s="20">
        <v>7</v>
      </c>
      <c r="F3311" s="20" t="s">
        <v>22361</v>
      </c>
      <c r="G3311" s="20" t="s">
        <v>22362</v>
      </c>
      <c r="H3311" s="24"/>
      <c r="I3311" s="24" t="str">
        <f ca="1">IFERROR(__xludf.DUMMYFUNCTION("GOOGLETRANSLATE(F3311,""en"",""pt"")"),"Butilo fitas adesivas de borracha")</f>
        <v>Butilo fitas adesivas de borracha</v>
      </c>
      <c r="J3311">
        <f>VLOOKUP(A3311,Pr_Base_LNEC!$A$4:$J$6971,6,FALSE)</f>
        <v>0</v>
      </c>
      <c r="K3311">
        <f>VLOOKUP(A3311,Pr_Base_LNEC!$A$4:$J$6971,7,FALSE)</f>
        <v>0</v>
      </c>
    </row>
    <row r="3312" spans="1:11" ht="14.5">
      <c r="A3312" s="20" t="s">
        <v>22363</v>
      </c>
      <c r="B3312" s="20">
        <v>35</v>
      </c>
      <c r="C3312" s="20">
        <v>90</v>
      </c>
      <c r="D3312" s="20">
        <v>87</v>
      </c>
      <c r="E3312" s="20">
        <v>8</v>
      </c>
      <c r="F3312" s="20" t="s">
        <v>22364</v>
      </c>
      <c r="G3312" s="20" t="s">
        <v>22365</v>
      </c>
      <c r="H3312" s="24"/>
      <c r="I3312" s="24" t="str">
        <f ca="1">IFERROR(__xludf.DUMMYFUNCTION("GOOGLETRANSLATE(F3312,""en"",""pt"")"),"A borracha butílica pré-formado tiras")</f>
        <v>A borracha butílica pré-formado tiras</v>
      </c>
      <c r="J3312">
        <f>VLOOKUP(A3312,Pr_Base_LNEC!$A$4:$J$6971,6,FALSE)</f>
        <v>0</v>
      </c>
      <c r="K3312">
        <f>VLOOKUP(A3312,Pr_Base_LNEC!$A$4:$J$6971,7,FALSE)</f>
        <v>0</v>
      </c>
    </row>
    <row r="3313" spans="1:11" ht="14.5">
      <c r="A3313" s="20" t="s">
        <v>22366</v>
      </c>
      <c r="B3313" s="20">
        <v>35</v>
      </c>
      <c r="C3313" s="20">
        <v>90</v>
      </c>
      <c r="D3313" s="20">
        <v>87</v>
      </c>
      <c r="E3313" s="20">
        <v>9</v>
      </c>
      <c r="F3313" s="20" t="s">
        <v>22367</v>
      </c>
      <c r="G3313" s="20" t="s">
        <v>22368</v>
      </c>
      <c r="H3313" s="24"/>
      <c r="I3313" s="24" t="str">
        <f ca="1">IFERROR(__xludf.DUMMYFUNCTION("GOOGLETRANSLATE(F3313,""en"",""pt"")"),"Butil fitas de borracha selante")</f>
        <v>Butil fitas de borracha selante</v>
      </c>
      <c r="J3313">
        <f>VLOOKUP(A3313,Pr_Base_LNEC!$A$4:$J$6971,6,FALSE)</f>
        <v>0</v>
      </c>
      <c r="K3313">
        <f>VLOOKUP(A3313,Pr_Base_LNEC!$A$4:$J$6971,7,FALSE)</f>
        <v>0</v>
      </c>
    </row>
    <row r="3314" spans="1:11" ht="14.5">
      <c r="A3314" s="20" t="s">
        <v>22369</v>
      </c>
      <c r="B3314" s="20">
        <v>35</v>
      </c>
      <c r="C3314" s="20">
        <v>90</v>
      </c>
      <c r="D3314" s="20">
        <v>87</v>
      </c>
      <c r="E3314" s="20">
        <v>10</v>
      </c>
      <c r="F3314" s="20" t="s">
        <v>22370</v>
      </c>
      <c r="G3314" s="20" t="s">
        <v>22371</v>
      </c>
      <c r="H3314" s="24"/>
      <c r="I3314" s="24" t="str">
        <f ca="1">IFERROR(__xludf.DUMMYFUNCTION("GOOGLETRANSLATE(F3314,""en"",""pt"")"),"Butil fitas de borracha de lã")</f>
        <v>Butil fitas de borracha de lã</v>
      </c>
      <c r="J3314">
        <f>VLOOKUP(A3314,Pr_Base_LNEC!$A$4:$J$6971,6,FALSE)</f>
        <v>0</v>
      </c>
      <c r="K3314">
        <f>VLOOKUP(A3314,Pr_Base_LNEC!$A$4:$J$6971,7,FALSE)</f>
        <v>0</v>
      </c>
    </row>
    <row r="3315" spans="1:11" ht="14.5">
      <c r="A3315" s="20" t="s">
        <v>22372</v>
      </c>
      <c r="B3315" s="20">
        <v>35</v>
      </c>
      <c r="C3315" s="20">
        <v>90</v>
      </c>
      <c r="D3315" s="20">
        <v>87</v>
      </c>
      <c r="E3315" s="20">
        <v>15</v>
      </c>
      <c r="F3315" s="20" t="s">
        <v>22373</v>
      </c>
      <c r="G3315" s="24"/>
      <c r="H3315" s="24"/>
      <c r="I3315" s="24" t="str">
        <f ca="1">IFERROR(__xludf.DUMMYFUNCTION("GOOGLETRANSLATE(F3315,""en"",""pt"")"),"fitas condutor de cobre")</f>
        <v>fitas condutor de cobre</v>
      </c>
      <c r="J3315">
        <f>VLOOKUP(A3315,Pr_Base_LNEC!$A$4:$J$6971,6,FALSE)</f>
        <v>0</v>
      </c>
      <c r="K3315">
        <f>VLOOKUP(A3315,Pr_Base_LNEC!$A$4:$J$6971,7,FALSE)</f>
        <v>0</v>
      </c>
    </row>
    <row r="3316" spans="1:11" ht="14.5">
      <c r="A3316" s="20" t="s">
        <v>22374</v>
      </c>
      <c r="B3316" s="20">
        <v>35</v>
      </c>
      <c r="C3316" s="20">
        <v>90</v>
      </c>
      <c r="D3316" s="20">
        <v>87</v>
      </c>
      <c r="E3316" s="20">
        <v>23</v>
      </c>
      <c r="F3316" s="20" t="s">
        <v>22375</v>
      </c>
      <c r="G3316" s="24"/>
      <c r="H3316" s="24"/>
      <c r="I3316" s="24" t="str">
        <f ca="1">IFERROR(__xludf.DUMMYFUNCTION("GOOGLETRANSLATE(F3316,""en"",""pt"")"),"fita dupla face úmido curso prova selantes conjuntas")</f>
        <v>fita dupla face úmido curso prova selantes conjuntas</v>
      </c>
      <c r="J3316">
        <f>VLOOKUP(A3316,Pr_Base_LNEC!$A$4:$J$6971,6,FALSE)</f>
        <v>0</v>
      </c>
      <c r="K3316">
        <f>VLOOKUP(A3316,Pr_Base_LNEC!$A$4:$J$6971,7,FALSE)</f>
        <v>0</v>
      </c>
    </row>
    <row r="3317" spans="1:11" ht="14.5">
      <c r="A3317" s="20" t="s">
        <v>22376</v>
      </c>
      <c r="B3317" s="20">
        <v>35</v>
      </c>
      <c r="C3317" s="20">
        <v>90</v>
      </c>
      <c r="D3317" s="20">
        <v>87</v>
      </c>
      <c r="E3317" s="20">
        <v>25</v>
      </c>
      <c r="F3317" s="20" t="s">
        <v>22377</v>
      </c>
      <c r="G3317" s="20" t="s">
        <v>22378</v>
      </c>
      <c r="H3317" s="24"/>
      <c r="I3317" s="24" t="str">
        <f ca="1">IFERROR(__xludf.DUMMYFUNCTION("GOOGLETRANSLATE(F3317,""en"",""pt"")"),"Etileno propileno dieno monómero (EPDM) -Revestido expandido polietileno (PE) agentes de enchimento de espuma perfil")</f>
        <v>Etileno propileno dieno monómero (EPDM) -Revestido expandido polietileno (PE) agentes de enchimento de espuma perfil</v>
      </c>
      <c r="J3317">
        <f>VLOOKUP(A3317,Pr_Base_LNEC!$A$4:$J$6971,6,FALSE)</f>
        <v>0</v>
      </c>
      <c r="K3317">
        <f>VLOOKUP(A3317,Pr_Base_LNEC!$A$4:$J$6971,7,FALSE)</f>
        <v>0</v>
      </c>
    </row>
    <row r="3318" spans="1:11" ht="14.5">
      <c r="A3318" s="20" t="s">
        <v>22379</v>
      </c>
      <c r="B3318" s="20">
        <v>35</v>
      </c>
      <c r="C3318" s="20">
        <v>90</v>
      </c>
      <c r="D3318" s="20">
        <v>87</v>
      </c>
      <c r="E3318" s="20">
        <v>26</v>
      </c>
      <c r="F3318" s="20" t="s">
        <v>22380</v>
      </c>
      <c r="G3318" s="20" t="s">
        <v>22381</v>
      </c>
      <c r="H3318" s="24"/>
      <c r="I3318" s="24" t="str">
        <f ca="1">IFERROR(__xludf.DUMMYFUNCTION("GOOGLETRANSLATE(F3318,""en"",""pt"")"),"polietileno expandido (PE) agentes de enchimento de espuma perfil")</f>
        <v>polietileno expandido (PE) agentes de enchimento de espuma perfil</v>
      </c>
      <c r="J3318">
        <f>VLOOKUP(A3318,Pr_Base_LNEC!$A$4:$J$6971,6,FALSE)</f>
        <v>0</v>
      </c>
      <c r="K3318">
        <f>VLOOKUP(A3318,Pr_Base_LNEC!$A$4:$J$6971,7,FALSE)</f>
        <v>0</v>
      </c>
    </row>
    <row r="3319" spans="1:11" ht="14.5">
      <c r="A3319" s="20" t="s">
        <v>22382</v>
      </c>
      <c r="B3319" s="20">
        <v>35</v>
      </c>
      <c r="C3319" s="20">
        <v>90</v>
      </c>
      <c r="D3319" s="20">
        <v>87</v>
      </c>
      <c r="E3319" s="20">
        <v>27</v>
      </c>
      <c r="F3319" s="20" t="s">
        <v>22383</v>
      </c>
      <c r="G3319" s="20" t="s">
        <v>22384</v>
      </c>
      <c r="H3319" s="24"/>
      <c r="I3319" s="24" t="str">
        <f ca="1">IFERROR(__xludf.DUMMYFUNCTION("GOOGLETRANSLATE(F3319,""en"",""pt"")"),"polietileno expandido (PE) faixas de espuma")</f>
        <v>polietileno expandido (PE) faixas de espuma</v>
      </c>
      <c r="J3319">
        <f>VLOOKUP(A3319,Pr_Base_LNEC!$A$4:$J$6971,6,FALSE)</f>
        <v>0</v>
      </c>
      <c r="K3319">
        <f>VLOOKUP(A3319,Pr_Base_LNEC!$A$4:$J$6971,7,FALSE)</f>
        <v>0</v>
      </c>
    </row>
    <row r="3320" spans="1:11" ht="14.5">
      <c r="A3320" s="20" t="s">
        <v>22385</v>
      </c>
      <c r="B3320" s="20">
        <v>35</v>
      </c>
      <c r="C3320" s="20">
        <v>90</v>
      </c>
      <c r="D3320" s="20">
        <v>87</v>
      </c>
      <c r="E3320" s="20">
        <v>28</v>
      </c>
      <c r="F3320" s="20" t="s">
        <v>22386</v>
      </c>
      <c r="G3320" s="20" t="s">
        <v>22387</v>
      </c>
      <c r="H3320" s="24"/>
      <c r="I3320" s="24" t="str">
        <f ca="1">IFERROR(__xludf.DUMMYFUNCTION("GOOGLETRANSLATE(F3320,""en"",""pt"")"),"poliestireno expandido (EPS) tiras de espuma expandida")</f>
        <v>poliestireno expandido (EPS) tiras de espuma expandida</v>
      </c>
      <c r="J3320">
        <f>VLOOKUP(A3320,Pr_Base_LNEC!$A$4:$J$6971,6,FALSE)</f>
        <v>0</v>
      </c>
      <c r="K3320">
        <f>VLOOKUP(A3320,Pr_Base_LNEC!$A$4:$J$6971,7,FALSE)</f>
        <v>0</v>
      </c>
    </row>
    <row r="3321" spans="1:11" ht="14.5">
      <c r="A3321" s="20" t="s">
        <v>22388</v>
      </c>
      <c r="B3321" s="20">
        <v>35</v>
      </c>
      <c r="C3321" s="20">
        <v>90</v>
      </c>
      <c r="D3321" s="20">
        <v>87</v>
      </c>
      <c r="E3321" s="20">
        <v>30</v>
      </c>
      <c r="F3321" s="20" t="s">
        <v>22389</v>
      </c>
      <c r="G3321" s="20" t="s">
        <v>22390</v>
      </c>
      <c r="H3321" s="24"/>
      <c r="I3321" s="24" t="str">
        <f ca="1">IFERROR(__xludf.DUMMYFUNCTION("GOOGLETRANSLATE(F3321,""en"",""pt"")"),"fitas vidros resistentes ao fogo")</f>
        <v>fitas vidros resistentes ao fogo</v>
      </c>
      <c r="J3321">
        <f>VLOOKUP(A3321,Pr_Base_LNEC!$A$4:$J$6971,6,FALSE)</f>
        <v>0</v>
      </c>
      <c r="K3321">
        <f>VLOOKUP(A3321,Pr_Base_LNEC!$A$4:$J$6971,7,FALSE)</f>
        <v>0</v>
      </c>
    </row>
    <row r="3322" spans="1:11" ht="14.5">
      <c r="A3322" s="20" t="s">
        <v>22391</v>
      </c>
      <c r="B3322" s="20">
        <v>35</v>
      </c>
      <c r="C3322" s="20">
        <v>90</v>
      </c>
      <c r="D3322" s="20">
        <v>87</v>
      </c>
      <c r="E3322" s="20">
        <v>31</v>
      </c>
      <c r="F3322" s="20" t="s">
        <v>22392</v>
      </c>
      <c r="G3322" s="24"/>
      <c r="H3322" s="24"/>
      <c r="I3322" s="24" t="str">
        <f ca="1">IFERROR(__xludf.DUMMYFUNCTION("GOOGLETRANSLATE(F3322,""en"",""pt"")"),"fitas de flash")</f>
        <v>fitas de flash</v>
      </c>
      <c r="J3322">
        <f>VLOOKUP(A3322,Pr_Base_LNEC!$A$4:$J$6971,6,FALSE)</f>
        <v>0</v>
      </c>
      <c r="K3322">
        <f>VLOOKUP(A3322,Pr_Base_LNEC!$A$4:$J$6971,7,FALSE)</f>
        <v>0</v>
      </c>
    </row>
    <row r="3323" spans="1:11" ht="14.5">
      <c r="A3323" s="20" t="s">
        <v>22393</v>
      </c>
      <c r="B3323" s="20">
        <v>35</v>
      </c>
      <c r="C3323" s="20">
        <v>90</v>
      </c>
      <c r="D3323" s="20">
        <v>87</v>
      </c>
      <c r="E3323" s="20">
        <v>34</v>
      </c>
      <c r="F3323" s="20" t="s">
        <v>22394</v>
      </c>
      <c r="G3323" s="20" t="s">
        <v>22395</v>
      </c>
      <c r="H3323" s="24"/>
      <c r="I3323" s="24" t="str">
        <f ca="1">IFERROR(__xludf.DUMMYFUNCTION("GOOGLETRANSLATE(F3323,""en"",""pt"")"),"fitas de reparação de malha de fibra de vidro")</f>
        <v>fitas de reparação de malha de fibra de vidro</v>
      </c>
      <c r="J3323">
        <f>VLOOKUP(A3323,Pr_Base_LNEC!$A$4:$J$6971,6,FALSE)</f>
        <v>0</v>
      </c>
      <c r="K3323">
        <f>VLOOKUP(A3323,Pr_Base_LNEC!$A$4:$J$6971,7,FALSE)</f>
        <v>0</v>
      </c>
    </row>
    <row r="3324" spans="1:11" ht="14.5">
      <c r="A3324" s="20" t="s">
        <v>22396</v>
      </c>
      <c r="B3324" s="20">
        <v>35</v>
      </c>
      <c r="C3324" s="20">
        <v>90</v>
      </c>
      <c r="D3324" s="20">
        <v>87</v>
      </c>
      <c r="E3324" s="20">
        <v>37</v>
      </c>
      <c r="F3324" s="20" t="s">
        <v>22397</v>
      </c>
      <c r="G3324" s="20" t="s">
        <v>22398</v>
      </c>
      <c r="H3324" s="24"/>
      <c r="I3324" s="24" t="str">
        <f ca="1">IFERROR(__xludf.DUMMYFUNCTION("GOOGLETRANSLATE(F3324,""en"",""pt"")"),"fitas de tapete ligado por calor")</f>
        <v>fitas de tapete ligado por calor</v>
      </c>
      <c r="J3324">
        <f>VLOOKUP(A3324,Pr_Base_LNEC!$A$4:$J$6971,6,FALSE)</f>
        <v>0</v>
      </c>
      <c r="K3324">
        <f>VLOOKUP(A3324,Pr_Base_LNEC!$A$4:$J$6971,7,FALSE)</f>
        <v>0</v>
      </c>
    </row>
    <row r="3325" spans="1:11" ht="14.5">
      <c r="A3325" s="20" t="s">
        <v>22399</v>
      </c>
      <c r="B3325" s="20">
        <v>35</v>
      </c>
      <c r="C3325" s="20">
        <v>90</v>
      </c>
      <c r="D3325" s="20">
        <v>87</v>
      </c>
      <c r="E3325" s="20">
        <v>41</v>
      </c>
      <c r="F3325" s="20" t="s">
        <v>22400</v>
      </c>
      <c r="G3325" s="20" t="s">
        <v>22401</v>
      </c>
      <c r="H3325" s="24"/>
      <c r="I3325" s="24" t="str">
        <f ca="1">IFERROR(__xludf.DUMMYFUNCTION("GOOGLETRANSLATE(F3325,""en"",""pt"")"),"fitas intumescentes")</f>
        <v>fitas intumescentes</v>
      </c>
      <c r="J3325">
        <f>VLOOKUP(A3325,Pr_Base_LNEC!$A$4:$J$6971,6,FALSE)</f>
        <v>0</v>
      </c>
      <c r="K3325">
        <f>VLOOKUP(A3325,Pr_Base_LNEC!$A$4:$J$6971,7,FALSE)</f>
        <v>0</v>
      </c>
    </row>
    <row r="3326" spans="1:11" ht="14.5">
      <c r="A3326" s="20" t="s">
        <v>22402</v>
      </c>
      <c r="B3326" s="20">
        <v>35</v>
      </c>
      <c r="C3326" s="20">
        <v>90</v>
      </c>
      <c r="D3326" s="20">
        <v>87</v>
      </c>
      <c r="E3326" s="20">
        <v>42</v>
      </c>
      <c r="F3326" s="20" t="s">
        <v>22403</v>
      </c>
      <c r="G3326" s="20" t="s">
        <v>22404</v>
      </c>
      <c r="H3326" s="24"/>
      <c r="I3326" s="24" t="str">
        <f ca="1">IFERROR(__xludf.DUMMYFUNCTION("GOOGLETRANSLATE(F3326,""en"",""pt"")"),"isolando fitas")</f>
        <v>isolando fitas</v>
      </c>
      <c r="J3326">
        <f>VLOOKUP(A3326,Pr_Base_LNEC!$A$4:$J$6971,6,FALSE)</f>
        <v>0</v>
      </c>
      <c r="K3326">
        <f>VLOOKUP(A3326,Pr_Base_LNEC!$A$4:$J$6971,7,FALSE)</f>
        <v>0</v>
      </c>
    </row>
    <row r="3327" spans="1:11" ht="14.5">
      <c r="A3327" s="20" t="s">
        <v>22405</v>
      </c>
      <c r="B3327" s="20">
        <v>35</v>
      </c>
      <c r="C3327" s="20">
        <v>90</v>
      </c>
      <c r="D3327" s="20">
        <v>87</v>
      </c>
      <c r="E3327" s="20">
        <v>52</v>
      </c>
      <c r="F3327" s="20" t="s">
        <v>22406</v>
      </c>
      <c r="G3327" s="20" t="s">
        <v>22407</v>
      </c>
      <c r="H3327" s="24"/>
      <c r="I3327" s="24" t="str">
        <f ca="1">IFERROR(__xludf.DUMMYFUNCTION("GOOGLETRANSLATE(F3327,""en"",""pt"")"),"Tira de metal reforçado fitas de papel")</f>
        <v>Tira de metal reforçado fitas de papel</v>
      </c>
      <c r="J3327">
        <f>VLOOKUP(A3327,Pr_Base_LNEC!$A$4:$J$6971,6,FALSE)</f>
        <v>0</v>
      </c>
      <c r="K3327">
        <f>VLOOKUP(A3327,Pr_Base_LNEC!$A$4:$J$6971,7,FALSE)</f>
        <v>0</v>
      </c>
    </row>
    <row r="3328" spans="1:11" ht="14.5">
      <c r="A3328" s="20" t="s">
        <v>22408</v>
      </c>
      <c r="B3328" s="20">
        <v>35</v>
      </c>
      <c r="C3328" s="20">
        <v>90</v>
      </c>
      <c r="D3328" s="20">
        <v>87</v>
      </c>
      <c r="E3328" s="20">
        <v>53</v>
      </c>
      <c r="F3328" s="20" t="s">
        <v>22409</v>
      </c>
      <c r="G3328" s="20" t="s">
        <v>22410</v>
      </c>
      <c r="H3328" s="24"/>
      <c r="I3328" s="24" t="str">
        <f ca="1">IFERROR(__xludf.DUMMYFUNCTION("GOOGLETRANSLATE(F3328,""en"",""pt"")"),"Agentes de enchimento minerais, fibras mistas")</f>
        <v>Agentes de enchimento minerais, fibras mistas</v>
      </c>
      <c r="J3328">
        <f>VLOOKUP(A3328,Pr_Base_LNEC!$A$4:$J$6971,6,FALSE)</f>
        <v>0</v>
      </c>
      <c r="K3328">
        <f>VLOOKUP(A3328,Pr_Base_LNEC!$A$4:$J$6971,7,FALSE)</f>
        <v>0</v>
      </c>
    </row>
    <row r="3329" spans="1:11" ht="14.5">
      <c r="A3329" s="20" t="s">
        <v>22411</v>
      </c>
      <c r="B3329" s="20">
        <v>35</v>
      </c>
      <c r="C3329" s="20">
        <v>90</v>
      </c>
      <c r="D3329" s="20">
        <v>87</v>
      </c>
      <c r="E3329" s="20">
        <v>54</v>
      </c>
      <c r="F3329" s="20" t="s">
        <v>22412</v>
      </c>
      <c r="G3329" s="20" t="s">
        <v>22413</v>
      </c>
      <c r="H3329" s="24"/>
      <c r="I3329" s="24" t="str">
        <f ca="1">IFERROR(__xludf.DUMMYFUNCTION("GOOGLETRANSLATE(F3329,""en"",""pt"")"),"Enchimentos minerais perfil fibras")</f>
        <v>Enchimentos minerais perfil fibras</v>
      </c>
      <c r="J3329">
        <f>VLOOKUP(A3329,Pr_Base_LNEC!$A$4:$J$6971,6,FALSE)</f>
        <v>0</v>
      </c>
      <c r="K3329">
        <f>VLOOKUP(A3329,Pr_Base_LNEC!$A$4:$J$6971,7,FALSE)</f>
        <v>0</v>
      </c>
    </row>
    <row r="3330" spans="1:11" ht="14.5">
      <c r="A3330" s="20" t="s">
        <v>22414</v>
      </c>
      <c r="B3330" s="20">
        <v>35</v>
      </c>
      <c r="C3330" s="20">
        <v>90</v>
      </c>
      <c r="D3330" s="20">
        <v>87</v>
      </c>
      <c r="E3330" s="20">
        <v>56</v>
      </c>
      <c r="F3330" s="20" t="s">
        <v>22415</v>
      </c>
      <c r="G3330" s="20" t="s">
        <v>22416</v>
      </c>
      <c r="H3330" s="24"/>
      <c r="I3330" s="24" t="str">
        <f ca="1">IFERROR(__xludf.DUMMYFUNCTION("GOOGLETRANSLATE(F3330,""en"",""pt"")"),"fitas de espuma vidraças não impregnados")</f>
        <v>fitas de espuma vidraças não impregnados</v>
      </c>
      <c r="J3330">
        <f>VLOOKUP(A3330,Pr_Base_LNEC!$A$4:$J$6971,6,FALSE)</f>
        <v>0</v>
      </c>
      <c r="K3330">
        <f>VLOOKUP(A3330,Pr_Base_LNEC!$A$4:$J$6971,7,FALSE)</f>
        <v>0</v>
      </c>
    </row>
    <row r="3331" spans="1:11" ht="14.5">
      <c r="A3331" s="20" t="s">
        <v>22417</v>
      </c>
      <c r="B3331" s="20">
        <v>35</v>
      </c>
      <c r="C3331" s="20">
        <v>90</v>
      </c>
      <c r="D3331" s="20">
        <v>87</v>
      </c>
      <c r="E3331" s="20">
        <v>60</v>
      </c>
      <c r="F3331" s="20" t="s">
        <v>22418</v>
      </c>
      <c r="G3331" s="20" t="s">
        <v>22419</v>
      </c>
      <c r="H3331" s="24"/>
      <c r="I3331" s="24" t="str">
        <f ca="1">IFERROR(__xludf.DUMMYFUNCTION("GOOGLETRANSLATE(F3331,""en"",""pt"")"),"fitas de papel de articulação")</f>
        <v>fitas de papel de articulação</v>
      </c>
      <c r="J3331">
        <f>VLOOKUP(A3331,Pr_Base_LNEC!$A$4:$J$6971,6,FALSE)</f>
        <v>0</v>
      </c>
      <c r="K3331">
        <f>VLOOKUP(A3331,Pr_Base_LNEC!$A$4:$J$6971,7,FALSE)</f>
        <v>0</v>
      </c>
    </row>
    <row r="3332" spans="1:11" ht="14.5">
      <c r="A3332" s="20" t="s">
        <v>22420</v>
      </c>
      <c r="B3332" s="20">
        <v>35</v>
      </c>
      <c r="C3332" s="20">
        <v>90</v>
      </c>
      <c r="D3332" s="20">
        <v>87</v>
      </c>
      <c r="E3332" s="20">
        <v>64</v>
      </c>
      <c r="F3332" s="20" t="s">
        <v>22421</v>
      </c>
      <c r="G3332" s="20" t="s">
        <v>22422</v>
      </c>
      <c r="H3332" s="24"/>
      <c r="I3332" s="24" t="str">
        <f ca="1">IFERROR(__xludf.DUMMYFUNCTION("GOOGLETRANSLATE(F3332,""en"",""pt"")"),"Polietileno (PE) fitas de descolamento")</f>
        <v>Polietileno (PE) fitas de descolamento</v>
      </c>
      <c r="J3332">
        <f>VLOOKUP(A3332,Pr_Base_LNEC!$A$4:$J$6971,6,FALSE)</f>
        <v>0</v>
      </c>
      <c r="K3332">
        <f>VLOOKUP(A3332,Pr_Base_LNEC!$A$4:$J$6971,7,FALSE)</f>
        <v>0</v>
      </c>
    </row>
    <row r="3333" spans="1:11" ht="14.5">
      <c r="A3333" s="20" t="s">
        <v>22423</v>
      </c>
      <c r="B3333" s="20">
        <v>35</v>
      </c>
      <c r="C3333" s="20">
        <v>90</v>
      </c>
      <c r="D3333" s="20">
        <v>87</v>
      </c>
      <c r="E3333" s="20">
        <v>66</v>
      </c>
      <c r="F3333" s="20" t="s">
        <v>22424</v>
      </c>
      <c r="G3333" s="20" t="s">
        <v>22425</v>
      </c>
      <c r="H3333" s="24"/>
      <c r="I3333" s="24" t="str">
        <f ca="1">IFERROR(__xludf.DUMMYFUNCTION("GOOGLETRANSLATE(F3333,""en"",""pt"")"),"Politetrafluoretileno (PTFE) fitas")</f>
        <v>Politetrafluoretileno (PTFE) fitas</v>
      </c>
      <c r="J3333">
        <f>VLOOKUP(A3333,Pr_Base_LNEC!$A$4:$J$6971,6,FALSE)</f>
        <v>0</v>
      </c>
      <c r="K3333">
        <f>VLOOKUP(A3333,Pr_Base_LNEC!$A$4:$J$6971,7,FALSE)</f>
        <v>0</v>
      </c>
    </row>
    <row r="3334" spans="1:11" ht="14.5">
      <c r="A3334" s="20" t="s">
        <v>22426</v>
      </c>
      <c r="B3334" s="20">
        <v>35</v>
      </c>
      <c r="C3334" s="20">
        <v>90</v>
      </c>
      <c r="D3334" s="20">
        <v>87</v>
      </c>
      <c r="E3334" s="20">
        <v>67</v>
      </c>
      <c r="F3334" s="20" t="s">
        <v>22427</v>
      </c>
      <c r="G3334" s="20" t="s">
        <v>22428</v>
      </c>
      <c r="H3334" s="24"/>
      <c r="I3334" s="24" t="str">
        <f ca="1">IFERROR(__xludf.DUMMYFUNCTION("GOOGLETRANSLATE(F3334,""en"",""pt"")"),"Pré-formado calço butil vidraças fitas")</f>
        <v>Pré-formado calço butil vidraças fitas</v>
      </c>
      <c r="J3334">
        <f>VLOOKUP(A3334,Pr_Base_LNEC!$A$4:$J$6971,6,FALSE)</f>
        <v>0</v>
      </c>
      <c r="K3334">
        <f>VLOOKUP(A3334,Pr_Base_LNEC!$A$4:$J$6971,7,FALSE)</f>
        <v>0</v>
      </c>
    </row>
    <row r="3335" spans="1:11" ht="14.5">
      <c r="A3335" s="20" t="s">
        <v>22429</v>
      </c>
      <c r="B3335" s="20">
        <v>35</v>
      </c>
      <c r="C3335" s="20">
        <v>90</v>
      </c>
      <c r="D3335" s="20">
        <v>87</v>
      </c>
      <c r="E3335" s="20">
        <v>71</v>
      </c>
      <c r="F3335" s="20" t="s">
        <v>22430</v>
      </c>
      <c r="G3335" s="20" t="s">
        <v>22431</v>
      </c>
      <c r="H3335" s="24"/>
      <c r="I3335" s="24" t="str">
        <f ca="1">IFERROR(__xludf.DUMMYFUNCTION("GOOGLETRANSLATE(F3335,""en"",""pt"")"),"Impregnado de resina pré-comprimido tiras de vedação de espuma")</f>
        <v>Impregnado de resina pré-comprimido tiras de vedação de espuma</v>
      </c>
      <c r="J3335">
        <f>VLOOKUP(A3335,Pr_Base_LNEC!$A$4:$J$6971,6,FALSE)</f>
        <v>0</v>
      </c>
      <c r="K3335">
        <f>VLOOKUP(A3335,Pr_Base_LNEC!$A$4:$J$6971,7,FALSE)</f>
        <v>0</v>
      </c>
    </row>
    <row r="3336" spans="1:11" ht="14.5">
      <c r="A3336" s="20" t="s">
        <v>22432</v>
      </c>
      <c r="B3336" s="20">
        <v>35</v>
      </c>
      <c r="C3336" s="20">
        <v>90</v>
      </c>
      <c r="D3336" s="20">
        <v>87</v>
      </c>
      <c r="E3336" s="20">
        <v>72</v>
      </c>
      <c r="F3336" s="20" t="s">
        <v>22433</v>
      </c>
      <c r="G3336" s="20" t="s">
        <v>22434</v>
      </c>
      <c r="H3336" s="24"/>
      <c r="I3336" s="24" t="str">
        <f ca="1">IFERROR(__xludf.DUMMYFUNCTION("GOOGLETRANSLATE(F3336,""en"",""pt"")"),"fitas auto-adesivas Retrorefletido")</f>
        <v>fitas auto-adesivas Retrorefletido</v>
      </c>
      <c r="J3336">
        <f>VLOOKUP(A3336,Pr_Base_LNEC!$A$4:$J$6971,6,FALSE)</f>
        <v>0</v>
      </c>
      <c r="K3336">
        <f>VLOOKUP(A3336,Pr_Base_LNEC!$A$4:$J$6971,7,FALSE)</f>
        <v>0</v>
      </c>
    </row>
    <row r="3337" spans="1:11" ht="14.5">
      <c r="A3337" s="20" t="s">
        <v>22435</v>
      </c>
      <c r="B3337" s="20">
        <v>35</v>
      </c>
      <c r="C3337" s="20">
        <v>90</v>
      </c>
      <c r="D3337" s="20">
        <v>87</v>
      </c>
      <c r="E3337" s="20">
        <v>77</v>
      </c>
      <c r="F3337" s="20" t="s">
        <v>22436</v>
      </c>
      <c r="G3337" s="20" t="s">
        <v>22437</v>
      </c>
      <c r="H3337" s="24"/>
      <c r="I3337" s="24" t="str">
        <f ca="1">IFERROR(__xludf.DUMMYFUNCTION("GOOGLETRANSLATE(F3337,""en"",""pt"")"),"betume fitas auto-adesivas")</f>
        <v>betume fitas auto-adesivas</v>
      </c>
      <c r="J3337">
        <f>VLOOKUP(A3337,Pr_Base_LNEC!$A$4:$J$6971,6,FALSE)</f>
        <v>0</v>
      </c>
      <c r="K3337">
        <f>VLOOKUP(A3337,Pr_Base_LNEC!$A$4:$J$6971,7,FALSE)</f>
        <v>0</v>
      </c>
    </row>
    <row r="3338" spans="1:11" ht="14.5">
      <c r="A3338" s="20" t="s">
        <v>22438</v>
      </c>
      <c r="B3338" s="20">
        <v>35</v>
      </c>
      <c r="C3338" s="20">
        <v>90</v>
      </c>
      <c r="D3338" s="20">
        <v>87</v>
      </c>
      <c r="E3338" s="20">
        <v>78</v>
      </c>
      <c r="F3338" s="20" t="s">
        <v>22439</v>
      </c>
      <c r="G3338" s="20" t="s">
        <v>22440</v>
      </c>
      <c r="H3338" s="24"/>
      <c r="I3338" s="24" t="str">
        <f ca="1">IFERROR(__xludf.DUMMYFUNCTION("GOOGLETRANSLATE(F3338,""en"",""pt"")"),"Auto-adesivas esportes marcação fitas")</f>
        <v>Auto-adesivas esportes marcação fitas</v>
      </c>
      <c r="J3338">
        <f>VLOOKUP(A3338,Pr_Base_LNEC!$A$4:$J$6971,6,FALSE)</f>
        <v>0</v>
      </c>
      <c r="K3338">
        <f>VLOOKUP(A3338,Pr_Base_LNEC!$A$4:$J$6971,7,FALSE)</f>
        <v>0</v>
      </c>
    </row>
    <row r="3339" spans="1:11" ht="14.5">
      <c r="A3339" s="20" t="s">
        <v>22441</v>
      </c>
      <c r="B3339" s="20">
        <v>35</v>
      </c>
      <c r="C3339" s="20">
        <v>90</v>
      </c>
      <c r="D3339" s="20">
        <v>87</v>
      </c>
      <c r="E3339" s="20">
        <v>84</v>
      </c>
      <c r="F3339" s="20" t="s">
        <v>22442</v>
      </c>
      <c r="G3339" s="20" t="s">
        <v>22443</v>
      </c>
      <c r="H3339" s="24"/>
      <c r="I3339" s="24" t="str">
        <f ca="1">IFERROR(__xludf.DUMMYFUNCTION("GOOGLETRANSLATE(F3339,""en"",""pt"")"),"fitas envidraçamento estrutural")</f>
        <v>fitas envidraçamento estrutural</v>
      </c>
      <c r="J3339">
        <f>VLOOKUP(A3339,Pr_Base_LNEC!$A$4:$J$6971,6,FALSE)</f>
        <v>0</v>
      </c>
      <c r="K3339">
        <f>VLOOKUP(A3339,Pr_Base_LNEC!$A$4:$J$6971,7,FALSE)</f>
        <v>0</v>
      </c>
    </row>
    <row r="3340" spans="1:11" ht="14.5">
      <c r="A3340" s="20" t="s">
        <v>22444</v>
      </c>
      <c r="B3340" s="20">
        <v>35</v>
      </c>
      <c r="C3340" s="20">
        <v>90</v>
      </c>
      <c r="D3340" s="20">
        <v>87</v>
      </c>
      <c r="E3340" s="20">
        <v>85</v>
      </c>
      <c r="F3340" s="20" t="s">
        <v>22445</v>
      </c>
      <c r="G3340" s="20" t="s">
        <v>22446</v>
      </c>
      <c r="H3340" s="24"/>
      <c r="I3340" s="24" t="str">
        <f ca="1">IFERROR(__xludf.DUMMYFUNCTION("GOOGLETRANSLATE(F3340,""en"",""pt"")"),"espuma de células fechadas agentes de enchimento perfil de borracha sintéticas")</f>
        <v>espuma de células fechadas agentes de enchimento perfil de borracha sintéticas</v>
      </c>
      <c r="J3340">
        <f>VLOOKUP(A3340,Pr_Base_LNEC!$A$4:$J$6971,6,FALSE)</f>
        <v>0</v>
      </c>
      <c r="K3340">
        <f>VLOOKUP(A3340,Pr_Base_LNEC!$A$4:$J$6971,7,FALSE)</f>
        <v>0</v>
      </c>
    </row>
    <row r="3341" spans="1:11" ht="14.5">
      <c r="A3341" s="20" t="s">
        <v>22447</v>
      </c>
      <c r="B3341" s="20">
        <v>35</v>
      </c>
      <c r="C3341" s="20">
        <v>90</v>
      </c>
      <c r="D3341" s="20">
        <v>87</v>
      </c>
      <c r="E3341" s="20">
        <v>86</v>
      </c>
      <c r="F3341" s="20" t="s">
        <v>22448</v>
      </c>
      <c r="G3341" s="20" t="s">
        <v>22449</v>
      </c>
      <c r="H3341" s="24"/>
      <c r="I3341" s="24" t="str">
        <f ca="1">IFERROR(__xludf.DUMMYFUNCTION("GOOGLETRANSLATE(F3341,""en"",""pt"")"),"tiras de borracha sintética")</f>
        <v>tiras de borracha sintética</v>
      </c>
      <c r="J3341">
        <f>VLOOKUP(A3341,Pr_Base_LNEC!$A$4:$J$6971,6,FALSE)</f>
        <v>0</v>
      </c>
      <c r="K3341">
        <f>VLOOKUP(A3341,Pr_Base_LNEC!$A$4:$J$6971,7,FALSE)</f>
        <v>0</v>
      </c>
    </row>
    <row r="3342" spans="1:11" ht="14.5">
      <c r="A3342" s="20" t="s">
        <v>22450</v>
      </c>
      <c r="B3342" s="20">
        <v>35</v>
      </c>
      <c r="C3342" s="20">
        <v>90</v>
      </c>
      <c r="D3342" s="20">
        <v>87</v>
      </c>
      <c r="E3342" s="20">
        <v>97</v>
      </c>
      <c r="F3342" s="20" t="s">
        <v>22451</v>
      </c>
      <c r="G3342" s="20" t="s">
        <v>22452</v>
      </c>
      <c r="H3342" s="24"/>
      <c r="I3342" s="24" t="str">
        <f ca="1">IFERROR(__xludf.DUMMYFUNCTION("GOOGLETRANSLATE(F3342,""en"",""pt"")"),"Água campo de pólo marcação linhas")</f>
        <v>Água campo de pólo marcação linhas</v>
      </c>
      <c r="J3342">
        <f>VLOOKUP(A3342,Pr_Base_LNEC!$A$4:$J$6971,6,FALSE)</f>
        <v>0</v>
      </c>
      <c r="K3342">
        <f>VLOOKUP(A3342,Pr_Base_LNEC!$A$4:$J$6971,7,FALSE)</f>
        <v>0</v>
      </c>
    </row>
    <row r="3343" spans="1:11" ht="14.5">
      <c r="A3343" s="20" t="s">
        <v>22453</v>
      </c>
      <c r="B3343" s="20">
        <v>35</v>
      </c>
      <c r="C3343" s="20">
        <v>90</v>
      </c>
      <c r="D3343" s="20">
        <v>87</v>
      </c>
      <c r="E3343" s="20">
        <v>98</v>
      </c>
      <c r="F3343" s="20" t="s">
        <v>22454</v>
      </c>
      <c r="G3343" s="20" t="s">
        <v>22455</v>
      </c>
      <c r="H3343" s="24"/>
      <c r="I3343" s="24" t="str">
        <f ca="1">IFERROR(__xludf.DUMMYFUNCTION("GOOGLETRANSLATE(F3343,""en"",""pt"")"),"tiras de tecido de fibra de vidro tecida")</f>
        <v>tiras de tecido de fibra de vidro tecida</v>
      </c>
      <c r="J3343">
        <f>VLOOKUP(A3343,Pr_Base_LNEC!$A$4:$J$6971,6,FALSE)</f>
        <v>0</v>
      </c>
      <c r="K3343">
        <f>VLOOKUP(A3343,Pr_Base_LNEC!$A$4:$J$6971,7,FALSE)</f>
        <v>0</v>
      </c>
    </row>
    <row r="3344" spans="1:11" ht="14.5">
      <c r="A3344" s="20" t="s">
        <v>22456</v>
      </c>
      <c r="B3344" s="20">
        <v>35</v>
      </c>
      <c r="C3344" s="20">
        <v>90</v>
      </c>
      <c r="D3344" s="20">
        <v>93</v>
      </c>
      <c r="E3344" s="24"/>
      <c r="F3344" s="20" t="s">
        <v>22457</v>
      </c>
      <c r="G3344" s="24"/>
      <c r="H3344" s="24"/>
      <c r="I3344" s="24" t="str">
        <f ca="1">IFERROR(__xludf.DUMMYFUNCTION("GOOGLETRANSLATE(F3344,""en"",""pt"")"),"acessórios para telhados Unidade")</f>
        <v>acessórios para telhados Unidade</v>
      </c>
      <c r="J3344">
        <f>VLOOKUP(A3344,Pr_Base_LNEC!$A$4:$J$6971,6,FALSE)</f>
        <v>0</v>
      </c>
      <c r="K3344">
        <f>VLOOKUP(A3344,Pr_Base_LNEC!$A$4:$J$6971,7,FALSE)</f>
        <v>0</v>
      </c>
    </row>
    <row r="3345" spans="1:11" ht="14.5">
      <c r="A3345" s="20" t="s">
        <v>22458</v>
      </c>
      <c r="B3345" s="20">
        <v>35</v>
      </c>
      <c r="C3345" s="20">
        <v>90</v>
      </c>
      <c r="D3345" s="20">
        <v>93</v>
      </c>
      <c r="E3345" s="20">
        <v>7</v>
      </c>
      <c r="F3345" s="20" t="s">
        <v>22459</v>
      </c>
      <c r="G3345" s="20" t="s">
        <v>22460</v>
      </c>
      <c r="H3345" s="24"/>
      <c r="I3345" s="24" t="str">
        <f ca="1">IFERROR(__xludf.DUMMYFUNCTION("GOOGLETRANSLATE(F3345,""en"",""pt"")"),"Betume membrana opérculos telha")</f>
        <v>Betume membrana opérculos telha</v>
      </c>
      <c r="J3345">
        <f>VLOOKUP(A3345,Pr_Base_LNEC!$A$4:$J$6971,6,FALSE)</f>
        <v>0</v>
      </c>
      <c r="K3345">
        <f>VLOOKUP(A3345,Pr_Base_LNEC!$A$4:$J$6971,7,FALSE)</f>
        <v>0</v>
      </c>
    </row>
    <row r="3346" spans="1:11" ht="14.5">
      <c r="A3346" s="20" t="s">
        <v>22461</v>
      </c>
      <c r="B3346" s="20">
        <v>35</v>
      </c>
      <c r="C3346" s="20">
        <v>90</v>
      </c>
      <c r="D3346" s="20">
        <v>93</v>
      </c>
      <c r="E3346" s="20">
        <v>12</v>
      </c>
      <c r="F3346" s="20" t="s">
        <v>22462</v>
      </c>
      <c r="G3346" s="20" t="s">
        <v>22463</v>
      </c>
      <c r="H3346" s="24"/>
      <c r="I3346" s="24" t="str">
        <f ca="1">IFERROR(__xludf.DUMMYFUNCTION("GOOGLETRANSLATE(F3346,""en"",""pt"")"),"Argila acessórios telha quadril")</f>
        <v>Argila acessórios telha quadril</v>
      </c>
      <c r="J3346">
        <f>VLOOKUP(A3346,Pr_Base_LNEC!$A$4:$J$6971,6,FALSE)</f>
        <v>0</v>
      </c>
      <c r="K3346">
        <f>VLOOKUP(A3346,Pr_Base_LNEC!$A$4:$J$6971,7,FALSE)</f>
        <v>0</v>
      </c>
    </row>
    <row r="3347" spans="1:11" ht="14.5">
      <c r="A3347" s="20" t="s">
        <v>22464</v>
      </c>
      <c r="B3347" s="20">
        <v>35</v>
      </c>
      <c r="C3347" s="20">
        <v>90</v>
      </c>
      <c r="D3347" s="20">
        <v>93</v>
      </c>
      <c r="E3347" s="20">
        <v>13</v>
      </c>
      <c r="F3347" s="20" t="s">
        <v>22465</v>
      </c>
      <c r="G3347" s="20" t="s">
        <v>22466</v>
      </c>
      <c r="H3347" s="24"/>
      <c r="I3347" s="24" t="str">
        <f ca="1">IFERROR(__xludf.DUMMYFUNCTION("GOOGLETRANSLATE(F3347,""en"",""pt"")"),"acessórios azulejo de cume de barro")</f>
        <v>acessórios azulejo de cume de barro</v>
      </c>
      <c r="J3347">
        <f>VLOOKUP(A3347,Pr_Base_LNEC!$A$4:$J$6971,6,FALSE)</f>
        <v>0</v>
      </c>
      <c r="K3347">
        <f>VLOOKUP(A3347,Pr_Base_LNEC!$A$4:$J$6971,7,FALSE)</f>
        <v>0</v>
      </c>
    </row>
    <row r="3348" spans="1:11" ht="14.5">
      <c r="A3348" s="20" t="s">
        <v>22467</v>
      </c>
      <c r="B3348" s="20">
        <v>35</v>
      </c>
      <c r="C3348" s="20">
        <v>90</v>
      </c>
      <c r="D3348" s="20">
        <v>93</v>
      </c>
      <c r="E3348" s="20">
        <v>14</v>
      </c>
      <c r="F3348" s="20" t="s">
        <v>22468</v>
      </c>
      <c r="G3348" s="20" t="s">
        <v>22469</v>
      </c>
      <c r="H3348" s="24"/>
      <c r="I3348" s="24" t="str">
        <f ca="1">IFERROR(__xludf.DUMMYFUNCTION("GOOGLETRANSLATE(F3348,""en"",""pt"")"),"telha de barro aos dispositivos de ventilação inclinação do telhado")</f>
        <v>telha de barro aos dispositivos de ventilação inclinação do telhado</v>
      </c>
      <c r="J3348">
        <f>VLOOKUP(A3348,Pr_Base_LNEC!$A$4:$J$6971,6,FALSE)</f>
        <v>0</v>
      </c>
      <c r="K3348">
        <f>VLOOKUP(A3348,Pr_Base_LNEC!$A$4:$J$6971,7,FALSE)</f>
        <v>0</v>
      </c>
    </row>
    <row r="3349" spans="1:11" ht="14.5">
      <c r="A3349" s="20" t="s">
        <v>22470</v>
      </c>
      <c r="B3349" s="20">
        <v>35</v>
      </c>
      <c r="C3349" s="20">
        <v>90</v>
      </c>
      <c r="D3349" s="20">
        <v>93</v>
      </c>
      <c r="E3349" s="20">
        <v>15</v>
      </c>
      <c r="F3349" s="20" t="s">
        <v>22471</v>
      </c>
      <c r="G3349" s="20" t="s">
        <v>22472</v>
      </c>
      <c r="H3349" s="24"/>
      <c r="I3349" s="24" t="str">
        <f ca="1">IFERROR(__xludf.DUMMYFUNCTION("GOOGLETRANSLATE(F3349,""en"",""pt"")"),"Argila acessórios telha vale")</f>
        <v>Argila acessórios telha vale</v>
      </c>
      <c r="J3349">
        <f>VLOOKUP(A3349,Pr_Base_LNEC!$A$4:$J$6971,6,FALSE)</f>
        <v>0</v>
      </c>
      <c r="K3349">
        <f>VLOOKUP(A3349,Pr_Base_LNEC!$A$4:$J$6971,7,FALSE)</f>
        <v>0</v>
      </c>
    </row>
    <row r="3350" spans="1:11" ht="14.5">
      <c r="A3350" s="20" t="s">
        <v>22473</v>
      </c>
      <c r="B3350" s="20">
        <v>35</v>
      </c>
      <c r="C3350" s="20">
        <v>90</v>
      </c>
      <c r="D3350" s="20">
        <v>93</v>
      </c>
      <c r="E3350" s="20">
        <v>16</v>
      </c>
      <c r="F3350" s="20" t="s">
        <v>22474</v>
      </c>
      <c r="G3350" s="20" t="s">
        <v>22475</v>
      </c>
      <c r="H3350" s="24"/>
      <c r="I3350" s="24" t="str">
        <f ca="1">IFERROR(__xludf.DUMMYFUNCTION("GOOGLETRANSLATE(F3350,""en"",""pt"")"),"Argila acessórios telha verge")</f>
        <v>Argila acessórios telha verge</v>
      </c>
      <c r="J3350">
        <f>VLOOKUP(A3350,Pr_Base_LNEC!$A$4:$J$6971,6,FALSE)</f>
        <v>0</v>
      </c>
      <c r="K3350">
        <f>VLOOKUP(A3350,Pr_Base_LNEC!$A$4:$J$6971,7,FALSE)</f>
        <v>0</v>
      </c>
    </row>
    <row r="3351" spans="1:11" ht="14.5">
      <c r="A3351" s="20" t="s">
        <v>22476</v>
      </c>
      <c r="B3351" s="20">
        <v>35</v>
      </c>
      <c r="C3351" s="20">
        <v>90</v>
      </c>
      <c r="D3351" s="20">
        <v>93</v>
      </c>
      <c r="E3351" s="20">
        <v>19</v>
      </c>
      <c r="F3351" s="20" t="s">
        <v>22477</v>
      </c>
      <c r="G3351" s="20" t="s">
        <v>22478</v>
      </c>
      <c r="H3351" s="24"/>
      <c r="I3351" s="24" t="str">
        <f ca="1">IFERROR(__xludf.DUMMYFUNCTION("GOOGLETRANSLATE(F3351,""en"",""pt"")"),"encaixes de quadril telha de concreto")</f>
        <v>encaixes de quadril telha de concreto</v>
      </c>
      <c r="J3351">
        <f>VLOOKUP(A3351,Pr_Base_LNEC!$A$4:$J$6971,6,FALSE)</f>
        <v>0</v>
      </c>
      <c r="K3351">
        <f>VLOOKUP(A3351,Pr_Base_LNEC!$A$4:$J$6971,7,FALSE)</f>
        <v>0</v>
      </c>
    </row>
    <row r="3352" spans="1:11" ht="14.5">
      <c r="A3352" s="20" t="s">
        <v>22479</v>
      </c>
      <c r="B3352" s="20">
        <v>35</v>
      </c>
      <c r="C3352" s="20">
        <v>90</v>
      </c>
      <c r="D3352" s="20">
        <v>93</v>
      </c>
      <c r="E3352" s="20">
        <v>21</v>
      </c>
      <c r="F3352" s="20" t="s">
        <v>22480</v>
      </c>
      <c r="G3352" s="20" t="s">
        <v>22481</v>
      </c>
      <c r="H3352" s="24"/>
      <c r="I3352" s="24" t="str">
        <f ca="1">IFERROR(__xludf.DUMMYFUNCTION("GOOGLETRANSLATE(F3352,""en"",""pt"")"),"acessórios cume da telha de concreto")</f>
        <v>acessórios cume da telha de concreto</v>
      </c>
      <c r="J3352">
        <f>VLOOKUP(A3352,Pr_Base_LNEC!$A$4:$J$6971,6,FALSE)</f>
        <v>0</v>
      </c>
      <c r="K3352">
        <f>VLOOKUP(A3352,Pr_Base_LNEC!$A$4:$J$6971,7,FALSE)</f>
        <v>0</v>
      </c>
    </row>
    <row r="3353" spans="1:11" ht="14.5">
      <c r="A3353" s="20" t="s">
        <v>22482</v>
      </c>
      <c r="B3353" s="20">
        <v>35</v>
      </c>
      <c r="C3353" s="20">
        <v>90</v>
      </c>
      <c r="D3353" s="20">
        <v>93</v>
      </c>
      <c r="E3353" s="20">
        <v>22</v>
      </c>
      <c r="F3353" s="20" t="s">
        <v>22483</v>
      </c>
      <c r="G3353" s="20" t="s">
        <v>22484</v>
      </c>
      <c r="H3353" s="24"/>
      <c r="I3353" s="24" t="str">
        <f ca="1">IFERROR(__xludf.DUMMYFUNCTION("GOOGLETRANSLATE(F3353,""en"",""pt"")"),"telha de betão aos dispositivos de ventilação inclinação do telhado")</f>
        <v>telha de betão aos dispositivos de ventilação inclinação do telhado</v>
      </c>
      <c r="J3353">
        <f>VLOOKUP(A3353,Pr_Base_LNEC!$A$4:$J$6971,6,FALSE)</f>
        <v>0</v>
      </c>
      <c r="K3353">
        <f>VLOOKUP(A3353,Pr_Base_LNEC!$A$4:$J$6971,7,FALSE)</f>
        <v>0</v>
      </c>
    </row>
    <row r="3354" spans="1:11" ht="14.5">
      <c r="A3354" s="20" t="s">
        <v>22485</v>
      </c>
      <c r="B3354" s="20">
        <v>35</v>
      </c>
      <c r="C3354" s="20">
        <v>90</v>
      </c>
      <c r="D3354" s="20">
        <v>93</v>
      </c>
      <c r="E3354" s="20">
        <v>23</v>
      </c>
      <c r="F3354" s="20" t="s">
        <v>22486</v>
      </c>
      <c r="G3354" s="20" t="s">
        <v>22487</v>
      </c>
      <c r="H3354" s="24"/>
      <c r="I3354" s="24" t="str">
        <f ca="1">IFERROR(__xludf.DUMMYFUNCTION("GOOGLETRANSLATE(F3354,""en"",""pt"")"),"acessórios vale telha de concreto")</f>
        <v>acessórios vale telha de concreto</v>
      </c>
      <c r="J3354">
        <f>VLOOKUP(A3354,Pr_Base_LNEC!$A$4:$J$6971,6,FALSE)</f>
        <v>0</v>
      </c>
      <c r="K3354">
        <f>VLOOKUP(A3354,Pr_Base_LNEC!$A$4:$J$6971,7,FALSE)</f>
        <v>0</v>
      </c>
    </row>
    <row r="3355" spans="1:11" ht="14.5">
      <c r="A3355" s="20" t="s">
        <v>22488</v>
      </c>
      <c r="B3355" s="20">
        <v>35</v>
      </c>
      <c r="C3355" s="20">
        <v>90</v>
      </c>
      <c r="D3355" s="20">
        <v>93</v>
      </c>
      <c r="E3355" s="20">
        <v>24</v>
      </c>
      <c r="F3355" s="20" t="s">
        <v>22489</v>
      </c>
      <c r="G3355" s="20" t="s">
        <v>22490</v>
      </c>
      <c r="H3355" s="24"/>
      <c r="I3355" s="24" t="str">
        <f ca="1">IFERROR(__xludf.DUMMYFUNCTION("GOOGLETRANSLATE(F3355,""en"",""pt"")"),"acessórios verge telha de concreto")</f>
        <v>acessórios verge telha de concreto</v>
      </c>
      <c r="J3355">
        <f>VLOOKUP(A3355,Pr_Base_LNEC!$A$4:$J$6971,6,FALSE)</f>
        <v>0</v>
      </c>
      <c r="K3355">
        <f>VLOOKUP(A3355,Pr_Base_LNEC!$A$4:$J$6971,7,FALSE)</f>
        <v>0</v>
      </c>
    </row>
    <row r="3356" spans="1:11" ht="14.5">
      <c r="A3356" s="20" t="s">
        <v>22491</v>
      </c>
      <c r="B3356" s="20">
        <v>35</v>
      </c>
      <c r="C3356" s="20">
        <v>90</v>
      </c>
      <c r="D3356" s="20">
        <v>93</v>
      </c>
      <c r="E3356" s="20">
        <v>26</v>
      </c>
      <c r="F3356" s="20" t="s">
        <v>22492</v>
      </c>
      <c r="G3356" s="20" t="s">
        <v>22493</v>
      </c>
      <c r="H3356" s="24"/>
      <c r="I3356" s="24" t="str">
        <f ca="1">IFERROR(__xludf.DUMMYFUNCTION("GOOGLETRANSLATE(F3356,""en"",""pt"")"),"deslizamentos dentil")</f>
        <v>deslizamentos dentil</v>
      </c>
      <c r="J3356">
        <f>VLOOKUP(A3356,Pr_Base_LNEC!$A$4:$J$6971,6,FALSE)</f>
        <v>0</v>
      </c>
      <c r="K3356">
        <f>VLOOKUP(A3356,Pr_Base_LNEC!$A$4:$J$6971,7,FALSE)</f>
        <v>0</v>
      </c>
    </row>
    <row r="3357" spans="1:11" ht="14.5">
      <c r="A3357" s="20" t="s">
        <v>22494</v>
      </c>
      <c r="B3357" s="20">
        <v>35</v>
      </c>
      <c r="C3357" s="20">
        <v>90</v>
      </c>
      <c r="D3357" s="20">
        <v>93</v>
      </c>
      <c r="E3357" s="20">
        <v>27</v>
      </c>
      <c r="F3357" s="20" t="s">
        <v>22495</v>
      </c>
      <c r="G3357" s="20" t="s">
        <v>22496</v>
      </c>
      <c r="H3357" s="24"/>
      <c r="I3357" s="24" t="str">
        <f ca="1">IFERROR(__xludf.DUMMYFUNCTION("GOOGLETRANSLATE(F3357,""en"",""pt"")"),"Os pilares de fixação secos")</f>
        <v>Os pilares de fixação secos</v>
      </c>
      <c r="J3357">
        <f>VLOOKUP(A3357,Pr_Base_LNEC!$A$4:$J$6971,6,FALSE)</f>
        <v>0</v>
      </c>
      <c r="K3357">
        <f>VLOOKUP(A3357,Pr_Base_LNEC!$A$4:$J$6971,7,FALSE)</f>
        <v>0</v>
      </c>
    </row>
    <row r="3358" spans="1:11" ht="14.5">
      <c r="A3358" s="20" t="s">
        <v>22497</v>
      </c>
      <c r="B3358" s="20">
        <v>35</v>
      </c>
      <c r="C3358" s="20">
        <v>90</v>
      </c>
      <c r="D3358" s="20">
        <v>93</v>
      </c>
      <c r="E3358" s="20">
        <v>28</v>
      </c>
      <c r="F3358" s="20" t="s">
        <v>22498</v>
      </c>
      <c r="G3358" s="20" t="s">
        <v>22499</v>
      </c>
      <c r="H3358" s="24"/>
      <c r="I3358" s="24" t="str">
        <f ca="1">IFERROR(__xludf.DUMMYFUNCTION("GOOGLETRANSLATE(F3358,""en"",""pt"")"),"quadris fixação secos")</f>
        <v>quadris fixação secos</v>
      </c>
      <c r="J3358">
        <f>VLOOKUP(A3358,Pr_Base_LNEC!$A$4:$J$6971,6,FALSE)</f>
        <v>0</v>
      </c>
      <c r="K3358">
        <f>VLOOKUP(A3358,Pr_Base_LNEC!$A$4:$J$6971,7,FALSE)</f>
        <v>0</v>
      </c>
    </row>
    <row r="3359" spans="1:11" ht="14.5">
      <c r="A3359" s="20" t="s">
        <v>22500</v>
      </c>
      <c r="B3359" s="20">
        <v>35</v>
      </c>
      <c r="C3359" s="20">
        <v>90</v>
      </c>
      <c r="D3359" s="20">
        <v>93</v>
      </c>
      <c r="E3359" s="20">
        <v>29</v>
      </c>
      <c r="F3359" s="20" t="s">
        <v>22501</v>
      </c>
      <c r="G3359" s="20" t="s">
        <v>22502</v>
      </c>
      <c r="H3359" s="24"/>
      <c r="I3359" s="24" t="str">
        <f ca="1">IFERROR(__xludf.DUMMYFUNCTION("GOOGLETRANSLATE(F3359,""en"",""pt"")"),"saliências de fixação secos")</f>
        <v>saliências de fixação secos</v>
      </c>
      <c r="J3359">
        <f>VLOOKUP(A3359,Pr_Base_LNEC!$A$4:$J$6971,6,FALSE)</f>
        <v>0</v>
      </c>
      <c r="K3359">
        <f>VLOOKUP(A3359,Pr_Base_LNEC!$A$4:$J$6971,7,FALSE)</f>
        <v>0</v>
      </c>
    </row>
    <row r="3360" spans="1:11" ht="14.5">
      <c r="A3360" s="20" t="s">
        <v>22503</v>
      </c>
      <c r="B3360" s="20">
        <v>35</v>
      </c>
      <c r="C3360" s="20">
        <v>90</v>
      </c>
      <c r="D3360" s="20">
        <v>93</v>
      </c>
      <c r="E3360" s="20">
        <v>30</v>
      </c>
      <c r="F3360" s="20" t="s">
        <v>22504</v>
      </c>
      <c r="G3360" s="20" t="s">
        <v>22505</v>
      </c>
      <c r="H3360" s="24"/>
      <c r="I3360" s="24" t="str">
        <f ca="1">IFERROR(__xludf.DUMMYFUNCTION("GOOGLETRANSLATE(F3360,""en"",""pt"")"),"bermas de fixação secos")</f>
        <v>bermas de fixação secos</v>
      </c>
      <c r="J3360">
        <f>VLOOKUP(A3360,Pr_Base_LNEC!$A$4:$J$6971,6,FALSE)</f>
        <v>0</v>
      </c>
      <c r="K3360">
        <f>VLOOKUP(A3360,Pr_Base_LNEC!$A$4:$J$6971,7,FALSE)</f>
        <v>0</v>
      </c>
    </row>
    <row r="3361" spans="1:11" ht="14.5">
      <c r="A3361" s="20" t="s">
        <v>22506</v>
      </c>
      <c r="B3361" s="20">
        <v>35</v>
      </c>
      <c r="C3361" s="20">
        <v>90</v>
      </c>
      <c r="D3361" s="20">
        <v>93</v>
      </c>
      <c r="E3361" s="20">
        <v>32</v>
      </c>
      <c r="F3361" s="20" t="s">
        <v>22507</v>
      </c>
      <c r="G3361" s="20" t="s">
        <v>22508</v>
      </c>
      <c r="H3361" s="24"/>
      <c r="I3361" s="24" t="str">
        <f ca="1">IFERROR(__xludf.DUMMYFUNCTION("GOOGLETRANSLATE(F3361,""en"",""pt"")"),"De fibrocimento acessórios ardósia quadril")</f>
        <v>De fibrocimento acessórios ardósia quadril</v>
      </c>
      <c r="J3361">
        <f>VLOOKUP(A3361,Pr_Base_LNEC!$A$4:$J$6971,6,FALSE)</f>
        <v>0</v>
      </c>
      <c r="K3361">
        <f>VLOOKUP(A3361,Pr_Base_LNEC!$A$4:$J$6971,7,FALSE)</f>
        <v>0</v>
      </c>
    </row>
    <row r="3362" spans="1:11" ht="14.5">
      <c r="A3362" s="20" t="s">
        <v>22509</v>
      </c>
      <c r="B3362" s="20">
        <v>35</v>
      </c>
      <c r="C3362" s="20">
        <v>90</v>
      </c>
      <c r="D3362" s="20">
        <v>93</v>
      </c>
      <c r="E3362" s="20">
        <v>33</v>
      </c>
      <c r="F3362" s="20" t="s">
        <v>22510</v>
      </c>
      <c r="G3362" s="20" t="s">
        <v>22511</v>
      </c>
      <c r="H3362" s="24"/>
      <c r="I3362" s="24" t="str">
        <f ca="1">IFERROR(__xludf.DUMMYFUNCTION("GOOGLETRANSLATE(F3362,""en"",""pt"")"),"acessórios ardósia cume de fibrocimento")</f>
        <v>acessórios ardósia cume de fibrocimento</v>
      </c>
      <c r="J3362">
        <f>VLOOKUP(A3362,Pr_Base_LNEC!$A$4:$J$6971,6,FALSE)</f>
        <v>0</v>
      </c>
      <c r="K3362">
        <f>VLOOKUP(A3362,Pr_Base_LNEC!$A$4:$J$6971,7,FALSE)</f>
        <v>0</v>
      </c>
    </row>
    <row r="3363" spans="1:11" ht="14.5">
      <c r="A3363" s="20" t="s">
        <v>22512</v>
      </c>
      <c r="B3363" s="20">
        <v>35</v>
      </c>
      <c r="C3363" s="20">
        <v>90</v>
      </c>
      <c r="D3363" s="20">
        <v>93</v>
      </c>
      <c r="E3363" s="20">
        <v>34</v>
      </c>
      <c r="F3363" s="20" t="s">
        <v>22513</v>
      </c>
      <c r="G3363" s="20" t="s">
        <v>22514</v>
      </c>
      <c r="H3363" s="24"/>
      <c r="I3363" s="24" t="str">
        <f ca="1">IFERROR(__xludf.DUMMYFUNCTION("GOOGLETRANSLATE(F3363,""en"",""pt"")"),"De fibrocimento aos dispositivos de ventilação de ardósia telhado inclinação")</f>
        <v>De fibrocimento aos dispositivos de ventilação de ardósia telhado inclinação</v>
      </c>
      <c r="J3363">
        <f>VLOOKUP(A3363,Pr_Base_LNEC!$A$4:$J$6971,6,FALSE)</f>
        <v>0</v>
      </c>
      <c r="K3363">
        <f>VLOOKUP(A3363,Pr_Base_LNEC!$A$4:$J$6971,7,FALSE)</f>
        <v>0</v>
      </c>
    </row>
    <row r="3364" spans="1:11" ht="14.5">
      <c r="A3364" s="20" t="s">
        <v>22515</v>
      </c>
      <c r="B3364" s="20">
        <v>35</v>
      </c>
      <c r="C3364" s="20">
        <v>90</v>
      </c>
      <c r="D3364" s="20">
        <v>93</v>
      </c>
      <c r="E3364" s="20">
        <v>35</v>
      </c>
      <c r="F3364" s="20" t="s">
        <v>22516</v>
      </c>
      <c r="G3364" s="20" t="s">
        <v>22517</v>
      </c>
      <c r="H3364" s="24"/>
      <c r="I3364" s="24" t="str">
        <f ca="1">IFERROR(__xludf.DUMMYFUNCTION("GOOGLETRANSLATE(F3364,""en"",""pt"")"),"De fibrocimento acessórios ardósia verge")</f>
        <v>De fibrocimento acessórios ardósia verge</v>
      </c>
      <c r="J3364">
        <f>VLOOKUP(A3364,Pr_Base_LNEC!$A$4:$J$6971,6,FALSE)</f>
        <v>0</v>
      </c>
      <c r="K3364">
        <f>VLOOKUP(A3364,Pr_Base_LNEC!$A$4:$J$6971,7,FALSE)</f>
        <v>0</v>
      </c>
    </row>
    <row r="3365" spans="1:11" ht="14.5">
      <c r="A3365" s="20" t="s">
        <v>22518</v>
      </c>
      <c r="B3365" s="20">
        <v>35</v>
      </c>
      <c r="C3365" s="20">
        <v>90</v>
      </c>
      <c r="D3365" s="20">
        <v>93</v>
      </c>
      <c r="E3365" s="20">
        <v>51</v>
      </c>
      <c r="F3365" s="20" t="s">
        <v>22519</v>
      </c>
      <c r="G3365" s="20" t="s">
        <v>22520</v>
      </c>
      <c r="H3365" s="24"/>
      <c r="I3365" s="24" t="str">
        <f ca="1">IFERROR(__xludf.DUMMYFUNCTION("GOOGLETRANSLATE(F3365,""en"",""pt"")"),"Metais sanitários telha quadril")</f>
        <v>Metais sanitários telha quadril</v>
      </c>
      <c r="J3365">
        <f>VLOOKUP(A3365,Pr_Base_LNEC!$A$4:$J$6971,6,FALSE)</f>
        <v>0</v>
      </c>
      <c r="K3365">
        <f>VLOOKUP(A3365,Pr_Base_LNEC!$A$4:$J$6971,7,FALSE)</f>
        <v>0</v>
      </c>
    </row>
    <row r="3366" spans="1:11" ht="14.5">
      <c r="A3366" s="20" t="s">
        <v>22521</v>
      </c>
      <c r="B3366" s="20">
        <v>35</v>
      </c>
      <c r="C3366" s="20">
        <v>90</v>
      </c>
      <c r="D3366" s="20">
        <v>93</v>
      </c>
      <c r="E3366" s="20">
        <v>52</v>
      </c>
      <c r="F3366" s="20" t="s">
        <v>22522</v>
      </c>
      <c r="G3366" s="20" t="s">
        <v>22523</v>
      </c>
      <c r="H3366" s="24"/>
      <c r="I3366" s="24" t="str">
        <f ca="1">IFERROR(__xludf.DUMMYFUNCTION("GOOGLETRANSLATE(F3366,""en"",""pt"")"),"acessórios azulejo de cume de metal")</f>
        <v>acessórios azulejo de cume de metal</v>
      </c>
      <c r="J3366">
        <f>VLOOKUP(A3366,Pr_Base_LNEC!$A$4:$J$6971,6,FALSE)</f>
        <v>0</v>
      </c>
      <c r="K3366">
        <f>VLOOKUP(A3366,Pr_Base_LNEC!$A$4:$J$6971,7,FALSE)</f>
        <v>0</v>
      </c>
    </row>
    <row r="3367" spans="1:11" ht="14.5">
      <c r="A3367" s="20" t="s">
        <v>22524</v>
      </c>
      <c r="B3367" s="20">
        <v>35</v>
      </c>
      <c r="C3367" s="20">
        <v>90</v>
      </c>
      <c r="D3367" s="20">
        <v>93</v>
      </c>
      <c r="E3367" s="20">
        <v>53</v>
      </c>
      <c r="F3367" s="20" t="s">
        <v>22525</v>
      </c>
      <c r="G3367" s="20" t="s">
        <v>22526</v>
      </c>
      <c r="H3367" s="24"/>
      <c r="I3367" s="24" t="str">
        <f ca="1">IFERROR(__xludf.DUMMYFUNCTION("GOOGLETRANSLATE(F3367,""en"",""pt"")"),"Metais sanitários telha verge")</f>
        <v>Metais sanitários telha verge</v>
      </c>
      <c r="J3367">
        <f>VLOOKUP(A3367,Pr_Base_LNEC!$A$4:$J$6971,6,FALSE)</f>
        <v>0</v>
      </c>
      <c r="K3367">
        <f>VLOOKUP(A3367,Pr_Base_LNEC!$A$4:$J$6971,7,FALSE)</f>
        <v>0</v>
      </c>
    </row>
    <row r="3368" spans="1:11" ht="14.5">
      <c r="A3368" s="20" t="s">
        <v>22527</v>
      </c>
      <c r="B3368" s="20">
        <v>35</v>
      </c>
      <c r="C3368" s="20">
        <v>90</v>
      </c>
      <c r="D3368" s="20">
        <v>93</v>
      </c>
      <c r="E3368" s="20">
        <v>72</v>
      </c>
      <c r="F3368" s="20" t="s">
        <v>22528</v>
      </c>
      <c r="G3368" s="20" t="s">
        <v>22529</v>
      </c>
      <c r="H3368" s="24"/>
      <c r="I3368" s="24" t="str">
        <f ca="1">IFERROR(__xludf.DUMMYFUNCTION("GOOGLETRANSLATE(F3368,""en"",""pt"")"),"ardósia reconstituída aos dispositivos de ventilação inclinação do telhado")</f>
        <v>ardósia reconstituída aos dispositivos de ventilação inclinação do telhado</v>
      </c>
      <c r="J3368">
        <f>VLOOKUP(A3368,Pr_Base_LNEC!$A$4:$J$6971,6,FALSE)</f>
        <v>0</v>
      </c>
      <c r="K3368">
        <f>VLOOKUP(A3368,Pr_Base_LNEC!$A$4:$J$6971,7,FALSE)</f>
        <v>0</v>
      </c>
    </row>
    <row r="3369" spans="1:11" ht="14.5">
      <c r="A3369" s="20" t="s">
        <v>22530</v>
      </c>
      <c r="B3369" s="20">
        <v>35</v>
      </c>
      <c r="C3369" s="20">
        <v>90</v>
      </c>
      <c r="D3369" s="20">
        <v>93</v>
      </c>
      <c r="E3369" s="20">
        <v>96</v>
      </c>
      <c r="F3369" s="20" t="s">
        <v>22531</v>
      </c>
      <c r="G3369" s="20" t="s">
        <v>22532</v>
      </c>
      <c r="H3369" s="24"/>
      <c r="I3369" s="24" t="str">
        <f ca="1">IFERROR(__xludf.DUMMYFUNCTION("GOOGLETRANSLATE(F3369,""en"",""pt"")"),"acessórios de agitação madeira")</f>
        <v>acessórios de agitação madeira</v>
      </c>
      <c r="J3369">
        <f>VLOOKUP(A3369,Pr_Base_LNEC!$A$4:$J$6971,6,FALSE)</f>
        <v>0</v>
      </c>
      <c r="K3369">
        <f>VLOOKUP(A3369,Pr_Base_LNEC!$A$4:$J$6971,7,FALSE)</f>
        <v>0</v>
      </c>
    </row>
    <row r="3370" spans="1:11" ht="14.5">
      <c r="A3370" s="20" t="s">
        <v>22533</v>
      </c>
      <c r="B3370" s="20">
        <v>35</v>
      </c>
      <c r="C3370" s="20">
        <v>90</v>
      </c>
      <c r="D3370" s="20">
        <v>93</v>
      </c>
      <c r="E3370" s="20">
        <v>97</v>
      </c>
      <c r="F3370" s="20" t="s">
        <v>22534</v>
      </c>
      <c r="G3370" s="20" t="s">
        <v>22535</v>
      </c>
      <c r="H3370" s="24"/>
      <c r="I3370" s="24" t="str">
        <f ca="1">IFERROR(__xludf.DUMMYFUNCTION("GOOGLETRANSLATE(F3370,""en"",""pt"")"),"acessórios fasquias de madeira")</f>
        <v>acessórios fasquias de madeira</v>
      </c>
      <c r="J3370">
        <f>VLOOKUP(A3370,Pr_Base_LNEC!$A$4:$J$6971,6,FALSE)</f>
        <v>0</v>
      </c>
      <c r="K3370">
        <f>VLOOKUP(A3370,Pr_Base_LNEC!$A$4:$J$6971,7,FALSE)</f>
        <v>0</v>
      </c>
    </row>
    <row r="3371" spans="1:11" ht="14.5">
      <c r="A3371" s="20" t="s">
        <v>22536</v>
      </c>
      <c r="B3371" s="20">
        <v>35</v>
      </c>
      <c r="C3371" s="20">
        <v>93</v>
      </c>
      <c r="D3371" s="24"/>
      <c r="E3371" s="24"/>
      <c r="F3371" s="20" t="s">
        <v>22537</v>
      </c>
      <c r="G3371" s="24"/>
      <c r="H3371" s="24"/>
      <c r="I3371" s="24" t="str">
        <f ca="1">IFERROR(__xludf.DUMMYFUNCTION("GOOGLETRANSLATE(F3371,""en"",""pt"")"),"cobertura unidade e produtos de acabamento")</f>
        <v>cobertura unidade e produtos de acabamento</v>
      </c>
      <c r="J3371" t="str">
        <f>VLOOKUP(A3371,Pr_Base_LNEC!$A$4:$J$6971,6,FALSE)</f>
        <v>Produtos Unitários para Revestimentos e Acabamentos</v>
      </c>
      <c r="K3371">
        <f>VLOOKUP(A3371,Pr_Base_LNEC!$A$4:$J$6971,7,FALSE)</f>
        <v>0</v>
      </c>
    </row>
    <row r="3372" spans="1:11" ht="14.5">
      <c r="A3372" s="20" t="s">
        <v>22538</v>
      </c>
      <c r="B3372" s="20">
        <v>35</v>
      </c>
      <c r="C3372" s="20">
        <v>93</v>
      </c>
      <c r="D3372" s="20">
        <v>13</v>
      </c>
      <c r="E3372" s="24"/>
      <c r="F3372" s="20" t="s">
        <v>22539</v>
      </c>
      <c r="G3372" s="24"/>
      <c r="H3372" s="24"/>
      <c r="I3372" s="24" t="str">
        <f ca="1">IFERROR(__xludf.DUMMYFUNCTION("GOOGLETRANSLATE(F3372,""en"",""pt"")"),"unidades de teto de enchimento")</f>
        <v>unidades de teto de enchimento</v>
      </c>
      <c r="J3372">
        <f>VLOOKUP(A3372,Pr_Base_LNEC!$A$4:$J$6971,6,FALSE)</f>
        <v>0</v>
      </c>
      <c r="K3372">
        <f>VLOOKUP(A3372,Pr_Base_LNEC!$A$4:$J$6971,7,FALSE)</f>
        <v>0</v>
      </c>
    </row>
    <row r="3373" spans="1:11" ht="14.5">
      <c r="A3373" s="20" t="s">
        <v>22540</v>
      </c>
      <c r="B3373" s="20">
        <v>35</v>
      </c>
      <c r="C3373" s="20">
        <v>93</v>
      </c>
      <c r="D3373" s="20">
        <v>13</v>
      </c>
      <c r="E3373" s="20">
        <v>13</v>
      </c>
      <c r="F3373" s="20" t="s">
        <v>22541</v>
      </c>
      <c r="G3373" s="20" t="s">
        <v>22542</v>
      </c>
      <c r="H3373" s="24"/>
      <c r="I3373" s="24" t="str">
        <f ca="1">IFERROR(__xludf.DUMMYFUNCTION("GOOGLETRANSLATE(F3373,""en"",""pt"")"),"Cimento unidades de enchimento de lã de madeira aglomeradas")</f>
        <v>Cimento unidades de enchimento de lã de madeira aglomeradas</v>
      </c>
      <c r="J3373">
        <f>VLOOKUP(A3373,Pr_Base_LNEC!$A$4:$J$6971,6,FALSE)</f>
        <v>0</v>
      </c>
      <c r="K3373">
        <f>VLOOKUP(A3373,Pr_Base_LNEC!$A$4:$J$6971,7,FALSE)</f>
        <v>0</v>
      </c>
    </row>
    <row r="3374" spans="1:11" ht="14.5">
      <c r="A3374" s="20" t="s">
        <v>22543</v>
      </c>
      <c r="B3374" s="20">
        <v>35</v>
      </c>
      <c r="C3374" s="20">
        <v>93</v>
      </c>
      <c r="D3374" s="20">
        <v>13</v>
      </c>
      <c r="E3374" s="20">
        <v>30</v>
      </c>
      <c r="F3374" s="20" t="s">
        <v>22544</v>
      </c>
      <c r="G3374" s="20" t="s">
        <v>22545</v>
      </c>
      <c r="H3374" s="24"/>
      <c r="I3374" s="24" t="str">
        <f ca="1">IFERROR(__xludf.DUMMYFUNCTION("GOOGLETRANSLATE(F3374,""en"",""pt"")"),"unidades de gesso de enchimento de fibra reforçada")</f>
        <v>unidades de gesso de enchimento de fibra reforçada</v>
      </c>
      <c r="J3374">
        <f>VLOOKUP(A3374,Pr_Base_LNEC!$A$4:$J$6971,6,FALSE)</f>
        <v>0</v>
      </c>
      <c r="K3374">
        <f>VLOOKUP(A3374,Pr_Base_LNEC!$A$4:$J$6971,7,FALSE)</f>
        <v>0</v>
      </c>
    </row>
    <row r="3375" spans="1:11" ht="14.5">
      <c r="A3375" s="20" t="s">
        <v>22546</v>
      </c>
      <c r="B3375" s="20">
        <v>35</v>
      </c>
      <c r="C3375" s="20">
        <v>93</v>
      </c>
      <c r="D3375" s="20">
        <v>13</v>
      </c>
      <c r="E3375" s="20">
        <v>51</v>
      </c>
      <c r="F3375" s="20" t="s">
        <v>22547</v>
      </c>
      <c r="G3375" s="20" t="s">
        <v>22548</v>
      </c>
      <c r="H3375" s="24"/>
      <c r="I3375" s="24" t="str">
        <f ca="1">IFERROR(__xludf.DUMMYFUNCTION("GOOGLETRANSLATE(F3375,""en"",""pt"")"),"unidades de enchimento de metal")</f>
        <v>unidades de enchimento de metal</v>
      </c>
      <c r="J3375">
        <f>VLOOKUP(A3375,Pr_Base_LNEC!$A$4:$J$6971,6,FALSE)</f>
        <v>0</v>
      </c>
      <c r="K3375">
        <f>VLOOKUP(A3375,Pr_Base_LNEC!$A$4:$J$6971,7,FALSE)</f>
        <v>0</v>
      </c>
    </row>
    <row r="3376" spans="1:11" ht="14.5">
      <c r="A3376" s="20" t="s">
        <v>22549</v>
      </c>
      <c r="B3376" s="20">
        <v>35</v>
      </c>
      <c r="C3376" s="20">
        <v>93</v>
      </c>
      <c r="D3376" s="20">
        <v>13</v>
      </c>
      <c r="E3376" s="20">
        <v>53</v>
      </c>
      <c r="F3376" s="20" t="s">
        <v>22550</v>
      </c>
      <c r="G3376" s="20" t="s">
        <v>22551</v>
      </c>
      <c r="H3376" s="24"/>
      <c r="I3376" s="24" t="str">
        <f ca="1">IFERROR(__xludf.DUMMYFUNCTION("GOOGLETRANSLATE(F3376,""en"",""pt"")"),"unidades de fibra de enchimento minerais")</f>
        <v>unidades de fibra de enchimento minerais</v>
      </c>
      <c r="J3376">
        <f>VLOOKUP(A3376,Pr_Base_LNEC!$A$4:$J$6971,6,FALSE)</f>
        <v>0</v>
      </c>
      <c r="K3376">
        <f>VLOOKUP(A3376,Pr_Base_LNEC!$A$4:$J$6971,7,FALSE)</f>
        <v>0</v>
      </c>
    </row>
    <row r="3377" spans="1:11" ht="14.5">
      <c r="A3377" s="20" t="s">
        <v>22552</v>
      </c>
      <c r="B3377" s="20">
        <v>35</v>
      </c>
      <c r="C3377" s="20">
        <v>93</v>
      </c>
      <c r="D3377" s="20">
        <v>13</v>
      </c>
      <c r="E3377" s="20">
        <v>58</v>
      </c>
      <c r="F3377" s="20" t="s">
        <v>22553</v>
      </c>
      <c r="G3377" s="20" t="s">
        <v>22554</v>
      </c>
      <c r="H3377" s="24"/>
      <c r="I3377" s="24" t="str">
        <f ca="1">IFERROR(__xludf.DUMMYFUNCTION("GOOGLETRANSLATE(F3377,""en"",""pt"")"),"unidades de enchimento aberto celular")</f>
        <v>unidades de enchimento aberto celular</v>
      </c>
      <c r="J3377">
        <f>VLOOKUP(A3377,Pr_Base_LNEC!$A$4:$J$6971,6,FALSE)</f>
        <v>0</v>
      </c>
      <c r="K3377">
        <f>VLOOKUP(A3377,Pr_Base_LNEC!$A$4:$J$6971,7,FALSE)</f>
        <v>0</v>
      </c>
    </row>
    <row r="3378" spans="1:11" ht="14.5">
      <c r="A3378" s="20" t="s">
        <v>22555</v>
      </c>
      <c r="B3378" s="20">
        <v>35</v>
      </c>
      <c r="C3378" s="20">
        <v>93</v>
      </c>
      <c r="D3378" s="20">
        <v>13</v>
      </c>
      <c r="E3378" s="20">
        <v>61</v>
      </c>
      <c r="F3378" s="20" t="s">
        <v>22556</v>
      </c>
      <c r="G3378" s="20" t="s">
        <v>22557</v>
      </c>
      <c r="H3378" s="24"/>
      <c r="I3378" s="24" t="str">
        <f ca="1">IFERROR(__xludf.DUMMYFUNCTION("GOOGLETRANSLATE(F3378,""en"",""pt"")"),"unidades de enchimento difusor painel")</f>
        <v>unidades de enchimento difusor painel</v>
      </c>
      <c r="J3378">
        <f>VLOOKUP(A3378,Pr_Base_LNEC!$A$4:$J$6971,6,FALSE)</f>
        <v>0</v>
      </c>
      <c r="K3378">
        <f>VLOOKUP(A3378,Pr_Base_LNEC!$A$4:$J$6971,7,FALSE)</f>
        <v>0</v>
      </c>
    </row>
    <row r="3379" spans="1:11" ht="14.5">
      <c r="A3379" s="20" t="s">
        <v>22558</v>
      </c>
      <c r="B3379" s="20">
        <v>35</v>
      </c>
      <c r="C3379" s="20">
        <v>93</v>
      </c>
      <c r="D3379" s="20">
        <v>13</v>
      </c>
      <c r="E3379" s="20">
        <v>65</v>
      </c>
      <c r="F3379" s="20" t="s">
        <v>22559</v>
      </c>
      <c r="G3379" s="20" t="s">
        <v>22560</v>
      </c>
      <c r="H3379" s="24"/>
      <c r="I3379" s="24" t="str">
        <f ca="1">IFERROR(__xludf.DUMMYFUNCTION("GOOGLETRANSLATE(F3379,""en"",""pt"")"),"painéis acústicos de metal perfilado")</f>
        <v>painéis acústicos de metal perfilado</v>
      </c>
      <c r="J3379">
        <f>VLOOKUP(A3379,Pr_Base_LNEC!$A$4:$J$6971,6,FALSE)</f>
        <v>0</v>
      </c>
      <c r="K3379">
        <f>VLOOKUP(A3379,Pr_Base_LNEC!$A$4:$J$6971,7,FALSE)</f>
        <v>0</v>
      </c>
    </row>
    <row r="3380" spans="1:11" ht="14.5">
      <c r="A3380" s="20" t="s">
        <v>22561</v>
      </c>
      <c r="B3380" s="20">
        <v>35</v>
      </c>
      <c r="C3380" s="20">
        <v>93</v>
      </c>
      <c r="D3380" s="20">
        <v>13</v>
      </c>
      <c r="E3380" s="20">
        <v>71</v>
      </c>
      <c r="F3380" s="20" t="s">
        <v>22562</v>
      </c>
      <c r="G3380" s="20" t="s">
        <v>22563</v>
      </c>
      <c r="H3380" s="24"/>
      <c r="I3380" s="24" t="str">
        <f ca="1">IFERROR(__xludf.DUMMYFUNCTION("GOOGLETRANSLATE(F3380,""en"",""pt"")"),"unidades de enchimento de lã mineral ligado com resina")</f>
        <v>unidades de enchimento de lã mineral ligado com resina</v>
      </c>
      <c r="J3380">
        <f>VLOOKUP(A3380,Pr_Base_LNEC!$A$4:$J$6971,6,FALSE)</f>
        <v>0</v>
      </c>
      <c r="K3380">
        <f>VLOOKUP(A3380,Pr_Base_LNEC!$A$4:$J$6971,7,FALSE)</f>
        <v>0</v>
      </c>
    </row>
    <row r="3381" spans="1:11" ht="14.5">
      <c r="A3381" s="20" t="s">
        <v>22564</v>
      </c>
      <c r="B3381" s="20">
        <v>35</v>
      </c>
      <c r="C3381" s="20">
        <v>93</v>
      </c>
      <c r="D3381" s="20">
        <v>13</v>
      </c>
      <c r="E3381" s="20">
        <v>73</v>
      </c>
      <c r="F3381" s="20" t="s">
        <v>22565</v>
      </c>
      <c r="G3381" s="20" t="s">
        <v>22566</v>
      </c>
      <c r="H3381" s="24"/>
      <c r="I3381" s="24" t="str">
        <f ca="1">IFERROR(__xludf.DUMMYFUNCTION("GOOGLETRANSLATE(F3381,""en"",""pt"")"),"unidades de enchimento de espuma de uretano rígidas")</f>
        <v>unidades de enchimento de espuma de uretano rígidas</v>
      </c>
      <c r="J3381">
        <f>VLOOKUP(A3381,Pr_Base_LNEC!$A$4:$J$6971,6,FALSE)</f>
        <v>0</v>
      </c>
      <c r="K3381">
        <f>VLOOKUP(A3381,Pr_Base_LNEC!$A$4:$J$6971,7,FALSE)</f>
        <v>0</v>
      </c>
    </row>
    <row r="3382" spans="1:11" ht="14.5">
      <c r="A3382" s="20" t="s">
        <v>22567</v>
      </c>
      <c r="B3382" s="20">
        <v>35</v>
      </c>
      <c r="C3382" s="20">
        <v>93</v>
      </c>
      <c r="D3382" s="20">
        <v>13</v>
      </c>
      <c r="E3382" s="20">
        <v>80</v>
      </c>
      <c r="F3382" s="20" t="s">
        <v>22568</v>
      </c>
      <c r="G3382" s="20" t="s">
        <v>22569</v>
      </c>
      <c r="H3382" s="24"/>
      <c r="I3382" s="24" t="str">
        <f ca="1">IFERROR(__xludf.DUMMYFUNCTION("GOOGLETRANSLATE(F3382,""en"",""pt"")"),"unidades atenuador de enchimento de som")</f>
        <v>unidades atenuador de enchimento de som</v>
      </c>
      <c r="J3382">
        <f>VLOOKUP(A3382,Pr_Base_LNEC!$A$4:$J$6971,6,FALSE)</f>
        <v>0</v>
      </c>
      <c r="K3382">
        <f>VLOOKUP(A3382,Pr_Base_LNEC!$A$4:$J$6971,7,FALSE)</f>
        <v>0</v>
      </c>
    </row>
    <row r="3383" spans="1:11" ht="14.5">
      <c r="A3383" s="20" t="s">
        <v>22570</v>
      </c>
      <c r="B3383" s="20">
        <v>35</v>
      </c>
      <c r="C3383" s="20">
        <v>93</v>
      </c>
      <c r="D3383" s="20">
        <v>13</v>
      </c>
      <c r="E3383" s="20">
        <v>94</v>
      </c>
      <c r="F3383" s="20" t="s">
        <v>22571</v>
      </c>
      <c r="G3383" s="20" t="s">
        <v>22572</v>
      </c>
      <c r="H3383" s="24"/>
      <c r="I3383" s="24" t="str">
        <f ca="1">IFERROR(__xludf.DUMMYFUNCTION("GOOGLETRANSLATE(F3383,""en"",""pt"")"),"unidades de enchimento compósito de madeira folheada")</f>
        <v>unidades de enchimento compósito de madeira folheada</v>
      </c>
      <c r="J3383">
        <f>VLOOKUP(A3383,Pr_Base_LNEC!$A$4:$J$6971,6,FALSE)</f>
        <v>0</v>
      </c>
      <c r="K3383">
        <f>VLOOKUP(A3383,Pr_Base_LNEC!$A$4:$J$6971,7,FALSE)</f>
        <v>0</v>
      </c>
    </row>
    <row r="3384" spans="1:11" ht="14.5">
      <c r="A3384" s="20" t="s">
        <v>22573</v>
      </c>
      <c r="B3384" s="20">
        <v>35</v>
      </c>
      <c r="C3384" s="20">
        <v>93</v>
      </c>
      <c r="D3384" s="20">
        <v>96</v>
      </c>
      <c r="E3384" s="24"/>
      <c r="F3384" s="20" t="s">
        <v>22574</v>
      </c>
      <c r="G3384" s="24"/>
      <c r="H3384" s="24"/>
      <c r="I3384" s="24" t="str">
        <f ca="1">IFERROR(__xludf.DUMMYFUNCTION("GOOGLETRANSLATE(F3384,""en"",""pt"")"),"Parede e unidades de ladrilho")</f>
        <v>Parede e unidades de ladrilho</v>
      </c>
      <c r="J3384">
        <f>VLOOKUP(A3384,Pr_Base_LNEC!$A$4:$J$6971,6,FALSE)</f>
        <v>0</v>
      </c>
      <c r="K3384">
        <f>VLOOKUP(A3384,Pr_Base_LNEC!$A$4:$J$6971,7,FALSE)</f>
        <v>0</v>
      </c>
    </row>
    <row r="3385" spans="1:11" ht="14.5">
      <c r="A3385" s="20" t="s">
        <v>22575</v>
      </c>
      <c r="B3385" s="20">
        <v>35</v>
      </c>
      <c r="C3385" s="20">
        <v>93</v>
      </c>
      <c r="D3385" s="20">
        <v>96</v>
      </c>
      <c r="E3385" s="20">
        <v>10</v>
      </c>
      <c r="F3385" s="20" t="s">
        <v>22576</v>
      </c>
      <c r="G3385" s="20" t="s">
        <v>22577</v>
      </c>
      <c r="H3385" s="24"/>
      <c r="I3385" s="24" t="str">
        <f ca="1">IFERROR(__xludf.DUMMYFUNCTION("GOOGLETRANSLATE(F3385,""en"",""pt"")"),"lajes de pedra expressos")</f>
        <v>lajes de pedra expressos</v>
      </c>
      <c r="J3385">
        <f>VLOOKUP(A3385,Pr_Base_LNEC!$A$4:$J$6971,6,FALSE)</f>
        <v>0</v>
      </c>
      <c r="K3385">
        <f>VLOOKUP(A3385,Pr_Base_LNEC!$A$4:$J$6971,7,FALSE)</f>
        <v>0</v>
      </c>
    </row>
    <row r="3386" spans="1:11" ht="14.5">
      <c r="A3386" s="20" t="s">
        <v>22578</v>
      </c>
      <c r="B3386" s="20">
        <v>35</v>
      </c>
      <c r="C3386" s="20">
        <v>93</v>
      </c>
      <c r="D3386" s="20">
        <v>96</v>
      </c>
      <c r="E3386" s="20">
        <v>11</v>
      </c>
      <c r="F3386" s="20" t="s">
        <v>22579</v>
      </c>
      <c r="G3386" s="20" t="s">
        <v>22577</v>
      </c>
      <c r="H3386" s="24"/>
      <c r="I3386" s="24" t="str">
        <f ca="1">IFERROR(__xludf.DUMMYFUNCTION("GOOGLETRANSLATE(F3386,""en"",""pt"")"),"telhas de pedra expressos")</f>
        <v>telhas de pedra expressos</v>
      </c>
      <c r="J3386">
        <f>VLOOKUP(A3386,Pr_Base_LNEC!$A$4:$J$6971,6,FALSE)</f>
        <v>0</v>
      </c>
      <c r="K3386">
        <f>VLOOKUP(A3386,Pr_Base_LNEC!$A$4:$J$6971,7,FALSE)</f>
        <v>0</v>
      </c>
    </row>
    <row r="3387" spans="1:11" ht="14.5">
      <c r="A3387" s="20" t="s">
        <v>22580</v>
      </c>
      <c r="B3387" s="20">
        <v>35</v>
      </c>
      <c r="C3387" s="20">
        <v>93</v>
      </c>
      <c r="D3387" s="20">
        <v>96</v>
      </c>
      <c r="E3387" s="20">
        <v>12</v>
      </c>
      <c r="F3387" s="20" t="s">
        <v>22581</v>
      </c>
      <c r="G3387" s="20" t="s">
        <v>22582</v>
      </c>
      <c r="H3387" s="24"/>
      <c r="I3387" s="24" t="str">
        <f ca="1">IFERROR(__xludf.DUMMYFUNCTION("GOOGLETRANSLATE(F3387,""en"",""pt"")"),"contas ângulo azulejos de cerâmica")</f>
        <v>contas ângulo azulejos de cerâmica</v>
      </c>
      <c r="J3387">
        <f>VLOOKUP(A3387,Pr_Base_LNEC!$A$4:$J$6971,6,FALSE)</f>
        <v>0</v>
      </c>
      <c r="K3387">
        <f>VLOOKUP(A3387,Pr_Base_LNEC!$A$4:$J$6971,7,FALSE)</f>
        <v>0</v>
      </c>
    </row>
    <row r="3388" spans="1:11" ht="14.5">
      <c r="A3388" s="20" t="s">
        <v>22583</v>
      </c>
      <c r="B3388" s="20">
        <v>35</v>
      </c>
      <c r="C3388" s="20">
        <v>93</v>
      </c>
      <c r="D3388" s="20">
        <v>96</v>
      </c>
      <c r="E3388" s="20">
        <v>13</v>
      </c>
      <c r="F3388" s="20" t="s">
        <v>22584</v>
      </c>
      <c r="G3388" s="20" t="s">
        <v>22585</v>
      </c>
      <c r="H3388" s="24"/>
      <c r="I3388" s="24" t="str">
        <f ca="1">IFERROR(__xludf.DUMMYFUNCTION("GOOGLETRANSLATE(F3388,""en"",""pt"")"),"fronteiras telha cerâmica")</f>
        <v>fronteiras telha cerâmica</v>
      </c>
      <c r="J3388">
        <f>VLOOKUP(A3388,Pr_Base_LNEC!$A$4:$J$6971,6,FALSE)</f>
        <v>0</v>
      </c>
      <c r="K3388">
        <f>VLOOKUP(A3388,Pr_Base_LNEC!$A$4:$J$6971,7,FALSE)</f>
        <v>0</v>
      </c>
    </row>
    <row r="3389" spans="1:11" ht="14.5">
      <c r="A3389" s="20" t="s">
        <v>22586</v>
      </c>
      <c r="B3389" s="20">
        <v>35</v>
      </c>
      <c r="C3389" s="20">
        <v>93</v>
      </c>
      <c r="D3389" s="20">
        <v>96</v>
      </c>
      <c r="E3389" s="20">
        <v>14</v>
      </c>
      <c r="F3389" s="20" t="s">
        <v>22587</v>
      </c>
      <c r="G3389" s="20" t="s">
        <v>22588</v>
      </c>
      <c r="H3389" s="24"/>
      <c r="I3389" s="24" t="str">
        <f ca="1">IFERROR(__xludf.DUMMYFUNCTION("GOOGLETRANSLATE(F3389,""en"",""pt"")"),"skirtings enseada azulejos de cerâmica")</f>
        <v>skirtings enseada azulejos de cerâmica</v>
      </c>
      <c r="J3389">
        <f>VLOOKUP(A3389,Pr_Base_LNEC!$A$4:$J$6971,6,FALSE)</f>
        <v>0</v>
      </c>
      <c r="K3389">
        <f>VLOOKUP(A3389,Pr_Base_LNEC!$A$4:$J$6971,7,FALSE)</f>
        <v>0</v>
      </c>
    </row>
    <row r="3390" spans="1:11" ht="14.5">
      <c r="A3390" s="20" t="s">
        <v>22589</v>
      </c>
      <c r="B3390" s="20">
        <v>35</v>
      </c>
      <c r="C3390" s="20">
        <v>93</v>
      </c>
      <c r="D3390" s="20">
        <v>96</v>
      </c>
      <c r="E3390" s="20">
        <v>15</v>
      </c>
      <c r="F3390" s="20" t="s">
        <v>22590</v>
      </c>
      <c r="G3390" s="20" t="s">
        <v>22591</v>
      </c>
      <c r="H3390" s="24"/>
      <c r="I3390" s="24" t="str">
        <f ca="1">IFERROR(__xludf.DUMMYFUNCTION("GOOGLETRANSLATE(F3390,""en"",""pt"")"),"canais de assoalho de telha cerâmica")</f>
        <v>canais de assoalho de telha cerâmica</v>
      </c>
      <c r="J3390">
        <f>VLOOKUP(A3390,Pr_Base_LNEC!$A$4:$J$6971,6,FALSE)</f>
        <v>0</v>
      </c>
      <c r="K3390">
        <f>VLOOKUP(A3390,Pr_Base_LNEC!$A$4:$J$6971,7,FALSE)</f>
        <v>0</v>
      </c>
    </row>
    <row r="3391" spans="1:11" ht="14.5">
      <c r="A3391" s="20" t="s">
        <v>22592</v>
      </c>
      <c r="B3391" s="20">
        <v>35</v>
      </c>
      <c r="C3391" s="20">
        <v>93</v>
      </c>
      <c r="D3391" s="20">
        <v>96</v>
      </c>
      <c r="E3391" s="20">
        <v>16</v>
      </c>
      <c r="F3391" s="20" t="s">
        <v>22593</v>
      </c>
      <c r="G3391" s="20" t="s">
        <v>22594</v>
      </c>
      <c r="H3391" s="24"/>
      <c r="I3391" s="24" t="str">
        <f ca="1">IFERROR(__xludf.DUMMYFUNCTION("GOOGLETRANSLATE(F3391,""en"",""pt"")"),"bordas arredondadas azulejos de cerâmica")</f>
        <v>bordas arredondadas azulejos de cerâmica</v>
      </c>
      <c r="J3391">
        <f>VLOOKUP(A3391,Pr_Base_LNEC!$A$4:$J$6971,6,FALSE)</f>
        <v>0</v>
      </c>
      <c r="K3391">
        <f>VLOOKUP(A3391,Pr_Base_LNEC!$A$4:$J$6971,7,FALSE)</f>
        <v>0</v>
      </c>
    </row>
    <row r="3392" spans="1:11" ht="14.5">
      <c r="A3392" s="20" t="s">
        <v>22595</v>
      </c>
      <c r="B3392" s="20">
        <v>35</v>
      </c>
      <c r="C3392" s="20">
        <v>93</v>
      </c>
      <c r="D3392" s="20">
        <v>96</v>
      </c>
      <c r="E3392" s="20">
        <v>17</v>
      </c>
      <c r="F3392" s="20" t="s">
        <v>22596</v>
      </c>
      <c r="G3392" s="20" t="s">
        <v>22597</v>
      </c>
      <c r="H3392" s="24"/>
      <c r="I3392" s="24" t="str">
        <f ca="1">IFERROR(__xludf.DUMMYFUNCTION("GOOGLETRANSLATE(F3392,""en"",""pt"")"),"telha cerâmica sit-on rodapés")</f>
        <v>telha cerâmica sit-on rodapés</v>
      </c>
      <c r="J3392">
        <f>VLOOKUP(A3392,Pr_Base_LNEC!$A$4:$J$6971,6,FALSE)</f>
        <v>0</v>
      </c>
      <c r="K3392">
        <f>VLOOKUP(A3392,Pr_Base_LNEC!$A$4:$J$6971,7,FALSE)</f>
        <v>0</v>
      </c>
    </row>
    <row r="3393" spans="1:11" ht="14.5">
      <c r="A3393" s="20" t="s">
        <v>22598</v>
      </c>
      <c r="B3393" s="20">
        <v>35</v>
      </c>
      <c r="C3393" s="20">
        <v>93</v>
      </c>
      <c r="D3393" s="20">
        <v>96</v>
      </c>
      <c r="E3393" s="20">
        <v>18</v>
      </c>
      <c r="F3393" s="20" t="s">
        <v>22599</v>
      </c>
      <c r="G3393" s="20" t="s">
        <v>22600</v>
      </c>
      <c r="H3393" s="24"/>
      <c r="I3393" s="24" t="str">
        <f ca="1">IFERROR(__xludf.DUMMYFUNCTION("GOOGLETRANSLATE(F3393,""en"",""pt"")"),"treads passo azulejos de cerâmica")</f>
        <v>treads passo azulejos de cerâmica</v>
      </c>
      <c r="J3393">
        <f>VLOOKUP(A3393,Pr_Base_LNEC!$A$4:$J$6971,6,FALSE)</f>
        <v>0</v>
      </c>
      <c r="K3393">
        <f>VLOOKUP(A3393,Pr_Base_LNEC!$A$4:$J$6971,7,FALSE)</f>
        <v>0</v>
      </c>
    </row>
    <row r="3394" spans="1:11" ht="14.5">
      <c r="A3394" s="20" t="s">
        <v>22601</v>
      </c>
      <c r="B3394" s="20">
        <v>35</v>
      </c>
      <c r="C3394" s="20">
        <v>93</v>
      </c>
      <c r="D3394" s="20">
        <v>96</v>
      </c>
      <c r="E3394" s="20">
        <v>19</v>
      </c>
      <c r="F3394" s="20" t="s">
        <v>22602</v>
      </c>
      <c r="G3394" s="20" t="s">
        <v>22603</v>
      </c>
      <c r="H3394" s="24"/>
      <c r="I3394" s="24" t="str">
        <f ca="1">IFERROR(__xludf.DUMMYFUNCTION("GOOGLETRANSLATE(F3394,""en"",""pt"")"),"Telhas de cerâmica")</f>
        <v>Telhas de cerâmica</v>
      </c>
      <c r="J3394">
        <f>VLOOKUP(A3394,Pr_Base_LNEC!$A$4:$J$6971,6,FALSE)</f>
        <v>0</v>
      </c>
      <c r="K3394">
        <f>VLOOKUP(A3394,Pr_Base_LNEC!$A$4:$J$6971,7,FALSE)</f>
        <v>0</v>
      </c>
    </row>
    <row r="3395" spans="1:11" ht="14.5">
      <c r="A3395" s="20" t="s">
        <v>22604</v>
      </c>
      <c r="B3395" s="20">
        <v>35</v>
      </c>
      <c r="C3395" s="20">
        <v>93</v>
      </c>
      <c r="D3395" s="20">
        <v>96</v>
      </c>
      <c r="E3395" s="20">
        <v>21</v>
      </c>
      <c r="F3395" s="20" t="s">
        <v>22605</v>
      </c>
      <c r="G3395" s="20" t="s">
        <v>22606</v>
      </c>
      <c r="H3395" s="24"/>
      <c r="I3395" s="24" t="str">
        <f ca="1">IFERROR(__xludf.DUMMYFUNCTION("GOOGLETRANSLATE(F3395,""en"",""pt"")"),"telhas de concreto")</f>
        <v>telhas de concreto</v>
      </c>
      <c r="J3395">
        <f>VLOOKUP(A3395,Pr_Base_LNEC!$A$4:$J$6971,6,FALSE)</f>
        <v>0</v>
      </c>
      <c r="K3395">
        <f>VLOOKUP(A3395,Pr_Base_LNEC!$A$4:$J$6971,7,FALSE)</f>
        <v>0</v>
      </c>
    </row>
    <row r="3396" spans="1:11" ht="14.5">
      <c r="A3396" s="20" t="s">
        <v>22607</v>
      </c>
      <c r="B3396" s="20">
        <v>35</v>
      </c>
      <c r="C3396" s="20">
        <v>93</v>
      </c>
      <c r="D3396" s="20">
        <v>96</v>
      </c>
      <c r="E3396" s="20">
        <v>34</v>
      </c>
      <c r="F3396" s="20" t="s">
        <v>22608</v>
      </c>
      <c r="G3396" s="24"/>
      <c r="H3396" s="24"/>
      <c r="I3396" s="24" t="str">
        <f ca="1">IFERROR(__xludf.DUMMYFUNCTION("GOOGLETRANSLATE(F3396,""en"",""pt"")"),"Graphic-impresso porcelanato")</f>
        <v>Graphic-impresso porcelanato</v>
      </c>
      <c r="J3396" t="e">
        <f>VLOOKUP(A3396,Pr_Base_LNEC!$A$4:$J$6971,6,FALSE)</f>
        <v>#N/A</v>
      </c>
      <c r="K3396" t="e">
        <f>VLOOKUP(A3396,Pr_Base_LNEC!$A$4:$J$6971,7,FALSE)</f>
        <v>#N/A</v>
      </c>
    </row>
    <row r="3397" spans="1:11" ht="14.5">
      <c r="A3397" s="20" t="s">
        <v>22609</v>
      </c>
      <c r="B3397" s="20">
        <v>35</v>
      </c>
      <c r="C3397" s="20">
        <v>93</v>
      </c>
      <c r="D3397" s="20">
        <v>96</v>
      </c>
      <c r="E3397" s="20">
        <v>53</v>
      </c>
      <c r="F3397" s="20" t="s">
        <v>22610</v>
      </c>
      <c r="G3397" s="20" t="s">
        <v>22611</v>
      </c>
      <c r="H3397" s="24"/>
      <c r="I3397" s="24" t="str">
        <f ca="1">IFERROR(__xludf.DUMMYFUNCTION("GOOGLETRANSLATE(F3397,""en"",""pt"")"),"Azulejo mosaico")</f>
        <v>Azulejo mosaico</v>
      </c>
      <c r="J3397">
        <f>VLOOKUP(A3397,Pr_Base_LNEC!$A$4:$J$6971,6,FALSE)</f>
        <v>0</v>
      </c>
      <c r="K3397">
        <f>VLOOKUP(A3397,Pr_Base_LNEC!$A$4:$J$6971,7,FALSE)</f>
        <v>0</v>
      </c>
    </row>
    <row r="3398" spans="1:11" ht="14.5">
      <c r="A3398" s="20" t="s">
        <v>22612</v>
      </c>
      <c r="B3398" s="20">
        <v>35</v>
      </c>
      <c r="C3398" s="20">
        <v>93</v>
      </c>
      <c r="D3398" s="20">
        <v>96</v>
      </c>
      <c r="E3398" s="20">
        <v>56</v>
      </c>
      <c r="F3398" s="20" t="s">
        <v>22613</v>
      </c>
      <c r="G3398" s="20" t="s">
        <v>22614</v>
      </c>
      <c r="H3398" s="24"/>
      <c r="I3398" s="24" t="str">
        <f ca="1">IFERROR(__xludf.DUMMYFUNCTION("GOOGLETRANSLATE(F3398,""en"",""pt"")"),"lajes parede de pedra natural e piso")</f>
        <v>lajes parede de pedra natural e piso</v>
      </c>
      <c r="J3398">
        <f>VLOOKUP(A3398,Pr_Base_LNEC!$A$4:$J$6971,6,FALSE)</f>
        <v>0</v>
      </c>
      <c r="K3398">
        <f>VLOOKUP(A3398,Pr_Base_LNEC!$A$4:$J$6971,7,FALSE)</f>
        <v>0</v>
      </c>
    </row>
    <row r="3399" spans="1:11" ht="14.5">
      <c r="A3399" s="20" t="s">
        <v>22615</v>
      </c>
      <c r="B3399" s="20">
        <v>35</v>
      </c>
      <c r="C3399" s="20">
        <v>93</v>
      </c>
      <c r="D3399" s="20">
        <v>96</v>
      </c>
      <c r="E3399" s="20">
        <v>57</v>
      </c>
      <c r="F3399" s="20" t="s">
        <v>22616</v>
      </c>
      <c r="G3399" s="20" t="s">
        <v>22617</v>
      </c>
      <c r="H3399" s="24"/>
      <c r="I3399" s="24" t="str">
        <f ca="1">IFERROR(__xludf.DUMMYFUNCTION("GOOGLETRANSLATE(F3399,""en"",""pt"")"),"telhas de pedra natural")</f>
        <v>telhas de pedra natural</v>
      </c>
      <c r="J3399">
        <f>VLOOKUP(A3399,Pr_Base_LNEC!$A$4:$J$6971,6,FALSE)</f>
        <v>0</v>
      </c>
      <c r="K3399">
        <f>VLOOKUP(A3399,Pr_Base_LNEC!$A$4:$J$6971,7,FALSE)</f>
        <v>0</v>
      </c>
    </row>
    <row r="3400" spans="1:11" ht="14.5">
      <c r="A3400" s="20" t="s">
        <v>22618</v>
      </c>
      <c r="B3400" s="20">
        <v>35</v>
      </c>
      <c r="C3400" s="20">
        <v>93</v>
      </c>
      <c r="D3400" s="20">
        <v>96</v>
      </c>
      <c r="E3400" s="20">
        <v>63</v>
      </c>
      <c r="F3400" s="20" t="s">
        <v>22619</v>
      </c>
      <c r="G3400" s="24"/>
      <c r="H3400" s="24"/>
      <c r="I3400" s="24" t="str">
        <f ca="1">IFERROR(__xludf.DUMMYFUNCTION("GOOGLETRANSLATE(F3400,""en"",""pt"")"),"Azulejos")</f>
        <v>Azulejos</v>
      </c>
      <c r="J3400" t="e">
        <f>VLOOKUP(A3400,Pr_Base_LNEC!$A$4:$J$6971,6,FALSE)</f>
        <v>#N/A</v>
      </c>
      <c r="K3400" t="e">
        <f>VLOOKUP(A3400,Pr_Base_LNEC!$A$4:$J$6971,7,FALSE)</f>
        <v>#N/A</v>
      </c>
    </row>
    <row r="3401" spans="1:11" ht="14.5">
      <c r="A3401" s="20" t="s">
        <v>22620</v>
      </c>
      <c r="B3401" s="20">
        <v>35</v>
      </c>
      <c r="C3401" s="20">
        <v>93</v>
      </c>
      <c r="D3401" s="20">
        <v>96</v>
      </c>
      <c r="E3401" s="20">
        <v>66</v>
      </c>
      <c r="F3401" s="20" t="s">
        <v>22621</v>
      </c>
      <c r="G3401" s="24"/>
      <c r="H3401" s="24"/>
      <c r="I3401" s="24" t="str">
        <f ca="1">IFERROR(__xludf.DUMMYFUNCTION("GOOGLETRANSLATE(F3401,""en"",""pt"")"),"fronteiras de azulejos pedreira")</f>
        <v>fronteiras de azulejos pedreira</v>
      </c>
      <c r="J3401">
        <f>VLOOKUP(A3401,Pr_Base_LNEC!$A$4:$J$6971,6,FALSE)</f>
        <v>0</v>
      </c>
      <c r="K3401">
        <f>VLOOKUP(A3401,Pr_Base_LNEC!$A$4:$J$6971,7,FALSE)</f>
        <v>0</v>
      </c>
    </row>
    <row r="3402" spans="1:11" ht="14.5">
      <c r="A3402" s="20" t="s">
        <v>22622</v>
      </c>
      <c r="B3402" s="20">
        <v>35</v>
      </c>
      <c r="C3402" s="20">
        <v>93</v>
      </c>
      <c r="D3402" s="20">
        <v>96</v>
      </c>
      <c r="E3402" s="20">
        <v>67</v>
      </c>
      <c r="F3402" s="20" t="s">
        <v>22623</v>
      </c>
      <c r="G3402" s="20" t="s">
        <v>22624</v>
      </c>
      <c r="H3402" s="24"/>
      <c r="I3402" s="24" t="str">
        <f ca="1">IFERROR(__xludf.DUMMYFUNCTION("GOOGLETRANSLATE(F3402,""en"",""pt"")"),"skirtings enseada de azulejos pedreira")</f>
        <v>skirtings enseada de azulejos pedreira</v>
      </c>
      <c r="J3402">
        <f>VLOOKUP(A3402,Pr_Base_LNEC!$A$4:$J$6971,6,FALSE)</f>
        <v>0</v>
      </c>
      <c r="K3402">
        <f>VLOOKUP(A3402,Pr_Base_LNEC!$A$4:$J$6971,7,FALSE)</f>
        <v>0</v>
      </c>
    </row>
    <row r="3403" spans="1:11" ht="14.5">
      <c r="A3403" s="20" t="s">
        <v>22625</v>
      </c>
      <c r="B3403" s="20">
        <v>35</v>
      </c>
      <c r="C3403" s="20">
        <v>93</v>
      </c>
      <c r="D3403" s="20">
        <v>96</v>
      </c>
      <c r="E3403" s="20">
        <v>68</v>
      </c>
      <c r="F3403" s="20" t="s">
        <v>22626</v>
      </c>
      <c r="G3403" s="20" t="s">
        <v>22627</v>
      </c>
      <c r="H3403" s="24"/>
      <c r="I3403" s="24" t="str">
        <f ca="1">IFERROR(__xludf.DUMMYFUNCTION("GOOGLETRANSLATE(F3403,""en"",""pt"")"),"canais de piso de cerâmica pedreira")</f>
        <v>canais de piso de cerâmica pedreira</v>
      </c>
      <c r="J3403">
        <f>VLOOKUP(A3403,Pr_Base_LNEC!$A$4:$J$6971,6,FALSE)</f>
        <v>0</v>
      </c>
      <c r="K3403">
        <f>VLOOKUP(A3403,Pr_Base_LNEC!$A$4:$J$6971,7,FALSE)</f>
        <v>0</v>
      </c>
    </row>
    <row r="3404" spans="1:11" ht="14.5">
      <c r="A3404" s="20" t="s">
        <v>22628</v>
      </c>
      <c r="B3404" s="20">
        <v>35</v>
      </c>
      <c r="C3404" s="20">
        <v>93</v>
      </c>
      <c r="D3404" s="20">
        <v>96</v>
      </c>
      <c r="E3404" s="20">
        <v>70</v>
      </c>
      <c r="F3404" s="20" t="s">
        <v>22629</v>
      </c>
      <c r="G3404" s="20" t="s">
        <v>22630</v>
      </c>
      <c r="H3404" s="24"/>
      <c r="I3404" s="24" t="str">
        <f ca="1">IFERROR(__xludf.DUMMYFUNCTION("GOOGLETRANSLATE(F3404,""en"",""pt"")"),"telha pedreira sit-on rodapés")</f>
        <v>telha pedreira sit-on rodapés</v>
      </c>
      <c r="J3404">
        <f>VLOOKUP(A3404,Pr_Base_LNEC!$A$4:$J$6971,6,FALSE)</f>
        <v>0</v>
      </c>
      <c r="K3404">
        <f>VLOOKUP(A3404,Pr_Base_LNEC!$A$4:$J$6971,7,FALSE)</f>
        <v>0</v>
      </c>
    </row>
    <row r="3405" spans="1:11" ht="14.5">
      <c r="A3405" s="20" t="s">
        <v>22631</v>
      </c>
      <c r="B3405" s="20">
        <v>35</v>
      </c>
      <c r="C3405" s="20">
        <v>93</v>
      </c>
      <c r="D3405" s="20">
        <v>96</v>
      </c>
      <c r="E3405" s="20">
        <v>71</v>
      </c>
      <c r="F3405" s="20" t="s">
        <v>22632</v>
      </c>
      <c r="G3405" s="20" t="s">
        <v>22633</v>
      </c>
      <c r="H3405" s="24"/>
      <c r="I3405" s="24" t="str">
        <f ca="1">IFERROR(__xludf.DUMMYFUNCTION("GOOGLETRANSLATE(F3405,""en"",""pt"")"),"treads passo de azulejos pedreira")</f>
        <v>treads passo de azulejos pedreira</v>
      </c>
      <c r="J3405">
        <f>VLOOKUP(A3405,Pr_Base_LNEC!$A$4:$J$6971,6,FALSE)</f>
        <v>0</v>
      </c>
      <c r="K3405">
        <f>VLOOKUP(A3405,Pr_Base_LNEC!$A$4:$J$6971,7,FALSE)</f>
        <v>0</v>
      </c>
    </row>
    <row r="3406" spans="1:11" ht="14.5">
      <c r="A3406" s="20" t="s">
        <v>22634</v>
      </c>
      <c r="B3406" s="20">
        <v>35</v>
      </c>
      <c r="C3406" s="20">
        <v>93</v>
      </c>
      <c r="D3406" s="20">
        <v>96</v>
      </c>
      <c r="E3406" s="20">
        <v>72</v>
      </c>
      <c r="F3406" s="20" t="s">
        <v>22635</v>
      </c>
      <c r="G3406" s="20" t="s">
        <v>22636</v>
      </c>
      <c r="H3406" s="24"/>
      <c r="I3406" s="24" t="str">
        <f ca="1">IFERROR(__xludf.DUMMYFUNCTION("GOOGLETRANSLATE(F3406,""en"",""pt"")"),"lajota")</f>
        <v>lajota</v>
      </c>
      <c r="J3406">
        <f>VLOOKUP(A3406,Pr_Base_LNEC!$A$4:$J$6971,6,FALSE)</f>
        <v>0</v>
      </c>
      <c r="K3406">
        <f>VLOOKUP(A3406,Pr_Base_LNEC!$A$4:$J$6971,7,FALSE)</f>
        <v>0</v>
      </c>
    </row>
    <row r="3407" spans="1:11" ht="14.5">
      <c r="A3407" s="20" t="s">
        <v>22637</v>
      </c>
      <c r="B3407" s="20">
        <v>35</v>
      </c>
      <c r="C3407" s="20">
        <v>93</v>
      </c>
      <c r="D3407" s="20">
        <v>96</v>
      </c>
      <c r="E3407" s="20">
        <v>85</v>
      </c>
      <c r="F3407" s="20" t="s">
        <v>22638</v>
      </c>
      <c r="G3407" s="24"/>
      <c r="H3407" s="24"/>
      <c r="I3407" s="24" t="str">
        <f ca="1">IFERROR(__xludf.DUMMYFUNCTION("GOOGLETRANSLATE(F3407,""en"",""pt"")"),"Lajes de pedra")</f>
        <v>Lajes de pedra</v>
      </c>
      <c r="J3407">
        <f>VLOOKUP(A3407,Pr_Base_LNEC!$A$4:$J$6971,6,FALSE)</f>
        <v>0</v>
      </c>
      <c r="K3407">
        <f>VLOOKUP(A3407,Pr_Base_LNEC!$A$4:$J$6971,7,FALSE)</f>
        <v>0</v>
      </c>
    </row>
    <row r="3408" spans="1:11" ht="14.5">
      <c r="A3408" s="20" t="s">
        <v>22639</v>
      </c>
      <c r="B3408" s="20">
        <v>35</v>
      </c>
      <c r="C3408" s="20">
        <v>93</v>
      </c>
      <c r="D3408" s="20">
        <v>96</v>
      </c>
      <c r="E3408" s="20">
        <v>86</v>
      </c>
      <c r="F3408" s="20" t="s">
        <v>22640</v>
      </c>
      <c r="G3408" s="24"/>
      <c r="H3408" s="24"/>
      <c r="I3408" s="24" t="str">
        <f ca="1">IFERROR(__xludf.DUMMYFUNCTION("GOOGLETRANSLATE(F3408,""en"",""pt"")"),"telhas de pedra")</f>
        <v>telhas de pedra</v>
      </c>
      <c r="J3408">
        <f>VLOOKUP(A3408,Pr_Base_LNEC!$A$4:$J$6971,6,FALSE)</f>
        <v>0</v>
      </c>
      <c r="K3408">
        <f>VLOOKUP(A3408,Pr_Base_LNEC!$A$4:$J$6971,7,FALSE)</f>
        <v>0</v>
      </c>
    </row>
    <row r="3409" spans="1:11" ht="14.5">
      <c r="A3409" s="20" t="s">
        <v>22641</v>
      </c>
      <c r="B3409" s="20">
        <v>35</v>
      </c>
      <c r="C3409" s="20">
        <v>93</v>
      </c>
      <c r="D3409" s="20">
        <v>96</v>
      </c>
      <c r="E3409" s="20">
        <v>87</v>
      </c>
      <c r="F3409" s="20" t="s">
        <v>22642</v>
      </c>
      <c r="G3409" s="20" t="s">
        <v>22643</v>
      </c>
      <c r="H3409" s="24"/>
      <c r="I3409" s="24" t="str">
        <f ca="1">IFERROR(__xludf.DUMMYFUNCTION("GOOGLETRANSLATE(F3409,""en"",""pt"")"),"esteiras Tile")</f>
        <v>esteiras Tile</v>
      </c>
      <c r="J3409">
        <f>VLOOKUP(A3409,Pr_Base_LNEC!$A$4:$J$6971,6,FALSE)</f>
        <v>0</v>
      </c>
      <c r="K3409">
        <f>VLOOKUP(A3409,Pr_Base_LNEC!$A$4:$J$6971,7,FALSE)</f>
        <v>0</v>
      </c>
    </row>
    <row r="3410" spans="1:11" ht="14.5">
      <c r="A3410" s="20" t="s">
        <v>22644</v>
      </c>
      <c r="B3410" s="20">
        <v>35</v>
      </c>
      <c r="C3410" s="20">
        <v>93</v>
      </c>
      <c r="D3410" s="20">
        <v>96</v>
      </c>
      <c r="E3410" s="20">
        <v>88</v>
      </c>
      <c r="F3410" s="20" t="s">
        <v>22645</v>
      </c>
      <c r="G3410" s="20" t="s">
        <v>22646</v>
      </c>
      <c r="H3410" s="24"/>
      <c r="I3410" s="24" t="str">
        <f ca="1">IFERROR(__xludf.DUMMYFUNCTION("GOOGLETRANSLATE(F3410,""en"",""pt"")"),"Terrazzo unidades pré-moldadas")</f>
        <v>Terrazzo unidades pré-moldadas</v>
      </c>
      <c r="J3410">
        <f>VLOOKUP(A3410,Pr_Base_LNEC!$A$4:$J$6971,6,FALSE)</f>
        <v>0</v>
      </c>
      <c r="K3410">
        <f>VLOOKUP(A3410,Pr_Base_LNEC!$A$4:$J$6971,7,FALSE)</f>
        <v>0</v>
      </c>
    </row>
    <row r="3411" spans="1:11" ht="14.5">
      <c r="A3411" s="20" t="s">
        <v>22647</v>
      </c>
      <c r="B3411" s="20">
        <v>35</v>
      </c>
      <c r="C3411" s="20">
        <v>93</v>
      </c>
      <c r="D3411" s="20">
        <v>96</v>
      </c>
      <c r="E3411" s="20">
        <v>89</v>
      </c>
      <c r="F3411" s="20" t="s">
        <v>22648</v>
      </c>
      <c r="G3411" s="20" t="s">
        <v>22649</v>
      </c>
      <c r="H3411" s="24"/>
      <c r="I3411" s="24" t="str">
        <f ca="1">IFERROR(__xludf.DUMMYFUNCTION("GOOGLETRANSLATE(F3411,""en"",""pt"")"),"skirtings azulejo Terrazzo")</f>
        <v>skirtings azulejo Terrazzo</v>
      </c>
      <c r="J3411">
        <f>VLOOKUP(A3411,Pr_Base_LNEC!$A$4:$J$6971,6,FALSE)</f>
        <v>0</v>
      </c>
      <c r="K3411">
        <f>VLOOKUP(A3411,Pr_Base_LNEC!$A$4:$J$6971,7,FALSE)</f>
        <v>0</v>
      </c>
    </row>
    <row r="3412" spans="1:11" ht="14.5">
      <c r="A3412" s="20" t="s">
        <v>22650</v>
      </c>
      <c r="B3412" s="20">
        <v>35</v>
      </c>
      <c r="C3412" s="20">
        <v>93</v>
      </c>
      <c r="D3412" s="20">
        <v>96</v>
      </c>
      <c r="E3412" s="20">
        <v>90</v>
      </c>
      <c r="F3412" s="20" t="s">
        <v>22651</v>
      </c>
      <c r="G3412" s="20" t="s">
        <v>22652</v>
      </c>
      <c r="H3412" s="24"/>
      <c r="I3412" s="24" t="str">
        <f ca="1">IFERROR(__xludf.DUMMYFUNCTION("GOOGLETRANSLATE(F3412,""en"",""pt"")"),"os mosaicos")</f>
        <v>os mosaicos</v>
      </c>
      <c r="J3412">
        <f>VLOOKUP(A3412,Pr_Base_LNEC!$A$4:$J$6971,6,FALSE)</f>
        <v>0</v>
      </c>
      <c r="K3412">
        <f>VLOOKUP(A3412,Pr_Base_LNEC!$A$4:$J$6971,7,FALSE)</f>
        <v>0</v>
      </c>
    </row>
    <row r="3413" spans="1:11" ht="14.5">
      <c r="A3413" s="20" t="s">
        <v>22653</v>
      </c>
      <c r="B3413" s="20">
        <v>35</v>
      </c>
      <c r="C3413" s="20">
        <v>93</v>
      </c>
      <c r="D3413" s="20">
        <v>96</v>
      </c>
      <c r="E3413" s="20">
        <v>92</v>
      </c>
      <c r="F3413" s="20" t="s">
        <v>22654</v>
      </c>
      <c r="G3413" s="20" t="s">
        <v>22655</v>
      </c>
      <c r="H3413" s="24"/>
      <c r="I3413" s="24" t="str">
        <f ca="1">IFERROR(__xludf.DUMMYFUNCTION("GOOGLETRANSLATE(F3413,""en"",""pt"")"),"espaçadores da telha")</f>
        <v>espaçadores da telha</v>
      </c>
      <c r="J3413">
        <f>VLOOKUP(A3413,Pr_Base_LNEC!$A$4:$J$6971,6,FALSE)</f>
        <v>0</v>
      </c>
      <c r="K3413">
        <f>VLOOKUP(A3413,Pr_Base_LNEC!$A$4:$J$6971,7,FALSE)</f>
        <v>0</v>
      </c>
    </row>
    <row r="3414" spans="1:11" ht="14.5">
      <c r="A3414" s="20" t="s">
        <v>22656</v>
      </c>
      <c r="B3414" s="20">
        <v>35</v>
      </c>
      <c r="C3414" s="20">
        <v>93</v>
      </c>
      <c r="D3414" s="20">
        <v>97</v>
      </c>
      <c r="E3414" s="24"/>
      <c r="F3414" s="20" t="s">
        <v>22657</v>
      </c>
      <c r="G3414" s="24"/>
      <c r="H3414" s="24"/>
      <c r="I3414" s="24" t="str">
        <f ca="1">IFERROR(__xludf.DUMMYFUNCTION("GOOGLETRANSLATE(F3414,""en"",""pt"")"),"as unidades de bloco de madeira")</f>
        <v>as unidades de bloco de madeira</v>
      </c>
      <c r="J3414">
        <f>VLOOKUP(A3414,Pr_Base_LNEC!$A$4:$J$6971,6,FALSE)</f>
        <v>0</v>
      </c>
      <c r="K3414">
        <f>VLOOKUP(A3414,Pr_Base_LNEC!$A$4:$J$6971,7,FALSE)</f>
        <v>0</v>
      </c>
    </row>
    <row r="3415" spans="1:11" ht="14.5">
      <c r="A3415" s="20" t="s">
        <v>22658</v>
      </c>
      <c r="B3415" s="20">
        <v>35</v>
      </c>
      <c r="C3415" s="20">
        <v>93</v>
      </c>
      <c r="D3415" s="20">
        <v>97</v>
      </c>
      <c r="E3415" s="20">
        <v>15</v>
      </c>
      <c r="F3415" s="20" t="s">
        <v>22659</v>
      </c>
      <c r="G3415" s="20" t="s">
        <v>22660</v>
      </c>
      <c r="H3415" s="24"/>
      <c r="I3415" s="24" t="str">
        <f ca="1">IFERROR(__xludf.DUMMYFUNCTION("GOOGLETRANSLATE(F3415,""en"",""pt"")"),"blocos de composição")</f>
        <v>blocos de composição</v>
      </c>
      <c r="J3415">
        <f>VLOOKUP(A3415,Pr_Base_LNEC!$A$4:$J$6971,6,FALSE)</f>
        <v>0</v>
      </c>
      <c r="K3415">
        <f>VLOOKUP(A3415,Pr_Base_LNEC!$A$4:$J$6971,7,FALSE)</f>
        <v>0</v>
      </c>
    </row>
    <row r="3416" spans="1:11" ht="14.5">
      <c r="A3416" s="20" t="s">
        <v>22661</v>
      </c>
      <c r="B3416" s="20">
        <v>35</v>
      </c>
      <c r="C3416" s="20">
        <v>93</v>
      </c>
      <c r="D3416" s="20">
        <v>97</v>
      </c>
      <c r="E3416" s="20">
        <v>52</v>
      </c>
      <c r="F3416" s="20" t="s">
        <v>22662</v>
      </c>
      <c r="G3416" s="20" t="s">
        <v>22663</v>
      </c>
      <c r="H3416" s="24"/>
      <c r="I3416" s="24" t="str">
        <f ca="1">IFERROR(__xludf.DUMMYFUNCTION("GOOGLETRANSLATE(F3416,""en"",""pt"")"),"painéis de mosaico")</f>
        <v>painéis de mosaico</v>
      </c>
      <c r="J3416">
        <f>VLOOKUP(A3416,Pr_Base_LNEC!$A$4:$J$6971,6,FALSE)</f>
        <v>0</v>
      </c>
      <c r="K3416">
        <f>VLOOKUP(A3416,Pr_Base_LNEC!$A$4:$J$6971,7,FALSE)</f>
        <v>0</v>
      </c>
    </row>
    <row r="3417" spans="1:11" ht="14.5">
      <c r="A3417" s="20" t="s">
        <v>22664</v>
      </c>
      <c r="B3417" s="20">
        <v>35</v>
      </c>
      <c r="C3417" s="20">
        <v>93</v>
      </c>
      <c r="D3417" s="20">
        <v>97</v>
      </c>
      <c r="E3417" s="20">
        <v>96</v>
      </c>
      <c r="F3417" s="20" t="s">
        <v>22665</v>
      </c>
      <c r="G3417" s="20" t="s">
        <v>22666</v>
      </c>
      <c r="H3417" s="24"/>
      <c r="I3417" s="24" t="str">
        <f ca="1">IFERROR(__xludf.DUMMYFUNCTION("GOOGLETRANSLATE(F3417,""en"",""pt"")"),"Blocos de madeira")</f>
        <v>Blocos de madeira</v>
      </c>
      <c r="J3417">
        <f>VLOOKUP(A3417,Pr_Base_LNEC!$A$4:$J$6971,6,FALSE)</f>
        <v>0</v>
      </c>
      <c r="K3417">
        <f>VLOOKUP(A3417,Pr_Base_LNEC!$A$4:$J$6971,7,FALSE)</f>
        <v>0</v>
      </c>
    </row>
    <row r="3418" spans="1:11" ht="14.5">
      <c r="A3418" s="20" t="s">
        <v>22667</v>
      </c>
      <c r="B3418" s="20">
        <v>40</v>
      </c>
      <c r="C3418" s="24"/>
      <c r="D3418" s="24"/>
      <c r="E3418" s="24"/>
      <c r="F3418" s="20" t="s">
        <v>22668</v>
      </c>
      <c r="G3418" s="24"/>
      <c r="H3418" s="24"/>
      <c r="I3418" s="24" t="str">
        <f ca="1">IFERROR(__xludf.DUMMYFUNCTION("GOOGLETRANSLATE(F3418,""en"",""pt"")"),"Signage, torneiras sanitárias e acessórios, mobiliário e equipamentos (FF &amp; E) produtos")</f>
        <v>Signage, torneiras sanitárias e acessórios, mobiliário e equipamentos (FF &amp; E) produtos</v>
      </c>
      <c r="J3418" t="str">
        <f>VLOOKUP(A3418,Pr_Base_LNEC!$A$4:$J$6971,6,FALSE)</f>
        <v>Produtos para Sinalização, Equipamentos Sanitários e Acessórios, Mobiliário e equipamentos</v>
      </c>
      <c r="K3418">
        <f>VLOOKUP(A3418,Pr_Base_LNEC!$A$4:$J$6971,7,FALSE)</f>
        <v>0</v>
      </c>
    </row>
    <row r="3419" spans="1:11" ht="14.5">
      <c r="A3419" s="20" t="s">
        <v>22669</v>
      </c>
      <c r="B3419" s="20">
        <v>40</v>
      </c>
      <c r="C3419" s="20">
        <v>10</v>
      </c>
      <c r="D3419" s="24"/>
      <c r="E3419" s="24"/>
      <c r="F3419" s="20" t="s">
        <v>22670</v>
      </c>
      <c r="G3419" s="24"/>
      <c r="H3419" s="24"/>
      <c r="I3419" s="24" t="str">
        <f ca="1">IFERROR(__xludf.DUMMYFUNCTION("GOOGLETRANSLATE(F3419,""en"",""pt"")"),"produtos de sinalização")</f>
        <v>produtos de sinalização</v>
      </c>
      <c r="J3419" t="str">
        <f>VLOOKUP(A3419,Pr_Base_LNEC!$A$4:$J$6971,6,FALSE)</f>
        <v>Produtos para Sinalização</v>
      </c>
      <c r="K3419">
        <f>VLOOKUP(A3419,Pr_Base_LNEC!$A$4:$J$6971,7,FALSE)</f>
        <v>0</v>
      </c>
    </row>
    <row r="3420" spans="1:11" ht="14.5">
      <c r="A3420" s="20" t="s">
        <v>22671</v>
      </c>
      <c r="B3420" s="20">
        <v>40</v>
      </c>
      <c r="C3420" s="20">
        <v>10</v>
      </c>
      <c r="D3420" s="20">
        <v>27</v>
      </c>
      <c r="E3420" s="24"/>
      <c r="F3420" s="20" t="s">
        <v>22672</v>
      </c>
      <c r="G3420" s="24"/>
      <c r="H3420" s="24"/>
      <c r="I3420" s="24" t="str">
        <f ca="1">IFERROR(__xludf.DUMMYFUNCTION("GOOGLETRANSLATE(F3420,""en"",""pt"")"),"sinais serviços elétricos")</f>
        <v>sinais serviços elétricos</v>
      </c>
      <c r="J3420">
        <f>VLOOKUP(A3420,Pr_Base_LNEC!$A$4:$J$6971,6,FALSE)</f>
        <v>0</v>
      </c>
      <c r="K3420">
        <f>VLOOKUP(A3420,Pr_Base_LNEC!$A$4:$J$6971,7,FALSE)</f>
        <v>0</v>
      </c>
    </row>
    <row r="3421" spans="1:11" ht="14.5">
      <c r="A3421" s="20" t="s">
        <v>22673</v>
      </c>
      <c r="B3421" s="20">
        <v>40</v>
      </c>
      <c r="C3421" s="20">
        <v>10</v>
      </c>
      <c r="D3421" s="20">
        <v>27</v>
      </c>
      <c r="E3421" s="20">
        <v>24</v>
      </c>
      <c r="F3421" s="20" t="s">
        <v>22674</v>
      </c>
      <c r="G3421" s="20" t="s">
        <v>22675</v>
      </c>
      <c r="H3421" s="24"/>
      <c r="I3421" s="24" t="str">
        <f ca="1">IFERROR(__xludf.DUMMYFUNCTION("GOOGLETRANSLATE(F3421,""en"",""pt"")"),"diagramas elétricos")</f>
        <v>diagramas elétricos</v>
      </c>
      <c r="J3421">
        <f>VLOOKUP(A3421,Pr_Base_LNEC!$A$4:$J$6971,6,FALSE)</f>
        <v>0</v>
      </c>
      <c r="K3421">
        <f>VLOOKUP(A3421,Pr_Base_LNEC!$A$4:$J$6971,7,FALSE)</f>
        <v>0</v>
      </c>
    </row>
    <row r="3422" spans="1:11" ht="14.5">
      <c r="A3422" s="20" t="s">
        <v>22676</v>
      </c>
      <c r="B3422" s="20">
        <v>40</v>
      </c>
      <c r="C3422" s="20">
        <v>10</v>
      </c>
      <c r="D3422" s="20">
        <v>27</v>
      </c>
      <c r="E3422" s="20">
        <v>27</v>
      </c>
      <c r="F3422" s="20" t="s">
        <v>22677</v>
      </c>
      <c r="G3422" s="20" t="s">
        <v>22678</v>
      </c>
      <c r="H3422" s="24"/>
      <c r="I3422" s="24" t="str">
        <f ca="1">IFERROR(__xludf.DUMMYFUNCTION("GOOGLETRANSLATE(F3422,""en"",""pt"")"),"sinais de tratamento de choque elétrico")</f>
        <v>sinais de tratamento de choque elétrico</v>
      </c>
      <c r="J3422">
        <f>VLOOKUP(A3422,Pr_Base_LNEC!$A$4:$J$6971,6,FALSE)</f>
        <v>0</v>
      </c>
      <c r="K3422">
        <f>VLOOKUP(A3422,Pr_Base_LNEC!$A$4:$J$6971,7,FALSE)</f>
        <v>0</v>
      </c>
    </row>
    <row r="3423" spans="1:11" ht="14.5">
      <c r="A3423" s="20" t="s">
        <v>22679</v>
      </c>
      <c r="B3423" s="20">
        <v>40</v>
      </c>
      <c r="C3423" s="20">
        <v>10</v>
      </c>
      <c r="D3423" s="20">
        <v>27</v>
      </c>
      <c r="E3423" s="20">
        <v>28</v>
      </c>
      <c r="F3423" s="20" t="s">
        <v>22680</v>
      </c>
      <c r="G3423" s="20" t="s">
        <v>22681</v>
      </c>
      <c r="H3423" s="24"/>
      <c r="I3423" s="24" t="str">
        <f ca="1">IFERROR(__xludf.DUMMYFUNCTION("GOOGLETRANSLATE(F3423,""en"",""pt"")"),"Externamente iluminado sinais de saída de emergência")</f>
        <v>Externamente iluminado sinais de saída de emergência</v>
      </c>
      <c r="J3423">
        <f>VLOOKUP(A3423,Pr_Base_LNEC!$A$4:$J$6971,6,FALSE)</f>
        <v>0</v>
      </c>
      <c r="K3423">
        <f>VLOOKUP(A3423,Pr_Base_LNEC!$A$4:$J$6971,7,FALSE)</f>
        <v>0</v>
      </c>
    </row>
    <row r="3424" spans="1:11" ht="14.5">
      <c r="A3424" s="20" t="s">
        <v>22682</v>
      </c>
      <c r="B3424" s="20">
        <v>40</v>
      </c>
      <c r="C3424" s="20">
        <v>10</v>
      </c>
      <c r="D3424" s="20">
        <v>27</v>
      </c>
      <c r="E3424" s="20">
        <v>43</v>
      </c>
      <c r="F3424" s="20" t="s">
        <v>22683</v>
      </c>
      <c r="G3424" s="20" t="s">
        <v>22684</v>
      </c>
      <c r="H3424" s="24"/>
      <c r="I3424" s="24" t="str">
        <f ca="1">IFERROR(__xludf.DUMMYFUNCTION("GOOGLETRANSLATE(F3424,""en"",""pt"")"),"sinais do sistema de circuito de indução")</f>
        <v>sinais do sistema de circuito de indução</v>
      </c>
      <c r="J3424">
        <f>VLOOKUP(A3424,Pr_Base_LNEC!$A$4:$J$6971,6,FALSE)</f>
        <v>0</v>
      </c>
      <c r="K3424">
        <f>VLOOKUP(A3424,Pr_Base_LNEC!$A$4:$J$6971,7,FALSE)</f>
        <v>0</v>
      </c>
    </row>
    <row r="3425" spans="1:11" ht="14.5">
      <c r="A3425" s="20" t="s">
        <v>22685</v>
      </c>
      <c r="B3425" s="20">
        <v>40</v>
      </c>
      <c r="C3425" s="20">
        <v>10</v>
      </c>
      <c r="D3425" s="20">
        <v>27</v>
      </c>
      <c r="E3425" s="20">
        <v>62</v>
      </c>
      <c r="F3425" s="20" t="s">
        <v>22686</v>
      </c>
      <c r="G3425" s="20" t="s">
        <v>22687</v>
      </c>
      <c r="H3425" s="24"/>
      <c r="I3425" s="24" t="str">
        <f ca="1">IFERROR(__xludf.DUMMYFUNCTION("GOOGLETRANSLATE(F3425,""en"",""pt"")"),"sinais de emergência fotoluminescentes")</f>
        <v>sinais de emergência fotoluminescentes</v>
      </c>
      <c r="J3425">
        <f>VLOOKUP(A3425,Pr_Base_LNEC!$A$4:$J$6971,6,FALSE)</f>
        <v>0</v>
      </c>
      <c r="K3425">
        <f>VLOOKUP(A3425,Pr_Base_LNEC!$A$4:$J$6971,7,FALSE)</f>
        <v>0</v>
      </c>
    </row>
    <row r="3426" spans="1:11" ht="14.5">
      <c r="A3426" s="20" t="s">
        <v>22688</v>
      </c>
      <c r="B3426" s="20">
        <v>40</v>
      </c>
      <c r="C3426" s="20">
        <v>10</v>
      </c>
      <c r="D3426" s="20">
        <v>27</v>
      </c>
      <c r="E3426" s="20">
        <v>63</v>
      </c>
      <c r="F3426" s="20" t="s">
        <v>22689</v>
      </c>
      <c r="G3426" s="20" t="s">
        <v>22690</v>
      </c>
      <c r="H3426" s="24"/>
      <c r="I3426" s="24" t="str">
        <f ca="1">IFERROR(__xludf.DUMMYFUNCTION("GOOGLETRANSLATE(F3426,""en"",""pt"")"),"baixo fotoluminescente montado iluminação caminho-de orientação")</f>
        <v>baixo fotoluminescente montado iluminação caminho-de orientação</v>
      </c>
      <c r="J3426">
        <f>VLOOKUP(A3426,Pr_Base_LNEC!$A$4:$J$6971,6,FALSE)</f>
        <v>0</v>
      </c>
      <c r="K3426">
        <f>VLOOKUP(A3426,Pr_Base_LNEC!$A$4:$J$6971,7,FALSE)</f>
        <v>0</v>
      </c>
    </row>
    <row r="3427" spans="1:11" ht="14.5">
      <c r="A3427" s="20" t="s">
        <v>22691</v>
      </c>
      <c r="B3427" s="20">
        <v>40</v>
      </c>
      <c r="C3427" s="20">
        <v>10</v>
      </c>
      <c r="D3427" s="20">
        <v>27</v>
      </c>
      <c r="E3427" s="20">
        <v>86</v>
      </c>
      <c r="F3427" s="20" t="s">
        <v>22692</v>
      </c>
      <c r="G3427" s="20" t="s">
        <v>22693</v>
      </c>
      <c r="H3427" s="24"/>
      <c r="I3427" s="24" t="str">
        <f ca="1">IFERROR(__xludf.DUMMYFUNCTION("GOOGLETRANSLATE(F3427,""en"",""pt"")"),"sinais do sistema de vigilância")</f>
        <v>sinais do sistema de vigilância</v>
      </c>
      <c r="J3427">
        <f>VLOOKUP(A3427,Pr_Base_LNEC!$A$4:$J$6971,6,FALSE)</f>
        <v>0</v>
      </c>
      <c r="K3427">
        <f>VLOOKUP(A3427,Pr_Base_LNEC!$A$4:$J$6971,7,FALSE)</f>
        <v>0</v>
      </c>
    </row>
    <row r="3428" spans="1:11" ht="14.5">
      <c r="A3428" s="20" t="s">
        <v>22694</v>
      </c>
      <c r="B3428" s="20">
        <v>40</v>
      </c>
      <c r="C3428" s="20">
        <v>10</v>
      </c>
      <c r="D3428" s="20">
        <v>27</v>
      </c>
      <c r="E3428" s="20">
        <v>88</v>
      </c>
      <c r="F3428" s="20" t="s">
        <v>22695</v>
      </c>
      <c r="G3428" s="20" t="s">
        <v>22696</v>
      </c>
      <c r="H3428" s="24"/>
      <c r="I3428" s="24" t="str">
        <f ca="1">IFERROR(__xludf.DUMMYFUNCTION("GOOGLETRANSLATE(F3428,""en"",""pt"")"),"equipamentos e tomadas de telecomunicações rótulos")</f>
        <v>equipamentos e tomadas de telecomunicações rótulos</v>
      </c>
      <c r="J3428">
        <f>VLOOKUP(A3428,Pr_Base_LNEC!$A$4:$J$6971,6,FALSE)</f>
        <v>0</v>
      </c>
      <c r="K3428">
        <f>VLOOKUP(A3428,Pr_Base_LNEC!$A$4:$J$6971,7,FALSE)</f>
        <v>0</v>
      </c>
    </row>
    <row r="3429" spans="1:11" ht="14.5">
      <c r="A3429" s="20" t="s">
        <v>22697</v>
      </c>
      <c r="B3429" s="20">
        <v>40</v>
      </c>
      <c r="C3429" s="20">
        <v>10</v>
      </c>
      <c r="D3429" s="20">
        <v>27</v>
      </c>
      <c r="E3429" s="20">
        <v>91</v>
      </c>
      <c r="F3429" s="20" t="s">
        <v>22698</v>
      </c>
      <c r="G3429" s="24"/>
      <c r="H3429" s="24"/>
      <c r="I3429" s="24" t="str">
        <f ca="1">IFERROR(__xludf.DUMMYFUNCTION("GOOGLETRANSLATE(F3429,""en"",""pt"")"),"fitas marcador cabo subterrâneo")</f>
        <v>fitas marcador cabo subterrâneo</v>
      </c>
      <c r="J3429">
        <f>VLOOKUP(A3429,Pr_Base_LNEC!$A$4:$J$6971,6,FALSE)</f>
        <v>0</v>
      </c>
      <c r="K3429">
        <f>VLOOKUP(A3429,Pr_Base_LNEC!$A$4:$J$6971,7,FALSE)</f>
        <v>0</v>
      </c>
    </row>
    <row r="3430" spans="1:11" ht="14.5">
      <c r="A3430" s="20" t="s">
        <v>22699</v>
      </c>
      <c r="B3430" s="20">
        <v>40</v>
      </c>
      <c r="C3430" s="20">
        <v>10</v>
      </c>
      <c r="D3430" s="20">
        <v>57</v>
      </c>
      <c r="E3430" s="24"/>
      <c r="F3430" s="20" t="s">
        <v>22700</v>
      </c>
      <c r="G3430" s="24"/>
      <c r="H3430" s="24"/>
      <c r="I3430" s="24" t="str">
        <f ca="1">IFERROR(__xludf.DUMMYFUNCTION("GOOGLETRANSLATE(F3430,""en"",""pt"")"),"Avisos, identificação e etiquetas")</f>
        <v>Avisos, identificação e etiquetas</v>
      </c>
      <c r="J3430">
        <f>VLOOKUP(A3430,Pr_Base_LNEC!$A$4:$J$6971,6,FALSE)</f>
        <v>0</v>
      </c>
      <c r="K3430">
        <f>VLOOKUP(A3430,Pr_Base_LNEC!$A$4:$J$6971,7,FALSE)</f>
        <v>0</v>
      </c>
    </row>
    <row r="3431" spans="1:11" ht="14.5">
      <c r="A3431" s="20" t="s">
        <v>22701</v>
      </c>
      <c r="B3431" s="20">
        <v>40</v>
      </c>
      <c r="C3431" s="20">
        <v>10</v>
      </c>
      <c r="D3431" s="20">
        <v>57</v>
      </c>
      <c r="E3431" s="20">
        <v>10</v>
      </c>
      <c r="F3431" s="20" t="s">
        <v>22702</v>
      </c>
      <c r="G3431" s="24"/>
      <c r="H3431" s="24"/>
      <c r="I3431" s="24" t="str">
        <f ca="1">IFERROR(__xludf.DUMMYFUNCTION("GOOGLETRANSLATE(F3431,""en"",""pt"")"),"telhas marcadoras aviso argila queimada")</f>
        <v>telhas marcadoras aviso argila queimada</v>
      </c>
      <c r="J3431">
        <f>VLOOKUP(A3431,Pr_Base_LNEC!$A$4:$J$6971,6,FALSE)</f>
        <v>0</v>
      </c>
      <c r="K3431">
        <f>VLOOKUP(A3431,Pr_Base_LNEC!$A$4:$J$6971,7,FALSE)</f>
        <v>0</v>
      </c>
    </row>
    <row r="3432" spans="1:11" ht="14.5">
      <c r="A3432" s="20" t="s">
        <v>22703</v>
      </c>
      <c r="B3432" s="20">
        <v>40</v>
      </c>
      <c r="C3432" s="20">
        <v>10</v>
      </c>
      <c r="D3432" s="20">
        <v>57</v>
      </c>
      <c r="E3432" s="20">
        <v>12</v>
      </c>
      <c r="F3432" s="20" t="s">
        <v>22704</v>
      </c>
      <c r="G3432" s="24"/>
      <c r="H3432" s="24"/>
      <c r="I3432" s="24" t="str">
        <f ca="1">IFERROR(__xludf.DUMMYFUNCTION("GOOGLETRANSLATE(F3432,""en"",""pt"")"),"marcas de marcadores de cabos")</f>
        <v>marcas de marcadores de cabos</v>
      </c>
      <c r="J3432" t="e">
        <f>VLOOKUP(A3432,Pr_Base_LNEC!$A$4:$J$6971,6,FALSE)</f>
        <v>#N/A</v>
      </c>
      <c r="K3432" t="e">
        <f>VLOOKUP(A3432,Pr_Base_LNEC!$A$4:$J$6971,7,FALSE)</f>
        <v>#N/A</v>
      </c>
    </row>
    <row r="3433" spans="1:11" ht="14.5">
      <c r="A3433" s="20" t="s">
        <v>22705</v>
      </c>
      <c r="B3433" s="20">
        <v>40</v>
      </c>
      <c r="C3433" s="20">
        <v>10</v>
      </c>
      <c r="D3433" s="20">
        <v>57</v>
      </c>
      <c r="E3433" s="20">
        <v>15</v>
      </c>
      <c r="F3433" s="20" t="s">
        <v>22706</v>
      </c>
      <c r="G3433" s="24"/>
      <c r="H3433" s="24"/>
      <c r="I3433" s="24" t="str">
        <f ca="1">IFERROR(__xludf.DUMMYFUNCTION("GOOGLETRANSLATE(F3433,""en"",""pt"")"),"telhas de marcador de aviso concreto")</f>
        <v>telhas de marcador de aviso concreto</v>
      </c>
      <c r="J3433">
        <f>VLOOKUP(A3433,Pr_Base_LNEC!$A$4:$J$6971,6,FALSE)</f>
        <v>0</v>
      </c>
      <c r="K3433">
        <f>VLOOKUP(A3433,Pr_Base_LNEC!$A$4:$J$6971,7,FALSE)</f>
        <v>0</v>
      </c>
    </row>
    <row r="3434" spans="1:11" ht="14.5">
      <c r="A3434" s="20" t="s">
        <v>22707</v>
      </c>
      <c r="B3434" s="20">
        <v>40</v>
      </c>
      <c r="C3434" s="20">
        <v>10</v>
      </c>
      <c r="D3434" s="20">
        <v>57</v>
      </c>
      <c r="E3434" s="20">
        <v>21</v>
      </c>
      <c r="F3434" s="20" t="s">
        <v>22708</v>
      </c>
      <c r="G3434" s="24"/>
      <c r="H3434" s="24"/>
      <c r="I3434" s="24" t="str">
        <f ca="1">IFERROR(__xludf.DUMMYFUNCTION("GOOGLETRANSLATE(F3434,""en"",""pt"")"),"Porta etiquetas numéricas")</f>
        <v>Porta etiquetas numéricas</v>
      </c>
      <c r="J3434" t="e">
        <f>VLOOKUP(A3434,Pr_Base_LNEC!$A$4:$J$6971,6,FALSE)</f>
        <v>#N/A</v>
      </c>
      <c r="K3434" t="e">
        <f>VLOOKUP(A3434,Pr_Base_LNEC!$A$4:$J$6971,7,FALSE)</f>
        <v>#N/A</v>
      </c>
    </row>
    <row r="3435" spans="1:11" ht="14.5">
      <c r="A3435" s="20" t="s">
        <v>22709</v>
      </c>
      <c r="B3435" s="20">
        <v>40</v>
      </c>
      <c r="C3435" s="20">
        <v>10</v>
      </c>
      <c r="D3435" s="20">
        <v>57</v>
      </c>
      <c r="E3435" s="20">
        <v>24</v>
      </c>
      <c r="F3435" s="20" t="s">
        <v>22710</v>
      </c>
      <c r="G3435" s="20" t="s">
        <v>22711</v>
      </c>
      <c r="H3435" s="24"/>
      <c r="I3435" s="24" t="str">
        <f ca="1">IFERROR(__xludf.DUMMYFUNCTION("GOOGLETRANSLATE(F3435,""en"",""pt"")"),"etiquetas de identificação elétricas")</f>
        <v>etiquetas de identificação elétricas</v>
      </c>
      <c r="J3435">
        <f>VLOOKUP(A3435,Pr_Base_LNEC!$A$4:$J$6971,6,FALSE)</f>
        <v>0</v>
      </c>
      <c r="K3435">
        <f>VLOOKUP(A3435,Pr_Base_LNEC!$A$4:$J$6971,7,FALSE)</f>
        <v>0</v>
      </c>
    </row>
    <row r="3436" spans="1:11" ht="14.5">
      <c r="A3436" s="20" t="s">
        <v>22712</v>
      </c>
      <c r="B3436" s="20">
        <v>40</v>
      </c>
      <c r="C3436" s="20">
        <v>10</v>
      </c>
      <c r="D3436" s="20">
        <v>57</v>
      </c>
      <c r="E3436" s="20">
        <v>26</v>
      </c>
      <c r="F3436" s="20" t="s">
        <v>22713</v>
      </c>
      <c r="G3436" s="20" t="s">
        <v>22714</v>
      </c>
      <c r="H3436" s="24"/>
      <c r="I3436" s="24" t="str">
        <f ca="1">IFERROR(__xludf.DUMMYFUNCTION("GOOGLETRANSLATE(F3436,""en"",""pt"")"),"etiquetas de identificação gravado vegetais e equipamentos mecânicos")</f>
        <v>etiquetas de identificação gravado vegetais e equipamentos mecânicos</v>
      </c>
      <c r="J3436">
        <f>VLOOKUP(A3436,Pr_Base_LNEC!$A$4:$J$6971,6,FALSE)</f>
        <v>0</v>
      </c>
      <c r="K3436">
        <f>VLOOKUP(A3436,Pr_Base_LNEC!$A$4:$J$6971,7,FALSE)</f>
        <v>0</v>
      </c>
    </row>
    <row r="3437" spans="1:11" ht="14.5">
      <c r="A3437" s="20" t="s">
        <v>22715</v>
      </c>
      <c r="B3437" s="20">
        <v>40</v>
      </c>
      <c r="C3437" s="20">
        <v>10</v>
      </c>
      <c r="D3437" s="20">
        <v>57</v>
      </c>
      <c r="E3437" s="20">
        <v>27</v>
      </c>
      <c r="F3437" s="20" t="s">
        <v>22716</v>
      </c>
      <c r="G3437" s="20" t="s">
        <v>22717</v>
      </c>
      <c r="H3437" s="24"/>
      <c r="I3437" s="24" t="str">
        <f ca="1">IFERROR(__xludf.DUMMYFUNCTION("GOOGLETRANSLATE(F3437,""en"",""pt"")"),"Gráficos de válvula gravado e esquemas")</f>
        <v>Gráficos de válvula gravado e esquemas</v>
      </c>
      <c r="J3437">
        <f>VLOOKUP(A3437,Pr_Base_LNEC!$A$4:$J$6971,6,FALSE)</f>
        <v>0</v>
      </c>
      <c r="K3437">
        <f>VLOOKUP(A3437,Pr_Base_LNEC!$A$4:$J$6971,7,FALSE)</f>
        <v>0</v>
      </c>
    </row>
    <row r="3438" spans="1:11" ht="14.5">
      <c r="A3438" s="20" t="s">
        <v>22718</v>
      </c>
      <c r="B3438" s="20">
        <v>40</v>
      </c>
      <c r="C3438" s="20">
        <v>10</v>
      </c>
      <c r="D3438" s="20">
        <v>57</v>
      </c>
      <c r="E3438" s="20">
        <v>28</v>
      </c>
      <c r="F3438" s="20" t="s">
        <v>22719</v>
      </c>
      <c r="G3438" s="20" t="s">
        <v>22720</v>
      </c>
      <c r="H3438" s="24"/>
      <c r="I3438" s="24" t="str">
        <f ca="1">IFERROR(__xludf.DUMMYFUNCTION("GOOGLETRANSLATE(F3438,""en"",""pt"")"),"etiquetas de identificação de válvula gravado")</f>
        <v>etiquetas de identificação de válvula gravado</v>
      </c>
      <c r="J3438">
        <f>VLOOKUP(A3438,Pr_Base_LNEC!$A$4:$J$6971,6,FALSE)</f>
        <v>0</v>
      </c>
      <c r="K3438">
        <f>VLOOKUP(A3438,Pr_Base_LNEC!$A$4:$J$6971,7,FALSE)</f>
        <v>0</v>
      </c>
    </row>
    <row r="3439" spans="1:11" ht="14.5">
      <c r="A3439" s="20" t="s">
        <v>22721</v>
      </c>
      <c r="B3439" s="20">
        <v>40</v>
      </c>
      <c r="C3439" s="20">
        <v>10</v>
      </c>
      <c r="D3439" s="20">
        <v>57</v>
      </c>
      <c r="E3439" s="20">
        <v>29</v>
      </c>
      <c r="F3439" s="20" t="s">
        <v>22722</v>
      </c>
      <c r="G3439" s="20" t="s">
        <v>22723</v>
      </c>
      <c r="H3439" s="24"/>
      <c r="I3439" s="24" t="str">
        <f ca="1">IFERROR(__xludf.DUMMYFUNCTION("GOOGLETRANSLATE(F3439,""en"",""pt"")"),"etiquetas para equipamentos e advertências")</f>
        <v>etiquetas para equipamentos e advertências</v>
      </c>
      <c r="J3439">
        <f>VLOOKUP(A3439,Pr_Base_LNEC!$A$4:$J$6971,6,FALSE)</f>
        <v>0</v>
      </c>
      <c r="K3439">
        <f>VLOOKUP(A3439,Pr_Base_LNEC!$A$4:$J$6971,7,FALSE)</f>
        <v>0</v>
      </c>
    </row>
    <row r="3440" spans="1:11" ht="14.5">
      <c r="A3440" s="20" t="s">
        <v>22724</v>
      </c>
      <c r="B3440" s="20">
        <v>40</v>
      </c>
      <c r="C3440" s="20">
        <v>10</v>
      </c>
      <c r="D3440" s="20">
        <v>57</v>
      </c>
      <c r="E3440" s="20">
        <v>32</v>
      </c>
      <c r="F3440" s="20" t="s">
        <v>22725</v>
      </c>
      <c r="G3440" s="20" t="s">
        <v>22726</v>
      </c>
      <c r="H3440" s="24"/>
      <c r="I3440" s="24" t="str">
        <f ca="1">IFERROR(__xludf.DUMMYFUNCTION("GOOGLETRANSLATE(F3440,""en"",""pt"")"),"placas indicadoras hidrante")</f>
        <v>placas indicadoras hidrante</v>
      </c>
      <c r="J3440">
        <f>VLOOKUP(A3440,Pr_Base_LNEC!$A$4:$J$6971,6,FALSE)</f>
        <v>0</v>
      </c>
      <c r="K3440">
        <f>VLOOKUP(A3440,Pr_Base_LNEC!$A$4:$J$6971,7,FALSE)</f>
        <v>0</v>
      </c>
    </row>
    <row r="3441" spans="1:11" ht="14.5">
      <c r="A3441" s="20" t="s">
        <v>22727</v>
      </c>
      <c r="B3441" s="20">
        <v>40</v>
      </c>
      <c r="C3441" s="20">
        <v>10</v>
      </c>
      <c r="D3441" s="20">
        <v>57</v>
      </c>
      <c r="E3441" s="20">
        <v>36</v>
      </c>
      <c r="F3441" s="20" t="s">
        <v>22728</v>
      </c>
      <c r="G3441" s="24"/>
      <c r="H3441" s="24"/>
      <c r="I3441" s="24" t="str">
        <f ca="1">IFERROR(__xludf.DUMMYFUNCTION("GOOGLETRANSLATE(F3441,""en"",""pt"")"),"mangas termorretracção")</f>
        <v>mangas termorretracção</v>
      </c>
      <c r="J3441">
        <f>VLOOKUP(A3441,Pr_Base_LNEC!$A$4:$J$6971,6,FALSE)</f>
        <v>0</v>
      </c>
      <c r="K3441">
        <f>VLOOKUP(A3441,Pr_Base_LNEC!$A$4:$J$6971,7,FALSE)</f>
        <v>0</v>
      </c>
    </row>
    <row r="3442" spans="1:11" ht="14.5">
      <c r="A3442" s="20" t="s">
        <v>22729</v>
      </c>
      <c r="B3442" s="20">
        <v>40</v>
      </c>
      <c r="C3442" s="20">
        <v>10</v>
      </c>
      <c r="D3442" s="20">
        <v>57</v>
      </c>
      <c r="E3442" s="20">
        <v>39</v>
      </c>
      <c r="F3442" s="20" t="s">
        <v>22730</v>
      </c>
      <c r="G3442" s="20" t="s">
        <v>22731</v>
      </c>
      <c r="H3442" s="24"/>
      <c r="I3442" s="24" t="str">
        <f ca="1">IFERROR(__xludf.DUMMYFUNCTION("GOOGLETRANSLATE(F3442,""en"",""pt"")"),"Imagens e logotipos")</f>
        <v>Imagens e logotipos</v>
      </c>
      <c r="J3442">
        <f>VLOOKUP(A3442,Pr_Base_LNEC!$A$4:$J$6971,6,FALSE)</f>
        <v>0</v>
      </c>
      <c r="K3442">
        <f>VLOOKUP(A3442,Pr_Base_LNEC!$A$4:$J$6971,7,FALSE)</f>
        <v>0</v>
      </c>
    </row>
    <row r="3443" spans="1:11" ht="14.5">
      <c r="A3443" s="20" t="s">
        <v>22732</v>
      </c>
      <c r="B3443" s="20">
        <v>40</v>
      </c>
      <c r="C3443" s="20">
        <v>10</v>
      </c>
      <c r="D3443" s="20">
        <v>57</v>
      </c>
      <c r="E3443" s="20">
        <v>40</v>
      </c>
      <c r="F3443" s="20" t="s">
        <v>22733</v>
      </c>
      <c r="G3443" s="24"/>
      <c r="H3443" s="24"/>
      <c r="I3443" s="24" t="str">
        <f ca="1">IFERROR(__xludf.DUMMYFUNCTION("GOOGLETRANSLATE(F3443,""en"",""pt"")"),"avisos elevador da escada inclinados")</f>
        <v>avisos elevador da escada inclinados</v>
      </c>
      <c r="J3443">
        <f>VLOOKUP(A3443,Pr_Base_LNEC!$A$4:$J$6971,6,FALSE)</f>
        <v>0</v>
      </c>
      <c r="K3443">
        <f>VLOOKUP(A3443,Pr_Base_LNEC!$A$4:$J$6971,7,FALSE)</f>
        <v>0</v>
      </c>
    </row>
    <row r="3444" spans="1:11" ht="14.5">
      <c r="A3444" s="20" t="s">
        <v>22734</v>
      </c>
      <c r="B3444" s="20">
        <v>40</v>
      </c>
      <c r="C3444" s="20">
        <v>10</v>
      </c>
      <c r="D3444" s="20">
        <v>57</v>
      </c>
      <c r="E3444" s="20">
        <v>50</v>
      </c>
      <c r="F3444" s="20" t="s">
        <v>22735</v>
      </c>
      <c r="G3444" s="24"/>
      <c r="H3444" s="24"/>
      <c r="I3444" s="24" t="str">
        <f ca="1">IFERROR(__xludf.DUMMYFUNCTION("GOOGLETRANSLATE(F3444,""en"",""pt"")"),"postes de marcação")</f>
        <v>postes de marcação</v>
      </c>
      <c r="J3444">
        <f>VLOOKUP(A3444,Pr_Base_LNEC!$A$4:$J$6971,6,FALSE)</f>
        <v>0</v>
      </c>
      <c r="K3444">
        <f>VLOOKUP(A3444,Pr_Base_LNEC!$A$4:$J$6971,7,FALSE)</f>
        <v>0</v>
      </c>
    </row>
    <row r="3445" spans="1:11" ht="14.5">
      <c r="A3445" s="20" t="s">
        <v>22736</v>
      </c>
      <c r="B3445" s="20">
        <v>40</v>
      </c>
      <c r="C3445" s="20">
        <v>10</v>
      </c>
      <c r="D3445" s="20">
        <v>57</v>
      </c>
      <c r="E3445" s="20">
        <v>52</v>
      </c>
      <c r="F3445" s="20" t="s">
        <v>22737</v>
      </c>
      <c r="G3445" s="20" t="s">
        <v>22738</v>
      </c>
      <c r="H3445" s="24"/>
      <c r="I3445" s="24" t="str">
        <f ca="1">IFERROR(__xludf.DUMMYFUNCTION("GOOGLETRANSLATE(F3445,""en"",""pt"")"),"etiquetas canalização do metal")</f>
        <v>etiquetas canalização do metal</v>
      </c>
      <c r="J3445">
        <f>VLOOKUP(A3445,Pr_Base_LNEC!$A$4:$J$6971,6,FALSE)</f>
        <v>0</v>
      </c>
      <c r="K3445">
        <f>VLOOKUP(A3445,Pr_Base_LNEC!$A$4:$J$6971,7,FALSE)</f>
        <v>0</v>
      </c>
    </row>
    <row r="3446" spans="1:11" ht="14.5">
      <c r="A3446" s="20" t="s">
        <v>22739</v>
      </c>
      <c r="B3446" s="20">
        <v>40</v>
      </c>
      <c r="C3446" s="20">
        <v>10</v>
      </c>
      <c r="D3446" s="20">
        <v>57</v>
      </c>
      <c r="E3446" s="20">
        <v>56</v>
      </c>
      <c r="F3446" s="20" t="s">
        <v>22740</v>
      </c>
      <c r="G3446" s="24"/>
      <c r="H3446" s="24"/>
      <c r="I3446" s="24" t="str">
        <f ca="1">IFERROR(__xludf.DUMMYFUNCTION("GOOGLETRANSLATE(F3446,""en"",""pt"")"),"anilhas de identificação do prego")</f>
        <v>anilhas de identificação do prego</v>
      </c>
      <c r="J3446">
        <f>VLOOKUP(A3446,Pr_Base_LNEC!$A$4:$J$6971,6,FALSE)</f>
        <v>0</v>
      </c>
      <c r="K3446">
        <f>VLOOKUP(A3446,Pr_Base_LNEC!$A$4:$J$6971,7,FALSE)</f>
        <v>0</v>
      </c>
    </row>
    <row r="3447" spans="1:11" ht="14.5">
      <c r="A3447" s="20" t="s">
        <v>22741</v>
      </c>
      <c r="B3447" s="20">
        <v>40</v>
      </c>
      <c r="C3447" s="20">
        <v>10</v>
      </c>
      <c r="D3447" s="20">
        <v>57</v>
      </c>
      <c r="E3447" s="20">
        <v>60</v>
      </c>
      <c r="F3447" s="20" t="s">
        <v>22742</v>
      </c>
      <c r="G3447" s="20" t="s">
        <v>22717</v>
      </c>
      <c r="H3447" s="24"/>
      <c r="I3447" s="24" t="str">
        <f ca="1">IFERROR(__xludf.DUMMYFUNCTION("GOOGLETRANSLATE(F3447,""en"",""pt"")"),"Gráficos de válvula de papel e esquemas")</f>
        <v>Gráficos de válvula de papel e esquemas</v>
      </c>
      <c r="J3447">
        <f>VLOOKUP(A3447,Pr_Base_LNEC!$A$4:$J$6971,6,FALSE)</f>
        <v>0</v>
      </c>
      <c r="K3447">
        <f>VLOOKUP(A3447,Pr_Base_LNEC!$A$4:$J$6971,7,FALSE)</f>
        <v>0</v>
      </c>
    </row>
    <row r="3448" spans="1:11" ht="14.5">
      <c r="A3448" s="20" t="s">
        <v>22743</v>
      </c>
      <c r="B3448" s="20">
        <v>40</v>
      </c>
      <c r="C3448" s="20">
        <v>10</v>
      </c>
      <c r="D3448" s="20">
        <v>57</v>
      </c>
      <c r="E3448" s="20">
        <v>63</v>
      </c>
      <c r="F3448" s="20" t="s">
        <v>22744</v>
      </c>
      <c r="G3448" s="20" t="s">
        <v>22745</v>
      </c>
      <c r="H3448" s="24"/>
      <c r="I3448" s="24" t="str">
        <f ca="1">IFERROR(__xludf.DUMMYFUNCTION("GOOGLETRANSLATE(F3448,""en"",""pt"")"),"etiquetas de entrega plantas")</f>
        <v>etiquetas de entrega plantas</v>
      </c>
      <c r="J3448">
        <f>VLOOKUP(A3448,Pr_Base_LNEC!$A$4:$J$6971,6,FALSE)</f>
        <v>0</v>
      </c>
      <c r="K3448">
        <f>VLOOKUP(A3448,Pr_Base_LNEC!$A$4:$J$6971,7,FALSE)</f>
        <v>0</v>
      </c>
    </row>
    <row r="3449" spans="1:11" ht="14.5">
      <c r="A3449" s="20" t="s">
        <v>22746</v>
      </c>
      <c r="B3449" s="20">
        <v>40</v>
      </c>
      <c r="C3449" s="20">
        <v>10</v>
      </c>
      <c r="D3449" s="20">
        <v>57</v>
      </c>
      <c r="E3449" s="20">
        <v>64</v>
      </c>
      <c r="F3449" s="20" t="s">
        <v>22747</v>
      </c>
      <c r="G3449" s="20" t="s">
        <v>22748</v>
      </c>
      <c r="H3449" s="24"/>
      <c r="I3449" s="24" t="str">
        <f ca="1">IFERROR(__xludf.DUMMYFUNCTION("GOOGLETRANSLATE(F3449,""en"",""pt"")"),"Plantas rótulos permanentes")</f>
        <v>Plantas rótulos permanentes</v>
      </c>
      <c r="J3449">
        <f>VLOOKUP(A3449,Pr_Base_LNEC!$A$4:$J$6971,6,FALSE)</f>
        <v>0</v>
      </c>
      <c r="K3449">
        <f>VLOOKUP(A3449,Pr_Base_LNEC!$A$4:$J$6971,7,FALSE)</f>
        <v>0</v>
      </c>
    </row>
    <row r="3450" spans="1:11" ht="14.5">
      <c r="A3450" s="20" t="s">
        <v>22749</v>
      </c>
      <c r="B3450" s="20">
        <v>40</v>
      </c>
      <c r="C3450" s="20">
        <v>10</v>
      </c>
      <c r="D3450" s="20">
        <v>57</v>
      </c>
      <c r="E3450" s="20">
        <v>65</v>
      </c>
      <c r="F3450" s="20" t="s">
        <v>22750</v>
      </c>
      <c r="G3450" s="20" t="s">
        <v>22738</v>
      </c>
      <c r="H3450" s="24"/>
      <c r="I3450" s="24" t="str">
        <f ca="1">IFERROR(__xludf.DUMMYFUNCTION("GOOGLETRANSLATE(F3450,""en"",""pt"")"),"Plastics canalização rótulos")</f>
        <v>Plastics canalização rótulos</v>
      </c>
      <c r="J3450">
        <f>VLOOKUP(A3450,Pr_Base_LNEC!$A$4:$J$6971,6,FALSE)</f>
        <v>0</v>
      </c>
      <c r="K3450">
        <f>VLOOKUP(A3450,Pr_Base_LNEC!$A$4:$J$6971,7,FALSE)</f>
        <v>0</v>
      </c>
    </row>
    <row r="3451" spans="1:11" ht="14.5">
      <c r="A3451" s="20" t="s">
        <v>22751</v>
      </c>
      <c r="B3451" s="20">
        <v>40</v>
      </c>
      <c r="C3451" s="20">
        <v>10</v>
      </c>
      <c r="D3451" s="20">
        <v>57</v>
      </c>
      <c r="E3451" s="20">
        <v>66</v>
      </c>
      <c r="F3451" s="20" t="s">
        <v>22752</v>
      </c>
      <c r="G3451" s="20" t="s">
        <v>22753</v>
      </c>
      <c r="H3451" s="24"/>
      <c r="I3451" s="24" t="str">
        <f ca="1">IFERROR(__xludf.DUMMYFUNCTION("GOOGLETRANSLATE(F3451,""en"",""pt"")"),"Plásticos de aviso Tábuas")</f>
        <v>Plásticos de aviso Tábuas</v>
      </c>
      <c r="J3451">
        <f>VLOOKUP(A3451,Pr_Base_LNEC!$A$4:$J$6971,6,FALSE)</f>
        <v>0</v>
      </c>
      <c r="K3451">
        <f>VLOOKUP(A3451,Pr_Base_LNEC!$A$4:$J$6971,7,FALSE)</f>
        <v>0</v>
      </c>
    </row>
    <row r="3452" spans="1:11" ht="14.5">
      <c r="A3452" s="20" t="s">
        <v>22754</v>
      </c>
      <c r="B3452" s="20">
        <v>40</v>
      </c>
      <c r="C3452" s="20">
        <v>10</v>
      </c>
      <c r="D3452" s="20">
        <v>57</v>
      </c>
      <c r="E3452" s="20">
        <v>67</v>
      </c>
      <c r="F3452" s="20" t="s">
        <v>22755</v>
      </c>
      <c r="G3452" s="24"/>
      <c r="H3452" s="24"/>
      <c r="I3452" s="24" t="str">
        <f ca="1">IFERROR(__xludf.DUMMYFUNCTION("GOOGLETRANSLATE(F3452,""en"",""pt"")"),"avisos de plataforma elevatória")</f>
        <v>avisos de plataforma elevatória</v>
      </c>
      <c r="J3452">
        <f>VLOOKUP(A3452,Pr_Base_LNEC!$A$4:$J$6971,6,FALSE)</f>
        <v>0</v>
      </c>
      <c r="K3452">
        <f>VLOOKUP(A3452,Pr_Base_LNEC!$A$4:$J$6971,7,FALSE)</f>
        <v>0</v>
      </c>
    </row>
    <row r="3453" spans="1:11" ht="14.5">
      <c r="A3453" s="20" t="s">
        <v>22756</v>
      </c>
      <c r="B3453" s="20">
        <v>40</v>
      </c>
      <c r="C3453" s="20">
        <v>10</v>
      </c>
      <c r="D3453" s="20">
        <v>57</v>
      </c>
      <c r="E3453" s="20">
        <v>71</v>
      </c>
      <c r="F3453" s="20" t="s">
        <v>22757</v>
      </c>
      <c r="G3453" s="24"/>
      <c r="H3453" s="24"/>
      <c r="I3453" s="24" t="str">
        <f ca="1">IFERROR(__xludf.DUMMYFUNCTION("GOOGLETRANSLATE(F3453,""en"",""pt"")"),"etiquetas conhecidas quarto")</f>
        <v>etiquetas conhecidas quarto</v>
      </c>
      <c r="J3453" t="e">
        <f>VLOOKUP(A3453,Pr_Base_LNEC!$A$4:$J$6971,6,FALSE)</f>
        <v>#N/A</v>
      </c>
      <c r="K3453" t="e">
        <f>VLOOKUP(A3453,Pr_Base_LNEC!$A$4:$J$6971,7,FALSE)</f>
        <v>#N/A</v>
      </c>
    </row>
    <row r="3454" spans="1:11" ht="14.5">
      <c r="A3454" s="20" t="s">
        <v>22758</v>
      </c>
      <c r="B3454" s="20">
        <v>40</v>
      </c>
      <c r="C3454" s="20">
        <v>10</v>
      </c>
      <c r="D3454" s="20">
        <v>57</v>
      </c>
      <c r="E3454" s="20">
        <v>72</v>
      </c>
      <c r="F3454" s="20" t="s">
        <v>22759</v>
      </c>
      <c r="G3454" s="24"/>
      <c r="H3454" s="24"/>
      <c r="I3454" s="24" t="str">
        <f ca="1">IFERROR(__xludf.DUMMYFUNCTION("GOOGLETRANSLATE(F3454,""en"",""pt"")"),"etiquetas número do quarto")</f>
        <v>etiquetas número do quarto</v>
      </c>
      <c r="J3454" t="e">
        <f>VLOOKUP(A3454,Pr_Base_LNEC!$A$4:$J$6971,6,FALSE)</f>
        <v>#N/A</v>
      </c>
      <c r="K3454" t="e">
        <f>VLOOKUP(A3454,Pr_Base_LNEC!$A$4:$J$6971,7,FALSE)</f>
        <v>#N/A</v>
      </c>
    </row>
    <row r="3455" spans="1:11" ht="14.5">
      <c r="A3455" s="20" t="s">
        <v>22760</v>
      </c>
      <c r="B3455" s="20">
        <v>40</v>
      </c>
      <c r="C3455" s="20">
        <v>10</v>
      </c>
      <c r="D3455" s="20">
        <v>57</v>
      </c>
      <c r="E3455" s="20">
        <v>76</v>
      </c>
      <c r="F3455" s="20" t="s">
        <v>22761</v>
      </c>
      <c r="G3455" s="20" t="s">
        <v>22714</v>
      </c>
      <c r="H3455" s="24"/>
      <c r="I3455" s="24" t="str">
        <f ca="1">IFERROR(__xludf.DUMMYFUNCTION("GOOGLETRANSLATE(F3455,""en"",""pt"")"),"etiquetas de identificação de plantas e equipamentos mecânicos serigrafados")</f>
        <v>etiquetas de identificação de plantas e equipamentos mecânicos serigrafados</v>
      </c>
      <c r="J3455">
        <f>VLOOKUP(A3455,Pr_Base_LNEC!$A$4:$J$6971,6,FALSE)</f>
        <v>0</v>
      </c>
      <c r="K3455">
        <f>VLOOKUP(A3455,Pr_Base_LNEC!$A$4:$J$6971,7,FALSE)</f>
        <v>0</v>
      </c>
    </row>
    <row r="3456" spans="1:11" ht="14.5">
      <c r="A3456" s="20" t="s">
        <v>22762</v>
      </c>
      <c r="B3456" s="20">
        <v>40</v>
      </c>
      <c r="C3456" s="20">
        <v>10</v>
      </c>
      <c r="D3456" s="20">
        <v>57</v>
      </c>
      <c r="E3456" s="20">
        <v>77</v>
      </c>
      <c r="F3456" s="20" t="s">
        <v>22763</v>
      </c>
      <c r="G3456" s="20" t="s">
        <v>22720</v>
      </c>
      <c r="H3456" s="24"/>
      <c r="I3456" s="24" t="str">
        <f ca="1">IFERROR(__xludf.DUMMYFUNCTION("GOOGLETRANSLATE(F3456,""en"",""pt"")"),"etiquetas de identificação de válvula serigrafados")</f>
        <v>etiquetas de identificação de válvula serigrafados</v>
      </c>
      <c r="J3456">
        <f>VLOOKUP(A3456,Pr_Base_LNEC!$A$4:$J$6971,6,FALSE)</f>
        <v>0</v>
      </c>
      <c r="K3456">
        <f>VLOOKUP(A3456,Pr_Base_LNEC!$A$4:$J$6971,7,FALSE)</f>
        <v>0</v>
      </c>
    </row>
    <row r="3457" spans="1:11" ht="14.5">
      <c r="A3457" s="20" t="s">
        <v>22764</v>
      </c>
      <c r="B3457" s="20">
        <v>40</v>
      </c>
      <c r="C3457" s="20">
        <v>10</v>
      </c>
      <c r="D3457" s="20">
        <v>57</v>
      </c>
      <c r="E3457" s="20">
        <v>78</v>
      </c>
      <c r="F3457" s="20" t="s">
        <v>22765</v>
      </c>
      <c r="G3457" s="20" t="s">
        <v>22766</v>
      </c>
      <c r="H3457" s="24"/>
      <c r="I3457" s="24" t="str">
        <f ca="1">IFERROR(__xludf.DUMMYFUNCTION("GOOGLETRANSLATE(F3457,""en"",""pt"")"),"bandas de tubos de cor auto-adesiva")</f>
        <v>bandas de tubos de cor auto-adesiva</v>
      </c>
      <c r="J3457">
        <f>VLOOKUP(A3457,Pr_Base_LNEC!$A$4:$J$6971,6,FALSE)</f>
        <v>0</v>
      </c>
      <c r="K3457">
        <f>VLOOKUP(A3457,Pr_Base_LNEC!$A$4:$J$6971,7,FALSE)</f>
        <v>0</v>
      </c>
    </row>
    <row r="3458" spans="1:11" ht="14.5">
      <c r="A3458" s="20" t="s">
        <v>22767</v>
      </c>
      <c r="B3458" s="20">
        <v>40</v>
      </c>
      <c r="C3458" s="20">
        <v>10</v>
      </c>
      <c r="D3458" s="20">
        <v>57</v>
      </c>
      <c r="E3458" s="20">
        <v>79</v>
      </c>
      <c r="F3458" s="20" t="s">
        <v>22768</v>
      </c>
      <c r="G3458" s="20" t="s">
        <v>22738</v>
      </c>
      <c r="H3458" s="24"/>
      <c r="I3458" s="24" t="str">
        <f ca="1">IFERROR(__xludf.DUMMYFUNCTION("GOOGLETRANSLATE(F3458,""en"",""pt"")"),"Auto-adesivos plásticos canalização rótulos e transferências")</f>
        <v>Auto-adesivos plásticos canalização rótulos e transferências</v>
      </c>
      <c r="J3458">
        <f>VLOOKUP(A3458,Pr_Base_LNEC!$A$4:$J$6971,6,FALSE)</f>
        <v>0</v>
      </c>
      <c r="K3458">
        <f>VLOOKUP(A3458,Pr_Base_LNEC!$A$4:$J$6971,7,FALSE)</f>
        <v>0</v>
      </c>
    </row>
    <row r="3459" spans="1:11" ht="14.5">
      <c r="A3459" s="20" t="s">
        <v>22769</v>
      </c>
      <c r="B3459" s="20">
        <v>40</v>
      </c>
      <c r="C3459" s="20">
        <v>10</v>
      </c>
      <c r="D3459" s="20">
        <v>57</v>
      </c>
      <c r="E3459" s="20">
        <v>96</v>
      </c>
      <c r="F3459" s="20" t="s">
        <v>22770</v>
      </c>
      <c r="G3459" s="20" t="s">
        <v>22771</v>
      </c>
      <c r="H3459" s="24"/>
      <c r="I3459" s="24" t="str">
        <f ca="1">IFERROR(__xludf.DUMMYFUNCTION("GOOGLETRANSLATE(F3459,""en"",""pt"")"),"Aviso fitas marcador")</f>
        <v>Aviso fitas marcador</v>
      </c>
      <c r="J3459">
        <f>VLOOKUP(A3459,Pr_Base_LNEC!$A$4:$J$6971,6,FALSE)</f>
        <v>0</v>
      </c>
      <c r="K3459">
        <f>VLOOKUP(A3459,Pr_Base_LNEC!$A$4:$J$6971,7,FALSE)</f>
        <v>0</v>
      </c>
    </row>
    <row r="3460" spans="1:11" ht="14.5">
      <c r="A3460" s="20" t="s">
        <v>22772</v>
      </c>
      <c r="B3460" s="20">
        <v>40</v>
      </c>
      <c r="C3460" s="20">
        <v>10</v>
      </c>
      <c r="D3460" s="20">
        <v>57</v>
      </c>
      <c r="E3460" s="20">
        <v>97</v>
      </c>
      <c r="F3460" s="20" t="s">
        <v>22773</v>
      </c>
      <c r="G3460" s="20" t="s">
        <v>22774</v>
      </c>
      <c r="H3460" s="24"/>
      <c r="I3460" s="24" t="str">
        <f ca="1">IFERROR(__xludf.DUMMYFUNCTION("GOOGLETRANSLATE(F3460,""en"",""pt"")"),"Aviso telhas marcador")</f>
        <v>Aviso telhas marcador</v>
      </c>
      <c r="J3460">
        <f>VLOOKUP(A3460,Pr_Base_LNEC!$A$4:$J$6971,6,FALSE)</f>
        <v>0</v>
      </c>
      <c r="K3460">
        <f>VLOOKUP(A3460,Pr_Base_LNEC!$A$4:$J$6971,7,FALSE)</f>
        <v>0</v>
      </c>
    </row>
    <row r="3461" spans="1:11" ht="14.5">
      <c r="A3461" s="20" t="s">
        <v>22775</v>
      </c>
      <c r="B3461" s="20">
        <v>40</v>
      </c>
      <c r="C3461" s="20">
        <v>10</v>
      </c>
      <c r="D3461" s="20">
        <v>57</v>
      </c>
      <c r="E3461" s="20">
        <v>98</v>
      </c>
      <c r="F3461" s="20" t="s">
        <v>22776</v>
      </c>
      <c r="G3461" s="20" t="s">
        <v>22777</v>
      </c>
      <c r="H3461" s="24"/>
      <c r="I3461" s="24" t="str">
        <f ca="1">IFERROR(__xludf.DUMMYFUNCTION("GOOGLETRANSLATE(F3461,""en"",""pt"")"),"Águas de extinção identificação e etiquetas de sistema")</f>
        <v>Águas de extinção identificação e etiquetas de sistema</v>
      </c>
      <c r="J3461">
        <f>VLOOKUP(A3461,Pr_Base_LNEC!$A$4:$J$6971,6,FALSE)</f>
        <v>0</v>
      </c>
      <c r="K3461">
        <f>VLOOKUP(A3461,Pr_Base_LNEC!$A$4:$J$6971,7,FALSE)</f>
        <v>0</v>
      </c>
    </row>
    <row r="3462" spans="1:11" ht="14.5">
      <c r="A3462" s="20" t="s">
        <v>22778</v>
      </c>
      <c r="B3462" s="20">
        <v>40</v>
      </c>
      <c r="C3462" s="20">
        <v>10</v>
      </c>
      <c r="D3462" s="20">
        <v>57</v>
      </c>
      <c r="E3462" s="20">
        <v>99</v>
      </c>
      <c r="F3462" s="20" t="s">
        <v>22779</v>
      </c>
      <c r="G3462" s="24"/>
      <c r="H3462" s="24"/>
      <c r="I3462" s="24" t="str">
        <f ca="1">IFERROR(__xludf.DUMMYFUNCTION("GOOGLETRANSLATE(F3462,""en"",""pt"")"),"etiquetas número da janela")</f>
        <v>etiquetas número da janela</v>
      </c>
      <c r="J3462" t="e">
        <f>VLOOKUP(A3462,Pr_Base_LNEC!$A$4:$J$6971,6,FALSE)</f>
        <v>#N/A</v>
      </c>
      <c r="K3462" t="e">
        <f>VLOOKUP(A3462,Pr_Base_LNEC!$A$4:$J$6971,7,FALSE)</f>
        <v>#N/A</v>
      </c>
    </row>
    <row r="3463" spans="1:11" ht="14.5">
      <c r="A3463" s="20" t="s">
        <v>22780</v>
      </c>
      <c r="B3463" s="20">
        <v>40</v>
      </c>
      <c r="C3463" s="20">
        <v>10</v>
      </c>
      <c r="D3463" s="20">
        <v>77</v>
      </c>
      <c r="E3463" s="24"/>
      <c r="F3463" s="20" t="s">
        <v>22781</v>
      </c>
      <c r="G3463" s="24"/>
      <c r="H3463" s="24"/>
      <c r="I3463" s="24" t="str">
        <f ca="1">IFERROR(__xludf.DUMMYFUNCTION("GOOGLETRANSLATE(F3463,""en"",""pt"")"),"Sinais e marcadores")</f>
        <v>Sinais e marcadores</v>
      </c>
      <c r="J3463">
        <f>VLOOKUP(A3463,Pr_Base_LNEC!$A$4:$J$6971,6,FALSE)</f>
        <v>0</v>
      </c>
      <c r="K3463">
        <f>VLOOKUP(A3463,Pr_Base_LNEC!$A$4:$J$6971,7,FALSE)</f>
        <v>0</v>
      </c>
    </row>
    <row r="3464" spans="1:11" ht="14.5">
      <c r="A3464" s="20" t="s">
        <v>22782</v>
      </c>
      <c r="B3464" s="20">
        <v>40</v>
      </c>
      <c r="C3464" s="20">
        <v>10</v>
      </c>
      <c r="D3464" s="20">
        <v>77</v>
      </c>
      <c r="E3464" s="20">
        <v>2</v>
      </c>
      <c r="F3464" s="20" t="s">
        <v>22783</v>
      </c>
      <c r="G3464" s="20" t="s">
        <v>22784</v>
      </c>
      <c r="H3464" s="24"/>
      <c r="I3464" s="24" t="str">
        <f ca="1">IFERROR(__xludf.DUMMYFUNCTION("GOOGLETRANSLATE(F3464,""en"",""pt"")"),"placas de ‘A’")</f>
        <v>placas de ‘A’</v>
      </c>
      <c r="J3464">
        <f>VLOOKUP(A3464,Pr_Base_LNEC!$A$4:$J$6971,6,FALSE)</f>
        <v>0</v>
      </c>
      <c r="K3464">
        <f>VLOOKUP(A3464,Pr_Base_LNEC!$A$4:$J$6971,7,FALSE)</f>
        <v>0</v>
      </c>
    </row>
    <row r="3465" spans="1:11" ht="14.5">
      <c r="A3465" s="20" t="s">
        <v>22785</v>
      </c>
      <c r="B3465" s="20">
        <v>40</v>
      </c>
      <c r="C3465" s="20">
        <v>10</v>
      </c>
      <c r="D3465" s="20">
        <v>77</v>
      </c>
      <c r="E3465" s="20">
        <v>4</v>
      </c>
      <c r="F3465" s="20" t="s">
        <v>22786</v>
      </c>
      <c r="G3465" s="20" t="s">
        <v>22787</v>
      </c>
      <c r="H3465" s="24"/>
      <c r="I3465" s="24" t="str">
        <f ca="1">IFERROR(__xludf.DUMMYFUNCTION("GOOGLETRANSLATE(F3465,""en"",""pt"")"),"Caracteres alfanuméricos")</f>
        <v>Caracteres alfanuméricos</v>
      </c>
      <c r="J3465">
        <f>VLOOKUP(A3465,Pr_Base_LNEC!$A$4:$J$6971,6,FALSE)</f>
        <v>0</v>
      </c>
      <c r="K3465">
        <f>VLOOKUP(A3465,Pr_Base_LNEC!$A$4:$J$6971,7,FALSE)</f>
        <v>0</v>
      </c>
    </row>
    <row r="3466" spans="1:11" ht="14.5">
      <c r="A3466" s="20" t="s">
        <v>22788</v>
      </c>
      <c r="B3466" s="20">
        <v>40</v>
      </c>
      <c r="C3466" s="20">
        <v>10</v>
      </c>
      <c r="D3466" s="20">
        <v>77</v>
      </c>
      <c r="E3466" s="20">
        <v>5</v>
      </c>
      <c r="F3466" s="20" t="s">
        <v>22789</v>
      </c>
      <c r="G3466" s="24"/>
      <c r="H3466" s="24"/>
      <c r="I3466" s="24" t="str">
        <f ca="1">IFERROR(__xludf.DUMMYFUNCTION("GOOGLETRANSLATE(F3466,""en"",""pt"")"),"Aplicada vidros detalhes")</f>
        <v>Aplicada vidros detalhes</v>
      </c>
      <c r="J3466">
        <f>VLOOKUP(A3466,Pr_Base_LNEC!$A$4:$J$6971,6,FALSE)</f>
        <v>0</v>
      </c>
      <c r="K3466">
        <f>VLOOKUP(A3466,Pr_Base_LNEC!$A$4:$J$6971,7,FALSE)</f>
        <v>0</v>
      </c>
    </row>
    <row r="3467" spans="1:11" ht="14.5">
      <c r="A3467" s="20" t="s">
        <v>22790</v>
      </c>
      <c r="B3467" s="20">
        <v>40</v>
      </c>
      <c r="C3467" s="20">
        <v>10</v>
      </c>
      <c r="D3467" s="20">
        <v>77</v>
      </c>
      <c r="E3467" s="20">
        <v>6</v>
      </c>
      <c r="F3467" s="20" t="s">
        <v>22791</v>
      </c>
      <c r="G3467" s="20" t="s">
        <v>22792</v>
      </c>
      <c r="H3467" s="24"/>
      <c r="I3467" s="24" t="str">
        <f ca="1">IFERROR(__xludf.DUMMYFUNCTION("GOOGLETRANSLATE(F3467,""en"",""pt"")"),"sinais de banner")</f>
        <v>sinais de banner</v>
      </c>
      <c r="J3467">
        <f>VLOOKUP(A3467,Pr_Base_LNEC!$A$4:$J$6971,6,FALSE)</f>
        <v>0</v>
      </c>
      <c r="K3467">
        <f>VLOOKUP(A3467,Pr_Base_LNEC!$A$4:$J$6971,7,FALSE)</f>
        <v>0</v>
      </c>
    </row>
    <row r="3468" spans="1:11" ht="14.5">
      <c r="A3468" s="20" t="s">
        <v>22793</v>
      </c>
      <c r="B3468" s="20">
        <v>40</v>
      </c>
      <c r="C3468" s="20">
        <v>10</v>
      </c>
      <c r="D3468" s="20">
        <v>77</v>
      </c>
      <c r="E3468" s="20">
        <v>7</v>
      </c>
      <c r="F3468" s="20" t="s">
        <v>22794</v>
      </c>
      <c r="G3468" s="24"/>
      <c r="H3468" s="24"/>
      <c r="I3468" s="24" t="str">
        <f ca="1">IFERROR(__xludf.DUMMYFUNCTION("GOOGLETRANSLATE(F3468,""en"",""pt"")"),"bandeiras de segurança de praia")</f>
        <v>bandeiras de segurança de praia</v>
      </c>
      <c r="J3468" t="e">
        <f>VLOOKUP(A3468,Pr_Base_LNEC!$A$4:$J$6971,6,FALSE)</f>
        <v>#N/A</v>
      </c>
      <c r="K3468" t="e">
        <f>VLOOKUP(A3468,Pr_Base_LNEC!$A$4:$J$6971,7,FALSE)</f>
        <v>#N/A</v>
      </c>
    </row>
    <row r="3469" spans="1:11" ht="14.5">
      <c r="A3469" s="20" t="s">
        <v>22795</v>
      </c>
      <c r="B3469" s="20">
        <v>40</v>
      </c>
      <c r="C3469" s="20">
        <v>10</v>
      </c>
      <c r="D3469" s="20">
        <v>77</v>
      </c>
      <c r="E3469" s="20">
        <v>8</v>
      </c>
      <c r="F3469" s="20" t="s">
        <v>22796</v>
      </c>
      <c r="G3469" s="24"/>
      <c r="H3469" s="24"/>
      <c r="I3469" s="24" t="str">
        <f ca="1">IFERROR(__xludf.DUMMYFUNCTION("GOOGLETRANSLATE(F3469,""en"",""pt"")"),"sinais braille")</f>
        <v>sinais braille</v>
      </c>
      <c r="J3469">
        <f>VLOOKUP(A3469,Pr_Base_LNEC!$A$4:$J$6971,6,FALSE)</f>
        <v>0</v>
      </c>
      <c r="K3469">
        <f>VLOOKUP(A3469,Pr_Base_LNEC!$A$4:$J$6971,7,FALSE)</f>
        <v>0</v>
      </c>
    </row>
    <row r="3470" spans="1:11" ht="14.5">
      <c r="A3470" s="20" t="s">
        <v>22797</v>
      </c>
      <c r="B3470" s="20">
        <v>40</v>
      </c>
      <c r="C3470" s="20">
        <v>10</v>
      </c>
      <c r="D3470" s="20">
        <v>77</v>
      </c>
      <c r="E3470" s="20">
        <v>11</v>
      </c>
      <c r="F3470" s="20" t="s">
        <v>22798</v>
      </c>
      <c r="G3470" s="20" t="s">
        <v>22799</v>
      </c>
      <c r="H3470" s="24"/>
      <c r="I3470" s="24" t="str">
        <f ca="1">IFERROR(__xludf.DUMMYFUNCTION("GOOGLETRANSLATE(F3470,""en"",""pt"")"),"sinais de gabinete")</f>
        <v>sinais de gabinete</v>
      </c>
      <c r="J3470">
        <f>VLOOKUP(A3470,Pr_Base_LNEC!$A$4:$J$6971,6,FALSE)</f>
        <v>0</v>
      </c>
      <c r="K3470">
        <f>VLOOKUP(A3470,Pr_Base_LNEC!$A$4:$J$6971,7,FALSE)</f>
        <v>0</v>
      </c>
    </row>
    <row r="3471" spans="1:11" ht="14.5">
      <c r="A3471" s="20" t="s">
        <v>22800</v>
      </c>
      <c r="B3471" s="20">
        <v>40</v>
      </c>
      <c r="C3471" s="20">
        <v>10</v>
      </c>
      <c r="D3471" s="20">
        <v>77</v>
      </c>
      <c r="E3471" s="20">
        <v>20</v>
      </c>
      <c r="F3471" s="20" t="s">
        <v>22801</v>
      </c>
      <c r="G3471" s="24"/>
      <c r="H3471" s="24"/>
      <c r="I3471" s="24" t="str">
        <f ca="1">IFERROR(__xludf.DUMMYFUNCTION("GOOGLETRANSLATE(F3471,""en"",""pt"")"),"placas de referência e marcadores")</f>
        <v>placas de referência e marcadores</v>
      </c>
      <c r="J3471">
        <f>VLOOKUP(A3471,Pr_Base_LNEC!$A$4:$J$6971,6,FALSE)</f>
        <v>0</v>
      </c>
      <c r="K3471">
        <f>VLOOKUP(A3471,Pr_Base_LNEC!$A$4:$J$6971,7,FALSE)</f>
        <v>0</v>
      </c>
    </row>
    <row r="3472" spans="1:11" ht="14.5">
      <c r="A3472" s="20" t="s">
        <v>22802</v>
      </c>
      <c r="B3472" s="20">
        <v>40</v>
      </c>
      <c r="C3472" s="20">
        <v>10</v>
      </c>
      <c r="D3472" s="20">
        <v>77</v>
      </c>
      <c r="E3472" s="20">
        <v>22</v>
      </c>
      <c r="F3472" s="20" t="s">
        <v>22803</v>
      </c>
      <c r="G3472" s="24"/>
      <c r="H3472" s="24"/>
      <c r="I3472" s="24" t="str">
        <f ca="1">IFERROR(__xludf.DUMMYFUNCTION("GOOGLETRANSLATE(F3472,""en"",""pt"")"),"sinais de designação")</f>
        <v>sinais de designação</v>
      </c>
      <c r="J3472">
        <f>VLOOKUP(A3472,Pr_Base_LNEC!$A$4:$J$6971,6,FALSE)</f>
        <v>0</v>
      </c>
      <c r="K3472">
        <f>VLOOKUP(A3472,Pr_Base_LNEC!$A$4:$J$6971,7,FALSE)</f>
        <v>0</v>
      </c>
    </row>
    <row r="3473" spans="1:11" ht="14.5">
      <c r="A3473" s="20" t="s">
        <v>22804</v>
      </c>
      <c r="B3473" s="20">
        <v>40</v>
      </c>
      <c r="C3473" s="20">
        <v>10</v>
      </c>
      <c r="D3473" s="20">
        <v>77</v>
      </c>
      <c r="E3473" s="20">
        <v>24</v>
      </c>
      <c r="F3473" s="20" t="s">
        <v>22805</v>
      </c>
      <c r="G3473" s="24"/>
      <c r="H3473" s="24"/>
      <c r="I3473" s="24" t="str">
        <f ca="1">IFERROR(__xludf.DUMMYFUNCTION("GOOGLETRANSLATE(F3473,""en"",""pt"")"),"sinais de diretório")</f>
        <v>sinais de diretório</v>
      </c>
      <c r="J3473">
        <f>VLOOKUP(A3473,Pr_Base_LNEC!$A$4:$J$6971,6,FALSE)</f>
        <v>0</v>
      </c>
      <c r="K3473">
        <f>VLOOKUP(A3473,Pr_Base_LNEC!$A$4:$J$6971,7,FALSE)</f>
        <v>0</v>
      </c>
    </row>
    <row r="3474" spans="1:11" ht="14.5">
      <c r="A3474" s="20" t="s">
        <v>22806</v>
      </c>
      <c r="B3474" s="20">
        <v>40</v>
      </c>
      <c r="C3474" s="20">
        <v>10</v>
      </c>
      <c r="D3474" s="20">
        <v>77</v>
      </c>
      <c r="E3474" s="20">
        <v>27</v>
      </c>
      <c r="F3474" s="20" t="s">
        <v>22807</v>
      </c>
      <c r="G3474" s="24"/>
      <c r="H3474" s="24"/>
      <c r="I3474" s="24" t="str">
        <f ca="1">IFERROR(__xludf.DUMMYFUNCTION("GOOGLETRANSLATE(F3474,""en"",""pt"")"),"sinais de evacuação")</f>
        <v>sinais de evacuação</v>
      </c>
      <c r="J3474" t="e">
        <f>VLOOKUP(A3474,Pr_Base_LNEC!$A$4:$J$6971,6,FALSE)</f>
        <v>#N/A</v>
      </c>
      <c r="K3474" t="e">
        <f>VLOOKUP(A3474,Pr_Base_LNEC!$A$4:$J$6971,7,FALSE)</f>
        <v>#N/A</v>
      </c>
    </row>
    <row r="3475" spans="1:11" ht="14.5">
      <c r="A3475" s="20" t="s">
        <v>22808</v>
      </c>
      <c r="B3475" s="20">
        <v>40</v>
      </c>
      <c r="C3475" s="20">
        <v>10</v>
      </c>
      <c r="D3475" s="20">
        <v>77</v>
      </c>
      <c r="E3475" s="20">
        <v>29</v>
      </c>
      <c r="F3475" s="20" t="s">
        <v>22809</v>
      </c>
      <c r="G3475" s="20" t="s">
        <v>22810</v>
      </c>
      <c r="H3475" s="24"/>
      <c r="I3475" s="24" t="str">
        <f ca="1">IFERROR(__xludf.DUMMYFUNCTION("GOOGLETRANSLATE(F3475,""en"",""pt"")"),"refletores de segurança de esgrima")</f>
        <v>refletores de segurança de esgrima</v>
      </c>
      <c r="J3475">
        <f>VLOOKUP(A3475,Pr_Base_LNEC!$A$4:$J$6971,6,FALSE)</f>
        <v>0</v>
      </c>
      <c r="K3475">
        <f>VLOOKUP(A3475,Pr_Base_LNEC!$A$4:$J$6971,7,FALSE)</f>
        <v>0</v>
      </c>
    </row>
    <row r="3476" spans="1:11" ht="14.5">
      <c r="A3476" s="20" t="s">
        <v>22811</v>
      </c>
      <c r="B3476" s="20">
        <v>40</v>
      </c>
      <c r="C3476" s="20">
        <v>10</v>
      </c>
      <c r="D3476" s="20">
        <v>77</v>
      </c>
      <c r="E3476" s="20">
        <v>30</v>
      </c>
      <c r="F3476" s="20" t="s">
        <v>22812</v>
      </c>
      <c r="G3476" s="20" t="s">
        <v>22813</v>
      </c>
      <c r="H3476" s="24"/>
      <c r="I3476" s="24" t="str">
        <f ca="1">IFERROR(__xludf.DUMMYFUNCTION("GOOGLETRANSLATE(F3476,""en"",""pt"")"),"sinais digitais")</f>
        <v>sinais digitais</v>
      </c>
      <c r="J3476">
        <f>VLOOKUP(A3476,Pr_Base_LNEC!$A$4:$J$6971,6,FALSE)</f>
        <v>0</v>
      </c>
      <c r="K3476">
        <f>VLOOKUP(A3476,Pr_Base_LNEC!$A$4:$J$6971,7,FALSE)</f>
        <v>0</v>
      </c>
    </row>
    <row r="3477" spans="1:11" ht="14.5">
      <c r="A3477" s="20" t="s">
        <v>22814</v>
      </c>
      <c r="B3477" s="20">
        <v>40</v>
      </c>
      <c r="C3477" s="20">
        <v>10</v>
      </c>
      <c r="D3477" s="20">
        <v>77</v>
      </c>
      <c r="E3477" s="20">
        <v>31</v>
      </c>
      <c r="F3477" s="20" t="s">
        <v>22815</v>
      </c>
      <c r="G3477" s="20" t="s">
        <v>22816</v>
      </c>
      <c r="H3477" s="24"/>
      <c r="I3477" s="24" t="str">
        <f ca="1">IFERROR(__xludf.DUMMYFUNCTION("GOOGLETRANSLATE(F3477,""en"",""pt"")"),"sinais equipamentos de incêndio")</f>
        <v>sinais equipamentos de incêndio</v>
      </c>
      <c r="J3477">
        <f>VLOOKUP(A3477,Pr_Base_LNEC!$A$4:$J$6971,6,FALSE)</f>
        <v>0</v>
      </c>
      <c r="K3477">
        <f>VLOOKUP(A3477,Pr_Base_LNEC!$A$4:$J$6971,7,FALSE)</f>
        <v>0</v>
      </c>
    </row>
    <row r="3478" spans="1:11" ht="14.5">
      <c r="A3478" s="20" t="s">
        <v>22817</v>
      </c>
      <c r="B3478" s="20">
        <v>40</v>
      </c>
      <c r="C3478" s="20">
        <v>10</v>
      </c>
      <c r="D3478" s="20">
        <v>77</v>
      </c>
      <c r="E3478" s="20">
        <v>32</v>
      </c>
      <c r="F3478" s="20" t="s">
        <v>22818</v>
      </c>
      <c r="G3478" s="20" t="s">
        <v>22819</v>
      </c>
      <c r="H3478" s="24"/>
      <c r="I3478" s="24" t="str">
        <f ca="1">IFERROR(__xludf.DUMMYFUNCTION("GOOGLETRANSLATE(F3478,""en"",""pt"")"),"rota sinais de fuga de incêndio")</f>
        <v>rota sinais de fuga de incêndio</v>
      </c>
      <c r="J3478">
        <f>VLOOKUP(A3478,Pr_Base_LNEC!$A$4:$J$6971,6,FALSE)</f>
        <v>0</v>
      </c>
      <c r="K3478">
        <f>VLOOKUP(A3478,Pr_Base_LNEC!$A$4:$J$6971,7,FALSE)</f>
        <v>0</v>
      </c>
    </row>
    <row r="3479" spans="1:11" ht="14.5">
      <c r="A3479" s="20" t="s">
        <v>22820</v>
      </c>
      <c r="B3479" s="20">
        <v>40</v>
      </c>
      <c r="C3479" s="20">
        <v>10</v>
      </c>
      <c r="D3479" s="20">
        <v>77</v>
      </c>
      <c r="E3479" s="20">
        <v>36</v>
      </c>
      <c r="F3479" s="20" t="s">
        <v>22821</v>
      </c>
      <c r="G3479" s="20" t="s">
        <v>22822</v>
      </c>
      <c r="H3479" s="24"/>
      <c r="I3479" s="24" t="str">
        <f ca="1">IFERROR(__xludf.DUMMYFUNCTION("GOOGLETRANSLATE(F3479,""en"",""pt"")"),"delineadores de perigo")</f>
        <v>delineadores de perigo</v>
      </c>
      <c r="J3479">
        <f>VLOOKUP(A3479,Pr_Base_LNEC!$A$4:$J$6971,6,FALSE)</f>
        <v>0</v>
      </c>
      <c r="K3479">
        <f>VLOOKUP(A3479,Pr_Base_LNEC!$A$4:$J$6971,7,FALSE)</f>
        <v>0</v>
      </c>
    </row>
    <row r="3480" spans="1:11" ht="14.5">
      <c r="A3480" s="20" t="s">
        <v>22823</v>
      </c>
      <c r="B3480" s="20">
        <v>40</v>
      </c>
      <c r="C3480" s="20">
        <v>10</v>
      </c>
      <c r="D3480" s="20">
        <v>77</v>
      </c>
      <c r="E3480" s="20">
        <v>37</v>
      </c>
      <c r="F3480" s="20" t="s">
        <v>22824</v>
      </c>
      <c r="G3480" s="20" t="s">
        <v>22825</v>
      </c>
      <c r="H3480" s="24"/>
      <c r="I3480" s="24" t="str">
        <f ca="1">IFERROR(__xludf.DUMMYFUNCTION("GOOGLETRANSLATE(F3480,""en"",""pt"")"),"postes de marcação de rodovias")</f>
        <v>postes de marcação de rodovias</v>
      </c>
      <c r="J3480">
        <f>VLOOKUP(A3480,Pr_Base_LNEC!$A$4:$J$6971,6,FALSE)</f>
        <v>0</v>
      </c>
      <c r="K3480">
        <f>VLOOKUP(A3480,Pr_Base_LNEC!$A$4:$J$6971,7,FALSE)</f>
        <v>0</v>
      </c>
    </row>
    <row r="3481" spans="1:11" ht="14.5">
      <c r="A3481" s="20" t="s">
        <v>22826</v>
      </c>
      <c r="B3481" s="20">
        <v>40</v>
      </c>
      <c r="C3481" s="20">
        <v>10</v>
      </c>
      <c r="D3481" s="20">
        <v>77</v>
      </c>
      <c r="E3481" s="20">
        <v>38</v>
      </c>
      <c r="F3481" s="20" t="s">
        <v>22827</v>
      </c>
      <c r="G3481" s="24"/>
      <c r="H3481" s="24"/>
      <c r="I3481" s="24" t="str">
        <f ca="1">IFERROR(__xludf.DUMMYFUNCTION("GOOGLETRANSLATE(F3481,""en"",""pt"")"),"sinais açambarcamento")</f>
        <v>sinais açambarcamento</v>
      </c>
      <c r="J3481">
        <f>VLOOKUP(A3481,Pr_Base_LNEC!$A$4:$J$6971,6,FALSE)</f>
        <v>0</v>
      </c>
      <c r="K3481">
        <f>VLOOKUP(A3481,Pr_Base_LNEC!$A$4:$J$6971,7,FALSE)</f>
        <v>0</v>
      </c>
    </row>
    <row r="3482" spans="1:11" ht="14.5">
      <c r="A3482" s="20" t="s">
        <v>22828</v>
      </c>
      <c r="B3482" s="20">
        <v>40</v>
      </c>
      <c r="C3482" s="20">
        <v>10</v>
      </c>
      <c r="D3482" s="20">
        <v>77</v>
      </c>
      <c r="E3482" s="20">
        <v>41</v>
      </c>
      <c r="F3482" s="20" t="s">
        <v>22829</v>
      </c>
      <c r="G3482" s="24"/>
      <c r="H3482" s="24"/>
      <c r="I3482" s="24" t="str">
        <f ca="1">IFERROR(__xludf.DUMMYFUNCTION("GOOGLETRANSLATE(F3482,""en"",""pt"")"),"letreiros luminosos")</f>
        <v>letreiros luminosos</v>
      </c>
      <c r="J3482" t="e">
        <f>VLOOKUP(A3482,Pr_Base_LNEC!$A$4:$J$6971,6,FALSE)</f>
        <v>#N/A</v>
      </c>
      <c r="K3482" t="e">
        <f>VLOOKUP(A3482,Pr_Base_LNEC!$A$4:$J$6971,7,FALSE)</f>
        <v>#N/A</v>
      </c>
    </row>
    <row r="3483" spans="1:11" ht="14.5">
      <c r="A3483" s="20" t="s">
        <v>22830</v>
      </c>
      <c r="B3483" s="20">
        <v>40</v>
      </c>
      <c r="C3483" s="20">
        <v>10</v>
      </c>
      <c r="D3483" s="20">
        <v>77</v>
      </c>
      <c r="E3483" s="20">
        <v>42</v>
      </c>
      <c r="F3483" s="20" t="s">
        <v>22831</v>
      </c>
      <c r="G3483" s="24"/>
      <c r="H3483" s="24"/>
      <c r="I3483" s="24" t="str">
        <f ca="1">IFERROR(__xludf.DUMMYFUNCTION("GOOGLETRANSLATE(F3483,""en"",""pt"")"),"sinais letra individual")</f>
        <v>sinais letra individual</v>
      </c>
      <c r="J3483">
        <f>VLOOKUP(A3483,Pr_Base_LNEC!$A$4:$J$6971,6,FALSE)</f>
        <v>0</v>
      </c>
      <c r="K3483">
        <f>VLOOKUP(A3483,Pr_Base_LNEC!$A$4:$J$6971,7,FALSE)</f>
        <v>0</v>
      </c>
    </row>
    <row r="3484" spans="1:11" ht="14.5">
      <c r="A3484" s="20" t="s">
        <v>22832</v>
      </c>
      <c r="B3484" s="20">
        <v>40</v>
      </c>
      <c r="C3484" s="20">
        <v>10</v>
      </c>
      <c r="D3484" s="20">
        <v>77</v>
      </c>
      <c r="E3484" s="20">
        <v>46</v>
      </c>
      <c r="F3484" s="20" t="s">
        <v>22833</v>
      </c>
      <c r="G3484" s="20" t="s">
        <v>22834</v>
      </c>
      <c r="H3484" s="24"/>
      <c r="I3484" s="24" t="str">
        <f ca="1">IFERROR(__xludf.DUMMYFUNCTION("GOOGLETRANSLATE(F3484,""en"",""pt"")"),"sinais de escada")</f>
        <v>sinais de escada</v>
      </c>
      <c r="J3484">
        <f>VLOOKUP(A3484,Pr_Base_LNEC!$A$4:$J$6971,6,FALSE)</f>
        <v>0</v>
      </c>
      <c r="K3484">
        <f>VLOOKUP(A3484,Pr_Base_LNEC!$A$4:$J$6971,7,FALSE)</f>
        <v>0</v>
      </c>
    </row>
    <row r="3485" spans="1:11" ht="14.5">
      <c r="A3485" s="20" t="s">
        <v>22835</v>
      </c>
      <c r="B3485" s="20">
        <v>40</v>
      </c>
      <c r="C3485" s="20">
        <v>10</v>
      </c>
      <c r="D3485" s="20">
        <v>77</v>
      </c>
      <c r="E3485" s="20">
        <v>50</v>
      </c>
      <c r="F3485" s="20" t="s">
        <v>22836</v>
      </c>
      <c r="G3485" s="20" t="s">
        <v>22837</v>
      </c>
      <c r="H3485" s="24"/>
      <c r="I3485" s="24" t="str">
        <f ca="1">IFERROR(__xludf.DUMMYFUNCTION("GOOGLETRANSLATE(F3485,""en"",""pt"")"),"sinais de ação obrigatórios")</f>
        <v>sinais de ação obrigatórios</v>
      </c>
      <c r="J3485">
        <f>VLOOKUP(A3485,Pr_Base_LNEC!$A$4:$J$6971,6,FALSE)</f>
        <v>0</v>
      </c>
      <c r="K3485">
        <f>VLOOKUP(A3485,Pr_Base_LNEC!$A$4:$J$6971,7,FALSE)</f>
        <v>0</v>
      </c>
    </row>
    <row r="3486" spans="1:11" ht="14.5">
      <c r="A3486" s="20" t="s">
        <v>22838</v>
      </c>
      <c r="B3486" s="20">
        <v>40</v>
      </c>
      <c r="C3486" s="20">
        <v>10</v>
      </c>
      <c r="D3486" s="20">
        <v>77</v>
      </c>
      <c r="E3486" s="20">
        <v>52</v>
      </c>
      <c r="F3486" s="20" t="s">
        <v>22839</v>
      </c>
      <c r="G3486" s="20" t="s">
        <v>22840</v>
      </c>
      <c r="H3486" s="24"/>
      <c r="I3486" s="24" t="str">
        <f ca="1">IFERROR(__xludf.DUMMYFUNCTION("GOOGLETRANSLATE(F3486,""en"",""pt"")"),"sinais Monolith")</f>
        <v>sinais Monolith</v>
      </c>
      <c r="J3486">
        <f>VLOOKUP(A3486,Pr_Base_LNEC!$A$4:$J$6971,6,FALSE)</f>
        <v>0</v>
      </c>
      <c r="K3486">
        <f>VLOOKUP(A3486,Pr_Base_LNEC!$A$4:$J$6971,7,FALSE)</f>
        <v>0</v>
      </c>
    </row>
    <row r="3487" spans="1:11" ht="14.5">
      <c r="A3487" s="20" t="s">
        <v>22841</v>
      </c>
      <c r="B3487" s="20">
        <v>40</v>
      </c>
      <c r="C3487" s="20">
        <v>10</v>
      </c>
      <c r="D3487" s="20">
        <v>77</v>
      </c>
      <c r="E3487" s="20">
        <v>53</v>
      </c>
      <c r="F3487" s="20" t="s">
        <v>22842</v>
      </c>
      <c r="G3487" s="24"/>
      <c r="H3487" s="24"/>
      <c r="I3487" s="24" t="str">
        <f ca="1">IFERROR(__xludf.DUMMYFUNCTION("GOOGLETRANSLATE(F3487,""en"",""pt"")"),"movendo sinais")</f>
        <v>movendo sinais</v>
      </c>
      <c r="J3487">
        <f>VLOOKUP(A3487,Pr_Base_LNEC!$A$4:$J$6971,6,FALSE)</f>
        <v>0</v>
      </c>
      <c r="K3487">
        <f>VLOOKUP(A3487,Pr_Base_LNEC!$A$4:$J$6971,7,FALSE)</f>
        <v>0</v>
      </c>
    </row>
    <row r="3488" spans="1:11" ht="14.5">
      <c r="A3488" s="20" t="s">
        <v>22843</v>
      </c>
      <c r="B3488" s="20">
        <v>40</v>
      </c>
      <c r="C3488" s="20">
        <v>10</v>
      </c>
      <c r="D3488" s="20">
        <v>77</v>
      </c>
      <c r="E3488" s="20">
        <v>56</v>
      </c>
      <c r="F3488" s="20" t="s">
        <v>22844</v>
      </c>
      <c r="G3488" s="24"/>
      <c r="H3488" s="24"/>
      <c r="I3488" s="24" t="str">
        <f ca="1">IFERROR(__xludf.DUMMYFUNCTION("GOOGLETRANSLATE(F3488,""en"",""pt"")"),"Placas de identificação")</f>
        <v>Placas de identificação</v>
      </c>
      <c r="J3488">
        <f>VLOOKUP(A3488,Pr_Base_LNEC!$A$4:$J$6971,6,FALSE)</f>
        <v>0</v>
      </c>
      <c r="K3488">
        <f>VLOOKUP(A3488,Pr_Base_LNEC!$A$4:$J$6971,7,FALSE)</f>
        <v>0</v>
      </c>
    </row>
    <row r="3489" spans="1:11" ht="14.5">
      <c r="A3489" s="20" t="s">
        <v>22845</v>
      </c>
      <c r="B3489" s="20">
        <v>40</v>
      </c>
      <c r="C3489" s="20">
        <v>10</v>
      </c>
      <c r="D3489" s="20">
        <v>77</v>
      </c>
      <c r="E3489" s="20">
        <v>61</v>
      </c>
      <c r="F3489" s="20" t="s">
        <v>22846</v>
      </c>
      <c r="G3489" s="20" t="s">
        <v>22847</v>
      </c>
      <c r="H3489" s="24"/>
      <c r="I3489" s="24" t="str">
        <f ca="1">IFERROR(__xludf.DUMMYFUNCTION("GOOGLETRANSLATE(F3489,""en"",""pt"")"),"fitas de orientação maneira fosforescente")</f>
        <v>fitas de orientação maneira fosforescente</v>
      </c>
      <c r="J3489" t="e">
        <f>VLOOKUP(A3489,Pr_Base_LNEC!$A$4:$J$6971,6,FALSE)</f>
        <v>#N/A</v>
      </c>
      <c r="K3489" t="e">
        <f>VLOOKUP(A3489,Pr_Base_LNEC!$A$4:$J$6971,7,FALSE)</f>
        <v>#N/A</v>
      </c>
    </row>
    <row r="3490" spans="1:11" ht="14.5">
      <c r="A3490" s="20" t="s">
        <v>22848</v>
      </c>
      <c r="B3490" s="20">
        <v>40</v>
      </c>
      <c r="C3490" s="20">
        <v>10</v>
      </c>
      <c r="D3490" s="20">
        <v>77</v>
      </c>
      <c r="E3490" s="20">
        <v>63</v>
      </c>
      <c r="F3490" s="20" t="s">
        <v>22849</v>
      </c>
      <c r="G3490" s="20" t="s">
        <v>22850</v>
      </c>
      <c r="H3490" s="24"/>
      <c r="I3490" s="24" t="str">
        <f ca="1">IFERROR(__xludf.DUMMYFUNCTION("GOOGLETRANSLATE(F3490,""en"",""pt"")"),"placas")</f>
        <v>placas</v>
      </c>
      <c r="J3490">
        <f>VLOOKUP(A3490,Pr_Base_LNEC!$A$4:$J$6971,6,FALSE)</f>
        <v>0</v>
      </c>
      <c r="K3490">
        <f>VLOOKUP(A3490,Pr_Base_LNEC!$A$4:$J$6971,7,FALSE)</f>
        <v>0</v>
      </c>
    </row>
    <row r="3491" spans="1:11" ht="14.5">
      <c r="A3491" s="20" t="s">
        <v>22851</v>
      </c>
      <c r="B3491" s="20">
        <v>40</v>
      </c>
      <c r="C3491" s="20">
        <v>10</v>
      </c>
      <c r="D3491" s="20">
        <v>77</v>
      </c>
      <c r="E3491" s="20">
        <v>64</v>
      </c>
      <c r="F3491" s="20" t="s">
        <v>22852</v>
      </c>
      <c r="G3491" s="24"/>
      <c r="H3491" s="24"/>
      <c r="I3491" s="24" t="str">
        <f ca="1">IFERROR(__xludf.DUMMYFUNCTION("GOOGLETRANSLATE(F3491,""en"",""pt"")"),"sinais plataforma elevatória")</f>
        <v>sinais plataforma elevatória</v>
      </c>
      <c r="J3491">
        <f>VLOOKUP(A3491,Pr_Base_LNEC!$A$4:$J$6971,6,FALSE)</f>
        <v>0</v>
      </c>
      <c r="K3491">
        <f>VLOOKUP(A3491,Pr_Base_LNEC!$A$4:$J$6971,7,FALSE)</f>
        <v>0</v>
      </c>
    </row>
    <row r="3492" spans="1:11" ht="14.5">
      <c r="A3492" s="20" t="s">
        <v>22853</v>
      </c>
      <c r="B3492" s="20">
        <v>40</v>
      </c>
      <c r="C3492" s="20">
        <v>10</v>
      </c>
      <c r="D3492" s="20">
        <v>77</v>
      </c>
      <c r="E3492" s="20">
        <v>66</v>
      </c>
      <c r="F3492" s="20" t="s">
        <v>22854</v>
      </c>
      <c r="G3492" s="20" t="s">
        <v>22855</v>
      </c>
      <c r="H3492" s="24"/>
      <c r="I3492" s="24" t="str">
        <f ca="1">IFERROR(__xludf.DUMMYFUNCTION("GOOGLETRANSLATE(F3492,""en"",""pt"")"),"sinais de proibição")</f>
        <v>sinais de proibição</v>
      </c>
      <c r="J3492">
        <f>VLOOKUP(A3492,Pr_Base_LNEC!$A$4:$J$6971,6,FALSE)</f>
        <v>0</v>
      </c>
      <c r="K3492">
        <f>VLOOKUP(A3492,Pr_Base_LNEC!$A$4:$J$6971,7,FALSE)</f>
        <v>0</v>
      </c>
    </row>
    <row r="3493" spans="1:11" ht="14.5">
      <c r="A3493" s="20" t="s">
        <v>22856</v>
      </c>
      <c r="B3493" s="20">
        <v>40</v>
      </c>
      <c r="C3493" s="20">
        <v>10</v>
      </c>
      <c r="D3493" s="20">
        <v>77</v>
      </c>
      <c r="E3493" s="20">
        <v>69</v>
      </c>
      <c r="F3493" s="20" t="s">
        <v>22857</v>
      </c>
      <c r="G3493" s="24"/>
      <c r="H3493" s="24"/>
      <c r="I3493" s="24" t="str">
        <f ca="1">IFERROR(__xludf.DUMMYFUNCTION("GOOGLETRANSLATE(F3493,""en"",""pt"")"),"acesso público escada elevador sinais")</f>
        <v>acesso público escada elevador sinais</v>
      </c>
      <c r="J3493">
        <f>VLOOKUP(A3493,Pr_Base_LNEC!$A$4:$J$6971,6,FALSE)</f>
        <v>0</v>
      </c>
      <c r="K3493">
        <f>VLOOKUP(A3493,Pr_Base_LNEC!$A$4:$J$6971,7,FALSE)</f>
        <v>0</v>
      </c>
    </row>
    <row r="3494" spans="1:11" ht="14.5">
      <c r="A3494" s="20" t="s">
        <v>22858</v>
      </c>
      <c r="B3494" s="20">
        <v>40</v>
      </c>
      <c r="C3494" s="20">
        <v>10</v>
      </c>
      <c r="D3494" s="20">
        <v>77</v>
      </c>
      <c r="E3494" s="20">
        <v>70</v>
      </c>
      <c r="F3494" s="20" t="s">
        <v>22859</v>
      </c>
      <c r="G3494" s="20" t="s">
        <v>22860</v>
      </c>
      <c r="H3494" s="24"/>
      <c r="I3494" s="24" t="str">
        <f ca="1">IFERROR(__xludf.DUMMYFUNCTION("GOOGLETRANSLATE(F3494,""en"",""pt"")"),"sinais ferroviários")</f>
        <v>sinais ferroviários</v>
      </c>
      <c r="J3494">
        <f>VLOOKUP(A3494,Pr_Base_LNEC!$A$4:$J$6971,6,FALSE)</f>
        <v>0</v>
      </c>
      <c r="K3494">
        <f>VLOOKUP(A3494,Pr_Base_LNEC!$A$4:$J$6971,7,FALSE)</f>
        <v>0</v>
      </c>
    </row>
    <row r="3495" spans="1:11" ht="14.5">
      <c r="A3495" s="20" t="s">
        <v>22861</v>
      </c>
      <c r="B3495" s="20">
        <v>40</v>
      </c>
      <c r="C3495" s="20">
        <v>10</v>
      </c>
      <c r="D3495" s="20">
        <v>77</v>
      </c>
      <c r="E3495" s="20">
        <v>72</v>
      </c>
      <c r="F3495" s="20" t="s">
        <v>22862</v>
      </c>
      <c r="G3495" s="20" t="s">
        <v>22863</v>
      </c>
      <c r="H3495" s="24"/>
      <c r="I3495" s="24" t="str">
        <f ca="1">IFERROR(__xludf.DUMMYFUNCTION("GOOGLETRANSLATE(F3495,""en"",""pt"")"),"sinais de trânsito")</f>
        <v>sinais de trânsito</v>
      </c>
      <c r="J3495">
        <f>VLOOKUP(A3495,Pr_Base_LNEC!$A$4:$J$6971,6,FALSE)</f>
        <v>0</v>
      </c>
      <c r="K3495">
        <f>VLOOKUP(A3495,Pr_Base_LNEC!$A$4:$J$6971,7,FALSE)</f>
        <v>0</v>
      </c>
    </row>
    <row r="3496" spans="1:11" ht="14.5">
      <c r="A3496" s="20" t="s">
        <v>22864</v>
      </c>
      <c r="B3496" s="20">
        <v>40</v>
      </c>
      <c r="C3496" s="20">
        <v>10</v>
      </c>
      <c r="D3496" s="20">
        <v>77</v>
      </c>
      <c r="E3496" s="20">
        <v>74</v>
      </c>
      <c r="F3496" s="20" t="s">
        <v>22865</v>
      </c>
      <c r="G3496" s="24"/>
      <c r="H3496" s="24"/>
      <c r="I3496" s="24" t="str">
        <f ca="1">IFERROR(__xludf.DUMMYFUNCTION("GOOGLETRANSLATE(F3496,""en"",""pt"")"),"sinais equipamento de segurança")</f>
        <v>sinais equipamento de segurança</v>
      </c>
      <c r="J3496" t="e">
        <f>VLOOKUP(A3496,Pr_Base_LNEC!$A$4:$J$6971,6,FALSE)</f>
        <v>#N/A</v>
      </c>
      <c r="K3496" t="e">
        <f>VLOOKUP(A3496,Pr_Base_LNEC!$A$4:$J$6971,7,FALSE)</f>
        <v>#N/A</v>
      </c>
    </row>
    <row r="3497" spans="1:11" ht="14.5">
      <c r="A3497" s="20" t="s">
        <v>22866</v>
      </c>
      <c r="B3497" s="20">
        <v>40</v>
      </c>
      <c r="C3497" s="20">
        <v>10</v>
      </c>
      <c r="D3497" s="20">
        <v>77</v>
      </c>
      <c r="E3497" s="20">
        <v>75</v>
      </c>
      <c r="F3497" s="20" t="s">
        <v>22867</v>
      </c>
      <c r="G3497" s="20" t="s">
        <v>22868</v>
      </c>
      <c r="H3497" s="24"/>
      <c r="I3497" s="24" t="str">
        <f ca="1">IFERROR(__xludf.DUMMYFUNCTION("GOOGLETRANSLATE(F3497,""en"",""pt"")"),"sinais condição segura")</f>
        <v>sinais condição segura</v>
      </c>
      <c r="J3497">
        <f>VLOOKUP(A3497,Pr_Base_LNEC!$A$4:$J$6971,6,FALSE)</f>
        <v>0</v>
      </c>
      <c r="K3497">
        <f>VLOOKUP(A3497,Pr_Base_LNEC!$A$4:$J$6971,7,FALSE)</f>
        <v>0</v>
      </c>
    </row>
    <row r="3498" spans="1:11" ht="14.5">
      <c r="A3498" s="20" t="s">
        <v>22869</v>
      </c>
      <c r="B3498" s="20">
        <v>40</v>
      </c>
      <c r="C3498" s="20">
        <v>10</v>
      </c>
      <c r="D3498" s="20">
        <v>77</v>
      </c>
      <c r="E3498" s="20">
        <v>76</v>
      </c>
      <c r="F3498" s="20" t="s">
        <v>22870</v>
      </c>
      <c r="G3498" s="24"/>
      <c r="H3498" s="24"/>
      <c r="I3498" s="24" t="str">
        <f ca="1">IFERROR(__xludf.DUMMYFUNCTION("GOOGLETRANSLATE(F3498,""en"",""pt"")"),"Sinais de Segurança")</f>
        <v>Sinais de Segurança</v>
      </c>
      <c r="J3498">
        <f>VLOOKUP(A3498,Pr_Base_LNEC!$A$4:$J$6971,6,FALSE)</f>
        <v>0</v>
      </c>
      <c r="K3498">
        <f>VLOOKUP(A3498,Pr_Base_LNEC!$A$4:$J$6971,7,FALSE)</f>
        <v>0</v>
      </c>
    </row>
    <row r="3499" spans="1:11" ht="14.5">
      <c r="A3499" s="20" t="s">
        <v>22871</v>
      </c>
      <c r="B3499" s="20">
        <v>40</v>
      </c>
      <c r="C3499" s="20">
        <v>10</v>
      </c>
      <c r="D3499" s="20">
        <v>77</v>
      </c>
      <c r="E3499" s="20">
        <v>77</v>
      </c>
      <c r="F3499" s="20" t="s">
        <v>22872</v>
      </c>
      <c r="G3499" s="20" t="s">
        <v>22873</v>
      </c>
      <c r="H3499" s="24"/>
      <c r="I3499" s="24" t="str">
        <f ca="1">IFERROR(__xludf.DUMMYFUNCTION("GOOGLETRANSLATE(F3499,""en"",""pt"")"),"Placas de sinal")</f>
        <v>Placas de sinal</v>
      </c>
      <c r="J3499">
        <f>VLOOKUP(A3499,Pr_Base_LNEC!$A$4:$J$6971,6,FALSE)</f>
        <v>0</v>
      </c>
      <c r="K3499">
        <f>VLOOKUP(A3499,Pr_Base_LNEC!$A$4:$J$6971,7,FALSE)</f>
        <v>0</v>
      </c>
    </row>
    <row r="3500" spans="1:11" ht="14.5">
      <c r="A3500" s="20" t="s">
        <v>22874</v>
      </c>
      <c r="B3500" s="20">
        <v>40</v>
      </c>
      <c r="C3500" s="20">
        <v>10</v>
      </c>
      <c r="D3500" s="20">
        <v>77</v>
      </c>
      <c r="E3500" s="20">
        <v>79</v>
      </c>
      <c r="F3500" s="20" t="s">
        <v>22875</v>
      </c>
      <c r="G3500" s="20" t="s">
        <v>22876</v>
      </c>
      <c r="H3500" s="24"/>
      <c r="I3500" s="24" t="str">
        <f ca="1">IFERROR(__xludf.DUMMYFUNCTION("GOOGLETRANSLATE(F3500,""en"",""pt"")"),"Deslizando sinais de capa")</f>
        <v>Deslizando sinais de capa</v>
      </c>
      <c r="J3500">
        <f>VLOOKUP(A3500,Pr_Base_LNEC!$A$4:$J$6971,6,FALSE)</f>
        <v>0</v>
      </c>
      <c r="K3500">
        <f>VLOOKUP(A3500,Pr_Base_LNEC!$A$4:$J$6971,7,FALSE)</f>
        <v>0</v>
      </c>
    </row>
    <row r="3501" spans="1:11" ht="14.5">
      <c r="A3501" s="20" t="s">
        <v>22877</v>
      </c>
      <c r="B3501" s="20">
        <v>40</v>
      </c>
      <c r="C3501" s="20">
        <v>10</v>
      </c>
      <c r="D3501" s="20">
        <v>77</v>
      </c>
      <c r="E3501" s="20">
        <v>82</v>
      </c>
      <c r="F3501" s="20" t="s">
        <v>22878</v>
      </c>
      <c r="G3501" s="24"/>
      <c r="H3501" s="24"/>
      <c r="I3501" s="24" t="str">
        <f ca="1">IFERROR(__xludf.DUMMYFUNCTION("GOOGLETRANSLATE(F3501,""en"",""pt"")"),"sinais elevador da escada")</f>
        <v>sinais elevador da escada</v>
      </c>
      <c r="J3501">
        <f>VLOOKUP(A3501,Pr_Base_LNEC!$A$4:$J$6971,6,FALSE)</f>
        <v>0</v>
      </c>
      <c r="K3501">
        <f>VLOOKUP(A3501,Pr_Base_LNEC!$A$4:$J$6971,7,FALSE)</f>
        <v>0</v>
      </c>
    </row>
    <row r="3502" spans="1:11" ht="14.5">
      <c r="A3502" s="20" t="s">
        <v>22879</v>
      </c>
      <c r="B3502" s="20">
        <v>40</v>
      </c>
      <c r="C3502" s="20">
        <v>10</v>
      </c>
      <c r="D3502" s="20">
        <v>77</v>
      </c>
      <c r="E3502" s="20">
        <v>84</v>
      </c>
      <c r="F3502" s="20" t="s">
        <v>22880</v>
      </c>
      <c r="G3502" s="24"/>
      <c r="H3502" s="24"/>
      <c r="I3502" s="24" t="str">
        <f ca="1">IFERROR(__xludf.DUMMYFUNCTION("GOOGLETRANSLATE(F3502,""en"",""pt"")"),"placas sinal de rua")</f>
        <v>placas sinal de rua</v>
      </c>
      <c r="J3502">
        <f>VLOOKUP(A3502,Pr_Base_LNEC!$A$4:$J$6971,6,FALSE)</f>
        <v>0</v>
      </c>
      <c r="K3502">
        <f>VLOOKUP(A3502,Pr_Base_LNEC!$A$4:$J$6971,7,FALSE)</f>
        <v>0</v>
      </c>
    </row>
    <row r="3503" spans="1:11" ht="14.5">
      <c r="A3503" s="20" t="s">
        <v>22881</v>
      </c>
      <c r="B3503" s="20">
        <v>40</v>
      </c>
      <c r="C3503" s="20">
        <v>10</v>
      </c>
      <c r="D3503" s="20">
        <v>77</v>
      </c>
      <c r="E3503" s="20">
        <v>85</v>
      </c>
      <c r="F3503" s="20" t="s">
        <v>22882</v>
      </c>
      <c r="G3503" s="24"/>
      <c r="H3503" s="24"/>
      <c r="I3503" s="24" t="str">
        <f ca="1">IFERROR(__xludf.DUMMYFUNCTION("GOOGLETRANSLATE(F3503,""en"",""pt"")"),"Sinais de transito")</f>
        <v>Sinais de transito</v>
      </c>
      <c r="J3503">
        <f>VLOOKUP(A3503,Pr_Base_LNEC!$A$4:$J$6971,6,FALSE)</f>
        <v>0</v>
      </c>
      <c r="K3503">
        <f>VLOOKUP(A3503,Pr_Base_LNEC!$A$4:$J$6971,7,FALSE)</f>
        <v>0</v>
      </c>
    </row>
    <row r="3504" spans="1:11" ht="14.5">
      <c r="A3504" s="20" t="s">
        <v>22883</v>
      </c>
      <c r="B3504" s="20">
        <v>40</v>
      </c>
      <c r="C3504" s="20">
        <v>10</v>
      </c>
      <c r="D3504" s="20">
        <v>77</v>
      </c>
      <c r="E3504" s="20">
        <v>86</v>
      </c>
      <c r="F3504" s="20" t="s">
        <v>22884</v>
      </c>
      <c r="G3504" s="24"/>
      <c r="H3504" s="24"/>
      <c r="I3504" s="24" t="str">
        <f ca="1">IFERROR(__xludf.DUMMYFUNCTION("GOOGLETRANSLATE(F3504,""en"",""pt"")"),"marcadores de pesquisa")</f>
        <v>marcadores de pesquisa</v>
      </c>
      <c r="J3504">
        <f>VLOOKUP(A3504,Pr_Base_LNEC!$A$4:$J$6971,6,FALSE)</f>
        <v>0</v>
      </c>
      <c r="K3504">
        <f>VLOOKUP(A3504,Pr_Base_LNEC!$A$4:$J$6971,7,FALSE)</f>
        <v>0</v>
      </c>
    </row>
    <row r="3505" spans="1:11" ht="14.5">
      <c r="A3505" s="20" t="s">
        <v>22885</v>
      </c>
      <c r="B3505" s="20">
        <v>40</v>
      </c>
      <c r="C3505" s="20">
        <v>10</v>
      </c>
      <c r="D3505" s="20">
        <v>77</v>
      </c>
      <c r="E3505" s="20">
        <v>88</v>
      </c>
      <c r="F3505" s="20" t="s">
        <v>22886</v>
      </c>
      <c r="G3505" s="24"/>
      <c r="H3505" s="24"/>
      <c r="I3505" s="24" t="str">
        <f ca="1">IFERROR(__xludf.DUMMYFUNCTION("GOOGLETRANSLATE(F3505,""en"",""pt"")"),"Toposcopes")</f>
        <v>Toposcopes</v>
      </c>
      <c r="J3505">
        <f>VLOOKUP(A3505,Pr_Base_LNEC!$A$4:$J$6971,6,FALSE)</f>
        <v>0</v>
      </c>
      <c r="K3505">
        <f>VLOOKUP(A3505,Pr_Base_LNEC!$A$4:$J$6971,7,FALSE)</f>
        <v>0</v>
      </c>
    </row>
    <row r="3506" spans="1:11" ht="14.5">
      <c r="A3506" s="20" t="s">
        <v>22887</v>
      </c>
      <c r="B3506" s="20">
        <v>40</v>
      </c>
      <c r="C3506" s="20">
        <v>10</v>
      </c>
      <c r="D3506" s="20">
        <v>77</v>
      </c>
      <c r="E3506" s="20">
        <v>89</v>
      </c>
      <c r="F3506" s="20" t="s">
        <v>22888</v>
      </c>
      <c r="G3506" s="24"/>
      <c r="H3506" s="24"/>
      <c r="I3506" s="24" t="str">
        <f ca="1">IFERROR(__xludf.DUMMYFUNCTION("GOOGLETRANSLATE(F3506,""en"",""pt"")"),"Cones de tráfego")</f>
        <v>Cones de tráfego</v>
      </c>
      <c r="J3506">
        <f>VLOOKUP(A3506,Pr_Base_LNEC!$A$4:$J$6971,6,FALSE)</f>
        <v>0</v>
      </c>
      <c r="K3506">
        <f>VLOOKUP(A3506,Pr_Base_LNEC!$A$4:$J$6971,7,FALSE)</f>
        <v>0</v>
      </c>
    </row>
    <row r="3507" spans="1:11" ht="14.5">
      <c r="A3507" s="20" t="s">
        <v>22889</v>
      </c>
      <c r="B3507" s="20">
        <v>40</v>
      </c>
      <c r="C3507" s="20">
        <v>10</v>
      </c>
      <c r="D3507" s="20">
        <v>77</v>
      </c>
      <c r="E3507" s="20">
        <v>90</v>
      </c>
      <c r="F3507" s="20" t="s">
        <v>22890</v>
      </c>
      <c r="G3507" s="20" t="s">
        <v>22891</v>
      </c>
      <c r="H3507" s="24"/>
      <c r="I3507" s="24" t="str">
        <f ca="1">IFERROR(__xludf.DUMMYFUNCTION("GOOGLETRANSLATE(F3507,""en"",""pt"")"),"cilindros de tráfego")</f>
        <v>cilindros de tráfego</v>
      </c>
      <c r="J3507">
        <f>VLOOKUP(A3507,Pr_Base_LNEC!$A$4:$J$6971,6,FALSE)</f>
        <v>0</v>
      </c>
      <c r="K3507">
        <f>VLOOKUP(A3507,Pr_Base_LNEC!$A$4:$J$6971,7,FALSE)</f>
        <v>0</v>
      </c>
    </row>
    <row r="3508" spans="1:11" ht="14.5">
      <c r="A3508" s="20" t="s">
        <v>22892</v>
      </c>
      <c r="B3508" s="20">
        <v>40</v>
      </c>
      <c r="C3508" s="20">
        <v>10</v>
      </c>
      <c r="D3508" s="20">
        <v>77</v>
      </c>
      <c r="E3508" s="20">
        <v>92</v>
      </c>
      <c r="F3508" s="20" t="s">
        <v>22893</v>
      </c>
      <c r="G3508" s="24"/>
      <c r="H3508" s="24"/>
      <c r="I3508" s="24" t="str">
        <f ca="1">IFERROR(__xludf.DUMMYFUNCTION("GOOGLETRANSLATE(F3508,""en"",""pt"")"),"Painéis de mensagens variáveis")</f>
        <v>Painéis de mensagens variáveis</v>
      </c>
      <c r="J3508" t="e">
        <f>VLOOKUP(A3508,Pr_Base_LNEC!$A$4:$J$6971,6,FALSE)</f>
        <v>#N/A</v>
      </c>
      <c r="K3508" t="e">
        <f>VLOOKUP(A3508,Pr_Base_LNEC!$A$4:$J$6971,7,FALSE)</f>
        <v>#N/A</v>
      </c>
    </row>
    <row r="3509" spans="1:11" ht="14.5">
      <c r="A3509" s="20" t="s">
        <v>22894</v>
      </c>
      <c r="B3509" s="20">
        <v>40</v>
      </c>
      <c r="C3509" s="20">
        <v>10</v>
      </c>
      <c r="D3509" s="20">
        <v>77</v>
      </c>
      <c r="E3509" s="20">
        <v>94</v>
      </c>
      <c r="F3509" s="20" t="s">
        <v>22895</v>
      </c>
      <c r="G3509" s="24"/>
      <c r="H3509" s="24"/>
      <c r="I3509" s="24" t="str">
        <f ca="1">IFERROR(__xludf.DUMMYFUNCTION("GOOGLETRANSLATE(F3509,""en"",""pt"")"),"marcadores verge")</f>
        <v>marcadores verge</v>
      </c>
      <c r="J3509">
        <f>VLOOKUP(A3509,Pr_Base_LNEC!$A$4:$J$6971,6,FALSE)</f>
        <v>0</v>
      </c>
      <c r="K3509">
        <f>VLOOKUP(A3509,Pr_Base_LNEC!$A$4:$J$6971,7,FALSE)</f>
        <v>0</v>
      </c>
    </row>
    <row r="3510" spans="1:11" ht="14.5">
      <c r="A3510" s="20" t="s">
        <v>22896</v>
      </c>
      <c r="B3510" s="20">
        <v>40</v>
      </c>
      <c r="C3510" s="20">
        <v>10</v>
      </c>
      <c r="D3510" s="20">
        <v>77</v>
      </c>
      <c r="E3510" s="20">
        <v>96</v>
      </c>
      <c r="F3510" s="20" t="s">
        <v>22897</v>
      </c>
      <c r="G3510" s="20" t="s">
        <v>22898</v>
      </c>
      <c r="H3510" s="24"/>
      <c r="I3510" s="24" t="str">
        <f ca="1">IFERROR(__xludf.DUMMYFUNCTION("GOOGLETRANSLATE(F3510,""en"",""pt"")"),"marcadores de alerta")</f>
        <v>marcadores de alerta</v>
      </c>
      <c r="J3510">
        <f>VLOOKUP(A3510,Pr_Base_LNEC!$A$4:$J$6971,6,FALSE)</f>
        <v>0</v>
      </c>
      <c r="K3510">
        <f>VLOOKUP(A3510,Pr_Base_LNEC!$A$4:$J$6971,7,FALSE)</f>
        <v>0</v>
      </c>
    </row>
    <row r="3511" spans="1:11" ht="14.5">
      <c r="A3511" s="20" t="s">
        <v>22899</v>
      </c>
      <c r="B3511" s="20">
        <v>40</v>
      </c>
      <c r="C3511" s="20">
        <v>10</v>
      </c>
      <c r="D3511" s="20">
        <v>77</v>
      </c>
      <c r="E3511" s="20">
        <v>97</v>
      </c>
      <c r="F3511" s="20" t="s">
        <v>22900</v>
      </c>
      <c r="G3511" s="20" t="s">
        <v>22901</v>
      </c>
      <c r="H3511" s="24"/>
      <c r="I3511" s="24" t="str">
        <f ca="1">IFERROR(__xludf.DUMMYFUNCTION("GOOGLETRANSLATE(F3511,""en"",""pt"")"),"Sinais de aviso")</f>
        <v>Sinais de aviso</v>
      </c>
      <c r="J3511">
        <f>VLOOKUP(A3511,Pr_Base_LNEC!$A$4:$J$6971,6,FALSE)</f>
        <v>0</v>
      </c>
      <c r="K3511">
        <f>VLOOKUP(A3511,Pr_Base_LNEC!$A$4:$J$6971,7,FALSE)</f>
        <v>0</v>
      </c>
    </row>
    <row r="3512" spans="1:11" ht="14.5">
      <c r="A3512" s="20" t="s">
        <v>22902</v>
      </c>
      <c r="B3512" s="20">
        <v>40</v>
      </c>
      <c r="C3512" s="20">
        <v>10</v>
      </c>
      <c r="D3512" s="20">
        <v>77</v>
      </c>
      <c r="E3512" s="20">
        <v>98</v>
      </c>
      <c r="F3512" s="20" t="s">
        <v>22903</v>
      </c>
      <c r="G3512" s="20" t="s">
        <v>22904</v>
      </c>
      <c r="H3512" s="24"/>
      <c r="I3512" s="24" t="str">
        <f ca="1">IFERROR(__xludf.DUMMYFUNCTION("GOOGLETRANSLATE(F3512,""en"",""pt"")"),"discos Waymarker")</f>
        <v>discos Waymarker</v>
      </c>
      <c r="J3512">
        <f>VLOOKUP(A3512,Pr_Base_LNEC!$A$4:$J$6971,6,FALSE)</f>
        <v>0</v>
      </c>
      <c r="K3512">
        <f>VLOOKUP(A3512,Pr_Base_LNEC!$A$4:$J$6971,7,FALSE)</f>
        <v>0</v>
      </c>
    </row>
    <row r="3513" spans="1:11" ht="14.5">
      <c r="A3513" s="20" t="s">
        <v>22905</v>
      </c>
      <c r="B3513" s="20">
        <v>40</v>
      </c>
      <c r="C3513" s="20">
        <v>10</v>
      </c>
      <c r="D3513" s="20">
        <v>77</v>
      </c>
      <c r="E3513" s="20">
        <v>99</v>
      </c>
      <c r="F3513" s="20" t="s">
        <v>22906</v>
      </c>
      <c r="G3513" s="20" t="s">
        <v>22907</v>
      </c>
      <c r="H3513" s="24"/>
      <c r="I3513" s="24" t="str">
        <f ca="1">IFERROR(__xludf.DUMMYFUNCTION("GOOGLETRANSLATE(F3513,""en"",""pt"")"),"mensagens Waymarker")</f>
        <v>mensagens Waymarker</v>
      </c>
      <c r="J3513">
        <f>VLOOKUP(A3513,Pr_Base_LNEC!$A$4:$J$6971,6,FALSE)</f>
        <v>0</v>
      </c>
      <c r="K3513">
        <f>VLOOKUP(A3513,Pr_Base_LNEC!$A$4:$J$6971,7,FALSE)</f>
        <v>0</v>
      </c>
    </row>
    <row r="3514" spans="1:11" ht="14.5">
      <c r="A3514" s="20" t="s">
        <v>22908</v>
      </c>
      <c r="B3514" s="20">
        <v>40</v>
      </c>
      <c r="C3514" s="20">
        <v>10</v>
      </c>
      <c r="D3514" s="20">
        <v>90</v>
      </c>
      <c r="E3514" s="24"/>
      <c r="F3514" s="20" t="s">
        <v>22909</v>
      </c>
      <c r="G3514" s="24"/>
      <c r="H3514" s="24"/>
      <c r="I3514" s="24" t="str">
        <f ca="1">IFERROR(__xludf.DUMMYFUNCTION("GOOGLETRANSLATE(F3514,""en"",""pt"")"),"sinais de ajuda de água e de navegação")</f>
        <v>sinais de ajuda de água e de navegação</v>
      </c>
      <c r="J3514">
        <f>VLOOKUP(A3514,Pr_Base_LNEC!$A$4:$J$6971,6,FALSE)</f>
        <v>0</v>
      </c>
      <c r="K3514">
        <f>VLOOKUP(A3514,Pr_Base_LNEC!$A$4:$J$6971,7,FALSE)</f>
        <v>0</v>
      </c>
    </row>
    <row r="3515" spans="1:11" ht="14.5">
      <c r="A3515" s="20" t="s">
        <v>22910</v>
      </c>
      <c r="B3515" s="20">
        <v>40</v>
      </c>
      <c r="C3515" s="20">
        <v>10</v>
      </c>
      <c r="D3515" s="20">
        <v>90</v>
      </c>
      <c r="E3515" s="20">
        <v>7</v>
      </c>
      <c r="F3515" s="20" t="s">
        <v>22911</v>
      </c>
      <c r="G3515" s="24"/>
      <c r="H3515" s="24"/>
      <c r="I3515" s="24" t="str">
        <f ca="1">IFERROR(__xludf.DUMMYFUNCTION("GOOGLETRANSLATE(F3515,""en"",""pt"")"),"beacons")</f>
        <v>beacons</v>
      </c>
      <c r="J3515">
        <f>VLOOKUP(A3515,Pr_Base_LNEC!$A$4:$J$6971,6,FALSE)</f>
        <v>0</v>
      </c>
      <c r="K3515">
        <f>VLOOKUP(A3515,Pr_Base_LNEC!$A$4:$J$6971,7,FALSE)</f>
        <v>0</v>
      </c>
    </row>
    <row r="3516" spans="1:11" ht="14.5">
      <c r="A3516" s="20" t="s">
        <v>22912</v>
      </c>
      <c r="B3516" s="20">
        <v>40</v>
      </c>
      <c r="C3516" s="20">
        <v>10</v>
      </c>
      <c r="D3516" s="20">
        <v>90</v>
      </c>
      <c r="E3516" s="20">
        <v>10</v>
      </c>
      <c r="F3516" s="20" t="s">
        <v>22913</v>
      </c>
      <c r="G3516" s="24"/>
      <c r="H3516" s="24"/>
      <c r="I3516" s="24" t="str">
        <f ca="1">IFERROR(__xludf.DUMMYFUNCTION("GOOGLETRANSLATE(F3516,""en"",""pt"")"),"bóias")</f>
        <v>bóias</v>
      </c>
      <c r="J3516">
        <f>VLOOKUP(A3516,Pr_Base_LNEC!$A$4:$J$6971,6,FALSE)</f>
        <v>0</v>
      </c>
      <c r="K3516">
        <f>VLOOKUP(A3516,Pr_Base_LNEC!$A$4:$J$6971,7,FALSE)</f>
        <v>0</v>
      </c>
    </row>
    <row r="3517" spans="1:11" ht="14.5">
      <c r="A3517" s="20" t="s">
        <v>22914</v>
      </c>
      <c r="B3517" s="20">
        <v>40</v>
      </c>
      <c r="C3517" s="20">
        <v>10</v>
      </c>
      <c r="D3517" s="20">
        <v>90</v>
      </c>
      <c r="E3517" s="20">
        <v>31</v>
      </c>
      <c r="F3517" s="20" t="s">
        <v>22915</v>
      </c>
      <c r="G3517" s="24"/>
      <c r="H3517" s="24"/>
      <c r="I3517" s="24" t="str">
        <f ca="1">IFERROR(__xludf.DUMMYFUNCTION("GOOGLETRANSLATE(F3517,""en"",""pt"")"),"sinais de nevoeiro")</f>
        <v>sinais de nevoeiro</v>
      </c>
      <c r="J3517">
        <f>VLOOKUP(A3517,Pr_Base_LNEC!$A$4:$J$6971,6,FALSE)</f>
        <v>0</v>
      </c>
      <c r="K3517">
        <f>VLOOKUP(A3517,Pr_Base_LNEC!$A$4:$J$6971,7,FALSE)</f>
        <v>0</v>
      </c>
    </row>
    <row r="3518" spans="1:11" ht="14.5">
      <c r="A3518" s="20" t="s">
        <v>22916</v>
      </c>
      <c r="B3518" s="20">
        <v>40</v>
      </c>
      <c r="C3518" s="20">
        <v>10</v>
      </c>
      <c r="D3518" s="20">
        <v>90</v>
      </c>
      <c r="E3518" s="20">
        <v>50</v>
      </c>
      <c r="F3518" s="20" t="s">
        <v>22917</v>
      </c>
      <c r="G3518" s="24"/>
      <c r="H3518" s="24"/>
      <c r="I3518" s="24" t="str">
        <f ca="1">IFERROR(__xludf.DUMMYFUNCTION("GOOGLETRANSLATE(F3518,""en"",""pt"")"),"sinais de trânsito marinhos")</f>
        <v>sinais de trânsito marinhos</v>
      </c>
      <c r="J3518">
        <f>VLOOKUP(A3518,Pr_Base_LNEC!$A$4:$J$6971,6,FALSE)</f>
        <v>0</v>
      </c>
      <c r="K3518">
        <f>VLOOKUP(A3518,Pr_Base_LNEC!$A$4:$J$6971,7,FALSE)</f>
        <v>0</v>
      </c>
    </row>
    <row r="3519" spans="1:11" ht="14.5">
      <c r="A3519" s="20" t="s">
        <v>22918</v>
      </c>
      <c r="B3519" s="20">
        <v>40</v>
      </c>
      <c r="C3519" s="20">
        <v>10</v>
      </c>
      <c r="D3519" s="20">
        <v>90</v>
      </c>
      <c r="E3519" s="20">
        <v>56</v>
      </c>
      <c r="F3519" s="20" t="s">
        <v>22919</v>
      </c>
      <c r="G3519" s="24"/>
      <c r="H3519" s="24"/>
      <c r="I3519" s="24" t="str">
        <f ca="1">IFERROR(__xludf.DUMMYFUNCTION("GOOGLETRANSLATE(F3519,""en"",""pt"")"),"sinais de navegação")</f>
        <v>sinais de navegação</v>
      </c>
      <c r="J3519" t="e">
        <f>VLOOKUP(A3519,Pr_Base_LNEC!$A$4:$J$6971,6,FALSE)</f>
        <v>#N/A</v>
      </c>
      <c r="K3519" t="e">
        <f>VLOOKUP(A3519,Pr_Base_LNEC!$A$4:$J$6971,7,FALSE)</f>
        <v>#N/A</v>
      </c>
    </row>
    <row r="3520" spans="1:11" ht="14.5">
      <c r="A3520" s="20" t="s">
        <v>22920</v>
      </c>
      <c r="B3520" s="20">
        <v>40</v>
      </c>
      <c r="C3520" s="20">
        <v>10</v>
      </c>
      <c r="D3520" s="20">
        <v>96</v>
      </c>
      <c r="E3520" s="24"/>
      <c r="F3520" s="20" t="s">
        <v>22921</v>
      </c>
      <c r="G3520" s="24"/>
      <c r="H3520" s="24"/>
      <c r="I3520" s="24" t="str">
        <f ca="1">IFERROR(__xludf.DUMMYFUNCTION("GOOGLETRANSLATE(F3520,""en"",""pt"")"),"produtos indicador de vento")</f>
        <v>produtos indicador de vento</v>
      </c>
      <c r="J3520">
        <f>VLOOKUP(A3520,Pr_Base_LNEC!$A$4:$J$6971,6,FALSE)</f>
        <v>0</v>
      </c>
      <c r="K3520">
        <f>VLOOKUP(A3520,Pr_Base_LNEC!$A$4:$J$6971,7,FALSE)</f>
        <v>0</v>
      </c>
    </row>
    <row r="3521" spans="1:11" ht="14.5">
      <c r="A3521" s="20" t="s">
        <v>22922</v>
      </c>
      <c r="B3521" s="20">
        <v>40</v>
      </c>
      <c r="C3521" s="20">
        <v>10</v>
      </c>
      <c r="D3521" s="20">
        <v>96</v>
      </c>
      <c r="E3521" s="20">
        <v>96</v>
      </c>
      <c r="F3521" s="20" t="s">
        <v>22923</v>
      </c>
      <c r="G3521" s="24"/>
      <c r="H3521" s="24"/>
      <c r="I3521" s="24" t="str">
        <f ca="1">IFERROR(__xludf.DUMMYFUNCTION("GOOGLETRANSLATE(F3521,""en"",""pt"")"),"weathervanes")</f>
        <v>weathervanes</v>
      </c>
      <c r="J3521">
        <f>VLOOKUP(A3521,Pr_Base_LNEC!$A$4:$J$6971,6,FALSE)</f>
        <v>0</v>
      </c>
      <c r="K3521">
        <f>VLOOKUP(A3521,Pr_Base_LNEC!$A$4:$J$6971,7,FALSE)</f>
        <v>0</v>
      </c>
    </row>
    <row r="3522" spans="1:11" ht="14.5">
      <c r="A3522" s="20" t="s">
        <v>22924</v>
      </c>
      <c r="B3522" s="20">
        <v>40</v>
      </c>
      <c r="C3522" s="20">
        <v>10</v>
      </c>
      <c r="D3522" s="20">
        <v>96</v>
      </c>
      <c r="E3522" s="20">
        <v>98</v>
      </c>
      <c r="F3522" s="20" t="s">
        <v>22925</v>
      </c>
      <c r="G3522" s="20" t="s">
        <v>22926</v>
      </c>
      <c r="H3522" s="24"/>
      <c r="I3522" s="24" t="str">
        <f ca="1">IFERROR(__xludf.DUMMYFUNCTION("GOOGLETRANSLATE(F3522,""en"",""pt"")"),"windsocks")</f>
        <v>windsocks</v>
      </c>
      <c r="J3522">
        <f>VLOOKUP(A3522,Pr_Base_LNEC!$A$4:$J$6971,6,FALSE)</f>
        <v>0</v>
      </c>
      <c r="K3522">
        <f>VLOOKUP(A3522,Pr_Base_LNEC!$A$4:$J$6971,7,FALSE)</f>
        <v>0</v>
      </c>
    </row>
    <row r="3523" spans="1:11" ht="14.5">
      <c r="A3523" s="20" t="s">
        <v>22927</v>
      </c>
      <c r="B3523" s="20">
        <v>40</v>
      </c>
      <c r="C3523" s="20">
        <v>20</v>
      </c>
      <c r="D3523" s="24"/>
      <c r="E3523" s="24"/>
      <c r="F3523" s="20" t="s">
        <v>22928</v>
      </c>
      <c r="G3523" s="24"/>
      <c r="H3523" s="24"/>
      <c r="I3523" s="24" t="str">
        <f ca="1">IFERROR(__xludf.DUMMYFUNCTION("GOOGLETRANSLATE(F3523,""en"",""pt"")"),"sanitários e acessórios")</f>
        <v>sanitários e acessórios</v>
      </c>
      <c r="J3523" t="str">
        <f>VLOOKUP(A3523,Pr_Base_LNEC!$A$4:$J$6971,6,FALSE)</f>
        <v>Acessórios Sanitários e outros Acessórios</v>
      </c>
      <c r="K3523">
        <f>VLOOKUP(A3523,Pr_Base_LNEC!$A$4:$J$6971,7,FALSE)</f>
        <v>0</v>
      </c>
    </row>
    <row r="3524" spans="1:11" ht="14.5">
      <c r="A3524" s="20" t="s">
        <v>22929</v>
      </c>
      <c r="B3524" s="20">
        <v>40</v>
      </c>
      <c r="C3524" s="20">
        <v>20</v>
      </c>
      <c r="D3524" s="20">
        <v>6</v>
      </c>
      <c r="E3524" s="24"/>
      <c r="F3524" s="20" t="s">
        <v>22930</v>
      </c>
      <c r="G3524" s="24"/>
      <c r="H3524" s="24"/>
      <c r="I3524" s="24" t="str">
        <f ca="1">IFERROR(__xludf.DUMMYFUNCTION("GOOGLETRANSLATE(F3524,""en"",""pt"")"),"acessórios de banho")</f>
        <v>acessórios de banho</v>
      </c>
      <c r="J3524">
        <f>VLOOKUP(A3524,Pr_Base_LNEC!$A$4:$J$6971,6,FALSE)</f>
        <v>0</v>
      </c>
      <c r="K3524">
        <f>VLOOKUP(A3524,Pr_Base_LNEC!$A$4:$J$6971,7,FALSE)</f>
        <v>0</v>
      </c>
    </row>
    <row r="3525" spans="1:11" ht="14.5">
      <c r="A3525" s="20" t="s">
        <v>22931</v>
      </c>
      <c r="B3525" s="20">
        <v>40</v>
      </c>
      <c r="C3525" s="20">
        <v>20</v>
      </c>
      <c r="D3525" s="20">
        <v>6</v>
      </c>
      <c r="E3525" s="20">
        <v>2</v>
      </c>
      <c r="F3525" s="20" t="s">
        <v>22932</v>
      </c>
      <c r="G3525" s="20" t="s">
        <v>22933</v>
      </c>
      <c r="H3525" s="24"/>
      <c r="I3525" s="24" t="str">
        <f ca="1">IFERROR(__xludf.DUMMYFUNCTION("GOOGLETRANSLATE(F3525,""en"",""pt"")"),"banhos acessíveis")</f>
        <v>banhos acessíveis</v>
      </c>
      <c r="J3525">
        <f>VLOOKUP(A3525,Pr_Base_LNEC!$A$4:$J$6971,6,FALSE)</f>
        <v>0</v>
      </c>
      <c r="K3525">
        <f>VLOOKUP(A3525,Pr_Base_LNEC!$A$4:$J$6971,7,FALSE)</f>
        <v>0</v>
      </c>
    </row>
    <row r="3526" spans="1:11" ht="14.5">
      <c r="A3526" s="20" t="s">
        <v>22934</v>
      </c>
      <c r="B3526" s="20">
        <v>40</v>
      </c>
      <c r="C3526" s="20">
        <v>20</v>
      </c>
      <c r="D3526" s="20">
        <v>6</v>
      </c>
      <c r="E3526" s="20">
        <v>8</v>
      </c>
      <c r="F3526" s="20" t="s">
        <v>22935</v>
      </c>
      <c r="G3526" s="20" t="s">
        <v>22936</v>
      </c>
      <c r="H3526" s="24"/>
      <c r="I3526" s="24" t="str">
        <f ca="1">IFERROR(__xludf.DUMMYFUNCTION("GOOGLETRANSLATE(F3526,""en"",""pt"")"),"banhos")</f>
        <v>banhos</v>
      </c>
      <c r="J3526">
        <f>VLOOKUP(A3526,Pr_Base_LNEC!$A$4:$J$6971,6,FALSE)</f>
        <v>0</v>
      </c>
      <c r="K3526">
        <f>VLOOKUP(A3526,Pr_Base_LNEC!$A$4:$J$6971,7,FALSE)</f>
        <v>0</v>
      </c>
    </row>
    <row r="3527" spans="1:11" ht="14.5">
      <c r="A3527" s="20" t="s">
        <v>22937</v>
      </c>
      <c r="B3527" s="20">
        <v>40</v>
      </c>
      <c r="C3527" s="20">
        <v>20</v>
      </c>
      <c r="D3527" s="20">
        <v>6</v>
      </c>
      <c r="E3527" s="20">
        <v>11</v>
      </c>
      <c r="F3527" s="20" t="s">
        <v>22938</v>
      </c>
      <c r="G3527" s="20" t="s">
        <v>22939</v>
      </c>
      <c r="H3527" s="24"/>
      <c r="I3527" s="24" t="str">
        <f ca="1">IFERROR(__xludf.DUMMYFUNCTION("GOOGLETRANSLATE(F3527,""en"",""pt"")"),"bidês")</f>
        <v>bidês</v>
      </c>
      <c r="J3527">
        <f>VLOOKUP(A3527,Pr_Base_LNEC!$A$4:$J$6971,6,FALSE)</f>
        <v>0</v>
      </c>
      <c r="K3527">
        <f>VLOOKUP(A3527,Pr_Base_LNEC!$A$4:$J$6971,7,FALSE)</f>
        <v>0</v>
      </c>
    </row>
    <row r="3528" spans="1:11" ht="14.5">
      <c r="A3528" s="20" t="s">
        <v>22940</v>
      </c>
      <c r="B3528" s="20">
        <v>40</v>
      </c>
      <c r="C3528" s="20">
        <v>20</v>
      </c>
      <c r="D3528" s="20">
        <v>6</v>
      </c>
      <c r="E3528" s="20">
        <v>36</v>
      </c>
      <c r="F3528" s="20" t="s">
        <v>22941</v>
      </c>
      <c r="G3528" s="24"/>
      <c r="H3528" s="24"/>
      <c r="I3528" s="24" t="str">
        <f ca="1">IFERROR(__xludf.DUMMYFUNCTION("GOOGLETRANSLATE(F3528,""en"",""pt"")"),"Cuidados de saúde banhos gerais")</f>
        <v>Cuidados de saúde banhos gerais</v>
      </c>
      <c r="J3528">
        <f>VLOOKUP(A3528,Pr_Base_LNEC!$A$4:$J$6971,6,FALSE)</f>
        <v>0</v>
      </c>
      <c r="K3528">
        <f>VLOOKUP(A3528,Pr_Base_LNEC!$A$4:$J$6971,7,FALSE)</f>
        <v>0</v>
      </c>
    </row>
    <row r="3529" spans="1:11" ht="14.5">
      <c r="A3529" s="20" t="s">
        <v>22942</v>
      </c>
      <c r="B3529" s="20">
        <v>40</v>
      </c>
      <c r="C3529" s="20">
        <v>20</v>
      </c>
      <c r="D3529" s="20">
        <v>6</v>
      </c>
      <c r="E3529" s="20">
        <v>38</v>
      </c>
      <c r="F3529" s="20" t="s">
        <v>22943</v>
      </c>
      <c r="G3529" s="24"/>
      <c r="H3529" s="24"/>
      <c r="I3529" s="24" t="str">
        <f ca="1">IFERROR(__xludf.DUMMYFUNCTION("GOOGLETRANSLATE(F3529,""en"",""pt"")"),"bidês padrão hospitalares")</f>
        <v>bidês padrão hospitalares</v>
      </c>
      <c r="J3529">
        <f>VLOOKUP(A3529,Pr_Base_LNEC!$A$4:$J$6971,6,FALSE)</f>
        <v>0</v>
      </c>
      <c r="K3529">
        <f>VLOOKUP(A3529,Pr_Base_LNEC!$A$4:$J$6971,7,FALSE)</f>
        <v>0</v>
      </c>
    </row>
    <row r="3530" spans="1:11" ht="14.5">
      <c r="A3530" s="20" t="s">
        <v>22944</v>
      </c>
      <c r="B3530" s="20">
        <v>40</v>
      </c>
      <c r="C3530" s="20">
        <v>20</v>
      </c>
      <c r="D3530" s="20">
        <v>6</v>
      </c>
      <c r="E3530" s="20">
        <v>79</v>
      </c>
      <c r="F3530" s="20" t="s">
        <v>22945</v>
      </c>
      <c r="G3530" s="20" t="s">
        <v>22946</v>
      </c>
      <c r="H3530" s="24"/>
      <c r="I3530" s="24" t="str">
        <f ca="1">IFERROR(__xludf.DUMMYFUNCTION("GOOGLETRANSLATE(F3530,""en"",""pt"")"),"cercos do chuveiro")</f>
        <v>cercos do chuveiro</v>
      </c>
      <c r="J3530">
        <f>VLOOKUP(A3530,Pr_Base_LNEC!$A$4:$J$6971,6,FALSE)</f>
        <v>0</v>
      </c>
      <c r="K3530">
        <f>VLOOKUP(A3530,Pr_Base_LNEC!$A$4:$J$6971,7,FALSE)</f>
        <v>0</v>
      </c>
    </row>
    <row r="3531" spans="1:11" ht="14.5">
      <c r="A3531" s="20" t="s">
        <v>22947</v>
      </c>
      <c r="B3531" s="20">
        <v>40</v>
      </c>
      <c r="C3531" s="20">
        <v>20</v>
      </c>
      <c r="D3531" s="20">
        <v>6</v>
      </c>
      <c r="E3531" s="20">
        <v>83</v>
      </c>
      <c r="F3531" s="20" t="s">
        <v>22948</v>
      </c>
      <c r="G3531" s="20" t="s">
        <v>22949</v>
      </c>
      <c r="H3531" s="24"/>
      <c r="I3531" s="24" t="str">
        <f ca="1">IFERROR(__xludf.DUMMYFUNCTION("GOOGLETRANSLATE(F3531,""en"",""pt"")"),"assentos chuveiro")</f>
        <v>assentos chuveiro</v>
      </c>
      <c r="J3531">
        <f>VLOOKUP(A3531,Pr_Base_LNEC!$A$4:$J$6971,6,FALSE)</f>
        <v>0</v>
      </c>
      <c r="K3531">
        <f>VLOOKUP(A3531,Pr_Base_LNEC!$A$4:$J$6971,7,FALSE)</f>
        <v>0</v>
      </c>
    </row>
    <row r="3532" spans="1:11" ht="14.5">
      <c r="A3532" s="20" t="s">
        <v>22950</v>
      </c>
      <c r="B3532" s="20">
        <v>40</v>
      </c>
      <c r="C3532" s="20">
        <v>20</v>
      </c>
      <c r="D3532" s="20">
        <v>6</v>
      </c>
      <c r="E3532" s="20">
        <v>84</v>
      </c>
      <c r="F3532" s="20" t="s">
        <v>22951</v>
      </c>
      <c r="G3532" s="20" t="s">
        <v>22952</v>
      </c>
      <c r="H3532" s="24"/>
      <c r="I3532" s="24" t="str">
        <f ca="1">IFERROR(__xludf.DUMMYFUNCTION("GOOGLETRANSLATE(F3532,""en"",""pt"")"),"bases de duche")</f>
        <v>bases de duche</v>
      </c>
      <c r="J3532">
        <f>VLOOKUP(A3532,Pr_Base_LNEC!$A$4:$J$6971,6,FALSE)</f>
        <v>0</v>
      </c>
      <c r="K3532">
        <f>VLOOKUP(A3532,Pr_Base_LNEC!$A$4:$J$6971,7,FALSE)</f>
        <v>0</v>
      </c>
    </row>
    <row r="3533" spans="1:11" ht="14.5">
      <c r="A3533" s="20" t="s">
        <v>22953</v>
      </c>
      <c r="B3533" s="20">
        <v>40</v>
      </c>
      <c r="C3533" s="20">
        <v>20</v>
      </c>
      <c r="D3533" s="20">
        <v>6</v>
      </c>
      <c r="E3533" s="20">
        <v>99</v>
      </c>
      <c r="F3533" s="20" t="s">
        <v>22954</v>
      </c>
      <c r="G3533" s="20" t="s">
        <v>22955</v>
      </c>
      <c r="H3533" s="24"/>
      <c r="I3533" s="24" t="str">
        <f ca="1">IFERROR(__xludf.DUMMYFUNCTION("GOOGLETRANSLATE(F3533,""en"",""pt"")"),"banheiras de hidromassagem")</f>
        <v>banheiras de hidromassagem</v>
      </c>
      <c r="J3533">
        <f>VLOOKUP(A3533,Pr_Base_LNEC!$A$4:$J$6971,6,FALSE)</f>
        <v>0</v>
      </c>
      <c r="K3533">
        <f>VLOOKUP(A3533,Pr_Base_LNEC!$A$4:$J$6971,7,FALSE)</f>
        <v>0</v>
      </c>
    </row>
    <row r="3534" spans="1:11" ht="14.5">
      <c r="A3534" s="20" t="s">
        <v>22956</v>
      </c>
      <c r="B3534" s="20">
        <v>40</v>
      </c>
      <c r="C3534" s="20">
        <v>20</v>
      </c>
      <c r="D3534" s="20">
        <v>27</v>
      </c>
      <c r="E3534" s="24"/>
      <c r="F3534" s="20" t="s">
        <v>22957</v>
      </c>
      <c r="G3534" s="24"/>
      <c r="H3534" s="24"/>
      <c r="I3534" s="24" t="str">
        <f ca="1">IFERROR(__xludf.DUMMYFUNCTION("GOOGLETRANSLATE(F3534,""en"",""pt"")"),"chuveiro produtos de emergência")</f>
        <v>chuveiro produtos de emergência</v>
      </c>
      <c r="J3534" t="e">
        <f>VLOOKUP(A3534,Pr_Base_LNEC!$A$4:$J$6971,6,FALSE)</f>
        <v>#N/A</v>
      </c>
      <c r="K3534" t="e">
        <f>VLOOKUP(A3534,Pr_Base_LNEC!$A$4:$J$6971,7,FALSE)</f>
        <v>#N/A</v>
      </c>
    </row>
    <row r="3535" spans="1:11" ht="14.5">
      <c r="A3535" s="20" t="s">
        <v>22958</v>
      </c>
      <c r="B3535" s="20">
        <v>40</v>
      </c>
      <c r="C3535" s="20">
        <v>20</v>
      </c>
      <c r="D3535" s="20">
        <v>27</v>
      </c>
      <c r="E3535" s="20">
        <v>15</v>
      </c>
      <c r="F3535" s="20" t="s">
        <v>22959</v>
      </c>
      <c r="G3535" s="24"/>
      <c r="H3535" s="24"/>
      <c r="I3535" s="24" t="str">
        <f ca="1">IFERROR(__xludf.DUMMYFUNCTION("GOOGLETRANSLATE(F3535,""en"",""pt"")"),"estações de lavagem de chuveiro de emergência combinados e olho")</f>
        <v>estações de lavagem de chuveiro de emergência combinados e olho</v>
      </c>
      <c r="J3535" t="e">
        <f>VLOOKUP(A3535,Pr_Base_LNEC!$A$4:$J$6971,6,FALSE)</f>
        <v>#N/A</v>
      </c>
      <c r="K3535" t="e">
        <f>VLOOKUP(A3535,Pr_Base_LNEC!$A$4:$J$6971,7,FALSE)</f>
        <v>#N/A</v>
      </c>
    </row>
    <row r="3536" spans="1:11" ht="14.5">
      <c r="A3536" s="20" t="s">
        <v>22960</v>
      </c>
      <c r="B3536" s="20">
        <v>40</v>
      </c>
      <c r="C3536" s="20">
        <v>20</v>
      </c>
      <c r="D3536" s="20">
        <v>27</v>
      </c>
      <c r="E3536" s="20">
        <v>28</v>
      </c>
      <c r="F3536" s="20" t="s">
        <v>22961</v>
      </c>
      <c r="G3536" s="20" t="s">
        <v>22962</v>
      </c>
      <c r="H3536" s="24"/>
      <c r="I3536" s="24" t="str">
        <f ca="1">IFERROR(__xludf.DUMMYFUNCTION("GOOGLETRANSLATE(F3536,""en"",""pt"")"),"Lava-olhos")</f>
        <v>Lava-olhos</v>
      </c>
      <c r="J3536" t="e">
        <f>VLOOKUP(A3536,Pr_Base_LNEC!$A$4:$J$6971,6,FALSE)</f>
        <v>#N/A</v>
      </c>
      <c r="K3536" t="e">
        <f>VLOOKUP(A3536,Pr_Base_LNEC!$A$4:$J$6971,7,FALSE)</f>
        <v>#N/A</v>
      </c>
    </row>
    <row r="3537" spans="1:11" ht="14.5">
      <c r="A3537" s="20" t="s">
        <v>22963</v>
      </c>
      <c r="B3537" s="20">
        <v>40</v>
      </c>
      <c r="C3537" s="20">
        <v>20</v>
      </c>
      <c r="D3537" s="20">
        <v>27</v>
      </c>
      <c r="E3537" s="20">
        <v>75</v>
      </c>
      <c r="F3537" s="20" t="s">
        <v>22964</v>
      </c>
      <c r="G3537" s="24"/>
      <c r="H3537" s="24"/>
      <c r="I3537" s="24" t="str">
        <f ca="1">IFERROR(__xludf.DUMMYFUNCTION("GOOGLETRANSLATE(F3537,""en"",""pt"")"),"chuveiros de segurança")</f>
        <v>chuveiros de segurança</v>
      </c>
      <c r="J3537" t="e">
        <f>VLOOKUP(A3537,Pr_Base_LNEC!$A$4:$J$6971,6,FALSE)</f>
        <v>#N/A</v>
      </c>
      <c r="K3537" t="e">
        <f>VLOOKUP(A3537,Pr_Base_LNEC!$A$4:$J$6971,7,FALSE)</f>
        <v>#N/A</v>
      </c>
    </row>
    <row r="3538" spans="1:11" ht="14.5">
      <c r="A3538" s="20" t="s">
        <v>22965</v>
      </c>
      <c r="B3538" s="20">
        <v>40</v>
      </c>
      <c r="C3538" s="20">
        <v>20</v>
      </c>
      <c r="D3538" s="20">
        <v>60</v>
      </c>
      <c r="E3538" s="24"/>
      <c r="F3538" s="20" t="s">
        <v>22966</v>
      </c>
      <c r="G3538" s="24"/>
      <c r="H3538" s="24"/>
      <c r="I3538" s="24" t="str">
        <f ca="1">IFERROR(__xludf.DUMMYFUNCTION("GOOGLETRANSLATE(F3538,""en"",""pt"")"),"sanitários embalados")</f>
        <v>sanitários embalados</v>
      </c>
      <c r="J3538">
        <f>VLOOKUP(A3538,Pr_Base_LNEC!$A$4:$J$6971,6,FALSE)</f>
        <v>0</v>
      </c>
      <c r="K3538">
        <f>VLOOKUP(A3538,Pr_Base_LNEC!$A$4:$J$6971,7,FALSE)</f>
        <v>0</v>
      </c>
    </row>
    <row r="3539" spans="1:11" ht="14.5">
      <c r="A3539" s="20" t="s">
        <v>22967</v>
      </c>
      <c r="B3539" s="20">
        <v>40</v>
      </c>
      <c r="C3539" s="20">
        <v>20</v>
      </c>
      <c r="D3539" s="20">
        <v>60</v>
      </c>
      <c r="E3539" s="20">
        <v>2</v>
      </c>
      <c r="F3539" s="20" t="s">
        <v>22968</v>
      </c>
      <c r="G3539" s="20" t="s">
        <v>22969</v>
      </c>
      <c r="H3539" s="24"/>
      <c r="I3539" s="24" t="str">
        <f ca="1">IFERROR(__xludf.DUMMYFUNCTION("GOOGLETRANSLATE(F3539,""en"",""pt"")"),"pacotes acessíveis equipamentos WC")</f>
        <v>pacotes acessíveis equipamentos WC</v>
      </c>
      <c r="J3539">
        <f>VLOOKUP(A3539,Pr_Base_LNEC!$A$4:$J$6971,6,FALSE)</f>
        <v>0</v>
      </c>
      <c r="K3539">
        <f>VLOOKUP(A3539,Pr_Base_LNEC!$A$4:$J$6971,7,FALSE)</f>
        <v>0</v>
      </c>
    </row>
    <row r="3540" spans="1:11" ht="14.5">
      <c r="A3540" s="20" t="s">
        <v>22970</v>
      </c>
      <c r="B3540" s="20">
        <v>40</v>
      </c>
      <c r="C3540" s="20">
        <v>20</v>
      </c>
      <c r="D3540" s="20">
        <v>60</v>
      </c>
      <c r="E3540" s="20">
        <v>75</v>
      </c>
      <c r="F3540" s="20" t="s">
        <v>22971</v>
      </c>
      <c r="G3540" s="20" t="s">
        <v>22972</v>
      </c>
      <c r="H3540" s="24"/>
      <c r="I3540" s="24" t="str">
        <f ca="1">IFERROR(__xludf.DUMMYFUNCTION("GOOGLETRANSLATE(F3540,""en"",""pt"")"),"pacotes de sala de sauna")</f>
        <v>pacotes de sala de sauna</v>
      </c>
      <c r="J3540">
        <f>VLOOKUP(A3540,Pr_Base_LNEC!$A$4:$J$6971,6,FALSE)</f>
        <v>0</v>
      </c>
      <c r="K3540">
        <f>VLOOKUP(A3540,Pr_Base_LNEC!$A$4:$J$6971,7,FALSE)</f>
        <v>0</v>
      </c>
    </row>
    <row r="3541" spans="1:11" ht="14.5">
      <c r="A3541" s="20" t="s">
        <v>22973</v>
      </c>
      <c r="B3541" s="20">
        <v>40</v>
      </c>
      <c r="C3541" s="20">
        <v>20</v>
      </c>
      <c r="D3541" s="20">
        <v>60</v>
      </c>
      <c r="E3541" s="20">
        <v>78</v>
      </c>
      <c r="F3541" s="20" t="s">
        <v>22974</v>
      </c>
      <c r="G3541" s="20" t="s">
        <v>22975</v>
      </c>
      <c r="H3541" s="24"/>
      <c r="I3541" s="24" t="str">
        <f ca="1">IFERROR(__xludf.DUMMYFUNCTION("GOOGLETRANSLATE(F3541,""en"",""pt"")"),"pacotes Chuveiro")</f>
        <v>pacotes Chuveiro</v>
      </c>
      <c r="J3541">
        <f>VLOOKUP(A3541,Pr_Base_LNEC!$A$4:$J$6971,6,FALSE)</f>
        <v>0</v>
      </c>
      <c r="K3541">
        <f>VLOOKUP(A3541,Pr_Base_LNEC!$A$4:$J$6971,7,FALSE)</f>
        <v>0</v>
      </c>
    </row>
    <row r="3542" spans="1:11" ht="14.5">
      <c r="A3542" s="20" t="s">
        <v>22976</v>
      </c>
      <c r="B3542" s="20">
        <v>40</v>
      </c>
      <c r="C3542" s="20">
        <v>20</v>
      </c>
      <c r="D3542" s="20">
        <v>60</v>
      </c>
      <c r="E3542" s="20">
        <v>85</v>
      </c>
      <c r="F3542" s="20" t="s">
        <v>22977</v>
      </c>
      <c r="G3542" s="20" t="s">
        <v>22978</v>
      </c>
      <c r="H3542" s="24"/>
      <c r="I3542" s="24" t="str">
        <f ca="1">IFERROR(__xludf.DUMMYFUNCTION("GOOGLETRANSLATE(F3542,""en"",""pt"")"),"pacotes de gabinete de vapor")</f>
        <v>pacotes de gabinete de vapor</v>
      </c>
      <c r="J3542">
        <f>VLOOKUP(A3542,Pr_Base_LNEC!$A$4:$J$6971,6,FALSE)</f>
        <v>0</v>
      </c>
      <c r="K3542">
        <f>VLOOKUP(A3542,Pr_Base_LNEC!$A$4:$J$6971,7,FALSE)</f>
        <v>0</v>
      </c>
    </row>
    <row r="3543" spans="1:11" ht="14.5">
      <c r="A3543" s="20" t="s">
        <v>22979</v>
      </c>
      <c r="B3543" s="20">
        <v>40</v>
      </c>
      <c r="C3543" s="20">
        <v>20</v>
      </c>
      <c r="D3543" s="20">
        <v>60</v>
      </c>
      <c r="E3543" s="20">
        <v>86</v>
      </c>
      <c r="F3543" s="20" t="s">
        <v>22980</v>
      </c>
      <c r="G3543" s="20" t="s">
        <v>22981</v>
      </c>
      <c r="H3543" s="24"/>
      <c r="I3543" s="24" t="str">
        <f ca="1">IFERROR(__xludf.DUMMYFUNCTION("GOOGLETRANSLATE(F3543,""en"",""pt"")"),"pacotes de sala de vapor")</f>
        <v>pacotes de sala de vapor</v>
      </c>
      <c r="J3543">
        <f>VLOOKUP(A3543,Pr_Base_LNEC!$A$4:$J$6971,6,FALSE)</f>
        <v>0</v>
      </c>
      <c r="K3543">
        <f>VLOOKUP(A3543,Pr_Base_LNEC!$A$4:$J$6971,7,FALSE)</f>
        <v>0</v>
      </c>
    </row>
    <row r="3544" spans="1:11" ht="14.5">
      <c r="A3544" s="20" t="s">
        <v>22982</v>
      </c>
      <c r="B3544" s="20">
        <v>40</v>
      </c>
      <c r="C3544" s="20">
        <v>20</v>
      </c>
      <c r="D3544" s="20">
        <v>60</v>
      </c>
      <c r="E3544" s="20">
        <v>96</v>
      </c>
      <c r="F3544" s="20" t="s">
        <v>22983</v>
      </c>
      <c r="G3544" s="20" t="s">
        <v>22984</v>
      </c>
      <c r="H3544" s="24"/>
      <c r="I3544" s="24" t="str">
        <f ca="1">IFERROR(__xludf.DUMMYFUNCTION("GOOGLETRANSLATE(F3544,""en"",""pt"")"),"formadores de chão da sala de Wet")</f>
        <v>formadores de chão da sala de Wet</v>
      </c>
      <c r="J3544" t="e">
        <f>VLOOKUP(A3544,Pr_Base_LNEC!$A$4:$J$6971,6,FALSE)</f>
        <v>#N/A</v>
      </c>
      <c r="K3544" t="e">
        <f>VLOOKUP(A3544,Pr_Base_LNEC!$A$4:$J$6971,7,FALSE)</f>
        <v>#N/A</v>
      </c>
    </row>
    <row r="3545" spans="1:11" ht="14.5">
      <c r="A3545" s="20" t="s">
        <v>22985</v>
      </c>
      <c r="B3545" s="20">
        <v>40</v>
      </c>
      <c r="C3545" s="20">
        <v>20</v>
      </c>
      <c r="D3545" s="20">
        <v>76</v>
      </c>
      <c r="E3545" s="24"/>
      <c r="F3545" s="20" t="s">
        <v>22986</v>
      </c>
      <c r="G3545" s="24"/>
      <c r="H3545" s="24"/>
      <c r="I3545" s="24" t="str">
        <f ca="1">IFERROR(__xludf.DUMMYFUNCTION("GOOGLETRANSLATE(F3545,""en"",""pt"")"),"acessórios sanitários")</f>
        <v>acessórios sanitários</v>
      </c>
      <c r="J3545">
        <f>VLOOKUP(A3545,Pr_Base_LNEC!$A$4:$J$6971,6,FALSE)</f>
        <v>0</v>
      </c>
      <c r="K3545">
        <f>VLOOKUP(A3545,Pr_Base_LNEC!$A$4:$J$6971,7,FALSE)</f>
        <v>0</v>
      </c>
    </row>
    <row r="3546" spans="1:11" ht="14.5">
      <c r="A3546" s="20" t="s">
        <v>22987</v>
      </c>
      <c r="B3546" s="20">
        <v>40</v>
      </c>
      <c r="C3546" s="20">
        <v>20</v>
      </c>
      <c r="D3546" s="20">
        <v>76</v>
      </c>
      <c r="E3546" s="20">
        <v>1</v>
      </c>
      <c r="F3546" s="20" t="s">
        <v>22988</v>
      </c>
      <c r="G3546" s="24"/>
      <c r="H3546" s="24"/>
      <c r="I3546" s="24" t="str">
        <f ca="1">IFERROR(__xludf.DUMMYFUNCTION("GOOGLETRANSLATE(F3546,""en"",""pt"")"),"unidades mudando adultos")</f>
        <v>unidades mudando adultos</v>
      </c>
      <c r="J3546" t="e">
        <f>VLOOKUP(A3546,Pr_Base_LNEC!$A$4:$J$6971,6,FALSE)</f>
        <v>#N/A</v>
      </c>
      <c r="K3546" t="e">
        <f>VLOOKUP(A3546,Pr_Base_LNEC!$A$4:$J$6971,7,FALSE)</f>
        <v>#N/A</v>
      </c>
    </row>
    <row r="3547" spans="1:11" ht="14.5">
      <c r="A3547" s="20" t="s">
        <v>22989</v>
      </c>
      <c r="B3547" s="20">
        <v>40</v>
      </c>
      <c r="C3547" s="20">
        <v>20</v>
      </c>
      <c r="D3547" s="20">
        <v>76</v>
      </c>
      <c r="E3547" s="20">
        <v>2</v>
      </c>
      <c r="F3547" s="20" t="s">
        <v>22990</v>
      </c>
      <c r="G3547" s="20" t="s">
        <v>22991</v>
      </c>
      <c r="H3547" s="24"/>
      <c r="I3547" s="24" t="str">
        <f ca="1">IFERROR(__xludf.DUMMYFUNCTION("GOOGLETRANSLATE(F3547,""en"",""pt"")"),"Desodorisadores")</f>
        <v>Desodorisadores</v>
      </c>
      <c r="J3547">
        <f>VLOOKUP(A3547,Pr_Base_LNEC!$A$4:$J$6971,6,FALSE)</f>
        <v>0</v>
      </c>
      <c r="K3547">
        <f>VLOOKUP(A3547,Pr_Base_LNEC!$A$4:$J$6971,7,FALSE)</f>
        <v>0</v>
      </c>
    </row>
    <row r="3548" spans="1:11" ht="14.5">
      <c r="A3548" s="20" t="s">
        <v>22992</v>
      </c>
      <c r="B3548" s="20">
        <v>40</v>
      </c>
      <c r="C3548" s="20">
        <v>20</v>
      </c>
      <c r="D3548" s="20">
        <v>76</v>
      </c>
      <c r="E3548" s="20">
        <v>6</v>
      </c>
      <c r="F3548" s="20" t="s">
        <v>22993</v>
      </c>
      <c r="G3548" s="20" t="s">
        <v>22994</v>
      </c>
      <c r="H3548" s="24"/>
      <c r="I3548" s="24" t="str">
        <f ca="1">IFERROR(__xludf.DUMMYFUNCTION("GOOGLETRANSLATE(F3548,""en"",""pt"")"),"Bebê unidades mudando")</f>
        <v>Bebê unidades mudando</v>
      </c>
      <c r="J3548">
        <f>VLOOKUP(A3548,Pr_Base_LNEC!$A$4:$J$6971,6,FALSE)</f>
        <v>0</v>
      </c>
      <c r="K3548">
        <f>VLOOKUP(A3548,Pr_Base_LNEC!$A$4:$J$6971,7,FALSE)</f>
        <v>0</v>
      </c>
    </row>
    <row r="3549" spans="1:11" ht="14.5">
      <c r="A3549" s="20" t="s">
        <v>22995</v>
      </c>
      <c r="B3549" s="20">
        <v>40</v>
      </c>
      <c r="C3549" s="20">
        <v>20</v>
      </c>
      <c r="D3549" s="20">
        <v>76</v>
      </c>
      <c r="E3549" s="20">
        <v>7</v>
      </c>
      <c r="F3549" s="20" t="s">
        <v>22996</v>
      </c>
      <c r="G3549" s="20" t="s">
        <v>22997</v>
      </c>
      <c r="H3549" s="24"/>
      <c r="I3549" s="24" t="str">
        <f ca="1">IFERROR(__xludf.DUMMYFUNCTION("GOOGLETRANSLATE(F3549,""en"",""pt"")"),"painéis de banho")</f>
        <v>painéis de banho</v>
      </c>
      <c r="J3549">
        <f>VLOOKUP(A3549,Pr_Base_LNEC!$A$4:$J$6971,6,FALSE)</f>
        <v>0</v>
      </c>
      <c r="K3549">
        <f>VLOOKUP(A3549,Pr_Base_LNEC!$A$4:$J$6971,7,FALSE)</f>
        <v>0</v>
      </c>
    </row>
    <row r="3550" spans="1:11" ht="14.5">
      <c r="A3550" s="20" t="s">
        <v>22998</v>
      </c>
      <c r="B3550" s="20">
        <v>40</v>
      </c>
      <c r="C3550" s="20">
        <v>20</v>
      </c>
      <c r="D3550" s="20">
        <v>76</v>
      </c>
      <c r="E3550" s="20">
        <v>82</v>
      </c>
      <c r="F3550" s="20" t="s">
        <v>22999</v>
      </c>
      <c r="G3550" s="20" t="s">
        <v>23000</v>
      </c>
      <c r="H3550" s="24"/>
      <c r="I3550" s="24" t="str">
        <f ca="1">IFERROR(__xludf.DUMMYFUNCTION("GOOGLETRANSLATE(F3550,""en"",""pt"")"),"saboneteiras")</f>
        <v>saboneteiras</v>
      </c>
      <c r="J3550">
        <f>VLOOKUP(A3550,Pr_Base_LNEC!$A$4:$J$6971,6,FALSE)</f>
        <v>0</v>
      </c>
      <c r="K3550">
        <f>VLOOKUP(A3550,Pr_Base_LNEC!$A$4:$J$6971,7,FALSE)</f>
        <v>0</v>
      </c>
    </row>
    <row r="3551" spans="1:11" ht="14.5">
      <c r="A3551" s="20" t="s">
        <v>23001</v>
      </c>
      <c r="B3551" s="20">
        <v>40</v>
      </c>
      <c r="C3551" s="20">
        <v>20</v>
      </c>
      <c r="D3551" s="20">
        <v>76</v>
      </c>
      <c r="E3551" s="20">
        <v>83</v>
      </c>
      <c r="F3551" s="20" t="s">
        <v>23002</v>
      </c>
      <c r="G3551" s="24"/>
      <c r="H3551" s="24"/>
      <c r="I3551" s="24" t="str">
        <f ca="1">IFERROR(__xludf.DUMMYFUNCTION("GOOGLETRANSLATE(F3551,""en"",""pt"")"),"splashbacks")</f>
        <v>splashbacks</v>
      </c>
      <c r="J3551">
        <f>VLOOKUP(A3551,Pr_Base_LNEC!$A$4:$J$6971,6,FALSE)</f>
        <v>0</v>
      </c>
      <c r="K3551">
        <f>VLOOKUP(A3551,Pr_Base_LNEC!$A$4:$J$6971,7,FALSE)</f>
        <v>0</v>
      </c>
    </row>
    <row r="3552" spans="1:11" ht="14.5">
      <c r="A3552" s="20" t="s">
        <v>23003</v>
      </c>
      <c r="B3552" s="20">
        <v>40</v>
      </c>
      <c r="C3552" s="20">
        <v>20</v>
      </c>
      <c r="D3552" s="20">
        <v>76</v>
      </c>
      <c r="E3552" s="20">
        <v>84</v>
      </c>
      <c r="F3552" s="20" t="s">
        <v>23004</v>
      </c>
      <c r="G3552" s="20" t="s">
        <v>23005</v>
      </c>
      <c r="H3552" s="24"/>
      <c r="I3552" s="24" t="str">
        <f ca="1">IFERROR(__xludf.DUMMYFUNCTION("GOOGLETRANSLATE(F3552,""en"",""pt"")"),"barras de apoio")</f>
        <v>barras de apoio</v>
      </c>
      <c r="J3552">
        <f>VLOOKUP(A3552,Pr_Base_LNEC!$A$4:$J$6971,6,FALSE)</f>
        <v>0</v>
      </c>
      <c r="K3552">
        <f>VLOOKUP(A3552,Pr_Base_LNEC!$A$4:$J$6971,7,FALSE)</f>
        <v>0</v>
      </c>
    </row>
    <row r="3553" spans="1:11" ht="14.5">
      <c r="A3553" s="20" t="s">
        <v>23006</v>
      </c>
      <c r="B3553" s="20">
        <v>40</v>
      </c>
      <c r="C3553" s="20">
        <v>20</v>
      </c>
      <c r="D3553" s="20">
        <v>76</v>
      </c>
      <c r="E3553" s="20">
        <v>86</v>
      </c>
      <c r="F3553" s="20" t="s">
        <v>23007</v>
      </c>
      <c r="G3553" s="20" t="s">
        <v>23008</v>
      </c>
      <c r="H3553" s="24"/>
      <c r="I3553" s="24" t="str">
        <f ca="1">IFERROR(__xludf.DUMMYFUNCTION("GOOGLETRANSLATE(F3553,""en"",""pt"")"),"titulares WC escova")</f>
        <v>titulares WC escova</v>
      </c>
      <c r="J3553">
        <f>VLOOKUP(A3553,Pr_Base_LNEC!$A$4:$J$6971,6,FALSE)</f>
        <v>0</v>
      </c>
      <c r="K3553">
        <f>VLOOKUP(A3553,Pr_Base_LNEC!$A$4:$J$6971,7,FALSE)</f>
        <v>0</v>
      </c>
    </row>
    <row r="3554" spans="1:11" ht="14.5">
      <c r="A3554" s="20" t="s">
        <v>23009</v>
      </c>
      <c r="B3554" s="20">
        <v>40</v>
      </c>
      <c r="C3554" s="20">
        <v>20</v>
      </c>
      <c r="D3554" s="20">
        <v>76</v>
      </c>
      <c r="E3554" s="20">
        <v>88</v>
      </c>
      <c r="F3554" s="20" t="s">
        <v>23010</v>
      </c>
      <c r="G3554" s="20" t="s">
        <v>23011</v>
      </c>
      <c r="H3554" s="24"/>
      <c r="I3554" s="24" t="str">
        <f ca="1">IFERROR(__xludf.DUMMYFUNCTION("GOOGLETRANSLATE(F3554,""en"",""pt"")"),"titulares de rolo de papel higiénico")</f>
        <v>titulares de rolo de papel higiénico</v>
      </c>
      <c r="J3554">
        <f>VLOOKUP(A3554,Pr_Base_LNEC!$A$4:$J$6971,6,FALSE)</f>
        <v>0</v>
      </c>
      <c r="K3554">
        <f>VLOOKUP(A3554,Pr_Base_LNEC!$A$4:$J$6971,7,FALSE)</f>
        <v>0</v>
      </c>
    </row>
    <row r="3555" spans="1:11" ht="14.5">
      <c r="A3555" s="20" t="s">
        <v>23012</v>
      </c>
      <c r="B3555" s="20">
        <v>40</v>
      </c>
      <c r="C3555" s="20">
        <v>20</v>
      </c>
      <c r="D3555" s="20">
        <v>76</v>
      </c>
      <c r="E3555" s="20">
        <v>89</v>
      </c>
      <c r="F3555" s="20" t="s">
        <v>23013</v>
      </c>
      <c r="G3555" s="20" t="s">
        <v>23014</v>
      </c>
      <c r="H3555" s="24"/>
      <c r="I3555" s="24" t="str">
        <f ca="1">IFERROR(__xludf.DUMMYFUNCTION("GOOGLETRANSLATE(F3555,""en"",""pt"")"),"titulares escova de dentes")</f>
        <v>titulares escova de dentes</v>
      </c>
      <c r="J3555">
        <f>VLOOKUP(A3555,Pr_Base_LNEC!$A$4:$J$6971,6,FALSE)</f>
        <v>0</v>
      </c>
      <c r="K3555">
        <f>VLOOKUP(A3555,Pr_Base_LNEC!$A$4:$J$6971,7,FALSE)</f>
        <v>0</v>
      </c>
    </row>
    <row r="3556" spans="1:11" ht="14.5">
      <c r="A3556" s="20" t="s">
        <v>23015</v>
      </c>
      <c r="B3556" s="20">
        <v>40</v>
      </c>
      <c r="C3556" s="20">
        <v>20</v>
      </c>
      <c r="D3556" s="20">
        <v>76</v>
      </c>
      <c r="E3556" s="20">
        <v>90</v>
      </c>
      <c r="F3556" s="20" t="s">
        <v>23016</v>
      </c>
      <c r="G3556" s="20" t="s">
        <v>23017</v>
      </c>
      <c r="H3556" s="24"/>
      <c r="I3556" s="24" t="str">
        <f ca="1">IFERROR(__xludf.DUMMYFUNCTION("GOOGLETRANSLATE(F3556,""en"",""pt"")"),"toalheiros")</f>
        <v>toalheiros</v>
      </c>
      <c r="J3556">
        <f>VLOOKUP(A3556,Pr_Base_LNEC!$A$4:$J$6971,6,FALSE)</f>
        <v>0</v>
      </c>
      <c r="K3556">
        <f>VLOOKUP(A3556,Pr_Base_LNEC!$A$4:$J$6971,7,FALSE)</f>
        <v>0</v>
      </c>
    </row>
    <row r="3557" spans="1:11" ht="14.5">
      <c r="A3557" s="20" t="s">
        <v>23018</v>
      </c>
      <c r="B3557" s="20">
        <v>40</v>
      </c>
      <c r="C3557" s="20">
        <v>20</v>
      </c>
      <c r="D3557" s="20">
        <v>76</v>
      </c>
      <c r="E3557" s="20">
        <v>91</v>
      </c>
      <c r="F3557" s="20" t="s">
        <v>23019</v>
      </c>
      <c r="G3557" s="20" t="s">
        <v>23020</v>
      </c>
      <c r="H3557" s="24"/>
      <c r="I3557" s="24" t="str">
        <f ca="1">IFERROR(__xludf.DUMMYFUNCTION("GOOGLETRANSLATE(F3557,""en"",""pt"")"),"anéis de toalha")</f>
        <v>anéis de toalha</v>
      </c>
      <c r="J3557">
        <f>VLOOKUP(A3557,Pr_Base_LNEC!$A$4:$J$6971,6,FALSE)</f>
        <v>0</v>
      </c>
      <c r="K3557">
        <f>VLOOKUP(A3557,Pr_Base_LNEC!$A$4:$J$6971,7,FALSE)</f>
        <v>0</v>
      </c>
    </row>
    <row r="3558" spans="1:11" ht="14.5">
      <c r="A3558" s="20" t="s">
        <v>23021</v>
      </c>
      <c r="B3558" s="20">
        <v>40</v>
      </c>
      <c r="C3558" s="20">
        <v>20</v>
      </c>
      <c r="D3558" s="20">
        <v>76</v>
      </c>
      <c r="E3558" s="20">
        <v>92</v>
      </c>
      <c r="F3558" s="20" t="s">
        <v>23022</v>
      </c>
      <c r="G3558" s="20" t="s">
        <v>23023</v>
      </c>
      <c r="H3558" s="24"/>
      <c r="I3558" s="24" t="str">
        <f ca="1">IFERROR(__xludf.DUMMYFUNCTION("GOOGLETRANSLATE(F3558,""en"",""pt"")"),"titulares Tumbler")</f>
        <v>titulares Tumbler</v>
      </c>
      <c r="J3558">
        <f>VLOOKUP(A3558,Pr_Base_LNEC!$A$4:$J$6971,6,FALSE)</f>
        <v>0</v>
      </c>
      <c r="K3558">
        <f>VLOOKUP(A3558,Pr_Base_LNEC!$A$4:$J$6971,7,FALSE)</f>
        <v>0</v>
      </c>
    </row>
    <row r="3559" spans="1:11" ht="14.5">
      <c r="A3559" s="20" t="s">
        <v>23024</v>
      </c>
      <c r="B3559" s="20">
        <v>40</v>
      </c>
      <c r="C3559" s="20">
        <v>20</v>
      </c>
      <c r="D3559" s="20">
        <v>76</v>
      </c>
      <c r="E3559" s="20">
        <v>94</v>
      </c>
      <c r="F3559" s="20" t="s">
        <v>23025</v>
      </c>
      <c r="G3559" s="20" t="s">
        <v>23026</v>
      </c>
      <c r="H3559" s="24"/>
      <c r="I3559" s="24" t="str">
        <f ca="1">IFERROR(__xludf.DUMMYFUNCTION("GOOGLETRANSLATE(F3559,""en"",""pt"")"),"unidades da vaidade")</f>
        <v>unidades da vaidade</v>
      </c>
      <c r="J3559">
        <f>VLOOKUP(A3559,Pr_Base_LNEC!$A$4:$J$6971,6,FALSE)</f>
        <v>0</v>
      </c>
      <c r="K3559">
        <f>VLOOKUP(A3559,Pr_Base_LNEC!$A$4:$J$6971,7,FALSE)</f>
        <v>0</v>
      </c>
    </row>
    <row r="3560" spans="1:11" ht="14.5">
      <c r="A3560" s="20" t="s">
        <v>23027</v>
      </c>
      <c r="B3560" s="20">
        <v>40</v>
      </c>
      <c r="C3560" s="20">
        <v>20</v>
      </c>
      <c r="D3560" s="20">
        <v>76</v>
      </c>
      <c r="E3560" s="20">
        <v>98</v>
      </c>
      <c r="F3560" s="20" t="s">
        <v>23028</v>
      </c>
      <c r="G3560" s="20" t="s">
        <v>23029</v>
      </c>
      <c r="H3560" s="24"/>
      <c r="I3560" s="24" t="str">
        <f ca="1">IFERROR(__xludf.DUMMYFUNCTION("GOOGLETRANSLATE(F3560,""en"",""pt"")"),"encostos sanita")</f>
        <v>encostos sanita</v>
      </c>
      <c r="J3560">
        <f>VLOOKUP(A3560,Pr_Base_LNEC!$A$4:$J$6971,6,FALSE)</f>
        <v>0</v>
      </c>
      <c r="K3560">
        <f>VLOOKUP(A3560,Pr_Base_LNEC!$A$4:$J$6971,7,FALSE)</f>
        <v>0</v>
      </c>
    </row>
    <row r="3561" spans="1:11" ht="14.5">
      <c r="A3561" s="20" t="s">
        <v>23030</v>
      </c>
      <c r="B3561" s="20">
        <v>40</v>
      </c>
      <c r="C3561" s="20">
        <v>20</v>
      </c>
      <c r="D3561" s="20">
        <v>87</v>
      </c>
      <c r="E3561" s="24"/>
      <c r="F3561" s="20" t="s">
        <v>23031</v>
      </c>
      <c r="G3561" s="24"/>
      <c r="H3561" s="24"/>
      <c r="I3561" s="24" t="str">
        <f ca="1">IFERROR(__xludf.DUMMYFUNCTION("GOOGLETRANSLATE(F3561,""en"",""pt"")"),"Torneiras de saa de abastecimento de água")</f>
        <v>Torneiras de saa de abastecimento de água</v>
      </c>
      <c r="J3561">
        <f>VLOOKUP(A3561,Pr_Base_LNEC!$A$4:$J$6971,6,FALSE)</f>
        <v>0</v>
      </c>
      <c r="K3561">
        <f>VLOOKUP(A3561,Pr_Base_LNEC!$A$4:$J$6971,7,FALSE)</f>
        <v>0</v>
      </c>
    </row>
    <row r="3562" spans="1:11" ht="14.5">
      <c r="A3562" s="20" t="s">
        <v>23032</v>
      </c>
      <c r="B3562" s="20">
        <v>40</v>
      </c>
      <c r="C3562" s="20">
        <v>20</v>
      </c>
      <c r="D3562" s="20">
        <v>87</v>
      </c>
      <c r="E3562" s="20">
        <v>7</v>
      </c>
      <c r="F3562" s="20" t="s">
        <v>23033</v>
      </c>
      <c r="G3562" s="20" t="s">
        <v>23034</v>
      </c>
      <c r="H3562" s="24"/>
      <c r="I3562" s="24" t="str">
        <f ca="1">IFERROR(__xludf.DUMMYFUNCTION("GOOGLETRANSLATE(F3562,""en"",""pt"")"),"Banheira conjuntos de abastecimento de água manual")</f>
        <v>Banheira conjuntos de abastecimento de água manual</v>
      </c>
      <c r="J3562">
        <f>VLOOKUP(A3562,Pr_Base_LNEC!$A$4:$J$6971,6,FALSE)</f>
        <v>0</v>
      </c>
      <c r="K3562">
        <f>VLOOKUP(A3562,Pr_Base_LNEC!$A$4:$J$6971,7,FALSE)</f>
        <v>0</v>
      </c>
    </row>
    <row r="3563" spans="1:11" ht="14.5">
      <c r="A3563" s="20" t="s">
        <v>23035</v>
      </c>
      <c r="B3563" s="20">
        <v>40</v>
      </c>
      <c r="C3563" s="20">
        <v>20</v>
      </c>
      <c r="D3563" s="20">
        <v>87</v>
      </c>
      <c r="E3563" s="20">
        <v>8</v>
      </c>
      <c r="F3563" s="20" t="s">
        <v>23036</v>
      </c>
      <c r="G3563" s="24"/>
      <c r="H3563" s="24"/>
      <c r="I3563" s="24" t="str">
        <f ca="1">IFERROR(__xludf.DUMMYFUNCTION("GOOGLETRANSLATE(F3563,""en"",""pt"")"),"bicas de banheira")</f>
        <v>bicas de banheira</v>
      </c>
      <c r="J3563">
        <f>VLOOKUP(A3563,Pr_Base_LNEC!$A$4:$J$6971,6,FALSE)</f>
        <v>0</v>
      </c>
      <c r="K3563">
        <f>VLOOKUP(A3563,Pr_Base_LNEC!$A$4:$J$6971,7,FALSE)</f>
        <v>0</v>
      </c>
    </row>
    <row r="3564" spans="1:11" ht="14.5">
      <c r="A3564" s="20" t="s">
        <v>23037</v>
      </c>
      <c r="B3564" s="20">
        <v>40</v>
      </c>
      <c r="C3564" s="20">
        <v>20</v>
      </c>
      <c r="D3564" s="20">
        <v>87</v>
      </c>
      <c r="E3564" s="20">
        <v>9</v>
      </c>
      <c r="F3564" s="20" t="s">
        <v>23038</v>
      </c>
      <c r="G3564" s="20" t="s">
        <v>23034</v>
      </c>
      <c r="H3564" s="24"/>
      <c r="I3564" s="24" t="str">
        <f ca="1">IFERROR(__xludf.DUMMYFUNCTION("GOOGLETRANSLATE(F3564,""en"",""pt"")"),"torneiras de banho")</f>
        <v>torneiras de banho</v>
      </c>
      <c r="J3564">
        <f>VLOOKUP(A3564,Pr_Base_LNEC!$A$4:$J$6971,6,FALSE)</f>
        <v>0</v>
      </c>
      <c r="K3564">
        <f>VLOOKUP(A3564,Pr_Base_LNEC!$A$4:$J$6971,7,FALSE)</f>
        <v>0</v>
      </c>
    </row>
    <row r="3565" spans="1:11" ht="14.5">
      <c r="A3565" s="20" t="s">
        <v>23039</v>
      </c>
      <c r="B3565" s="20">
        <v>40</v>
      </c>
      <c r="C3565" s="20">
        <v>20</v>
      </c>
      <c r="D3565" s="20">
        <v>87</v>
      </c>
      <c r="E3565" s="20">
        <v>10</v>
      </c>
      <c r="F3565" s="20" t="s">
        <v>23040</v>
      </c>
      <c r="G3565" s="20" t="s">
        <v>23034</v>
      </c>
      <c r="H3565" s="24"/>
      <c r="I3565" s="24" t="str">
        <f ca="1">IFERROR(__xludf.DUMMYFUNCTION("GOOGLETRANSLATE(F3565,""en"",""pt"")"),"Banheira conjuntos de abastecimento de água termostático")</f>
        <v>Banheira conjuntos de abastecimento de água termostático</v>
      </c>
      <c r="J3565">
        <f>VLOOKUP(A3565,Pr_Base_LNEC!$A$4:$J$6971,6,FALSE)</f>
        <v>0</v>
      </c>
      <c r="K3565">
        <f>VLOOKUP(A3565,Pr_Base_LNEC!$A$4:$J$6971,7,FALSE)</f>
        <v>0</v>
      </c>
    </row>
    <row r="3566" spans="1:11" ht="14.5">
      <c r="A3566" s="20" t="s">
        <v>23041</v>
      </c>
      <c r="B3566" s="20">
        <v>40</v>
      </c>
      <c r="C3566" s="20">
        <v>20</v>
      </c>
      <c r="D3566" s="20">
        <v>87</v>
      </c>
      <c r="E3566" s="20">
        <v>11</v>
      </c>
      <c r="F3566" s="20" t="s">
        <v>23042</v>
      </c>
      <c r="G3566" s="20" t="s">
        <v>23043</v>
      </c>
      <c r="H3566" s="24"/>
      <c r="I3566" s="24" t="str">
        <f ca="1">IFERROR(__xludf.DUMMYFUNCTION("GOOGLETRANSLATE(F3566,""en"",""pt"")"),"torneiras bidé")</f>
        <v>torneiras bidé</v>
      </c>
      <c r="J3566">
        <f>VLOOKUP(A3566,Pr_Base_LNEC!$A$4:$J$6971,6,FALSE)</f>
        <v>0</v>
      </c>
      <c r="K3566">
        <f>VLOOKUP(A3566,Pr_Base_LNEC!$A$4:$J$6971,7,FALSE)</f>
        <v>0</v>
      </c>
    </row>
    <row r="3567" spans="1:11" ht="14.5">
      <c r="A3567" s="20" t="s">
        <v>23044</v>
      </c>
      <c r="B3567" s="20">
        <v>40</v>
      </c>
      <c r="C3567" s="20">
        <v>20</v>
      </c>
      <c r="D3567" s="20">
        <v>87</v>
      </c>
      <c r="E3567" s="20">
        <v>24</v>
      </c>
      <c r="F3567" s="20" t="s">
        <v>23045</v>
      </c>
      <c r="G3567" s="20" t="s">
        <v>23046</v>
      </c>
      <c r="H3567" s="24"/>
      <c r="I3567" s="24" t="str">
        <f ca="1">IFERROR(__xludf.DUMMYFUNCTION("GOOGLETRANSLATE(F3567,""en"",""pt"")"),"bebedouros")</f>
        <v>bebedouros</v>
      </c>
      <c r="J3567">
        <f>VLOOKUP(A3567,Pr_Base_LNEC!$A$4:$J$6971,6,FALSE)</f>
        <v>0</v>
      </c>
      <c r="K3567">
        <f>VLOOKUP(A3567,Pr_Base_LNEC!$A$4:$J$6971,7,FALSE)</f>
        <v>0</v>
      </c>
    </row>
    <row r="3568" spans="1:11" ht="14.5">
      <c r="A3568" s="20" t="s">
        <v>23047</v>
      </c>
      <c r="B3568" s="20">
        <v>40</v>
      </c>
      <c r="C3568" s="20">
        <v>20</v>
      </c>
      <c r="D3568" s="20">
        <v>87</v>
      </c>
      <c r="E3568" s="20">
        <v>31</v>
      </c>
      <c r="F3568" s="20" t="s">
        <v>23048</v>
      </c>
      <c r="G3568" s="24"/>
      <c r="H3568" s="24"/>
      <c r="I3568" s="24" t="str">
        <f ca="1">IFERROR(__xludf.DUMMYFUNCTION("GOOGLETRANSLATE(F3568,""en"",""pt"")"),"válvulas operada com o pé")</f>
        <v>válvulas operada com o pé</v>
      </c>
      <c r="J3568">
        <f>VLOOKUP(A3568,Pr_Base_LNEC!$A$4:$J$6971,6,FALSE)</f>
        <v>0</v>
      </c>
      <c r="K3568">
        <f>VLOOKUP(A3568,Pr_Base_LNEC!$A$4:$J$6971,7,FALSE)</f>
        <v>0</v>
      </c>
    </row>
    <row r="3569" spans="1:11" ht="14.5">
      <c r="A3569" s="20" t="s">
        <v>23049</v>
      </c>
      <c r="B3569" s="20">
        <v>40</v>
      </c>
      <c r="C3569" s="20">
        <v>20</v>
      </c>
      <c r="D3569" s="20">
        <v>87</v>
      </c>
      <c r="E3569" s="20">
        <v>33</v>
      </c>
      <c r="F3569" s="20" t="s">
        <v>23050</v>
      </c>
      <c r="G3569" s="24"/>
      <c r="H3569" s="24"/>
      <c r="I3569" s="24" t="str">
        <f ca="1">IFERROR(__xludf.DUMMYFUNCTION("GOOGLETRANSLATE(F3569,""en"",""pt"")"),"torneiras de jardim")</f>
        <v>torneiras de jardim</v>
      </c>
      <c r="J3569">
        <f>VLOOKUP(A3569,Pr_Base_LNEC!$A$4:$J$6971,6,FALSE)</f>
        <v>0</v>
      </c>
      <c r="K3569">
        <f>VLOOKUP(A3569,Pr_Base_LNEC!$A$4:$J$6971,7,FALSE)</f>
        <v>0</v>
      </c>
    </row>
    <row r="3570" spans="1:11" ht="14.5">
      <c r="A3570" s="20" t="s">
        <v>23051</v>
      </c>
      <c r="B3570" s="20">
        <v>40</v>
      </c>
      <c r="C3570" s="20">
        <v>20</v>
      </c>
      <c r="D3570" s="20">
        <v>87</v>
      </c>
      <c r="E3570" s="20">
        <v>35</v>
      </c>
      <c r="F3570" s="20" t="s">
        <v>23052</v>
      </c>
      <c r="G3570" s="24"/>
      <c r="H3570" s="24"/>
      <c r="I3570" s="24" t="str">
        <f ca="1">IFERROR(__xludf.DUMMYFUNCTION("GOOGLETRANSLATE(F3570,""en"",""pt"")"),"válvulas de aperto")</f>
        <v>válvulas de aperto</v>
      </c>
      <c r="J3570">
        <f>VLOOKUP(A3570,Pr_Base_LNEC!$A$4:$J$6971,6,FALSE)</f>
        <v>0</v>
      </c>
      <c r="K3570">
        <f>VLOOKUP(A3570,Pr_Base_LNEC!$A$4:$J$6971,7,FALSE)</f>
        <v>0</v>
      </c>
    </row>
    <row r="3571" spans="1:11" ht="14.5">
      <c r="A3571" s="20" t="s">
        <v>23053</v>
      </c>
      <c r="B3571" s="20">
        <v>40</v>
      </c>
      <c r="C3571" s="20">
        <v>20</v>
      </c>
      <c r="D3571" s="20">
        <v>87</v>
      </c>
      <c r="E3571" s="20">
        <v>43</v>
      </c>
      <c r="F3571" s="20" t="s">
        <v>23054</v>
      </c>
      <c r="G3571" s="24"/>
      <c r="H3571" s="24"/>
      <c r="I3571" s="24" t="str">
        <f ca="1">IFERROR(__xludf.DUMMYFUNCTION("GOOGLETRANSLATE(F3571,""en"",""pt"")"),"válvulas operadas-chave")</f>
        <v>válvulas operadas-chave</v>
      </c>
      <c r="J3571">
        <f>VLOOKUP(A3571,Pr_Base_LNEC!$A$4:$J$6971,6,FALSE)</f>
        <v>0</v>
      </c>
      <c r="K3571">
        <f>VLOOKUP(A3571,Pr_Base_LNEC!$A$4:$J$6971,7,FALSE)</f>
        <v>0</v>
      </c>
    </row>
    <row r="3572" spans="1:11" ht="14.5">
      <c r="A3572" s="20" t="s">
        <v>23055</v>
      </c>
      <c r="B3572" s="20">
        <v>40</v>
      </c>
      <c r="C3572" s="20">
        <v>20</v>
      </c>
      <c r="D3572" s="20">
        <v>87</v>
      </c>
      <c r="E3572" s="20">
        <v>49</v>
      </c>
      <c r="F3572" s="20" t="s">
        <v>23056</v>
      </c>
      <c r="G3572" s="24"/>
      <c r="H3572" s="24"/>
      <c r="I3572" s="24" t="str">
        <f ca="1">IFERROR(__xludf.DUMMYFUNCTION("GOOGLETRANSLATE(F3572,""en"",""pt"")"),"válvulas operadas por joelho")</f>
        <v>válvulas operadas por joelho</v>
      </c>
      <c r="J3572">
        <f>VLOOKUP(A3572,Pr_Base_LNEC!$A$4:$J$6971,6,FALSE)</f>
        <v>0</v>
      </c>
      <c r="K3572">
        <f>VLOOKUP(A3572,Pr_Base_LNEC!$A$4:$J$6971,7,FALSE)</f>
        <v>0</v>
      </c>
    </row>
    <row r="3573" spans="1:11" ht="14.5">
      <c r="A3573" s="20" t="s">
        <v>23057</v>
      </c>
      <c r="B3573" s="20">
        <v>40</v>
      </c>
      <c r="C3573" s="20">
        <v>20</v>
      </c>
      <c r="D3573" s="20">
        <v>87</v>
      </c>
      <c r="E3573" s="20">
        <v>75</v>
      </c>
      <c r="F3573" s="20" t="s">
        <v>23058</v>
      </c>
      <c r="G3573" s="20" t="s">
        <v>23059</v>
      </c>
      <c r="H3573" s="24"/>
      <c r="I3573" s="24" t="str">
        <f ca="1">IFERROR(__xludf.DUMMYFUNCTION("GOOGLETRANSLATE(F3573,""en"",""pt"")"),"pacote de chuveiro acessórios")</f>
        <v>pacote de chuveiro acessórios</v>
      </c>
      <c r="J3573">
        <f>VLOOKUP(A3573,Pr_Base_LNEC!$A$4:$J$6971,6,FALSE)</f>
        <v>0</v>
      </c>
      <c r="K3573">
        <f>VLOOKUP(A3573,Pr_Base_LNEC!$A$4:$J$6971,7,FALSE)</f>
        <v>0</v>
      </c>
    </row>
    <row r="3574" spans="1:11" ht="14.5">
      <c r="A3574" s="20" t="s">
        <v>23060</v>
      </c>
      <c r="B3574" s="20">
        <v>40</v>
      </c>
      <c r="C3574" s="20">
        <v>20</v>
      </c>
      <c r="D3574" s="20">
        <v>87</v>
      </c>
      <c r="E3574" s="20">
        <v>76</v>
      </c>
      <c r="F3574" s="20" t="s">
        <v>23061</v>
      </c>
      <c r="G3574" s="20" t="s">
        <v>23062</v>
      </c>
      <c r="H3574" s="24"/>
      <c r="I3574" s="24" t="str">
        <f ca="1">IFERROR(__xludf.DUMMYFUNCTION("GOOGLETRANSLATE(F3574,""en"",""pt"")"),"chuveiros")</f>
        <v>chuveiros</v>
      </c>
      <c r="J3574">
        <f>VLOOKUP(A3574,Pr_Base_LNEC!$A$4:$J$6971,6,FALSE)</f>
        <v>0</v>
      </c>
      <c r="K3574">
        <f>VLOOKUP(A3574,Pr_Base_LNEC!$A$4:$J$6971,7,FALSE)</f>
        <v>0</v>
      </c>
    </row>
    <row r="3575" spans="1:11" ht="14.5">
      <c r="A3575" s="20" t="s">
        <v>23063</v>
      </c>
      <c r="B3575" s="20">
        <v>40</v>
      </c>
      <c r="C3575" s="20">
        <v>20</v>
      </c>
      <c r="D3575" s="20">
        <v>87</v>
      </c>
      <c r="E3575" s="20">
        <v>77</v>
      </c>
      <c r="F3575" s="20" t="s">
        <v>23064</v>
      </c>
      <c r="G3575" s="24"/>
      <c r="H3575" s="24"/>
      <c r="I3575" s="24" t="str">
        <f ca="1">IFERROR(__xludf.DUMMYFUNCTION("GOOGLETRANSLATE(F3575,""en"",""pt"")"),"titulares cabeça chuveiro")</f>
        <v>titulares cabeça chuveiro</v>
      </c>
      <c r="J3575">
        <f>VLOOKUP(A3575,Pr_Base_LNEC!$A$4:$J$6971,6,FALSE)</f>
        <v>0</v>
      </c>
      <c r="K3575">
        <f>VLOOKUP(A3575,Pr_Base_LNEC!$A$4:$J$6971,7,FALSE)</f>
        <v>0</v>
      </c>
    </row>
    <row r="3576" spans="1:11" ht="14.5">
      <c r="A3576" s="20" t="s">
        <v>23065</v>
      </c>
      <c r="B3576" s="20">
        <v>40</v>
      </c>
      <c r="C3576" s="20">
        <v>20</v>
      </c>
      <c r="D3576" s="20">
        <v>87</v>
      </c>
      <c r="E3576" s="20">
        <v>78</v>
      </c>
      <c r="F3576" s="20" t="s">
        <v>23066</v>
      </c>
      <c r="G3576" s="20" t="s">
        <v>23067</v>
      </c>
      <c r="H3576" s="24"/>
      <c r="I3576" s="24" t="str">
        <f ca="1">IFERROR(__xludf.DUMMYFUNCTION("GOOGLETRANSLATE(F3576,""en"",""pt"")"),"Duche conjuntos de abastecimento de água manuais")</f>
        <v>Duche conjuntos de abastecimento de água manuais</v>
      </c>
      <c r="J3576">
        <f>VLOOKUP(A3576,Pr_Base_LNEC!$A$4:$J$6971,6,FALSE)</f>
        <v>0</v>
      </c>
      <c r="K3576">
        <f>VLOOKUP(A3576,Pr_Base_LNEC!$A$4:$J$6971,7,FALSE)</f>
        <v>0</v>
      </c>
    </row>
    <row r="3577" spans="1:11" ht="14.5">
      <c r="A3577" s="20" t="s">
        <v>23068</v>
      </c>
      <c r="B3577" s="20">
        <v>40</v>
      </c>
      <c r="C3577" s="20">
        <v>20</v>
      </c>
      <c r="D3577" s="20">
        <v>87</v>
      </c>
      <c r="E3577" s="20">
        <v>79</v>
      </c>
      <c r="F3577" s="20" t="s">
        <v>23069</v>
      </c>
      <c r="G3577" s="24"/>
      <c r="H3577" s="24"/>
      <c r="I3577" s="24" t="str">
        <f ca="1">IFERROR(__xludf.DUMMYFUNCTION("GOOGLETRANSLATE(F3577,""en"",""pt"")"),"Duche válvulas de fecho automático (de emergência)")</f>
        <v>Duche válvulas de fecho automático (de emergência)</v>
      </c>
      <c r="J3577">
        <f>VLOOKUP(A3577,Pr_Base_LNEC!$A$4:$J$6971,6,FALSE)</f>
        <v>0</v>
      </c>
      <c r="K3577">
        <f>VLOOKUP(A3577,Pr_Base_LNEC!$A$4:$J$6971,7,FALSE)</f>
        <v>0</v>
      </c>
    </row>
    <row r="3578" spans="1:11" ht="14.5">
      <c r="A3578" s="20" t="s">
        <v>23070</v>
      </c>
      <c r="B3578" s="20">
        <v>40</v>
      </c>
      <c r="C3578" s="20">
        <v>20</v>
      </c>
      <c r="D3578" s="20">
        <v>87</v>
      </c>
      <c r="E3578" s="20">
        <v>80</v>
      </c>
      <c r="F3578" s="20" t="s">
        <v>23071</v>
      </c>
      <c r="G3578" s="20" t="s">
        <v>23067</v>
      </c>
      <c r="H3578" s="24"/>
      <c r="I3578" s="24" t="str">
        <f ca="1">IFERROR(__xludf.DUMMYFUNCTION("GOOGLETRANSLATE(F3578,""en"",""pt"")"),"Duche válvulas termostáticas")</f>
        <v>Duche válvulas termostáticas</v>
      </c>
      <c r="J3578">
        <f>VLOOKUP(A3578,Pr_Base_LNEC!$A$4:$J$6971,6,FALSE)</f>
        <v>0</v>
      </c>
      <c r="K3578">
        <f>VLOOKUP(A3578,Pr_Base_LNEC!$A$4:$J$6971,7,FALSE)</f>
        <v>0</v>
      </c>
    </row>
    <row r="3579" spans="1:11" ht="14.5">
      <c r="A3579" s="20" t="s">
        <v>23072</v>
      </c>
      <c r="B3579" s="20">
        <v>40</v>
      </c>
      <c r="C3579" s="20">
        <v>20</v>
      </c>
      <c r="D3579" s="20">
        <v>87</v>
      </c>
      <c r="E3579" s="20">
        <v>81</v>
      </c>
      <c r="F3579" s="20" t="s">
        <v>23073</v>
      </c>
      <c r="G3579" s="20" t="s">
        <v>23067</v>
      </c>
      <c r="H3579" s="24"/>
      <c r="I3579" s="24" t="str">
        <f ca="1">IFERROR(__xludf.DUMMYFUNCTION("GOOGLETRANSLATE(F3579,""en"",""pt"")"),"Duche conjuntos de abastecimento de água termostáticas")</f>
        <v>Duche conjuntos de abastecimento de água termostáticas</v>
      </c>
      <c r="J3579">
        <f>VLOOKUP(A3579,Pr_Base_LNEC!$A$4:$J$6971,6,FALSE)</f>
        <v>0</v>
      </c>
      <c r="K3579">
        <f>VLOOKUP(A3579,Pr_Base_LNEC!$A$4:$J$6971,7,FALSE)</f>
        <v>0</v>
      </c>
    </row>
    <row r="3580" spans="1:11" ht="14.5">
      <c r="A3580" s="20" t="s">
        <v>23074</v>
      </c>
      <c r="B3580" s="20">
        <v>40</v>
      </c>
      <c r="C3580" s="20">
        <v>20</v>
      </c>
      <c r="D3580" s="20">
        <v>87</v>
      </c>
      <c r="E3580" s="20">
        <v>82</v>
      </c>
      <c r="F3580" s="20" t="s">
        <v>23075</v>
      </c>
      <c r="G3580" s="20" t="s">
        <v>23076</v>
      </c>
      <c r="H3580" s="24"/>
      <c r="I3580" s="24" t="str">
        <f ca="1">IFERROR(__xludf.DUMMYFUNCTION("GOOGLETRANSLATE(F3580,""en"",""pt"")"),"Pia conjuntos de abastecimento de água manual")</f>
        <v>Pia conjuntos de abastecimento de água manual</v>
      </c>
      <c r="J3580">
        <f>VLOOKUP(A3580,Pr_Base_LNEC!$A$4:$J$6971,6,FALSE)</f>
        <v>0</v>
      </c>
      <c r="K3580">
        <f>VLOOKUP(A3580,Pr_Base_LNEC!$A$4:$J$6971,7,FALSE)</f>
        <v>0</v>
      </c>
    </row>
    <row r="3581" spans="1:11" ht="14.5">
      <c r="A3581" s="20" t="s">
        <v>23077</v>
      </c>
      <c r="B3581" s="20">
        <v>40</v>
      </c>
      <c r="C3581" s="20">
        <v>20</v>
      </c>
      <c r="D3581" s="20">
        <v>87</v>
      </c>
      <c r="E3581" s="20">
        <v>83</v>
      </c>
      <c r="F3581" s="20" t="s">
        <v>23078</v>
      </c>
      <c r="G3581" s="24"/>
      <c r="H3581" s="24"/>
      <c r="I3581" s="24" t="str">
        <f ca="1">IFERROR(__xludf.DUMMYFUNCTION("GOOGLETRANSLATE(F3581,""en"",""pt"")"),"bicos Sink")</f>
        <v>bicos Sink</v>
      </c>
      <c r="J3581">
        <f>VLOOKUP(A3581,Pr_Base_LNEC!$A$4:$J$6971,6,FALSE)</f>
        <v>0</v>
      </c>
      <c r="K3581">
        <f>VLOOKUP(A3581,Pr_Base_LNEC!$A$4:$J$6971,7,FALSE)</f>
        <v>0</v>
      </c>
    </row>
    <row r="3582" spans="1:11" ht="14.5">
      <c r="A3582" s="20" t="s">
        <v>23079</v>
      </c>
      <c r="B3582" s="20">
        <v>40</v>
      </c>
      <c r="C3582" s="20">
        <v>20</v>
      </c>
      <c r="D3582" s="20">
        <v>87</v>
      </c>
      <c r="E3582" s="20">
        <v>84</v>
      </c>
      <c r="F3582" s="20" t="s">
        <v>23080</v>
      </c>
      <c r="G3582" s="20" t="s">
        <v>23076</v>
      </c>
      <c r="H3582" s="24"/>
      <c r="I3582" s="24" t="str">
        <f ca="1">IFERROR(__xludf.DUMMYFUNCTION("GOOGLETRANSLATE(F3582,""en"",""pt"")"),"pia torneiras")</f>
        <v>pia torneiras</v>
      </c>
      <c r="J3582">
        <f>VLOOKUP(A3582,Pr_Base_LNEC!$A$4:$J$6971,6,FALSE)</f>
        <v>0</v>
      </c>
      <c r="K3582">
        <f>VLOOKUP(A3582,Pr_Base_LNEC!$A$4:$J$6971,7,FALSE)</f>
        <v>0</v>
      </c>
    </row>
    <row r="3583" spans="1:11" ht="14.5">
      <c r="A3583" s="20" t="s">
        <v>23081</v>
      </c>
      <c r="B3583" s="20">
        <v>40</v>
      </c>
      <c r="C3583" s="20">
        <v>20</v>
      </c>
      <c r="D3583" s="20">
        <v>87</v>
      </c>
      <c r="E3583" s="20">
        <v>85</v>
      </c>
      <c r="F3583" s="20" t="s">
        <v>23082</v>
      </c>
      <c r="G3583" s="20" t="s">
        <v>23076</v>
      </c>
      <c r="H3583" s="24"/>
      <c r="I3583" s="24" t="str">
        <f ca="1">IFERROR(__xludf.DUMMYFUNCTION("GOOGLETRANSLATE(F3583,""en"",""pt"")"),"Pia conjuntos de abastecimento de água termostático")</f>
        <v>Pia conjuntos de abastecimento de água termostático</v>
      </c>
      <c r="J3583">
        <f>VLOOKUP(A3583,Pr_Base_LNEC!$A$4:$J$6971,6,FALSE)</f>
        <v>0</v>
      </c>
      <c r="K3583">
        <f>VLOOKUP(A3583,Pr_Base_LNEC!$A$4:$J$6971,7,FALSE)</f>
        <v>0</v>
      </c>
    </row>
    <row r="3584" spans="1:11" ht="14.5">
      <c r="A3584" s="20" t="s">
        <v>23083</v>
      </c>
      <c r="B3584" s="20">
        <v>40</v>
      </c>
      <c r="C3584" s="20">
        <v>20</v>
      </c>
      <c r="D3584" s="20">
        <v>87</v>
      </c>
      <c r="E3584" s="20">
        <v>89</v>
      </c>
      <c r="F3584" s="20" t="s">
        <v>23084</v>
      </c>
      <c r="G3584" s="24"/>
      <c r="H3584" s="24"/>
      <c r="I3584" s="24" t="str">
        <f ca="1">IFERROR(__xludf.DUMMYFUNCTION("GOOGLETRANSLATE(F3584,""en"",""pt"")"),"chuveiros WC")</f>
        <v>chuveiros WC</v>
      </c>
      <c r="J3584" t="e">
        <f>VLOOKUP(A3584,Pr_Base_LNEC!$A$4:$J$6971,6,FALSE)</f>
        <v>#N/A</v>
      </c>
      <c r="K3584" t="e">
        <f>VLOOKUP(A3584,Pr_Base_LNEC!$A$4:$J$6971,7,FALSE)</f>
        <v>#N/A</v>
      </c>
    </row>
    <row r="3585" spans="1:11" ht="14.5">
      <c r="A3585" s="20" t="s">
        <v>23085</v>
      </c>
      <c r="B3585" s="20">
        <v>40</v>
      </c>
      <c r="C3585" s="20">
        <v>20</v>
      </c>
      <c r="D3585" s="20">
        <v>87</v>
      </c>
      <c r="E3585" s="20">
        <v>96</v>
      </c>
      <c r="F3585" s="20" t="s">
        <v>23086</v>
      </c>
      <c r="G3585" s="20" t="s">
        <v>23087</v>
      </c>
      <c r="H3585" s="24"/>
      <c r="I3585" s="24" t="str">
        <f ca="1">IFERROR(__xludf.DUMMYFUNCTION("GOOGLETRANSLATE(F3585,""en"",""pt"")"),"Lavatório conjuntos de abastecimento de água manual")</f>
        <v>Lavatório conjuntos de abastecimento de água manual</v>
      </c>
      <c r="J3585">
        <f>VLOOKUP(A3585,Pr_Base_LNEC!$A$4:$J$6971,6,FALSE)</f>
        <v>0</v>
      </c>
      <c r="K3585">
        <f>VLOOKUP(A3585,Pr_Base_LNEC!$A$4:$J$6971,7,FALSE)</f>
        <v>0</v>
      </c>
    </row>
    <row r="3586" spans="1:11" ht="14.5">
      <c r="A3586" s="20" t="s">
        <v>23088</v>
      </c>
      <c r="B3586" s="20">
        <v>40</v>
      </c>
      <c r="C3586" s="20">
        <v>20</v>
      </c>
      <c r="D3586" s="20">
        <v>87</v>
      </c>
      <c r="E3586" s="20">
        <v>97</v>
      </c>
      <c r="F3586" s="20" t="s">
        <v>23089</v>
      </c>
      <c r="G3586" s="24"/>
      <c r="H3586" s="24"/>
      <c r="I3586" s="24" t="str">
        <f ca="1">IFERROR(__xludf.DUMMYFUNCTION("GOOGLETRANSLATE(F3586,""en"",""pt"")"),"bicos lavatório")</f>
        <v>bicos lavatório</v>
      </c>
      <c r="J3586">
        <f>VLOOKUP(A3586,Pr_Base_LNEC!$A$4:$J$6971,6,FALSE)</f>
        <v>0</v>
      </c>
      <c r="K3586">
        <f>VLOOKUP(A3586,Pr_Base_LNEC!$A$4:$J$6971,7,FALSE)</f>
        <v>0</v>
      </c>
    </row>
    <row r="3587" spans="1:11" ht="14.5">
      <c r="A3587" s="20" t="s">
        <v>23090</v>
      </c>
      <c r="B3587" s="20">
        <v>40</v>
      </c>
      <c r="C3587" s="20">
        <v>20</v>
      </c>
      <c r="D3587" s="20">
        <v>87</v>
      </c>
      <c r="E3587" s="20">
        <v>98</v>
      </c>
      <c r="F3587" s="20" t="s">
        <v>23091</v>
      </c>
      <c r="G3587" s="20" t="s">
        <v>23087</v>
      </c>
      <c r="H3587" s="24"/>
      <c r="I3587" s="24" t="str">
        <f ca="1">IFERROR(__xludf.DUMMYFUNCTION("GOOGLETRANSLATE(F3587,""en"",""pt"")"),"torneiras de lavatório")</f>
        <v>torneiras de lavatório</v>
      </c>
      <c r="J3587">
        <f>VLOOKUP(A3587,Pr_Base_LNEC!$A$4:$J$6971,6,FALSE)</f>
        <v>0</v>
      </c>
      <c r="K3587">
        <f>VLOOKUP(A3587,Pr_Base_LNEC!$A$4:$J$6971,7,FALSE)</f>
        <v>0</v>
      </c>
    </row>
    <row r="3588" spans="1:11" ht="14.5">
      <c r="A3588" s="20" t="s">
        <v>23092</v>
      </c>
      <c r="B3588" s="20">
        <v>40</v>
      </c>
      <c r="C3588" s="20">
        <v>20</v>
      </c>
      <c r="D3588" s="20">
        <v>87</v>
      </c>
      <c r="E3588" s="20">
        <v>99</v>
      </c>
      <c r="F3588" s="20" t="s">
        <v>23093</v>
      </c>
      <c r="G3588" s="20" t="s">
        <v>23087</v>
      </c>
      <c r="H3588" s="24"/>
      <c r="I3588" s="24" t="str">
        <f ca="1">IFERROR(__xludf.DUMMYFUNCTION("GOOGLETRANSLATE(F3588,""en"",""pt"")"),"Lavatório conjuntos de abastecimento de água termostático")</f>
        <v>Lavatório conjuntos de abastecimento de água termostático</v>
      </c>
      <c r="J3588">
        <f>VLOOKUP(A3588,Pr_Base_LNEC!$A$4:$J$6971,6,FALSE)</f>
        <v>0</v>
      </c>
      <c r="K3588">
        <f>VLOOKUP(A3588,Pr_Base_LNEC!$A$4:$J$6971,7,FALSE)</f>
        <v>0</v>
      </c>
    </row>
    <row r="3589" spans="1:11" ht="14.5">
      <c r="A3589" s="20" t="s">
        <v>23094</v>
      </c>
      <c r="B3589" s="20">
        <v>40</v>
      </c>
      <c r="C3589" s="20">
        <v>20</v>
      </c>
      <c r="D3589" s="20">
        <v>93</v>
      </c>
      <c r="E3589" s="24"/>
      <c r="F3589" s="20" t="s">
        <v>23095</v>
      </c>
      <c r="G3589" s="24"/>
      <c r="H3589" s="24"/>
      <c r="I3589" s="24" t="str">
        <f ca="1">IFERROR(__xludf.DUMMYFUNCTION("GOOGLETRANSLATE(F3589,""en"",""pt"")"),"acessórios mictório e WC")</f>
        <v>acessórios mictório e WC</v>
      </c>
      <c r="J3589">
        <f>VLOOKUP(A3589,Pr_Base_LNEC!$A$4:$J$6971,6,FALSE)</f>
        <v>0</v>
      </c>
      <c r="K3589">
        <f>VLOOKUP(A3589,Pr_Base_LNEC!$A$4:$J$6971,7,FALSE)</f>
        <v>0</v>
      </c>
    </row>
    <row r="3590" spans="1:11" ht="14.5">
      <c r="A3590" s="20" t="s">
        <v>23096</v>
      </c>
      <c r="B3590" s="20">
        <v>40</v>
      </c>
      <c r="C3590" s="20">
        <v>20</v>
      </c>
      <c r="D3590" s="20">
        <v>93</v>
      </c>
      <c r="E3590" s="20">
        <v>30</v>
      </c>
      <c r="F3590" s="20" t="s">
        <v>23097</v>
      </c>
      <c r="G3590" s="24"/>
      <c r="H3590" s="24"/>
      <c r="I3590" s="24" t="str">
        <f ca="1">IFERROR(__xludf.DUMMYFUNCTION("GOOGLETRANSLATE(F3590,""en"",""pt"")"),"mictórios de chão")</f>
        <v>mictórios de chão</v>
      </c>
      <c r="J3590" t="e">
        <f>VLOOKUP(A3590,Pr_Base_LNEC!$A$4:$J$6971,6,FALSE)</f>
        <v>#N/A</v>
      </c>
      <c r="K3590" t="e">
        <f>VLOOKUP(A3590,Pr_Base_LNEC!$A$4:$J$6971,7,FALSE)</f>
        <v>#N/A</v>
      </c>
    </row>
    <row r="3591" spans="1:11" ht="14.5">
      <c r="A3591" s="20" t="s">
        <v>23098</v>
      </c>
      <c r="B3591" s="20">
        <v>40</v>
      </c>
      <c r="C3591" s="20">
        <v>20</v>
      </c>
      <c r="D3591" s="20">
        <v>93</v>
      </c>
      <c r="E3591" s="20">
        <v>36</v>
      </c>
      <c r="F3591" s="20" t="s">
        <v>23099</v>
      </c>
      <c r="G3591" s="20" t="s">
        <v>23100</v>
      </c>
      <c r="H3591" s="24"/>
      <c r="I3591" s="24" t="str">
        <f ca="1">IFERROR(__xludf.DUMMYFUNCTION("GOOGLETRANSLATE(F3591,""en"",""pt"")"),"macerators de cuidados de saúde")</f>
        <v>macerators de cuidados de saúde</v>
      </c>
      <c r="J3591">
        <f>VLOOKUP(A3591,Pr_Base_LNEC!$A$4:$J$6971,6,FALSE)</f>
        <v>0</v>
      </c>
      <c r="K3591">
        <f>VLOOKUP(A3591,Pr_Base_LNEC!$A$4:$J$6971,7,FALSE)</f>
        <v>0</v>
      </c>
    </row>
    <row r="3592" spans="1:11" ht="14.5">
      <c r="A3592" s="20" t="s">
        <v>23101</v>
      </c>
      <c r="B3592" s="20">
        <v>40</v>
      </c>
      <c r="C3592" s="20">
        <v>20</v>
      </c>
      <c r="D3592" s="20">
        <v>93</v>
      </c>
      <c r="E3592" s="20">
        <v>37</v>
      </c>
      <c r="F3592" s="20" t="s">
        <v>23102</v>
      </c>
      <c r="G3592" s="20" t="s">
        <v>23103</v>
      </c>
      <c r="H3592" s="24"/>
      <c r="I3592" s="24" t="str">
        <f ca="1">IFERROR(__xludf.DUMMYFUNCTION("GOOGLETRANSLATE(F3592,""en"",""pt"")"),"unidades de eliminação padrão hospitalares")</f>
        <v>unidades de eliminação padrão hospitalares</v>
      </c>
      <c r="J3592">
        <f>VLOOKUP(A3592,Pr_Base_LNEC!$A$4:$J$6971,6,FALSE)</f>
        <v>0</v>
      </c>
      <c r="K3592">
        <f>VLOOKUP(A3592,Pr_Base_LNEC!$A$4:$J$6971,7,FALSE)</f>
        <v>0</v>
      </c>
    </row>
    <row r="3593" spans="1:11" ht="14.5">
      <c r="A3593" s="20" t="s">
        <v>23104</v>
      </c>
      <c r="B3593" s="20">
        <v>40</v>
      </c>
      <c r="C3593" s="20">
        <v>20</v>
      </c>
      <c r="D3593" s="20">
        <v>93</v>
      </c>
      <c r="E3593" s="20">
        <v>38</v>
      </c>
      <c r="F3593" s="20" t="s">
        <v>23105</v>
      </c>
      <c r="G3593" s="24"/>
      <c r="H3593" s="24"/>
      <c r="I3593" s="24" t="str">
        <f ca="1">IFERROR(__xludf.DUMMYFUNCTION("GOOGLETRANSLATE(F3593,""en"",""pt"")"),"mictórios padrão hospitalares")</f>
        <v>mictórios padrão hospitalares</v>
      </c>
      <c r="J3593">
        <f>VLOOKUP(A3593,Pr_Base_LNEC!$A$4:$J$6971,6,FALSE)</f>
        <v>0</v>
      </c>
      <c r="K3593">
        <f>VLOOKUP(A3593,Pr_Base_LNEC!$A$4:$J$6971,7,FALSE)</f>
        <v>0</v>
      </c>
    </row>
    <row r="3594" spans="1:11" ht="14.5">
      <c r="A3594" s="20" t="s">
        <v>23106</v>
      </c>
      <c r="B3594" s="20">
        <v>40</v>
      </c>
      <c r="C3594" s="20">
        <v>20</v>
      </c>
      <c r="D3594" s="20">
        <v>93</v>
      </c>
      <c r="E3594" s="20">
        <v>39</v>
      </c>
      <c r="F3594" s="20" t="s">
        <v>23107</v>
      </c>
      <c r="G3594" s="24"/>
      <c r="H3594" s="24"/>
      <c r="I3594" s="24" t="str">
        <f ca="1">IFERROR(__xludf.DUMMYFUNCTION("GOOGLETRANSLATE(F3594,""en"",""pt"")"),"Hospital panelas padrão WC e cisternas")</f>
        <v>Hospital panelas padrão WC e cisternas</v>
      </c>
      <c r="J3594">
        <f>VLOOKUP(A3594,Pr_Base_LNEC!$A$4:$J$6971,6,FALSE)</f>
        <v>0</v>
      </c>
      <c r="K3594">
        <f>VLOOKUP(A3594,Pr_Base_LNEC!$A$4:$J$6971,7,FALSE)</f>
        <v>0</v>
      </c>
    </row>
    <row r="3595" spans="1:11" ht="14.5">
      <c r="A3595" s="20" t="s">
        <v>23108</v>
      </c>
      <c r="B3595" s="20">
        <v>40</v>
      </c>
      <c r="C3595" s="20">
        <v>20</v>
      </c>
      <c r="D3595" s="20">
        <v>93</v>
      </c>
      <c r="E3595" s="20">
        <v>62</v>
      </c>
      <c r="F3595" s="20" t="s">
        <v>23109</v>
      </c>
      <c r="G3595" s="20" t="s">
        <v>23110</v>
      </c>
      <c r="H3595" s="24"/>
      <c r="I3595" s="24" t="str">
        <f ca="1">IFERROR(__xludf.DUMMYFUNCTION("GOOGLETRANSLATE(F3595,""en"",""pt"")"),"Pré-sondado quadros de instalação")</f>
        <v>Pré-sondado quadros de instalação</v>
      </c>
      <c r="J3595">
        <f>VLOOKUP(A3595,Pr_Base_LNEC!$A$4:$J$6971,6,FALSE)</f>
        <v>0</v>
      </c>
      <c r="K3595">
        <f>VLOOKUP(A3595,Pr_Base_LNEC!$A$4:$J$6971,7,FALSE)</f>
        <v>0</v>
      </c>
    </row>
    <row r="3596" spans="1:11" ht="14.5">
      <c r="A3596" s="20" t="s">
        <v>23111</v>
      </c>
      <c r="B3596" s="20">
        <v>40</v>
      </c>
      <c r="C3596" s="20">
        <v>20</v>
      </c>
      <c r="D3596" s="20">
        <v>93</v>
      </c>
      <c r="E3596" s="20">
        <v>74</v>
      </c>
      <c r="F3596" s="20" t="s">
        <v>23112</v>
      </c>
      <c r="G3596" s="20" t="s">
        <v>23113</v>
      </c>
      <c r="H3596" s="24"/>
      <c r="I3596" s="24" t="str">
        <f ca="1">IFERROR(__xludf.DUMMYFUNCTION("GOOGLETRANSLATE(F3596,""en"",""pt"")"),"divisores mictório")</f>
        <v>divisores mictório</v>
      </c>
      <c r="J3596">
        <f>VLOOKUP(A3596,Pr_Base_LNEC!$A$4:$J$6971,6,FALSE)</f>
        <v>0</v>
      </c>
      <c r="K3596">
        <f>VLOOKUP(A3596,Pr_Base_LNEC!$A$4:$J$6971,7,FALSE)</f>
        <v>0</v>
      </c>
    </row>
    <row r="3597" spans="1:11" ht="14.5">
      <c r="A3597" s="20" t="s">
        <v>23114</v>
      </c>
      <c r="B3597" s="20">
        <v>40</v>
      </c>
      <c r="C3597" s="20">
        <v>20</v>
      </c>
      <c r="D3597" s="20">
        <v>93</v>
      </c>
      <c r="E3597" s="20">
        <v>77</v>
      </c>
      <c r="F3597" s="20" t="s">
        <v>23115</v>
      </c>
      <c r="G3597" s="20" t="s">
        <v>23116</v>
      </c>
      <c r="H3597" s="24"/>
      <c r="I3597" s="24" t="str">
        <f ca="1">IFERROR(__xludf.DUMMYFUNCTION("GOOGLETRANSLATE(F3597,""en"",""pt"")"),"mictórios laje")</f>
        <v>mictórios laje</v>
      </c>
      <c r="J3597">
        <f>VLOOKUP(A3597,Pr_Base_LNEC!$A$4:$J$6971,6,FALSE)</f>
        <v>0</v>
      </c>
      <c r="K3597">
        <f>VLOOKUP(A3597,Pr_Base_LNEC!$A$4:$J$6971,7,FALSE)</f>
        <v>0</v>
      </c>
    </row>
    <row r="3598" spans="1:11" ht="14.5">
      <c r="A3598" s="20" t="s">
        <v>23117</v>
      </c>
      <c r="B3598" s="20">
        <v>40</v>
      </c>
      <c r="C3598" s="20">
        <v>20</v>
      </c>
      <c r="D3598" s="20">
        <v>93</v>
      </c>
      <c r="E3598" s="20">
        <v>78</v>
      </c>
      <c r="F3598" s="20" t="s">
        <v>23118</v>
      </c>
      <c r="G3598" s="20" t="s">
        <v>23119</v>
      </c>
      <c r="H3598" s="24"/>
      <c r="I3598" s="24" t="str">
        <f ca="1">IFERROR(__xludf.DUMMYFUNCTION("GOOGLETRANSLATE(F3598,""en"",""pt"")"),"cisternas mictório")</f>
        <v>cisternas mictório</v>
      </c>
      <c r="J3598">
        <f>VLOOKUP(A3598,Pr_Base_LNEC!$A$4:$J$6971,6,FALSE)</f>
        <v>0</v>
      </c>
      <c r="K3598">
        <f>VLOOKUP(A3598,Pr_Base_LNEC!$A$4:$J$6971,7,FALSE)</f>
        <v>0</v>
      </c>
    </row>
    <row r="3599" spans="1:11" ht="14.5">
      <c r="A3599" s="20" t="s">
        <v>23120</v>
      </c>
      <c r="B3599" s="20">
        <v>40</v>
      </c>
      <c r="C3599" s="20">
        <v>20</v>
      </c>
      <c r="D3599" s="20">
        <v>93</v>
      </c>
      <c r="E3599" s="20">
        <v>79</v>
      </c>
      <c r="F3599" s="20" t="s">
        <v>23121</v>
      </c>
      <c r="G3599" s="20" t="s">
        <v>23122</v>
      </c>
      <c r="H3599" s="24"/>
      <c r="I3599" s="24" t="str">
        <f ca="1">IFERROR(__xludf.DUMMYFUNCTION("GOOGLETRANSLATE(F3599,""en"",""pt"")"),"válvulas de descarga mictório")</f>
        <v>válvulas de descarga mictório</v>
      </c>
      <c r="J3599">
        <f>VLOOKUP(A3599,Pr_Base_LNEC!$A$4:$J$6971,6,FALSE)</f>
        <v>0</v>
      </c>
      <c r="K3599">
        <f>VLOOKUP(A3599,Pr_Base_LNEC!$A$4:$J$6971,7,FALSE)</f>
        <v>0</v>
      </c>
    </row>
    <row r="3600" spans="1:11" ht="14.5">
      <c r="A3600" s="20" t="s">
        <v>23123</v>
      </c>
      <c r="B3600" s="20">
        <v>40</v>
      </c>
      <c r="C3600" s="20">
        <v>20</v>
      </c>
      <c r="D3600" s="20">
        <v>93</v>
      </c>
      <c r="E3600" s="20">
        <v>80</v>
      </c>
      <c r="F3600" s="20" t="s">
        <v>23124</v>
      </c>
      <c r="G3600" s="20" t="s">
        <v>23125</v>
      </c>
      <c r="H3600" s="24"/>
      <c r="I3600" s="24" t="str">
        <f ca="1">IFERROR(__xludf.DUMMYFUNCTION("GOOGLETRANSLATE(F3600,""en"",""pt"")"),"tubos de descarga mictório")</f>
        <v>tubos de descarga mictório</v>
      </c>
      <c r="J3600">
        <f>VLOOKUP(A3600,Pr_Base_LNEC!$A$4:$J$6971,6,FALSE)</f>
        <v>0</v>
      </c>
      <c r="K3600">
        <f>VLOOKUP(A3600,Pr_Base_LNEC!$A$4:$J$6971,7,FALSE)</f>
        <v>0</v>
      </c>
    </row>
    <row r="3601" spans="1:11" ht="14.5">
      <c r="A3601" s="20" t="s">
        <v>23126</v>
      </c>
      <c r="B3601" s="20">
        <v>40</v>
      </c>
      <c r="C3601" s="20">
        <v>20</v>
      </c>
      <c r="D3601" s="20">
        <v>93</v>
      </c>
      <c r="E3601" s="20">
        <v>82</v>
      </c>
      <c r="F3601" s="20" t="s">
        <v>23127</v>
      </c>
      <c r="G3601" s="20" t="s">
        <v>23128</v>
      </c>
      <c r="H3601" s="24"/>
      <c r="I3601" s="24" t="str">
        <f ca="1">IFERROR(__xludf.DUMMYFUNCTION("GOOGLETRANSLATE(F3601,""en"",""pt"")"),"mictórios Wall-hung")</f>
        <v>mictórios Wall-hung</v>
      </c>
      <c r="J3601">
        <f>VLOOKUP(A3601,Pr_Base_LNEC!$A$4:$J$6971,6,FALSE)</f>
        <v>0</v>
      </c>
      <c r="K3601">
        <f>VLOOKUP(A3601,Pr_Base_LNEC!$A$4:$J$6971,7,FALSE)</f>
        <v>0</v>
      </c>
    </row>
    <row r="3602" spans="1:11" ht="14.5">
      <c r="A3602" s="20" t="s">
        <v>23129</v>
      </c>
      <c r="B3602" s="20">
        <v>40</v>
      </c>
      <c r="C3602" s="20">
        <v>20</v>
      </c>
      <c r="D3602" s="20">
        <v>93</v>
      </c>
      <c r="E3602" s="20">
        <v>84</v>
      </c>
      <c r="F3602" s="20" t="s">
        <v>23130</v>
      </c>
      <c r="G3602" s="20" t="s">
        <v>23131</v>
      </c>
      <c r="H3602" s="24"/>
      <c r="I3602" s="24" t="str">
        <f ca="1">IFERROR(__xludf.DUMMYFUNCTION("GOOGLETRANSLATE(F3602,""en"",""pt"")"),"mictórios sem água")</f>
        <v>mictórios sem água</v>
      </c>
      <c r="J3602">
        <f>VLOOKUP(A3602,Pr_Base_LNEC!$A$4:$J$6971,6,FALSE)</f>
        <v>0</v>
      </c>
      <c r="K3602">
        <f>VLOOKUP(A3602,Pr_Base_LNEC!$A$4:$J$6971,7,FALSE)</f>
        <v>0</v>
      </c>
    </row>
    <row r="3603" spans="1:11" ht="14.5">
      <c r="A3603" s="20" t="s">
        <v>23132</v>
      </c>
      <c r="B3603" s="20">
        <v>40</v>
      </c>
      <c r="C3603" s="20">
        <v>20</v>
      </c>
      <c r="D3603" s="20">
        <v>93</v>
      </c>
      <c r="E3603" s="20">
        <v>85</v>
      </c>
      <c r="F3603" s="20" t="s">
        <v>23133</v>
      </c>
      <c r="G3603" s="20" t="s">
        <v>23134</v>
      </c>
      <c r="H3603" s="24"/>
      <c r="I3603" s="24" t="str">
        <f ca="1">IFERROR(__xludf.DUMMYFUNCTION("GOOGLETRANSLATE(F3603,""en"",""pt"")"),"banheiros sem água")</f>
        <v>banheiros sem água</v>
      </c>
      <c r="J3603">
        <f>VLOOKUP(A3603,Pr_Base_LNEC!$A$4:$J$6971,6,FALSE)</f>
        <v>0</v>
      </c>
      <c r="K3603">
        <f>VLOOKUP(A3603,Pr_Base_LNEC!$A$4:$J$6971,7,FALSE)</f>
        <v>0</v>
      </c>
    </row>
    <row r="3604" spans="1:11" ht="14.5">
      <c r="A3604" s="20" t="s">
        <v>23135</v>
      </c>
      <c r="B3604" s="20">
        <v>40</v>
      </c>
      <c r="C3604" s="20">
        <v>20</v>
      </c>
      <c r="D3604" s="20">
        <v>93</v>
      </c>
      <c r="E3604" s="20">
        <v>86</v>
      </c>
      <c r="F3604" s="20" t="s">
        <v>23136</v>
      </c>
      <c r="G3604" s="20" t="s">
        <v>23137</v>
      </c>
      <c r="H3604" s="24"/>
      <c r="I3604" s="24" t="str">
        <f ca="1">IFERROR(__xludf.DUMMYFUNCTION("GOOGLETRANSLATE(F3604,""en"",""pt"")"),"WC e unidades lavatórios combinado")</f>
        <v>WC e unidades lavatórios combinado</v>
      </c>
      <c r="J3604">
        <f>VLOOKUP(A3604,Pr_Base_LNEC!$A$4:$J$6971,6,FALSE)</f>
        <v>0</v>
      </c>
      <c r="K3604">
        <f>VLOOKUP(A3604,Pr_Base_LNEC!$A$4:$J$6971,7,FALSE)</f>
        <v>0</v>
      </c>
    </row>
    <row r="3605" spans="1:11" ht="14.5">
      <c r="A3605" s="20" t="s">
        <v>23138</v>
      </c>
      <c r="B3605" s="20">
        <v>40</v>
      </c>
      <c r="C3605" s="20">
        <v>20</v>
      </c>
      <c r="D3605" s="20">
        <v>93</v>
      </c>
      <c r="E3605" s="20">
        <v>87</v>
      </c>
      <c r="F3605" s="20" t="s">
        <v>23139</v>
      </c>
      <c r="G3605" s="20" t="s">
        <v>23140</v>
      </c>
      <c r="H3605" s="24"/>
      <c r="I3605" s="24" t="str">
        <f ca="1">IFERROR(__xludf.DUMMYFUNCTION("GOOGLETRANSLATE(F3605,""en"",""pt"")"),"acessórios cisterna WC")</f>
        <v>acessórios cisterna WC</v>
      </c>
      <c r="J3605">
        <f>VLOOKUP(A3605,Pr_Base_LNEC!$A$4:$J$6971,6,FALSE)</f>
        <v>0</v>
      </c>
      <c r="K3605">
        <f>VLOOKUP(A3605,Pr_Base_LNEC!$A$4:$J$6971,7,FALSE)</f>
        <v>0</v>
      </c>
    </row>
    <row r="3606" spans="1:11" ht="14.5">
      <c r="A3606" s="20" t="s">
        <v>23141</v>
      </c>
      <c r="B3606" s="20">
        <v>40</v>
      </c>
      <c r="C3606" s="20">
        <v>20</v>
      </c>
      <c r="D3606" s="20">
        <v>93</v>
      </c>
      <c r="E3606" s="20">
        <v>89</v>
      </c>
      <c r="F3606" s="20" t="s">
        <v>23142</v>
      </c>
      <c r="G3606" s="20" t="s">
        <v>23143</v>
      </c>
      <c r="H3606" s="24"/>
      <c r="I3606" s="24" t="str">
        <f ca="1">IFERROR(__xludf.DUMMYFUNCTION("GOOGLETRANSLATE(F3606,""en"",""pt"")"),"autoclismos")</f>
        <v>autoclismos</v>
      </c>
      <c r="J3606">
        <f>VLOOKUP(A3606,Pr_Base_LNEC!$A$4:$J$6971,6,FALSE)</f>
        <v>0</v>
      </c>
      <c r="K3606">
        <f>VLOOKUP(A3606,Pr_Base_LNEC!$A$4:$J$6971,7,FALSE)</f>
        <v>0</v>
      </c>
    </row>
    <row r="3607" spans="1:11" ht="14.5">
      <c r="A3607" s="20" t="s">
        <v>23144</v>
      </c>
      <c r="B3607" s="20">
        <v>40</v>
      </c>
      <c r="C3607" s="20">
        <v>20</v>
      </c>
      <c r="D3607" s="20">
        <v>93</v>
      </c>
      <c r="E3607" s="20">
        <v>90</v>
      </c>
      <c r="F3607" s="20" t="s">
        <v>23145</v>
      </c>
      <c r="G3607" s="20" t="s">
        <v>23146</v>
      </c>
      <c r="H3607" s="24"/>
      <c r="I3607" s="24" t="str">
        <f ca="1">IFERROR(__xludf.DUMMYFUNCTION("GOOGLETRANSLATE(F3607,""en"",""pt"")"),"WC tubos cisterna nivelados")</f>
        <v>WC tubos cisterna nivelados</v>
      </c>
      <c r="J3607">
        <f>VLOOKUP(A3607,Pr_Base_LNEC!$A$4:$J$6971,6,FALSE)</f>
        <v>0</v>
      </c>
      <c r="K3607">
        <f>VLOOKUP(A3607,Pr_Base_LNEC!$A$4:$J$6971,7,FALSE)</f>
        <v>0</v>
      </c>
    </row>
    <row r="3608" spans="1:11" ht="14.5">
      <c r="A3608" s="20" t="s">
        <v>23147</v>
      </c>
      <c r="B3608" s="20">
        <v>40</v>
      </c>
      <c r="C3608" s="20">
        <v>20</v>
      </c>
      <c r="D3608" s="20">
        <v>93</v>
      </c>
      <c r="E3608" s="20">
        <v>91</v>
      </c>
      <c r="F3608" s="20" t="s">
        <v>23148</v>
      </c>
      <c r="G3608" s="20" t="s">
        <v>23149</v>
      </c>
      <c r="H3608" s="24"/>
      <c r="I3608" s="24" t="str">
        <f ca="1">IFERROR(__xludf.DUMMYFUNCTION("GOOGLETRANSLATE(F3608,""en"",""pt"")"),"As válvulas de descarga WC")</f>
        <v>As válvulas de descarga WC</v>
      </c>
      <c r="J3608">
        <f>VLOOKUP(A3608,Pr_Base_LNEC!$A$4:$J$6971,6,FALSE)</f>
        <v>0</v>
      </c>
      <c r="K3608">
        <f>VLOOKUP(A3608,Pr_Base_LNEC!$A$4:$J$6971,7,FALSE)</f>
        <v>0</v>
      </c>
    </row>
    <row r="3609" spans="1:11" ht="14.5">
      <c r="A3609" s="20" t="s">
        <v>23150</v>
      </c>
      <c r="B3609" s="20">
        <v>40</v>
      </c>
      <c r="C3609" s="20">
        <v>20</v>
      </c>
      <c r="D3609" s="20">
        <v>93</v>
      </c>
      <c r="E3609" s="20">
        <v>92</v>
      </c>
      <c r="F3609" s="20" t="s">
        <v>23151</v>
      </c>
      <c r="G3609" s="24"/>
      <c r="H3609" s="24"/>
      <c r="I3609" s="24" t="str">
        <f ca="1">IFERROR(__xludf.DUMMYFUNCTION("GOOGLETRANSLATE(F3609,""en"",""pt"")"),"cisternas de substituição grande capacidade WC")</f>
        <v>cisternas de substituição grande capacidade WC</v>
      </c>
      <c r="J3609">
        <f>VLOOKUP(A3609,Pr_Base_LNEC!$A$4:$J$6971,6,FALSE)</f>
        <v>0</v>
      </c>
      <c r="K3609">
        <f>VLOOKUP(A3609,Pr_Base_LNEC!$A$4:$J$6971,7,FALSE)</f>
        <v>0</v>
      </c>
    </row>
    <row r="3610" spans="1:11" ht="14.5">
      <c r="A3610" s="20" t="s">
        <v>23152</v>
      </c>
      <c r="B3610" s="20">
        <v>40</v>
      </c>
      <c r="C3610" s="20">
        <v>20</v>
      </c>
      <c r="D3610" s="20">
        <v>93</v>
      </c>
      <c r="E3610" s="20">
        <v>93</v>
      </c>
      <c r="F3610" s="20" t="s">
        <v>23153</v>
      </c>
      <c r="G3610" s="20" t="s">
        <v>23154</v>
      </c>
      <c r="H3610" s="24"/>
      <c r="I3610" s="24" t="str">
        <f ca="1">IFERROR(__xludf.DUMMYFUNCTION("GOOGLETRANSLATE(F3610,""en"",""pt"")"),"conectores sanita")</f>
        <v>conectores sanita</v>
      </c>
      <c r="J3610">
        <f>VLOOKUP(A3610,Pr_Base_LNEC!$A$4:$J$6971,6,FALSE)</f>
        <v>0</v>
      </c>
      <c r="K3610">
        <f>VLOOKUP(A3610,Pr_Base_LNEC!$A$4:$J$6971,7,FALSE)</f>
        <v>0</v>
      </c>
    </row>
    <row r="3611" spans="1:11" ht="14.5">
      <c r="A3611" s="20" t="s">
        <v>23155</v>
      </c>
      <c r="B3611" s="20">
        <v>40</v>
      </c>
      <c r="C3611" s="20">
        <v>20</v>
      </c>
      <c r="D3611" s="20">
        <v>93</v>
      </c>
      <c r="E3611" s="20">
        <v>94</v>
      </c>
      <c r="F3611" s="20" t="s">
        <v>23156</v>
      </c>
      <c r="G3611" s="20" t="s">
        <v>23157</v>
      </c>
      <c r="H3611" s="24"/>
      <c r="I3611" s="24" t="str">
        <f ca="1">IFERROR(__xludf.DUMMYFUNCTION("GOOGLETRANSLATE(F3611,""en"",""pt"")"),"sanitas")</f>
        <v>sanitas</v>
      </c>
      <c r="J3611">
        <f>VLOOKUP(A3611,Pr_Base_LNEC!$A$4:$J$6971,6,FALSE)</f>
        <v>0</v>
      </c>
      <c r="K3611">
        <f>VLOOKUP(A3611,Pr_Base_LNEC!$A$4:$J$6971,7,FALSE)</f>
        <v>0</v>
      </c>
    </row>
    <row r="3612" spans="1:11" ht="14.5">
      <c r="A3612" s="20" t="s">
        <v>23158</v>
      </c>
      <c r="B3612" s="20">
        <v>40</v>
      </c>
      <c r="C3612" s="20">
        <v>20</v>
      </c>
      <c r="D3612" s="20">
        <v>93</v>
      </c>
      <c r="E3612" s="20">
        <v>95</v>
      </c>
      <c r="F3612" s="20" t="s">
        <v>23159</v>
      </c>
      <c r="G3612" s="20" t="s">
        <v>23160</v>
      </c>
      <c r="H3612" s="24"/>
      <c r="I3612" s="24" t="str">
        <f ca="1">IFERROR(__xludf.DUMMYFUNCTION("GOOGLETRANSLATE(F3612,""en"",""pt"")"),"assentos e tampas WC")</f>
        <v>assentos e tampas WC</v>
      </c>
      <c r="J3612">
        <f>VLOOKUP(A3612,Pr_Base_LNEC!$A$4:$J$6971,6,FALSE)</f>
        <v>0</v>
      </c>
      <c r="K3612">
        <f>VLOOKUP(A3612,Pr_Base_LNEC!$A$4:$J$6971,7,FALSE)</f>
        <v>0</v>
      </c>
    </row>
    <row r="3613" spans="1:11" ht="14.5">
      <c r="A3613" s="20" t="s">
        <v>23161</v>
      </c>
      <c r="B3613" s="20">
        <v>40</v>
      </c>
      <c r="C3613" s="20">
        <v>20</v>
      </c>
      <c r="D3613" s="20">
        <v>93</v>
      </c>
      <c r="E3613" s="20">
        <v>96</v>
      </c>
      <c r="F3613" s="20" t="s">
        <v>23162</v>
      </c>
      <c r="G3613" s="20" t="s">
        <v>23163</v>
      </c>
      <c r="H3613" s="24"/>
      <c r="I3613" s="24" t="str">
        <f ca="1">IFERROR(__xludf.DUMMYFUNCTION("GOOGLETRANSLATE(F3613,""en"",""pt"")"),"sanitas squatting")</f>
        <v>sanitas squatting</v>
      </c>
      <c r="J3613">
        <f>VLOOKUP(A3613,Pr_Base_LNEC!$A$4:$J$6971,6,FALSE)</f>
        <v>0</v>
      </c>
      <c r="K3613">
        <f>VLOOKUP(A3613,Pr_Base_LNEC!$A$4:$J$6971,7,FALSE)</f>
        <v>0</v>
      </c>
    </row>
    <row r="3614" spans="1:11" ht="14.5">
      <c r="A3614" s="20" t="s">
        <v>23164</v>
      </c>
      <c r="B3614" s="20">
        <v>40</v>
      </c>
      <c r="C3614" s="20">
        <v>20</v>
      </c>
      <c r="D3614" s="20">
        <v>93</v>
      </c>
      <c r="E3614" s="20">
        <v>97</v>
      </c>
      <c r="F3614" s="20" t="s">
        <v>23165</v>
      </c>
      <c r="G3614" s="20" t="s">
        <v>23166</v>
      </c>
      <c r="H3614" s="24"/>
      <c r="I3614" s="24" t="str">
        <f ca="1">IFERROR(__xludf.DUMMYFUNCTION("GOOGLETRANSLATE(F3614,""en"",""pt"")"),"suites WC")</f>
        <v>suites WC</v>
      </c>
      <c r="J3614">
        <f>VLOOKUP(A3614,Pr_Base_LNEC!$A$4:$J$6971,6,FALSE)</f>
        <v>0</v>
      </c>
      <c r="K3614">
        <f>VLOOKUP(A3614,Pr_Base_LNEC!$A$4:$J$6971,7,FALSE)</f>
        <v>0</v>
      </c>
    </row>
    <row r="3615" spans="1:11" ht="14.5">
      <c r="A3615" s="20" t="s">
        <v>23167</v>
      </c>
      <c r="B3615" s="20">
        <v>40</v>
      </c>
      <c r="C3615" s="20">
        <v>20</v>
      </c>
      <c r="D3615" s="20">
        <v>93</v>
      </c>
      <c r="E3615" s="20">
        <v>99</v>
      </c>
      <c r="F3615" s="20" t="s">
        <v>23168</v>
      </c>
      <c r="G3615" s="20" t="s">
        <v>23169</v>
      </c>
      <c r="H3615" s="24"/>
      <c r="I3615" s="24" t="str">
        <f ca="1">IFERROR(__xludf.DUMMYFUNCTION("GOOGLETRANSLATE(F3615,""en"",""pt"")"),"WC, lavagem e unidades secos combinados")</f>
        <v>WC, lavagem e unidades secos combinados</v>
      </c>
      <c r="J3615">
        <f>VLOOKUP(A3615,Pr_Base_LNEC!$A$4:$J$6971,6,FALSE)</f>
        <v>0</v>
      </c>
      <c r="K3615">
        <f>VLOOKUP(A3615,Pr_Base_LNEC!$A$4:$J$6971,7,FALSE)</f>
        <v>0</v>
      </c>
    </row>
    <row r="3616" spans="1:11" ht="14.5">
      <c r="A3616" s="20" t="s">
        <v>23170</v>
      </c>
      <c r="B3616" s="20">
        <v>40</v>
      </c>
      <c r="C3616" s="20">
        <v>20</v>
      </c>
      <c r="D3616" s="20">
        <v>96</v>
      </c>
      <c r="E3616" s="24"/>
      <c r="F3616" s="20" t="s">
        <v>23171</v>
      </c>
      <c r="G3616" s="24"/>
      <c r="H3616" s="24"/>
      <c r="I3616" s="24" t="str">
        <f ca="1">IFERROR(__xludf.DUMMYFUNCTION("GOOGLETRANSLATE(F3616,""en"",""pt"")"),"Lavatórios, pias e depressões")</f>
        <v>Lavatórios, pias e depressões</v>
      </c>
      <c r="J3616">
        <f>VLOOKUP(A3616,Pr_Base_LNEC!$A$4:$J$6971,6,FALSE)</f>
        <v>0</v>
      </c>
      <c r="K3616">
        <f>VLOOKUP(A3616,Pr_Base_LNEC!$A$4:$J$6971,7,FALSE)</f>
        <v>0</v>
      </c>
    </row>
    <row r="3617" spans="1:11" ht="14.5">
      <c r="A3617" s="20" t="s">
        <v>23172</v>
      </c>
      <c r="B3617" s="20">
        <v>40</v>
      </c>
      <c r="C3617" s="20">
        <v>20</v>
      </c>
      <c r="D3617" s="20">
        <v>96</v>
      </c>
      <c r="E3617" s="20">
        <v>15</v>
      </c>
      <c r="F3617" s="20" t="s">
        <v>23173</v>
      </c>
      <c r="G3617" s="20" t="s">
        <v>23174</v>
      </c>
      <c r="H3617" s="24"/>
      <c r="I3617" s="24" t="str">
        <f ca="1">IFERROR(__xludf.DUMMYFUNCTION("GOOGLETRANSLATE(F3617,""en"",""pt"")"),"pias")</f>
        <v>pias</v>
      </c>
      <c r="J3617">
        <f>VLOOKUP(A3617,Pr_Base_LNEC!$A$4:$J$6971,6,FALSE)</f>
        <v>0</v>
      </c>
      <c r="K3617">
        <f>VLOOKUP(A3617,Pr_Base_LNEC!$A$4:$J$6971,7,FALSE)</f>
        <v>0</v>
      </c>
    </row>
    <row r="3618" spans="1:11" ht="14.5">
      <c r="A3618" s="20" t="s">
        <v>23175</v>
      </c>
      <c r="B3618" s="20">
        <v>40</v>
      </c>
      <c r="C3618" s="20">
        <v>20</v>
      </c>
      <c r="D3618" s="20">
        <v>96</v>
      </c>
      <c r="E3618" s="20">
        <v>17</v>
      </c>
      <c r="F3618" s="20" t="s">
        <v>23176</v>
      </c>
      <c r="G3618" s="20" t="s">
        <v>23177</v>
      </c>
      <c r="H3618" s="24"/>
      <c r="I3618" s="24" t="str">
        <f ca="1">IFERROR(__xludf.DUMMYFUNCTION("GOOGLETRANSLATE(F3618,""en"",""pt"")"),"cozinha enxaguar pias comerciais")</f>
        <v>cozinha enxaguar pias comerciais</v>
      </c>
      <c r="J3618">
        <f>VLOOKUP(A3618,Pr_Base_LNEC!$A$4:$J$6971,6,FALSE)</f>
        <v>0</v>
      </c>
      <c r="K3618">
        <f>VLOOKUP(A3618,Pr_Base_LNEC!$A$4:$J$6971,7,FALSE)</f>
        <v>0</v>
      </c>
    </row>
    <row r="3619" spans="1:11" ht="14.5">
      <c r="A3619" s="20" t="s">
        <v>23178</v>
      </c>
      <c r="B3619" s="20">
        <v>40</v>
      </c>
      <c r="C3619" s="20">
        <v>20</v>
      </c>
      <c r="D3619" s="20">
        <v>96</v>
      </c>
      <c r="E3619" s="20">
        <v>18</v>
      </c>
      <c r="F3619" s="20" t="s">
        <v>23179</v>
      </c>
      <c r="G3619" s="20" t="s">
        <v>23180</v>
      </c>
      <c r="H3619" s="24"/>
      <c r="I3619" s="24" t="str">
        <f ca="1">IFERROR(__xludf.DUMMYFUNCTION("GOOGLETRANSLATE(F3619,""en"",""pt"")"),"Contador lavatórios topo")</f>
        <v>Contador lavatórios topo</v>
      </c>
      <c r="J3619">
        <f>VLOOKUP(A3619,Pr_Base_LNEC!$A$4:$J$6971,6,FALSE)</f>
        <v>0</v>
      </c>
      <c r="K3619">
        <f>VLOOKUP(A3619,Pr_Base_LNEC!$A$4:$J$6971,7,FALSE)</f>
        <v>0</v>
      </c>
    </row>
    <row r="3620" spans="1:11" ht="14.5">
      <c r="A3620" s="20" t="s">
        <v>23181</v>
      </c>
      <c r="B3620" s="20">
        <v>40</v>
      </c>
      <c r="C3620" s="20">
        <v>20</v>
      </c>
      <c r="D3620" s="20">
        <v>96</v>
      </c>
      <c r="E3620" s="20">
        <v>34</v>
      </c>
      <c r="F3620" s="20" t="s">
        <v>23182</v>
      </c>
      <c r="G3620" s="24"/>
      <c r="H3620" s="24"/>
      <c r="I3620" s="24" t="str">
        <f ca="1">IFERROR(__xludf.DUMMYFUNCTION("GOOGLETRANSLATE(F3620,""en"",""pt"")"),"Cuidados de saúde pias clínicos com drainers")</f>
        <v>Cuidados de saúde pias clínicos com drainers</v>
      </c>
      <c r="J3620">
        <f>VLOOKUP(A3620,Pr_Base_LNEC!$A$4:$J$6971,6,FALSE)</f>
        <v>0</v>
      </c>
      <c r="K3620">
        <f>VLOOKUP(A3620,Pr_Base_LNEC!$A$4:$J$6971,7,FALSE)</f>
        <v>0</v>
      </c>
    </row>
    <row r="3621" spans="1:11" ht="14.5">
      <c r="A3621" s="20" t="s">
        <v>23183</v>
      </c>
      <c r="B3621" s="20">
        <v>40</v>
      </c>
      <c r="C3621" s="20">
        <v>20</v>
      </c>
      <c r="D3621" s="20">
        <v>96</v>
      </c>
      <c r="E3621" s="20">
        <v>35</v>
      </c>
      <c r="F3621" s="20" t="s">
        <v>23184</v>
      </c>
      <c r="G3621" s="24"/>
      <c r="H3621" s="24"/>
      <c r="I3621" s="24" t="str">
        <f ca="1">IFERROR(__xludf.DUMMYFUNCTION("GOOGLETRANSLATE(F3621,""en"",""pt"")"),"Cuidados de saúde lavatórios clínicos")</f>
        <v>Cuidados de saúde lavatórios clínicos</v>
      </c>
      <c r="J3621">
        <f>VLOOKUP(A3621,Pr_Base_LNEC!$A$4:$J$6971,6,FALSE)</f>
        <v>0</v>
      </c>
      <c r="K3621">
        <f>VLOOKUP(A3621,Pr_Base_LNEC!$A$4:$J$6971,7,FALSE)</f>
        <v>0</v>
      </c>
    </row>
    <row r="3622" spans="1:11" ht="14.5">
      <c r="A3622" s="20" t="s">
        <v>23185</v>
      </c>
      <c r="B3622" s="20">
        <v>40</v>
      </c>
      <c r="C3622" s="20">
        <v>20</v>
      </c>
      <c r="D3622" s="20">
        <v>96</v>
      </c>
      <c r="E3622" s="20">
        <v>36</v>
      </c>
      <c r="F3622" s="20" t="s">
        <v>23186</v>
      </c>
      <c r="G3622" s="24"/>
      <c r="H3622" s="24"/>
      <c r="I3622" s="24" t="str">
        <f ca="1">IFERROR(__xludf.DUMMYFUNCTION("GOOGLETRANSLATE(F3622,""en"",""pt"")"),"Cuidados de saúde pias de serviços domésticos")</f>
        <v>Cuidados de saúde pias de serviços domésticos</v>
      </c>
      <c r="J3622">
        <f>VLOOKUP(A3622,Pr_Base_LNEC!$A$4:$J$6971,6,FALSE)</f>
        <v>0</v>
      </c>
      <c r="K3622">
        <f>VLOOKUP(A3622,Pr_Base_LNEC!$A$4:$J$6971,7,FALSE)</f>
        <v>0</v>
      </c>
    </row>
    <row r="3623" spans="1:11" ht="14.5">
      <c r="A3623" s="20" t="s">
        <v>23187</v>
      </c>
      <c r="B3623" s="20">
        <v>40</v>
      </c>
      <c r="C3623" s="20">
        <v>20</v>
      </c>
      <c r="D3623" s="20">
        <v>96</v>
      </c>
      <c r="E3623" s="20">
        <v>37</v>
      </c>
      <c r="F3623" s="20" t="s">
        <v>23188</v>
      </c>
      <c r="G3623" s="24"/>
      <c r="H3623" s="24"/>
      <c r="I3623" s="24" t="str">
        <f ca="1">IFERROR(__xludf.DUMMYFUNCTION("GOOGLETRANSLATE(F3623,""en"",""pt"")"),"cuidados de saúde lavatórios geral")</f>
        <v>cuidados de saúde lavatórios geral</v>
      </c>
      <c r="J3623">
        <f>VLOOKUP(A3623,Pr_Base_LNEC!$A$4:$J$6971,6,FALSE)</f>
        <v>0</v>
      </c>
      <c r="K3623">
        <f>VLOOKUP(A3623,Pr_Base_LNEC!$A$4:$J$6971,7,FALSE)</f>
        <v>0</v>
      </c>
    </row>
    <row r="3624" spans="1:11" ht="14.5">
      <c r="A3624" s="20" t="s">
        <v>23189</v>
      </c>
      <c r="B3624" s="20">
        <v>40</v>
      </c>
      <c r="C3624" s="20">
        <v>20</v>
      </c>
      <c r="D3624" s="20">
        <v>96</v>
      </c>
      <c r="E3624" s="20">
        <v>38</v>
      </c>
      <c r="F3624" s="20" t="s">
        <v>23190</v>
      </c>
      <c r="G3624" s="24"/>
      <c r="H3624" s="24"/>
      <c r="I3624" s="24" t="str">
        <f ca="1">IFERROR(__xludf.DUMMYFUNCTION("GOOGLETRANSLATE(F3624,""en"",""pt"")"),"cuidados de saúde bacias enxágüe mão")</f>
        <v>cuidados de saúde bacias enxágüe mão</v>
      </c>
      <c r="J3624">
        <f>VLOOKUP(A3624,Pr_Base_LNEC!$A$4:$J$6971,6,FALSE)</f>
        <v>0</v>
      </c>
      <c r="K3624">
        <f>VLOOKUP(A3624,Pr_Base_LNEC!$A$4:$J$6971,7,FALSE)</f>
        <v>0</v>
      </c>
    </row>
    <row r="3625" spans="1:11" ht="14.5">
      <c r="A3625" s="20" t="s">
        <v>23191</v>
      </c>
      <c r="B3625" s="20">
        <v>40</v>
      </c>
      <c r="C3625" s="20">
        <v>20</v>
      </c>
      <c r="D3625" s="20">
        <v>96</v>
      </c>
      <c r="E3625" s="20">
        <v>39</v>
      </c>
      <c r="F3625" s="20" t="s">
        <v>23192</v>
      </c>
      <c r="G3625" s="20" t="s">
        <v>23193</v>
      </c>
      <c r="H3625" s="24"/>
      <c r="I3625" s="24" t="str">
        <f ca="1">IFERROR(__xludf.DUMMYFUNCTION("GOOGLETRANSLATE(F3625,""en"",""pt"")"),"Hospital pias padrão de gesso")</f>
        <v>Hospital pias padrão de gesso</v>
      </c>
      <c r="J3625">
        <f>VLOOKUP(A3625,Pr_Base_LNEC!$A$4:$J$6971,6,FALSE)</f>
        <v>0</v>
      </c>
      <c r="K3625">
        <f>VLOOKUP(A3625,Pr_Base_LNEC!$A$4:$J$6971,7,FALSE)</f>
        <v>0</v>
      </c>
    </row>
    <row r="3626" spans="1:11" ht="14.5">
      <c r="A3626" s="20" t="s">
        <v>23194</v>
      </c>
      <c r="B3626" s="20">
        <v>40</v>
      </c>
      <c r="C3626" s="20">
        <v>20</v>
      </c>
      <c r="D3626" s="20">
        <v>96</v>
      </c>
      <c r="E3626" s="20">
        <v>40</v>
      </c>
      <c r="F3626" s="20" t="s">
        <v>23195</v>
      </c>
      <c r="G3626" s="24"/>
      <c r="H3626" s="24"/>
      <c r="I3626" s="24" t="str">
        <f ca="1">IFERROR(__xludf.DUMMYFUNCTION("GOOGLETRANSLATE(F3626,""en"",""pt"")"),"padrão Hospital calhas esfrega-up")</f>
        <v>padrão Hospital calhas esfrega-up</v>
      </c>
      <c r="J3626">
        <f>VLOOKUP(A3626,Pr_Base_LNEC!$A$4:$J$6971,6,FALSE)</f>
        <v>0</v>
      </c>
      <c r="K3626">
        <f>VLOOKUP(A3626,Pr_Base_LNEC!$A$4:$J$6971,7,FALSE)</f>
        <v>0</v>
      </c>
    </row>
    <row r="3627" spans="1:11" ht="14.5">
      <c r="A3627" s="20" t="s">
        <v>23196</v>
      </c>
      <c r="B3627" s="20">
        <v>40</v>
      </c>
      <c r="C3627" s="20">
        <v>20</v>
      </c>
      <c r="D3627" s="20">
        <v>96</v>
      </c>
      <c r="E3627" s="20">
        <v>42</v>
      </c>
      <c r="F3627" s="20" t="s">
        <v>23197</v>
      </c>
      <c r="G3627" s="20" t="s">
        <v>23198</v>
      </c>
      <c r="H3627" s="24"/>
      <c r="I3627" s="24" t="str">
        <f ca="1">IFERROR(__xludf.DUMMYFUNCTION("GOOGLETRANSLATE(F3627,""en"",""pt"")"),"Integrante lavatórios e tampos")</f>
        <v>Integrante lavatórios e tampos</v>
      </c>
      <c r="J3627">
        <f>VLOOKUP(A3627,Pr_Base_LNEC!$A$4:$J$6971,6,FALSE)</f>
        <v>0</v>
      </c>
      <c r="K3627">
        <f>VLOOKUP(A3627,Pr_Base_LNEC!$A$4:$J$6971,7,FALSE)</f>
        <v>0</v>
      </c>
    </row>
    <row r="3628" spans="1:11" ht="14.5">
      <c r="A3628" s="20" t="s">
        <v>23199</v>
      </c>
      <c r="B3628" s="20">
        <v>40</v>
      </c>
      <c r="C3628" s="20">
        <v>20</v>
      </c>
      <c r="D3628" s="20">
        <v>96</v>
      </c>
      <c r="E3628" s="20">
        <v>44</v>
      </c>
      <c r="F3628" s="20" t="s">
        <v>23200</v>
      </c>
      <c r="G3628" s="20" t="s">
        <v>23201</v>
      </c>
      <c r="H3628" s="24"/>
      <c r="I3628" s="24" t="str">
        <f ca="1">IFERROR(__xludf.DUMMYFUNCTION("GOOGLETRANSLATE(F3628,""en"",""pt"")"),"pias de zeladoria")</f>
        <v>pias de zeladoria</v>
      </c>
      <c r="J3628">
        <f>VLOOKUP(A3628,Pr_Base_LNEC!$A$4:$J$6971,6,FALSE)</f>
        <v>0</v>
      </c>
      <c r="K3628">
        <f>VLOOKUP(A3628,Pr_Base_LNEC!$A$4:$J$6971,7,FALSE)</f>
        <v>0</v>
      </c>
    </row>
    <row r="3629" spans="1:11" ht="14.5">
      <c r="A3629" s="20" t="s">
        <v>23202</v>
      </c>
      <c r="B3629" s="20">
        <v>40</v>
      </c>
      <c r="C3629" s="20">
        <v>20</v>
      </c>
      <c r="D3629" s="20">
        <v>96</v>
      </c>
      <c r="E3629" s="20">
        <v>45</v>
      </c>
      <c r="F3629" s="20" t="s">
        <v>23203</v>
      </c>
      <c r="G3629" s="20" t="s">
        <v>23204</v>
      </c>
      <c r="H3629" s="24"/>
      <c r="I3629" s="24" t="str">
        <f ca="1">IFERROR(__xludf.DUMMYFUNCTION("GOOGLETRANSLATE(F3629,""en"",""pt"")"),"pias de cozinha")</f>
        <v>pias de cozinha</v>
      </c>
      <c r="J3629">
        <f>VLOOKUP(A3629,Pr_Base_LNEC!$A$4:$J$6971,6,FALSE)</f>
        <v>0</v>
      </c>
      <c r="K3629">
        <f>VLOOKUP(A3629,Pr_Base_LNEC!$A$4:$J$6971,7,FALSE)</f>
        <v>0</v>
      </c>
    </row>
    <row r="3630" spans="1:11" ht="14.5">
      <c r="A3630" s="20" t="s">
        <v>23205</v>
      </c>
      <c r="B3630" s="20">
        <v>40</v>
      </c>
      <c r="C3630" s="20">
        <v>20</v>
      </c>
      <c r="D3630" s="20">
        <v>96</v>
      </c>
      <c r="E3630" s="20">
        <v>46</v>
      </c>
      <c r="F3630" s="20" t="s">
        <v>23206</v>
      </c>
      <c r="G3630" s="24"/>
      <c r="H3630" s="24"/>
      <c r="I3630" s="24" t="str">
        <f ca="1">IFERROR(__xludf.DUMMYFUNCTION("GOOGLETRANSLATE(F3630,""en"",""pt"")"),"calhas de lavandaria")</f>
        <v>calhas de lavandaria</v>
      </c>
      <c r="J3630">
        <f>VLOOKUP(A3630,Pr_Base_LNEC!$A$4:$J$6971,6,FALSE)</f>
        <v>0</v>
      </c>
      <c r="K3630">
        <f>VLOOKUP(A3630,Pr_Base_LNEC!$A$4:$J$6971,7,FALSE)</f>
        <v>0</v>
      </c>
    </row>
    <row r="3631" spans="1:11" ht="14.5">
      <c r="A3631" s="20" t="s">
        <v>23207</v>
      </c>
      <c r="B3631" s="20">
        <v>40</v>
      </c>
      <c r="C3631" s="20">
        <v>20</v>
      </c>
      <c r="D3631" s="20">
        <v>96</v>
      </c>
      <c r="E3631" s="20">
        <v>47</v>
      </c>
      <c r="F3631" s="20" t="s">
        <v>23208</v>
      </c>
      <c r="G3631" s="24"/>
      <c r="H3631" s="24"/>
      <c r="I3631" s="24" t="str">
        <f ca="1">IFERROR(__xludf.DUMMYFUNCTION("GOOGLETRANSLATE(F3631,""en"",""pt"")"),"calhas de lavandaria e armários")</f>
        <v>calhas de lavandaria e armários</v>
      </c>
      <c r="J3631" t="e">
        <f>VLOOKUP(A3631,Pr_Base_LNEC!$A$4:$J$6971,6,FALSE)</f>
        <v>#N/A</v>
      </c>
      <c r="K3631" t="e">
        <f>VLOOKUP(A3631,Pr_Base_LNEC!$A$4:$J$6971,7,FALSE)</f>
        <v>#N/A</v>
      </c>
    </row>
    <row r="3632" spans="1:11" ht="14.5">
      <c r="A3632" s="20" t="s">
        <v>23209</v>
      </c>
      <c r="B3632" s="20">
        <v>40</v>
      </c>
      <c r="C3632" s="20">
        <v>20</v>
      </c>
      <c r="D3632" s="20">
        <v>96</v>
      </c>
      <c r="E3632" s="20">
        <v>63</v>
      </c>
      <c r="F3632" s="20" t="s">
        <v>23210</v>
      </c>
      <c r="G3632" s="20" t="s">
        <v>23211</v>
      </c>
      <c r="H3632" s="24"/>
      <c r="I3632" s="24" t="str">
        <f ca="1">IFERROR(__xludf.DUMMYFUNCTION("GOOGLETRANSLATE(F3632,""en"",""pt"")"),"lavatórios pedestal")</f>
        <v>lavatórios pedestal</v>
      </c>
      <c r="J3632">
        <f>VLOOKUP(A3632,Pr_Base_LNEC!$A$4:$J$6971,6,FALSE)</f>
        <v>0</v>
      </c>
      <c r="K3632">
        <f>VLOOKUP(A3632,Pr_Base_LNEC!$A$4:$J$6971,7,FALSE)</f>
        <v>0</v>
      </c>
    </row>
    <row r="3633" spans="1:11" ht="14.5">
      <c r="A3633" s="20" t="s">
        <v>23212</v>
      </c>
      <c r="B3633" s="20">
        <v>40</v>
      </c>
      <c r="C3633" s="20">
        <v>20</v>
      </c>
      <c r="D3633" s="20">
        <v>96</v>
      </c>
      <c r="E3633" s="20">
        <v>70</v>
      </c>
      <c r="F3633" s="20" t="s">
        <v>23213</v>
      </c>
      <c r="G3633" s="24"/>
      <c r="H3633" s="24"/>
      <c r="I3633" s="24" t="str">
        <f ca="1">IFERROR(__xludf.DUMMYFUNCTION("GOOGLETRANSLATE(F3633,""en"",""pt"")"),"lavatórios recesso")</f>
        <v>lavatórios recesso</v>
      </c>
      <c r="J3633">
        <f>VLOOKUP(A3633,Pr_Base_LNEC!$A$4:$J$6971,6,FALSE)</f>
        <v>0</v>
      </c>
      <c r="K3633">
        <f>VLOOKUP(A3633,Pr_Base_LNEC!$A$4:$J$6971,7,FALSE)</f>
        <v>0</v>
      </c>
    </row>
    <row r="3634" spans="1:11" ht="14.5">
      <c r="A3634" s="20" t="s">
        <v>23214</v>
      </c>
      <c r="B3634" s="20">
        <v>40</v>
      </c>
      <c r="C3634" s="20">
        <v>20</v>
      </c>
      <c r="D3634" s="20">
        <v>96</v>
      </c>
      <c r="E3634" s="20">
        <v>81</v>
      </c>
      <c r="F3634" s="20" t="s">
        <v>23215</v>
      </c>
      <c r="G3634" s="20" t="s">
        <v>23216</v>
      </c>
      <c r="H3634" s="24"/>
      <c r="I3634" s="24" t="str">
        <f ca="1">IFERROR(__xludf.DUMMYFUNCTION("GOOGLETRANSLATE(F3634,""en"",""pt"")"),"pias")</f>
        <v>pias</v>
      </c>
      <c r="J3634">
        <f>VLOOKUP(A3634,Pr_Base_LNEC!$A$4:$J$6971,6,FALSE)</f>
        <v>0</v>
      </c>
      <c r="K3634">
        <f>VLOOKUP(A3634,Pr_Base_LNEC!$A$4:$J$6971,7,FALSE)</f>
        <v>0</v>
      </c>
    </row>
    <row r="3635" spans="1:11" ht="14.5">
      <c r="A3635" s="20" t="s">
        <v>23217</v>
      </c>
      <c r="B3635" s="20">
        <v>40</v>
      </c>
      <c r="C3635" s="20">
        <v>20</v>
      </c>
      <c r="D3635" s="20">
        <v>96</v>
      </c>
      <c r="E3635" s="20">
        <v>92</v>
      </c>
      <c r="F3635" s="20" t="s">
        <v>23218</v>
      </c>
      <c r="G3635" s="24"/>
      <c r="H3635" s="24"/>
      <c r="I3635" s="24" t="str">
        <f ca="1">IFERROR(__xludf.DUMMYFUNCTION("GOOGLETRANSLATE(F3635,""en"",""pt"")"),"lavatórios undermounted")</f>
        <v>lavatórios undermounted</v>
      </c>
      <c r="J3635">
        <f>VLOOKUP(A3635,Pr_Base_LNEC!$A$4:$J$6971,6,FALSE)</f>
        <v>0</v>
      </c>
      <c r="K3635">
        <f>VLOOKUP(A3635,Pr_Base_LNEC!$A$4:$J$6971,7,FALSE)</f>
        <v>0</v>
      </c>
    </row>
    <row r="3636" spans="1:11" ht="14.5">
      <c r="A3636" s="20" t="s">
        <v>23219</v>
      </c>
      <c r="B3636" s="20">
        <v>40</v>
      </c>
      <c r="C3636" s="20">
        <v>20</v>
      </c>
      <c r="D3636" s="20">
        <v>96</v>
      </c>
      <c r="E3636" s="20">
        <v>95</v>
      </c>
      <c r="F3636" s="20" t="s">
        <v>23220</v>
      </c>
      <c r="G3636" s="20" t="s">
        <v>23221</v>
      </c>
      <c r="H3636" s="24"/>
      <c r="I3636" s="24" t="str">
        <f ca="1">IFERROR(__xludf.DUMMYFUNCTION("GOOGLETRANSLATE(F3636,""en"",""pt"")"),"bacias de enxágüe mão Wall-hung")</f>
        <v>bacias de enxágüe mão Wall-hung</v>
      </c>
      <c r="J3636">
        <f>VLOOKUP(A3636,Pr_Base_LNEC!$A$4:$J$6971,6,FALSE)</f>
        <v>0</v>
      </c>
      <c r="K3636">
        <f>VLOOKUP(A3636,Pr_Base_LNEC!$A$4:$J$6971,7,FALSE)</f>
        <v>0</v>
      </c>
    </row>
    <row r="3637" spans="1:11" ht="14.5">
      <c r="A3637" s="20" t="s">
        <v>23222</v>
      </c>
      <c r="B3637" s="20">
        <v>40</v>
      </c>
      <c r="C3637" s="20">
        <v>20</v>
      </c>
      <c r="D3637" s="20">
        <v>96</v>
      </c>
      <c r="E3637" s="20">
        <v>96</v>
      </c>
      <c r="F3637" s="20" t="s">
        <v>23223</v>
      </c>
      <c r="G3637" s="20" t="s">
        <v>23224</v>
      </c>
      <c r="H3637" s="24"/>
      <c r="I3637" s="24" t="str">
        <f ca="1">IFERROR(__xludf.DUMMYFUNCTION("GOOGLETRANSLATE(F3637,""en"",""pt"")"),"lavatórios Wall-hung")</f>
        <v>lavatórios Wall-hung</v>
      </c>
      <c r="J3637">
        <f>VLOOKUP(A3637,Pr_Base_LNEC!$A$4:$J$6971,6,FALSE)</f>
        <v>0</v>
      </c>
      <c r="K3637">
        <f>VLOOKUP(A3637,Pr_Base_LNEC!$A$4:$J$6971,7,FALSE)</f>
        <v>0</v>
      </c>
    </row>
    <row r="3638" spans="1:11" ht="14.5">
      <c r="A3638" s="20" t="s">
        <v>23225</v>
      </c>
      <c r="B3638" s="20">
        <v>40</v>
      </c>
      <c r="C3638" s="20">
        <v>20</v>
      </c>
      <c r="D3638" s="20">
        <v>96</v>
      </c>
      <c r="E3638" s="20">
        <v>99</v>
      </c>
      <c r="F3638" s="20" t="s">
        <v>23226</v>
      </c>
      <c r="G3638" s="20" t="s">
        <v>23227</v>
      </c>
      <c r="H3638" s="24"/>
      <c r="I3638" s="24" t="str">
        <f ca="1">IFERROR(__xludf.DUMMYFUNCTION("GOOGLETRANSLATE(F3638,""en"",""pt"")"),"calhas de lavagem")</f>
        <v>calhas de lavagem</v>
      </c>
      <c r="J3638">
        <f>VLOOKUP(A3638,Pr_Base_LNEC!$A$4:$J$6971,6,FALSE)</f>
        <v>0</v>
      </c>
      <c r="K3638">
        <f>VLOOKUP(A3638,Pr_Base_LNEC!$A$4:$J$6971,7,FALSE)</f>
        <v>0</v>
      </c>
    </row>
    <row r="3639" spans="1:11" ht="14.5">
      <c r="A3639" s="20" t="s">
        <v>23228</v>
      </c>
      <c r="B3639" s="20">
        <v>40</v>
      </c>
      <c r="C3639" s="20">
        <v>30</v>
      </c>
      <c r="D3639" s="24"/>
      <c r="E3639" s="24"/>
      <c r="F3639" s="20" t="s">
        <v>7695</v>
      </c>
      <c r="G3639" s="24"/>
      <c r="H3639" s="24"/>
      <c r="I3639" s="24" t="str">
        <f ca="1">IFERROR(__xludf.DUMMYFUNCTION("GOOGLETRANSLATE(F3639,""en"",""pt"")"),"Acessórios")</f>
        <v>Acessórios</v>
      </c>
      <c r="J3639" t="str">
        <f>VLOOKUP(A3639,Pr_Base_LNEC!$A$4:$J$6971,6,FALSE)</f>
        <v>Acessórios</v>
      </c>
      <c r="K3639">
        <f>VLOOKUP(A3639,Pr_Base_LNEC!$A$4:$J$6971,7,FALSE)</f>
        <v>0</v>
      </c>
    </row>
    <row r="3640" spans="1:11" ht="14.5">
      <c r="A3640" s="20" t="s">
        <v>23229</v>
      </c>
      <c r="B3640" s="20">
        <v>40</v>
      </c>
      <c r="C3640" s="20">
        <v>30</v>
      </c>
      <c r="D3640" s="20">
        <v>4</v>
      </c>
      <c r="E3640" s="24"/>
      <c r="F3640" s="20" t="s">
        <v>23230</v>
      </c>
      <c r="G3640" s="24"/>
      <c r="H3640" s="24"/>
      <c r="I3640" s="24" t="str">
        <f ca="1">IFERROR(__xludf.DUMMYFUNCTION("GOOGLETRANSLATE(F3640,""en"",""pt"")"),"alojamento dos animais")</f>
        <v>alojamento dos animais</v>
      </c>
      <c r="J3640">
        <f>VLOOKUP(A3640,Pr_Base_LNEC!$A$4:$J$6971,6,FALSE)</f>
        <v>0</v>
      </c>
      <c r="K3640">
        <f>VLOOKUP(A3640,Pr_Base_LNEC!$A$4:$J$6971,7,FALSE)</f>
        <v>0</v>
      </c>
    </row>
    <row r="3641" spans="1:11" ht="14.5">
      <c r="A3641" s="20" t="s">
        <v>23231</v>
      </c>
      <c r="B3641" s="20">
        <v>40</v>
      </c>
      <c r="C3641" s="20">
        <v>30</v>
      </c>
      <c r="D3641" s="20">
        <v>4</v>
      </c>
      <c r="E3641" s="20">
        <v>2</v>
      </c>
      <c r="F3641" s="20" t="s">
        <v>23232</v>
      </c>
      <c r="G3641" s="20" t="s">
        <v>23233</v>
      </c>
      <c r="H3641" s="24"/>
      <c r="I3641" s="24" t="str">
        <f ca="1">IFERROR(__xludf.DUMMYFUNCTION("GOOGLETRANSLATE(F3641,""en"",""pt"")"),"estações de alimentação de animais")</f>
        <v>estações de alimentação de animais</v>
      </c>
      <c r="J3641">
        <f>VLOOKUP(A3641,Pr_Base_LNEC!$A$4:$J$6971,6,FALSE)</f>
        <v>0</v>
      </c>
      <c r="K3641">
        <f>VLOOKUP(A3641,Pr_Base_LNEC!$A$4:$J$6971,7,FALSE)</f>
        <v>0</v>
      </c>
    </row>
    <row r="3642" spans="1:11" ht="14.5">
      <c r="A3642" s="20" t="s">
        <v>23234</v>
      </c>
      <c r="B3642" s="20">
        <v>40</v>
      </c>
      <c r="C3642" s="20">
        <v>30</v>
      </c>
      <c r="D3642" s="20">
        <v>4</v>
      </c>
      <c r="E3642" s="20">
        <v>6</v>
      </c>
      <c r="F3642" s="20" t="s">
        <v>23235</v>
      </c>
      <c r="G3642" s="20" t="s">
        <v>23236</v>
      </c>
      <c r="H3642" s="24"/>
      <c r="I3642" s="24" t="str">
        <f ca="1">IFERROR(__xludf.DUMMYFUNCTION("GOOGLETRANSLATE(F3642,""en"",""pt"")"),"caixas de morcego")</f>
        <v>caixas de morcego</v>
      </c>
      <c r="J3642">
        <f>VLOOKUP(A3642,Pr_Base_LNEC!$A$4:$J$6971,6,FALSE)</f>
        <v>0</v>
      </c>
      <c r="K3642">
        <f>VLOOKUP(A3642,Pr_Base_LNEC!$A$4:$J$6971,7,FALSE)</f>
        <v>0</v>
      </c>
    </row>
    <row r="3643" spans="1:11" ht="14.5">
      <c r="A3643" s="20" t="s">
        <v>23237</v>
      </c>
      <c r="B3643" s="20">
        <v>40</v>
      </c>
      <c r="C3643" s="20">
        <v>30</v>
      </c>
      <c r="D3643" s="20">
        <v>4</v>
      </c>
      <c r="E3643" s="20">
        <v>7</v>
      </c>
      <c r="F3643" s="20" t="s">
        <v>23238</v>
      </c>
      <c r="G3643" s="24"/>
      <c r="H3643" s="24"/>
      <c r="I3643" s="24" t="str">
        <f ca="1">IFERROR(__xludf.DUMMYFUNCTION("GOOGLETRANSLATE(F3643,""en"",""pt"")"),"banhos do pássaro")</f>
        <v>banhos do pássaro</v>
      </c>
      <c r="J3643">
        <f>VLOOKUP(A3643,Pr_Base_LNEC!$A$4:$J$6971,6,FALSE)</f>
        <v>0</v>
      </c>
      <c r="K3643">
        <f>VLOOKUP(A3643,Pr_Base_LNEC!$A$4:$J$6971,7,FALSE)</f>
        <v>0</v>
      </c>
    </row>
    <row r="3644" spans="1:11" ht="14.5">
      <c r="A3644" s="20" t="s">
        <v>23239</v>
      </c>
      <c r="B3644" s="20">
        <v>40</v>
      </c>
      <c r="C3644" s="20">
        <v>30</v>
      </c>
      <c r="D3644" s="20">
        <v>4</v>
      </c>
      <c r="E3644" s="20">
        <v>8</v>
      </c>
      <c r="F3644" s="20" t="s">
        <v>23240</v>
      </c>
      <c r="G3644" s="20" t="s">
        <v>23241</v>
      </c>
      <c r="H3644" s="24"/>
      <c r="I3644" s="24" t="str">
        <f ca="1">IFERROR(__xludf.DUMMYFUNCTION("GOOGLETRANSLATE(F3644,""en"",""pt"")"),"caixas de aves")</f>
        <v>caixas de aves</v>
      </c>
      <c r="J3644">
        <f>VLOOKUP(A3644,Pr_Base_LNEC!$A$4:$J$6971,6,FALSE)</f>
        <v>0</v>
      </c>
      <c r="K3644">
        <f>VLOOKUP(A3644,Pr_Base_LNEC!$A$4:$J$6971,7,FALSE)</f>
        <v>0</v>
      </c>
    </row>
    <row r="3645" spans="1:11" ht="14.5">
      <c r="A3645" s="20" t="s">
        <v>23242</v>
      </c>
      <c r="B3645" s="20">
        <v>40</v>
      </c>
      <c r="C3645" s="20">
        <v>30</v>
      </c>
      <c r="D3645" s="20">
        <v>4</v>
      </c>
      <c r="E3645" s="20">
        <v>9</v>
      </c>
      <c r="F3645" s="20" t="s">
        <v>23243</v>
      </c>
      <c r="G3645" s="20" t="s">
        <v>23244</v>
      </c>
      <c r="H3645" s="24"/>
      <c r="I3645" s="24" t="str">
        <f ca="1">IFERROR(__xludf.DUMMYFUNCTION("GOOGLETRANSLATE(F3645,""en"",""pt"")"),"poleiros de aves")</f>
        <v>poleiros de aves</v>
      </c>
      <c r="J3645">
        <f>VLOOKUP(A3645,Pr_Base_LNEC!$A$4:$J$6971,6,FALSE)</f>
        <v>0</v>
      </c>
      <c r="K3645">
        <f>VLOOKUP(A3645,Pr_Base_LNEC!$A$4:$J$6971,7,FALSE)</f>
        <v>0</v>
      </c>
    </row>
    <row r="3646" spans="1:11" ht="14.5">
      <c r="A3646" s="20" t="s">
        <v>23245</v>
      </c>
      <c r="B3646" s="20">
        <v>40</v>
      </c>
      <c r="C3646" s="20">
        <v>30</v>
      </c>
      <c r="D3646" s="20">
        <v>4</v>
      </c>
      <c r="E3646" s="20">
        <v>15</v>
      </c>
      <c r="F3646" s="20" t="s">
        <v>23246</v>
      </c>
      <c r="G3646" s="20" t="s">
        <v>23247</v>
      </c>
      <c r="H3646" s="24"/>
      <c r="I3646" s="24" t="str">
        <f ca="1">IFERROR(__xludf.DUMMYFUNCTION("GOOGLETRANSLATE(F3646,""en"",""pt"")"),"columbários")</f>
        <v>columbários</v>
      </c>
      <c r="J3646">
        <f>VLOOKUP(A3646,Pr_Base_LNEC!$A$4:$J$6971,6,FALSE)</f>
        <v>0</v>
      </c>
      <c r="K3646">
        <f>VLOOKUP(A3646,Pr_Base_LNEC!$A$4:$J$6971,7,FALSE)</f>
        <v>0</v>
      </c>
    </row>
    <row r="3647" spans="1:11" ht="14.5">
      <c r="A3647" s="20" t="s">
        <v>23248</v>
      </c>
      <c r="B3647" s="20">
        <v>40</v>
      </c>
      <c r="C3647" s="20">
        <v>30</v>
      </c>
      <c r="D3647" s="20">
        <v>4</v>
      </c>
      <c r="E3647" s="20">
        <v>24</v>
      </c>
      <c r="F3647" s="20" t="s">
        <v>23249</v>
      </c>
      <c r="G3647" s="20" t="s">
        <v>23250</v>
      </c>
      <c r="H3647" s="24"/>
      <c r="I3647" s="24" t="str">
        <f ca="1">IFERROR(__xludf.DUMMYFUNCTION("GOOGLETRANSLATE(F3647,""en"",""pt"")"),"canis")</f>
        <v>canis</v>
      </c>
      <c r="J3647">
        <f>VLOOKUP(A3647,Pr_Base_LNEC!$A$4:$J$6971,6,FALSE)</f>
        <v>0</v>
      </c>
      <c r="K3647">
        <f>VLOOKUP(A3647,Pr_Base_LNEC!$A$4:$J$6971,7,FALSE)</f>
        <v>0</v>
      </c>
    </row>
    <row r="3648" spans="1:11" ht="14.5">
      <c r="A3648" s="20" t="s">
        <v>23251</v>
      </c>
      <c r="B3648" s="20">
        <v>40</v>
      </c>
      <c r="C3648" s="20">
        <v>30</v>
      </c>
      <c r="D3648" s="20">
        <v>4</v>
      </c>
      <c r="E3648" s="20">
        <v>25</v>
      </c>
      <c r="F3648" s="20" t="s">
        <v>23252</v>
      </c>
      <c r="G3648" s="20" t="s">
        <v>23247</v>
      </c>
      <c r="H3648" s="24"/>
      <c r="I3648" s="24" t="str">
        <f ca="1">IFERROR(__xludf.DUMMYFUNCTION("GOOGLETRANSLATE(F3648,""en"",""pt"")"),"Dovecotes")</f>
        <v>Dovecotes</v>
      </c>
      <c r="J3648">
        <f>VLOOKUP(A3648,Pr_Base_LNEC!$A$4:$J$6971,6,FALSE)</f>
        <v>0</v>
      </c>
      <c r="K3648">
        <f>VLOOKUP(A3648,Pr_Base_LNEC!$A$4:$J$6971,7,FALSE)</f>
        <v>0</v>
      </c>
    </row>
    <row r="3649" spans="1:11" ht="14.5">
      <c r="A3649" s="20" t="s">
        <v>23253</v>
      </c>
      <c r="B3649" s="20">
        <v>40</v>
      </c>
      <c r="C3649" s="20">
        <v>30</v>
      </c>
      <c r="D3649" s="20">
        <v>4</v>
      </c>
      <c r="E3649" s="20">
        <v>41</v>
      </c>
      <c r="F3649" s="20" t="s">
        <v>23254</v>
      </c>
      <c r="G3649" s="20" t="s">
        <v>23255</v>
      </c>
      <c r="H3649" s="24"/>
      <c r="I3649" s="24" t="str">
        <f ca="1">IFERROR(__xludf.DUMMYFUNCTION("GOOGLETRANSLATE(F3649,""en"",""pt"")"),"casas de insetos")</f>
        <v>casas de insetos</v>
      </c>
      <c r="J3649">
        <f>VLOOKUP(A3649,Pr_Base_LNEC!$A$4:$J$6971,6,FALSE)</f>
        <v>0</v>
      </c>
      <c r="K3649">
        <f>VLOOKUP(A3649,Pr_Base_LNEC!$A$4:$J$6971,7,FALSE)</f>
        <v>0</v>
      </c>
    </row>
    <row r="3650" spans="1:11" ht="14.5">
      <c r="A3650" s="20" t="s">
        <v>23256</v>
      </c>
      <c r="B3650" s="20">
        <v>40</v>
      </c>
      <c r="C3650" s="20">
        <v>30</v>
      </c>
      <c r="D3650" s="20">
        <v>4</v>
      </c>
      <c r="E3650" s="20">
        <v>50</v>
      </c>
      <c r="F3650" s="20" t="s">
        <v>23257</v>
      </c>
      <c r="G3650" s="20" t="s">
        <v>23258</v>
      </c>
      <c r="H3650" s="24"/>
      <c r="I3650" s="24" t="str">
        <f ca="1">IFERROR(__xludf.DUMMYFUNCTION("GOOGLETRANSLATE(F3650,""en"",""pt"")"),"casas de mamíferos")</f>
        <v>casas de mamíferos</v>
      </c>
      <c r="J3650">
        <f>VLOOKUP(A3650,Pr_Base_LNEC!$A$4:$J$6971,6,FALSE)</f>
        <v>0</v>
      </c>
      <c r="K3650">
        <f>VLOOKUP(A3650,Pr_Base_LNEC!$A$4:$J$6971,7,FALSE)</f>
        <v>0</v>
      </c>
    </row>
    <row r="3651" spans="1:11" ht="14.5">
      <c r="A3651" s="20" t="s">
        <v>23259</v>
      </c>
      <c r="B3651" s="20">
        <v>40</v>
      </c>
      <c r="C3651" s="20">
        <v>30</v>
      </c>
      <c r="D3651" s="20">
        <v>4</v>
      </c>
      <c r="E3651" s="20">
        <v>56</v>
      </c>
      <c r="F3651" s="20" t="s">
        <v>23260</v>
      </c>
      <c r="G3651" s="20" t="s">
        <v>23261</v>
      </c>
      <c r="H3651" s="24"/>
      <c r="I3651" s="24" t="str">
        <f ca="1">IFERROR(__xludf.DUMMYFUNCTION("GOOGLETRANSLATE(F3651,""en"",""pt"")"),"cestas de nidificação")</f>
        <v>cestas de nidificação</v>
      </c>
      <c r="J3651">
        <f>VLOOKUP(A3651,Pr_Base_LNEC!$A$4:$J$6971,6,FALSE)</f>
        <v>0</v>
      </c>
      <c r="K3651">
        <f>VLOOKUP(A3651,Pr_Base_LNEC!$A$4:$J$6971,7,FALSE)</f>
        <v>0</v>
      </c>
    </row>
    <row r="3652" spans="1:11" ht="14.5">
      <c r="A3652" s="20" t="s">
        <v>23262</v>
      </c>
      <c r="B3652" s="20">
        <v>40</v>
      </c>
      <c r="C3652" s="20">
        <v>30</v>
      </c>
      <c r="D3652" s="20">
        <v>4</v>
      </c>
      <c r="E3652" s="20">
        <v>57</v>
      </c>
      <c r="F3652" s="20" t="s">
        <v>23263</v>
      </c>
      <c r="G3652" s="20" t="s">
        <v>23264</v>
      </c>
      <c r="H3652" s="24"/>
      <c r="I3652" s="24" t="str">
        <f ca="1">IFERROR(__xludf.DUMMYFUNCTION("GOOGLETRANSLATE(F3652,""en"",""pt"")"),"pólos ninho e plataformas")</f>
        <v>pólos ninho e plataformas</v>
      </c>
      <c r="J3652">
        <f>VLOOKUP(A3652,Pr_Base_LNEC!$A$4:$J$6971,6,FALSE)</f>
        <v>0</v>
      </c>
      <c r="K3652">
        <f>VLOOKUP(A3652,Pr_Base_LNEC!$A$4:$J$6971,7,FALSE)</f>
        <v>0</v>
      </c>
    </row>
    <row r="3653" spans="1:11" ht="14.5">
      <c r="A3653" s="20" t="s">
        <v>23265</v>
      </c>
      <c r="B3653" s="20">
        <v>40</v>
      </c>
      <c r="C3653" s="20">
        <v>30</v>
      </c>
      <c r="D3653" s="20">
        <v>4</v>
      </c>
      <c r="E3653" s="20">
        <v>70</v>
      </c>
      <c r="F3653" s="20" t="s">
        <v>23266</v>
      </c>
      <c r="G3653" s="24"/>
      <c r="H3653" s="24"/>
      <c r="I3653" s="24" t="str">
        <f ca="1">IFERROR(__xludf.DUMMYFUNCTION("GOOGLETRANSLATE(F3653,""en"",""pt"")"),"pólos raptor")</f>
        <v>pólos raptor</v>
      </c>
      <c r="J3653">
        <f>VLOOKUP(A3653,Pr_Base_LNEC!$A$4:$J$6971,6,FALSE)</f>
        <v>0</v>
      </c>
      <c r="K3653">
        <f>VLOOKUP(A3653,Pr_Base_LNEC!$A$4:$J$6971,7,FALSE)</f>
        <v>0</v>
      </c>
    </row>
    <row r="3654" spans="1:11" ht="14.5">
      <c r="A3654" s="20" t="s">
        <v>23267</v>
      </c>
      <c r="B3654" s="20">
        <v>40</v>
      </c>
      <c r="C3654" s="20">
        <v>30</v>
      </c>
      <c r="D3654" s="20">
        <v>20</v>
      </c>
      <c r="E3654" s="24"/>
      <c r="F3654" s="20" t="s">
        <v>23268</v>
      </c>
      <c r="G3654" s="24"/>
      <c r="H3654" s="24"/>
      <c r="I3654" s="24" t="str">
        <f ca="1">IFERROR(__xludf.DUMMYFUNCTION("GOOGLETRANSLATE(F3654,""en"",""pt"")"),"Cortinas e telas")</f>
        <v>Cortinas e telas</v>
      </c>
      <c r="J3654">
        <f>VLOOKUP(A3654,Pr_Base_LNEC!$A$4:$J$6971,6,FALSE)</f>
        <v>0</v>
      </c>
      <c r="K3654">
        <f>VLOOKUP(A3654,Pr_Base_LNEC!$A$4:$J$6971,7,FALSE)</f>
        <v>0</v>
      </c>
    </row>
    <row r="3655" spans="1:11" ht="14.5">
      <c r="A3655" s="20" t="s">
        <v>23269</v>
      </c>
      <c r="B3655" s="20">
        <v>40</v>
      </c>
      <c r="C3655" s="20">
        <v>30</v>
      </c>
      <c r="D3655" s="20">
        <v>20</v>
      </c>
      <c r="E3655" s="20">
        <v>2</v>
      </c>
      <c r="F3655" s="20" t="s">
        <v>23270</v>
      </c>
      <c r="G3655" s="24"/>
      <c r="H3655" s="24"/>
      <c r="I3655" s="24" t="str">
        <f ca="1">IFERROR(__xludf.DUMMYFUNCTION("GOOGLETRANSLATE(F3655,""en"",""pt"")"),"cortinas acústicas")</f>
        <v>cortinas acústicas</v>
      </c>
      <c r="J3655" t="e">
        <f>VLOOKUP(A3655,Pr_Base_LNEC!$A$4:$J$6971,6,FALSE)</f>
        <v>#N/A</v>
      </c>
      <c r="K3655" t="e">
        <f>VLOOKUP(A3655,Pr_Base_LNEC!$A$4:$J$6971,7,FALSE)</f>
        <v>#N/A</v>
      </c>
    </row>
    <row r="3656" spans="1:11" ht="14.5">
      <c r="A3656" s="20" t="s">
        <v>23271</v>
      </c>
      <c r="B3656" s="20">
        <v>40</v>
      </c>
      <c r="C3656" s="20">
        <v>30</v>
      </c>
      <c r="D3656" s="20">
        <v>20</v>
      </c>
      <c r="E3656" s="20">
        <v>3</v>
      </c>
      <c r="F3656" s="20" t="s">
        <v>23272</v>
      </c>
      <c r="G3656" s="24"/>
      <c r="H3656" s="24"/>
      <c r="I3656" s="24" t="str">
        <f ca="1">IFERROR(__xludf.DUMMYFUNCTION("GOOGLETRANSLATE(F3656,""en"",""pt"")"),"barreiras acústicas")</f>
        <v>barreiras acústicas</v>
      </c>
      <c r="J3656" t="e">
        <f>VLOOKUP(A3656,Pr_Base_LNEC!$A$4:$J$6971,6,FALSE)</f>
        <v>#N/A</v>
      </c>
      <c r="K3656" t="e">
        <f>VLOOKUP(A3656,Pr_Base_LNEC!$A$4:$J$6971,7,FALSE)</f>
        <v>#N/A</v>
      </c>
    </row>
    <row r="3657" spans="1:11" ht="14.5">
      <c r="A3657" s="20" t="s">
        <v>23273</v>
      </c>
      <c r="B3657" s="20">
        <v>40</v>
      </c>
      <c r="C3657" s="20">
        <v>30</v>
      </c>
      <c r="D3657" s="20">
        <v>20</v>
      </c>
      <c r="E3657" s="20">
        <v>13</v>
      </c>
      <c r="F3657" s="20" t="s">
        <v>23274</v>
      </c>
      <c r="G3657" s="24"/>
      <c r="H3657" s="24"/>
      <c r="I3657" s="24" t="str">
        <f ca="1">IFERROR(__xludf.DUMMYFUNCTION("GOOGLETRANSLATE(F3657,""en"",""pt"")"),"telas de coro")</f>
        <v>telas de coro</v>
      </c>
      <c r="J3657">
        <f>VLOOKUP(A3657,Pr_Base_LNEC!$A$4:$J$6971,6,FALSE)</f>
        <v>0</v>
      </c>
      <c r="K3657">
        <f>VLOOKUP(A3657,Pr_Base_LNEC!$A$4:$J$6971,7,FALSE)</f>
        <v>0</v>
      </c>
    </row>
    <row r="3658" spans="1:11" ht="14.5">
      <c r="A3658" s="20" t="s">
        <v>23275</v>
      </c>
      <c r="B3658" s="20">
        <v>40</v>
      </c>
      <c r="C3658" s="20">
        <v>30</v>
      </c>
      <c r="D3658" s="20">
        <v>20</v>
      </c>
      <c r="E3658" s="20">
        <v>38</v>
      </c>
      <c r="F3658" s="20" t="s">
        <v>23276</v>
      </c>
      <c r="G3658" s="24"/>
      <c r="H3658" s="24"/>
      <c r="I3658" s="24" t="str">
        <f ca="1">IFERROR(__xludf.DUMMYFUNCTION("GOOGLETRANSLATE(F3658,""en"",""pt"")"),"telas cama de hospital")</f>
        <v>telas cama de hospital</v>
      </c>
      <c r="J3658">
        <f>VLOOKUP(A3658,Pr_Base_LNEC!$A$4:$J$6971,6,FALSE)</f>
        <v>0</v>
      </c>
      <c r="K3658">
        <f>VLOOKUP(A3658,Pr_Base_LNEC!$A$4:$J$6971,7,FALSE)</f>
        <v>0</v>
      </c>
    </row>
    <row r="3659" spans="1:11" ht="14.5">
      <c r="A3659" s="20" t="s">
        <v>23277</v>
      </c>
      <c r="B3659" s="20">
        <v>40</v>
      </c>
      <c r="C3659" s="20">
        <v>30</v>
      </c>
      <c r="D3659" s="20">
        <v>20</v>
      </c>
      <c r="E3659" s="20">
        <v>58</v>
      </c>
      <c r="F3659" s="20" t="s">
        <v>23278</v>
      </c>
      <c r="G3659" s="24"/>
      <c r="H3659" s="24"/>
      <c r="I3659" s="24" t="str">
        <f ca="1">IFERROR(__xludf.DUMMYFUNCTION("GOOGLETRANSLATE(F3659,""en"",""pt"")"),"telas de órgãos")</f>
        <v>telas de órgãos</v>
      </c>
      <c r="J3659">
        <f>VLOOKUP(A3659,Pr_Base_LNEC!$A$4:$J$6971,6,FALSE)</f>
        <v>0</v>
      </c>
      <c r="K3659">
        <f>VLOOKUP(A3659,Pr_Base_LNEC!$A$4:$J$6971,7,FALSE)</f>
        <v>0</v>
      </c>
    </row>
    <row r="3660" spans="1:11" ht="14.5">
      <c r="A3660" s="20" t="s">
        <v>23279</v>
      </c>
      <c r="B3660" s="20">
        <v>40</v>
      </c>
      <c r="C3660" s="20">
        <v>30</v>
      </c>
      <c r="D3660" s="20">
        <v>20</v>
      </c>
      <c r="E3660" s="20">
        <v>59</v>
      </c>
      <c r="F3660" s="20" t="s">
        <v>23280</v>
      </c>
      <c r="G3660" s="24"/>
      <c r="H3660" s="24"/>
      <c r="I3660" s="24" t="str">
        <f ca="1">IFERROR(__xludf.DUMMYFUNCTION("GOOGLETRANSLATE(F3660,""en"",""pt"")"),"telas ornamentais")</f>
        <v>telas ornamentais</v>
      </c>
      <c r="J3660">
        <f>VLOOKUP(A3660,Pr_Base_LNEC!$A$4:$J$6971,6,FALSE)</f>
        <v>0</v>
      </c>
      <c r="K3660">
        <f>VLOOKUP(A3660,Pr_Base_LNEC!$A$4:$J$6971,7,FALSE)</f>
        <v>0</v>
      </c>
    </row>
    <row r="3661" spans="1:11" ht="14.5">
      <c r="A3661" s="20" t="s">
        <v>23281</v>
      </c>
      <c r="B3661" s="20">
        <v>40</v>
      </c>
      <c r="C3661" s="20">
        <v>30</v>
      </c>
      <c r="D3661" s="20">
        <v>20</v>
      </c>
      <c r="E3661" s="20">
        <v>63</v>
      </c>
      <c r="F3661" s="20" t="s">
        <v>23282</v>
      </c>
      <c r="G3661" s="24"/>
      <c r="H3661" s="24"/>
      <c r="I3661" s="24" t="str">
        <f ca="1">IFERROR(__xludf.DUMMYFUNCTION("GOOGLETRANSLATE(F3661,""en"",""pt"")"),"suportes cortina de privacidade")</f>
        <v>suportes cortina de privacidade</v>
      </c>
      <c r="J3661">
        <f>VLOOKUP(A3661,Pr_Base_LNEC!$A$4:$J$6971,6,FALSE)</f>
        <v>0</v>
      </c>
      <c r="K3661">
        <f>VLOOKUP(A3661,Pr_Base_LNEC!$A$4:$J$6971,7,FALSE)</f>
        <v>0</v>
      </c>
    </row>
    <row r="3662" spans="1:11" ht="14.5">
      <c r="A3662" s="20" t="s">
        <v>23283</v>
      </c>
      <c r="B3662" s="20">
        <v>40</v>
      </c>
      <c r="C3662" s="20">
        <v>30</v>
      </c>
      <c r="D3662" s="20">
        <v>20</v>
      </c>
      <c r="E3662" s="20">
        <v>64</v>
      </c>
      <c r="F3662" s="20" t="s">
        <v>23284</v>
      </c>
      <c r="G3662" s="20" t="s">
        <v>23285</v>
      </c>
      <c r="H3662" s="24"/>
      <c r="I3662" s="24" t="str">
        <f ca="1">IFERROR(__xludf.DUMMYFUNCTION("GOOGLETRANSLATE(F3662,""en"",""pt"")"),"cortinas de privacidade")</f>
        <v>cortinas de privacidade</v>
      </c>
      <c r="J3662">
        <f>VLOOKUP(A3662,Pr_Base_LNEC!$A$4:$J$6971,6,FALSE)</f>
        <v>0</v>
      </c>
      <c r="K3662">
        <f>VLOOKUP(A3662,Pr_Base_LNEC!$A$4:$J$6971,7,FALSE)</f>
        <v>0</v>
      </c>
    </row>
    <row r="3663" spans="1:11" ht="14.5">
      <c r="A3663" s="20" t="s">
        <v>23286</v>
      </c>
      <c r="B3663" s="20">
        <v>40</v>
      </c>
      <c r="C3663" s="20">
        <v>30</v>
      </c>
      <c r="D3663" s="20">
        <v>20</v>
      </c>
      <c r="E3663" s="20">
        <v>65</v>
      </c>
      <c r="F3663" s="20" t="s">
        <v>23287</v>
      </c>
      <c r="G3663" s="24"/>
      <c r="H3663" s="24"/>
      <c r="I3663" s="24" t="str">
        <f ca="1">IFERROR(__xludf.DUMMYFUNCTION("GOOGLETRANSLATE(F3663,""en"",""pt"")"),"telas de privacidade")</f>
        <v>telas de privacidade</v>
      </c>
      <c r="J3663">
        <f>VLOOKUP(A3663,Pr_Base_LNEC!$A$4:$J$6971,6,FALSE)</f>
        <v>0</v>
      </c>
      <c r="K3663">
        <f>VLOOKUP(A3663,Pr_Base_LNEC!$A$4:$J$6971,7,FALSE)</f>
        <v>0</v>
      </c>
    </row>
    <row r="3664" spans="1:11" ht="14.5">
      <c r="A3664" s="20" t="s">
        <v>23288</v>
      </c>
      <c r="B3664" s="20">
        <v>40</v>
      </c>
      <c r="C3664" s="20">
        <v>30</v>
      </c>
      <c r="D3664" s="20">
        <v>20</v>
      </c>
      <c r="E3664" s="20">
        <v>67</v>
      </c>
      <c r="F3664" s="20" t="s">
        <v>23289</v>
      </c>
      <c r="G3664" s="20" t="s">
        <v>23290</v>
      </c>
      <c r="H3664" s="24"/>
      <c r="I3664" s="24" t="str">
        <f ca="1">IFERROR(__xludf.DUMMYFUNCTION("GOOGLETRANSLATE(F3664,""en"",""pt"")"),"cloreto de polivinilo (PVC) cortinas de tiras")</f>
        <v>cloreto de polivinilo (PVC) cortinas de tiras</v>
      </c>
      <c r="J3664">
        <f>VLOOKUP(A3664,Pr_Base_LNEC!$A$4:$J$6971,6,FALSE)</f>
        <v>0</v>
      </c>
      <c r="K3664">
        <f>VLOOKUP(A3664,Pr_Base_LNEC!$A$4:$J$6971,7,FALSE)</f>
        <v>0</v>
      </c>
    </row>
    <row r="3665" spans="1:11" ht="14.5">
      <c r="A3665" s="20" t="s">
        <v>23291</v>
      </c>
      <c r="B3665" s="20">
        <v>40</v>
      </c>
      <c r="C3665" s="20">
        <v>30</v>
      </c>
      <c r="D3665" s="20">
        <v>20</v>
      </c>
      <c r="E3665" s="20">
        <v>70</v>
      </c>
      <c r="F3665" s="20" t="s">
        <v>23292</v>
      </c>
      <c r="G3665" s="24"/>
      <c r="H3665" s="24"/>
      <c r="I3665" s="24" t="str">
        <f ca="1">IFERROR(__xludf.DUMMYFUNCTION("GOOGLETRANSLATE(F3665,""en"",""pt"")"),"sanefas cortina recesso")</f>
        <v>sanefas cortina recesso</v>
      </c>
      <c r="J3665" t="e">
        <f>VLOOKUP(A3665,Pr_Base_LNEC!$A$4:$J$6971,6,FALSE)</f>
        <v>#N/A</v>
      </c>
      <c r="K3665" t="e">
        <f>VLOOKUP(A3665,Pr_Base_LNEC!$A$4:$J$6971,7,FALSE)</f>
        <v>#N/A</v>
      </c>
    </row>
    <row r="3666" spans="1:11" ht="14.5">
      <c r="A3666" s="20" t="s">
        <v>23293</v>
      </c>
      <c r="B3666" s="20">
        <v>40</v>
      </c>
      <c r="C3666" s="20">
        <v>30</v>
      </c>
      <c r="D3666" s="20">
        <v>20</v>
      </c>
      <c r="E3666" s="20">
        <v>71</v>
      </c>
      <c r="F3666" s="20" t="s">
        <v>23294</v>
      </c>
      <c r="G3666" s="24"/>
      <c r="H3666" s="24"/>
      <c r="I3666" s="24" t="str">
        <f ca="1">IFERROR(__xludf.DUMMYFUNCTION("GOOGLETRANSLATE(F3666,""en"",""pt"")"),"telas de relaxamento")</f>
        <v>telas de relaxamento</v>
      </c>
      <c r="J3666">
        <f>VLOOKUP(A3666,Pr_Base_LNEC!$A$4:$J$6971,6,FALSE)</f>
        <v>0</v>
      </c>
      <c r="K3666">
        <f>VLOOKUP(A3666,Pr_Base_LNEC!$A$4:$J$6971,7,FALSE)</f>
        <v>0</v>
      </c>
    </row>
    <row r="3667" spans="1:11" ht="14.5">
      <c r="A3667" s="20" t="s">
        <v>23295</v>
      </c>
      <c r="B3667" s="20">
        <v>40</v>
      </c>
      <c r="C3667" s="20">
        <v>30</v>
      </c>
      <c r="D3667" s="20">
        <v>20</v>
      </c>
      <c r="E3667" s="20">
        <v>77</v>
      </c>
      <c r="F3667" s="20" t="s">
        <v>23296</v>
      </c>
      <c r="G3667" s="20" t="s">
        <v>23297</v>
      </c>
      <c r="H3667" s="24"/>
      <c r="I3667" s="24" t="str">
        <f ca="1">IFERROR(__xludf.DUMMYFUNCTION("GOOGLETRANSLATE(F3667,""en"",""pt"")"),"trilhos de cortina do chuveiro")</f>
        <v>trilhos de cortina do chuveiro</v>
      </c>
      <c r="J3667">
        <f>VLOOKUP(A3667,Pr_Base_LNEC!$A$4:$J$6971,6,FALSE)</f>
        <v>0</v>
      </c>
      <c r="K3667">
        <f>VLOOKUP(A3667,Pr_Base_LNEC!$A$4:$J$6971,7,FALSE)</f>
        <v>0</v>
      </c>
    </row>
    <row r="3668" spans="1:11" ht="14.5">
      <c r="A3668" s="20" t="s">
        <v>23298</v>
      </c>
      <c r="B3668" s="20">
        <v>40</v>
      </c>
      <c r="C3668" s="20">
        <v>30</v>
      </c>
      <c r="D3668" s="20">
        <v>20</v>
      </c>
      <c r="E3668" s="20">
        <v>78</v>
      </c>
      <c r="F3668" s="20" t="s">
        <v>23299</v>
      </c>
      <c r="G3668" s="20" t="s">
        <v>23300</v>
      </c>
      <c r="H3668" s="24"/>
      <c r="I3668" s="24" t="str">
        <f ca="1">IFERROR(__xludf.DUMMYFUNCTION("GOOGLETRANSLATE(F3668,""en"",""pt"")"),"Cortinas de chuveiro")</f>
        <v>Cortinas de chuveiro</v>
      </c>
      <c r="J3668">
        <f>VLOOKUP(A3668,Pr_Base_LNEC!$A$4:$J$6971,6,FALSE)</f>
        <v>0</v>
      </c>
      <c r="K3668">
        <f>VLOOKUP(A3668,Pr_Base_LNEC!$A$4:$J$6971,7,FALSE)</f>
        <v>0</v>
      </c>
    </row>
    <row r="3669" spans="1:11" ht="14.5">
      <c r="A3669" s="20" t="s">
        <v>23301</v>
      </c>
      <c r="B3669" s="20">
        <v>40</v>
      </c>
      <c r="C3669" s="20">
        <v>30</v>
      </c>
      <c r="D3669" s="20">
        <v>20</v>
      </c>
      <c r="E3669" s="20">
        <v>83</v>
      </c>
      <c r="F3669" s="20" t="s">
        <v>23302</v>
      </c>
      <c r="G3669" s="24"/>
      <c r="H3669" s="24"/>
      <c r="I3669" s="24" t="str">
        <f ca="1">IFERROR(__xludf.DUMMYFUNCTION("GOOGLETRANSLATE(F3669,""en"",""pt"")"),"suportes cortina do palco")</f>
        <v>suportes cortina do palco</v>
      </c>
      <c r="J3669">
        <f>VLOOKUP(A3669,Pr_Base_LNEC!$A$4:$J$6971,6,FALSE)</f>
        <v>0</v>
      </c>
      <c r="K3669">
        <f>VLOOKUP(A3669,Pr_Base_LNEC!$A$4:$J$6971,7,FALSE)</f>
        <v>0</v>
      </c>
    </row>
    <row r="3670" spans="1:11" ht="14.5">
      <c r="A3670" s="20" t="s">
        <v>23303</v>
      </c>
      <c r="B3670" s="20">
        <v>40</v>
      </c>
      <c r="C3670" s="20">
        <v>30</v>
      </c>
      <c r="D3670" s="20">
        <v>20</v>
      </c>
      <c r="E3670" s="20">
        <v>84</v>
      </c>
      <c r="F3670" s="20" t="s">
        <v>23304</v>
      </c>
      <c r="G3670" s="24"/>
      <c r="H3670" s="24"/>
      <c r="I3670" s="24" t="str">
        <f ca="1">IFERROR(__xludf.DUMMYFUNCTION("GOOGLETRANSLATE(F3670,""en"",""pt"")"),"cortinas de palco")</f>
        <v>cortinas de palco</v>
      </c>
      <c r="J3670">
        <f>VLOOKUP(A3670,Pr_Base_LNEC!$A$4:$J$6971,6,FALSE)</f>
        <v>0</v>
      </c>
      <c r="K3670">
        <f>VLOOKUP(A3670,Pr_Base_LNEC!$A$4:$J$6971,7,FALSE)</f>
        <v>0</v>
      </c>
    </row>
    <row r="3671" spans="1:11" ht="14.5">
      <c r="A3671" s="20" t="s">
        <v>23305</v>
      </c>
      <c r="B3671" s="20">
        <v>40</v>
      </c>
      <c r="C3671" s="20">
        <v>30</v>
      </c>
      <c r="D3671" s="20">
        <v>20</v>
      </c>
      <c r="E3671" s="20">
        <v>86</v>
      </c>
      <c r="F3671" s="20" t="s">
        <v>23306</v>
      </c>
      <c r="G3671" s="24"/>
      <c r="H3671" s="24"/>
      <c r="I3671" s="24" t="str">
        <f ca="1">IFERROR(__xludf.DUMMYFUNCTION("GOOGLETRANSLATE(F3671,""en"",""pt"")"),"Superfície montado sanefas cortina")</f>
        <v>Superfície montado sanefas cortina</v>
      </c>
      <c r="J3671" t="e">
        <f>VLOOKUP(A3671,Pr_Base_LNEC!$A$4:$J$6971,6,FALSE)</f>
        <v>#N/A</v>
      </c>
      <c r="K3671" t="e">
        <f>VLOOKUP(A3671,Pr_Base_LNEC!$A$4:$J$6971,7,FALSE)</f>
        <v>#N/A</v>
      </c>
    </row>
    <row r="3672" spans="1:11" ht="14.5">
      <c r="A3672" s="20" t="s">
        <v>23307</v>
      </c>
      <c r="B3672" s="20">
        <v>40</v>
      </c>
      <c r="C3672" s="20">
        <v>30</v>
      </c>
      <c r="D3672" s="20">
        <v>20</v>
      </c>
      <c r="E3672" s="20">
        <v>96</v>
      </c>
      <c r="F3672" s="20" t="s">
        <v>23308</v>
      </c>
      <c r="G3672" s="20" t="s">
        <v>23309</v>
      </c>
      <c r="H3672" s="24"/>
      <c r="I3672" s="24" t="str">
        <f ca="1">IFERROR(__xludf.DUMMYFUNCTION("GOOGLETRANSLATE(F3672,""en"",""pt"")"),"suportes de cortina da janela")</f>
        <v>suportes de cortina da janela</v>
      </c>
      <c r="J3672">
        <f>VLOOKUP(A3672,Pr_Base_LNEC!$A$4:$J$6971,6,FALSE)</f>
        <v>0</v>
      </c>
      <c r="K3672">
        <f>VLOOKUP(A3672,Pr_Base_LNEC!$A$4:$J$6971,7,FALSE)</f>
        <v>0</v>
      </c>
    </row>
    <row r="3673" spans="1:11" ht="14.5">
      <c r="A3673" s="20" t="s">
        <v>23310</v>
      </c>
      <c r="B3673" s="20">
        <v>40</v>
      </c>
      <c r="C3673" s="20">
        <v>30</v>
      </c>
      <c r="D3673" s="20">
        <v>20</v>
      </c>
      <c r="E3673" s="20">
        <v>97</v>
      </c>
      <c r="F3673" s="20" t="s">
        <v>23311</v>
      </c>
      <c r="G3673" s="20" t="s">
        <v>23312</v>
      </c>
      <c r="H3673" s="24"/>
      <c r="I3673" s="24" t="str">
        <f ca="1">IFERROR(__xludf.DUMMYFUNCTION("GOOGLETRANSLATE(F3673,""en"",""pt"")"),"cortinas de janela")</f>
        <v>cortinas de janela</v>
      </c>
      <c r="J3673">
        <f>VLOOKUP(A3673,Pr_Base_LNEC!$A$4:$J$6971,6,FALSE)</f>
        <v>0</v>
      </c>
      <c r="K3673">
        <f>VLOOKUP(A3673,Pr_Base_LNEC!$A$4:$J$6971,7,FALSE)</f>
        <v>0</v>
      </c>
    </row>
    <row r="3674" spans="1:11" ht="14.5">
      <c r="A3674" s="20" t="s">
        <v>23313</v>
      </c>
      <c r="B3674" s="20">
        <v>40</v>
      </c>
      <c r="C3674" s="20">
        <v>30</v>
      </c>
      <c r="D3674" s="20">
        <v>21</v>
      </c>
      <c r="E3674" s="24"/>
      <c r="F3674" s="20" t="s">
        <v>23314</v>
      </c>
      <c r="G3674" s="24"/>
      <c r="H3674" s="24"/>
      <c r="I3674" s="24" t="str">
        <f ca="1">IFERROR(__xludf.DUMMYFUNCTION("GOOGLETRANSLATE(F3674,""en"",""pt"")"),"estandes de ciclo e armários")</f>
        <v>estandes de ciclo e armários</v>
      </c>
      <c r="J3674">
        <f>VLOOKUP(A3674,Pr_Base_LNEC!$A$4:$J$6971,6,FALSE)</f>
        <v>0</v>
      </c>
      <c r="K3674">
        <f>VLOOKUP(A3674,Pr_Base_LNEC!$A$4:$J$6971,7,FALSE)</f>
        <v>0</v>
      </c>
    </row>
    <row r="3675" spans="1:11" ht="14.5">
      <c r="A3675" s="20" t="s">
        <v>23315</v>
      </c>
      <c r="B3675" s="20">
        <v>40</v>
      </c>
      <c r="C3675" s="20">
        <v>30</v>
      </c>
      <c r="D3675" s="20">
        <v>21</v>
      </c>
      <c r="E3675" s="20">
        <v>2</v>
      </c>
      <c r="F3675" s="20" t="s">
        <v>23316</v>
      </c>
      <c r="G3675" s="20" t="s">
        <v>23317</v>
      </c>
      <c r="H3675" s="24"/>
      <c r="I3675" s="24" t="str">
        <f ca="1">IFERROR(__xludf.DUMMYFUNCTION("GOOGLETRANSLATE(F3675,""en"",""pt"")"),"armários ciclo de alumínio")</f>
        <v>armários ciclo de alumínio</v>
      </c>
      <c r="J3675">
        <f>VLOOKUP(A3675,Pr_Base_LNEC!$A$4:$J$6971,6,FALSE)</f>
        <v>0</v>
      </c>
      <c r="K3675">
        <f>VLOOKUP(A3675,Pr_Base_LNEC!$A$4:$J$6971,7,FALSE)</f>
        <v>0</v>
      </c>
    </row>
    <row r="3676" spans="1:11" ht="14.5">
      <c r="A3676" s="20" t="s">
        <v>23318</v>
      </c>
      <c r="B3676" s="20">
        <v>40</v>
      </c>
      <c r="C3676" s="20">
        <v>30</v>
      </c>
      <c r="D3676" s="20">
        <v>21</v>
      </c>
      <c r="E3676" s="20">
        <v>11</v>
      </c>
      <c r="F3676" s="20" t="s">
        <v>23319</v>
      </c>
      <c r="G3676" s="20" t="s">
        <v>23320</v>
      </c>
      <c r="H3676" s="24"/>
      <c r="I3676" s="24" t="str">
        <f ca="1">IFERROR(__xludf.DUMMYFUNCTION("GOOGLETRANSLATE(F3676,""en"",""pt"")"),"armários de aço ao carbono do ciclo")</f>
        <v>armários de aço ao carbono do ciclo</v>
      </c>
      <c r="J3676">
        <f>VLOOKUP(A3676,Pr_Base_LNEC!$A$4:$J$6971,6,FALSE)</f>
        <v>0</v>
      </c>
      <c r="K3676">
        <f>VLOOKUP(A3676,Pr_Base_LNEC!$A$4:$J$6971,7,FALSE)</f>
        <v>0</v>
      </c>
    </row>
    <row r="3677" spans="1:11" ht="14.5">
      <c r="A3677" s="20" t="s">
        <v>23321</v>
      </c>
      <c r="B3677" s="20">
        <v>40</v>
      </c>
      <c r="C3677" s="20">
        <v>30</v>
      </c>
      <c r="D3677" s="20">
        <v>21</v>
      </c>
      <c r="E3677" s="20">
        <v>12</v>
      </c>
      <c r="F3677" s="20" t="s">
        <v>23322</v>
      </c>
      <c r="G3677" s="20" t="s">
        <v>23323</v>
      </c>
      <c r="H3677" s="24"/>
      <c r="I3677" s="24" t="str">
        <f ca="1">IFERROR(__xludf.DUMMYFUNCTION("GOOGLETRANSLATE(F3677,""en"",""pt"")"),"bancadas de aço ao carbono do ciclo")</f>
        <v>bancadas de aço ao carbono do ciclo</v>
      </c>
      <c r="J3677">
        <f>VLOOKUP(A3677,Pr_Base_LNEC!$A$4:$J$6971,6,FALSE)</f>
        <v>0</v>
      </c>
      <c r="K3677">
        <f>VLOOKUP(A3677,Pr_Base_LNEC!$A$4:$J$6971,7,FALSE)</f>
        <v>0</v>
      </c>
    </row>
    <row r="3678" spans="1:11" ht="14.5">
      <c r="A3678" s="20" t="s">
        <v>23324</v>
      </c>
      <c r="B3678" s="20">
        <v>40</v>
      </c>
      <c r="C3678" s="20">
        <v>30</v>
      </c>
      <c r="D3678" s="20">
        <v>21</v>
      </c>
      <c r="E3678" s="20">
        <v>13</v>
      </c>
      <c r="F3678" s="20" t="s">
        <v>23325</v>
      </c>
      <c r="G3678" s="24"/>
      <c r="H3678" s="24"/>
      <c r="I3678" s="24" t="str">
        <f ca="1">IFERROR(__xludf.DUMMYFUNCTION("GOOGLETRANSLATE(F3678,""en"",""pt"")"),"suportes de ciclo de tecto")</f>
        <v>suportes de ciclo de tecto</v>
      </c>
      <c r="J3678">
        <f>VLOOKUP(A3678,Pr_Base_LNEC!$A$4:$J$6971,6,FALSE)</f>
        <v>0</v>
      </c>
      <c r="K3678">
        <f>VLOOKUP(A3678,Pr_Base_LNEC!$A$4:$J$6971,7,FALSE)</f>
        <v>0</v>
      </c>
    </row>
    <row r="3679" spans="1:11" ht="14.5">
      <c r="A3679" s="20" t="s">
        <v>23326</v>
      </c>
      <c r="B3679" s="20">
        <v>40</v>
      </c>
      <c r="C3679" s="20">
        <v>30</v>
      </c>
      <c r="D3679" s="20">
        <v>21</v>
      </c>
      <c r="E3679" s="20">
        <v>35</v>
      </c>
      <c r="F3679" s="20" t="s">
        <v>23327</v>
      </c>
      <c r="G3679" s="24"/>
      <c r="H3679" s="24"/>
      <c r="I3679" s="24" t="str">
        <f ca="1">IFERROR(__xludf.DUMMYFUNCTION("GOOGLETRANSLATE(F3679,""en"",""pt"")"),"arquibancadas ciclo montados no solo")</f>
        <v>arquibancadas ciclo montados no solo</v>
      </c>
      <c r="J3679">
        <f>VLOOKUP(A3679,Pr_Base_LNEC!$A$4:$J$6971,6,FALSE)</f>
        <v>0</v>
      </c>
      <c r="K3679">
        <f>VLOOKUP(A3679,Pr_Base_LNEC!$A$4:$J$6971,7,FALSE)</f>
        <v>0</v>
      </c>
    </row>
    <row r="3680" spans="1:11" ht="14.5">
      <c r="A3680" s="20" t="s">
        <v>23328</v>
      </c>
      <c r="B3680" s="20">
        <v>40</v>
      </c>
      <c r="C3680" s="20">
        <v>30</v>
      </c>
      <c r="D3680" s="20">
        <v>21</v>
      </c>
      <c r="E3680" s="20">
        <v>36</v>
      </c>
      <c r="F3680" s="20" t="s">
        <v>23329</v>
      </c>
      <c r="G3680" s="20" t="s">
        <v>23330</v>
      </c>
      <c r="H3680" s="24"/>
      <c r="I3680" s="24" t="str">
        <f ca="1">IFERROR(__xludf.DUMMYFUNCTION("GOOGLETRANSLATE(F3680,""en"",""pt"")"),"ciclo Hardwood está")</f>
        <v>ciclo Hardwood está</v>
      </c>
      <c r="J3680">
        <f>VLOOKUP(A3680,Pr_Base_LNEC!$A$4:$J$6971,6,FALSE)</f>
        <v>0</v>
      </c>
      <c r="K3680">
        <f>VLOOKUP(A3680,Pr_Base_LNEC!$A$4:$J$6971,7,FALSE)</f>
        <v>0</v>
      </c>
    </row>
    <row r="3681" spans="1:11" ht="14.5">
      <c r="A3681" s="20" t="s">
        <v>23331</v>
      </c>
      <c r="B3681" s="20">
        <v>40</v>
      </c>
      <c r="C3681" s="20">
        <v>30</v>
      </c>
      <c r="D3681" s="20">
        <v>21</v>
      </c>
      <c r="E3681" s="20">
        <v>65</v>
      </c>
      <c r="F3681" s="20" t="s">
        <v>23332</v>
      </c>
      <c r="G3681" s="20" t="s">
        <v>23333</v>
      </c>
      <c r="H3681" s="24"/>
      <c r="I3681" s="24" t="str">
        <f ca="1">IFERROR(__xludf.DUMMYFUNCTION("GOOGLETRANSLATE(F3681,""en"",""pt"")"),"cacifos ciclo Plastics")</f>
        <v>cacifos ciclo Plastics</v>
      </c>
      <c r="J3681">
        <f>VLOOKUP(A3681,Pr_Base_LNEC!$A$4:$J$6971,6,FALSE)</f>
        <v>0</v>
      </c>
      <c r="K3681">
        <f>VLOOKUP(A3681,Pr_Base_LNEC!$A$4:$J$6971,7,FALSE)</f>
        <v>0</v>
      </c>
    </row>
    <row r="3682" spans="1:11" ht="14.5">
      <c r="A3682" s="20" t="s">
        <v>23334</v>
      </c>
      <c r="B3682" s="20">
        <v>40</v>
      </c>
      <c r="C3682" s="20">
        <v>30</v>
      </c>
      <c r="D3682" s="20">
        <v>21</v>
      </c>
      <c r="E3682" s="20">
        <v>83</v>
      </c>
      <c r="F3682" s="20" t="s">
        <v>23335</v>
      </c>
      <c r="G3682" s="20" t="s">
        <v>23336</v>
      </c>
      <c r="H3682" s="24"/>
      <c r="I3682" s="24" t="str">
        <f ca="1">IFERROR(__xludf.DUMMYFUNCTION("GOOGLETRANSLATE(F3682,""en"",""pt"")"),"armários ciclo de aço inoxidável")</f>
        <v>armários ciclo de aço inoxidável</v>
      </c>
      <c r="J3682">
        <f>VLOOKUP(A3682,Pr_Base_LNEC!$A$4:$J$6971,6,FALSE)</f>
        <v>0</v>
      </c>
      <c r="K3682">
        <f>VLOOKUP(A3682,Pr_Base_LNEC!$A$4:$J$6971,7,FALSE)</f>
        <v>0</v>
      </c>
    </row>
    <row r="3683" spans="1:11" ht="14.5">
      <c r="A3683" s="20" t="s">
        <v>23337</v>
      </c>
      <c r="B3683" s="20">
        <v>40</v>
      </c>
      <c r="C3683" s="20">
        <v>30</v>
      </c>
      <c r="D3683" s="20">
        <v>21</v>
      </c>
      <c r="E3683" s="20">
        <v>84</v>
      </c>
      <c r="F3683" s="20" t="s">
        <v>23338</v>
      </c>
      <c r="G3683" s="20" t="s">
        <v>23339</v>
      </c>
      <c r="H3683" s="24"/>
      <c r="I3683" s="24" t="str">
        <f ca="1">IFERROR(__xludf.DUMMYFUNCTION("GOOGLETRANSLATE(F3683,""en"",""pt"")"),"arquibancadas ciclo de aço inoxidável")</f>
        <v>arquibancadas ciclo de aço inoxidável</v>
      </c>
      <c r="J3683">
        <f>VLOOKUP(A3683,Pr_Base_LNEC!$A$4:$J$6971,6,FALSE)</f>
        <v>0</v>
      </c>
      <c r="K3683">
        <f>VLOOKUP(A3683,Pr_Base_LNEC!$A$4:$J$6971,7,FALSE)</f>
        <v>0</v>
      </c>
    </row>
    <row r="3684" spans="1:11" ht="14.5">
      <c r="A3684" s="20" t="s">
        <v>23340</v>
      </c>
      <c r="B3684" s="20">
        <v>40</v>
      </c>
      <c r="C3684" s="20">
        <v>30</v>
      </c>
      <c r="D3684" s="20">
        <v>21</v>
      </c>
      <c r="E3684" s="20">
        <v>96</v>
      </c>
      <c r="F3684" s="20" t="s">
        <v>23341</v>
      </c>
      <c r="G3684" s="20" t="s">
        <v>23342</v>
      </c>
      <c r="H3684" s="24"/>
      <c r="I3684" s="24" t="str">
        <f ca="1">IFERROR(__xludf.DUMMYFUNCTION("GOOGLETRANSLATE(F3684,""en"",""pt"")"),"Wall-montados estandes ciclo")</f>
        <v>Wall-montados estandes ciclo</v>
      </c>
      <c r="J3684">
        <f>VLOOKUP(A3684,Pr_Base_LNEC!$A$4:$J$6971,6,FALSE)</f>
        <v>0</v>
      </c>
      <c r="K3684">
        <f>VLOOKUP(A3684,Pr_Base_LNEC!$A$4:$J$6971,7,FALSE)</f>
        <v>0</v>
      </c>
    </row>
    <row r="3685" spans="1:11" ht="14.5">
      <c r="A3685" s="20" t="s">
        <v>23343</v>
      </c>
      <c r="B3685" s="20">
        <v>40</v>
      </c>
      <c r="C3685" s="20">
        <v>30</v>
      </c>
      <c r="D3685" s="20">
        <v>22</v>
      </c>
      <c r="E3685" s="24"/>
      <c r="F3685" s="20" t="s">
        <v>23344</v>
      </c>
      <c r="G3685" s="24"/>
      <c r="H3685" s="24"/>
      <c r="I3685" s="24" t="str">
        <f ca="1">IFERROR(__xludf.DUMMYFUNCTION("GOOGLETRANSLATE(F3685,""en"",""pt"")"),"Impedimentos e armadilhas")</f>
        <v>Impedimentos e armadilhas</v>
      </c>
      <c r="J3685">
        <f>VLOOKUP(A3685,Pr_Base_LNEC!$A$4:$J$6971,6,FALSE)</f>
        <v>0</v>
      </c>
      <c r="K3685">
        <f>VLOOKUP(A3685,Pr_Base_LNEC!$A$4:$J$6971,7,FALSE)</f>
        <v>0</v>
      </c>
    </row>
    <row r="3686" spans="1:11" ht="14.5">
      <c r="A3686" s="20" t="s">
        <v>23345</v>
      </c>
      <c r="B3686" s="20">
        <v>40</v>
      </c>
      <c r="C3686" s="20">
        <v>30</v>
      </c>
      <c r="D3686" s="20">
        <v>22</v>
      </c>
      <c r="E3686" s="20">
        <v>2</v>
      </c>
      <c r="F3686" s="20" t="s">
        <v>23346</v>
      </c>
      <c r="G3686" s="24"/>
      <c r="H3686" s="24"/>
      <c r="I3686" s="24" t="str">
        <f ca="1">IFERROR(__xludf.DUMMYFUNCTION("GOOGLETRANSLATE(F3686,""en"",""pt"")"),"impedimentos animais")</f>
        <v>impedimentos animais</v>
      </c>
      <c r="J3686">
        <f>VLOOKUP(A3686,Pr_Base_LNEC!$A$4:$J$6971,6,FALSE)</f>
        <v>0</v>
      </c>
      <c r="K3686">
        <f>VLOOKUP(A3686,Pr_Base_LNEC!$A$4:$J$6971,7,FALSE)</f>
        <v>0</v>
      </c>
    </row>
    <row r="3687" spans="1:11" ht="14.5">
      <c r="A3687" s="20" t="s">
        <v>23347</v>
      </c>
      <c r="B3687" s="20">
        <v>40</v>
      </c>
      <c r="C3687" s="20">
        <v>30</v>
      </c>
      <c r="D3687" s="20">
        <v>22</v>
      </c>
      <c r="E3687" s="20">
        <v>5</v>
      </c>
      <c r="F3687" s="20" t="s">
        <v>23348</v>
      </c>
      <c r="G3687" s="20" t="s">
        <v>23349</v>
      </c>
      <c r="H3687" s="24"/>
      <c r="I3687" s="24" t="str">
        <f ca="1">IFERROR(__xludf.DUMMYFUNCTION("GOOGLETRANSLATE(F3687,""en"",""pt"")"),"iscas")</f>
        <v>iscas</v>
      </c>
      <c r="J3687">
        <f>VLOOKUP(A3687,Pr_Base_LNEC!$A$4:$J$6971,6,FALSE)</f>
        <v>0</v>
      </c>
      <c r="K3687">
        <f>VLOOKUP(A3687,Pr_Base_LNEC!$A$4:$J$6971,7,FALSE)</f>
        <v>0</v>
      </c>
    </row>
    <row r="3688" spans="1:11" ht="14.5">
      <c r="A3688" s="20" t="s">
        <v>23350</v>
      </c>
      <c r="B3688" s="20">
        <v>40</v>
      </c>
      <c r="C3688" s="20">
        <v>30</v>
      </c>
      <c r="D3688" s="20">
        <v>22</v>
      </c>
      <c r="E3688" s="20">
        <v>6</v>
      </c>
      <c r="F3688" s="20" t="s">
        <v>23351</v>
      </c>
      <c r="G3688" s="20" t="s">
        <v>23352</v>
      </c>
      <c r="H3688" s="24"/>
      <c r="I3688" s="24" t="str">
        <f ca="1">IFERROR(__xludf.DUMMYFUNCTION("GOOGLETRANSLATE(F3688,""en"",""pt"")"),"picos de dissuasão de aves")</f>
        <v>picos de dissuasão de aves</v>
      </c>
      <c r="J3688">
        <f>VLOOKUP(A3688,Pr_Base_LNEC!$A$4:$J$6971,6,FALSE)</f>
        <v>0</v>
      </c>
      <c r="K3688">
        <f>VLOOKUP(A3688,Pr_Base_LNEC!$A$4:$J$6971,7,FALSE)</f>
        <v>0</v>
      </c>
    </row>
    <row r="3689" spans="1:11" ht="14.5">
      <c r="A3689" s="20" t="s">
        <v>23353</v>
      </c>
      <c r="B3689" s="20">
        <v>40</v>
      </c>
      <c r="C3689" s="20">
        <v>30</v>
      </c>
      <c r="D3689" s="20">
        <v>22</v>
      </c>
      <c r="E3689" s="20">
        <v>11</v>
      </c>
      <c r="F3689" s="20" t="s">
        <v>23354</v>
      </c>
      <c r="G3689" s="20" t="s">
        <v>23355</v>
      </c>
      <c r="H3689" s="24"/>
      <c r="I3689" s="24" t="str">
        <f ca="1">IFERROR(__xludf.DUMMYFUNCTION("GOOGLETRANSLATE(F3689,""en"",""pt"")"),"armadilhas de gaiola")</f>
        <v>armadilhas de gaiola</v>
      </c>
      <c r="J3689">
        <f>VLOOKUP(A3689,Pr_Base_LNEC!$A$4:$J$6971,6,FALSE)</f>
        <v>0</v>
      </c>
      <c r="K3689">
        <f>VLOOKUP(A3689,Pr_Base_LNEC!$A$4:$J$6971,7,FALSE)</f>
        <v>0</v>
      </c>
    </row>
    <row r="3690" spans="1:11" ht="14.5">
      <c r="A3690" s="20" t="s">
        <v>23356</v>
      </c>
      <c r="B3690" s="20">
        <v>40</v>
      </c>
      <c r="C3690" s="20">
        <v>30</v>
      </c>
      <c r="D3690" s="20">
        <v>22</v>
      </c>
      <c r="E3690" s="20">
        <v>14</v>
      </c>
      <c r="F3690" s="20" t="s">
        <v>23357</v>
      </c>
      <c r="G3690" s="20" t="s">
        <v>23358</v>
      </c>
      <c r="H3690" s="24"/>
      <c r="I3690" s="24" t="str">
        <f ca="1">IFERROR(__xludf.DUMMYFUNCTION("GOOGLETRANSLATE(F3690,""en"",""pt"")"),"dissuasores de aves fio espiral")</f>
        <v>dissuasores de aves fio espiral</v>
      </c>
      <c r="J3690">
        <f>VLOOKUP(A3690,Pr_Base_LNEC!$A$4:$J$6971,6,FALSE)</f>
        <v>0</v>
      </c>
      <c r="K3690">
        <f>VLOOKUP(A3690,Pr_Base_LNEC!$A$4:$J$6971,7,FALSE)</f>
        <v>0</v>
      </c>
    </row>
    <row r="3691" spans="1:11" ht="14.5">
      <c r="A3691" s="20" t="s">
        <v>23359</v>
      </c>
      <c r="B3691" s="20">
        <v>40</v>
      </c>
      <c r="C3691" s="20">
        <v>30</v>
      </c>
      <c r="D3691" s="20">
        <v>22</v>
      </c>
      <c r="E3691" s="20">
        <v>22</v>
      </c>
      <c r="F3691" s="20" t="s">
        <v>23360</v>
      </c>
      <c r="G3691" s="24"/>
      <c r="H3691" s="24"/>
      <c r="I3691" s="24" t="str">
        <f ca="1">IFERROR(__xludf.DUMMYFUNCTION("GOOGLETRANSLATE(F3691,""en"",""pt"")"),"predadores decoy")</f>
        <v>predadores decoy</v>
      </c>
      <c r="J3691">
        <f>VLOOKUP(A3691,Pr_Base_LNEC!$A$4:$J$6971,6,FALSE)</f>
        <v>0</v>
      </c>
      <c r="K3691">
        <f>VLOOKUP(A3691,Pr_Base_LNEC!$A$4:$J$6971,7,FALSE)</f>
        <v>0</v>
      </c>
    </row>
    <row r="3692" spans="1:11" ht="14.5">
      <c r="A3692" s="20" t="s">
        <v>23361</v>
      </c>
      <c r="B3692" s="20">
        <v>40</v>
      </c>
      <c r="C3692" s="20">
        <v>30</v>
      </c>
      <c r="D3692" s="20">
        <v>22</v>
      </c>
      <c r="E3692" s="20">
        <v>26</v>
      </c>
      <c r="F3692" s="20" t="s">
        <v>23362</v>
      </c>
      <c r="G3692" s="20" t="s">
        <v>23363</v>
      </c>
      <c r="H3692" s="24"/>
      <c r="I3692" s="24" t="str">
        <f ca="1">IFERROR(__xludf.DUMMYFUNCTION("GOOGLETRANSLATE(F3692,""en"",""pt"")"),"pulso elétrico impedimentos tátil / faixa de aves")</f>
        <v>pulso elétrico impedimentos tátil / faixa de aves</v>
      </c>
      <c r="J3692">
        <f>VLOOKUP(A3692,Pr_Base_LNEC!$A$4:$J$6971,6,FALSE)</f>
        <v>0</v>
      </c>
      <c r="K3692">
        <f>VLOOKUP(A3692,Pr_Base_LNEC!$A$4:$J$6971,7,FALSE)</f>
        <v>0</v>
      </c>
    </row>
    <row r="3693" spans="1:11" ht="14.5">
      <c r="A3693" s="20" t="s">
        <v>23364</v>
      </c>
      <c r="B3693" s="20">
        <v>40</v>
      </c>
      <c r="C3693" s="20">
        <v>30</v>
      </c>
      <c r="D3693" s="20">
        <v>22</v>
      </c>
      <c r="E3693" s="20">
        <v>30</v>
      </c>
      <c r="F3693" s="20" t="s">
        <v>23365</v>
      </c>
      <c r="G3693" s="24"/>
      <c r="H3693" s="24"/>
      <c r="I3693" s="24" t="str">
        <f ca="1">IFERROR(__xludf.DUMMYFUNCTION("GOOGLETRANSLATE(F3693,""en"",""pt"")"),"desviadores de vôo")</f>
        <v>desviadores de vôo</v>
      </c>
      <c r="J3693">
        <f>VLOOKUP(A3693,Pr_Base_LNEC!$A$4:$J$6971,6,FALSE)</f>
        <v>0</v>
      </c>
      <c r="K3693">
        <f>VLOOKUP(A3693,Pr_Base_LNEC!$A$4:$J$6971,7,FALSE)</f>
        <v>0</v>
      </c>
    </row>
    <row r="3694" spans="1:11" ht="14.5">
      <c r="A3694" s="20" t="s">
        <v>23366</v>
      </c>
      <c r="B3694" s="20">
        <v>40</v>
      </c>
      <c r="C3694" s="20">
        <v>30</v>
      </c>
      <c r="D3694" s="20">
        <v>22</v>
      </c>
      <c r="E3694" s="20">
        <v>31</v>
      </c>
      <c r="F3694" s="20" t="s">
        <v>23367</v>
      </c>
      <c r="G3694" s="20" t="s">
        <v>23368</v>
      </c>
      <c r="H3694" s="24"/>
      <c r="I3694" s="24" t="str">
        <f ca="1">IFERROR(__xludf.DUMMYFUNCTION("GOOGLETRANSLATE(F3694,""en"",""pt"")"),"dissuasores de aves Frond")</f>
        <v>dissuasores de aves Frond</v>
      </c>
      <c r="J3694">
        <f>VLOOKUP(A3694,Pr_Base_LNEC!$A$4:$J$6971,6,FALSE)</f>
        <v>0</v>
      </c>
      <c r="K3694">
        <f>VLOOKUP(A3694,Pr_Base_LNEC!$A$4:$J$6971,7,FALSE)</f>
        <v>0</v>
      </c>
    </row>
    <row r="3695" spans="1:11" ht="14.5">
      <c r="A3695" s="20" t="s">
        <v>23369</v>
      </c>
      <c r="B3695" s="20">
        <v>40</v>
      </c>
      <c r="C3695" s="20">
        <v>30</v>
      </c>
      <c r="D3695" s="20">
        <v>22</v>
      </c>
      <c r="E3695" s="20">
        <v>34</v>
      </c>
      <c r="F3695" s="20" t="s">
        <v>23370</v>
      </c>
      <c r="G3695" s="24"/>
      <c r="H3695" s="24"/>
      <c r="I3695" s="24" t="str">
        <f ca="1">IFERROR(__xludf.DUMMYFUNCTION("GOOGLETRANSLATE(F3695,""en"",""pt"")"),"barreiras guarda")</f>
        <v>barreiras guarda</v>
      </c>
      <c r="J3695">
        <f>VLOOKUP(A3695,Pr_Base_LNEC!$A$4:$J$6971,6,FALSE)</f>
        <v>0</v>
      </c>
      <c r="K3695">
        <f>VLOOKUP(A3695,Pr_Base_LNEC!$A$4:$J$6971,7,FALSE)</f>
        <v>0</v>
      </c>
    </row>
    <row r="3696" spans="1:11" ht="14.5">
      <c r="A3696" s="20" t="s">
        <v>23371</v>
      </c>
      <c r="B3696" s="20">
        <v>40</v>
      </c>
      <c r="C3696" s="20">
        <v>30</v>
      </c>
      <c r="D3696" s="20">
        <v>22</v>
      </c>
      <c r="E3696" s="20">
        <v>38</v>
      </c>
      <c r="F3696" s="20" t="s">
        <v>23372</v>
      </c>
      <c r="G3696" s="24"/>
      <c r="H3696" s="24"/>
      <c r="I3696" s="24" t="str">
        <f ca="1">IFERROR(__xludf.DUMMYFUNCTION("GOOGLETRANSLATE(F3696,""en"",""pt"")"),"armadilhas humanas")</f>
        <v>armadilhas humanas</v>
      </c>
      <c r="J3696">
        <f>VLOOKUP(A3696,Pr_Base_LNEC!$A$4:$J$6971,6,FALSE)</f>
        <v>0</v>
      </c>
      <c r="K3696">
        <f>VLOOKUP(A3696,Pr_Base_LNEC!$A$4:$J$6971,7,FALSE)</f>
        <v>0</v>
      </c>
    </row>
    <row r="3697" spans="1:11" ht="14.5">
      <c r="A3697" s="20" t="s">
        <v>23373</v>
      </c>
      <c r="B3697" s="20">
        <v>40</v>
      </c>
      <c r="C3697" s="20">
        <v>30</v>
      </c>
      <c r="D3697" s="20">
        <v>22</v>
      </c>
      <c r="E3697" s="20">
        <v>40</v>
      </c>
      <c r="F3697" s="20" t="s">
        <v>23374</v>
      </c>
      <c r="G3697" s="20" t="s">
        <v>23375</v>
      </c>
      <c r="H3697" s="24"/>
      <c r="I3697" s="24" t="str">
        <f ca="1">IFERROR(__xludf.DUMMYFUNCTION("GOOGLETRANSLATE(F3697,""en"",""pt"")"),"dissuasores de aves superfície inclinada")</f>
        <v>dissuasores de aves superfície inclinada</v>
      </c>
      <c r="J3697">
        <f>VLOOKUP(A3697,Pr_Base_LNEC!$A$4:$J$6971,6,FALSE)</f>
        <v>0</v>
      </c>
      <c r="K3697">
        <f>VLOOKUP(A3697,Pr_Base_LNEC!$A$4:$J$6971,7,FALSE)</f>
        <v>0</v>
      </c>
    </row>
    <row r="3698" spans="1:11" ht="14.5">
      <c r="A3698" s="20" t="s">
        <v>23376</v>
      </c>
      <c r="B3698" s="20">
        <v>40</v>
      </c>
      <c r="C3698" s="20">
        <v>30</v>
      </c>
      <c r="D3698" s="20">
        <v>22</v>
      </c>
      <c r="E3698" s="20">
        <v>46</v>
      </c>
      <c r="F3698" s="20" t="s">
        <v>23377</v>
      </c>
      <c r="G3698" s="24"/>
      <c r="H3698" s="24"/>
      <c r="I3698" s="24" t="str">
        <f ca="1">IFERROR(__xludf.DUMMYFUNCTION("GOOGLETRANSLATE(F3698,""en"",""pt"")"),"repelentes de aves de laser")</f>
        <v>repelentes de aves de laser</v>
      </c>
      <c r="J3698">
        <f>VLOOKUP(A3698,Pr_Base_LNEC!$A$4:$J$6971,6,FALSE)</f>
        <v>0</v>
      </c>
      <c r="K3698">
        <f>VLOOKUP(A3698,Pr_Base_LNEC!$A$4:$J$6971,7,FALSE)</f>
        <v>0</v>
      </c>
    </row>
    <row r="3699" spans="1:11" ht="14.5">
      <c r="A3699" s="20" t="s">
        <v>23378</v>
      </c>
      <c r="B3699" s="20">
        <v>40</v>
      </c>
      <c r="C3699" s="20">
        <v>30</v>
      </c>
      <c r="D3699" s="20">
        <v>22</v>
      </c>
      <c r="E3699" s="20">
        <v>48</v>
      </c>
      <c r="F3699" s="20" t="s">
        <v>23379</v>
      </c>
      <c r="G3699" s="20" t="s">
        <v>23380</v>
      </c>
      <c r="H3699" s="24"/>
      <c r="I3699" s="24" t="str">
        <f ca="1">IFERROR(__xludf.DUMMYFUNCTION("GOOGLETRANSLATE(F3699,""en"",""pt"")"),"Baixa aves fio de tensão (gaivota) impedimentos")</f>
        <v>Baixa aves fio de tensão (gaivota) impedimentos</v>
      </c>
      <c r="J3699">
        <f>VLOOKUP(A3699,Pr_Base_LNEC!$A$4:$J$6971,6,FALSE)</f>
        <v>0</v>
      </c>
      <c r="K3699">
        <f>VLOOKUP(A3699,Pr_Base_LNEC!$A$4:$J$6971,7,FALSE)</f>
        <v>0</v>
      </c>
    </row>
    <row r="3700" spans="1:11" ht="14.5">
      <c r="A3700" s="20" t="s">
        <v>23381</v>
      </c>
      <c r="B3700" s="20">
        <v>40</v>
      </c>
      <c r="C3700" s="20">
        <v>30</v>
      </c>
      <c r="D3700" s="20">
        <v>22</v>
      </c>
      <c r="E3700" s="20">
        <v>56</v>
      </c>
      <c r="F3700" s="20" t="s">
        <v>23382</v>
      </c>
      <c r="G3700" s="24"/>
      <c r="H3700" s="24"/>
      <c r="I3700" s="24" t="str">
        <f ca="1">IFERROR(__xludf.DUMMYFUNCTION("GOOGLETRANSLATE(F3700,""en"",""pt"")"),"iscos rato e de murganho não tóxicos")</f>
        <v>iscos rato e de murganho não tóxicos</v>
      </c>
      <c r="J3700">
        <f>VLOOKUP(A3700,Pr_Base_LNEC!$A$4:$J$6971,6,FALSE)</f>
        <v>0</v>
      </c>
      <c r="K3700">
        <f>VLOOKUP(A3700,Pr_Base_LNEC!$A$4:$J$6971,7,FALSE)</f>
        <v>0</v>
      </c>
    </row>
    <row r="3701" spans="1:11" ht="14.5">
      <c r="A3701" s="20" t="s">
        <v>23383</v>
      </c>
      <c r="B3701" s="20">
        <v>40</v>
      </c>
      <c r="C3701" s="20">
        <v>30</v>
      </c>
      <c r="D3701" s="20">
        <v>22</v>
      </c>
      <c r="E3701" s="20">
        <v>60</v>
      </c>
      <c r="F3701" s="20" t="s">
        <v>23384</v>
      </c>
      <c r="G3701" s="20" t="s">
        <v>23385</v>
      </c>
      <c r="H3701" s="24"/>
      <c r="I3701" s="24" t="str">
        <f ca="1">IFERROR(__xludf.DUMMYFUNCTION("GOOGLETRANSLATE(F3701,""en"",""pt"")"),"As armadilhas de feromônio")</f>
        <v>As armadilhas de feromônio</v>
      </c>
      <c r="J3701">
        <f>VLOOKUP(A3701,Pr_Base_LNEC!$A$4:$J$6971,6,FALSE)</f>
        <v>0</v>
      </c>
      <c r="K3701">
        <f>VLOOKUP(A3701,Pr_Base_LNEC!$A$4:$J$6971,7,FALSE)</f>
        <v>0</v>
      </c>
    </row>
    <row r="3702" spans="1:11" ht="14.5">
      <c r="A3702" s="20" t="s">
        <v>23386</v>
      </c>
      <c r="B3702" s="20">
        <v>40</v>
      </c>
      <c r="C3702" s="20">
        <v>30</v>
      </c>
      <c r="D3702" s="20">
        <v>22</v>
      </c>
      <c r="E3702" s="20">
        <v>64</v>
      </c>
      <c r="F3702" s="20" t="s">
        <v>23387</v>
      </c>
      <c r="G3702" s="24"/>
      <c r="H3702" s="24"/>
      <c r="I3702" s="24" t="str">
        <f ca="1">IFERROR(__xludf.DUMMYFUNCTION("GOOGLETRANSLATE(F3702,""en"",""pt"")"),"armadilhas com alimentação")</f>
        <v>armadilhas com alimentação</v>
      </c>
      <c r="J3702">
        <f>VLOOKUP(A3702,Pr_Base_LNEC!$A$4:$J$6971,6,FALSE)</f>
        <v>0</v>
      </c>
      <c r="K3702">
        <f>VLOOKUP(A3702,Pr_Base_LNEC!$A$4:$J$6971,7,FALSE)</f>
        <v>0</v>
      </c>
    </row>
    <row r="3703" spans="1:11" ht="14.5">
      <c r="A3703" s="20" t="s">
        <v>23388</v>
      </c>
      <c r="B3703" s="20">
        <v>40</v>
      </c>
      <c r="C3703" s="20">
        <v>30</v>
      </c>
      <c r="D3703" s="20">
        <v>22</v>
      </c>
      <c r="E3703" s="20">
        <v>66</v>
      </c>
      <c r="F3703" s="20" t="s">
        <v>23389</v>
      </c>
      <c r="G3703" s="20" t="s">
        <v>23390</v>
      </c>
      <c r="H3703" s="24"/>
      <c r="I3703" s="24" t="str">
        <f ca="1">IFERROR(__xludf.DUMMYFUNCTION("GOOGLETRANSLATE(F3703,""en"",""pt"")"),"Alimentadas armadilhas de luz ultravioleta")</f>
        <v>Alimentadas armadilhas de luz ultravioleta</v>
      </c>
      <c r="J3703">
        <f>VLOOKUP(A3703,Pr_Base_LNEC!$A$4:$J$6971,6,FALSE)</f>
        <v>0</v>
      </c>
      <c r="K3703">
        <f>VLOOKUP(A3703,Pr_Base_LNEC!$A$4:$J$6971,7,FALSE)</f>
        <v>0</v>
      </c>
    </row>
    <row r="3704" spans="1:11" ht="14.5">
      <c r="A3704" s="20" t="s">
        <v>23391</v>
      </c>
      <c r="B3704" s="20">
        <v>40</v>
      </c>
      <c r="C3704" s="20">
        <v>30</v>
      </c>
      <c r="D3704" s="20">
        <v>22</v>
      </c>
      <c r="E3704" s="20">
        <v>76</v>
      </c>
      <c r="F3704" s="20" t="s">
        <v>23392</v>
      </c>
      <c r="G3704" s="24"/>
      <c r="H3704" s="24"/>
      <c r="I3704" s="24" t="str">
        <f ca="1">IFERROR(__xludf.DUMMYFUNCTION("GOOGLETRANSLATE(F3704,""en"",""pt"")"),"olhos scare")</f>
        <v>olhos scare</v>
      </c>
      <c r="J3704">
        <f>VLOOKUP(A3704,Pr_Base_LNEC!$A$4:$J$6971,6,FALSE)</f>
        <v>0</v>
      </c>
      <c r="K3704">
        <f>VLOOKUP(A3704,Pr_Base_LNEC!$A$4:$J$6971,7,FALSE)</f>
        <v>0</v>
      </c>
    </row>
    <row r="3705" spans="1:11" ht="14.5">
      <c r="A3705" s="20" t="s">
        <v>23393</v>
      </c>
      <c r="B3705" s="20">
        <v>40</v>
      </c>
      <c r="C3705" s="20">
        <v>30</v>
      </c>
      <c r="D3705" s="20">
        <v>22</v>
      </c>
      <c r="E3705" s="20">
        <v>80</v>
      </c>
      <c r="F3705" s="20" t="s">
        <v>23394</v>
      </c>
      <c r="G3705" s="20" t="s">
        <v>23395</v>
      </c>
      <c r="H3705" s="24"/>
      <c r="I3705" s="24" t="str">
        <f ca="1">IFERROR(__xludf.DUMMYFUNCTION("GOOGLETRANSLATE(F3705,""en"",""pt"")"),"impedimentos de sonic")</f>
        <v>impedimentos de sonic</v>
      </c>
      <c r="J3705">
        <f>VLOOKUP(A3705,Pr_Base_LNEC!$A$4:$J$6971,6,FALSE)</f>
        <v>0</v>
      </c>
      <c r="K3705">
        <f>VLOOKUP(A3705,Pr_Base_LNEC!$A$4:$J$6971,7,FALSE)</f>
        <v>0</v>
      </c>
    </row>
    <row r="3706" spans="1:11" ht="14.5">
      <c r="A3706" s="20" t="s">
        <v>23396</v>
      </c>
      <c r="B3706" s="20">
        <v>40</v>
      </c>
      <c r="C3706" s="20">
        <v>30</v>
      </c>
      <c r="D3706" s="20">
        <v>22</v>
      </c>
      <c r="E3706" s="20">
        <v>82</v>
      </c>
      <c r="F3706" s="20" t="s">
        <v>23397</v>
      </c>
      <c r="G3706" s="24"/>
      <c r="H3706" s="24"/>
      <c r="I3706" s="24" t="str">
        <f ca="1">IFERROR(__xludf.DUMMYFUNCTION("GOOGLETRANSLATE(F3706,""en"",""pt"")"),"armadilhas da primavera")</f>
        <v>armadilhas da primavera</v>
      </c>
      <c r="J3706">
        <f>VLOOKUP(A3706,Pr_Base_LNEC!$A$4:$J$6971,6,FALSE)</f>
        <v>0</v>
      </c>
      <c r="K3706">
        <f>VLOOKUP(A3706,Pr_Base_LNEC!$A$4:$J$6971,7,FALSE)</f>
        <v>0</v>
      </c>
    </row>
    <row r="3707" spans="1:11" ht="14.5">
      <c r="A3707" s="20" t="s">
        <v>23398</v>
      </c>
      <c r="B3707" s="20">
        <v>40</v>
      </c>
      <c r="C3707" s="20">
        <v>30</v>
      </c>
      <c r="D3707" s="20">
        <v>22</v>
      </c>
      <c r="E3707" s="20">
        <v>84</v>
      </c>
      <c r="F3707" s="20" t="s">
        <v>23399</v>
      </c>
      <c r="G3707" s="20" t="s">
        <v>23400</v>
      </c>
      <c r="H3707" s="24"/>
      <c r="I3707" s="24" t="str">
        <f ca="1">IFERROR(__xludf.DUMMYFUNCTION("GOOGLETRANSLATE(F3707,""en"",""pt"")"),"Arqueadas impedimentos aves fio de tensão")</f>
        <v>Arqueadas impedimentos aves fio de tensão</v>
      </c>
      <c r="J3707">
        <f>VLOOKUP(A3707,Pr_Base_LNEC!$A$4:$J$6971,6,FALSE)</f>
        <v>0</v>
      </c>
      <c r="K3707">
        <f>VLOOKUP(A3707,Pr_Base_LNEC!$A$4:$J$6971,7,FALSE)</f>
        <v>0</v>
      </c>
    </row>
    <row r="3708" spans="1:11" ht="14.5">
      <c r="A3708" s="20" t="s">
        <v>23401</v>
      </c>
      <c r="B3708" s="20">
        <v>40</v>
      </c>
      <c r="C3708" s="20">
        <v>30</v>
      </c>
      <c r="D3708" s="20">
        <v>22</v>
      </c>
      <c r="E3708" s="20">
        <v>87</v>
      </c>
      <c r="F3708" s="20" t="s">
        <v>23402</v>
      </c>
      <c r="G3708" s="20" t="s">
        <v>23403</v>
      </c>
      <c r="H3708" s="24"/>
      <c r="I3708" s="24" t="str">
        <f ca="1">IFERROR(__xludf.DUMMYFUNCTION("GOOGLETRANSLATE(F3708,""en"",""pt"")"),"géis tácteis e líquidos impedimentos")</f>
        <v>géis tácteis e líquidos impedimentos</v>
      </c>
      <c r="J3708">
        <f>VLOOKUP(A3708,Pr_Base_LNEC!$A$4:$J$6971,6,FALSE)</f>
        <v>0</v>
      </c>
      <c r="K3708">
        <f>VLOOKUP(A3708,Pr_Base_LNEC!$A$4:$J$6971,7,FALSE)</f>
        <v>0</v>
      </c>
    </row>
    <row r="3709" spans="1:11" ht="14.5">
      <c r="A3709" s="20" t="s">
        <v>23404</v>
      </c>
      <c r="B3709" s="20">
        <v>40</v>
      </c>
      <c r="C3709" s="20">
        <v>30</v>
      </c>
      <c r="D3709" s="20">
        <v>22</v>
      </c>
      <c r="E3709" s="20">
        <v>89</v>
      </c>
      <c r="F3709" s="20" t="s">
        <v>23405</v>
      </c>
      <c r="G3709" s="20" t="s">
        <v>23406</v>
      </c>
      <c r="H3709" s="24"/>
      <c r="I3709" s="24" t="str">
        <f ca="1">IFERROR(__xludf.DUMMYFUNCTION("GOOGLETRANSLATE(F3709,""en"",""pt"")"),"Gosto e dissuasores de aves perfume")</f>
        <v>Gosto e dissuasores de aves perfume</v>
      </c>
      <c r="J3709">
        <f>VLOOKUP(A3709,Pr_Base_LNEC!$A$4:$J$6971,6,FALSE)</f>
        <v>0</v>
      </c>
      <c r="K3709">
        <f>VLOOKUP(A3709,Pr_Base_LNEC!$A$4:$J$6971,7,FALSE)</f>
        <v>0</v>
      </c>
    </row>
    <row r="3710" spans="1:11" ht="14.5">
      <c r="A3710" s="20" t="s">
        <v>23407</v>
      </c>
      <c r="B3710" s="20">
        <v>40</v>
      </c>
      <c r="C3710" s="20">
        <v>30</v>
      </c>
      <c r="D3710" s="20">
        <v>22</v>
      </c>
      <c r="E3710" s="20">
        <v>92</v>
      </c>
      <c r="F3710" s="20" t="s">
        <v>23408</v>
      </c>
      <c r="G3710" s="24"/>
      <c r="H3710" s="24"/>
      <c r="I3710" s="24" t="str">
        <f ca="1">IFERROR(__xludf.DUMMYFUNCTION("GOOGLETRANSLATE(F3710,""en"",""pt"")"),"repelentes de roedores ultra-sônicos")</f>
        <v>repelentes de roedores ultra-sônicos</v>
      </c>
      <c r="J3710">
        <f>VLOOKUP(A3710,Pr_Base_LNEC!$A$4:$J$6971,6,FALSE)</f>
        <v>0</v>
      </c>
      <c r="K3710">
        <f>VLOOKUP(A3710,Pr_Base_LNEC!$A$4:$J$6971,7,FALSE)</f>
        <v>0</v>
      </c>
    </row>
    <row r="3711" spans="1:11" ht="14.5">
      <c r="A3711" s="20" t="s">
        <v>23409</v>
      </c>
      <c r="B3711" s="20">
        <v>40</v>
      </c>
      <c r="C3711" s="20">
        <v>30</v>
      </c>
      <c r="D3711" s="20">
        <v>22</v>
      </c>
      <c r="E3711" s="20">
        <v>95</v>
      </c>
      <c r="F3711" s="20" t="s">
        <v>23410</v>
      </c>
      <c r="G3711" s="20" t="s">
        <v>23411</v>
      </c>
      <c r="H3711" s="24"/>
      <c r="I3711" s="24" t="str">
        <f ca="1">IFERROR(__xludf.DUMMYFUNCTION("GOOGLETRANSLATE(F3711,""en"",""pt"")"),"dissuasores de aves visão de perturbação")</f>
        <v>dissuasores de aves visão de perturbação</v>
      </c>
      <c r="J3711">
        <f>VLOOKUP(A3711,Pr_Base_LNEC!$A$4:$J$6971,6,FALSE)</f>
        <v>0</v>
      </c>
      <c r="K3711">
        <f>VLOOKUP(A3711,Pr_Base_LNEC!$A$4:$J$6971,7,FALSE)</f>
        <v>0</v>
      </c>
    </row>
    <row r="3712" spans="1:11" ht="14.5">
      <c r="A3712" s="20" t="s">
        <v>23412</v>
      </c>
      <c r="B3712" s="20">
        <v>40</v>
      </c>
      <c r="C3712" s="20">
        <v>30</v>
      </c>
      <c r="D3712" s="20">
        <v>22</v>
      </c>
      <c r="E3712" s="20">
        <v>96</v>
      </c>
      <c r="F3712" s="20" t="s">
        <v>23413</v>
      </c>
      <c r="G3712" s="20" t="s">
        <v>23414</v>
      </c>
      <c r="H3712" s="24"/>
      <c r="I3712" s="24" t="str">
        <f ca="1">IFERROR(__xludf.DUMMYFUNCTION("GOOGLETRANSLATE(F3712,""en"",""pt"")"),"dissuasores de aves Visual ameaça")</f>
        <v>dissuasores de aves Visual ameaça</v>
      </c>
      <c r="J3712">
        <f>VLOOKUP(A3712,Pr_Base_LNEC!$A$4:$J$6971,6,FALSE)</f>
        <v>0</v>
      </c>
      <c r="K3712">
        <f>VLOOKUP(A3712,Pr_Base_LNEC!$A$4:$J$6971,7,FALSE)</f>
        <v>0</v>
      </c>
    </row>
    <row r="3713" spans="1:11" ht="14.5">
      <c r="A3713" s="20" t="s">
        <v>23415</v>
      </c>
      <c r="B3713" s="20">
        <v>40</v>
      </c>
      <c r="C3713" s="20">
        <v>30</v>
      </c>
      <c r="D3713" s="20">
        <v>25</v>
      </c>
      <c r="E3713" s="24"/>
      <c r="F3713" s="20" t="s">
        <v>23416</v>
      </c>
      <c r="G3713" s="24"/>
      <c r="H3713" s="24"/>
      <c r="I3713" s="24" t="str">
        <f ca="1">IFERROR(__xludf.DUMMYFUNCTION("GOOGLETRANSLATE(F3713,""en"",""pt"")"),"Identificação e apresentação acessórios")</f>
        <v>Identificação e apresentação acessórios</v>
      </c>
      <c r="J3713">
        <f>VLOOKUP(A3713,Pr_Base_LNEC!$A$4:$J$6971,6,FALSE)</f>
        <v>0</v>
      </c>
      <c r="K3713">
        <f>VLOOKUP(A3713,Pr_Base_LNEC!$A$4:$J$6971,7,FALSE)</f>
        <v>0</v>
      </c>
    </row>
    <row r="3714" spans="1:11" ht="14.5">
      <c r="A3714" s="20" t="s">
        <v>23417</v>
      </c>
      <c r="B3714" s="20">
        <v>40</v>
      </c>
      <c r="C3714" s="20">
        <v>30</v>
      </c>
      <c r="D3714" s="20">
        <v>25</v>
      </c>
      <c r="E3714" s="20">
        <v>3</v>
      </c>
      <c r="F3714" s="20" t="s">
        <v>23418</v>
      </c>
      <c r="G3714" s="20" t="s">
        <v>23419</v>
      </c>
      <c r="H3714" s="24"/>
      <c r="I3714" s="24" t="str">
        <f ca="1">IFERROR(__xludf.DUMMYFUNCTION("GOOGLETRANSLATE(F3714,""en"",""pt"")"),"sinais audíveis")</f>
        <v>sinais audíveis</v>
      </c>
      <c r="J3714">
        <f>VLOOKUP(A3714,Pr_Base_LNEC!$A$4:$J$6971,6,FALSE)</f>
        <v>0</v>
      </c>
      <c r="K3714">
        <f>VLOOKUP(A3714,Pr_Base_LNEC!$A$4:$J$6971,7,FALSE)</f>
        <v>0</v>
      </c>
    </row>
    <row r="3715" spans="1:11" ht="14.5">
      <c r="A3715" s="20" t="s">
        <v>23420</v>
      </c>
      <c r="B3715" s="20">
        <v>40</v>
      </c>
      <c r="C3715" s="20">
        <v>30</v>
      </c>
      <c r="D3715" s="20">
        <v>25</v>
      </c>
      <c r="E3715" s="20">
        <v>4</v>
      </c>
      <c r="F3715" s="20" t="s">
        <v>23421</v>
      </c>
      <c r="G3715" s="20" t="s">
        <v>23422</v>
      </c>
      <c r="H3715" s="24"/>
      <c r="I3715" s="24" t="str">
        <f ca="1">IFERROR(__xludf.DUMMYFUNCTION("GOOGLETRANSLATE(F3715,""en"",""pt"")"),"móveis audiovisual")</f>
        <v>móveis audiovisual</v>
      </c>
      <c r="J3715">
        <f>VLOOKUP(A3715,Pr_Base_LNEC!$A$4:$J$6971,6,FALSE)</f>
        <v>0</v>
      </c>
      <c r="K3715">
        <f>VLOOKUP(A3715,Pr_Base_LNEC!$A$4:$J$6971,7,FALSE)</f>
        <v>0</v>
      </c>
    </row>
    <row r="3716" spans="1:11" ht="14.5">
      <c r="A3716" s="20" t="s">
        <v>23423</v>
      </c>
      <c r="B3716" s="20">
        <v>40</v>
      </c>
      <c r="C3716" s="20">
        <v>30</v>
      </c>
      <c r="D3716" s="20">
        <v>25</v>
      </c>
      <c r="E3716" s="20">
        <v>13</v>
      </c>
      <c r="F3716" s="20" t="s">
        <v>23424</v>
      </c>
      <c r="G3716" s="20" t="s">
        <v>23425</v>
      </c>
      <c r="H3716" s="24"/>
      <c r="I3716" s="24" t="str">
        <f ca="1">IFERROR(__xludf.DUMMYFUNCTION("GOOGLETRANSLATE(F3716,""en"",""pt"")"),"chalkboards")</f>
        <v>chalkboards</v>
      </c>
      <c r="J3716">
        <f>VLOOKUP(A3716,Pr_Base_LNEC!$A$4:$J$6971,6,FALSE)</f>
        <v>0</v>
      </c>
      <c r="K3716">
        <f>VLOOKUP(A3716,Pr_Base_LNEC!$A$4:$J$6971,7,FALSE)</f>
        <v>0</v>
      </c>
    </row>
    <row r="3717" spans="1:11" ht="14.5">
      <c r="A3717" s="20" t="s">
        <v>23426</v>
      </c>
      <c r="B3717" s="20">
        <v>40</v>
      </c>
      <c r="C3717" s="20">
        <v>30</v>
      </c>
      <c r="D3717" s="20">
        <v>25</v>
      </c>
      <c r="E3717" s="20">
        <v>17</v>
      </c>
      <c r="F3717" s="20" t="s">
        <v>23427</v>
      </c>
      <c r="G3717" s="20" t="s">
        <v>23428</v>
      </c>
      <c r="H3717" s="24"/>
      <c r="I3717" s="24" t="str">
        <f ca="1">IFERROR(__xludf.DUMMYFUNCTION("GOOGLETRANSLATE(F3717,""en"",""pt"")"),"Sinais do computador gerados")</f>
        <v>Sinais do computador gerados</v>
      </c>
      <c r="J3717">
        <f>VLOOKUP(A3717,Pr_Base_LNEC!$A$4:$J$6971,6,FALSE)</f>
        <v>0</v>
      </c>
      <c r="K3717">
        <f>VLOOKUP(A3717,Pr_Base_LNEC!$A$4:$J$6971,7,FALSE)</f>
        <v>0</v>
      </c>
    </row>
    <row r="3718" spans="1:11" ht="14.5">
      <c r="A3718" s="20" t="s">
        <v>23429</v>
      </c>
      <c r="B3718" s="20">
        <v>40</v>
      </c>
      <c r="C3718" s="20">
        <v>30</v>
      </c>
      <c r="D3718" s="20">
        <v>25</v>
      </c>
      <c r="E3718" s="20">
        <v>21</v>
      </c>
      <c r="F3718" s="20" t="s">
        <v>23430</v>
      </c>
      <c r="G3718" s="20" t="s">
        <v>23431</v>
      </c>
      <c r="H3718" s="24"/>
      <c r="I3718" s="24" t="str">
        <f ca="1">IFERROR(__xludf.DUMMYFUNCTION("GOOGLETRANSLATE(F3718,""en"",""pt"")"),"pódios desmontáveis ​​e encenação")</f>
        <v>pódios desmontáveis ​​e encenação</v>
      </c>
      <c r="J3718">
        <f>VLOOKUP(A3718,Pr_Base_LNEC!$A$4:$J$6971,6,FALSE)</f>
        <v>0</v>
      </c>
      <c r="K3718">
        <f>VLOOKUP(A3718,Pr_Base_LNEC!$A$4:$J$6971,7,FALSE)</f>
        <v>0</v>
      </c>
    </row>
    <row r="3719" spans="1:11" ht="14.5">
      <c r="A3719" s="20" t="s">
        <v>23432</v>
      </c>
      <c r="B3719" s="20">
        <v>40</v>
      </c>
      <c r="C3719" s="20">
        <v>30</v>
      </c>
      <c r="D3719" s="20">
        <v>25</v>
      </c>
      <c r="E3719" s="20">
        <v>22</v>
      </c>
      <c r="F3719" s="20" t="s">
        <v>23433</v>
      </c>
      <c r="G3719" s="24"/>
      <c r="H3719" s="24"/>
      <c r="I3719" s="24" t="str">
        <f ca="1">IFERROR(__xludf.DUMMYFUNCTION("GOOGLETRANSLATE(F3719,""en"",""pt"")"),"atris de desktop")</f>
        <v>atris de desktop</v>
      </c>
      <c r="J3719">
        <f>VLOOKUP(A3719,Pr_Base_LNEC!$A$4:$J$6971,6,FALSE)</f>
        <v>0</v>
      </c>
      <c r="K3719">
        <f>VLOOKUP(A3719,Pr_Base_LNEC!$A$4:$J$6971,7,FALSE)</f>
        <v>0</v>
      </c>
    </row>
    <row r="3720" spans="1:11" ht="14.5">
      <c r="A3720" s="20" t="s">
        <v>23434</v>
      </c>
      <c r="B3720" s="20">
        <v>40</v>
      </c>
      <c r="C3720" s="20">
        <v>30</v>
      </c>
      <c r="D3720" s="20">
        <v>25</v>
      </c>
      <c r="E3720" s="20">
        <v>23</v>
      </c>
      <c r="F3720" s="20" t="s">
        <v>23435</v>
      </c>
      <c r="G3720" s="24"/>
      <c r="H3720" s="24"/>
      <c r="I3720" s="24" t="str">
        <f ca="1">IFERROR(__xludf.DUMMYFUNCTION("GOOGLETRANSLATE(F3720,""en"",""pt"")"),"telas")</f>
        <v>telas</v>
      </c>
      <c r="J3720">
        <f>VLOOKUP(A3720,Pr_Base_LNEC!$A$4:$J$6971,6,FALSE)</f>
        <v>0</v>
      </c>
      <c r="K3720">
        <f>VLOOKUP(A3720,Pr_Base_LNEC!$A$4:$J$6971,7,FALSE)</f>
        <v>0</v>
      </c>
    </row>
    <row r="3721" spans="1:11" ht="14.5">
      <c r="A3721" s="20" t="s">
        <v>23436</v>
      </c>
      <c r="B3721" s="20">
        <v>40</v>
      </c>
      <c r="C3721" s="20">
        <v>30</v>
      </c>
      <c r="D3721" s="20">
        <v>25</v>
      </c>
      <c r="E3721" s="20">
        <v>25</v>
      </c>
      <c r="F3721" s="20" t="s">
        <v>23437</v>
      </c>
      <c r="G3721" s="20" t="s">
        <v>23438</v>
      </c>
      <c r="H3721" s="24"/>
      <c r="I3721" s="24" t="str">
        <f ca="1">IFERROR(__xludf.DUMMYFUNCTION("GOOGLETRANSLATE(F3721,""en"",""pt"")"),"Dot Matrix exibe")</f>
        <v>Dot Matrix exibe</v>
      </c>
      <c r="J3721">
        <f>VLOOKUP(A3721,Pr_Base_LNEC!$A$4:$J$6971,6,FALSE)</f>
        <v>0</v>
      </c>
      <c r="K3721">
        <f>VLOOKUP(A3721,Pr_Base_LNEC!$A$4:$J$6971,7,FALSE)</f>
        <v>0</v>
      </c>
    </row>
    <row r="3722" spans="1:11" ht="14.5">
      <c r="A3722" s="20" t="s">
        <v>23439</v>
      </c>
      <c r="B3722" s="20">
        <v>40</v>
      </c>
      <c r="C3722" s="20">
        <v>30</v>
      </c>
      <c r="D3722" s="20">
        <v>25</v>
      </c>
      <c r="E3722" s="20">
        <v>30</v>
      </c>
      <c r="F3722" s="20" t="s">
        <v>23440</v>
      </c>
      <c r="G3722" s="20" t="s">
        <v>23441</v>
      </c>
      <c r="H3722" s="24"/>
      <c r="I3722" s="24" t="str">
        <f ca="1">IFERROR(__xludf.DUMMYFUNCTION("GOOGLETRANSLATE(F3722,""en"",""pt"")"),"independente telas")</f>
        <v>independente telas</v>
      </c>
      <c r="J3722">
        <f>VLOOKUP(A3722,Pr_Base_LNEC!$A$4:$J$6971,6,FALSE)</f>
        <v>0</v>
      </c>
      <c r="K3722">
        <f>VLOOKUP(A3722,Pr_Base_LNEC!$A$4:$J$6971,7,FALSE)</f>
        <v>0</v>
      </c>
    </row>
    <row r="3723" spans="1:11" ht="14.5">
      <c r="A3723" s="20" t="s">
        <v>23442</v>
      </c>
      <c r="B3723" s="20">
        <v>40</v>
      </c>
      <c r="C3723" s="20">
        <v>30</v>
      </c>
      <c r="D3723" s="20">
        <v>25</v>
      </c>
      <c r="E3723" s="20">
        <v>42</v>
      </c>
      <c r="F3723" s="20" t="s">
        <v>23443</v>
      </c>
      <c r="G3723" s="24"/>
      <c r="H3723" s="24"/>
      <c r="I3723" s="24" t="str">
        <f ca="1">IFERROR(__xludf.DUMMYFUNCTION("GOOGLETRANSLATE(F3723,""en"",""pt"")"),"Quadros interativos")</f>
        <v>Quadros interativos</v>
      </c>
      <c r="J3723">
        <f>VLOOKUP(A3723,Pr_Base_LNEC!$A$4:$J$6971,6,FALSE)</f>
        <v>0</v>
      </c>
      <c r="K3723">
        <f>VLOOKUP(A3723,Pr_Base_LNEC!$A$4:$J$6971,7,FALSE)</f>
        <v>0</v>
      </c>
    </row>
    <row r="3724" spans="1:11" ht="14.5">
      <c r="A3724" s="20" t="s">
        <v>23444</v>
      </c>
      <c r="B3724" s="20">
        <v>40</v>
      </c>
      <c r="C3724" s="20">
        <v>30</v>
      </c>
      <c r="D3724" s="20">
        <v>25</v>
      </c>
      <c r="E3724" s="20">
        <v>46</v>
      </c>
      <c r="F3724" s="20" t="s">
        <v>23445</v>
      </c>
      <c r="G3724" s="20" t="s">
        <v>23446</v>
      </c>
      <c r="H3724" s="24"/>
      <c r="I3724" s="24" t="str">
        <f ca="1">IFERROR(__xludf.DUMMYFUNCTION("GOOGLETRANSLATE(F3724,""en"",""pt"")"),"atris")</f>
        <v>atris</v>
      </c>
      <c r="J3724">
        <f>VLOOKUP(A3724,Pr_Base_LNEC!$A$4:$J$6971,6,FALSE)</f>
        <v>0</v>
      </c>
      <c r="K3724">
        <f>VLOOKUP(A3724,Pr_Base_LNEC!$A$4:$J$6971,7,FALSE)</f>
        <v>0</v>
      </c>
    </row>
    <row r="3725" spans="1:11" ht="14.5">
      <c r="A3725" s="20" t="s">
        <v>23447</v>
      </c>
      <c r="B3725" s="20">
        <v>40</v>
      </c>
      <c r="C3725" s="20">
        <v>30</v>
      </c>
      <c r="D3725" s="20">
        <v>25</v>
      </c>
      <c r="E3725" s="20">
        <v>47</v>
      </c>
      <c r="F3725" s="20" t="s">
        <v>23448</v>
      </c>
      <c r="G3725" s="24"/>
      <c r="H3725" s="24"/>
      <c r="I3725" s="24" t="str">
        <f ca="1">IFERROR(__xludf.DUMMYFUNCTION("GOOGLETRANSLATE(F3725,""en"",""pt"")"),"Díodo emissor de luz (LED) de painéis")</f>
        <v>Díodo emissor de luz (LED) de painéis</v>
      </c>
      <c r="J3725">
        <f>VLOOKUP(A3725,Pr_Base_LNEC!$A$4:$J$6971,6,FALSE)</f>
        <v>0</v>
      </c>
      <c r="K3725">
        <f>VLOOKUP(A3725,Pr_Base_LNEC!$A$4:$J$6971,7,FALSE)</f>
        <v>0</v>
      </c>
    </row>
    <row r="3726" spans="1:11" ht="14.5">
      <c r="A3726" s="20" t="s">
        <v>23449</v>
      </c>
      <c r="B3726" s="20">
        <v>40</v>
      </c>
      <c r="C3726" s="20">
        <v>30</v>
      </c>
      <c r="D3726" s="20">
        <v>25</v>
      </c>
      <c r="E3726" s="20">
        <v>48</v>
      </c>
      <c r="F3726" s="20" t="s">
        <v>23450</v>
      </c>
      <c r="G3726" s="20" t="s">
        <v>23451</v>
      </c>
      <c r="H3726" s="24"/>
      <c r="I3726" s="24" t="str">
        <f ca="1">IFERROR(__xludf.DUMMYFUNCTION("GOOGLETRANSLATE(F3726,""en"",""pt"")"),"de exibição de cristal líquido (LCD) painéis")</f>
        <v>de exibição de cristal líquido (LCD) painéis</v>
      </c>
      <c r="J3726">
        <f>VLOOKUP(A3726,Pr_Base_LNEC!$A$4:$J$6971,6,FALSE)</f>
        <v>0</v>
      </c>
      <c r="K3726">
        <f>VLOOKUP(A3726,Pr_Base_LNEC!$A$4:$J$6971,7,FALSE)</f>
        <v>0</v>
      </c>
    </row>
    <row r="3727" spans="1:11" ht="14.5">
      <c r="A3727" s="20" t="s">
        <v>23452</v>
      </c>
      <c r="B3727" s="20">
        <v>40</v>
      </c>
      <c r="C3727" s="20">
        <v>30</v>
      </c>
      <c r="D3727" s="20">
        <v>25</v>
      </c>
      <c r="E3727" s="20">
        <v>50</v>
      </c>
      <c r="F3727" s="20" t="s">
        <v>23453</v>
      </c>
      <c r="G3727" s="20" t="s">
        <v>23454</v>
      </c>
      <c r="H3727" s="24"/>
      <c r="I3727" s="24" t="str">
        <f ca="1">IFERROR(__xludf.DUMMYFUNCTION("GOOGLETRANSLATE(F3727,""en"",""pt"")"),"quadros magnéticos")</f>
        <v>quadros magnéticos</v>
      </c>
      <c r="J3727">
        <f>VLOOKUP(A3727,Pr_Base_LNEC!$A$4:$J$6971,6,FALSE)</f>
        <v>0</v>
      </c>
      <c r="K3727">
        <f>VLOOKUP(A3727,Pr_Base_LNEC!$A$4:$J$6971,7,FALSE)</f>
        <v>0</v>
      </c>
    </row>
    <row r="3728" spans="1:11" ht="14.5">
      <c r="A3728" s="20" t="s">
        <v>23455</v>
      </c>
      <c r="B3728" s="20">
        <v>40</v>
      </c>
      <c r="C3728" s="20">
        <v>30</v>
      </c>
      <c r="D3728" s="20">
        <v>25</v>
      </c>
      <c r="E3728" s="20">
        <v>55</v>
      </c>
      <c r="F3728" s="20" t="s">
        <v>23456</v>
      </c>
      <c r="G3728" s="24"/>
      <c r="H3728" s="24"/>
      <c r="I3728" s="24" t="str">
        <f ca="1">IFERROR(__xludf.DUMMYFUNCTION("GOOGLETRANSLATE(F3728,""en"",""pt"")"),"ecrãs multimédia")</f>
        <v>ecrãs multimédia</v>
      </c>
      <c r="J3728">
        <f>VLOOKUP(A3728,Pr_Base_LNEC!$A$4:$J$6971,6,FALSE)</f>
        <v>0</v>
      </c>
      <c r="K3728">
        <f>VLOOKUP(A3728,Pr_Base_LNEC!$A$4:$J$6971,7,FALSE)</f>
        <v>0</v>
      </c>
    </row>
    <row r="3729" spans="1:11" ht="14.5">
      <c r="A3729" s="20" t="s">
        <v>23457</v>
      </c>
      <c r="B3729" s="20">
        <v>40</v>
      </c>
      <c r="C3729" s="20">
        <v>30</v>
      </c>
      <c r="D3729" s="20">
        <v>25</v>
      </c>
      <c r="E3729" s="20">
        <v>58</v>
      </c>
      <c r="F3729" s="20" t="s">
        <v>23458</v>
      </c>
      <c r="G3729" s="20" t="s">
        <v>23459</v>
      </c>
      <c r="H3729" s="24"/>
      <c r="I3729" s="24" t="str">
        <f ca="1">IFERROR(__xludf.DUMMYFUNCTION("GOOGLETRANSLATE(F3729,""en"",""pt"")"),"Quadros de aviso")</f>
        <v>Quadros de aviso</v>
      </c>
      <c r="J3729">
        <f>VLOOKUP(A3729,Pr_Base_LNEC!$A$4:$J$6971,6,FALSE)</f>
        <v>0</v>
      </c>
      <c r="K3729">
        <f>VLOOKUP(A3729,Pr_Base_LNEC!$A$4:$J$6971,7,FALSE)</f>
        <v>0</v>
      </c>
    </row>
    <row r="3730" spans="1:11" ht="14.5">
      <c r="A3730" s="20" t="s">
        <v>23460</v>
      </c>
      <c r="B3730" s="20">
        <v>40</v>
      </c>
      <c r="C3730" s="20">
        <v>30</v>
      </c>
      <c r="D3730" s="20">
        <v>25</v>
      </c>
      <c r="E3730" s="20">
        <v>64</v>
      </c>
      <c r="F3730" s="20" t="s">
        <v>23461</v>
      </c>
      <c r="G3730" s="20" t="s">
        <v>23462</v>
      </c>
      <c r="H3730" s="24"/>
      <c r="I3730" s="24" t="str">
        <f ca="1">IFERROR(__xludf.DUMMYFUNCTION("GOOGLETRANSLATE(F3730,""en"",""pt"")"),"Pinboards")</f>
        <v>Pinboards</v>
      </c>
      <c r="J3730">
        <f>VLOOKUP(A3730,Pr_Base_LNEC!$A$4:$J$6971,6,FALSE)</f>
        <v>0</v>
      </c>
      <c r="K3730">
        <f>VLOOKUP(A3730,Pr_Base_LNEC!$A$4:$J$6971,7,FALSE)</f>
        <v>0</v>
      </c>
    </row>
    <row r="3731" spans="1:11" ht="14.5">
      <c r="A3731" s="20" t="s">
        <v>23463</v>
      </c>
      <c r="B3731" s="20">
        <v>40</v>
      </c>
      <c r="C3731" s="20">
        <v>30</v>
      </c>
      <c r="D3731" s="20">
        <v>25</v>
      </c>
      <c r="E3731" s="20">
        <v>65</v>
      </c>
      <c r="F3731" s="20" t="s">
        <v>23464</v>
      </c>
      <c r="G3731" s="20" t="s">
        <v>23465</v>
      </c>
      <c r="H3731" s="24"/>
      <c r="I3731" s="24" t="str">
        <f ca="1">IFERROR(__xludf.DUMMYFUNCTION("GOOGLETRANSLATE(F3731,""en"",""pt"")"),"telas de plasma")</f>
        <v>telas de plasma</v>
      </c>
      <c r="J3731">
        <f>VLOOKUP(A3731,Pr_Base_LNEC!$A$4:$J$6971,6,FALSE)</f>
        <v>0</v>
      </c>
      <c r="K3731">
        <f>VLOOKUP(A3731,Pr_Base_LNEC!$A$4:$J$6971,7,FALSE)</f>
        <v>0</v>
      </c>
    </row>
    <row r="3732" spans="1:11" ht="14.5">
      <c r="A3732" s="20" t="s">
        <v>23466</v>
      </c>
      <c r="B3732" s="20">
        <v>40</v>
      </c>
      <c r="C3732" s="20">
        <v>30</v>
      </c>
      <c r="D3732" s="20">
        <v>25</v>
      </c>
      <c r="E3732" s="20">
        <v>67</v>
      </c>
      <c r="F3732" s="20" t="s">
        <v>23467</v>
      </c>
      <c r="G3732" s="24"/>
      <c r="H3732" s="24"/>
      <c r="I3732" s="24" t="str">
        <f ca="1">IFERROR(__xludf.DUMMYFUNCTION("GOOGLETRANSLATE(F3732,""en"",""pt"")"),"telas de projeção")</f>
        <v>telas de projeção</v>
      </c>
      <c r="J3732">
        <f>VLOOKUP(A3732,Pr_Base_LNEC!$A$4:$J$6971,6,FALSE)</f>
        <v>0</v>
      </c>
      <c r="K3732">
        <f>VLOOKUP(A3732,Pr_Base_LNEC!$A$4:$J$6971,7,FALSE)</f>
        <v>0</v>
      </c>
    </row>
    <row r="3733" spans="1:11" ht="14.5">
      <c r="A3733" s="20" t="s">
        <v>23468</v>
      </c>
      <c r="B3733" s="20">
        <v>40</v>
      </c>
      <c r="C3733" s="20">
        <v>30</v>
      </c>
      <c r="D3733" s="20">
        <v>25</v>
      </c>
      <c r="E3733" s="20">
        <v>71</v>
      </c>
      <c r="F3733" s="20" t="s">
        <v>23469</v>
      </c>
      <c r="G3733" s="24"/>
      <c r="H3733" s="24"/>
      <c r="I3733" s="24" t="str">
        <f ca="1">IFERROR(__xludf.DUMMYFUNCTION("GOOGLETRANSLATE(F3733,""en"",""pt"")"),"acessórios de retalho")</f>
        <v>acessórios de retalho</v>
      </c>
      <c r="J3733">
        <f>VLOOKUP(A3733,Pr_Base_LNEC!$A$4:$J$6971,6,FALSE)</f>
        <v>0</v>
      </c>
      <c r="K3733">
        <f>VLOOKUP(A3733,Pr_Base_LNEC!$A$4:$J$6971,7,FALSE)</f>
        <v>0</v>
      </c>
    </row>
    <row r="3734" spans="1:11" ht="14.5">
      <c r="A3734" s="20" t="s">
        <v>23470</v>
      </c>
      <c r="B3734" s="20">
        <v>40</v>
      </c>
      <c r="C3734" s="20">
        <v>30</v>
      </c>
      <c r="D3734" s="20">
        <v>25</v>
      </c>
      <c r="E3734" s="20">
        <v>88</v>
      </c>
      <c r="F3734" s="20" t="s">
        <v>23471</v>
      </c>
      <c r="G3734" s="20" t="s">
        <v>23472</v>
      </c>
      <c r="H3734" s="24"/>
      <c r="I3734" s="24" t="str">
        <f ca="1">IFERROR(__xludf.DUMMYFUNCTION("GOOGLETRANSLATE(F3734,""en"",""pt"")"),"paredes de ensino")</f>
        <v>paredes de ensino</v>
      </c>
      <c r="J3734">
        <f>VLOOKUP(A3734,Pr_Base_LNEC!$A$4:$J$6971,6,FALSE)</f>
        <v>0</v>
      </c>
      <c r="K3734">
        <f>VLOOKUP(A3734,Pr_Base_LNEC!$A$4:$J$6971,7,FALSE)</f>
        <v>0</v>
      </c>
    </row>
    <row r="3735" spans="1:11" ht="14.5">
      <c r="A3735" s="20" t="s">
        <v>23473</v>
      </c>
      <c r="B3735" s="20">
        <v>40</v>
      </c>
      <c r="C3735" s="20">
        <v>30</v>
      </c>
      <c r="D3735" s="20">
        <v>25</v>
      </c>
      <c r="E3735" s="20">
        <v>96</v>
      </c>
      <c r="F3735" s="20" t="s">
        <v>23474</v>
      </c>
      <c r="G3735" s="20" t="s">
        <v>23475</v>
      </c>
      <c r="H3735" s="24"/>
      <c r="I3735" s="24" t="str">
        <f ca="1">IFERROR(__xludf.DUMMYFUNCTION("GOOGLETRANSLATE(F3735,""en"",""pt"")"),"lousas")</f>
        <v>lousas</v>
      </c>
      <c r="J3735">
        <f>VLOOKUP(A3735,Pr_Base_LNEC!$A$4:$J$6971,6,FALSE)</f>
        <v>0</v>
      </c>
      <c r="K3735">
        <f>VLOOKUP(A3735,Pr_Base_LNEC!$A$4:$J$6971,7,FALSE)</f>
        <v>0</v>
      </c>
    </row>
    <row r="3736" spans="1:11" ht="14.5">
      <c r="A3736" s="20" t="s">
        <v>23476</v>
      </c>
      <c r="B3736" s="20">
        <v>40</v>
      </c>
      <c r="C3736" s="20">
        <v>30</v>
      </c>
      <c r="D3736" s="20">
        <v>26</v>
      </c>
      <c r="E3736" s="24"/>
      <c r="F3736" s="20" t="s">
        <v>23477</v>
      </c>
      <c r="G3736" s="24"/>
      <c r="H3736" s="24"/>
      <c r="I3736" s="24" t="str">
        <f ca="1">IFERROR(__xludf.DUMMYFUNCTION("GOOGLETRANSLATE(F3736,""en"",""pt"")"),"linhas de secagem")</f>
        <v>linhas de secagem</v>
      </c>
      <c r="J3736">
        <f>VLOOKUP(A3736,Pr_Base_LNEC!$A$4:$J$6971,6,FALSE)</f>
        <v>0</v>
      </c>
      <c r="K3736">
        <f>VLOOKUP(A3736,Pr_Base_LNEC!$A$4:$J$6971,7,FALSE)</f>
        <v>0</v>
      </c>
    </row>
    <row r="3737" spans="1:11" ht="14.5">
      <c r="A3737" s="20" t="s">
        <v>23478</v>
      </c>
      <c r="B3737" s="20">
        <v>40</v>
      </c>
      <c r="C3737" s="20">
        <v>30</v>
      </c>
      <c r="D3737" s="20">
        <v>26</v>
      </c>
      <c r="E3737" s="20">
        <v>12</v>
      </c>
      <c r="F3737" s="20" t="s">
        <v>23479</v>
      </c>
      <c r="G3737" s="20" t="s">
        <v>23480</v>
      </c>
      <c r="H3737" s="24"/>
      <c r="I3737" s="24" t="str">
        <f ca="1">IFERROR(__xludf.DUMMYFUNCTION("GOOGLETRANSLATE(F3737,""en"",""pt"")"),"Tecto montado linhas de roupa para secar")</f>
        <v>Tecto montado linhas de roupa para secar</v>
      </c>
      <c r="J3737" t="e">
        <f>VLOOKUP(A3737,Pr_Base_LNEC!$A$4:$J$6971,6,FALSE)</f>
        <v>#N/A</v>
      </c>
      <c r="K3737" t="e">
        <f>VLOOKUP(A3737,Pr_Base_LNEC!$A$4:$J$6971,7,FALSE)</f>
        <v>#N/A</v>
      </c>
    </row>
    <row r="3738" spans="1:11" ht="14.5">
      <c r="A3738" s="20" t="s">
        <v>23481</v>
      </c>
      <c r="B3738" s="20">
        <v>40</v>
      </c>
      <c r="C3738" s="20">
        <v>30</v>
      </c>
      <c r="D3738" s="20">
        <v>26</v>
      </c>
      <c r="E3738" s="20">
        <v>30</v>
      </c>
      <c r="F3738" s="20" t="s">
        <v>23482</v>
      </c>
      <c r="G3738" s="24"/>
      <c r="H3738" s="24"/>
      <c r="I3738" s="24" t="str">
        <f ca="1">IFERROR(__xludf.DUMMYFUNCTION("GOOGLETRANSLATE(F3738,""en"",""pt"")"),"parede dobrável montado linhas de roupa para secar")</f>
        <v>parede dobrável montado linhas de roupa para secar</v>
      </c>
      <c r="J3738" t="e">
        <f>VLOOKUP(A3738,Pr_Base_LNEC!$A$4:$J$6971,6,FALSE)</f>
        <v>#N/A</v>
      </c>
      <c r="K3738" t="e">
        <f>VLOOKUP(A3738,Pr_Base_LNEC!$A$4:$J$6971,7,FALSE)</f>
        <v>#N/A</v>
      </c>
    </row>
    <row r="3739" spans="1:11" ht="14.5">
      <c r="A3739" s="20" t="s">
        <v>23483</v>
      </c>
      <c r="B3739" s="20">
        <v>40</v>
      </c>
      <c r="C3739" s="20">
        <v>30</v>
      </c>
      <c r="D3739" s="20">
        <v>26</v>
      </c>
      <c r="E3739" s="20">
        <v>32</v>
      </c>
      <c r="F3739" s="20" t="s">
        <v>23484</v>
      </c>
      <c r="G3739" s="24"/>
      <c r="H3739" s="24"/>
      <c r="I3739" s="24" t="str">
        <f ca="1">IFERROR(__xludf.DUMMYFUNCTION("GOOGLETRANSLATE(F3739,""en"",""pt"")"),"pe de roupa de secagem livres linhas")</f>
        <v>pe de roupa de secagem livres linhas</v>
      </c>
      <c r="J3739" t="e">
        <f>VLOOKUP(A3739,Pr_Base_LNEC!$A$4:$J$6971,6,FALSE)</f>
        <v>#N/A</v>
      </c>
      <c r="K3739" t="e">
        <f>VLOOKUP(A3739,Pr_Base_LNEC!$A$4:$J$6971,7,FALSE)</f>
        <v>#N/A</v>
      </c>
    </row>
    <row r="3740" spans="1:11" ht="14.5">
      <c r="A3740" s="20" t="s">
        <v>23485</v>
      </c>
      <c r="B3740" s="20">
        <v>40</v>
      </c>
      <c r="C3740" s="20">
        <v>30</v>
      </c>
      <c r="D3740" s="20">
        <v>26</v>
      </c>
      <c r="E3740" s="20">
        <v>55</v>
      </c>
      <c r="F3740" s="20" t="s">
        <v>23486</v>
      </c>
      <c r="G3740" s="20" t="s">
        <v>23487</v>
      </c>
      <c r="H3740" s="24"/>
      <c r="I3740" s="24" t="str">
        <f ca="1">IFERROR(__xludf.DUMMYFUNCTION("GOOGLETRANSLATE(F3740,""en"",""pt"")"),"de linha múltipla roupa para secar as linhas retrácteis")</f>
        <v>de linha múltipla roupa para secar as linhas retrácteis</v>
      </c>
      <c r="J3740" t="e">
        <f>VLOOKUP(A3740,Pr_Base_LNEC!$A$4:$J$6971,6,FALSE)</f>
        <v>#N/A</v>
      </c>
      <c r="K3740" t="e">
        <f>VLOOKUP(A3740,Pr_Base_LNEC!$A$4:$J$6971,7,FALSE)</f>
        <v>#N/A</v>
      </c>
    </row>
    <row r="3741" spans="1:11" ht="14.5">
      <c r="A3741" s="20" t="s">
        <v>23488</v>
      </c>
      <c r="B3741" s="20">
        <v>40</v>
      </c>
      <c r="C3741" s="20">
        <v>30</v>
      </c>
      <c r="D3741" s="20">
        <v>26</v>
      </c>
      <c r="E3741" s="20">
        <v>63</v>
      </c>
      <c r="F3741" s="20" t="s">
        <v>23489</v>
      </c>
      <c r="G3741" s="24"/>
      <c r="H3741" s="24"/>
      <c r="I3741" s="24" t="str">
        <f ca="1">IFERROR(__xludf.DUMMYFUNCTION("GOOGLETRANSLATE(F3741,""en"",""pt"")"),"linhas de secagem de filmes fotográficos")</f>
        <v>linhas de secagem de filmes fotográficos</v>
      </c>
      <c r="J3741">
        <f>VLOOKUP(A3741,Pr_Base_LNEC!$A$4:$J$6971,6,FALSE)</f>
        <v>0</v>
      </c>
      <c r="K3741">
        <f>VLOOKUP(A3741,Pr_Base_LNEC!$A$4:$J$6971,7,FALSE)</f>
        <v>0</v>
      </c>
    </row>
    <row r="3742" spans="1:11" ht="14.5">
      <c r="A3742" s="20" t="s">
        <v>23490</v>
      </c>
      <c r="B3742" s="20">
        <v>40</v>
      </c>
      <c r="C3742" s="20">
        <v>30</v>
      </c>
      <c r="D3742" s="20">
        <v>26</v>
      </c>
      <c r="E3742" s="20">
        <v>65</v>
      </c>
      <c r="F3742" s="20" t="s">
        <v>23491</v>
      </c>
      <c r="G3742" s="24"/>
      <c r="H3742" s="24"/>
      <c r="I3742" s="24" t="str">
        <f ca="1">IFERROR(__xludf.DUMMYFUNCTION("GOOGLETRANSLATE(F3742,""en"",""pt"")"),"roupa para secar as linhas portáteis")</f>
        <v>roupa para secar as linhas portáteis</v>
      </c>
      <c r="J3742" t="e">
        <f>VLOOKUP(A3742,Pr_Base_LNEC!$A$4:$J$6971,6,FALSE)</f>
        <v>#N/A</v>
      </c>
      <c r="K3742" t="e">
        <f>VLOOKUP(A3742,Pr_Base_LNEC!$A$4:$J$6971,7,FALSE)</f>
        <v>#N/A</v>
      </c>
    </row>
    <row r="3743" spans="1:11" ht="14.5">
      <c r="A3743" s="20" t="s">
        <v>23492</v>
      </c>
      <c r="B3743" s="20">
        <v>40</v>
      </c>
      <c r="C3743" s="20">
        <v>30</v>
      </c>
      <c r="D3743" s="20">
        <v>26</v>
      </c>
      <c r="E3743" s="20">
        <v>72</v>
      </c>
      <c r="F3743" s="20" t="s">
        <v>23493</v>
      </c>
      <c r="G3743" s="24"/>
      <c r="H3743" s="24"/>
      <c r="I3743" s="24" t="str">
        <f ca="1">IFERROR(__xludf.DUMMYFUNCTION("GOOGLETRANSLATE(F3743,""en"",""pt"")"),"roupas de secagem rotativos linhas")</f>
        <v>roupas de secagem rotativos linhas</v>
      </c>
      <c r="J3743" t="e">
        <f>VLOOKUP(A3743,Pr_Base_LNEC!$A$4:$J$6971,6,FALSE)</f>
        <v>#N/A</v>
      </c>
      <c r="K3743" t="e">
        <f>VLOOKUP(A3743,Pr_Base_LNEC!$A$4:$J$6971,7,FALSE)</f>
        <v>#N/A</v>
      </c>
    </row>
    <row r="3744" spans="1:11" ht="14.5">
      <c r="A3744" s="20" t="s">
        <v>23494</v>
      </c>
      <c r="B3744" s="20">
        <v>40</v>
      </c>
      <c r="C3744" s="20">
        <v>30</v>
      </c>
      <c r="D3744" s="20">
        <v>26</v>
      </c>
      <c r="E3744" s="20">
        <v>79</v>
      </c>
      <c r="F3744" s="20" t="s">
        <v>23495</v>
      </c>
      <c r="G3744" s="24"/>
      <c r="H3744" s="24"/>
      <c r="I3744" s="24" t="str">
        <f ca="1">IFERROR(__xludf.DUMMYFUNCTION("GOOGLETRANSLATE(F3744,""en"",""pt"")"),"uma única linha de roupa para secar as linhas retrácteis")</f>
        <v>uma única linha de roupa para secar as linhas retrácteis</v>
      </c>
      <c r="J3744" t="e">
        <f>VLOOKUP(A3744,Pr_Base_LNEC!$A$4:$J$6971,6,FALSE)</f>
        <v>#N/A</v>
      </c>
      <c r="K3744" t="e">
        <f>VLOOKUP(A3744,Pr_Base_LNEC!$A$4:$J$6971,7,FALSE)</f>
        <v>#N/A</v>
      </c>
    </row>
    <row r="3745" spans="1:11" ht="14.5">
      <c r="A3745" s="20" t="s">
        <v>23496</v>
      </c>
      <c r="B3745" s="20">
        <v>40</v>
      </c>
      <c r="C3745" s="20">
        <v>30</v>
      </c>
      <c r="D3745" s="20">
        <v>29</v>
      </c>
      <c r="E3745" s="24"/>
      <c r="F3745" s="20" t="s">
        <v>23497</v>
      </c>
      <c r="G3745" s="24"/>
      <c r="H3745" s="24"/>
      <c r="I3745" s="24" t="str">
        <f ca="1">IFERROR(__xludf.DUMMYFUNCTION("GOOGLETRANSLATE(F3745,""en"",""pt"")"),"cadeiras embutidos, assentos e bancos")</f>
        <v>cadeiras embutidos, assentos e bancos</v>
      </c>
      <c r="J3745">
        <f>VLOOKUP(A3745,Pr_Base_LNEC!$A$4:$J$6971,6,FALSE)</f>
        <v>0</v>
      </c>
      <c r="K3745">
        <f>VLOOKUP(A3745,Pr_Base_LNEC!$A$4:$J$6971,7,FALSE)</f>
        <v>0</v>
      </c>
    </row>
    <row r="3746" spans="1:11" ht="14.5">
      <c r="A3746" s="20" t="s">
        <v>23498</v>
      </c>
      <c r="B3746" s="20">
        <v>40</v>
      </c>
      <c r="C3746" s="20">
        <v>30</v>
      </c>
      <c r="D3746" s="20">
        <v>29</v>
      </c>
      <c r="E3746" s="20">
        <v>5</v>
      </c>
      <c r="F3746" s="20" t="s">
        <v>23499</v>
      </c>
      <c r="G3746" s="24"/>
      <c r="H3746" s="24"/>
      <c r="I3746" s="24" t="str">
        <f ca="1">IFERROR(__xludf.DUMMYFUNCTION("GOOGLETRANSLATE(F3746,""en"",""pt"")"),"auditório")</f>
        <v>auditório</v>
      </c>
      <c r="J3746">
        <f>VLOOKUP(A3746,Pr_Base_LNEC!$A$4:$J$6971,6,FALSE)</f>
        <v>0</v>
      </c>
      <c r="K3746">
        <f>VLOOKUP(A3746,Pr_Base_LNEC!$A$4:$J$6971,7,FALSE)</f>
        <v>0</v>
      </c>
    </row>
    <row r="3747" spans="1:11" ht="14.5">
      <c r="A3747" s="20" t="s">
        <v>23500</v>
      </c>
      <c r="B3747" s="20">
        <v>40</v>
      </c>
      <c r="C3747" s="20">
        <v>30</v>
      </c>
      <c r="D3747" s="20">
        <v>29</v>
      </c>
      <c r="E3747" s="20">
        <v>12</v>
      </c>
      <c r="F3747" s="20" t="s">
        <v>23501</v>
      </c>
      <c r="G3747" s="24"/>
      <c r="H3747" s="24"/>
      <c r="I3747" s="24" t="str">
        <f ca="1">IFERROR(__xludf.DUMMYFUNCTION("GOOGLETRANSLATE(F3747,""en"",""pt"")"),"estar Choir")</f>
        <v>estar Choir</v>
      </c>
      <c r="J3747">
        <f>VLOOKUP(A3747,Pr_Base_LNEC!$A$4:$J$6971,6,FALSE)</f>
        <v>0</v>
      </c>
      <c r="K3747">
        <f>VLOOKUP(A3747,Pr_Base_LNEC!$A$4:$J$6971,7,FALSE)</f>
        <v>0</v>
      </c>
    </row>
    <row r="3748" spans="1:11" ht="14.5">
      <c r="A3748" s="20" t="s">
        <v>23502</v>
      </c>
      <c r="B3748" s="20">
        <v>40</v>
      </c>
      <c r="C3748" s="20">
        <v>30</v>
      </c>
      <c r="D3748" s="20">
        <v>29</v>
      </c>
      <c r="E3748" s="20">
        <v>13</v>
      </c>
      <c r="F3748" s="20" t="s">
        <v>23503</v>
      </c>
      <c r="G3748" s="24"/>
      <c r="H3748" s="24"/>
      <c r="I3748" s="24" t="str">
        <f ca="1">IFERROR(__xludf.DUMMYFUNCTION("GOOGLETRANSLATE(F3748,""en"",""pt"")"),"coro")</f>
        <v>coro</v>
      </c>
      <c r="J3748">
        <f>VLOOKUP(A3748,Pr_Base_LNEC!$A$4:$J$6971,6,FALSE)</f>
        <v>0</v>
      </c>
      <c r="K3748">
        <f>VLOOKUP(A3748,Pr_Base_LNEC!$A$4:$J$6971,7,FALSE)</f>
        <v>0</v>
      </c>
    </row>
    <row r="3749" spans="1:11" ht="14.5">
      <c r="A3749" s="20" t="s">
        <v>23504</v>
      </c>
      <c r="B3749" s="20">
        <v>40</v>
      </c>
      <c r="C3749" s="20">
        <v>30</v>
      </c>
      <c r="D3749" s="20">
        <v>29</v>
      </c>
      <c r="E3749" s="20">
        <v>22</v>
      </c>
      <c r="F3749" s="20" t="s">
        <v>23505</v>
      </c>
      <c r="G3749" s="20" t="s">
        <v>23506</v>
      </c>
      <c r="H3749" s="24"/>
      <c r="I3749" s="24" t="str">
        <f ca="1">IFERROR(__xludf.DUMMYFUNCTION("GOOGLETRANSLATE(F3749,""en"",""pt"")"),"bancos desmontáveis")</f>
        <v>bancos desmontáveis</v>
      </c>
      <c r="J3749">
        <f>VLOOKUP(A3749,Pr_Base_LNEC!$A$4:$J$6971,6,FALSE)</f>
        <v>0</v>
      </c>
      <c r="K3749">
        <f>VLOOKUP(A3749,Pr_Base_LNEC!$A$4:$J$6971,7,FALSE)</f>
        <v>0</v>
      </c>
    </row>
    <row r="3750" spans="1:11" ht="14.5">
      <c r="A3750" s="20" t="s">
        <v>23507</v>
      </c>
      <c r="B3750" s="20">
        <v>40</v>
      </c>
      <c r="C3750" s="20">
        <v>30</v>
      </c>
      <c r="D3750" s="20">
        <v>29</v>
      </c>
      <c r="E3750" s="20">
        <v>29</v>
      </c>
      <c r="F3750" s="20" t="s">
        <v>23508</v>
      </c>
      <c r="G3750" s="20" t="s">
        <v>23509</v>
      </c>
      <c r="H3750" s="24"/>
      <c r="I3750" s="24" t="str">
        <f ca="1">IFERROR(__xludf.DUMMYFUNCTION("GOOGLETRANSLATE(F3750,""en"",""pt"")"),"assentos fixos")</f>
        <v>assentos fixos</v>
      </c>
      <c r="J3750">
        <f>VLOOKUP(A3750,Pr_Base_LNEC!$A$4:$J$6971,6,FALSE)</f>
        <v>0</v>
      </c>
      <c r="K3750">
        <f>VLOOKUP(A3750,Pr_Base_LNEC!$A$4:$J$6971,7,FALSE)</f>
        <v>0</v>
      </c>
    </row>
    <row r="3751" spans="1:11" ht="14.5">
      <c r="A3751" s="20" t="s">
        <v>23510</v>
      </c>
      <c r="B3751" s="20">
        <v>40</v>
      </c>
      <c r="C3751" s="20">
        <v>30</v>
      </c>
      <c r="D3751" s="20">
        <v>29</v>
      </c>
      <c r="E3751" s="20">
        <v>31</v>
      </c>
      <c r="F3751" s="20" t="s">
        <v>23511</v>
      </c>
      <c r="G3751" s="20" t="s">
        <v>23512</v>
      </c>
      <c r="H3751" s="24"/>
      <c r="I3751" s="24" t="str">
        <f ca="1">IFERROR(__xludf.DUMMYFUNCTION("GOOGLETRANSLATE(F3751,""en"",""pt"")"),"piscina cadeiras de observação fixos")</f>
        <v>piscina cadeiras de observação fixos</v>
      </c>
      <c r="J3751">
        <f>VLOOKUP(A3751,Pr_Base_LNEC!$A$4:$J$6971,6,FALSE)</f>
        <v>0</v>
      </c>
      <c r="K3751">
        <f>VLOOKUP(A3751,Pr_Base_LNEC!$A$4:$J$6971,7,FALSE)</f>
        <v>0</v>
      </c>
    </row>
    <row r="3752" spans="1:11" ht="14.5">
      <c r="A3752" s="20" t="s">
        <v>23513</v>
      </c>
      <c r="B3752" s="20">
        <v>40</v>
      </c>
      <c r="C3752" s="20">
        <v>30</v>
      </c>
      <c r="D3752" s="20">
        <v>29</v>
      </c>
      <c r="E3752" s="20">
        <v>46</v>
      </c>
      <c r="F3752" s="20" t="s">
        <v>23514</v>
      </c>
      <c r="G3752" s="24"/>
      <c r="H3752" s="24"/>
      <c r="I3752" s="24" t="str">
        <f ca="1">IFERROR(__xludf.DUMMYFUNCTION("GOOGLETRANSLATE(F3752,""en"",""pt"")"),"inclinando-rails")</f>
        <v>inclinando-rails</v>
      </c>
      <c r="J3752" t="e">
        <f>VLOOKUP(A3752,Pr_Base_LNEC!$A$4:$J$6971,6,FALSE)</f>
        <v>#N/A</v>
      </c>
      <c r="K3752" t="e">
        <f>VLOOKUP(A3752,Pr_Base_LNEC!$A$4:$J$6971,7,FALSE)</f>
        <v>#N/A</v>
      </c>
    </row>
    <row r="3753" spans="1:11" ht="14.5">
      <c r="A3753" s="20" t="s">
        <v>23515</v>
      </c>
      <c r="B3753" s="20">
        <v>40</v>
      </c>
      <c r="C3753" s="20">
        <v>30</v>
      </c>
      <c r="D3753" s="20">
        <v>29</v>
      </c>
      <c r="E3753" s="20">
        <v>61</v>
      </c>
      <c r="F3753" s="20" t="s">
        <v>23516</v>
      </c>
      <c r="G3753" s="24"/>
      <c r="H3753" s="24"/>
      <c r="I3753" s="24" t="str">
        <f ca="1">IFERROR(__xludf.DUMMYFUNCTION("GOOGLETRANSLATE(F3753,""en"",""pt"")"),"pedicure cadeiras")</f>
        <v>pedicure cadeiras</v>
      </c>
      <c r="J3753">
        <f>VLOOKUP(A3753,Pr_Base_LNEC!$A$4:$J$6971,6,FALSE)</f>
        <v>0</v>
      </c>
      <c r="K3753">
        <f>VLOOKUP(A3753,Pr_Base_LNEC!$A$4:$J$6971,7,FALSE)</f>
        <v>0</v>
      </c>
    </row>
    <row r="3754" spans="1:11" ht="14.5">
      <c r="A3754" s="20" t="s">
        <v>23517</v>
      </c>
      <c r="B3754" s="20">
        <v>40</v>
      </c>
      <c r="C3754" s="20">
        <v>30</v>
      </c>
      <c r="D3754" s="20">
        <v>29</v>
      </c>
      <c r="E3754" s="20">
        <v>72</v>
      </c>
      <c r="F3754" s="20" t="s">
        <v>23518</v>
      </c>
      <c r="G3754" s="20" t="s">
        <v>23506</v>
      </c>
      <c r="H3754" s="24"/>
      <c r="I3754" s="24" t="str">
        <f ca="1">IFERROR(__xludf.DUMMYFUNCTION("GOOGLETRANSLATE(F3754,""en"",""pt"")"),"assentos retráteis")</f>
        <v>assentos retráteis</v>
      </c>
      <c r="J3754">
        <f>VLOOKUP(A3754,Pr_Base_LNEC!$A$4:$J$6971,6,FALSE)</f>
        <v>0</v>
      </c>
      <c r="K3754">
        <f>VLOOKUP(A3754,Pr_Base_LNEC!$A$4:$J$6971,7,FALSE)</f>
        <v>0</v>
      </c>
    </row>
    <row r="3755" spans="1:11" ht="14.5">
      <c r="A3755" s="20" t="s">
        <v>23519</v>
      </c>
      <c r="B3755" s="20">
        <v>40</v>
      </c>
      <c r="C3755" s="20">
        <v>30</v>
      </c>
      <c r="D3755" s="20">
        <v>29</v>
      </c>
      <c r="E3755" s="20">
        <v>79</v>
      </c>
      <c r="F3755" s="20" t="s">
        <v>23520</v>
      </c>
      <c r="G3755" s="24"/>
      <c r="H3755" s="24"/>
      <c r="I3755" s="24" t="str">
        <f ca="1">IFERROR(__xludf.DUMMYFUNCTION("GOOGLETRANSLATE(F3755,""en"",""pt"")"),"sentado trilhos")</f>
        <v>sentado trilhos</v>
      </c>
      <c r="J3755" t="e">
        <f>VLOOKUP(A3755,Pr_Base_LNEC!$A$4:$J$6971,6,FALSE)</f>
        <v>#N/A</v>
      </c>
      <c r="K3755" t="e">
        <f>VLOOKUP(A3755,Pr_Base_LNEC!$A$4:$J$6971,7,FALSE)</f>
        <v>#N/A</v>
      </c>
    </row>
    <row r="3756" spans="1:11" ht="14.5">
      <c r="A3756" s="20" t="s">
        <v>23521</v>
      </c>
      <c r="B3756" s="20">
        <v>40</v>
      </c>
      <c r="C3756" s="20">
        <v>30</v>
      </c>
      <c r="D3756" s="20">
        <v>29</v>
      </c>
      <c r="E3756" s="20">
        <v>83</v>
      </c>
      <c r="F3756" s="20" t="s">
        <v>23522</v>
      </c>
      <c r="G3756" s="24"/>
      <c r="H3756" s="24"/>
      <c r="I3756" s="24" t="str">
        <f ca="1">IFERROR(__xludf.DUMMYFUNCTION("GOOGLETRANSLATE(F3756,""en"",""pt"")"),"Foot Spa bancos rituais")</f>
        <v>Foot Spa bancos rituais</v>
      </c>
      <c r="J3756">
        <f>VLOOKUP(A3756,Pr_Base_LNEC!$A$4:$J$6971,6,FALSE)</f>
        <v>0</v>
      </c>
      <c r="K3756">
        <f>VLOOKUP(A3756,Pr_Base_LNEC!$A$4:$J$6971,7,FALSE)</f>
        <v>0</v>
      </c>
    </row>
    <row r="3757" spans="1:11" ht="14.5">
      <c r="A3757" s="20" t="s">
        <v>23523</v>
      </c>
      <c r="B3757" s="20">
        <v>40</v>
      </c>
      <c r="C3757" s="20">
        <v>30</v>
      </c>
      <c r="D3757" s="20">
        <v>29</v>
      </c>
      <c r="E3757" s="20">
        <v>84</v>
      </c>
      <c r="F3757" s="20" t="s">
        <v>23524</v>
      </c>
      <c r="G3757" s="24"/>
      <c r="H3757" s="24"/>
      <c r="I3757" s="24" t="str">
        <f ca="1">IFERROR(__xludf.DUMMYFUNCTION("GOOGLETRANSLATE(F3757,""en"",""pt"")"),"De rua e do site bancos")</f>
        <v>De rua e do site bancos</v>
      </c>
      <c r="J3757">
        <f>VLOOKUP(A3757,Pr_Base_LNEC!$A$4:$J$6971,6,FALSE)</f>
        <v>0</v>
      </c>
      <c r="K3757">
        <f>VLOOKUP(A3757,Pr_Base_LNEC!$A$4:$J$6971,7,FALSE)</f>
        <v>0</v>
      </c>
    </row>
    <row r="3758" spans="1:11" ht="14.5">
      <c r="A3758" s="20" t="s">
        <v>23525</v>
      </c>
      <c r="B3758" s="20">
        <v>40</v>
      </c>
      <c r="C3758" s="20">
        <v>30</v>
      </c>
      <c r="D3758" s="20">
        <v>29</v>
      </c>
      <c r="E3758" s="20">
        <v>85</v>
      </c>
      <c r="F3758" s="20" t="s">
        <v>23526</v>
      </c>
      <c r="G3758" s="24"/>
      <c r="H3758" s="24"/>
      <c r="I3758" s="24" t="str">
        <f ca="1">IFERROR(__xludf.DUMMYFUNCTION("GOOGLETRANSLATE(F3758,""en"",""pt"")"),"assentos de rua e de local")</f>
        <v>assentos de rua e de local</v>
      </c>
      <c r="J3758">
        <f>VLOOKUP(A3758,Pr_Base_LNEC!$A$4:$J$6971,6,FALSE)</f>
        <v>0</v>
      </c>
      <c r="K3758">
        <f>VLOOKUP(A3758,Pr_Base_LNEC!$A$4:$J$6971,7,FALSE)</f>
        <v>0</v>
      </c>
    </row>
    <row r="3759" spans="1:11" ht="14.5">
      <c r="A3759" s="20" t="s">
        <v>23527</v>
      </c>
      <c r="B3759" s="20">
        <v>40</v>
      </c>
      <c r="C3759" s="20">
        <v>30</v>
      </c>
      <c r="D3759" s="20">
        <v>29</v>
      </c>
      <c r="E3759" s="20">
        <v>88</v>
      </c>
      <c r="F3759" s="20" t="s">
        <v>23528</v>
      </c>
      <c r="G3759" s="24"/>
      <c r="H3759" s="24"/>
      <c r="I3759" s="24" t="str">
        <f ca="1">IFERROR(__xludf.DUMMYFUNCTION("GOOGLETRANSLATE(F3759,""en"",""pt"")"),"Thrones")</f>
        <v>Thrones</v>
      </c>
      <c r="J3759">
        <f>VLOOKUP(A3759,Pr_Base_LNEC!$A$4:$J$6971,6,FALSE)</f>
        <v>0</v>
      </c>
      <c r="K3759">
        <f>VLOOKUP(A3759,Pr_Base_LNEC!$A$4:$J$6971,7,FALSE)</f>
        <v>0</v>
      </c>
    </row>
    <row r="3760" spans="1:11" ht="14.5">
      <c r="A3760" s="20" t="s">
        <v>23529</v>
      </c>
      <c r="B3760" s="20">
        <v>40</v>
      </c>
      <c r="C3760" s="20">
        <v>30</v>
      </c>
      <c r="D3760" s="20">
        <v>29</v>
      </c>
      <c r="E3760" s="20">
        <v>96</v>
      </c>
      <c r="F3760" s="20" t="s">
        <v>23530</v>
      </c>
      <c r="G3760" s="24"/>
      <c r="H3760" s="24"/>
      <c r="I3760" s="24" t="str">
        <f ca="1">IFERROR(__xludf.DUMMYFUNCTION("GOOGLETRANSLATE(F3760,""en"",""pt"")"),"bancos pneumáticos-up Wall-fixo")</f>
        <v>bancos pneumáticos-up Wall-fixo</v>
      </c>
      <c r="J3760">
        <f>VLOOKUP(A3760,Pr_Base_LNEC!$A$4:$J$6971,6,FALSE)</f>
        <v>0</v>
      </c>
      <c r="K3760">
        <f>VLOOKUP(A3760,Pr_Base_LNEC!$A$4:$J$6971,7,FALSE)</f>
        <v>0</v>
      </c>
    </row>
    <row r="3761" spans="1:11" ht="14.5">
      <c r="A3761" s="20" t="s">
        <v>23531</v>
      </c>
      <c r="B3761" s="20">
        <v>40</v>
      </c>
      <c r="C3761" s="20">
        <v>30</v>
      </c>
      <c r="D3761" s="20">
        <v>29</v>
      </c>
      <c r="E3761" s="20">
        <v>97</v>
      </c>
      <c r="F3761" s="20" t="s">
        <v>23532</v>
      </c>
      <c r="G3761" s="24"/>
      <c r="H3761" s="24"/>
      <c r="I3761" s="24" t="str">
        <f ca="1">IFERROR(__xludf.DUMMYFUNCTION("GOOGLETRANSLATE(F3761,""en"",""pt"")"),"Wall-montado galeria bancos")</f>
        <v>Wall-montado galeria bancos</v>
      </c>
      <c r="J3761">
        <f>VLOOKUP(A3761,Pr_Base_LNEC!$A$4:$J$6971,6,FALSE)</f>
        <v>0</v>
      </c>
      <c r="K3761">
        <f>VLOOKUP(A3761,Pr_Base_LNEC!$A$4:$J$6971,7,FALSE)</f>
        <v>0</v>
      </c>
    </row>
    <row r="3762" spans="1:11" ht="14.5">
      <c r="A3762" s="20" t="s">
        <v>23533</v>
      </c>
      <c r="B3762" s="20">
        <v>40</v>
      </c>
      <c r="C3762" s="20">
        <v>30</v>
      </c>
      <c r="D3762" s="20">
        <v>30</v>
      </c>
      <c r="E3762" s="24"/>
      <c r="F3762" s="20" t="s">
        <v>23534</v>
      </c>
      <c r="G3762" s="24"/>
      <c r="H3762" s="24"/>
      <c r="I3762" s="24" t="str">
        <f ca="1">IFERROR(__xludf.DUMMYFUNCTION("GOOGLETRANSLATE(F3762,""en"",""pt"")"),"mesas embutidos, mesas e bancadas")</f>
        <v>mesas embutidos, mesas e bancadas</v>
      </c>
      <c r="J3762">
        <f>VLOOKUP(A3762,Pr_Base_LNEC!$A$4:$J$6971,6,FALSE)</f>
        <v>0</v>
      </c>
      <c r="K3762">
        <f>VLOOKUP(A3762,Pr_Base_LNEC!$A$4:$J$6971,7,FALSE)</f>
        <v>0</v>
      </c>
    </row>
    <row r="3763" spans="1:11" ht="14.5">
      <c r="A3763" s="20" t="s">
        <v>23535</v>
      </c>
      <c r="B3763" s="20">
        <v>40</v>
      </c>
      <c r="C3763" s="20">
        <v>30</v>
      </c>
      <c r="D3763" s="20">
        <v>30</v>
      </c>
      <c r="E3763" s="20">
        <v>18</v>
      </c>
      <c r="F3763" s="20" t="s">
        <v>23536</v>
      </c>
      <c r="G3763" s="20" t="s">
        <v>23537</v>
      </c>
      <c r="H3763" s="24"/>
      <c r="I3763" s="24" t="str">
        <f ca="1">IFERROR(__xludf.DUMMYFUNCTION("GOOGLETRANSLATE(F3763,""en"",""pt"")"),"bancadas")</f>
        <v>bancadas</v>
      </c>
      <c r="J3763">
        <f>VLOOKUP(A3763,Pr_Base_LNEC!$A$4:$J$6971,6,FALSE)</f>
        <v>0</v>
      </c>
      <c r="K3763">
        <f>VLOOKUP(A3763,Pr_Base_LNEC!$A$4:$J$6971,7,FALSE)</f>
        <v>0</v>
      </c>
    </row>
    <row r="3764" spans="1:11" ht="14.5">
      <c r="A3764" s="20" t="s">
        <v>23538</v>
      </c>
      <c r="B3764" s="20">
        <v>40</v>
      </c>
      <c r="C3764" s="20">
        <v>30</v>
      </c>
      <c r="D3764" s="20">
        <v>30</v>
      </c>
      <c r="E3764" s="20">
        <v>22</v>
      </c>
      <c r="F3764" s="20" t="s">
        <v>23539</v>
      </c>
      <c r="G3764" s="20" t="s">
        <v>23540</v>
      </c>
      <c r="H3764" s="24"/>
      <c r="I3764" s="24" t="str">
        <f ca="1">IFERROR(__xludf.DUMMYFUNCTION("GOOGLETRANSLATE(F3764,""en"",""pt"")"),"tabelas de entrada máquina de lavar louça")</f>
        <v>tabelas de entrada máquina de lavar louça</v>
      </c>
      <c r="J3764">
        <f>VLOOKUP(A3764,Pr_Base_LNEC!$A$4:$J$6971,6,FALSE)</f>
        <v>0</v>
      </c>
      <c r="K3764">
        <f>VLOOKUP(A3764,Pr_Base_LNEC!$A$4:$J$6971,7,FALSE)</f>
        <v>0</v>
      </c>
    </row>
    <row r="3765" spans="1:11" ht="14.5">
      <c r="A3765" s="20" t="s">
        <v>23541</v>
      </c>
      <c r="B3765" s="20">
        <v>40</v>
      </c>
      <c r="C3765" s="20">
        <v>30</v>
      </c>
      <c r="D3765" s="20">
        <v>30</v>
      </c>
      <c r="E3765" s="20">
        <v>23</v>
      </c>
      <c r="F3765" s="20" t="s">
        <v>23542</v>
      </c>
      <c r="G3765" s="20" t="s">
        <v>23543</v>
      </c>
      <c r="H3765" s="24"/>
      <c r="I3765" s="24" t="str">
        <f ca="1">IFERROR(__xludf.DUMMYFUNCTION("GOOGLETRANSLATE(F3765,""en"",""pt"")"),"tabelas de saída máquina de lavar louça")</f>
        <v>tabelas de saída máquina de lavar louça</v>
      </c>
      <c r="J3765">
        <f>VLOOKUP(A3765,Pr_Base_LNEC!$A$4:$J$6971,6,FALSE)</f>
        <v>0</v>
      </c>
      <c r="K3765">
        <f>VLOOKUP(A3765,Pr_Base_LNEC!$A$4:$J$6971,7,FALSE)</f>
        <v>0</v>
      </c>
    </row>
    <row r="3766" spans="1:11" ht="14.5">
      <c r="A3766" s="20" t="s">
        <v>23544</v>
      </c>
      <c r="B3766" s="20">
        <v>40</v>
      </c>
      <c r="C3766" s="20">
        <v>30</v>
      </c>
      <c r="D3766" s="20">
        <v>30</v>
      </c>
      <c r="E3766" s="20">
        <v>32</v>
      </c>
      <c r="F3766" s="20" t="s">
        <v>23545</v>
      </c>
      <c r="G3766" s="20" t="s">
        <v>23546</v>
      </c>
      <c r="H3766" s="24"/>
      <c r="I3766" s="24" t="str">
        <f ca="1">IFERROR(__xludf.DUMMYFUNCTION("GOOGLETRANSLATE(F3766,""en"",""pt"")"),"bancadas de preparação de alimentos")</f>
        <v>bancadas de preparação de alimentos</v>
      </c>
      <c r="J3766">
        <f>VLOOKUP(A3766,Pr_Base_LNEC!$A$4:$J$6971,6,FALSE)</f>
        <v>0</v>
      </c>
      <c r="K3766">
        <f>VLOOKUP(A3766,Pr_Base_LNEC!$A$4:$J$6971,7,FALSE)</f>
        <v>0</v>
      </c>
    </row>
    <row r="3767" spans="1:11" ht="14.5">
      <c r="A3767" s="20" t="s">
        <v>23547</v>
      </c>
      <c r="B3767" s="20">
        <v>40</v>
      </c>
      <c r="C3767" s="20">
        <v>30</v>
      </c>
      <c r="D3767" s="20">
        <v>30</v>
      </c>
      <c r="E3767" s="20">
        <v>42</v>
      </c>
      <c r="F3767" s="20" t="s">
        <v>23548</v>
      </c>
      <c r="G3767" s="24"/>
      <c r="H3767" s="24"/>
      <c r="I3767" s="24" t="str">
        <f ca="1">IFERROR(__xludf.DUMMYFUNCTION("GOOGLETRANSLATE(F3767,""en"",""pt"")"),"bancadas de trabalho industrial")</f>
        <v>bancadas de trabalho industrial</v>
      </c>
      <c r="J3767">
        <f>VLOOKUP(A3767,Pr_Base_LNEC!$A$4:$J$6971,6,FALSE)</f>
        <v>0</v>
      </c>
      <c r="K3767">
        <f>VLOOKUP(A3767,Pr_Base_LNEC!$A$4:$J$6971,7,FALSE)</f>
        <v>0</v>
      </c>
    </row>
    <row r="3768" spans="1:11" ht="14.5">
      <c r="A3768" s="20" t="s">
        <v>23549</v>
      </c>
      <c r="B3768" s="20">
        <v>40</v>
      </c>
      <c r="C3768" s="20">
        <v>30</v>
      </c>
      <c r="D3768" s="20">
        <v>30</v>
      </c>
      <c r="E3768" s="20">
        <v>45</v>
      </c>
      <c r="F3768" s="20" t="s">
        <v>23550</v>
      </c>
      <c r="G3768" s="20" t="s">
        <v>23551</v>
      </c>
      <c r="H3768" s="24"/>
      <c r="I3768" s="24" t="str">
        <f ca="1">IFERROR(__xludf.DUMMYFUNCTION("GOOGLETRANSLATE(F3768,""en"",""pt"")"),"splashbacks cozinha")</f>
        <v>splashbacks cozinha</v>
      </c>
      <c r="J3768">
        <f>VLOOKUP(A3768,Pr_Base_LNEC!$A$4:$J$6971,6,FALSE)</f>
        <v>0</v>
      </c>
      <c r="K3768">
        <f>VLOOKUP(A3768,Pr_Base_LNEC!$A$4:$J$6971,7,FALSE)</f>
        <v>0</v>
      </c>
    </row>
    <row r="3769" spans="1:11" ht="14.5">
      <c r="A3769" s="20" t="s">
        <v>23552</v>
      </c>
      <c r="B3769" s="20">
        <v>40</v>
      </c>
      <c r="C3769" s="20">
        <v>30</v>
      </c>
      <c r="D3769" s="20">
        <v>30</v>
      </c>
      <c r="E3769" s="20">
        <v>47</v>
      </c>
      <c r="F3769" s="20" t="s">
        <v>23553</v>
      </c>
      <c r="G3769" s="24"/>
      <c r="H3769" s="24"/>
      <c r="I3769" s="24" t="str">
        <f ca="1">IFERROR(__xludf.DUMMYFUNCTION("GOOGLETRANSLATE(F3769,""en"",""pt"")"),"bancadas de trabalho de laboratório")</f>
        <v>bancadas de trabalho de laboratório</v>
      </c>
      <c r="J3769">
        <f>VLOOKUP(A3769,Pr_Base_LNEC!$A$4:$J$6971,6,FALSE)</f>
        <v>0</v>
      </c>
      <c r="K3769">
        <f>VLOOKUP(A3769,Pr_Base_LNEC!$A$4:$J$6971,7,FALSE)</f>
        <v>0</v>
      </c>
    </row>
    <row r="3770" spans="1:11" ht="14.5">
      <c r="A3770" s="20" t="s">
        <v>23554</v>
      </c>
      <c r="B3770" s="20">
        <v>40</v>
      </c>
      <c r="C3770" s="20">
        <v>30</v>
      </c>
      <c r="D3770" s="20">
        <v>30</v>
      </c>
      <c r="E3770" s="20">
        <v>48</v>
      </c>
      <c r="F3770" s="20" t="s">
        <v>23555</v>
      </c>
      <c r="G3770" s="24"/>
      <c r="H3770" s="24"/>
      <c r="I3770" s="24" t="str">
        <f ca="1">IFERROR(__xludf.DUMMYFUNCTION("GOOGLETRANSLATE(F3770,""en"",""pt"")"),"tampos de laboratório")</f>
        <v>tampos de laboratório</v>
      </c>
      <c r="J3770">
        <f>VLOOKUP(A3770,Pr_Base_LNEC!$A$4:$J$6971,6,FALSE)</f>
        <v>0</v>
      </c>
      <c r="K3770">
        <f>VLOOKUP(A3770,Pr_Base_LNEC!$A$4:$J$6971,7,FALSE)</f>
        <v>0</v>
      </c>
    </row>
    <row r="3771" spans="1:11" ht="14.5">
      <c r="A3771" s="20" t="s">
        <v>23556</v>
      </c>
      <c r="B3771" s="20">
        <v>40</v>
      </c>
      <c r="C3771" s="20">
        <v>30</v>
      </c>
      <c r="D3771" s="20">
        <v>30</v>
      </c>
      <c r="E3771" s="20">
        <v>62</v>
      </c>
      <c r="F3771" s="20" t="s">
        <v>23557</v>
      </c>
      <c r="G3771" s="20" t="s">
        <v>23558</v>
      </c>
      <c r="H3771" s="24"/>
      <c r="I3771" s="24" t="str">
        <f ca="1">IFERROR(__xludf.DUMMYFUNCTION("GOOGLETRANSLATE(F3771,""en"",""pt"")"),"mesas de piquenique")</f>
        <v>mesas de piquenique</v>
      </c>
      <c r="J3771">
        <f>VLOOKUP(A3771,Pr_Base_LNEC!$A$4:$J$6971,6,FALSE)</f>
        <v>0</v>
      </c>
      <c r="K3771">
        <f>VLOOKUP(A3771,Pr_Base_LNEC!$A$4:$J$6971,7,FALSE)</f>
        <v>0</v>
      </c>
    </row>
    <row r="3772" spans="1:11" ht="14.5">
      <c r="A3772" s="20" t="s">
        <v>23559</v>
      </c>
      <c r="B3772" s="20">
        <v>40</v>
      </c>
      <c r="C3772" s="20">
        <v>30</v>
      </c>
      <c r="D3772" s="20">
        <v>30</v>
      </c>
      <c r="E3772" s="20">
        <v>71</v>
      </c>
      <c r="F3772" s="20" t="s">
        <v>23560</v>
      </c>
      <c r="G3772" s="24"/>
      <c r="H3772" s="24"/>
      <c r="I3772" s="24" t="str">
        <f ca="1">IFERROR(__xludf.DUMMYFUNCTION("GOOGLETRANSLATE(F3772,""en"",""pt"")"),"balcões de recepção")</f>
        <v>balcões de recepção</v>
      </c>
      <c r="J3772">
        <f>VLOOKUP(A3772,Pr_Base_LNEC!$A$4:$J$6971,6,FALSE)</f>
        <v>0</v>
      </c>
      <c r="K3772">
        <f>VLOOKUP(A3772,Pr_Base_LNEC!$A$4:$J$6971,7,FALSE)</f>
        <v>0</v>
      </c>
    </row>
    <row r="3773" spans="1:11" ht="14.5">
      <c r="A3773" s="20" t="s">
        <v>23561</v>
      </c>
      <c r="B3773" s="20">
        <v>40</v>
      </c>
      <c r="C3773" s="20">
        <v>30</v>
      </c>
      <c r="D3773" s="20">
        <v>30</v>
      </c>
      <c r="E3773" s="20">
        <v>78</v>
      </c>
      <c r="F3773" s="20" t="s">
        <v>23562</v>
      </c>
      <c r="G3773" s="24"/>
      <c r="H3773" s="24"/>
      <c r="I3773" s="24" t="str">
        <f ca="1">IFERROR(__xludf.DUMMYFUNCTION("GOOGLETRANSLATE(F3773,""en"",""pt"")"),"Escola de Arte, design e tecnologia bancadas de trabalho")</f>
        <v>Escola de Arte, design e tecnologia bancadas de trabalho</v>
      </c>
      <c r="J3773">
        <f>VLOOKUP(A3773,Pr_Base_LNEC!$A$4:$J$6971,6,FALSE)</f>
        <v>0</v>
      </c>
      <c r="K3773">
        <f>VLOOKUP(A3773,Pr_Base_LNEC!$A$4:$J$6971,7,FALSE)</f>
        <v>0</v>
      </c>
    </row>
    <row r="3774" spans="1:11" ht="14.5">
      <c r="A3774" s="20" t="s">
        <v>23563</v>
      </c>
      <c r="B3774" s="20">
        <v>40</v>
      </c>
      <c r="C3774" s="20">
        <v>30</v>
      </c>
      <c r="D3774" s="20">
        <v>30</v>
      </c>
      <c r="E3774" s="20">
        <v>79</v>
      </c>
      <c r="F3774" s="20" t="s">
        <v>23564</v>
      </c>
      <c r="G3774" s="24"/>
      <c r="H3774" s="24"/>
      <c r="I3774" s="24" t="str">
        <f ca="1">IFERROR(__xludf.DUMMYFUNCTION("GOOGLETRANSLATE(F3774,""en"",""pt"")"),"contadores servery")</f>
        <v>contadores servery</v>
      </c>
      <c r="J3774">
        <f>VLOOKUP(A3774,Pr_Base_LNEC!$A$4:$J$6971,6,FALSE)</f>
        <v>0</v>
      </c>
      <c r="K3774">
        <f>VLOOKUP(A3774,Pr_Base_LNEC!$A$4:$J$6971,7,FALSE)</f>
        <v>0</v>
      </c>
    </row>
    <row r="3775" spans="1:11" ht="14.5">
      <c r="A3775" s="20" t="s">
        <v>23565</v>
      </c>
      <c r="B3775" s="20">
        <v>40</v>
      </c>
      <c r="C3775" s="20">
        <v>30</v>
      </c>
      <c r="D3775" s="20">
        <v>30</v>
      </c>
      <c r="E3775" s="20">
        <v>80</v>
      </c>
      <c r="F3775" s="20" t="s">
        <v>23566</v>
      </c>
      <c r="G3775" s="24"/>
      <c r="H3775" s="24"/>
      <c r="I3775" s="24" t="str">
        <f ca="1">IFERROR(__xludf.DUMMYFUNCTION("GOOGLETRANSLATE(F3775,""en"",""pt"")"),"mesas de pia")</f>
        <v>mesas de pia</v>
      </c>
      <c r="J3775">
        <f>VLOOKUP(A3775,Pr_Base_LNEC!$A$4:$J$6971,6,FALSE)</f>
        <v>0</v>
      </c>
      <c r="K3775">
        <f>VLOOKUP(A3775,Pr_Base_LNEC!$A$4:$J$6971,7,FALSE)</f>
        <v>0</v>
      </c>
    </row>
    <row r="3776" spans="1:11" ht="14.5">
      <c r="A3776" s="20" t="s">
        <v>23567</v>
      </c>
      <c r="B3776" s="20">
        <v>40</v>
      </c>
      <c r="C3776" s="20">
        <v>30</v>
      </c>
      <c r="D3776" s="20">
        <v>30</v>
      </c>
      <c r="E3776" s="20">
        <v>86</v>
      </c>
      <c r="F3776" s="20" t="s">
        <v>23568</v>
      </c>
      <c r="G3776" s="20" t="s">
        <v>23569</v>
      </c>
      <c r="H3776" s="24"/>
      <c r="I3776" s="24" t="str">
        <f ca="1">IFERROR(__xludf.DUMMYFUNCTION("GOOGLETRANSLATE(F3776,""en"",""pt"")"),"mesas de rua e de local")</f>
        <v>mesas de rua e de local</v>
      </c>
      <c r="J3776">
        <f>VLOOKUP(A3776,Pr_Base_LNEC!$A$4:$J$6971,6,FALSE)</f>
        <v>0</v>
      </c>
      <c r="K3776">
        <f>VLOOKUP(A3776,Pr_Base_LNEC!$A$4:$J$6971,7,FALSE)</f>
        <v>0</v>
      </c>
    </row>
    <row r="3777" spans="1:11" ht="14.5">
      <c r="A3777" s="20" t="s">
        <v>23570</v>
      </c>
      <c r="B3777" s="20">
        <v>40</v>
      </c>
      <c r="C3777" s="20">
        <v>30</v>
      </c>
      <c r="D3777" s="20">
        <v>30</v>
      </c>
      <c r="E3777" s="20">
        <v>96</v>
      </c>
      <c r="F3777" s="20" t="s">
        <v>23571</v>
      </c>
      <c r="G3777" s="24"/>
      <c r="H3777" s="24"/>
      <c r="I3777" s="24" t="str">
        <f ca="1">IFERROR(__xludf.DUMMYFUNCTION("GOOGLETRANSLATE(F3777,""en"",""pt"")"),"worktops")</f>
        <v>worktops</v>
      </c>
      <c r="J3777">
        <f>VLOOKUP(A3777,Pr_Base_LNEC!$A$4:$J$6971,6,FALSE)</f>
        <v>0</v>
      </c>
      <c r="K3777">
        <f>VLOOKUP(A3777,Pr_Base_LNEC!$A$4:$J$6971,7,FALSE)</f>
        <v>0</v>
      </c>
    </row>
    <row r="3778" spans="1:11" ht="14.5">
      <c r="A3778" s="20" t="s">
        <v>23572</v>
      </c>
      <c r="B3778" s="20">
        <v>40</v>
      </c>
      <c r="C3778" s="20">
        <v>30</v>
      </c>
      <c r="D3778" s="20">
        <v>31</v>
      </c>
      <c r="E3778" s="24"/>
      <c r="F3778" s="20" t="s">
        <v>23573</v>
      </c>
      <c r="G3778" s="24"/>
      <c r="H3778" s="24"/>
      <c r="I3778" s="24" t="str">
        <f ca="1">IFERROR(__xludf.DUMMYFUNCTION("GOOGLETRANSLATE(F3778,""en"",""pt"")"),"flagpoles")</f>
        <v>flagpoles</v>
      </c>
      <c r="J3778">
        <f>VLOOKUP(A3778,Pr_Base_LNEC!$A$4:$J$6971,6,FALSE)</f>
        <v>0</v>
      </c>
      <c r="K3778">
        <f>VLOOKUP(A3778,Pr_Base_LNEC!$A$4:$J$6971,7,FALSE)</f>
        <v>0</v>
      </c>
    </row>
    <row r="3779" spans="1:11" ht="14.5">
      <c r="A3779" s="20" t="s">
        <v>23574</v>
      </c>
      <c r="B3779" s="20">
        <v>40</v>
      </c>
      <c r="C3779" s="20">
        <v>30</v>
      </c>
      <c r="D3779" s="20">
        <v>31</v>
      </c>
      <c r="E3779" s="20">
        <v>29</v>
      </c>
      <c r="F3779" s="20" t="s">
        <v>23575</v>
      </c>
      <c r="G3779" s="24"/>
      <c r="H3779" s="24"/>
      <c r="I3779" s="24" t="str">
        <f ca="1">IFERROR(__xludf.DUMMYFUNCTION("GOOGLETRANSLATE(F3779,""en"",""pt"")"),"Fan-assistida mastros montado no solo")</f>
        <v>Fan-assistida mastros montado no solo</v>
      </c>
      <c r="J3779">
        <f>VLOOKUP(A3779,Pr_Base_LNEC!$A$4:$J$6971,6,FALSE)</f>
        <v>0</v>
      </c>
      <c r="K3779">
        <f>VLOOKUP(A3779,Pr_Base_LNEC!$A$4:$J$6971,7,FALSE)</f>
        <v>0</v>
      </c>
    </row>
    <row r="3780" spans="1:11" ht="14.5">
      <c r="A3780" s="20" t="s">
        <v>23576</v>
      </c>
      <c r="B3780" s="20">
        <v>40</v>
      </c>
      <c r="C3780" s="20">
        <v>30</v>
      </c>
      <c r="D3780" s="20">
        <v>31</v>
      </c>
      <c r="E3780" s="20">
        <v>33</v>
      </c>
      <c r="F3780" s="20" t="s">
        <v>23577</v>
      </c>
      <c r="G3780" s="20" t="s">
        <v>23578</v>
      </c>
      <c r="H3780" s="24"/>
      <c r="I3780" s="24" t="str">
        <f ca="1">IFERROR(__xludf.DUMMYFUNCTION("GOOGLETRANSLATE(F3780,""en"",""pt"")"),"pólos de banner montados no solo")</f>
        <v>pólos de banner montados no solo</v>
      </c>
      <c r="J3780">
        <f>VLOOKUP(A3780,Pr_Base_LNEC!$A$4:$J$6971,6,FALSE)</f>
        <v>0</v>
      </c>
      <c r="K3780">
        <f>VLOOKUP(A3780,Pr_Base_LNEC!$A$4:$J$6971,7,FALSE)</f>
        <v>0</v>
      </c>
    </row>
    <row r="3781" spans="1:11" ht="14.5">
      <c r="A3781" s="20" t="s">
        <v>23579</v>
      </c>
      <c r="B3781" s="20">
        <v>40</v>
      </c>
      <c r="C3781" s="20">
        <v>30</v>
      </c>
      <c r="D3781" s="20">
        <v>31</v>
      </c>
      <c r="E3781" s="20">
        <v>34</v>
      </c>
      <c r="F3781" s="20" t="s">
        <v>23580</v>
      </c>
      <c r="G3781" s="20" t="s">
        <v>23578</v>
      </c>
      <c r="H3781" s="24"/>
      <c r="I3781" s="24" t="str">
        <f ca="1">IFERROR(__xludf.DUMMYFUNCTION("GOOGLETRANSLATE(F3781,""en"",""pt"")"),"mastros montado no solo")</f>
        <v>mastros montado no solo</v>
      </c>
      <c r="J3781">
        <f>VLOOKUP(A3781,Pr_Base_LNEC!$A$4:$J$6971,6,FALSE)</f>
        <v>0</v>
      </c>
      <c r="K3781">
        <f>VLOOKUP(A3781,Pr_Base_LNEC!$A$4:$J$6971,7,FALSE)</f>
        <v>0</v>
      </c>
    </row>
    <row r="3782" spans="1:11" ht="14.5">
      <c r="A3782" s="20" t="s">
        <v>23581</v>
      </c>
      <c r="B3782" s="20">
        <v>40</v>
      </c>
      <c r="C3782" s="20">
        <v>30</v>
      </c>
      <c r="D3782" s="20">
        <v>31</v>
      </c>
      <c r="E3782" s="20">
        <v>35</v>
      </c>
      <c r="F3782" s="20" t="s">
        <v>23582</v>
      </c>
      <c r="G3782" s="24"/>
      <c r="H3782" s="24"/>
      <c r="I3782" s="24" t="str">
        <f ca="1">IFERROR(__xludf.DUMMYFUNCTION("GOOGLETRANSLATE(F3782,""en"",""pt"")"),"Rés-do-montado mastros mangas")</f>
        <v>Rés-do-montado mastros mangas</v>
      </c>
      <c r="J3782">
        <f>VLOOKUP(A3782,Pr_Base_LNEC!$A$4:$J$6971,6,FALSE)</f>
        <v>0</v>
      </c>
      <c r="K3782">
        <f>VLOOKUP(A3782,Pr_Base_LNEC!$A$4:$J$6971,7,FALSE)</f>
        <v>0</v>
      </c>
    </row>
    <row r="3783" spans="1:11" ht="14.5">
      <c r="A3783" s="20" t="s">
        <v>23583</v>
      </c>
      <c r="B3783" s="20">
        <v>40</v>
      </c>
      <c r="C3783" s="20">
        <v>30</v>
      </c>
      <c r="D3783" s="20">
        <v>31</v>
      </c>
      <c r="E3783" s="20">
        <v>53</v>
      </c>
      <c r="F3783" s="20" t="s">
        <v>23584</v>
      </c>
      <c r="G3783" s="24"/>
      <c r="H3783" s="24"/>
      <c r="I3783" s="24" t="str">
        <f ca="1">IFERROR(__xludf.DUMMYFUNCTION("GOOGLETRANSLATE(F3783,""en"",""pt"")"),"mastros telescópicos móveis")</f>
        <v>mastros telescópicos móveis</v>
      </c>
      <c r="J3783">
        <f>VLOOKUP(A3783,Pr_Base_LNEC!$A$4:$J$6971,6,FALSE)</f>
        <v>0</v>
      </c>
      <c r="K3783">
        <f>VLOOKUP(A3783,Pr_Base_LNEC!$A$4:$J$6971,7,FALSE)</f>
        <v>0</v>
      </c>
    </row>
    <row r="3784" spans="1:11" ht="14.5">
      <c r="A3784" s="20" t="s">
        <v>23585</v>
      </c>
      <c r="B3784" s="20">
        <v>40</v>
      </c>
      <c r="C3784" s="20">
        <v>30</v>
      </c>
      <c r="D3784" s="20">
        <v>31</v>
      </c>
      <c r="E3784" s="20">
        <v>70</v>
      </c>
      <c r="F3784" s="20" t="s">
        <v>23586</v>
      </c>
      <c r="G3784" s="24"/>
      <c r="H3784" s="24"/>
      <c r="I3784" s="24" t="str">
        <f ca="1">IFERROR(__xludf.DUMMYFUNCTION("GOOGLETRANSLATE(F3784,""en"",""pt"")"),"mastros manipuladas e estaiadas")</f>
        <v>mastros manipuladas e estaiadas</v>
      </c>
      <c r="J3784">
        <f>VLOOKUP(A3784,Pr_Base_LNEC!$A$4:$J$6971,6,FALSE)</f>
        <v>0</v>
      </c>
      <c r="K3784">
        <f>VLOOKUP(A3784,Pr_Base_LNEC!$A$4:$J$6971,7,FALSE)</f>
        <v>0</v>
      </c>
    </row>
    <row r="3785" spans="1:11" ht="14.5">
      <c r="A3785" s="20" t="s">
        <v>23587</v>
      </c>
      <c r="B3785" s="20">
        <v>40</v>
      </c>
      <c r="C3785" s="20">
        <v>30</v>
      </c>
      <c r="D3785" s="20">
        <v>31</v>
      </c>
      <c r="E3785" s="20">
        <v>71</v>
      </c>
      <c r="F3785" s="20" t="s">
        <v>23588</v>
      </c>
      <c r="G3785" s="24"/>
      <c r="H3785" s="24"/>
      <c r="I3785" s="24" t="str">
        <f ca="1">IFERROR(__xludf.DUMMYFUNCTION("GOOGLETRANSLATE(F3785,""en"",""pt"")"),"Manipuladas mastros estaiadas-un")</f>
        <v>Manipuladas mastros estaiadas-un</v>
      </c>
      <c r="J3785">
        <f>VLOOKUP(A3785,Pr_Base_LNEC!$A$4:$J$6971,6,FALSE)</f>
        <v>0</v>
      </c>
      <c r="K3785">
        <f>VLOOKUP(A3785,Pr_Base_LNEC!$A$4:$J$6971,7,FALSE)</f>
        <v>0</v>
      </c>
    </row>
    <row r="3786" spans="1:11" ht="14.5">
      <c r="A3786" s="20" t="s">
        <v>23589</v>
      </c>
      <c r="B3786" s="20">
        <v>40</v>
      </c>
      <c r="C3786" s="20">
        <v>30</v>
      </c>
      <c r="D3786" s="20">
        <v>31</v>
      </c>
      <c r="E3786" s="20">
        <v>96</v>
      </c>
      <c r="F3786" s="20" t="s">
        <v>23590</v>
      </c>
      <c r="G3786" s="24"/>
      <c r="H3786" s="24"/>
      <c r="I3786" s="24" t="str">
        <f ca="1">IFERROR(__xludf.DUMMYFUNCTION("GOOGLETRANSLATE(F3786,""en"",""pt"")"),"mastros montado na parede")</f>
        <v>mastros montado na parede</v>
      </c>
      <c r="J3786">
        <f>VLOOKUP(A3786,Pr_Base_LNEC!$A$4:$J$6971,6,FALSE)</f>
        <v>0</v>
      </c>
      <c r="K3786">
        <f>VLOOKUP(A3786,Pr_Base_LNEC!$A$4:$J$6971,7,FALSE)</f>
        <v>0</v>
      </c>
    </row>
    <row r="3787" spans="1:11" ht="14.5">
      <c r="A3787" s="20" t="s">
        <v>23591</v>
      </c>
      <c r="B3787" s="20">
        <v>40</v>
      </c>
      <c r="C3787" s="20">
        <v>30</v>
      </c>
      <c r="D3787" s="20">
        <v>50</v>
      </c>
      <c r="E3787" s="24"/>
      <c r="F3787" s="20" t="s">
        <v>23592</v>
      </c>
      <c r="G3787" s="24"/>
      <c r="H3787" s="24"/>
      <c r="I3787" s="24" t="str">
        <f ca="1">IFERROR(__xludf.DUMMYFUNCTION("GOOGLETRANSLATE(F3787,""en"",""pt"")"),"encaixes e-mail")</f>
        <v>encaixes e-mail</v>
      </c>
      <c r="J3787">
        <f>VLOOKUP(A3787,Pr_Base_LNEC!$A$4:$J$6971,6,FALSE)</f>
        <v>0</v>
      </c>
      <c r="K3787">
        <f>VLOOKUP(A3787,Pr_Base_LNEC!$A$4:$J$6971,7,FALSE)</f>
        <v>0</v>
      </c>
    </row>
    <row r="3788" spans="1:11" ht="14.5">
      <c r="A3788" s="20" t="s">
        <v>23593</v>
      </c>
      <c r="B3788" s="20">
        <v>40</v>
      </c>
      <c r="C3788" s="20">
        <v>30</v>
      </c>
      <c r="D3788" s="20">
        <v>50</v>
      </c>
      <c r="E3788" s="20">
        <v>46</v>
      </c>
      <c r="F3788" s="20" t="s">
        <v>23594</v>
      </c>
      <c r="G3788" s="20" t="s">
        <v>23595</v>
      </c>
      <c r="H3788" s="24"/>
      <c r="I3788" s="24" t="str">
        <f ca="1">IFERROR(__xludf.DUMMYFUNCTION("GOOGLETRANSLATE(F3788,""en"",""pt"")"),"caixas de letra")</f>
        <v>caixas de letra</v>
      </c>
      <c r="J3788">
        <f>VLOOKUP(A3788,Pr_Base_LNEC!$A$4:$J$6971,6,FALSE)</f>
        <v>0</v>
      </c>
      <c r="K3788">
        <f>VLOOKUP(A3788,Pr_Base_LNEC!$A$4:$J$6971,7,FALSE)</f>
        <v>0</v>
      </c>
    </row>
    <row r="3789" spans="1:11" ht="14.5">
      <c r="A3789" s="20" t="s">
        <v>23596</v>
      </c>
      <c r="B3789" s="20">
        <v>40</v>
      </c>
      <c r="C3789" s="20">
        <v>30</v>
      </c>
      <c r="D3789" s="20">
        <v>50</v>
      </c>
      <c r="E3789" s="20">
        <v>47</v>
      </c>
      <c r="F3789" s="20" t="s">
        <v>23597</v>
      </c>
      <c r="G3789" s="24"/>
      <c r="H3789" s="24"/>
      <c r="I3789" s="24" t="str">
        <f ca="1">IFERROR(__xludf.DUMMYFUNCTION("GOOGLETRANSLATE(F3789,""en"",""pt"")"),"gaiolas carta")</f>
        <v>gaiolas carta</v>
      </c>
      <c r="J3789">
        <f>VLOOKUP(A3789,Pr_Base_LNEC!$A$4:$J$6971,6,FALSE)</f>
        <v>0</v>
      </c>
      <c r="K3789">
        <f>VLOOKUP(A3789,Pr_Base_LNEC!$A$4:$J$6971,7,FALSE)</f>
        <v>0</v>
      </c>
    </row>
    <row r="3790" spans="1:11" ht="14.5">
      <c r="A3790" s="20" t="s">
        <v>23598</v>
      </c>
      <c r="B3790" s="20">
        <v>40</v>
      </c>
      <c r="C3790" s="20">
        <v>30</v>
      </c>
      <c r="D3790" s="20">
        <v>50</v>
      </c>
      <c r="E3790" s="20">
        <v>48</v>
      </c>
      <c r="F3790" s="20" t="s">
        <v>23599</v>
      </c>
      <c r="G3790" s="20" t="s">
        <v>23600</v>
      </c>
      <c r="H3790" s="24"/>
      <c r="I3790" s="24" t="str">
        <f ca="1">IFERROR(__xludf.DUMMYFUNCTION("GOOGLETRANSLATE(F3790,""en"",""pt"")"),"placa carta abas internas e vedantes")</f>
        <v>placa carta abas internas e vedantes</v>
      </c>
      <c r="J3790">
        <f>VLOOKUP(A3790,Pr_Base_LNEC!$A$4:$J$6971,6,FALSE)</f>
        <v>0</v>
      </c>
      <c r="K3790">
        <f>VLOOKUP(A3790,Pr_Base_LNEC!$A$4:$J$6971,7,FALSE)</f>
        <v>0</v>
      </c>
    </row>
    <row r="3791" spans="1:11" ht="14.5">
      <c r="A3791" s="20" t="s">
        <v>23601</v>
      </c>
      <c r="B3791" s="20">
        <v>40</v>
      </c>
      <c r="C3791" s="20">
        <v>30</v>
      </c>
      <c r="D3791" s="20">
        <v>50</v>
      </c>
      <c r="E3791" s="20">
        <v>49</v>
      </c>
      <c r="F3791" s="20" t="s">
        <v>23602</v>
      </c>
      <c r="G3791" s="20" t="s">
        <v>23603</v>
      </c>
      <c r="H3791" s="24"/>
      <c r="I3791" s="24" t="str">
        <f ca="1">IFERROR(__xludf.DUMMYFUNCTION("GOOGLETRANSLATE(F3791,""en"",""pt"")"),"placas letra")</f>
        <v>placas letra</v>
      </c>
      <c r="J3791">
        <f>VLOOKUP(A3791,Pr_Base_LNEC!$A$4:$J$6971,6,FALSE)</f>
        <v>0</v>
      </c>
      <c r="K3791">
        <f>VLOOKUP(A3791,Pr_Base_LNEC!$A$4:$J$6971,7,FALSE)</f>
        <v>0</v>
      </c>
    </row>
    <row r="3792" spans="1:11" ht="14.5">
      <c r="A3792" s="20" t="s">
        <v>23604</v>
      </c>
      <c r="B3792" s="20">
        <v>40</v>
      </c>
      <c r="C3792" s="20">
        <v>30</v>
      </c>
      <c r="D3792" s="20">
        <v>50</v>
      </c>
      <c r="E3792" s="20">
        <v>62</v>
      </c>
      <c r="F3792" s="20" t="s">
        <v>23605</v>
      </c>
      <c r="G3792" s="24"/>
      <c r="H3792" s="24"/>
      <c r="I3792" s="24" t="str">
        <f ca="1">IFERROR(__xludf.DUMMYFUNCTION("GOOGLETRANSLATE(F3792,""en"",""pt"")"),"escaninhos")</f>
        <v>escaninhos</v>
      </c>
      <c r="J3792">
        <f>VLOOKUP(A3792,Pr_Base_LNEC!$A$4:$J$6971,6,FALSE)</f>
        <v>0</v>
      </c>
      <c r="K3792">
        <f>VLOOKUP(A3792,Pr_Base_LNEC!$A$4:$J$6971,7,FALSE)</f>
        <v>0</v>
      </c>
    </row>
    <row r="3793" spans="1:11" ht="14.5">
      <c r="A3793" s="20" t="s">
        <v>23606</v>
      </c>
      <c r="B3793" s="20">
        <v>40</v>
      </c>
      <c r="C3793" s="20">
        <v>30</v>
      </c>
      <c r="D3793" s="20">
        <v>50</v>
      </c>
      <c r="E3793" s="20">
        <v>65</v>
      </c>
      <c r="F3793" s="20" t="s">
        <v>23607</v>
      </c>
      <c r="G3793" s="24"/>
      <c r="H3793" s="24"/>
      <c r="I3793" s="24" t="str">
        <f ca="1">IFERROR(__xludf.DUMMYFUNCTION("GOOGLETRANSLATE(F3793,""en"",""pt"")"),"Caixas postais")</f>
        <v>Caixas postais</v>
      </c>
      <c r="J3793">
        <f>VLOOKUP(A3793,Pr_Base_LNEC!$A$4:$J$6971,6,FALSE)</f>
        <v>0</v>
      </c>
      <c r="K3793">
        <f>VLOOKUP(A3793,Pr_Base_LNEC!$A$4:$J$6971,7,FALSE)</f>
        <v>0</v>
      </c>
    </row>
    <row r="3794" spans="1:11" ht="14.5">
      <c r="A3794" s="20" t="s">
        <v>23608</v>
      </c>
      <c r="B3794" s="20">
        <v>40</v>
      </c>
      <c r="C3794" s="20">
        <v>30</v>
      </c>
      <c r="D3794" s="20">
        <v>55</v>
      </c>
      <c r="E3794" s="24"/>
      <c r="F3794" s="20" t="s">
        <v>23609</v>
      </c>
      <c r="G3794" s="24"/>
      <c r="H3794" s="24"/>
      <c r="I3794" s="24" t="str">
        <f ca="1">IFERROR(__xludf.DUMMYFUNCTION("GOOGLETRANSLATE(F3794,""en"",""pt"")"),"Instrumentos musicais")</f>
        <v>Instrumentos musicais</v>
      </c>
      <c r="J3794">
        <f>VLOOKUP(A3794,Pr_Base_LNEC!$A$4:$J$6971,6,FALSE)</f>
        <v>0</v>
      </c>
      <c r="K3794">
        <f>VLOOKUP(A3794,Pr_Base_LNEC!$A$4:$J$6971,7,FALSE)</f>
        <v>0</v>
      </c>
    </row>
    <row r="3795" spans="1:11" ht="14.5">
      <c r="A3795" s="20" t="s">
        <v>23610</v>
      </c>
      <c r="B3795" s="20">
        <v>40</v>
      </c>
      <c r="C3795" s="20">
        <v>30</v>
      </c>
      <c r="D3795" s="20">
        <v>55</v>
      </c>
      <c r="E3795" s="20">
        <v>6</v>
      </c>
      <c r="F3795" s="20" t="s">
        <v>23611</v>
      </c>
      <c r="G3795" s="24"/>
      <c r="H3795" s="24"/>
      <c r="I3795" s="24" t="str">
        <f ca="1">IFERROR(__xludf.DUMMYFUNCTION("GOOGLETRANSLATE(F3795,""en"",""pt"")"),"quadros de sino")</f>
        <v>quadros de sino</v>
      </c>
      <c r="J3795">
        <f>VLOOKUP(A3795,Pr_Base_LNEC!$A$4:$J$6971,6,FALSE)</f>
        <v>0</v>
      </c>
      <c r="K3795">
        <f>VLOOKUP(A3795,Pr_Base_LNEC!$A$4:$J$6971,7,FALSE)</f>
        <v>0</v>
      </c>
    </row>
    <row r="3796" spans="1:11" ht="14.5">
      <c r="A3796" s="20" t="s">
        <v>23612</v>
      </c>
      <c r="B3796" s="20">
        <v>40</v>
      </c>
      <c r="C3796" s="20">
        <v>30</v>
      </c>
      <c r="D3796" s="20">
        <v>55</v>
      </c>
      <c r="E3796" s="20">
        <v>7</v>
      </c>
      <c r="F3796" s="20" t="s">
        <v>23613</v>
      </c>
      <c r="G3796" s="24"/>
      <c r="H3796" s="24"/>
      <c r="I3796" s="24" t="str">
        <f ca="1">IFERROR(__xludf.DUMMYFUNCTION("GOOGLETRANSLATE(F3796,""en"",""pt"")"),"headstocks sino")</f>
        <v>headstocks sino</v>
      </c>
      <c r="J3796">
        <f>VLOOKUP(A3796,Pr_Base_LNEC!$A$4:$J$6971,6,FALSE)</f>
        <v>0</v>
      </c>
      <c r="K3796">
        <f>VLOOKUP(A3796,Pr_Base_LNEC!$A$4:$J$6971,7,FALSE)</f>
        <v>0</v>
      </c>
    </row>
    <row r="3797" spans="1:11" ht="14.5">
      <c r="A3797" s="20" t="s">
        <v>23614</v>
      </c>
      <c r="B3797" s="20">
        <v>40</v>
      </c>
      <c r="C3797" s="20">
        <v>30</v>
      </c>
      <c r="D3797" s="20">
        <v>55</v>
      </c>
      <c r="E3797" s="20">
        <v>8</v>
      </c>
      <c r="F3797" s="20" t="s">
        <v>23615</v>
      </c>
      <c r="G3797" s="24"/>
      <c r="H3797" s="24"/>
      <c r="I3797" s="24" t="str">
        <f ca="1">IFERROR(__xludf.DUMMYFUNCTION("GOOGLETRANSLATE(F3797,""en"",""pt"")"),"rodas de sino")</f>
        <v>rodas de sino</v>
      </c>
      <c r="J3797">
        <f>VLOOKUP(A3797,Pr_Base_LNEC!$A$4:$J$6971,6,FALSE)</f>
        <v>0</v>
      </c>
      <c r="K3797">
        <f>VLOOKUP(A3797,Pr_Base_LNEC!$A$4:$J$6971,7,FALSE)</f>
        <v>0</v>
      </c>
    </row>
    <row r="3798" spans="1:11" ht="14.5">
      <c r="A3798" s="20" t="s">
        <v>23616</v>
      </c>
      <c r="B3798" s="20">
        <v>40</v>
      </c>
      <c r="C3798" s="20">
        <v>30</v>
      </c>
      <c r="D3798" s="20">
        <v>55</v>
      </c>
      <c r="E3798" s="20">
        <v>10</v>
      </c>
      <c r="F3798" s="20" t="s">
        <v>23617</v>
      </c>
      <c r="G3798" s="24"/>
      <c r="H3798" s="24"/>
      <c r="I3798" s="24" t="str">
        <f ca="1">IFERROR(__xludf.DUMMYFUNCTION("GOOGLETRANSLATE(F3798,""en"",""pt"")"),"sinos suporte")</f>
        <v>sinos suporte</v>
      </c>
      <c r="J3798">
        <f>VLOOKUP(A3798,Pr_Base_LNEC!$A$4:$J$6971,6,FALSE)</f>
        <v>0</v>
      </c>
      <c r="K3798">
        <f>VLOOKUP(A3798,Pr_Base_LNEC!$A$4:$J$6971,7,FALSE)</f>
        <v>0</v>
      </c>
    </row>
    <row r="3799" spans="1:11" ht="14.5">
      <c r="A3799" s="20" t="s">
        <v>23618</v>
      </c>
      <c r="B3799" s="20">
        <v>40</v>
      </c>
      <c r="C3799" s="20">
        <v>30</v>
      </c>
      <c r="D3799" s="20">
        <v>55</v>
      </c>
      <c r="E3799" s="20">
        <v>77</v>
      </c>
      <c r="F3799" s="20" t="s">
        <v>23619</v>
      </c>
      <c r="G3799" s="20" t="s">
        <v>23620</v>
      </c>
      <c r="H3799" s="24"/>
      <c r="I3799" s="24" t="str">
        <f ca="1">IFERROR(__xludf.DUMMYFUNCTION("GOOGLETRANSLATE(F3799,""en"",""pt"")"),"sinos do navio")</f>
        <v>sinos do navio</v>
      </c>
      <c r="J3799">
        <f>VLOOKUP(A3799,Pr_Base_LNEC!$A$4:$J$6971,6,FALSE)</f>
        <v>0</v>
      </c>
      <c r="K3799">
        <f>VLOOKUP(A3799,Pr_Base_LNEC!$A$4:$J$6971,7,FALSE)</f>
        <v>0</v>
      </c>
    </row>
    <row r="3800" spans="1:11" ht="14.5">
      <c r="A3800" s="20" t="s">
        <v>23621</v>
      </c>
      <c r="B3800" s="20">
        <v>40</v>
      </c>
      <c r="C3800" s="20">
        <v>30</v>
      </c>
      <c r="D3800" s="20">
        <v>55</v>
      </c>
      <c r="E3800" s="20">
        <v>89</v>
      </c>
      <c r="F3800" s="20" t="s">
        <v>23622</v>
      </c>
      <c r="G3800" s="24"/>
      <c r="H3800" s="24"/>
      <c r="I3800" s="24" t="str">
        <f ca="1">IFERROR(__xludf.DUMMYFUNCTION("GOOGLETRANSLATE(F3800,""en"",""pt"")"),"sinos da torre")</f>
        <v>sinos da torre</v>
      </c>
      <c r="J3800">
        <f>VLOOKUP(A3800,Pr_Base_LNEC!$A$4:$J$6971,6,FALSE)</f>
        <v>0</v>
      </c>
      <c r="K3800">
        <f>VLOOKUP(A3800,Pr_Base_LNEC!$A$4:$J$6971,7,FALSE)</f>
        <v>0</v>
      </c>
    </row>
    <row r="3801" spans="1:11" ht="14.5">
      <c r="A3801" s="20" t="s">
        <v>23623</v>
      </c>
      <c r="B3801" s="20">
        <v>40</v>
      </c>
      <c r="C3801" s="20">
        <v>30</v>
      </c>
      <c r="D3801" s="20">
        <v>55</v>
      </c>
      <c r="E3801" s="20">
        <v>90</v>
      </c>
      <c r="F3801" s="20" t="s">
        <v>23624</v>
      </c>
      <c r="G3801" s="24"/>
      <c r="H3801" s="24"/>
      <c r="I3801" s="24" t="str">
        <f ca="1">IFERROR(__xludf.DUMMYFUNCTION("GOOGLETRANSLATE(F3801,""en"",""pt"")"),"Sinos tubulares")</f>
        <v>Sinos tubulares</v>
      </c>
      <c r="J3801">
        <f>VLOOKUP(A3801,Pr_Base_LNEC!$A$4:$J$6971,6,FALSE)</f>
        <v>0</v>
      </c>
      <c r="K3801">
        <f>VLOOKUP(A3801,Pr_Base_LNEC!$A$4:$J$6971,7,FALSE)</f>
        <v>0</v>
      </c>
    </row>
    <row r="3802" spans="1:11" ht="14.5">
      <c r="A3802" s="20" t="s">
        <v>23625</v>
      </c>
      <c r="B3802" s="20">
        <v>40</v>
      </c>
      <c r="C3802" s="20">
        <v>30</v>
      </c>
      <c r="D3802" s="20">
        <v>55</v>
      </c>
      <c r="E3802" s="20">
        <v>91</v>
      </c>
      <c r="F3802" s="20" t="s">
        <v>23626</v>
      </c>
      <c r="G3802" s="24"/>
      <c r="H3802" s="24"/>
      <c r="I3802" s="24" t="str">
        <f ca="1">IFERROR(__xludf.DUMMYFUNCTION("GOOGLETRANSLATE(F3802,""en"",""pt"")"),"sinos Turret")</f>
        <v>sinos Turret</v>
      </c>
      <c r="J3802">
        <f>VLOOKUP(A3802,Pr_Base_LNEC!$A$4:$J$6971,6,FALSE)</f>
        <v>0</v>
      </c>
      <c r="K3802">
        <f>VLOOKUP(A3802,Pr_Base_LNEC!$A$4:$J$6971,7,FALSE)</f>
        <v>0</v>
      </c>
    </row>
    <row r="3803" spans="1:11" ht="14.5">
      <c r="A3803" s="20" t="s">
        <v>23627</v>
      </c>
      <c r="B3803" s="20">
        <v>40</v>
      </c>
      <c r="C3803" s="20">
        <v>30</v>
      </c>
      <c r="D3803" s="20">
        <v>61</v>
      </c>
      <c r="E3803" s="24"/>
      <c r="F3803" s="20" t="s">
        <v>23628</v>
      </c>
      <c r="G3803" s="24"/>
      <c r="H3803" s="24"/>
      <c r="I3803" s="24" t="str">
        <f ca="1">IFERROR(__xludf.DUMMYFUNCTION("GOOGLETRANSLATE(F3803,""en"",""pt"")"),"equipamento de jogo")</f>
        <v>equipamento de jogo</v>
      </c>
      <c r="J3803">
        <f>VLOOKUP(A3803,Pr_Base_LNEC!$A$4:$J$6971,6,FALSE)</f>
        <v>0</v>
      </c>
      <c r="K3803">
        <f>VLOOKUP(A3803,Pr_Base_LNEC!$A$4:$J$6971,7,FALSE)</f>
        <v>0</v>
      </c>
    </row>
    <row r="3804" spans="1:11" ht="14.5">
      <c r="A3804" s="20" t="s">
        <v>23629</v>
      </c>
      <c r="B3804" s="20">
        <v>40</v>
      </c>
      <c r="C3804" s="20">
        <v>30</v>
      </c>
      <c r="D3804" s="20">
        <v>61</v>
      </c>
      <c r="E3804" s="20">
        <v>15</v>
      </c>
      <c r="F3804" s="20" t="s">
        <v>23630</v>
      </c>
      <c r="G3804" s="20" t="s">
        <v>23631</v>
      </c>
      <c r="H3804" s="24"/>
      <c r="I3804" s="24" t="str">
        <f ca="1">IFERROR(__xludf.DUMMYFUNCTION("GOOGLETRANSLATE(F3804,""en"",""pt"")"),"estruturas de trepar")</f>
        <v>estruturas de trepar</v>
      </c>
      <c r="J3804">
        <f>VLOOKUP(A3804,Pr_Base_LNEC!$A$4:$J$6971,6,FALSE)</f>
        <v>0</v>
      </c>
      <c r="K3804">
        <f>VLOOKUP(A3804,Pr_Base_LNEC!$A$4:$J$6971,7,FALSE)</f>
        <v>0</v>
      </c>
    </row>
    <row r="3805" spans="1:11" ht="14.5">
      <c r="A3805" s="20" t="s">
        <v>23632</v>
      </c>
      <c r="B3805" s="20">
        <v>40</v>
      </c>
      <c r="C3805" s="20">
        <v>30</v>
      </c>
      <c r="D3805" s="20">
        <v>61</v>
      </c>
      <c r="E3805" s="20">
        <v>18</v>
      </c>
      <c r="F3805" s="20" t="s">
        <v>23633</v>
      </c>
      <c r="G3805" s="20" t="s">
        <v>23634</v>
      </c>
      <c r="H3805" s="24"/>
      <c r="I3805" s="24" t="str">
        <f ca="1">IFERROR(__xludf.DUMMYFUNCTION("GOOGLETRANSLATE(F3805,""en"",""pt"")"),"estruturas de jogo combinados")</f>
        <v>estruturas de jogo combinados</v>
      </c>
      <c r="J3805">
        <f>VLOOKUP(A3805,Pr_Base_LNEC!$A$4:$J$6971,6,FALSE)</f>
        <v>0</v>
      </c>
      <c r="K3805">
        <f>VLOOKUP(A3805,Pr_Base_LNEC!$A$4:$J$6971,7,FALSE)</f>
        <v>0</v>
      </c>
    </row>
    <row r="3806" spans="1:11" ht="14.5">
      <c r="A3806" s="20" t="s">
        <v>23635</v>
      </c>
      <c r="B3806" s="20">
        <v>40</v>
      </c>
      <c r="C3806" s="20">
        <v>30</v>
      </c>
      <c r="D3806" s="20">
        <v>61</v>
      </c>
      <c r="E3806" s="20">
        <v>40</v>
      </c>
      <c r="F3806" s="20" t="s">
        <v>23636</v>
      </c>
      <c r="G3806" s="20" t="s">
        <v>23637</v>
      </c>
      <c r="H3806" s="24"/>
      <c r="I3806" s="24" t="str">
        <f ca="1">IFERROR(__xludf.DUMMYFUNCTION("GOOGLETRANSLATE(F3806,""en"",""pt"")"),"jogar estruturas imaginativas")</f>
        <v>jogar estruturas imaginativas</v>
      </c>
      <c r="J3806">
        <f>VLOOKUP(A3806,Pr_Base_LNEC!$A$4:$J$6971,6,FALSE)</f>
        <v>0</v>
      </c>
      <c r="K3806">
        <f>VLOOKUP(A3806,Pr_Base_LNEC!$A$4:$J$6971,7,FALSE)</f>
        <v>0</v>
      </c>
    </row>
    <row r="3807" spans="1:11" ht="14.5">
      <c r="A3807" s="20" t="s">
        <v>23638</v>
      </c>
      <c r="B3807" s="20">
        <v>40</v>
      </c>
      <c r="C3807" s="20">
        <v>30</v>
      </c>
      <c r="D3807" s="20">
        <v>61</v>
      </c>
      <c r="E3807" s="20">
        <v>42</v>
      </c>
      <c r="F3807" s="20" t="s">
        <v>23639</v>
      </c>
      <c r="G3807" s="20" t="s">
        <v>23640</v>
      </c>
      <c r="H3807" s="24"/>
      <c r="I3807" s="24" t="str">
        <f ca="1">IFERROR(__xludf.DUMMYFUNCTION("GOOGLETRANSLATE(F3807,""en"",""pt"")"),"oscilações dos bebês")</f>
        <v>oscilações dos bebês</v>
      </c>
      <c r="J3807">
        <f>VLOOKUP(A3807,Pr_Base_LNEC!$A$4:$J$6971,6,FALSE)</f>
        <v>0</v>
      </c>
      <c r="K3807">
        <f>VLOOKUP(A3807,Pr_Base_LNEC!$A$4:$J$6971,7,FALSE)</f>
        <v>0</v>
      </c>
    </row>
    <row r="3808" spans="1:11" ht="14.5">
      <c r="A3808" s="20" t="s">
        <v>23641</v>
      </c>
      <c r="B3808" s="20">
        <v>40</v>
      </c>
      <c r="C3808" s="20">
        <v>30</v>
      </c>
      <c r="D3808" s="20">
        <v>61</v>
      </c>
      <c r="E3808" s="20">
        <v>52</v>
      </c>
      <c r="F3808" s="20" t="s">
        <v>23642</v>
      </c>
      <c r="G3808" s="20" t="s">
        <v>23643</v>
      </c>
      <c r="H3808" s="24"/>
      <c r="I3808" s="24" t="str">
        <f ca="1">IFERROR(__xludf.DUMMYFUNCTION("GOOGLETRANSLATE(F3808,""en"",""pt"")"),"alpinistas jogo modulares")</f>
        <v>alpinistas jogo modulares</v>
      </c>
      <c r="J3808">
        <f>VLOOKUP(A3808,Pr_Base_LNEC!$A$4:$J$6971,6,FALSE)</f>
        <v>0</v>
      </c>
      <c r="K3808">
        <f>VLOOKUP(A3808,Pr_Base_LNEC!$A$4:$J$6971,7,FALSE)</f>
        <v>0</v>
      </c>
    </row>
    <row r="3809" spans="1:11" ht="14.5">
      <c r="A3809" s="20" t="s">
        <v>23644</v>
      </c>
      <c r="B3809" s="20">
        <v>40</v>
      </c>
      <c r="C3809" s="20">
        <v>30</v>
      </c>
      <c r="D3809" s="20">
        <v>61</v>
      </c>
      <c r="E3809" s="20">
        <v>61</v>
      </c>
      <c r="F3809" s="20" t="s">
        <v>23645</v>
      </c>
      <c r="G3809" s="20" t="s">
        <v>23646</v>
      </c>
      <c r="H3809" s="24"/>
      <c r="I3809" s="24" t="str">
        <f ca="1">IFERROR(__xludf.DUMMYFUNCTION("GOOGLETRANSLATE(F3809,""en"",""pt"")"),"painéis de jogo")</f>
        <v>painéis de jogo</v>
      </c>
      <c r="J3809">
        <f>VLOOKUP(A3809,Pr_Base_LNEC!$A$4:$J$6971,6,FALSE)</f>
        <v>0</v>
      </c>
      <c r="K3809">
        <f>VLOOKUP(A3809,Pr_Base_LNEC!$A$4:$J$6971,7,FALSE)</f>
        <v>0</v>
      </c>
    </row>
    <row r="3810" spans="1:11" ht="14.5">
      <c r="A3810" s="20" t="s">
        <v>23647</v>
      </c>
      <c r="B3810" s="20">
        <v>40</v>
      </c>
      <c r="C3810" s="20">
        <v>30</v>
      </c>
      <c r="D3810" s="20">
        <v>61</v>
      </c>
      <c r="E3810" s="20">
        <v>62</v>
      </c>
      <c r="F3810" s="20" t="s">
        <v>23648</v>
      </c>
      <c r="G3810" s="20" t="s">
        <v>23649</v>
      </c>
      <c r="H3810" s="24"/>
      <c r="I3810" s="24" t="str">
        <f ca="1">IFERROR(__xludf.DUMMYFUNCTION("GOOGLETRANSLATE(F3810,""en"",""pt"")"),"Brincadeiras com piscinas")</f>
        <v>Brincadeiras com piscinas</v>
      </c>
      <c r="J3810">
        <f>VLOOKUP(A3810,Pr_Base_LNEC!$A$4:$J$6971,6,FALSE)</f>
        <v>0</v>
      </c>
      <c r="K3810">
        <f>VLOOKUP(A3810,Pr_Base_LNEC!$A$4:$J$6971,7,FALSE)</f>
        <v>0</v>
      </c>
    </row>
    <row r="3811" spans="1:11" ht="14.5">
      <c r="A3811" s="20" t="s">
        <v>23650</v>
      </c>
      <c r="B3811" s="20">
        <v>40</v>
      </c>
      <c r="C3811" s="20">
        <v>30</v>
      </c>
      <c r="D3811" s="20">
        <v>61</v>
      </c>
      <c r="E3811" s="20">
        <v>63</v>
      </c>
      <c r="F3811" s="20" t="s">
        <v>23651</v>
      </c>
      <c r="G3811" s="20" t="s">
        <v>23652</v>
      </c>
      <c r="H3811" s="24"/>
      <c r="I3811" s="24" t="str">
        <f ca="1">IFERROR(__xludf.DUMMYFUNCTION("GOOGLETRANSLATE(F3811,""en"",""pt"")"),"Brincadeiras rotundas")</f>
        <v>Brincadeiras rotundas</v>
      </c>
      <c r="J3811">
        <f>VLOOKUP(A3811,Pr_Base_LNEC!$A$4:$J$6971,6,FALSE)</f>
        <v>0</v>
      </c>
      <c r="K3811">
        <f>VLOOKUP(A3811,Pr_Base_LNEC!$A$4:$J$6971,7,FALSE)</f>
        <v>0</v>
      </c>
    </row>
    <row r="3812" spans="1:11" ht="14.5">
      <c r="A3812" s="20" t="s">
        <v>23653</v>
      </c>
      <c r="B3812" s="20">
        <v>40</v>
      </c>
      <c r="C3812" s="20">
        <v>30</v>
      </c>
      <c r="D3812" s="20">
        <v>61</v>
      </c>
      <c r="E3812" s="20">
        <v>64</v>
      </c>
      <c r="F3812" s="20" t="s">
        <v>23654</v>
      </c>
      <c r="G3812" s="20" t="s">
        <v>23655</v>
      </c>
      <c r="H3812" s="24"/>
      <c r="I3812" s="24" t="str">
        <f ca="1">IFERROR(__xludf.DUMMYFUNCTION("GOOGLETRANSLATE(F3812,""en"",""pt"")"),"Brincadeiras pistas")</f>
        <v>Brincadeiras pistas</v>
      </c>
      <c r="J3812">
        <f>VLOOKUP(A3812,Pr_Base_LNEC!$A$4:$J$6971,6,FALSE)</f>
        <v>0</v>
      </c>
      <c r="K3812">
        <f>VLOOKUP(A3812,Pr_Base_LNEC!$A$4:$J$6971,7,FALSE)</f>
        <v>0</v>
      </c>
    </row>
    <row r="3813" spans="1:11" ht="14.5">
      <c r="A3813" s="20" t="s">
        <v>23656</v>
      </c>
      <c r="B3813" s="20">
        <v>40</v>
      </c>
      <c r="C3813" s="20">
        <v>30</v>
      </c>
      <c r="D3813" s="20">
        <v>61</v>
      </c>
      <c r="E3813" s="20">
        <v>65</v>
      </c>
      <c r="F3813" s="20" t="s">
        <v>23657</v>
      </c>
      <c r="G3813" s="20" t="s">
        <v>23658</v>
      </c>
      <c r="H3813" s="24"/>
      <c r="I3813" s="24" t="str">
        <f ca="1">IFERROR(__xludf.DUMMYFUNCTION("GOOGLETRANSLATE(F3813,""en"",""pt"")"),"Brincadeiras sandpits")</f>
        <v>Brincadeiras sandpits</v>
      </c>
      <c r="J3813">
        <f>VLOOKUP(A3813,Pr_Base_LNEC!$A$4:$J$6971,6,FALSE)</f>
        <v>0</v>
      </c>
      <c r="K3813">
        <f>VLOOKUP(A3813,Pr_Base_LNEC!$A$4:$J$6971,7,FALSE)</f>
        <v>0</v>
      </c>
    </row>
    <row r="3814" spans="1:11" ht="14.5">
      <c r="A3814" s="20" t="s">
        <v>23659</v>
      </c>
      <c r="B3814" s="20">
        <v>40</v>
      </c>
      <c r="C3814" s="20">
        <v>30</v>
      </c>
      <c r="D3814" s="20">
        <v>61</v>
      </c>
      <c r="E3814" s="20">
        <v>66</v>
      </c>
      <c r="F3814" s="20" t="s">
        <v>23660</v>
      </c>
      <c r="G3814" s="20" t="s">
        <v>23661</v>
      </c>
      <c r="H3814" s="24"/>
      <c r="I3814" s="24" t="str">
        <f ca="1">IFERROR(__xludf.DUMMYFUNCTION("GOOGLETRANSLATE(F3814,""en"",""pt"")"),"Brincadeiras com escorregas")</f>
        <v>Brincadeiras com escorregas</v>
      </c>
      <c r="J3814">
        <f>VLOOKUP(A3814,Pr_Base_LNEC!$A$4:$J$6971,6,FALSE)</f>
        <v>0</v>
      </c>
      <c r="K3814">
        <f>VLOOKUP(A3814,Pr_Base_LNEC!$A$4:$J$6971,7,FALSE)</f>
        <v>0</v>
      </c>
    </row>
    <row r="3815" spans="1:11" ht="14.5">
      <c r="A3815" s="20" t="s">
        <v>23662</v>
      </c>
      <c r="B3815" s="20">
        <v>40</v>
      </c>
      <c r="C3815" s="20">
        <v>30</v>
      </c>
      <c r="D3815" s="20">
        <v>61</v>
      </c>
      <c r="E3815" s="20">
        <v>67</v>
      </c>
      <c r="F3815" s="20" t="s">
        <v>23663</v>
      </c>
      <c r="G3815" s="20" t="s">
        <v>23640</v>
      </c>
      <c r="H3815" s="24"/>
      <c r="I3815" s="24" t="str">
        <f ca="1">IFERROR(__xludf.DUMMYFUNCTION("GOOGLETRANSLATE(F3815,""en"",""pt"")"),"Brincadeiras com balanços")</f>
        <v>Brincadeiras com balanços</v>
      </c>
      <c r="J3815">
        <f>VLOOKUP(A3815,Pr_Base_LNEC!$A$4:$J$6971,6,FALSE)</f>
        <v>0</v>
      </c>
      <c r="K3815">
        <f>VLOOKUP(A3815,Pr_Base_LNEC!$A$4:$J$6971,7,FALSE)</f>
        <v>0</v>
      </c>
    </row>
    <row r="3816" spans="1:11" ht="14.5">
      <c r="A3816" s="20" t="s">
        <v>23664</v>
      </c>
      <c r="B3816" s="20">
        <v>40</v>
      </c>
      <c r="C3816" s="20">
        <v>30</v>
      </c>
      <c r="D3816" s="20">
        <v>61</v>
      </c>
      <c r="E3816" s="20">
        <v>77</v>
      </c>
      <c r="F3816" s="20" t="s">
        <v>23665</v>
      </c>
      <c r="G3816" s="20" t="s">
        <v>23666</v>
      </c>
      <c r="H3816" s="24"/>
      <c r="I3816" s="24" t="str">
        <f ca="1">IFERROR(__xludf.DUMMYFUNCTION("GOOGLETRANSLATE(F3816,""en"",""pt"")"),"Veja-serras")</f>
        <v>Veja-serras</v>
      </c>
      <c r="J3816">
        <f>VLOOKUP(A3816,Pr_Base_LNEC!$A$4:$J$6971,6,FALSE)</f>
        <v>0</v>
      </c>
      <c r="K3816">
        <f>VLOOKUP(A3816,Pr_Base_LNEC!$A$4:$J$6971,7,FALSE)</f>
        <v>0</v>
      </c>
    </row>
    <row r="3817" spans="1:11" ht="14.5">
      <c r="A3817" s="20" t="s">
        <v>23667</v>
      </c>
      <c r="B3817" s="20">
        <v>40</v>
      </c>
      <c r="C3817" s="20">
        <v>30</v>
      </c>
      <c r="D3817" s="20">
        <v>61</v>
      </c>
      <c r="E3817" s="20">
        <v>78</v>
      </c>
      <c r="F3817" s="20" t="s">
        <v>23668</v>
      </c>
      <c r="G3817" s="20" t="s">
        <v>23669</v>
      </c>
      <c r="H3817" s="24"/>
      <c r="I3817" s="24" t="str">
        <f ca="1">IFERROR(__xludf.DUMMYFUNCTION("GOOGLETRANSLATE(F3817,""en"",""pt"")"),"jogar estruturas sensoriais")</f>
        <v>jogar estruturas sensoriais</v>
      </c>
      <c r="J3817">
        <f>VLOOKUP(A3817,Pr_Base_LNEC!$A$4:$J$6971,6,FALSE)</f>
        <v>0</v>
      </c>
      <c r="K3817">
        <f>VLOOKUP(A3817,Pr_Base_LNEC!$A$4:$J$6971,7,FALSE)</f>
        <v>0</v>
      </c>
    </row>
    <row r="3818" spans="1:11" ht="14.5">
      <c r="A3818" s="20" t="s">
        <v>23670</v>
      </c>
      <c r="B3818" s="20">
        <v>40</v>
      </c>
      <c r="C3818" s="20">
        <v>30</v>
      </c>
      <c r="D3818" s="20">
        <v>61</v>
      </c>
      <c r="E3818" s="20">
        <v>79</v>
      </c>
      <c r="F3818" s="20" t="s">
        <v>23671</v>
      </c>
      <c r="G3818" s="20" t="s">
        <v>23672</v>
      </c>
      <c r="H3818" s="24"/>
      <c r="I3818" s="24" t="str">
        <f ca="1">IFERROR(__xludf.DUMMYFUNCTION("GOOGLETRANSLATE(F3818,""en"",""pt"")"),"Sente-on rockers")</f>
        <v>Sente-on rockers</v>
      </c>
      <c r="J3818">
        <f>VLOOKUP(A3818,Pr_Base_LNEC!$A$4:$J$6971,6,FALSE)</f>
        <v>0</v>
      </c>
      <c r="K3818">
        <f>VLOOKUP(A3818,Pr_Base_LNEC!$A$4:$J$6971,7,FALSE)</f>
        <v>0</v>
      </c>
    </row>
    <row r="3819" spans="1:11" ht="14.5">
      <c r="A3819" s="20" t="s">
        <v>23673</v>
      </c>
      <c r="B3819" s="20">
        <v>40</v>
      </c>
      <c r="C3819" s="20">
        <v>30</v>
      </c>
      <c r="D3819" s="20">
        <v>61</v>
      </c>
      <c r="E3819" s="20">
        <v>82</v>
      </c>
      <c r="F3819" s="20" t="s">
        <v>23674</v>
      </c>
      <c r="G3819" s="20" t="s">
        <v>23675</v>
      </c>
      <c r="H3819" s="24"/>
      <c r="I3819" s="24" t="str">
        <f ca="1">IFERROR(__xludf.DUMMYFUNCTION("GOOGLETRANSLATE(F3819,""en"",""pt"")"),"postes de fiação")</f>
        <v>postes de fiação</v>
      </c>
      <c r="J3819">
        <f>VLOOKUP(A3819,Pr_Base_LNEC!$A$4:$J$6971,6,FALSE)</f>
        <v>0</v>
      </c>
      <c r="K3819">
        <f>VLOOKUP(A3819,Pr_Base_LNEC!$A$4:$J$6971,7,FALSE)</f>
        <v>0</v>
      </c>
    </row>
    <row r="3820" spans="1:11" ht="14.5">
      <c r="A3820" s="20" t="s">
        <v>23676</v>
      </c>
      <c r="B3820" s="20">
        <v>40</v>
      </c>
      <c r="C3820" s="20">
        <v>30</v>
      </c>
      <c r="D3820" s="20">
        <v>61</v>
      </c>
      <c r="E3820" s="20">
        <v>88</v>
      </c>
      <c r="F3820" s="20" t="s">
        <v>23677</v>
      </c>
      <c r="G3820" s="20" t="s">
        <v>23678</v>
      </c>
      <c r="H3820" s="24"/>
      <c r="I3820" s="24" t="str">
        <f ca="1">IFERROR(__xludf.DUMMYFUNCTION("GOOGLETRANSLATE(F3820,""en"",""pt"")"),"rockers tradicionais")</f>
        <v>rockers tradicionais</v>
      </c>
      <c r="J3820">
        <f>VLOOKUP(A3820,Pr_Base_LNEC!$A$4:$J$6971,6,FALSE)</f>
        <v>0</v>
      </c>
      <c r="K3820">
        <f>VLOOKUP(A3820,Pr_Base_LNEC!$A$4:$J$6971,7,FALSE)</f>
        <v>0</v>
      </c>
    </row>
    <row r="3821" spans="1:11" ht="14.5">
      <c r="A3821" s="20" t="s">
        <v>23679</v>
      </c>
      <c r="B3821" s="20">
        <v>40</v>
      </c>
      <c r="C3821" s="20">
        <v>30</v>
      </c>
      <c r="D3821" s="20">
        <v>61</v>
      </c>
      <c r="E3821" s="20">
        <v>95</v>
      </c>
      <c r="F3821" s="20" t="s">
        <v>23680</v>
      </c>
      <c r="G3821" s="20" t="s">
        <v>23681</v>
      </c>
      <c r="H3821" s="24"/>
      <c r="I3821" s="24" t="str">
        <f ca="1">IFERROR(__xludf.DUMMYFUNCTION("GOOGLETRANSLATE(F3821,""en"",""pt"")"),"equipamento de jogo de água")</f>
        <v>equipamento de jogo de água</v>
      </c>
      <c r="J3821">
        <f>VLOOKUP(A3821,Pr_Base_LNEC!$A$4:$J$6971,6,FALSE)</f>
        <v>0</v>
      </c>
      <c r="K3821">
        <f>VLOOKUP(A3821,Pr_Base_LNEC!$A$4:$J$6971,7,FALSE)</f>
        <v>0</v>
      </c>
    </row>
    <row r="3822" spans="1:11" ht="14.5">
      <c r="A3822" s="20" t="s">
        <v>23682</v>
      </c>
      <c r="B3822" s="20">
        <v>40</v>
      </c>
      <c r="C3822" s="20">
        <v>30</v>
      </c>
      <c r="D3822" s="20">
        <v>61</v>
      </c>
      <c r="E3822" s="20">
        <v>96</v>
      </c>
      <c r="F3822" s="20" t="s">
        <v>23683</v>
      </c>
      <c r="G3822" s="20" t="s">
        <v>23684</v>
      </c>
      <c r="H3822" s="24"/>
      <c r="I3822" s="24" t="str">
        <f ca="1">IFERROR(__xludf.DUMMYFUNCTION("GOOGLETRANSLATE(F3822,""en"",""pt"")"),"fontes de água desempenham")</f>
        <v>fontes de água desempenham</v>
      </c>
      <c r="J3822">
        <f>VLOOKUP(A3822,Pr_Base_LNEC!$A$4:$J$6971,6,FALSE)</f>
        <v>0</v>
      </c>
      <c r="K3822">
        <f>VLOOKUP(A3822,Pr_Base_LNEC!$A$4:$J$6971,7,FALSE)</f>
        <v>0</v>
      </c>
    </row>
    <row r="3823" spans="1:11" ht="14.5">
      <c r="A3823" s="20" t="s">
        <v>23685</v>
      </c>
      <c r="B3823" s="20">
        <v>40</v>
      </c>
      <c r="C3823" s="20">
        <v>30</v>
      </c>
      <c r="D3823" s="20">
        <v>61</v>
      </c>
      <c r="E3823" s="20">
        <v>97</v>
      </c>
      <c r="F3823" s="20" t="s">
        <v>23686</v>
      </c>
      <c r="G3823" s="20" t="s">
        <v>23687</v>
      </c>
      <c r="H3823" s="24"/>
      <c r="I3823" s="24" t="str">
        <f ca="1">IFERROR(__xludf.DUMMYFUNCTION("GOOGLETRANSLATE(F3823,""en"",""pt"")"),"estruturas de jogo de água")</f>
        <v>estruturas de jogo de água</v>
      </c>
      <c r="J3823">
        <f>VLOOKUP(A3823,Pr_Base_LNEC!$A$4:$J$6971,6,FALSE)</f>
        <v>0</v>
      </c>
      <c r="K3823">
        <f>VLOOKUP(A3823,Pr_Base_LNEC!$A$4:$J$6971,7,FALSE)</f>
        <v>0</v>
      </c>
    </row>
    <row r="3824" spans="1:11" ht="14.5">
      <c r="A3824" s="20" t="s">
        <v>23688</v>
      </c>
      <c r="B3824" s="20">
        <v>40</v>
      </c>
      <c r="C3824" s="20">
        <v>30</v>
      </c>
      <c r="D3824" s="20">
        <v>61</v>
      </c>
      <c r="E3824" s="20">
        <v>98</v>
      </c>
      <c r="F3824" s="20" t="s">
        <v>23689</v>
      </c>
      <c r="G3824" s="20" t="s">
        <v>23690</v>
      </c>
      <c r="H3824" s="24"/>
      <c r="I3824" s="24" t="str">
        <f ca="1">IFERROR(__xludf.DUMMYFUNCTION("GOOGLETRANSLATE(F3824,""en"",""pt"")"),"placas de oscilação")</f>
        <v>placas de oscilação</v>
      </c>
      <c r="J3824">
        <f>VLOOKUP(A3824,Pr_Base_LNEC!$A$4:$J$6971,6,FALSE)</f>
        <v>0</v>
      </c>
      <c r="K3824">
        <f>VLOOKUP(A3824,Pr_Base_LNEC!$A$4:$J$6971,7,FALSE)</f>
        <v>0</v>
      </c>
    </row>
    <row r="3825" spans="1:11" ht="14.5">
      <c r="A3825" s="20" t="s">
        <v>23691</v>
      </c>
      <c r="B3825" s="20">
        <v>40</v>
      </c>
      <c r="C3825" s="20">
        <v>30</v>
      </c>
      <c r="D3825" s="20">
        <v>65</v>
      </c>
      <c r="E3825" s="24"/>
      <c r="F3825" s="20" t="s">
        <v>23692</v>
      </c>
      <c r="G3825" s="24"/>
      <c r="H3825" s="24"/>
      <c r="I3825" s="24" t="str">
        <f ca="1">IFERROR(__xludf.DUMMYFUNCTION("GOOGLETRANSLATE(F3825,""en"",""pt"")"),"Ponto de acessórios para venda")</f>
        <v>Ponto de acessórios para venda</v>
      </c>
      <c r="J3825">
        <f>VLOOKUP(A3825,Pr_Base_LNEC!$A$4:$J$6971,6,FALSE)</f>
        <v>0</v>
      </c>
      <c r="K3825">
        <f>VLOOKUP(A3825,Pr_Base_LNEC!$A$4:$J$6971,7,FALSE)</f>
        <v>0</v>
      </c>
    </row>
    <row r="3826" spans="1:11" ht="14.5">
      <c r="A3826" s="20" t="s">
        <v>23693</v>
      </c>
      <c r="B3826" s="20">
        <v>40</v>
      </c>
      <c r="C3826" s="20">
        <v>30</v>
      </c>
      <c r="D3826" s="20">
        <v>65</v>
      </c>
      <c r="E3826" s="20">
        <v>11</v>
      </c>
      <c r="F3826" s="20" t="s">
        <v>23694</v>
      </c>
      <c r="G3826" s="24"/>
      <c r="H3826" s="24"/>
      <c r="I3826" s="24" t="str">
        <f ca="1">IFERROR(__xludf.DUMMYFUNCTION("GOOGLETRANSLATE(F3826,""en"",""pt"")"),"Caixa registradora")</f>
        <v>Caixa registradora</v>
      </c>
      <c r="J3826">
        <f>VLOOKUP(A3826,Pr_Base_LNEC!$A$4:$J$6971,6,FALSE)</f>
        <v>0</v>
      </c>
      <c r="K3826">
        <f>VLOOKUP(A3826,Pr_Base_LNEC!$A$4:$J$6971,7,FALSE)</f>
        <v>0</v>
      </c>
    </row>
    <row r="3827" spans="1:11" ht="14.5">
      <c r="A3827" s="20" t="s">
        <v>23695</v>
      </c>
      <c r="B3827" s="20">
        <v>40</v>
      </c>
      <c r="C3827" s="20">
        <v>30</v>
      </c>
      <c r="D3827" s="20">
        <v>65</v>
      </c>
      <c r="E3827" s="20">
        <v>12</v>
      </c>
      <c r="F3827" s="20" t="s">
        <v>23696</v>
      </c>
      <c r="G3827" s="24"/>
      <c r="H3827" s="24"/>
      <c r="I3827" s="24" t="str">
        <f ca="1">IFERROR(__xludf.DUMMYFUNCTION("GOOGLETRANSLATE(F3827,""en"",""pt"")"),"unidades de transferência de renda")</f>
        <v>unidades de transferência de renda</v>
      </c>
      <c r="J3827">
        <f>VLOOKUP(A3827,Pr_Base_LNEC!$A$4:$J$6971,6,FALSE)</f>
        <v>0</v>
      </c>
      <c r="K3827">
        <f>VLOOKUP(A3827,Pr_Base_LNEC!$A$4:$J$6971,7,FALSE)</f>
        <v>0</v>
      </c>
    </row>
    <row r="3828" spans="1:11" ht="14.5">
      <c r="A3828" s="20" t="s">
        <v>23697</v>
      </c>
      <c r="B3828" s="20">
        <v>40</v>
      </c>
      <c r="C3828" s="20">
        <v>30</v>
      </c>
      <c r="D3828" s="20">
        <v>65</v>
      </c>
      <c r="E3828" s="20">
        <v>13</v>
      </c>
      <c r="F3828" s="20" t="s">
        <v>23698</v>
      </c>
      <c r="G3828" s="24"/>
      <c r="H3828" s="24"/>
      <c r="I3828" s="24" t="str">
        <f ca="1">IFERROR(__xludf.DUMMYFUNCTION("GOOGLETRANSLATE(F3828,""en"",""pt"")"),"gavetas de caixa")</f>
        <v>gavetas de caixa</v>
      </c>
      <c r="J3828">
        <f>VLOOKUP(A3828,Pr_Base_LNEC!$A$4:$J$6971,6,FALSE)</f>
        <v>0</v>
      </c>
      <c r="K3828">
        <f>VLOOKUP(A3828,Pr_Base_LNEC!$A$4:$J$6971,7,FALSE)</f>
        <v>0</v>
      </c>
    </row>
    <row r="3829" spans="1:11" ht="14.5">
      <c r="A3829" s="20" t="s">
        <v>23699</v>
      </c>
      <c r="B3829" s="20">
        <v>40</v>
      </c>
      <c r="C3829" s="20">
        <v>30</v>
      </c>
      <c r="D3829" s="20">
        <v>65</v>
      </c>
      <c r="E3829" s="20">
        <v>60</v>
      </c>
      <c r="F3829" s="20" t="s">
        <v>23700</v>
      </c>
      <c r="G3829" s="24"/>
      <c r="H3829" s="24"/>
      <c r="I3829" s="24" t="str">
        <f ca="1">IFERROR(__xludf.DUMMYFUNCTION("GOOGLETRANSLATE(F3829,""en"",""pt"")"),"Paystations e baixos")</f>
        <v>Paystations e baixos</v>
      </c>
      <c r="J3829">
        <f>VLOOKUP(A3829,Pr_Base_LNEC!$A$4:$J$6971,6,FALSE)</f>
        <v>0</v>
      </c>
      <c r="K3829">
        <f>VLOOKUP(A3829,Pr_Base_LNEC!$A$4:$J$6971,7,FALSE)</f>
        <v>0</v>
      </c>
    </row>
    <row r="3830" spans="1:11" ht="14.5">
      <c r="A3830" s="20" t="s">
        <v>23701</v>
      </c>
      <c r="B3830" s="20">
        <v>40</v>
      </c>
      <c r="C3830" s="20">
        <v>30</v>
      </c>
      <c r="D3830" s="20">
        <v>65</v>
      </c>
      <c r="E3830" s="20">
        <v>65</v>
      </c>
      <c r="F3830" s="20" t="s">
        <v>23702</v>
      </c>
      <c r="G3830" s="24"/>
      <c r="H3830" s="24"/>
      <c r="I3830" s="24" t="str">
        <f ca="1">IFERROR(__xludf.DUMMYFUNCTION("GOOGLETRANSLATE(F3830,""en"",""pt"")"),"Ponto de unidades de venda")</f>
        <v>Ponto de unidades de venda</v>
      </c>
      <c r="J3830">
        <f>VLOOKUP(A3830,Pr_Base_LNEC!$A$4:$J$6971,6,FALSE)</f>
        <v>0</v>
      </c>
      <c r="K3830">
        <f>VLOOKUP(A3830,Pr_Base_LNEC!$A$4:$J$6971,7,FALSE)</f>
        <v>0</v>
      </c>
    </row>
    <row r="3831" spans="1:11" ht="14.5">
      <c r="A3831" s="20" t="s">
        <v>23703</v>
      </c>
      <c r="B3831" s="20">
        <v>40</v>
      </c>
      <c r="C3831" s="20">
        <v>30</v>
      </c>
      <c r="D3831" s="20">
        <v>65</v>
      </c>
      <c r="E3831" s="20">
        <v>88</v>
      </c>
      <c r="F3831" s="20" t="s">
        <v>23704</v>
      </c>
      <c r="G3831" s="24"/>
      <c r="H3831" s="24"/>
      <c r="I3831" s="24" t="str">
        <f ca="1">IFERROR(__xludf.DUMMYFUNCTION("GOOGLETRANSLATE(F3831,""en"",""pt"")"),"tills")</f>
        <v>tills</v>
      </c>
      <c r="J3831">
        <f>VLOOKUP(A3831,Pr_Base_LNEC!$A$4:$J$6971,6,FALSE)</f>
        <v>0</v>
      </c>
      <c r="K3831">
        <f>VLOOKUP(A3831,Pr_Base_LNEC!$A$4:$J$6971,7,FALSE)</f>
        <v>0</v>
      </c>
    </row>
    <row r="3832" spans="1:11" ht="14.5">
      <c r="A3832" s="20" t="s">
        <v>23705</v>
      </c>
      <c r="B3832" s="20">
        <v>40</v>
      </c>
      <c r="C3832" s="20">
        <v>30</v>
      </c>
      <c r="D3832" s="20">
        <v>66</v>
      </c>
      <c r="E3832" s="24"/>
      <c r="F3832" s="20" t="s">
        <v>23706</v>
      </c>
      <c r="G3832" s="24"/>
      <c r="H3832" s="24"/>
      <c r="I3832" s="24" t="str">
        <f ca="1">IFERROR(__xludf.DUMMYFUNCTION("GOOGLETRANSLATE(F3832,""en"",""pt"")"),"unidades de exibição Poster")</f>
        <v>unidades de exibição Poster</v>
      </c>
      <c r="J3832">
        <f>VLOOKUP(A3832,Pr_Base_LNEC!$A$4:$J$6971,6,FALSE)</f>
        <v>0</v>
      </c>
      <c r="K3832">
        <f>VLOOKUP(A3832,Pr_Base_LNEC!$A$4:$J$6971,7,FALSE)</f>
        <v>0</v>
      </c>
    </row>
    <row r="3833" spans="1:11" ht="14.5">
      <c r="A3833" s="20" t="s">
        <v>23707</v>
      </c>
      <c r="B3833" s="20">
        <v>40</v>
      </c>
      <c r="C3833" s="20">
        <v>30</v>
      </c>
      <c r="D3833" s="20">
        <v>66</v>
      </c>
      <c r="E3833" s="20">
        <v>22</v>
      </c>
      <c r="F3833" s="20" t="s">
        <v>23708</v>
      </c>
      <c r="G3833" s="20" t="s">
        <v>23709</v>
      </c>
      <c r="H3833" s="24"/>
      <c r="I3833" s="24" t="str">
        <f ca="1">IFERROR(__xludf.DUMMYFUNCTION("GOOGLETRANSLATE(F3833,""en"",""pt"")"),"unidades de exibição cartaz Digital")</f>
        <v>unidades de exibição cartaz Digital</v>
      </c>
      <c r="J3833">
        <f>VLOOKUP(A3833,Pr_Base_LNEC!$A$4:$J$6971,6,FALSE)</f>
        <v>0</v>
      </c>
      <c r="K3833">
        <f>VLOOKUP(A3833,Pr_Base_LNEC!$A$4:$J$6971,7,FALSE)</f>
        <v>0</v>
      </c>
    </row>
    <row r="3834" spans="1:11" ht="14.5">
      <c r="A3834" s="20" t="s">
        <v>23710</v>
      </c>
      <c r="B3834" s="20">
        <v>40</v>
      </c>
      <c r="C3834" s="20">
        <v>30</v>
      </c>
      <c r="D3834" s="20">
        <v>66</v>
      </c>
      <c r="E3834" s="20">
        <v>73</v>
      </c>
      <c r="F3834" s="20" t="s">
        <v>23711</v>
      </c>
      <c r="G3834" s="24"/>
      <c r="H3834" s="24"/>
      <c r="I3834" s="24" t="str">
        <f ca="1">IFERROR(__xludf.DUMMYFUNCTION("GOOGLETRANSLATE(F3834,""en"",""pt"")"),"Rolando unidades de exibição cartaz")</f>
        <v>Rolando unidades de exibição cartaz</v>
      </c>
      <c r="J3834">
        <f>VLOOKUP(A3834,Pr_Base_LNEC!$A$4:$J$6971,6,FALSE)</f>
        <v>0</v>
      </c>
      <c r="K3834">
        <f>VLOOKUP(A3834,Pr_Base_LNEC!$A$4:$J$6971,7,FALSE)</f>
        <v>0</v>
      </c>
    </row>
    <row r="3835" spans="1:11" ht="14.5">
      <c r="A3835" s="20" t="s">
        <v>23712</v>
      </c>
      <c r="B3835" s="20">
        <v>40</v>
      </c>
      <c r="C3835" s="20">
        <v>30</v>
      </c>
      <c r="D3835" s="20">
        <v>66</v>
      </c>
      <c r="E3835" s="20">
        <v>74</v>
      </c>
      <c r="F3835" s="20" t="s">
        <v>23713</v>
      </c>
      <c r="G3835" s="24"/>
      <c r="H3835" s="24"/>
      <c r="I3835" s="24" t="str">
        <f ca="1">IFERROR(__xludf.DUMMYFUNCTION("GOOGLETRANSLATE(F3835,""en"",""pt"")"),"Rotativa unidades de exibição cartaz")</f>
        <v>Rotativa unidades de exibição cartaz</v>
      </c>
      <c r="J3835">
        <f>VLOOKUP(A3835,Pr_Base_LNEC!$A$4:$J$6971,6,FALSE)</f>
        <v>0</v>
      </c>
      <c r="K3835">
        <f>VLOOKUP(A3835,Pr_Base_LNEC!$A$4:$J$6971,7,FALSE)</f>
        <v>0</v>
      </c>
    </row>
    <row r="3836" spans="1:11" ht="14.5">
      <c r="A3836" s="20" t="s">
        <v>23714</v>
      </c>
      <c r="B3836" s="20">
        <v>40</v>
      </c>
      <c r="C3836" s="20">
        <v>30</v>
      </c>
      <c r="D3836" s="20">
        <v>66</v>
      </c>
      <c r="E3836" s="20">
        <v>84</v>
      </c>
      <c r="F3836" s="20" t="s">
        <v>23715</v>
      </c>
      <c r="G3836" s="24"/>
      <c r="H3836" s="24"/>
      <c r="I3836" s="24" t="str">
        <f ca="1">IFERROR(__xludf.DUMMYFUNCTION("GOOGLETRANSLATE(F3836,""en"",""pt"")"),"unidades de exibição cartaz estática")</f>
        <v>unidades de exibição cartaz estática</v>
      </c>
      <c r="J3836">
        <f>VLOOKUP(A3836,Pr_Base_LNEC!$A$4:$J$6971,6,FALSE)</f>
        <v>0</v>
      </c>
      <c r="K3836">
        <f>VLOOKUP(A3836,Pr_Base_LNEC!$A$4:$J$6971,7,FALSE)</f>
        <v>0</v>
      </c>
    </row>
    <row r="3837" spans="1:11" ht="14.5">
      <c r="A3837" s="20" t="s">
        <v>23716</v>
      </c>
      <c r="B3837" s="20">
        <v>40</v>
      </c>
      <c r="C3837" s="20">
        <v>30</v>
      </c>
      <c r="D3837" s="20">
        <v>71</v>
      </c>
      <c r="E3837" s="24"/>
      <c r="F3837" s="20" t="s">
        <v>23717</v>
      </c>
      <c r="G3837" s="24"/>
      <c r="H3837" s="24"/>
      <c r="I3837" s="24" t="str">
        <f ca="1">IFERROR(__xludf.DUMMYFUNCTION("GOOGLETRANSLATE(F3837,""en"",""pt"")"),"acessórios religiosos")</f>
        <v>acessórios religiosos</v>
      </c>
      <c r="J3837">
        <f>VLOOKUP(A3837,Pr_Base_LNEC!$A$4:$J$6971,6,FALSE)</f>
        <v>0</v>
      </c>
      <c r="K3837">
        <f>VLOOKUP(A3837,Pr_Base_LNEC!$A$4:$J$6971,7,FALSE)</f>
        <v>0</v>
      </c>
    </row>
    <row r="3838" spans="1:11" ht="14.5">
      <c r="A3838" s="20" t="s">
        <v>23718</v>
      </c>
      <c r="B3838" s="20">
        <v>40</v>
      </c>
      <c r="C3838" s="20">
        <v>30</v>
      </c>
      <c r="D3838" s="20">
        <v>71</v>
      </c>
      <c r="E3838" s="20">
        <v>1</v>
      </c>
      <c r="F3838" s="20" t="s">
        <v>23719</v>
      </c>
      <c r="G3838" s="24"/>
      <c r="H3838" s="24"/>
      <c r="I3838" s="24" t="str">
        <f ca="1">IFERROR(__xludf.DUMMYFUNCTION("GOOGLETRANSLATE(F3838,""en"",""pt"")"),"Abats-voix")</f>
        <v>Abats-voix</v>
      </c>
      <c r="J3838">
        <f>VLOOKUP(A3838,Pr_Base_LNEC!$A$4:$J$6971,6,FALSE)</f>
        <v>0</v>
      </c>
      <c r="K3838">
        <f>VLOOKUP(A3838,Pr_Base_LNEC!$A$4:$J$6971,7,FALSE)</f>
        <v>0</v>
      </c>
    </row>
    <row r="3839" spans="1:11" ht="14.5">
      <c r="A3839" s="20" t="s">
        <v>23720</v>
      </c>
      <c r="B3839" s="20">
        <v>40</v>
      </c>
      <c r="C3839" s="20">
        <v>30</v>
      </c>
      <c r="D3839" s="20">
        <v>71</v>
      </c>
      <c r="E3839" s="20">
        <v>3</v>
      </c>
      <c r="F3839" s="20" t="s">
        <v>23721</v>
      </c>
      <c r="G3839" s="24"/>
      <c r="H3839" s="24"/>
      <c r="I3839" s="24" t="str">
        <f ca="1">IFERROR(__xludf.DUMMYFUNCTION("GOOGLETRANSLATE(F3839,""en"",""pt"")"),"ambons")</f>
        <v>ambons</v>
      </c>
      <c r="J3839">
        <f>VLOOKUP(A3839,Pr_Base_LNEC!$A$4:$J$6971,6,FALSE)</f>
        <v>0</v>
      </c>
      <c r="K3839">
        <f>VLOOKUP(A3839,Pr_Base_LNEC!$A$4:$J$6971,7,FALSE)</f>
        <v>0</v>
      </c>
    </row>
    <row r="3840" spans="1:11" ht="14.5">
      <c r="A3840" s="20" t="s">
        <v>23722</v>
      </c>
      <c r="B3840" s="20">
        <v>40</v>
      </c>
      <c r="C3840" s="20">
        <v>30</v>
      </c>
      <c r="D3840" s="20">
        <v>71</v>
      </c>
      <c r="E3840" s="20">
        <v>6</v>
      </c>
      <c r="F3840" s="20" t="s">
        <v>23723</v>
      </c>
      <c r="G3840" s="24"/>
      <c r="H3840" s="24"/>
      <c r="I3840" s="24" t="str">
        <f ca="1">IFERROR(__xludf.DUMMYFUNCTION("GOOGLETRANSLATE(F3840,""en"",""pt"")"),"baldaquinos")</f>
        <v>baldaquinos</v>
      </c>
      <c r="J3840">
        <f>VLOOKUP(A3840,Pr_Base_LNEC!$A$4:$J$6971,6,FALSE)</f>
        <v>0</v>
      </c>
      <c r="K3840">
        <f>VLOOKUP(A3840,Pr_Base_LNEC!$A$4:$J$6971,7,FALSE)</f>
        <v>0</v>
      </c>
    </row>
    <row r="3841" spans="1:11" ht="14.5">
      <c r="A3841" s="20" t="s">
        <v>23724</v>
      </c>
      <c r="B3841" s="20">
        <v>40</v>
      </c>
      <c r="C3841" s="20">
        <v>30</v>
      </c>
      <c r="D3841" s="20">
        <v>71</v>
      </c>
      <c r="E3841" s="20">
        <v>7</v>
      </c>
      <c r="F3841" s="20" t="s">
        <v>23725</v>
      </c>
      <c r="G3841" s="24"/>
      <c r="H3841" s="24"/>
      <c r="I3841" s="24" t="str">
        <f ca="1">IFERROR(__xludf.DUMMYFUNCTION("GOOGLETRANSLATE(F3841,""en"",""pt"")"),"Bimahs")</f>
        <v>Bimahs</v>
      </c>
      <c r="J3841">
        <f>VLOOKUP(A3841,Pr_Base_LNEC!$A$4:$J$6971,6,FALSE)</f>
        <v>0</v>
      </c>
      <c r="K3841">
        <f>VLOOKUP(A3841,Pr_Base_LNEC!$A$4:$J$6971,7,FALSE)</f>
        <v>0</v>
      </c>
    </row>
    <row r="3842" spans="1:11" ht="14.5">
      <c r="A3842" s="20" t="s">
        <v>23726</v>
      </c>
      <c r="B3842" s="20">
        <v>40</v>
      </c>
      <c r="C3842" s="20">
        <v>30</v>
      </c>
      <c r="D3842" s="20">
        <v>71</v>
      </c>
      <c r="E3842" s="20">
        <v>31</v>
      </c>
      <c r="F3842" s="20" t="s">
        <v>23727</v>
      </c>
      <c r="G3842" s="24"/>
      <c r="H3842" s="24"/>
      <c r="I3842" s="24" t="str">
        <f ca="1">IFERROR(__xludf.DUMMYFUNCTION("GOOGLETRANSLATE(F3842,""en"",""pt"")"),"fontes")</f>
        <v>fontes</v>
      </c>
      <c r="J3842">
        <f>VLOOKUP(A3842,Pr_Base_LNEC!$A$4:$J$6971,6,FALSE)</f>
        <v>0</v>
      </c>
      <c r="K3842">
        <f>VLOOKUP(A3842,Pr_Base_LNEC!$A$4:$J$6971,7,FALSE)</f>
        <v>0</v>
      </c>
    </row>
    <row r="3843" spans="1:11" ht="14.5">
      <c r="A3843" s="20" t="s">
        <v>23728</v>
      </c>
      <c r="B3843" s="20">
        <v>40</v>
      </c>
      <c r="C3843" s="20">
        <v>30</v>
      </c>
      <c r="D3843" s="20">
        <v>71</v>
      </c>
      <c r="E3843" s="20">
        <v>36</v>
      </c>
      <c r="F3843" s="20" t="s">
        <v>23729</v>
      </c>
      <c r="G3843" s="24"/>
      <c r="H3843" s="24"/>
      <c r="I3843" s="24" t="str">
        <f ca="1">IFERROR(__xludf.DUMMYFUNCTION("GOOGLETRANSLATE(F3843,""en"",""pt"")"),"Hassocks")</f>
        <v>Hassocks</v>
      </c>
      <c r="J3843">
        <f>VLOOKUP(A3843,Pr_Base_LNEC!$A$4:$J$6971,6,FALSE)</f>
        <v>0</v>
      </c>
      <c r="K3843">
        <f>VLOOKUP(A3843,Pr_Base_LNEC!$A$4:$J$6971,7,FALSE)</f>
        <v>0</v>
      </c>
    </row>
    <row r="3844" spans="1:11" ht="14.5">
      <c r="A3844" s="20" t="s">
        <v>23730</v>
      </c>
      <c r="B3844" s="20">
        <v>40</v>
      </c>
      <c r="C3844" s="20">
        <v>30</v>
      </c>
      <c r="D3844" s="20">
        <v>71</v>
      </c>
      <c r="E3844" s="20">
        <v>51</v>
      </c>
      <c r="F3844" s="20" t="s">
        <v>23731</v>
      </c>
      <c r="G3844" s="24"/>
      <c r="H3844" s="24"/>
      <c r="I3844" s="24" t="str">
        <f ca="1">IFERROR(__xludf.DUMMYFUNCTION("GOOGLETRANSLATE(F3844,""en"",""pt"")"),"Minbars")</f>
        <v>Minbars</v>
      </c>
      <c r="J3844">
        <f>VLOOKUP(A3844,Pr_Base_LNEC!$A$4:$J$6971,6,FALSE)</f>
        <v>0</v>
      </c>
      <c r="K3844">
        <f>VLOOKUP(A3844,Pr_Base_LNEC!$A$4:$J$6971,7,FALSE)</f>
        <v>0</v>
      </c>
    </row>
    <row r="3845" spans="1:11" ht="14.5">
      <c r="A3845" s="20" t="s">
        <v>23732</v>
      </c>
      <c r="B3845" s="20">
        <v>40</v>
      </c>
      <c r="C3845" s="20">
        <v>30</v>
      </c>
      <c r="D3845" s="20">
        <v>71</v>
      </c>
      <c r="E3845" s="20">
        <v>56</v>
      </c>
      <c r="F3845" s="20" t="s">
        <v>23733</v>
      </c>
      <c r="G3845" s="24"/>
      <c r="H3845" s="24"/>
      <c r="I3845" s="24" t="str">
        <f ca="1">IFERROR(__xludf.DUMMYFUNCTION("GOOGLETRANSLATE(F3845,""en"",""pt"")"),"atris nave")</f>
        <v>atris nave</v>
      </c>
      <c r="J3845">
        <f>VLOOKUP(A3845,Pr_Base_LNEC!$A$4:$J$6971,6,FALSE)</f>
        <v>0</v>
      </c>
      <c r="K3845">
        <f>VLOOKUP(A3845,Pr_Base_LNEC!$A$4:$J$6971,7,FALSE)</f>
        <v>0</v>
      </c>
    </row>
    <row r="3846" spans="1:11" ht="14.5">
      <c r="A3846" s="20" t="s">
        <v>23734</v>
      </c>
      <c r="B3846" s="20">
        <v>40</v>
      </c>
      <c r="C3846" s="20">
        <v>30</v>
      </c>
      <c r="D3846" s="20">
        <v>71</v>
      </c>
      <c r="E3846" s="20">
        <v>68</v>
      </c>
      <c r="F3846" s="20" t="s">
        <v>23735</v>
      </c>
      <c r="G3846" s="24"/>
      <c r="H3846" s="24"/>
      <c r="I3846" s="24" t="str">
        <f ca="1">IFERROR(__xludf.DUMMYFUNCTION("GOOGLETRANSLATE(F3846,""en"",""pt"")"),"púlpitos")</f>
        <v>púlpitos</v>
      </c>
      <c r="J3846">
        <f>VLOOKUP(A3846,Pr_Base_LNEC!$A$4:$J$6971,6,FALSE)</f>
        <v>0</v>
      </c>
      <c r="K3846">
        <f>VLOOKUP(A3846,Pr_Base_LNEC!$A$4:$J$6971,7,FALSE)</f>
        <v>0</v>
      </c>
    </row>
    <row r="3847" spans="1:11" ht="14.5">
      <c r="A3847" s="20" t="s">
        <v>23736</v>
      </c>
      <c r="B3847" s="20">
        <v>40</v>
      </c>
      <c r="C3847" s="20">
        <v>30</v>
      </c>
      <c r="D3847" s="20">
        <v>75</v>
      </c>
      <c r="E3847" s="24"/>
      <c r="F3847" s="20" t="s">
        <v>23737</v>
      </c>
      <c r="G3847" s="24"/>
      <c r="H3847" s="24"/>
      <c r="I3847" s="24" t="str">
        <f ca="1">IFERROR(__xludf.DUMMYFUNCTION("GOOGLETRANSLATE(F3847,""en"",""pt"")"),"Cofres e armários de segurança")</f>
        <v>Cofres e armários de segurança</v>
      </c>
      <c r="J3847">
        <f>VLOOKUP(A3847,Pr_Base_LNEC!$A$4:$J$6971,6,FALSE)</f>
        <v>0</v>
      </c>
      <c r="K3847">
        <f>VLOOKUP(A3847,Pr_Base_LNEC!$A$4:$J$6971,7,FALSE)</f>
        <v>0</v>
      </c>
    </row>
    <row r="3848" spans="1:11" ht="14.5">
      <c r="A3848" s="20" t="s">
        <v>23738</v>
      </c>
      <c r="B3848" s="20">
        <v>40</v>
      </c>
      <c r="C3848" s="20">
        <v>30</v>
      </c>
      <c r="D3848" s="20">
        <v>75</v>
      </c>
      <c r="E3848" s="20">
        <v>11</v>
      </c>
      <c r="F3848" s="20" t="s">
        <v>23739</v>
      </c>
      <c r="G3848" s="24"/>
      <c r="H3848" s="24"/>
      <c r="I3848" s="24" t="str">
        <f ca="1">IFERROR(__xludf.DUMMYFUNCTION("GOOGLETRANSLATE(F3848,""en"",""pt"")"),"cofres de dinheiro")</f>
        <v>cofres de dinheiro</v>
      </c>
      <c r="J3848">
        <f>VLOOKUP(A3848,Pr_Base_LNEC!$A$4:$J$6971,6,FALSE)</f>
        <v>0</v>
      </c>
      <c r="K3848">
        <f>VLOOKUP(A3848,Pr_Base_LNEC!$A$4:$J$6971,7,FALSE)</f>
        <v>0</v>
      </c>
    </row>
    <row r="3849" spans="1:11" ht="14.5">
      <c r="A3849" s="20" t="s">
        <v>23740</v>
      </c>
      <c r="B3849" s="20">
        <v>40</v>
      </c>
      <c r="C3849" s="20">
        <v>30</v>
      </c>
      <c r="D3849" s="20">
        <v>75</v>
      </c>
      <c r="E3849" s="20">
        <v>16</v>
      </c>
      <c r="F3849" s="20" t="s">
        <v>23741</v>
      </c>
      <c r="G3849" s="24"/>
      <c r="H3849" s="24"/>
      <c r="I3849" s="24" t="str">
        <f ca="1">IFERROR(__xludf.DUMMYFUNCTION("GOOGLETRANSLATE(F3849,""en"",""pt"")"),"cofres computador")</f>
        <v>cofres computador</v>
      </c>
      <c r="J3849">
        <f>VLOOKUP(A3849,Pr_Base_LNEC!$A$4:$J$6971,6,FALSE)</f>
        <v>0</v>
      </c>
      <c r="K3849">
        <f>VLOOKUP(A3849,Pr_Base_LNEC!$A$4:$J$6971,7,FALSE)</f>
        <v>0</v>
      </c>
    </row>
    <row r="3850" spans="1:11" ht="14.5">
      <c r="A3850" s="20" t="s">
        <v>23742</v>
      </c>
      <c r="B3850" s="20">
        <v>40</v>
      </c>
      <c r="C3850" s="20">
        <v>30</v>
      </c>
      <c r="D3850" s="20">
        <v>75</v>
      </c>
      <c r="E3850" s="20">
        <v>20</v>
      </c>
      <c r="F3850" s="20" t="s">
        <v>23743</v>
      </c>
      <c r="G3850" s="24"/>
      <c r="H3850" s="24"/>
      <c r="I3850" s="24" t="str">
        <f ca="1">IFERROR(__xludf.DUMMYFUNCTION("GOOGLETRANSLATE(F3850,""en"",""pt"")"),"cofres armário")</f>
        <v>cofres armário</v>
      </c>
      <c r="J3850">
        <f>VLOOKUP(A3850,Pr_Base_LNEC!$A$4:$J$6971,6,FALSE)</f>
        <v>0</v>
      </c>
      <c r="K3850">
        <f>VLOOKUP(A3850,Pr_Base_LNEC!$A$4:$J$6971,7,FALSE)</f>
        <v>0</v>
      </c>
    </row>
    <row r="3851" spans="1:11" ht="14.5">
      <c r="A3851" s="20" t="s">
        <v>23744</v>
      </c>
      <c r="B3851" s="20">
        <v>40</v>
      </c>
      <c r="C3851" s="20">
        <v>30</v>
      </c>
      <c r="D3851" s="20">
        <v>75</v>
      </c>
      <c r="E3851" s="20">
        <v>21</v>
      </c>
      <c r="F3851" s="20" t="s">
        <v>23745</v>
      </c>
      <c r="G3851" s="24"/>
      <c r="H3851" s="24"/>
      <c r="I3851" s="24" t="str">
        <f ca="1">IFERROR(__xludf.DUMMYFUNCTION("GOOGLETRANSLATE(F3851,""en"",""pt"")"),"cofres de protecção de dados")</f>
        <v>cofres de protecção de dados</v>
      </c>
      <c r="J3851">
        <f>VLOOKUP(A3851,Pr_Base_LNEC!$A$4:$J$6971,6,FALSE)</f>
        <v>0</v>
      </c>
      <c r="K3851">
        <f>VLOOKUP(A3851,Pr_Base_LNEC!$A$4:$J$6971,7,FALSE)</f>
        <v>0</v>
      </c>
    </row>
    <row r="3852" spans="1:11" ht="14.5">
      <c r="A3852" s="20" t="s">
        <v>23746</v>
      </c>
      <c r="B3852" s="20">
        <v>40</v>
      </c>
      <c r="C3852" s="20">
        <v>30</v>
      </c>
      <c r="D3852" s="20">
        <v>75</v>
      </c>
      <c r="E3852" s="20">
        <v>22</v>
      </c>
      <c r="F3852" s="20" t="s">
        <v>23747</v>
      </c>
      <c r="G3852" s="24"/>
      <c r="H3852" s="24"/>
      <c r="I3852" s="24" t="str">
        <f ca="1">IFERROR(__xludf.DUMMYFUNCTION("GOOGLETRANSLATE(F3852,""en"",""pt"")"),"cofre de deposito")</f>
        <v>cofre de deposito</v>
      </c>
      <c r="J3852">
        <f>VLOOKUP(A3852,Pr_Base_LNEC!$A$4:$J$6971,6,FALSE)</f>
        <v>0</v>
      </c>
      <c r="K3852">
        <f>VLOOKUP(A3852,Pr_Base_LNEC!$A$4:$J$6971,7,FALSE)</f>
        <v>0</v>
      </c>
    </row>
    <row r="3853" spans="1:11" ht="14.5">
      <c r="A3853" s="20" t="s">
        <v>23748</v>
      </c>
      <c r="B3853" s="20">
        <v>40</v>
      </c>
      <c r="C3853" s="20">
        <v>30</v>
      </c>
      <c r="D3853" s="20">
        <v>75</v>
      </c>
      <c r="E3853" s="20">
        <v>29</v>
      </c>
      <c r="F3853" s="20" t="s">
        <v>23749</v>
      </c>
      <c r="G3853" s="24"/>
      <c r="H3853" s="24"/>
      <c r="I3853" s="24" t="str">
        <f ca="1">IFERROR(__xludf.DUMMYFUNCTION("GOOGLETRANSLATE(F3853,""en"",""pt"")"),"cofres de protecção contra incêndios")</f>
        <v>cofres de protecção contra incêndios</v>
      </c>
      <c r="J3853">
        <f>VLOOKUP(A3853,Pr_Base_LNEC!$A$4:$J$6971,6,FALSE)</f>
        <v>0</v>
      </c>
      <c r="K3853">
        <f>VLOOKUP(A3853,Pr_Base_LNEC!$A$4:$J$6971,7,FALSE)</f>
        <v>0</v>
      </c>
    </row>
    <row r="3854" spans="1:11" ht="14.5">
      <c r="A3854" s="20" t="s">
        <v>23750</v>
      </c>
      <c r="B3854" s="20">
        <v>40</v>
      </c>
      <c r="C3854" s="20">
        <v>30</v>
      </c>
      <c r="D3854" s="20">
        <v>75</v>
      </c>
      <c r="E3854" s="20">
        <v>30</v>
      </c>
      <c r="F3854" s="20" t="s">
        <v>23751</v>
      </c>
      <c r="G3854" s="24"/>
      <c r="H3854" s="24"/>
      <c r="I3854" s="24" t="str">
        <f ca="1">IFERROR(__xludf.DUMMYFUNCTION("GOOGLETRANSLATE(F3854,""en"",""pt"")"),"armários de segurança de armas de fogo")</f>
        <v>armários de segurança de armas de fogo</v>
      </c>
      <c r="J3854">
        <f>VLOOKUP(A3854,Pr_Base_LNEC!$A$4:$J$6971,6,FALSE)</f>
        <v>0</v>
      </c>
      <c r="K3854">
        <f>VLOOKUP(A3854,Pr_Base_LNEC!$A$4:$J$6971,7,FALSE)</f>
        <v>0</v>
      </c>
    </row>
    <row r="3855" spans="1:11" ht="14.5">
      <c r="A3855" s="20" t="s">
        <v>23752</v>
      </c>
      <c r="B3855" s="20">
        <v>40</v>
      </c>
      <c r="C3855" s="20">
        <v>30</v>
      </c>
      <c r="D3855" s="20">
        <v>75</v>
      </c>
      <c r="E3855" s="20">
        <v>31</v>
      </c>
      <c r="F3855" s="20" t="s">
        <v>23753</v>
      </c>
      <c r="G3855" s="24"/>
      <c r="H3855" s="24"/>
      <c r="I3855" s="24" t="str">
        <f ca="1">IFERROR(__xludf.DUMMYFUNCTION("GOOGLETRANSLATE(F3855,""en"",""pt"")"),"cofres Soalho")</f>
        <v>cofres Soalho</v>
      </c>
      <c r="J3855">
        <f>VLOOKUP(A3855,Pr_Base_LNEC!$A$4:$J$6971,6,FALSE)</f>
        <v>0</v>
      </c>
      <c r="K3855">
        <f>VLOOKUP(A3855,Pr_Base_LNEC!$A$4:$J$6971,7,FALSE)</f>
        <v>0</v>
      </c>
    </row>
    <row r="3856" spans="1:11" ht="14.5">
      <c r="A3856" s="20" t="s">
        <v>23754</v>
      </c>
      <c r="B3856" s="20">
        <v>40</v>
      </c>
      <c r="C3856" s="20">
        <v>30</v>
      </c>
      <c r="D3856" s="20">
        <v>75</v>
      </c>
      <c r="E3856" s="20">
        <v>36</v>
      </c>
      <c r="F3856" s="20" t="s">
        <v>23755</v>
      </c>
      <c r="G3856" s="24"/>
      <c r="H3856" s="24"/>
      <c r="I3856" s="24" t="str">
        <f ca="1">IFERROR(__xludf.DUMMYFUNCTION("GOOGLETRANSLATE(F3856,""en"",""pt"")"),"cofres de alta segurança")</f>
        <v>cofres de alta segurança</v>
      </c>
      <c r="J3856">
        <f>VLOOKUP(A3856,Pr_Base_LNEC!$A$4:$J$6971,6,FALSE)</f>
        <v>0</v>
      </c>
      <c r="K3856">
        <f>VLOOKUP(A3856,Pr_Base_LNEC!$A$4:$J$6971,7,FALSE)</f>
        <v>0</v>
      </c>
    </row>
    <row r="3857" spans="1:11" ht="14.5">
      <c r="A3857" s="20" t="s">
        <v>23756</v>
      </c>
      <c r="B3857" s="20">
        <v>40</v>
      </c>
      <c r="C3857" s="20">
        <v>30</v>
      </c>
      <c r="D3857" s="20">
        <v>75</v>
      </c>
      <c r="E3857" s="20">
        <v>38</v>
      </c>
      <c r="F3857" s="20" t="s">
        <v>23757</v>
      </c>
      <c r="G3857" s="24"/>
      <c r="H3857" s="24"/>
      <c r="I3857" s="24" t="str">
        <f ca="1">IFERROR(__xludf.DUMMYFUNCTION("GOOGLETRANSLATE(F3857,""en"",""pt"")"),"Casa e escritório cofres")</f>
        <v>Casa e escritório cofres</v>
      </c>
      <c r="J3857">
        <f>VLOOKUP(A3857,Pr_Base_LNEC!$A$4:$J$6971,6,FALSE)</f>
        <v>0</v>
      </c>
      <c r="K3857">
        <f>VLOOKUP(A3857,Pr_Base_LNEC!$A$4:$J$6971,7,FALSE)</f>
        <v>0</v>
      </c>
    </row>
    <row r="3858" spans="1:11" ht="14.5">
      <c r="A3858" s="20" t="s">
        <v>23758</v>
      </c>
      <c r="B3858" s="20">
        <v>40</v>
      </c>
      <c r="C3858" s="20">
        <v>30</v>
      </c>
      <c r="D3858" s="20">
        <v>75</v>
      </c>
      <c r="E3858" s="20">
        <v>39</v>
      </c>
      <c r="F3858" s="20" t="s">
        <v>23759</v>
      </c>
      <c r="G3858" s="24"/>
      <c r="H3858" s="24"/>
      <c r="I3858" s="24" t="str">
        <f ca="1">IFERROR(__xludf.DUMMYFUNCTION("GOOGLETRANSLATE(F3858,""en"",""pt"")"),"cofres")</f>
        <v>cofres</v>
      </c>
      <c r="J3858">
        <f>VLOOKUP(A3858,Pr_Base_LNEC!$A$4:$J$6971,6,FALSE)</f>
        <v>0</v>
      </c>
      <c r="K3858">
        <f>VLOOKUP(A3858,Pr_Base_LNEC!$A$4:$J$6971,7,FALSE)</f>
        <v>0</v>
      </c>
    </row>
    <row r="3859" spans="1:11" ht="14.5">
      <c r="A3859" s="20" t="s">
        <v>23760</v>
      </c>
      <c r="B3859" s="20">
        <v>40</v>
      </c>
      <c r="C3859" s="20">
        <v>30</v>
      </c>
      <c r="D3859" s="20">
        <v>75</v>
      </c>
      <c r="E3859" s="20">
        <v>45</v>
      </c>
      <c r="F3859" s="20" t="s">
        <v>23761</v>
      </c>
      <c r="G3859" s="24"/>
      <c r="H3859" s="24"/>
      <c r="I3859" s="24" t="str">
        <f ca="1">IFERROR(__xludf.DUMMYFUNCTION("GOOGLETRANSLATE(F3859,""en"",""pt"")"),"cofres-chave")</f>
        <v>cofres-chave</v>
      </c>
      <c r="J3859">
        <f>VLOOKUP(A3859,Pr_Base_LNEC!$A$4:$J$6971,6,FALSE)</f>
        <v>0</v>
      </c>
      <c r="K3859">
        <f>VLOOKUP(A3859,Pr_Base_LNEC!$A$4:$J$6971,7,FALSE)</f>
        <v>0</v>
      </c>
    </row>
    <row r="3860" spans="1:11" ht="14.5">
      <c r="A3860" s="20" t="s">
        <v>23762</v>
      </c>
      <c r="B3860" s="20">
        <v>40</v>
      </c>
      <c r="C3860" s="20">
        <v>30</v>
      </c>
      <c r="D3860" s="20">
        <v>75</v>
      </c>
      <c r="E3860" s="20">
        <v>49</v>
      </c>
      <c r="F3860" s="20" t="s">
        <v>23763</v>
      </c>
      <c r="G3860" s="24"/>
      <c r="H3860" s="24"/>
      <c r="I3860" s="24" t="str">
        <f ca="1">IFERROR(__xludf.DUMMYFUNCTION("GOOGLETRANSLATE(F3860,""en"",""pt"")"),"armários de segurança de chumbo")</f>
        <v>armários de segurança de chumbo</v>
      </c>
      <c r="J3860">
        <f>VLOOKUP(A3860,Pr_Base_LNEC!$A$4:$J$6971,6,FALSE)</f>
        <v>0</v>
      </c>
      <c r="K3860">
        <f>VLOOKUP(A3860,Pr_Base_LNEC!$A$4:$J$6971,7,FALSE)</f>
        <v>0</v>
      </c>
    </row>
    <row r="3861" spans="1:11" ht="14.5">
      <c r="A3861" s="20" t="s">
        <v>23764</v>
      </c>
      <c r="B3861" s="20">
        <v>40</v>
      </c>
      <c r="C3861" s="20">
        <v>30</v>
      </c>
      <c r="D3861" s="20">
        <v>75</v>
      </c>
      <c r="E3861" s="20">
        <v>51</v>
      </c>
      <c r="F3861" s="20" t="s">
        <v>23765</v>
      </c>
      <c r="G3861" s="24"/>
      <c r="H3861" s="24"/>
      <c r="I3861" s="24" t="str">
        <f ca="1">IFERROR(__xludf.DUMMYFUNCTION("GOOGLETRANSLATE(F3861,""en"",""pt"")"),"cofres médicos")</f>
        <v>cofres médicos</v>
      </c>
      <c r="J3861">
        <f>VLOOKUP(A3861,Pr_Base_LNEC!$A$4:$J$6971,6,FALSE)</f>
        <v>0</v>
      </c>
      <c r="K3861">
        <f>VLOOKUP(A3861,Pr_Base_LNEC!$A$4:$J$6971,7,FALSE)</f>
        <v>0</v>
      </c>
    </row>
    <row r="3862" spans="1:11" ht="14.5">
      <c r="A3862" s="20" t="s">
        <v>23766</v>
      </c>
      <c r="B3862" s="20">
        <v>40</v>
      </c>
      <c r="C3862" s="20">
        <v>30</v>
      </c>
      <c r="D3862" s="20">
        <v>75</v>
      </c>
      <c r="E3862" s="20">
        <v>55</v>
      </c>
      <c r="F3862" s="20" t="s">
        <v>23767</v>
      </c>
      <c r="G3862" s="24"/>
      <c r="H3862" s="24"/>
      <c r="I3862" s="24" t="str">
        <f ca="1">IFERROR(__xludf.DUMMYFUNCTION("GOOGLETRANSLATE(F3862,""en"",""pt"")"),"armários de segurança multi-purpose")</f>
        <v>armários de segurança multi-purpose</v>
      </c>
      <c r="J3862">
        <f>VLOOKUP(A3862,Pr_Base_LNEC!$A$4:$J$6971,6,FALSE)</f>
        <v>0</v>
      </c>
      <c r="K3862">
        <f>VLOOKUP(A3862,Pr_Base_LNEC!$A$4:$J$6971,7,FALSE)</f>
        <v>0</v>
      </c>
    </row>
    <row r="3863" spans="1:11" ht="14.5">
      <c r="A3863" s="20" t="s">
        <v>23768</v>
      </c>
      <c r="B3863" s="20">
        <v>40</v>
      </c>
      <c r="C3863" s="20">
        <v>30</v>
      </c>
      <c r="D3863" s="20">
        <v>75</v>
      </c>
      <c r="E3863" s="20">
        <v>60</v>
      </c>
      <c r="F3863" s="20" t="s">
        <v>23769</v>
      </c>
      <c r="G3863" s="24"/>
      <c r="H3863" s="24"/>
      <c r="I3863" s="24" t="str">
        <f ca="1">IFERROR(__xludf.DUMMYFUNCTION("GOOGLETRANSLATE(F3863,""en"",""pt"")"),"cofres de encomendas")</f>
        <v>cofres de encomendas</v>
      </c>
      <c r="J3863">
        <f>VLOOKUP(A3863,Pr_Base_LNEC!$A$4:$J$6971,6,FALSE)</f>
        <v>0</v>
      </c>
      <c r="K3863">
        <f>VLOOKUP(A3863,Pr_Base_LNEC!$A$4:$J$6971,7,FALSE)</f>
        <v>0</v>
      </c>
    </row>
    <row r="3864" spans="1:11" ht="14.5">
      <c r="A3864" s="20" t="s">
        <v>23770</v>
      </c>
      <c r="B3864" s="20">
        <v>40</v>
      </c>
      <c r="C3864" s="20">
        <v>30</v>
      </c>
      <c r="D3864" s="20">
        <v>75</v>
      </c>
      <c r="E3864" s="20">
        <v>63</v>
      </c>
      <c r="F3864" s="20" t="s">
        <v>23771</v>
      </c>
      <c r="G3864" s="24"/>
      <c r="H3864" s="24"/>
      <c r="I3864" s="24" t="str">
        <f ca="1">IFERROR(__xludf.DUMMYFUNCTION("GOOGLETRANSLATE(F3864,""en"",""pt"")"),"cofres placa")</f>
        <v>cofres placa</v>
      </c>
      <c r="J3864">
        <f>VLOOKUP(A3864,Pr_Base_LNEC!$A$4:$J$6971,6,FALSE)</f>
        <v>0</v>
      </c>
      <c r="K3864">
        <f>VLOOKUP(A3864,Pr_Base_LNEC!$A$4:$J$6971,7,FALSE)</f>
        <v>0</v>
      </c>
    </row>
    <row r="3865" spans="1:11" ht="14.5">
      <c r="A3865" s="20" t="s">
        <v>23772</v>
      </c>
      <c r="B3865" s="20">
        <v>40</v>
      </c>
      <c r="C3865" s="20">
        <v>30</v>
      </c>
      <c r="D3865" s="20">
        <v>75</v>
      </c>
      <c r="E3865" s="20">
        <v>76</v>
      </c>
      <c r="F3865" s="20" t="s">
        <v>23773</v>
      </c>
      <c r="G3865" s="24"/>
      <c r="H3865" s="24"/>
      <c r="I3865" s="24" t="str">
        <f ca="1">IFERROR(__xludf.DUMMYFUNCTION("GOOGLETRANSLATE(F3865,""en"",""pt"")"),"salas de seguros")</f>
        <v>salas de seguros</v>
      </c>
      <c r="J3865">
        <f>VLOOKUP(A3865,Pr_Base_LNEC!$A$4:$J$6971,6,FALSE)</f>
        <v>0</v>
      </c>
      <c r="K3865">
        <f>VLOOKUP(A3865,Pr_Base_LNEC!$A$4:$J$6971,7,FALSE)</f>
        <v>0</v>
      </c>
    </row>
    <row r="3866" spans="1:11" ht="14.5">
      <c r="A3866" s="20" t="s">
        <v>23774</v>
      </c>
      <c r="B3866" s="20">
        <v>40</v>
      </c>
      <c r="C3866" s="20">
        <v>30</v>
      </c>
      <c r="D3866" s="20">
        <v>75</v>
      </c>
      <c r="E3866" s="20">
        <v>84</v>
      </c>
      <c r="F3866" s="20" t="s">
        <v>23775</v>
      </c>
      <c r="G3866" s="24"/>
      <c r="H3866" s="24"/>
      <c r="I3866" s="24" t="str">
        <f ca="1">IFERROR(__xludf.DUMMYFUNCTION("GOOGLETRANSLATE(F3866,""en"",""pt"")"),"armários de segurança aço")</f>
        <v>armários de segurança aço</v>
      </c>
      <c r="J3866">
        <f>VLOOKUP(A3866,Pr_Base_LNEC!$A$4:$J$6971,6,FALSE)</f>
        <v>0</v>
      </c>
      <c r="K3866">
        <f>VLOOKUP(A3866,Pr_Base_LNEC!$A$4:$J$6971,7,FALSE)</f>
        <v>0</v>
      </c>
    </row>
    <row r="3867" spans="1:11" ht="14.5">
      <c r="A3867" s="20" t="s">
        <v>23776</v>
      </c>
      <c r="B3867" s="20">
        <v>40</v>
      </c>
      <c r="C3867" s="20">
        <v>30</v>
      </c>
      <c r="D3867" s="20">
        <v>75</v>
      </c>
      <c r="E3867" s="20">
        <v>90</v>
      </c>
      <c r="F3867" s="20" t="s">
        <v>23777</v>
      </c>
      <c r="G3867" s="24"/>
      <c r="H3867" s="24"/>
      <c r="I3867" s="24" t="str">
        <f ca="1">IFERROR(__xludf.DUMMYFUNCTION("GOOGLETRANSLATE(F3867,""en"",""pt"")"),"abóbadas de ferramentas")</f>
        <v>abóbadas de ferramentas</v>
      </c>
      <c r="J3867">
        <f>VLOOKUP(A3867,Pr_Base_LNEC!$A$4:$J$6971,6,FALSE)</f>
        <v>0</v>
      </c>
      <c r="K3867">
        <f>VLOOKUP(A3867,Pr_Base_LNEC!$A$4:$J$6971,7,FALSE)</f>
        <v>0</v>
      </c>
    </row>
    <row r="3868" spans="1:11" ht="14.5">
      <c r="A3868" s="20" t="s">
        <v>23778</v>
      </c>
      <c r="B3868" s="20">
        <v>40</v>
      </c>
      <c r="C3868" s="20">
        <v>30</v>
      </c>
      <c r="D3868" s="20">
        <v>75</v>
      </c>
      <c r="E3868" s="20">
        <v>93</v>
      </c>
      <c r="F3868" s="20" t="s">
        <v>23779</v>
      </c>
      <c r="G3868" s="24"/>
      <c r="H3868" s="24"/>
      <c r="I3868" s="24" t="str">
        <f ca="1">IFERROR(__xludf.DUMMYFUNCTION("GOOGLETRANSLATE(F3868,""en"",""pt"")"),"cofres Pavimentos")</f>
        <v>cofres Pavimentos</v>
      </c>
      <c r="J3868">
        <f>VLOOKUP(A3868,Pr_Base_LNEC!$A$4:$J$6971,6,FALSE)</f>
        <v>0</v>
      </c>
      <c r="K3868">
        <f>VLOOKUP(A3868,Pr_Base_LNEC!$A$4:$J$6971,7,FALSE)</f>
        <v>0</v>
      </c>
    </row>
    <row r="3869" spans="1:11" ht="14.5">
      <c r="A3869" s="20" t="s">
        <v>23780</v>
      </c>
      <c r="B3869" s="20">
        <v>40</v>
      </c>
      <c r="C3869" s="20">
        <v>30</v>
      </c>
      <c r="D3869" s="20">
        <v>75</v>
      </c>
      <c r="E3869" s="20">
        <v>94</v>
      </c>
      <c r="F3869" s="20" t="s">
        <v>23781</v>
      </c>
      <c r="G3869" s="24"/>
      <c r="H3869" s="24"/>
      <c r="I3869" s="24" t="str">
        <f ca="1">IFERROR(__xludf.DUMMYFUNCTION("GOOGLETRANSLATE(F3869,""en"",""pt"")"),"portas do Vault")</f>
        <v>portas do Vault</v>
      </c>
      <c r="J3869">
        <f>VLOOKUP(A3869,Pr_Base_LNEC!$A$4:$J$6971,6,FALSE)</f>
        <v>0</v>
      </c>
      <c r="K3869">
        <f>VLOOKUP(A3869,Pr_Base_LNEC!$A$4:$J$6971,7,FALSE)</f>
        <v>0</v>
      </c>
    </row>
    <row r="3870" spans="1:11" ht="14.5">
      <c r="A3870" s="20" t="s">
        <v>23782</v>
      </c>
      <c r="B3870" s="20">
        <v>40</v>
      </c>
      <c r="C3870" s="20">
        <v>30</v>
      </c>
      <c r="D3870" s="20">
        <v>75</v>
      </c>
      <c r="E3870" s="20">
        <v>96</v>
      </c>
      <c r="F3870" s="20" t="s">
        <v>23783</v>
      </c>
      <c r="G3870" s="24"/>
      <c r="H3870" s="24"/>
      <c r="I3870" s="24" t="str">
        <f ca="1">IFERROR(__xludf.DUMMYFUNCTION("GOOGLETRANSLATE(F3870,""en"",""pt"")"),"cofres de parede")</f>
        <v>cofres de parede</v>
      </c>
      <c r="J3870">
        <f>VLOOKUP(A3870,Pr_Base_LNEC!$A$4:$J$6971,6,FALSE)</f>
        <v>0</v>
      </c>
      <c r="K3870">
        <f>VLOOKUP(A3870,Pr_Base_LNEC!$A$4:$J$6971,7,FALSE)</f>
        <v>0</v>
      </c>
    </row>
    <row r="3871" spans="1:11" ht="14.5">
      <c r="A3871" s="20" t="s">
        <v>23784</v>
      </c>
      <c r="B3871" s="20">
        <v>40</v>
      </c>
      <c r="C3871" s="20">
        <v>30</v>
      </c>
      <c r="D3871" s="20">
        <v>78</v>
      </c>
      <c r="E3871" s="24"/>
      <c r="F3871" s="20" t="s">
        <v>23785</v>
      </c>
      <c r="G3871" s="24"/>
      <c r="H3871" s="24"/>
      <c r="I3871" s="24" t="str">
        <f ca="1">IFERROR(__xludf.DUMMYFUNCTION("GOOGLETRANSLATE(F3871,""en"",""pt"")"),"Prateleiras e unidades de armazenamento")</f>
        <v>Prateleiras e unidades de armazenamento</v>
      </c>
      <c r="J3871">
        <f>VLOOKUP(A3871,Pr_Base_LNEC!$A$4:$J$6971,6,FALSE)</f>
        <v>0</v>
      </c>
      <c r="K3871">
        <f>VLOOKUP(A3871,Pr_Base_LNEC!$A$4:$J$6971,7,FALSE)</f>
        <v>0</v>
      </c>
    </row>
    <row r="3872" spans="1:11" ht="14.5">
      <c r="A3872" s="20" t="s">
        <v>23786</v>
      </c>
      <c r="B3872" s="20">
        <v>40</v>
      </c>
      <c r="C3872" s="20">
        <v>30</v>
      </c>
      <c r="D3872" s="20">
        <v>78</v>
      </c>
      <c r="E3872" s="20">
        <v>1</v>
      </c>
      <c r="F3872" s="20" t="s">
        <v>23787</v>
      </c>
      <c r="G3872" s="24"/>
      <c r="H3872" s="24"/>
      <c r="I3872" s="24" t="str">
        <f ca="1">IFERROR(__xludf.DUMMYFUNCTION("GOOGLETRANSLATE(F3872,""en"",""pt"")"),"armários de aeração")</f>
        <v>armários de aeração</v>
      </c>
      <c r="J3872">
        <f>VLOOKUP(A3872,Pr_Base_LNEC!$A$4:$J$6971,6,FALSE)</f>
        <v>0</v>
      </c>
      <c r="K3872">
        <f>VLOOKUP(A3872,Pr_Base_LNEC!$A$4:$J$6971,7,FALSE)</f>
        <v>0</v>
      </c>
    </row>
    <row r="3873" spans="1:11" ht="14.5">
      <c r="A3873" s="20" t="s">
        <v>23788</v>
      </c>
      <c r="B3873" s="20">
        <v>40</v>
      </c>
      <c r="C3873" s="20">
        <v>30</v>
      </c>
      <c r="D3873" s="20">
        <v>78</v>
      </c>
      <c r="E3873" s="20">
        <v>2</v>
      </c>
      <c r="F3873" s="20" t="s">
        <v>23789</v>
      </c>
      <c r="G3873" s="24"/>
      <c r="H3873" s="24"/>
      <c r="I3873" s="24" t="str">
        <f ca="1">IFERROR(__xludf.DUMMYFUNCTION("GOOGLETRANSLATE(F3873,""en"",""pt"")"),"prateleiras Arquivo")</f>
        <v>prateleiras Arquivo</v>
      </c>
      <c r="J3873">
        <f>VLOOKUP(A3873,Pr_Base_LNEC!$A$4:$J$6971,6,FALSE)</f>
        <v>0</v>
      </c>
      <c r="K3873">
        <f>VLOOKUP(A3873,Pr_Base_LNEC!$A$4:$J$6971,7,FALSE)</f>
        <v>0</v>
      </c>
    </row>
    <row r="3874" spans="1:11" ht="14.5">
      <c r="A3874" s="20" t="s">
        <v>23790</v>
      </c>
      <c r="B3874" s="20">
        <v>40</v>
      </c>
      <c r="C3874" s="20">
        <v>30</v>
      </c>
      <c r="D3874" s="20">
        <v>78</v>
      </c>
      <c r="E3874" s="20">
        <v>3</v>
      </c>
      <c r="F3874" s="20" t="s">
        <v>23791</v>
      </c>
      <c r="G3874" s="20" t="s">
        <v>23792</v>
      </c>
      <c r="H3874" s="24"/>
      <c r="I3874" s="24" t="str">
        <f ca="1">IFERROR(__xludf.DUMMYFUNCTION("GOOGLETRANSLATE(F3874,""en"",""pt"")"),"armários de banheiro")</f>
        <v>armários de banheiro</v>
      </c>
      <c r="J3874">
        <f>VLOOKUP(A3874,Pr_Base_LNEC!$A$4:$J$6971,6,FALSE)</f>
        <v>0</v>
      </c>
      <c r="K3874">
        <f>VLOOKUP(A3874,Pr_Base_LNEC!$A$4:$J$6971,7,FALSE)</f>
        <v>0</v>
      </c>
    </row>
    <row r="3875" spans="1:11" ht="14.5">
      <c r="A3875" s="20" t="s">
        <v>23793</v>
      </c>
      <c r="B3875" s="20">
        <v>40</v>
      </c>
      <c r="C3875" s="20">
        <v>30</v>
      </c>
      <c r="D3875" s="20">
        <v>78</v>
      </c>
      <c r="E3875" s="20">
        <v>5</v>
      </c>
      <c r="F3875" s="20" t="s">
        <v>23794</v>
      </c>
      <c r="G3875" s="20" t="s">
        <v>23795</v>
      </c>
      <c r="H3875" s="24"/>
      <c r="I3875" s="24" t="str">
        <f ca="1">IFERROR(__xludf.DUMMYFUNCTION("GOOGLETRANSLATE(F3875,""en"",""pt"")"),"mobília do banheiro")</f>
        <v>mobília do banheiro</v>
      </c>
      <c r="J3875">
        <f>VLOOKUP(A3875,Pr_Base_LNEC!$A$4:$J$6971,6,FALSE)</f>
        <v>0</v>
      </c>
      <c r="K3875">
        <f>VLOOKUP(A3875,Pr_Base_LNEC!$A$4:$J$6971,7,FALSE)</f>
        <v>0</v>
      </c>
    </row>
    <row r="3876" spans="1:11" ht="14.5">
      <c r="A3876" s="20" t="s">
        <v>23796</v>
      </c>
      <c r="B3876" s="20">
        <v>40</v>
      </c>
      <c r="C3876" s="20">
        <v>30</v>
      </c>
      <c r="D3876" s="20">
        <v>78</v>
      </c>
      <c r="E3876" s="20">
        <v>6</v>
      </c>
      <c r="F3876" s="20" t="s">
        <v>23797</v>
      </c>
      <c r="G3876" s="20" t="s">
        <v>23798</v>
      </c>
      <c r="H3876" s="24"/>
      <c r="I3876" s="24" t="str">
        <f ca="1">IFERROR(__xludf.DUMMYFUNCTION("GOOGLETRANSLATE(F3876,""en"",""pt"")"),"prateleiras do banheiro")</f>
        <v>prateleiras do banheiro</v>
      </c>
      <c r="J3876">
        <f>VLOOKUP(A3876,Pr_Base_LNEC!$A$4:$J$6971,6,FALSE)</f>
        <v>0</v>
      </c>
      <c r="K3876">
        <f>VLOOKUP(A3876,Pr_Base_LNEC!$A$4:$J$6971,7,FALSE)</f>
        <v>0</v>
      </c>
    </row>
    <row r="3877" spans="1:11" ht="14.5">
      <c r="A3877" s="20" t="s">
        <v>23799</v>
      </c>
      <c r="B3877" s="20">
        <v>40</v>
      </c>
      <c r="C3877" s="20">
        <v>30</v>
      </c>
      <c r="D3877" s="20">
        <v>78</v>
      </c>
      <c r="E3877" s="20">
        <v>7</v>
      </c>
      <c r="F3877" s="20" t="s">
        <v>23800</v>
      </c>
      <c r="G3877" s="24"/>
      <c r="H3877" s="24"/>
      <c r="I3877" s="24" t="str">
        <f ca="1">IFERROR(__xludf.DUMMYFUNCTION("GOOGLETRANSLATE(F3877,""en"",""pt"")"),"unidades de cabeceira")</f>
        <v>unidades de cabeceira</v>
      </c>
      <c r="J3877">
        <f>VLOOKUP(A3877,Pr_Base_LNEC!$A$4:$J$6971,6,FALSE)</f>
        <v>0</v>
      </c>
      <c r="K3877">
        <f>VLOOKUP(A3877,Pr_Base_LNEC!$A$4:$J$6971,7,FALSE)</f>
        <v>0</v>
      </c>
    </row>
    <row r="3878" spans="1:11" ht="14.5">
      <c r="A3878" s="20" t="s">
        <v>23801</v>
      </c>
      <c r="B3878" s="20">
        <v>40</v>
      </c>
      <c r="C3878" s="20">
        <v>30</v>
      </c>
      <c r="D3878" s="20">
        <v>78</v>
      </c>
      <c r="E3878" s="20">
        <v>8</v>
      </c>
      <c r="F3878" s="20" t="s">
        <v>23802</v>
      </c>
      <c r="G3878" s="24"/>
      <c r="H3878" s="24"/>
      <c r="I3878" s="24" t="str">
        <f ca="1">IFERROR(__xludf.DUMMYFUNCTION("GOOGLETRANSLATE(F3878,""en"",""pt"")"),"racks de garrafa")</f>
        <v>racks de garrafa</v>
      </c>
      <c r="J3878">
        <f>VLOOKUP(A3878,Pr_Base_LNEC!$A$4:$J$6971,6,FALSE)</f>
        <v>0</v>
      </c>
      <c r="K3878">
        <f>VLOOKUP(A3878,Pr_Base_LNEC!$A$4:$J$6971,7,FALSE)</f>
        <v>0</v>
      </c>
    </row>
    <row r="3879" spans="1:11" ht="14.5">
      <c r="A3879" s="20" t="s">
        <v>23803</v>
      </c>
      <c r="B3879" s="20">
        <v>40</v>
      </c>
      <c r="C3879" s="20">
        <v>30</v>
      </c>
      <c r="D3879" s="20">
        <v>78</v>
      </c>
      <c r="E3879" s="20">
        <v>9</v>
      </c>
      <c r="F3879" s="20" t="s">
        <v>23804</v>
      </c>
      <c r="G3879" s="24"/>
      <c r="H3879" s="24"/>
      <c r="I3879" s="24" t="str">
        <f ca="1">IFERROR(__xludf.DUMMYFUNCTION("GOOGLETRANSLATE(F3879,""en"",""pt"")"),"Bowl e titulares de balde")</f>
        <v>Bowl e titulares de balde</v>
      </c>
      <c r="J3879">
        <f>VLOOKUP(A3879,Pr_Base_LNEC!$A$4:$J$6971,6,FALSE)</f>
        <v>0</v>
      </c>
      <c r="K3879">
        <f>VLOOKUP(A3879,Pr_Base_LNEC!$A$4:$J$6971,7,FALSE)</f>
        <v>0</v>
      </c>
    </row>
    <row r="3880" spans="1:11" ht="14.5">
      <c r="A3880" s="20" t="s">
        <v>23805</v>
      </c>
      <c r="B3880" s="20">
        <v>40</v>
      </c>
      <c r="C3880" s="20">
        <v>30</v>
      </c>
      <c r="D3880" s="20">
        <v>78</v>
      </c>
      <c r="E3880" s="20">
        <v>11</v>
      </c>
      <c r="F3880" s="20" t="s">
        <v>23806</v>
      </c>
      <c r="G3880" s="24"/>
      <c r="H3880" s="24"/>
      <c r="I3880" s="24" t="str">
        <f ca="1">IFERROR(__xludf.DUMMYFUNCTION("GOOGLETRANSLATE(F3880,""en"",""pt"")"),"baús")</f>
        <v>baús</v>
      </c>
      <c r="J3880">
        <f>VLOOKUP(A3880,Pr_Base_LNEC!$A$4:$J$6971,6,FALSE)</f>
        <v>0</v>
      </c>
      <c r="K3880">
        <f>VLOOKUP(A3880,Pr_Base_LNEC!$A$4:$J$6971,7,FALSE)</f>
        <v>0</v>
      </c>
    </row>
    <row r="3881" spans="1:11" ht="14.5">
      <c r="A3881" s="20" t="s">
        <v>23807</v>
      </c>
      <c r="B3881" s="20">
        <v>40</v>
      </c>
      <c r="C3881" s="20">
        <v>30</v>
      </c>
      <c r="D3881" s="20">
        <v>78</v>
      </c>
      <c r="E3881" s="20">
        <v>12</v>
      </c>
      <c r="F3881" s="20" t="s">
        <v>23808</v>
      </c>
      <c r="G3881" s="20" t="s">
        <v>23809</v>
      </c>
      <c r="H3881" s="24"/>
      <c r="I3881" s="24" t="str">
        <f ca="1">IFERROR(__xludf.DUMMYFUNCTION("GOOGLETRANSLATE(F3881,""en"",""pt"")"),"unidades de armazenamento de sala de aula")</f>
        <v>unidades de armazenamento de sala de aula</v>
      </c>
      <c r="J3881">
        <f>VLOOKUP(A3881,Pr_Base_LNEC!$A$4:$J$6971,6,FALSE)</f>
        <v>0</v>
      </c>
      <c r="K3881">
        <f>VLOOKUP(A3881,Pr_Base_LNEC!$A$4:$J$6971,7,FALSE)</f>
        <v>0</v>
      </c>
    </row>
    <row r="3882" spans="1:11" ht="14.5">
      <c r="A3882" s="20" t="s">
        <v>23810</v>
      </c>
      <c r="B3882" s="20">
        <v>40</v>
      </c>
      <c r="C3882" s="20">
        <v>30</v>
      </c>
      <c r="D3882" s="20">
        <v>78</v>
      </c>
      <c r="E3882" s="20">
        <v>13</v>
      </c>
      <c r="F3882" s="20" t="s">
        <v>23811</v>
      </c>
      <c r="G3882" s="20" t="s">
        <v>23812</v>
      </c>
      <c r="H3882" s="24"/>
      <c r="I3882" s="24" t="str">
        <f ca="1">IFERROR(__xludf.DUMMYFUNCTION("GOOGLETRANSLATE(F3882,""en"",""pt"")"),"unidades de vestiário")</f>
        <v>unidades de vestiário</v>
      </c>
      <c r="J3882">
        <f>VLOOKUP(A3882,Pr_Base_LNEC!$A$4:$J$6971,6,FALSE)</f>
        <v>0</v>
      </c>
      <c r="K3882">
        <f>VLOOKUP(A3882,Pr_Base_LNEC!$A$4:$J$6971,7,FALSE)</f>
        <v>0</v>
      </c>
    </row>
    <row r="3883" spans="1:11" ht="14.5">
      <c r="A3883" s="20" t="s">
        <v>23813</v>
      </c>
      <c r="B3883" s="20">
        <v>40</v>
      </c>
      <c r="C3883" s="20">
        <v>30</v>
      </c>
      <c r="D3883" s="20">
        <v>78</v>
      </c>
      <c r="E3883" s="20">
        <v>14</v>
      </c>
      <c r="F3883" s="20" t="s">
        <v>23814</v>
      </c>
      <c r="G3883" s="24"/>
      <c r="H3883" s="24"/>
      <c r="I3883" s="24" t="str">
        <f ca="1">IFERROR(__xludf.DUMMYFUNCTION("GOOGLETRANSLATE(F3883,""en"",""pt"")"),"cabines de secagem de roupa")</f>
        <v>cabines de secagem de roupa</v>
      </c>
      <c r="J3883">
        <f>VLOOKUP(A3883,Pr_Base_LNEC!$A$4:$J$6971,6,FALSE)</f>
        <v>0</v>
      </c>
      <c r="K3883">
        <f>VLOOKUP(A3883,Pr_Base_LNEC!$A$4:$J$6971,7,FALSE)</f>
        <v>0</v>
      </c>
    </row>
    <row r="3884" spans="1:11" ht="14.5">
      <c r="A3884" s="20" t="s">
        <v>23815</v>
      </c>
      <c r="B3884" s="20">
        <v>40</v>
      </c>
      <c r="C3884" s="20">
        <v>30</v>
      </c>
      <c r="D3884" s="20">
        <v>78</v>
      </c>
      <c r="E3884" s="20">
        <v>15</v>
      </c>
      <c r="F3884" s="20" t="s">
        <v>23816</v>
      </c>
      <c r="G3884" s="20" t="s">
        <v>23817</v>
      </c>
      <c r="H3884" s="24"/>
      <c r="I3884" s="24" t="str">
        <f ca="1">IFERROR(__xludf.DUMMYFUNCTION("GOOGLETRANSLATE(F3884,""en"",""pt"")"),"ganchos de roupa")</f>
        <v>ganchos de roupa</v>
      </c>
      <c r="J3884">
        <f>VLOOKUP(A3884,Pr_Base_LNEC!$A$4:$J$6971,6,FALSE)</f>
        <v>0</v>
      </c>
      <c r="K3884">
        <f>VLOOKUP(A3884,Pr_Base_LNEC!$A$4:$J$6971,7,FALSE)</f>
        <v>0</v>
      </c>
    </row>
    <row r="3885" spans="1:11" ht="14.5">
      <c r="A3885" s="20" t="s">
        <v>23818</v>
      </c>
      <c r="B3885" s="20">
        <v>40</v>
      </c>
      <c r="C3885" s="20">
        <v>30</v>
      </c>
      <c r="D3885" s="20">
        <v>78</v>
      </c>
      <c r="E3885" s="20">
        <v>16</v>
      </c>
      <c r="F3885" s="20" t="s">
        <v>23819</v>
      </c>
      <c r="G3885" s="20" t="s">
        <v>23820</v>
      </c>
      <c r="H3885" s="24"/>
      <c r="I3885" s="24" t="str">
        <f ca="1">IFERROR(__xludf.DUMMYFUNCTION("GOOGLETRANSLATE(F3885,""en"",""pt"")"),"cabides")</f>
        <v>cabides</v>
      </c>
      <c r="J3885">
        <f>VLOOKUP(A3885,Pr_Base_LNEC!$A$4:$J$6971,6,FALSE)</f>
        <v>0</v>
      </c>
      <c r="K3885">
        <f>VLOOKUP(A3885,Pr_Base_LNEC!$A$4:$J$6971,7,FALSE)</f>
        <v>0</v>
      </c>
    </row>
    <row r="3886" spans="1:11" ht="14.5">
      <c r="A3886" s="20" t="s">
        <v>23821</v>
      </c>
      <c r="B3886" s="20">
        <v>40</v>
      </c>
      <c r="C3886" s="20">
        <v>30</v>
      </c>
      <c r="D3886" s="20">
        <v>78</v>
      </c>
      <c r="E3886" s="20">
        <v>17</v>
      </c>
      <c r="F3886" s="20" t="s">
        <v>23822</v>
      </c>
      <c r="G3886" s="20" t="s">
        <v>23823</v>
      </c>
      <c r="H3886" s="24"/>
      <c r="I3886" s="24" t="str">
        <f ca="1">IFERROR(__xludf.DUMMYFUNCTION("GOOGLETRANSLATE(F3886,""en"",""pt"")"),"Cabides")</f>
        <v>Cabides</v>
      </c>
      <c r="J3886">
        <f>VLOOKUP(A3886,Pr_Base_LNEC!$A$4:$J$6971,6,FALSE)</f>
        <v>0</v>
      </c>
      <c r="K3886">
        <f>VLOOKUP(A3886,Pr_Base_LNEC!$A$4:$J$6971,7,FALSE)</f>
        <v>0</v>
      </c>
    </row>
    <row r="3887" spans="1:11" ht="14.5">
      <c r="A3887" s="20" t="s">
        <v>23824</v>
      </c>
      <c r="B3887" s="20">
        <v>40</v>
      </c>
      <c r="C3887" s="20">
        <v>30</v>
      </c>
      <c r="D3887" s="20">
        <v>78</v>
      </c>
      <c r="E3887" s="20">
        <v>18</v>
      </c>
      <c r="F3887" s="20" t="s">
        <v>23825</v>
      </c>
      <c r="G3887" s="24"/>
      <c r="H3887" s="24"/>
      <c r="I3887" s="24" t="str">
        <f ca="1">IFERROR(__xludf.DUMMYFUNCTION("GOOGLETRANSLATE(F3887,""en"",""pt"")"),"prateleiras quarto universitários")</f>
        <v>prateleiras quarto universitários</v>
      </c>
      <c r="J3887">
        <f>VLOOKUP(A3887,Pr_Base_LNEC!$A$4:$J$6971,6,FALSE)</f>
        <v>0</v>
      </c>
      <c r="K3887">
        <f>VLOOKUP(A3887,Pr_Base_LNEC!$A$4:$J$6971,7,FALSE)</f>
        <v>0</v>
      </c>
    </row>
    <row r="3888" spans="1:11" ht="14.5">
      <c r="A3888" s="20" t="s">
        <v>23826</v>
      </c>
      <c r="B3888" s="20">
        <v>40</v>
      </c>
      <c r="C3888" s="20">
        <v>30</v>
      </c>
      <c r="D3888" s="20">
        <v>78</v>
      </c>
      <c r="E3888" s="20">
        <v>19</v>
      </c>
      <c r="F3888" s="20" t="s">
        <v>23827</v>
      </c>
      <c r="G3888" s="20" t="s">
        <v>23828</v>
      </c>
      <c r="H3888" s="24"/>
      <c r="I3888" s="24" t="str">
        <f ca="1">IFERROR(__xludf.DUMMYFUNCTION("GOOGLETRANSLATE(F3888,""en"",""pt"")"),"prateleiras de cozinha comercial e estantes")</f>
        <v>prateleiras de cozinha comercial e estantes</v>
      </c>
      <c r="J3888">
        <f>VLOOKUP(A3888,Pr_Base_LNEC!$A$4:$J$6971,6,FALSE)</f>
        <v>0</v>
      </c>
      <c r="K3888">
        <f>VLOOKUP(A3888,Pr_Base_LNEC!$A$4:$J$6971,7,FALSE)</f>
        <v>0</v>
      </c>
    </row>
    <row r="3889" spans="1:11" ht="14.5">
      <c r="A3889" s="20" t="s">
        <v>23829</v>
      </c>
      <c r="B3889" s="20">
        <v>40</v>
      </c>
      <c r="C3889" s="20">
        <v>30</v>
      </c>
      <c r="D3889" s="20">
        <v>78</v>
      </c>
      <c r="E3889" s="20">
        <v>20</v>
      </c>
      <c r="F3889" s="20" t="s">
        <v>23830</v>
      </c>
      <c r="G3889" s="24"/>
      <c r="H3889" s="24"/>
      <c r="I3889" s="24" t="str">
        <f ca="1">IFERROR(__xludf.DUMMYFUNCTION("GOOGLETRANSLATE(F3889,""en"",""pt"")"),"Revisores")</f>
        <v>Revisores</v>
      </c>
      <c r="J3889">
        <f>VLOOKUP(A3889,Pr_Base_LNEC!$A$4:$J$6971,6,FALSE)</f>
        <v>0</v>
      </c>
      <c r="K3889">
        <f>VLOOKUP(A3889,Pr_Base_LNEC!$A$4:$J$6971,7,FALSE)</f>
        <v>0</v>
      </c>
    </row>
    <row r="3890" spans="1:11" ht="14.5">
      <c r="A3890" s="20" t="s">
        <v>23831</v>
      </c>
      <c r="B3890" s="20">
        <v>40</v>
      </c>
      <c r="C3890" s="20">
        <v>30</v>
      </c>
      <c r="D3890" s="20">
        <v>78</v>
      </c>
      <c r="E3890" s="20">
        <v>21</v>
      </c>
      <c r="F3890" s="20" t="s">
        <v>23832</v>
      </c>
      <c r="G3890" s="24"/>
      <c r="H3890" s="24"/>
      <c r="I3890" s="24" t="str">
        <f ca="1">IFERROR(__xludf.DUMMYFUNCTION("GOOGLETRANSLATE(F3890,""en"",""pt"")"),"suportes de rolo de sofá")</f>
        <v>suportes de rolo de sofá</v>
      </c>
      <c r="J3890">
        <f>VLOOKUP(A3890,Pr_Base_LNEC!$A$4:$J$6971,6,FALSE)</f>
        <v>0</v>
      </c>
      <c r="K3890">
        <f>VLOOKUP(A3890,Pr_Base_LNEC!$A$4:$J$6971,7,FALSE)</f>
        <v>0</v>
      </c>
    </row>
    <row r="3891" spans="1:11" ht="14.5">
      <c r="A3891" s="20" t="s">
        <v>23833</v>
      </c>
      <c r="B3891" s="20">
        <v>40</v>
      </c>
      <c r="C3891" s="20">
        <v>30</v>
      </c>
      <c r="D3891" s="20">
        <v>78</v>
      </c>
      <c r="E3891" s="20">
        <v>22</v>
      </c>
      <c r="F3891" s="20" t="s">
        <v>23834</v>
      </c>
      <c r="G3891" s="24"/>
      <c r="H3891" s="24"/>
      <c r="I3891" s="24" t="str">
        <f ca="1">IFERROR(__xludf.DUMMYFUNCTION("GOOGLETRANSLATE(F3891,""en"",""pt"")"),"credenzas")</f>
        <v>credenzas</v>
      </c>
      <c r="J3891">
        <f>VLOOKUP(A3891,Pr_Base_LNEC!$A$4:$J$6971,6,FALSE)</f>
        <v>0</v>
      </c>
      <c r="K3891">
        <f>VLOOKUP(A3891,Pr_Base_LNEC!$A$4:$J$6971,7,FALSE)</f>
        <v>0</v>
      </c>
    </row>
    <row r="3892" spans="1:11" ht="14.5">
      <c r="A3892" s="20" t="s">
        <v>23835</v>
      </c>
      <c r="B3892" s="20">
        <v>40</v>
      </c>
      <c r="C3892" s="20">
        <v>30</v>
      </c>
      <c r="D3892" s="20">
        <v>78</v>
      </c>
      <c r="E3892" s="20">
        <v>23</v>
      </c>
      <c r="F3892" s="20" t="s">
        <v>23836</v>
      </c>
      <c r="G3892" s="24"/>
      <c r="H3892" s="24"/>
      <c r="I3892" s="24" t="str">
        <f ca="1">IFERROR(__xludf.DUMMYFUNCTION("GOOGLETRANSLATE(F3892,""en"",""pt"")"),"arruma Secretária")</f>
        <v>arruma Secretária</v>
      </c>
      <c r="J3892">
        <f>VLOOKUP(A3892,Pr_Base_LNEC!$A$4:$J$6971,6,FALSE)</f>
        <v>0</v>
      </c>
      <c r="K3892">
        <f>VLOOKUP(A3892,Pr_Base_LNEC!$A$4:$J$6971,7,FALSE)</f>
        <v>0</v>
      </c>
    </row>
    <row r="3893" spans="1:11" ht="14.5">
      <c r="A3893" s="20" t="s">
        <v>23837</v>
      </c>
      <c r="B3893" s="20">
        <v>40</v>
      </c>
      <c r="C3893" s="20">
        <v>30</v>
      </c>
      <c r="D3893" s="20">
        <v>78</v>
      </c>
      <c r="E3893" s="20">
        <v>24</v>
      </c>
      <c r="F3893" s="20" t="s">
        <v>23838</v>
      </c>
      <c r="G3893" s="24"/>
      <c r="H3893" s="24"/>
      <c r="I3893" s="24" t="str">
        <f ca="1">IFERROR(__xludf.DUMMYFUNCTION("GOOGLETRANSLATE(F3893,""en"",""pt"")"),"vitrines")</f>
        <v>vitrines</v>
      </c>
      <c r="J3893">
        <f>VLOOKUP(A3893,Pr_Base_LNEC!$A$4:$J$6971,6,FALSE)</f>
        <v>0</v>
      </c>
      <c r="K3893">
        <f>VLOOKUP(A3893,Pr_Base_LNEC!$A$4:$J$6971,7,FALSE)</f>
        <v>0</v>
      </c>
    </row>
    <row r="3894" spans="1:11" ht="14.5">
      <c r="A3894" s="20" t="s">
        <v>23839</v>
      </c>
      <c r="B3894" s="20">
        <v>40</v>
      </c>
      <c r="C3894" s="20">
        <v>30</v>
      </c>
      <c r="D3894" s="20">
        <v>78</v>
      </c>
      <c r="E3894" s="20">
        <v>25</v>
      </c>
      <c r="F3894" s="20" t="s">
        <v>23840</v>
      </c>
      <c r="G3894" s="24"/>
      <c r="H3894" s="24"/>
      <c r="I3894" s="24" t="str">
        <f ca="1">IFERROR(__xludf.DUMMYFUNCTION("GOOGLETRANSLATE(F3894,""en"",""pt"")"),"gavetas")</f>
        <v>gavetas</v>
      </c>
      <c r="J3894">
        <f>VLOOKUP(A3894,Pr_Base_LNEC!$A$4:$J$6971,6,FALSE)</f>
        <v>0</v>
      </c>
      <c r="K3894">
        <f>VLOOKUP(A3894,Pr_Base_LNEC!$A$4:$J$6971,7,FALSE)</f>
        <v>0</v>
      </c>
    </row>
    <row r="3895" spans="1:11" ht="14.5">
      <c r="A3895" s="20" t="s">
        <v>23841</v>
      </c>
      <c r="B3895" s="20">
        <v>40</v>
      </c>
      <c r="C3895" s="20">
        <v>30</v>
      </c>
      <c r="D3895" s="20">
        <v>78</v>
      </c>
      <c r="E3895" s="20">
        <v>26</v>
      </c>
      <c r="F3895" s="20" t="s">
        <v>23842</v>
      </c>
      <c r="G3895" s="24"/>
      <c r="H3895" s="24"/>
      <c r="I3895" s="24" t="str">
        <f ca="1">IFERROR(__xludf.DUMMYFUNCTION("GOOGLETRANSLATE(F3895,""en"",""pt"")"),"aparadores")</f>
        <v>aparadores</v>
      </c>
      <c r="J3895">
        <f>VLOOKUP(A3895,Pr_Base_LNEC!$A$4:$J$6971,6,FALSE)</f>
        <v>0</v>
      </c>
      <c r="K3895">
        <f>VLOOKUP(A3895,Pr_Base_LNEC!$A$4:$J$6971,7,FALSE)</f>
        <v>0</v>
      </c>
    </row>
    <row r="3896" spans="1:11" ht="14.5">
      <c r="A3896" s="20" t="s">
        <v>23843</v>
      </c>
      <c r="B3896" s="20">
        <v>40</v>
      </c>
      <c r="C3896" s="20">
        <v>30</v>
      </c>
      <c r="D3896" s="20">
        <v>78</v>
      </c>
      <c r="E3896" s="20">
        <v>27</v>
      </c>
      <c r="F3896" s="20" t="s">
        <v>23844</v>
      </c>
      <c r="G3896" s="24"/>
      <c r="H3896" s="24"/>
      <c r="I3896" s="24" t="str">
        <f ca="1">IFERROR(__xludf.DUMMYFUNCTION("GOOGLETRANSLATE(F3896,""en"",""pt"")"),"racks de armazenamento equipamentos")</f>
        <v>racks de armazenamento equipamentos</v>
      </c>
      <c r="J3896">
        <f>VLOOKUP(A3896,Pr_Base_LNEC!$A$4:$J$6971,6,FALSE)</f>
        <v>0</v>
      </c>
      <c r="K3896">
        <f>VLOOKUP(A3896,Pr_Base_LNEC!$A$4:$J$6971,7,FALSE)</f>
        <v>0</v>
      </c>
    </row>
    <row r="3897" spans="1:11" ht="14.5">
      <c r="A3897" s="20" t="s">
        <v>23845</v>
      </c>
      <c r="B3897" s="20">
        <v>40</v>
      </c>
      <c r="C3897" s="20">
        <v>30</v>
      </c>
      <c r="D3897" s="20">
        <v>78</v>
      </c>
      <c r="E3897" s="20">
        <v>28</v>
      </c>
      <c r="F3897" s="20" t="s">
        <v>23846</v>
      </c>
      <c r="G3897" s="24"/>
      <c r="H3897" s="24"/>
      <c r="I3897" s="24" t="str">
        <f ca="1">IFERROR(__xludf.DUMMYFUNCTION("GOOGLETRANSLATE(F3897,""en"",""pt"")"),"unidades de armazenamento externos")</f>
        <v>unidades de armazenamento externos</v>
      </c>
      <c r="J3897">
        <f>VLOOKUP(A3897,Pr_Base_LNEC!$A$4:$J$6971,6,FALSE)</f>
        <v>0</v>
      </c>
      <c r="K3897">
        <f>VLOOKUP(A3897,Pr_Base_LNEC!$A$4:$J$6971,7,FALSE)</f>
        <v>0</v>
      </c>
    </row>
    <row r="3898" spans="1:11" ht="14.5">
      <c r="A3898" s="20" t="s">
        <v>23847</v>
      </c>
      <c r="B3898" s="20">
        <v>40</v>
      </c>
      <c r="C3898" s="20">
        <v>30</v>
      </c>
      <c r="D3898" s="20">
        <v>78</v>
      </c>
      <c r="E3898" s="20">
        <v>29</v>
      </c>
      <c r="F3898" s="20" t="s">
        <v>23848</v>
      </c>
      <c r="G3898" s="24"/>
      <c r="H3898" s="24"/>
      <c r="I3898" s="24" t="str">
        <f ca="1">IFERROR(__xludf.DUMMYFUNCTION("GOOGLETRANSLATE(F3898,""en"",""pt"")"),"Armários")</f>
        <v>Armários</v>
      </c>
      <c r="J3898">
        <f>VLOOKUP(A3898,Pr_Base_LNEC!$A$4:$J$6971,6,FALSE)</f>
        <v>0</v>
      </c>
      <c r="K3898">
        <f>VLOOKUP(A3898,Pr_Base_LNEC!$A$4:$J$6971,7,FALSE)</f>
        <v>0</v>
      </c>
    </row>
    <row r="3899" spans="1:11" ht="14.5">
      <c r="A3899" s="20" t="s">
        <v>23849</v>
      </c>
      <c r="B3899" s="20">
        <v>40</v>
      </c>
      <c r="C3899" s="20">
        <v>30</v>
      </c>
      <c r="D3899" s="20">
        <v>78</v>
      </c>
      <c r="E3899" s="20">
        <v>30</v>
      </c>
      <c r="F3899" s="20" t="s">
        <v>23850</v>
      </c>
      <c r="G3899" s="24"/>
      <c r="H3899" s="24"/>
      <c r="I3899" s="24" t="str">
        <f ca="1">IFERROR(__xludf.DUMMYFUNCTION("GOOGLETRANSLATE(F3899,""en"",""pt"")"),"Folding armários de armazenamento de tabelas")</f>
        <v>Folding armários de armazenamento de tabelas</v>
      </c>
      <c r="J3899">
        <f>VLOOKUP(A3899,Pr_Base_LNEC!$A$4:$J$6971,6,FALSE)</f>
        <v>0</v>
      </c>
      <c r="K3899">
        <f>VLOOKUP(A3899,Pr_Base_LNEC!$A$4:$J$6971,7,FALSE)</f>
        <v>0</v>
      </c>
    </row>
    <row r="3900" spans="1:11" ht="14.5">
      <c r="A3900" s="20" t="s">
        <v>23851</v>
      </c>
      <c r="B3900" s="20">
        <v>40</v>
      </c>
      <c r="C3900" s="20">
        <v>30</v>
      </c>
      <c r="D3900" s="20">
        <v>78</v>
      </c>
      <c r="E3900" s="20">
        <v>33</v>
      </c>
      <c r="F3900" s="20" t="s">
        <v>23852</v>
      </c>
      <c r="G3900" s="24"/>
      <c r="H3900" s="24"/>
      <c r="I3900" s="24" t="str">
        <f ca="1">IFERROR(__xludf.DUMMYFUNCTION("GOOGLETRANSLATE(F3900,""en"",""pt"")"),"estantes envidraçadas")</f>
        <v>estantes envidraçadas</v>
      </c>
      <c r="J3900">
        <f>VLOOKUP(A3900,Pr_Base_LNEC!$A$4:$J$6971,6,FALSE)</f>
        <v>0</v>
      </c>
      <c r="K3900">
        <f>VLOOKUP(A3900,Pr_Base_LNEC!$A$4:$J$6971,7,FALSE)</f>
        <v>0</v>
      </c>
    </row>
    <row r="3901" spans="1:11" ht="14.5">
      <c r="A3901" s="20" t="s">
        <v>23853</v>
      </c>
      <c r="B3901" s="20">
        <v>40</v>
      </c>
      <c r="C3901" s="20">
        <v>30</v>
      </c>
      <c r="D3901" s="20">
        <v>78</v>
      </c>
      <c r="E3901" s="20">
        <v>40</v>
      </c>
      <c r="F3901" s="20" t="s">
        <v>23854</v>
      </c>
      <c r="G3901" s="24"/>
      <c r="H3901" s="24"/>
      <c r="I3901" s="24" t="str">
        <f ca="1">IFERROR(__xludf.DUMMYFUNCTION("GOOGLETRANSLATE(F3901,""en"",""pt"")"),"unidades de armazenamento Index")</f>
        <v>unidades de armazenamento Index</v>
      </c>
      <c r="J3901">
        <f>VLOOKUP(A3901,Pr_Base_LNEC!$A$4:$J$6971,6,FALSE)</f>
        <v>0</v>
      </c>
      <c r="K3901">
        <f>VLOOKUP(A3901,Pr_Base_LNEC!$A$4:$J$6971,7,FALSE)</f>
        <v>0</v>
      </c>
    </row>
    <row r="3902" spans="1:11" ht="14.5">
      <c r="A3902" s="20" t="s">
        <v>23855</v>
      </c>
      <c r="B3902" s="20">
        <v>40</v>
      </c>
      <c r="C3902" s="20">
        <v>30</v>
      </c>
      <c r="D3902" s="20">
        <v>78</v>
      </c>
      <c r="E3902" s="20">
        <v>41</v>
      </c>
      <c r="F3902" s="20" t="s">
        <v>23856</v>
      </c>
      <c r="G3902" s="24"/>
      <c r="H3902" s="24"/>
      <c r="I3902" s="24" t="str">
        <f ca="1">IFERROR(__xludf.DUMMYFUNCTION("GOOGLETRANSLATE(F3902,""en"",""pt"")"),"In-the-round vitrines")</f>
        <v>In-the-round vitrines</v>
      </c>
      <c r="J3902">
        <f>VLOOKUP(A3902,Pr_Base_LNEC!$A$4:$J$6971,6,FALSE)</f>
        <v>0</v>
      </c>
      <c r="K3902">
        <f>VLOOKUP(A3902,Pr_Base_LNEC!$A$4:$J$6971,7,FALSE)</f>
        <v>0</v>
      </c>
    </row>
    <row r="3903" spans="1:11" ht="14.5">
      <c r="A3903" s="20" t="s">
        <v>23857</v>
      </c>
      <c r="B3903" s="20">
        <v>40</v>
      </c>
      <c r="C3903" s="20">
        <v>30</v>
      </c>
      <c r="D3903" s="20">
        <v>78</v>
      </c>
      <c r="E3903" s="20">
        <v>42</v>
      </c>
      <c r="F3903" s="20" t="s">
        <v>23858</v>
      </c>
      <c r="G3903" s="24"/>
      <c r="H3903" s="24"/>
      <c r="I3903" s="24" t="str">
        <f ca="1">IFERROR(__xludf.DUMMYFUNCTION("GOOGLETRANSLATE(F3903,""en"",""pt"")"),"gavetas de cozinha")</f>
        <v>gavetas de cozinha</v>
      </c>
      <c r="J3903">
        <f>VLOOKUP(A3903,Pr_Base_LNEC!$A$4:$J$6971,6,FALSE)</f>
        <v>0</v>
      </c>
      <c r="K3903">
        <f>VLOOKUP(A3903,Pr_Base_LNEC!$A$4:$J$6971,7,FALSE)</f>
        <v>0</v>
      </c>
    </row>
    <row r="3904" spans="1:11" ht="14.5">
      <c r="A3904" s="20" t="s">
        <v>23859</v>
      </c>
      <c r="B3904" s="20">
        <v>40</v>
      </c>
      <c r="C3904" s="20">
        <v>30</v>
      </c>
      <c r="D3904" s="20">
        <v>78</v>
      </c>
      <c r="E3904" s="20">
        <v>43</v>
      </c>
      <c r="F3904" s="20" t="s">
        <v>23860</v>
      </c>
      <c r="G3904" s="24"/>
      <c r="H3904" s="24"/>
      <c r="I3904" s="24" t="str">
        <f ca="1">IFERROR(__xludf.DUMMYFUNCTION("GOOGLETRANSLATE(F3904,""en"",""pt"")"),"armários banco da cozinha")</f>
        <v>armários banco da cozinha</v>
      </c>
      <c r="J3904">
        <f>VLOOKUP(A3904,Pr_Base_LNEC!$A$4:$J$6971,6,FALSE)</f>
        <v>0</v>
      </c>
      <c r="K3904">
        <f>VLOOKUP(A3904,Pr_Base_LNEC!$A$4:$J$6971,7,FALSE)</f>
        <v>0</v>
      </c>
    </row>
    <row r="3905" spans="1:11" ht="14.5">
      <c r="A3905" s="20" t="s">
        <v>23861</v>
      </c>
      <c r="B3905" s="20">
        <v>40</v>
      </c>
      <c r="C3905" s="20">
        <v>30</v>
      </c>
      <c r="D3905" s="20">
        <v>78</v>
      </c>
      <c r="E3905" s="20">
        <v>44</v>
      </c>
      <c r="F3905" s="20" t="s">
        <v>23862</v>
      </c>
      <c r="G3905" s="24"/>
      <c r="H3905" s="24"/>
      <c r="I3905" s="24" t="str">
        <f ca="1">IFERROR(__xludf.DUMMYFUNCTION("GOOGLETRANSLATE(F3905,""en"",""pt"")"),"armários aéreos cozinha")</f>
        <v>armários aéreos cozinha</v>
      </c>
      <c r="J3905">
        <f>VLOOKUP(A3905,Pr_Base_LNEC!$A$4:$J$6971,6,FALSE)</f>
        <v>0</v>
      </c>
      <c r="K3905">
        <f>VLOOKUP(A3905,Pr_Base_LNEC!$A$4:$J$6971,7,FALSE)</f>
        <v>0</v>
      </c>
    </row>
    <row r="3906" spans="1:11" ht="14.5">
      <c r="A3906" s="20" t="s">
        <v>23863</v>
      </c>
      <c r="B3906" s="20">
        <v>40</v>
      </c>
      <c r="C3906" s="20">
        <v>30</v>
      </c>
      <c r="D3906" s="20">
        <v>78</v>
      </c>
      <c r="E3906" s="20">
        <v>45</v>
      </c>
      <c r="F3906" s="20" t="s">
        <v>23864</v>
      </c>
      <c r="G3906" s="20" t="s">
        <v>23865</v>
      </c>
      <c r="H3906" s="24"/>
      <c r="I3906" s="24" t="str">
        <f ca="1">IFERROR(__xludf.DUMMYFUNCTION("GOOGLETRANSLATE(F3906,""en"",""pt"")"),"unidades de armazenamento de cozinha")</f>
        <v>unidades de armazenamento de cozinha</v>
      </c>
      <c r="J3906">
        <f>VLOOKUP(A3906,Pr_Base_LNEC!$A$4:$J$6971,6,FALSE)</f>
        <v>0</v>
      </c>
      <c r="K3906">
        <f>VLOOKUP(A3906,Pr_Base_LNEC!$A$4:$J$6971,7,FALSE)</f>
        <v>0</v>
      </c>
    </row>
    <row r="3907" spans="1:11" ht="14.5">
      <c r="A3907" s="20" t="s">
        <v>23866</v>
      </c>
      <c r="B3907" s="20">
        <v>40</v>
      </c>
      <c r="C3907" s="20">
        <v>30</v>
      </c>
      <c r="D3907" s="20">
        <v>78</v>
      </c>
      <c r="E3907" s="20">
        <v>46</v>
      </c>
      <c r="F3907" s="20" t="s">
        <v>23867</v>
      </c>
      <c r="G3907" s="20" t="s">
        <v>23868</v>
      </c>
      <c r="H3907" s="24"/>
      <c r="I3907" s="24" t="str">
        <f ca="1">IFERROR(__xludf.DUMMYFUNCTION("GOOGLETRANSLATE(F3907,""en"",""pt"")"),"unidades de armazenamento de laboratório")</f>
        <v>unidades de armazenamento de laboratório</v>
      </c>
      <c r="J3907">
        <f>VLOOKUP(A3907,Pr_Base_LNEC!$A$4:$J$6971,6,FALSE)</f>
        <v>0</v>
      </c>
      <c r="K3907">
        <f>VLOOKUP(A3907,Pr_Base_LNEC!$A$4:$J$6971,7,FALSE)</f>
        <v>0</v>
      </c>
    </row>
    <row r="3908" spans="1:11" ht="14.5">
      <c r="A3908" s="20" t="s">
        <v>23869</v>
      </c>
      <c r="B3908" s="20">
        <v>40</v>
      </c>
      <c r="C3908" s="20">
        <v>30</v>
      </c>
      <c r="D3908" s="20">
        <v>78</v>
      </c>
      <c r="E3908" s="20">
        <v>47</v>
      </c>
      <c r="F3908" s="20" t="s">
        <v>23870</v>
      </c>
      <c r="G3908" s="24"/>
      <c r="H3908" s="24"/>
      <c r="I3908" s="24" t="str">
        <f ca="1">IFERROR(__xludf.DUMMYFUNCTION("GOOGLETRANSLATE(F3908,""en"",""pt"")"),"estantes da biblioteca")</f>
        <v>estantes da biblioteca</v>
      </c>
      <c r="J3908">
        <f>VLOOKUP(A3908,Pr_Base_LNEC!$A$4:$J$6971,6,FALSE)</f>
        <v>0</v>
      </c>
      <c r="K3908">
        <f>VLOOKUP(A3908,Pr_Base_LNEC!$A$4:$J$6971,7,FALSE)</f>
        <v>0</v>
      </c>
    </row>
    <row r="3909" spans="1:11" ht="14.5">
      <c r="A3909" s="20" t="s">
        <v>23871</v>
      </c>
      <c r="B3909" s="20">
        <v>40</v>
      </c>
      <c r="C3909" s="20">
        <v>30</v>
      </c>
      <c r="D3909" s="20">
        <v>78</v>
      </c>
      <c r="E3909" s="20">
        <v>48</v>
      </c>
      <c r="F3909" s="20" t="s">
        <v>23872</v>
      </c>
      <c r="G3909" s="20" t="s">
        <v>23873</v>
      </c>
      <c r="H3909" s="24"/>
      <c r="I3909" s="24" t="str">
        <f ca="1">IFERROR(__xludf.DUMMYFUNCTION("GOOGLETRANSLATE(F3909,""en"",""pt"")"),"cacifos")</f>
        <v>cacifos</v>
      </c>
      <c r="J3909">
        <f>VLOOKUP(A3909,Pr_Base_LNEC!$A$4:$J$6971,6,FALSE)</f>
        <v>0</v>
      </c>
      <c r="K3909">
        <f>VLOOKUP(A3909,Pr_Base_LNEC!$A$4:$J$6971,7,FALSE)</f>
        <v>0</v>
      </c>
    </row>
    <row r="3910" spans="1:11" ht="14.5">
      <c r="A3910" s="20" t="s">
        <v>23874</v>
      </c>
      <c r="B3910" s="20">
        <v>40</v>
      </c>
      <c r="C3910" s="20">
        <v>30</v>
      </c>
      <c r="D3910" s="20">
        <v>78</v>
      </c>
      <c r="E3910" s="20">
        <v>51</v>
      </c>
      <c r="F3910" s="20" t="s">
        <v>23875</v>
      </c>
      <c r="G3910" s="20" t="s">
        <v>23876</v>
      </c>
      <c r="H3910" s="24"/>
      <c r="I3910" s="24" t="str">
        <f ca="1">IFERROR(__xludf.DUMMYFUNCTION("GOOGLETRANSLATE(F3910,""en"",""pt"")"),"unidades de partição parede media")</f>
        <v>unidades de partição parede media</v>
      </c>
      <c r="J3910">
        <f>VLOOKUP(A3910,Pr_Base_LNEC!$A$4:$J$6971,6,FALSE)</f>
        <v>0</v>
      </c>
      <c r="K3910">
        <f>VLOOKUP(A3910,Pr_Base_LNEC!$A$4:$J$6971,7,FALSE)</f>
        <v>0</v>
      </c>
    </row>
    <row r="3911" spans="1:11" ht="14.5">
      <c r="A3911" s="20" t="s">
        <v>23877</v>
      </c>
      <c r="B3911" s="20">
        <v>40</v>
      </c>
      <c r="C3911" s="20">
        <v>30</v>
      </c>
      <c r="D3911" s="20">
        <v>78</v>
      </c>
      <c r="E3911" s="20">
        <v>53</v>
      </c>
      <c r="F3911" s="20" t="s">
        <v>23878</v>
      </c>
      <c r="G3911" s="24"/>
      <c r="H3911" s="24"/>
      <c r="I3911" s="24" t="str">
        <f ca="1">IFERROR(__xludf.DUMMYFUNCTION("GOOGLETRANSLATE(F3911,""en"",""pt"")"),"unidades de armazenamento móvel corredor")</f>
        <v>unidades de armazenamento móvel corredor</v>
      </c>
      <c r="J3911">
        <f>VLOOKUP(A3911,Pr_Base_LNEC!$A$4:$J$6971,6,FALSE)</f>
        <v>0</v>
      </c>
      <c r="K3911">
        <f>VLOOKUP(A3911,Pr_Base_LNEC!$A$4:$J$6971,7,FALSE)</f>
        <v>0</v>
      </c>
    </row>
    <row r="3912" spans="1:11" ht="14.5">
      <c r="A3912" s="20" t="s">
        <v>23879</v>
      </c>
      <c r="B3912" s="20">
        <v>40</v>
      </c>
      <c r="C3912" s="20">
        <v>30</v>
      </c>
      <c r="D3912" s="20">
        <v>78</v>
      </c>
      <c r="E3912" s="20">
        <v>55</v>
      </c>
      <c r="F3912" s="20" t="s">
        <v>23880</v>
      </c>
      <c r="G3912" s="24"/>
      <c r="H3912" s="24"/>
      <c r="I3912" s="24" t="str">
        <f ca="1">IFERROR(__xludf.DUMMYFUNCTION("GOOGLETRANSLATE(F3912,""en"",""pt"")"),"vitrines de museu")</f>
        <v>vitrines de museu</v>
      </c>
      <c r="J3912">
        <f>VLOOKUP(A3912,Pr_Base_LNEC!$A$4:$J$6971,6,FALSE)</f>
        <v>0</v>
      </c>
      <c r="K3912">
        <f>VLOOKUP(A3912,Pr_Base_LNEC!$A$4:$J$6971,7,FALSE)</f>
        <v>0</v>
      </c>
    </row>
    <row r="3913" spans="1:11" ht="14.5">
      <c r="A3913" s="20" t="s">
        <v>23881</v>
      </c>
      <c r="B3913" s="20">
        <v>40</v>
      </c>
      <c r="C3913" s="20">
        <v>30</v>
      </c>
      <c r="D3913" s="20">
        <v>78</v>
      </c>
      <c r="E3913" s="20">
        <v>57</v>
      </c>
      <c r="F3913" s="20" t="s">
        <v>23882</v>
      </c>
      <c r="G3913" s="20" t="s">
        <v>23883</v>
      </c>
      <c r="H3913" s="24"/>
      <c r="I3913" s="24" t="str">
        <f ca="1">IFERROR(__xludf.DUMMYFUNCTION("GOOGLETRANSLATE(F3913,""en"",""pt"")"),"unidades de armazenamento de escritório")</f>
        <v>unidades de armazenamento de escritório</v>
      </c>
      <c r="J3913">
        <f>VLOOKUP(A3913,Pr_Base_LNEC!$A$4:$J$6971,6,FALSE)</f>
        <v>0</v>
      </c>
      <c r="K3913">
        <f>VLOOKUP(A3913,Pr_Base_LNEC!$A$4:$J$6971,7,FALSE)</f>
        <v>0</v>
      </c>
    </row>
    <row r="3914" spans="1:11" ht="14.5">
      <c r="A3914" s="20" t="s">
        <v>23884</v>
      </c>
      <c r="B3914" s="20">
        <v>40</v>
      </c>
      <c r="C3914" s="20">
        <v>30</v>
      </c>
      <c r="D3914" s="20">
        <v>78</v>
      </c>
      <c r="E3914" s="20">
        <v>58</v>
      </c>
      <c r="F3914" s="20" t="s">
        <v>23885</v>
      </c>
      <c r="G3914" s="24"/>
      <c r="H3914" s="24"/>
      <c r="I3914" s="24" t="str">
        <f ca="1">IFERROR(__xludf.DUMMYFUNCTION("GOOGLETRANSLATE(F3914,""en"",""pt"")"),"estantes abertas")</f>
        <v>estantes abertas</v>
      </c>
      <c r="J3914">
        <f>VLOOKUP(A3914,Pr_Base_LNEC!$A$4:$J$6971,6,FALSE)</f>
        <v>0</v>
      </c>
      <c r="K3914">
        <f>VLOOKUP(A3914,Pr_Base_LNEC!$A$4:$J$6971,7,FALSE)</f>
        <v>0</v>
      </c>
    </row>
    <row r="3915" spans="1:11" ht="14.5">
      <c r="A3915" s="20" t="s">
        <v>23886</v>
      </c>
      <c r="B3915" s="20">
        <v>40</v>
      </c>
      <c r="C3915" s="20">
        <v>30</v>
      </c>
      <c r="D3915" s="20">
        <v>78</v>
      </c>
      <c r="E3915" s="20">
        <v>63</v>
      </c>
      <c r="F3915" s="20" t="s">
        <v>23887</v>
      </c>
      <c r="G3915" s="24"/>
      <c r="H3915" s="24"/>
      <c r="I3915" s="24" t="str">
        <f ca="1">IFERROR(__xludf.DUMMYFUNCTION("GOOGLETRANSLATE(F3915,""en"",""pt"")"),"baús plano")</f>
        <v>baús plano</v>
      </c>
      <c r="J3915">
        <f>VLOOKUP(A3915,Pr_Base_LNEC!$A$4:$J$6971,6,FALSE)</f>
        <v>0</v>
      </c>
      <c r="K3915">
        <f>VLOOKUP(A3915,Pr_Base_LNEC!$A$4:$J$6971,7,FALSE)</f>
        <v>0</v>
      </c>
    </row>
    <row r="3916" spans="1:11" ht="14.5">
      <c r="A3916" s="20" t="s">
        <v>23888</v>
      </c>
      <c r="B3916" s="20">
        <v>40</v>
      </c>
      <c r="C3916" s="20">
        <v>30</v>
      </c>
      <c r="D3916" s="20">
        <v>78</v>
      </c>
      <c r="E3916" s="20">
        <v>65</v>
      </c>
      <c r="F3916" s="20" t="s">
        <v>23889</v>
      </c>
      <c r="G3916" s="24"/>
      <c r="H3916" s="24"/>
      <c r="I3916" s="24" t="str">
        <f ca="1">IFERROR(__xludf.DUMMYFUNCTION("GOOGLETRANSLATE(F3916,""en"",""pt"")"),"A estante pós")</f>
        <v>A estante pós</v>
      </c>
      <c r="J3916">
        <f>VLOOKUP(A3916,Pr_Base_LNEC!$A$4:$J$6971,6,FALSE)</f>
        <v>0</v>
      </c>
      <c r="K3916">
        <f>VLOOKUP(A3916,Pr_Base_LNEC!$A$4:$J$6971,7,FALSE)</f>
        <v>0</v>
      </c>
    </row>
    <row r="3917" spans="1:11" ht="14.5">
      <c r="A3917" s="20" t="s">
        <v>23890</v>
      </c>
      <c r="B3917" s="20">
        <v>40</v>
      </c>
      <c r="C3917" s="20">
        <v>30</v>
      </c>
      <c r="D3917" s="20">
        <v>78</v>
      </c>
      <c r="E3917" s="20">
        <v>70</v>
      </c>
      <c r="F3917" s="20" t="s">
        <v>23891</v>
      </c>
      <c r="G3917" s="24"/>
      <c r="H3917" s="24"/>
      <c r="I3917" s="24" t="str">
        <f ca="1">IFERROR(__xludf.DUMMYFUNCTION("GOOGLETRANSLATE(F3917,""en"",""pt"")"),"unidades de armazenamento refrigeradas mortuárias")</f>
        <v>unidades de armazenamento refrigeradas mortuárias</v>
      </c>
      <c r="J3917">
        <f>VLOOKUP(A3917,Pr_Base_LNEC!$A$4:$J$6971,6,FALSE)</f>
        <v>0</v>
      </c>
      <c r="K3917">
        <f>VLOOKUP(A3917,Pr_Base_LNEC!$A$4:$J$6971,7,FALSE)</f>
        <v>0</v>
      </c>
    </row>
    <row r="3918" spans="1:11" ht="14.5">
      <c r="A3918" s="20" t="s">
        <v>23892</v>
      </c>
      <c r="B3918" s="20">
        <v>40</v>
      </c>
      <c r="C3918" s="20">
        <v>30</v>
      </c>
      <c r="D3918" s="20">
        <v>78</v>
      </c>
      <c r="E3918" s="20">
        <v>71</v>
      </c>
      <c r="F3918" s="20" t="s">
        <v>23893</v>
      </c>
      <c r="G3918" s="24"/>
      <c r="H3918" s="24"/>
      <c r="I3918" s="24" t="str">
        <f ca="1">IFERROR(__xludf.DUMMYFUNCTION("GOOGLETRANSLATE(F3918,""en"",""pt"")"),"estantes de varejo")</f>
        <v>estantes de varejo</v>
      </c>
      <c r="J3918">
        <f>VLOOKUP(A3918,Pr_Base_LNEC!$A$4:$J$6971,6,FALSE)</f>
        <v>0</v>
      </c>
      <c r="K3918">
        <f>VLOOKUP(A3918,Pr_Base_LNEC!$A$4:$J$6971,7,FALSE)</f>
        <v>0</v>
      </c>
    </row>
    <row r="3919" spans="1:11" ht="14.5">
      <c r="A3919" s="20" t="s">
        <v>23894</v>
      </c>
      <c r="B3919" s="20">
        <v>40</v>
      </c>
      <c r="C3919" s="20">
        <v>30</v>
      </c>
      <c r="D3919" s="20">
        <v>78</v>
      </c>
      <c r="E3919" s="20">
        <v>72</v>
      </c>
      <c r="F3919" s="20" t="s">
        <v>23895</v>
      </c>
      <c r="G3919" s="24"/>
      <c r="H3919" s="24"/>
      <c r="I3919" s="24" t="str">
        <f ca="1">IFERROR(__xludf.DUMMYFUNCTION("GOOGLETRANSLATE(F3919,""en"",""pt"")"),"unidades de armazenamento de varejo")</f>
        <v>unidades de armazenamento de varejo</v>
      </c>
      <c r="J3919">
        <f>VLOOKUP(A3919,Pr_Base_LNEC!$A$4:$J$6971,6,FALSE)</f>
        <v>0</v>
      </c>
      <c r="K3919">
        <f>VLOOKUP(A3919,Pr_Base_LNEC!$A$4:$J$6971,7,FALSE)</f>
        <v>0</v>
      </c>
    </row>
    <row r="3920" spans="1:11" ht="14.5">
      <c r="A3920" s="20" t="s">
        <v>23896</v>
      </c>
      <c r="B3920" s="20">
        <v>40</v>
      </c>
      <c r="C3920" s="20">
        <v>30</v>
      </c>
      <c r="D3920" s="20">
        <v>78</v>
      </c>
      <c r="E3920" s="20">
        <v>73</v>
      </c>
      <c r="F3920" s="20" t="s">
        <v>23897</v>
      </c>
      <c r="G3920" s="24"/>
      <c r="H3920" s="24"/>
      <c r="I3920" s="24" t="str">
        <f ca="1">IFERROR(__xludf.DUMMYFUNCTION("GOOGLETRANSLATE(F3920,""en"",""pt"")"),"unidades de armazenamento rotativas")</f>
        <v>unidades de armazenamento rotativas</v>
      </c>
      <c r="J3920">
        <f>VLOOKUP(A3920,Pr_Base_LNEC!$A$4:$J$6971,6,FALSE)</f>
        <v>0</v>
      </c>
      <c r="K3920">
        <f>VLOOKUP(A3920,Pr_Base_LNEC!$A$4:$J$6971,7,FALSE)</f>
        <v>0</v>
      </c>
    </row>
    <row r="3921" spans="1:11" ht="14.5">
      <c r="A3921" s="20" t="s">
        <v>23898</v>
      </c>
      <c r="B3921" s="20">
        <v>40</v>
      </c>
      <c r="C3921" s="20">
        <v>30</v>
      </c>
      <c r="D3921" s="20">
        <v>78</v>
      </c>
      <c r="E3921" s="20">
        <v>76</v>
      </c>
      <c r="F3921" s="20" t="s">
        <v>23899</v>
      </c>
      <c r="G3921" s="20" t="s">
        <v>23900</v>
      </c>
      <c r="H3921" s="24"/>
      <c r="I3921" s="24" t="str">
        <f ca="1">IFERROR(__xludf.DUMMYFUNCTION("GOOGLETRANSLATE(F3921,""en"",""pt"")"),"gaiolas de segurança")</f>
        <v>gaiolas de segurança</v>
      </c>
      <c r="J3921">
        <f>VLOOKUP(A3921,Pr_Base_LNEC!$A$4:$J$6971,6,FALSE)</f>
        <v>0</v>
      </c>
      <c r="K3921">
        <f>VLOOKUP(A3921,Pr_Base_LNEC!$A$4:$J$6971,7,FALSE)</f>
        <v>0</v>
      </c>
    </row>
    <row r="3922" spans="1:11" ht="14.5">
      <c r="A3922" s="20" t="s">
        <v>23901</v>
      </c>
      <c r="B3922" s="20">
        <v>40</v>
      </c>
      <c r="C3922" s="20">
        <v>30</v>
      </c>
      <c r="D3922" s="20">
        <v>78</v>
      </c>
      <c r="E3922" s="20">
        <v>77</v>
      </c>
      <c r="F3922" s="20" t="s">
        <v>23902</v>
      </c>
      <c r="G3922" s="20" t="s">
        <v>23903</v>
      </c>
      <c r="H3922" s="24"/>
      <c r="I3922" s="24" t="str">
        <f ca="1">IFERROR(__xludf.DUMMYFUNCTION("GOOGLETRANSLATE(F3922,""en"",""pt"")"),"estantes")</f>
        <v>estantes</v>
      </c>
      <c r="J3922">
        <f>VLOOKUP(A3922,Pr_Base_LNEC!$A$4:$J$6971,6,FALSE)</f>
        <v>0</v>
      </c>
      <c r="K3922">
        <f>VLOOKUP(A3922,Pr_Base_LNEC!$A$4:$J$6971,7,FALSE)</f>
        <v>0</v>
      </c>
    </row>
    <row r="3923" spans="1:11" ht="14.5">
      <c r="A3923" s="20" t="s">
        <v>23904</v>
      </c>
      <c r="B3923" s="20">
        <v>40</v>
      </c>
      <c r="C3923" s="20">
        <v>30</v>
      </c>
      <c r="D3923" s="20">
        <v>78</v>
      </c>
      <c r="E3923" s="20">
        <v>78</v>
      </c>
      <c r="F3923" s="20" t="s">
        <v>23905</v>
      </c>
      <c r="G3923" s="20" t="s">
        <v>23906</v>
      </c>
      <c r="H3923" s="24"/>
      <c r="I3923" s="24" t="str">
        <f ca="1">IFERROR(__xludf.DUMMYFUNCTION("GOOGLETRANSLATE(F3923,""en"",""pt"")"),"Prateleiras")</f>
        <v>Prateleiras</v>
      </c>
      <c r="J3923">
        <f>VLOOKUP(A3923,Pr_Base_LNEC!$A$4:$J$6971,6,FALSE)</f>
        <v>0</v>
      </c>
      <c r="K3923">
        <f>VLOOKUP(A3923,Pr_Base_LNEC!$A$4:$J$6971,7,FALSE)</f>
        <v>0</v>
      </c>
    </row>
    <row r="3924" spans="1:11" ht="14.5">
      <c r="A3924" s="20" t="s">
        <v>23907</v>
      </c>
      <c r="B3924" s="20">
        <v>40</v>
      </c>
      <c r="C3924" s="20">
        <v>30</v>
      </c>
      <c r="D3924" s="20">
        <v>78</v>
      </c>
      <c r="E3924" s="20">
        <v>79</v>
      </c>
      <c r="F3924" s="20" t="s">
        <v>23908</v>
      </c>
      <c r="G3924" s="24"/>
      <c r="H3924" s="24"/>
      <c r="I3924" s="24" t="str">
        <f ca="1">IFERROR(__xludf.DUMMYFUNCTION("GOOGLETRANSLATE(F3924,""en"",""pt"")"),"Prateleira e estantes")</f>
        <v>Prateleira e estantes</v>
      </c>
      <c r="J3924">
        <f>VLOOKUP(A3924,Pr_Base_LNEC!$A$4:$J$6971,6,FALSE)</f>
        <v>0</v>
      </c>
      <c r="K3924">
        <f>VLOOKUP(A3924,Pr_Base_LNEC!$A$4:$J$6971,7,FALSE)</f>
        <v>0</v>
      </c>
    </row>
    <row r="3925" spans="1:11" ht="14.5">
      <c r="A3925" s="20" t="s">
        <v>23909</v>
      </c>
      <c r="B3925" s="20">
        <v>40</v>
      </c>
      <c r="C3925" s="20">
        <v>30</v>
      </c>
      <c r="D3925" s="20">
        <v>78</v>
      </c>
      <c r="E3925" s="20">
        <v>80</v>
      </c>
      <c r="F3925" s="20" t="s">
        <v>23910</v>
      </c>
      <c r="G3925" s="24"/>
      <c r="H3925" s="24"/>
      <c r="I3925" s="24" t="str">
        <f ca="1">IFERROR(__xludf.DUMMYFUNCTION("GOOGLETRANSLATE(F3925,""en"",""pt"")"),"árvores da sapata")</f>
        <v>árvores da sapata</v>
      </c>
      <c r="J3925">
        <f>VLOOKUP(A3925,Pr_Base_LNEC!$A$4:$J$6971,6,FALSE)</f>
        <v>0</v>
      </c>
      <c r="K3925">
        <f>VLOOKUP(A3925,Pr_Base_LNEC!$A$4:$J$6971,7,FALSE)</f>
        <v>0</v>
      </c>
    </row>
    <row r="3926" spans="1:11" ht="14.5">
      <c r="A3926" s="20" t="s">
        <v>23911</v>
      </c>
      <c r="B3926" s="20">
        <v>40</v>
      </c>
      <c r="C3926" s="20">
        <v>30</v>
      </c>
      <c r="D3926" s="20">
        <v>78</v>
      </c>
      <c r="E3926" s="20">
        <v>81</v>
      </c>
      <c r="F3926" s="20" t="s">
        <v>23912</v>
      </c>
      <c r="G3926" s="24"/>
      <c r="H3926" s="24"/>
      <c r="I3926" s="24" t="str">
        <f ca="1">IFERROR(__xludf.DUMMYFUNCTION("GOOGLETRANSLATE(F3926,""en"",""pt"")"),"Aparadores")</f>
        <v>Aparadores</v>
      </c>
      <c r="J3926">
        <f>VLOOKUP(A3926,Pr_Base_LNEC!$A$4:$J$6971,6,FALSE)</f>
        <v>0</v>
      </c>
      <c r="K3926">
        <f>VLOOKUP(A3926,Pr_Base_LNEC!$A$4:$J$6971,7,FALSE)</f>
        <v>0</v>
      </c>
    </row>
    <row r="3927" spans="1:11" ht="14.5">
      <c r="A3927" s="20" t="s">
        <v>23913</v>
      </c>
      <c r="B3927" s="20">
        <v>40</v>
      </c>
      <c r="C3927" s="20">
        <v>30</v>
      </c>
      <c r="D3927" s="20">
        <v>78</v>
      </c>
      <c r="E3927" s="20">
        <v>84</v>
      </c>
      <c r="F3927" s="20" t="s">
        <v>23914</v>
      </c>
      <c r="G3927" s="24"/>
      <c r="H3927" s="24"/>
      <c r="I3927" s="24" t="str">
        <f ca="1">IFERROR(__xludf.DUMMYFUNCTION("GOOGLETRANSLATE(F3927,""en"",""pt"")"),"carrosséis de armazenamento")</f>
        <v>carrosséis de armazenamento</v>
      </c>
      <c r="J3927">
        <f>VLOOKUP(A3927,Pr_Base_LNEC!$A$4:$J$6971,6,FALSE)</f>
        <v>0</v>
      </c>
      <c r="K3927">
        <f>VLOOKUP(A3927,Pr_Base_LNEC!$A$4:$J$6971,7,FALSE)</f>
        <v>0</v>
      </c>
    </row>
    <row r="3928" spans="1:11" ht="14.5">
      <c r="A3928" s="20" t="s">
        <v>23915</v>
      </c>
      <c r="B3928" s="20">
        <v>40</v>
      </c>
      <c r="C3928" s="20">
        <v>30</v>
      </c>
      <c r="D3928" s="20">
        <v>78</v>
      </c>
      <c r="E3928" s="20">
        <v>85</v>
      </c>
      <c r="F3928" s="20" t="s">
        <v>23916</v>
      </c>
      <c r="G3928" s="24"/>
      <c r="H3928" s="24"/>
      <c r="I3928" s="24" t="str">
        <f ca="1">IFERROR(__xludf.DUMMYFUNCTION("GOOGLETRANSLATE(F3928,""en"",""pt"")"),"caixas de armazenamento")</f>
        <v>caixas de armazenamento</v>
      </c>
      <c r="J3928">
        <f>VLOOKUP(A3928,Pr_Base_LNEC!$A$4:$J$6971,6,FALSE)</f>
        <v>0</v>
      </c>
      <c r="K3928">
        <f>VLOOKUP(A3928,Pr_Base_LNEC!$A$4:$J$6971,7,FALSE)</f>
        <v>0</v>
      </c>
    </row>
    <row r="3929" spans="1:11" ht="14.5">
      <c r="A3929" s="20" t="s">
        <v>23917</v>
      </c>
      <c r="B3929" s="20">
        <v>40</v>
      </c>
      <c r="C3929" s="20">
        <v>30</v>
      </c>
      <c r="D3929" s="20">
        <v>78</v>
      </c>
      <c r="E3929" s="20">
        <v>86</v>
      </c>
      <c r="F3929" s="20" t="s">
        <v>23918</v>
      </c>
      <c r="G3929" s="20" t="s">
        <v>23919</v>
      </c>
      <c r="H3929" s="24"/>
      <c r="I3929" s="24" t="str">
        <f ca="1">IFERROR(__xludf.DUMMYFUNCTION("GOOGLETRANSLATE(F3929,""en"",""pt"")"),"unidades de partição parede armazenamento")</f>
        <v>unidades de partição parede armazenamento</v>
      </c>
      <c r="J3929">
        <f>VLOOKUP(A3929,Pr_Base_LNEC!$A$4:$J$6971,6,FALSE)</f>
        <v>0</v>
      </c>
      <c r="K3929">
        <f>VLOOKUP(A3929,Pr_Base_LNEC!$A$4:$J$6971,7,FALSE)</f>
        <v>0</v>
      </c>
    </row>
    <row r="3930" spans="1:11" ht="14.5">
      <c r="A3930" s="20" t="s">
        <v>23920</v>
      </c>
      <c r="B3930" s="20">
        <v>40</v>
      </c>
      <c r="C3930" s="20">
        <v>30</v>
      </c>
      <c r="D3930" s="20">
        <v>78</v>
      </c>
      <c r="E3930" s="20">
        <v>87</v>
      </c>
      <c r="F3930" s="20" t="s">
        <v>23921</v>
      </c>
      <c r="G3930" s="24"/>
      <c r="H3930" s="24"/>
      <c r="I3930" s="24" t="str">
        <f ca="1">IFERROR(__xludf.DUMMYFUNCTION("GOOGLETRANSLATE(F3930,""en"",""pt"")"),"unidades de armazenamento suspensão")</f>
        <v>unidades de armazenamento suspensão</v>
      </c>
      <c r="J3930">
        <f>VLOOKUP(A3930,Pr_Base_LNEC!$A$4:$J$6971,6,FALSE)</f>
        <v>0</v>
      </c>
      <c r="K3930">
        <f>VLOOKUP(A3930,Pr_Base_LNEC!$A$4:$J$6971,7,FALSE)</f>
        <v>0</v>
      </c>
    </row>
    <row r="3931" spans="1:11" ht="14.5">
      <c r="A3931" s="20" t="s">
        <v>23922</v>
      </c>
      <c r="B3931" s="20">
        <v>40</v>
      </c>
      <c r="C3931" s="20">
        <v>30</v>
      </c>
      <c r="D3931" s="20">
        <v>78</v>
      </c>
      <c r="E3931" s="20">
        <v>88</v>
      </c>
      <c r="F3931" s="20" t="s">
        <v>23923</v>
      </c>
      <c r="G3931" s="24"/>
      <c r="H3931" s="24"/>
      <c r="I3931" s="24" t="str">
        <f ca="1">IFERROR(__xludf.DUMMYFUNCTION("GOOGLETRANSLATE(F3931,""en"",""pt"")"),"aparadores de armazenamento de tabela")</f>
        <v>aparadores de armazenamento de tabela</v>
      </c>
      <c r="J3931">
        <f>VLOOKUP(A3931,Pr_Base_LNEC!$A$4:$J$6971,6,FALSE)</f>
        <v>0</v>
      </c>
      <c r="K3931">
        <f>VLOOKUP(A3931,Pr_Base_LNEC!$A$4:$J$6971,7,FALSE)</f>
        <v>0</v>
      </c>
    </row>
    <row r="3932" spans="1:11" ht="14.5">
      <c r="A3932" s="20" t="s">
        <v>23924</v>
      </c>
      <c r="B3932" s="20">
        <v>40</v>
      </c>
      <c r="C3932" s="20">
        <v>30</v>
      </c>
      <c r="D3932" s="20">
        <v>78</v>
      </c>
      <c r="E3932" s="20">
        <v>90</v>
      </c>
      <c r="F3932" s="20" t="s">
        <v>23925</v>
      </c>
      <c r="G3932" s="24"/>
      <c r="H3932" s="24"/>
      <c r="I3932" s="24" t="str">
        <f ca="1">IFERROR(__xludf.DUMMYFUNCTION("GOOGLETRANSLATE(F3932,""en"",""pt"")"),"caixas de ferramentas")</f>
        <v>caixas de ferramentas</v>
      </c>
      <c r="J3932">
        <f>VLOOKUP(A3932,Pr_Base_LNEC!$A$4:$J$6971,6,FALSE)</f>
        <v>0</v>
      </c>
      <c r="K3932">
        <f>VLOOKUP(A3932,Pr_Base_LNEC!$A$4:$J$6971,7,FALSE)</f>
        <v>0</v>
      </c>
    </row>
    <row r="3933" spans="1:11" ht="14.5">
      <c r="A3933" s="20" t="s">
        <v>23926</v>
      </c>
      <c r="B3933" s="20">
        <v>40</v>
      </c>
      <c r="C3933" s="20">
        <v>30</v>
      </c>
      <c r="D3933" s="20">
        <v>78</v>
      </c>
      <c r="E3933" s="20">
        <v>93</v>
      </c>
      <c r="F3933" s="20" t="s">
        <v>23927</v>
      </c>
      <c r="G3933" s="24"/>
      <c r="H3933" s="24"/>
      <c r="I3933" s="24" t="str">
        <f ca="1">IFERROR(__xludf.DUMMYFUNCTION("GOOGLETRANSLATE(F3933,""en"",""pt"")"),"Sob a cama de unidades de armazenamento")</f>
        <v>Sob a cama de unidades de armazenamento</v>
      </c>
      <c r="J3933">
        <f>VLOOKUP(A3933,Pr_Base_LNEC!$A$4:$J$6971,6,FALSE)</f>
        <v>0</v>
      </c>
      <c r="K3933">
        <f>VLOOKUP(A3933,Pr_Base_LNEC!$A$4:$J$6971,7,FALSE)</f>
        <v>0</v>
      </c>
    </row>
    <row r="3934" spans="1:11" ht="14.5">
      <c r="A3934" s="20" t="s">
        <v>23928</v>
      </c>
      <c r="B3934" s="20">
        <v>40</v>
      </c>
      <c r="C3934" s="20">
        <v>30</v>
      </c>
      <c r="D3934" s="20">
        <v>78</v>
      </c>
      <c r="E3934" s="20">
        <v>95</v>
      </c>
      <c r="F3934" s="20" t="s">
        <v>23929</v>
      </c>
      <c r="G3934" s="24"/>
      <c r="H3934" s="24"/>
      <c r="I3934" s="24" t="str">
        <f ca="1">IFERROR(__xludf.DUMMYFUNCTION("GOOGLETRANSLATE(F3934,""en"",""pt"")"),"rails de guarda-roupa")</f>
        <v>rails de guarda-roupa</v>
      </c>
      <c r="J3934">
        <f>VLOOKUP(A3934,Pr_Base_LNEC!$A$4:$J$6971,6,FALSE)</f>
        <v>0</v>
      </c>
      <c r="K3934">
        <f>VLOOKUP(A3934,Pr_Base_LNEC!$A$4:$J$6971,7,FALSE)</f>
        <v>0</v>
      </c>
    </row>
    <row r="3935" spans="1:11" ht="14.5">
      <c r="A3935" s="20" t="s">
        <v>23930</v>
      </c>
      <c r="B3935" s="20">
        <v>40</v>
      </c>
      <c r="C3935" s="20">
        <v>30</v>
      </c>
      <c r="D3935" s="20">
        <v>78</v>
      </c>
      <c r="E3935" s="20">
        <v>96</v>
      </c>
      <c r="F3935" s="20" t="s">
        <v>23931</v>
      </c>
      <c r="G3935" s="24"/>
      <c r="H3935" s="24"/>
      <c r="I3935" s="24" t="str">
        <f ca="1">IFERROR(__xludf.DUMMYFUNCTION("GOOGLETRANSLATE(F3935,""en"",""pt"")"),"roupeiros")</f>
        <v>roupeiros</v>
      </c>
      <c r="J3935">
        <f>VLOOKUP(A3935,Pr_Base_LNEC!$A$4:$J$6971,6,FALSE)</f>
        <v>0</v>
      </c>
      <c r="K3935">
        <f>VLOOKUP(A3935,Pr_Base_LNEC!$A$4:$J$6971,7,FALSE)</f>
        <v>0</v>
      </c>
    </row>
    <row r="3936" spans="1:11" ht="14.5">
      <c r="A3936" s="20" t="s">
        <v>23932</v>
      </c>
      <c r="B3936" s="20">
        <v>40</v>
      </c>
      <c r="C3936" s="20">
        <v>30</v>
      </c>
      <c r="D3936" s="20">
        <v>78</v>
      </c>
      <c r="E3936" s="20">
        <v>97</v>
      </c>
      <c r="F3936" s="20" t="s">
        <v>23933</v>
      </c>
      <c r="G3936" s="24"/>
      <c r="H3936" s="24"/>
      <c r="I3936" s="24" t="str">
        <f ca="1">IFERROR(__xludf.DUMMYFUNCTION("GOOGLETRANSLATE(F3936,""en"",""pt"")"),"suportes de armazenamento de pesos")</f>
        <v>suportes de armazenamento de pesos</v>
      </c>
      <c r="J3936">
        <f>VLOOKUP(A3936,Pr_Base_LNEC!$A$4:$J$6971,6,FALSE)</f>
        <v>0</v>
      </c>
      <c r="K3936">
        <f>VLOOKUP(A3936,Pr_Base_LNEC!$A$4:$J$6971,7,FALSE)</f>
        <v>0</v>
      </c>
    </row>
    <row r="3937" spans="1:11" ht="14.5">
      <c r="A3937" s="20" t="s">
        <v>23934</v>
      </c>
      <c r="B3937" s="20">
        <v>40</v>
      </c>
      <c r="C3937" s="20">
        <v>30</v>
      </c>
      <c r="D3937" s="20">
        <v>80</v>
      </c>
      <c r="E3937" s="24"/>
      <c r="F3937" s="20" t="s">
        <v>23935</v>
      </c>
      <c r="G3937" s="24"/>
      <c r="H3937" s="24"/>
      <c r="I3937" s="24" t="str">
        <f ca="1">IFERROR(__xludf.DUMMYFUNCTION("GOOGLETRANSLATE(F3937,""en"",""pt"")"),"instalações skate")</f>
        <v>instalações skate</v>
      </c>
      <c r="J3937">
        <f>VLOOKUP(A3937,Pr_Base_LNEC!$A$4:$J$6971,6,FALSE)</f>
        <v>0</v>
      </c>
      <c r="K3937">
        <f>VLOOKUP(A3937,Pr_Base_LNEC!$A$4:$J$6971,7,FALSE)</f>
        <v>0</v>
      </c>
    </row>
    <row r="3938" spans="1:11" ht="14.5">
      <c r="A3938" s="20" t="s">
        <v>23936</v>
      </c>
      <c r="B3938" s="20">
        <v>40</v>
      </c>
      <c r="C3938" s="20">
        <v>30</v>
      </c>
      <c r="D3938" s="20">
        <v>80</v>
      </c>
      <c r="E3938" s="20">
        <v>75</v>
      </c>
      <c r="F3938" s="20" t="s">
        <v>23937</v>
      </c>
      <c r="G3938" s="20" t="s">
        <v>23938</v>
      </c>
      <c r="H3938" s="24"/>
      <c r="I3938" s="24" t="str">
        <f ca="1">IFERROR(__xludf.DUMMYFUNCTION("GOOGLETRANSLATE(F3938,""en"",""pt"")"),"tigelas de skate")</f>
        <v>tigelas de skate</v>
      </c>
      <c r="J3938">
        <f>VLOOKUP(A3938,Pr_Base_LNEC!$A$4:$J$6971,6,FALSE)</f>
        <v>0</v>
      </c>
      <c r="K3938">
        <f>VLOOKUP(A3938,Pr_Base_LNEC!$A$4:$J$6971,7,FALSE)</f>
        <v>0</v>
      </c>
    </row>
    <row r="3939" spans="1:11" ht="14.5">
      <c r="A3939" s="20" t="s">
        <v>23939</v>
      </c>
      <c r="B3939" s="20">
        <v>40</v>
      </c>
      <c r="C3939" s="20">
        <v>30</v>
      </c>
      <c r="D3939" s="20">
        <v>80</v>
      </c>
      <c r="E3939" s="20">
        <v>77</v>
      </c>
      <c r="F3939" s="20" t="s">
        <v>23940</v>
      </c>
      <c r="G3939" s="20" t="s">
        <v>23941</v>
      </c>
      <c r="H3939" s="24"/>
      <c r="I3939" s="24" t="str">
        <f ca="1">IFERROR(__xludf.DUMMYFUNCTION("GOOGLETRANSLATE(F3939,""en"",""pt"")"),"bordas de skate")</f>
        <v>bordas de skate</v>
      </c>
      <c r="J3939">
        <f>VLOOKUP(A3939,Pr_Base_LNEC!$A$4:$J$6971,6,FALSE)</f>
        <v>0</v>
      </c>
      <c r="K3939">
        <f>VLOOKUP(A3939,Pr_Base_LNEC!$A$4:$J$6971,7,FALSE)</f>
        <v>0</v>
      </c>
    </row>
    <row r="3940" spans="1:11" ht="14.5">
      <c r="A3940" s="20" t="s">
        <v>23942</v>
      </c>
      <c r="B3940" s="20">
        <v>40</v>
      </c>
      <c r="C3940" s="20">
        <v>30</v>
      </c>
      <c r="D3940" s="20">
        <v>80</v>
      </c>
      <c r="E3940" s="20">
        <v>78</v>
      </c>
      <c r="F3940" s="20" t="s">
        <v>23943</v>
      </c>
      <c r="G3940" s="20" t="s">
        <v>23944</v>
      </c>
      <c r="H3940" s="24"/>
      <c r="I3940" s="24" t="str">
        <f ca="1">IFERROR(__xludf.DUMMYFUNCTION("GOOGLETRANSLATE(F3940,""en"",""pt"")"),"tubos de skate")</f>
        <v>tubos de skate</v>
      </c>
      <c r="J3940">
        <f>VLOOKUP(A3940,Pr_Base_LNEC!$A$4:$J$6971,6,FALSE)</f>
        <v>0</v>
      </c>
      <c r="K3940">
        <f>VLOOKUP(A3940,Pr_Base_LNEC!$A$4:$J$6971,7,FALSE)</f>
        <v>0</v>
      </c>
    </row>
    <row r="3941" spans="1:11" ht="14.5">
      <c r="A3941" s="20" t="s">
        <v>23945</v>
      </c>
      <c r="B3941" s="20">
        <v>40</v>
      </c>
      <c r="C3941" s="20">
        <v>30</v>
      </c>
      <c r="D3941" s="20">
        <v>80</v>
      </c>
      <c r="E3941" s="20">
        <v>80</v>
      </c>
      <c r="F3941" s="20" t="s">
        <v>23946</v>
      </c>
      <c r="G3941" s="20" t="s">
        <v>23947</v>
      </c>
      <c r="H3941" s="24"/>
      <c r="I3941" s="24" t="str">
        <f ca="1">IFERROR(__xludf.DUMMYFUNCTION("GOOGLETRANSLATE(F3941,""en"",""pt"")"),"plataformas de skate")</f>
        <v>plataformas de skate</v>
      </c>
      <c r="J3941">
        <f>VLOOKUP(A3941,Pr_Base_LNEC!$A$4:$J$6971,6,FALSE)</f>
        <v>0</v>
      </c>
      <c r="K3941">
        <f>VLOOKUP(A3941,Pr_Base_LNEC!$A$4:$J$6971,7,FALSE)</f>
        <v>0</v>
      </c>
    </row>
    <row r="3942" spans="1:11" ht="14.5">
      <c r="A3942" s="20" t="s">
        <v>23948</v>
      </c>
      <c r="B3942" s="20">
        <v>40</v>
      </c>
      <c r="C3942" s="20">
        <v>30</v>
      </c>
      <c r="D3942" s="20">
        <v>80</v>
      </c>
      <c r="E3942" s="20">
        <v>81</v>
      </c>
      <c r="F3942" s="20" t="s">
        <v>23949</v>
      </c>
      <c r="G3942" s="20" t="s">
        <v>23950</v>
      </c>
      <c r="H3942" s="24"/>
      <c r="I3942" s="24" t="str">
        <f ca="1">IFERROR(__xludf.DUMMYFUNCTION("GOOGLETRANSLATE(F3942,""en"",""pt"")"),"rails de skate")</f>
        <v>rails de skate</v>
      </c>
      <c r="J3942">
        <f>VLOOKUP(A3942,Pr_Base_LNEC!$A$4:$J$6971,6,FALSE)</f>
        <v>0</v>
      </c>
      <c r="K3942">
        <f>VLOOKUP(A3942,Pr_Base_LNEC!$A$4:$J$6971,7,FALSE)</f>
        <v>0</v>
      </c>
    </row>
    <row r="3943" spans="1:11" ht="14.5">
      <c r="A3943" s="20" t="s">
        <v>23951</v>
      </c>
      <c r="B3943" s="20">
        <v>40</v>
      </c>
      <c r="C3943" s="20">
        <v>30</v>
      </c>
      <c r="D3943" s="20">
        <v>80</v>
      </c>
      <c r="E3943" s="20">
        <v>82</v>
      </c>
      <c r="F3943" s="20" t="s">
        <v>23952</v>
      </c>
      <c r="G3943" s="20" t="s">
        <v>23953</v>
      </c>
      <c r="H3943" s="24"/>
      <c r="I3943" s="24" t="str">
        <f ca="1">IFERROR(__xludf.DUMMYFUNCTION("GOOGLETRANSLATE(F3943,""en"",""pt"")"),"rampas de skate")</f>
        <v>rampas de skate</v>
      </c>
      <c r="J3943">
        <f>VLOOKUP(A3943,Pr_Base_LNEC!$A$4:$J$6971,6,FALSE)</f>
        <v>0</v>
      </c>
      <c r="K3943">
        <f>VLOOKUP(A3943,Pr_Base_LNEC!$A$4:$J$6971,7,FALSE)</f>
        <v>0</v>
      </c>
    </row>
    <row r="3944" spans="1:11" ht="14.5">
      <c r="A3944" s="20" t="s">
        <v>23954</v>
      </c>
      <c r="B3944" s="20">
        <v>40</v>
      </c>
      <c r="C3944" s="20">
        <v>30</v>
      </c>
      <c r="D3944" s="20">
        <v>80</v>
      </c>
      <c r="E3944" s="20">
        <v>83</v>
      </c>
      <c r="F3944" s="20" t="s">
        <v>23955</v>
      </c>
      <c r="G3944" s="20" t="s">
        <v>23956</v>
      </c>
      <c r="H3944" s="24"/>
      <c r="I3944" s="24" t="str">
        <f ca="1">IFERROR(__xludf.DUMMYFUNCTION("GOOGLETRANSLATE(F3944,""en"",""pt"")"),"escadas de skate")</f>
        <v>escadas de skate</v>
      </c>
      <c r="J3944">
        <f>VLOOKUP(A3944,Pr_Base_LNEC!$A$4:$J$6971,6,FALSE)</f>
        <v>0</v>
      </c>
      <c r="K3944">
        <f>VLOOKUP(A3944,Pr_Base_LNEC!$A$4:$J$6971,7,FALSE)</f>
        <v>0</v>
      </c>
    </row>
    <row r="3945" spans="1:11" ht="14.5">
      <c r="A3945" s="20" t="s">
        <v>23957</v>
      </c>
      <c r="B3945" s="20">
        <v>40</v>
      </c>
      <c r="C3945" s="20">
        <v>30</v>
      </c>
      <c r="D3945" s="20">
        <v>83</v>
      </c>
      <c r="E3945" s="24"/>
      <c r="F3945" s="20" t="s">
        <v>23958</v>
      </c>
      <c r="G3945" s="24"/>
      <c r="H3945" s="24"/>
      <c r="I3945" s="24" t="str">
        <f ca="1">IFERROR(__xludf.DUMMYFUNCTION("GOOGLETRANSLATE(F3945,""en"",""pt"")"),"acessórios Esportes")</f>
        <v>acessórios Esportes</v>
      </c>
      <c r="J3945">
        <f>VLOOKUP(A3945,Pr_Base_LNEC!$A$4:$J$6971,6,FALSE)</f>
        <v>0</v>
      </c>
      <c r="K3945">
        <f>VLOOKUP(A3945,Pr_Base_LNEC!$A$4:$J$6971,7,FALSE)</f>
        <v>0</v>
      </c>
    </row>
    <row r="3946" spans="1:11" ht="14.5">
      <c r="A3946" s="20" t="s">
        <v>23959</v>
      </c>
      <c r="B3946" s="20">
        <v>40</v>
      </c>
      <c r="C3946" s="20">
        <v>30</v>
      </c>
      <c r="D3946" s="20">
        <v>83</v>
      </c>
      <c r="E3946" s="20">
        <v>8</v>
      </c>
      <c r="F3946" s="20" t="s">
        <v>23960</v>
      </c>
      <c r="G3946" s="20" t="s">
        <v>23961</v>
      </c>
      <c r="H3946" s="24"/>
      <c r="I3946" s="24" t="str">
        <f ca="1">IFERROR(__xludf.DUMMYFUNCTION("GOOGLETRANSLATE(F3946,""en"",""pt"")"),"aros de basquete")</f>
        <v>aros de basquete</v>
      </c>
      <c r="J3946">
        <f>VLOOKUP(A3946,Pr_Base_LNEC!$A$4:$J$6971,6,FALSE)</f>
        <v>0</v>
      </c>
      <c r="K3946">
        <f>VLOOKUP(A3946,Pr_Base_LNEC!$A$4:$J$6971,7,FALSE)</f>
        <v>0</v>
      </c>
    </row>
    <row r="3947" spans="1:11" ht="14.5">
      <c r="A3947" s="20" t="s">
        <v>23962</v>
      </c>
      <c r="B3947" s="20">
        <v>40</v>
      </c>
      <c r="C3947" s="20">
        <v>30</v>
      </c>
      <c r="D3947" s="20">
        <v>83</v>
      </c>
      <c r="E3947" s="20">
        <v>10</v>
      </c>
      <c r="F3947" s="20" t="s">
        <v>23963</v>
      </c>
      <c r="G3947" s="24"/>
      <c r="H3947" s="24"/>
      <c r="I3947" s="24" t="str">
        <f ca="1">IFERROR(__xludf.DUMMYFUNCTION("GOOGLETRANSLATE(F3947,""en"",""pt"")"),"bouldering detém")</f>
        <v>bouldering detém</v>
      </c>
      <c r="J3947">
        <f>VLOOKUP(A3947,Pr_Base_LNEC!$A$4:$J$6971,6,FALSE)</f>
        <v>0</v>
      </c>
      <c r="K3947">
        <f>VLOOKUP(A3947,Pr_Base_LNEC!$A$4:$J$6971,7,FALSE)</f>
        <v>0</v>
      </c>
    </row>
    <row r="3948" spans="1:11" ht="14.5">
      <c r="A3948" s="20" t="s">
        <v>23964</v>
      </c>
      <c r="B3948" s="20">
        <v>40</v>
      </c>
      <c r="C3948" s="20">
        <v>30</v>
      </c>
      <c r="D3948" s="20">
        <v>83</v>
      </c>
      <c r="E3948" s="20">
        <v>11</v>
      </c>
      <c r="F3948" s="20" t="s">
        <v>23965</v>
      </c>
      <c r="G3948" s="24"/>
      <c r="H3948" s="24"/>
      <c r="I3948" s="24" t="str">
        <f ca="1">IFERROR(__xludf.DUMMYFUNCTION("GOOGLETRANSLATE(F3948,""en"",""pt"")"),"bouldering paredes")</f>
        <v>bouldering paredes</v>
      </c>
      <c r="J3948" t="e">
        <f>VLOOKUP(A3948,Pr_Base_LNEC!$A$4:$J$6971,6,FALSE)</f>
        <v>#N/A</v>
      </c>
      <c r="K3948" t="e">
        <f>VLOOKUP(A3948,Pr_Base_LNEC!$A$4:$J$6971,7,FALSE)</f>
        <v>#N/A</v>
      </c>
    </row>
    <row r="3949" spans="1:11" ht="14.5">
      <c r="A3949" s="20" t="s">
        <v>23966</v>
      </c>
      <c r="B3949" s="20">
        <v>40</v>
      </c>
      <c r="C3949" s="20">
        <v>30</v>
      </c>
      <c r="D3949" s="20">
        <v>83</v>
      </c>
      <c r="E3949" s="20">
        <v>14</v>
      </c>
      <c r="F3949" s="20" t="s">
        <v>23967</v>
      </c>
      <c r="G3949" s="20" t="s">
        <v>23968</v>
      </c>
      <c r="H3949" s="24"/>
      <c r="I3949" s="24" t="str">
        <f ca="1">IFERROR(__xludf.DUMMYFUNCTION("GOOGLETRANSLATE(F3949,""en"",""pt"")"),"paredes de escalada")</f>
        <v>paredes de escalada</v>
      </c>
      <c r="J3949">
        <f>VLOOKUP(A3949,Pr_Base_LNEC!$A$4:$J$6971,6,FALSE)</f>
        <v>0</v>
      </c>
      <c r="K3949">
        <f>VLOOKUP(A3949,Pr_Base_LNEC!$A$4:$J$6971,7,FALSE)</f>
        <v>0</v>
      </c>
    </row>
    <row r="3950" spans="1:11" ht="14.5">
      <c r="A3950" s="20" t="s">
        <v>23969</v>
      </c>
      <c r="B3950" s="20">
        <v>40</v>
      </c>
      <c r="C3950" s="20">
        <v>30</v>
      </c>
      <c r="D3950" s="20">
        <v>83</v>
      </c>
      <c r="E3950" s="20">
        <v>37</v>
      </c>
      <c r="F3950" s="20" t="s">
        <v>23970</v>
      </c>
      <c r="G3950" s="20" t="s">
        <v>23971</v>
      </c>
      <c r="H3950" s="24"/>
      <c r="I3950" s="24" t="str">
        <f ca="1">IFERROR(__xludf.DUMMYFUNCTION("GOOGLETRANSLATE(F3950,""en"",""pt"")"),"Pendurado e equipamentos de alongamento")</f>
        <v>Pendurado e equipamentos de alongamento</v>
      </c>
      <c r="J3950">
        <f>VLOOKUP(A3950,Pr_Base_LNEC!$A$4:$J$6971,6,FALSE)</f>
        <v>0</v>
      </c>
      <c r="K3950">
        <f>VLOOKUP(A3950,Pr_Base_LNEC!$A$4:$J$6971,7,FALSE)</f>
        <v>0</v>
      </c>
    </row>
    <row r="3951" spans="1:11" ht="14.5">
      <c r="A3951" s="20" t="s">
        <v>23972</v>
      </c>
      <c r="B3951" s="20">
        <v>40</v>
      </c>
      <c r="C3951" s="20">
        <v>30</v>
      </c>
      <c r="D3951" s="20">
        <v>84</v>
      </c>
      <c r="E3951" s="24"/>
      <c r="F3951" s="20" t="s">
        <v>23973</v>
      </c>
      <c r="G3951" s="24"/>
      <c r="H3951" s="24"/>
      <c r="I3951" s="24" t="str">
        <f ca="1">IFERROR(__xludf.DUMMYFUNCTION("GOOGLETRANSLATE(F3951,""en"",""pt"")"),"objetivos desportivos")</f>
        <v>objetivos desportivos</v>
      </c>
      <c r="J3951">
        <f>VLOOKUP(A3951,Pr_Base_LNEC!$A$4:$J$6971,6,FALSE)</f>
        <v>0</v>
      </c>
      <c r="K3951">
        <f>VLOOKUP(A3951,Pr_Base_LNEC!$A$4:$J$6971,7,FALSE)</f>
        <v>0</v>
      </c>
    </row>
    <row r="3952" spans="1:11" ht="14.5">
      <c r="A3952" s="20" t="s">
        <v>23974</v>
      </c>
      <c r="B3952" s="20">
        <v>40</v>
      </c>
      <c r="C3952" s="20">
        <v>30</v>
      </c>
      <c r="D3952" s="20">
        <v>84</v>
      </c>
      <c r="E3952" s="20">
        <v>4</v>
      </c>
      <c r="F3952" s="20" t="s">
        <v>23975</v>
      </c>
      <c r="G3952" s="24"/>
      <c r="H3952" s="24"/>
      <c r="I3952" s="24" t="str">
        <f ca="1">IFERROR(__xludf.DUMMYFUNCTION("GOOGLETRANSLATE(F3952,""en"",""pt"")"),"balizas de futebol americano")</f>
        <v>balizas de futebol americano</v>
      </c>
      <c r="J3952">
        <f>VLOOKUP(A3952,Pr_Base_LNEC!$A$4:$J$6971,6,FALSE)</f>
        <v>0</v>
      </c>
      <c r="K3952">
        <f>VLOOKUP(A3952,Pr_Base_LNEC!$A$4:$J$6971,7,FALSE)</f>
        <v>0</v>
      </c>
    </row>
    <row r="3953" spans="1:11" ht="14.5">
      <c r="A3953" s="20" t="s">
        <v>23976</v>
      </c>
      <c r="B3953" s="20">
        <v>40</v>
      </c>
      <c r="C3953" s="20">
        <v>30</v>
      </c>
      <c r="D3953" s="20">
        <v>84</v>
      </c>
      <c r="E3953" s="20">
        <v>5</v>
      </c>
      <c r="F3953" s="20" t="s">
        <v>23977</v>
      </c>
      <c r="G3953" s="24"/>
      <c r="H3953" s="24"/>
      <c r="I3953" s="24" t="str">
        <f ca="1">IFERROR(__xludf.DUMMYFUNCTION("GOOGLETRANSLATE(F3953,""en"",""pt"")"),"balizas de futebol australiano")</f>
        <v>balizas de futebol australiano</v>
      </c>
      <c r="J3953">
        <f>VLOOKUP(A3953,Pr_Base_LNEC!$A$4:$J$6971,6,FALSE)</f>
        <v>0</v>
      </c>
      <c r="K3953">
        <f>VLOOKUP(A3953,Pr_Base_LNEC!$A$4:$J$6971,7,FALSE)</f>
        <v>0</v>
      </c>
    </row>
    <row r="3954" spans="1:11" ht="14.5">
      <c r="A3954" s="20" t="s">
        <v>23978</v>
      </c>
      <c r="B3954" s="20">
        <v>40</v>
      </c>
      <c r="C3954" s="20">
        <v>30</v>
      </c>
      <c r="D3954" s="20">
        <v>84</v>
      </c>
      <c r="E3954" s="20">
        <v>28</v>
      </c>
      <c r="F3954" s="20" t="s">
        <v>23979</v>
      </c>
      <c r="G3954" s="24"/>
      <c r="H3954" s="24"/>
      <c r="I3954" s="24" t="str">
        <f ca="1">IFERROR(__xludf.DUMMYFUNCTION("GOOGLETRANSLATE(F3954,""en"",""pt"")"),"balizas de futebol de cinco-a-lado")</f>
        <v>balizas de futebol de cinco-a-lado</v>
      </c>
      <c r="J3954">
        <f>VLOOKUP(A3954,Pr_Base_LNEC!$A$4:$J$6971,6,FALSE)</f>
        <v>0</v>
      </c>
      <c r="K3954">
        <f>VLOOKUP(A3954,Pr_Base_LNEC!$A$4:$J$6971,7,FALSE)</f>
        <v>0</v>
      </c>
    </row>
    <row r="3955" spans="1:11" ht="14.5">
      <c r="A3955" s="20" t="s">
        <v>23980</v>
      </c>
      <c r="B3955" s="20">
        <v>40</v>
      </c>
      <c r="C3955" s="20">
        <v>30</v>
      </c>
      <c r="D3955" s="20">
        <v>84</v>
      </c>
      <c r="E3955" s="20">
        <v>29</v>
      </c>
      <c r="F3955" s="20" t="s">
        <v>23981</v>
      </c>
      <c r="G3955" s="20" t="s">
        <v>23982</v>
      </c>
      <c r="H3955" s="24"/>
      <c r="I3955" s="24" t="str">
        <f ca="1">IFERROR(__xludf.DUMMYFUNCTION("GOOGLETRANSLATE(F3955,""en"",""pt"")"),"metas de pólo aquático fixos")</f>
        <v>metas de pólo aquático fixos</v>
      </c>
      <c r="J3955">
        <f>VLOOKUP(A3955,Pr_Base_LNEC!$A$4:$J$6971,6,FALSE)</f>
        <v>0</v>
      </c>
      <c r="K3955">
        <f>VLOOKUP(A3955,Pr_Base_LNEC!$A$4:$J$6971,7,FALSE)</f>
        <v>0</v>
      </c>
    </row>
    <row r="3956" spans="1:11" ht="14.5">
      <c r="A3956" s="20" t="s">
        <v>23983</v>
      </c>
      <c r="B3956" s="20">
        <v>40</v>
      </c>
      <c r="C3956" s="20">
        <v>30</v>
      </c>
      <c r="D3956" s="20">
        <v>84</v>
      </c>
      <c r="E3956" s="20">
        <v>30</v>
      </c>
      <c r="F3956" s="20" t="s">
        <v>23984</v>
      </c>
      <c r="G3956" s="20" t="s">
        <v>23985</v>
      </c>
      <c r="H3956" s="24"/>
      <c r="I3956" s="24" t="str">
        <f ca="1">IFERROR(__xludf.DUMMYFUNCTION("GOOGLETRANSLATE(F3956,""en"",""pt"")"),"Flutuante metas de pólo aquático")</f>
        <v>Flutuante metas de pólo aquático</v>
      </c>
      <c r="J3956">
        <f>VLOOKUP(A3956,Pr_Base_LNEC!$A$4:$J$6971,6,FALSE)</f>
        <v>0</v>
      </c>
      <c r="K3956">
        <f>VLOOKUP(A3956,Pr_Base_LNEC!$A$4:$J$6971,7,FALSE)</f>
        <v>0</v>
      </c>
    </row>
    <row r="3957" spans="1:11" ht="14.5">
      <c r="A3957" s="20" t="s">
        <v>23986</v>
      </c>
      <c r="B3957" s="20">
        <v>40</v>
      </c>
      <c r="C3957" s="20">
        <v>30</v>
      </c>
      <c r="D3957" s="20">
        <v>84</v>
      </c>
      <c r="E3957" s="20">
        <v>31</v>
      </c>
      <c r="F3957" s="20" t="s">
        <v>23987</v>
      </c>
      <c r="G3957" s="20" t="s">
        <v>23988</v>
      </c>
      <c r="H3957" s="24"/>
      <c r="I3957" s="24" t="str">
        <f ca="1">IFERROR(__xludf.DUMMYFUNCTION("GOOGLETRANSLATE(F3957,""en"",""pt"")"),"objetivos do futebol")</f>
        <v>objetivos do futebol</v>
      </c>
      <c r="J3957">
        <f>VLOOKUP(A3957,Pr_Base_LNEC!$A$4:$J$6971,6,FALSE)</f>
        <v>0</v>
      </c>
      <c r="K3957">
        <f>VLOOKUP(A3957,Pr_Base_LNEC!$A$4:$J$6971,7,FALSE)</f>
        <v>0</v>
      </c>
    </row>
    <row r="3958" spans="1:11" ht="14.5">
      <c r="A3958" s="20" t="s">
        <v>23989</v>
      </c>
      <c r="B3958" s="20">
        <v>40</v>
      </c>
      <c r="C3958" s="20">
        <v>30</v>
      </c>
      <c r="D3958" s="20">
        <v>84</v>
      </c>
      <c r="E3958" s="20">
        <v>33</v>
      </c>
      <c r="F3958" s="20" t="s">
        <v>23990</v>
      </c>
      <c r="G3958" s="24"/>
      <c r="H3958" s="24"/>
      <c r="I3958" s="24" t="str">
        <f ca="1">IFERROR(__xludf.DUMMYFUNCTION("GOOGLETRANSLATE(F3958,""en"",""pt"")"),"balizas de futebol gaélico")</f>
        <v>balizas de futebol gaélico</v>
      </c>
      <c r="J3958">
        <f>VLOOKUP(A3958,Pr_Base_LNEC!$A$4:$J$6971,6,FALSE)</f>
        <v>0</v>
      </c>
      <c r="K3958">
        <f>VLOOKUP(A3958,Pr_Base_LNEC!$A$4:$J$6971,7,FALSE)</f>
        <v>0</v>
      </c>
    </row>
    <row r="3959" spans="1:11" ht="14.5">
      <c r="A3959" s="20" t="s">
        <v>23991</v>
      </c>
      <c r="B3959" s="20">
        <v>40</v>
      </c>
      <c r="C3959" s="20">
        <v>30</v>
      </c>
      <c r="D3959" s="20">
        <v>84</v>
      </c>
      <c r="E3959" s="20">
        <v>36</v>
      </c>
      <c r="F3959" s="20" t="s">
        <v>23992</v>
      </c>
      <c r="G3959" s="20" t="s">
        <v>23993</v>
      </c>
      <c r="H3959" s="24"/>
      <c r="I3959" s="24" t="str">
        <f ca="1">IFERROR(__xludf.DUMMYFUNCTION("GOOGLETRANSLATE(F3959,""en"",""pt"")"),"metas de handebol")</f>
        <v>metas de handebol</v>
      </c>
      <c r="J3959">
        <f>VLOOKUP(A3959,Pr_Base_LNEC!$A$4:$J$6971,6,FALSE)</f>
        <v>0</v>
      </c>
      <c r="K3959">
        <f>VLOOKUP(A3959,Pr_Base_LNEC!$A$4:$J$6971,7,FALSE)</f>
        <v>0</v>
      </c>
    </row>
    <row r="3960" spans="1:11" ht="14.5">
      <c r="A3960" s="20" t="s">
        <v>23994</v>
      </c>
      <c r="B3960" s="20">
        <v>40</v>
      </c>
      <c r="C3960" s="20">
        <v>30</v>
      </c>
      <c r="D3960" s="20">
        <v>84</v>
      </c>
      <c r="E3960" s="20">
        <v>39</v>
      </c>
      <c r="F3960" s="20" t="s">
        <v>23995</v>
      </c>
      <c r="G3960" s="20" t="s">
        <v>23996</v>
      </c>
      <c r="H3960" s="24"/>
      <c r="I3960" s="24" t="str">
        <f ca="1">IFERROR(__xludf.DUMMYFUNCTION("GOOGLETRANSLATE(F3960,""en"",""pt"")"),"metas de hóquei")</f>
        <v>metas de hóquei</v>
      </c>
      <c r="J3960">
        <f>VLOOKUP(A3960,Pr_Base_LNEC!$A$4:$J$6971,6,FALSE)</f>
        <v>0</v>
      </c>
      <c r="K3960">
        <f>VLOOKUP(A3960,Pr_Base_LNEC!$A$4:$J$6971,7,FALSE)</f>
        <v>0</v>
      </c>
    </row>
    <row r="3961" spans="1:11" ht="14.5">
      <c r="A3961" s="20" t="s">
        <v>23997</v>
      </c>
      <c r="B3961" s="20">
        <v>40</v>
      </c>
      <c r="C3961" s="20">
        <v>30</v>
      </c>
      <c r="D3961" s="20">
        <v>84</v>
      </c>
      <c r="E3961" s="20">
        <v>40</v>
      </c>
      <c r="F3961" s="20" t="s">
        <v>23998</v>
      </c>
      <c r="G3961" s="24"/>
      <c r="H3961" s="24"/>
      <c r="I3961" s="24" t="str">
        <f ca="1">IFERROR(__xludf.DUMMYFUNCTION("GOOGLETRANSLATE(F3961,""en"",""pt"")"),"metas de hóquei no gelo")</f>
        <v>metas de hóquei no gelo</v>
      </c>
      <c r="J3961">
        <f>VLOOKUP(A3961,Pr_Base_LNEC!$A$4:$J$6971,6,FALSE)</f>
        <v>0</v>
      </c>
      <c r="K3961">
        <f>VLOOKUP(A3961,Pr_Base_LNEC!$A$4:$J$6971,7,FALSE)</f>
        <v>0</v>
      </c>
    </row>
    <row r="3962" spans="1:11" ht="14.5">
      <c r="A3962" s="20" t="s">
        <v>23999</v>
      </c>
      <c r="B3962" s="20">
        <v>40</v>
      </c>
      <c r="C3962" s="20">
        <v>30</v>
      </c>
      <c r="D3962" s="20">
        <v>84</v>
      </c>
      <c r="E3962" s="20">
        <v>46</v>
      </c>
      <c r="F3962" s="20" t="s">
        <v>24000</v>
      </c>
      <c r="G3962" s="24"/>
      <c r="H3962" s="24"/>
      <c r="I3962" s="24" t="str">
        <f ca="1">IFERROR(__xludf.DUMMYFUNCTION("GOOGLETRANSLATE(F3962,""en"",""pt"")"),"objetivos Lacrosse")</f>
        <v>objetivos Lacrosse</v>
      </c>
      <c r="J3962">
        <f>VLOOKUP(A3962,Pr_Base_LNEC!$A$4:$J$6971,6,FALSE)</f>
        <v>0</v>
      </c>
      <c r="K3962">
        <f>VLOOKUP(A3962,Pr_Base_LNEC!$A$4:$J$6971,7,FALSE)</f>
        <v>0</v>
      </c>
    </row>
    <row r="3963" spans="1:11" ht="14.5">
      <c r="A3963" s="20" t="s">
        <v>24001</v>
      </c>
      <c r="B3963" s="20">
        <v>40</v>
      </c>
      <c r="C3963" s="20">
        <v>30</v>
      </c>
      <c r="D3963" s="20">
        <v>84</v>
      </c>
      <c r="E3963" s="20">
        <v>56</v>
      </c>
      <c r="F3963" s="20" t="s">
        <v>24002</v>
      </c>
      <c r="G3963" s="20" t="s">
        <v>24003</v>
      </c>
      <c r="H3963" s="24"/>
      <c r="I3963" s="24" t="str">
        <f ca="1">IFERROR(__xludf.DUMMYFUNCTION("GOOGLETRANSLATE(F3963,""en"",""pt"")"),"objetivos netball")</f>
        <v>objetivos netball</v>
      </c>
      <c r="J3963">
        <f>VLOOKUP(A3963,Pr_Base_LNEC!$A$4:$J$6971,6,FALSE)</f>
        <v>0</v>
      </c>
      <c r="K3963">
        <f>VLOOKUP(A3963,Pr_Base_LNEC!$A$4:$J$6971,7,FALSE)</f>
        <v>0</v>
      </c>
    </row>
    <row r="3964" spans="1:11" ht="14.5">
      <c r="A3964" s="20" t="s">
        <v>24004</v>
      </c>
      <c r="B3964" s="20">
        <v>40</v>
      </c>
      <c r="C3964" s="20">
        <v>30</v>
      </c>
      <c r="D3964" s="20">
        <v>84</v>
      </c>
      <c r="E3964" s="20">
        <v>65</v>
      </c>
      <c r="F3964" s="20" t="s">
        <v>24005</v>
      </c>
      <c r="G3964" s="24"/>
      <c r="H3964" s="24"/>
      <c r="I3964" s="24" t="str">
        <f ca="1">IFERROR(__xludf.DUMMYFUNCTION("GOOGLETRANSLATE(F3964,""en"",""pt"")"),"postes Polo")</f>
        <v>postes Polo</v>
      </c>
      <c r="J3964">
        <f>VLOOKUP(A3964,Pr_Base_LNEC!$A$4:$J$6971,6,FALSE)</f>
        <v>0</v>
      </c>
      <c r="K3964">
        <f>VLOOKUP(A3964,Pr_Base_LNEC!$A$4:$J$6971,7,FALSE)</f>
        <v>0</v>
      </c>
    </row>
    <row r="3965" spans="1:11" ht="14.5">
      <c r="A3965" s="20" t="s">
        <v>24006</v>
      </c>
      <c r="B3965" s="20">
        <v>40</v>
      </c>
      <c r="C3965" s="20">
        <v>30</v>
      </c>
      <c r="D3965" s="20">
        <v>84</v>
      </c>
      <c r="E3965" s="20">
        <v>69</v>
      </c>
      <c r="F3965" s="20" t="s">
        <v>24007</v>
      </c>
      <c r="G3965" s="24"/>
      <c r="H3965" s="24"/>
      <c r="I3965" s="24" t="str">
        <f ca="1">IFERROR(__xludf.DUMMYFUNCTION("GOOGLETRANSLATE(F3965,""en"",""pt"")"),"metas de Quadribol")</f>
        <v>metas de Quadribol</v>
      </c>
      <c r="J3965">
        <f>VLOOKUP(A3965,Pr_Base_LNEC!$A$4:$J$6971,6,FALSE)</f>
        <v>0</v>
      </c>
      <c r="K3965">
        <f>VLOOKUP(A3965,Pr_Base_LNEC!$A$4:$J$6971,7,FALSE)</f>
        <v>0</v>
      </c>
    </row>
    <row r="3966" spans="1:11" ht="14.5">
      <c r="A3966" s="20" t="s">
        <v>24008</v>
      </c>
      <c r="B3966" s="20">
        <v>40</v>
      </c>
      <c r="C3966" s="20">
        <v>30</v>
      </c>
      <c r="D3966" s="20">
        <v>84</v>
      </c>
      <c r="E3966" s="20">
        <v>74</v>
      </c>
      <c r="F3966" s="20" t="s">
        <v>24009</v>
      </c>
      <c r="G3966" s="20" t="s">
        <v>24010</v>
      </c>
      <c r="H3966" s="24"/>
      <c r="I3966" s="24" t="str">
        <f ca="1">IFERROR(__xludf.DUMMYFUNCTION("GOOGLETRANSLATE(F3966,""en"",""pt"")"),"traves de rugby")</f>
        <v>traves de rugby</v>
      </c>
      <c r="J3966">
        <f>VLOOKUP(A3966,Pr_Base_LNEC!$A$4:$J$6971,6,FALSE)</f>
        <v>0</v>
      </c>
      <c r="K3966">
        <f>VLOOKUP(A3966,Pr_Base_LNEC!$A$4:$J$6971,7,FALSE)</f>
        <v>0</v>
      </c>
    </row>
    <row r="3967" spans="1:11" ht="14.5">
      <c r="A3967" s="20" t="s">
        <v>24011</v>
      </c>
      <c r="B3967" s="20">
        <v>40</v>
      </c>
      <c r="C3967" s="20">
        <v>30</v>
      </c>
      <c r="D3967" s="20">
        <v>85</v>
      </c>
      <c r="E3967" s="24"/>
      <c r="F3967" s="20" t="s">
        <v>24012</v>
      </c>
      <c r="G3967" s="24"/>
      <c r="H3967" s="24"/>
      <c r="I3967" s="24" t="str">
        <f ca="1">IFERROR(__xludf.DUMMYFUNCTION("GOOGLETRANSLATE(F3967,""en"",""pt"")"),"rede Sports")</f>
        <v>rede Sports</v>
      </c>
      <c r="J3967">
        <f>VLOOKUP(A3967,Pr_Base_LNEC!$A$4:$J$6971,6,FALSE)</f>
        <v>0</v>
      </c>
      <c r="K3967">
        <f>VLOOKUP(A3967,Pr_Base_LNEC!$A$4:$J$6971,7,FALSE)</f>
        <v>0</v>
      </c>
    </row>
    <row r="3968" spans="1:11" ht="14.5">
      <c r="A3968" s="20" t="s">
        <v>24013</v>
      </c>
      <c r="B3968" s="20">
        <v>40</v>
      </c>
      <c r="C3968" s="20">
        <v>30</v>
      </c>
      <c r="D3968" s="20">
        <v>85</v>
      </c>
      <c r="E3968" s="20">
        <v>4</v>
      </c>
      <c r="F3968" s="20" t="s">
        <v>24014</v>
      </c>
      <c r="G3968" s="24"/>
      <c r="H3968" s="24"/>
      <c r="I3968" s="24" t="str">
        <f ca="1">IFERROR(__xludf.DUMMYFUNCTION("GOOGLETRANSLATE(F3968,""en"",""pt"")"),"redes de tiro com arco")</f>
        <v>redes de tiro com arco</v>
      </c>
      <c r="J3968">
        <f>VLOOKUP(A3968,Pr_Base_LNEC!$A$4:$J$6971,6,FALSE)</f>
        <v>0</v>
      </c>
      <c r="K3968">
        <f>VLOOKUP(A3968,Pr_Base_LNEC!$A$4:$J$6971,7,FALSE)</f>
        <v>0</v>
      </c>
    </row>
    <row r="3969" spans="1:11" ht="14.5">
      <c r="A3969" s="20" t="s">
        <v>24015</v>
      </c>
      <c r="B3969" s="20">
        <v>40</v>
      </c>
      <c r="C3969" s="20">
        <v>30</v>
      </c>
      <c r="D3969" s="20">
        <v>85</v>
      </c>
      <c r="E3969" s="20">
        <v>6</v>
      </c>
      <c r="F3969" s="20" t="s">
        <v>24016</v>
      </c>
      <c r="G3969" s="20" t="s">
        <v>24017</v>
      </c>
      <c r="H3969" s="24"/>
      <c r="I3969" s="24" t="str">
        <f ca="1">IFERROR(__xludf.DUMMYFUNCTION("GOOGLETRANSLATE(F3969,""en"",""pt"")"),"redes de badminton")</f>
        <v>redes de badminton</v>
      </c>
      <c r="J3969">
        <f>VLOOKUP(A3969,Pr_Base_LNEC!$A$4:$J$6971,6,FALSE)</f>
        <v>0</v>
      </c>
      <c r="K3969">
        <f>VLOOKUP(A3969,Pr_Base_LNEC!$A$4:$J$6971,7,FALSE)</f>
        <v>0</v>
      </c>
    </row>
    <row r="3970" spans="1:11" ht="14.5">
      <c r="A3970" s="20" t="s">
        <v>24018</v>
      </c>
      <c r="B3970" s="20">
        <v>40</v>
      </c>
      <c r="C3970" s="20">
        <v>30</v>
      </c>
      <c r="D3970" s="20">
        <v>85</v>
      </c>
      <c r="E3970" s="20">
        <v>17</v>
      </c>
      <c r="F3970" s="20" t="s">
        <v>24019</v>
      </c>
      <c r="G3970" s="20" t="s">
        <v>24020</v>
      </c>
      <c r="H3970" s="24"/>
      <c r="I3970" s="24" t="str">
        <f ca="1">IFERROR(__xludf.DUMMYFUNCTION("GOOGLETRANSLATE(F3970,""en"",""pt"")"),"redes de críquete")</f>
        <v>redes de críquete</v>
      </c>
      <c r="J3970">
        <f>VLOOKUP(A3970,Pr_Base_LNEC!$A$4:$J$6971,6,FALSE)</f>
        <v>0</v>
      </c>
      <c r="K3970">
        <f>VLOOKUP(A3970,Pr_Base_LNEC!$A$4:$J$6971,7,FALSE)</f>
        <v>0</v>
      </c>
    </row>
    <row r="3971" spans="1:11" ht="14.5">
      <c r="A3971" s="20" t="s">
        <v>24021</v>
      </c>
      <c r="B3971" s="20">
        <v>40</v>
      </c>
      <c r="C3971" s="20">
        <v>30</v>
      </c>
      <c r="D3971" s="20">
        <v>85</v>
      </c>
      <c r="E3971" s="20">
        <v>24</v>
      </c>
      <c r="F3971" s="20" t="s">
        <v>24022</v>
      </c>
      <c r="G3971" s="24"/>
      <c r="H3971" s="24"/>
      <c r="I3971" s="24" t="str">
        <f ca="1">IFERROR(__xludf.DUMMYFUNCTION("GOOGLETRANSLATE(F3971,""en"",""pt"")"),"Condução redes de alcance")</f>
        <v>Condução redes de alcance</v>
      </c>
      <c r="J3971">
        <f>VLOOKUP(A3971,Pr_Base_LNEC!$A$4:$J$6971,6,FALSE)</f>
        <v>0</v>
      </c>
      <c r="K3971">
        <f>VLOOKUP(A3971,Pr_Base_LNEC!$A$4:$J$6971,7,FALSE)</f>
        <v>0</v>
      </c>
    </row>
    <row r="3972" spans="1:11" ht="14.5">
      <c r="A3972" s="20" t="s">
        <v>24023</v>
      </c>
      <c r="B3972" s="20">
        <v>40</v>
      </c>
      <c r="C3972" s="20">
        <v>30</v>
      </c>
      <c r="D3972" s="20">
        <v>85</v>
      </c>
      <c r="E3972" s="20">
        <v>34</v>
      </c>
      <c r="F3972" s="20" t="s">
        <v>24024</v>
      </c>
      <c r="G3972" s="24"/>
      <c r="H3972" s="24"/>
      <c r="I3972" s="24" t="str">
        <f ca="1">IFERROR(__xludf.DUMMYFUNCTION("GOOGLETRANSLATE(F3972,""en"",""pt"")"),"redes de Campo de golfe")</f>
        <v>redes de Campo de golfe</v>
      </c>
      <c r="J3972">
        <f>VLOOKUP(A3972,Pr_Base_LNEC!$A$4:$J$6971,6,FALSE)</f>
        <v>0</v>
      </c>
      <c r="K3972">
        <f>VLOOKUP(A3972,Pr_Base_LNEC!$A$4:$J$6971,7,FALSE)</f>
        <v>0</v>
      </c>
    </row>
    <row r="3973" spans="1:11" ht="14.5">
      <c r="A3973" s="20" t="s">
        <v>24025</v>
      </c>
      <c r="B3973" s="20">
        <v>40</v>
      </c>
      <c r="C3973" s="20">
        <v>30</v>
      </c>
      <c r="D3973" s="20">
        <v>85</v>
      </c>
      <c r="E3973" s="20">
        <v>80</v>
      </c>
      <c r="F3973" s="20" t="s">
        <v>24026</v>
      </c>
      <c r="G3973" s="20" t="s">
        <v>24027</v>
      </c>
      <c r="H3973" s="24"/>
      <c r="I3973" s="24" t="str">
        <f ca="1">IFERROR(__xludf.DUMMYFUNCTION("GOOGLETRANSLATE(F3973,""en"",""pt"")"),"redes espaciais")</f>
        <v>redes espaciais</v>
      </c>
      <c r="J3973">
        <f>VLOOKUP(A3973,Pr_Base_LNEC!$A$4:$J$6971,6,FALSE)</f>
        <v>0</v>
      </c>
      <c r="K3973">
        <f>VLOOKUP(A3973,Pr_Base_LNEC!$A$4:$J$6971,7,FALSE)</f>
        <v>0</v>
      </c>
    </row>
    <row r="3974" spans="1:11" ht="14.5">
      <c r="A3974" s="20" t="s">
        <v>24028</v>
      </c>
      <c r="B3974" s="20">
        <v>40</v>
      </c>
      <c r="C3974" s="20">
        <v>30</v>
      </c>
      <c r="D3974" s="20">
        <v>85</v>
      </c>
      <c r="E3974" s="20">
        <v>85</v>
      </c>
      <c r="F3974" s="20" t="s">
        <v>24029</v>
      </c>
      <c r="G3974" s="24"/>
      <c r="H3974" s="24"/>
      <c r="I3974" s="24" t="str">
        <f ca="1">IFERROR(__xludf.DUMMYFUNCTION("GOOGLETRANSLATE(F3974,""en"",""pt"")"),"redes Estádio")</f>
        <v>redes Estádio</v>
      </c>
      <c r="J3974">
        <f>VLOOKUP(A3974,Pr_Base_LNEC!$A$4:$J$6971,6,FALSE)</f>
        <v>0</v>
      </c>
      <c r="K3974">
        <f>VLOOKUP(A3974,Pr_Base_LNEC!$A$4:$J$6971,7,FALSE)</f>
        <v>0</v>
      </c>
    </row>
    <row r="3975" spans="1:11" ht="14.5">
      <c r="A3975" s="20" t="s">
        <v>24030</v>
      </c>
      <c r="B3975" s="20">
        <v>40</v>
      </c>
      <c r="C3975" s="20">
        <v>30</v>
      </c>
      <c r="D3975" s="20">
        <v>85</v>
      </c>
      <c r="E3975" s="20">
        <v>87</v>
      </c>
      <c r="F3975" s="20" t="s">
        <v>24031</v>
      </c>
      <c r="G3975" s="20" t="s">
        <v>24032</v>
      </c>
      <c r="H3975" s="24"/>
      <c r="I3975" s="24" t="str">
        <f ca="1">IFERROR(__xludf.DUMMYFUNCTION("GOOGLETRANSLATE(F3975,""en"",""pt"")"),"redes de ténis")</f>
        <v>redes de ténis</v>
      </c>
      <c r="J3975">
        <f>VLOOKUP(A3975,Pr_Base_LNEC!$A$4:$J$6971,6,FALSE)</f>
        <v>0</v>
      </c>
      <c r="K3975">
        <f>VLOOKUP(A3975,Pr_Base_LNEC!$A$4:$J$6971,7,FALSE)</f>
        <v>0</v>
      </c>
    </row>
    <row r="3976" spans="1:11" ht="14.5">
      <c r="A3976" s="20" t="s">
        <v>24033</v>
      </c>
      <c r="B3976" s="20">
        <v>40</v>
      </c>
      <c r="C3976" s="20">
        <v>30</v>
      </c>
      <c r="D3976" s="20">
        <v>85</v>
      </c>
      <c r="E3976" s="20">
        <v>95</v>
      </c>
      <c r="F3976" s="20" t="s">
        <v>24034</v>
      </c>
      <c r="G3976" s="20" t="s">
        <v>24035</v>
      </c>
      <c r="H3976" s="24"/>
      <c r="I3976" s="24" t="str">
        <f ca="1">IFERROR(__xludf.DUMMYFUNCTION("GOOGLETRANSLATE(F3976,""en"",""pt"")"),"redes de vôlei")</f>
        <v>redes de vôlei</v>
      </c>
      <c r="J3976">
        <f>VLOOKUP(A3976,Pr_Base_LNEC!$A$4:$J$6971,6,FALSE)</f>
        <v>0</v>
      </c>
      <c r="K3976">
        <f>VLOOKUP(A3976,Pr_Base_LNEC!$A$4:$J$6971,7,FALSE)</f>
        <v>0</v>
      </c>
    </row>
    <row r="3977" spans="1:11" ht="14.5">
      <c r="A3977" s="20" t="s">
        <v>24036</v>
      </c>
      <c r="B3977" s="20">
        <v>40</v>
      </c>
      <c r="C3977" s="20">
        <v>30</v>
      </c>
      <c r="D3977" s="20">
        <v>86</v>
      </c>
      <c r="E3977" s="24"/>
      <c r="F3977" s="20" t="s">
        <v>24037</v>
      </c>
      <c r="G3977" s="24"/>
      <c r="H3977" s="24"/>
      <c r="I3977" s="24" t="str">
        <f ca="1">IFERROR(__xludf.DUMMYFUNCTION("GOOGLETRANSLATE(F3977,""en"",""pt"")"),"Natação acessórios piscina")</f>
        <v>Natação acessórios piscina</v>
      </c>
      <c r="J3977">
        <f>VLOOKUP(A3977,Pr_Base_LNEC!$A$4:$J$6971,6,FALSE)</f>
        <v>0</v>
      </c>
      <c r="K3977">
        <f>VLOOKUP(A3977,Pr_Base_LNEC!$A$4:$J$6971,7,FALSE)</f>
        <v>0</v>
      </c>
    </row>
    <row r="3978" spans="1:11" ht="14.5">
      <c r="A3978" s="20" t="s">
        <v>24038</v>
      </c>
      <c r="B3978" s="20">
        <v>40</v>
      </c>
      <c r="C3978" s="20">
        <v>30</v>
      </c>
      <c r="D3978" s="20">
        <v>86</v>
      </c>
      <c r="E3978" s="20">
        <v>22</v>
      </c>
      <c r="F3978" s="20" t="s">
        <v>24039</v>
      </c>
      <c r="G3978" s="20" t="s">
        <v>24040</v>
      </c>
      <c r="H3978" s="24"/>
      <c r="I3978" s="24" t="str">
        <f ca="1">IFERROR(__xludf.DUMMYFUNCTION("GOOGLETRANSLATE(F3978,""en"",""pt"")"),"As plataformas de mergulho")</f>
        <v>As plataformas de mergulho</v>
      </c>
      <c r="J3978">
        <f>VLOOKUP(A3978,Pr_Base_LNEC!$A$4:$J$6971,6,FALSE)</f>
        <v>0</v>
      </c>
      <c r="K3978">
        <f>VLOOKUP(A3978,Pr_Base_LNEC!$A$4:$J$6971,7,FALSE)</f>
        <v>0</v>
      </c>
    </row>
    <row r="3979" spans="1:11" ht="14.5">
      <c r="A3979" s="20" t="s">
        <v>24041</v>
      </c>
      <c r="B3979" s="20">
        <v>40</v>
      </c>
      <c r="C3979" s="20">
        <v>30</v>
      </c>
      <c r="D3979" s="20">
        <v>86</v>
      </c>
      <c r="E3979" s="20">
        <v>24</v>
      </c>
      <c r="F3979" s="20" t="s">
        <v>24042</v>
      </c>
      <c r="G3979" s="20" t="s">
        <v>24043</v>
      </c>
      <c r="H3979" s="24"/>
      <c r="I3979" s="24" t="str">
        <f ca="1">IFERROR(__xludf.DUMMYFUNCTION("GOOGLETRANSLATE(F3979,""en"",""pt"")"),"trampolins de mergulho")</f>
        <v>trampolins de mergulho</v>
      </c>
      <c r="J3979">
        <f>VLOOKUP(A3979,Pr_Base_LNEC!$A$4:$J$6971,6,FALSE)</f>
        <v>0</v>
      </c>
      <c r="K3979">
        <f>VLOOKUP(A3979,Pr_Base_LNEC!$A$4:$J$6971,7,FALSE)</f>
        <v>0</v>
      </c>
    </row>
    <row r="3980" spans="1:11" ht="14.5">
      <c r="A3980" s="20" t="s">
        <v>24044</v>
      </c>
      <c r="B3980" s="20">
        <v>40</v>
      </c>
      <c r="C3980" s="20">
        <v>30</v>
      </c>
      <c r="D3980" s="20">
        <v>86</v>
      </c>
      <c r="E3980" s="20">
        <v>28</v>
      </c>
      <c r="F3980" s="20" t="s">
        <v>24045</v>
      </c>
      <c r="G3980" s="20" t="s">
        <v>24046</v>
      </c>
      <c r="H3980" s="24"/>
      <c r="I3980" s="24" t="str">
        <f ca="1">IFERROR(__xludf.DUMMYFUNCTION("GOOGLETRANSLATE(F3980,""en"",""pt"")"),"mensagens de saída falsa")</f>
        <v>mensagens de saída falsa</v>
      </c>
      <c r="J3980">
        <f>VLOOKUP(A3980,Pr_Base_LNEC!$A$4:$J$6971,6,FALSE)</f>
        <v>0</v>
      </c>
      <c r="K3980">
        <f>VLOOKUP(A3980,Pr_Base_LNEC!$A$4:$J$6971,7,FALSE)</f>
        <v>0</v>
      </c>
    </row>
    <row r="3981" spans="1:11" ht="14.5">
      <c r="A3981" s="20" t="s">
        <v>24047</v>
      </c>
      <c r="B3981" s="20">
        <v>40</v>
      </c>
      <c r="C3981" s="20">
        <v>30</v>
      </c>
      <c r="D3981" s="20">
        <v>86</v>
      </c>
      <c r="E3981" s="20">
        <v>30</v>
      </c>
      <c r="F3981" s="20" t="s">
        <v>24048</v>
      </c>
      <c r="G3981" s="20" t="s">
        <v>24049</v>
      </c>
      <c r="H3981" s="24"/>
      <c r="I3981" s="24" t="str">
        <f ca="1">IFERROR(__xludf.DUMMYFUNCTION("GOOGLETRANSLATE(F3981,""en"",""pt"")"),"Fixas placas de mergulho domésticos")</f>
        <v>Fixas placas de mergulho domésticos</v>
      </c>
      <c r="J3981">
        <f>VLOOKUP(A3981,Pr_Base_LNEC!$A$4:$J$6971,6,FALSE)</f>
        <v>0</v>
      </c>
      <c r="K3981">
        <f>VLOOKUP(A3981,Pr_Base_LNEC!$A$4:$J$6971,7,FALSE)</f>
        <v>0</v>
      </c>
    </row>
    <row r="3982" spans="1:11" ht="14.5">
      <c r="A3982" s="20" t="s">
        <v>24050</v>
      </c>
      <c r="B3982" s="20">
        <v>40</v>
      </c>
      <c r="C3982" s="20">
        <v>30</v>
      </c>
      <c r="D3982" s="20">
        <v>86</v>
      </c>
      <c r="E3982" s="20">
        <v>32</v>
      </c>
      <c r="F3982" s="20" t="s">
        <v>24051</v>
      </c>
      <c r="G3982" s="20" t="s">
        <v>24052</v>
      </c>
      <c r="H3982" s="24"/>
      <c r="I3982" s="24" t="str">
        <f ca="1">IFERROR(__xludf.DUMMYFUNCTION("GOOGLETRANSLATE(F3982,""en"",""pt"")"),"plataformas de partida fixos")</f>
        <v>plataformas de partida fixos</v>
      </c>
      <c r="J3982">
        <f>VLOOKUP(A3982,Pr_Base_LNEC!$A$4:$J$6971,6,FALSE)</f>
        <v>0</v>
      </c>
      <c r="K3982">
        <f>VLOOKUP(A3982,Pr_Base_LNEC!$A$4:$J$6971,7,FALSE)</f>
        <v>0</v>
      </c>
    </row>
    <row r="3983" spans="1:11" ht="14.5">
      <c r="A3983" s="20" t="s">
        <v>24053</v>
      </c>
      <c r="B3983" s="20">
        <v>40</v>
      </c>
      <c r="C3983" s="20">
        <v>30</v>
      </c>
      <c r="D3983" s="20">
        <v>86</v>
      </c>
      <c r="E3983" s="20">
        <v>47</v>
      </c>
      <c r="F3983" s="20" t="s">
        <v>24054</v>
      </c>
      <c r="G3983" s="20" t="s">
        <v>24055</v>
      </c>
      <c r="H3983" s="24"/>
      <c r="I3983" s="24" t="str">
        <f ca="1">IFERROR(__xludf.DUMMYFUNCTION("GOOGLETRANSLATE(F3983,""en"",""pt"")"),"Pista placas de cobertura andar de armazenamento corda")</f>
        <v>Pista placas de cobertura andar de armazenamento corda</v>
      </c>
      <c r="J3983">
        <f>VLOOKUP(A3983,Pr_Base_LNEC!$A$4:$J$6971,6,FALSE)</f>
        <v>0</v>
      </c>
      <c r="K3983">
        <f>VLOOKUP(A3983,Pr_Base_LNEC!$A$4:$J$6971,7,FALSE)</f>
        <v>0</v>
      </c>
    </row>
    <row r="3984" spans="1:11" ht="14.5">
      <c r="A3984" s="20" t="s">
        <v>24056</v>
      </c>
      <c r="B3984" s="20">
        <v>40</v>
      </c>
      <c r="C3984" s="20">
        <v>30</v>
      </c>
      <c r="D3984" s="20">
        <v>86</v>
      </c>
      <c r="E3984" s="20">
        <v>59</v>
      </c>
      <c r="F3984" s="20" t="s">
        <v>24057</v>
      </c>
      <c r="G3984" s="20" t="s">
        <v>24058</v>
      </c>
      <c r="H3984" s="24"/>
      <c r="I3984" s="24" t="str">
        <f ca="1">IFERROR(__xludf.DUMMYFUNCTION("GOOGLETRANSLATE(F3984,""en"",""pt"")"),"rails piscina")</f>
        <v>rails piscina</v>
      </c>
      <c r="J3984">
        <f>VLOOKUP(A3984,Pr_Base_LNEC!$A$4:$J$6971,6,FALSE)</f>
        <v>0</v>
      </c>
      <c r="K3984">
        <f>VLOOKUP(A3984,Pr_Base_LNEC!$A$4:$J$6971,7,FALSE)</f>
        <v>0</v>
      </c>
    </row>
    <row r="3985" spans="1:11" ht="14.5">
      <c r="A3985" s="20" t="s">
        <v>24059</v>
      </c>
      <c r="B3985" s="20">
        <v>40</v>
      </c>
      <c r="C3985" s="20">
        <v>30</v>
      </c>
      <c r="D3985" s="20">
        <v>86</v>
      </c>
      <c r="E3985" s="20">
        <v>78</v>
      </c>
      <c r="F3985" s="20" t="s">
        <v>24060</v>
      </c>
      <c r="G3985" s="20" t="s">
        <v>24061</v>
      </c>
      <c r="H3985" s="24"/>
      <c r="I3985" s="24" t="str">
        <f ca="1">IFERROR(__xludf.DUMMYFUNCTION("GOOGLETRANSLATE(F3985,""en"",""pt"")"),"calhas de água pequenas")</f>
        <v>calhas de água pequenas</v>
      </c>
      <c r="J3985">
        <f>VLOOKUP(A3985,Pr_Base_LNEC!$A$4:$J$6971,6,FALSE)</f>
        <v>0</v>
      </c>
      <c r="K3985">
        <f>VLOOKUP(A3985,Pr_Base_LNEC!$A$4:$J$6971,7,FALSE)</f>
        <v>0</v>
      </c>
    </row>
    <row r="3986" spans="1:11" ht="14.5">
      <c r="A3986" s="20" t="s">
        <v>24062</v>
      </c>
      <c r="B3986" s="20">
        <v>40</v>
      </c>
      <c r="C3986" s="20">
        <v>30</v>
      </c>
      <c r="D3986" s="20">
        <v>86</v>
      </c>
      <c r="E3986" s="20">
        <v>80</v>
      </c>
      <c r="F3986" s="20" t="s">
        <v>24063</v>
      </c>
      <c r="G3986" s="20" t="s">
        <v>24064</v>
      </c>
      <c r="H3986" s="24"/>
      <c r="I3986" s="24" t="str">
        <f ca="1">IFERROR(__xludf.DUMMYFUNCTION("GOOGLETRANSLATE(F3986,""en"",""pt"")"),"escorregas de água pequenas")</f>
        <v>escorregas de água pequenas</v>
      </c>
      <c r="J3986">
        <f>VLOOKUP(A3986,Pr_Base_LNEC!$A$4:$J$6971,6,FALSE)</f>
        <v>0</v>
      </c>
      <c r="K3986">
        <f>VLOOKUP(A3986,Pr_Base_LNEC!$A$4:$J$6971,7,FALSE)</f>
        <v>0</v>
      </c>
    </row>
    <row r="3987" spans="1:11" ht="14.5">
      <c r="A3987" s="20" t="s">
        <v>24065</v>
      </c>
      <c r="B3987" s="20">
        <v>40</v>
      </c>
      <c r="C3987" s="20">
        <v>30</v>
      </c>
      <c r="D3987" s="20">
        <v>86</v>
      </c>
      <c r="E3987" s="20">
        <v>88</v>
      </c>
      <c r="F3987" s="20" t="s">
        <v>24066</v>
      </c>
      <c r="G3987" s="20" t="s">
        <v>24067</v>
      </c>
      <c r="H3987" s="24"/>
      <c r="I3987" s="24" t="str">
        <f ca="1">IFERROR(__xludf.DUMMYFUNCTION("GOOGLETRANSLATE(F3987,""en"",""pt"")"),"painéis de toque")</f>
        <v>painéis de toque</v>
      </c>
      <c r="J3987">
        <f>VLOOKUP(A3987,Pr_Base_LNEC!$A$4:$J$6971,6,FALSE)</f>
        <v>0</v>
      </c>
      <c r="K3987">
        <f>VLOOKUP(A3987,Pr_Base_LNEC!$A$4:$J$6971,7,FALSE)</f>
        <v>0</v>
      </c>
    </row>
    <row r="3988" spans="1:11" ht="14.5">
      <c r="A3988" s="20" t="s">
        <v>24068</v>
      </c>
      <c r="B3988" s="20">
        <v>40</v>
      </c>
      <c r="C3988" s="20">
        <v>30</v>
      </c>
      <c r="D3988" s="20">
        <v>86</v>
      </c>
      <c r="E3988" s="20">
        <v>90</v>
      </c>
      <c r="F3988" s="20" t="s">
        <v>24069</v>
      </c>
      <c r="G3988" s="20" t="s">
        <v>24070</v>
      </c>
      <c r="H3988" s="24"/>
      <c r="I3988" s="24" t="str">
        <f ca="1">IFERROR(__xludf.DUMMYFUNCTION("GOOGLETRANSLATE(F3988,""en"",""pt"")"),"placas de torneamento")</f>
        <v>placas de torneamento</v>
      </c>
      <c r="J3988">
        <f>VLOOKUP(A3988,Pr_Base_LNEC!$A$4:$J$6971,6,FALSE)</f>
        <v>0</v>
      </c>
      <c r="K3988">
        <f>VLOOKUP(A3988,Pr_Base_LNEC!$A$4:$J$6971,7,FALSE)</f>
        <v>0</v>
      </c>
    </row>
    <row r="3989" spans="1:11" ht="14.5">
      <c r="A3989" s="20" t="s">
        <v>24071</v>
      </c>
      <c r="B3989" s="20">
        <v>40</v>
      </c>
      <c r="C3989" s="20">
        <v>30</v>
      </c>
      <c r="D3989" s="20">
        <v>86</v>
      </c>
      <c r="E3989" s="20">
        <v>95</v>
      </c>
      <c r="F3989" s="20" t="s">
        <v>24072</v>
      </c>
      <c r="G3989" s="20" t="s">
        <v>24073</v>
      </c>
      <c r="H3989" s="24"/>
      <c r="I3989" s="24" t="str">
        <f ca="1">IFERROR(__xludf.DUMMYFUNCTION("GOOGLETRANSLATE(F3989,""en"",""pt"")"),"passarelas de pólo aquático")</f>
        <v>passarelas de pólo aquático</v>
      </c>
      <c r="J3989">
        <f>VLOOKUP(A3989,Pr_Base_LNEC!$A$4:$J$6971,6,FALSE)</f>
        <v>0</v>
      </c>
      <c r="K3989">
        <f>VLOOKUP(A3989,Pr_Base_LNEC!$A$4:$J$6971,7,FALSE)</f>
        <v>0</v>
      </c>
    </row>
    <row r="3990" spans="1:11" ht="14.5">
      <c r="A3990" s="20" t="s">
        <v>24074</v>
      </c>
      <c r="B3990" s="20">
        <v>40</v>
      </c>
      <c r="C3990" s="20">
        <v>30</v>
      </c>
      <c r="D3990" s="20">
        <v>86</v>
      </c>
      <c r="E3990" s="20">
        <v>96</v>
      </c>
      <c r="F3990" s="20" t="s">
        <v>24075</v>
      </c>
      <c r="G3990" s="20" t="s">
        <v>24076</v>
      </c>
      <c r="H3990" s="24"/>
      <c r="I3990" s="24" t="str">
        <f ca="1">IFERROR(__xludf.DUMMYFUNCTION("GOOGLETRANSLATE(F3990,""en"",""pt"")"),"marcadores de campo de pólo aquático")</f>
        <v>marcadores de campo de pólo aquático</v>
      </c>
      <c r="J3990">
        <f>VLOOKUP(A3990,Pr_Base_LNEC!$A$4:$J$6971,6,FALSE)</f>
        <v>0</v>
      </c>
      <c r="K3990">
        <f>VLOOKUP(A3990,Pr_Base_LNEC!$A$4:$J$6971,7,FALSE)</f>
        <v>0</v>
      </c>
    </row>
    <row r="3991" spans="1:11" ht="14.5">
      <c r="A3991" s="20" t="s">
        <v>24077</v>
      </c>
      <c r="B3991" s="20">
        <v>40</v>
      </c>
      <c r="C3991" s="20">
        <v>50</v>
      </c>
      <c r="D3991" s="24"/>
      <c r="E3991" s="24"/>
      <c r="F3991" s="20" t="s">
        <v>7697</v>
      </c>
      <c r="G3991" s="24"/>
      <c r="H3991" s="24"/>
      <c r="I3991" s="24" t="str">
        <f ca="1">IFERROR(__xludf.DUMMYFUNCTION("GOOGLETRANSLATE(F3991,""en"",""pt"")"),"móveis")</f>
        <v>móveis</v>
      </c>
      <c r="J3991" t="str">
        <f>VLOOKUP(A3991,Pr_Base_LNEC!$A$4:$J$6971,6,FALSE)</f>
        <v>Mobiliário</v>
      </c>
      <c r="K3991">
        <f>VLOOKUP(A3991,Pr_Base_LNEC!$A$4:$J$6971,7,FALSE)</f>
        <v>0</v>
      </c>
    </row>
    <row r="3992" spans="1:11" ht="14.5">
      <c r="A3992" s="20" t="s">
        <v>24078</v>
      </c>
      <c r="B3992" s="20">
        <v>40</v>
      </c>
      <c r="C3992" s="20">
        <v>50</v>
      </c>
      <c r="D3992" s="20">
        <v>5</v>
      </c>
      <c r="E3992" s="24"/>
      <c r="F3992" s="20" t="s">
        <v>24079</v>
      </c>
      <c r="G3992" s="24"/>
      <c r="H3992" s="24"/>
      <c r="I3992" s="24" t="str">
        <f ca="1">IFERROR(__xludf.DUMMYFUNCTION("GOOGLETRANSLATE(F3992,""en"",""pt"")"),"obras")</f>
        <v>obras</v>
      </c>
      <c r="J3992">
        <f>VLOOKUP(A3992,Pr_Base_LNEC!$A$4:$J$6971,6,FALSE)</f>
        <v>0</v>
      </c>
      <c r="K3992">
        <f>VLOOKUP(A3992,Pr_Base_LNEC!$A$4:$J$6971,7,FALSE)</f>
        <v>0</v>
      </c>
    </row>
    <row r="3993" spans="1:11" ht="14.5">
      <c r="A3993" s="20" t="s">
        <v>24080</v>
      </c>
      <c r="B3993" s="20">
        <v>40</v>
      </c>
      <c r="C3993" s="20">
        <v>50</v>
      </c>
      <c r="D3993" s="20">
        <v>5</v>
      </c>
      <c r="E3993" s="20">
        <v>2</v>
      </c>
      <c r="F3993" s="20" t="s">
        <v>24081</v>
      </c>
      <c r="G3993" s="24"/>
      <c r="H3993" s="24"/>
      <c r="I3993" s="24" t="str">
        <f ca="1">IFERROR(__xludf.DUMMYFUNCTION("GOOGLETRANSLATE(F3993,""en"",""pt"")"),"pinturas acrílicas")</f>
        <v>pinturas acrílicas</v>
      </c>
      <c r="J3993">
        <f>VLOOKUP(A3993,Pr_Base_LNEC!$A$4:$J$6971,6,FALSE)</f>
        <v>0</v>
      </c>
      <c r="K3993">
        <f>VLOOKUP(A3993,Pr_Base_LNEC!$A$4:$J$6971,7,FALSE)</f>
        <v>0</v>
      </c>
    </row>
    <row r="3994" spans="1:11" ht="14.5">
      <c r="A3994" s="20" t="s">
        <v>24082</v>
      </c>
      <c r="B3994" s="20">
        <v>40</v>
      </c>
      <c r="C3994" s="20">
        <v>50</v>
      </c>
      <c r="D3994" s="20">
        <v>5</v>
      </c>
      <c r="E3994" s="20">
        <v>11</v>
      </c>
      <c r="F3994" s="20" t="s">
        <v>24083</v>
      </c>
      <c r="G3994" s="24"/>
      <c r="H3994" s="24"/>
      <c r="I3994" s="24" t="str">
        <f ca="1">IFERROR(__xludf.DUMMYFUNCTION("GOOGLETRANSLATE(F3994,""en"",""pt"")"),"esculturas")</f>
        <v>esculturas</v>
      </c>
      <c r="J3994">
        <f>VLOOKUP(A3994,Pr_Base_LNEC!$A$4:$J$6971,6,FALSE)</f>
        <v>0</v>
      </c>
      <c r="K3994">
        <f>VLOOKUP(A3994,Pr_Base_LNEC!$A$4:$J$6971,7,FALSE)</f>
        <v>0</v>
      </c>
    </row>
    <row r="3995" spans="1:11" ht="14.5">
      <c r="A3995" s="20" t="s">
        <v>24084</v>
      </c>
      <c r="B3995" s="20">
        <v>40</v>
      </c>
      <c r="C3995" s="20">
        <v>50</v>
      </c>
      <c r="D3995" s="20">
        <v>5</v>
      </c>
      <c r="E3995" s="20">
        <v>13</v>
      </c>
      <c r="F3995" s="20" t="s">
        <v>24085</v>
      </c>
      <c r="G3995" s="24"/>
      <c r="H3995" s="24"/>
      <c r="I3995" s="24" t="str">
        <f ca="1">IFERROR(__xludf.DUMMYFUNCTION("GOOGLETRANSLATE(F3995,""en"",""pt"")"),"desenhos de giz")</f>
        <v>desenhos de giz</v>
      </c>
      <c r="J3995">
        <f>VLOOKUP(A3995,Pr_Base_LNEC!$A$4:$J$6971,6,FALSE)</f>
        <v>0</v>
      </c>
      <c r="K3995">
        <f>VLOOKUP(A3995,Pr_Base_LNEC!$A$4:$J$6971,7,FALSE)</f>
        <v>0</v>
      </c>
    </row>
    <row r="3996" spans="1:11" ht="14.5">
      <c r="A3996" s="20" t="s">
        <v>24086</v>
      </c>
      <c r="B3996" s="20">
        <v>40</v>
      </c>
      <c r="C3996" s="20">
        <v>50</v>
      </c>
      <c r="D3996" s="20">
        <v>5</v>
      </c>
      <c r="E3996" s="20">
        <v>14</v>
      </c>
      <c r="F3996" s="20" t="s">
        <v>24087</v>
      </c>
      <c r="G3996" s="24"/>
      <c r="H3996" s="24"/>
      <c r="I3996" s="24" t="str">
        <f ca="1">IFERROR(__xludf.DUMMYFUNCTION("GOOGLETRANSLATE(F3996,""en"",""pt"")"),"desenhos a carvão")</f>
        <v>desenhos a carvão</v>
      </c>
      <c r="J3996">
        <f>VLOOKUP(A3996,Pr_Base_LNEC!$A$4:$J$6971,6,FALSE)</f>
        <v>0</v>
      </c>
      <c r="K3996">
        <f>VLOOKUP(A3996,Pr_Base_LNEC!$A$4:$J$6971,7,FALSE)</f>
        <v>0</v>
      </c>
    </row>
    <row r="3997" spans="1:11" ht="14.5">
      <c r="A3997" s="20" t="s">
        <v>24088</v>
      </c>
      <c r="B3997" s="20">
        <v>40</v>
      </c>
      <c r="C3997" s="20">
        <v>50</v>
      </c>
      <c r="D3997" s="20">
        <v>5</v>
      </c>
      <c r="E3997" s="20">
        <v>24</v>
      </c>
      <c r="F3997" s="20" t="s">
        <v>24089</v>
      </c>
      <c r="G3997" s="24"/>
      <c r="H3997" s="24"/>
      <c r="I3997" s="24" t="str">
        <f ca="1">IFERROR(__xludf.DUMMYFUNCTION("GOOGLETRANSLATE(F3997,""en"",""pt"")"),"impressões drypoint")</f>
        <v>impressões drypoint</v>
      </c>
      <c r="J3997">
        <f>VLOOKUP(A3997,Pr_Base_LNEC!$A$4:$J$6971,6,FALSE)</f>
        <v>0</v>
      </c>
      <c r="K3997">
        <f>VLOOKUP(A3997,Pr_Base_LNEC!$A$4:$J$6971,7,FALSE)</f>
        <v>0</v>
      </c>
    </row>
    <row r="3998" spans="1:11" ht="14.5">
      <c r="A3998" s="20" t="s">
        <v>24090</v>
      </c>
      <c r="B3998" s="20">
        <v>40</v>
      </c>
      <c r="C3998" s="20">
        <v>50</v>
      </c>
      <c r="D3998" s="20">
        <v>5</v>
      </c>
      <c r="E3998" s="20">
        <v>27</v>
      </c>
      <c r="F3998" s="20" t="s">
        <v>24091</v>
      </c>
      <c r="G3998" s="24"/>
      <c r="H3998" s="24"/>
      <c r="I3998" s="24" t="str">
        <f ca="1">IFERROR(__xludf.DUMMYFUNCTION("GOOGLETRANSLATE(F3998,""en"",""pt"")"),"bordados")</f>
        <v>bordados</v>
      </c>
      <c r="J3998">
        <f>VLOOKUP(A3998,Pr_Base_LNEC!$A$4:$J$6971,6,FALSE)</f>
        <v>0</v>
      </c>
      <c r="K3998">
        <f>VLOOKUP(A3998,Pr_Base_LNEC!$A$4:$J$6971,7,FALSE)</f>
        <v>0</v>
      </c>
    </row>
    <row r="3999" spans="1:11" ht="14.5">
      <c r="A3999" s="20" t="s">
        <v>24092</v>
      </c>
      <c r="B3999" s="20">
        <v>40</v>
      </c>
      <c r="C3999" s="20">
        <v>50</v>
      </c>
      <c r="D3999" s="20">
        <v>5</v>
      </c>
      <c r="E3999" s="20">
        <v>28</v>
      </c>
      <c r="F3999" s="20" t="s">
        <v>24093</v>
      </c>
      <c r="G3999" s="24"/>
      <c r="H3999" s="24"/>
      <c r="I3999" s="24" t="str">
        <f ca="1">IFERROR(__xludf.DUMMYFUNCTION("GOOGLETRANSLATE(F3999,""en"",""pt"")"),"gravura a água")</f>
        <v>gravura a água</v>
      </c>
      <c r="J3999">
        <f>VLOOKUP(A3999,Pr_Base_LNEC!$A$4:$J$6971,6,FALSE)</f>
        <v>0</v>
      </c>
      <c r="K3999">
        <f>VLOOKUP(A3999,Pr_Base_LNEC!$A$4:$J$6971,7,FALSE)</f>
        <v>0</v>
      </c>
    </row>
    <row r="4000" spans="1:11" ht="14.5">
      <c r="A4000" s="20" t="s">
        <v>24094</v>
      </c>
      <c r="B4000" s="20">
        <v>40</v>
      </c>
      <c r="C4000" s="20">
        <v>50</v>
      </c>
      <c r="D4000" s="20">
        <v>5</v>
      </c>
      <c r="E4000" s="20">
        <v>29</v>
      </c>
      <c r="F4000" s="20" t="s">
        <v>24095</v>
      </c>
      <c r="G4000" s="24"/>
      <c r="H4000" s="24"/>
      <c r="I4000" s="24" t="str">
        <f ca="1">IFERROR(__xludf.DUMMYFUNCTION("GOOGLETRANSLATE(F4000,""en"",""pt"")"),"mobiles montagem no chão")</f>
        <v>mobiles montagem no chão</v>
      </c>
      <c r="J4000">
        <f>VLOOKUP(A4000,Pr_Base_LNEC!$A$4:$J$6971,6,FALSE)</f>
        <v>0</v>
      </c>
      <c r="K4000">
        <f>VLOOKUP(A4000,Pr_Base_LNEC!$A$4:$J$6971,7,FALSE)</f>
        <v>0</v>
      </c>
    </row>
    <row r="4001" spans="1:11" ht="14.5">
      <c r="A4001" s="20" t="s">
        <v>24096</v>
      </c>
      <c r="B4001" s="20">
        <v>40</v>
      </c>
      <c r="C4001" s="20">
        <v>50</v>
      </c>
      <c r="D4001" s="20">
        <v>5</v>
      </c>
      <c r="E4001" s="20">
        <v>30</v>
      </c>
      <c r="F4001" s="20" t="s">
        <v>24097</v>
      </c>
      <c r="G4001" s="20" t="s">
        <v>24098</v>
      </c>
      <c r="H4001" s="24"/>
      <c r="I4001" s="24" t="str">
        <f ca="1">IFERROR(__xludf.DUMMYFUNCTION("GOOGLETRANSLATE(F4001,""en"",""pt"")"),"esculturas montadas no chão")</f>
        <v>esculturas montadas no chão</v>
      </c>
      <c r="J4001">
        <f>VLOOKUP(A4001,Pr_Base_LNEC!$A$4:$J$6971,6,FALSE)</f>
        <v>0</v>
      </c>
      <c r="K4001">
        <f>VLOOKUP(A4001,Pr_Base_LNEC!$A$4:$J$6971,7,FALSE)</f>
        <v>0</v>
      </c>
    </row>
    <row r="4002" spans="1:11" ht="14.5">
      <c r="A4002" s="20" t="s">
        <v>24099</v>
      </c>
      <c r="B4002" s="20">
        <v>40</v>
      </c>
      <c r="C4002" s="20">
        <v>50</v>
      </c>
      <c r="D4002" s="20">
        <v>5</v>
      </c>
      <c r="E4002" s="20">
        <v>33</v>
      </c>
      <c r="F4002" s="20" t="s">
        <v>24100</v>
      </c>
      <c r="G4002" s="24"/>
      <c r="H4002" s="24"/>
      <c r="I4002" s="24" t="str">
        <f ca="1">IFERROR(__xludf.DUMMYFUNCTION("GOOGLETRANSLATE(F4002,""en"",""pt"")"),"enfeites de jardim")</f>
        <v>enfeites de jardim</v>
      </c>
      <c r="J4002">
        <f>VLOOKUP(A4002,Pr_Base_LNEC!$A$4:$J$6971,6,FALSE)</f>
        <v>0</v>
      </c>
      <c r="K4002">
        <f>VLOOKUP(A4002,Pr_Base_LNEC!$A$4:$J$6971,7,FALSE)</f>
        <v>0</v>
      </c>
    </row>
    <row r="4003" spans="1:11" ht="14.5">
      <c r="A4003" s="20" t="s">
        <v>24101</v>
      </c>
      <c r="B4003" s="20">
        <v>40</v>
      </c>
      <c r="C4003" s="20">
        <v>50</v>
      </c>
      <c r="D4003" s="20">
        <v>5</v>
      </c>
      <c r="E4003" s="20">
        <v>41</v>
      </c>
      <c r="F4003" s="20" t="s">
        <v>24102</v>
      </c>
      <c r="G4003" s="24"/>
      <c r="H4003" s="24"/>
      <c r="I4003" s="24" t="str">
        <f ca="1">IFERROR(__xludf.DUMMYFUNCTION("GOOGLETRANSLATE(F4003,""en"",""pt"")"),"ornamentos Indoor")</f>
        <v>ornamentos Indoor</v>
      </c>
      <c r="J4003">
        <f>VLOOKUP(A4003,Pr_Base_LNEC!$A$4:$J$6971,6,FALSE)</f>
        <v>0</v>
      </c>
      <c r="K4003">
        <f>VLOOKUP(A4003,Pr_Base_LNEC!$A$4:$J$6971,7,FALSE)</f>
        <v>0</v>
      </c>
    </row>
    <row r="4004" spans="1:11" ht="14.5">
      <c r="A4004" s="20" t="s">
        <v>24103</v>
      </c>
      <c r="B4004" s="20">
        <v>40</v>
      </c>
      <c r="C4004" s="20">
        <v>50</v>
      </c>
      <c r="D4004" s="20">
        <v>5</v>
      </c>
      <c r="E4004" s="20">
        <v>42</v>
      </c>
      <c r="F4004" s="20" t="s">
        <v>24104</v>
      </c>
      <c r="G4004" s="24"/>
      <c r="H4004" s="24"/>
      <c r="I4004" s="24" t="str">
        <f ca="1">IFERROR(__xludf.DUMMYFUNCTION("GOOGLETRANSLATE(F4004,""en"",""pt"")"),"peças de instalação")</f>
        <v>peças de instalação</v>
      </c>
      <c r="J4004">
        <f>VLOOKUP(A4004,Pr_Base_LNEC!$A$4:$J$6971,6,FALSE)</f>
        <v>0</v>
      </c>
      <c r="K4004">
        <f>VLOOKUP(A4004,Pr_Base_LNEC!$A$4:$J$6971,7,FALSE)</f>
        <v>0</v>
      </c>
    </row>
    <row r="4005" spans="1:11" ht="14.5">
      <c r="A4005" s="20" t="s">
        <v>24105</v>
      </c>
      <c r="B4005" s="20">
        <v>40</v>
      </c>
      <c r="C4005" s="20">
        <v>50</v>
      </c>
      <c r="D4005" s="20">
        <v>5</v>
      </c>
      <c r="E4005" s="20">
        <v>43</v>
      </c>
      <c r="F4005" s="20" t="s">
        <v>24106</v>
      </c>
      <c r="G4005" s="20" t="s">
        <v>24107</v>
      </c>
      <c r="H4005" s="24"/>
      <c r="I4005" s="24" t="str">
        <f ca="1">IFERROR(__xludf.DUMMYFUNCTION("GOOGLETRANSLATE(F4005,""en"",""pt"")"),"obras de arte interativas")</f>
        <v>obras de arte interativas</v>
      </c>
      <c r="J4005">
        <f>VLOOKUP(A4005,Pr_Base_LNEC!$A$4:$J$6971,6,FALSE)</f>
        <v>0</v>
      </c>
      <c r="K4005">
        <f>VLOOKUP(A4005,Pr_Base_LNEC!$A$4:$J$6971,7,FALSE)</f>
        <v>0</v>
      </c>
    </row>
    <row r="4006" spans="1:11" ht="14.5">
      <c r="A4006" s="20" t="s">
        <v>24108</v>
      </c>
      <c r="B4006" s="20">
        <v>40</v>
      </c>
      <c r="C4006" s="20">
        <v>50</v>
      </c>
      <c r="D4006" s="20">
        <v>5</v>
      </c>
      <c r="E4006" s="20">
        <v>46</v>
      </c>
      <c r="F4006" s="20" t="s">
        <v>24109</v>
      </c>
      <c r="G4006" s="24"/>
      <c r="H4006" s="24"/>
      <c r="I4006" s="24" t="str">
        <f ca="1">IFERROR(__xludf.DUMMYFUNCTION("GOOGLETRANSLATE(F4006,""en"",""pt"")"),"Linoprints")</f>
        <v>Linoprints</v>
      </c>
      <c r="J4006">
        <f>VLOOKUP(A4006,Pr_Base_LNEC!$A$4:$J$6971,6,FALSE)</f>
        <v>0</v>
      </c>
      <c r="K4006">
        <f>VLOOKUP(A4006,Pr_Base_LNEC!$A$4:$J$6971,7,FALSE)</f>
        <v>0</v>
      </c>
    </row>
    <row r="4007" spans="1:11" ht="14.5">
      <c r="A4007" s="20" t="s">
        <v>24110</v>
      </c>
      <c r="B4007" s="20">
        <v>40</v>
      </c>
      <c r="C4007" s="20">
        <v>50</v>
      </c>
      <c r="D4007" s="20">
        <v>5</v>
      </c>
      <c r="E4007" s="20">
        <v>51</v>
      </c>
      <c r="F4007" s="20" t="s">
        <v>24111</v>
      </c>
      <c r="G4007" s="20" t="s">
        <v>24107</v>
      </c>
      <c r="H4007" s="24"/>
      <c r="I4007" s="24" t="str">
        <f ca="1">IFERROR(__xludf.DUMMYFUNCTION("GOOGLETRANSLATE(F4007,""en"",""pt"")"),"obras de arte de mídia mista")</f>
        <v>obras de arte de mídia mista</v>
      </c>
      <c r="J4007">
        <f>VLOOKUP(A4007,Pr_Base_LNEC!$A$4:$J$6971,6,FALSE)</f>
        <v>0</v>
      </c>
      <c r="K4007">
        <f>VLOOKUP(A4007,Pr_Base_LNEC!$A$4:$J$6971,7,FALSE)</f>
        <v>0</v>
      </c>
    </row>
    <row r="4008" spans="1:11" ht="14.5">
      <c r="A4008" s="20" t="s">
        <v>24112</v>
      </c>
      <c r="B4008" s="20">
        <v>40</v>
      </c>
      <c r="C4008" s="20">
        <v>50</v>
      </c>
      <c r="D4008" s="20">
        <v>5</v>
      </c>
      <c r="E4008" s="20">
        <v>55</v>
      </c>
      <c r="F4008" s="20" t="s">
        <v>24113</v>
      </c>
      <c r="G4008" s="24"/>
      <c r="H4008" s="24"/>
      <c r="I4008" s="24" t="str">
        <f ca="1">IFERROR(__xludf.DUMMYFUNCTION("GOOGLETRANSLATE(F4008,""en"",""pt"")"),"murais")</f>
        <v>murais</v>
      </c>
      <c r="J4008">
        <f>VLOOKUP(A4008,Pr_Base_LNEC!$A$4:$J$6971,6,FALSE)</f>
        <v>0</v>
      </c>
      <c r="K4008">
        <f>VLOOKUP(A4008,Pr_Base_LNEC!$A$4:$J$6971,7,FALSE)</f>
        <v>0</v>
      </c>
    </row>
    <row r="4009" spans="1:11" ht="14.5">
      <c r="A4009" s="20" t="s">
        <v>24114</v>
      </c>
      <c r="B4009" s="20">
        <v>40</v>
      </c>
      <c r="C4009" s="20">
        <v>50</v>
      </c>
      <c r="D4009" s="20">
        <v>5</v>
      </c>
      <c r="E4009" s="20">
        <v>58</v>
      </c>
      <c r="F4009" s="20" t="s">
        <v>24115</v>
      </c>
      <c r="G4009" s="24"/>
      <c r="H4009" s="24"/>
      <c r="I4009" s="24" t="str">
        <f ca="1">IFERROR(__xludf.DUMMYFUNCTION("GOOGLETRANSLATE(F4009,""en"",""pt"")"),"Pinturas a óleo")</f>
        <v>Pinturas a óleo</v>
      </c>
      <c r="J4009">
        <f>VLOOKUP(A4009,Pr_Base_LNEC!$A$4:$J$6971,6,FALSE)</f>
        <v>0</v>
      </c>
      <c r="K4009">
        <f>VLOOKUP(A4009,Pr_Base_LNEC!$A$4:$J$6971,7,FALSE)</f>
        <v>0</v>
      </c>
    </row>
    <row r="4010" spans="1:11" ht="14.5">
      <c r="A4010" s="20" t="s">
        <v>24116</v>
      </c>
      <c r="B4010" s="20">
        <v>40</v>
      </c>
      <c r="C4010" s="20">
        <v>50</v>
      </c>
      <c r="D4010" s="20">
        <v>5</v>
      </c>
      <c r="E4010" s="20">
        <v>60</v>
      </c>
      <c r="F4010" s="20" t="s">
        <v>24117</v>
      </c>
      <c r="G4010" s="24"/>
      <c r="H4010" s="24"/>
      <c r="I4010" s="24" t="str">
        <f ca="1">IFERROR(__xludf.DUMMYFUNCTION("GOOGLETRANSLATE(F4010,""en"",""pt"")"),"desenhos a pastel")</f>
        <v>desenhos a pastel</v>
      </c>
      <c r="J4010">
        <f>VLOOKUP(A4010,Pr_Base_LNEC!$A$4:$J$6971,6,FALSE)</f>
        <v>0</v>
      </c>
      <c r="K4010">
        <f>VLOOKUP(A4010,Pr_Base_LNEC!$A$4:$J$6971,7,FALSE)</f>
        <v>0</v>
      </c>
    </row>
    <row r="4011" spans="1:11" ht="14.5">
      <c r="A4011" s="20" t="s">
        <v>24118</v>
      </c>
      <c r="B4011" s="20">
        <v>40</v>
      </c>
      <c r="C4011" s="20">
        <v>50</v>
      </c>
      <c r="D4011" s="20">
        <v>5</v>
      </c>
      <c r="E4011" s="20">
        <v>62</v>
      </c>
      <c r="F4011" s="20" t="s">
        <v>24119</v>
      </c>
      <c r="G4011" s="24"/>
      <c r="H4011" s="24"/>
      <c r="I4011" s="24" t="str">
        <f ca="1">IFERROR(__xludf.DUMMYFUNCTION("GOOGLETRANSLATE(F4011,""en"",""pt"")"),"desenhos a lápis")</f>
        <v>desenhos a lápis</v>
      </c>
      <c r="J4011">
        <f>VLOOKUP(A4011,Pr_Base_LNEC!$A$4:$J$6971,6,FALSE)</f>
        <v>0</v>
      </c>
      <c r="K4011">
        <f>VLOOKUP(A4011,Pr_Base_LNEC!$A$4:$J$6971,7,FALSE)</f>
        <v>0</v>
      </c>
    </row>
    <row r="4012" spans="1:11" ht="14.5">
      <c r="A4012" s="20" t="s">
        <v>24120</v>
      </c>
      <c r="B4012" s="20">
        <v>40</v>
      </c>
      <c r="C4012" s="20">
        <v>50</v>
      </c>
      <c r="D4012" s="20">
        <v>5</v>
      </c>
      <c r="E4012" s="20">
        <v>66</v>
      </c>
      <c r="F4012" s="20" t="s">
        <v>24121</v>
      </c>
      <c r="G4012" s="20" t="s">
        <v>24107</v>
      </c>
      <c r="H4012" s="24"/>
      <c r="I4012" s="24" t="str">
        <f ca="1">IFERROR(__xludf.DUMMYFUNCTION("GOOGLETRANSLATE(F4012,""en"",""pt"")"),"obras projetadas")</f>
        <v>obras projetadas</v>
      </c>
      <c r="J4012">
        <f>VLOOKUP(A4012,Pr_Base_LNEC!$A$4:$J$6971,6,FALSE)</f>
        <v>0</v>
      </c>
      <c r="K4012">
        <f>VLOOKUP(A4012,Pr_Base_LNEC!$A$4:$J$6971,7,FALSE)</f>
        <v>0</v>
      </c>
    </row>
    <row r="4013" spans="1:11" ht="14.5">
      <c r="A4013" s="20" t="s">
        <v>24122</v>
      </c>
      <c r="B4013" s="20">
        <v>40</v>
      </c>
      <c r="C4013" s="20">
        <v>50</v>
      </c>
      <c r="D4013" s="20">
        <v>5</v>
      </c>
      <c r="E4013" s="20">
        <v>76</v>
      </c>
      <c r="F4013" s="20" t="s">
        <v>24123</v>
      </c>
      <c r="G4013" s="24"/>
      <c r="H4013" s="24"/>
      <c r="I4013" s="24" t="str">
        <f ca="1">IFERROR(__xludf.DUMMYFUNCTION("GOOGLETRANSLATE(F4013,""en"",""pt"")"),"screenprints")</f>
        <v>screenprints</v>
      </c>
      <c r="J4013">
        <f>VLOOKUP(A4013,Pr_Base_LNEC!$A$4:$J$6971,6,FALSE)</f>
        <v>0</v>
      </c>
      <c r="K4013">
        <f>VLOOKUP(A4013,Pr_Base_LNEC!$A$4:$J$6971,7,FALSE)</f>
        <v>0</v>
      </c>
    </row>
    <row r="4014" spans="1:11" ht="14.5">
      <c r="A4014" s="20" t="s">
        <v>24124</v>
      </c>
      <c r="B4014" s="20">
        <v>40</v>
      </c>
      <c r="C4014" s="20">
        <v>50</v>
      </c>
      <c r="D4014" s="20">
        <v>5</v>
      </c>
      <c r="E4014" s="20">
        <v>77</v>
      </c>
      <c r="F4014" s="20" t="s">
        <v>24125</v>
      </c>
      <c r="G4014" s="24"/>
      <c r="H4014" s="24"/>
      <c r="I4014" s="24" t="str">
        <f ca="1">IFERROR(__xludf.DUMMYFUNCTION("GOOGLETRANSLATE(F4014,""en"",""pt"")"),"relevos esculturais")</f>
        <v>relevos esculturais</v>
      </c>
      <c r="J4014">
        <f>VLOOKUP(A4014,Pr_Base_LNEC!$A$4:$J$6971,6,FALSE)</f>
        <v>0</v>
      </c>
      <c r="K4014">
        <f>VLOOKUP(A4014,Pr_Base_LNEC!$A$4:$J$6971,7,FALSE)</f>
        <v>0</v>
      </c>
    </row>
    <row r="4015" spans="1:11" ht="14.5">
      <c r="A4015" s="20" t="s">
        <v>24126</v>
      </c>
      <c r="B4015" s="20">
        <v>40</v>
      </c>
      <c r="C4015" s="20">
        <v>50</v>
      </c>
      <c r="D4015" s="20">
        <v>5</v>
      </c>
      <c r="E4015" s="20">
        <v>82</v>
      </c>
      <c r="F4015" s="20" t="s">
        <v>24127</v>
      </c>
      <c r="G4015" s="24"/>
      <c r="H4015" s="24"/>
      <c r="I4015" s="24" t="str">
        <f ca="1">IFERROR(__xludf.DUMMYFUNCTION("GOOGLETRANSLATE(F4015,""en"",""pt"")"),"Sons et LUMIERES")</f>
        <v>Sons et LUMIERES</v>
      </c>
      <c r="J4015">
        <f>VLOOKUP(A4015,Pr_Base_LNEC!$A$4:$J$6971,6,FALSE)</f>
        <v>0</v>
      </c>
      <c r="K4015">
        <f>VLOOKUP(A4015,Pr_Base_LNEC!$A$4:$J$6971,7,FALSE)</f>
        <v>0</v>
      </c>
    </row>
    <row r="4016" spans="1:11" ht="14.5">
      <c r="A4016" s="20" t="s">
        <v>24128</v>
      </c>
      <c r="B4016" s="20">
        <v>40</v>
      </c>
      <c r="C4016" s="20">
        <v>50</v>
      </c>
      <c r="D4016" s="20">
        <v>5</v>
      </c>
      <c r="E4016" s="20">
        <v>84</v>
      </c>
      <c r="F4016" s="20" t="s">
        <v>24129</v>
      </c>
      <c r="G4016" s="20" t="s">
        <v>24098</v>
      </c>
      <c r="H4016" s="24"/>
      <c r="I4016" s="24" t="str">
        <f ca="1">IFERROR(__xludf.DUMMYFUNCTION("GOOGLETRANSLATE(F4016,""en"",""pt"")"),"esculturas estande montado")</f>
        <v>esculturas estande montado</v>
      </c>
      <c r="J4016">
        <f>VLOOKUP(A4016,Pr_Base_LNEC!$A$4:$J$6971,6,FALSE)</f>
        <v>0</v>
      </c>
      <c r="K4016">
        <f>VLOOKUP(A4016,Pr_Base_LNEC!$A$4:$J$6971,7,FALSE)</f>
        <v>0</v>
      </c>
    </row>
    <row r="4017" spans="1:11" ht="14.5">
      <c r="A4017" s="20" t="s">
        <v>24130</v>
      </c>
      <c r="B4017" s="20">
        <v>40</v>
      </c>
      <c r="C4017" s="20">
        <v>50</v>
      </c>
      <c r="D4017" s="20">
        <v>5</v>
      </c>
      <c r="E4017" s="20">
        <v>85</v>
      </c>
      <c r="F4017" s="20" t="s">
        <v>24131</v>
      </c>
      <c r="G4017" s="24"/>
      <c r="H4017" s="24"/>
      <c r="I4017" s="24" t="str">
        <f ca="1">IFERROR(__xludf.DUMMYFUNCTION("GOOGLETRANSLATE(F4017,""en"",""pt"")"),"Estatuária")</f>
        <v>Estatuária</v>
      </c>
      <c r="J4017">
        <f>VLOOKUP(A4017,Pr_Base_LNEC!$A$4:$J$6971,6,FALSE)</f>
        <v>0</v>
      </c>
      <c r="K4017">
        <f>VLOOKUP(A4017,Pr_Base_LNEC!$A$4:$J$6971,7,FALSE)</f>
        <v>0</v>
      </c>
    </row>
    <row r="4018" spans="1:11" ht="14.5">
      <c r="A4018" s="20" t="s">
        <v>24132</v>
      </c>
      <c r="B4018" s="20">
        <v>40</v>
      </c>
      <c r="C4018" s="20">
        <v>50</v>
      </c>
      <c r="D4018" s="20">
        <v>5</v>
      </c>
      <c r="E4018" s="20">
        <v>86</v>
      </c>
      <c r="F4018" s="20" t="s">
        <v>24133</v>
      </c>
      <c r="G4018" s="24"/>
      <c r="H4018" s="24"/>
      <c r="I4018" s="24" t="str">
        <f ca="1">IFERROR(__xludf.DUMMYFUNCTION("GOOGLETRANSLATE(F4018,""en"",""pt"")"),"celulares suspensas")</f>
        <v>celulares suspensas</v>
      </c>
      <c r="J4018">
        <f>VLOOKUP(A4018,Pr_Base_LNEC!$A$4:$J$6971,6,FALSE)</f>
        <v>0</v>
      </c>
      <c r="K4018">
        <f>VLOOKUP(A4018,Pr_Base_LNEC!$A$4:$J$6971,7,FALSE)</f>
        <v>0</v>
      </c>
    </row>
    <row r="4019" spans="1:11" ht="14.5">
      <c r="A4019" s="20" t="s">
        <v>24134</v>
      </c>
      <c r="B4019" s="20">
        <v>40</v>
      </c>
      <c r="C4019" s="20">
        <v>50</v>
      </c>
      <c r="D4019" s="20">
        <v>5</v>
      </c>
      <c r="E4019" s="20">
        <v>87</v>
      </c>
      <c r="F4019" s="20" t="s">
        <v>24135</v>
      </c>
      <c r="G4019" s="24"/>
      <c r="H4019" s="24"/>
      <c r="I4019" s="24" t="str">
        <f ca="1">IFERROR(__xludf.DUMMYFUNCTION("GOOGLETRANSLATE(F4019,""en"",""pt"")"),"tapeçarias")</f>
        <v>tapeçarias</v>
      </c>
      <c r="J4019">
        <f>VLOOKUP(A4019,Pr_Base_LNEC!$A$4:$J$6971,6,FALSE)</f>
        <v>0</v>
      </c>
      <c r="K4019">
        <f>VLOOKUP(A4019,Pr_Base_LNEC!$A$4:$J$6971,7,FALSE)</f>
        <v>0</v>
      </c>
    </row>
    <row r="4020" spans="1:11" ht="14.5">
      <c r="A4020" s="20" t="s">
        <v>24136</v>
      </c>
      <c r="B4020" s="20">
        <v>40</v>
      </c>
      <c r="C4020" s="20">
        <v>50</v>
      </c>
      <c r="D4020" s="20">
        <v>5</v>
      </c>
      <c r="E4020" s="20">
        <v>95</v>
      </c>
      <c r="F4020" s="20" t="s">
        <v>24137</v>
      </c>
      <c r="G4020" s="24"/>
      <c r="H4020" s="24"/>
      <c r="I4020" s="24" t="str">
        <f ca="1">IFERROR(__xludf.DUMMYFUNCTION("GOOGLETRANSLATE(F4020,""en"",""pt"")"),"ganchos de parede")</f>
        <v>ganchos de parede</v>
      </c>
      <c r="J4020">
        <f>VLOOKUP(A4020,Pr_Base_LNEC!$A$4:$J$6971,6,FALSE)</f>
        <v>0</v>
      </c>
      <c r="K4020">
        <f>VLOOKUP(A4020,Pr_Base_LNEC!$A$4:$J$6971,7,FALSE)</f>
        <v>0</v>
      </c>
    </row>
    <row r="4021" spans="1:11" ht="14.5">
      <c r="A4021" s="20" t="s">
        <v>24138</v>
      </c>
      <c r="B4021" s="20">
        <v>40</v>
      </c>
      <c r="C4021" s="20">
        <v>50</v>
      </c>
      <c r="D4021" s="20">
        <v>5</v>
      </c>
      <c r="E4021" s="20">
        <v>96</v>
      </c>
      <c r="F4021" s="20" t="s">
        <v>24139</v>
      </c>
      <c r="G4021" s="20" t="s">
        <v>24098</v>
      </c>
      <c r="H4021" s="24"/>
      <c r="I4021" s="24" t="str">
        <f ca="1">IFERROR(__xludf.DUMMYFUNCTION("GOOGLETRANSLATE(F4021,""en"",""pt"")"),"esculturas montado na parede")</f>
        <v>esculturas montado na parede</v>
      </c>
      <c r="J4021">
        <f>VLOOKUP(A4021,Pr_Base_LNEC!$A$4:$J$6971,6,FALSE)</f>
        <v>0</v>
      </c>
      <c r="K4021">
        <f>VLOOKUP(A4021,Pr_Base_LNEC!$A$4:$J$6971,7,FALSE)</f>
        <v>0</v>
      </c>
    </row>
    <row r="4022" spans="1:11" ht="14.5">
      <c r="A4022" s="20" t="s">
        <v>24140</v>
      </c>
      <c r="B4022" s="20">
        <v>40</v>
      </c>
      <c r="C4022" s="20">
        <v>50</v>
      </c>
      <c r="D4022" s="20">
        <v>5</v>
      </c>
      <c r="E4022" s="20">
        <v>97</v>
      </c>
      <c r="F4022" s="20" t="s">
        <v>24141</v>
      </c>
      <c r="G4022" s="24"/>
      <c r="H4022" s="24"/>
      <c r="I4022" s="24" t="str">
        <f ca="1">IFERROR(__xludf.DUMMYFUNCTION("GOOGLETRANSLATE(F4022,""en"",""pt"")"),"aguarelas")</f>
        <v>aguarelas</v>
      </c>
      <c r="J4022">
        <f>VLOOKUP(A4022,Pr_Base_LNEC!$A$4:$J$6971,6,FALSE)</f>
        <v>0</v>
      </c>
      <c r="K4022">
        <f>VLOOKUP(A4022,Pr_Base_LNEC!$A$4:$J$6971,7,FALSE)</f>
        <v>0</v>
      </c>
    </row>
    <row r="4023" spans="1:11" ht="14.5">
      <c r="A4023" s="20" t="s">
        <v>24142</v>
      </c>
      <c r="B4023" s="20">
        <v>40</v>
      </c>
      <c r="C4023" s="20">
        <v>50</v>
      </c>
      <c r="D4023" s="20">
        <v>6</v>
      </c>
      <c r="E4023" s="24"/>
      <c r="F4023" s="20" t="s">
        <v>24143</v>
      </c>
      <c r="G4023" s="24"/>
      <c r="H4023" s="24"/>
      <c r="I4023" s="24" t="str">
        <f ca="1">IFERROR(__xludf.DUMMYFUNCTION("GOOGLETRANSLATE(F4023,""en"",""pt"")"),"camas")</f>
        <v>camas</v>
      </c>
      <c r="J4023">
        <f>VLOOKUP(A4023,Pr_Base_LNEC!$A$4:$J$6971,6,FALSE)</f>
        <v>0</v>
      </c>
      <c r="K4023">
        <f>VLOOKUP(A4023,Pr_Base_LNEC!$A$4:$J$6971,7,FALSE)</f>
        <v>0</v>
      </c>
    </row>
    <row r="4024" spans="1:11" ht="14.5">
      <c r="A4024" s="20" t="s">
        <v>24144</v>
      </c>
      <c r="B4024" s="20">
        <v>40</v>
      </c>
      <c r="C4024" s="20">
        <v>50</v>
      </c>
      <c r="D4024" s="20">
        <v>6</v>
      </c>
      <c r="E4024" s="20">
        <v>10</v>
      </c>
      <c r="F4024" s="20" t="s">
        <v>24145</v>
      </c>
      <c r="G4024" s="24"/>
      <c r="H4024" s="24"/>
      <c r="I4024" s="24" t="str">
        <f ca="1">IFERROR(__xludf.DUMMYFUNCTION("GOOGLETRANSLATE(F4024,""en"",""pt"")"),"Beliches")</f>
        <v>Beliches</v>
      </c>
      <c r="J4024">
        <f>VLOOKUP(A4024,Pr_Base_LNEC!$A$4:$J$6971,6,FALSE)</f>
        <v>0</v>
      </c>
      <c r="K4024">
        <f>VLOOKUP(A4024,Pr_Base_LNEC!$A$4:$J$6971,7,FALSE)</f>
        <v>0</v>
      </c>
    </row>
    <row r="4025" spans="1:11" ht="14.5">
      <c r="A4025" s="20" t="s">
        <v>24146</v>
      </c>
      <c r="B4025" s="20">
        <v>40</v>
      </c>
      <c r="C4025" s="20">
        <v>50</v>
      </c>
      <c r="D4025" s="20">
        <v>6</v>
      </c>
      <c r="E4025" s="20">
        <v>11</v>
      </c>
      <c r="F4025" s="20" t="s">
        <v>24147</v>
      </c>
      <c r="G4025" s="24"/>
      <c r="H4025" s="24"/>
      <c r="I4025" s="24" t="str">
        <f ca="1">IFERROR(__xludf.DUMMYFUNCTION("GOOGLETRANSLATE(F4025,""en"",""pt"")"),"camas de campanha")</f>
        <v>camas de campanha</v>
      </c>
      <c r="J4025">
        <f>VLOOKUP(A4025,Pr_Base_LNEC!$A$4:$J$6971,6,FALSE)</f>
        <v>0</v>
      </c>
      <c r="K4025">
        <f>VLOOKUP(A4025,Pr_Base_LNEC!$A$4:$J$6971,7,FALSE)</f>
        <v>0</v>
      </c>
    </row>
    <row r="4026" spans="1:11" ht="14.5">
      <c r="A4026" s="20" t="s">
        <v>24148</v>
      </c>
      <c r="B4026" s="20">
        <v>40</v>
      </c>
      <c r="C4026" s="20">
        <v>50</v>
      </c>
      <c r="D4026" s="20">
        <v>6</v>
      </c>
      <c r="E4026" s="20">
        <v>14</v>
      </c>
      <c r="F4026" s="20" t="s">
        <v>24149</v>
      </c>
      <c r="G4026" s="24"/>
      <c r="H4026" s="24"/>
      <c r="I4026" s="24" t="str">
        <f ca="1">IFERROR(__xludf.DUMMYFUNCTION("GOOGLETRANSLATE(F4026,""en"",""pt"")"),"camas cadeira")</f>
        <v>camas cadeira</v>
      </c>
      <c r="J4026">
        <f>VLOOKUP(A4026,Pr_Base_LNEC!$A$4:$J$6971,6,FALSE)</f>
        <v>0</v>
      </c>
      <c r="K4026">
        <f>VLOOKUP(A4026,Pr_Base_LNEC!$A$4:$J$6971,7,FALSE)</f>
        <v>0</v>
      </c>
    </row>
    <row r="4027" spans="1:11" ht="14.5">
      <c r="A4027" s="20" t="s">
        <v>24150</v>
      </c>
      <c r="B4027" s="20">
        <v>40</v>
      </c>
      <c r="C4027" s="20">
        <v>50</v>
      </c>
      <c r="D4027" s="20">
        <v>6</v>
      </c>
      <c r="E4027" s="20">
        <v>16</v>
      </c>
      <c r="F4027" s="20" t="s">
        <v>24151</v>
      </c>
      <c r="G4027" s="24"/>
      <c r="H4027" s="24"/>
      <c r="I4027" s="24" t="str">
        <f ca="1">IFERROR(__xludf.DUMMYFUNCTION("GOOGLETRANSLATE(F4027,""en"",""pt"")"),"berços")</f>
        <v>berços</v>
      </c>
      <c r="J4027">
        <f>VLOOKUP(A4027,Pr_Base_LNEC!$A$4:$J$6971,6,FALSE)</f>
        <v>0</v>
      </c>
      <c r="K4027">
        <f>VLOOKUP(A4027,Pr_Base_LNEC!$A$4:$J$6971,7,FALSE)</f>
        <v>0</v>
      </c>
    </row>
    <row r="4028" spans="1:11" ht="14.5">
      <c r="A4028" s="20" t="s">
        <v>24152</v>
      </c>
      <c r="B4028" s="20">
        <v>40</v>
      </c>
      <c r="C4028" s="20">
        <v>50</v>
      </c>
      <c r="D4028" s="20">
        <v>6</v>
      </c>
      <c r="E4028" s="20">
        <v>18</v>
      </c>
      <c r="F4028" s="20" t="s">
        <v>24153</v>
      </c>
      <c r="G4028" s="24"/>
      <c r="H4028" s="24"/>
      <c r="I4028" s="24" t="str">
        <f ca="1">IFERROR(__xludf.DUMMYFUNCTION("GOOGLETRANSLATE(F4028,""en"",""pt"")"),"berços")</f>
        <v>berços</v>
      </c>
      <c r="J4028">
        <f>VLOOKUP(A4028,Pr_Base_LNEC!$A$4:$J$6971,6,FALSE)</f>
        <v>0</v>
      </c>
      <c r="K4028">
        <f>VLOOKUP(A4028,Pr_Base_LNEC!$A$4:$J$6971,7,FALSE)</f>
        <v>0</v>
      </c>
    </row>
    <row r="4029" spans="1:11" ht="14.5">
      <c r="A4029" s="20" t="s">
        <v>24154</v>
      </c>
      <c r="B4029" s="20">
        <v>40</v>
      </c>
      <c r="C4029" s="20">
        <v>50</v>
      </c>
      <c r="D4029" s="20">
        <v>6</v>
      </c>
      <c r="E4029" s="20">
        <v>22</v>
      </c>
      <c r="F4029" s="20" t="s">
        <v>24155</v>
      </c>
      <c r="G4029" s="24"/>
      <c r="H4029" s="24"/>
      <c r="I4029" s="24" t="str">
        <f ca="1">IFERROR(__xludf.DUMMYFUNCTION("GOOGLETRANSLATE(F4029,""en"",""pt"")"),"divãs")</f>
        <v>divãs</v>
      </c>
      <c r="J4029">
        <f>VLOOKUP(A4029,Pr_Base_LNEC!$A$4:$J$6971,6,FALSE)</f>
        <v>0</v>
      </c>
      <c r="K4029">
        <f>VLOOKUP(A4029,Pr_Base_LNEC!$A$4:$J$6971,7,FALSE)</f>
        <v>0</v>
      </c>
    </row>
    <row r="4030" spans="1:11" ht="14.5">
      <c r="A4030" s="20" t="s">
        <v>24156</v>
      </c>
      <c r="B4030" s="20">
        <v>40</v>
      </c>
      <c r="C4030" s="20">
        <v>50</v>
      </c>
      <c r="D4030" s="20">
        <v>6</v>
      </c>
      <c r="E4030" s="20">
        <v>24</v>
      </c>
      <c r="F4030" s="20" t="s">
        <v>24157</v>
      </c>
      <c r="G4030" s="24"/>
      <c r="H4030" s="24"/>
      <c r="I4030" s="24" t="str">
        <f ca="1">IFERROR(__xludf.DUMMYFUNCTION("GOOGLETRANSLATE(F4030,""en"",""pt"")"),"camas de casal")</f>
        <v>camas de casal</v>
      </c>
      <c r="J4030">
        <f>VLOOKUP(A4030,Pr_Base_LNEC!$A$4:$J$6971,6,FALSE)</f>
        <v>0</v>
      </c>
      <c r="K4030">
        <f>VLOOKUP(A4030,Pr_Base_LNEC!$A$4:$J$6971,7,FALSE)</f>
        <v>0</v>
      </c>
    </row>
    <row r="4031" spans="1:11" ht="14.5">
      <c r="A4031" s="20" t="s">
        <v>24158</v>
      </c>
      <c r="B4031" s="20">
        <v>40</v>
      </c>
      <c r="C4031" s="20">
        <v>50</v>
      </c>
      <c r="D4031" s="20">
        <v>6</v>
      </c>
      <c r="E4031" s="20">
        <v>30</v>
      </c>
      <c r="F4031" s="20" t="s">
        <v>24159</v>
      </c>
      <c r="G4031" s="24"/>
      <c r="H4031" s="24"/>
      <c r="I4031" s="24" t="str">
        <f ca="1">IFERROR(__xludf.DUMMYFUNCTION("GOOGLETRANSLATE(F4031,""en"",""pt"")"),"divãs")</f>
        <v>divãs</v>
      </c>
      <c r="J4031">
        <f>VLOOKUP(A4031,Pr_Base_LNEC!$A$4:$J$6971,6,FALSE)</f>
        <v>0</v>
      </c>
      <c r="K4031">
        <f>VLOOKUP(A4031,Pr_Base_LNEC!$A$4:$J$6971,7,FALSE)</f>
        <v>0</v>
      </c>
    </row>
    <row r="4032" spans="1:11" ht="14.5">
      <c r="A4032" s="20" t="s">
        <v>24160</v>
      </c>
      <c r="B4032" s="20">
        <v>40</v>
      </c>
      <c r="C4032" s="20">
        <v>50</v>
      </c>
      <c r="D4032" s="20">
        <v>6</v>
      </c>
      <c r="E4032" s="20">
        <v>31</v>
      </c>
      <c r="F4032" s="20" t="s">
        <v>24161</v>
      </c>
      <c r="G4032" s="24"/>
      <c r="H4032" s="24"/>
      <c r="I4032" s="24" t="str">
        <f ca="1">IFERROR(__xludf.DUMMYFUNCTION("GOOGLETRANSLATE(F4032,""en"",""pt"")"),"camas de dossel")</f>
        <v>camas de dossel</v>
      </c>
      <c r="J4032">
        <f>VLOOKUP(A4032,Pr_Base_LNEC!$A$4:$J$6971,6,FALSE)</f>
        <v>0</v>
      </c>
      <c r="K4032">
        <f>VLOOKUP(A4032,Pr_Base_LNEC!$A$4:$J$6971,7,FALSE)</f>
        <v>0</v>
      </c>
    </row>
    <row r="4033" spans="1:11" ht="14.5">
      <c r="A4033" s="20" t="s">
        <v>24162</v>
      </c>
      <c r="B4033" s="20">
        <v>40</v>
      </c>
      <c r="C4033" s="20">
        <v>50</v>
      </c>
      <c r="D4033" s="20">
        <v>6</v>
      </c>
      <c r="E4033" s="20">
        <v>32</v>
      </c>
      <c r="F4033" s="20" t="s">
        <v>24163</v>
      </c>
      <c r="G4033" s="24"/>
      <c r="H4033" s="24"/>
      <c r="I4033" s="24" t="str">
        <f ca="1">IFERROR(__xludf.DUMMYFUNCTION("GOOGLETRANSLATE(F4033,""en"",""pt"")"),"futons")</f>
        <v>futons</v>
      </c>
      <c r="J4033">
        <f>VLOOKUP(A4033,Pr_Base_LNEC!$A$4:$J$6971,6,FALSE)</f>
        <v>0</v>
      </c>
      <c r="K4033">
        <f>VLOOKUP(A4033,Pr_Base_LNEC!$A$4:$J$6971,7,FALSE)</f>
        <v>0</v>
      </c>
    </row>
    <row r="4034" spans="1:11" ht="14.5">
      <c r="A4034" s="20" t="s">
        <v>24164</v>
      </c>
      <c r="B4034" s="20">
        <v>40</v>
      </c>
      <c r="C4034" s="20">
        <v>50</v>
      </c>
      <c r="D4034" s="20">
        <v>6</v>
      </c>
      <c r="E4034" s="20">
        <v>36</v>
      </c>
      <c r="F4034" s="20" t="s">
        <v>24165</v>
      </c>
      <c r="G4034" s="24"/>
      <c r="H4034" s="24"/>
      <c r="I4034" s="24" t="str">
        <f ca="1">IFERROR(__xludf.DUMMYFUNCTION("GOOGLETRANSLATE(F4034,""en"",""pt"")"),"redes")</f>
        <v>redes</v>
      </c>
      <c r="J4034">
        <f>VLOOKUP(A4034,Pr_Base_LNEC!$A$4:$J$6971,6,FALSE)</f>
        <v>0</v>
      </c>
      <c r="K4034">
        <f>VLOOKUP(A4034,Pr_Base_LNEC!$A$4:$J$6971,7,FALSE)</f>
        <v>0</v>
      </c>
    </row>
    <row r="4035" spans="1:11" ht="14.5">
      <c r="A4035" s="20" t="s">
        <v>24166</v>
      </c>
      <c r="B4035" s="20">
        <v>40</v>
      </c>
      <c r="C4035" s="20">
        <v>50</v>
      </c>
      <c r="D4035" s="20">
        <v>6</v>
      </c>
      <c r="E4035" s="20">
        <v>37</v>
      </c>
      <c r="F4035" s="20" t="s">
        <v>24167</v>
      </c>
      <c r="G4035" s="24"/>
      <c r="H4035" s="24"/>
      <c r="I4035" s="24" t="str">
        <f ca="1">IFERROR(__xludf.DUMMYFUNCTION("GOOGLETRANSLATE(F4035,""en"",""pt"")"),"cabeceiras")</f>
        <v>cabeceiras</v>
      </c>
      <c r="J4035">
        <f>VLOOKUP(A4035,Pr_Base_LNEC!$A$4:$J$6971,6,FALSE)</f>
        <v>0</v>
      </c>
      <c r="K4035">
        <f>VLOOKUP(A4035,Pr_Base_LNEC!$A$4:$J$6971,7,FALSE)</f>
        <v>0</v>
      </c>
    </row>
    <row r="4036" spans="1:11" ht="14.5">
      <c r="A4036" s="20" t="s">
        <v>24168</v>
      </c>
      <c r="B4036" s="20">
        <v>40</v>
      </c>
      <c r="C4036" s="20">
        <v>50</v>
      </c>
      <c r="D4036" s="20">
        <v>6</v>
      </c>
      <c r="E4036" s="20">
        <v>38</v>
      </c>
      <c r="F4036" s="20" t="s">
        <v>24169</v>
      </c>
      <c r="G4036" s="24"/>
      <c r="H4036" s="24"/>
      <c r="I4036" s="24" t="str">
        <f ca="1">IFERROR(__xludf.DUMMYFUNCTION("GOOGLETRANSLATE(F4036,""en"",""pt"")"),"cabeceiras de cama de hospital")</f>
        <v>cabeceiras de cama de hospital</v>
      </c>
      <c r="J4036">
        <f>VLOOKUP(A4036,Pr_Base_LNEC!$A$4:$J$6971,6,FALSE)</f>
        <v>0</v>
      </c>
      <c r="K4036">
        <f>VLOOKUP(A4036,Pr_Base_LNEC!$A$4:$J$6971,7,FALSE)</f>
        <v>0</v>
      </c>
    </row>
    <row r="4037" spans="1:11" ht="14.5">
      <c r="A4037" s="20" t="s">
        <v>24170</v>
      </c>
      <c r="B4037" s="20">
        <v>40</v>
      </c>
      <c r="C4037" s="20">
        <v>50</v>
      </c>
      <c r="D4037" s="20">
        <v>6</v>
      </c>
      <c r="E4037" s="20">
        <v>39</v>
      </c>
      <c r="F4037" s="20" t="s">
        <v>24171</v>
      </c>
      <c r="G4037" s="24"/>
      <c r="H4037" s="24"/>
      <c r="I4037" s="24" t="str">
        <f ca="1">IFERROR(__xludf.DUMMYFUNCTION("GOOGLETRANSLATE(F4037,""en"",""pt"")"),"camas hospitalares")</f>
        <v>camas hospitalares</v>
      </c>
      <c r="J4037">
        <f>VLOOKUP(A4037,Pr_Base_LNEC!$A$4:$J$6971,6,FALSE)</f>
        <v>0</v>
      </c>
      <c r="K4037">
        <f>VLOOKUP(A4037,Pr_Base_LNEC!$A$4:$J$6971,7,FALSE)</f>
        <v>0</v>
      </c>
    </row>
    <row r="4038" spans="1:11" ht="14.5">
      <c r="A4038" s="20" t="s">
        <v>24172</v>
      </c>
      <c r="B4038" s="20">
        <v>40</v>
      </c>
      <c r="C4038" s="20">
        <v>50</v>
      </c>
      <c r="D4038" s="20">
        <v>6</v>
      </c>
      <c r="E4038" s="20">
        <v>50</v>
      </c>
      <c r="F4038" s="20" t="s">
        <v>24173</v>
      </c>
      <c r="G4038" s="24"/>
      <c r="H4038" s="24"/>
      <c r="I4038" s="24" t="str">
        <f ca="1">IFERROR(__xludf.DUMMYFUNCTION("GOOGLETRANSLATE(F4038,""en"",""pt"")"),"colchões")</f>
        <v>colchões</v>
      </c>
      <c r="J4038">
        <f>VLOOKUP(A4038,Pr_Base_LNEC!$A$4:$J$6971,6,FALSE)</f>
        <v>0</v>
      </c>
      <c r="K4038">
        <f>VLOOKUP(A4038,Pr_Base_LNEC!$A$4:$J$6971,7,FALSE)</f>
        <v>0</v>
      </c>
    </row>
    <row r="4039" spans="1:11" ht="14.5">
      <c r="A4039" s="20" t="s">
        <v>24174</v>
      </c>
      <c r="B4039" s="20">
        <v>40</v>
      </c>
      <c r="C4039" s="20">
        <v>50</v>
      </c>
      <c r="D4039" s="20">
        <v>6</v>
      </c>
      <c r="E4039" s="20">
        <v>77</v>
      </c>
      <c r="F4039" s="20" t="s">
        <v>24175</v>
      </c>
      <c r="G4039" s="24"/>
      <c r="H4039" s="24"/>
      <c r="I4039" s="24" t="str">
        <f ca="1">IFERROR(__xludf.DUMMYFUNCTION("GOOGLETRANSLATE(F4039,""en"",""pt"")"),"Camas de solteiro")</f>
        <v>Camas de solteiro</v>
      </c>
      <c r="J4039">
        <f>VLOOKUP(A4039,Pr_Base_LNEC!$A$4:$J$6971,6,FALSE)</f>
        <v>0</v>
      </c>
      <c r="K4039">
        <f>VLOOKUP(A4039,Pr_Base_LNEC!$A$4:$J$6971,7,FALSE)</f>
        <v>0</v>
      </c>
    </row>
    <row r="4040" spans="1:11" ht="14.5">
      <c r="A4040" s="20" t="s">
        <v>24176</v>
      </c>
      <c r="B4040" s="20">
        <v>40</v>
      </c>
      <c r="C4040" s="20">
        <v>50</v>
      </c>
      <c r="D4040" s="20">
        <v>6</v>
      </c>
      <c r="E4040" s="20">
        <v>96</v>
      </c>
      <c r="F4040" s="20" t="s">
        <v>24177</v>
      </c>
      <c r="G4040" s="24"/>
      <c r="H4040" s="24"/>
      <c r="I4040" s="24" t="str">
        <f ca="1">IFERROR(__xludf.DUMMYFUNCTION("GOOGLETRANSLATE(F4040,""en"",""pt"")"),"waterbeds")</f>
        <v>waterbeds</v>
      </c>
      <c r="J4040">
        <f>VLOOKUP(A4040,Pr_Base_LNEC!$A$4:$J$6971,6,FALSE)</f>
        <v>0</v>
      </c>
      <c r="K4040">
        <f>VLOOKUP(A4040,Pr_Base_LNEC!$A$4:$J$6971,7,FALSE)</f>
        <v>0</v>
      </c>
    </row>
    <row r="4041" spans="1:11" ht="14.5">
      <c r="A4041" s="20" t="s">
        <v>24178</v>
      </c>
      <c r="B4041" s="20">
        <v>40</v>
      </c>
      <c r="C4041" s="20">
        <v>50</v>
      </c>
      <c r="D4041" s="20">
        <v>7</v>
      </c>
      <c r="E4041" s="24"/>
      <c r="F4041" s="20" t="s">
        <v>24179</v>
      </c>
      <c r="G4041" s="24"/>
      <c r="H4041" s="24"/>
      <c r="I4041" s="24" t="str">
        <f ca="1">IFERROR(__xludf.DUMMYFUNCTION("GOOGLETRANSLATE(F4041,""en"",""pt"")"),"Caixas e baldes")</f>
        <v>Caixas e baldes</v>
      </c>
      <c r="J4041">
        <f>VLOOKUP(A4041,Pr_Base_LNEC!$A$4:$J$6971,6,FALSE)</f>
        <v>0</v>
      </c>
      <c r="K4041">
        <f>VLOOKUP(A4041,Pr_Base_LNEC!$A$4:$J$6971,7,FALSE)</f>
        <v>0</v>
      </c>
    </row>
    <row r="4042" spans="1:11" ht="14.5">
      <c r="A4042" s="20" t="s">
        <v>24180</v>
      </c>
      <c r="B4042" s="20">
        <v>40</v>
      </c>
      <c r="C4042" s="20">
        <v>50</v>
      </c>
      <c r="D4042" s="20">
        <v>7</v>
      </c>
      <c r="E4042" s="20">
        <v>2</v>
      </c>
      <c r="F4042" s="20" t="s">
        <v>24181</v>
      </c>
      <c r="G4042" s="24"/>
      <c r="H4042" s="24"/>
      <c r="I4042" s="24" t="str">
        <f ca="1">IFERROR(__xludf.DUMMYFUNCTION("GOOGLETRANSLATE(F4042,""en"",""pt"")"),"caixas de agregados")</f>
        <v>caixas de agregados</v>
      </c>
      <c r="J4042">
        <f>VLOOKUP(A4042,Pr_Base_LNEC!$A$4:$J$6971,6,FALSE)</f>
        <v>0</v>
      </c>
      <c r="K4042">
        <f>VLOOKUP(A4042,Pr_Base_LNEC!$A$4:$J$6971,7,FALSE)</f>
        <v>0</v>
      </c>
    </row>
    <row r="4043" spans="1:11" ht="14.5">
      <c r="A4043" s="20" t="s">
        <v>24182</v>
      </c>
      <c r="B4043" s="20">
        <v>40</v>
      </c>
      <c r="C4043" s="20">
        <v>50</v>
      </c>
      <c r="D4043" s="20">
        <v>7</v>
      </c>
      <c r="E4043" s="20">
        <v>4</v>
      </c>
      <c r="F4043" s="20" t="s">
        <v>24183</v>
      </c>
      <c r="G4043" s="20" t="s">
        <v>24184</v>
      </c>
      <c r="H4043" s="24"/>
      <c r="I4043" s="24" t="str">
        <f ca="1">IFERROR(__xludf.DUMMYFUNCTION("GOOGLETRANSLATE(F4043,""en"",""pt"")"),"Cinzeiros")</f>
        <v>Cinzeiros</v>
      </c>
      <c r="J4043">
        <f>VLOOKUP(A4043,Pr_Base_LNEC!$A$4:$J$6971,6,FALSE)</f>
        <v>0</v>
      </c>
      <c r="K4043">
        <f>VLOOKUP(A4043,Pr_Base_LNEC!$A$4:$J$6971,7,FALSE)</f>
        <v>0</v>
      </c>
    </row>
    <row r="4044" spans="1:11" ht="14.5">
      <c r="A4044" s="20" t="s">
        <v>24185</v>
      </c>
      <c r="B4044" s="20">
        <v>40</v>
      </c>
      <c r="C4044" s="20">
        <v>50</v>
      </c>
      <c r="D4044" s="20">
        <v>7</v>
      </c>
      <c r="E4044" s="20">
        <v>7</v>
      </c>
      <c r="F4044" s="20" t="s">
        <v>24186</v>
      </c>
      <c r="G4044" s="20" t="s">
        <v>24187</v>
      </c>
      <c r="H4044" s="24"/>
      <c r="I4044" s="24" t="str">
        <f ca="1">IFERROR(__xludf.DUMMYFUNCTION("GOOGLETRANSLATE(F4044,""en"",""pt"")"),"lojas bin")</f>
        <v>lojas bin</v>
      </c>
      <c r="J4044">
        <f>VLOOKUP(A4044,Pr_Base_LNEC!$A$4:$J$6971,6,FALSE)</f>
        <v>0</v>
      </c>
      <c r="K4044">
        <f>VLOOKUP(A4044,Pr_Base_LNEC!$A$4:$J$6971,7,FALSE)</f>
        <v>0</v>
      </c>
    </row>
    <row r="4045" spans="1:11" ht="14.5">
      <c r="A4045" s="20" t="s">
        <v>24188</v>
      </c>
      <c r="B4045" s="20">
        <v>40</v>
      </c>
      <c r="C4045" s="20">
        <v>50</v>
      </c>
      <c r="D4045" s="20">
        <v>7</v>
      </c>
      <c r="E4045" s="20">
        <v>10</v>
      </c>
      <c r="F4045" s="20" t="s">
        <v>24189</v>
      </c>
      <c r="G4045" s="20" t="s">
        <v>24190</v>
      </c>
      <c r="H4045" s="24"/>
      <c r="I4045" s="24" t="str">
        <f ca="1">IFERROR(__xludf.DUMMYFUNCTION("GOOGLETRANSLATE(F4045,""en"",""pt"")"),"caixas de areia fogo de armazenamento a granel")</f>
        <v>caixas de areia fogo de armazenamento a granel</v>
      </c>
      <c r="J4045">
        <f>VLOOKUP(A4045,Pr_Base_LNEC!$A$4:$J$6971,6,FALSE)</f>
        <v>0</v>
      </c>
      <c r="K4045">
        <f>VLOOKUP(A4045,Pr_Base_LNEC!$A$4:$J$6971,7,FALSE)</f>
        <v>0</v>
      </c>
    </row>
    <row r="4046" spans="1:11" ht="14.5">
      <c r="A4046" s="20" t="s">
        <v>24191</v>
      </c>
      <c r="B4046" s="20">
        <v>40</v>
      </c>
      <c r="C4046" s="20">
        <v>50</v>
      </c>
      <c r="D4046" s="20">
        <v>7</v>
      </c>
      <c r="E4046" s="20">
        <v>12</v>
      </c>
      <c r="F4046" s="20" t="s">
        <v>24192</v>
      </c>
      <c r="G4046" s="20" t="s">
        <v>24193</v>
      </c>
      <c r="H4046" s="24"/>
      <c r="I4046" s="24" t="str">
        <f ca="1">IFERROR(__xludf.DUMMYFUNCTION("GOOGLETRANSLATE(F4046,""en"",""pt"")"),"cestas de flores do cemitério")</f>
        <v>cestas de flores do cemitério</v>
      </c>
      <c r="J4046">
        <f>VLOOKUP(A4046,Pr_Base_LNEC!$A$4:$J$6971,6,FALSE)</f>
        <v>0</v>
      </c>
      <c r="K4046">
        <f>VLOOKUP(A4046,Pr_Base_LNEC!$A$4:$J$6971,7,FALSE)</f>
        <v>0</v>
      </c>
    </row>
    <row r="4047" spans="1:11" ht="14.5">
      <c r="A4047" s="20" t="s">
        <v>24194</v>
      </c>
      <c r="B4047" s="20">
        <v>40</v>
      </c>
      <c r="C4047" s="20">
        <v>50</v>
      </c>
      <c r="D4047" s="20">
        <v>7</v>
      </c>
      <c r="E4047" s="20">
        <v>19</v>
      </c>
      <c r="F4047" s="20" t="s">
        <v>24195</v>
      </c>
      <c r="G4047" s="20" t="s">
        <v>24196</v>
      </c>
      <c r="H4047" s="24"/>
      <c r="I4047" s="24" t="str">
        <f ca="1">IFERROR(__xludf.DUMMYFUNCTION("GOOGLETRANSLATE(F4047,""en"",""pt"")"),"escaninhos de adubo")</f>
        <v>escaninhos de adubo</v>
      </c>
      <c r="J4047">
        <f>VLOOKUP(A4047,Pr_Base_LNEC!$A$4:$J$6971,6,FALSE)</f>
        <v>0</v>
      </c>
      <c r="K4047">
        <f>VLOOKUP(A4047,Pr_Base_LNEC!$A$4:$J$6971,7,FALSE)</f>
        <v>0</v>
      </c>
    </row>
    <row r="4048" spans="1:11" ht="14.5">
      <c r="A4048" s="20" t="s">
        <v>24197</v>
      </c>
      <c r="B4048" s="20">
        <v>40</v>
      </c>
      <c r="C4048" s="20">
        <v>50</v>
      </c>
      <c r="D4048" s="20">
        <v>7</v>
      </c>
      <c r="E4048" s="20">
        <v>22</v>
      </c>
      <c r="F4048" s="20" t="s">
        <v>24198</v>
      </c>
      <c r="G4048" s="20" t="s">
        <v>24199</v>
      </c>
      <c r="H4048" s="24"/>
      <c r="I4048" s="24" t="str">
        <f ca="1">IFERROR(__xludf.DUMMYFUNCTION("GOOGLETRANSLATE(F4048,""en"",""pt"")"),"contentores de eliminação")</f>
        <v>contentores de eliminação</v>
      </c>
      <c r="J4048">
        <f>VLOOKUP(A4048,Pr_Base_LNEC!$A$4:$J$6971,6,FALSE)</f>
        <v>0</v>
      </c>
      <c r="K4048">
        <f>VLOOKUP(A4048,Pr_Base_LNEC!$A$4:$J$6971,7,FALSE)</f>
        <v>0</v>
      </c>
    </row>
    <row r="4049" spans="1:11" ht="14.5">
      <c r="A4049" s="20" t="s">
        <v>24200</v>
      </c>
      <c r="B4049" s="20">
        <v>40</v>
      </c>
      <c r="C4049" s="20">
        <v>50</v>
      </c>
      <c r="D4049" s="20">
        <v>7</v>
      </c>
      <c r="E4049" s="20">
        <v>25</v>
      </c>
      <c r="F4049" s="20" t="s">
        <v>24201</v>
      </c>
      <c r="G4049" s="20" t="s">
        <v>24202</v>
      </c>
      <c r="H4049" s="24"/>
      <c r="I4049" s="24" t="str">
        <f ca="1">IFERROR(__xludf.DUMMYFUNCTION("GOOGLETRANSLATE(F4049,""en"",""pt"")"),"Caixotes")</f>
        <v>Caixotes</v>
      </c>
      <c r="J4049">
        <f>VLOOKUP(A4049,Pr_Base_LNEC!$A$4:$J$6971,6,FALSE)</f>
        <v>0</v>
      </c>
      <c r="K4049">
        <f>VLOOKUP(A4049,Pr_Base_LNEC!$A$4:$J$6971,7,FALSE)</f>
        <v>0</v>
      </c>
    </row>
    <row r="4050" spans="1:11" ht="14.5">
      <c r="A4050" s="20" t="s">
        <v>24203</v>
      </c>
      <c r="B4050" s="20">
        <v>40</v>
      </c>
      <c r="C4050" s="20">
        <v>50</v>
      </c>
      <c r="D4050" s="20">
        <v>7</v>
      </c>
      <c r="E4050" s="20">
        <v>33</v>
      </c>
      <c r="F4050" s="20" t="s">
        <v>24204</v>
      </c>
      <c r="G4050" s="20" t="s">
        <v>24205</v>
      </c>
      <c r="H4050" s="24"/>
      <c r="I4050" s="24" t="str">
        <f ca="1">IFERROR(__xludf.DUMMYFUNCTION("GOOGLETRANSLATE(F4050,""en"",""pt"")"),"baldes de fogo de aço galvanizado")</f>
        <v>baldes de fogo de aço galvanizado</v>
      </c>
      <c r="J4050">
        <f>VLOOKUP(A4050,Pr_Base_LNEC!$A$4:$J$6971,6,FALSE)</f>
        <v>0</v>
      </c>
      <c r="K4050">
        <f>VLOOKUP(A4050,Pr_Base_LNEC!$A$4:$J$6971,7,FALSE)</f>
        <v>0</v>
      </c>
    </row>
    <row r="4051" spans="1:11" ht="14.5">
      <c r="A4051" s="20" t="s">
        <v>24206</v>
      </c>
      <c r="B4051" s="20">
        <v>40</v>
      </c>
      <c r="C4051" s="20">
        <v>50</v>
      </c>
      <c r="D4051" s="20">
        <v>7</v>
      </c>
      <c r="E4051" s="20">
        <v>35</v>
      </c>
      <c r="F4051" s="20" t="s">
        <v>24207</v>
      </c>
      <c r="G4051" s="24"/>
      <c r="H4051" s="24"/>
      <c r="I4051" s="24" t="str">
        <f ca="1">IFERROR(__xludf.DUMMYFUNCTION("GOOGLETRANSLATE(F4051,""en"",""pt"")"),"escaninhos grão")</f>
        <v>escaninhos grão</v>
      </c>
      <c r="J4051">
        <f>VLOOKUP(A4051,Pr_Base_LNEC!$A$4:$J$6971,6,FALSE)</f>
        <v>0</v>
      </c>
      <c r="K4051">
        <f>VLOOKUP(A4051,Pr_Base_LNEC!$A$4:$J$6971,7,FALSE)</f>
        <v>0</v>
      </c>
    </row>
    <row r="4052" spans="1:11" ht="14.5">
      <c r="A4052" s="20" t="s">
        <v>24208</v>
      </c>
      <c r="B4052" s="20">
        <v>40</v>
      </c>
      <c r="C4052" s="20">
        <v>50</v>
      </c>
      <c r="D4052" s="20">
        <v>7</v>
      </c>
      <c r="E4052" s="20">
        <v>46</v>
      </c>
      <c r="F4052" s="20" t="s">
        <v>24209</v>
      </c>
      <c r="G4052" s="20" t="s">
        <v>24210</v>
      </c>
      <c r="H4052" s="24"/>
      <c r="I4052" s="24" t="str">
        <f ca="1">IFERROR(__xludf.DUMMYFUNCTION("GOOGLETRANSLATE(F4052,""en"",""pt"")"),"recipientes de linho")</f>
        <v>recipientes de linho</v>
      </c>
      <c r="J4052">
        <f>VLOOKUP(A4052,Pr_Base_LNEC!$A$4:$J$6971,6,FALSE)</f>
        <v>0</v>
      </c>
      <c r="K4052">
        <f>VLOOKUP(A4052,Pr_Base_LNEC!$A$4:$J$6971,7,FALSE)</f>
        <v>0</v>
      </c>
    </row>
    <row r="4053" spans="1:11" ht="14.5">
      <c r="A4053" s="20" t="s">
        <v>24211</v>
      </c>
      <c r="B4053" s="20">
        <v>40</v>
      </c>
      <c r="C4053" s="20">
        <v>50</v>
      </c>
      <c r="D4053" s="20">
        <v>7</v>
      </c>
      <c r="E4053" s="20">
        <v>47</v>
      </c>
      <c r="F4053" s="20" t="s">
        <v>24212</v>
      </c>
      <c r="G4053" s="20" t="s">
        <v>24213</v>
      </c>
      <c r="H4053" s="24"/>
      <c r="I4053" s="24" t="str">
        <f ca="1">IFERROR(__xludf.DUMMYFUNCTION("GOOGLETRANSLATE(F4053,""en"",""pt"")"),"Cestos de lixo")</f>
        <v>Cestos de lixo</v>
      </c>
      <c r="J4053">
        <f>VLOOKUP(A4053,Pr_Base_LNEC!$A$4:$J$6971,6,FALSE)</f>
        <v>0</v>
      </c>
      <c r="K4053">
        <f>VLOOKUP(A4053,Pr_Base_LNEC!$A$4:$J$6971,7,FALSE)</f>
        <v>0</v>
      </c>
    </row>
    <row r="4054" spans="1:11" ht="14.5">
      <c r="A4054" s="20" t="s">
        <v>24214</v>
      </c>
      <c r="B4054" s="20">
        <v>40</v>
      </c>
      <c r="C4054" s="20">
        <v>50</v>
      </c>
      <c r="D4054" s="20">
        <v>7</v>
      </c>
      <c r="E4054" s="20">
        <v>56</v>
      </c>
      <c r="F4054" s="20" t="s">
        <v>24215</v>
      </c>
      <c r="G4054" s="20" t="s">
        <v>24216</v>
      </c>
      <c r="H4054" s="24"/>
      <c r="I4054" s="24" t="str">
        <f ca="1">IFERROR(__xludf.DUMMYFUNCTION("GOOGLETRANSLATE(F4054,""en"",""pt"")"),"caixas de descarte de fraldas")</f>
        <v>caixas de descarte de fraldas</v>
      </c>
      <c r="J4054">
        <f>VLOOKUP(A4054,Pr_Base_LNEC!$A$4:$J$6971,6,FALSE)</f>
        <v>0</v>
      </c>
      <c r="K4054">
        <f>VLOOKUP(A4054,Pr_Base_LNEC!$A$4:$J$6971,7,FALSE)</f>
        <v>0</v>
      </c>
    </row>
    <row r="4055" spans="1:11" ht="14.5">
      <c r="A4055" s="20" t="s">
        <v>24217</v>
      </c>
      <c r="B4055" s="20">
        <v>40</v>
      </c>
      <c r="C4055" s="20">
        <v>50</v>
      </c>
      <c r="D4055" s="20">
        <v>7</v>
      </c>
      <c r="E4055" s="20">
        <v>57</v>
      </c>
      <c r="F4055" s="20" t="s">
        <v>24218</v>
      </c>
      <c r="G4055" s="20" t="s">
        <v>24219</v>
      </c>
      <c r="H4055" s="24"/>
      <c r="I4055" s="24" t="str">
        <f ca="1">IFERROR(__xludf.DUMMYFUNCTION("GOOGLETRANSLATE(F4055,""en"",""pt"")"),"caixas de descarte de agulhas")</f>
        <v>caixas de descarte de agulhas</v>
      </c>
      <c r="J4055">
        <f>VLOOKUP(A4055,Pr_Base_LNEC!$A$4:$J$6971,6,FALSE)</f>
        <v>0</v>
      </c>
      <c r="K4055">
        <f>VLOOKUP(A4055,Pr_Base_LNEC!$A$4:$J$6971,7,FALSE)</f>
        <v>0</v>
      </c>
    </row>
    <row r="4056" spans="1:11" ht="14.5">
      <c r="A4056" s="20" t="s">
        <v>24220</v>
      </c>
      <c r="B4056" s="20">
        <v>40</v>
      </c>
      <c r="C4056" s="20">
        <v>50</v>
      </c>
      <c r="D4056" s="20">
        <v>7</v>
      </c>
      <c r="E4056" s="20">
        <v>58</v>
      </c>
      <c r="F4056" s="20" t="s">
        <v>24221</v>
      </c>
      <c r="G4056" s="24"/>
      <c r="H4056" s="24"/>
      <c r="I4056" s="24" t="str">
        <f ca="1">IFERROR(__xludf.DUMMYFUNCTION("GOOGLETRANSLATE(F4056,""en"",""pt"")"),"caixotes do lixo não-segregadas")</f>
        <v>caixotes do lixo não-segregadas</v>
      </c>
      <c r="J4056">
        <f>VLOOKUP(A4056,Pr_Base_LNEC!$A$4:$J$6971,6,FALSE)</f>
        <v>0</v>
      </c>
      <c r="K4056">
        <f>VLOOKUP(A4056,Pr_Base_LNEC!$A$4:$J$6971,7,FALSE)</f>
        <v>0</v>
      </c>
    </row>
    <row r="4057" spans="1:11" ht="14.5">
      <c r="A4057" s="20" t="s">
        <v>24222</v>
      </c>
      <c r="B4057" s="20">
        <v>40</v>
      </c>
      <c r="C4057" s="20">
        <v>50</v>
      </c>
      <c r="D4057" s="20">
        <v>7</v>
      </c>
      <c r="E4057" s="20">
        <v>64</v>
      </c>
      <c r="F4057" s="20" t="s">
        <v>24223</v>
      </c>
      <c r="G4057" s="20" t="s">
        <v>24224</v>
      </c>
      <c r="H4057" s="24"/>
      <c r="I4057" s="24" t="str">
        <f ca="1">IFERROR(__xludf.DUMMYFUNCTION("GOOGLETRANSLATE(F4057,""en"",""pt"")"),"baldes de incêndio Plásticos")</f>
        <v>baldes de incêndio Plásticos</v>
      </c>
      <c r="J4057">
        <f>VLOOKUP(A4057,Pr_Base_LNEC!$A$4:$J$6971,6,FALSE)</f>
        <v>0</v>
      </c>
      <c r="K4057">
        <f>VLOOKUP(A4057,Pr_Base_LNEC!$A$4:$J$6971,7,FALSE)</f>
        <v>0</v>
      </c>
    </row>
    <row r="4058" spans="1:11" ht="14.5">
      <c r="A4058" s="20" t="s">
        <v>24225</v>
      </c>
      <c r="B4058" s="20">
        <v>40</v>
      </c>
      <c r="C4058" s="20">
        <v>50</v>
      </c>
      <c r="D4058" s="20">
        <v>7</v>
      </c>
      <c r="E4058" s="20">
        <v>70</v>
      </c>
      <c r="F4058" s="20" t="s">
        <v>24226</v>
      </c>
      <c r="G4058" s="24"/>
      <c r="H4058" s="24"/>
      <c r="I4058" s="24" t="str">
        <f ca="1">IFERROR(__xludf.DUMMYFUNCTION("GOOGLETRANSLATE(F4058,""en"",""pt"")"),"Recipientes para reciclagem")</f>
        <v>Recipientes para reciclagem</v>
      </c>
      <c r="J4058">
        <f>VLOOKUP(A4058,Pr_Base_LNEC!$A$4:$J$6971,6,FALSE)</f>
        <v>0</v>
      </c>
      <c r="K4058">
        <f>VLOOKUP(A4058,Pr_Base_LNEC!$A$4:$J$6971,7,FALSE)</f>
        <v>0</v>
      </c>
    </row>
    <row r="4059" spans="1:11" ht="14.5">
      <c r="A4059" s="20" t="s">
        <v>24227</v>
      </c>
      <c r="B4059" s="20">
        <v>40</v>
      </c>
      <c r="C4059" s="20">
        <v>50</v>
      </c>
      <c r="D4059" s="20">
        <v>7</v>
      </c>
      <c r="E4059" s="20">
        <v>71</v>
      </c>
      <c r="F4059" s="20" t="s">
        <v>24228</v>
      </c>
      <c r="G4059" s="24"/>
      <c r="H4059" s="24"/>
      <c r="I4059" s="24" t="str">
        <f ca="1">IFERROR(__xludf.DUMMYFUNCTION("GOOGLETRANSLATE(F4059,""en"",""pt"")"),"titulares de saco de lixo")</f>
        <v>titulares de saco de lixo</v>
      </c>
      <c r="J4059">
        <f>VLOOKUP(A4059,Pr_Base_LNEC!$A$4:$J$6971,6,FALSE)</f>
        <v>0</v>
      </c>
      <c r="K4059">
        <f>VLOOKUP(A4059,Pr_Base_LNEC!$A$4:$J$6971,7,FALSE)</f>
        <v>0</v>
      </c>
    </row>
    <row r="4060" spans="1:11" ht="14.5">
      <c r="A4060" s="20" t="s">
        <v>24229</v>
      </c>
      <c r="B4060" s="20">
        <v>40</v>
      </c>
      <c r="C4060" s="20">
        <v>50</v>
      </c>
      <c r="D4060" s="20">
        <v>7</v>
      </c>
      <c r="E4060" s="20">
        <v>72</v>
      </c>
      <c r="F4060" s="20" t="s">
        <v>24230</v>
      </c>
      <c r="G4060" s="20" t="s">
        <v>24231</v>
      </c>
      <c r="H4060" s="24"/>
      <c r="I4060" s="24" t="str">
        <f ca="1">IFERROR(__xludf.DUMMYFUNCTION("GOOGLETRANSLATE(F4060,""en"",""pt"")"),"contentores de lixo")</f>
        <v>contentores de lixo</v>
      </c>
      <c r="J4060">
        <f>VLOOKUP(A4060,Pr_Base_LNEC!$A$4:$J$6971,6,FALSE)</f>
        <v>0</v>
      </c>
      <c r="K4060">
        <f>VLOOKUP(A4060,Pr_Base_LNEC!$A$4:$J$6971,7,FALSE)</f>
        <v>0</v>
      </c>
    </row>
    <row r="4061" spans="1:11" ht="14.5">
      <c r="A4061" s="20" t="s">
        <v>24232</v>
      </c>
      <c r="B4061" s="20">
        <v>40</v>
      </c>
      <c r="C4061" s="20">
        <v>50</v>
      </c>
      <c r="D4061" s="20">
        <v>7</v>
      </c>
      <c r="E4061" s="20">
        <v>75</v>
      </c>
      <c r="F4061" s="20" t="s">
        <v>24233</v>
      </c>
      <c r="G4061" s="24"/>
      <c r="H4061" s="24"/>
      <c r="I4061" s="24" t="str">
        <f ca="1">IFERROR(__xludf.DUMMYFUNCTION("GOOGLETRANSLATE(F4061,""en"",""pt"")"),"caixas de sal")</f>
        <v>caixas de sal</v>
      </c>
      <c r="J4061">
        <f>VLOOKUP(A4061,Pr_Base_LNEC!$A$4:$J$6971,6,FALSE)</f>
        <v>0</v>
      </c>
      <c r="K4061">
        <f>VLOOKUP(A4061,Pr_Base_LNEC!$A$4:$J$6971,7,FALSE)</f>
        <v>0</v>
      </c>
    </row>
    <row r="4062" spans="1:11" ht="14.5">
      <c r="A4062" s="20" t="s">
        <v>24234</v>
      </c>
      <c r="B4062" s="20">
        <v>40</v>
      </c>
      <c r="C4062" s="20">
        <v>50</v>
      </c>
      <c r="D4062" s="20">
        <v>7</v>
      </c>
      <c r="E4062" s="20">
        <v>76</v>
      </c>
      <c r="F4062" s="20" t="s">
        <v>24235</v>
      </c>
      <c r="G4062" s="20" t="s">
        <v>24236</v>
      </c>
      <c r="H4062" s="24"/>
      <c r="I4062" s="24" t="str">
        <f ca="1">IFERROR(__xludf.DUMMYFUNCTION("GOOGLETRANSLATE(F4062,""en"",""pt"")"),"bins eliminação toalha sanitária")</f>
        <v>bins eliminação toalha sanitária</v>
      </c>
      <c r="J4062">
        <f>VLOOKUP(A4062,Pr_Base_LNEC!$A$4:$J$6971,6,FALSE)</f>
        <v>0</v>
      </c>
      <c r="K4062">
        <f>VLOOKUP(A4062,Pr_Base_LNEC!$A$4:$J$6971,7,FALSE)</f>
        <v>0</v>
      </c>
    </row>
    <row r="4063" spans="1:11" ht="14.5">
      <c r="A4063" s="20" t="s">
        <v>24237</v>
      </c>
      <c r="B4063" s="20">
        <v>40</v>
      </c>
      <c r="C4063" s="20">
        <v>50</v>
      </c>
      <c r="D4063" s="20">
        <v>7</v>
      </c>
      <c r="E4063" s="20">
        <v>77</v>
      </c>
      <c r="F4063" s="20" t="s">
        <v>24238</v>
      </c>
      <c r="G4063" s="24"/>
      <c r="H4063" s="24"/>
      <c r="I4063" s="24" t="str">
        <f ca="1">IFERROR(__xludf.DUMMYFUNCTION("GOOGLETRANSLATE(F4063,""en"",""pt"")"),"lixeiras segregados")</f>
        <v>lixeiras segregados</v>
      </c>
      <c r="J4063">
        <f>VLOOKUP(A4063,Pr_Base_LNEC!$A$4:$J$6971,6,FALSE)</f>
        <v>0</v>
      </c>
      <c r="K4063">
        <f>VLOOKUP(A4063,Pr_Base_LNEC!$A$4:$J$6971,7,FALSE)</f>
        <v>0</v>
      </c>
    </row>
    <row r="4064" spans="1:11" ht="14.5">
      <c r="A4064" s="20" t="s">
        <v>24239</v>
      </c>
      <c r="B4064" s="20">
        <v>40</v>
      </c>
      <c r="C4064" s="20">
        <v>50</v>
      </c>
      <c r="D4064" s="20">
        <v>7</v>
      </c>
      <c r="E4064" s="20">
        <v>96</v>
      </c>
      <c r="F4064" s="20" t="s">
        <v>24240</v>
      </c>
      <c r="G4064" s="20" t="s">
        <v>24241</v>
      </c>
      <c r="H4064" s="24"/>
      <c r="I4064" s="24" t="str">
        <f ca="1">IFERROR(__xludf.DUMMYFUNCTION("GOOGLETRANSLATE(F4064,""en"",""pt"")"),"Latas de lixo")</f>
        <v>Latas de lixo</v>
      </c>
      <c r="J4064">
        <f>VLOOKUP(A4064,Pr_Base_LNEC!$A$4:$J$6971,6,FALSE)</f>
        <v>0</v>
      </c>
      <c r="K4064">
        <f>VLOOKUP(A4064,Pr_Base_LNEC!$A$4:$J$6971,7,FALSE)</f>
        <v>0</v>
      </c>
    </row>
    <row r="4065" spans="1:11" ht="14.5">
      <c r="A4065" s="20" t="s">
        <v>24242</v>
      </c>
      <c r="B4065" s="20">
        <v>40</v>
      </c>
      <c r="C4065" s="20">
        <v>50</v>
      </c>
      <c r="D4065" s="20">
        <v>12</v>
      </c>
      <c r="E4065" s="24"/>
      <c r="F4065" s="20" t="s">
        <v>24243</v>
      </c>
      <c r="G4065" s="24"/>
      <c r="H4065" s="24"/>
      <c r="I4065" s="24" t="str">
        <f ca="1">IFERROR(__xludf.DUMMYFUNCTION("GOOGLETRANSLATE(F4065,""en"",""pt"")"),"Cadeiras e assentos e bancos")</f>
        <v>Cadeiras e assentos e bancos</v>
      </c>
      <c r="J4065">
        <f>VLOOKUP(A4065,Pr_Base_LNEC!$A$4:$J$6971,6,FALSE)</f>
        <v>0</v>
      </c>
      <c r="K4065">
        <f>VLOOKUP(A4065,Pr_Base_LNEC!$A$4:$J$6971,7,FALSE)</f>
        <v>0</v>
      </c>
    </row>
    <row r="4066" spans="1:11" ht="14.5">
      <c r="A4066" s="20" t="s">
        <v>24244</v>
      </c>
      <c r="B4066" s="20">
        <v>40</v>
      </c>
      <c r="C4066" s="20">
        <v>50</v>
      </c>
      <c r="D4066" s="20">
        <v>12</v>
      </c>
      <c r="E4066" s="20">
        <v>3</v>
      </c>
      <c r="F4066" s="20" t="s">
        <v>24245</v>
      </c>
      <c r="G4066" s="24"/>
      <c r="H4066" s="24"/>
      <c r="I4066" s="24" t="str">
        <f ca="1">IFERROR(__xludf.DUMMYFUNCTION("GOOGLETRANSLATE(F4066,""en"",""pt"")"),"braços")</f>
        <v>braços</v>
      </c>
      <c r="J4066">
        <f>VLOOKUP(A4066,Pr_Base_LNEC!$A$4:$J$6971,6,FALSE)</f>
        <v>0</v>
      </c>
      <c r="K4066">
        <f>VLOOKUP(A4066,Pr_Base_LNEC!$A$4:$J$6971,7,FALSE)</f>
        <v>0</v>
      </c>
    </row>
    <row r="4067" spans="1:11" ht="14.5">
      <c r="A4067" s="20" t="s">
        <v>24246</v>
      </c>
      <c r="B4067" s="20">
        <v>40</v>
      </c>
      <c r="C4067" s="20">
        <v>50</v>
      </c>
      <c r="D4067" s="20">
        <v>12</v>
      </c>
      <c r="E4067" s="20">
        <v>4</v>
      </c>
      <c r="F4067" s="20" t="s">
        <v>24247</v>
      </c>
      <c r="G4067" s="24"/>
      <c r="H4067" s="24"/>
      <c r="I4067" s="24" t="str">
        <f ca="1">IFERROR(__xludf.DUMMYFUNCTION("GOOGLETRANSLATE(F4067,""en"",""pt"")"),"Assembléia empilhamento cadeiras")</f>
        <v>Assembléia empilhamento cadeiras</v>
      </c>
      <c r="J4067">
        <f>VLOOKUP(A4067,Pr_Base_LNEC!$A$4:$J$6971,6,FALSE)</f>
        <v>0</v>
      </c>
      <c r="K4067">
        <f>VLOOKUP(A4067,Pr_Base_LNEC!$A$4:$J$6971,7,FALSE)</f>
        <v>0</v>
      </c>
    </row>
    <row r="4068" spans="1:11" ht="14.5">
      <c r="A4068" s="20" t="s">
        <v>24248</v>
      </c>
      <c r="B4068" s="20">
        <v>40</v>
      </c>
      <c r="C4068" s="20">
        <v>50</v>
      </c>
      <c r="D4068" s="20">
        <v>12</v>
      </c>
      <c r="E4068" s="20">
        <v>5</v>
      </c>
      <c r="F4068" s="20" t="s">
        <v>24249</v>
      </c>
      <c r="G4068" s="24"/>
      <c r="H4068" s="24"/>
      <c r="I4068" s="24" t="str">
        <f ca="1">IFERROR(__xludf.DUMMYFUNCTION("GOOGLETRANSLATE(F4068,""en"",""pt"")"),"auditório cadeiras")</f>
        <v>auditório cadeiras</v>
      </c>
      <c r="J4068">
        <f>VLOOKUP(A4068,Pr_Base_LNEC!$A$4:$J$6971,6,FALSE)</f>
        <v>0</v>
      </c>
      <c r="K4068">
        <f>VLOOKUP(A4068,Pr_Base_LNEC!$A$4:$J$6971,7,FALSE)</f>
        <v>0</v>
      </c>
    </row>
    <row r="4069" spans="1:11" ht="14.5">
      <c r="A4069" s="20" t="s">
        <v>24250</v>
      </c>
      <c r="B4069" s="20">
        <v>40</v>
      </c>
      <c r="C4069" s="20">
        <v>50</v>
      </c>
      <c r="D4069" s="20">
        <v>12</v>
      </c>
      <c r="E4069" s="20">
        <v>6</v>
      </c>
      <c r="F4069" s="20" t="s">
        <v>24251</v>
      </c>
      <c r="G4069" s="24"/>
      <c r="H4069" s="24"/>
      <c r="I4069" s="24" t="str">
        <f ca="1">IFERROR(__xludf.DUMMYFUNCTION("GOOGLETRANSLATE(F4069,""en"",""pt"")"),"bancos com barra")</f>
        <v>bancos com barra</v>
      </c>
      <c r="J4069">
        <f>VLOOKUP(A4069,Pr_Base_LNEC!$A$4:$J$6971,6,FALSE)</f>
        <v>0</v>
      </c>
      <c r="K4069">
        <f>VLOOKUP(A4069,Pr_Base_LNEC!$A$4:$J$6971,7,FALSE)</f>
        <v>0</v>
      </c>
    </row>
    <row r="4070" spans="1:11" ht="14.5">
      <c r="A4070" s="20" t="s">
        <v>24252</v>
      </c>
      <c r="B4070" s="20">
        <v>40</v>
      </c>
      <c r="C4070" s="20">
        <v>50</v>
      </c>
      <c r="D4070" s="20">
        <v>12</v>
      </c>
      <c r="E4070" s="20">
        <v>7</v>
      </c>
      <c r="F4070" s="20" t="s">
        <v>24253</v>
      </c>
      <c r="G4070" s="20" t="s">
        <v>24254</v>
      </c>
      <c r="H4070" s="24"/>
      <c r="I4070" s="24" t="str">
        <f ca="1">IFERROR(__xludf.DUMMYFUNCTION("GOOGLETRANSLATE(F4070,""en"",""pt"")"),"bancos")</f>
        <v>bancos</v>
      </c>
      <c r="J4070">
        <f>VLOOKUP(A4070,Pr_Base_LNEC!$A$4:$J$6971,6,FALSE)</f>
        <v>0</v>
      </c>
      <c r="K4070">
        <f>VLOOKUP(A4070,Pr_Base_LNEC!$A$4:$J$6971,7,FALSE)</f>
        <v>0</v>
      </c>
    </row>
    <row r="4071" spans="1:11" ht="14.5">
      <c r="A4071" s="20" t="s">
        <v>24255</v>
      </c>
      <c r="B4071" s="20">
        <v>40</v>
      </c>
      <c r="C4071" s="20">
        <v>50</v>
      </c>
      <c r="D4071" s="20">
        <v>12</v>
      </c>
      <c r="E4071" s="20">
        <v>12</v>
      </c>
      <c r="F4071" s="20" t="s">
        <v>24256</v>
      </c>
      <c r="G4071" s="24"/>
      <c r="H4071" s="24"/>
      <c r="I4071" s="24" t="str">
        <f ca="1">IFERROR(__xludf.DUMMYFUNCTION("GOOGLETRANSLATE(F4071,""en"",""pt"")"),"cadeiras cerimoniais")</f>
        <v>cadeiras cerimoniais</v>
      </c>
      <c r="J4071">
        <f>VLOOKUP(A4071,Pr_Base_LNEC!$A$4:$J$6971,6,FALSE)</f>
        <v>0</v>
      </c>
      <c r="K4071">
        <f>VLOOKUP(A4071,Pr_Base_LNEC!$A$4:$J$6971,7,FALSE)</f>
        <v>0</v>
      </c>
    </row>
    <row r="4072" spans="1:11" ht="14.5">
      <c r="A4072" s="20" t="s">
        <v>24257</v>
      </c>
      <c r="B4072" s="20">
        <v>40</v>
      </c>
      <c r="C4072" s="20">
        <v>50</v>
      </c>
      <c r="D4072" s="20">
        <v>12</v>
      </c>
      <c r="E4072" s="20">
        <v>14</v>
      </c>
      <c r="F4072" s="20" t="s">
        <v>24258</v>
      </c>
      <c r="G4072" s="24"/>
      <c r="H4072" s="24"/>
      <c r="I4072" s="24" t="str">
        <f ca="1">IFERROR(__xludf.DUMMYFUNCTION("GOOGLETRANSLATE(F4072,""en"",""pt"")"),"chaises longue")</f>
        <v>chaises longue</v>
      </c>
      <c r="J4072">
        <f>VLOOKUP(A4072,Pr_Base_LNEC!$A$4:$J$6971,6,FALSE)</f>
        <v>0</v>
      </c>
      <c r="K4072">
        <f>VLOOKUP(A4072,Pr_Base_LNEC!$A$4:$J$6971,7,FALSE)</f>
        <v>0</v>
      </c>
    </row>
    <row r="4073" spans="1:11" ht="14.5">
      <c r="A4073" s="20" t="s">
        <v>24259</v>
      </c>
      <c r="B4073" s="20">
        <v>40</v>
      </c>
      <c r="C4073" s="20">
        <v>50</v>
      </c>
      <c r="D4073" s="20">
        <v>12</v>
      </c>
      <c r="E4073" s="20">
        <v>15</v>
      </c>
      <c r="F4073" s="20" t="s">
        <v>24260</v>
      </c>
      <c r="G4073" s="20" t="s">
        <v>24261</v>
      </c>
      <c r="H4073" s="24"/>
      <c r="I4073" s="24" t="str">
        <f ca="1">IFERROR(__xludf.DUMMYFUNCTION("GOOGLETRANSLATE(F4073,""en"",""pt"")"),"Alterar bancos")</f>
        <v>Alterar bancos</v>
      </c>
      <c r="J4073">
        <f>VLOOKUP(A4073,Pr_Base_LNEC!$A$4:$J$6971,6,FALSE)</f>
        <v>0</v>
      </c>
      <c r="K4073">
        <f>VLOOKUP(A4073,Pr_Base_LNEC!$A$4:$J$6971,7,FALSE)</f>
        <v>0</v>
      </c>
    </row>
    <row r="4074" spans="1:11" ht="14.5">
      <c r="A4074" s="20" t="s">
        <v>24262</v>
      </c>
      <c r="B4074" s="20">
        <v>40</v>
      </c>
      <c r="C4074" s="20">
        <v>50</v>
      </c>
      <c r="D4074" s="20">
        <v>12</v>
      </c>
      <c r="E4074" s="20">
        <v>16</v>
      </c>
      <c r="F4074" s="20" t="s">
        <v>24263</v>
      </c>
      <c r="G4074" s="20" t="s">
        <v>24264</v>
      </c>
      <c r="H4074" s="24"/>
      <c r="I4074" s="24" t="str">
        <f ca="1">IFERROR(__xludf.DUMMYFUNCTION("GOOGLETRANSLATE(F4074,""en"",""pt"")"),"assentos de sala de aula")</f>
        <v>assentos de sala de aula</v>
      </c>
      <c r="J4074">
        <f>VLOOKUP(A4074,Pr_Base_LNEC!$A$4:$J$6971,6,FALSE)</f>
        <v>0</v>
      </c>
      <c r="K4074">
        <f>VLOOKUP(A4074,Pr_Base_LNEC!$A$4:$J$6971,7,FALSE)</f>
        <v>0</v>
      </c>
    </row>
    <row r="4075" spans="1:11" ht="14.5">
      <c r="A4075" s="20" t="s">
        <v>24265</v>
      </c>
      <c r="B4075" s="20">
        <v>40</v>
      </c>
      <c r="C4075" s="20">
        <v>50</v>
      </c>
      <c r="D4075" s="20">
        <v>12</v>
      </c>
      <c r="E4075" s="20">
        <v>20</v>
      </c>
      <c r="F4075" s="20" t="s">
        <v>24266</v>
      </c>
      <c r="G4075" s="24"/>
      <c r="H4075" s="24"/>
      <c r="I4075" s="24" t="str">
        <f ca="1">IFERROR(__xludf.DUMMYFUNCTION("GOOGLETRANSLATE(F4075,""en"",""pt"")"),"Cadeiras de praia")</f>
        <v>Cadeiras de praia</v>
      </c>
      <c r="J4075">
        <f>VLOOKUP(A4075,Pr_Base_LNEC!$A$4:$J$6971,6,FALSE)</f>
        <v>0</v>
      </c>
      <c r="K4075">
        <f>VLOOKUP(A4075,Pr_Base_LNEC!$A$4:$J$6971,7,FALSE)</f>
        <v>0</v>
      </c>
    </row>
    <row r="4076" spans="1:11" ht="14.5">
      <c r="A4076" s="20" t="s">
        <v>24267</v>
      </c>
      <c r="B4076" s="20">
        <v>40</v>
      </c>
      <c r="C4076" s="20">
        <v>50</v>
      </c>
      <c r="D4076" s="20">
        <v>12</v>
      </c>
      <c r="E4076" s="20">
        <v>21</v>
      </c>
      <c r="F4076" s="20" t="s">
        <v>24268</v>
      </c>
      <c r="G4076" s="24"/>
      <c r="H4076" s="24"/>
      <c r="I4076" s="24" t="str">
        <f ca="1">IFERROR(__xludf.DUMMYFUNCTION("GOOGLETRANSLATE(F4076,""en"",""pt"")"),"bancos jantar")</f>
        <v>bancos jantar</v>
      </c>
      <c r="J4076">
        <f>VLOOKUP(A4076,Pr_Base_LNEC!$A$4:$J$6971,6,FALSE)</f>
        <v>0</v>
      </c>
      <c r="K4076">
        <f>VLOOKUP(A4076,Pr_Base_LNEC!$A$4:$J$6971,7,FALSE)</f>
        <v>0</v>
      </c>
    </row>
    <row r="4077" spans="1:11" ht="14.5">
      <c r="A4077" s="20" t="s">
        <v>24269</v>
      </c>
      <c r="B4077" s="20">
        <v>40</v>
      </c>
      <c r="C4077" s="20">
        <v>50</v>
      </c>
      <c r="D4077" s="20">
        <v>12</v>
      </c>
      <c r="E4077" s="20">
        <v>22</v>
      </c>
      <c r="F4077" s="20" t="s">
        <v>24270</v>
      </c>
      <c r="G4077" s="20" t="s">
        <v>24271</v>
      </c>
      <c r="H4077" s="24"/>
      <c r="I4077" s="24" t="str">
        <f ca="1">IFERROR(__xludf.DUMMYFUNCTION("GOOGLETRANSLATE(F4077,""en"",""pt"")"),"Cadeiras de jantar")</f>
        <v>Cadeiras de jantar</v>
      </c>
      <c r="J4077">
        <f>VLOOKUP(A4077,Pr_Base_LNEC!$A$4:$J$6971,6,FALSE)</f>
        <v>0</v>
      </c>
      <c r="K4077">
        <f>VLOOKUP(A4077,Pr_Base_LNEC!$A$4:$J$6971,7,FALSE)</f>
        <v>0</v>
      </c>
    </row>
    <row r="4078" spans="1:11" ht="14.5">
      <c r="A4078" s="20" t="s">
        <v>24272</v>
      </c>
      <c r="B4078" s="20">
        <v>40</v>
      </c>
      <c r="C4078" s="20">
        <v>50</v>
      </c>
      <c r="D4078" s="20">
        <v>12</v>
      </c>
      <c r="E4078" s="20">
        <v>26</v>
      </c>
      <c r="F4078" s="20" t="s">
        <v>24273</v>
      </c>
      <c r="G4078" s="24"/>
      <c r="H4078" s="24"/>
      <c r="I4078" s="24" t="str">
        <f ca="1">IFERROR(__xludf.DUMMYFUNCTION("GOOGLETRANSLATE(F4078,""en"",""pt"")"),"Cadeiras fáceis")</f>
        <v>Cadeiras fáceis</v>
      </c>
      <c r="J4078">
        <f>VLOOKUP(A4078,Pr_Base_LNEC!$A$4:$J$6971,6,FALSE)</f>
        <v>0</v>
      </c>
      <c r="K4078">
        <f>VLOOKUP(A4078,Pr_Base_LNEC!$A$4:$J$6971,7,FALSE)</f>
        <v>0</v>
      </c>
    </row>
    <row r="4079" spans="1:11" ht="14.5">
      <c r="A4079" s="20" t="s">
        <v>24274</v>
      </c>
      <c r="B4079" s="20">
        <v>40</v>
      </c>
      <c r="C4079" s="20">
        <v>50</v>
      </c>
      <c r="D4079" s="20">
        <v>12</v>
      </c>
      <c r="E4079" s="20">
        <v>27</v>
      </c>
      <c r="F4079" s="20" t="s">
        <v>24275</v>
      </c>
      <c r="G4079" s="24"/>
      <c r="H4079" s="24"/>
      <c r="I4079" s="24" t="str">
        <f ca="1">IFERROR(__xludf.DUMMYFUNCTION("GOOGLETRANSLATE(F4079,""en"",""pt"")"),"cadeiras elétricos")</f>
        <v>cadeiras elétricos</v>
      </c>
      <c r="J4079">
        <f>VLOOKUP(A4079,Pr_Base_LNEC!$A$4:$J$6971,6,FALSE)</f>
        <v>0</v>
      </c>
      <c r="K4079">
        <f>VLOOKUP(A4079,Pr_Base_LNEC!$A$4:$J$6971,7,FALSE)</f>
        <v>0</v>
      </c>
    </row>
    <row r="4080" spans="1:11" ht="14.5">
      <c r="A4080" s="20" t="s">
        <v>24276</v>
      </c>
      <c r="B4080" s="20">
        <v>40</v>
      </c>
      <c r="C4080" s="20">
        <v>50</v>
      </c>
      <c r="D4080" s="20">
        <v>12</v>
      </c>
      <c r="E4080" s="20">
        <v>30</v>
      </c>
      <c r="F4080" s="20" t="s">
        <v>24277</v>
      </c>
      <c r="G4080" s="24"/>
      <c r="H4080" s="24"/>
      <c r="I4080" s="24" t="str">
        <f ca="1">IFERROR(__xludf.DUMMYFUNCTION("GOOGLETRANSLATE(F4080,""en"",""pt"")"),"Flip-up assentos")</f>
        <v>Flip-up assentos</v>
      </c>
      <c r="J4080">
        <f>VLOOKUP(A4080,Pr_Base_LNEC!$A$4:$J$6971,6,FALSE)</f>
        <v>0</v>
      </c>
      <c r="K4080">
        <f>VLOOKUP(A4080,Pr_Base_LNEC!$A$4:$J$6971,7,FALSE)</f>
        <v>0</v>
      </c>
    </row>
    <row r="4081" spans="1:11" ht="14.5">
      <c r="A4081" s="20" t="s">
        <v>24278</v>
      </c>
      <c r="B4081" s="20">
        <v>40</v>
      </c>
      <c r="C4081" s="20">
        <v>50</v>
      </c>
      <c r="D4081" s="20">
        <v>12</v>
      </c>
      <c r="E4081" s="20">
        <v>31</v>
      </c>
      <c r="F4081" s="20" t="s">
        <v>24279</v>
      </c>
      <c r="G4081" s="24"/>
      <c r="H4081" s="24"/>
      <c r="I4081" s="24" t="str">
        <f ca="1">IFERROR(__xludf.DUMMYFUNCTION("GOOGLETRANSLATE(F4081,""en"",""pt"")"),"Cadeiras dobráveis")</f>
        <v>Cadeiras dobráveis</v>
      </c>
      <c r="J4081">
        <f>VLOOKUP(A4081,Pr_Base_LNEC!$A$4:$J$6971,6,FALSE)</f>
        <v>0</v>
      </c>
      <c r="K4081">
        <f>VLOOKUP(A4081,Pr_Base_LNEC!$A$4:$J$6971,7,FALSE)</f>
        <v>0</v>
      </c>
    </row>
    <row r="4082" spans="1:11" ht="14.5">
      <c r="A4082" s="20" t="s">
        <v>24280</v>
      </c>
      <c r="B4082" s="20">
        <v>40</v>
      </c>
      <c r="C4082" s="20">
        <v>50</v>
      </c>
      <c r="D4082" s="20">
        <v>12</v>
      </c>
      <c r="E4082" s="20">
        <v>32</v>
      </c>
      <c r="F4082" s="20" t="s">
        <v>24281</v>
      </c>
      <c r="G4082" s="24"/>
      <c r="H4082" s="24"/>
      <c r="I4082" s="24" t="str">
        <f ca="1">IFERROR(__xludf.DUMMYFUNCTION("GOOGLETRANSLATE(F4082,""en"",""pt"")"),"Apoio para os pés")</f>
        <v>Apoio para os pés</v>
      </c>
      <c r="J4082">
        <f>VLOOKUP(A4082,Pr_Base_LNEC!$A$4:$J$6971,6,FALSE)</f>
        <v>0</v>
      </c>
      <c r="K4082">
        <f>VLOOKUP(A4082,Pr_Base_LNEC!$A$4:$J$6971,7,FALSE)</f>
        <v>0</v>
      </c>
    </row>
    <row r="4083" spans="1:11" ht="14.5">
      <c r="A4083" s="20" t="s">
        <v>24282</v>
      </c>
      <c r="B4083" s="20">
        <v>40</v>
      </c>
      <c r="C4083" s="20">
        <v>50</v>
      </c>
      <c r="D4083" s="20">
        <v>12</v>
      </c>
      <c r="E4083" s="20">
        <v>33</v>
      </c>
      <c r="F4083" s="20" t="s">
        <v>24283</v>
      </c>
      <c r="G4083" s="20" t="s">
        <v>24284</v>
      </c>
      <c r="H4083" s="24"/>
      <c r="I4083" s="24" t="str">
        <f ca="1">IFERROR(__xludf.DUMMYFUNCTION("GOOGLETRANSLATE(F4083,""en"",""pt"")"),"bancos de jardim")</f>
        <v>bancos de jardim</v>
      </c>
      <c r="J4083">
        <f>VLOOKUP(A4083,Pr_Base_LNEC!$A$4:$J$6971,6,FALSE)</f>
        <v>0</v>
      </c>
      <c r="K4083">
        <f>VLOOKUP(A4083,Pr_Base_LNEC!$A$4:$J$6971,7,FALSE)</f>
        <v>0</v>
      </c>
    </row>
    <row r="4084" spans="1:11" ht="14.5">
      <c r="A4084" s="20" t="s">
        <v>24285</v>
      </c>
      <c r="B4084" s="20">
        <v>40</v>
      </c>
      <c r="C4084" s="20">
        <v>50</v>
      </c>
      <c r="D4084" s="20">
        <v>12</v>
      </c>
      <c r="E4084" s="20">
        <v>37</v>
      </c>
      <c r="F4084" s="20" t="s">
        <v>24286</v>
      </c>
      <c r="G4084" s="24"/>
      <c r="H4084" s="24"/>
      <c r="I4084" s="24" t="str">
        <f ca="1">IFERROR(__xludf.DUMMYFUNCTION("GOOGLETRANSLATE(F4084,""en"",""pt"")"),"cadeiras para crianças")</f>
        <v>cadeiras para crianças</v>
      </c>
      <c r="J4084">
        <f>VLOOKUP(A4084,Pr_Base_LNEC!$A$4:$J$6971,6,FALSE)</f>
        <v>0</v>
      </c>
      <c r="K4084">
        <f>VLOOKUP(A4084,Pr_Base_LNEC!$A$4:$J$6971,7,FALSE)</f>
        <v>0</v>
      </c>
    </row>
    <row r="4085" spans="1:11" ht="14.5">
      <c r="A4085" s="20" t="s">
        <v>24287</v>
      </c>
      <c r="B4085" s="20">
        <v>40</v>
      </c>
      <c r="C4085" s="20">
        <v>50</v>
      </c>
      <c r="D4085" s="20">
        <v>12</v>
      </c>
      <c r="E4085" s="20">
        <v>46</v>
      </c>
      <c r="F4085" s="20" t="s">
        <v>24288</v>
      </c>
      <c r="G4085" s="24"/>
      <c r="H4085" s="24"/>
      <c r="I4085" s="24" t="str">
        <f ca="1">IFERROR(__xludf.DUMMYFUNCTION("GOOGLETRANSLATE(F4085,""en"",""pt"")"),"cadeiras de biblioteca")</f>
        <v>cadeiras de biblioteca</v>
      </c>
      <c r="J4085">
        <f>VLOOKUP(A4085,Pr_Base_LNEC!$A$4:$J$6971,6,FALSE)</f>
        <v>0</v>
      </c>
      <c r="K4085">
        <f>VLOOKUP(A4085,Pr_Base_LNEC!$A$4:$J$6971,7,FALSE)</f>
        <v>0</v>
      </c>
    </row>
    <row r="4086" spans="1:11" ht="14.5">
      <c r="A4086" s="20" t="s">
        <v>24289</v>
      </c>
      <c r="B4086" s="20">
        <v>40</v>
      </c>
      <c r="C4086" s="20">
        <v>50</v>
      </c>
      <c r="D4086" s="20">
        <v>12</v>
      </c>
      <c r="E4086" s="20">
        <v>47</v>
      </c>
      <c r="F4086" s="20" t="s">
        <v>24290</v>
      </c>
      <c r="G4086" s="20" t="s">
        <v>24291</v>
      </c>
      <c r="H4086" s="24"/>
      <c r="I4086" s="24" t="str">
        <f ca="1">IFERROR(__xludf.DUMMYFUNCTION("GOOGLETRANSLATE(F4086,""en"",""pt"")"),"assentos ligados")</f>
        <v>assentos ligados</v>
      </c>
      <c r="J4086">
        <f>VLOOKUP(A4086,Pr_Base_LNEC!$A$4:$J$6971,6,FALSE)</f>
        <v>0</v>
      </c>
      <c r="K4086">
        <f>VLOOKUP(A4086,Pr_Base_LNEC!$A$4:$J$6971,7,FALSE)</f>
        <v>0</v>
      </c>
    </row>
    <row r="4087" spans="1:11" ht="14.5">
      <c r="A4087" s="20" t="s">
        <v>24292</v>
      </c>
      <c r="B4087" s="20">
        <v>40</v>
      </c>
      <c r="C4087" s="20">
        <v>50</v>
      </c>
      <c r="D4087" s="20">
        <v>12</v>
      </c>
      <c r="E4087" s="20">
        <v>48</v>
      </c>
      <c r="F4087" s="20" t="s">
        <v>24293</v>
      </c>
      <c r="G4087" s="24"/>
      <c r="H4087" s="24"/>
      <c r="I4087" s="24" t="str">
        <f ca="1">IFERROR(__xludf.DUMMYFUNCTION("GOOGLETRANSLATE(F4087,""en"",""pt"")"),"espreguiçadeiras")</f>
        <v>espreguiçadeiras</v>
      </c>
      <c r="J4087">
        <f>VLOOKUP(A4087,Pr_Base_LNEC!$A$4:$J$6971,6,FALSE)</f>
        <v>0</v>
      </c>
      <c r="K4087">
        <f>VLOOKUP(A4087,Pr_Base_LNEC!$A$4:$J$6971,7,FALSE)</f>
        <v>0</v>
      </c>
    </row>
    <row r="4088" spans="1:11" ht="14.5">
      <c r="A4088" s="20" t="s">
        <v>24294</v>
      </c>
      <c r="B4088" s="20">
        <v>40</v>
      </c>
      <c r="C4088" s="20">
        <v>50</v>
      </c>
      <c r="D4088" s="20">
        <v>12</v>
      </c>
      <c r="E4088" s="20">
        <v>51</v>
      </c>
      <c r="F4088" s="20" t="s">
        <v>24295</v>
      </c>
      <c r="G4088" s="24"/>
      <c r="H4088" s="24"/>
      <c r="I4088" s="24" t="str">
        <f ca="1">IFERROR(__xludf.DUMMYFUNCTION("GOOGLETRANSLATE(F4088,""en"",""pt"")"),"Reunião cadeiras da sala")</f>
        <v>Reunião cadeiras da sala</v>
      </c>
      <c r="J4088">
        <f>VLOOKUP(A4088,Pr_Base_LNEC!$A$4:$J$6971,6,FALSE)</f>
        <v>0</v>
      </c>
      <c r="K4088">
        <f>VLOOKUP(A4088,Pr_Base_LNEC!$A$4:$J$6971,7,FALSE)</f>
        <v>0</v>
      </c>
    </row>
    <row r="4089" spans="1:11" ht="14.5">
      <c r="A4089" s="20" t="s">
        <v>24296</v>
      </c>
      <c r="B4089" s="20">
        <v>40</v>
      </c>
      <c r="C4089" s="20">
        <v>50</v>
      </c>
      <c r="D4089" s="20">
        <v>12</v>
      </c>
      <c r="E4089" s="20">
        <v>57</v>
      </c>
      <c r="F4089" s="20" t="s">
        <v>24297</v>
      </c>
      <c r="G4089" s="20" t="s">
        <v>24298</v>
      </c>
      <c r="H4089" s="24"/>
      <c r="I4089" s="24" t="str">
        <f ca="1">IFERROR(__xludf.DUMMYFUNCTION("GOOGLETRANSLATE(F4089,""en"",""pt"")"),"cadeiras de escritório")</f>
        <v>cadeiras de escritório</v>
      </c>
      <c r="J4089">
        <f>VLOOKUP(A4089,Pr_Base_LNEC!$A$4:$J$6971,6,FALSE)</f>
        <v>0</v>
      </c>
      <c r="K4089">
        <f>VLOOKUP(A4089,Pr_Base_LNEC!$A$4:$J$6971,7,FALSE)</f>
        <v>0</v>
      </c>
    </row>
    <row r="4090" spans="1:11" ht="14.5">
      <c r="A4090" s="20" t="s">
        <v>24299</v>
      </c>
      <c r="B4090" s="20">
        <v>40</v>
      </c>
      <c r="C4090" s="20">
        <v>50</v>
      </c>
      <c r="D4090" s="20">
        <v>12</v>
      </c>
      <c r="E4090" s="20">
        <v>59</v>
      </c>
      <c r="F4090" s="20" t="s">
        <v>24300</v>
      </c>
      <c r="G4090" s="24"/>
      <c r="H4090" s="24"/>
      <c r="I4090" s="24" t="str">
        <f ca="1">IFERROR(__xludf.DUMMYFUNCTION("GOOGLETRANSLATE(F4090,""en"",""pt"")"),"otomanos")</f>
        <v>otomanos</v>
      </c>
      <c r="J4090">
        <f>VLOOKUP(A4090,Pr_Base_LNEC!$A$4:$J$6971,6,FALSE)</f>
        <v>0</v>
      </c>
      <c r="K4090">
        <f>VLOOKUP(A4090,Pr_Base_LNEC!$A$4:$J$6971,7,FALSE)</f>
        <v>0</v>
      </c>
    </row>
    <row r="4091" spans="1:11" ht="14.5">
      <c r="A4091" s="20" t="s">
        <v>24301</v>
      </c>
      <c r="B4091" s="20">
        <v>40</v>
      </c>
      <c r="C4091" s="20">
        <v>50</v>
      </c>
      <c r="D4091" s="20">
        <v>12</v>
      </c>
      <c r="E4091" s="20">
        <v>62</v>
      </c>
      <c r="F4091" s="20" t="s">
        <v>24302</v>
      </c>
      <c r="G4091" s="24"/>
      <c r="H4091" s="24"/>
      <c r="I4091" s="24" t="str">
        <f ca="1">IFERROR(__xludf.DUMMYFUNCTION("GOOGLETRANSLATE(F4091,""en"",""pt"")"),"bancos")</f>
        <v>bancos</v>
      </c>
      <c r="J4091">
        <f>VLOOKUP(A4091,Pr_Base_LNEC!$A$4:$J$6971,6,FALSE)</f>
        <v>0</v>
      </c>
      <c r="K4091">
        <f>VLOOKUP(A4091,Pr_Base_LNEC!$A$4:$J$6971,7,FALSE)</f>
        <v>0</v>
      </c>
    </row>
    <row r="4092" spans="1:11" ht="14.5">
      <c r="A4092" s="20" t="s">
        <v>24303</v>
      </c>
      <c r="B4092" s="20">
        <v>40</v>
      </c>
      <c r="C4092" s="20">
        <v>50</v>
      </c>
      <c r="D4092" s="20">
        <v>12</v>
      </c>
      <c r="E4092" s="20">
        <v>63</v>
      </c>
      <c r="F4092" s="20" t="s">
        <v>24304</v>
      </c>
      <c r="G4092" s="24"/>
      <c r="H4092" s="24"/>
      <c r="I4092" s="24" t="str">
        <f ca="1">IFERROR(__xludf.DUMMYFUNCTION("GOOGLETRANSLATE(F4092,""en"",""pt"")"),"cadeiras jogo")</f>
        <v>cadeiras jogo</v>
      </c>
      <c r="J4092">
        <f>VLOOKUP(A4092,Pr_Base_LNEC!$A$4:$J$6971,6,FALSE)</f>
        <v>0</v>
      </c>
      <c r="K4092">
        <f>VLOOKUP(A4092,Pr_Base_LNEC!$A$4:$J$6971,7,FALSE)</f>
        <v>0</v>
      </c>
    </row>
    <row r="4093" spans="1:11" ht="14.5">
      <c r="A4093" s="20" t="s">
        <v>24305</v>
      </c>
      <c r="B4093" s="20">
        <v>40</v>
      </c>
      <c r="C4093" s="20">
        <v>50</v>
      </c>
      <c r="D4093" s="20">
        <v>12</v>
      </c>
      <c r="E4093" s="20">
        <v>64</v>
      </c>
      <c r="F4093" s="20" t="s">
        <v>24306</v>
      </c>
      <c r="G4093" s="20" t="s">
        <v>24307</v>
      </c>
      <c r="H4093" s="24"/>
      <c r="I4093" s="24" t="str">
        <f ca="1">IFERROR(__xludf.DUMMYFUNCTION("GOOGLETRANSLATE(F4093,""en"",""pt"")"),"piscina cadeiras de observação portátil")</f>
        <v>piscina cadeiras de observação portátil</v>
      </c>
      <c r="J4093">
        <f>VLOOKUP(A4093,Pr_Base_LNEC!$A$4:$J$6971,6,FALSE)</f>
        <v>0</v>
      </c>
      <c r="K4093">
        <f>VLOOKUP(A4093,Pr_Base_LNEC!$A$4:$J$6971,7,FALSE)</f>
        <v>0</v>
      </c>
    </row>
    <row r="4094" spans="1:11" ht="14.5">
      <c r="A4094" s="20" t="s">
        <v>24308</v>
      </c>
      <c r="B4094" s="20">
        <v>40</v>
      </c>
      <c r="C4094" s="20">
        <v>50</v>
      </c>
      <c r="D4094" s="20">
        <v>12</v>
      </c>
      <c r="E4094" s="20">
        <v>71</v>
      </c>
      <c r="F4094" s="20" t="s">
        <v>24309</v>
      </c>
      <c r="G4094" s="24"/>
      <c r="H4094" s="24"/>
      <c r="I4094" s="24" t="str">
        <f ca="1">IFERROR(__xludf.DUMMYFUNCTION("GOOGLETRANSLATE(F4094,""en"",""pt"")"),"cadeiras de recepção")</f>
        <v>cadeiras de recepção</v>
      </c>
      <c r="J4094">
        <f>VLOOKUP(A4094,Pr_Base_LNEC!$A$4:$J$6971,6,FALSE)</f>
        <v>0</v>
      </c>
      <c r="K4094">
        <f>VLOOKUP(A4094,Pr_Base_LNEC!$A$4:$J$6971,7,FALSE)</f>
        <v>0</v>
      </c>
    </row>
    <row r="4095" spans="1:11" ht="14.5">
      <c r="A4095" s="20" t="s">
        <v>24310</v>
      </c>
      <c r="B4095" s="20">
        <v>40</v>
      </c>
      <c r="C4095" s="20">
        <v>50</v>
      </c>
      <c r="D4095" s="20">
        <v>12</v>
      </c>
      <c r="E4095" s="20">
        <v>72</v>
      </c>
      <c r="F4095" s="20" t="s">
        <v>24311</v>
      </c>
      <c r="G4095" s="24"/>
      <c r="H4095" s="24"/>
      <c r="I4095" s="24" t="str">
        <f ca="1">IFERROR(__xludf.DUMMYFUNCTION("GOOGLETRANSLATE(F4095,""en"",""pt"")"),"cadeiras reclináveis")</f>
        <v>cadeiras reclináveis</v>
      </c>
      <c r="J4095">
        <f>VLOOKUP(A4095,Pr_Base_LNEC!$A$4:$J$6971,6,FALSE)</f>
        <v>0</v>
      </c>
      <c r="K4095">
        <f>VLOOKUP(A4095,Pr_Base_LNEC!$A$4:$J$6971,7,FALSE)</f>
        <v>0</v>
      </c>
    </row>
    <row r="4096" spans="1:11" ht="14.5">
      <c r="A4096" s="20" t="s">
        <v>24312</v>
      </c>
      <c r="B4096" s="20">
        <v>40</v>
      </c>
      <c r="C4096" s="20">
        <v>50</v>
      </c>
      <c r="D4096" s="20">
        <v>12</v>
      </c>
      <c r="E4096" s="20">
        <v>74</v>
      </c>
      <c r="F4096" s="20" t="s">
        <v>24313</v>
      </c>
      <c r="G4096" s="24"/>
      <c r="H4096" s="24"/>
      <c r="I4096" s="24" t="str">
        <f ca="1">IFERROR(__xludf.DUMMYFUNCTION("GOOGLETRANSLATE(F4096,""en"",""pt"")"),"cadeiras de balanço")</f>
        <v>cadeiras de balanço</v>
      </c>
      <c r="J4096">
        <f>VLOOKUP(A4096,Pr_Base_LNEC!$A$4:$J$6971,6,FALSE)</f>
        <v>0</v>
      </c>
      <c r="K4096">
        <f>VLOOKUP(A4096,Pr_Base_LNEC!$A$4:$J$6971,7,FALSE)</f>
        <v>0</v>
      </c>
    </row>
    <row r="4097" spans="1:11" ht="14.5">
      <c r="A4097" s="20" t="s">
        <v>24314</v>
      </c>
      <c r="B4097" s="20">
        <v>40</v>
      </c>
      <c r="C4097" s="20">
        <v>50</v>
      </c>
      <c r="D4097" s="20">
        <v>12</v>
      </c>
      <c r="E4097" s="20">
        <v>76</v>
      </c>
      <c r="F4097" s="20" t="s">
        <v>24315</v>
      </c>
      <c r="G4097" s="24"/>
      <c r="H4097" s="24"/>
      <c r="I4097" s="24" t="str">
        <f ca="1">IFERROR(__xludf.DUMMYFUNCTION("GOOGLETRANSLATE(F4097,""en"",""pt"")"),"sofás")</f>
        <v>sofás</v>
      </c>
      <c r="J4097">
        <f>VLOOKUP(A4097,Pr_Base_LNEC!$A$4:$J$6971,6,FALSE)</f>
        <v>0</v>
      </c>
      <c r="K4097">
        <f>VLOOKUP(A4097,Pr_Base_LNEC!$A$4:$J$6971,7,FALSE)</f>
        <v>0</v>
      </c>
    </row>
    <row r="4098" spans="1:11" ht="14.5">
      <c r="A4098" s="20" t="s">
        <v>24316</v>
      </c>
      <c r="B4098" s="20">
        <v>40</v>
      </c>
      <c r="C4098" s="20">
        <v>50</v>
      </c>
      <c r="D4098" s="20">
        <v>12</v>
      </c>
      <c r="E4098" s="20">
        <v>80</v>
      </c>
      <c r="F4098" s="20" t="s">
        <v>24317</v>
      </c>
      <c r="G4098" s="24"/>
      <c r="H4098" s="24"/>
      <c r="I4098" s="24" t="str">
        <f ca="1">IFERROR(__xludf.DUMMYFUNCTION("GOOGLETRANSLATE(F4098,""en"",""pt"")"),"sofás-cama")</f>
        <v>sofás-cama</v>
      </c>
      <c r="J4098">
        <f>VLOOKUP(A4098,Pr_Base_LNEC!$A$4:$J$6971,6,FALSE)</f>
        <v>0</v>
      </c>
      <c r="K4098">
        <f>VLOOKUP(A4098,Pr_Base_LNEC!$A$4:$J$6971,7,FALSE)</f>
        <v>0</v>
      </c>
    </row>
    <row r="4099" spans="1:11" ht="14.5">
      <c r="A4099" s="20" t="s">
        <v>24318</v>
      </c>
      <c r="B4099" s="20">
        <v>40</v>
      </c>
      <c r="C4099" s="20">
        <v>50</v>
      </c>
      <c r="D4099" s="20">
        <v>12</v>
      </c>
      <c r="E4099" s="20">
        <v>81</v>
      </c>
      <c r="F4099" s="20" t="s">
        <v>24319</v>
      </c>
      <c r="G4099" s="24"/>
      <c r="H4099" s="24"/>
      <c r="I4099" s="24" t="str">
        <f ca="1">IFERROR(__xludf.DUMMYFUNCTION("GOOGLETRANSLATE(F4099,""en"",""pt"")"),"sofás")</f>
        <v>sofás</v>
      </c>
      <c r="J4099">
        <f>VLOOKUP(A4099,Pr_Base_LNEC!$A$4:$J$6971,6,FALSE)</f>
        <v>0</v>
      </c>
      <c r="K4099">
        <f>VLOOKUP(A4099,Pr_Base_LNEC!$A$4:$J$6971,7,FALSE)</f>
        <v>0</v>
      </c>
    </row>
    <row r="4100" spans="1:11" ht="14.5">
      <c r="A4100" s="20" t="s">
        <v>24320</v>
      </c>
      <c r="B4100" s="20">
        <v>40</v>
      </c>
      <c r="C4100" s="20">
        <v>50</v>
      </c>
      <c r="D4100" s="20">
        <v>12</v>
      </c>
      <c r="E4100" s="20">
        <v>82</v>
      </c>
      <c r="F4100" s="20" t="s">
        <v>24321</v>
      </c>
      <c r="G4100" s="24"/>
      <c r="H4100" s="24"/>
      <c r="I4100" s="24" t="str">
        <f ca="1">IFERROR(__xludf.DUMMYFUNCTION("GOOGLETRANSLATE(F4100,""en"",""pt"")"),"empilhamento bancos")</f>
        <v>empilhamento bancos</v>
      </c>
      <c r="J4100">
        <f>VLOOKUP(A4100,Pr_Base_LNEC!$A$4:$J$6971,6,FALSE)</f>
        <v>0</v>
      </c>
      <c r="K4100">
        <f>VLOOKUP(A4100,Pr_Base_LNEC!$A$4:$J$6971,7,FALSE)</f>
        <v>0</v>
      </c>
    </row>
    <row r="4101" spans="1:11" ht="14.5">
      <c r="A4101" s="20" t="s">
        <v>24322</v>
      </c>
      <c r="B4101" s="20">
        <v>40</v>
      </c>
      <c r="C4101" s="20">
        <v>50</v>
      </c>
      <c r="D4101" s="20">
        <v>12</v>
      </c>
      <c r="E4101" s="20">
        <v>83</v>
      </c>
      <c r="F4101" s="20" t="s">
        <v>24323</v>
      </c>
      <c r="G4101" s="20" t="s">
        <v>24324</v>
      </c>
      <c r="H4101" s="24"/>
      <c r="I4101" s="24" t="str">
        <f ca="1">IFERROR(__xludf.DUMMYFUNCTION("GOOGLETRANSLATE(F4101,""en"",""pt"")"),"empilhamento cadeiras")</f>
        <v>empilhamento cadeiras</v>
      </c>
      <c r="J4101">
        <f>VLOOKUP(A4101,Pr_Base_LNEC!$A$4:$J$6971,6,FALSE)</f>
        <v>0</v>
      </c>
      <c r="K4101">
        <f>VLOOKUP(A4101,Pr_Base_LNEC!$A$4:$J$6971,7,FALSE)</f>
        <v>0</v>
      </c>
    </row>
    <row r="4102" spans="1:11" ht="14.5">
      <c r="A4102" s="20" t="s">
        <v>24325</v>
      </c>
      <c r="B4102" s="20">
        <v>40</v>
      </c>
      <c r="C4102" s="20">
        <v>50</v>
      </c>
      <c r="D4102" s="20">
        <v>12</v>
      </c>
      <c r="E4102" s="20">
        <v>84</v>
      </c>
      <c r="F4102" s="20" t="s">
        <v>24326</v>
      </c>
      <c r="G4102" s="24"/>
      <c r="H4102" s="24"/>
      <c r="I4102" s="24" t="str">
        <f ca="1">IFERROR(__xludf.DUMMYFUNCTION("GOOGLETRANSLATE(F4102,""en"",""pt"")"),"empilhamento bancos")</f>
        <v>empilhamento bancos</v>
      </c>
      <c r="J4102">
        <f>VLOOKUP(A4102,Pr_Base_LNEC!$A$4:$J$6971,6,FALSE)</f>
        <v>0</v>
      </c>
      <c r="K4102">
        <f>VLOOKUP(A4102,Pr_Base_LNEC!$A$4:$J$6971,7,FALSE)</f>
        <v>0</v>
      </c>
    </row>
    <row r="4103" spans="1:11" ht="14.5">
      <c r="A4103" s="20" t="s">
        <v>24327</v>
      </c>
      <c r="B4103" s="20">
        <v>40</v>
      </c>
      <c r="C4103" s="20">
        <v>50</v>
      </c>
      <c r="D4103" s="20">
        <v>12</v>
      </c>
      <c r="E4103" s="20">
        <v>85</v>
      </c>
      <c r="F4103" s="20" t="s">
        <v>24328</v>
      </c>
      <c r="G4103" s="24"/>
      <c r="H4103" s="24"/>
      <c r="I4103" s="24" t="str">
        <f ca="1">IFERROR(__xludf.DUMMYFUNCTION("GOOGLETRANSLATE(F4103,""en"",""pt"")"),"fezes")</f>
        <v>fezes</v>
      </c>
      <c r="J4103">
        <f>VLOOKUP(A4103,Pr_Base_LNEC!$A$4:$J$6971,6,FALSE)</f>
        <v>0</v>
      </c>
      <c r="K4103">
        <f>VLOOKUP(A4103,Pr_Base_LNEC!$A$4:$J$6971,7,FALSE)</f>
        <v>0</v>
      </c>
    </row>
    <row r="4104" spans="1:11" ht="14.5">
      <c r="A4104" s="20" t="s">
        <v>24329</v>
      </c>
      <c r="B4104" s="20">
        <v>40</v>
      </c>
      <c r="C4104" s="20">
        <v>50</v>
      </c>
      <c r="D4104" s="20">
        <v>12</v>
      </c>
      <c r="E4104" s="20">
        <v>86</v>
      </c>
      <c r="F4104" s="20" t="s">
        <v>24330</v>
      </c>
      <c r="G4104" s="24"/>
      <c r="H4104" s="24"/>
      <c r="I4104" s="24" t="str">
        <f ca="1">IFERROR(__xludf.DUMMYFUNCTION("GOOGLETRANSLATE(F4104,""en"",""pt"")"),"cadeiras de estudo")</f>
        <v>cadeiras de estudo</v>
      </c>
      <c r="J4104">
        <f>VLOOKUP(A4104,Pr_Base_LNEC!$A$4:$J$6971,6,FALSE)</f>
        <v>0</v>
      </c>
      <c r="K4104">
        <f>VLOOKUP(A4104,Pr_Base_LNEC!$A$4:$J$6971,7,FALSE)</f>
        <v>0</v>
      </c>
    </row>
    <row r="4105" spans="1:11" ht="14.5">
      <c r="A4105" s="20" t="s">
        <v>24331</v>
      </c>
      <c r="B4105" s="20">
        <v>40</v>
      </c>
      <c r="C4105" s="20">
        <v>50</v>
      </c>
      <c r="D4105" s="20">
        <v>12</v>
      </c>
      <c r="E4105" s="20">
        <v>87</v>
      </c>
      <c r="F4105" s="20" t="s">
        <v>24332</v>
      </c>
      <c r="G4105" s="24"/>
      <c r="H4105" s="24"/>
      <c r="I4105" s="24" t="str">
        <f ca="1">IFERROR(__xludf.DUMMYFUNCTION("GOOGLETRANSLATE(F4105,""en"",""pt"")"),"cadeiras de balanço")</f>
        <v>cadeiras de balanço</v>
      </c>
      <c r="J4105">
        <f>VLOOKUP(A4105,Pr_Base_LNEC!$A$4:$J$6971,6,FALSE)</f>
        <v>0</v>
      </c>
      <c r="K4105">
        <f>VLOOKUP(A4105,Pr_Base_LNEC!$A$4:$J$6971,7,FALSE)</f>
        <v>0</v>
      </c>
    </row>
    <row r="4106" spans="1:11" ht="14.5">
      <c r="A4106" s="20" t="s">
        <v>24333</v>
      </c>
      <c r="B4106" s="20">
        <v>40</v>
      </c>
      <c r="C4106" s="20">
        <v>50</v>
      </c>
      <c r="D4106" s="20">
        <v>12</v>
      </c>
      <c r="E4106" s="20">
        <v>88</v>
      </c>
      <c r="F4106" s="20" t="s">
        <v>24334</v>
      </c>
      <c r="G4106" s="20" t="s">
        <v>24335</v>
      </c>
      <c r="H4106" s="24"/>
      <c r="I4106" s="24" t="str">
        <f ca="1">IFERROR(__xludf.DUMMYFUNCTION("GOOGLETRANSLATE(F4106,""en"",""pt"")"),"estandes de ténis árbitro")</f>
        <v>estandes de ténis árbitro</v>
      </c>
      <c r="J4106">
        <f>VLOOKUP(A4106,Pr_Base_LNEC!$A$4:$J$6971,6,FALSE)</f>
        <v>0</v>
      </c>
      <c r="K4106">
        <f>VLOOKUP(A4106,Pr_Base_LNEC!$A$4:$J$6971,7,FALSE)</f>
        <v>0</v>
      </c>
    </row>
    <row r="4107" spans="1:11" ht="14.5">
      <c r="A4107" s="20" t="s">
        <v>24336</v>
      </c>
      <c r="B4107" s="20">
        <v>40</v>
      </c>
      <c r="C4107" s="20">
        <v>50</v>
      </c>
      <c r="D4107" s="20">
        <v>12</v>
      </c>
      <c r="E4107" s="20">
        <v>93</v>
      </c>
      <c r="F4107" s="20" t="s">
        <v>24337</v>
      </c>
      <c r="G4107" s="24"/>
      <c r="H4107" s="24"/>
      <c r="I4107" s="24" t="str">
        <f ca="1">IFERROR(__xludf.DUMMYFUNCTION("GOOGLETRANSLATE(F4107,""en"",""pt"")"),"bancos estofados")</f>
        <v>bancos estofados</v>
      </c>
      <c r="J4107">
        <f>VLOOKUP(A4107,Pr_Base_LNEC!$A$4:$J$6971,6,FALSE)</f>
        <v>0</v>
      </c>
      <c r="K4107">
        <f>VLOOKUP(A4107,Pr_Base_LNEC!$A$4:$J$6971,7,FALSE)</f>
        <v>0</v>
      </c>
    </row>
    <row r="4108" spans="1:11" ht="14.5">
      <c r="A4108" s="20" t="s">
        <v>24338</v>
      </c>
      <c r="B4108" s="20">
        <v>40</v>
      </c>
      <c r="C4108" s="20">
        <v>50</v>
      </c>
      <c r="D4108" s="20">
        <v>12</v>
      </c>
      <c r="E4108" s="20">
        <v>94</v>
      </c>
      <c r="F4108" s="20" t="s">
        <v>24339</v>
      </c>
      <c r="G4108" s="24"/>
      <c r="H4108" s="24"/>
      <c r="I4108" s="24" t="str">
        <f ca="1">IFERROR(__xludf.DUMMYFUNCTION("GOOGLETRANSLATE(F4108,""en"",""pt"")"),"bancos de peso utilidade")</f>
        <v>bancos de peso utilidade</v>
      </c>
      <c r="J4108">
        <f>VLOOKUP(A4108,Pr_Base_LNEC!$A$4:$J$6971,6,FALSE)</f>
        <v>0</v>
      </c>
      <c r="K4108">
        <f>VLOOKUP(A4108,Pr_Base_LNEC!$A$4:$J$6971,7,FALSE)</f>
        <v>0</v>
      </c>
    </row>
    <row r="4109" spans="1:11" ht="14.5">
      <c r="A4109" s="20" t="s">
        <v>24340</v>
      </c>
      <c r="B4109" s="20">
        <v>40</v>
      </c>
      <c r="C4109" s="20">
        <v>50</v>
      </c>
      <c r="D4109" s="20">
        <v>13</v>
      </c>
      <c r="E4109" s="24"/>
      <c r="F4109" s="20" t="s">
        <v>24341</v>
      </c>
      <c r="G4109" s="24"/>
      <c r="H4109" s="24"/>
      <c r="I4109" s="24" t="str">
        <f ca="1">IFERROR(__xludf.DUMMYFUNCTION("GOOGLETRANSLATE(F4109,""en"",""pt"")"),"clocks")</f>
        <v>clocks</v>
      </c>
      <c r="J4109">
        <f>VLOOKUP(A4109,Pr_Base_LNEC!$A$4:$J$6971,6,FALSE)</f>
        <v>0</v>
      </c>
      <c r="K4109">
        <f>VLOOKUP(A4109,Pr_Base_LNEC!$A$4:$J$6971,7,FALSE)</f>
        <v>0</v>
      </c>
    </row>
    <row r="4110" spans="1:11" ht="14.5">
      <c r="A4110" s="20" t="s">
        <v>24342</v>
      </c>
      <c r="B4110" s="20">
        <v>40</v>
      </c>
      <c r="C4110" s="20">
        <v>50</v>
      </c>
      <c r="D4110" s="20">
        <v>13</v>
      </c>
      <c r="E4110" s="20">
        <v>6</v>
      </c>
      <c r="F4110" s="20" t="s">
        <v>24343</v>
      </c>
      <c r="G4110" s="24"/>
      <c r="H4110" s="24"/>
      <c r="I4110" s="24" t="str">
        <f ca="1">IFERROR(__xludf.DUMMYFUNCTION("GOOGLETRANSLATE(F4110,""en"",""pt"")"),"relógios analógicos de bateria")</f>
        <v>relógios analógicos de bateria</v>
      </c>
      <c r="J4110" t="e">
        <f>VLOOKUP(A4110,Pr_Base_LNEC!$A$4:$J$6971,6,FALSE)</f>
        <v>#N/A</v>
      </c>
      <c r="K4110" t="e">
        <f>VLOOKUP(A4110,Pr_Base_LNEC!$A$4:$J$6971,7,FALSE)</f>
        <v>#N/A</v>
      </c>
    </row>
    <row r="4111" spans="1:11" ht="14.5">
      <c r="A4111" s="20" t="s">
        <v>24344</v>
      </c>
      <c r="B4111" s="20">
        <v>40</v>
      </c>
      <c r="C4111" s="20">
        <v>50</v>
      </c>
      <c r="D4111" s="20">
        <v>13</v>
      </c>
      <c r="E4111" s="20">
        <v>22</v>
      </c>
      <c r="F4111" s="20" t="s">
        <v>24345</v>
      </c>
      <c r="G4111" s="24"/>
      <c r="H4111" s="24"/>
      <c r="I4111" s="24" t="str">
        <f ca="1">IFERROR(__xludf.DUMMYFUNCTION("GOOGLETRANSLATE(F4111,""en"",""pt"")"),"relógios digitais")</f>
        <v>relógios digitais</v>
      </c>
      <c r="J4111">
        <f>VLOOKUP(A4111,Pr_Base_LNEC!$A$4:$J$6971,6,FALSE)</f>
        <v>0</v>
      </c>
      <c r="K4111">
        <f>VLOOKUP(A4111,Pr_Base_LNEC!$A$4:$J$6971,7,FALSE)</f>
        <v>0</v>
      </c>
    </row>
    <row r="4112" spans="1:11" ht="14.5">
      <c r="A4112" s="20" t="s">
        <v>24346</v>
      </c>
      <c r="B4112" s="20">
        <v>40</v>
      </c>
      <c r="C4112" s="20">
        <v>50</v>
      </c>
      <c r="D4112" s="20">
        <v>13</v>
      </c>
      <c r="E4112" s="20">
        <v>26</v>
      </c>
      <c r="F4112" s="20" t="s">
        <v>24347</v>
      </c>
      <c r="G4112" s="24"/>
      <c r="H4112" s="24"/>
      <c r="I4112" s="24" t="str">
        <f ca="1">IFERROR(__xludf.DUMMYFUNCTION("GOOGLETRANSLATE(F4112,""en"",""pt"")"),"relógios elétricos")</f>
        <v>relógios elétricos</v>
      </c>
      <c r="J4112">
        <f>VLOOKUP(A4112,Pr_Base_LNEC!$A$4:$J$6971,6,FALSE)</f>
        <v>0</v>
      </c>
      <c r="K4112">
        <f>VLOOKUP(A4112,Pr_Base_LNEC!$A$4:$J$6971,7,FALSE)</f>
        <v>0</v>
      </c>
    </row>
    <row r="4113" spans="1:11" ht="14.5">
      <c r="A4113" s="20" t="s">
        <v>24348</v>
      </c>
      <c r="B4113" s="20">
        <v>40</v>
      </c>
      <c r="C4113" s="20">
        <v>50</v>
      </c>
      <c r="D4113" s="20">
        <v>13</v>
      </c>
      <c r="E4113" s="20">
        <v>29</v>
      </c>
      <c r="F4113" s="20" t="s">
        <v>24349</v>
      </c>
      <c r="G4113" s="24"/>
      <c r="H4113" s="24"/>
      <c r="I4113" s="24" t="str">
        <f ca="1">IFERROR(__xludf.DUMMYFUNCTION("GOOGLETRANSLATE(F4113,""en"",""pt"")"),"relógios aleta")</f>
        <v>relógios aleta</v>
      </c>
      <c r="J4113">
        <f>VLOOKUP(A4113,Pr_Base_LNEC!$A$4:$J$6971,6,FALSE)</f>
        <v>0</v>
      </c>
      <c r="K4113">
        <f>VLOOKUP(A4113,Pr_Base_LNEC!$A$4:$J$6971,7,FALSE)</f>
        <v>0</v>
      </c>
    </row>
    <row r="4114" spans="1:11" ht="14.5">
      <c r="A4114" s="20" t="s">
        <v>24350</v>
      </c>
      <c r="B4114" s="20">
        <v>40</v>
      </c>
      <c r="C4114" s="20">
        <v>50</v>
      </c>
      <c r="D4114" s="20">
        <v>13</v>
      </c>
      <c r="E4114" s="20">
        <v>51</v>
      </c>
      <c r="F4114" s="20" t="s">
        <v>24351</v>
      </c>
      <c r="G4114" s="20" t="s">
        <v>24352</v>
      </c>
      <c r="H4114" s="24"/>
      <c r="I4114" s="24" t="str">
        <f ca="1">IFERROR(__xludf.DUMMYFUNCTION("GOOGLETRANSLATE(F4114,""en"",""pt"")"),"relógios mecânicos")</f>
        <v>relógios mecânicos</v>
      </c>
      <c r="J4114">
        <f>VLOOKUP(A4114,Pr_Base_LNEC!$A$4:$J$6971,6,FALSE)</f>
        <v>0</v>
      </c>
      <c r="K4114">
        <f>VLOOKUP(A4114,Pr_Base_LNEC!$A$4:$J$6971,7,FALSE)</f>
        <v>0</v>
      </c>
    </row>
    <row r="4115" spans="1:11" ht="14.5">
      <c r="A4115" s="20" t="s">
        <v>24353</v>
      </c>
      <c r="B4115" s="20">
        <v>40</v>
      </c>
      <c r="C4115" s="20">
        <v>50</v>
      </c>
      <c r="D4115" s="20">
        <v>13</v>
      </c>
      <c r="E4115" s="20">
        <v>61</v>
      </c>
      <c r="F4115" s="20" t="s">
        <v>24354</v>
      </c>
      <c r="G4115" s="24"/>
      <c r="H4115" s="24"/>
      <c r="I4115" s="24" t="str">
        <f ca="1">IFERROR(__xludf.DUMMYFUNCTION("GOOGLETRANSLATE(F4115,""en"",""pt"")"),"relógios de pêndulo")</f>
        <v>relógios de pêndulo</v>
      </c>
      <c r="J4115">
        <f>VLOOKUP(A4115,Pr_Base_LNEC!$A$4:$J$6971,6,FALSE)</f>
        <v>0</v>
      </c>
      <c r="K4115">
        <f>VLOOKUP(A4115,Pr_Base_LNEC!$A$4:$J$6971,7,FALSE)</f>
        <v>0</v>
      </c>
    </row>
    <row r="4116" spans="1:11" ht="14.5">
      <c r="A4116" s="20" t="s">
        <v>24355</v>
      </c>
      <c r="B4116" s="20">
        <v>40</v>
      </c>
      <c r="C4116" s="20">
        <v>50</v>
      </c>
      <c r="D4116" s="20">
        <v>13</v>
      </c>
      <c r="E4116" s="20">
        <v>66</v>
      </c>
      <c r="F4116" s="20" t="s">
        <v>24356</v>
      </c>
      <c r="G4116" s="24"/>
      <c r="H4116" s="24"/>
      <c r="I4116" s="24" t="str">
        <f ca="1">IFERROR(__xludf.DUMMYFUNCTION("GOOGLETRANSLATE(F4116,""en"",""pt"")"),"relógios de projeção")</f>
        <v>relógios de projeção</v>
      </c>
      <c r="J4116">
        <f>VLOOKUP(A4116,Pr_Base_LNEC!$A$4:$J$6971,6,FALSE)</f>
        <v>0</v>
      </c>
      <c r="K4116">
        <f>VLOOKUP(A4116,Pr_Base_LNEC!$A$4:$J$6971,7,FALSE)</f>
        <v>0</v>
      </c>
    </row>
    <row r="4117" spans="1:11" ht="14.5">
      <c r="A4117" s="20" t="s">
        <v>24357</v>
      </c>
      <c r="B4117" s="20">
        <v>40</v>
      </c>
      <c r="C4117" s="20">
        <v>50</v>
      </c>
      <c r="D4117" s="20">
        <v>13</v>
      </c>
      <c r="E4117" s="20">
        <v>70</v>
      </c>
      <c r="F4117" s="20" t="s">
        <v>24358</v>
      </c>
      <c r="G4117" s="24"/>
      <c r="H4117" s="24"/>
      <c r="I4117" s="24" t="str">
        <f ca="1">IFERROR(__xludf.DUMMYFUNCTION("GOOGLETRANSLATE(F4117,""en"",""pt"")"),"relógios de quartzo")</f>
        <v>relógios de quartzo</v>
      </c>
      <c r="J4117">
        <f>VLOOKUP(A4117,Pr_Base_LNEC!$A$4:$J$6971,6,FALSE)</f>
        <v>0</v>
      </c>
      <c r="K4117">
        <f>VLOOKUP(A4117,Pr_Base_LNEC!$A$4:$J$6971,7,FALSE)</f>
        <v>0</v>
      </c>
    </row>
    <row r="4118" spans="1:11" ht="14.5">
      <c r="A4118" s="20" t="s">
        <v>24359</v>
      </c>
      <c r="B4118" s="20">
        <v>40</v>
      </c>
      <c r="C4118" s="20">
        <v>50</v>
      </c>
      <c r="D4118" s="20">
        <v>13</v>
      </c>
      <c r="E4118" s="20">
        <v>71</v>
      </c>
      <c r="F4118" s="20" t="s">
        <v>24360</v>
      </c>
      <c r="G4118" s="24"/>
      <c r="H4118" s="24"/>
      <c r="I4118" s="24" t="str">
        <f ca="1">IFERROR(__xludf.DUMMYFUNCTION("GOOGLETRANSLATE(F4118,""en"",""pt"")"),"relógios de rádio")</f>
        <v>relógios de rádio</v>
      </c>
      <c r="J4118">
        <f>VLOOKUP(A4118,Pr_Base_LNEC!$A$4:$J$6971,6,FALSE)</f>
        <v>0</v>
      </c>
      <c r="K4118">
        <f>VLOOKUP(A4118,Pr_Base_LNEC!$A$4:$J$6971,7,FALSE)</f>
        <v>0</v>
      </c>
    </row>
    <row r="4119" spans="1:11" ht="14.5">
      <c r="A4119" s="20" t="s">
        <v>24361</v>
      </c>
      <c r="B4119" s="20">
        <v>40</v>
      </c>
      <c r="C4119" s="20">
        <v>50</v>
      </c>
      <c r="D4119" s="20">
        <v>13</v>
      </c>
      <c r="E4119" s="20">
        <v>86</v>
      </c>
      <c r="F4119" s="20" t="s">
        <v>24362</v>
      </c>
      <c r="G4119" s="24"/>
      <c r="H4119" s="24"/>
      <c r="I4119" s="24" t="str">
        <f ca="1">IFERROR(__xludf.DUMMYFUNCTION("GOOGLETRANSLATE(F4119,""en"",""pt"")"),"sundials")</f>
        <v>sundials</v>
      </c>
      <c r="J4119">
        <f>VLOOKUP(A4119,Pr_Base_LNEC!$A$4:$J$6971,6,FALSE)</f>
        <v>0</v>
      </c>
      <c r="K4119">
        <f>VLOOKUP(A4119,Pr_Base_LNEC!$A$4:$J$6971,7,FALSE)</f>
        <v>0</v>
      </c>
    </row>
    <row r="4120" spans="1:11" ht="14.5">
      <c r="A4120" s="20" t="s">
        <v>24363</v>
      </c>
      <c r="B4120" s="20">
        <v>40</v>
      </c>
      <c r="C4120" s="20">
        <v>50</v>
      </c>
      <c r="D4120" s="20">
        <v>13</v>
      </c>
      <c r="E4120" s="20">
        <v>89</v>
      </c>
      <c r="F4120" s="20" t="s">
        <v>24364</v>
      </c>
      <c r="G4120" s="24"/>
      <c r="H4120" s="24"/>
      <c r="I4120" s="24" t="str">
        <f ca="1">IFERROR(__xludf.DUMMYFUNCTION("GOOGLETRANSLATE(F4120,""en"",""pt"")"),"relógios de pêndulo de torção")</f>
        <v>relógios de pêndulo de torção</v>
      </c>
      <c r="J4120">
        <f>VLOOKUP(A4120,Pr_Base_LNEC!$A$4:$J$6971,6,FALSE)</f>
        <v>0</v>
      </c>
      <c r="K4120">
        <f>VLOOKUP(A4120,Pr_Base_LNEC!$A$4:$J$6971,7,FALSE)</f>
        <v>0</v>
      </c>
    </row>
    <row r="4121" spans="1:11" ht="14.5">
      <c r="A4121" s="20" t="s">
        <v>24365</v>
      </c>
      <c r="B4121" s="20">
        <v>40</v>
      </c>
      <c r="C4121" s="20">
        <v>50</v>
      </c>
      <c r="D4121" s="20">
        <v>13</v>
      </c>
      <c r="E4121" s="20">
        <v>96</v>
      </c>
      <c r="F4121" s="20" t="s">
        <v>24366</v>
      </c>
      <c r="G4121" s="24"/>
      <c r="H4121" s="24"/>
      <c r="I4121" s="24" t="str">
        <f ca="1">IFERROR(__xludf.DUMMYFUNCTION("GOOGLETRANSLATE(F4121,""en"",""pt"")"),"relógios de água")</f>
        <v>relógios de água</v>
      </c>
      <c r="J4121">
        <f>VLOOKUP(A4121,Pr_Base_LNEC!$A$4:$J$6971,6,FALSE)</f>
        <v>0</v>
      </c>
      <c r="K4121">
        <f>VLOOKUP(A4121,Pr_Base_LNEC!$A$4:$J$6971,7,FALSE)</f>
        <v>0</v>
      </c>
    </row>
    <row r="4122" spans="1:11" ht="14.5">
      <c r="A4122" s="20" t="s">
        <v>24367</v>
      </c>
      <c r="B4122" s="20">
        <v>40</v>
      </c>
      <c r="C4122" s="20">
        <v>50</v>
      </c>
      <c r="D4122" s="20">
        <v>21</v>
      </c>
      <c r="E4122" s="24"/>
      <c r="F4122" s="20" t="s">
        <v>24368</v>
      </c>
      <c r="G4122" s="24"/>
      <c r="H4122" s="24"/>
      <c r="I4122" s="24" t="str">
        <f ca="1">IFERROR(__xludf.DUMMYFUNCTION("GOOGLETRANSLATE(F4122,""en"",""pt"")"),"Mesas, mesas e bancadas")</f>
        <v>Mesas, mesas e bancadas</v>
      </c>
      <c r="J4122">
        <f>VLOOKUP(A4122,Pr_Base_LNEC!$A$4:$J$6971,6,FALSE)</f>
        <v>0</v>
      </c>
      <c r="K4122">
        <f>VLOOKUP(A4122,Pr_Base_LNEC!$A$4:$J$6971,7,FALSE)</f>
        <v>0</v>
      </c>
    </row>
    <row r="4123" spans="1:11" ht="14.5">
      <c r="A4123" s="20" t="s">
        <v>24369</v>
      </c>
      <c r="B4123" s="20">
        <v>40</v>
      </c>
      <c r="C4123" s="20">
        <v>50</v>
      </c>
      <c r="D4123" s="20">
        <v>21</v>
      </c>
      <c r="E4123" s="20">
        <v>5</v>
      </c>
      <c r="F4123" s="20" t="s">
        <v>24370</v>
      </c>
      <c r="G4123" s="24"/>
      <c r="H4123" s="24"/>
      <c r="I4123" s="24" t="str">
        <f ca="1">IFERROR(__xludf.DUMMYFUNCTION("GOOGLETRANSLATE(F4123,""en"",""pt"")"),"mesas de áudio-visuais")</f>
        <v>mesas de áudio-visuais</v>
      </c>
      <c r="J4123">
        <f>VLOOKUP(A4123,Pr_Base_LNEC!$A$4:$J$6971,6,FALSE)</f>
        <v>0</v>
      </c>
      <c r="K4123">
        <f>VLOOKUP(A4123,Pr_Base_LNEC!$A$4:$J$6971,7,FALSE)</f>
        <v>0</v>
      </c>
    </row>
    <row r="4124" spans="1:11" ht="14.5">
      <c r="A4124" s="20" t="s">
        <v>24371</v>
      </c>
      <c r="B4124" s="20">
        <v>40</v>
      </c>
      <c r="C4124" s="20">
        <v>50</v>
      </c>
      <c r="D4124" s="20">
        <v>21</v>
      </c>
      <c r="E4124" s="20">
        <v>8</v>
      </c>
      <c r="F4124" s="20" t="s">
        <v>24372</v>
      </c>
      <c r="G4124" s="24"/>
      <c r="H4124" s="24"/>
      <c r="I4124" s="24" t="str">
        <f ca="1">IFERROR(__xludf.DUMMYFUNCTION("GOOGLETRANSLATE(F4124,""en"",""pt"")"),"mesas da sala de reuniões")</f>
        <v>mesas da sala de reuniões</v>
      </c>
      <c r="J4124">
        <f>VLOOKUP(A4124,Pr_Base_LNEC!$A$4:$J$6971,6,FALSE)</f>
        <v>0</v>
      </c>
      <c r="K4124">
        <f>VLOOKUP(A4124,Pr_Base_LNEC!$A$4:$J$6971,7,FALSE)</f>
        <v>0</v>
      </c>
    </row>
    <row r="4125" spans="1:11" ht="14.5">
      <c r="A4125" s="20" t="s">
        <v>24373</v>
      </c>
      <c r="B4125" s="20">
        <v>40</v>
      </c>
      <c r="C4125" s="20">
        <v>50</v>
      </c>
      <c r="D4125" s="20">
        <v>21</v>
      </c>
      <c r="E4125" s="20">
        <v>10</v>
      </c>
      <c r="F4125" s="20" t="s">
        <v>24374</v>
      </c>
      <c r="G4125" s="24"/>
      <c r="H4125" s="24"/>
      <c r="I4125" s="24" t="str">
        <f ca="1">IFERROR(__xludf.DUMMYFUNCTION("GOOGLETRANSLATE(F4125,""en"",""pt"")"),"Bureaux")</f>
        <v>Bureaux</v>
      </c>
      <c r="J4125">
        <f>VLOOKUP(A4125,Pr_Base_LNEC!$A$4:$J$6971,6,FALSE)</f>
        <v>0</v>
      </c>
      <c r="K4125">
        <f>VLOOKUP(A4125,Pr_Base_LNEC!$A$4:$J$6971,7,FALSE)</f>
        <v>0</v>
      </c>
    </row>
    <row r="4126" spans="1:11" ht="14.5">
      <c r="A4126" s="20" t="s">
        <v>24375</v>
      </c>
      <c r="B4126" s="20">
        <v>40</v>
      </c>
      <c r="C4126" s="20">
        <v>50</v>
      </c>
      <c r="D4126" s="20">
        <v>21</v>
      </c>
      <c r="E4126" s="20">
        <v>11</v>
      </c>
      <c r="F4126" s="20" t="s">
        <v>24376</v>
      </c>
      <c r="G4126" s="24"/>
      <c r="H4126" s="24"/>
      <c r="I4126" s="24" t="str">
        <f ca="1">IFERROR(__xludf.DUMMYFUNCTION("GOOGLETRANSLATE(F4126,""en"",""pt"")"),"mesas pódio cabo de gestão")</f>
        <v>mesas pódio cabo de gestão</v>
      </c>
      <c r="J4126">
        <f>VLOOKUP(A4126,Pr_Base_LNEC!$A$4:$J$6971,6,FALSE)</f>
        <v>0</v>
      </c>
      <c r="K4126">
        <f>VLOOKUP(A4126,Pr_Base_LNEC!$A$4:$J$6971,7,FALSE)</f>
        <v>0</v>
      </c>
    </row>
    <row r="4127" spans="1:11" ht="14.5">
      <c r="A4127" s="20" t="s">
        <v>24377</v>
      </c>
      <c r="B4127" s="20">
        <v>40</v>
      </c>
      <c r="C4127" s="20">
        <v>50</v>
      </c>
      <c r="D4127" s="20">
        <v>21</v>
      </c>
      <c r="E4127" s="20">
        <v>13</v>
      </c>
      <c r="F4127" s="20" t="s">
        <v>24378</v>
      </c>
      <c r="G4127" s="20" t="s">
        <v>24379</v>
      </c>
      <c r="H4127" s="24"/>
      <c r="I4127" s="24" t="str">
        <f ca="1">IFERROR(__xludf.DUMMYFUNCTION("GOOGLETRANSLATE(F4127,""en"",""pt"")"),"mesas de sala de aula e tabelas")</f>
        <v>mesas de sala de aula e tabelas</v>
      </c>
      <c r="J4127">
        <f>VLOOKUP(A4127,Pr_Base_LNEC!$A$4:$J$6971,6,FALSE)</f>
        <v>0</v>
      </c>
      <c r="K4127">
        <f>VLOOKUP(A4127,Pr_Base_LNEC!$A$4:$J$6971,7,FALSE)</f>
        <v>0</v>
      </c>
    </row>
    <row r="4128" spans="1:11" ht="14.5">
      <c r="A4128" s="20" t="s">
        <v>24380</v>
      </c>
      <c r="B4128" s="20">
        <v>40</v>
      </c>
      <c r="C4128" s="20">
        <v>50</v>
      </c>
      <c r="D4128" s="20">
        <v>21</v>
      </c>
      <c r="E4128" s="20">
        <v>14</v>
      </c>
      <c r="F4128" s="20" t="s">
        <v>24381</v>
      </c>
      <c r="G4128" s="24"/>
      <c r="H4128" s="24"/>
      <c r="I4128" s="24" t="str">
        <f ca="1">IFERROR(__xludf.DUMMYFUNCTION("GOOGLETRANSLATE(F4128,""en"",""pt"")"),"Mesas de café")</f>
        <v>Mesas de café</v>
      </c>
      <c r="J4128">
        <f>VLOOKUP(A4128,Pr_Base_LNEC!$A$4:$J$6971,6,FALSE)</f>
        <v>0</v>
      </c>
      <c r="K4128">
        <f>VLOOKUP(A4128,Pr_Base_LNEC!$A$4:$J$6971,7,FALSE)</f>
        <v>0</v>
      </c>
    </row>
    <row r="4129" spans="1:11" ht="14.5">
      <c r="A4129" s="20" t="s">
        <v>24382</v>
      </c>
      <c r="B4129" s="20">
        <v>40</v>
      </c>
      <c r="C4129" s="20">
        <v>50</v>
      </c>
      <c r="D4129" s="20">
        <v>21</v>
      </c>
      <c r="E4129" s="20">
        <v>15</v>
      </c>
      <c r="F4129" s="20" t="s">
        <v>24383</v>
      </c>
      <c r="G4129" s="24"/>
      <c r="H4129" s="24"/>
      <c r="I4129" s="24" t="str">
        <f ca="1">IFERROR(__xludf.DUMMYFUNCTION("GOOGLETRANSLATE(F4129,""en"",""pt"")"),"mesas de conferência")</f>
        <v>mesas de conferência</v>
      </c>
      <c r="J4129">
        <f>VLOOKUP(A4129,Pr_Base_LNEC!$A$4:$J$6971,6,FALSE)</f>
        <v>0</v>
      </c>
      <c r="K4129">
        <f>VLOOKUP(A4129,Pr_Base_LNEC!$A$4:$J$6971,7,FALSE)</f>
        <v>0</v>
      </c>
    </row>
    <row r="4130" spans="1:11" ht="14.5">
      <c r="A4130" s="20" t="s">
        <v>24384</v>
      </c>
      <c r="B4130" s="20">
        <v>40</v>
      </c>
      <c r="C4130" s="20">
        <v>50</v>
      </c>
      <c r="D4130" s="20">
        <v>21</v>
      </c>
      <c r="E4130" s="20">
        <v>16</v>
      </c>
      <c r="F4130" s="20" t="s">
        <v>24385</v>
      </c>
      <c r="G4130" s="24"/>
      <c r="H4130" s="24"/>
      <c r="I4130" s="24" t="str">
        <f ca="1">IFERROR(__xludf.DUMMYFUNCTION("GOOGLETRANSLATE(F4130,""en"",""pt"")"),"consolas")</f>
        <v>consolas</v>
      </c>
      <c r="J4130">
        <f>VLOOKUP(A4130,Pr_Base_LNEC!$A$4:$J$6971,6,FALSE)</f>
        <v>0</v>
      </c>
      <c r="K4130">
        <f>VLOOKUP(A4130,Pr_Base_LNEC!$A$4:$J$6971,7,FALSE)</f>
        <v>0</v>
      </c>
    </row>
    <row r="4131" spans="1:11" ht="14.5">
      <c r="A4131" s="20" t="s">
        <v>24386</v>
      </c>
      <c r="B4131" s="20">
        <v>40</v>
      </c>
      <c r="C4131" s="20">
        <v>50</v>
      </c>
      <c r="D4131" s="20">
        <v>21</v>
      </c>
      <c r="E4131" s="20">
        <v>17</v>
      </c>
      <c r="F4131" s="20" t="s">
        <v>24387</v>
      </c>
      <c r="G4131" s="24"/>
      <c r="H4131" s="24"/>
      <c r="I4131" s="24" t="str">
        <f ca="1">IFERROR(__xludf.DUMMYFUNCTION("GOOGLETRANSLATE(F4131,""en"",""pt"")"),"mesas de computador")</f>
        <v>mesas de computador</v>
      </c>
      <c r="J4131">
        <f>VLOOKUP(A4131,Pr_Base_LNEC!$A$4:$J$6971,6,FALSE)</f>
        <v>0</v>
      </c>
      <c r="K4131">
        <f>VLOOKUP(A4131,Pr_Base_LNEC!$A$4:$J$6971,7,FALSE)</f>
        <v>0</v>
      </c>
    </row>
    <row r="4132" spans="1:11" ht="14.5">
      <c r="A4132" s="20" t="s">
        <v>24388</v>
      </c>
      <c r="B4132" s="20">
        <v>40</v>
      </c>
      <c r="C4132" s="20">
        <v>50</v>
      </c>
      <c r="D4132" s="20">
        <v>21</v>
      </c>
      <c r="E4132" s="20">
        <v>21</v>
      </c>
      <c r="F4132" s="20" t="s">
        <v>24389</v>
      </c>
      <c r="G4132" s="24"/>
      <c r="H4132" s="24"/>
      <c r="I4132" s="24" t="str">
        <f ca="1">IFERROR(__xludf.DUMMYFUNCTION("GOOGLETRANSLATE(F4132,""en"",""pt"")"),"mesas")</f>
        <v>mesas</v>
      </c>
      <c r="J4132">
        <f>VLOOKUP(A4132,Pr_Base_LNEC!$A$4:$J$6971,6,FALSE)</f>
        <v>0</v>
      </c>
      <c r="K4132">
        <f>VLOOKUP(A4132,Pr_Base_LNEC!$A$4:$J$6971,7,FALSE)</f>
        <v>0</v>
      </c>
    </row>
    <row r="4133" spans="1:11" ht="14.5">
      <c r="A4133" s="20" t="s">
        <v>24390</v>
      </c>
      <c r="B4133" s="20">
        <v>40</v>
      </c>
      <c r="C4133" s="20">
        <v>50</v>
      </c>
      <c r="D4133" s="20">
        <v>21</v>
      </c>
      <c r="E4133" s="20">
        <v>22</v>
      </c>
      <c r="F4133" s="20" t="s">
        <v>24391</v>
      </c>
      <c r="G4133" s="24"/>
      <c r="H4133" s="24"/>
      <c r="I4133" s="24" t="str">
        <f ca="1">IFERROR(__xludf.DUMMYFUNCTION("GOOGLETRANSLATE(F4133,""en"",""pt"")"),"mesas de jantar")</f>
        <v>mesas de jantar</v>
      </c>
      <c r="J4133">
        <f>VLOOKUP(A4133,Pr_Base_LNEC!$A$4:$J$6971,6,FALSE)</f>
        <v>0</v>
      </c>
      <c r="K4133">
        <f>VLOOKUP(A4133,Pr_Base_LNEC!$A$4:$J$6971,7,FALSE)</f>
        <v>0</v>
      </c>
    </row>
    <row r="4134" spans="1:11" ht="14.5">
      <c r="A4134" s="20" t="s">
        <v>24392</v>
      </c>
      <c r="B4134" s="20">
        <v>40</v>
      </c>
      <c r="C4134" s="20">
        <v>50</v>
      </c>
      <c r="D4134" s="20">
        <v>21</v>
      </c>
      <c r="E4134" s="20">
        <v>23</v>
      </c>
      <c r="F4134" s="20" t="s">
        <v>24393</v>
      </c>
      <c r="G4134" s="24"/>
      <c r="H4134" s="24"/>
      <c r="I4134" s="24" t="str">
        <f ca="1">IFERROR(__xludf.DUMMYFUNCTION("GOOGLETRANSLATE(F4134,""en"",""pt"")"),"mesas vitrine")</f>
        <v>mesas vitrine</v>
      </c>
      <c r="J4134">
        <f>VLOOKUP(A4134,Pr_Base_LNEC!$A$4:$J$6971,6,FALSE)</f>
        <v>0</v>
      </c>
      <c r="K4134">
        <f>VLOOKUP(A4134,Pr_Base_LNEC!$A$4:$J$6971,7,FALSE)</f>
        <v>0</v>
      </c>
    </row>
    <row r="4135" spans="1:11" ht="14.5">
      <c r="A4135" s="20" t="s">
        <v>24394</v>
      </c>
      <c r="B4135" s="20">
        <v>40</v>
      </c>
      <c r="C4135" s="20">
        <v>50</v>
      </c>
      <c r="D4135" s="20">
        <v>21</v>
      </c>
      <c r="E4135" s="20">
        <v>24</v>
      </c>
      <c r="F4135" s="20" t="s">
        <v>24395</v>
      </c>
      <c r="G4135" s="24"/>
      <c r="H4135" s="24"/>
      <c r="I4135" s="24" t="str">
        <f ca="1">IFERROR(__xludf.DUMMYFUNCTION("GOOGLETRANSLATE(F4135,""en"",""pt"")"),"máquinas de desenhar")</f>
        <v>máquinas de desenhar</v>
      </c>
      <c r="J4135">
        <f>VLOOKUP(A4135,Pr_Base_LNEC!$A$4:$J$6971,6,FALSE)</f>
        <v>0</v>
      </c>
      <c r="K4135">
        <f>VLOOKUP(A4135,Pr_Base_LNEC!$A$4:$J$6971,7,FALSE)</f>
        <v>0</v>
      </c>
    </row>
    <row r="4136" spans="1:11" ht="14.5">
      <c r="A4136" s="20" t="s">
        <v>24396</v>
      </c>
      <c r="B4136" s="20">
        <v>40</v>
      </c>
      <c r="C4136" s="20">
        <v>50</v>
      </c>
      <c r="D4136" s="20">
        <v>21</v>
      </c>
      <c r="E4136" s="20">
        <v>25</v>
      </c>
      <c r="F4136" s="20" t="s">
        <v>24397</v>
      </c>
      <c r="G4136" s="24"/>
      <c r="H4136" s="24"/>
      <c r="I4136" s="24" t="str">
        <f ca="1">IFERROR(__xludf.DUMMYFUNCTION("GOOGLETRANSLATE(F4136,""en"",""pt"")"),"pranchetas")</f>
        <v>pranchetas</v>
      </c>
      <c r="J4136">
        <f>VLOOKUP(A4136,Pr_Base_LNEC!$A$4:$J$6971,6,FALSE)</f>
        <v>0</v>
      </c>
      <c r="K4136">
        <f>VLOOKUP(A4136,Pr_Base_LNEC!$A$4:$J$6971,7,FALSE)</f>
        <v>0</v>
      </c>
    </row>
    <row r="4137" spans="1:11" ht="14.5">
      <c r="A4137" s="20" t="s">
        <v>24398</v>
      </c>
      <c r="B4137" s="20">
        <v>40</v>
      </c>
      <c r="C4137" s="20">
        <v>50</v>
      </c>
      <c r="D4137" s="20">
        <v>21</v>
      </c>
      <c r="E4137" s="20">
        <v>26</v>
      </c>
      <c r="F4137" s="20" t="s">
        <v>24399</v>
      </c>
      <c r="G4137" s="24"/>
      <c r="H4137" s="24"/>
      <c r="I4137" s="24" t="str">
        <f ca="1">IFERROR(__xludf.DUMMYFUNCTION("GOOGLETRANSLATE(F4137,""en"",""pt"")"),"Toucadores")</f>
        <v>Toucadores</v>
      </c>
      <c r="J4137">
        <f>VLOOKUP(A4137,Pr_Base_LNEC!$A$4:$J$6971,6,FALSE)</f>
        <v>0</v>
      </c>
      <c r="K4137">
        <f>VLOOKUP(A4137,Pr_Base_LNEC!$A$4:$J$6971,7,FALSE)</f>
        <v>0</v>
      </c>
    </row>
    <row r="4138" spans="1:11" ht="14.5">
      <c r="A4138" s="20" t="s">
        <v>24400</v>
      </c>
      <c r="B4138" s="20">
        <v>40</v>
      </c>
      <c r="C4138" s="20">
        <v>50</v>
      </c>
      <c r="D4138" s="20">
        <v>21</v>
      </c>
      <c r="E4138" s="20">
        <v>29</v>
      </c>
      <c r="F4138" s="20" t="s">
        <v>24401</v>
      </c>
      <c r="G4138" s="24"/>
      <c r="H4138" s="24"/>
      <c r="I4138" s="24" t="str">
        <f ca="1">IFERROR(__xludf.DUMMYFUNCTION("GOOGLETRANSLATE(F4138,""en"",""pt"")"),"Flip-top mesas")</f>
        <v>Flip-top mesas</v>
      </c>
      <c r="J4138">
        <f>VLOOKUP(A4138,Pr_Base_LNEC!$A$4:$J$6971,6,FALSE)</f>
        <v>0</v>
      </c>
      <c r="K4138">
        <f>VLOOKUP(A4138,Pr_Base_LNEC!$A$4:$J$6971,7,FALSE)</f>
        <v>0</v>
      </c>
    </row>
    <row r="4139" spans="1:11" ht="14.5">
      <c r="A4139" s="20" t="s">
        <v>24402</v>
      </c>
      <c r="B4139" s="20">
        <v>40</v>
      </c>
      <c r="C4139" s="20">
        <v>50</v>
      </c>
      <c r="D4139" s="20">
        <v>21</v>
      </c>
      <c r="E4139" s="20">
        <v>30</v>
      </c>
      <c r="F4139" s="20" t="s">
        <v>24403</v>
      </c>
      <c r="G4139" s="24"/>
      <c r="H4139" s="24"/>
      <c r="I4139" s="24" t="str">
        <f ca="1">IFERROR(__xludf.DUMMYFUNCTION("GOOGLETRANSLATE(F4139,""en"",""pt"")"),"Folding mesas de jantar")</f>
        <v>Folding mesas de jantar</v>
      </c>
      <c r="J4139">
        <f>VLOOKUP(A4139,Pr_Base_LNEC!$A$4:$J$6971,6,FALSE)</f>
        <v>0</v>
      </c>
      <c r="K4139">
        <f>VLOOKUP(A4139,Pr_Base_LNEC!$A$4:$J$6971,7,FALSE)</f>
        <v>0</v>
      </c>
    </row>
    <row r="4140" spans="1:11" ht="14.5">
      <c r="A4140" s="20" t="s">
        <v>24404</v>
      </c>
      <c r="B4140" s="20">
        <v>40</v>
      </c>
      <c r="C4140" s="20">
        <v>50</v>
      </c>
      <c r="D4140" s="20">
        <v>21</v>
      </c>
      <c r="E4140" s="20">
        <v>31</v>
      </c>
      <c r="F4140" s="20" t="s">
        <v>24405</v>
      </c>
      <c r="G4140" s="24"/>
      <c r="H4140" s="24"/>
      <c r="I4140" s="24" t="str">
        <f ca="1">IFERROR(__xludf.DUMMYFUNCTION("GOOGLETRANSLATE(F4140,""en"",""pt"")"),"mesas dobráveis")</f>
        <v>mesas dobráveis</v>
      </c>
      <c r="J4140">
        <f>VLOOKUP(A4140,Pr_Base_LNEC!$A$4:$J$6971,6,FALSE)</f>
        <v>0</v>
      </c>
      <c r="K4140">
        <f>VLOOKUP(A4140,Pr_Base_LNEC!$A$4:$J$6971,7,FALSE)</f>
        <v>0</v>
      </c>
    </row>
    <row r="4141" spans="1:11" ht="14.5">
      <c r="A4141" s="20" t="s">
        <v>24406</v>
      </c>
      <c r="B4141" s="20">
        <v>40</v>
      </c>
      <c r="C4141" s="20">
        <v>50</v>
      </c>
      <c r="D4141" s="20">
        <v>21</v>
      </c>
      <c r="E4141" s="20">
        <v>32</v>
      </c>
      <c r="F4141" s="20" t="s">
        <v>24407</v>
      </c>
      <c r="G4141" s="24"/>
      <c r="H4141" s="24"/>
      <c r="I4141" s="24" t="str">
        <f ca="1">IFERROR(__xludf.DUMMYFUNCTION("GOOGLETRANSLATE(F4141,""en"",""pt"")"),"mesas de preparação de alimentos")</f>
        <v>mesas de preparação de alimentos</v>
      </c>
      <c r="J4141">
        <f>VLOOKUP(A4141,Pr_Base_LNEC!$A$4:$J$6971,6,FALSE)</f>
        <v>0</v>
      </c>
      <c r="K4141">
        <f>VLOOKUP(A4141,Pr_Base_LNEC!$A$4:$J$6971,7,FALSE)</f>
        <v>0</v>
      </c>
    </row>
    <row r="4142" spans="1:11" ht="14.5">
      <c r="A4142" s="20" t="s">
        <v>24408</v>
      </c>
      <c r="B4142" s="20">
        <v>40</v>
      </c>
      <c r="C4142" s="20">
        <v>50</v>
      </c>
      <c r="D4142" s="20">
        <v>21</v>
      </c>
      <c r="E4142" s="20">
        <v>33</v>
      </c>
      <c r="F4142" s="20" t="s">
        <v>24409</v>
      </c>
      <c r="G4142" s="24"/>
      <c r="H4142" s="24"/>
      <c r="I4142" s="24" t="str">
        <f ca="1">IFERROR(__xludf.DUMMYFUNCTION("GOOGLETRANSLATE(F4142,""en"",""pt"")"),"bancos galeria")</f>
        <v>bancos galeria</v>
      </c>
      <c r="J4142">
        <f>VLOOKUP(A4142,Pr_Base_LNEC!$A$4:$J$6971,6,FALSE)</f>
        <v>0</v>
      </c>
      <c r="K4142">
        <f>VLOOKUP(A4142,Pr_Base_LNEC!$A$4:$J$6971,7,FALSE)</f>
        <v>0</v>
      </c>
    </row>
    <row r="4143" spans="1:11" ht="14.5">
      <c r="A4143" s="20" t="s">
        <v>24410</v>
      </c>
      <c r="B4143" s="20">
        <v>40</v>
      </c>
      <c r="C4143" s="20">
        <v>50</v>
      </c>
      <c r="D4143" s="20">
        <v>21</v>
      </c>
      <c r="E4143" s="20">
        <v>44</v>
      </c>
      <c r="F4143" s="20" t="s">
        <v>24411</v>
      </c>
      <c r="G4143" s="24"/>
      <c r="H4143" s="24"/>
      <c r="I4143" s="24" t="str">
        <f ca="1">IFERROR(__xludf.DUMMYFUNCTION("GOOGLETRANSLATE(F4143,""en"",""pt"")"),"kitchenettes")</f>
        <v>kitchenettes</v>
      </c>
      <c r="J4143">
        <f>VLOOKUP(A4143,Pr_Base_LNEC!$A$4:$J$6971,6,FALSE)</f>
        <v>0</v>
      </c>
      <c r="K4143">
        <f>VLOOKUP(A4143,Pr_Base_LNEC!$A$4:$J$6971,7,FALSE)</f>
        <v>0</v>
      </c>
    </row>
    <row r="4144" spans="1:11" ht="14.5">
      <c r="A4144" s="20" t="s">
        <v>24412</v>
      </c>
      <c r="B4144" s="20">
        <v>40</v>
      </c>
      <c r="C4144" s="20">
        <v>50</v>
      </c>
      <c r="D4144" s="20">
        <v>21</v>
      </c>
      <c r="E4144" s="20">
        <v>45</v>
      </c>
      <c r="F4144" s="20" t="s">
        <v>24413</v>
      </c>
      <c r="G4144" s="24"/>
      <c r="H4144" s="24"/>
      <c r="I4144" s="24" t="str">
        <f ca="1">IFERROR(__xludf.DUMMYFUNCTION("GOOGLETRANSLATE(F4144,""en"",""pt"")"),"bancadas de cozinha")</f>
        <v>bancadas de cozinha</v>
      </c>
      <c r="J4144">
        <f>VLOOKUP(A4144,Pr_Base_LNEC!$A$4:$J$6971,6,FALSE)</f>
        <v>0</v>
      </c>
      <c r="K4144">
        <f>VLOOKUP(A4144,Pr_Base_LNEC!$A$4:$J$6971,7,FALSE)</f>
        <v>0</v>
      </c>
    </row>
    <row r="4145" spans="1:11" ht="14.5">
      <c r="A4145" s="20" t="s">
        <v>24414</v>
      </c>
      <c r="B4145" s="20">
        <v>40</v>
      </c>
      <c r="C4145" s="20">
        <v>50</v>
      </c>
      <c r="D4145" s="20">
        <v>21</v>
      </c>
      <c r="E4145" s="20">
        <v>46</v>
      </c>
      <c r="F4145" s="20" t="s">
        <v>24415</v>
      </c>
      <c r="G4145" s="20" t="s">
        <v>24416</v>
      </c>
      <c r="H4145" s="24"/>
      <c r="I4145" s="24" t="str">
        <f ca="1">IFERROR(__xludf.DUMMYFUNCTION("GOOGLETRANSLATE(F4145,""en"",""pt"")"),"bancadas de trabalho de laboratório e tabelas")</f>
        <v>bancadas de trabalho de laboratório e tabelas</v>
      </c>
      <c r="J4145">
        <f>VLOOKUP(A4145,Pr_Base_LNEC!$A$4:$J$6971,6,FALSE)</f>
        <v>0</v>
      </c>
      <c r="K4145">
        <f>VLOOKUP(A4145,Pr_Base_LNEC!$A$4:$J$6971,7,FALSE)</f>
        <v>0</v>
      </c>
    </row>
    <row r="4146" spans="1:11" ht="14.5">
      <c r="A4146" s="20" t="s">
        <v>24417</v>
      </c>
      <c r="B4146" s="20">
        <v>40</v>
      </c>
      <c r="C4146" s="20">
        <v>50</v>
      </c>
      <c r="D4146" s="20">
        <v>21</v>
      </c>
      <c r="E4146" s="20">
        <v>47</v>
      </c>
      <c r="F4146" s="20" t="s">
        <v>24418</v>
      </c>
      <c r="G4146" s="24"/>
      <c r="H4146" s="24"/>
      <c r="I4146" s="24" t="str">
        <f ca="1">IFERROR(__xludf.DUMMYFUNCTION("GOOGLETRANSLATE(F4146,""en"",""pt"")"),"mesas finais de lavandaria")</f>
        <v>mesas finais de lavandaria</v>
      </c>
      <c r="J4146">
        <f>VLOOKUP(A4146,Pr_Base_LNEC!$A$4:$J$6971,6,FALSE)</f>
        <v>0</v>
      </c>
      <c r="K4146">
        <f>VLOOKUP(A4146,Pr_Base_LNEC!$A$4:$J$6971,7,FALSE)</f>
        <v>0</v>
      </c>
    </row>
    <row r="4147" spans="1:11" ht="14.5">
      <c r="A4147" s="20" t="s">
        <v>24419</v>
      </c>
      <c r="B4147" s="20">
        <v>40</v>
      </c>
      <c r="C4147" s="20">
        <v>50</v>
      </c>
      <c r="D4147" s="20">
        <v>21</v>
      </c>
      <c r="E4147" s="20">
        <v>48</v>
      </c>
      <c r="F4147" s="20" t="s">
        <v>24420</v>
      </c>
      <c r="G4147" s="24"/>
      <c r="H4147" s="24"/>
      <c r="I4147" s="24" t="str">
        <f ca="1">IFERROR(__xludf.DUMMYFUNCTION("GOOGLETRANSLATE(F4147,""en"",""pt"")"),"mesas mancha de lavandaria")</f>
        <v>mesas mancha de lavandaria</v>
      </c>
      <c r="J4147">
        <f>VLOOKUP(A4147,Pr_Base_LNEC!$A$4:$J$6971,6,FALSE)</f>
        <v>0</v>
      </c>
      <c r="K4147">
        <f>VLOOKUP(A4147,Pr_Base_LNEC!$A$4:$J$6971,7,FALSE)</f>
        <v>0</v>
      </c>
    </row>
    <row r="4148" spans="1:11" ht="14.5">
      <c r="A4148" s="20" t="s">
        <v>24421</v>
      </c>
      <c r="B4148" s="20">
        <v>40</v>
      </c>
      <c r="C4148" s="20">
        <v>50</v>
      </c>
      <c r="D4148" s="20">
        <v>21</v>
      </c>
      <c r="E4148" s="20">
        <v>49</v>
      </c>
      <c r="F4148" s="20" t="s">
        <v>24422</v>
      </c>
      <c r="G4148" s="24"/>
      <c r="H4148" s="24"/>
      <c r="I4148" s="24" t="str">
        <f ca="1">IFERROR(__xludf.DUMMYFUNCTION("GOOGLETRANSLATE(F4148,""en"",""pt"")"),"mesas de luz")</f>
        <v>mesas de luz</v>
      </c>
      <c r="J4148">
        <f>VLOOKUP(A4148,Pr_Base_LNEC!$A$4:$J$6971,6,FALSE)</f>
        <v>0</v>
      </c>
      <c r="K4148">
        <f>VLOOKUP(A4148,Pr_Base_LNEC!$A$4:$J$6971,7,FALSE)</f>
        <v>0</v>
      </c>
    </row>
    <row r="4149" spans="1:11" ht="14.5">
      <c r="A4149" s="20" t="s">
        <v>24423</v>
      </c>
      <c r="B4149" s="20">
        <v>40</v>
      </c>
      <c r="C4149" s="20">
        <v>50</v>
      </c>
      <c r="D4149" s="20">
        <v>21</v>
      </c>
      <c r="E4149" s="20">
        <v>50</v>
      </c>
      <c r="F4149" s="20" t="s">
        <v>24424</v>
      </c>
      <c r="G4149" s="24"/>
      <c r="H4149" s="24"/>
      <c r="I4149" s="24" t="str">
        <f ca="1">IFERROR(__xludf.DUMMYFUNCTION("GOOGLETRANSLATE(F4149,""en"",""pt"")"),"mesas de Manicure de acabamento")</f>
        <v>mesas de Manicure de acabamento</v>
      </c>
      <c r="J4149">
        <f>VLOOKUP(A4149,Pr_Base_LNEC!$A$4:$J$6971,6,FALSE)</f>
        <v>0</v>
      </c>
      <c r="K4149">
        <f>VLOOKUP(A4149,Pr_Base_LNEC!$A$4:$J$6971,7,FALSE)</f>
        <v>0</v>
      </c>
    </row>
    <row r="4150" spans="1:11" ht="14.5">
      <c r="A4150" s="20" t="s">
        <v>24425</v>
      </c>
      <c r="B4150" s="20">
        <v>40</v>
      </c>
      <c r="C4150" s="20">
        <v>50</v>
      </c>
      <c r="D4150" s="20">
        <v>21</v>
      </c>
      <c r="E4150" s="20">
        <v>51</v>
      </c>
      <c r="F4150" s="20" t="s">
        <v>24426</v>
      </c>
      <c r="G4150" s="24"/>
      <c r="H4150" s="24"/>
      <c r="I4150" s="24" t="str">
        <f ca="1">IFERROR(__xludf.DUMMYFUNCTION("GOOGLETRANSLATE(F4150,""en"",""pt"")"),"Mesas de reunião quarto")</f>
        <v>Mesas de reunião quarto</v>
      </c>
      <c r="J4150">
        <f>VLOOKUP(A4150,Pr_Base_LNEC!$A$4:$J$6971,6,FALSE)</f>
        <v>0</v>
      </c>
      <c r="K4150">
        <f>VLOOKUP(A4150,Pr_Base_LNEC!$A$4:$J$6971,7,FALSE)</f>
        <v>0</v>
      </c>
    </row>
    <row r="4151" spans="1:11" ht="14.5">
      <c r="A4151" s="20" t="s">
        <v>24427</v>
      </c>
      <c r="B4151" s="20">
        <v>40</v>
      </c>
      <c r="C4151" s="20">
        <v>50</v>
      </c>
      <c r="D4151" s="20">
        <v>21</v>
      </c>
      <c r="E4151" s="20">
        <v>58</v>
      </c>
      <c r="F4151" s="20" t="s">
        <v>24428</v>
      </c>
      <c r="G4151" s="24"/>
      <c r="H4151" s="24"/>
      <c r="I4151" s="24" t="str">
        <f ca="1">IFERROR(__xludf.DUMMYFUNCTION("GOOGLETRANSLATE(F4151,""en"",""pt"")"),"tabelas ocasionais")</f>
        <v>tabelas ocasionais</v>
      </c>
      <c r="J4151">
        <f>VLOOKUP(A4151,Pr_Base_LNEC!$A$4:$J$6971,6,FALSE)</f>
        <v>0</v>
      </c>
      <c r="K4151">
        <f>VLOOKUP(A4151,Pr_Base_LNEC!$A$4:$J$6971,7,FALSE)</f>
        <v>0</v>
      </c>
    </row>
    <row r="4152" spans="1:11" ht="14.5">
      <c r="A4152" s="20" t="s">
        <v>24429</v>
      </c>
      <c r="B4152" s="20">
        <v>40</v>
      </c>
      <c r="C4152" s="20">
        <v>50</v>
      </c>
      <c r="D4152" s="20">
        <v>21</v>
      </c>
      <c r="E4152" s="20">
        <v>59</v>
      </c>
      <c r="F4152" s="20" t="s">
        <v>24430</v>
      </c>
      <c r="G4152" s="20" t="s">
        <v>24431</v>
      </c>
      <c r="H4152" s="24"/>
      <c r="I4152" s="24" t="str">
        <f ca="1">IFERROR(__xludf.DUMMYFUNCTION("GOOGLETRANSLATE(F4152,""en"",""pt"")"),"mesas de escritório")</f>
        <v>mesas de escritório</v>
      </c>
      <c r="J4152">
        <f>VLOOKUP(A4152,Pr_Base_LNEC!$A$4:$J$6971,6,FALSE)</f>
        <v>0</v>
      </c>
      <c r="K4152">
        <f>VLOOKUP(A4152,Pr_Base_LNEC!$A$4:$J$6971,7,FALSE)</f>
        <v>0</v>
      </c>
    </row>
    <row r="4153" spans="1:11" ht="14.5">
      <c r="A4153" s="20" t="s">
        <v>24432</v>
      </c>
      <c r="B4153" s="20">
        <v>40</v>
      </c>
      <c r="C4153" s="20">
        <v>50</v>
      </c>
      <c r="D4153" s="20">
        <v>21</v>
      </c>
      <c r="E4153" s="20">
        <v>60</v>
      </c>
      <c r="F4153" s="20" t="s">
        <v>24433</v>
      </c>
      <c r="G4153" s="20" t="s">
        <v>24434</v>
      </c>
      <c r="H4153" s="24"/>
      <c r="I4153" s="24" t="str">
        <f ca="1">IFERROR(__xludf.DUMMYFUNCTION("GOOGLETRANSLATE(F4153,""en"",""pt"")"),"mesas de escritório")</f>
        <v>mesas de escritório</v>
      </c>
      <c r="J4153">
        <f>VLOOKUP(A4153,Pr_Base_LNEC!$A$4:$J$6971,6,FALSE)</f>
        <v>0</v>
      </c>
      <c r="K4153">
        <f>VLOOKUP(A4153,Pr_Base_LNEC!$A$4:$J$6971,7,FALSE)</f>
        <v>0</v>
      </c>
    </row>
    <row r="4154" spans="1:11" ht="14.5">
      <c r="A4154" s="20" t="s">
        <v>24435</v>
      </c>
      <c r="B4154" s="20">
        <v>40</v>
      </c>
      <c r="C4154" s="20">
        <v>50</v>
      </c>
      <c r="D4154" s="20">
        <v>21</v>
      </c>
      <c r="E4154" s="20">
        <v>63</v>
      </c>
      <c r="F4154" s="20" t="s">
        <v>24436</v>
      </c>
      <c r="G4154" s="24"/>
      <c r="H4154" s="24"/>
      <c r="I4154" s="24" t="str">
        <f ca="1">IFERROR(__xludf.DUMMYFUNCTION("GOOGLETRANSLATE(F4154,""en"",""pt"")"),"mesas de jogo")</f>
        <v>mesas de jogo</v>
      </c>
      <c r="J4154">
        <f>VLOOKUP(A4154,Pr_Base_LNEC!$A$4:$J$6971,6,FALSE)</f>
        <v>0</v>
      </c>
      <c r="K4154">
        <f>VLOOKUP(A4154,Pr_Base_LNEC!$A$4:$J$6971,7,FALSE)</f>
        <v>0</v>
      </c>
    </row>
    <row r="4155" spans="1:11" ht="14.5">
      <c r="A4155" s="20" t="s">
        <v>24437</v>
      </c>
      <c r="B4155" s="20">
        <v>40</v>
      </c>
      <c r="C4155" s="20">
        <v>50</v>
      </c>
      <c r="D4155" s="20">
        <v>21</v>
      </c>
      <c r="E4155" s="20">
        <v>70</v>
      </c>
      <c r="F4155" s="20" t="s">
        <v>24438</v>
      </c>
      <c r="G4155" s="24"/>
      <c r="H4155" s="24"/>
      <c r="I4155" s="24" t="str">
        <f ca="1">IFERROR(__xludf.DUMMYFUNCTION("GOOGLETRANSLATE(F4155,""en"",""pt"")"),"leitura mesas")</f>
        <v>leitura mesas</v>
      </c>
      <c r="J4155">
        <f>VLOOKUP(A4155,Pr_Base_LNEC!$A$4:$J$6971,6,FALSE)</f>
        <v>0</v>
      </c>
      <c r="K4155">
        <f>VLOOKUP(A4155,Pr_Base_LNEC!$A$4:$J$6971,7,FALSE)</f>
        <v>0</v>
      </c>
    </row>
    <row r="4156" spans="1:11" ht="14.5">
      <c r="A4156" s="20" t="s">
        <v>24439</v>
      </c>
      <c r="B4156" s="20">
        <v>40</v>
      </c>
      <c r="C4156" s="20">
        <v>50</v>
      </c>
      <c r="D4156" s="20">
        <v>21</v>
      </c>
      <c r="E4156" s="20">
        <v>73</v>
      </c>
      <c r="F4156" s="20" t="s">
        <v>24440</v>
      </c>
      <c r="G4156" s="24"/>
      <c r="H4156" s="24"/>
      <c r="I4156" s="24" t="str">
        <f ca="1">IFERROR(__xludf.DUMMYFUNCTION("GOOGLETRANSLATE(F4156,""en"",""pt"")"),"De referência e de busca mesas")</f>
        <v>De referência e de busca mesas</v>
      </c>
      <c r="J4156">
        <f>VLOOKUP(A4156,Pr_Base_LNEC!$A$4:$J$6971,6,FALSE)</f>
        <v>0</v>
      </c>
      <c r="K4156">
        <f>VLOOKUP(A4156,Pr_Base_LNEC!$A$4:$J$6971,7,FALSE)</f>
        <v>0</v>
      </c>
    </row>
    <row r="4157" spans="1:11" ht="14.5">
      <c r="A4157" s="20" t="s">
        <v>24441</v>
      </c>
      <c r="B4157" s="20">
        <v>40</v>
      </c>
      <c r="C4157" s="20">
        <v>50</v>
      </c>
      <c r="D4157" s="20">
        <v>21</v>
      </c>
      <c r="E4157" s="20">
        <v>76</v>
      </c>
      <c r="F4157" s="20" t="s">
        <v>24442</v>
      </c>
      <c r="G4157" s="20" t="s">
        <v>24443</v>
      </c>
      <c r="H4157" s="24"/>
      <c r="I4157" s="24" t="str">
        <f ca="1">IFERROR(__xludf.DUMMYFUNCTION("GOOGLETRANSLATE(F4157,""en"",""pt"")"),"mesas de arte da escola, design e tecnologia")</f>
        <v>mesas de arte da escola, design e tecnologia</v>
      </c>
      <c r="J4157">
        <f>VLOOKUP(A4157,Pr_Base_LNEC!$A$4:$J$6971,6,FALSE)</f>
        <v>0</v>
      </c>
      <c r="K4157">
        <f>VLOOKUP(A4157,Pr_Base_LNEC!$A$4:$J$6971,7,FALSE)</f>
        <v>0</v>
      </c>
    </row>
    <row r="4158" spans="1:11" ht="14.5">
      <c r="A4158" s="20" t="s">
        <v>24444</v>
      </c>
      <c r="B4158" s="20">
        <v>40</v>
      </c>
      <c r="C4158" s="20">
        <v>50</v>
      </c>
      <c r="D4158" s="20">
        <v>21</v>
      </c>
      <c r="E4158" s="20">
        <v>84</v>
      </c>
      <c r="F4158" s="20" t="s">
        <v>24445</v>
      </c>
      <c r="G4158" s="24"/>
      <c r="H4158" s="24"/>
      <c r="I4158" s="24" t="str">
        <f ca="1">IFERROR(__xludf.DUMMYFUNCTION("GOOGLETRANSLATE(F4158,""en"",""pt"")"),"mesas de stand-up")</f>
        <v>mesas de stand-up</v>
      </c>
      <c r="J4158">
        <f>VLOOKUP(A4158,Pr_Base_LNEC!$A$4:$J$6971,6,FALSE)</f>
        <v>0</v>
      </c>
      <c r="K4158">
        <f>VLOOKUP(A4158,Pr_Base_LNEC!$A$4:$J$6971,7,FALSE)</f>
        <v>0</v>
      </c>
    </row>
    <row r="4159" spans="1:11" ht="14.5">
      <c r="A4159" s="20" t="s">
        <v>24446</v>
      </c>
      <c r="B4159" s="20">
        <v>40</v>
      </c>
      <c r="C4159" s="20">
        <v>50</v>
      </c>
      <c r="D4159" s="20">
        <v>21</v>
      </c>
      <c r="E4159" s="20">
        <v>85</v>
      </c>
      <c r="F4159" s="20" t="s">
        <v>24447</v>
      </c>
      <c r="G4159" s="24"/>
      <c r="H4159" s="24"/>
      <c r="I4159" s="24" t="str">
        <f ca="1">IFERROR(__xludf.DUMMYFUNCTION("GOOGLETRANSLATE(F4159,""en"",""pt"")"),"mesas de estudo")</f>
        <v>mesas de estudo</v>
      </c>
      <c r="J4159">
        <f>VLOOKUP(A4159,Pr_Base_LNEC!$A$4:$J$6971,6,FALSE)</f>
        <v>0</v>
      </c>
      <c r="K4159">
        <f>VLOOKUP(A4159,Pr_Base_LNEC!$A$4:$J$6971,7,FALSE)</f>
        <v>0</v>
      </c>
    </row>
    <row r="4160" spans="1:11" ht="14.5">
      <c r="A4160" s="20" t="s">
        <v>24448</v>
      </c>
      <c r="B4160" s="20">
        <v>40</v>
      </c>
      <c r="C4160" s="20">
        <v>50</v>
      </c>
      <c r="D4160" s="20">
        <v>21</v>
      </c>
      <c r="E4160" s="20">
        <v>90</v>
      </c>
      <c r="F4160" s="20" t="s">
        <v>24449</v>
      </c>
      <c r="G4160" s="24"/>
      <c r="H4160" s="24"/>
      <c r="I4160" s="24" t="str">
        <f ca="1">IFERROR(__xludf.DUMMYFUNCTION("GOOGLETRANSLATE(F4160,""en"",""pt"")"),"mesas Touchdown")</f>
        <v>mesas Touchdown</v>
      </c>
      <c r="J4160">
        <f>VLOOKUP(A4160,Pr_Base_LNEC!$A$4:$J$6971,6,FALSE)</f>
        <v>0</v>
      </c>
      <c r="K4160">
        <f>VLOOKUP(A4160,Pr_Base_LNEC!$A$4:$J$6971,7,FALSE)</f>
        <v>0</v>
      </c>
    </row>
    <row r="4161" spans="1:11" ht="14.5">
      <c r="A4161" s="20" t="s">
        <v>24450</v>
      </c>
      <c r="B4161" s="20">
        <v>40</v>
      </c>
      <c r="C4161" s="20">
        <v>50</v>
      </c>
      <c r="D4161" s="20">
        <v>21</v>
      </c>
      <c r="E4161" s="20">
        <v>96</v>
      </c>
      <c r="F4161" s="20" t="s">
        <v>24451</v>
      </c>
      <c r="G4161" s="24"/>
      <c r="H4161" s="24"/>
      <c r="I4161" s="24" t="str">
        <f ca="1">IFERROR(__xludf.DUMMYFUNCTION("GOOGLETRANSLATE(F4161,""en"",""pt"")"),"workstations")</f>
        <v>workstations</v>
      </c>
      <c r="J4161">
        <f>VLOOKUP(A4161,Pr_Base_LNEC!$A$4:$J$6971,6,FALSE)</f>
        <v>0</v>
      </c>
      <c r="K4161">
        <f>VLOOKUP(A4161,Pr_Base_LNEC!$A$4:$J$6971,7,FALSE)</f>
        <v>0</v>
      </c>
    </row>
    <row r="4162" spans="1:11" ht="14.5">
      <c r="A4162" s="20" t="s">
        <v>24452</v>
      </c>
      <c r="B4162" s="20">
        <v>40</v>
      </c>
      <c r="C4162" s="20">
        <v>50</v>
      </c>
      <c r="D4162" s="20">
        <v>21</v>
      </c>
      <c r="E4162" s="20">
        <v>98</v>
      </c>
      <c r="F4162" s="20" t="s">
        <v>24453</v>
      </c>
      <c r="G4162" s="24"/>
      <c r="H4162" s="24"/>
      <c r="I4162" s="24" t="str">
        <f ca="1">IFERROR(__xludf.DUMMYFUNCTION("GOOGLETRANSLATE(F4162,""en"",""pt"")"),"secretárias")</f>
        <v>secretárias</v>
      </c>
      <c r="J4162">
        <f>VLOOKUP(A4162,Pr_Base_LNEC!$A$4:$J$6971,6,FALSE)</f>
        <v>0</v>
      </c>
      <c r="K4162">
        <f>VLOOKUP(A4162,Pr_Base_LNEC!$A$4:$J$6971,7,FALSE)</f>
        <v>0</v>
      </c>
    </row>
    <row r="4163" spans="1:11" ht="14.5">
      <c r="A4163" s="20" t="s">
        <v>24454</v>
      </c>
      <c r="B4163" s="20">
        <v>40</v>
      </c>
      <c r="C4163" s="20">
        <v>50</v>
      </c>
      <c r="D4163" s="20">
        <v>21</v>
      </c>
      <c r="E4163" s="20">
        <v>99</v>
      </c>
      <c r="F4163" s="20" t="s">
        <v>24455</v>
      </c>
      <c r="G4163" s="24"/>
      <c r="H4163" s="24"/>
      <c r="I4163" s="24" t="str">
        <f ca="1">IFERROR(__xludf.DUMMYFUNCTION("GOOGLETRANSLATE(F4163,""en"",""pt"")"),"comprimidos de escrita (destacável)")</f>
        <v>comprimidos de escrita (destacável)</v>
      </c>
      <c r="J4163">
        <f>VLOOKUP(A4163,Pr_Base_LNEC!$A$4:$J$6971,6,FALSE)</f>
        <v>0</v>
      </c>
      <c r="K4163">
        <f>VLOOKUP(A4163,Pr_Base_LNEC!$A$4:$J$6971,7,FALSE)</f>
        <v>0</v>
      </c>
    </row>
    <row r="4164" spans="1:11" ht="14.5">
      <c r="A4164" s="20" t="s">
        <v>24456</v>
      </c>
      <c r="B4164" s="20">
        <v>40</v>
      </c>
      <c r="C4164" s="20">
        <v>50</v>
      </c>
      <c r="D4164" s="20">
        <v>28</v>
      </c>
      <c r="E4164" s="24"/>
      <c r="F4164" s="20" t="s">
        <v>24457</v>
      </c>
      <c r="G4164" s="24"/>
      <c r="H4164" s="24"/>
      <c r="I4164" s="24" t="str">
        <f ca="1">IFERROR(__xludf.DUMMYFUNCTION("GOOGLETRANSLATE(F4164,""en"",""pt"")"),"Extintores e cobertores de incêndio")</f>
        <v>Extintores e cobertores de incêndio</v>
      </c>
      <c r="J4164">
        <f>VLOOKUP(A4164,Pr_Base_LNEC!$A$4:$J$6971,6,FALSE)</f>
        <v>0</v>
      </c>
      <c r="K4164">
        <f>VLOOKUP(A4164,Pr_Base_LNEC!$A$4:$J$6971,7,FALSE)</f>
        <v>0</v>
      </c>
    </row>
    <row r="4165" spans="1:11" ht="14.5">
      <c r="A4165" s="20" t="s">
        <v>24458</v>
      </c>
      <c r="B4165" s="20">
        <v>40</v>
      </c>
      <c r="C4165" s="20">
        <v>50</v>
      </c>
      <c r="D4165" s="20">
        <v>28</v>
      </c>
      <c r="E4165" s="20">
        <v>11</v>
      </c>
      <c r="F4165" s="20" t="s">
        <v>24459</v>
      </c>
      <c r="G4165" s="20" t="s">
        <v>24460</v>
      </c>
      <c r="H4165" s="24"/>
      <c r="I4165" s="24" t="str">
        <f ca="1">IFERROR(__xludf.DUMMYFUNCTION("GOOGLETRANSLATE(F4165,""en"",""pt"")"),"Extintores de incêndio dióxido de carbono")</f>
        <v>Extintores de incêndio dióxido de carbono</v>
      </c>
      <c r="J4165">
        <f>VLOOKUP(A4165,Pr_Base_LNEC!$A$4:$J$6971,6,FALSE)</f>
        <v>0</v>
      </c>
      <c r="K4165">
        <f>VLOOKUP(A4165,Pr_Base_LNEC!$A$4:$J$6971,7,FALSE)</f>
        <v>0</v>
      </c>
    </row>
    <row r="4166" spans="1:11" ht="14.5">
      <c r="A4166" s="20" t="s">
        <v>24461</v>
      </c>
      <c r="B4166" s="20">
        <v>40</v>
      </c>
      <c r="C4166" s="20">
        <v>50</v>
      </c>
      <c r="D4166" s="20">
        <v>28</v>
      </c>
      <c r="E4166" s="20">
        <v>12</v>
      </c>
      <c r="F4166" s="20" t="s">
        <v>24462</v>
      </c>
      <c r="G4166" s="20" t="s">
        <v>24463</v>
      </c>
      <c r="H4166" s="24"/>
      <c r="I4166" s="24" t="str">
        <f ca="1">IFERROR(__xludf.DUMMYFUNCTION("GOOGLETRANSLATE(F4166,""en"",""pt"")"),"baldes de fogo de aço carbono")</f>
        <v>baldes de fogo de aço carbono</v>
      </c>
      <c r="J4166">
        <f>VLOOKUP(A4166,Pr_Base_LNEC!$A$4:$J$6971,6,FALSE)</f>
        <v>0</v>
      </c>
      <c r="K4166">
        <f>VLOOKUP(A4166,Pr_Base_LNEC!$A$4:$J$6971,7,FALSE)</f>
        <v>0</v>
      </c>
    </row>
    <row r="4167" spans="1:11" ht="14.5">
      <c r="A4167" s="20" t="s">
        <v>24464</v>
      </c>
      <c r="B4167" s="20">
        <v>40</v>
      </c>
      <c r="C4167" s="20">
        <v>50</v>
      </c>
      <c r="D4167" s="20">
        <v>28</v>
      </c>
      <c r="E4167" s="20">
        <v>24</v>
      </c>
      <c r="F4167" s="20" t="s">
        <v>24465</v>
      </c>
      <c r="G4167" s="20" t="s">
        <v>24466</v>
      </c>
      <c r="H4167" s="24"/>
      <c r="I4167" s="24" t="str">
        <f ca="1">IFERROR(__xludf.DUMMYFUNCTION("GOOGLETRANSLATE(F4167,""en"",""pt"")"),"extintores de incêndio de pó seco")</f>
        <v>extintores de incêndio de pó seco</v>
      </c>
      <c r="J4167">
        <f>VLOOKUP(A4167,Pr_Base_LNEC!$A$4:$J$6971,6,FALSE)</f>
        <v>0</v>
      </c>
      <c r="K4167">
        <f>VLOOKUP(A4167,Pr_Base_LNEC!$A$4:$J$6971,7,FALSE)</f>
        <v>0</v>
      </c>
    </row>
    <row r="4168" spans="1:11" ht="14.5">
      <c r="A4168" s="20" t="s">
        <v>24467</v>
      </c>
      <c r="B4168" s="20">
        <v>40</v>
      </c>
      <c r="C4168" s="20">
        <v>50</v>
      </c>
      <c r="D4168" s="20">
        <v>28</v>
      </c>
      <c r="E4168" s="20">
        <v>28</v>
      </c>
      <c r="F4168" s="20" t="s">
        <v>24468</v>
      </c>
      <c r="G4168" s="20" t="s">
        <v>24469</v>
      </c>
      <c r="H4168" s="24"/>
      <c r="I4168" s="24" t="str">
        <f ca="1">IFERROR(__xludf.DUMMYFUNCTION("GOOGLETRANSLATE(F4168,""en"",""pt"")"),"Piso extintor está")</f>
        <v>Piso extintor está</v>
      </c>
      <c r="J4168">
        <f>VLOOKUP(A4168,Pr_Base_LNEC!$A$4:$J$6971,6,FALSE)</f>
        <v>0</v>
      </c>
      <c r="K4168">
        <f>VLOOKUP(A4168,Pr_Base_LNEC!$A$4:$J$6971,7,FALSE)</f>
        <v>0</v>
      </c>
    </row>
    <row r="4169" spans="1:11" ht="14.5">
      <c r="A4169" s="20" t="s">
        <v>24470</v>
      </c>
      <c r="B4169" s="20">
        <v>40</v>
      </c>
      <c r="C4169" s="20">
        <v>50</v>
      </c>
      <c r="D4169" s="20">
        <v>28</v>
      </c>
      <c r="E4169" s="20">
        <v>29</v>
      </c>
      <c r="F4169" s="20" t="s">
        <v>24471</v>
      </c>
      <c r="G4169" s="20" t="s">
        <v>24472</v>
      </c>
      <c r="H4169" s="24"/>
      <c r="I4169" s="24" t="str">
        <f ca="1">IFERROR(__xludf.DUMMYFUNCTION("GOOGLETRANSLATE(F4169,""en"",""pt"")"),"Fogo cobertores de proteção")</f>
        <v>Fogo cobertores de proteção</v>
      </c>
      <c r="J4169">
        <f>VLOOKUP(A4169,Pr_Base_LNEC!$A$4:$J$6971,6,FALSE)</f>
        <v>0</v>
      </c>
      <c r="K4169">
        <f>VLOOKUP(A4169,Pr_Base_LNEC!$A$4:$J$6971,7,FALSE)</f>
        <v>0</v>
      </c>
    </row>
    <row r="4170" spans="1:11" ht="14.5">
      <c r="A4170" s="20" t="s">
        <v>24473</v>
      </c>
      <c r="B4170" s="20">
        <v>40</v>
      </c>
      <c r="C4170" s="20">
        <v>50</v>
      </c>
      <c r="D4170" s="20">
        <v>28</v>
      </c>
      <c r="E4170" s="20">
        <v>30</v>
      </c>
      <c r="F4170" s="20" t="s">
        <v>24474</v>
      </c>
      <c r="G4170" s="20" t="s">
        <v>24475</v>
      </c>
      <c r="H4170" s="24"/>
      <c r="I4170" s="24" t="str">
        <f ca="1">IFERROR(__xludf.DUMMYFUNCTION("GOOGLETRANSLATE(F4170,""en"",""pt"")"),"extintores de espuma de fogo")</f>
        <v>extintores de espuma de fogo</v>
      </c>
      <c r="J4170">
        <f>VLOOKUP(A4170,Pr_Base_LNEC!$A$4:$J$6971,6,FALSE)</f>
        <v>0</v>
      </c>
      <c r="K4170">
        <f>VLOOKUP(A4170,Pr_Base_LNEC!$A$4:$J$6971,7,FALSE)</f>
        <v>0</v>
      </c>
    </row>
    <row r="4171" spans="1:11" ht="14.5">
      <c r="A4171" s="20" t="s">
        <v>24476</v>
      </c>
      <c r="B4171" s="20">
        <v>40</v>
      </c>
      <c r="C4171" s="20">
        <v>50</v>
      </c>
      <c r="D4171" s="20">
        <v>28</v>
      </c>
      <c r="E4171" s="20">
        <v>31</v>
      </c>
      <c r="F4171" s="20" t="s">
        <v>24477</v>
      </c>
      <c r="G4171" s="24"/>
      <c r="H4171" s="24"/>
      <c r="I4171" s="24" t="str">
        <f ca="1">IFERROR(__xludf.DUMMYFUNCTION("GOOGLETRANSLATE(F4171,""en"",""pt"")"),"líquido de extinção de fogo")</f>
        <v>líquido de extinção de fogo</v>
      </c>
      <c r="J4171">
        <f>VLOOKUP(A4171,Pr_Base_LNEC!$A$4:$J$6971,6,FALSE)</f>
        <v>0</v>
      </c>
      <c r="K4171">
        <f>VLOOKUP(A4171,Pr_Base_LNEC!$A$4:$J$6971,7,FALSE)</f>
        <v>0</v>
      </c>
    </row>
    <row r="4172" spans="1:11" ht="14.5">
      <c r="A4172" s="20" t="s">
        <v>24478</v>
      </c>
      <c r="B4172" s="20">
        <v>40</v>
      </c>
      <c r="C4172" s="20">
        <v>50</v>
      </c>
      <c r="D4172" s="20">
        <v>28</v>
      </c>
      <c r="E4172" s="20">
        <v>47</v>
      </c>
      <c r="F4172" s="20" t="s">
        <v>24479</v>
      </c>
      <c r="G4172" s="20" t="s">
        <v>24480</v>
      </c>
      <c r="H4172" s="24"/>
      <c r="I4172" s="24" t="str">
        <f ca="1">IFERROR(__xludf.DUMMYFUNCTION("GOOGLETRANSLATE(F4172,""en"",""pt"")"),"Aqueça cobertores de proteção")</f>
        <v>Aqueça cobertores de proteção</v>
      </c>
      <c r="J4172">
        <f>VLOOKUP(A4172,Pr_Base_LNEC!$A$4:$J$6971,6,FALSE)</f>
        <v>0</v>
      </c>
      <c r="K4172">
        <f>VLOOKUP(A4172,Pr_Base_LNEC!$A$4:$J$6971,7,FALSE)</f>
        <v>0</v>
      </c>
    </row>
    <row r="4173" spans="1:11" ht="14.5">
      <c r="A4173" s="20" t="s">
        <v>24481</v>
      </c>
      <c r="B4173" s="20">
        <v>40</v>
      </c>
      <c r="C4173" s="20">
        <v>50</v>
      </c>
      <c r="D4173" s="20">
        <v>28</v>
      </c>
      <c r="E4173" s="20">
        <v>64</v>
      </c>
      <c r="F4173" s="20" t="s">
        <v>24482</v>
      </c>
      <c r="G4173" s="24"/>
      <c r="H4173" s="24"/>
      <c r="I4173" s="24" t="str">
        <f ca="1">IFERROR(__xludf.DUMMYFUNCTION("GOOGLETRANSLATE(F4173,""en"",""pt"")"),"extintores portáteis")</f>
        <v>extintores portáteis</v>
      </c>
      <c r="J4173">
        <f>VLOOKUP(A4173,Pr_Base_LNEC!$A$4:$J$6971,6,FALSE)</f>
        <v>0</v>
      </c>
      <c r="K4173">
        <f>VLOOKUP(A4173,Pr_Base_LNEC!$A$4:$J$6971,7,FALSE)</f>
        <v>0</v>
      </c>
    </row>
    <row r="4174" spans="1:11" ht="14.5">
      <c r="A4174" s="20" t="s">
        <v>24483</v>
      </c>
      <c r="B4174" s="20">
        <v>40</v>
      </c>
      <c r="C4174" s="20">
        <v>50</v>
      </c>
      <c r="D4174" s="20">
        <v>28</v>
      </c>
      <c r="E4174" s="20">
        <v>96</v>
      </c>
      <c r="F4174" s="20" t="s">
        <v>24484</v>
      </c>
      <c r="G4174" s="20" t="s">
        <v>24485</v>
      </c>
      <c r="H4174" s="24"/>
      <c r="I4174" s="24" t="str">
        <f ca="1">IFERROR(__xludf.DUMMYFUNCTION("GOOGLETRANSLATE(F4174,""en"",""pt"")"),"extintores de água")</f>
        <v>extintores de água</v>
      </c>
      <c r="J4174">
        <f>VLOOKUP(A4174,Pr_Base_LNEC!$A$4:$J$6971,6,FALSE)</f>
        <v>0</v>
      </c>
      <c r="K4174">
        <f>VLOOKUP(A4174,Pr_Base_LNEC!$A$4:$J$6971,7,FALSE)</f>
        <v>0</v>
      </c>
    </row>
    <row r="4175" spans="1:11" ht="14.5">
      <c r="A4175" s="20" t="s">
        <v>24486</v>
      </c>
      <c r="B4175" s="20">
        <v>40</v>
      </c>
      <c r="C4175" s="20">
        <v>50</v>
      </c>
      <c r="D4175" s="20">
        <v>28</v>
      </c>
      <c r="E4175" s="20">
        <v>97</v>
      </c>
      <c r="F4175" s="20" t="s">
        <v>24487</v>
      </c>
      <c r="G4175" s="20" t="s">
        <v>24488</v>
      </c>
      <c r="H4175" s="24"/>
      <c r="I4175" s="24" t="str">
        <f ca="1">IFERROR(__xludf.DUMMYFUNCTION("GOOGLETRANSLATE(F4175,""en"",""pt"")"),"extintores de incêndio químicos molhadas")</f>
        <v>extintores de incêndio químicos molhadas</v>
      </c>
      <c r="J4175">
        <f>VLOOKUP(A4175,Pr_Base_LNEC!$A$4:$J$6971,6,FALSE)</f>
        <v>0</v>
      </c>
      <c r="K4175">
        <f>VLOOKUP(A4175,Pr_Base_LNEC!$A$4:$J$6971,7,FALSE)</f>
        <v>0</v>
      </c>
    </row>
    <row r="4176" spans="1:11" ht="14.5">
      <c r="A4176" s="20" t="s">
        <v>24489</v>
      </c>
      <c r="B4176" s="20">
        <v>40</v>
      </c>
      <c r="C4176" s="20">
        <v>50</v>
      </c>
      <c r="D4176" s="20">
        <v>31</v>
      </c>
      <c r="E4176" s="24"/>
      <c r="F4176" s="20" t="s">
        <v>24490</v>
      </c>
      <c r="G4176" s="24"/>
      <c r="H4176" s="24"/>
      <c r="I4176" s="24" t="str">
        <f ca="1">IFERROR(__xludf.DUMMYFUNCTION("GOOGLETRANSLATE(F4176,""en"",""pt"")"),"cabines móveis")</f>
        <v>cabines móveis</v>
      </c>
      <c r="J4176" t="e">
        <f>VLOOKUP(A4176,Pr_Base_LNEC!$A$4:$J$6971,6,FALSE)</f>
        <v>#N/A</v>
      </c>
      <c r="K4176" t="e">
        <f>VLOOKUP(A4176,Pr_Base_LNEC!$A$4:$J$6971,7,FALSE)</f>
        <v>#N/A</v>
      </c>
    </row>
    <row r="4177" spans="1:11" ht="14.5">
      <c r="A4177" s="20" t="s">
        <v>24491</v>
      </c>
      <c r="B4177" s="20">
        <v>40</v>
      </c>
      <c r="C4177" s="20">
        <v>50</v>
      </c>
      <c r="D4177" s="20">
        <v>31</v>
      </c>
      <c r="E4177" s="20">
        <v>51</v>
      </c>
      <c r="F4177" s="20" t="s">
        <v>24492</v>
      </c>
      <c r="G4177" s="24"/>
      <c r="H4177" s="24"/>
      <c r="I4177" s="24" t="str">
        <f ca="1">IFERROR(__xludf.DUMMYFUNCTION("GOOGLETRANSLATE(F4177,""en"",""pt"")"),"cabines de reunião")</f>
        <v>cabines de reunião</v>
      </c>
      <c r="J4177" t="e">
        <f>VLOOKUP(A4177,Pr_Base_LNEC!$A$4:$J$6971,6,FALSE)</f>
        <v>#N/A</v>
      </c>
      <c r="K4177" t="e">
        <f>VLOOKUP(A4177,Pr_Base_LNEC!$A$4:$J$6971,7,FALSE)</f>
        <v>#N/A</v>
      </c>
    </row>
    <row r="4178" spans="1:11" ht="14.5">
      <c r="A4178" s="20" t="s">
        <v>24493</v>
      </c>
      <c r="B4178" s="20">
        <v>40</v>
      </c>
      <c r="C4178" s="20">
        <v>50</v>
      </c>
      <c r="D4178" s="20">
        <v>31</v>
      </c>
      <c r="E4178" s="20">
        <v>71</v>
      </c>
      <c r="F4178" s="20" t="s">
        <v>24494</v>
      </c>
      <c r="G4178" s="24"/>
      <c r="H4178" s="24"/>
      <c r="I4178" s="24" t="str">
        <f ca="1">IFERROR(__xludf.DUMMYFUNCTION("GOOGLETRANSLATE(F4178,""en"",""pt"")"),"cabines de restaurante")</f>
        <v>cabines de restaurante</v>
      </c>
      <c r="J4178" t="e">
        <f>VLOOKUP(A4178,Pr_Base_LNEC!$A$4:$J$6971,6,FALSE)</f>
        <v>#N/A</v>
      </c>
      <c r="K4178" t="e">
        <f>VLOOKUP(A4178,Pr_Base_LNEC!$A$4:$J$6971,7,FALSE)</f>
        <v>#N/A</v>
      </c>
    </row>
    <row r="4179" spans="1:11" ht="14.5">
      <c r="A4179" s="20" t="s">
        <v>24495</v>
      </c>
      <c r="B4179" s="20">
        <v>40</v>
      </c>
      <c r="C4179" s="20">
        <v>50</v>
      </c>
      <c r="D4179" s="20">
        <v>33</v>
      </c>
      <c r="E4179" s="24"/>
      <c r="F4179" s="20" t="s">
        <v>24496</v>
      </c>
      <c r="G4179" s="24"/>
      <c r="H4179" s="24"/>
      <c r="I4179" s="24" t="str">
        <f ca="1">IFERROR(__xludf.DUMMYFUNCTION("GOOGLETRANSLATE(F4179,""en"",""pt"")"),"mobiliário de jardim")</f>
        <v>mobiliário de jardim</v>
      </c>
      <c r="J4179">
        <f>VLOOKUP(A4179,Pr_Base_LNEC!$A$4:$J$6971,6,FALSE)</f>
        <v>0</v>
      </c>
      <c r="K4179">
        <f>VLOOKUP(A4179,Pr_Base_LNEC!$A$4:$J$6971,7,FALSE)</f>
        <v>0</v>
      </c>
    </row>
    <row r="4180" spans="1:11" ht="14.5">
      <c r="A4180" s="20" t="s">
        <v>24497</v>
      </c>
      <c r="B4180" s="20">
        <v>40</v>
      </c>
      <c r="C4180" s="20">
        <v>50</v>
      </c>
      <c r="D4180" s="20">
        <v>33</v>
      </c>
      <c r="E4180" s="20">
        <v>33</v>
      </c>
      <c r="F4180" s="20" t="s">
        <v>24498</v>
      </c>
      <c r="G4180" s="24"/>
      <c r="H4180" s="24"/>
      <c r="I4180" s="24" t="str">
        <f ca="1">IFERROR(__xludf.DUMMYFUNCTION("GOOGLETRANSLATE(F4180,""en"",""pt"")"),"toldos Jardim")</f>
        <v>toldos Jardim</v>
      </c>
      <c r="J4180">
        <f>VLOOKUP(A4180,Pr_Base_LNEC!$A$4:$J$6971,6,FALSE)</f>
        <v>0</v>
      </c>
      <c r="K4180">
        <f>VLOOKUP(A4180,Pr_Base_LNEC!$A$4:$J$6971,7,FALSE)</f>
        <v>0</v>
      </c>
    </row>
    <row r="4181" spans="1:11" ht="14.5">
      <c r="A4181" s="20" t="s">
        <v>24499</v>
      </c>
      <c r="B4181" s="20">
        <v>40</v>
      </c>
      <c r="C4181" s="20">
        <v>50</v>
      </c>
      <c r="D4181" s="20">
        <v>33</v>
      </c>
      <c r="E4181" s="20">
        <v>34</v>
      </c>
      <c r="F4181" s="20" t="s">
        <v>24500</v>
      </c>
      <c r="G4181" s="24"/>
      <c r="H4181" s="24"/>
      <c r="I4181" s="24" t="str">
        <f ca="1">IFERROR(__xludf.DUMMYFUNCTION("GOOGLETRANSLATE(F4181,""en"",""pt"")"),"guarda-chuvas Jardim")</f>
        <v>guarda-chuvas Jardim</v>
      </c>
      <c r="J4181">
        <f>VLOOKUP(A4181,Pr_Base_LNEC!$A$4:$J$6971,6,FALSE)</f>
        <v>0</v>
      </c>
      <c r="K4181">
        <f>VLOOKUP(A4181,Pr_Base_LNEC!$A$4:$J$6971,7,FALSE)</f>
        <v>0</v>
      </c>
    </row>
    <row r="4182" spans="1:11" ht="14.5">
      <c r="A4182" s="20" t="s">
        <v>24501</v>
      </c>
      <c r="B4182" s="20">
        <v>40</v>
      </c>
      <c r="C4182" s="20">
        <v>50</v>
      </c>
      <c r="D4182" s="20">
        <v>51</v>
      </c>
      <c r="E4182" s="24"/>
      <c r="F4182" s="20" t="s">
        <v>24502</v>
      </c>
      <c r="G4182" s="24"/>
      <c r="H4182" s="24"/>
      <c r="I4182" s="24" t="str">
        <f ca="1">IFERROR(__xludf.DUMMYFUNCTION("GOOGLETRANSLATE(F4182,""en"",""pt"")"),"cadeiras médicas e sofás")</f>
        <v>cadeiras médicas e sofás</v>
      </c>
      <c r="J4182">
        <f>VLOOKUP(A4182,Pr_Base_LNEC!$A$4:$J$6971,6,FALSE)</f>
        <v>0</v>
      </c>
      <c r="K4182">
        <f>VLOOKUP(A4182,Pr_Base_LNEC!$A$4:$J$6971,7,FALSE)</f>
        <v>0</v>
      </c>
    </row>
    <row r="4183" spans="1:11" ht="14.5">
      <c r="A4183" s="20" t="s">
        <v>24503</v>
      </c>
      <c r="B4183" s="20">
        <v>40</v>
      </c>
      <c r="C4183" s="20">
        <v>50</v>
      </c>
      <c r="D4183" s="20">
        <v>51</v>
      </c>
      <c r="E4183" s="20">
        <v>5</v>
      </c>
      <c r="F4183" s="20" t="s">
        <v>24504</v>
      </c>
      <c r="G4183" s="24"/>
      <c r="H4183" s="24"/>
      <c r="I4183" s="24" t="str">
        <f ca="1">IFERROR(__xludf.DUMMYFUNCTION("GOOGLETRANSLATE(F4183,""en"",""pt"")"),"cadeiras bariátrica paciente")</f>
        <v>cadeiras bariátrica paciente</v>
      </c>
      <c r="J4183">
        <f>VLOOKUP(A4183,Pr_Base_LNEC!$A$4:$J$6971,6,FALSE)</f>
        <v>0</v>
      </c>
      <c r="K4183">
        <f>VLOOKUP(A4183,Pr_Base_LNEC!$A$4:$J$6971,7,FALSE)</f>
        <v>0</v>
      </c>
    </row>
    <row r="4184" spans="1:11" ht="14.5">
      <c r="A4184" s="20" t="s">
        <v>24505</v>
      </c>
      <c r="B4184" s="20">
        <v>40</v>
      </c>
      <c r="C4184" s="20">
        <v>50</v>
      </c>
      <c r="D4184" s="20">
        <v>51</v>
      </c>
      <c r="E4184" s="20">
        <v>6</v>
      </c>
      <c r="F4184" s="20" t="s">
        <v>24506</v>
      </c>
      <c r="G4184" s="24"/>
      <c r="H4184" s="24"/>
      <c r="I4184" s="24" t="str">
        <f ca="1">IFERROR(__xludf.DUMMYFUNCTION("GOOGLETRANSLATE(F4184,""en"",""pt"")"),"sofás plinto bariátrica")</f>
        <v>sofás plinto bariátrica</v>
      </c>
      <c r="J4184">
        <f>VLOOKUP(A4184,Pr_Base_LNEC!$A$4:$J$6971,6,FALSE)</f>
        <v>0</v>
      </c>
      <c r="K4184">
        <f>VLOOKUP(A4184,Pr_Base_LNEC!$A$4:$J$6971,7,FALSE)</f>
        <v>0</v>
      </c>
    </row>
    <row r="4185" spans="1:11" ht="14.5">
      <c r="A4185" s="20" t="s">
        <v>24507</v>
      </c>
      <c r="B4185" s="20">
        <v>40</v>
      </c>
      <c r="C4185" s="20">
        <v>50</v>
      </c>
      <c r="D4185" s="20">
        <v>51</v>
      </c>
      <c r="E4185" s="20">
        <v>7</v>
      </c>
      <c r="F4185" s="20" t="s">
        <v>24508</v>
      </c>
      <c r="G4185" s="24"/>
      <c r="H4185" s="24"/>
      <c r="I4185" s="24" t="str">
        <f ca="1">IFERROR(__xludf.DUMMYFUNCTION("GOOGLETRANSLATE(F4185,""en"",""pt"")"),"cadeiras de recolha de sangue")</f>
        <v>cadeiras de recolha de sangue</v>
      </c>
      <c r="J4185">
        <f>VLOOKUP(A4185,Pr_Base_LNEC!$A$4:$J$6971,6,FALSE)</f>
        <v>0</v>
      </c>
      <c r="K4185">
        <f>VLOOKUP(A4185,Pr_Base_LNEC!$A$4:$J$6971,7,FALSE)</f>
        <v>0</v>
      </c>
    </row>
    <row r="4186" spans="1:11" ht="14.5">
      <c r="A4186" s="20" t="s">
        <v>24509</v>
      </c>
      <c r="B4186" s="20">
        <v>40</v>
      </c>
      <c r="C4186" s="20">
        <v>50</v>
      </c>
      <c r="D4186" s="20">
        <v>51</v>
      </c>
      <c r="E4186" s="20">
        <v>8</v>
      </c>
      <c r="F4186" s="20" t="s">
        <v>24510</v>
      </c>
      <c r="G4186" s="24"/>
      <c r="H4186" s="24"/>
      <c r="I4186" s="24" t="str">
        <f ca="1">IFERROR(__xludf.DUMMYFUNCTION("GOOGLETRANSLATE(F4186,""en"",""pt"")"),"sofás Bo-plinto")</f>
        <v>sofás Bo-plinto</v>
      </c>
      <c r="J4186">
        <f>VLOOKUP(A4186,Pr_Base_LNEC!$A$4:$J$6971,6,FALSE)</f>
        <v>0</v>
      </c>
      <c r="K4186">
        <f>VLOOKUP(A4186,Pr_Base_LNEC!$A$4:$J$6971,7,FALSE)</f>
        <v>0</v>
      </c>
    </row>
    <row r="4187" spans="1:11" ht="14.5">
      <c r="A4187" s="20" t="s">
        <v>24511</v>
      </c>
      <c r="B4187" s="20">
        <v>40</v>
      </c>
      <c r="C4187" s="20">
        <v>50</v>
      </c>
      <c r="D4187" s="20">
        <v>51</v>
      </c>
      <c r="E4187" s="20">
        <v>15</v>
      </c>
      <c r="F4187" s="20" t="s">
        <v>24512</v>
      </c>
      <c r="G4187" s="24"/>
      <c r="H4187" s="24"/>
      <c r="I4187" s="24" t="str">
        <f ca="1">IFERROR(__xludf.DUMMYFUNCTION("GOOGLETRANSLATE(F4187,""en"",""pt"")"),"commodes")</f>
        <v>commodes</v>
      </c>
      <c r="J4187">
        <f>VLOOKUP(A4187,Pr_Base_LNEC!$A$4:$J$6971,6,FALSE)</f>
        <v>0</v>
      </c>
      <c r="K4187">
        <f>VLOOKUP(A4187,Pr_Base_LNEC!$A$4:$J$6971,7,FALSE)</f>
        <v>0</v>
      </c>
    </row>
    <row r="4188" spans="1:11" ht="14.5">
      <c r="A4188" s="20" t="s">
        <v>24513</v>
      </c>
      <c r="B4188" s="20">
        <v>40</v>
      </c>
      <c r="C4188" s="20">
        <v>50</v>
      </c>
      <c r="D4188" s="20">
        <v>51</v>
      </c>
      <c r="E4188" s="20">
        <v>21</v>
      </c>
      <c r="F4188" s="20" t="s">
        <v>24514</v>
      </c>
      <c r="G4188" s="24"/>
      <c r="H4188" s="24"/>
      <c r="I4188" s="24" t="str">
        <f ca="1">IFERROR(__xludf.DUMMYFUNCTION("GOOGLETRANSLATE(F4188,""en"",""pt"")"),"sofás creches")</f>
        <v>sofás creches</v>
      </c>
      <c r="J4188">
        <f>VLOOKUP(A4188,Pr_Base_LNEC!$A$4:$J$6971,6,FALSE)</f>
        <v>0</v>
      </c>
      <c r="K4188">
        <f>VLOOKUP(A4188,Pr_Base_LNEC!$A$4:$J$6971,7,FALSE)</f>
        <v>0</v>
      </c>
    </row>
    <row r="4189" spans="1:11" ht="14.5">
      <c r="A4189" s="20" t="s">
        <v>24515</v>
      </c>
      <c r="B4189" s="20">
        <v>40</v>
      </c>
      <c r="C4189" s="20">
        <v>50</v>
      </c>
      <c r="D4189" s="20">
        <v>51</v>
      </c>
      <c r="E4189" s="20">
        <v>22</v>
      </c>
      <c r="F4189" s="20" t="s">
        <v>24516</v>
      </c>
      <c r="G4189" s="24"/>
      <c r="H4189" s="24"/>
      <c r="I4189" s="24" t="str">
        <f ca="1">IFERROR(__xludf.DUMMYFUNCTION("GOOGLETRANSLATE(F4189,""en"",""pt"")"),"cadeiras odontológicas")</f>
        <v>cadeiras odontológicas</v>
      </c>
      <c r="J4189">
        <f>VLOOKUP(A4189,Pr_Base_LNEC!$A$4:$J$6971,6,FALSE)</f>
        <v>0</v>
      </c>
      <c r="K4189">
        <f>VLOOKUP(A4189,Pr_Base_LNEC!$A$4:$J$6971,7,FALSE)</f>
        <v>0</v>
      </c>
    </row>
    <row r="4190" spans="1:11" ht="14.5">
      <c r="A4190" s="20" t="s">
        <v>24517</v>
      </c>
      <c r="B4190" s="20">
        <v>40</v>
      </c>
      <c r="C4190" s="20">
        <v>50</v>
      </c>
      <c r="D4190" s="20">
        <v>51</v>
      </c>
      <c r="E4190" s="20">
        <v>23</v>
      </c>
      <c r="F4190" s="20" t="s">
        <v>24518</v>
      </c>
      <c r="G4190" s="24"/>
      <c r="H4190" s="24"/>
      <c r="I4190" s="24" t="str">
        <f ca="1">IFERROR(__xludf.DUMMYFUNCTION("GOOGLETRANSLATE(F4190,""en"",""pt"")"),"cadeiras de diálise")</f>
        <v>cadeiras de diálise</v>
      </c>
      <c r="J4190">
        <f>VLOOKUP(A4190,Pr_Base_LNEC!$A$4:$J$6971,6,FALSE)</f>
        <v>0</v>
      </c>
      <c r="K4190">
        <f>VLOOKUP(A4190,Pr_Base_LNEC!$A$4:$J$6971,7,FALSE)</f>
        <v>0</v>
      </c>
    </row>
    <row r="4191" spans="1:11" ht="14.5">
      <c r="A4191" s="20" t="s">
        <v>24519</v>
      </c>
      <c r="B4191" s="20">
        <v>40</v>
      </c>
      <c r="C4191" s="20">
        <v>50</v>
      </c>
      <c r="D4191" s="20">
        <v>51</v>
      </c>
      <c r="E4191" s="20">
        <v>25</v>
      </c>
      <c r="F4191" s="20" t="s">
        <v>24520</v>
      </c>
      <c r="G4191" s="24"/>
      <c r="H4191" s="24"/>
      <c r="I4191" s="24" t="str">
        <f ca="1">IFERROR(__xludf.DUMMYFUNCTION("GOOGLETRANSLATE(F4191,""en"",""pt"")"),"sofás ecocardiografia")</f>
        <v>sofás ecocardiografia</v>
      </c>
      <c r="J4191">
        <f>VLOOKUP(A4191,Pr_Base_LNEC!$A$4:$J$6971,6,FALSE)</f>
        <v>0</v>
      </c>
      <c r="K4191">
        <f>VLOOKUP(A4191,Pr_Base_LNEC!$A$4:$J$6971,7,FALSE)</f>
        <v>0</v>
      </c>
    </row>
    <row r="4192" spans="1:11" ht="14.5">
      <c r="A4192" s="20" t="s">
        <v>24521</v>
      </c>
      <c r="B4192" s="20">
        <v>40</v>
      </c>
      <c r="C4192" s="20">
        <v>50</v>
      </c>
      <c r="D4192" s="20">
        <v>51</v>
      </c>
      <c r="E4192" s="20">
        <v>26</v>
      </c>
      <c r="F4192" s="20" t="s">
        <v>24522</v>
      </c>
      <c r="G4192" s="24"/>
      <c r="H4192" s="24"/>
      <c r="I4192" s="24" t="str">
        <f ca="1">IFERROR(__xludf.DUMMYFUNCTION("GOOGLETRANSLATE(F4192,""en"",""pt"")"),"Ouvido, nariz e garganta (ENT) e cadeiras oftalmológicas")</f>
        <v>Ouvido, nariz e garganta (ENT) e cadeiras oftalmológicas</v>
      </c>
      <c r="J4192">
        <f>VLOOKUP(A4192,Pr_Base_LNEC!$A$4:$J$6971,6,FALSE)</f>
        <v>0</v>
      </c>
      <c r="K4192">
        <f>VLOOKUP(A4192,Pr_Base_LNEC!$A$4:$J$6971,7,FALSE)</f>
        <v>0</v>
      </c>
    </row>
    <row r="4193" spans="1:11" ht="14.5">
      <c r="A4193" s="20" t="s">
        <v>24523</v>
      </c>
      <c r="B4193" s="20">
        <v>40</v>
      </c>
      <c r="C4193" s="20">
        <v>50</v>
      </c>
      <c r="D4193" s="20">
        <v>51</v>
      </c>
      <c r="E4193" s="20">
        <v>27</v>
      </c>
      <c r="F4193" s="20" t="s">
        <v>24524</v>
      </c>
      <c r="G4193" s="24"/>
      <c r="H4193" s="24"/>
      <c r="I4193" s="24" t="str">
        <f ca="1">IFERROR(__xludf.DUMMYFUNCTION("GOOGLETRANSLATE(F4193,""en"",""pt"")"),"cadeiras de exame e de tratamento")</f>
        <v>cadeiras de exame e de tratamento</v>
      </c>
      <c r="J4193">
        <f>VLOOKUP(A4193,Pr_Base_LNEC!$A$4:$J$6971,6,FALSE)</f>
        <v>0</v>
      </c>
      <c r="K4193">
        <f>VLOOKUP(A4193,Pr_Base_LNEC!$A$4:$J$6971,7,FALSE)</f>
        <v>0</v>
      </c>
    </row>
    <row r="4194" spans="1:11" ht="14.5">
      <c r="A4194" s="20" t="s">
        <v>24525</v>
      </c>
      <c r="B4194" s="20">
        <v>40</v>
      </c>
      <c r="C4194" s="20">
        <v>50</v>
      </c>
      <c r="D4194" s="20">
        <v>51</v>
      </c>
      <c r="E4194" s="20">
        <v>28</v>
      </c>
      <c r="F4194" s="20" t="s">
        <v>24526</v>
      </c>
      <c r="G4194" s="24"/>
      <c r="H4194" s="24"/>
      <c r="I4194" s="24" t="str">
        <f ca="1">IFERROR(__xludf.DUMMYFUNCTION("GOOGLETRANSLATE(F4194,""en"",""pt"")"),"Exame e tratamento sofás")</f>
        <v>Exame e tratamento sofás</v>
      </c>
      <c r="J4194">
        <f>VLOOKUP(A4194,Pr_Base_LNEC!$A$4:$J$6971,6,FALSE)</f>
        <v>0</v>
      </c>
      <c r="K4194">
        <f>VLOOKUP(A4194,Pr_Base_LNEC!$A$4:$J$6971,7,FALSE)</f>
        <v>0</v>
      </c>
    </row>
    <row r="4195" spans="1:11" ht="14.5">
      <c r="A4195" s="20" t="s">
        <v>24527</v>
      </c>
      <c r="B4195" s="20">
        <v>40</v>
      </c>
      <c r="C4195" s="20">
        <v>50</v>
      </c>
      <c r="D4195" s="20">
        <v>51</v>
      </c>
      <c r="E4195" s="20">
        <v>31</v>
      </c>
      <c r="F4195" s="20" t="s">
        <v>24528</v>
      </c>
      <c r="G4195" s="24"/>
      <c r="H4195" s="24"/>
      <c r="I4195" s="24" t="str">
        <f ca="1">IFERROR(__xludf.DUMMYFUNCTION("GOOGLETRANSLATE(F4195,""en"",""pt"")"),"fezes pé")</f>
        <v>fezes pé</v>
      </c>
      <c r="J4195">
        <f>VLOOKUP(A4195,Pr_Base_LNEC!$A$4:$J$6971,6,FALSE)</f>
        <v>0</v>
      </c>
      <c r="K4195">
        <f>VLOOKUP(A4195,Pr_Base_LNEC!$A$4:$J$6971,7,FALSE)</f>
        <v>0</v>
      </c>
    </row>
    <row r="4196" spans="1:11" ht="14.5">
      <c r="A4196" s="20" t="s">
        <v>24529</v>
      </c>
      <c r="B4196" s="20">
        <v>40</v>
      </c>
      <c r="C4196" s="20">
        <v>50</v>
      </c>
      <c r="D4196" s="20">
        <v>51</v>
      </c>
      <c r="E4196" s="20">
        <v>34</v>
      </c>
      <c r="F4196" s="20" t="s">
        <v>24530</v>
      </c>
      <c r="G4196" s="24"/>
      <c r="H4196" s="24"/>
      <c r="I4196" s="24" t="str">
        <f ca="1">IFERROR(__xludf.DUMMYFUNCTION("GOOGLETRANSLATE(F4196,""en"",""pt"")"),"cadeiras de ginecologia")</f>
        <v>cadeiras de ginecologia</v>
      </c>
      <c r="J4196">
        <f>VLOOKUP(A4196,Pr_Base_LNEC!$A$4:$J$6971,6,FALSE)</f>
        <v>0</v>
      </c>
      <c r="K4196">
        <f>VLOOKUP(A4196,Pr_Base_LNEC!$A$4:$J$6971,7,FALSE)</f>
        <v>0</v>
      </c>
    </row>
    <row r="4197" spans="1:11" ht="14.5">
      <c r="A4197" s="20" t="s">
        <v>24531</v>
      </c>
      <c r="B4197" s="20">
        <v>40</v>
      </c>
      <c r="C4197" s="20">
        <v>50</v>
      </c>
      <c r="D4197" s="20">
        <v>51</v>
      </c>
      <c r="E4197" s="20">
        <v>35</v>
      </c>
      <c r="F4197" s="20" t="s">
        <v>24532</v>
      </c>
      <c r="G4197" s="24"/>
      <c r="H4197" s="24"/>
      <c r="I4197" s="24" t="str">
        <f ca="1">IFERROR(__xludf.DUMMYFUNCTION("GOOGLETRANSLATE(F4197,""en"",""pt"")"),"sofás Ginecologia")</f>
        <v>sofás Ginecologia</v>
      </c>
      <c r="J4197">
        <f>VLOOKUP(A4197,Pr_Base_LNEC!$A$4:$J$6971,6,FALSE)</f>
        <v>0</v>
      </c>
      <c r="K4197">
        <f>VLOOKUP(A4197,Pr_Base_LNEC!$A$4:$J$6971,7,FALSE)</f>
        <v>0</v>
      </c>
    </row>
    <row r="4198" spans="1:11" ht="14.5">
      <c r="A4198" s="20" t="s">
        <v>24533</v>
      </c>
      <c r="B4198" s="20">
        <v>40</v>
      </c>
      <c r="C4198" s="20">
        <v>50</v>
      </c>
      <c r="D4198" s="20">
        <v>51</v>
      </c>
      <c r="E4198" s="20">
        <v>51</v>
      </c>
      <c r="F4198" s="20" t="s">
        <v>24534</v>
      </c>
      <c r="G4198" s="24"/>
      <c r="H4198" s="24"/>
      <c r="I4198" s="24" t="str">
        <f ca="1">IFERROR(__xludf.DUMMYFUNCTION("GOOGLETRANSLATE(F4198,""en"",""pt"")"),"sofás operações menores")</f>
        <v>sofás operações menores</v>
      </c>
      <c r="J4198">
        <f>VLOOKUP(A4198,Pr_Base_LNEC!$A$4:$J$6971,6,FALSE)</f>
        <v>0</v>
      </c>
      <c r="K4198">
        <f>VLOOKUP(A4198,Pr_Base_LNEC!$A$4:$J$6971,7,FALSE)</f>
        <v>0</v>
      </c>
    </row>
    <row r="4199" spans="1:11" ht="14.5">
      <c r="A4199" s="20" t="s">
        <v>24535</v>
      </c>
      <c r="B4199" s="20">
        <v>40</v>
      </c>
      <c r="C4199" s="20">
        <v>50</v>
      </c>
      <c r="D4199" s="20">
        <v>51</v>
      </c>
      <c r="E4199" s="20">
        <v>58</v>
      </c>
      <c r="F4199" s="20" t="s">
        <v>24536</v>
      </c>
      <c r="G4199" s="24"/>
      <c r="H4199" s="24"/>
      <c r="I4199" s="24" t="str">
        <f ca="1">IFERROR(__xludf.DUMMYFUNCTION("GOOGLETRANSLATE(F4199,""en"",""pt"")"),"Oncology cadeiras")</f>
        <v>Oncology cadeiras</v>
      </c>
      <c r="J4199">
        <f>VLOOKUP(A4199,Pr_Base_LNEC!$A$4:$J$6971,6,FALSE)</f>
        <v>0</v>
      </c>
      <c r="K4199">
        <f>VLOOKUP(A4199,Pr_Base_LNEC!$A$4:$J$6971,7,FALSE)</f>
        <v>0</v>
      </c>
    </row>
    <row r="4200" spans="1:11" ht="14.5">
      <c r="A4200" s="20" t="s">
        <v>24537</v>
      </c>
      <c r="B4200" s="20">
        <v>40</v>
      </c>
      <c r="C4200" s="20">
        <v>50</v>
      </c>
      <c r="D4200" s="20">
        <v>51</v>
      </c>
      <c r="E4200" s="20">
        <v>59</v>
      </c>
      <c r="F4200" s="20" t="s">
        <v>24538</v>
      </c>
      <c r="G4200" s="24"/>
      <c r="H4200" s="24"/>
      <c r="I4200" s="24" t="str">
        <f ca="1">IFERROR(__xludf.DUMMYFUNCTION("GOOGLETRANSLATE(F4200,""en"",""pt"")"),"ambulatoriais sofás")</f>
        <v>ambulatoriais sofás</v>
      </c>
      <c r="J4200">
        <f>VLOOKUP(A4200,Pr_Base_LNEC!$A$4:$J$6971,6,FALSE)</f>
        <v>0</v>
      </c>
      <c r="K4200">
        <f>VLOOKUP(A4200,Pr_Base_LNEC!$A$4:$J$6971,7,FALSE)</f>
        <v>0</v>
      </c>
    </row>
    <row r="4201" spans="1:11" ht="14.5">
      <c r="A4201" s="20" t="s">
        <v>24539</v>
      </c>
      <c r="B4201" s="20">
        <v>40</v>
      </c>
      <c r="C4201" s="20">
        <v>50</v>
      </c>
      <c r="D4201" s="20">
        <v>51</v>
      </c>
      <c r="E4201" s="20">
        <v>61</v>
      </c>
      <c r="F4201" s="20" t="s">
        <v>24540</v>
      </c>
      <c r="G4201" s="24"/>
      <c r="H4201" s="24"/>
      <c r="I4201" s="24" t="str">
        <f ca="1">IFERROR(__xludf.DUMMYFUNCTION("GOOGLETRANSLATE(F4201,""en"",""pt"")"),"cadeiras phlebotomy")</f>
        <v>cadeiras phlebotomy</v>
      </c>
      <c r="J4201">
        <f>VLOOKUP(A4201,Pr_Base_LNEC!$A$4:$J$6971,6,FALSE)</f>
        <v>0</v>
      </c>
      <c r="K4201">
        <f>VLOOKUP(A4201,Pr_Base_LNEC!$A$4:$J$6971,7,FALSE)</f>
        <v>0</v>
      </c>
    </row>
    <row r="4202" spans="1:11" ht="14.5">
      <c r="A4202" s="20" t="s">
        <v>24541</v>
      </c>
      <c r="B4202" s="20">
        <v>40</v>
      </c>
      <c r="C4202" s="20">
        <v>50</v>
      </c>
      <c r="D4202" s="20">
        <v>51</v>
      </c>
      <c r="E4202" s="20">
        <v>62</v>
      </c>
      <c r="F4202" s="20" t="s">
        <v>24542</v>
      </c>
      <c r="G4202" s="24"/>
      <c r="H4202" s="24"/>
      <c r="I4202" s="24" t="str">
        <f ca="1">IFERROR(__xludf.DUMMYFUNCTION("GOOGLETRANSLATE(F4202,""en"",""pt"")"),"sofás phlebotomy")</f>
        <v>sofás phlebotomy</v>
      </c>
      <c r="J4202">
        <f>VLOOKUP(A4202,Pr_Base_LNEC!$A$4:$J$6971,6,FALSE)</f>
        <v>0</v>
      </c>
      <c r="K4202">
        <f>VLOOKUP(A4202,Pr_Base_LNEC!$A$4:$J$6971,7,FALSE)</f>
        <v>0</v>
      </c>
    </row>
    <row r="4203" spans="1:11" ht="14.5">
      <c r="A4203" s="20" t="s">
        <v>24543</v>
      </c>
      <c r="B4203" s="20">
        <v>40</v>
      </c>
      <c r="C4203" s="20">
        <v>50</v>
      </c>
      <c r="D4203" s="20">
        <v>51</v>
      </c>
      <c r="E4203" s="20">
        <v>63</v>
      </c>
      <c r="F4203" s="20" t="s">
        <v>24544</v>
      </c>
      <c r="G4203" s="24"/>
      <c r="H4203" s="24"/>
      <c r="I4203" s="24" t="str">
        <f ca="1">IFERROR(__xludf.DUMMYFUNCTION("GOOGLETRANSLATE(F4203,""en"",""pt"")"),"cadeiras de gesso")</f>
        <v>cadeiras de gesso</v>
      </c>
      <c r="J4203">
        <f>VLOOKUP(A4203,Pr_Base_LNEC!$A$4:$J$6971,6,FALSE)</f>
        <v>0</v>
      </c>
      <c r="K4203">
        <f>VLOOKUP(A4203,Pr_Base_LNEC!$A$4:$J$6971,7,FALSE)</f>
        <v>0</v>
      </c>
    </row>
    <row r="4204" spans="1:11" ht="14.5">
      <c r="A4204" s="20" t="s">
        <v>24545</v>
      </c>
      <c r="B4204" s="20">
        <v>40</v>
      </c>
      <c r="C4204" s="20">
        <v>50</v>
      </c>
      <c r="D4204" s="20">
        <v>51</v>
      </c>
      <c r="E4204" s="20">
        <v>65</v>
      </c>
      <c r="F4204" s="20" t="s">
        <v>24546</v>
      </c>
      <c r="G4204" s="24"/>
      <c r="H4204" s="24"/>
      <c r="I4204" s="24" t="str">
        <f ca="1">IFERROR(__xludf.DUMMYFUNCTION("GOOGLETRANSLATE(F4204,""en"",""pt"")"),"cadeiras de podologia")</f>
        <v>cadeiras de podologia</v>
      </c>
      <c r="J4204">
        <f>VLOOKUP(A4204,Pr_Base_LNEC!$A$4:$J$6971,6,FALSE)</f>
        <v>0</v>
      </c>
      <c r="K4204">
        <f>VLOOKUP(A4204,Pr_Base_LNEC!$A$4:$J$6971,7,FALSE)</f>
        <v>0</v>
      </c>
    </row>
    <row r="4205" spans="1:11" ht="14.5">
      <c r="A4205" s="20" t="s">
        <v>24547</v>
      </c>
      <c r="B4205" s="20">
        <v>40</v>
      </c>
      <c r="C4205" s="20">
        <v>50</v>
      </c>
      <c r="D4205" s="20">
        <v>51</v>
      </c>
      <c r="E4205" s="20">
        <v>71</v>
      </c>
      <c r="F4205" s="20" t="s">
        <v>24548</v>
      </c>
      <c r="G4205" s="24"/>
      <c r="H4205" s="24"/>
      <c r="I4205" s="24" t="str">
        <f ca="1">IFERROR(__xludf.DUMMYFUNCTION("GOOGLETRANSLATE(F4205,""en"",""pt"")"),"Encostado poltronas tratamento")</f>
        <v>Encostado poltronas tratamento</v>
      </c>
      <c r="J4205">
        <f>VLOOKUP(A4205,Pr_Base_LNEC!$A$4:$J$6971,6,FALSE)</f>
        <v>0</v>
      </c>
      <c r="K4205">
        <f>VLOOKUP(A4205,Pr_Base_LNEC!$A$4:$J$6971,7,FALSE)</f>
        <v>0</v>
      </c>
    </row>
    <row r="4206" spans="1:11" ht="14.5">
      <c r="A4206" s="20" t="s">
        <v>24549</v>
      </c>
      <c r="B4206" s="20">
        <v>40</v>
      </c>
      <c r="C4206" s="20">
        <v>50</v>
      </c>
      <c r="D4206" s="20">
        <v>51</v>
      </c>
      <c r="E4206" s="20">
        <v>75</v>
      </c>
      <c r="F4206" s="20" t="s">
        <v>24550</v>
      </c>
      <c r="G4206" s="24"/>
      <c r="H4206" s="24"/>
      <c r="I4206" s="24" t="str">
        <f ca="1">IFERROR(__xludf.DUMMYFUNCTION("GOOGLETRANSLATE(F4206,""en"",""pt"")"),"assentos sanitários")</f>
        <v>assentos sanitários</v>
      </c>
      <c r="J4206">
        <f>VLOOKUP(A4206,Pr_Base_LNEC!$A$4:$J$6971,6,FALSE)</f>
        <v>0</v>
      </c>
      <c r="K4206">
        <f>VLOOKUP(A4206,Pr_Base_LNEC!$A$4:$J$6971,7,FALSE)</f>
        <v>0</v>
      </c>
    </row>
    <row r="4207" spans="1:11" ht="14.5">
      <c r="A4207" s="20" t="s">
        <v>24551</v>
      </c>
      <c r="B4207" s="20">
        <v>40</v>
      </c>
      <c r="C4207" s="20">
        <v>50</v>
      </c>
      <c r="D4207" s="20">
        <v>51</v>
      </c>
      <c r="E4207" s="20">
        <v>84</v>
      </c>
      <c r="F4207" s="20" t="s">
        <v>24552</v>
      </c>
      <c r="G4207" s="24"/>
      <c r="H4207" s="24"/>
      <c r="I4207" s="24" t="str">
        <f ca="1">IFERROR(__xludf.DUMMYFUNCTION("GOOGLETRANSLATE(F4207,""en"",""pt"")"),"passo fezes")</f>
        <v>passo fezes</v>
      </c>
      <c r="J4207">
        <f>VLOOKUP(A4207,Pr_Base_LNEC!$A$4:$J$6971,6,FALSE)</f>
        <v>0</v>
      </c>
      <c r="K4207">
        <f>VLOOKUP(A4207,Pr_Base_LNEC!$A$4:$J$6971,7,FALSE)</f>
        <v>0</v>
      </c>
    </row>
    <row r="4208" spans="1:11" ht="14.5">
      <c r="A4208" s="20" t="s">
        <v>24553</v>
      </c>
      <c r="B4208" s="20">
        <v>40</v>
      </c>
      <c r="C4208" s="20">
        <v>50</v>
      </c>
      <c r="D4208" s="20">
        <v>51</v>
      </c>
      <c r="E4208" s="20">
        <v>92</v>
      </c>
      <c r="F4208" s="20" t="s">
        <v>24554</v>
      </c>
      <c r="G4208" s="24"/>
      <c r="H4208" s="24"/>
      <c r="I4208" s="24" t="str">
        <f ca="1">IFERROR(__xludf.DUMMYFUNCTION("GOOGLETRANSLATE(F4208,""en"",""pt"")"),"sofás de ultra-som")</f>
        <v>sofás de ultra-som</v>
      </c>
      <c r="J4208">
        <f>VLOOKUP(A4208,Pr_Base_LNEC!$A$4:$J$6971,6,FALSE)</f>
        <v>0</v>
      </c>
      <c r="K4208">
        <f>VLOOKUP(A4208,Pr_Base_LNEC!$A$4:$J$6971,7,FALSE)</f>
        <v>0</v>
      </c>
    </row>
    <row r="4209" spans="1:11" ht="14.5">
      <c r="A4209" s="20" t="s">
        <v>24555</v>
      </c>
      <c r="B4209" s="20">
        <v>40</v>
      </c>
      <c r="C4209" s="20">
        <v>50</v>
      </c>
      <c r="D4209" s="20">
        <v>52</v>
      </c>
      <c r="E4209" s="24"/>
      <c r="F4209" s="20" t="s">
        <v>24556</v>
      </c>
      <c r="G4209" s="24"/>
      <c r="H4209" s="24"/>
      <c r="I4209" s="24" t="str">
        <f ca="1">IFERROR(__xludf.DUMMYFUNCTION("GOOGLETRANSLATE(F4209,""en"",""pt"")"),"mesas médicos, mesas e bancadas")</f>
        <v>mesas médicos, mesas e bancadas</v>
      </c>
      <c r="J4209">
        <f>VLOOKUP(A4209,Pr_Base_LNEC!$A$4:$J$6971,6,FALSE)</f>
        <v>0</v>
      </c>
      <c r="K4209">
        <f>VLOOKUP(A4209,Pr_Base_LNEC!$A$4:$J$6971,7,FALSE)</f>
        <v>0</v>
      </c>
    </row>
    <row r="4210" spans="1:11" ht="14.5">
      <c r="A4210" s="20" t="s">
        <v>24557</v>
      </c>
      <c r="B4210" s="20">
        <v>40</v>
      </c>
      <c r="C4210" s="20">
        <v>50</v>
      </c>
      <c r="D4210" s="20">
        <v>52</v>
      </c>
      <c r="E4210" s="20">
        <v>22</v>
      </c>
      <c r="F4210" s="20" t="s">
        <v>24558</v>
      </c>
      <c r="G4210" s="24"/>
      <c r="H4210" s="24"/>
      <c r="I4210" s="24" t="str">
        <f ca="1">IFERROR(__xludf.DUMMYFUNCTION("GOOGLETRANSLATE(F4210,""en"",""pt"")"),"mesas de dissecação")</f>
        <v>mesas de dissecação</v>
      </c>
      <c r="J4210">
        <f>VLOOKUP(A4210,Pr_Base_LNEC!$A$4:$J$6971,6,FALSE)</f>
        <v>0</v>
      </c>
      <c r="K4210">
        <f>VLOOKUP(A4210,Pr_Base_LNEC!$A$4:$J$6971,7,FALSE)</f>
        <v>0</v>
      </c>
    </row>
    <row r="4211" spans="1:11" ht="14.5">
      <c r="A4211" s="20" t="s">
        <v>24559</v>
      </c>
      <c r="B4211" s="20">
        <v>40</v>
      </c>
      <c r="C4211" s="20">
        <v>50</v>
      </c>
      <c r="D4211" s="20">
        <v>52</v>
      </c>
      <c r="E4211" s="20">
        <v>50</v>
      </c>
      <c r="F4211" s="20" t="s">
        <v>24560</v>
      </c>
      <c r="G4211" s="24"/>
      <c r="H4211" s="24"/>
      <c r="I4211" s="24" t="str">
        <f ca="1">IFERROR(__xludf.DUMMYFUNCTION("GOOGLETRANSLATE(F4211,""en"",""pt"")"),"mesas de Mayo")</f>
        <v>mesas de Mayo</v>
      </c>
      <c r="J4211">
        <f>VLOOKUP(A4211,Pr_Base_LNEC!$A$4:$J$6971,6,FALSE)</f>
        <v>0</v>
      </c>
      <c r="K4211">
        <f>VLOOKUP(A4211,Pr_Base_LNEC!$A$4:$J$6971,7,FALSE)</f>
        <v>0</v>
      </c>
    </row>
    <row r="4212" spans="1:11" ht="14.5">
      <c r="A4212" s="20" t="s">
        <v>24561</v>
      </c>
      <c r="B4212" s="20">
        <v>40</v>
      </c>
      <c r="C4212" s="20">
        <v>50</v>
      </c>
      <c r="D4212" s="20">
        <v>52</v>
      </c>
      <c r="E4212" s="20">
        <v>57</v>
      </c>
      <c r="F4212" s="20" t="s">
        <v>24562</v>
      </c>
      <c r="G4212" s="24"/>
      <c r="H4212" s="24"/>
      <c r="I4212" s="24" t="str">
        <f ca="1">IFERROR(__xludf.DUMMYFUNCTION("GOOGLETRANSLATE(F4212,""en"",""pt"")"),"Mesas de operação teatro")</f>
        <v>Mesas de operação teatro</v>
      </c>
      <c r="J4212">
        <f>VLOOKUP(A4212,Pr_Base_LNEC!$A$4:$J$6971,6,FALSE)</f>
        <v>0</v>
      </c>
      <c r="K4212">
        <f>VLOOKUP(A4212,Pr_Base_LNEC!$A$4:$J$6971,7,FALSE)</f>
        <v>0</v>
      </c>
    </row>
    <row r="4213" spans="1:11" ht="14.5">
      <c r="A4213" s="20" t="s">
        <v>24563</v>
      </c>
      <c r="B4213" s="20">
        <v>40</v>
      </c>
      <c r="C4213" s="20">
        <v>50</v>
      </c>
      <c r="D4213" s="20">
        <v>52</v>
      </c>
      <c r="E4213" s="20">
        <v>58</v>
      </c>
      <c r="F4213" s="20" t="s">
        <v>24564</v>
      </c>
      <c r="G4213" s="24"/>
      <c r="H4213" s="24"/>
      <c r="I4213" s="24" t="str">
        <f ca="1">IFERROR(__xludf.DUMMYFUNCTION("GOOGLETRANSLATE(F4213,""en"",""pt"")"),"mesas Overbed")</f>
        <v>mesas Overbed</v>
      </c>
      <c r="J4213">
        <f>VLOOKUP(A4213,Pr_Base_LNEC!$A$4:$J$6971,6,FALSE)</f>
        <v>0</v>
      </c>
      <c r="K4213">
        <f>VLOOKUP(A4213,Pr_Base_LNEC!$A$4:$J$6971,7,FALSE)</f>
        <v>0</v>
      </c>
    </row>
    <row r="4214" spans="1:11" ht="14.5">
      <c r="A4214" s="20" t="s">
        <v>24565</v>
      </c>
      <c r="B4214" s="20">
        <v>40</v>
      </c>
      <c r="C4214" s="20">
        <v>50</v>
      </c>
      <c r="D4214" s="20">
        <v>52</v>
      </c>
      <c r="E4214" s="20">
        <v>59</v>
      </c>
      <c r="F4214" s="20" t="s">
        <v>24566</v>
      </c>
      <c r="G4214" s="24"/>
      <c r="H4214" s="24"/>
      <c r="I4214" s="24" t="str">
        <f ca="1">IFERROR(__xludf.DUMMYFUNCTION("GOOGLETRANSLATE(F4214,""en"",""pt"")"),"mesas Overchair")</f>
        <v>mesas Overchair</v>
      </c>
      <c r="J4214">
        <f>VLOOKUP(A4214,Pr_Base_LNEC!$A$4:$J$6971,6,FALSE)</f>
        <v>0</v>
      </c>
      <c r="K4214">
        <f>VLOOKUP(A4214,Pr_Base_LNEC!$A$4:$J$6971,7,FALSE)</f>
        <v>0</v>
      </c>
    </row>
    <row r="4215" spans="1:11" ht="14.5">
      <c r="A4215" s="20" t="s">
        <v>24567</v>
      </c>
      <c r="B4215" s="20">
        <v>40</v>
      </c>
      <c r="C4215" s="20">
        <v>50</v>
      </c>
      <c r="D4215" s="20">
        <v>52</v>
      </c>
      <c r="E4215" s="20">
        <v>65</v>
      </c>
      <c r="F4215" s="20" t="s">
        <v>24568</v>
      </c>
      <c r="G4215" s="24"/>
      <c r="H4215" s="24"/>
      <c r="I4215" s="24" t="str">
        <f ca="1">IFERROR(__xludf.DUMMYFUNCTION("GOOGLETRANSLATE(F4215,""en"",""pt"")"),"mesas post-mortem")</f>
        <v>mesas post-mortem</v>
      </c>
      <c r="J4215">
        <f>VLOOKUP(A4215,Pr_Base_LNEC!$A$4:$J$6971,6,FALSE)</f>
        <v>0</v>
      </c>
      <c r="K4215">
        <f>VLOOKUP(A4215,Pr_Base_LNEC!$A$4:$J$6971,7,FALSE)</f>
        <v>0</v>
      </c>
    </row>
    <row r="4216" spans="1:11" ht="14.5">
      <c r="A4216" s="20" t="s">
        <v>24569</v>
      </c>
      <c r="B4216" s="20">
        <v>40</v>
      </c>
      <c r="C4216" s="20">
        <v>50</v>
      </c>
      <c r="D4216" s="20">
        <v>52</v>
      </c>
      <c r="E4216" s="20">
        <v>88</v>
      </c>
      <c r="F4216" s="20" t="s">
        <v>24570</v>
      </c>
      <c r="G4216" s="24"/>
      <c r="H4216" s="24"/>
      <c r="I4216" s="24" t="str">
        <f ca="1">IFERROR(__xludf.DUMMYFUNCTION("GOOGLETRANSLATE(F4216,""en"",""pt"")"),"mesas de inclinação")</f>
        <v>mesas de inclinação</v>
      </c>
      <c r="J4216">
        <f>VLOOKUP(A4216,Pr_Base_LNEC!$A$4:$J$6971,6,FALSE)</f>
        <v>0</v>
      </c>
      <c r="K4216">
        <f>VLOOKUP(A4216,Pr_Base_LNEC!$A$4:$J$6971,7,FALSE)</f>
        <v>0</v>
      </c>
    </row>
    <row r="4217" spans="1:11" ht="14.5">
      <c r="A4217" s="20" t="s">
        <v>24571</v>
      </c>
      <c r="B4217" s="20">
        <v>40</v>
      </c>
      <c r="C4217" s="20">
        <v>50</v>
      </c>
      <c r="D4217" s="20">
        <v>53</v>
      </c>
      <c r="E4217" s="24"/>
      <c r="F4217" s="20" t="s">
        <v>24572</v>
      </c>
      <c r="G4217" s="24"/>
      <c r="H4217" s="24"/>
      <c r="I4217" s="24" t="str">
        <f ca="1">IFERROR(__xludf.DUMMYFUNCTION("GOOGLETRANSLATE(F4217,""en"",""pt"")"),"carrinhos médicos")</f>
        <v>carrinhos médicos</v>
      </c>
      <c r="J4217">
        <f>VLOOKUP(A4217,Pr_Base_LNEC!$A$4:$J$6971,6,FALSE)</f>
        <v>0</v>
      </c>
      <c r="K4217">
        <f>VLOOKUP(A4217,Pr_Base_LNEC!$A$4:$J$6971,7,FALSE)</f>
        <v>0</v>
      </c>
    </row>
    <row r="4218" spans="1:11" ht="14.5">
      <c r="A4218" s="20" t="s">
        <v>24573</v>
      </c>
      <c r="B4218" s="20">
        <v>40</v>
      </c>
      <c r="C4218" s="20">
        <v>50</v>
      </c>
      <c r="D4218" s="20">
        <v>53</v>
      </c>
      <c r="E4218" s="20">
        <v>4</v>
      </c>
      <c r="F4218" s="20" t="s">
        <v>24574</v>
      </c>
      <c r="G4218" s="24"/>
      <c r="H4218" s="24"/>
      <c r="I4218" s="24" t="str">
        <f ca="1">IFERROR(__xludf.DUMMYFUNCTION("GOOGLETRANSLATE(F4218,""en"",""pt"")"),"troles paciente poltrona")</f>
        <v>troles paciente poltrona</v>
      </c>
      <c r="J4218">
        <f>VLOOKUP(A4218,Pr_Base_LNEC!$A$4:$J$6971,6,FALSE)</f>
        <v>0</v>
      </c>
      <c r="K4218">
        <f>VLOOKUP(A4218,Pr_Base_LNEC!$A$4:$J$6971,7,FALSE)</f>
        <v>0</v>
      </c>
    </row>
    <row r="4219" spans="1:11" ht="14.5">
      <c r="A4219" s="20" t="s">
        <v>24575</v>
      </c>
      <c r="B4219" s="20">
        <v>40</v>
      </c>
      <c r="C4219" s="20">
        <v>50</v>
      </c>
      <c r="D4219" s="20">
        <v>53</v>
      </c>
      <c r="E4219" s="20">
        <v>6</v>
      </c>
      <c r="F4219" s="20" t="s">
        <v>24576</v>
      </c>
      <c r="G4219" s="24"/>
      <c r="H4219" s="24"/>
      <c r="I4219" s="24" t="str">
        <f ca="1">IFERROR(__xludf.DUMMYFUNCTION("GOOGLETRANSLATE(F4219,""en"",""pt"")"),"troles Bariátricos pacientes")</f>
        <v>troles Bariátricos pacientes</v>
      </c>
      <c r="J4219">
        <f>VLOOKUP(A4219,Pr_Base_LNEC!$A$4:$J$6971,6,FALSE)</f>
        <v>0</v>
      </c>
      <c r="K4219">
        <f>VLOOKUP(A4219,Pr_Base_LNEC!$A$4:$J$6971,7,FALSE)</f>
        <v>0</v>
      </c>
    </row>
    <row r="4220" spans="1:11" ht="14.5">
      <c r="A4220" s="20" t="s">
        <v>24577</v>
      </c>
      <c r="B4220" s="20">
        <v>40</v>
      </c>
      <c r="C4220" s="20">
        <v>50</v>
      </c>
      <c r="D4220" s="20">
        <v>53</v>
      </c>
      <c r="E4220" s="20">
        <v>24</v>
      </c>
      <c r="F4220" s="20" t="s">
        <v>24578</v>
      </c>
      <c r="G4220" s="24"/>
      <c r="H4220" s="24"/>
      <c r="I4220" s="24" t="str">
        <f ca="1">IFERROR(__xludf.DUMMYFUNCTION("GOOGLETRANSLATE(F4220,""en"",""pt"")"),"vestir trolleys")</f>
        <v>vestir trolleys</v>
      </c>
      <c r="J4220">
        <f>VLOOKUP(A4220,Pr_Base_LNEC!$A$4:$J$6971,6,FALSE)</f>
        <v>0</v>
      </c>
      <c r="K4220">
        <f>VLOOKUP(A4220,Pr_Base_LNEC!$A$4:$J$6971,7,FALSE)</f>
        <v>0</v>
      </c>
    </row>
    <row r="4221" spans="1:11" ht="14.5">
      <c r="A4221" s="20" t="s">
        <v>24579</v>
      </c>
      <c r="B4221" s="20">
        <v>40</v>
      </c>
      <c r="C4221" s="20">
        <v>50</v>
      </c>
      <c r="D4221" s="20">
        <v>53</v>
      </c>
      <c r="E4221" s="20">
        <v>27</v>
      </c>
      <c r="F4221" s="20" t="s">
        <v>24580</v>
      </c>
      <c r="G4221" s="24"/>
      <c r="H4221" s="24"/>
      <c r="I4221" s="24" t="str">
        <f ca="1">IFERROR(__xludf.DUMMYFUNCTION("GOOGLETRANSLATE(F4221,""en"",""pt"")"),"carrinhos de emergência")</f>
        <v>carrinhos de emergência</v>
      </c>
      <c r="J4221">
        <f>VLOOKUP(A4221,Pr_Base_LNEC!$A$4:$J$6971,6,FALSE)</f>
        <v>0</v>
      </c>
      <c r="K4221">
        <f>VLOOKUP(A4221,Pr_Base_LNEC!$A$4:$J$6971,7,FALSE)</f>
        <v>0</v>
      </c>
    </row>
    <row r="4222" spans="1:11" ht="14.5">
      <c r="A4222" s="20" t="s">
        <v>24581</v>
      </c>
      <c r="B4222" s="20">
        <v>40</v>
      </c>
      <c r="C4222" s="20">
        <v>50</v>
      </c>
      <c r="D4222" s="20">
        <v>53</v>
      </c>
      <c r="E4222" s="20">
        <v>33</v>
      </c>
      <c r="F4222" s="20" t="s">
        <v>24582</v>
      </c>
      <c r="G4222" s="24"/>
      <c r="H4222" s="24"/>
      <c r="I4222" s="24" t="str">
        <f ca="1">IFERROR(__xludf.DUMMYFUNCTION("GOOGLETRANSLATE(F4222,""en"",""pt"")"),"carrinhos médicos de uso geral")</f>
        <v>carrinhos médicos de uso geral</v>
      </c>
      <c r="J4222">
        <f>VLOOKUP(A4222,Pr_Base_LNEC!$A$4:$J$6971,6,FALSE)</f>
        <v>0</v>
      </c>
      <c r="K4222">
        <f>VLOOKUP(A4222,Pr_Base_LNEC!$A$4:$J$6971,7,FALSE)</f>
        <v>0</v>
      </c>
    </row>
    <row r="4223" spans="1:11" ht="14.5">
      <c r="A4223" s="20" t="s">
        <v>24583</v>
      </c>
      <c r="B4223" s="20">
        <v>40</v>
      </c>
      <c r="C4223" s="20">
        <v>50</v>
      </c>
      <c r="D4223" s="20">
        <v>53</v>
      </c>
      <c r="E4223" s="20">
        <v>41</v>
      </c>
      <c r="F4223" s="20" t="s">
        <v>24584</v>
      </c>
      <c r="G4223" s="24"/>
      <c r="H4223" s="24"/>
      <c r="I4223" s="24" t="str">
        <f ca="1">IFERROR(__xludf.DUMMYFUNCTION("GOOGLETRANSLATE(F4223,""en"",""pt"")"),"instrumentos trolleys")</f>
        <v>instrumentos trolleys</v>
      </c>
      <c r="J4223">
        <f>VLOOKUP(A4223,Pr_Base_LNEC!$A$4:$J$6971,6,FALSE)</f>
        <v>0</v>
      </c>
      <c r="K4223">
        <f>VLOOKUP(A4223,Pr_Base_LNEC!$A$4:$J$6971,7,FALSE)</f>
        <v>0</v>
      </c>
    </row>
    <row r="4224" spans="1:11" ht="14.5">
      <c r="A4224" s="20" t="s">
        <v>24585</v>
      </c>
      <c r="B4224" s="20">
        <v>40</v>
      </c>
      <c r="C4224" s="20">
        <v>50</v>
      </c>
      <c r="D4224" s="20">
        <v>53</v>
      </c>
      <c r="E4224" s="20">
        <v>48</v>
      </c>
      <c r="F4224" s="20" t="s">
        <v>24586</v>
      </c>
      <c r="G4224" s="24"/>
      <c r="H4224" s="24"/>
      <c r="I4224" s="24" t="str">
        <f ca="1">IFERROR(__xludf.DUMMYFUNCTION("GOOGLETRANSLATE(F4224,""en"",""pt"")"),"carrinhos hospitalares bloqueáveis")</f>
        <v>carrinhos hospitalares bloqueáveis</v>
      </c>
      <c r="J4224">
        <f>VLOOKUP(A4224,Pr_Base_LNEC!$A$4:$J$6971,6,FALSE)</f>
        <v>0</v>
      </c>
      <c r="K4224">
        <f>VLOOKUP(A4224,Pr_Base_LNEC!$A$4:$J$6971,7,FALSE)</f>
        <v>0</v>
      </c>
    </row>
    <row r="4225" spans="1:11" ht="14.5">
      <c r="A4225" s="20" t="s">
        <v>24587</v>
      </c>
      <c r="B4225" s="20">
        <v>40</v>
      </c>
      <c r="C4225" s="20">
        <v>50</v>
      </c>
      <c r="D4225" s="20">
        <v>53</v>
      </c>
      <c r="E4225" s="20">
        <v>51</v>
      </c>
      <c r="F4225" s="20" t="s">
        <v>24588</v>
      </c>
      <c r="G4225" s="24"/>
      <c r="H4225" s="24"/>
      <c r="I4225" s="24" t="str">
        <f ca="1">IFERROR(__xludf.DUMMYFUNCTION("GOOGLETRANSLATE(F4225,""en"",""pt"")"),"carrinhos de serviços médicos")</f>
        <v>carrinhos de serviços médicos</v>
      </c>
      <c r="J4225">
        <f>VLOOKUP(A4225,Pr_Base_LNEC!$A$4:$J$6971,6,FALSE)</f>
        <v>0</v>
      </c>
      <c r="K4225">
        <f>VLOOKUP(A4225,Pr_Base_LNEC!$A$4:$J$6971,7,FALSE)</f>
        <v>0</v>
      </c>
    </row>
    <row r="4226" spans="1:11" ht="14.5">
      <c r="A4226" s="20" t="s">
        <v>24589</v>
      </c>
      <c r="B4226" s="20">
        <v>40</v>
      </c>
      <c r="C4226" s="20">
        <v>50</v>
      </c>
      <c r="D4226" s="20">
        <v>53</v>
      </c>
      <c r="E4226" s="20">
        <v>60</v>
      </c>
      <c r="F4226" s="20" t="s">
        <v>24590</v>
      </c>
      <c r="G4226" s="24"/>
      <c r="H4226" s="24"/>
      <c r="I4226" s="24" t="str">
        <f ca="1">IFERROR(__xludf.DUMMYFUNCTION("GOOGLETRANSLATE(F4226,""en"",""pt"")"),"notas pacientes carrinhos")</f>
        <v>notas pacientes carrinhos</v>
      </c>
      <c r="J4226">
        <f>VLOOKUP(A4226,Pr_Base_LNEC!$A$4:$J$6971,6,FALSE)</f>
        <v>0</v>
      </c>
      <c r="K4226">
        <f>VLOOKUP(A4226,Pr_Base_LNEC!$A$4:$J$6971,7,FALSE)</f>
        <v>0</v>
      </c>
    </row>
    <row r="4227" spans="1:11" ht="14.5">
      <c r="A4227" s="20" t="s">
        <v>24591</v>
      </c>
      <c r="B4227" s="20">
        <v>40</v>
      </c>
      <c r="C4227" s="20">
        <v>50</v>
      </c>
      <c r="D4227" s="20">
        <v>53</v>
      </c>
      <c r="E4227" s="20">
        <v>61</v>
      </c>
      <c r="F4227" s="20" t="s">
        <v>24592</v>
      </c>
      <c r="G4227" s="24"/>
      <c r="H4227" s="24"/>
      <c r="I4227" s="24" t="str">
        <f ca="1">IFERROR(__xludf.DUMMYFUNCTION("GOOGLETRANSLATE(F4227,""en"",""pt"")"),"carrinhos de pacientes")</f>
        <v>carrinhos de pacientes</v>
      </c>
      <c r="J4227">
        <f>VLOOKUP(A4227,Pr_Base_LNEC!$A$4:$J$6971,6,FALSE)</f>
        <v>0</v>
      </c>
      <c r="K4227">
        <f>VLOOKUP(A4227,Pr_Base_LNEC!$A$4:$J$6971,7,FALSE)</f>
        <v>0</v>
      </c>
    </row>
    <row r="4228" spans="1:11" ht="14.5">
      <c r="A4228" s="20" t="s">
        <v>24593</v>
      </c>
      <c r="B4228" s="20">
        <v>40</v>
      </c>
      <c r="C4228" s="20">
        <v>50</v>
      </c>
      <c r="D4228" s="20">
        <v>53</v>
      </c>
      <c r="E4228" s="20">
        <v>62</v>
      </c>
      <c r="F4228" s="20" t="s">
        <v>24594</v>
      </c>
      <c r="G4228" s="24"/>
      <c r="H4228" s="24"/>
      <c r="I4228" s="24" t="str">
        <f ca="1">IFERROR(__xludf.DUMMYFUNCTION("GOOGLETRANSLATE(F4228,""en"",""pt"")"),"carrinhos de flebotomia")</f>
        <v>carrinhos de flebotomia</v>
      </c>
      <c r="J4228">
        <f>VLOOKUP(A4228,Pr_Base_LNEC!$A$4:$J$6971,6,FALSE)</f>
        <v>0</v>
      </c>
      <c r="K4228">
        <f>VLOOKUP(A4228,Pr_Base_LNEC!$A$4:$J$6971,7,FALSE)</f>
        <v>0</v>
      </c>
    </row>
    <row r="4229" spans="1:11" ht="14.5">
      <c r="A4229" s="20" t="s">
        <v>24595</v>
      </c>
      <c r="B4229" s="20">
        <v>40</v>
      </c>
      <c r="C4229" s="20">
        <v>50</v>
      </c>
      <c r="D4229" s="20">
        <v>53</v>
      </c>
      <c r="E4229" s="20">
        <v>66</v>
      </c>
      <c r="F4229" s="20" t="s">
        <v>24596</v>
      </c>
      <c r="G4229" s="24"/>
      <c r="H4229" s="24"/>
      <c r="I4229" s="24" t="str">
        <f ca="1">IFERROR(__xludf.DUMMYFUNCTION("GOOGLETRANSLATE(F4229,""en"",""pt"")"),"carrinhos de procedimento")</f>
        <v>carrinhos de procedimento</v>
      </c>
      <c r="J4229">
        <f>VLOOKUP(A4229,Pr_Base_LNEC!$A$4:$J$6971,6,FALSE)</f>
        <v>0</v>
      </c>
      <c r="K4229">
        <f>VLOOKUP(A4229,Pr_Base_LNEC!$A$4:$J$6971,7,FALSE)</f>
        <v>0</v>
      </c>
    </row>
    <row r="4230" spans="1:11" ht="14.5">
      <c r="A4230" s="20" t="s">
        <v>24597</v>
      </c>
      <c r="B4230" s="20">
        <v>40</v>
      </c>
      <c r="C4230" s="20">
        <v>50</v>
      </c>
      <c r="D4230" s="20">
        <v>53</v>
      </c>
      <c r="E4230" s="20">
        <v>81</v>
      </c>
      <c r="F4230" s="20" t="s">
        <v>24598</v>
      </c>
      <c r="G4230" s="24"/>
      <c r="H4230" s="24"/>
      <c r="I4230" s="24" t="str">
        <f ca="1">IFERROR(__xludf.DUMMYFUNCTION("GOOGLETRANSLATE(F4230,""en"",""pt"")"),"carrinhos de roupa suja")</f>
        <v>carrinhos de roupa suja</v>
      </c>
      <c r="J4230">
        <f>VLOOKUP(A4230,Pr_Base_LNEC!$A$4:$J$6971,6,FALSE)</f>
        <v>0</v>
      </c>
      <c r="K4230">
        <f>VLOOKUP(A4230,Pr_Base_LNEC!$A$4:$J$6971,7,FALSE)</f>
        <v>0</v>
      </c>
    </row>
    <row r="4231" spans="1:11" ht="14.5">
      <c r="A4231" s="20" t="s">
        <v>24599</v>
      </c>
      <c r="B4231" s="20">
        <v>40</v>
      </c>
      <c r="C4231" s="20">
        <v>50</v>
      </c>
      <c r="D4231" s="20">
        <v>81</v>
      </c>
      <c r="E4231" s="24"/>
      <c r="F4231" s="20" t="s">
        <v>24600</v>
      </c>
      <c r="G4231" s="24"/>
      <c r="H4231" s="24"/>
      <c r="I4231" s="24" t="str">
        <f ca="1">IFERROR(__xludf.DUMMYFUNCTION("GOOGLETRANSLATE(F4231,""en"",""pt"")"),"Mobiliário")</f>
        <v>Mobiliário</v>
      </c>
      <c r="J4231">
        <f>VLOOKUP(A4231,Pr_Base_LNEC!$A$4:$J$6971,6,FALSE)</f>
        <v>0</v>
      </c>
      <c r="K4231">
        <f>VLOOKUP(A4231,Pr_Base_LNEC!$A$4:$J$6971,7,FALSE)</f>
        <v>0</v>
      </c>
    </row>
    <row r="4232" spans="1:11" ht="14.5">
      <c r="A4232" s="20" t="s">
        <v>24601</v>
      </c>
      <c r="B4232" s="20">
        <v>40</v>
      </c>
      <c r="C4232" s="20">
        <v>50</v>
      </c>
      <c r="D4232" s="20">
        <v>81</v>
      </c>
      <c r="E4232" s="20">
        <v>6</v>
      </c>
      <c r="F4232" s="20" t="s">
        <v>24602</v>
      </c>
      <c r="G4232" s="24"/>
      <c r="H4232" s="24"/>
      <c r="I4232" s="24" t="str">
        <f ca="1">IFERROR(__xludf.DUMMYFUNCTION("GOOGLETRANSLATE(F4232,""en"",""pt"")"),"pufes")</f>
        <v>pufes</v>
      </c>
      <c r="J4232">
        <f>VLOOKUP(A4232,Pr_Base_LNEC!$A$4:$J$6971,6,FALSE)</f>
        <v>0</v>
      </c>
      <c r="K4232">
        <f>VLOOKUP(A4232,Pr_Base_LNEC!$A$4:$J$6971,7,FALSE)</f>
        <v>0</v>
      </c>
    </row>
    <row r="4233" spans="1:11" ht="14.5">
      <c r="A4233" s="20" t="s">
        <v>24603</v>
      </c>
      <c r="B4233" s="20">
        <v>40</v>
      </c>
      <c r="C4233" s="20">
        <v>50</v>
      </c>
      <c r="D4233" s="20">
        <v>81</v>
      </c>
      <c r="E4233" s="20">
        <v>7</v>
      </c>
      <c r="F4233" s="20" t="s">
        <v>24604</v>
      </c>
      <c r="G4233" s="24"/>
      <c r="H4233" s="24"/>
      <c r="I4233" s="24" t="str">
        <f ca="1">IFERROR(__xludf.DUMMYFUNCTION("GOOGLETRANSLATE(F4233,""en"",""pt"")"),"cobertores")</f>
        <v>cobertores</v>
      </c>
      <c r="J4233">
        <f>VLOOKUP(A4233,Pr_Base_LNEC!$A$4:$J$6971,6,FALSE)</f>
        <v>0</v>
      </c>
      <c r="K4233">
        <f>VLOOKUP(A4233,Pr_Base_LNEC!$A$4:$J$6971,7,FALSE)</f>
        <v>0</v>
      </c>
    </row>
    <row r="4234" spans="1:11" ht="14.5">
      <c r="A4234" s="20" t="s">
        <v>24605</v>
      </c>
      <c r="B4234" s="20">
        <v>40</v>
      </c>
      <c r="C4234" s="20">
        <v>50</v>
      </c>
      <c r="D4234" s="20">
        <v>81</v>
      </c>
      <c r="E4234" s="20">
        <v>20</v>
      </c>
      <c r="F4234" s="20" t="s">
        <v>24606</v>
      </c>
      <c r="G4234" s="24"/>
      <c r="H4234" s="24"/>
      <c r="I4234" s="24" t="str">
        <f ca="1">IFERROR(__xludf.DUMMYFUNCTION("GOOGLETRANSLATE(F4234,""en"",""pt"")"),"almofadas")</f>
        <v>almofadas</v>
      </c>
      <c r="J4234">
        <f>VLOOKUP(A4234,Pr_Base_LNEC!$A$4:$J$6971,6,FALSE)</f>
        <v>0</v>
      </c>
      <c r="K4234">
        <f>VLOOKUP(A4234,Pr_Base_LNEC!$A$4:$J$6971,7,FALSE)</f>
        <v>0</v>
      </c>
    </row>
    <row r="4235" spans="1:11" ht="14.5">
      <c r="A4235" s="20" t="s">
        <v>24607</v>
      </c>
      <c r="B4235" s="20">
        <v>40</v>
      </c>
      <c r="C4235" s="20">
        <v>50</v>
      </c>
      <c r="D4235" s="20">
        <v>81</v>
      </c>
      <c r="E4235" s="20">
        <v>25</v>
      </c>
      <c r="F4235" s="20" t="s">
        <v>24608</v>
      </c>
      <c r="G4235" s="24"/>
      <c r="H4235" s="24"/>
      <c r="I4235" s="24" t="str">
        <f ca="1">IFERROR(__xludf.DUMMYFUNCTION("GOOGLETRANSLATE(F4235,""en"",""pt"")"),"edredons")</f>
        <v>edredons</v>
      </c>
      <c r="J4235">
        <f>VLOOKUP(A4235,Pr_Base_LNEC!$A$4:$J$6971,6,FALSE)</f>
        <v>0</v>
      </c>
      <c r="K4235">
        <f>VLOOKUP(A4235,Pr_Base_LNEC!$A$4:$J$6971,7,FALSE)</f>
        <v>0</v>
      </c>
    </row>
    <row r="4236" spans="1:11" ht="14.5">
      <c r="A4236" s="20" t="s">
        <v>24609</v>
      </c>
      <c r="B4236" s="20">
        <v>40</v>
      </c>
      <c r="C4236" s="20">
        <v>50</v>
      </c>
      <c r="D4236" s="20">
        <v>81</v>
      </c>
      <c r="E4236" s="20">
        <v>29</v>
      </c>
      <c r="F4236" s="20" t="s">
        <v>24610</v>
      </c>
      <c r="G4236" s="24"/>
      <c r="H4236" s="24"/>
      <c r="I4236" s="24" t="str">
        <f ca="1">IFERROR(__xludf.DUMMYFUNCTION("GOOGLETRANSLATE(F4236,""en"",""pt"")"),"flanelas")</f>
        <v>flanelas</v>
      </c>
      <c r="J4236">
        <f>VLOOKUP(A4236,Pr_Base_LNEC!$A$4:$J$6971,6,FALSE)</f>
        <v>0</v>
      </c>
      <c r="K4236">
        <f>VLOOKUP(A4236,Pr_Base_LNEC!$A$4:$J$6971,7,FALSE)</f>
        <v>0</v>
      </c>
    </row>
    <row r="4237" spans="1:11" ht="14.5">
      <c r="A4237" s="20" t="s">
        <v>24611</v>
      </c>
      <c r="B4237" s="20">
        <v>40</v>
      </c>
      <c r="C4237" s="20">
        <v>50</v>
      </c>
      <c r="D4237" s="20">
        <v>81</v>
      </c>
      <c r="E4237" s="20">
        <v>56</v>
      </c>
      <c r="F4237" s="20" t="s">
        <v>24612</v>
      </c>
      <c r="G4237" s="24"/>
      <c r="H4237" s="24"/>
      <c r="I4237" s="24" t="str">
        <f ca="1">IFERROR(__xludf.DUMMYFUNCTION("GOOGLETRANSLATE(F4237,""en"",""pt"")"),"Guardanapos")</f>
        <v>Guardanapos</v>
      </c>
      <c r="J4237">
        <f>VLOOKUP(A4237,Pr_Base_LNEC!$A$4:$J$6971,6,FALSE)</f>
        <v>0</v>
      </c>
      <c r="K4237">
        <f>VLOOKUP(A4237,Pr_Base_LNEC!$A$4:$J$6971,7,FALSE)</f>
        <v>0</v>
      </c>
    </row>
    <row r="4238" spans="1:11" ht="14.5">
      <c r="A4238" s="20" t="s">
        <v>24613</v>
      </c>
      <c r="B4238" s="20">
        <v>40</v>
      </c>
      <c r="C4238" s="20">
        <v>50</v>
      </c>
      <c r="D4238" s="20">
        <v>81</v>
      </c>
      <c r="E4238" s="20">
        <v>62</v>
      </c>
      <c r="F4238" s="20" t="s">
        <v>24614</v>
      </c>
      <c r="G4238" s="24"/>
      <c r="H4238" s="24"/>
      <c r="I4238" s="24" t="str">
        <f ca="1">IFERROR(__xludf.DUMMYFUNCTION("GOOGLETRANSLATE(F4238,""en"",""pt"")"),"almofadas")</f>
        <v>almofadas</v>
      </c>
      <c r="J4238">
        <f>VLOOKUP(A4238,Pr_Base_LNEC!$A$4:$J$6971,6,FALSE)</f>
        <v>0</v>
      </c>
      <c r="K4238">
        <f>VLOOKUP(A4238,Pr_Base_LNEC!$A$4:$J$6971,7,FALSE)</f>
        <v>0</v>
      </c>
    </row>
    <row r="4239" spans="1:11" ht="14.5">
      <c r="A4239" s="20" t="s">
        <v>24615</v>
      </c>
      <c r="B4239" s="20">
        <v>40</v>
      </c>
      <c r="C4239" s="20">
        <v>50</v>
      </c>
      <c r="D4239" s="20">
        <v>81</v>
      </c>
      <c r="E4239" s="20">
        <v>63</v>
      </c>
      <c r="F4239" s="20" t="s">
        <v>24616</v>
      </c>
      <c r="G4239" s="24"/>
      <c r="H4239" s="24"/>
      <c r="I4239" s="24" t="str">
        <f ca="1">IFERROR(__xludf.DUMMYFUNCTION("GOOGLETRANSLATE(F4239,""en"",""pt"")"),"placemats")</f>
        <v>placemats</v>
      </c>
      <c r="J4239">
        <f>VLOOKUP(A4239,Pr_Base_LNEC!$A$4:$J$6971,6,FALSE)</f>
        <v>0</v>
      </c>
      <c r="K4239">
        <f>VLOOKUP(A4239,Pr_Base_LNEC!$A$4:$J$6971,7,FALSE)</f>
        <v>0</v>
      </c>
    </row>
    <row r="4240" spans="1:11" ht="14.5">
      <c r="A4240" s="20" t="s">
        <v>24617</v>
      </c>
      <c r="B4240" s="20">
        <v>40</v>
      </c>
      <c r="C4240" s="20">
        <v>50</v>
      </c>
      <c r="D4240" s="20">
        <v>81</v>
      </c>
      <c r="E4240" s="20">
        <v>73</v>
      </c>
      <c r="F4240" s="20" t="s">
        <v>24618</v>
      </c>
      <c r="G4240" s="24"/>
      <c r="H4240" s="24"/>
      <c r="I4240" s="24" t="str">
        <f ca="1">IFERROR(__xludf.DUMMYFUNCTION("GOOGLETRANSLATE(F4240,""en"",""pt"")"),"tapetes")</f>
        <v>tapetes</v>
      </c>
      <c r="J4240">
        <f>VLOOKUP(A4240,Pr_Base_LNEC!$A$4:$J$6971,6,FALSE)</f>
        <v>0</v>
      </c>
      <c r="K4240">
        <f>VLOOKUP(A4240,Pr_Base_LNEC!$A$4:$J$6971,7,FALSE)</f>
        <v>0</v>
      </c>
    </row>
    <row r="4241" spans="1:11" ht="14.5">
      <c r="A4241" s="20" t="s">
        <v>24619</v>
      </c>
      <c r="B4241" s="20">
        <v>40</v>
      </c>
      <c r="C4241" s="20">
        <v>50</v>
      </c>
      <c r="D4241" s="20">
        <v>81</v>
      </c>
      <c r="E4241" s="20">
        <v>74</v>
      </c>
      <c r="F4241" s="20" t="s">
        <v>24620</v>
      </c>
      <c r="G4241" s="24"/>
      <c r="H4241" s="24"/>
      <c r="I4241" s="24" t="str">
        <f ca="1">IFERROR(__xludf.DUMMYFUNCTION("GOOGLETRANSLATE(F4241,""en"",""pt"")"),"Runners")</f>
        <v>Runners</v>
      </c>
      <c r="J4241">
        <f>VLOOKUP(A4241,Pr_Base_LNEC!$A$4:$J$6971,6,FALSE)</f>
        <v>0</v>
      </c>
      <c r="K4241">
        <f>VLOOKUP(A4241,Pr_Base_LNEC!$A$4:$J$6971,7,FALSE)</f>
        <v>0</v>
      </c>
    </row>
    <row r="4242" spans="1:11" ht="14.5">
      <c r="A4242" s="20" t="s">
        <v>24621</v>
      </c>
      <c r="B4242" s="20">
        <v>40</v>
      </c>
      <c r="C4242" s="20">
        <v>50</v>
      </c>
      <c r="D4242" s="20">
        <v>81</v>
      </c>
      <c r="E4242" s="20">
        <v>77</v>
      </c>
      <c r="F4242" s="20" t="s">
        <v>24622</v>
      </c>
      <c r="G4242" s="24"/>
      <c r="H4242" s="24"/>
      <c r="I4242" s="24" t="str">
        <f ca="1">IFERROR(__xludf.DUMMYFUNCTION("GOOGLETRANSLATE(F4242,""en"",""pt"")"),"Folhas")</f>
        <v>Folhas</v>
      </c>
      <c r="J4242">
        <f>VLOOKUP(A4242,Pr_Base_LNEC!$A$4:$J$6971,6,FALSE)</f>
        <v>0</v>
      </c>
      <c r="K4242">
        <f>VLOOKUP(A4242,Pr_Base_LNEC!$A$4:$J$6971,7,FALSE)</f>
        <v>0</v>
      </c>
    </row>
    <row r="4243" spans="1:11" ht="14.5">
      <c r="A4243" s="20" t="s">
        <v>24623</v>
      </c>
      <c r="B4243" s="20">
        <v>40</v>
      </c>
      <c r="C4243" s="20">
        <v>50</v>
      </c>
      <c r="D4243" s="20">
        <v>81</v>
      </c>
      <c r="E4243" s="20">
        <v>86</v>
      </c>
      <c r="F4243" s="20" t="s">
        <v>24624</v>
      </c>
      <c r="G4243" s="24"/>
      <c r="H4243" s="24"/>
      <c r="I4243" s="24" t="str">
        <f ca="1">IFERROR(__xludf.DUMMYFUNCTION("GOOGLETRANSLATE(F4243,""en"",""pt"")"),"swags")</f>
        <v>swags</v>
      </c>
      <c r="J4243">
        <f>VLOOKUP(A4243,Pr_Base_LNEC!$A$4:$J$6971,6,FALSE)</f>
        <v>0</v>
      </c>
      <c r="K4243">
        <f>VLOOKUP(A4243,Pr_Base_LNEC!$A$4:$J$6971,7,FALSE)</f>
        <v>0</v>
      </c>
    </row>
    <row r="4244" spans="1:11" ht="14.5">
      <c r="A4244" s="20" t="s">
        <v>24625</v>
      </c>
      <c r="B4244" s="20">
        <v>40</v>
      </c>
      <c r="C4244" s="20">
        <v>50</v>
      </c>
      <c r="D4244" s="20">
        <v>81</v>
      </c>
      <c r="E4244" s="20">
        <v>87</v>
      </c>
      <c r="F4244" s="20" t="s">
        <v>24626</v>
      </c>
      <c r="G4244" s="24"/>
      <c r="H4244" s="24"/>
      <c r="I4244" s="24" t="str">
        <f ca="1">IFERROR(__xludf.DUMMYFUNCTION("GOOGLETRANSLATE(F4244,""en"",""pt"")"),"toalhas de mesa")</f>
        <v>toalhas de mesa</v>
      </c>
      <c r="J4244">
        <f>VLOOKUP(A4244,Pr_Base_LNEC!$A$4:$J$6971,6,FALSE)</f>
        <v>0</v>
      </c>
      <c r="K4244">
        <f>VLOOKUP(A4244,Pr_Base_LNEC!$A$4:$J$6971,7,FALSE)</f>
        <v>0</v>
      </c>
    </row>
    <row r="4245" spans="1:11" ht="14.5">
      <c r="A4245" s="20" t="s">
        <v>24627</v>
      </c>
      <c r="B4245" s="20">
        <v>40</v>
      </c>
      <c r="C4245" s="20">
        <v>50</v>
      </c>
      <c r="D4245" s="20">
        <v>81</v>
      </c>
      <c r="E4245" s="20">
        <v>90</v>
      </c>
      <c r="F4245" s="20" t="s">
        <v>24628</v>
      </c>
      <c r="G4245" s="24"/>
      <c r="H4245" s="24"/>
      <c r="I4245" s="24" t="str">
        <f ca="1">IFERROR(__xludf.DUMMYFUNCTION("GOOGLETRANSLATE(F4245,""en"",""pt"")"),"toalhas")</f>
        <v>toalhas</v>
      </c>
      <c r="J4245">
        <f>VLOOKUP(A4245,Pr_Base_LNEC!$A$4:$J$6971,6,FALSE)</f>
        <v>0</v>
      </c>
      <c r="K4245">
        <f>VLOOKUP(A4245,Pr_Base_LNEC!$A$4:$J$6971,7,FALSE)</f>
        <v>0</v>
      </c>
    </row>
    <row r="4246" spans="1:11" ht="14.5">
      <c r="A4246" s="20" t="s">
        <v>24629</v>
      </c>
      <c r="B4246" s="20">
        <v>40</v>
      </c>
      <c r="C4246" s="20">
        <v>50</v>
      </c>
      <c r="D4246" s="20">
        <v>81</v>
      </c>
      <c r="E4246" s="20">
        <v>91</v>
      </c>
      <c r="F4246" s="20" t="s">
        <v>24630</v>
      </c>
      <c r="G4246" s="24"/>
      <c r="H4246" s="24"/>
      <c r="I4246" s="24" t="str">
        <f ca="1">IFERROR(__xludf.DUMMYFUNCTION("GOOGLETRANSLATE(F4246,""en"",""pt"")"),"guarnições")</f>
        <v>guarnições</v>
      </c>
      <c r="J4246">
        <f>VLOOKUP(A4246,Pr_Base_LNEC!$A$4:$J$6971,6,FALSE)</f>
        <v>0</v>
      </c>
      <c r="K4246">
        <f>VLOOKUP(A4246,Pr_Base_LNEC!$A$4:$J$6971,7,FALSE)</f>
        <v>0</v>
      </c>
    </row>
    <row r="4247" spans="1:11" ht="14.5">
      <c r="A4247" s="20" t="s">
        <v>24631</v>
      </c>
      <c r="B4247" s="20">
        <v>40</v>
      </c>
      <c r="C4247" s="20">
        <v>50</v>
      </c>
      <c r="D4247" s="20">
        <v>81</v>
      </c>
      <c r="E4247" s="20">
        <v>94</v>
      </c>
      <c r="F4247" s="20" t="s">
        <v>24632</v>
      </c>
      <c r="G4247" s="24"/>
      <c r="H4247" s="24"/>
      <c r="I4247" s="24" t="str">
        <f ca="1">IFERROR(__xludf.DUMMYFUNCTION("GOOGLETRANSLATE(F4247,""en"",""pt"")"),"sanefas")</f>
        <v>sanefas</v>
      </c>
      <c r="J4247">
        <f>VLOOKUP(A4247,Pr_Base_LNEC!$A$4:$J$6971,6,FALSE)</f>
        <v>0</v>
      </c>
      <c r="K4247">
        <f>VLOOKUP(A4247,Pr_Base_LNEC!$A$4:$J$6971,7,FALSE)</f>
        <v>0</v>
      </c>
    </row>
    <row r="4248" spans="1:11" ht="14.5">
      <c r="A4248" s="20" t="s">
        <v>24633</v>
      </c>
      <c r="B4248" s="20">
        <v>40</v>
      </c>
      <c r="C4248" s="20">
        <v>50</v>
      </c>
      <c r="D4248" s="20">
        <v>83</v>
      </c>
      <c r="E4248" s="24"/>
      <c r="F4248" s="20" t="s">
        <v>24634</v>
      </c>
      <c r="G4248" s="24"/>
      <c r="H4248" s="24"/>
      <c r="I4248" s="24" t="str">
        <f ca="1">IFERROR(__xludf.DUMMYFUNCTION("GOOGLETRANSLATE(F4248,""en"",""pt"")"),"mobiliário Esportes")</f>
        <v>mobiliário Esportes</v>
      </c>
      <c r="J4248">
        <f>VLOOKUP(A4248,Pr_Base_LNEC!$A$4:$J$6971,6,FALSE)</f>
        <v>0</v>
      </c>
      <c r="K4248">
        <f>VLOOKUP(A4248,Pr_Base_LNEC!$A$4:$J$6971,7,FALSE)</f>
        <v>0</v>
      </c>
    </row>
    <row r="4249" spans="1:11" ht="14.5">
      <c r="A4249" s="20" t="s">
        <v>24635</v>
      </c>
      <c r="B4249" s="20">
        <v>40</v>
      </c>
      <c r="C4249" s="20">
        <v>50</v>
      </c>
      <c r="D4249" s="20">
        <v>83</v>
      </c>
      <c r="E4249" s="20">
        <v>6</v>
      </c>
      <c r="F4249" s="20" t="s">
        <v>24636</v>
      </c>
      <c r="G4249" s="20" t="s">
        <v>24637</v>
      </c>
      <c r="H4249" s="24"/>
      <c r="I4249" s="24" t="str">
        <f ca="1">IFERROR(__xludf.DUMMYFUNCTION("GOOGLETRANSLATE(F4249,""en"",""pt"")"),"equipamento de equilíbrio")</f>
        <v>equipamento de equilíbrio</v>
      </c>
      <c r="J4249">
        <f>VLOOKUP(A4249,Pr_Base_LNEC!$A$4:$J$6971,6,FALSE)</f>
        <v>0</v>
      </c>
      <c r="K4249">
        <f>VLOOKUP(A4249,Pr_Base_LNEC!$A$4:$J$6971,7,FALSE)</f>
        <v>0</v>
      </c>
    </row>
    <row r="4250" spans="1:11" ht="14.5">
      <c r="A4250" s="20" t="s">
        <v>24638</v>
      </c>
      <c r="B4250" s="20">
        <v>40</v>
      </c>
      <c r="C4250" s="20">
        <v>50</v>
      </c>
      <c r="D4250" s="20">
        <v>83</v>
      </c>
      <c r="E4250" s="20">
        <v>19</v>
      </c>
      <c r="F4250" s="20" t="s">
        <v>24639</v>
      </c>
      <c r="G4250" s="20" t="s">
        <v>24640</v>
      </c>
      <c r="H4250" s="24"/>
      <c r="I4250" s="24" t="str">
        <f ca="1">IFERROR(__xludf.DUMMYFUNCTION("GOOGLETRANSLATE(F4250,""en"",""pt"")"),"caixas coto Wicket do grilo")</f>
        <v>caixas coto Wicket do grilo</v>
      </c>
      <c r="J4250">
        <f>VLOOKUP(A4250,Pr_Base_LNEC!$A$4:$J$6971,6,FALSE)</f>
        <v>0</v>
      </c>
      <c r="K4250">
        <f>VLOOKUP(A4250,Pr_Base_LNEC!$A$4:$J$6971,7,FALSE)</f>
        <v>0</v>
      </c>
    </row>
    <row r="4251" spans="1:11" ht="14.5">
      <c r="A4251" s="20" t="s">
        <v>24641</v>
      </c>
      <c r="B4251" s="20">
        <v>40</v>
      </c>
      <c r="C4251" s="20">
        <v>50</v>
      </c>
      <c r="D4251" s="20">
        <v>83</v>
      </c>
      <c r="E4251" s="20">
        <v>20</v>
      </c>
      <c r="F4251" s="20" t="s">
        <v>24642</v>
      </c>
      <c r="G4251" s="20" t="s">
        <v>24643</v>
      </c>
      <c r="H4251" s="24"/>
      <c r="I4251" s="24" t="str">
        <f ca="1">IFERROR(__xludf.DUMMYFUNCTION("GOOGLETRANSLATE(F4251,""en"",""pt"")"),"rampas de ciclo")</f>
        <v>rampas de ciclo</v>
      </c>
      <c r="J4251">
        <f>VLOOKUP(A4251,Pr_Base_LNEC!$A$4:$J$6971,6,FALSE)</f>
        <v>0</v>
      </c>
      <c r="K4251">
        <f>VLOOKUP(A4251,Pr_Base_LNEC!$A$4:$J$6971,7,FALSE)</f>
        <v>0</v>
      </c>
    </row>
    <row r="4252" spans="1:11" ht="14.5">
      <c r="A4252" s="20" t="s">
        <v>24644</v>
      </c>
      <c r="B4252" s="20">
        <v>40</v>
      </c>
      <c r="C4252" s="20">
        <v>50</v>
      </c>
      <c r="D4252" s="20">
        <v>83</v>
      </c>
      <c r="E4252" s="20">
        <v>28</v>
      </c>
      <c r="F4252" s="20" t="s">
        <v>24645</v>
      </c>
      <c r="G4252" s="20" t="s">
        <v>24646</v>
      </c>
      <c r="H4252" s="24"/>
      <c r="I4252" s="24" t="str">
        <f ca="1">IFERROR(__xludf.DUMMYFUNCTION("GOOGLETRANSLATE(F4252,""en"",""pt"")"),"equipamento de equitação equestre")</f>
        <v>equipamento de equitação equestre</v>
      </c>
      <c r="J4252">
        <f>VLOOKUP(A4252,Pr_Base_LNEC!$A$4:$J$6971,6,FALSE)</f>
        <v>0</v>
      </c>
      <c r="K4252">
        <f>VLOOKUP(A4252,Pr_Base_LNEC!$A$4:$J$6971,7,FALSE)</f>
        <v>0</v>
      </c>
    </row>
    <row r="4253" spans="1:11" ht="14.5">
      <c r="A4253" s="20" t="s">
        <v>24647</v>
      </c>
      <c r="B4253" s="20">
        <v>40</v>
      </c>
      <c r="C4253" s="20">
        <v>50</v>
      </c>
      <c r="D4253" s="20">
        <v>83</v>
      </c>
      <c r="E4253" s="20">
        <v>29</v>
      </c>
      <c r="F4253" s="20" t="s">
        <v>24648</v>
      </c>
      <c r="G4253" s="24"/>
      <c r="H4253" s="24"/>
      <c r="I4253" s="24" t="str">
        <f ca="1">IFERROR(__xludf.DUMMYFUNCTION("GOOGLETRANSLATE(F4253,""en"",""pt"")"),"pistas de esgrima")</f>
        <v>pistas de esgrima</v>
      </c>
      <c r="J4253">
        <f>VLOOKUP(A4253,Pr_Base_LNEC!$A$4:$J$6971,6,FALSE)</f>
        <v>0</v>
      </c>
      <c r="K4253">
        <f>VLOOKUP(A4253,Pr_Base_LNEC!$A$4:$J$6971,7,FALSE)</f>
        <v>0</v>
      </c>
    </row>
    <row r="4254" spans="1:11" ht="14.5">
      <c r="A4254" s="20" t="s">
        <v>24649</v>
      </c>
      <c r="B4254" s="20">
        <v>40</v>
      </c>
      <c r="C4254" s="20">
        <v>50</v>
      </c>
      <c r="D4254" s="20">
        <v>83</v>
      </c>
      <c r="E4254" s="20">
        <v>44</v>
      </c>
      <c r="F4254" s="20" t="s">
        <v>24650</v>
      </c>
      <c r="G4254" s="20" t="s">
        <v>24651</v>
      </c>
      <c r="H4254" s="24"/>
      <c r="I4254" s="24" t="str">
        <f ca="1">IFERROR(__xludf.DUMMYFUNCTION("GOOGLETRANSLATE(F4254,""en"",""pt"")"),"equipamentos Jumping")</f>
        <v>equipamentos Jumping</v>
      </c>
      <c r="J4254">
        <f>VLOOKUP(A4254,Pr_Base_LNEC!$A$4:$J$6971,6,FALSE)</f>
        <v>0</v>
      </c>
      <c r="K4254">
        <f>VLOOKUP(A4254,Pr_Base_LNEC!$A$4:$J$6971,7,FALSE)</f>
        <v>0</v>
      </c>
    </row>
    <row r="4255" spans="1:11" ht="14.5">
      <c r="A4255" s="20" t="s">
        <v>24652</v>
      </c>
      <c r="B4255" s="20">
        <v>40</v>
      </c>
      <c r="C4255" s="20">
        <v>50</v>
      </c>
      <c r="D4255" s="20">
        <v>84</v>
      </c>
      <c r="E4255" s="24"/>
      <c r="F4255" s="20" t="s">
        <v>24653</v>
      </c>
      <c r="G4255" s="24"/>
      <c r="H4255" s="24"/>
      <c r="I4255" s="24" t="str">
        <f ca="1">IFERROR(__xludf.DUMMYFUNCTION("GOOGLETRANSLATE(F4255,""en"",""pt"")"),"Stands")</f>
        <v>Stands</v>
      </c>
      <c r="J4255">
        <f>VLOOKUP(A4255,Pr_Base_LNEC!$A$4:$J$6971,6,FALSE)</f>
        <v>0</v>
      </c>
      <c r="K4255">
        <f>VLOOKUP(A4255,Pr_Base_LNEC!$A$4:$J$6971,7,FALSE)</f>
        <v>0</v>
      </c>
    </row>
    <row r="4256" spans="1:11" ht="14.5">
      <c r="A4256" s="20" t="s">
        <v>24654</v>
      </c>
      <c r="B4256" s="20">
        <v>40</v>
      </c>
      <c r="C4256" s="20">
        <v>50</v>
      </c>
      <c r="D4256" s="20">
        <v>84</v>
      </c>
      <c r="E4256" s="20">
        <v>9</v>
      </c>
      <c r="F4256" s="20" t="s">
        <v>24655</v>
      </c>
      <c r="G4256" s="24"/>
      <c r="H4256" s="24"/>
      <c r="I4256" s="24" t="str">
        <f ca="1">IFERROR(__xludf.DUMMYFUNCTION("GOOGLETRANSLATE(F4256,""en"",""pt"")"),"Bacia destaca")</f>
        <v>Bacia destaca</v>
      </c>
      <c r="J4256">
        <f>VLOOKUP(A4256,Pr_Base_LNEC!$A$4:$J$6971,6,FALSE)</f>
        <v>0</v>
      </c>
      <c r="K4256">
        <f>VLOOKUP(A4256,Pr_Base_LNEC!$A$4:$J$6971,7,FALSE)</f>
        <v>0</v>
      </c>
    </row>
    <row r="4257" spans="1:11" ht="14.5">
      <c r="A4257" s="20" t="s">
        <v>24656</v>
      </c>
      <c r="B4257" s="20">
        <v>40</v>
      </c>
      <c r="C4257" s="20">
        <v>50</v>
      </c>
      <c r="D4257" s="20">
        <v>84</v>
      </c>
      <c r="E4257" s="20">
        <v>23</v>
      </c>
      <c r="F4257" s="20" t="s">
        <v>24657</v>
      </c>
      <c r="G4257" s="24"/>
      <c r="H4257" s="24"/>
      <c r="I4257" s="24" t="str">
        <f ca="1">IFERROR(__xludf.DUMMYFUNCTION("GOOGLETRANSLATE(F4257,""en"",""pt"")"),"estandes de exibição de banners")</f>
        <v>estandes de exibição de banners</v>
      </c>
      <c r="J4257">
        <f>VLOOKUP(A4257,Pr_Base_LNEC!$A$4:$J$6971,6,FALSE)</f>
        <v>0</v>
      </c>
      <c r="K4257">
        <f>VLOOKUP(A4257,Pr_Base_LNEC!$A$4:$J$6971,7,FALSE)</f>
        <v>0</v>
      </c>
    </row>
    <row r="4258" spans="1:11" ht="14.5">
      <c r="A4258" s="20" t="s">
        <v>24658</v>
      </c>
      <c r="B4258" s="20">
        <v>40</v>
      </c>
      <c r="C4258" s="20">
        <v>50</v>
      </c>
      <c r="D4258" s="20">
        <v>84</v>
      </c>
      <c r="E4258" s="20">
        <v>28</v>
      </c>
      <c r="F4258" s="20" t="s">
        <v>24659</v>
      </c>
      <c r="G4258" s="24"/>
      <c r="H4258" s="24"/>
      <c r="I4258" s="24" t="str">
        <f ca="1">IFERROR(__xludf.DUMMYFUNCTION("GOOGLETRANSLATE(F4258,""en"",""pt"")"),"estandes de exposição")</f>
        <v>estandes de exposição</v>
      </c>
      <c r="J4258">
        <f>VLOOKUP(A4258,Pr_Base_LNEC!$A$4:$J$6971,6,FALSE)</f>
        <v>0</v>
      </c>
      <c r="K4258">
        <f>VLOOKUP(A4258,Pr_Base_LNEC!$A$4:$J$6971,7,FALSE)</f>
        <v>0</v>
      </c>
    </row>
    <row r="4259" spans="1:11" ht="14.5">
      <c r="A4259" s="20" t="s">
        <v>24660</v>
      </c>
      <c r="B4259" s="20">
        <v>40</v>
      </c>
      <c r="C4259" s="20">
        <v>50</v>
      </c>
      <c r="D4259" s="20">
        <v>84</v>
      </c>
      <c r="E4259" s="20">
        <v>36</v>
      </c>
      <c r="F4259" s="20" t="s">
        <v>24661</v>
      </c>
      <c r="G4259" s="24"/>
      <c r="H4259" s="24"/>
      <c r="I4259" s="24" t="str">
        <f ca="1">IFERROR(__xludf.DUMMYFUNCTION("GOOGLETRANSLATE(F4259,""en"",""pt"")"),"carrinhos chapéu")</f>
        <v>carrinhos chapéu</v>
      </c>
      <c r="J4259">
        <f>VLOOKUP(A4259,Pr_Base_LNEC!$A$4:$J$6971,6,FALSE)</f>
        <v>0</v>
      </c>
      <c r="K4259">
        <f>VLOOKUP(A4259,Pr_Base_LNEC!$A$4:$J$6971,7,FALSE)</f>
        <v>0</v>
      </c>
    </row>
    <row r="4260" spans="1:11" ht="14.5">
      <c r="A4260" s="20" t="s">
        <v>24662</v>
      </c>
      <c r="B4260" s="20">
        <v>40</v>
      </c>
      <c r="C4260" s="20">
        <v>50</v>
      </c>
      <c r="D4260" s="20">
        <v>84</v>
      </c>
      <c r="E4260" s="20">
        <v>42</v>
      </c>
      <c r="F4260" s="20" t="s">
        <v>24663</v>
      </c>
      <c r="G4260" s="24"/>
      <c r="H4260" s="24"/>
      <c r="I4260" s="24" t="str">
        <f ca="1">IFERROR(__xludf.DUMMYFUNCTION("GOOGLETRANSLATE(F4260,""en"",""pt"")"),"estandes de infusão")</f>
        <v>estandes de infusão</v>
      </c>
      <c r="J4260">
        <f>VLOOKUP(A4260,Pr_Base_LNEC!$A$4:$J$6971,6,FALSE)</f>
        <v>0</v>
      </c>
      <c r="K4260">
        <f>VLOOKUP(A4260,Pr_Base_LNEC!$A$4:$J$6971,7,FALSE)</f>
        <v>0</v>
      </c>
    </row>
    <row r="4261" spans="1:11" ht="14.5">
      <c r="A4261" s="20" t="s">
        <v>24664</v>
      </c>
      <c r="B4261" s="20">
        <v>40</v>
      </c>
      <c r="C4261" s="20">
        <v>50</v>
      </c>
      <c r="D4261" s="20">
        <v>84</v>
      </c>
      <c r="E4261" s="20">
        <v>51</v>
      </c>
      <c r="F4261" s="20" t="s">
        <v>24665</v>
      </c>
      <c r="G4261" s="24"/>
      <c r="H4261" s="24"/>
      <c r="I4261" s="24" t="str">
        <f ca="1">IFERROR(__xludf.DUMMYFUNCTION("GOOGLETRANSLATE(F4261,""en"",""pt"")"),"equipamentos médicos está")</f>
        <v>equipamentos médicos está</v>
      </c>
      <c r="J4261">
        <f>VLOOKUP(A4261,Pr_Base_LNEC!$A$4:$J$6971,6,FALSE)</f>
        <v>0</v>
      </c>
      <c r="K4261">
        <f>VLOOKUP(A4261,Pr_Base_LNEC!$A$4:$J$6971,7,FALSE)</f>
        <v>0</v>
      </c>
    </row>
    <row r="4262" spans="1:11" ht="14.5">
      <c r="A4262" s="20" t="s">
        <v>24666</v>
      </c>
      <c r="B4262" s="20">
        <v>40</v>
      </c>
      <c r="C4262" s="20">
        <v>50</v>
      </c>
      <c r="D4262" s="20">
        <v>84</v>
      </c>
      <c r="E4262" s="20">
        <v>66</v>
      </c>
      <c r="F4262" s="20" t="s">
        <v>24667</v>
      </c>
      <c r="G4262" s="24"/>
      <c r="H4262" s="24"/>
      <c r="I4262" s="24" t="str">
        <f ca="1">IFERROR(__xludf.DUMMYFUNCTION("GOOGLETRANSLATE(F4262,""en"",""pt"")"),"estandes de impressão")</f>
        <v>estandes de impressão</v>
      </c>
      <c r="J4262">
        <f>VLOOKUP(A4262,Pr_Base_LNEC!$A$4:$J$6971,6,FALSE)</f>
        <v>0</v>
      </c>
      <c r="K4262">
        <f>VLOOKUP(A4262,Pr_Base_LNEC!$A$4:$J$6971,7,FALSE)</f>
        <v>0</v>
      </c>
    </row>
    <row r="4263" spans="1:11" ht="14.5">
      <c r="A4263" s="20" t="s">
        <v>24668</v>
      </c>
      <c r="B4263" s="20">
        <v>40</v>
      </c>
      <c r="C4263" s="20">
        <v>50</v>
      </c>
      <c r="D4263" s="20">
        <v>84</v>
      </c>
      <c r="E4263" s="20">
        <v>92</v>
      </c>
      <c r="F4263" s="20" t="s">
        <v>24669</v>
      </c>
      <c r="G4263" s="24"/>
      <c r="H4263" s="24"/>
      <c r="I4263" s="24" t="str">
        <f ca="1">IFERROR(__xludf.DUMMYFUNCTION("GOOGLETRANSLATE(F4263,""en"",""pt"")"),"bengaleiros")</f>
        <v>bengaleiros</v>
      </c>
      <c r="J4263">
        <f>VLOOKUP(A4263,Pr_Base_LNEC!$A$4:$J$6971,6,FALSE)</f>
        <v>0</v>
      </c>
      <c r="K4263">
        <f>VLOOKUP(A4263,Pr_Base_LNEC!$A$4:$J$6971,7,FALSE)</f>
        <v>0</v>
      </c>
    </row>
    <row r="4264" spans="1:11" ht="14.5">
      <c r="A4264" s="20" t="s">
        <v>24670</v>
      </c>
      <c r="B4264" s="20">
        <v>40</v>
      </c>
      <c r="C4264" s="20">
        <v>50</v>
      </c>
      <c r="D4264" s="20">
        <v>86</v>
      </c>
      <c r="E4264" s="24"/>
      <c r="F4264" s="20" t="s">
        <v>24671</v>
      </c>
      <c r="G4264" s="24"/>
      <c r="H4264" s="24"/>
      <c r="I4264" s="24" t="str">
        <f ca="1">IFERROR(__xludf.DUMMYFUNCTION("GOOGLETRANSLATE(F4264,""en"",""pt"")"),"Natação mobiliário piscina")</f>
        <v>Natação mobiliário piscina</v>
      </c>
      <c r="J4264">
        <f>VLOOKUP(A4264,Pr_Base_LNEC!$A$4:$J$6971,6,FALSE)</f>
        <v>0</v>
      </c>
      <c r="K4264">
        <f>VLOOKUP(A4264,Pr_Base_LNEC!$A$4:$J$6971,7,FALSE)</f>
        <v>0</v>
      </c>
    </row>
    <row r="4265" spans="1:11" ht="14.5">
      <c r="A4265" s="20" t="s">
        <v>24672</v>
      </c>
      <c r="B4265" s="20">
        <v>40</v>
      </c>
      <c r="C4265" s="20">
        <v>50</v>
      </c>
      <c r="D4265" s="20">
        <v>86</v>
      </c>
      <c r="E4265" s="20">
        <v>46</v>
      </c>
      <c r="F4265" s="20" t="s">
        <v>24673</v>
      </c>
      <c r="G4265" s="20" t="s">
        <v>24674</v>
      </c>
      <c r="H4265" s="24"/>
      <c r="I4265" s="24" t="str">
        <f ca="1">IFERROR(__xludf.DUMMYFUNCTION("GOOGLETRANSLATE(F4265,""en"",""pt"")"),"Pista sacos de armazenamento de corda")</f>
        <v>Pista sacos de armazenamento de corda</v>
      </c>
      <c r="J4265">
        <f>VLOOKUP(A4265,Pr_Base_LNEC!$A$4:$J$6971,6,FALSE)</f>
        <v>0</v>
      </c>
      <c r="K4265">
        <f>VLOOKUP(A4265,Pr_Base_LNEC!$A$4:$J$6971,7,FALSE)</f>
        <v>0</v>
      </c>
    </row>
    <row r="4266" spans="1:11" ht="14.5">
      <c r="A4266" s="20" t="s">
        <v>24675</v>
      </c>
      <c r="B4266" s="20">
        <v>40</v>
      </c>
      <c r="C4266" s="20">
        <v>50</v>
      </c>
      <c r="D4266" s="20">
        <v>86</v>
      </c>
      <c r="E4266" s="20">
        <v>62</v>
      </c>
      <c r="F4266" s="20" t="s">
        <v>24676</v>
      </c>
      <c r="G4266" s="20" t="s">
        <v>24677</v>
      </c>
      <c r="H4266" s="24"/>
      <c r="I4266" s="24" t="str">
        <f ca="1">IFERROR(__xludf.DUMMYFUNCTION("GOOGLETRANSLATE(F4266,""en"",""pt"")"),"Portáteis placas de mergulho domésticos")</f>
        <v>Portáteis placas de mergulho domésticos</v>
      </c>
      <c r="J4266">
        <f>VLOOKUP(A4266,Pr_Base_LNEC!$A$4:$J$6971,6,FALSE)</f>
        <v>0</v>
      </c>
      <c r="K4266">
        <f>VLOOKUP(A4266,Pr_Base_LNEC!$A$4:$J$6971,7,FALSE)</f>
        <v>0</v>
      </c>
    </row>
    <row r="4267" spans="1:11" ht="14.5">
      <c r="A4267" s="20" t="s">
        <v>24678</v>
      </c>
      <c r="B4267" s="20">
        <v>40</v>
      </c>
      <c r="C4267" s="20">
        <v>50</v>
      </c>
      <c r="D4267" s="20">
        <v>86</v>
      </c>
      <c r="E4267" s="20">
        <v>64</v>
      </c>
      <c r="F4267" s="20" t="s">
        <v>24679</v>
      </c>
      <c r="G4267" s="24"/>
      <c r="H4267" s="24"/>
      <c r="I4267" s="24" t="str">
        <f ca="1">IFERROR(__xludf.DUMMYFUNCTION("GOOGLETRANSLATE(F4267,""en"",""pt"")"),"plataformas de partida portáteis")</f>
        <v>plataformas de partida portáteis</v>
      </c>
      <c r="J4267">
        <f>VLOOKUP(A4267,Pr_Base_LNEC!$A$4:$J$6971,6,FALSE)</f>
        <v>0</v>
      </c>
      <c r="K4267">
        <f>VLOOKUP(A4267,Pr_Base_LNEC!$A$4:$J$6971,7,FALSE)</f>
        <v>0</v>
      </c>
    </row>
    <row r="4268" spans="1:11" ht="14.5">
      <c r="A4268" s="20" t="s">
        <v>24680</v>
      </c>
      <c r="B4268" s="20">
        <v>40</v>
      </c>
      <c r="C4268" s="20">
        <v>50</v>
      </c>
      <c r="D4268" s="20">
        <v>86</v>
      </c>
      <c r="E4268" s="20">
        <v>66</v>
      </c>
      <c r="F4268" s="20" t="s">
        <v>24681</v>
      </c>
      <c r="G4268" s="20" t="s">
        <v>24682</v>
      </c>
      <c r="H4268" s="24"/>
      <c r="I4268" s="24" t="str">
        <f ca="1">IFERROR(__xludf.DUMMYFUNCTION("GOOGLETRANSLATE(F4268,""en"",""pt"")"),"coberturas para piscinas de uso privado")</f>
        <v>coberturas para piscinas de uso privado</v>
      </c>
      <c r="J4268">
        <f>VLOOKUP(A4268,Pr_Base_LNEC!$A$4:$J$6971,6,FALSE)</f>
        <v>0</v>
      </c>
      <c r="K4268">
        <f>VLOOKUP(A4268,Pr_Base_LNEC!$A$4:$J$6971,7,FALSE)</f>
        <v>0</v>
      </c>
    </row>
    <row r="4269" spans="1:11" ht="14.5">
      <c r="A4269" s="20" t="s">
        <v>24683</v>
      </c>
      <c r="B4269" s="20">
        <v>40</v>
      </c>
      <c r="C4269" s="20">
        <v>50</v>
      </c>
      <c r="D4269" s="20">
        <v>86</v>
      </c>
      <c r="E4269" s="20">
        <v>68</v>
      </c>
      <c r="F4269" s="20" t="s">
        <v>24684</v>
      </c>
      <c r="G4269" s="20" t="s">
        <v>24685</v>
      </c>
      <c r="H4269" s="24"/>
      <c r="I4269" s="24" t="str">
        <f ca="1">IFERROR(__xludf.DUMMYFUNCTION("GOOGLETRANSLATE(F4269,""en"",""pt"")"),"coberturas para piscinas de uso público")</f>
        <v>coberturas para piscinas de uso público</v>
      </c>
      <c r="J4269">
        <f>VLOOKUP(A4269,Pr_Base_LNEC!$A$4:$J$6971,6,FALSE)</f>
        <v>0</v>
      </c>
      <c r="K4269">
        <f>VLOOKUP(A4269,Pr_Base_LNEC!$A$4:$J$6971,7,FALSE)</f>
        <v>0</v>
      </c>
    </row>
    <row r="4270" spans="1:11" ht="14.5">
      <c r="A4270" s="20" t="s">
        <v>24686</v>
      </c>
      <c r="B4270" s="20">
        <v>40</v>
      </c>
      <c r="C4270" s="20">
        <v>50</v>
      </c>
      <c r="D4270" s="20">
        <v>90</v>
      </c>
      <c r="E4270" s="24"/>
      <c r="F4270" s="20" t="s">
        <v>24687</v>
      </c>
      <c r="G4270" s="24"/>
      <c r="H4270" s="24"/>
      <c r="I4270" s="24" t="str">
        <f ca="1">IFERROR(__xludf.DUMMYFUNCTION("GOOGLETRANSLATE(F4270,""en"",""pt"")"),"carrinhos")</f>
        <v>carrinhos</v>
      </c>
      <c r="J4270">
        <f>VLOOKUP(A4270,Pr_Base_LNEC!$A$4:$J$6971,6,FALSE)</f>
        <v>0</v>
      </c>
      <c r="K4270">
        <f>VLOOKUP(A4270,Pr_Base_LNEC!$A$4:$J$6971,7,FALSE)</f>
        <v>0</v>
      </c>
    </row>
    <row r="4271" spans="1:11" ht="14.5">
      <c r="A4271" s="20" t="s">
        <v>24688</v>
      </c>
      <c r="B4271" s="20">
        <v>40</v>
      </c>
      <c r="C4271" s="20">
        <v>50</v>
      </c>
      <c r="D4271" s="20">
        <v>90</v>
      </c>
      <c r="E4271" s="20">
        <v>8</v>
      </c>
      <c r="F4271" s="20" t="s">
        <v>24689</v>
      </c>
      <c r="G4271" s="24"/>
      <c r="H4271" s="24"/>
      <c r="I4271" s="24" t="str">
        <f ca="1">IFERROR(__xludf.DUMMYFUNCTION("GOOGLETRANSLATE(F4271,""en"",""pt"")"),"carrinhos de livro")</f>
        <v>carrinhos de livro</v>
      </c>
      <c r="J4271">
        <f>VLOOKUP(A4271,Pr_Base_LNEC!$A$4:$J$6971,6,FALSE)</f>
        <v>0</v>
      </c>
      <c r="K4271">
        <f>VLOOKUP(A4271,Pr_Base_LNEC!$A$4:$J$6971,7,FALSE)</f>
        <v>0</v>
      </c>
    </row>
    <row r="4272" spans="1:11" ht="14.5">
      <c r="A4272" s="20" t="s">
        <v>24690</v>
      </c>
      <c r="B4272" s="20">
        <v>40</v>
      </c>
      <c r="C4272" s="20">
        <v>50</v>
      </c>
      <c r="D4272" s="20">
        <v>90</v>
      </c>
      <c r="E4272" s="20">
        <v>15</v>
      </c>
      <c r="F4272" s="20" t="s">
        <v>24691</v>
      </c>
      <c r="G4272" s="24"/>
      <c r="H4272" s="24"/>
      <c r="I4272" s="24" t="str">
        <f ca="1">IFERROR(__xludf.DUMMYFUNCTION("GOOGLETRANSLATE(F4272,""en"",""pt"")"),"carrinhos de computador")</f>
        <v>carrinhos de computador</v>
      </c>
      <c r="J4272">
        <f>VLOOKUP(A4272,Pr_Base_LNEC!$A$4:$J$6971,6,FALSE)</f>
        <v>0</v>
      </c>
      <c r="K4272">
        <f>VLOOKUP(A4272,Pr_Base_LNEC!$A$4:$J$6971,7,FALSE)</f>
        <v>0</v>
      </c>
    </row>
    <row r="4273" spans="1:11" ht="14.5">
      <c r="A4273" s="20" t="s">
        <v>24692</v>
      </c>
      <c r="B4273" s="20">
        <v>40</v>
      </c>
      <c r="C4273" s="20">
        <v>50</v>
      </c>
      <c r="D4273" s="20">
        <v>90</v>
      </c>
      <c r="E4273" s="20">
        <v>30</v>
      </c>
      <c r="F4273" s="20" t="s">
        <v>24693</v>
      </c>
      <c r="G4273" s="20" t="s">
        <v>24694</v>
      </c>
      <c r="H4273" s="24"/>
      <c r="I4273" s="24" t="str">
        <f ca="1">IFERROR(__xludf.DUMMYFUNCTION("GOOGLETRANSLATE(F4273,""en"",""pt"")"),"carrinhos de incêndio")</f>
        <v>carrinhos de incêndio</v>
      </c>
      <c r="J4273">
        <f>VLOOKUP(A4273,Pr_Base_LNEC!$A$4:$J$6971,6,FALSE)</f>
        <v>0</v>
      </c>
      <c r="K4273">
        <f>VLOOKUP(A4273,Pr_Base_LNEC!$A$4:$J$6971,7,FALSE)</f>
        <v>0</v>
      </c>
    </row>
    <row r="4274" spans="1:11" ht="14.5">
      <c r="A4274" s="20" t="s">
        <v>24695</v>
      </c>
      <c r="B4274" s="20">
        <v>40</v>
      </c>
      <c r="C4274" s="20">
        <v>50</v>
      </c>
      <c r="D4274" s="20">
        <v>90</v>
      </c>
      <c r="E4274" s="20">
        <v>31</v>
      </c>
      <c r="F4274" s="20" t="s">
        <v>24696</v>
      </c>
      <c r="G4274" s="24"/>
      <c r="H4274" s="24"/>
      <c r="I4274" s="24" t="str">
        <f ca="1">IFERROR(__xludf.DUMMYFUNCTION("GOOGLETRANSLATE(F4274,""en"",""pt"")"),"carrinhos de preparação de alimentos")</f>
        <v>carrinhos de preparação de alimentos</v>
      </c>
      <c r="J4274">
        <f>VLOOKUP(A4274,Pr_Base_LNEC!$A$4:$J$6971,6,FALSE)</f>
        <v>0</v>
      </c>
      <c r="K4274">
        <f>VLOOKUP(A4274,Pr_Base_LNEC!$A$4:$J$6971,7,FALSE)</f>
        <v>0</v>
      </c>
    </row>
    <row r="4275" spans="1:11" ht="14.5">
      <c r="A4275" s="20" t="s">
        <v>24697</v>
      </c>
      <c r="B4275" s="20">
        <v>40</v>
      </c>
      <c r="C4275" s="20">
        <v>50</v>
      </c>
      <c r="D4275" s="20">
        <v>90</v>
      </c>
      <c r="E4275" s="20">
        <v>32</v>
      </c>
      <c r="F4275" s="20" t="s">
        <v>24698</v>
      </c>
      <c r="G4275" s="20" t="s">
        <v>24699</v>
      </c>
      <c r="H4275" s="24"/>
      <c r="I4275" s="24" t="str">
        <f ca="1">IFERROR(__xludf.DUMMYFUNCTION("GOOGLETRANSLATE(F4275,""en"",""pt"")"),"carrinhos de food service")</f>
        <v>carrinhos de food service</v>
      </c>
      <c r="J4275">
        <f>VLOOKUP(A4275,Pr_Base_LNEC!$A$4:$J$6971,6,FALSE)</f>
        <v>0</v>
      </c>
      <c r="K4275">
        <f>VLOOKUP(A4275,Pr_Base_LNEC!$A$4:$J$6971,7,FALSE)</f>
        <v>0</v>
      </c>
    </row>
    <row r="4276" spans="1:11" ht="14.5">
      <c r="A4276" s="20" t="s">
        <v>24700</v>
      </c>
      <c r="B4276" s="20">
        <v>40</v>
      </c>
      <c r="C4276" s="20">
        <v>50</v>
      </c>
      <c r="D4276" s="20">
        <v>90</v>
      </c>
      <c r="E4276" s="20">
        <v>33</v>
      </c>
      <c r="F4276" s="20" t="s">
        <v>24701</v>
      </c>
      <c r="G4276" s="24"/>
      <c r="H4276" s="24"/>
      <c r="I4276" s="24" t="str">
        <f ca="1">IFERROR(__xludf.DUMMYFUNCTION("GOOGLETRANSLATE(F4276,""en"",""pt"")"),"carrinhos móveis")</f>
        <v>carrinhos móveis</v>
      </c>
      <c r="J4276">
        <f>VLOOKUP(A4276,Pr_Base_LNEC!$A$4:$J$6971,6,FALSE)</f>
        <v>0</v>
      </c>
      <c r="K4276">
        <f>VLOOKUP(A4276,Pr_Base_LNEC!$A$4:$J$6971,7,FALSE)</f>
        <v>0</v>
      </c>
    </row>
    <row r="4277" spans="1:11" ht="14.5">
      <c r="A4277" s="20" t="s">
        <v>24702</v>
      </c>
      <c r="B4277" s="20">
        <v>40</v>
      </c>
      <c r="C4277" s="20">
        <v>50</v>
      </c>
      <c r="D4277" s="20">
        <v>90</v>
      </c>
      <c r="E4277" s="20">
        <v>46</v>
      </c>
      <c r="F4277" s="20" t="s">
        <v>24703</v>
      </c>
      <c r="G4277" s="20" t="s">
        <v>24704</v>
      </c>
      <c r="H4277" s="24"/>
      <c r="I4277" s="24" t="str">
        <f ca="1">IFERROR(__xludf.DUMMYFUNCTION("GOOGLETRANSLATE(F4277,""en"",""pt"")"),"carrinhos de lavandaria")</f>
        <v>carrinhos de lavandaria</v>
      </c>
      <c r="J4277">
        <f>VLOOKUP(A4277,Pr_Base_LNEC!$A$4:$J$6971,6,FALSE)</f>
        <v>0</v>
      </c>
      <c r="K4277">
        <f>VLOOKUP(A4277,Pr_Base_LNEC!$A$4:$J$6971,7,FALSE)</f>
        <v>0</v>
      </c>
    </row>
    <row r="4278" spans="1:11" ht="14.5">
      <c r="A4278" s="20" t="s">
        <v>24705</v>
      </c>
      <c r="B4278" s="20">
        <v>40</v>
      </c>
      <c r="C4278" s="20">
        <v>50</v>
      </c>
      <c r="D4278" s="20">
        <v>90</v>
      </c>
      <c r="E4278" s="20">
        <v>47</v>
      </c>
      <c r="F4278" s="20" t="s">
        <v>24706</v>
      </c>
      <c r="G4278" s="20" t="s">
        <v>24707</v>
      </c>
      <c r="H4278" s="24"/>
      <c r="I4278" s="24" t="str">
        <f ca="1">IFERROR(__xludf.DUMMYFUNCTION("GOOGLETRANSLATE(F4278,""en"",""pt"")"),"troles saco de lavandaria")</f>
        <v>troles saco de lavandaria</v>
      </c>
      <c r="J4278">
        <f>VLOOKUP(A4278,Pr_Base_LNEC!$A$4:$J$6971,6,FALSE)</f>
        <v>0</v>
      </c>
      <c r="K4278">
        <f>VLOOKUP(A4278,Pr_Base_LNEC!$A$4:$J$6971,7,FALSE)</f>
        <v>0</v>
      </c>
    </row>
    <row r="4279" spans="1:11" ht="14.5">
      <c r="A4279" s="20" t="s">
        <v>24708</v>
      </c>
      <c r="B4279" s="20">
        <v>40</v>
      </c>
      <c r="C4279" s="20">
        <v>50</v>
      </c>
      <c r="D4279" s="20">
        <v>90</v>
      </c>
      <c r="E4279" s="20">
        <v>49</v>
      </c>
      <c r="F4279" s="20" t="s">
        <v>24709</v>
      </c>
      <c r="G4279" s="24"/>
      <c r="H4279" s="24"/>
      <c r="I4279" s="24" t="str">
        <f ca="1">IFERROR(__xludf.DUMMYFUNCTION("GOOGLETRANSLATE(F4279,""en"",""pt"")"),"carrinhos de bagagem")</f>
        <v>carrinhos de bagagem</v>
      </c>
      <c r="J4279">
        <f>VLOOKUP(A4279,Pr_Base_LNEC!$A$4:$J$6971,6,FALSE)</f>
        <v>0</v>
      </c>
      <c r="K4279">
        <f>VLOOKUP(A4279,Pr_Base_LNEC!$A$4:$J$6971,7,FALSE)</f>
        <v>0</v>
      </c>
    </row>
    <row r="4280" spans="1:11" ht="14.5">
      <c r="A4280" s="20" t="s">
        <v>24710</v>
      </c>
      <c r="B4280" s="20">
        <v>40</v>
      </c>
      <c r="C4280" s="20">
        <v>50</v>
      </c>
      <c r="D4280" s="20">
        <v>90</v>
      </c>
      <c r="E4280" s="20">
        <v>52</v>
      </c>
      <c r="F4280" s="20" t="s">
        <v>24711</v>
      </c>
      <c r="G4280" s="20" t="s">
        <v>24712</v>
      </c>
      <c r="H4280" s="24"/>
      <c r="I4280" s="24" t="str">
        <f ca="1">IFERROR(__xludf.DUMMYFUNCTION("GOOGLETRANSLATE(F4280,""en"",""pt"")"),"carrinhos Mailroom")</f>
        <v>carrinhos Mailroom</v>
      </c>
      <c r="J4280">
        <f>VLOOKUP(A4280,Pr_Base_LNEC!$A$4:$J$6971,6,FALSE)</f>
        <v>0</v>
      </c>
      <c r="K4280">
        <f>VLOOKUP(A4280,Pr_Base_LNEC!$A$4:$J$6971,7,FALSE)</f>
        <v>0</v>
      </c>
    </row>
    <row r="4281" spans="1:11" ht="14.5">
      <c r="A4281" s="20" t="s">
        <v>24713</v>
      </c>
      <c r="B4281" s="20">
        <v>40</v>
      </c>
      <c r="C4281" s="20">
        <v>50</v>
      </c>
      <c r="D4281" s="20">
        <v>90</v>
      </c>
      <c r="E4281" s="20">
        <v>64</v>
      </c>
      <c r="F4281" s="20" t="s">
        <v>24714</v>
      </c>
      <c r="G4281" s="20" t="s">
        <v>24715</v>
      </c>
      <c r="H4281" s="24"/>
      <c r="I4281" s="24" t="str">
        <f ca="1">IFERROR(__xludf.DUMMYFUNCTION("GOOGLETRANSLATE(F4281,""en"",""pt"")"),"Piscina carrinhos de armazenamento raia")</f>
        <v>Piscina carrinhos de armazenamento raia</v>
      </c>
      <c r="J4281">
        <f>VLOOKUP(A4281,Pr_Base_LNEC!$A$4:$J$6971,6,FALSE)</f>
        <v>0</v>
      </c>
      <c r="K4281">
        <f>VLOOKUP(A4281,Pr_Base_LNEC!$A$4:$J$6971,7,FALSE)</f>
        <v>0</v>
      </c>
    </row>
    <row r="4282" spans="1:11" ht="14.5">
      <c r="A4282" s="20" t="s">
        <v>24716</v>
      </c>
      <c r="B4282" s="20">
        <v>40</v>
      </c>
      <c r="C4282" s="20">
        <v>50</v>
      </c>
      <c r="D4282" s="20">
        <v>90</v>
      </c>
      <c r="E4282" s="20">
        <v>72</v>
      </c>
      <c r="F4282" s="20" t="s">
        <v>24717</v>
      </c>
      <c r="G4282" s="20" t="s">
        <v>24718</v>
      </c>
      <c r="H4282" s="24"/>
      <c r="I4282" s="24" t="str">
        <f ca="1">IFERROR(__xludf.DUMMYFUNCTION("GOOGLETRANSLATE(F4282,""en"",""pt"")"),"Relé quebrar detector carrinhos de armazenamento")</f>
        <v>Relé quebrar detector carrinhos de armazenamento</v>
      </c>
      <c r="J4282">
        <f>VLOOKUP(A4282,Pr_Base_LNEC!$A$4:$J$6971,6,FALSE)</f>
        <v>0</v>
      </c>
      <c r="K4282">
        <f>VLOOKUP(A4282,Pr_Base_LNEC!$A$4:$J$6971,7,FALSE)</f>
        <v>0</v>
      </c>
    </row>
    <row r="4283" spans="1:11" ht="14.5">
      <c r="A4283" s="20" t="s">
        <v>24719</v>
      </c>
      <c r="B4283" s="20">
        <v>40</v>
      </c>
      <c r="C4283" s="20">
        <v>50</v>
      </c>
      <c r="D4283" s="20">
        <v>90</v>
      </c>
      <c r="E4283" s="20">
        <v>76</v>
      </c>
      <c r="F4283" s="20" t="s">
        <v>24720</v>
      </c>
      <c r="G4283" s="24"/>
      <c r="H4283" s="24"/>
      <c r="I4283" s="24" t="str">
        <f ca="1">IFERROR(__xludf.DUMMYFUNCTION("GOOGLETRANSLATE(F4283,""en"",""pt"")"),"troles")</f>
        <v>troles</v>
      </c>
      <c r="J4283">
        <f>VLOOKUP(A4283,Pr_Base_LNEC!$A$4:$J$6971,6,FALSE)</f>
        <v>0</v>
      </c>
      <c r="K4283">
        <f>VLOOKUP(A4283,Pr_Base_LNEC!$A$4:$J$6971,7,FALSE)</f>
        <v>0</v>
      </c>
    </row>
    <row r="4284" spans="1:11" ht="14.5">
      <c r="A4284" s="20" t="s">
        <v>24721</v>
      </c>
      <c r="B4284" s="20">
        <v>40</v>
      </c>
      <c r="C4284" s="20">
        <v>50</v>
      </c>
      <c r="D4284" s="20">
        <v>90</v>
      </c>
      <c r="E4284" s="20">
        <v>82</v>
      </c>
      <c r="F4284" s="20" t="s">
        <v>24722</v>
      </c>
      <c r="G4284" s="24"/>
      <c r="H4284" s="24"/>
      <c r="I4284" s="24" t="str">
        <f ca="1">IFERROR(__xludf.DUMMYFUNCTION("GOOGLETRANSLATE(F4284,""en"",""pt"")"),"Spa carrinhos de tratamento")</f>
        <v>Spa carrinhos de tratamento</v>
      </c>
      <c r="J4284">
        <f>VLOOKUP(A4284,Pr_Base_LNEC!$A$4:$J$6971,6,FALSE)</f>
        <v>0</v>
      </c>
      <c r="K4284">
        <f>VLOOKUP(A4284,Pr_Base_LNEC!$A$4:$J$6971,7,FALSE)</f>
        <v>0</v>
      </c>
    </row>
    <row r="4285" spans="1:11" ht="14.5">
      <c r="A4285" s="20" t="s">
        <v>24723</v>
      </c>
      <c r="B4285" s="20">
        <v>40</v>
      </c>
      <c r="C4285" s="20">
        <v>50</v>
      </c>
      <c r="D4285" s="20">
        <v>90</v>
      </c>
      <c r="E4285" s="20">
        <v>87</v>
      </c>
      <c r="F4285" s="20" t="s">
        <v>24724</v>
      </c>
      <c r="G4285" s="24"/>
      <c r="H4285" s="24"/>
      <c r="I4285" s="24" t="str">
        <f ca="1">IFERROR(__xludf.DUMMYFUNCTION("GOOGLETRANSLATE(F4285,""en"",""pt"")"),"carrinhos de armazenamento de tabela")</f>
        <v>carrinhos de armazenamento de tabela</v>
      </c>
      <c r="J4285">
        <f>VLOOKUP(A4285,Pr_Base_LNEC!$A$4:$J$6971,6,FALSE)</f>
        <v>0</v>
      </c>
      <c r="K4285">
        <f>VLOOKUP(A4285,Pr_Base_LNEC!$A$4:$J$6971,7,FALSE)</f>
        <v>0</v>
      </c>
    </row>
    <row r="4286" spans="1:11" ht="14.5">
      <c r="A4286" s="20" t="s">
        <v>24725</v>
      </c>
      <c r="B4286" s="20">
        <v>40</v>
      </c>
      <c r="C4286" s="20">
        <v>50</v>
      </c>
      <c r="D4286" s="20">
        <v>90</v>
      </c>
      <c r="E4286" s="20">
        <v>88</v>
      </c>
      <c r="F4286" s="20" t="s">
        <v>24726</v>
      </c>
      <c r="G4286" s="20" t="s">
        <v>24727</v>
      </c>
      <c r="H4286" s="24"/>
      <c r="I4286" s="24" t="str">
        <f ca="1">IFERROR(__xludf.DUMMYFUNCTION("GOOGLETRANSLATE(F4286,""en"",""pt"")"),"carrinhos de armazenamento touchpad")</f>
        <v>carrinhos de armazenamento touchpad</v>
      </c>
      <c r="J4286">
        <f>VLOOKUP(A4286,Pr_Base_LNEC!$A$4:$J$6971,6,FALSE)</f>
        <v>0</v>
      </c>
      <c r="K4286">
        <f>VLOOKUP(A4286,Pr_Base_LNEC!$A$4:$J$6971,7,FALSE)</f>
        <v>0</v>
      </c>
    </row>
    <row r="4287" spans="1:11" ht="14.5">
      <c r="A4287" s="20" t="s">
        <v>24728</v>
      </c>
      <c r="B4287" s="20">
        <v>40</v>
      </c>
      <c r="C4287" s="20">
        <v>50</v>
      </c>
      <c r="D4287" s="20">
        <v>96</v>
      </c>
      <c r="E4287" s="24"/>
      <c r="F4287" s="20" t="s">
        <v>24729</v>
      </c>
      <c r="G4287" s="24"/>
      <c r="H4287" s="24"/>
      <c r="I4287" s="24" t="str">
        <f ca="1">IFERROR(__xludf.DUMMYFUNCTION("GOOGLETRANSLATE(F4287,""en"",""pt"")"),"rodas")</f>
        <v>rodas</v>
      </c>
      <c r="J4287">
        <f>VLOOKUP(A4287,Pr_Base_LNEC!$A$4:$J$6971,6,FALSE)</f>
        <v>0</v>
      </c>
      <c r="K4287">
        <f>VLOOKUP(A4287,Pr_Base_LNEC!$A$4:$J$6971,7,FALSE)</f>
        <v>0</v>
      </c>
    </row>
    <row r="4288" spans="1:11" ht="14.5">
      <c r="A4288" s="20" t="s">
        <v>24730</v>
      </c>
      <c r="B4288" s="20">
        <v>40</v>
      </c>
      <c r="C4288" s="20">
        <v>50</v>
      </c>
      <c r="D4288" s="20">
        <v>96</v>
      </c>
      <c r="E4288" s="20">
        <v>11</v>
      </c>
      <c r="F4288" s="20" t="s">
        <v>24731</v>
      </c>
      <c r="G4288" s="24"/>
      <c r="H4288" s="24"/>
      <c r="I4288" s="24" t="str">
        <f ca="1">IFERROR(__xludf.DUMMYFUNCTION("GOOGLETRANSLATE(F4288,""en"",""pt"")"),"rodízios")</f>
        <v>rodízios</v>
      </c>
      <c r="J4288">
        <f>VLOOKUP(A4288,Pr_Base_LNEC!$A$4:$J$6971,6,FALSE)</f>
        <v>0</v>
      </c>
      <c r="K4288">
        <f>VLOOKUP(A4288,Pr_Base_LNEC!$A$4:$J$6971,7,FALSE)</f>
        <v>0</v>
      </c>
    </row>
    <row r="4289" spans="1:11" ht="14.5">
      <c r="A4289" s="20" t="s">
        <v>24732</v>
      </c>
      <c r="B4289" s="20">
        <v>40</v>
      </c>
      <c r="C4289" s="20">
        <v>70</v>
      </c>
      <c r="D4289" s="24"/>
      <c r="E4289" s="24"/>
      <c r="F4289" s="20" t="s">
        <v>7699</v>
      </c>
      <c r="G4289" s="24"/>
      <c r="H4289" s="24"/>
      <c r="I4289" s="24" t="str">
        <f ca="1">IFERROR(__xludf.DUMMYFUNCTION("GOOGLETRANSLATE(F4289,""en"",""pt"")"),"Equipamento")</f>
        <v>Equipamento</v>
      </c>
      <c r="J4289" t="str">
        <f>VLOOKUP(A4289,Pr_Base_LNEC!$A$4:$J$6971,6,FALSE)</f>
        <v>Equipamentos</v>
      </c>
      <c r="K4289">
        <f>VLOOKUP(A4289,Pr_Base_LNEC!$A$4:$J$6971,7,FALSE)</f>
        <v>0</v>
      </c>
    </row>
    <row r="4290" spans="1:11" ht="14.5">
      <c r="A4290" s="20" t="s">
        <v>24733</v>
      </c>
      <c r="B4290" s="20">
        <v>40</v>
      </c>
      <c r="C4290" s="20">
        <v>70</v>
      </c>
      <c r="D4290" s="20">
        <v>5</v>
      </c>
      <c r="E4290" s="24"/>
      <c r="F4290" s="20" t="s">
        <v>24734</v>
      </c>
      <c r="G4290" s="24"/>
      <c r="H4290" s="24"/>
      <c r="I4290" s="24" t="str">
        <f ca="1">IFERROR(__xludf.DUMMYFUNCTION("GOOGLETRANSLATE(F4290,""en"",""pt"")"),"Equipamento áudio visual")</f>
        <v>Equipamento áudio visual</v>
      </c>
      <c r="J4290" t="e">
        <f>VLOOKUP(A4290,Pr_Base_LNEC!$A$4:$J$6971,6,FALSE)</f>
        <v>#N/A</v>
      </c>
      <c r="K4290" t="e">
        <f>VLOOKUP(A4290,Pr_Base_LNEC!$A$4:$J$6971,7,FALSE)</f>
        <v>#N/A</v>
      </c>
    </row>
    <row r="4291" spans="1:11" ht="14.5">
      <c r="A4291" s="20" t="s">
        <v>24735</v>
      </c>
      <c r="B4291" s="20">
        <v>40</v>
      </c>
      <c r="C4291" s="20">
        <v>70</v>
      </c>
      <c r="D4291" s="20">
        <v>5</v>
      </c>
      <c r="E4291" s="20">
        <v>70</v>
      </c>
      <c r="F4291" s="20" t="s">
        <v>24736</v>
      </c>
      <c r="G4291" s="24"/>
      <c r="H4291" s="24"/>
      <c r="I4291" s="24" t="str">
        <f ca="1">IFERROR(__xludf.DUMMYFUNCTION("GOOGLETRANSLATE(F4291,""en"",""pt"")"),"rádios")</f>
        <v>rádios</v>
      </c>
      <c r="J4291" t="e">
        <f>VLOOKUP(A4291,Pr_Base_LNEC!$A$4:$J$6971,6,FALSE)</f>
        <v>#N/A</v>
      </c>
      <c r="K4291" t="e">
        <f>VLOOKUP(A4291,Pr_Base_LNEC!$A$4:$J$6971,7,FALSE)</f>
        <v>#N/A</v>
      </c>
    </row>
    <row r="4292" spans="1:11" ht="14.5">
      <c r="A4292" s="20" t="s">
        <v>24737</v>
      </c>
      <c r="B4292" s="20">
        <v>40</v>
      </c>
      <c r="C4292" s="20">
        <v>70</v>
      </c>
      <c r="D4292" s="20">
        <v>5</v>
      </c>
      <c r="E4292" s="20">
        <v>88</v>
      </c>
      <c r="F4292" s="20" t="s">
        <v>24738</v>
      </c>
      <c r="G4292" s="24"/>
      <c r="H4292" s="24"/>
      <c r="I4292" s="24" t="str">
        <f ca="1">IFERROR(__xludf.DUMMYFUNCTION("GOOGLETRANSLATE(F4292,""en"",""pt"")"),"As televisões")</f>
        <v>As televisões</v>
      </c>
      <c r="J4292" t="e">
        <f>VLOOKUP(A4292,Pr_Base_LNEC!$A$4:$J$6971,6,FALSE)</f>
        <v>#N/A</v>
      </c>
      <c r="K4292" t="e">
        <f>VLOOKUP(A4292,Pr_Base_LNEC!$A$4:$J$6971,7,FALSE)</f>
        <v>#N/A</v>
      </c>
    </row>
    <row r="4293" spans="1:11" ht="14.5">
      <c r="A4293" s="20" t="s">
        <v>24739</v>
      </c>
      <c r="B4293" s="20">
        <v>40</v>
      </c>
      <c r="C4293" s="20">
        <v>70</v>
      </c>
      <c r="D4293" s="20">
        <v>13</v>
      </c>
      <c r="E4293" s="24"/>
      <c r="F4293" s="20" t="s">
        <v>24740</v>
      </c>
      <c r="G4293" s="24"/>
      <c r="H4293" s="24"/>
      <c r="I4293" s="24" t="str">
        <f ca="1">IFERROR(__xludf.DUMMYFUNCTION("GOOGLETRANSLATE(F4293,""en"",""pt"")"),"Material de limpeza")</f>
        <v>Material de limpeza</v>
      </c>
      <c r="J4293">
        <f>VLOOKUP(A4293,Pr_Base_LNEC!$A$4:$J$6971,6,FALSE)</f>
        <v>0</v>
      </c>
      <c r="K4293">
        <f>VLOOKUP(A4293,Pr_Base_LNEC!$A$4:$J$6971,7,FALSE)</f>
        <v>0</v>
      </c>
    </row>
    <row r="4294" spans="1:11" ht="14.5">
      <c r="A4294" s="20" t="s">
        <v>24741</v>
      </c>
      <c r="B4294" s="20">
        <v>40</v>
      </c>
      <c r="C4294" s="20">
        <v>70</v>
      </c>
      <c r="D4294" s="20">
        <v>13</v>
      </c>
      <c r="E4294" s="20">
        <v>50</v>
      </c>
      <c r="F4294" s="20" t="s">
        <v>24742</v>
      </c>
      <c r="G4294" s="24"/>
      <c r="H4294" s="24"/>
      <c r="I4294" s="24" t="str">
        <f ca="1">IFERROR(__xludf.DUMMYFUNCTION("GOOGLETRANSLATE(F4294,""en"",""pt"")"),"Máquina de limpeza de peças unidades louça")</f>
        <v>Máquina de limpeza de peças unidades louça</v>
      </c>
      <c r="J4294" t="e">
        <f>VLOOKUP(A4294,Pr_Base_LNEC!$A$4:$J$6971,6,FALSE)</f>
        <v>#N/A</v>
      </c>
      <c r="K4294" t="e">
        <f>VLOOKUP(A4294,Pr_Base_LNEC!$A$4:$J$6971,7,FALSE)</f>
        <v>#N/A</v>
      </c>
    </row>
    <row r="4295" spans="1:11" ht="14.5">
      <c r="A4295" s="20" t="s">
        <v>24743</v>
      </c>
      <c r="B4295" s="20">
        <v>40</v>
      </c>
      <c r="C4295" s="20">
        <v>70</v>
      </c>
      <c r="D4295" s="20">
        <v>13</v>
      </c>
      <c r="E4295" s="20">
        <v>58</v>
      </c>
      <c r="F4295" s="20" t="s">
        <v>24744</v>
      </c>
      <c r="G4295" s="24"/>
      <c r="H4295" s="24"/>
      <c r="I4295" s="24" t="str">
        <f ca="1">IFERROR(__xludf.DUMMYFUNCTION("GOOGLETRANSLATE(F4295,""en"",""pt"")"),"unidades de limpeza derramamento de óleo")</f>
        <v>unidades de limpeza derramamento de óleo</v>
      </c>
      <c r="J4295">
        <f>VLOOKUP(A4295,Pr_Base_LNEC!$A$4:$J$6971,6,FALSE)</f>
        <v>0</v>
      </c>
      <c r="K4295">
        <f>VLOOKUP(A4295,Pr_Base_LNEC!$A$4:$J$6971,7,FALSE)</f>
        <v>0</v>
      </c>
    </row>
    <row r="4296" spans="1:11" ht="14.5">
      <c r="A4296" s="20" t="s">
        <v>24745</v>
      </c>
      <c r="B4296" s="20">
        <v>40</v>
      </c>
      <c r="C4296" s="20">
        <v>70</v>
      </c>
      <c r="D4296" s="20">
        <v>13</v>
      </c>
      <c r="E4296" s="20">
        <v>60</v>
      </c>
      <c r="F4296" s="20" t="s">
        <v>24746</v>
      </c>
      <c r="G4296" s="24"/>
      <c r="H4296" s="24"/>
      <c r="I4296" s="24" t="str">
        <f ca="1">IFERROR(__xludf.DUMMYFUNCTION("GOOGLETRANSLATE(F4296,""en"",""pt"")"),"limpeza de tanques Orbital")</f>
        <v>limpeza de tanques Orbital</v>
      </c>
      <c r="J4296" t="e">
        <f>VLOOKUP(A4296,Pr_Base_LNEC!$A$4:$J$6971,6,FALSE)</f>
        <v>#N/A</v>
      </c>
      <c r="K4296" t="e">
        <f>VLOOKUP(A4296,Pr_Base_LNEC!$A$4:$J$6971,7,FALSE)</f>
        <v>#N/A</v>
      </c>
    </row>
    <row r="4297" spans="1:11" ht="14.5">
      <c r="A4297" s="20" t="s">
        <v>24747</v>
      </c>
      <c r="B4297" s="20">
        <v>40</v>
      </c>
      <c r="C4297" s="20">
        <v>70</v>
      </c>
      <c r="D4297" s="20">
        <v>13</v>
      </c>
      <c r="E4297" s="20">
        <v>72</v>
      </c>
      <c r="F4297" s="20" t="s">
        <v>24748</v>
      </c>
      <c r="G4297" s="20" t="s">
        <v>24749</v>
      </c>
      <c r="H4297" s="24"/>
      <c r="I4297" s="24" t="str">
        <f ca="1">IFERROR(__xludf.DUMMYFUNCTION("GOOGLETRANSLATE(F4297,""en"",""pt"")"),"unidades de limpeza robóticos")</f>
        <v>unidades de limpeza robóticos</v>
      </c>
      <c r="J4297">
        <f>VLOOKUP(A4297,Pr_Base_LNEC!$A$4:$J$6971,6,FALSE)</f>
        <v>0</v>
      </c>
      <c r="K4297">
        <f>VLOOKUP(A4297,Pr_Base_LNEC!$A$4:$J$6971,7,FALSE)</f>
        <v>0</v>
      </c>
    </row>
    <row r="4298" spans="1:11" ht="14.5">
      <c r="A4298" s="20" t="s">
        <v>24750</v>
      </c>
      <c r="B4298" s="20">
        <v>40</v>
      </c>
      <c r="C4298" s="20">
        <v>70</v>
      </c>
      <c r="D4298" s="20">
        <v>15</v>
      </c>
      <c r="E4298" s="24"/>
      <c r="F4298" s="20" t="s">
        <v>24751</v>
      </c>
      <c r="G4298" s="24"/>
      <c r="H4298" s="24"/>
      <c r="I4298" s="24" t="str">
        <f ca="1">IFERROR(__xludf.DUMMYFUNCTION("GOOGLETRANSLATE(F4298,""en"",""pt"")"),"fontes de abastecimento de água fria")</f>
        <v>fontes de abastecimento de água fria</v>
      </c>
      <c r="J4298">
        <f>VLOOKUP(A4298,Pr_Base_LNEC!$A$4:$J$6971,6,FALSE)</f>
        <v>0</v>
      </c>
      <c r="K4298">
        <f>VLOOKUP(A4298,Pr_Base_LNEC!$A$4:$J$6971,7,FALSE)</f>
        <v>0</v>
      </c>
    </row>
    <row r="4299" spans="1:11" ht="14.5">
      <c r="A4299" s="20" t="s">
        <v>24752</v>
      </c>
      <c r="B4299" s="20">
        <v>40</v>
      </c>
      <c r="C4299" s="20">
        <v>70</v>
      </c>
      <c r="D4299" s="20">
        <v>15</v>
      </c>
      <c r="E4299" s="20">
        <v>96</v>
      </c>
      <c r="F4299" s="20" t="s">
        <v>24753</v>
      </c>
      <c r="G4299" s="20" t="s">
        <v>24754</v>
      </c>
      <c r="H4299" s="24"/>
      <c r="I4299" s="24" t="str">
        <f ca="1">IFERROR(__xludf.DUMMYFUNCTION("GOOGLETRANSLATE(F4299,""en"",""pt"")"),"refrigeradores de água")</f>
        <v>refrigeradores de água</v>
      </c>
      <c r="J4299">
        <f>VLOOKUP(A4299,Pr_Base_LNEC!$A$4:$J$6971,6,FALSE)</f>
        <v>0</v>
      </c>
      <c r="K4299">
        <f>VLOOKUP(A4299,Pr_Base_LNEC!$A$4:$J$6971,7,FALSE)</f>
        <v>0</v>
      </c>
    </row>
    <row r="4300" spans="1:11" ht="14.5">
      <c r="A4300" s="20" t="s">
        <v>24755</v>
      </c>
      <c r="B4300" s="20">
        <v>40</v>
      </c>
      <c r="C4300" s="20">
        <v>70</v>
      </c>
      <c r="D4300" s="20">
        <v>21</v>
      </c>
      <c r="E4300" s="24"/>
      <c r="F4300" s="20" t="s">
        <v>24756</v>
      </c>
      <c r="G4300" s="24"/>
      <c r="H4300" s="24"/>
      <c r="I4300" s="24" t="str">
        <f ca="1">IFERROR(__xludf.DUMMYFUNCTION("GOOGLETRANSLATE(F4300,""en"",""pt"")"),"máquinas de lavar louça")</f>
        <v>máquinas de lavar louça</v>
      </c>
      <c r="J4300">
        <f>VLOOKUP(A4300,Pr_Base_LNEC!$A$4:$J$6971,6,FALSE)</f>
        <v>0</v>
      </c>
      <c r="K4300">
        <f>VLOOKUP(A4300,Pr_Base_LNEC!$A$4:$J$6971,7,FALSE)</f>
        <v>0</v>
      </c>
    </row>
    <row r="4301" spans="1:11" ht="14.5">
      <c r="A4301" s="20" t="s">
        <v>24757</v>
      </c>
      <c r="B4301" s="20">
        <v>40</v>
      </c>
      <c r="C4301" s="20">
        <v>70</v>
      </c>
      <c r="D4301" s="20">
        <v>21</v>
      </c>
      <c r="E4301" s="20">
        <v>16</v>
      </c>
      <c r="F4301" s="20" t="s">
        <v>24758</v>
      </c>
      <c r="G4301" s="20" t="s">
        <v>24759</v>
      </c>
      <c r="H4301" s="24"/>
      <c r="I4301" s="24" t="str">
        <f ca="1">IFERROR(__xludf.DUMMYFUNCTION("GOOGLETRANSLATE(F4301,""en"",""pt"")"),"máquinas de lavar louça transportadoras")</f>
        <v>máquinas de lavar louça transportadoras</v>
      </c>
      <c r="J4301">
        <f>VLOOKUP(A4301,Pr_Base_LNEC!$A$4:$J$6971,6,FALSE)</f>
        <v>0</v>
      </c>
      <c r="K4301">
        <f>VLOOKUP(A4301,Pr_Base_LNEC!$A$4:$J$6971,7,FALSE)</f>
        <v>0</v>
      </c>
    </row>
    <row r="4302" spans="1:11" ht="14.5">
      <c r="A4302" s="20" t="s">
        <v>24760</v>
      </c>
      <c r="B4302" s="20">
        <v>40</v>
      </c>
      <c r="C4302" s="20">
        <v>70</v>
      </c>
      <c r="D4302" s="20">
        <v>21</v>
      </c>
      <c r="E4302" s="20">
        <v>22</v>
      </c>
      <c r="F4302" s="20" t="s">
        <v>24761</v>
      </c>
      <c r="G4302" s="24"/>
      <c r="H4302" s="24"/>
      <c r="I4302" s="24" t="str">
        <f ca="1">IFERROR(__xludf.DUMMYFUNCTION("GOOGLETRANSLATE(F4302,""en"",""pt"")"),"Prato e utensílio anilhas")</f>
        <v>Prato e utensílio anilhas</v>
      </c>
      <c r="J4302">
        <f>VLOOKUP(A4302,Pr_Base_LNEC!$A$4:$J$6971,6,FALSE)</f>
        <v>0</v>
      </c>
      <c r="K4302">
        <f>VLOOKUP(A4302,Pr_Base_LNEC!$A$4:$J$6971,7,FALSE)</f>
        <v>0</v>
      </c>
    </row>
    <row r="4303" spans="1:11" ht="14.5">
      <c r="A4303" s="20" t="s">
        <v>24762</v>
      </c>
      <c r="B4303" s="20">
        <v>40</v>
      </c>
      <c r="C4303" s="20">
        <v>70</v>
      </c>
      <c r="D4303" s="20">
        <v>21</v>
      </c>
      <c r="E4303" s="20">
        <v>24</v>
      </c>
      <c r="F4303" s="20" t="s">
        <v>24763</v>
      </c>
      <c r="G4303" s="20" t="s">
        <v>24764</v>
      </c>
      <c r="H4303" s="24"/>
      <c r="I4303" s="24" t="str">
        <f ca="1">IFERROR(__xludf.DUMMYFUNCTION("GOOGLETRANSLATE(F4303,""en"",""pt"")"),"máquinas de lavar louça domésticas")</f>
        <v>máquinas de lavar louça domésticas</v>
      </c>
      <c r="J4303">
        <f>VLOOKUP(A4303,Pr_Base_LNEC!$A$4:$J$6971,6,FALSE)</f>
        <v>0</v>
      </c>
      <c r="K4303">
        <f>VLOOKUP(A4303,Pr_Base_LNEC!$A$4:$J$6971,7,FALSE)</f>
        <v>0</v>
      </c>
    </row>
    <row r="4304" spans="1:11" ht="14.5">
      <c r="A4304" s="20" t="s">
        <v>24765</v>
      </c>
      <c r="B4304" s="20">
        <v>40</v>
      </c>
      <c r="C4304" s="20">
        <v>70</v>
      </c>
      <c r="D4304" s="20">
        <v>21</v>
      </c>
      <c r="E4304" s="20">
        <v>30</v>
      </c>
      <c r="F4304" s="20" t="s">
        <v>24766</v>
      </c>
      <c r="G4304" s="24"/>
      <c r="H4304" s="24"/>
      <c r="I4304" s="24" t="str">
        <f ca="1">IFERROR(__xludf.DUMMYFUNCTION("GOOGLETRANSLATE(F4304,""en"",""pt"")"),"máquinas de lavar louça de vôo")</f>
        <v>máquinas de lavar louça de vôo</v>
      </c>
      <c r="J4304">
        <f>VLOOKUP(A4304,Pr_Base_LNEC!$A$4:$J$6971,6,FALSE)</f>
        <v>0</v>
      </c>
      <c r="K4304">
        <f>VLOOKUP(A4304,Pr_Base_LNEC!$A$4:$J$6971,7,FALSE)</f>
        <v>0</v>
      </c>
    </row>
    <row r="4305" spans="1:11" ht="14.5">
      <c r="A4305" s="20" t="s">
        <v>24767</v>
      </c>
      <c r="B4305" s="20">
        <v>40</v>
      </c>
      <c r="C4305" s="20">
        <v>70</v>
      </c>
      <c r="D4305" s="20">
        <v>21</v>
      </c>
      <c r="E4305" s="20">
        <v>60</v>
      </c>
      <c r="F4305" s="20" t="s">
        <v>24768</v>
      </c>
      <c r="G4305" s="20" t="s">
        <v>24769</v>
      </c>
      <c r="H4305" s="24"/>
      <c r="I4305" s="24" t="str">
        <f ca="1">IFERROR(__xludf.DUMMYFUNCTION("GOOGLETRANSLATE(F4305,""en"",""pt"")"),"Passagem de máquinas de lavar louça")</f>
        <v>Passagem de máquinas de lavar louça</v>
      </c>
      <c r="J4305">
        <f>VLOOKUP(A4305,Pr_Base_LNEC!$A$4:$J$6971,6,FALSE)</f>
        <v>0</v>
      </c>
      <c r="K4305">
        <f>VLOOKUP(A4305,Pr_Base_LNEC!$A$4:$J$6971,7,FALSE)</f>
        <v>0</v>
      </c>
    </row>
    <row r="4306" spans="1:11" ht="14.5">
      <c r="A4306" s="20" t="s">
        <v>24770</v>
      </c>
      <c r="B4306" s="20">
        <v>40</v>
      </c>
      <c r="C4306" s="20">
        <v>70</v>
      </c>
      <c r="D4306" s="20">
        <v>21</v>
      </c>
      <c r="E4306" s="20">
        <v>92</v>
      </c>
      <c r="F4306" s="20" t="s">
        <v>24771</v>
      </c>
      <c r="G4306" s="20" t="s">
        <v>24772</v>
      </c>
      <c r="H4306" s="24"/>
      <c r="I4306" s="24" t="str">
        <f ca="1">IFERROR(__xludf.DUMMYFUNCTION("GOOGLETRANSLATE(F4306,""en"",""pt"")"),"máquinas de lavar loiça sob contra-")</f>
        <v>máquinas de lavar loiça sob contra-</v>
      </c>
      <c r="J4306">
        <f>VLOOKUP(A4306,Pr_Base_LNEC!$A$4:$J$6971,6,FALSE)</f>
        <v>0</v>
      </c>
      <c r="K4306">
        <f>VLOOKUP(A4306,Pr_Base_LNEC!$A$4:$J$6971,7,FALSE)</f>
        <v>0</v>
      </c>
    </row>
    <row r="4307" spans="1:11" ht="14.5">
      <c r="A4307" s="20" t="s">
        <v>24773</v>
      </c>
      <c r="B4307" s="20">
        <v>40</v>
      </c>
      <c r="C4307" s="20">
        <v>70</v>
      </c>
      <c r="D4307" s="20">
        <v>22</v>
      </c>
      <c r="E4307" s="24"/>
      <c r="F4307" s="20" t="s">
        <v>24774</v>
      </c>
      <c r="G4307" s="24"/>
      <c r="H4307" s="24"/>
      <c r="I4307" s="24" t="str">
        <f ca="1">IFERROR(__xludf.DUMMYFUNCTION("GOOGLETRANSLATE(F4307,""en"",""pt"")"),"Dispensadores e unidades de aceitação")</f>
        <v>Dispensadores e unidades de aceitação</v>
      </c>
      <c r="J4307">
        <f>VLOOKUP(A4307,Pr_Base_LNEC!$A$4:$J$6971,6,FALSE)</f>
        <v>0</v>
      </c>
      <c r="K4307">
        <f>VLOOKUP(A4307,Pr_Base_LNEC!$A$4:$J$6971,7,FALSE)</f>
        <v>0</v>
      </c>
    </row>
    <row r="4308" spans="1:11" ht="14.5">
      <c r="A4308" s="20" t="s">
        <v>24775</v>
      </c>
      <c r="B4308" s="20">
        <v>40</v>
      </c>
      <c r="C4308" s="20">
        <v>70</v>
      </c>
      <c r="D4308" s="20">
        <v>22</v>
      </c>
      <c r="E4308" s="20">
        <v>5</v>
      </c>
      <c r="F4308" s="20" t="s">
        <v>24776</v>
      </c>
      <c r="G4308" s="24"/>
      <c r="H4308" s="24"/>
      <c r="I4308" s="24" t="str">
        <f ca="1">IFERROR(__xludf.DUMMYFUNCTION("GOOGLETRANSLATE(F4308,""en"",""pt"")"),"caixas automáticos")</f>
        <v>caixas automáticos</v>
      </c>
      <c r="J4308">
        <f>VLOOKUP(A4308,Pr_Base_LNEC!$A$4:$J$6971,6,FALSE)</f>
        <v>0</v>
      </c>
      <c r="K4308">
        <f>VLOOKUP(A4308,Pr_Base_LNEC!$A$4:$J$6971,7,FALSE)</f>
        <v>0</v>
      </c>
    </row>
    <row r="4309" spans="1:11" ht="14.5">
      <c r="A4309" s="20" t="s">
        <v>24777</v>
      </c>
      <c r="B4309" s="20">
        <v>40</v>
      </c>
      <c r="C4309" s="20">
        <v>70</v>
      </c>
      <c r="D4309" s="20">
        <v>22</v>
      </c>
      <c r="E4309" s="20">
        <v>6</v>
      </c>
      <c r="F4309" s="20" t="s">
        <v>24778</v>
      </c>
      <c r="G4309" s="20" t="s">
        <v>24779</v>
      </c>
      <c r="H4309" s="24"/>
      <c r="I4309" s="24" t="str">
        <f ca="1">IFERROR(__xludf.DUMMYFUNCTION("GOOGLETRANSLATE(F4309,""en"",""pt"")"),"unidades de controle de estacionamento de barreira")</f>
        <v>unidades de controle de estacionamento de barreira</v>
      </c>
      <c r="J4309">
        <f>VLOOKUP(A4309,Pr_Base_LNEC!$A$4:$J$6971,6,FALSE)</f>
        <v>0</v>
      </c>
      <c r="K4309">
        <f>VLOOKUP(A4309,Pr_Base_LNEC!$A$4:$J$6971,7,FALSE)</f>
        <v>0</v>
      </c>
    </row>
    <row r="4310" spans="1:11" ht="14.5">
      <c r="A4310" s="20" t="s">
        <v>24780</v>
      </c>
      <c r="B4310" s="20">
        <v>40</v>
      </c>
      <c r="C4310" s="20">
        <v>70</v>
      </c>
      <c r="D4310" s="20">
        <v>22</v>
      </c>
      <c r="E4310" s="20">
        <v>11</v>
      </c>
      <c r="F4310" s="20" t="s">
        <v>24781</v>
      </c>
      <c r="G4310" s="24"/>
      <c r="H4310" s="24"/>
      <c r="I4310" s="24" t="str">
        <f ca="1">IFERROR(__xludf.DUMMYFUNCTION("GOOGLETRANSLATE(F4310,""en"",""pt"")"),"Caixa eletrônico")</f>
        <v>Caixa eletrônico</v>
      </c>
      <c r="J4310">
        <f>VLOOKUP(A4310,Pr_Base_LNEC!$A$4:$J$6971,6,FALSE)</f>
        <v>0</v>
      </c>
      <c r="K4310">
        <f>VLOOKUP(A4310,Pr_Base_LNEC!$A$4:$J$6971,7,FALSE)</f>
        <v>0</v>
      </c>
    </row>
    <row r="4311" spans="1:11" ht="14.5">
      <c r="A4311" s="20" t="s">
        <v>24782</v>
      </c>
      <c r="B4311" s="20">
        <v>40</v>
      </c>
      <c r="C4311" s="20">
        <v>70</v>
      </c>
      <c r="D4311" s="20">
        <v>22</v>
      </c>
      <c r="E4311" s="20">
        <v>15</v>
      </c>
      <c r="F4311" s="20" t="s">
        <v>24783</v>
      </c>
      <c r="G4311" s="24"/>
      <c r="H4311" s="24"/>
      <c r="I4311" s="24" t="str">
        <f ca="1">IFERROR(__xludf.DUMMYFUNCTION("GOOGLETRANSLATE(F4311,""en"",""pt"")"),"dispensadores de bebidas frias")</f>
        <v>dispensadores de bebidas frias</v>
      </c>
      <c r="J4311">
        <f>VLOOKUP(A4311,Pr_Base_LNEC!$A$4:$J$6971,6,FALSE)</f>
        <v>0</v>
      </c>
      <c r="K4311">
        <f>VLOOKUP(A4311,Pr_Base_LNEC!$A$4:$J$6971,7,FALSE)</f>
        <v>0</v>
      </c>
    </row>
    <row r="4312" spans="1:11" ht="14.5">
      <c r="A4312" s="20" t="s">
        <v>24784</v>
      </c>
      <c r="B4312" s="20">
        <v>40</v>
      </c>
      <c r="C4312" s="20">
        <v>70</v>
      </c>
      <c r="D4312" s="20">
        <v>22</v>
      </c>
      <c r="E4312" s="20">
        <v>16</v>
      </c>
      <c r="F4312" s="20" t="s">
        <v>24785</v>
      </c>
      <c r="G4312" s="24"/>
      <c r="H4312" s="24"/>
      <c r="I4312" s="24" t="str">
        <f ca="1">IFERROR(__xludf.DUMMYFUNCTION("GOOGLETRANSLATE(F4312,""en"",""pt"")"),"caixas de coleta")</f>
        <v>caixas de coleta</v>
      </c>
      <c r="J4312">
        <f>VLOOKUP(A4312,Pr_Base_LNEC!$A$4:$J$6971,6,FALSE)</f>
        <v>0</v>
      </c>
      <c r="K4312">
        <f>VLOOKUP(A4312,Pr_Base_LNEC!$A$4:$J$6971,7,FALSE)</f>
        <v>0</v>
      </c>
    </row>
    <row r="4313" spans="1:11" ht="14.5">
      <c r="A4313" s="20" t="s">
        <v>24786</v>
      </c>
      <c r="B4313" s="20">
        <v>40</v>
      </c>
      <c r="C4313" s="20">
        <v>70</v>
      </c>
      <c r="D4313" s="20">
        <v>22</v>
      </c>
      <c r="E4313" s="20">
        <v>17</v>
      </c>
      <c r="F4313" s="20" t="s">
        <v>24787</v>
      </c>
      <c r="G4313" s="24"/>
      <c r="H4313" s="24"/>
      <c r="I4313" s="24" t="str">
        <f ca="1">IFERROR(__xludf.DUMMYFUNCTION("GOOGLETRANSLATE(F4313,""en"",""pt"")"),"dispensadores de preservativos")</f>
        <v>dispensadores de preservativos</v>
      </c>
      <c r="J4313">
        <f>VLOOKUP(A4313,Pr_Base_LNEC!$A$4:$J$6971,6,FALSE)</f>
        <v>0</v>
      </c>
      <c r="K4313">
        <f>VLOOKUP(A4313,Pr_Base_LNEC!$A$4:$J$6971,7,FALSE)</f>
        <v>0</v>
      </c>
    </row>
    <row r="4314" spans="1:11" ht="14.5">
      <c r="A4314" s="20" t="s">
        <v>24788</v>
      </c>
      <c r="B4314" s="20">
        <v>40</v>
      </c>
      <c r="C4314" s="20">
        <v>70</v>
      </c>
      <c r="D4314" s="20">
        <v>22</v>
      </c>
      <c r="E4314" s="20">
        <v>22</v>
      </c>
      <c r="F4314" s="20" t="s">
        <v>24789</v>
      </c>
      <c r="G4314" s="20" t="s">
        <v>24790</v>
      </c>
      <c r="H4314" s="24"/>
      <c r="I4314" s="24" t="str">
        <f ca="1">IFERROR(__xludf.DUMMYFUNCTION("GOOGLETRANSLATE(F4314,""en"",""pt"")"),"dispensadores avental descartáveis")</f>
        <v>dispensadores avental descartáveis</v>
      </c>
      <c r="J4314">
        <f>VLOOKUP(A4314,Pr_Base_LNEC!$A$4:$J$6971,6,FALSE)</f>
        <v>0</v>
      </c>
      <c r="K4314">
        <f>VLOOKUP(A4314,Pr_Base_LNEC!$A$4:$J$6971,7,FALSE)</f>
        <v>0</v>
      </c>
    </row>
    <row r="4315" spans="1:11" ht="14.5">
      <c r="A4315" s="20" t="s">
        <v>24791</v>
      </c>
      <c r="B4315" s="20">
        <v>40</v>
      </c>
      <c r="C4315" s="20">
        <v>70</v>
      </c>
      <c r="D4315" s="20">
        <v>22</v>
      </c>
      <c r="E4315" s="20">
        <v>23</v>
      </c>
      <c r="F4315" s="20" t="s">
        <v>24792</v>
      </c>
      <c r="G4315" s="20" t="s">
        <v>24793</v>
      </c>
      <c r="H4315" s="24"/>
      <c r="I4315" s="24" t="str">
        <f ca="1">IFERROR(__xludf.DUMMYFUNCTION("GOOGLETRANSLATE(F4315,""en"",""pt"")"),"dispensadores de luvas descartáveis")</f>
        <v>dispensadores de luvas descartáveis</v>
      </c>
      <c r="J4315">
        <f>VLOOKUP(A4315,Pr_Base_LNEC!$A$4:$J$6971,6,FALSE)</f>
        <v>0</v>
      </c>
      <c r="K4315">
        <f>VLOOKUP(A4315,Pr_Base_LNEC!$A$4:$J$6971,7,FALSE)</f>
        <v>0</v>
      </c>
    </row>
    <row r="4316" spans="1:11" ht="14.5">
      <c r="A4316" s="20" t="s">
        <v>24794</v>
      </c>
      <c r="B4316" s="20">
        <v>40</v>
      </c>
      <c r="C4316" s="20">
        <v>70</v>
      </c>
      <c r="D4316" s="20">
        <v>22</v>
      </c>
      <c r="E4316" s="20">
        <v>24</v>
      </c>
      <c r="F4316" s="20" t="s">
        <v>24795</v>
      </c>
      <c r="G4316" s="20" t="s">
        <v>24796</v>
      </c>
      <c r="H4316" s="24"/>
      <c r="I4316" s="24" t="str">
        <f ca="1">IFERROR(__xludf.DUMMYFUNCTION("GOOGLETRANSLATE(F4316,""en"",""pt"")"),"caixas de doação")</f>
        <v>caixas de doação</v>
      </c>
      <c r="J4316">
        <f>VLOOKUP(A4316,Pr_Base_LNEC!$A$4:$J$6971,6,FALSE)</f>
        <v>0</v>
      </c>
      <c r="K4316">
        <f>VLOOKUP(A4316,Pr_Base_LNEC!$A$4:$J$6971,7,FALSE)</f>
        <v>0</v>
      </c>
    </row>
    <row r="4317" spans="1:11" ht="14.5">
      <c r="A4317" s="20" t="s">
        <v>24797</v>
      </c>
      <c r="B4317" s="20">
        <v>40</v>
      </c>
      <c r="C4317" s="20">
        <v>70</v>
      </c>
      <c r="D4317" s="20">
        <v>22</v>
      </c>
      <c r="E4317" s="20">
        <v>25</v>
      </c>
      <c r="F4317" s="20" t="s">
        <v>24798</v>
      </c>
      <c r="G4317" s="24"/>
      <c r="H4317" s="24"/>
      <c r="I4317" s="24" t="str">
        <f ca="1">IFERROR(__xludf.DUMMYFUNCTION("GOOGLETRANSLATE(F4317,""en"",""pt"")"),"Drive-by unidades pagamento em dinheiro")</f>
        <v>Drive-by unidades pagamento em dinheiro</v>
      </c>
      <c r="J4317">
        <f>VLOOKUP(A4317,Pr_Base_LNEC!$A$4:$J$6971,6,FALSE)</f>
        <v>0</v>
      </c>
      <c r="K4317">
        <f>VLOOKUP(A4317,Pr_Base_LNEC!$A$4:$J$6971,7,FALSE)</f>
        <v>0</v>
      </c>
    </row>
    <row r="4318" spans="1:11" ht="14.5">
      <c r="A4318" s="20" t="s">
        <v>24799</v>
      </c>
      <c r="B4318" s="20">
        <v>40</v>
      </c>
      <c r="C4318" s="20">
        <v>70</v>
      </c>
      <c r="D4318" s="20">
        <v>22</v>
      </c>
      <c r="E4318" s="20">
        <v>29</v>
      </c>
      <c r="F4318" s="20" t="s">
        <v>24800</v>
      </c>
      <c r="G4318" s="20" t="s">
        <v>24801</v>
      </c>
      <c r="H4318" s="24"/>
      <c r="I4318" s="24" t="str">
        <f ca="1">IFERROR(__xludf.DUMMYFUNCTION("GOOGLETRANSLATE(F4318,""en"",""pt"")"),"dispensadores de tecido facial")</f>
        <v>dispensadores de tecido facial</v>
      </c>
      <c r="J4318">
        <f>VLOOKUP(A4318,Pr_Base_LNEC!$A$4:$J$6971,6,FALSE)</f>
        <v>0</v>
      </c>
      <c r="K4318">
        <f>VLOOKUP(A4318,Pr_Base_LNEC!$A$4:$J$6971,7,FALSE)</f>
        <v>0</v>
      </c>
    </row>
    <row r="4319" spans="1:11" ht="14.5">
      <c r="A4319" s="20" t="s">
        <v>24802</v>
      </c>
      <c r="B4319" s="20">
        <v>40</v>
      </c>
      <c r="C4319" s="20">
        <v>70</v>
      </c>
      <c r="D4319" s="20">
        <v>22</v>
      </c>
      <c r="E4319" s="20">
        <v>31</v>
      </c>
      <c r="F4319" s="20" t="s">
        <v>24803</v>
      </c>
      <c r="G4319" s="20" t="s">
        <v>24804</v>
      </c>
      <c r="H4319" s="24"/>
      <c r="I4319" s="24" t="str">
        <f ca="1">IFERROR(__xludf.DUMMYFUNCTION("GOOGLETRANSLATE(F4319,""en"",""pt"")"),"unidades de eliminação de resíduos alimentares")</f>
        <v>unidades de eliminação de resíduos alimentares</v>
      </c>
      <c r="J4319">
        <f>VLOOKUP(A4319,Pr_Base_LNEC!$A$4:$J$6971,6,FALSE)</f>
        <v>0</v>
      </c>
      <c r="K4319">
        <f>VLOOKUP(A4319,Pr_Base_LNEC!$A$4:$J$6971,7,FALSE)</f>
        <v>0</v>
      </c>
    </row>
    <row r="4320" spans="1:11" ht="14.5">
      <c r="A4320" s="20" t="s">
        <v>24805</v>
      </c>
      <c r="B4320" s="20">
        <v>40</v>
      </c>
      <c r="C4320" s="20">
        <v>70</v>
      </c>
      <c r="D4320" s="20">
        <v>22</v>
      </c>
      <c r="E4320" s="20">
        <v>36</v>
      </c>
      <c r="F4320" s="20" t="s">
        <v>24806</v>
      </c>
      <c r="G4320" s="20" t="s">
        <v>24807</v>
      </c>
      <c r="H4320" s="24"/>
      <c r="I4320" s="24" t="str">
        <f ca="1">IFERROR(__xludf.DUMMYFUNCTION("GOOGLETRANSLATE(F4320,""en"",""pt"")"),"dispensadores de gel de limpeza manuais")</f>
        <v>dispensadores de gel de limpeza manuais</v>
      </c>
      <c r="J4320">
        <f>VLOOKUP(A4320,Pr_Base_LNEC!$A$4:$J$6971,6,FALSE)</f>
        <v>0</v>
      </c>
      <c r="K4320">
        <f>VLOOKUP(A4320,Pr_Base_LNEC!$A$4:$J$6971,7,FALSE)</f>
        <v>0</v>
      </c>
    </row>
    <row r="4321" spans="1:11" ht="14.5">
      <c r="A4321" s="20" t="s">
        <v>24808</v>
      </c>
      <c r="B4321" s="20">
        <v>40</v>
      </c>
      <c r="C4321" s="20">
        <v>70</v>
      </c>
      <c r="D4321" s="20">
        <v>22</v>
      </c>
      <c r="E4321" s="20">
        <v>37</v>
      </c>
      <c r="F4321" s="20" t="s">
        <v>24809</v>
      </c>
      <c r="G4321" s="24"/>
      <c r="H4321" s="24"/>
      <c r="I4321" s="24" t="str">
        <f ca="1">IFERROR(__xludf.DUMMYFUNCTION("GOOGLETRANSLATE(F4321,""en"",""pt"")"),"dispensadores de bebidas quentes")</f>
        <v>dispensadores de bebidas quentes</v>
      </c>
      <c r="J4321">
        <f>VLOOKUP(A4321,Pr_Base_LNEC!$A$4:$J$6971,6,FALSE)</f>
        <v>0</v>
      </c>
      <c r="K4321">
        <f>VLOOKUP(A4321,Pr_Base_LNEC!$A$4:$J$6971,7,FALSE)</f>
        <v>0</v>
      </c>
    </row>
    <row r="4322" spans="1:11" ht="14.5">
      <c r="A4322" s="20" t="s">
        <v>24810</v>
      </c>
      <c r="B4322" s="20">
        <v>40</v>
      </c>
      <c r="C4322" s="20">
        <v>70</v>
      </c>
      <c r="D4322" s="20">
        <v>22</v>
      </c>
      <c r="E4322" s="20">
        <v>38</v>
      </c>
      <c r="F4322" s="20" t="s">
        <v>24811</v>
      </c>
      <c r="G4322" s="24"/>
      <c r="H4322" s="24"/>
      <c r="I4322" s="24" t="str">
        <f ca="1">IFERROR(__xludf.DUMMYFUNCTION("GOOGLETRANSLATE(F4322,""en"",""pt"")"),"dispensadores de comida quente")</f>
        <v>dispensadores de comida quente</v>
      </c>
      <c r="J4322">
        <f>VLOOKUP(A4322,Pr_Base_LNEC!$A$4:$J$6971,6,FALSE)</f>
        <v>0</v>
      </c>
      <c r="K4322">
        <f>VLOOKUP(A4322,Pr_Base_LNEC!$A$4:$J$6971,7,FALSE)</f>
        <v>0</v>
      </c>
    </row>
    <row r="4323" spans="1:11" ht="14.5">
      <c r="A4323" s="20" t="s">
        <v>24812</v>
      </c>
      <c r="B4323" s="20">
        <v>40</v>
      </c>
      <c r="C4323" s="20">
        <v>70</v>
      </c>
      <c r="D4323" s="20">
        <v>22</v>
      </c>
      <c r="E4323" s="20">
        <v>47</v>
      </c>
      <c r="F4323" s="20" t="s">
        <v>24813</v>
      </c>
      <c r="G4323" s="20" t="s">
        <v>24814</v>
      </c>
      <c r="H4323" s="24"/>
      <c r="I4323" s="24" t="str">
        <f ca="1">IFERROR(__xludf.DUMMYFUNCTION("GOOGLETRANSLATE(F4323,""en"",""pt"")"),"dispensadores de folhetos")</f>
        <v>dispensadores de folhetos</v>
      </c>
      <c r="J4323">
        <f>VLOOKUP(A4323,Pr_Base_LNEC!$A$4:$J$6971,6,FALSE)</f>
        <v>0</v>
      </c>
      <c r="K4323">
        <f>VLOOKUP(A4323,Pr_Base_LNEC!$A$4:$J$6971,7,FALSE)</f>
        <v>0</v>
      </c>
    </row>
    <row r="4324" spans="1:11" ht="14.5">
      <c r="A4324" s="20" t="s">
        <v>24815</v>
      </c>
      <c r="B4324" s="20">
        <v>40</v>
      </c>
      <c r="C4324" s="20">
        <v>70</v>
      </c>
      <c r="D4324" s="20">
        <v>22</v>
      </c>
      <c r="E4324" s="20">
        <v>52</v>
      </c>
      <c r="F4324" s="20" t="s">
        <v>24816</v>
      </c>
      <c r="G4324" s="20" t="s">
        <v>24817</v>
      </c>
      <c r="H4324" s="24"/>
      <c r="I4324" s="24" t="str">
        <f ca="1">IFERROR(__xludf.DUMMYFUNCTION("GOOGLETRANSLATE(F4324,""en"",""pt"")"),"dispensadores multi-funções")</f>
        <v>dispensadores multi-funções</v>
      </c>
      <c r="J4324">
        <f>VLOOKUP(A4324,Pr_Base_LNEC!$A$4:$J$6971,6,FALSE)</f>
        <v>0</v>
      </c>
      <c r="K4324">
        <f>VLOOKUP(A4324,Pr_Base_LNEC!$A$4:$J$6971,7,FALSE)</f>
        <v>0</v>
      </c>
    </row>
    <row r="4325" spans="1:11" ht="14.5">
      <c r="A4325" s="20" t="s">
        <v>24818</v>
      </c>
      <c r="B4325" s="20">
        <v>40</v>
      </c>
      <c r="C4325" s="20">
        <v>70</v>
      </c>
      <c r="D4325" s="20">
        <v>22</v>
      </c>
      <c r="E4325" s="20">
        <v>56</v>
      </c>
      <c r="F4325" s="20" t="s">
        <v>24819</v>
      </c>
      <c r="G4325" s="24"/>
      <c r="H4325" s="24"/>
      <c r="I4325" s="24" t="str">
        <f ca="1">IFERROR(__xludf.DUMMYFUNCTION("GOOGLETRANSLATE(F4325,""en"",""pt"")"),"dispensadores de jornais")</f>
        <v>dispensadores de jornais</v>
      </c>
      <c r="J4325">
        <f>VLOOKUP(A4325,Pr_Base_LNEC!$A$4:$J$6971,6,FALSE)</f>
        <v>0</v>
      </c>
      <c r="K4325">
        <f>VLOOKUP(A4325,Pr_Base_LNEC!$A$4:$J$6971,7,FALSE)</f>
        <v>0</v>
      </c>
    </row>
    <row r="4326" spans="1:11" ht="14.5">
      <c r="A4326" s="20" t="s">
        <v>24820</v>
      </c>
      <c r="B4326" s="20">
        <v>40</v>
      </c>
      <c r="C4326" s="20">
        <v>70</v>
      </c>
      <c r="D4326" s="20">
        <v>22</v>
      </c>
      <c r="E4326" s="20">
        <v>60</v>
      </c>
      <c r="F4326" s="20" t="s">
        <v>24821</v>
      </c>
      <c r="G4326" s="24"/>
      <c r="H4326" s="24"/>
      <c r="I4326" s="24" t="str">
        <f ca="1">IFERROR(__xludf.DUMMYFUNCTION("GOOGLETRANSLATE(F4326,""en"",""pt"")"),"dispensadores de produtos embalados")</f>
        <v>dispensadores de produtos embalados</v>
      </c>
      <c r="J4326">
        <f>VLOOKUP(A4326,Pr_Base_LNEC!$A$4:$J$6971,6,FALSE)</f>
        <v>0</v>
      </c>
      <c r="K4326">
        <f>VLOOKUP(A4326,Pr_Base_LNEC!$A$4:$J$6971,7,FALSE)</f>
        <v>0</v>
      </c>
    </row>
    <row r="4327" spans="1:11" ht="14.5">
      <c r="A4327" s="20" t="s">
        <v>24822</v>
      </c>
      <c r="B4327" s="20">
        <v>40</v>
      </c>
      <c r="C4327" s="20">
        <v>70</v>
      </c>
      <c r="D4327" s="20">
        <v>22</v>
      </c>
      <c r="E4327" s="20">
        <v>61</v>
      </c>
      <c r="F4327" s="20" t="s">
        <v>24823</v>
      </c>
      <c r="G4327" s="20" t="s">
        <v>24824</v>
      </c>
      <c r="H4327" s="24"/>
      <c r="I4327" s="24" t="str">
        <f ca="1">IFERROR(__xludf.DUMMYFUNCTION("GOOGLETRANSLATE(F4327,""en"",""pt"")"),"dispensadores de rolo de papel")</f>
        <v>dispensadores de rolo de papel</v>
      </c>
      <c r="J4327">
        <f>VLOOKUP(A4327,Pr_Base_LNEC!$A$4:$J$6971,6,FALSE)</f>
        <v>0</v>
      </c>
      <c r="K4327">
        <f>VLOOKUP(A4327,Pr_Base_LNEC!$A$4:$J$6971,7,FALSE)</f>
        <v>0</v>
      </c>
    </row>
    <row r="4328" spans="1:11" ht="14.5">
      <c r="A4328" s="20" t="s">
        <v>24825</v>
      </c>
      <c r="B4328" s="20">
        <v>40</v>
      </c>
      <c r="C4328" s="20">
        <v>70</v>
      </c>
      <c r="D4328" s="20">
        <v>22</v>
      </c>
      <c r="E4328" s="20">
        <v>62</v>
      </c>
      <c r="F4328" s="20" t="s">
        <v>24826</v>
      </c>
      <c r="G4328" s="20" t="s">
        <v>24827</v>
      </c>
      <c r="H4328" s="24"/>
      <c r="I4328" s="24" t="str">
        <f ca="1">IFERROR(__xludf.DUMMYFUNCTION("GOOGLETRANSLATE(F4328,""en"",""pt"")"),"dispensadores de papel toalha")</f>
        <v>dispensadores de papel toalha</v>
      </c>
      <c r="J4328">
        <f>VLOOKUP(A4328,Pr_Base_LNEC!$A$4:$J$6971,6,FALSE)</f>
        <v>0</v>
      </c>
      <c r="K4328">
        <f>VLOOKUP(A4328,Pr_Base_LNEC!$A$4:$J$6971,7,FALSE)</f>
        <v>0</v>
      </c>
    </row>
    <row r="4329" spans="1:11" ht="14.5">
      <c r="A4329" s="20" t="s">
        <v>24828</v>
      </c>
      <c r="B4329" s="20">
        <v>40</v>
      </c>
      <c r="C4329" s="20">
        <v>70</v>
      </c>
      <c r="D4329" s="20">
        <v>22</v>
      </c>
      <c r="E4329" s="20">
        <v>63</v>
      </c>
      <c r="F4329" s="20" t="s">
        <v>24829</v>
      </c>
      <c r="G4329" s="20" t="s">
        <v>24830</v>
      </c>
      <c r="H4329" s="24"/>
      <c r="I4329" s="24" t="str">
        <f ca="1">IFERROR(__xludf.DUMMYFUNCTION("GOOGLETRANSLATE(F4329,""en"",""pt"")"),"Parquímetros")</f>
        <v>Parquímetros</v>
      </c>
      <c r="J4329">
        <f>VLOOKUP(A4329,Pr_Base_LNEC!$A$4:$J$6971,6,FALSE)</f>
        <v>0</v>
      </c>
      <c r="K4329">
        <f>VLOOKUP(A4329,Pr_Base_LNEC!$A$4:$J$6971,7,FALSE)</f>
        <v>0</v>
      </c>
    </row>
    <row r="4330" spans="1:11" ht="14.5">
      <c r="A4330" s="20" t="s">
        <v>24831</v>
      </c>
      <c r="B4330" s="20">
        <v>40</v>
      </c>
      <c r="C4330" s="20">
        <v>70</v>
      </c>
      <c r="D4330" s="20">
        <v>22</v>
      </c>
      <c r="E4330" s="20">
        <v>64</v>
      </c>
      <c r="F4330" s="20" t="s">
        <v>24832</v>
      </c>
      <c r="G4330" s="20" t="s">
        <v>24833</v>
      </c>
      <c r="H4330" s="24"/>
      <c r="I4330" s="24" t="str">
        <f ca="1">IFERROR(__xludf.DUMMYFUNCTION("GOOGLETRANSLATE(F4330,""en"",""pt"")"),"unidades pay and display")</f>
        <v>unidades pay and display</v>
      </c>
      <c r="J4330">
        <f>VLOOKUP(A4330,Pr_Base_LNEC!$A$4:$J$6971,6,FALSE)</f>
        <v>0</v>
      </c>
      <c r="K4330">
        <f>VLOOKUP(A4330,Pr_Base_LNEC!$A$4:$J$6971,7,FALSE)</f>
        <v>0</v>
      </c>
    </row>
    <row r="4331" spans="1:11" ht="14.5">
      <c r="A4331" s="20" t="s">
        <v>24834</v>
      </c>
      <c r="B4331" s="20">
        <v>40</v>
      </c>
      <c r="C4331" s="20">
        <v>70</v>
      </c>
      <c r="D4331" s="20">
        <v>22</v>
      </c>
      <c r="E4331" s="20">
        <v>66</v>
      </c>
      <c r="F4331" s="20" t="s">
        <v>24835</v>
      </c>
      <c r="G4331" s="20" t="s">
        <v>24836</v>
      </c>
      <c r="H4331" s="24"/>
      <c r="I4331" s="24" t="str">
        <f ca="1">IFERROR(__xludf.DUMMYFUNCTION("GOOGLETRANSLATE(F4331,""en"",""pt"")"),"dispensadores de placa")</f>
        <v>dispensadores de placa</v>
      </c>
      <c r="J4331">
        <f>VLOOKUP(A4331,Pr_Base_LNEC!$A$4:$J$6971,6,FALSE)</f>
        <v>0</v>
      </c>
      <c r="K4331">
        <f>VLOOKUP(A4331,Pr_Base_LNEC!$A$4:$J$6971,7,FALSE)</f>
        <v>0</v>
      </c>
    </row>
    <row r="4332" spans="1:11" ht="14.5">
      <c r="A4332" s="20" t="s">
        <v>24837</v>
      </c>
      <c r="B4332" s="20">
        <v>40</v>
      </c>
      <c r="C4332" s="20">
        <v>70</v>
      </c>
      <c r="D4332" s="20">
        <v>22</v>
      </c>
      <c r="E4332" s="20">
        <v>71</v>
      </c>
      <c r="F4332" s="20" t="s">
        <v>24838</v>
      </c>
      <c r="G4332" s="20" t="s">
        <v>24839</v>
      </c>
      <c r="H4332" s="24"/>
      <c r="I4332" s="24" t="str">
        <f ca="1">IFERROR(__xludf.DUMMYFUNCTION("GOOGLETRANSLATE(F4332,""en"",""pt"")"),"dispensadores Refresco")</f>
        <v>dispensadores Refresco</v>
      </c>
      <c r="J4332">
        <f>VLOOKUP(A4332,Pr_Base_LNEC!$A$4:$J$6971,6,FALSE)</f>
        <v>0</v>
      </c>
      <c r="K4332">
        <f>VLOOKUP(A4332,Pr_Base_LNEC!$A$4:$J$6971,7,FALSE)</f>
        <v>0</v>
      </c>
    </row>
    <row r="4333" spans="1:11" ht="14.5">
      <c r="A4333" s="20" t="s">
        <v>24840</v>
      </c>
      <c r="B4333" s="20">
        <v>40</v>
      </c>
      <c r="C4333" s="20">
        <v>70</v>
      </c>
      <c r="D4333" s="20">
        <v>22</v>
      </c>
      <c r="E4333" s="20">
        <v>75</v>
      </c>
      <c r="F4333" s="20" t="s">
        <v>24841</v>
      </c>
      <c r="G4333" s="20" t="s">
        <v>24842</v>
      </c>
      <c r="H4333" s="24"/>
      <c r="I4333" s="24" t="str">
        <f ca="1">IFERROR(__xludf.DUMMYFUNCTION("GOOGLETRANSLATE(F4333,""en"",""pt"")"),"dispensadores de toalhas sanitárias")</f>
        <v>dispensadores de toalhas sanitárias</v>
      </c>
      <c r="J4333">
        <f>VLOOKUP(A4333,Pr_Base_LNEC!$A$4:$J$6971,6,FALSE)</f>
        <v>0</v>
      </c>
      <c r="K4333">
        <f>VLOOKUP(A4333,Pr_Base_LNEC!$A$4:$J$6971,7,FALSE)</f>
        <v>0</v>
      </c>
    </row>
    <row r="4334" spans="1:11" ht="14.5">
      <c r="A4334" s="20" t="s">
        <v>24843</v>
      </c>
      <c r="B4334" s="20">
        <v>40</v>
      </c>
      <c r="C4334" s="20">
        <v>70</v>
      </c>
      <c r="D4334" s="20">
        <v>22</v>
      </c>
      <c r="E4334" s="20">
        <v>77</v>
      </c>
      <c r="F4334" s="20" t="s">
        <v>24844</v>
      </c>
      <c r="G4334" s="24"/>
      <c r="H4334" s="24"/>
      <c r="I4334" s="24" t="str">
        <f ca="1">IFERROR(__xludf.DUMMYFUNCTION("GOOGLETRANSLATE(F4334,""en"",""pt"")"),"distribuidores de produtos de barbear")</f>
        <v>distribuidores de produtos de barbear</v>
      </c>
      <c r="J4334">
        <f>VLOOKUP(A4334,Pr_Base_LNEC!$A$4:$J$6971,6,FALSE)</f>
        <v>0</v>
      </c>
      <c r="K4334">
        <f>VLOOKUP(A4334,Pr_Base_LNEC!$A$4:$J$6971,7,FALSE)</f>
        <v>0</v>
      </c>
    </row>
    <row r="4335" spans="1:11" ht="14.5">
      <c r="A4335" s="20" t="s">
        <v>24845</v>
      </c>
      <c r="B4335" s="20">
        <v>40</v>
      </c>
      <c r="C4335" s="20">
        <v>70</v>
      </c>
      <c r="D4335" s="20">
        <v>22</v>
      </c>
      <c r="E4335" s="20">
        <v>80</v>
      </c>
      <c r="F4335" s="20" t="s">
        <v>24846</v>
      </c>
      <c r="G4335" s="24"/>
      <c r="H4335" s="24"/>
      <c r="I4335" s="24" t="str">
        <f ca="1">IFERROR(__xludf.DUMMYFUNCTION("GOOGLETRANSLATE(F4335,""en"",""pt"")"),"dispensadores de lanche")</f>
        <v>dispensadores de lanche</v>
      </c>
      <c r="J4335">
        <f>VLOOKUP(A4335,Pr_Base_LNEC!$A$4:$J$6971,6,FALSE)</f>
        <v>0</v>
      </c>
      <c r="K4335">
        <f>VLOOKUP(A4335,Pr_Base_LNEC!$A$4:$J$6971,7,FALSE)</f>
        <v>0</v>
      </c>
    </row>
    <row r="4336" spans="1:11" ht="14.5">
      <c r="A4336" s="20" t="s">
        <v>24847</v>
      </c>
      <c r="B4336" s="20">
        <v>40</v>
      </c>
      <c r="C4336" s="20">
        <v>70</v>
      </c>
      <c r="D4336" s="20">
        <v>22</v>
      </c>
      <c r="E4336" s="20">
        <v>81</v>
      </c>
      <c r="F4336" s="20" t="s">
        <v>24848</v>
      </c>
      <c r="G4336" s="20" t="s">
        <v>24849</v>
      </c>
      <c r="H4336" s="24"/>
      <c r="I4336" s="24" t="str">
        <f ca="1">IFERROR(__xludf.DUMMYFUNCTION("GOOGLETRANSLATE(F4336,""en"",""pt"")"),"dispensadores de sabão")</f>
        <v>dispensadores de sabão</v>
      </c>
      <c r="J4336">
        <f>VLOOKUP(A4336,Pr_Base_LNEC!$A$4:$J$6971,6,FALSE)</f>
        <v>0</v>
      </c>
      <c r="K4336">
        <f>VLOOKUP(A4336,Pr_Base_LNEC!$A$4:$J$6971,7,FALSE)</f>
        <v>0</v>
      </c>
    </row>
    <row r="4337" spans="1:11" ht="14.5">
      <c r="A4337" s="20" t="s">
        <v>24850</v>
      </c>
      <c r="B4337" s="20">
        <v>40</v>
      </c>
      <c r="C4337" s="20">
        <v>70</v>
      </c>
      <c r="D4337" s="20">
        <v>22</v>
      </c>
      <c r="E4337" s="20">
        <v>85</v>
      </c>
      <c r="F4337" s="20" t="s">
        <v>24851</v>
      </c>
      <c r="G4337" s="20" t="s">
        <v>24852</v>
      </c>
      <c r="H4337" s="24"/>
      <c r="I4337" s="24" t="str">
        <f ca="1">IFERROR(__xludf.DUMMYFUNCTION("GOOGLETRANSLATE(F4337,""en"",""pt"")"),"Superfície limpa dispensadores")</f>
        <v>Superfície limpa dispensadores</v>
      </c>
      <c r="J4337">
        <f>VLOOKUP(A4337,Pr_Base_LNEC!$A$4:$J$6971,6,FALSE)</f>
        <v>0</v>
      </c>
      <c r="K4337">
        <f>VLOOKUP(A4337,Pr_Base_LNEC!$A$4:$J$6971,7,FALSE)</f>
        <v>0</v>
      </c>
    </row>
    <row r="4338" spans="1:11" ht="14.5">
      <c r="A4338" s="20" t="s">
        <v>24853</v>
      </c>
      <c r="B4338" s="20">
        <v>40</v>
      </c>
      <c r="C4338" s="20">
        <v>70</v>
      </c>
      <c r="D4338" s="20">
        <v>22</v>
      </c>
      <c r="E4338" s="20">
        <v>86</v>
      </c>
      <c r="F4338" s="20" t="s">
        <v>24854</v>
      </c>
      <c r="G4338" s="24"/>
      <c r="H4338" s="24"/>
      <c r="I4338" s="24" t="str">
        <f ca="1">IFERROR(__xludf.DUMMYFUNCTION("GOOGLETRANSLATE(F4338,""en"",""pt"")"),"doces dispensadores")</f>
        <v>doces dispensadores</v>
      </c>
      <c r="J4338">
        <f>VLOOKUP(A4338,Pr_Base_LNEC!$A$4:$J$6971,6,FALSE)</f>
        <v>0</v>
      </c>
      <c r="K4338">
        <f>VLOOKUP(A4338,Pr_Base_LNEC!$A$4:$J$6971,7,FALSE)</f>
        <v>0</v>
      </c>
    </row>
    <row r="4339" spans="1:11" ht="14.5">
      <c r="A4339" s="20" t="s">
        <v>24855</v>
      </c>
      <c r="B4339" s="20">
        <v>40</v>
      </c>
      <c r="C4339" s="20">
        <v>70</v>
      </c>
      <c r="D4339" s="20">
        <v>22</v>
      </c>
      <c r="E4339" s="20">
        <v>88</v>
      </c>
      <c r="F4339" s="20" t="s">
        <v>24856</v>
      </c>
      <c r="G4339" s="24"/>
      <c r="H4339" s="24"/>
      <c r="I4339" s="24" t="str">
        <f ca="1">IFERROR(__xludf.DUMMYFUNCTION("GOOGLETRANSLATE(F4339,""en"",""pt"")"),"distribuidores de bilhetes")</f>
        <v>distribuidores de bilhetes</v>
      </c>
      <c r="J4339">
        <f>VLOOKUP(A4339,Pr_Base_LNEC!$A$4:$J$6971,6,FALSE)</f>
        <v>0</v>
      </c>
      <c r="K4339">
        <f>VLOOKUP(A4339,Pr_Base_LNEC!$A$4:$J$6971,7,FALSE)</f>
        <v>0</v>
      </c>
    </row>
    <row r="4340" spans="1:11" ht="14.5">
      <c r="A4340" s="20" t="s">
        <v>24857</v>
      </c>
      <c r="B4340" s="20">
        <v>40</v>
      </c>
      <c r="C4340" s="20">
        <v>70</v>
      </c>
      <c r="D4340" s="20">
        <v>22</v>
      </c>
      <c r="E4340" s="20">
        <v>90</v>
      </c>
      <c r="F4340" s="20" t="s">
        <v>24858</v>
      </c>
      <c r="G4340" s="20" t="s">
        <v>24859</v>
      </c>
      <c r="H4340" s="24"/>
      <c r="I4340" s="24" t="str">
        <f ca="1">IFERROR(__xludf.DUMMYFUNCTION("GOOGLETRANSLATE(F4340,""en"",""pt"")"),"dispensadores de papel higiénico")</f>
        <v>dispensadores de papel higiénico</v>
      </c>
      <c r="J4340">
        <f>VLOOKUP(A4340,Pr_Base_LNEC!$A$4:$J$6971,6,FALSE)</f>
        <v>0</v>
      </c>
      <c r="K4340">
        <f>VLOOKUP(A4340,Pr_Base_LNEC!$A$4:$J$6971,7,FALSE)</f>
        <v>0</v>
      </c>
    </row>
    <row r="4341" spans="1:11" ht="14.5">
      <c r="A4341" s="20" t="s">
        <v>24860</v>
      </c>
      <c r="B4341" s="20">
        <v>40</v>
      </c>
      <c r="C4341" s="20">
        <v>70</v>
      </c>
      <c r="D4341" s="20">
        <v>22</v>
      </c>
      <c r="E4341" s="20">
        <v>92</v>
      </c>
      <c r="F4341" s="20" t="s">
        <v>24861</v>
      </c>
      <c r="G4341" s="24"/>
      <c r="H4341" s="24"/>
      <c r="I4341" s="24" t="str">
        <f ca="1">IFERROR(__xludf.DUMMYFUNCTION("GOOGLETRANSLATE(F4341,""en"",""pt"")"),"dispensadores de ferramentas")</f>
        <v>dispensadores de ferramentas</v>
      </c>
      <c r="J4341">
        <f>VLOOKUP(A4341,Pr_Base_LNEC!$A$4:$J$6971,6,FALSE)</f>
        <v>0</v>
      </c>
      <c r="K4341">
        <f>VLOOKUP(A4341,Pr_Base_LNEC!$A$4:$J$6971,7,FALSE)</f>
        <v>0</v>
      </c>
    </row>
    <row r="4342" spans="1:11" ht="14.5">
      <c r="A4342" s="20" t="s">
        <v>24862</v>
      </c>
      <c r="B4342" s="20">
        <v>40</v>
      </c>
      <c r="C4342" s="20">
        <v>70</v>
      </c>
      <c r="D4342" s="20">
        <v>23</v>
      </c>
      <c r="E4342" s="24"/>
      <c r="F4342" s="20" t="s">
        <v>24863</v>
      </c>
      <c r="G4342" s="24"/>
      <c r="H4342" s="24"/>
      <c r="I4342" s="24" t="str">
        <f ca="1">IFERROR(__xludf.DUMMYFUNCTION("GOOGLETRANSLATE(F4342,""en"",""pt"")"),"Display e serviços de catering produtos")</f>
        <v>Display e serviços de catering produtos</v>
      </c>
      <c r="J4342">
        <f>VLOOKUP(A4342,Pr_Base_LNEC!$A$4:$J$6971,6,FALSE)</f>
        <v>0</v>
      </c>
      <c r="K4342">
        <f>VLOOKUP(A4342,Pr_Base_LNEC!$A$4:$J$6971,7,FALSE)</f>
        <v>0</v>
      </c>
    </row>
    <row r="4343" spans="1:11" ht="14.5">
      <c r="A4343" s="20" t="s">
        <v>24864</v>
      </c>
      <c r="B4343" s="20">
        <v>40</v>
      </c>
      <c r="C4343" s="20">
        <v>70</v>
      </c>
      <c r="D4343" s="20">
        <v>23</v>
      </c>
      <c r="E4343" s="20">
        <v>6</v>
      </c>
      <c r="F4343" s="20" t="s">
        <v>24865</v>
      </c>
      <c r="G4343" s="20" t="s">
        <v>24866</v>
      </c>
      <c r="H4343" s="24"/>
      <c r="I4343" s="24" t="str">
        <f ca="1">IFERROR(__xludf.DUMMYFUNCTION("GOOGLETRANSLATE(F4343,""en"",""pt"")"),"Bains-marie")</f>
        <v>Bains-marie</v>
      </c>
      <c r="J4343">
        <f>VLOOKUP(A4343,Pr_Base_LNEC!$A$4:$J$6971,6,FALSE)</f>
        <v>0</v>
      </c>
      <c r="K4343">
        <f>VLOOKUP(A4343,Pr_Base_LNEC!$A$4:$J$6971,7,FALSE)</f>
        <v>0</v>
      </c>
    </row>
    <row r="4344" spans="1:11" ht="14.5">
      <c r="A4344" s="20" t="s">
        <v>24867</v>
      </c>
      <c r="B4344" s="20">
        <v>40</v>
      </c>
      <c r="C4344" s="20">
        <v>70</v>
      </c>
      <c r="D4344" s="20">
        <v>23</v>
      </c>
      <c r="E4344" s="20">
        <v>24</v>
      </c>
      <c r="F4344" s="20" t="s">
        <v>24868</v>
      </c>
      <c r="G4344" s="24"/>
      <c r="H4344" s="24"/>
      <c r="I4344" s="24" t="str">
        <f ca="1">IFERROR(__xludf.DUMMYFUNCTION("GOOGLETRANSLATE(F4344,""en"",""pt"")"),"bebidas chillers")</f>
        <v>bebidas chillers</v>
      </c>
      <c r="J4344">
        <f>VLOOKUP(A4344,Pr_Base_LNEC!$A$4:$J$6971,6,FALSE)</f>
        <v>0</v>
      </c>
      <c r="K4344">
        <f>VLOOKUP(A4344,Pr_Base_LNEC!$A$4:$J$6971,7,FALSE)</f>
        <v>0</v>
      </c>
    </row>
    <row r="4345" spans="1:11" ht="14.5">
      <c r="A4345" s="20" t="s">
        <v>24869</v>
      </c>
      <c r="B4345" s="20">
        <v>40</v>
      </c>
      <c r="C4345" s="20">
        <v>70</v>
      </c>
      <c r="D4345" s="20">
        <v>23</v>
      </c>
      <c r="E4345" s="20">
        <v>27</v>
      </c>
      <c r="F4345" s="20" t="s">
        <v>24870</v>
      </c>
      <c r="G4345" s="24"/>
      <c r="H4345" s="24"/>
      <c r="I4345" s="24" t="str">
        <f ca="1">IFERROR(__xludf.DUMMYFUNCTION("GOOGLETRANSLATE(F4345,""en"",""pt"")"),"máquinas de café expresso")</f>
        <v>máquinas de café expresso</v>
      </c>
      <c r="J4345">
        <f>VLOOKUP(A4345,Pr_Base_LNEC!$A$4:$J$6971,6,FALSE)</f>
        <v>0</v>
      </c>
      <c r="K4345">
        <f>VLOOKUP(A4345,Pr_Base_LNEC!$A$4:$J$6971,7,FALSE)</f>
        <v>0</v>
      </c>
    </row>
    <row r="4346" spans="1:11" ht="14.5">
      <c r="A4346" s="20" t="s">
        <v>24871</v>
      </c>
      <c r="B4346" s="20">
        <v>40</v>
      </c>
      <c r="C4346" s="20">
        <v>70</v>
      </c>
      <c r="D4346" s="20">
        <v>23</v>
      </c>
      <c r="E4346" s="20">
        <v>31</v>
      </c>
      <c r="F4346" s="20" t="s">
        <v>24872</v>
      </c>
      <c r="G4346" s="24"/>
      <c r="H4346" s="24"/>
      <c r="I4346" s="24" t="str">
        <f ca="1">IFERROR(__xludf.DUMMYFUNCTION("GOOGLETRANSLATE(F4346,""en"",""pt"")"),"unidades de exibição de alimentos")</f>
        <v>unidades de exibição de alimentos</v>
      </c>
      <c r="J4346">
        <f>VLOOKUP(A4346,Pr_Base_LNEC!$A$4:$J$6971,6,FALSE)</f>
        <v>0</v>
      </c>
      <c r="K4346">
        <f>VLOOKUP(A4346,Pr_Base_LNEC!$A$4:$J$6971,7,FALSE)</f>
        <v>0</v>
      </c>
    </row>
    <row r="4347" spans="1:11" ht="14.5">
      <c r="A4347" s="20" t="s">
        <v>24873</v>
      </c>
      <c r="B4347" s="20">
        <v>40</v>
      </c>
      <c r="C4347" s="20">
        <v>70</v>
      </c>
      <c r="D4347" s="20">
        <v>23</v>
      </c>
      <c r="E4347" s="20">
        <v>33</v>
      </c>
      <c r="F4347" s="20" t="s">
        <v>24874</v>
      </c>
      <c r="G4347" s="20" t="s">
        <v>24875</v>
      </c>
      <c r="H4347" s="24"/>
      <c r="I4347" s="24" t="str">
        <f ca="1">IFERROR(__xludf.DUMMYFUNCTION("GOOGLETRANSLATE(F4347,""en"",""pt"")"),"guardas de alimentos espirro")</f>
        <v>guardas de alimentos espirro</v>
      </c>
      <c r="J4347">
        <f>VLOOKUP(A4347,Pr_Base_LNEC!$A$4:$J$6971,6,FALSE)</f>
        <v>0</v>
      </c>
      <c r="K4347">
        <f>VLOOKUP(A4347,Pr_Base_LNEC!$A$4:$J$6971,7,FALSE)</f>
        <v>0</v>
      </c>
    </row>
    <row r="4348" spans="1:11" ht="14.5">
      <c r="A4348" s="20" t="s">
        <v>24876</v>
      </c>
      <c r="B4348" s="20">
        <v>40</v>
      </c>
      <c r="C4348" s="20">
        <v>70</v>
      </c>
      <c r="D4348" s="20">
        <v>23</v>
      </c>
      <c r="E4348" s="20">
        <v>40</v>
      </c>
      <c r="F4348" s="20" t="s">
        <v>24877</v>
      </c>
      <c r="G4348" s="24"/>
      <c r="H4348" s="24"/>
      <c r="I4348" s="24" t="str">
        <f ca="1">IFERROR(__xludf.DUMMYFUNCTION("GOOGLETRANSLATE(F4348,""en"",""pt"")"),"máquinas de gelo")</f>
        <v>máquinas de gelo</v>
      </c>
      <c r="J4348">
        <f>VLOOKUP(A4348,Pr_Base_LNEC!$A$4:$J$6971,6,FALSE)</f>
        <v>0</v>
      </c>
      <c r="K4348">
        <f>VLOOKUP(A4348,Pr_Base_LNEC!$A$4:$J$6971,7,FALSE)</f>
        <v>0</v>
      </c>
    </row>
    <row r="4349" spans="1:11" ht="14.5">
      <c r="A4349" s="20" t="s">
        <v>24878</v>
      </c>
      <c r="B4349" s="20">
        <v>40</v>
      </c>
      <c r="C4349" s="20">
        <v>70</v>
      </c>
      <c r="D4349" s="20">
        <v>23</v>
      </c>
      <c r="E4349" s="20">
        <v>42</v>
      </c>
      <c r="F4349" s="20" t="s">
        <v>24879</v>
      </c>
      <c r="G4349" s="20" t="s">
        <v>24880</v>
      </c>
      <c r="H4349" s="24"/>
      <c r="I4349" s="24" t="str">
        <f ca="1">IFERROR(__xludf.DUMMYFUNCTION("GOOGLETRANSLATE(F4349,""en"",""pt"")"),"ebulição instantânea e torneiras de água fria")</f>
        <v>ebulição instantânea e torneiras de água fria</v>
      </c>
      <c r="J4349">
        <f>VLOOKUP(A4349,Pr_Base_LNEC!$A$4:$J$6971,6,FALSE)</f>
        <v>0</v>
      </c>
      <c r="K4349">
        <f>VLOOKUP(A4349,Pr_Base_LNEC!$A$4:$J$6971,7,FALSE)</f>
        <v>0</v>
      </c>
    </row>
    <row r="4350" spans="1:11" ht="14.5">
      <c r="A4350" s="20" t="s">
        <v>24881</v>
      </c>
      <c r="B4350" s="20">
        <v>40</v>
      </c>
      <c r="C4350" s="20">
        <v>70</v>
      </c>
      <c r="D4350" s="20">
        <v>23</v>
      </c>
      <c r="E4350" s="20">
        <v>53</v>
      </c>
      <c r="F4350" s="20" t="s">
        <v>24882</v>
      </c>
      <c r="G4350" s="20" t="s">
        <v>24883</v>
      </c>
      <c r="H4350" s="24"/>
      <c r="I4350" s="24" t="str">
        <f ca="1">IFERROR(__xludf.DUMMYFUNCTION("GOOGLETRANSLATE(F4350,""en"",""pt"")"),"Móveis bains-marie")</f>
        <v>Móveis bains-marie</v>
      </c>
      <c r="J4350">
        <f>VLOOKUP(A4350,Pr_Base_LNEC!$A$4:$J$6971,6,FALSE)</f>
        <v>0</v>
      </c>
      <c r="K4350">
        <f>VLOOKUP(A4350,Pr_Base_LNEC!$A$4:$J$6971,7,FALSE)</f>
        <v>0</v>
      </c>
    </row>
    <row r="4351" spans="1:11" ht="14.5">
      <c r="A4351" s="20" t="s">
        <v>24884</v>
      </c>
      <c r="B4351" s="20">
        <v>40</v>
      </c>
      <c r="C4351" s="20">
        <v>70</v>
      </c>
      <c r="D4351" s="20">
        <v>23</v>
      </c>
      <c r="E4351" s="20">
        <v>54</v>
      </c>
      <c r="F4351" s="20" t="s">
        <v>24885</v>
      </c>
      <c r="G4351" s="20" t="s">
        <v>24886</v>
      </c>
      <c r="H4351" s="24"/>
      <c r="I4351" s="24" t="str">
        <f ca="1">IFERROR(__xludf.DUMMYFUNCTION("GOOGLETRANSLATE(F4351,""en"",""pt"")"),"top liso móvel armários quentes")</f>
        <v>top liso móvel armários quentes</v>
      </c>
      <c r="J4351">
        <f>VLOOKUP(A4351,Pr_Base_LNEC!$A$4:$J$6971,6,FALSE)</f>
        <v>0</v>
      </c>
      <c r="K4351">
        <f>VLOOKUP(A4351,Pr_Base_LNEC!$A$4:$J$6971,7,FALSE)</f>
        <v>0</v>
      </c>
    </row>
    <row r="4352" spans="1:11" ht="14.5">
      <c r="A4352" s="20" t="s">
        <v>24887</v>
      </c>
      <c r="B4352" s="20">
        <v>40</v>
      </c>
      <c r="C4352" s="20">
        <v>70</v>
      </c>
      <c r="D4352" s="20">
        <v>23</v>
      </c>
      <c r="E4352" s="20">
        <v>71</v>
      </c>
      <c r="F4352" s="20" t="s">
        <v>24888</v>
      </c>
      <c r="G4352" s="24"/>
      <c r="H4352" s="24"/>
      <c r="I4352" s="24" t="str">
        <f ca="1">IFERROR(__xludf.DUMMYFUNCTION("GOOGLETRANSLATE(F4352,""en"",""pt"")"),"vitrinas refrigeradas")</f>
        <v>vitrinas refrigeradas</v>
      </c>
      <c r="J4352">
        <f>VLOOKUP(A4352,Pr_Base_LNEC!$A$4:$J$6971,6,FALSE)</f>
        <v>0</v>
      </c>
      <c r="K4352">
        <f>VLOOKUP(A4352,Pr_Base_LNEC!$A$4:$J$6971,7,FALSE)</f>
        <v>0</v>
      </c>
    </row>
    <row r="4353" spans="1:11" ht="14.5">
      <c r="A4353" s="20" t="s">
        <v>24889</v>
      </c>
      <c r="B4353" s="20">
        <v>40</v>
      </c>
      <c r="C4353" s="20">
        <v>70</v>
      </c>
      <c r="D4353" s="20">
        <v>23</v>
      </c>
      <c r="E4353" s="20">
        <v>72</v>
      </c>
      <c r="F4353" s="20" t="s">
        <v>24890</v>
      </c>
      <c r="G4353" s="24"/>
      <c r="H4353" s="24"/>
      <c r="I4353" s="24" t="str">
        <f ca="1">IFERROR(__xludf.DUMMYFUNCTION("GOOGLETRANSLATE(F4353,""en"",""pt"")"),"balcões expositores refrigerados")</f>
        <v>balcões expositores refrigerados</v>
      </c>
      <c r="J4353">
        <f>VLOOKUP(A4353,Pr_Base_LNEC!$A$4:$J$6971,6,FALSE)</f>
        <v>0</v>
      </c>
      <c r="K4353">
        <f>VLOOKUP(A4353,Pr_Base_LNEC!$A$4:$J$6971,7,FALSE)</f>
        <v>0</v>
      </c>
    </row>
    <row r="4354" spans="1:11" ht="14.5">
      <c r="A4354" s="20" t="s">
        <v>24891</v>
      </c>
      <c r="B4354" s="20">
        <v>40</v>
      </c>
      <c r="C4354" s="20">
        <v>70</v>
      </c>
      <c r="D4354" s="20">
        <v>23</v>
      </c>
      <c r="E4354" s="20">
        <v>84</v>
      </c>
      <c r="F4354" s="20" t="s">
        <v>24892</v>
      </c>
      <c r="G4354" s="24"/>
      <c r="H4354" s="24"/>
      <c r="I4354" s="24" t="str">
        <f ca="1">IFERROR(__xludf.DUMMYFUNCTION("GOOGLETRANSLATE(F4354,""en"",""pt"")"),"Estática top simples armários quentes")</f>
        <v>Estática top simples armários quentes</v>
      </c>
      <c r="J4354">
        <f>VLOOKUP(A4354,Pr_Base_LNEC!$A$4:$J$6971,6,FALSE)</f>
        <v>0</v>
      </c>
      <c r="K4354">
        <f>VLOOKUP(A4354,Pr_Base_LNEC!$A$4:$J$6971,7,FALSE)</f>
        <v>0</v>
      </c>
    </row>
    <row r="4355" spans="1:11" ht="14.5">
      <c r="A4355" s="20" t="s">
        <v>24893</v>
      </c>
      <c r="B4355" s="20">
        <v>40</v>
      </c>
      <c r="C4355" s="20">
        <v>70</v>
      </c>
      <c r="D4355" s="20">
        <v>23</v>
      </c>
      <c r="E4355" s="20">
        <v>86</v>
      </c>
      <c r="F4355" s="20" t="s">
        <v>24894</v>
      </c>
      <c r="G4355" s="24"/>
      <c r="H4355" s="24"/>
      <c r="I4355" s="24" t="str">
        <f ca="1">IFERROR(__xludf.DUMMYFUNCTION("GOOGLETRANSLATE(F4355,""en"",""pt"")"),"trens sushi")</f>
        <v>trens sushi</v>
      </c>
      <c r="J4355">
        <f>VLOOKUP(A4355,Pr_Base_LNEC!$A$4:$J$6971,6,FALSE)</f>
        <v>0</v>
      </c>
      <c r="K4355">
        <f>VLOOKUP(A4355,Pr_Base_LNEC!$A$4:$J$6971,7,FALSE)</f>
        <v>0</v>
      </c>
    </row>
    <row r="4356" spans="1:11" ht="14.5">
      <c r="A4356" s="20" t="s">
        <v>24895</v>
      </c>
      <c r="B4356" s="20">
        <v>40</v>
      </c>
      <c r="C4356" s="20">
        <v>70</v>
      </c>
      <c r="D4356" s="20">
        <v>24</v>
      </c>
      <c r="E4356" s="24"/>
      <c r="F4356" s="20" t="s">
        <v>24896</v>
      </c>
      <c r="G4356" s="24"/>
      <c r="H4356" s="24"/>
      <c r="I4356" s="24" t="str">
        <f ca="1">IFERROR(__xludf.DUMMYFUNCTION("GOOGLETRANSLATE(F4356,""en"",""pt"")"),"equipamento de cozinha doméstica")</f>
        <v>equipamento de cozinha doméstica</v>
      </c>
      <c r="J4356">
        <f>VLOOKUP(A4356,Pr_Base_LNEC!$A$4:$J$6971,6,FALSE)</f>
        <v>0</v>
      </c>
      <c r="K4356">
        <f>VLOOKUP(A4356,Pr_Base_LNEC!$A$4:$J$6971,7,FALSE)</f>
        <v>0</v>
      </c>
    </row>
    <row r="4357" spans="1:11" ht="14.5">
      <c r="A4357" s="20" t="s">
        <v>24897</v>
      </c>
      <c r="B4357" s="20">
        <v>40</v>
      </c>
      <c r="C4357" s="20">
        <v>70</v>
      </c>
      <c r="D4357" s="20">
        <v>24</v>
      </c>
      <c r="E4357" s="20">
        <v>7</v>
      </c>
      <c r="F4357" s="20" t="s">
        <v>24898</v>
      </c>
      <c r="G4357" s="20" t="s">
        <v>24899</v>
      </c>
      <c r="H4357" s="24"/>
      <c r="I4357" s="24" t="str">
        <f ca="1">IFERROR(__xludf.DUMMYFUNCTION("GOOGLETRANSLATE(F4357,""en"",""pt"")"),"Built-in fogão eléctrico")</f>
        <v>Built-in fogão eléctrico</v>
      </c>
      <c r="J4357">
        <f>VLOOKUP(A4357,Pr_Base_LNEC!$A$4:$J$6971,6,FALSE)</f>
        <v>0</v>
      </c>
      <c r="K4357">
        <f>VLOOKUP(A4357,Pr_Base_LNEC!$A$4:$J$6971,7,FALSE)</f>
        <v>0</v>
      </c>
    </row>
    <row r="4358" spans="1:11" ht="14.5">
      <c r="A4358" s="20" t="s">
        <v>24900</v>
      </c>
      <c r="B4358" s="20">
        <v>40</v>
      </c>
      <c r="C4358" s="20">
        <v>70</v>
      </c>
      <c r="D4358" s="20">
        <v>24</v>
      </c>
      <c r="E4358" s="20">
        <v>8</v>
      </c>
      <c r="F4358" s="20" t="s">
        <v>24901</v>
      </c>
      <c r="G4358" s="20" t="s">
        <v>24902</v>
      </c>
      <c r="H4358" s="24"/>
      <c r="I4358" s="24" t="str">
        <f ca="1">IFERROR(__xludf.DUMMYFUNCTION("GOOGLETRANSLATE(F4358,""en"",""pt"")"),"Built-in fornos eléctricos")</f>
        <v>Built-in fornos eléctricos</v>
      </c>
      <c r="J4358">
        <f>VLOOKUP(A4358,Pr_Base_LNEC!$A$4:$J$6971,6,FALSE)</f>
        <v>0</v>
      </c>
      <c r="K4358">
        <f>VLOOKUP(A4358,Pr_Base_LNEC!$A$4:$J$6971,7,FALSE)</f>
        <v>0</v>
      </c>
    </row>
    <row r="4359" spans="1:11" ht="14.5">
      <c r="A4359" s="20" t="s">
        <v>24903</v>
      </c>
      <c r="B4359" s="20">
        <v>40</v>
      </c>
      <c r="C4359" s="20">
        <v>70</v>
      </c>
      <c r="D4359" s="20">
        <v>24</v>
      </c>
      <c r="E4359" s="20">
        <v>9</v>
      </c>
      <c r="F4359" s="20" t="s">
        <v>24904</v>
      </c>
      <c r="G4359" s="20" t="s">
        <v>24905</v>
      </c>
      <c r="H4359" s="24"/>
      <c r="I4359" s="24" t="str">
        <f ca="1">IFERROR(__xludf.DUMMYFUNCTION("GOOGLETRANSLATE(F4359,""en"",""pt"")"),"Built-in bicos de gás")</f>
        <v>Built-in bicos de gás</v>
      </c>
      <c r="J4359">
        <f>VLOOKUP(A4359,Pr_Base_LNEC!$A$4:$J$6971,6,FALSE)</f>
        <v>0</v>
      </c>
      <c r="K4359">
        <f>VLOOKUP(A4359,Pr_Base_LNEC!$A$4:$J$6971,7,FALSE)</f>
        <v>0</v>
      </c>
    </row>
    <row r="4360" spans="1:11" ht="14.5">
      <c r="A4360" s="20" t="s">
        <v>24906</v>
      </c>
      <c r="B4360" s="20">
        <v>40</v>
      </c>
      <c r="C4360" s="20">
        <v>70</v>
      </c>
      <c r="D4360" s="20">
        <v>24</v>
      </c>
      <c r="E4360" s="20">
        <v>10</v>
      </c>
      <c r="F4360" s="20" t="s">
        <v>24907</v>
      </c>
      <c r="G4360" s="20" t="s">
        <v>24908</v>
      </c>
      <c r="H4360" s="24"/>
      <c r="I4360" s="24" t="str">
        <f ca="1">IFERROR(__xludf.DUMMYFUNCTION("GOOGLETRANSLATE(F4360,""en"",""pt"")"),"Built-in fornos a gás")</f>
        <v>Built-in fornos a gás</v>
      </c>
      <c r="J4360">
        <f>VLOOKUP(A4360,Pr_Base_LNEC!$A$4:$J$6971,6,FALSE)</f>
        <v>0</v>
      </c>
      <c r="K4360">
        <f>VLOOKUP(A4360,Pr_Base_LNEC!$A$4:$J$6971,7,FALSE)</f>
        <v>0</v>
      </c>
    </row>
    <row r="4361" spans="1:11" ht="14.5">
      <c r="A4361" s="20" t="s">
        <v>24909</v>
      </c>
      <c r="B4361" s="20">
        <v>40</v>
      </c>
      <c r="C4361" s="20">
        <v>70</v>
      </c>
      <c r="D4361" s="20">
        <v>24</v>
      </c>
      <c r="E4361" s="20">
        <v>11</v>
      </c>
      <c r="F4361" s="20" t="s">
        <v>24910</v>
      </c>
      <c r="G4361" s="24"/>
      <c r="H4361" s="24"/>
      <c r="I4361" s="24" t="str">
        <f ca="1">IFERROR(__xludf.DUMMYFUNCTION("GOOGLETRANSLATE(F4361,""en"",""pt"")"),"Built-in fornos de microondas")</f>
        <v>Built-in fornos de microondas</v>
      </c>
      <c r="J4361" t="e">
        <f>VLOOKUP(A4361,Pr_Base_LNEC!$A$4:$J$6971,6,FALSE)</f>
        <v>#N/A</v>
      </c>
      <c r="K4361" t="e">
        <f>VLOOKUP(A4361,Pr_Base_LNEC!$A$4:$J$6971,7,FALSE)</f>
        <v>#N/A</v>
      </c>
    </row>
    <row r="4362" spans="1:11" ht="14.5">
      <c r="A4362" s="20" t="s">
        <v>24911</v>
      </c>
      <c r="B4362" s="20">
        <v>40</v>
      </c>
      <c r="C4362" s="20">
        <v>70</v>
      </c>
      <c r="D4362" s="20">
        <v>24</v>
      </c>
      <c r="E4362" s="20">
        <v>15</v>
      </c>
      <c r="F4362" s="20" t="s">
        <v>24912</v>
      </c>
      <c r="G4362" s="20" t="s">
        <v>24913</v>
      </c>
      <c r="H4362" s="24"/>
      <c r="I4362" s="24" t="str">
        <f ca="1">IFERROR(__xludf.DUMMYFUNCTION("GOOGLETRANSLATE(F4362,""en"",""pt"")"),"fornos de microondas combinação")</f>
        <v>fornos de microondas combinação</v>
      </c>
      <c r="J4362">
        <f>VLOOKUP(A4362,Pr_Base_LNEC!$A$4:$J$6971,6,FALSE)</f>
        <v>0</v>
      </c>
      <c r="K4362">
        <f>VLOOKUP(A4362,Pr_Base_LNEC!$A$4:$J$6971,7,FALSE)</f>
        <v>0</v>
      </c>
    </row>
    <row r="4363" spans="1:11" ht="14.5">
      <c r="A4363" s="20" t="s">
        <v>24914</v>
      </c>
      <c r="B4363" s="20">
        <v>40</v>
      </c>
      <c r="C4363" s="20">
        <v>70</v>
      </c>
      <c r="D4363" s="20">
        <v>24</v>
      </c>
      <c r="E4363" s="20">
        <v>26</v>
      </c>
      <c r="F4363" s="20" t="s">
        <v>24915</v>
      </c>
      <c r="G4363" s="24"/>
      <c r="H4363" s="24"/>
      <c r="I4363" s="24" t="str">
        <f ca="1">IFERROR(__xludf.DUMMYFUNCTION("GOOGLETRANSLATE(F4363,""en"",""pt"")"),"churrasco eléctrico")</f>
        <v>churrasco eléctrico</v>
      </c>
      <c r="J4363">
        <f>VLOOKUP(A4363,Pr_Base_LNEC!$A$4:$J$6971,6,FALSE)</f>
        <v>0</v>
      </c>
      <c r="K4363">
        <f>VLOOKUP(A4363,Pr_Base_LNEC!$A$4:$J$6971,7,FALSE)</f>
        <v>0</v>
      </c>
    </row>
    <row r="4364" spans="1:11" ht="14.5">
      <c r="A4364" s="20" t="s">
        <v>24916</v>
      </c>
      <c r="B4364" s="20">
        <v>40</v>
      </c>
      <c r="C4364" s="20">
        <v>70</v>
      </c>
      <c r="D4364" s="20">
        <v>24</v>
      </c>
      <c r="E4364" s="20">
        <v>27</v>
      </c>
      <c r="F4364" s="20" t="s">
        <v>24917</v>
      </c>
      <c r="G4364" s="20" t="s">
        <v>24918</v>
      </c>
      <c r="H4364" s="24"/>
      <c r="I4364" s="24" t="str">
        <f ca="1">IFERROR(__xludf.DUMMYFUNCTION("GOOGLETRANSLATE(F4364,""en"",""pt"")"),"fogões elétricos")</f>
        <v>fogões elétricos</v>
      </c>
      <c r="J4364">
        <f>VLOOKUP(A4364,Pr_Base_LNEC!$A$4:$J$6971,6,FALSE)</f>
        <v>0</v>
      </c>
      <c r="K4364">
        <f>VLOOKUP(A4364,Pr_Base_LNEC!$A$4:$J$6971,7,FALSE)</f>
        <v>0</v>
      </c>
    </row>
    <row r="4365" spans="1:11" ht="14.5">
      <c r="A4365" s="20" t="s">
        <v>24919</v>
      </c>
      <c r="B4365" s="20">
        <v>40</v>
      </c>
      <c r="C4365" s="20">
        <v>70</v>
      </c>
      <c r="D4365" s="20">
        <v>24</v>
      </c>
      <c r="E4365" s="20">
        <v>33</v>
      </c>
      <c r="F4365" s="20" t="s">
        <v>24920</v>
      </c>
      <c r="G4365" s="24"/>
      <c r="H4365" s="24"/>
      <c r="I4365" s="24" t="str">
        <f ca="1">IFERROR(__xludf.DUMMYFUNCTION("GOOGLETRANSLATE(F4365,""en"",""pt"")"),"churrasqueiras a gás")</f>
        <v>churrasqueiras a gás</v>
      </c>
      <c r="J4365">
        <f>VLOOKUP(A4365,Pr_Base_LNEC!$A$4:$J$6971,6,FALSE)</f>
        <v>0</v>
      </c>
      <c r="K4365">
        <f>VLOOKUP(A4365,Pr_Base_LNEC!$A$4:$J$6971,7,FALSE)</f>
        <v>0</v>
      </c>
    </row>
    <row r="4366" spans="1:11" ht="14.5">
      <c r="A4366" s="20" t="s">
        <v>24921</v>
      </c>
      <c r="B4366" s="20">
        <v>40</v>
      </c>
      <c r="C4366" s="20">
        <v>70</v>
      </c>
      <c r="D4366" s="20">
        <v>24</v>
      </c>
      <c r="E4366" s="20">
        <v>34</v>
      </c>
      <c r="F4366" s="20" t="s">
        <v>24922</v>
      </c>
      <c r="G4366" s="20" t="s">
        <v>24923</v>
      </c>
      <c r="H4366" s="24"/>
      <c r="I4366" s="24" t="str">
        <f ca="1">IFERROR(__xludf.DUMMYFUNCTION("GOOGLETRANSLATE(F4366,""en"",""pt"")"),"intervalos de gás")</f>
        <v>intervalos de gás</v>
      </c>
      <c r="J4366">
        <f>VLOOKUP(A4366,Pr_Base_LNEC!$A$4:$J$6971,6,FALSE)</f>
        <v>0</v>
      </c>
      <c r="K4366">
        <f>VLOOKUP(A4366,Pr_Base_LNEC!$A$4:$J$6971,7,FALSE)</f>
        <v>0</v>
      </c>
    </row>
    <row r="4367" spans="1:11" ht="14.5">
      <c r="A4367" s="20" t="s">
        <v>24924</v>
      </c>
      <c r="B4367" s="20">
        <v>40</v>
      </c>
      <c r="C4367" s="20">
        <v>70</v>
      </c>
      <c r="D4367" s="20">
        <v>24</v>
      </c>
      <c r="E4367" s="20">
        <v>35</v>
      </c>
      <c r="F4367" s="20" t="s">
        <v>24925</v>
      </c>
      <c r="G4367" s="20" t="s">
        <v>24926</v>
      </c>
      <c r="H4367" s="24"/>
      <c r="I4367" s="24" t="str">
        <f ca="1">IFERROR(__xludf.DUMMYFUNCTION("GOOGLETRANSLATE(F4367,""en"",""pt"")"),"fogões a gás free-standing")</f>
        <v>fogões a gás free-standing</v>
      </c>
      <c r="J4367">
        <f>VLOOKUP(A4367,Pr_Base_LNEC!$A$4:$J$6971,6,FALSE)</f>
        <v>0</v>
      </c>
      <c r="K4367">
        <f>VLOOKUP(A4367,Pr_Base_LNEC!$A$4:$J$6971,7,FALSE)</f>
        <v>0</v>
      </c>
    </row>
    <row r="4368" spans="1:11" ht="14.5">
      <c r="A4368" s="20" t="s">
        <v>24927</v>
      </c>
      <c r="B4368" s="20">
        <v>40</v>
      </c>
      <c r="C4368" s="20">
        <v>70</v>
      </c>
      <c r="D4368" s="20">
        <v>24</v>
      </c>
      <c r="E4368" s="20">
        <v>45</v>
      </c>
      <c r="F4368" s="20" t="s">
        <v>24928</v>
      </c>
      <c r="G4368" s="24"/>
      <c r="H4368" s="24"/>
      <c r="I4368" s="24" t="str">
        <f ca="1">IFERROR(__xludf.DUMMYFUNCTION("GOOGLETRANSLATE(F4368,""en"",""pt"")"),"chaleiras")</f>
        <v>chaleiras</v>
      </c>
      <c r="J4368">
        <f>VLOOKUP(A4368,Pr_Base_LNEC!$A$4:$J$6971,6,FALSE)</f>
        <v>0</v>
      </c>
      <c r="K4368">
        <f>VLOOKUP(A4368,Pr_Base_LNEC!$A$4:$J$6971,7,FALSE)</f>
        <v>0</v>
      </c>
    </row>
    <row r="4369" spans="1:11" ht="14.5">
      <c r="A4369" s="20" t="s">
        <v>24929</v>
      </c>
      <c r="B4369" s="20">
        <v>40</v>
      </c>
      <c r="C4369" s="20">
        <v>70</v>
      </c>
      <c r="D4369" s="20">
        <v>24</v>
      </c>
      <c r="E4369" s="20">
        <v>81</v>
      </c>
      <c r="F4369" s="20" t="s">
        <v>24930</v>
      </c>
      <c r="G4369" s="24"/>
      <c r="H4369" s="24"/>
      <c r="I4369" s="24" t="str">
        <f ca="1">IFERROR(__xludf.DUMMYFUNCTION("GOOGLETRANSLATE(F4369,""en"",""pt"")"),"churrascos de combustível sólido")</f>
        <v>churrascos de combustível sólido</v>
      </c>
      <c r="J4369">
        <f>VLOOKUP(A4369,Pr_Base_LNEC!$A$4:$J$6971,6,FALSE)</f>
        <v>0</v>
      </c>
      <c r="K4369">
        <f>VLOOKUP(A4369,Pr_Base_LNEC!$A$4:$J$6971,7,FALSE)</f>
        <v>0</v>
      </c>
    </row>
    <row r="4370" spans="1:11" ht="14.5">
      <c r="A4370" s="20" t="s">
        <v>24931</v>
      </c>
      <c r="B4370" s="20">
        <v>40</v>
      </c>
      <c r="C4370" s="20">
        <v>70</v>
      </c>
      <c r="D4370" s="20">
        <v>25</v>
      </c>
      <c r="E4370" s="24"/>
      <c r="F4370" s="20" t="s">
        <v>24932</v>
      </c>
      <c r="G4370" s="24"/>
      <c r="H4370" s="24"/>
      <c r="I4370" s="24" t="str">
        <f ca="1">IFERROR(__xludf.DUMMYFUNCTION("GOOGLETRANSLATE(F4370,""en"",""pt"")"),"equipamentos de lavanderia doméstica")</f>
        <v>equipamentos de lavanderia doméstica</v>
      </c>
      <c r="J4370">
        <f>VLOOKUP(A4370,Pr_Base_LNEC!$A$4:$J$6971,6,FALSE)</f>
        <v>0</v>
      </c>
      <c r="K4370">
        <f>VLOOKUP(A4370,Pr_Base_LNEC!$A$4:$J$6971,7,FALSE)</f>
        <v>0</v>
      </c>
    </row>
    <row r="4371" spans="1:11" ht="14.5">
      <c r="A4371" s="20" t="s">
        <v>24933</v>
      </c>
      <c r="B4371" s="20">
        <v>40</v>
      </c>
      <c r="C4371" s="20">
        <v>70</v>
      </c>
      <c r="D4371" s="20">
        <v>25</v>
      </c>
      <c r="E4371" s="20">
        <v>45</v>
      </c>
      <c r="F4371" s="20" t="s">
        <v>24934</v>
      </c>
      <c r="G4371" s="20" t="s">
        <v>24935</v>
      </c>
      <c r="H4371" s="24"/>
      <c r="I4371" s="24" t="str">
        <f ca="1">IFERROR(__xludf.DUMMYFUNCTION("GOOGLETRANSLATE(F4371,""en"",""pt"")"),"secadores de lavandaria")</f>
        <v>secadores de lavandaria</v>
      </c>
      <c r="J4371">
        <f>VLOOKUP(A4371,Pr_Base_LNEC!$A$4:$J$6971,6,FALSE)</f>
        <v>0</v>
      </c>
      <c r="K4371">
        <f>VLOOKUP(A4371,Pr_Base_LNEC!$A$4:$J$6971,7,FALSE)</f>
        <v>0</v>
      </c>
    </row>
    <row r="4372" spans="1:11" ht="14.5">
      <c r="A4372" s="20" t="s">
        <v>24936</v>
      </c>
      <c r="B4372" s="20">
        <v>40</v>
      </c>
      <c r="C4372" s="20">
        <v>70</v>
      </c>
      <c r="D4372" s="20">
        <v>25</v>
      </c>
      <c r="E4372" s="20">
        <v>46</v>
      </c>
      <c r="F4372" s="20" t="s">
        <v>24937</v>
      </c>
      <c r="G4372" s="20" t="s">
        <v>24938</v>
      </c>
      <c r="H4372" s="24"/>
      <c r="I4372" s="24" t="str">
        <f ca="1">IFERROR(__xludf.DUMMYFUNCTION("GOOGLETRANSLATE(F4372,""en"",""pt"")"),"máquinas de lavar e secadores de lavandaria")</f>
        <v>máquinas de lavar e secadores de lavandaria</v>
      </c>
      <c r="J4372">
        <f>VLOOKUP(A4372,Pr_Base_LNEC!$A$4:$J$6971,6,FALSE)</f>
        <v>0</v>
      </c>
      <c r="K4372">
        <f>VLOOKUP(A4372,Pr_Base_LNEC!$A$4:$J$6971,7,FALSE)</f>
        <v>0</v>
      </c>
    </row>
    <row r="4373" spans="1:11" ht="14.5">
      <c r="A4373" s="20" t="s">
        <v>24939</v>
      </c>
      <c r="B4373" s="20">
        <v>40</v>
      </c>
      <c r="C4373" s="20">
        <v>70</v>
      </c>
      <c r="D4373" s="20">
        <v>25</v>
      </c>
      <c r="E4373" s="20">
        <v>47</v>
      </c>
      <c r="F4373" s="20" t="s">
        <v>24940</v>
      </c>
      <c r="G4373" s="20" t="s">
        <v>24941</v>
      </c>
      <c r="H4373" s="24"/>
      <c r="I4373" s="24" t="str">
        <f ca="1">IFERROR(__xludf.DUMMYFUNCTION("GOOGLETRANSLATE(F4373,""en"",""pt"")"),"Máquinas de lavar roupa")</f>
        <v>Máquinas de lavar roupa</v>
      </c>
      <c r="J4373">
        <f>VLOOKUP(A4373,Pr_Base_LNEC!$A$4:$J$6971,6,FALSE)</f>
        <v>0</v>
      </c>
      <c r="K4373">
        <f>VLOOKUP(A4373,Pr_Base_LNEC!$A$4:$J$6971,7,FALSE)</f>
        <v>0</v>
      </c>
    </row>
    <row r="4374" spans="1:11" ht="14.5">
      <c r="A4374" s="20" t="s">
        <v>24942</v>
      </c>
      <c r="B4374" s="20">
        <v>40</v>
      </c>
      <c r="C4374" s="20">
        <v>70</v>
      </c>
      <c r="D4374" s="20">
        <v>27</v>
      </c>
      <c r="E4374" s="24"/>
      <c r="F4374" s="20" t="s">
        <v>24943</v>
      </c>
      <c r="G4374" s="24"/>
      <c r="H4374" s="24"/>
      <c r="I4374" s="24" t="str">
        <f ca="1">IFERROR(__xludf.DUMMYFUNCTION("GOOGLETRANSLATE(F4374,""en"",""pt"")"),"Equipamento de proteção ambiental")</f>
        <v>Equipamento de proteção ambiental</v>
      </c>
      <c r="J4374" t="e">
        <f>VLOOKUP(A4374,Pr_Base_LNEC!$A$4:$J$6971,6,FALSE)</f>
        <v>#N/A</v>
      </c>
      <c r="K4374" t="e">
        <f>VLOOKUP(A4374,Pr_Base_LNEC!$A$4:$J$6971,7,FALSE)</f>
        <v>#N/A</v>
      </c>
    </row>
    <row r="4375" spans="1:11" ht="14.5">
      <c r="A4375" s="20" t="s">
        <v>24944</v>
      </c>
      <c r="B4375" s="20">
        <v>40</v>
      </c>
      <c r="C4375" s="20">
        <v>70</v>
      </c>
      <c r="D4375" s="20">
        <v>27</v>
      </c>
      <c r="E4375" s="20">
        <v>56</v>
      </c>
      <c r="F4375" s="20" t="s">
        <v>24945</v>
      </c>
      <c r="G4375" s="24"/>
      <c r="H4375" s="24"/>
      <c r="I4375" s="24" t="str">
        <f ca="1">IFERROR(__xludf.DUMMYFUNCTION("GOOGLETRANSLATE(F4375,""en"",""pt"")"),"barreiras de contenção de óleo")</f>
        <v>barreiras de contenção de óleo</v>
      </c>
      <c r="J4375" t="e">
        <f>VLOOKUP(A4375,Pr_Base_LNEC!$A$4:$J$6971,6,FALSE)</f>
        <v>#N/A</v>
      </c>
      <c r="K4375" t="e">
        <f>VLOOKUP(A4375,Pr_Base_LNEC!$A$4:$J$6971,7,FALSE)</f>
        <v>#N/A</v>
      </c>
    </row>
    <row r="4376" spans="1:11" ht="14.5">
      <c r="A4376" s="20" t="s">
        <v>24946</v>
      </c>
      <c r="B4376" s="20">
        <v>40</v>
      </c>
      <c r="C4376" s="20">
        <v>70</v>
      </c>
      <c r="D4376" s="20">
        <v>29</v>
      </c>
      <c r="E4376" s="24"/>
      <c r="F4376" s="20" t="s">
        <v>24947</v>
      </c>
      <c r="G4376" s="24"/>
      <c r="H4376" s="24"/>
      <c r="I4376" s="24" t="str">
        <f ca="1">IFERROR(__xludf.DUMMYFUNCTION("GOOGLETRANSLATE(F4376,""en"",""pt"")"),"equipamentos de simulação de incêndio")</f>
        <v>equipamentos de simulação de incêndio</v>
      </c>
      <c r="J4376">
        <f>VLOOKUP(A4376,Pr_Base_LNEC!$A$4:$J$6971,6,FALSE)</f>
        <v>0</v>
      </c>
      <c r="K4376">
        <f>VLOOKUP(A4376,Pr_Base_LNEC!$A$4:$J$6971,7,FALSE)</f>
        <v>0</v>
      </c>
    </row>
    <row r="4377" spans="1:11" ht="14.5">
      <c r="A4377" s="20" t="s">
        <v>24948</v>
      </c>
      <c r="B4377" s="20">
        <v>40</v>
      </c>
      <c r="C4377" s="20">
        <v>70</v>
      </c>
      <c r="D4377" s="20">
        <v>29</v>
      </c>
      <c r="E4377" s="20">
        <v>1</v>
      </c>
      <c r="F4377" s="20" t="s">
        <v>24949</v>
      </c>
      <c r="G4377" s="20" t="s">
        <v>24950</v>
      </c>
      <c r="H4377" s="24"/>
      <c r="I4377" s="24" t="str">
        <f ca="1">IFERROR(__xludf.DUMMYFUNCTION("GOOGLETRANSLATE(F4377,""en"",""pt"")"),"simuladores de treinamento de incêndio aeronaves")</f>
        <v>simuladores de treinamento de incêndio aeronaves</v>
      </c>
      <c r="J4377">
        <f>VLOOKUP(A4377,Pr_Base_LNEC!$A$4:$J$6971,6,FALSE)</f>
        <v>0</v>
      </c>
      <c r="K4377">
        <f>VLOOKUP(A4377,Pr_Base_LNEC!$A$4:$J$6971,7,FALSE)</f>
        <v>0</v>
      </c>
    </row>
    <row r="4378" spans="1:11" ht="14.5">
      <c r="A4378" s="20" t="s">
        <v>24951</v>
      </c>
      <c r="B4378" s="20">
        <v>40</v>
      </c>
      <c r="C4378" s="20">
        <v>70</v>
      </c>
      <c r="D4378" s="20">
        <v>31</v>
      </c>
      <c r="E4378" s="24"/>
      <c r="F4378" s="20" t="s">
        <v>24952</v>
      </c>
      <c r="G4378" s="24"/>
      <c r="H4378" s="24"/>
      <c r="I4378" s="24" t="str">
        <f ca="1">IFERROR(__xludf.DUMMYFUNCTION("GOOGLETRANSLATE(F4378,""en"",""pt"")"),"frigoríficos e congeladores de alimentos")</f>
        <v>frigoríficos e congeladores de alimentos</v>
      </c>
      <c r="J4378">
        <f>VLOOKUP(A4378,Pr_Base_LNEC!$A$4:$J$6971,6,FALSE)</f>
        <v>0</v>
      </c>
      <c r="K4378">
        <f>VLOOKUP(A4378,Pr_Base_LNEC!$A$4:$J$6971,7,FALSE)</f>
        <v>0</v>
      </c>
    </row>
    <row r="4379" spans="1:11" ht="14.5">
      <c r="A4379" s="20" t="s">
        <v>24953</v>
      </c>
      <c r="B4379" s="20">
        <v>40</v>
      </c>
      <c r="C4379" s="20">
        <v>70</v>
      </c>
      <c r="D4379" s="20">
        <v>31</v>
      </c>
      <c r="E4379" s="20">
        <v>6</v>
      </c>
      <c r="F4379" s="20" t="s">
        <v>24954</v>
      </c>
      <c r="G4379" s="20" t="s">
        <v>24955</v>
      </c>
      <c r="H4379" s="24"/>
      <c r="I4379" s="24" t="str">
        <f ca="1">IFERROR(__xludf.DUMMYFUNCTION("GOOGLETRANSLATE(F4379,""en"",""pt"")"),"Explodi armários resfriador")</f>
        <v>Explodi armários resfriador</v>
      </c>
      <c r="J4379">
        <f>VLOOKUP(A4379,Pr_Base_LNEC!$A$4:$J$6971,6,FALSE)</f>
        <v>0</v>
      </c>
      <c r="K4379">
        <f>VLOOKUP(A4379,Pr_Base_LNEC!$A$4:$J$6971,7,FALSE)</f>
        <v>0</v>
      </c>
    </row>
    <row r="4380" spans="1:11" ht="14.5">
      <c r="A4380" s="20" t="s">
        <v>24956</v>
      </c>
      <c r="B4380" s="20">
        <v>40</v>
      </c>
      <c r="C4380" s="20">
        <v>70</v>
      </c>
      <c r="D4380" s="20">
        <v>31</v>
      </c>
      <c r="E4380" s="20">
        <v>8</v>
      </c>
      <c r="F4380" s="20" t="s">
        <v>24957</v>
      </c>
      <c r="G4380" s="20" t="s">
        <v>24958</v>
      </c>
      <c r="H4380" s="24"/>
      <c r="I4380" s="24" t="str">
        <f ca="1">IFERROR(__xludf.DUMMYFUNCTION("GOOGLETRANSLATE(F4380,""en"",""pt"")"),"armários explosão congelador")</f>
        <v>armários explosão congelador</v>
      </c>
      <c r="J4380">
        <f>VLOOKUP(A4380,Pr_Base_LNEC!$A$4:$J$6971,6,FALSE)</f>
        <v>0</v>
      </c>
      <c r="K4380">
        <f>VLOOKUP(A4380,Pr_Base_LNEC!$A$4:$J$6971,7,FALSE)</f>
        <v>0</v>
      </c>
    </row>
    <row r="4381" spans="1:11" ht="14.5">
      <c r="A4381" s="20" t="s">
        <v>24959</v>
      </c>
      <c r="B4381" s="20">
        <v>40</v>
      </c>
      <c r="C4381" s="20">
        <v>70</v>
      </c>
      <c r="D4381" s="20">
        <v>31</v>
      </c>
      <c r="E4381" s="20">
        <v>29</v>
      </c>
      <c r="F4381" s="20" t="s">
        <v>24960</v>
      </c>
      <c r="G4381" s="20" t="s">
        <v>24961</v>
      </c>
      <c r="H4381" s="24"/>
      <c r="I4381" s="24" t="str">
        <f ca="1">IFERROR(__xludf.DUMMYFUNCTION("GOOGLETRANSLATE(F4381,""en"",""pt"")"),"arcas congeladoras")</f>
        <v>arcas congeladoras</v>
      </c>
      <c r="J4381">
        <f>VLOOKUP(A4381,Pr_Base_LNEC!$A$4:$J$6971,6,FALSE)</f>
        <v>0</v>
      </c>
      <c r="K4381">
        <f>VLOOKUP(A4381,Pr_Base_LNEC!$A$4:$J$6971,7,FALSE)</f>
        <v>0</v>
      </c>
    </row>
    <row r="4382" spans="1:11" ht="14.5">
      <c r="A4382" s="20" t="s">
        <v>24962</v>
      </c>
      <c r="B4382" s="20">
        <v>40</v>
      </c>
      <c r="C4382" s="20">
        <v>70</v>
      </c>
      <c r="D4382" s="20">
        <v>31</v>
      </c>
      <c r="E4382" s="20">
        <v>30</v>
      </c>
      <c r="F4382" s="20" t="s">
        <v>24963</v>
      </c>
      <c r="G4382" s="20" t="s">
        <v>24964</v>
      </c>
      <c r="H4382" s="24"/>
      <c r="I4382" s="24" t="str">
        <f ca="1">IFERROR(__xludf.DUMMYFUNCTION("GOOGLETRANSLATE(F4382,""en"",""pt"")"),"contadores Freezer")</f>
        <v>contadores Freezer</v>
      </c>
      <c r="J4382">
        <f>VLOOKUP(A4382,Pr_Base_LNEC!$A$4:$J$6971,6,FALSE)</f>
        <v>0</v>
      </c>
      <c r="K4382">
        <f>VLOOKUP(A4382,Pr_Base_LNEC!$A$4:$J$6971,7,FALSE)</f>
        <v>0</v>
      </c>
    </row>
    <row r="4383" spans="1:11" ht="14.5">
      <c r="A4383" s="20" t="s">
        <v>24965</v>
      </c>
      <c r="B4383" s="20">
        <v>40</v>
      </c>
      <c r="C4383" s="20">
        <v>70</v>
      </c>
      <c r="D4383" s="20">
        <v>31</v>
      </c>
      <c r="E4383" s="20">
        <v>31</v>
      </c>
      <c r="F4383" s="20" t="s">
        <v>24966</v>
      </c>
      <c r="G4383" s="20" t="s">
        <v>24967</v>
      </c>
      <c r="H4383" s="24"/>
      <c r="I4383" s="24" t="str">
        <f ca="1">IFERROR(__xludf.DUMMYFUNCTION("GOOGLETRANSLATE(F4383,""en"",""pt"")"),"Freezers")</f>
        <v>Freezers</v>
      </c>
      <c r="J4383">
        <f>VLOOKUP(A4383,Pr_Base_LNEC!$A$4:$J$6971,6,FALSE)</f>
        <v>0</v>
      </c>
      <c r="K4383">
        <f>VLOOKUP(A4383,Pr_Base_LNEC!$A$4:$J$6971,7,FALSE)</f>
        <v>0</v>
      </c>
    </row>
    <row r="4384" spans="1:11" ht="14.5">
      <c r="A4384" s="20" t="s">
        <v>24968</v>
      </c>
      <c r="B4384" s="20">
        <v>40</v>
      </c>
      <c r="C4384" s="20">
        <v>70</v>
      </c>
      <c r="D4384" s="20">
        <v>31</v>
      </c>
      <c r="E4384" s="20">
        <v>32</v>
      </c>
      <c r="F4384" s="20" t="s">
        <v>24969</v>
      </c>
      <c r="G4384" s="20" t="s">
        <v>24970</v>
      </c>
      <c r="H4384" s="24"/>
      <c r="I4384" s="24" t="str">
        <f ca="1">IFERROR(__xludf.DUMMYFUNCTION("GOOGLETRANSLATE(F4384,""en"",""pt"")"),"Frigoríficos e congeladores")</f>
        <v>Frigoríficos e congeladores</v>
      </c>
      <c r="J4384">
        <f>VLOOKUP(A4384,Pr_Base_LNEC!$A$4:$J$6971,6,FALSE)</f>
        <v>0</v>
      </c>
      <c r="K4384">
        <f>VLOOKUP(A4384,Pr_Base_LNEC!$A$4:$J$6971,7,FALSE)</f>
        <v>0</v>
      </c>
    </row>
    <row r="4385" spans="1:11" ht="14.5">
      <c r="A4385" s="20" t="s">
        <v>24971</v>
      </c>
      <c r="B4385" s="20">
        <v>40</v>
      </c>
      <c r="C4385" s="20">
        <v>70</v>
      </c>
      <c r="D4385" s="20">
        <v>31</v>
      </c>
      <c r="E4385" s="20">
        <v>70</v>
      </c>
      <c r="F4385" s="20" t="s">
        <v>24972</v>
      </c>
      <c r="G4385" s="20" t="s">
        <v>24973</v>
      </c>
      <c r="H4385" s="24"/>
      <c r="I4385" s="24" t="str">
        <f ca="1">IFERROR(__xludf.DUMMYFUNCTION("GOOGLETRANSLATE(F4385,""en"",""pt"")"),"armários frigoríficos")</f>
        <v>armários frigoríficos</v>
      </c>
      <c r="J4385">
        <f>VLOOKUP(A4385,Pr_Base_LNEC!$A$4:$J$6971,6,FALSE)</f>
        <v>0</v>
      </c>
      <c r="K4385">
        <f>VLOOKUP(A4385,Pr_Base_LNEC!$A$4:$J$6971,7,FALSE)</f>
        <v>0</v>
      </c>
    </row>
    <row r="4386" spans="1:11" ht="14.5">
      <c r="A4386" s="20" t="s">
        <v>24974</v>
      </c>
      <c r="B4386" s="20">
        <v>40</v>
      </c>
      <c r="C4386" s="20">
        <v>70</v>
      </c>
      <c r="D4386" s="20">
        <v>31</v>
      </c>
      <c r="E4386" s="20">
        <v>71</v>
      </c>
      <c r="F4386" s="20" t="s">
        <v>24975</v>
      </c>
      <c r="G4386" s="20" t="s">
        <v>24976</v>
      </c>
      <c r="H4386" s="24"/>
      <c r="I4386" s="24" t="str">
        <f ca="1">IFERROR(__xludf.DUMMYFUNCTION("GOOGLETRANSLATE(F4386,""en"",""pt"")"),"balcões frigoríficos")</f>
        <v>balcões frigoríficos</v>
      </c>
      <c r="J4386">
        <f>VLOOKUP(A4386,Pr_Base_LNEC!$A$4:$J$6971,6,FALSE)</f>
        <v>0</v>
      </c>
      <c r="K4386">
        <f>VLOOKUP(A4386,Pr_Base_LNEC!$A$4:$J$6971,7,FALSE)</f>
        <v>0</v>
      </c>
    </row>
    <row r="4387" spans="1:11" ht="14.5">
      <c r="A4387" s="20" t="s">
        <v>24977</v>
      </c>
      <c r="B4387" s="20">
        <v>40</v>
      </c>
      <c r="C4387" s="20">
        <v>70</v>
      </c>
      <c r="D4387" s="20">
        <v>31</v>
      </c>
      <c r="E4387" s="20">
        <v>72</v>
      </c>
      <c r="F4387" s="20" t="s">
        <v>24978</v>
      </c>
      <c r="G4387" s="20" t="s">
        <v>24979</v>
      </c>
      <c r="H4387" s="24"/>
      <c r="I4387" s="24" t="str">
        <f ca="1">IFERROR(__xludf.DUMMYFUNCTION("GOOGLETRANSLATE(F4387,""en"",""pt"")"),"frigoríficos")</f>
        <v>frigoríficos</v>
      </c>
      <c r="J4387">
        <f>VLOOKUP(A4387,Pr_Base_LNEC!$A$4:$J$6971,6,FALSE)</f>
        <v>0</v>
      </c>
      <c r="K4387">
        <f>VLOOKUP(A4387,Pr_Base_LNEC!$A$4:$J$6971,7,FALSE)</f>
        <v>0</v>
      </c>
    </row>
    <row r="4388" spans="1:11" ht="14.5">
      <c r="A4388" s="20" t="s">
        <v>24980</v>
      </c>
      <c r="B4388" s="20">
        <v>40</v>
      </c>
      <c r="C4388" s="20">
        <v>70</v>
      </c>
      <c r="D4388" s="20">
        <v>35</v>
      </c>
      <c r="E4388" s="24"/>
      <c r="F4388" s="20" t="s">
        <v>24981</v>
      </c>
      <c r="G4388" s="24"/>
      <c r="H4388" s="24"/>
      <c r="I4388" s="24" t="str">
        <f ca="1">IFERROR(__xludf.DUMMYFUNCTION("GOOGLETRANSLATE(F4388,""en"",""pt"")"),"Equipamento oficina")</f>
        <v>Equipamento oficina</v>
      </c>
      <c r="J4388" t="e">
        <f>VLOOKUP(A4388,Pr_Base_LNEC!$A$4:$J$6971,6,FALSE)</f>
        <v>#N/A</v>
      </c>
      <c r="K4388" t="e">
        <f>VLOOKUP(A4388,Pr_Base_LNEC!$A$4:$J$6971,7,FALSE)</f>
        <v>#N/A</v>
      </c>
    </row>
    <row r="4389" spans="1:11" ht="14.5">
      <c r="A4389" s="20" t="s">
        <v>24982</v>
      </c>
      <c r="B4389" s="20">
        <v>40</v>
      </c>
      <c r="C4389" s="20">
        <v>70</v>
      </c>
      <c r="D4389" s="20">
        <v>35</v>
      </c>
      <c r="E4389" s="20">
        <v>15</v>
      </c>
      <c r="F4389" s="20" t="s">
        <v>24983</v>
      </c>
      <c r="G4389" s="24"/>
      <c r="H4389" s="24"/>
      <c r="I4389" s="24" t="str">
        <f ca="1">IFERROR(__xludf.DUMMYFUNCTION("GOOGLETRANSLATE(F4389,""en"",""pt"")"),"máquinas Clipping")</f>
        <v>máquinas Clipping</v>
      </c>
      <c r="J4389" t="e">
        <f>VLOOKUP(A4389,Pr_Base_LNEC!$A$4:$J$6971,6,FALSE)</f>
        <v>#N/A</v>
      </c>
      <c r="K4389" t="e">
        <f>VLOOKUP(A4389,Pr_Base_LNEC!$A$4:$J$6971,7,FALSE)</f>
        <v>#N/A</v>
      </c>
    </row>
    <row r="4390" spans="1:11" ht="14.5">
      <c r="A4390" s="20" t="s">
        <v>24984</v>
      </c>
      <c r="B4390" s="20">
        <v>40</v>
      </c>
      <c r="C4390" s="20">
        <v>70</v>
      </c>
      <c r="D4390" s="20">
        <v>35</v>
      </c>
      <c r="E4390" s="20">
        <v>35</v>
      </c>
      <c r="F4390" s="20" t="s">
        <v>24985</v>
      </c>
      <c r="G4390" s="24"/>
      <c r="H4390" s="24"/>
      <c r="I4390" s="24" t="str">
        <f ca="1">IFERROR(__xludf.DUMMYFUNCTION("GOOGLETRANSLATE(F4390,""en"",""pt"")"),"guilhotinas")</f>
        <v>guilhotinas</v>
      </c>
      <c r="J4390" t="e">
        <f>VLOOKUP(A4390,Pr_Base_LNEC!$A$4:$J$6971,6,FALSE)</f>
        <v>#N/A</v>
      </c>
      <c r="K4390" t="e">
        <f>VLOOKUP(A4390,Pr_Base_LNEC!$A$4:$J$6971,7,FALSE)</f>
        <v>#N/A</v>
      </c>
    </row>
    <row r="4391" spans="1:11" ht="14.5">
      <c r="A4391" s="20" t="s">
        <v>24986</v>
      </c>
      <c r="B4391" s="20">
        <v>40</v>
      </c>
      <c r="C4391" s="20">
        <v>70</v>
      </c>
      <c r="D4391" s="20">
        <v>35</v>
      </c>
      <c r="E4391" s="20">
        <v>50</v>
      </c>
      <c r="F4391" s="20" t="s">
        <v>24987</v>
      </c>
      <c r="G4391" s="24"/>
      <c r="H4391" s="24"/>
      <c r="I4391" s="24" t="str">
        <f ca="1">IFERROR(__xludf.DUMMYFUNCTION("GOOGLETRANSLATE(F4391,""en"",""pt"")"),"porta-ferramentas magnéticos")</f>
        <v>porta-ferramentas magnéticos</v>
      </c>
      <c r="J4391" t="e">
        <f>VLOOKUP(A4391,Pr_Base_LNEC!$A$4:$J$6971,6,FALSE)</f>
        <v>#N/A</v>
      </c>
      <c r="K4391" t="e">
        <f>VLOOKUP(A4391,Pr_Base_LNEC!$A$4:$J$6971,7,FALSE)</f>
        <v>#N/A</v>
      </c>
    </row>
    <row r="4392" spans="1:11" ht="14.5">
      <c r="A4392" s="20" t="s">
        <v>24988</v>
      </c>
      <c r="B4392" s="20">
        <v>40</v>
      </c>
      <c r="C4392" s="20">
        <v>70</v>
      </c>
      <c r="D4392" s="20">
        <v>35</v>
      </c>
      <c r="E4392" s="20">
        <v>60</v>
      </c>
      <c r="F4392" s="20" t="s">
        <v>24989</v>
      </c>
      <c r="G4392" s="24"/>
      <c r="H4392" s="24"/>
      <c r="I4392" s="24" t="str">
        <f ca="1">IFERROR(__xludf.DUMMYFUNCTION("GOOGLETRANSLATE(F4392,""en"",""pt"")"),"máquinas para embalagem")</f>
        <v>máquinas para embalagem</v>
      </c>
      <c r="J4392" t="e">
        <f>VLOOKUP(A4392,Pr_Base_LNEC!$A$4:$J$6971,6,FALSE)</f>
        <v>#N/A</v>
      </c>
      <c r="K4392" t="e">
        <f>VLOOKUP(A4392,Pr_Base_LNEC!$A$4:$J$6971,7,FALSE)</f>
        <v>#N/A</v>
      </c>
    </row>
    <row r="4393" spans="1:11" ht="14.5">
      <c r="A4393" s="20" t="s">
        <v>24990</v>
      </c>
      <c r="B4393" s="20">
        <v>40</v>
      </c>
      <c r="C4393" s="20">
        <v>70</v>
      </c>
      <c r="D4393" s="20">
        <v>35</v>
      </c>
      <c r="E4393" s="20">
        <v>67</v>
      </c>
      <c r="F4393" s="20" t="s">
        <v>24991</v>
      </c>
      <c r="G4393" s="24"/>
      <c r="H4393" s="24"/>
      <c r="I4393" s="24" t="str">
        <f ca="1">IFERROR(__xludf.DUMMYFUNCTION("GOOGLETRANSLATE(F4393,""en"",""pt"")"),"máquinas de soco")</f>
        <v>máquinas de soco</v>
      </c>
      <c r="J4393" t="e">
        <f>VLOOKUP(A4393,Pr_Base_LNEC!$A$4:$J$6971,6,FALSE)</f>
        <v>#N/A</v>
      </c>
      <c r="K4393" t="e">
        <f>VLOOKUP(A4393,Pr_Base_LNEC!$A$4:$J$6971,7,FALSE)</f>
        <v>#N/A</v>
      </c>
    </row>
    <row r="4394" spans="1:11" ht="14.5">
      <c r="A4394" s="20" t="s">
        <v>24992</v>
      </c>
      <c r="B4394" s="20">
        <v>40</v>
      </c>
      <c r="C4394" s="20">
        <v>70</v>
      </c>
      <c r="D4394" s="20">
        <v>35</v>
      </c>
      <c r="E4394" s="20">
        <v>77</v>
      </c>
      <c r="F4394" s="20" t="s">
        <v>24993</v>
      </c>
      <c r="G4394" s="24"/>
      <c r="H4394" s="24"/>
      <c r="I4394" s="24" t="str">
        <f ca="1">IFERROR(__xludf.DUMMYFUNCTION("GOOGLETRANSLATE(F4394,""en"",""pt"")"),"máquinas de moldar")</f>
        <v>máquinas de moldar</v>
      </c>
      <c r="J4394" t="e">
        <f>VLOOKUP(A4394,Pr_Base_LNEC!$A$4:$J$6971,6,FALSE)</f>
        <v>#N/A</v>
      </c>
      <c r="K4394" t="e">
        <f>VLOOKUP(A4394,Pr_Base_LNEC!$A$4:$J$6971,7,FALSE)</f>
        <v>#N/A</v>
      </c>
    </row>
    <row r="4395" spans="1:11" ht="14.5">
      <c r="A4395" s="20" t="s">
        <v>24994</v>
      </c>
      <c r="B4395" s="20">
        <v>40</v>
      </c>
      <c r="C4395" s="20">
        <v>70</v>
      </c>
      <c r="D4395" s="20">
        <v>35</v>
      </c>
      <c r="E4395" s="20">
        <v>80</v>
      </c>
      <c r="F4395" s="20" t="s">
        <v>24995</v>
      </c>
      <c r="G4395" s="24"/>
      <c r="H4395" s="24"/>
      <c r="I4395" s="24" t="str">
        <f ca="1">IFERROR(__xludf.DUMMYFUNCTION("GOOGLETRANSLATE(F4395,""en"",""pt"")"),"escateladoras")</f>
        <v>escateladoras</v>
      </c>
      <c r="J4395" t="e">
        <f>VLOOKUP(A4395,Pr_Base_LNEC!$A$4:$J$6971,6,FALSE)</f>
        <v>#N/A</v>
      </c>
      <c r="K4395" t="e">
        <f>VLOOKUP(A4395,Pr_Base_LNEC!$A$4:$J$6971,7,FALSE)</f>
        <v>#N/A</v>
      </c>
    </row>
    <row r="4396" spans="1:11" ht="14.5">
      <c r="A4396" s="20" t="s">
        <v>24996</v>
      </c>
      <c r="B4396" s="20">
        <v>40</v>
      </c>
      <c r="C4396" s="20">
        <v>70</v>
      </c>
      <c r="D4396" s="20">
        <v>35</v>
      </c>
      <c r="E4396" s="20">
        <v>84</v>
      </c>
      <c r="F4396" s="20" t="s">
        <v>24997</v>
      </c>
      <c r="G4396" s="24"/>
      <c r="H4396" s="24"/>
      <c r="I4396" s="24" t="str">
        <f ca="1">IFERROR(__xludf.DUMMYFUNCTION("GOOGLETRANSLATE(F4396,""en"",""pt"")"),"máquinas de cintagem")</f>
        <v>máquinas de cintagem</v>
      </c>
      <c r="J4396" t="e">
        <f>VLOOKUP(A4396,Pr_Base_LNEC!$A$4:$J$6971,6,FALSE)</f>
        <v>#N/A</v>
      </c>
      <c r="K4396" t="e">
        <f>VLOOKUP(A4396,Pr_Base_LNEC!$A$4:$J$6971,7,FALSE)</f>
        <v>#N/A</v>
      </c>
    </row>
    <row r="4397" spans="1:11" ht="14.5">
      <c r="A4397" s="20" t="s">
        <v>24998</v>
      </c>
      <c r="B4397" s="20">
        <v>40</v>
      </c>
      <c r="C4397" s="20">
        <v>70</v>
      </c>
      <c r="D4397" s="20">
        <v>35</v>
      </c>
      <c r="E4397" s="20">
        <v>88</v>
      </c>
      <c r="F4397" s="20" t="s">
        <v>24999</v>
      </c>
      <c r="G4397" s="24"/>
      <c r="H4397" s="24"/>
      <c r="I4397" s="24" t="str">
        <f ca="1">IFERROR(__xludf.DUMMYFUNCTION("GOOGLETRANSLATE(F4397,""en"",""pt"")"),"máquinas de rosqueamento")</f>
        <v>máquinas de rosqueamento</v>
      </c>
      <c r="J4397" t="e">
        <f>VLOOKUP(A4397,Pr_Base_LNEC!$A$4:$J$6971,6,FALSE)</f>
        <v>#N/A</v>
      </c>
      <c r="K4397" t="e">
        <f>VLOOKUP(A4397,Pr_Base_LNEC!$A$4:$J$6971,7,FALSE)</f>
        <v>#N/A</v>
      </c>
    </row>
    <row r="4398" spans="1:11" ht="14.5">
      <c r="A4398" s="20" t="s">
        <v>25000</v>
      </c>
      <c r="B4398" s="20">
        <v>40</v>
      </c>
      <c r="C4398" s="20">
        <v>70</v>
      </c>
      <c r="D4398" s="20">
        <v>46</v>
      </c>
      <c r="E4398" s="24"/>
      <c r="F4398" s="20" t="s">
        <v>25001</v>
      </c>
      <c r="G4398" s="24"/>
      <c r="H4398" s="24"/>
      <c r="I4398" s="24" t="str">
        <f ca="1">IFERROR(__xludf.DUMMYFUNCTION("GOOGLETRANSLATE(F4398,""en"",""pt"")"),"acessórios e equipamentos de lavanderia")</f>
        <v>acessórios e equipamentos de lavanderia</v>
      </c>
      <c r="J4398">
        <f>VLOOKUP(A4398,Pr_Base_LNEC!$A$4:$J$6971,6,FALSE)</f>
        <v>0</v>
      </c>
      <c r="K4398">
        <f>VLOOKUP(A4398,Pr_Base_LNEC!$A$4:$J$6971,7,FALSE)</f>
        <v>0</v>
      </c>
    </row>
    <row r="4399" spans="1:11" ht="14.5">
      <c r="A4399" s="20" t="s">
        <v>25002</v>
      </c>
      <c r="B4399" s="20">
        <v>40</v>
      </c>
      <c r="C4399" s="20">
        <v>70</v>
      </c>
      <c r="D4399" s="20">
        <v>46</v>
      </c>
      <c r="E4399" s="20">
        <v>24</v>
      </c>
      <c r="F4399" s="20" t="s">
        <v>25003</v>
      </c>
      <c r="G4399" s="20" t="s">
        <v>25004</v>
      </c>
      <c r="H4399" s="24"/>
      <c r="I4399" s="24" t="str">
        <f ca="1">IFERROR(__xludf.DUMMYFUNCTION("GOOGLETRANSLATE(F4399,""en"",""pt"")"),"calandras secador")</f>
        <v>calandras secador</v>
      </c>
      <c r="J4399">
        <f>VLOOKUP(A4399,Pr_Base_LNEC!$A$4:$J$6971,6,FALSE)</f>
        <v>0</v>
      </c>
      <c r="K4399">
        <f>VLOOKUP(A4399,Pr_Base_LNEC!$A$4:$J$6971,7,FALSE)</f>
        <v>0</v>
      </c>
    </row>
    <row r="4400" spans="1:11" ht="14.5">
      <c r="A4400" s="20" t="s">
        <v>25005</v>
      </c>
      <c r="B4400" s="20">
        <v>40</v>
      </c>
      <c r="C4400" s="20">
        <v>70</v>
      </c>
      <c r="D4400" s="20">
        <v>46</v>
      </c>
      <c r="E4400" s="20">
        <v>25</v>
      </c>
      <c r="F4400" s="20" t="s">
        <v>25006</v>
      </c>
      <c r="G4400" s="20" t="s">
        <v>25007</v>
      </c>
      <c r="H4400" s="24"/>
      <c r="I4400" s="24" t="str">
        <f ca="1">IFERROR(__xludf.DUMMYFUNCTION("GOOGLETRANSLATE(F4400,""en"",""pt"")"),"prensas de trabalho secos")</f>
        <v>prensas de trabalho secos</v>
      </c>
      <c r="J4400">
        <f>VLOOKUP(A4400,Pr_Base_LNEC!$A$4:$J$6971,6,FALSE)</f>
        <v>0</v>
      </c>
      <c r="K4400">
        <f>VLOOKUP(A4400,Pr_Base_LNEC!$A$4:$J$6971,7,FALSE)</f>
        <v>0</v>
      </c>
    </row>
    <row r="4401" spans="1:11" ht="14.5">
      <c r="A4401" s="20" t="s">
        <v>25008</v>
      </c>
      <c r="B4401" s="20">
        <v>40</v>
      </c>
      <c r="C4401" s="20">
        <v>70</v>
      </c>
      <c r="D4401" s="20">
        <v>46</v>
      </c>
      <c r="E4401" s="20">
        <v>30</v>
      </c>
      <c r="F4401" s="20" t="s">
        <v>25009</v>
      </c>
      <c r="G4401" s="20" t="s">
        <v>25010</v>
      </c>
      <c r="H4401" s="24"/>
      <c r="I4401" s="24" t="str">
        <f ca="1">IFERROR(__xludf.DUMMYFUNCTION("GOOGLETRANSLATE(F4401,""en"",""pt"")"),"calandras Nivelamento do terreno")</f>
        <v>calandras Nivelamento do terreno</v>
      </c>
      <c r="J4401">
        <f>VLOOKUP(A4401,Pr_Base_LNEC!$A$4:$J$6971,6,FALSE)</f>
        <v>0</v>
      </c>
      <c r="K4401">
        <f>VLOOKUP(A4401,Pr_Base_LNEC!$A$4:$J$6971,7,FALSE)</f>
        <v>0</v>
      </c>
    </row>
    <row r="4402" spans="1:11" ht="14.5">
      <c r="A4402" s="20" t="s">
        <v>25011</v>
      </c>
      <c r="B4402" s="20">
        <v>40</v>
      </c>
      <c r="C4402" s="20">
        <v>70</v>
      </c>
      <c r="D4402" s="20">
        <v>46</v>
      </c>
      <c r="E4402" s="20">
        <v>31</v>
      </c>
      <c r="F4402" s="20" t="s">
        <v>25012</v>
      </c>
      <c r="G4402" s="20" t="s">
        <v>25013</v>
      </c>
      <c r="H4402" s="24"/>
      <c r="I4402" s="24" t="str">
        <f ca="1">IFERROR(__xludf.DUMMYFUNCTION("GOOGLETRANSLATE(F4402,""en"",""pt"")"),"finalizadores de formulário")</f>
        <v>finalizadores de formulário</v>
      </c>
      <c r="J4402">
        <f>VLOOKUP(A4402,Pr_Base_LNEC!$A$4:$J$6971,6,FALSE)</f>
        <v>0</v>
      </c>
      <c r="K4402">
        <f>VLOOKUP(A4402,Pr_Base_LNEC!$A$4:$J$6971,7,FALSE)</f>
        <v>0</v>
      </c>
    </row>
    <row r="4403" spans="1:11" ht="14.5">
      <c r="A4403" s="20" t="s">
        <v>25014</v>
      </c>
      <c r="B4403" s="20">
        <v>40</v>
      </c>
      <c r="C4403" s="20">
        <v>70</v>
      </c>
      <c r="D4403" s="20">
        <v>46</v>
      </c>
      <c r="E4403" s="20">
        <v>39</v>
      </c>
      <c r="F4403" s="20" t="s">
        <v>25015</v>
      </c>
      <c r="G4403" s="20" t="s">
        <v>25016</v>
      </c>
      <c r="H4403" s="24"/>
      <c r="I4403" s="24" t="str">
        <f ca="1">IFERROR(__xludf.DUMMYFUNCTION("GOOGLETRANSLATE(F4403,""en"",""pt"")"),"centrífugas")</f>
        <v>centrífugas</v>
      </c>
      <c r="J4403">
        <f>VLOOKUP(A4403,Pr_Base_LNEC!$A$4:$J$6971,6,FALSE)</f>
        <v>0</v>
      </c>
      <c r="K4403">
        <f>VLOOKUP(A4403,Pr_Base_LNEC!$A$4:$J$6971,7,FALSE)</f>
        <v>0</v>
      </c>
    </row>
    <row r="4404" spans="1:11" ht="14.5">
      <c r="A4404" s="20" t="s">
        <v>25017</v>
      </c>
      <c r="B4404" s="20">
        <v>40</v>
      </c>
      <c r="C4404" s="20">
        <v>70</v>
      </c>
      <c r="D4404" s="20">
        <v>46</v>
      </c>
      <c r="E4404" s="20">
        <v>42</v>
      </c>
      <c r="F4404" s="20" t="s">
        <v>25018</v>
      </c>
      <c r="G4404" s="20" t="s">
        <v>25019</v>
      </c>
      <c r="H4404" s="24"/>
      <c r="I4404" s="24" t="str">
        <f ca="1">IFERROR(__xludf.DUMMYFUNCTION("GOOGLETRANSLATE(F4404,""en"",""pt"")"),"mesas de passar roupa")</f>
        <v>mesas de passar roupa</v>
      </c>
      <c r="J4404">
        <f>VLOOKUP(A4404,Pr_Base_LNEC!$A$4:$J$6971,6,FALSE)</f>
        <v>0</v>
      </c>
      <c r="K4404">
        <f>VLOOKUP(A4404,Pr_Base_LNEC!$A$4:$J$6971,7,FALSE)</f>
        <v>0</v>
      </c>
    </row>
    <row r="4405" spans="1:11" ht="14.5">
      <c r="A4405" s="20" t="s">
        <v>25020</v>
      </c>
      <c r="B4405" s="20">
        <v>40</v>
      </c>
      <c r="C4405" s="20">
        <v>70</v>
      </c>
      <c r="D4405" s="20">
        <v>46</v>
      </c>
      <c r="E4405" s="20">
        <v>45</v>
      </c>
      <c r="F4405" s="20" t="s">
        <v>25021</v>
      </c>
      <c r="G4405" s="20" t="s">
        <v>25022</v>
      </c>
      <c r="H4405" s="24"/>
      <c r="I4405" s="24" t="str">
        <f ca="1">IFERROR(__xludf.DUMMYFUNCTION("GOOGLETRANSLATE(F4405,""en"",""pt"")"),"armários de lavanderia")</f>
        <v>armários de lavanderia</v>
      </c>
      <c r="J4405">
        <f>VLOOKUP(A4405,Pr_Base_LNEC!$A$4:$J$6971,6,FALSE)</f>
        <v>0</v>
      </c>
      <c r="K4405">
        <f>VLOOKUP(A4405,Pr_Base_LNEC!$A$4:$J$6971,7,FALSE)</f>
        <v>0</v>
      </c>
    </row>
    <row r="4406" spans="1:11" ht="14.5">
      <c r="A4406" s="20" t="s">
        <v>25023</v>
      </c>
      <c r="B4406" s="20">
        <v>40</v>
      </c>
      <c r="C4406" s="20">
        <v>70</v>
      </c>
      <c r="D4406" s="20">
        <v>46</v>
      </c>
      <c r="E4406" s="20">
        <v>46</v>
      </c>
      <c r="F4406" s="20" t="s">
        <v>25024</v>
      </c>
      <c r="G4406" s="20" t="s">
        <v>25025</v>
      </c>
      <c r="H4406" s="24"/>
      <c r="I4406" s="24" t="str">
        <f ca="1">IFERROR(__xludf.DUMMYFUNCTION("GOOGLETRANSLATE(F4406,""en"",""pt"")"),"alimentadores de lavandaria")</f>
        <v>alimentadores de lavandaria</v>
      </c>
      <c r="J4406">
        <f>VLOOKUP(A4406,Pr_Base_LNEC!$A$4:$J$6971,6,FALSE)</f>
        <v>0</v>
      </c>
      <c r="K4406">
        <f>VLOOKUP(A4406,Pr_Base_LNEC!$A$4:$J$6971,7,FALSE)</f>
        <v>0</v>
      </c>
    </row>
    <row r="4407" spans="1:11" ht="14.5">
      <c r="A4407" s="20" t="s">
        <v>25026</v>
      </c>
      <c r="B4407" s="20">
        <v>40</v>
      </c>
      <c r="C4407" s="20">
        <v>70</v>
      </c>
      <c r="D4407" s="20">
        <v>46</v>
      </c>
      <c r="E4407" s="20">
        <v>47</v>
      </c>
      <c r="F4407" s="20" t="s">
        <v>25027</v>
      </c>
      <c r="G4407" s="20" t="s">
        <v>25028</v>
      </c>
      <c r="H4407" s="24"/>
      <c r="I4407" s="24" t="str">
        <f ca="1">IFERROR(__xludf.DUMMYFUNCTION("GOOGLETRANSLATE(F4407,""en"",""pt"")"),"pastas de lavandaria")</f>
        <v>pastas de lavandaria</v>
      </c>
      <c r="J4407">
        <f>VLOOKUP(A4407,Pr_Base_LNEC!$A$4:$J$6971,6,FALSE)</f>
        <v>0</v>
      </c>
      <c r="K4407">
        <f>VLOOKUP(A4407,Pr_Base_LNEC!$A$4:$J$6971,7,FALSE)</f>
        <v>0</v>
      </c>
    </row>
    <row r="4408" spans="1:11" ht="14.5">
      <c r="A4408" s="20" t="s">
        <v>25029</v>
      </c>
      <c r="B4408" s="20">
        <v>40</v>
      </c>
      <c r="C4408" s="20">
        <v>70</v>
      </c>
      <c r="D4408" s="20">
        <v>46</v>
      </c>
      <c r="E4408" s="20">
        <v>48</v>
      </c>
      <c r="F4408" s="20" t="s">
        <v>25030</v>
      </c>
      <c r="G4408" s="20" t="s">
        <v>25031</v>
      </c>
      <c r="H4408" s="24"/>
      <c r="I4408" s="24" t="str">
        <f ca="1">IFERROR(__xludf.DUMMYFUNCTION("GOOGLETRANSLATE(F4408,""en"",""pt"")"),"Tanques de recuperação de lavandaria")</f>
        <v>Tanques de recuperação de lavandaria</v>
      </c>
      <c r="J4408">
        <f>VLOOKUP(A4408,Pr_Base_LNEC!$A$4:$J$6971,6,FALSE)</f>
        <v>0</v>
      </c>
      <c r="K4408">
        <f>VLOOKUP(A4408,Pr_Base_LNEC!$A$4:$J$6971,7,FALSE)</f>
        <v>0</v>
      </c>
    </row>
    <row r="4409" spans="1:11" ht="14.5">
      <c r="A4409" s="20" t="s">
        <v>25032</v>
      </c>
      <c r="B4409" s="20">
        <v>40</v>
      </c>
      <c r="C4409" s="20">
        <v>70</v>
      </c>
      <c r="D4409" s="20">
        <v>46</v>
      </c>
      <c r="E4409" s="20">
        <v>72</v>
      </c>
      <c r="F4409" s="20" t="s">
        <v>25033</v>
      </c>
      <c r="G4409" s="20" t="s">
        <v>25010</v>
      </c>
      <c r="H4409" s="24"/>
      <c r="I4409" s="24" t="str">
        <f ca="1">IFERROR(__xludf.DUMMYFUNCTION("GOOGLETRANSLATE(F4409,""en"",""pt"")"),"calandras do rolo")</f>
        <v>calandras do rolo</v>
      </c>
      <c r="J4409">
        <f>VLOOKUP(A4409,Pr_Base_LNEC!$A$4:$J$6971,6,FALSE)</f>
        <v>0</v>
      </c>
      <c r="K4409">
        <f>VLOOKUP(A4409,Pr_Base_LNEC!$A$4:$J$6971,7,FALSE)</f>
        <v>0</v>
      </c>
    </row>
    <row r="4410" spans="1:11" ht="14.5">
      <c r="A4410" s="20" t="s">
        <v>25034</v>
      </c>
      <c r="B4410" s="20">
        <v>40</v>
      </c>
      <c r="C4410" s="20">
        <v>70</v>
      </c>
      <c r="D4410" s="20">
        <v>46</v>
      </c>
      <c r="E4410" s="20">
        <v>77</v>
      </c>
      <c r="F4410" s="20" t="s">
        <v>25035</v>
      </c>
      <c r="G4410" s="20" t="s">
        <v>25036</v>
      </c>
      <c r="H4410" s="24"/>
      <c r="I4410" s="24" t="str">
        <f ca="1">IFERROR(__xludf.DUMMYFUNCTION("GOOGLETRANSLATE(F4410,""en"",""pt"")"),"shirt finalizadores")</f>
        <v>shirt finalizadores</v>
      </c>
      <c r="J4410">
        <f>VLOOKUP(A4410,Pr_Base_LNEC!$A$4:$J$6971,6,FALSE)</f>
        <v>0</v>
      </c>
      <c r="K4410">
        <f>VLOOKUP(A4410,Pr_Base_LNEC!$A$4:$J$6971,7,FALSE)</f>
        <v>0</v>
      </c>
    </row>
    <row r="4411" spans="1:11" ht="14.5">
      <c r="A4411" s="20" t="s">
        <v>25037</v>
      </c>
      <c r="B4411" s="20">
        <v>40</v>
      </c>
      <c r="C4411" s="20">
        <v>70</v>
      </c>
      <c r="D4411" s="20">
        <v>46</v>
      </c>
      <c r="E4411" s="20">
        <v>82</v>
      </c>
      <c r="F4411" s="20" t="s">
        <v>25038</v>
      </c>
      <c r="G4411" s="20" t="s">
        <v>25039</v>
      </c>
      <c r="H4411" s="24"/>
      <c r="I4411" s="24" t="str">
        <f ca="1">IFERROR(__xludf.DUMMYFUNCTION("GOOGLETRANSLATE(F4411,""en"",""pt"")"),"Spotting armários")</f>
        <v>Spotting armários</v>
      </c>
      <c r="J4411">
        <f>VLOOKUP(A4411,Pr_Base_LNEC!$A$4:$J$6971,6,FALSE)</f>
        <v>0</v>
      </c>
      <c r="K4411">
        <f>VLOOKUP(A4411,Pr_Base_LNEC!$A$4:$J$6971,7,FALSE)</f>
        <v>0</v>
      </c>
    </row>
    <row r="4412" spans="1:11" ht="14.5">
      <c r="A4412" s="20" t="s">
        <v>25040</v>
      </c>
      <c r="B4412" s="20">
        <v>40</v>
      </c>
      <c r="C4412" s="20">
        <v>70</v>
      </c>
      <c r="D4412" s="20">
        <v>46</v>
      </c>
      <c r="E4412" s="20">
        <v>83</v>
      </c>
      <c r="F4412" s="20" t="s">
        <v>25041</v>
      </c>
      <c r="G4412" s="20" t="s">
        <v>25042</v>
      </c>
      <c r="H4412" s="24"/>
      <c r="I4412" s="24" t="str">
        <f ca="1">IFERROR(__xludf.DUMMYFUNCTION("GOOGLETRANSLATE(F4412,""en"",""pt"")"),"Spotting tabelas")</f>
        <v>Spotting tabelas</v>
      </c>
      <c r="J4412">
        <f>VLOOKUP(A4412,Pr_Base_LNEC!$A$4:$J$6971,6,FALSE)</f>
        <v>0</v>
      </c>
      <c r="K4412">
        <f>VLOOKUP(A4412,Pr_Base_LNEC!$A$4:$J$6971,7,FALSE)</f>
        <v>0</v>
      </c>
    </row>
    <row r="4413" spans="1:11" ht="14.5">
      <c r="A4413" s="20" t="s">
        <v>25043</v>
      </c>
      <c r="B4413" s="20">
        <v>40</v>
      </c>
      <c r="C4413" s="20">
        <v>70</v>
      </c>
      <c r="D4413" s="20">
        <v>46</v>
      </c>
      <c r="E4413" s="20">
        <v>90</v>
      </c>
      <c r="F4413" s="20" t="s">
        <v>25044</v>
      </c>
      <c r="G4413" s="20" t="s">
        <v>25045</v>
      </c>
      <c r="H4413" s="24"/>
      <c r="I4413" s="24" t="str">
        <f ca="1">IFERROR(__xludf.DUMMYFUNCTION("GOOGLETRANSLATE(F4413,""en"",""pt"")"),"passadeira")</f>
        <v>passadeira</v>
      </c>
      <c r="J4413">
        <f>VLOOKUP(A4413,Pr_Base_LNEC!$A$4:$J$6971,6,FALSE)</f>
        <v>0</v>
      </c>
      <c r="K4413">
        <f>VLOOKUP(A4413,Pr_Base_LNEC!$A$4:$J$6971,7,FALSE)</f>
        <v>0</v>
      </c>
    </row>
    <row r="4414" spans="1:11" ht="14.5">
      <c r="A4414" s="20" t="s">
        <v>25046</v>
      </c>
      <c r="B4414" s="20">
        <v>40</v>
      </c>
      <c r="C4414" s="20">
        <v>70</v>
      </c>
      <c r="D4414" s="20">
        <v>46</v>
      </c>
      <c r="E4414" s="20">
        <v>96</v>
      </c>
      <c r="F4414" s="20" t="s">
        <v>25047</v>
      </c>
      <c r="G4414" s="24"/>
      <c r="H4414" s="24"/>
      <c r="I4414" s="24" t="str">
        <f ca="1">IFERROR(__xludf.DUMMYFUNCTION("GOOGLETRANSLATE(F4414,""en"",""pt"")"),"lavadoras extratoras")</f>
        <v>lavadoras extratoras</v>
      </c>
      <c r="J4414">
        <f>VLOOKUP(A4414,Pr_Base_LNEC!$A$4:$J$6971,6,FALSE)</f>
        <v>0</v>
      </c>
      <c r="K4414">
        <f>VLOOKUP(A4414,Pr_Base_LNEC!$A$4:$J$6971,7,FALSE)</f>
        <v>0</v>
      </c>
    </row>
    <row r="4415" spans="1:11" ht="14.5">
      <c r="A4415" s="20" t="s">
        <v>25048</v>
      </c>
      <c r="B4415" s="20">
        <v>40</v>
      </c>
      <c r="C4415" s="20">
        <v>70</v>
      </c>
      <c r="D4415" s="20">
        <v>46</v>
      </c>
      <c r="E4415" s="20">
        <v>98</v>
      </c>
      <c r="F4415" s="20" t="s">
        <v>25049</v>
      </c>
      <c r="G4415" s="20" t="s">
        <v>25050</v>
      </c>
      <c r="H4415" s="24"/>
      <c r="I4415" s="24" t="str">
        <f ca="1">IFERROR(__xludf.DUMMYFUNCTION("GOOGLETRANSLATE(F4415,""en"",""pt"")"),"prensas de extracção de água")</f>
        <v>prensas de extracção de água</v>
      </c>
      <c r="J4415">
        <f>VLOOKUP(A4415,Pr_Base_LNEC!$A$4:$J$6971,6,FALSE)</f>
        <v>0</v>
      </c>
      <c r="K4415">
        <f>VLOOKUP(A4415,Pr_Base_LNEC!$A$4:$J$6971,7,FALSE)</f>
        <v>0</v>
      </c>
    </row>
    <row r="4416" spans="1:11" ht="14.5">
      <c r="A4416" s="20" t="s">
        <v>25051</v>
      </c>
      <c r="B4416" s="20">
        <v>40</v>
      </c>
      <c r="C4416" s="20">
        <v>70</v>
      </c>
      <c r="D4416" s="20">
        <v>46</v>
      </c>
      <c r="E4416" s="20">
        <v>99</v>
      </c>
      <c r="F4416" s="20" t="s">
        <v>25052</v>
      </c>
      <c r="G4416" s="20" t="s">
        <v>25053</v>
      </c>
      <c r="H4416" s="24"/>
      <c r="I4416" s="24" t="str">
        <f ca="1">IFERROR(__xludf.DUMMYFUNCTION("GOOGLETRANSLATE(F4416,""en"",""pt"")"),"prensas de trabalho molhados")</f>
        <v>prensas de trabalho molhados</v>
      </c>
      <c r="J4416">
        <f>VLOOKUP(A4416,Pr_Base_LNEC!$A$4:$J$6971,6,FALSE)</f>
        <v>0</v>
      </c>
      <c r="K4416">
        <f>VLOOKUP(A4416,Pr_Base_LNEC!$A$4:$J$6971,7,FALSE)</f>
        <v>0</v>
      </c>
    </row>
    <row r="4417" spans="1:11" ht="14.5">
      <c r="A4417" s="20" t="s">
        <v>25054</v>
      </c>
      <c r="B4417" s="20">
        <v>40</v>
      </c>
      <c r="C4417" s="20">
        <v>70</v>
      </c>
      <c r="D4417" s="20">
        <v>47</v>
      </c>
      <c r="E4417" s="24"/>
      <c r="F4417" s="20" t="s">
        <v>25055</v>
      </c>
      <c r="G4417" s="24"/>
      <c r="H4417" s="24"/>
      <c r="I4417" s="24" t="str">
        <f ca="1">IFERROR(__xludf.DUMMYFUNCTION("GOOGLETRANSLATE(F4417,""en"",""pt"")"),"anilhas de lavandaria e secadores")</f>
        <v>anilhas de lavandaria e secadores</v>
      </c>
      <c r="J4417">
        <f>VLOOKUP(A4417,Pr_Base_LNEC!$A$4:$J$6971,6,FALSE)</f>
        <v>0</v>
      </c>
      <c r="K4417">
        <f>VLOOKUP(A4417,Pr_Base_LNEC!$A$4:$J$6971,7,FALSE)</f>
        <v>0</v>
      </c>
    </row>
    <row r="4418" spans="1:11" ht="14.5">
      <c r="A4418" s="20" t="s">
        <v>25056</v>
      </c>
      <c r="B4418" s="20">
        <v>40</v>
      </c>
      <c r="C4418" s="20">
        <v>70</v>
      </c>
      <c r="D4418" s="20">
        <v>47</v>
      </c>
      <c r="E4418" s="20">
        <v>6</v>
      </c>
      <c r="F4418" s="20" t="s">
        <v>25057</v>
      </c>
      <c r="G4418" s="20" t="s">
        <v>25058</v>
      </c>
      <c r="H4418" s="24"/>
      <c r="I4418" s="24" t="str">
        <f ca="1">IFERROR(__xludf.DUMMYFUNCTION("GOOGLETRANSLATE(F4418,""en"",""pt"")"),"anilhas de barreira")</f>
        <v>anilhas de barreira</v>
      </c>
      <c r="J4418">
        <f>VLOOKUP(A4418,Pr_Base_LNEC!$A$4:$J$6971,6,FALSE)</f>
        <v>0</v>
      </c>
      <c r="K4418">
        <f>VLOOKUP(A4418,Pr_Base_LNEC!$A$4:$J$6971,7,FALSE)</f>
        <v>0</v>
      </c>
    </row>
    <row r="4419" spans="1:11" ht="14.5">
      <c r="A4419" s="20" t="s">
        <v>25059</v>
      </c>
      <c r="B4419" s="20">
        <v>40</v>
      </c>
      <c r="C4419" s="20">
        <v>70</v>
      </c>
      <c r="D4419" s="20">
        <v>47</v>
      </c>
      <c r="E4419" s="20">
        <v>7</v>
      </c>
      <c r="F4419" s="20" t="s">
        <v>25060</v>
      </c>
      <c r="G4419" s="20" t="s">
        <v>25061</v>
      </c>
      <c r="H4419" s="24"/>
      <c r="I4419" s="24" t="str">
        <f ca="1">IFERROR(__xludf.DUMMYFUNCTION("GOOGLETRANSLATE(F4419,""en"",""pt"")"),"secadores de lavandaria lote")</f>
        <v>secadores de lavandaria lote</v>
      </c>
      <c r="J4419">
        <f>VLOOKUP(A4419,Pr_Base_LNEC!$A$4:$J$6971,6,FALSE)</f>
        <v>0</v>
      </c>
      <c r="K4419">
        <f>VLOOKUP(A4419,Pr_Base_LNEC!$A$4:$J$6971,7,FALSE)</f>
        <v>0</v>
      </c>
    </row>
    <row r="4420" spans="1:11" ht="14.5">
      <c r="A4420" s="20" t="s">
        <v>25062</v>
      </c>
      <c r="B4420" s="20">
        <v>40</v>
      </c>
      <c r="C4420" s="20">
        <v>70</v>
      </c>
      <c r="D4420" s="20">
        <v>47</v>
      </c>
      <c r="E4420" s="20">
        <v>8</v>
      </c>
      <c r="F4420" s="20" t="s">
        <v>25063</v>
      </c>
      <c r="G4420" s="20" t="s">
        <v>25064</v>
      </c>
      <c r="H4420" s="24"/>
      <c r="I4420" s="24" t="str">
        <f ca="1">IFERROR(__xludf.DUMMYFUNCTION("GOOGLETRANSLATE(F4420,""en"",""pt"")"),"anilhas lote de lavandaria")</f>
        <v>anilhas lote de lavandaria</v>
      </c>
      <c r="J4420">
        <f>VLOOKUP(A4420,Pr_Base_LNEC!$A$4:$J$6971,6,FALSE)</f>
        <v>0</v>
      </c>
      <c r="K4420">
        <f>VLOOKUP(A4420,Pr_Base_LNEC!$A$4:$J$6971,7,FALSE)</f>
        <v>0</v>
      </c>
    </row>
    <row r="4421" spans="1:11" ht="14.5">
      <c r="A4421" s="20" t="s">
        <v>25065</v>
      </c>
      <c r="B4421" s="20">
        <v>40</v>
      </c>
      <c r="C4421" s="20">
        <v>70</v>
      </c>
      <c r="D4421" s="20">
        <v>47</v>
      </c>
      <c r="E4421" s="20">
        <v>32</v>
      </c>
      <c r="F4421" s="20" t="s">
        <v>25066</v>
      </c>
      <c r="G4421" s="20" t="s">
        <v>25067</v>
      </c>
      <c r="H4421" s="24"/>
      <c r="I4421" s="24" t="str">
        <f ca="1">IFERROR(__xludf.DUMMYFUNCTION("GOOGLETRANSLATE(F4421,""en"",""pt"")"),"anilhas de carregamento frontal")</f>
        <v>anilhas de carregamento frontal</v>
      </c>
      <c r="J4421">
        <f>VLOOKUP(A4421,Pr_Base_LNEC!$A$4:$J$6971,6,FALSE)</f>
        <v>0</v>
      </c>
      <c r="K4421">
        <f>VLOOKUP(A4421,Pr_Base_LNEC!$A$4:$J$6971,7,FALSE)</f>
        <v>0</v>
      </c>
    </row>
    <row r="4422" spans="1:11" ht="14.5">
      <c r="A4422" s="20" t="s">
        <v>25068</v>
      </c>
      <c r="B4422" s="20">
        <v>40</v>
      </c>
      <c r="C4422" s="20">
        <v>70</v>
      </c>
      <c r="D4422" s="20">
        <v>47</v>
      </c>
      <c r="E4422" s="20">
        <v>46</v>
      </c>
      <c r="F4422" s="20" t="s">
        <v>25069</v>
      </c>
      <c r="G4422" s="24"/>
      <c r="H4422" s="24"/>
      <c r="I4422" s="24" t="str">
        <f ca="1">IFERROR(__xludf.DUMMYFUNCTION("GOOGLETRANSLATE(F4422,""en"",""pt"")"),"secadores de roupa")</f>
        <v>secadores de roupa</v>
      </c>
      <c r="J4422">
        <f>VLOOKUP(A4422,Pr_Base_LNEC!$A$4:$J$6971,6,FALSE)</f>
        <v>0</v>
      </c>
      <c r="K4422">
        <f>VLOOKUP(A4422,Pr_Base_LNEC!$A$4:$J$6971,7,FALSE)</f>
        <v>0</v>
      </c>
    </row>
    <row r="4423" spans="1:11" ht="14.5">
      <c r="A4423" s="20" t="s">
        <v>25070</v>
      </c>
      <c r="B4423" s="20">
        <v>40</v>
      </c>
      <c r="C4423" s="20">
        <v>70</v>
      </c>
      <c r="D4423" s="20">
        <v>47</v>
      </c>
      <c r="E4423" s="20">
        <v>75</v>
      </c>
      <c r="F4423" s="20" t="s">
        <v>25071</v>
      </c>
      <c r="G4423" s="24"/>
      <c r="H4423" s="24"/>
      <c r="I4423" s="24" t="str">
        <f ca="1">IFERROR(__xludf.DUMMYFUNCTION("GOOGLETRANSLATE(F4423,""en"",""pt"")"),"anilhas barreira sanitia")</f>
        <v>anilhas barreira sanitia</v>
      </c>
      <c r="J4423">
        <f>VLOOKUP(A4423,Pr_Base_LNEC!$A$4:$J$6971,6,FALSE)</f>
        <v>0</v>
      </c>
      <c r="K4423">
        <f>VLOOKUP(A4423,Pr_Base_LNEC!$A$4:$J$6971,7,FALSE)</f>
        <v>0</v>
      </c>
    </row>
    <row r="4424" spans="1:11" ht="14.5">
      <c r="A4424" s="20" t="s">
        <v>25072</v>
      </c>
      <c r="B4424" s="20">
        <v>40</v>
      </c>
      <c r="C4424" s="20">
        <v>70</v>
      </c>
      <c r="D4424" s="20">
        <v>47</v>
      </c>
      <c r="E4424" s="20">
        <v>91</v>
      </c>
      <c r="F4424" s="20" t="s">
        <v>25073</v>
      </c>
      <c r="G4424" s="20" t="s">
        <v>25074</v>
      </c>
      <c r="H4424" s="24"/>
      <c r="I4424" s="24" t="str">
        <f ca="1">IFERROR(__xludf.DUMMYFUNCTION("GOOGLETRANSLATE(F4424,""en"",""pt"")"),"Secadoras")</f>
        <v>Secadoras</v>
      </c>
      <c r="J4424">
        <f>VLOOKUP(A4424,Pr_Base_LNEC!$A$4:$J$6971,6,FALSE)</f>
        <v>0</v>
      </c>
      <c r="K4424">
        <f>VLOOKUP(A4424,Pr_Base_LNEC!$A$4:$J$6971,7,FALSE)</f>
        <v>0</v>
      </c>
    </row>
    <row r="4425" spans="1:11" ht="14.5">
      <c r="A4425" s="20" t="s">
        <v>25075</v>
      </c>
      <c r="B4425" s="20">
        <v>40</v>
      </c>
      <c r="C4425" s="20">
        <v>70</v>
      </c>
      <c r="D4425" s="20">
        <v>47</v>
      </c>
      <c r="E4425" s="20">
        <v>97</v>
      </c>
      <c r="F4425" s="20" t="s">
        <v>25076</v>
      </c>
      <c r="G4425" s="20" t="s">
        <v>25077</v>
      </c>
      <c r="H4425" s="24"/>
      <c r="I4425" s="24" t="str">
        <f ca="1">IFERROR(__xludf.DUMMYFUNCTION("GOOGLETRANSLATE(F4425,""en"",""pt"")"),"secadores de lavar")</f>
        <v>secadores de lavar</v>
      </c>
      <c r="J4425">
        <f>VLOOKUP(A4425,Pr_Base_LNEC!$A$4:$J$6971,6,FALSE)</f>
        <v>0</v>
      </c>
      <c r="K4425">
        <f>VLOOKUP(A4425,Pr_Base_LNEC!$A$4:$J$6971,7,FALSE)</f>
        <v>0</v>
      </c>
    </row>
    <row r="4426" spans="1:11" ht="14.5">
      <c r="A4426" s="20" t="s">
        <v>25078</v>
      </c>
      <c r="B4426" s="20">
        <v>40</v>
      </c>
      <c r="C4426" s="20">
        <v>70</v>
      </c>
      <c r="D4426" s="20">
        <v>50</v>
      </c>
      <c r="E4426" s="24"/>
      <c r="F4426" s="20" t="s">
        <v>25079</v>
      </c>
      <c r="G4426" s="24"/>
      <c r="H4426" s="24"/>
      <c r="I4426" s="24" t="str">
        <f ca="1">IFERROR(__xludf.DUMMYFUNCTION("GOOGLETRANSLATE(F4426,""en"",""pt"")"),"equipamentos de correio")</f>
        <v>equipamentos de correio</v>
      </c>
      <c r="J4426">
        <f>VLOOKUP(A4426,Pr_Base_LNEC!$A$4:$J$6971,6,FALSE)</f>
        <v>0</v>
      </c>
      <c r="K4426">
        <f>VLOOKUP(A4426,Pr_Base_LNEC!$A$4:$J$6971,7,FALSE)</f>
        <v>0</v>
      </c>
    </row>
    <row r="4427" spans="1:11" ht="14.5">
      <c r="A4427" s="20" t="s">
        <v>25080</v>
      </c>
      <c r="B4427" s="20">
        <v>40</v>
      </c>
      <c r="C4427" s="20">
        <v>70</v>
      </c>
      <c r="D4427" s="20">
        <v>50</v>
      </c>
      <c r="E4427" s="20">
        <v>32</v>
      </c>
      <c r="F4427" s="20" t="s">
        <v>25081</v>
      </c>
      <c r="G4427" s="24"/>
      <c r="H4427" s="24"/>
      <c r="I4427" s="24" t="str">
        <f ca="1">IFERROR(__xludf.DUMMYFUNCTION("GOOGLETRANSLATE(F4427,""en"",""pt"")"),"máquinas de franquiar")</f>
        <v>máquinas de franquiar</v>
      </c>
      <c r="J4427">
        <f>VLOOKUP(A4427,Pr_Base_LNEC!$A$4:$J$6971,6,FALSE)</f>
        <v>0</v>
      </c>
      <c r="K4427">
        <f>VLOOKUP(A4427,Pr_Base_LNEC!$A$4:$J$6971,7,FALSE)</f>
        <v>0</v>
      </c>
    </row>
    <row r="4428" spans="1:11" ht="14.5">
      <c r="A4428" s="20" t="s">
        <v>25082</v>
      </c>
      <c r="B4428" s="20">
        <v>40</v>
      </c>
      <c r="C4428" s="20">
        <v>70</v>
      </c>
      <c r="D4428" s="20">
        <v>50</v>
      </c>
      <c r="E4428" s="20">
        <v>65</v>
      </c>
      <c r="F4428" s="20" t="s">
        <v>25083</v>
      </c>
      <c r="G4428" s="24"/>
      <c r="H4428" s="24"/>
      <c r="I4428" s="24" t="str">
        <f ca="1">IFERROR(__xludf.DUMMYFUNCTION("GOOGLETRANSLATE(F4428,""en"",""pt"")"),"Pós manuseamento")</f>
        <v>Pós manuseamento</v>
      </c>
      <c r="J4428">
        <f>VLOOKUP(A4428,Pr_Base_LNEC!$A$4:$J$6971,6,FALSE)</f>
        <v>0</v>
      </c>
      <c r="K4428">
        <f>VLOOKUP(A4428,Pr_Base_LNEC!$A$4:$J$6971,7,FALSE)</f>
        <v>0</v>
      </c>
    </row>
    <row r="4429" spans="1:11" ht="14.5">
      <c r="A4429" s="20" t="s">
        <v>25084</v>
      </c>
      <c r="B4429" s="20">
        <v>40</v>
      </c>
      <c r="C4429" s="20">
        <v>70</v>
      </c>
      <c r="D4429" s="20">
        <v>51</v>
      </c>
      <c r="E4429" s="24"/>
      <c r="F4429" s="20" t="s">
        <v>25085</v>
      </c>
      <c r="G4429" s="24"/>
      <c r="H4429" s="24"/>
      <c r="I4429" s="24" t="str">
        <f ca="1">IFERROR(__xludf.DUMMYFUNCTION("GOOGLETRANSLATE(F4429,""en"",""pt"")"),"equipamentos médicos e laboratoriais")</f>
        <v>equipamentos médicos e laboratoriais</v>
      </c>
      <c r="J4429">
        <f>VLOOKUP(A4429,Pr_Base_LNEC!$A$4:$J$6971,6,FALSE)</f>
        <v>0</v>
      </c>
      <c r="K4429">
        <f>VLOOKUP(A4429,Pr_Base_LNEC!$A$4:$J$6971,7,FALSE)</f>
        <v>0</v>
      </c>
    </row>
    <row r="4430" spans="1:11" ht="14.5">
      <c r="A4430" s="20" t="s">
        <v>25086</v>
      </c>
      <c r="B4430" s="20">
        <v>40</v>
      </c>
      <c r="C4430" s="20">
        <v>70</v>
      </c>
      <c r="D4430" s="20">
        <v>51</v>
      </c>
      <c r="E4430" s="20">
        <v>4</v>
      </c>
      <c r="F4430" s="20" t="s">
        <v>25087</v>
      </c>
      <c r="G4430" s="24"/>
      <c r="H4430" s="24"/>
      <c r="I4430" s="24" t="str">
        <f ca="1">IFERROR(__xludf.DUMMYFUNCTION("GOOGLETRANSLATE(F4430,""en"",""pt"")"),"autoclaves")</f>
        <v>autoclaves</v>
      </c>
      <c r="J4430">
        <f>VLOOKUP(A4430,Pr_Base_LNEC!$A$4:$J$6971,6,FALSE)</f>
        <v>0</v>
      </c>
      <c r="K4430">
        <f>VLOOKUP(A4430,Pr_Base_LNEC!$A$4:$J$6971,7,FALSE)</f>
        <v>0</v>
      </c>
    </row>
    <row r="4431" spans="1:11" ht="14.5">
      <c r="A4431" s="20" t="s">
        <v>25088</v>
      </c>
      <c r="B4431" s="20">
        <v>40</v>
      </c>
      <c r="C4431" s="20">
        <v>70</v>
      </c>
      <c r="D4431" s="20">
        <v>51</v>
      </c>
      <c r="E4431" s="20">
        <v>10</v>
      </c>
      <c r="F4431" s="20" t="s">
        <v>25089</v>
      </c>
      <c r="G4431" s="24"/>
      <c r="H4431" s="24"/>
      <c r="I4431" s="24" t="str">
        <f ca="1">IFERROR(__xludf.DUMMYFUNCTION("GOOGLETRANSLATE(F4431,""en"",""pt"")"),"calorímetros")</f>
        <v>calorímetros</v>
      </c>
      <c r="J4431">
        <f>VLOOKUP(A4431,Pr_Base_LNEC!$A$4:$J$6971,6,FALSE)</f>
        <v>0</v>
      </c>
      <c r="K4431">
        <f>VLOOKUP(A4431,Pr_Base_LNEC!$A$4:$J$6971,7,FALSE)</f>
        <v>0</v>
      </c>
    </row>
    <row r="4432" spans="1:11" ht="14.5">
      <c r="A4432" s="20" t="s">
        <v>25090</v>
      </c>
      <c r="B4432" s="20">
        <v>40</v>
      </c>
      <c r="C4432" s="20">
        <v>70</v>
      </c>
      <c r="D4432" s="20">
        <v>51</v>
      </c>
      <c r="E4432" s="20">
        <v>16</v>
      </c>
      <c r="F4432" s="20" t="s">
        <v>25091</v>
      </c>
      <c r="G4432" s="24"/>
      <c r="H4432" s="24"/>
      <c r="I4432" s="24" t="str">
        <f ca="1">IFERROR(__xludf.DUMMYFUNCTION("GOOGLETRANSLATE(F4432,""en"",""pt"")"),"equipamentos de controle de contaminação")</f>
        <v>equipamentos de controle de contaminação</v>
      </c>
      <c r="J4432">
        <f>VLOOKUP(A4432,Pr_Base_LNEC!$A$4:$J$6971,6,FALSE)</f>
        <v>0</v>
      </c>
      <c r="K4432">
        <f>VLOOKUP(A4432,Pr_Base_LNEC!$A$4:$J$6971,7,FALSE)</f>
        <v>0</v>
      </c>
    </row>
    <row r="4433" spans="1:11" ht="14.5">
      <c r="A4433" s="20" t="s">
        <v>25092</v>
      </c>
      <c r="B4433" s="20">
        <v>40</v>
      </c>
      <c r="C4433" s="20">
        <v>70</v>
      </c>
      <c r="D4433" s="20">
        <v>51</v>
      </c>
      <c r="E4433" s="20">
        <v>22</v>
      </c>
      <c r="F4433" s="20" t="s">
        <v>25093</v>
      </c>
      <c r="G4433" s="24"/>
      <c r="H4433" s="24"/>
      <c r="I4433" s="24" t="str">
        <f ca="1">IFERROR(__xludf.DUMMYFUNCTION("GOOGLETRANSLATE(F4433,""en"",""pt"")"),"unidades desfibrilador")</f>
        <v>unidades desfibrilador</v>
      </c>
      <c r="J4433" t="e">
        <f>VLOOKUP(A4433,Pr_Base_LNEC!$A$4:$J$6971,6,FALSE)</f>
        <v>#N/A</v>
      </c>
      <c r="K4433" t="e">
        <f>VLOOKUP(A4433,Pr_Base_LNEC!$A$4:$J$6971,7,FALSE)</f>
        <v>#N/A</v>
      </c>
    </row>
    <row r="4434" spans="1:11" ht="14.5">
      <c r="A4434" s="20" t="s">
        <v>25094</v>
      </c>
      <c r="B4434" s="20">
        <v>40</v>
      </c>
      <c r="C4434" s="20">
        <v>70</v>
      </c>
      <c r="D4434" s="20">
        <v>51</v>
      </c>
      <c r="E4434" s="20">
        <v>30</v>
      </c>
      <c r="F4434" s="20" t="s">
        <v>25095</v>
      </c>
      <c r="G4434" s="24"/>
      <c r="H4434" s="24"/>
      <c r="I4434" s="24" t="str">
        <f ca="1">IFERROR(__xludf.DUMMYFUNCTION("GOOGLETRANSLATE(F4434,""en"",""pt"")"),"fermentadores")</f>
        <v>fermentadores</v>
      </c>
      <c r="J4434">
        <f>VLOOKUP(A4434,Pr_Base_LNEC!$A$4:$J$6971,6,FALSE)</f>
        <v>0</v>
      </c>
      <c r="K4434">
        <f>VLOOKUP(A4434,Pr_Base_LNEC!$A$4:$J$6971,7,FALSE)</f>
        <v>0</v>
      </c>
    </row>
    <row r="4435" spans="1:11" ht="14.5">
      <c r="A4435" s="20" t="s">
        <v>25096</v>
      </c>
      <c r="B4435" s="20">
        <v>40</v>
      </c>
      <c r="C4435" s="20">
        <v>70</v>
      </c>
      <c r="D4435" s="20">
        <v>51</v>
      </c>
      <c r="E4435" s="20">
        <v>32</v>
      </c>
      <c r="F4435" s="20" t="s">
        <v>25097</v>
      </c>
      <c r="G4435" s="24"/>
      <c r="H4435" s="24"/>
      <c r="I4435" s="24" t="str">
        <f ca="1">IFERROR(__xludf.DUMMYFUNCTION("GOOGLETRANSLATE(F4435,""en"",""pt"")"),"Kit de primeiros socorros")</f>
        <v>Kit de primeiros socorros</v>
      </c>
      <c r="J4435" t="e">
        <f>VLOOKUP(A4435,Pr_Base_LNEC!$A$4:$J$6971,6,FALSE)</f>
        <v>#N/A</v>
      </c>
      <c r="K4435" t="e">
        <f>VLOOKUP(A4435,Pr_Base_LNEC!$A$4:$J$6971,7,FALSE)</f>
        <v>#N/A</v>
      </c>
    </row>
    <row r="4436" spans="1:11" ht="14.5">
      <c r="A4436" s="20" t="s">
        <v>25098</v>
      </c>
      <c r="B4436" s="20">
        <v>40</v>
      </c>
      <c r="C4436" s="20">
        <v>70</v>
      </c>
      <c r="D4436" s="20">
        <v>51</v>
      </c>
      <c r="E4436" s="20">
        <v>42</v>
      </c>
      <c r="F4436" s="20" t="s">
        <v>25099</v>
      </c>
      <c r="G4436" s="24"/>
      <c r="H4436" s="24"/>
      <c r="I4436" s="24" t="str">
        <f ca="1">IFERROR(__xludf.DUMMYFUNCTION("GOOGLETRANSLATE(F4436,""en"",""pt"")"),"incubadoras")</f>
        <v>incubadoras</v>
      </c>
      <c r="J4436" t="e">
        <f>VLOOKUP(A4436,Pr_Base_LNEC!$A$4:$J$6971,6,FALSE)</f>
        <v>#N/A</v>
      </c>
      <c r="K4436" t="e">
        <f>VLOOKUP(A4436,Pr_Base_LNEC!$A$4:$J$6971,7,FALSE)</f>
        <v>#N/A</v>
      </c>
    </row>
    <row r="4437" spans="1:11" ht="14.5">
      <c r="A4437" s="20" t="s">
        <v>25100</v>
      </c>
      <c r="B4437" s="20">
        <v>40</v>
      </c>
      <c r="C4437" s="20">
        <v>70</v>
      </c>
      <c r="D4437" s="20">
        <v>51</v>
      </c>
      <c r="E4437" s="20">
        <v>44</v>
      </c>
      <c r="F4437" s="20" t="s">
        <v>25101</v>
      </c>
      <c r="G4437" s="24"/>
      <c r="H4437" s="24"/>
      <c r="I4437" s="24" t="str">
        <f ca="1">IFERROR(__xludf.DUMMYFUNCTION("GOOGLETRANSLATE(F4437,""en"",""pt"")"),"vasos encamisados")</f>
        <v>vasos encamisados</v>
      </c>
      <c r="J4437">
        <f>VLOOKUP(A4437,Pr_Base_LNEC!$A$4:$J$6971,6,FALSE)</f>
        <v>0</v>
      </c>
      <c r="K4437">
        <f>VLOOKUP(A4437,Pr_Base_LNEC!$A$4:$J$6971,7,FALSE)</f>
        <v>0</v>
      </c>
    </row>
    <row r="4438" spans="1:11" ht="14.5">
      <c r="A4438" s="20" t="s">
        <v>25102</v>
      </c>
      <c r="B4438" s="20">
        <v>40</v>
      </c>
      <c r="C4438" s="20">
        <v>70</v>
      </c>
      <c r="D4438" s="20">
        <v>51</v>
      </c>
      <c r="E4438" s="20">
        <v>51</v>
      </c>
      <c r="F4438" s="20" t="s">
        <v>25103</v>
      </c>
      <c r="G4438" s="24"/>
      <c r="H4438" s="24"/>
      <c r="I4438" s="24" t="str">
        <f ca="1">IFERROR(__xludf.DUMMYFUNCTION("GOOGLETRANSLATE(F4438,""en"",""pt"")"),"microscópios")</f>
        <v>microscópios</v>
      </c>
      <c r="J4438" t="e">
        <f>VLOOKUP(A4438,Pr_Base_LNEC!$A$4:$J$6971,6,FALSE)</f>
        <v>#N/A</v>
      </c>
      <c r="K4438" t="e">
        <f>VLOOKUP(A4438,Pr_Base_LNEC!$A$4:$J$6971,7,FALSE)</f>
        <v>#N/A</v>
      </c>
    </row>
    <row r="4439" spans="1:11" ht="14.5">
      <c r="A4439" s="20" t="s">
        <v>25104</v>
      </c>
      <c r="B4439" s="20">
        <v>40</v>
      </c>
      <c r="C4439" s="20">
        <v>70</v>
      </c>
      <c r="D4439" s="20">
        <v>51</v>
      </c>
      <c r="E4439" s="20">
        <v>59</v>
      </c>
      <c r="F4439" s="20" t="s">
        <v>25105</v>
      </c>
      <c r="G4439" s="24"/>
      <c r="H4439" s="24"/>
      <c r="I4439" s="24" t="str">
        <f ca="1">IFERROR(__xludf.DUMMYFUNCTION("GOOGLETRANSLATE(F4439,""en"",""pt"")"),"equipamentos bloco operatório")</f>
        <v>equipamentos bloco operatório</v>
      </c>
      <c r="J4439">
        <f>VLOOKUP(A4439,Pr_Base_LNEC!$A$4:$J$6971,6,FALSE)</f>
        <v>0</v>
      </c>
      <c r="K4439">
        <f>VLOOKUP(A4439,Pr_Base_LNEC!$A$4:$J$6971,7,FALSE)</f>
        <v>0</v>
      </c>
    </row>
    <row r="4440" spans="1:11" ht="14.5">
      <c r="A4440" s="20" t="s">
        <v>25106</v>
      </c>
      <c r="B4440" s="20">
        <v>40</v>
      </c>
      <c r="C4440" s="20">
        <v>70</v>
      </c>
      <c r="D4440" s="20">
        <v>51</v>
      </c>
      <c r="E4440" s="20">
        <v>60</v>
      </c>
      <c r="F4440" s="20" t="s">
        <v>25107</v>
      </c>
      <c r="G4440" s="24"/>
      <c r="H4440" s="24"/>
      <c r="I4440" s="24" t="str">
        <f ca="1">IFERROR(__xludf.DUMMYFUNCTION("GOOGLETRANSLATE(F4440,""en"",""pt"")"),"osciloscópios")</f>
        <v>osciloscópios</v>
      </c>
      <c r="J4440" t="e">
        <f>VLOOKUP(A4440,Pr_Base_LNEC!$A$4:$J$6971,6,FALSE)</f>
        <v>#N/A</v>
      </c>
      <c r="K4440" t="e">
        <f>VLOOKUP(A4440,Pr_Base_LNEC!$A$4:$J$6971,7,FALSE)</f>
        <v>#N/A</v>
      </c>
    </row>
    <row r="4441" spans="1:11" ht="14.5">
      <c r="A4441" s="20" t="s">
        <v>25108</v>
      </c>
      <c r="B4441" s="20">
        <v>40</v>
      </c>
      <c r="C4441" s="20">
        <v>70</v>
      </c>
      <c r="D4441" s="20">
        <v>51</v>
      </c>
      <c r="E4441" s="20">
        <v>70</v>
      </c>
      <c r="F4441" s="20" t="s">
        <v>25109</v>
      </c>
      <c r="G4441" s="24"/>
      <c r="H4441" s="24"/>
      <c r="I4441" s="24" t="str">
        <f ca="1">IFERROR(__xludf.DUMMYFUNCTION("GOOGLETRANSLATE(F4441,""en"",""pt"")"),"Retrievers")</f>
        <v>Retrievers</v>
      </c>
      <c r="J4441">
        <f>VLOOKUP(A4441,Pr_Base_LNEC!$A$4:$J$6971,6,FALSE)</f>
        <v>0</v>
      </c>
      <c r="K4441">
        <f>VLOOKUP(A4441,Pr_Base_LNEC!$A$4:$J$6971,7,FALSE)</f>
        <v>0</v>
      </c>
    </row>
    <row r="4442" spans="1:11" ht="14.5">
      <c r="A4442" s="20" t="s">
        <v>25110</v>
      </c>
      <c r="B4442" s="20">
        <v>40</v>
      </c>
      <c r="C4442" s="20">
        <v>70</v>
      </c>
      <c r="D4442" s="20">
        <v>51</v>
      </c>
      <c r="E4442" s="20">
        <v>84</v>
      </c>
      <c r="F4442" s="20" t="s">
        <v>25111</v>
      </c>
      <c r="G4442" s="24"/>
      <c r="H4442" s="24"/>
      <c r="I4442" s="24" t="str">
        <f ca="1">IFERROR(__xludf.DUMMYFUNCTION("GOOGLETRANSLATE(F4442,""en"",""pt"")"),"equipamento de esterilização")</f>
        <v>equipamento de esterilização</v>
      </c>
      <c r="J4442">
        <f>VLOOKUP(A4442,Pr_Base_LNEC!$A$4:$J$6971,6,FALSE)</f>
        <v>0</v>
      </c>
      <c r="K4442">
        <f>VLOOKUP(A4442,Pr_Base_LNEC!$A$4:$J$6971,7,FALSE)</f>
        <v>0</v>
      </c>
    </row>
    <row r="4443" spans="1:11" ht="14.5">
      <c r="A4443" s="20" t="s">
        <v>25112</v>
      </c>
      <c r="B4443" s="20">
        <v>40</v>
      </c>
      <c r="C4443" s="20">
        <v>70</v>
      </c>
      <c r="D4443" s="20">
        <v>51</v>
      </c>
      <c r="E4443" s="20">
        <v>94</v>
      </c>
      <c r="F4443" s="20" t="s">
        <v>25113</v>
      </c>
      <c r="G4443" s="24"/>
      <c r="H4443" s="24"/>
      <c r="I4443" s="24" t="str">
        <f ca="1">IFERROR(__xludf.DUMMYFUNCTION("GOOGLETRANSLATE(F4443,""en"",""pt"")"),"fornos a vácuo")</f>
        <v>fornos a vácuo</v>
      </c>
      <c r="J4443">
        <f>VLOOKUP(A4443,Pr_Base_LNEC!$A$4:$J$6971,6,FALSE)</f>
        <v>0</v>
      </c>
      <c r="K4443">
        <f>VLOOKUP(A4443,Pr_Base_LNEC!$A$4:$J$6971,7,FALSE)</f>
        <v>0</v>
      </c>
    </row>
    <row r="4444" spans="1:11" ht="14.5">
      <c r="A4444" s="20" t="s">
        <v>25114</v>
      </c>
      <c r="B4444" s="20">
        <v>40</v>
      </c>
      <c r="C4444" s="20">
        <v>70</v>
      </c>
      <c r="D4444" s="20">
        <v>55</v>
      </c>
      <c r="E4444" s="24"/>
      <c r="F4444" s="20" t="s">
        <v>25115</v>
      </c>
      <c r="G4444" s="24"/>
      <c r="H4444" s="24"/>
      <c r="I4444" s="24" t="str">
        <f ca="1">IFERROR(__xludf.DUMMYFUNCTION("GOOGLETRANSLATE(F4444,""en"",""pt"")"),"equipamentos de amarração e ancoragem")</f>
        <v>equipamentos de amarração e ancoragem</v>
      </c>
      <c r="J4444" t="e">
        <f>VLOOKUP(A4444,Pr_Base_LNEC!$A$4:$J$6971,6,FALSE)</f>
        <v>#N/A</v>
      </c>
      <c r="K4444" t="e">
        <f>VLOOKUP(A4444,Pr_Base_LNEC!$A$4:$J$6971,7,FALSE)</f>
        <v>#N/A</v>
      </c>
    </row>
    <row r="4445" spans="1:11" ht="14.5">
      <c r="A4445" s="20" t="s">
        <v>25116</v>
      </c>
      <c r="B4445" s="20">
        <v>40</v>
      </c>
      <c r="C4445" s="20">
        <v>70</v>
      </c>
      <c r="D4445" s="20">
        <v>55</v>
      </c>
      <c r="E4445" s="20">
        <v>5</v>
      </c>
      <c r="F4445" s="20" t="s">
        <v>25117</v>
      </c>
      <c r="G4445" s="24"/>
      <c r="H4445" s="24"/>
      <c r="I4445" s="24" t="str">
        <f ca="1">IFERROR(__xludf.DUMMYFUNCTION("GOOGLETRANSLATE(F4445,""en"",""pt"")"),"pára-choques arco")</f>
        <v>pára-choques arco</v>
      </c>
      <c r="J4445" t="e">
        <f>VLOOKUP(A4445,Pr_Base_LNEC!$A$4:$J$6971,6,FALSE)</f>
        <v>#N/A</v>
      </c>
      <c r="K4445" t="e">
        <f>VLOOKUP(A4445,Pr_Base_LNEC!$A$4:$J$6971,7,FALSE)</f>
        <v>#N/A</v>
      </c>
    </row>
    <row r="4446" spans="1:11" ht="14.5">
      <c r="A4446" s="20" t="s">
        <v>25118</v>
      </c>
      <c r="B4446" s="20">
        <v>40</v>
      </c>
      <c r="C4446" s="20">
        <v>70</v>
      </c>
      <c r="D4446" s="20">
        <v>55</v>
      </c>
      <c r="E4446" s="20">
        <v>15</v>
      </c>
      <c r="F4446" s="20" t="s">
        <v>25119</v>
      </c>
      <c r="G4446" s="24"/>
      <c r="H4446" s="24"/>
      <c r="I4446" s="24" t="str">
        <f ca="1">IFERROR(__xludf.DUMMYFUNCTION("GOOGLETRANSLATE(F4446,""en"",""pt"")"),"Cabrestante")</f>
        <v>Cabrestante</v>
      </c>
      <c r="J4446" t="e">
        <f>VLOOKUP(A4446,Pr_Base_LNEC!$A$4:$J$6971,6,FALSE)</f>
        <v>#N/A</v>
      </c>
      <c r="K4446" t="e">
        <f>VLOOKUP(A4446,Pr_Base_LNEC!$A$4:$J$6971,7,FALSE)</f>
        <v>#N/A</v>
      </c>
    </row>
    <row r="4447" spans="1:11" ht="14.5">
      <c r="A4447" s="20" t="s">
        <v>25120</v>
      </c>
      <c r="B4447" s="20">
        <v>40</v>
      </c>
      <c r="C4447" s="20">
        <v>70</v>
      </c>
      <c r="D4447" s="20">
        <v>55</v>
      </c>
      <c r="E4447" s="20">
        <v>20</v>
      </c>
      <c r="F4447" s="20" t="s">
        <v>25121</v>
      </c>
      <c r="G4447" s="24"/>
      <c r="H4447" s="24"/>
      <c r="I4447" s="24" t="str">
        <f ca="1">IFERROR(__xludf.DUMMYFUNCTION("GOOGLETRANSLATE(F4447,""en"",""pt"")"),"pára-lamas do cone")</f>
        <v>pára-lamas do cone</v>
      </c>
      <c r="J4447" t="e">
        <f>VLOOKUP(A4447,Pr_Base_LNEC!$A$4:$J$6971,6,FALSE)</f>
        <v>#N/A</v>
      </c>
      <c r="K4447" t="e">
        <f>VLOOKUP(A4447,Pr_Base_LNEC!$A$4:$J$6971,7,FALSE)</f>
        <v>#N/A</v>
      </c>
    </row>
    <row r="4448" spans="1:11" ht="14.5">
      <c r="A4448" s="20" t="s">
        <v>25122</v>
      </c>
      <c r="B4448" s="20">
        <v>40</v>
      </c>
      <c r="C4448" s="20">
        <v>70</v>
      </c>
      <c r="D4448" s="20">
        <v>55</v>
      </c>
      <c r="E4448" s="20">
        <v>22</v>
      </c>
      <c r="F4448" s="20" t="s">
        <v>25123</v>
      </c>
      <c r="G4448" s="24"/>
      <c r="H4448" s="24"/>
      <c r="I4448" s="24" t="str">
        <f ca="1">IFERROR(__xludf.DUMMYFUNCTION("GOOGLETRANSLATE(F4448,""en"",""pt"")"),"pára-lamas celulares")</f>
        <v>pára-lamas celulares</v>
      </c>
      <c r="J4448" t="e">
        <f>VLOOKUP(A4448,Pr_Base_LNEC!$A$4:$J$6971,6,FALSE)</f>
        <v>#N/A</v>
      </c>
      <c r="K4448" t="e">
        <f>VLOOKUP(A4448,Pr_Base_LNEC!$A$4:$J$6971,7,FALSE)</f>
        <v>#N/A</v>
      </c>
    </row>
    <row r="4449" spans="1:11" ht="14.5">
      <c r="A4449" s="20" t="s">
        <v>25124</v>
      </c>
      <c r="B4449" s="20">
        <v>40</v>
      </c>
      <c r="C4449" s="20">
        <v>70</v>
      </c>
      <c r="D4449" s="20">
        <v>55</v>
      </c>
      <c r="E4449" s="20">
        <v>50</v>
      </c>
      <c r="F4449" s="20" t="s">
        <v>25125</v>
      </c>
      <c r="G4449" s="24"/>
      <c r="H4449" s="24"/>
      <c r="I4449" s="24" t="str">
        <f ca="1">IFERROR(__xludf.DUMMYFUNCTION("GOOGLETRANSLATE(F4449,""en"",""pt"")"),"dispositivos de amarração magnéticos")</f>
        <v>dispositivos de amarração magnéticos</v>
      </c>
      <c r="J4449" t="e">
        <f>VLOOKUP(A4449,Pr_Base_LNEC!$A$4:$J$6971,6,FALSE)</f>
        <v>#N/A</v>
      </c>
      <c r="K4449" t="e">
        <f>VLOOKUP(A4449,Pr_Base_LNEC!$A$4:$J$6971,7,FALSE)</f>
        <v>#N/A</v>
      </c>
    </row>
    <row r="4450" spans="1:11" ht="14.5">
      <c r="A4450" s="20" t="s">
        <v>25126</v>
      </c>
      <c r="B4450" s="20">
        <v>40</v>
      </c>
      <c r="C4450" s="20">
        <v>70</v>
      </c>
      <c r="D4450" s="20">
        <v>55</v>
      </c>
      <c r="E4450" s="20">
        <v>53</v>
      </c>
      <c r="F4450" s="20" t="s">
        <v>25127</v>
      </c>
      <c r="G4450" s="24"/>
      <c r="H4450" s="24"/>
      <c r="I4450" s="24" t="str">
        <f ca="1">IFERROR(__xludf.DUMMYFUNCTION("GOOGLETRANSLATE(F4450,""en"",""pt"")"),"tensores linha de amarração")</f>
        <v>tensores linha de amarração</v>
      </c>
      <c r="J4450" t="e">
        <f>VLOOKUP(A4450,Pr_Base_LNEC!$A$4:$J$6971,6,FALSE)</f>
        <v>#N/A</v>
      </c>
      <c r="K4450" t="e">
        <f>VLOOKUP(A4450,Pr_Base_LNEC!$A$4:$J$6971,7,FALSE)</f>
        <v>#N/A</v>
      </c>
    </row>
    <row r="4451" spans="1:11" ht="14.5">
      <c r="A4451" s="20" t="s">
        <v>25128</v>
      </c>
      <c r="B4451" s="20">
        <v>40</v>
      </c>
      <c r="C4451" s="20">
        <v>70</v>
      </c>
      <c r="D4451" s="20">
        <v>55</v>
      </c>
      <c r="E4451" s="20">
        <v>61</v>
      </c>
      <c r="F4451" s="20" t="s">
        <v>25129</v>
      </c>
      <c r="G4451" s="24"/>
      <c r="H4451" s="24"/>
      <c r="I4451" s="24" t="str">
        <f ca="1">IFERROR(__xludf.DUMMYFUNCTION("GOOGLETRANSLATE(F4451,""en"",""pt"")"),"pára-choques pneumáticos")</f>
        <v>pára-choques pneumáticos</v>
      </c>
      <c r="J4451" t="e">
        <f>VLOOKUP(A4451,Pr_Base_LNEC!$A$4:$J$6971,6,FALSE)</f>
        <v>#N/A</v>
      </c>
      <c r="K4451" t="e">
        <f>VLOOKUP(A4451,Pr_Base_LNEC!$A$4:$J$6971,7,FALSE)</f>
        <v>#N/A</v>
      </c>
    </row>
    <row r="4452" spans="1:11" ht="14.5">
      <c r="A4452" s="20" t="s">
        <v>25130</v>
      </c>
      <c r="B4452" s="20">
        <v>40</v>
      </c>
      <c r="C4452" s="20">
        <v>70</v>
      </c>
      <c r="D4452" s="20">
        <v>55</v>
      </c>
      <c r="E4452" s="20">
        <v>69</v>
      </c>
      <c r="F4452" s="20" t="s">
        <v>25131</v>
      </c>
      <c r="G4452" s="24"/>
      <c r="H4452" s="24"/>
      <c r="I4452" s="24" t="str">
        <f ca="1">IFERROR(__xludf.DUMMYFUNCTION("GOOGLETRANSLATE(F4452,""en"",""pt"")"),"ganchos de amarração de liberação rápida")</f>
        <v>ganchos de amarração de liberação rápida</v>
      </c>
      <c r="J4452" t="e">
        <f>VLOOKUP(A4452,Pr_Base_LNEC!$A$4:$J$6971,6,FALSE)</f>
        <v>#N/A</v>
      </c>
      <c r="K4452" t="e">
        <f>VLOOKUP(A4452,Pr_Base_LNEC!$A$4:$J$6971,7,FALSE)</f>
        <v>#N/A</v>
      </c>
    </row>
    <row r="4453" spans="1:11" ht="14.5">
      <c r="A4453" s="20" t="s">
        <v>25132</v>
      </c>
      <c r="B4453" s="20">
        <v>40</v>
      </c>
      <c r="C4453" s="20">
        <v>70</v>
      </c>
      <c r="D4453" s="20">
        <v>55</v>
      </c>
      <c r="E4453" s="20">
        <v>95</v>
      </c>
      <c r="F4453" s="20" t="s">
        <v>25133</v>
      </c>
      <c r="G4453" s="24"/>
      <c r="H4453" s="24"/>
      <c r="I4453" s="24" t="str">
        <f ca="1">IFERROR(__xludf.DUMMYFUNCTION("GOOGLETRANSLATE(F4453,""en"",""pt"")"),"dispositivos de vácuo de amarração")</f>
        <v>dispositivos de vácuo de amarração</v>
      </c>
      <c r="J4453" t="e">
        <f>VLOOKUP(A4453,Pr_Base_LNEC!$A$4:$J$6971,6,FALSE)</f>
        <v>#N/A</v>
      </c>
      <c r="K4453" t="e">
        <f>VLOOKUP(A4453,Pr_Base_LNEC!$A$4:$J$6971,7,FALSE)</f>
        <v>#N/A</v>
      </c>
    </row>
    <row r="4454" spans="1:11" ht="14.5">
      <c r="A4454" s="20" t="s">
        <v>25134</v>
      </c>
      <c r="B4454" s="20">
        <v>40</v>
      </c>
      <c r="C4454" s="20">
        <v>70</v>
      </c>
      <c r="D4454" s="20">
        <v>58</v>
      </c>
      <c r="E4454" s="24"/>
      <c r="F4454" s="20" t="s">
        <v>25135</v>
      </c>
      <c r="G4454" s="24"/>
      <c r="H4454" s="24"/>
      <c r="I4454" s="24" t="str">
        <f ca="1">IFERROR(__xludf.DUMMYFUNCTION("GOOGLETRANSLATE(F4454,""en"",""pt"")"),"Equipamento de escritório")</f>
        <v>Equipamento de escritório</v>
      </c>
      <c r="J4454">
        <f>VLOOKUP(A4454,Pr_Base_LNEC!$A$4:$J$6971,6,FALSE)</f>
        <v>0</v>
      </c>
      <c r="K4454">
        <f>VLOOKUP(A4454,Pr_Base_LNEC!$A$4:$J$6971,7,FALSE)</f>
        <v>0</v>
      </c>
    </row>
    <row r="4455" spans="1:11" ht="14.5">
      <c r="A4455" s="20" t="s">
        <v>25136</v>
      </c>
      <c r="B4455" s="20">
        <v>40</v>
      </c>
      <c r="C4455" s="20">
        <v>70</v>
      </c>
      <c r="D4455" s="20">
        <v>58</v>
      </c>
      <c r="E4455" s="20">
        <v>23</v>
      </c>
      <c r="F4455" s="20" t="s">
        <v>25137</v>
      </c>
      <c r="G4455" s="24"/>
      <c r="H4455" s="24"/>
      <c r="I4455" s="24" t="str">
        <f ca="1">IFERROR(__xludf.DUMMYFUNCTION("GOOGLETRANSLATE(F4455,""en"",""pt"")"),"destruidores de documentos")</f>
        <v>destruidores de documentos</v>
      </c>
      <c r="J4455">
        <f>VLOOKUP(A4455,Pr_Base_LNEC!$A$4:$J$6971,6,FALSE)</f>
        <v>0</v>
      </c>
      <c r="K4455">
        <f>VLOOKUP(A4455,Pr_Base_LNEC!$A$4:$J$6971,7,FALSE)</f>
        <v>0</v>
      </c>
    </row>
    <row r="4456" spans="1:11" ht="14.5">
      <c r="A4456" s="20" t="s">
        <v>25138</v>
      </c>
      <c r="B4456" s="20">
        <v>40</v>
      </c>
      <c r="C4456" s="20">
        <v>70</v>
      </c>
      <c r="D4456" s="20">
        <v>58</v>
      </c>
      <c r="E4456" s="20">
        <v>46</v>
      </c>
      <c r="F4456" s="20" t="s">
        <v>25139</v>
      </c>
      <c r="G4456" s="24"/>
      <c r="H4456" s="24"/>
      <c r="I4456" s="24" t="str">
        <f ca="1">IFERROR(__xludf.DUMMYFUNCTION("GOOGLETRANSLATE(F4456,""en"",""pt"")"),"fabricantes de etiquetas")</f>
        <v>fabricantes de etiquetas</v>
      </c>
      <c r="J4456" t="e">
        <f>VLOOKUP(A4456,Pr_Base_LNEC!$A$4:$J$6971,6,FALSE)</f>
        <v>#N/A</v>
      </c>
      <c r="K4456" t="e">
        <f>VLOOKUP(A4456,Pr_Base_LNEC!$A$4:$J$6971,7,FALSE)</f>
        <v>#N/A</v>
      </c>
    </row>
    <row r="4457" spans="1:11" ht="14.5">
      <c r="A4457" s="20" t="s">
        <v>25140</v>
      </c>
      <c r="B4457" s="20">
        <v>40</v>
      </c>
      <c r="C4457" s="20">
        <v>70</v>
      </c>
      <c r="D4457" s="20">
        <v>58</v>
      </c>
      <c r="E4457" s="20">
        <v>60</v>
      </c>
      <c r="F4457" s="20" t="s">
        <v>25141</v>
      </c>
      <c r="G4457" s="24"/>
      <c r="H4457" s="24"/>
      <c r="I4457" s="24" t="str">
        <f ca="1">IFERROR(__xludf.DUMMYFUNCTION("GOOGLETRANSLATE(F4457,""en"",""pt"")"),"laminadores de papel")</f>
        <v>laminadores de papel</v>
      </c>
      <c r="J4457" t="e">
        <f>VLOOKUP(A4457,Pr_Base_LNEC!$A$4:$J$6971,6,FALSE)</f>
        <v>#N/A</v>
      </c>
      <c r="K4457" t="e">
        <f>VLOOKUP(A4457,Pr_Base_LNEC!$A$4:$J$6971,7,FALSE)</f>
        <v>#N/A</v>
      </c>
    </row>
    <row r="4458" spans="1:11" ht="14.5">
      <c r="A4458" s="20" t="s">
        <v>25142</v>
      </c>
      <c r="B4458" s="20">
        <v>40</v>
      </c>
      <c r="C4458" s="20">
        <v>70</v>
      </c>
      <c r="D4458" s="20">
        <v>62</v>
      </c>
      <c r="E4458" s="24"/>
      <c r="F4458" s="20" t="s">
        <v>25143</v>
      </c>
      <c r="G4458" s="24"/>
      <c r="H4458" s="24"/>
      <c r="I4458" s="24" t="str">
        <f ca="1">IFERROR(__xludf.DUMMYFUNCTION("GOOGLETRANSLATE(F4458,""en"",""pt"")"),"secadores pessoais")</f>
        <v>secadores pessoais</v>
      </c>
      <c r="J4458">
        <f>VLOOKUP(A4458,Pr_Base_LNEC!$A$4:$J$6971,6,FALSE)</f>
        <v>0</v>
      </c>
      <c r="K4458">
        <f>VLOOKUP(A4458,Pr_Base_LNEC!$A$4:$J$6971,7,FALSE)</f>
        <v>0</v>
      </c>
    </row>
    <row r="4459" spans="1:11" ht="14.5">
      <c r="A4459" s="20" t="s">
        <v>25144</v>
      </c>
      <c r="B4459" s="20">
        <v>40</v>
      </c>
      <c r="C4459" s="20">
        <v>70</v>
      </c>
      <c r="D4459" s="20">
        <v>62</v>
      </c>
      <c r="E4459" s="20">
        <v>9</v>
      </c>
      <c r="F4459" s="20" t="s">
        <v>25145</v>
      </c>
      <c r="G4459" s="24"/>
      <c r="H4459" s="24"/>
      <c r="I4459" s="24" t="str">
        <f ca="1">IFERROR(__xludf.DUMMYFUNCTION("GOOGLETRANSLATE(F4459,""en"",""pt"")"),"secadores de corpo")</f>
        <v>secadores de corpo</v>
      </c>
      <c r="J4459">
        <f>VLOOKUP(A4459,Pr_Base_LNEC!$A$4:$J$6971,6,FALSE)</f>
        <v>0</v>
      </c>
      <c r="K4459">
        <f>VLOOKUP(A4459,Pr_Base_LNEC!$A$4:$J$6971,7,FALSE)</f>
        <v>0</v>
      </c>
    </row>
    <row r="4460" spans="1:11" ht="14.5">
      <c r="A4460" s="20" t="s">
        <v>25146</v>
      </c>
      <c r="B4460" s="20">
        <v>40</v>
      </c>
      <c r="C4460" s="20">
        <v>70</v>
      </c>
      <c r="D4460" s="20">
        <v>62</v>
      </c>
      <c r="E4460" s="20">
        <v>29</v>
      </c>
      <c r="F4460" s="20" t="s">
        <v>25147</v>
      </c>
      <c r="G4460" s="24"/>
      <c r="H4460" s="24"/>
      <c r="I4460" s="24" t="str">
        <f ca="1">IFERROR(__xludf.DUMMYFUNCTION("GOOGLETRANSLATE(F4460,""en"",""pt"")"),"secadores de face")</f>
        <v>secadores de face</v>
      </c>
      <c r="J4460">
        <f>VLOOKUP(A4460,Pr_Base_LNEC!$A$4:$J$6971,6,FALSE)</f>
        <v>0</v>
      </c>
      <c r="K4460">
        <f>VLOOKUP(A4460,Pr_Base_LNEC!$A$4:$J$6971,7,FALSE)</f>
        <v>0</v>
      </c>
    </row>
    <row r="4461" spans="1:11" ht="14.5">
      <c r="A4461" s="20" t="s">
        <v>25148</v>
      </c>
      <c r="B4461" s="20">
        <v>40</v>
      </c>
      <c r="C4461" s="20">
        <v>70</v>
      </c>
      <c r="D4461" s="20">
        <v>62</v>
      </c>
      <c r="E4461" s="20">
        <v>36</v>
      </c>
      <c r="F4461" s="20" t="s">
        <v>25149</v>
      </c>
      <c r="G4461" s="20" t="s">
        <v>25150</v>
      </c>
      <c r="H4461" s="24"/>
      <c r="I4461" s="24" t="str">
        <f ca="1">IFERROR(__xludf.DUMMYFUNCTION("GOOGLETRANSLATE(F4461,""en"",""pt"")"),"secadores de cabelo")</f>
        <v>secadores de cabelo</v>
      </c>
      <c r="J4461">
        <f>VLOOKUP(A4461,Pr_Base_LNEC!$A$4:$J$6971,6,FALSE)</f>
        <v>0</v>
      </c>
      <c r="K4461">
        <f>VLOOKUP(A4461,Pr_Base_LNEC!$A$4:$J$6971,7,FALSE)</f>
        <v>0</v>
      </c>
    </row>
    <row r="4462" spans="1:11" ht="14.5">
      <c r="A4462" s="20" t="s">
        <v>25151</v>
      </c>
      <c r="B4462" s="20">
        <v>40</v>
      </c>
      <c r="C4462" s="20">
        <v>70</v>
      </c>
      <c r="D4462" s="20">
        <v>62</v>
      </c>
      <c r="E4462" s="20">
        <v>37</v>
      </c>
      <c r="F4462" s="20" t="s">
        <v>25152</v>
      </c>
      <c r="G4462" s="20" t="s">
        <v>25153</v>
      </c>
      <c r="H4462" s="24"/>
      <c r="I4462" s="24" t="str">
        <f ca="1">IFERROR(__xludf.DUMMYFUNCTION("GOOGLETRANSLATE(F4462,""en"",""pt"")"),"secadores de mão")</f>
        <v>secadores de mão</v>
      </c>
      <c r="J4462">
        <f>VLOOKUP(A4462,Pr_Base_LNEC!$A$4:$J$6971,6,FALSE)</f>
        <v>0</v>
      </c>
      <c r="K4462">
        <f>VLOOKUP(A4462,Pr_Base_LNEC!$A$4:$J$6971,7,FALSE)</f>
        <v>0</v>
      </c>
    </row>
    <row r="4463" spans="1:11" ht="14.5">
      <c r="A4463" s="20" t="s">
        <v>25154</v>
      </c>
      <c r="B4463" s="20">
        <v>40</v>
      </c>
      <c r="C4463" s="20">
        <v>70</v>
      </c>
      <c r="D4463" s="20">
        <v>63</v>
      </c>
      <c r="E4463" s="24"/>
      <c r="F4463" s="20" t="s">
        <v>25155</v>
      </c>
      <c r="G4463" s="24"/>
      <c r="H4463" s="24"/>
      <c r="I4463" s="24" t="str">
        <f ca="1">IFERROR(__xludf.DUMMYFUNCTION("GOOGLETRANSLATE(F4463,""en"",""pt"")"),"equipamento fotográfico")</f>
        <v>equipamento fotográfico</v>
      </c>
      <c r="J4463">
        <f>VLOOKUP(A4463,Pr_Base_LNEC!$A$4:$J$6971,6,FALSE)</f>
        <v>0</v>
      </c>
      <c r="K4463">
        <f>VLOOKUP(A4463,Pr_Base_LNEC!$A$4:$J$6971,7,FALSE)</f>
        <v>0</v>
      </c>
    </row>
    <row r="4464" spans="1:11" ht="14.5">
      <c r="A4464" s="20" t="s">
        <v>25156</v>
      </c>
      <c r="B4464" s="20">
        <v>40</v>
      </c>
      <c r="C4464" s="20">
        <v>70</v>
      </c>
      <c r="D4464" s="20">
        <v>63</v>
      </c>
      <c r="E4464" s="20">
        <v>4</v>
      </c>
      <c r="F4464" s="20" t="s">
        <v>25157</v>
      </c>
      <c r="G4464" s="24"/>
      <c r="H4464" s="24"/>
      <c r="I4464" s="24" t="str">
        <f ca="1">IFERROR(__xludf.DUMMYFUNCTION("GOOGLETRANSLATE(F4464,""en"",""pt"")"),"equipamento de revelação de filmes automatizado")</f>
        <v>equipamento de revelação de filmes automatizado</v>
      </c>
      <c r="J4464">
        <f>VLOOKUP(A4464,Pr_Base_LNEC!$A$4:$J$6971,6,FALSE)</f>
        <v>0</v>
      </c>
      <c r="K4464">
        <f>VLOOKUP(A4464,Pr_Base_LNEC!$A$4:$J$6971,7,FALSE)</f>
        <v>0</v>
      </c>
    </row>
    <row r="4465" spans="1:11" ht="14.5">
      <c r="A4465" s="20" t="s">
        <v>25158</v>
      </c>
      <c r="B4465" s="20">
        <v>40</v>
      </c>
      <c r="C4465" s="20">
        <v>70</v>
      </c>
      <c r="D4465" s="20">
        <v>63</v>
      </c>
      <c r="E4465" s="20">
        <v>5</v>
      </c>
      <c r="F4465" s="20" t="s">
        <v>25159</v>
      </c>
      <c r="G4465" s="24"/>
      <c r="H4465" s="24"/>
      <c r="I4465" s="24" t="str">
        <f ca="1">IFERROR(__xludf.DUMMYFUNCTION("GOOGLETRANSLATE(F4465,""en"",""pt"")"),"equipamentos de impressão automatizada")</f>
        <v>equipamentos de impressão automatizada</v>
      </c>
      <c r="J4465">
        <f>VLOOKUP(A4465,Pr_Base_LNEC!$A$4:$J$6971,6,FALSE)</f>
        <v>0</v>
      </c>
      <c r="K4465">
        <f>VLOOKUP(A4465,Pr_Base_LNEC!$A$4:$J$6971,7,FALSE)</f>
        <v>0</v>
      </c>
    </row>
    <row r="4466" spans="1:11" ht="14.5">
      <c r="A4466" s="20" t="s">
        <v>25160</v>
      </c>
      <c r="B4466" s="20">
        <v>40</v>
      </c>
      <c r="C4466" s="20">
        <v>70</v>
      </c>
      <c r="D4466" s="20">
        <v>63</v>
      </c>
      <c r="E4466" s="20">
        <v>28</v>
      </c>
      <c r="F4466" s="20" t="s">
        <v>25161</v>
      </c>
      <c r="G4466" s="24"/>
      <c r="H4466" s="24"/>
      <c r="I4466" s="24" t="str">
        <f ca="1">IFERROR(__xludf.DUMMYFUNCTION("GOOGLETRANSLATE(F4466,""en"",""pt"")"),"ampliadores")</f>
        <v>ampliadores</v>
      </c>
      <c r="J4466">
        <f>VLOOKUP(A4466,Pr_Base_LNEC!$A$4:$J$6971,6,FALSE)</f>
        <v>0</v>
      </c>
      <c r="K4466">
        <f>VLOOKUP(A4466,Pr_Base_LNEC!$A$4:$J$6971,7,FALSE)</f>
        <v>0</v>
      </c>
    </row>
    <row r="4467" spans="1:11" ht="14.5">
      <c r="A4467" s="20" t="s">
        <v>25162</v>
      </c>
      <c r="B4467" s="20">
        <v>40</v>
      </c>
      <c r="C4467" s="20">
        <v>70</v>
      </c>
      <c r="D4467" s="20">
        <v>63</v>
      </c>
      <c r="E4467" s="20">
        <v>35</v>
      </c>
      <c r="F4467" s="20" t="s">
        <v>25163</v>
      </c>
      <c r="G4467" s="24"/>
      <c r="H4467" s="24"/>
      <c r="I4467" s="24" t="str">
        <f ca="1">IFERROR(__xludf.DUMMYFUNCTION("GOOGLETRANSLATE(F4467,""en"",""pt"")"),"câmeras gráficas")</f>
        <v>câmeras gráficas</v>
      </c>
      <c r="J4467">
        <f>VLOOKUP(A4467,Pr_Base_LNEC!$A$4:$J$6971,6,FALSE)</f>
        <v>0</v>
      </c>
      <c r="K4467">
        <f>VLOOKUP(A4467,Pr_Base_LNEC!$A$4:$J$6971,7,FALSE)</f>
        <v>0</v>
      </c>
    </row>
    <row r="4468" spans="1:11" ht="14.5">
      <c r="A4468" s="20" t="s">
        <v>25164</v>
      </c>
      <c r="B4468" s="20">
        <v>40</v>
      </c>
      <c r="C4468" s="20">
        <v>70</v>
      </c>
      <c r="D4468" s="20">
        <v>65</v>
      </c>
      <c r="E4468" s="24"/>
      <c r="F4468" s="20" t="s">
        <v>25165</v>
      </c>
      <c r="G4468" s="24"/>
      <c r="H4468" s="24"/>
      <c r="I4468" s="24" t="str">
        <f ca="1">IFERROR(__xludf.DUMMYFUNCTION("GOOGLETRANSLATE(F4468,""en"",""pt"")"),"equipamentos de restauração preparação")</f>
        <v>equipamentos de restauração preparação</v>
      </c>
      <c r="J4468">
        <f>VLOOKUP(A4468,Pr_Base_LNEC!$A$4:$J$6971,6,FALSE)</f>
        <v>0</v>
      </c>
      <c r="K4468">
        <f>VLOOKUP(A4468,Pr_Base_LNEC!$A$4:$J$6971,7,FALSE)</f>
        <v>0</v>
      </c>
    </row>
    <row r="4469" spans="1:11" ht="14.5">
      <c r="A4469" s="20" t="s">
        <v>25166</v>
      </c>
      <c r="B4469" s="20">
        <v>40</v>
      </c>
      <c r="C4469" s="20">
        <v>70</v>
      </c>
      <c r="D4469" s="20">
        <v>65</v>
      </c>
      <c r="E4469" s="20">
        <v>16</v>
      </c>
      <c r="F4469" s="20" t="s">
        <v>25167</v>
      </c>
      <c r="G4469" s="20" t="s">
        <v>25168</v>
      </c>
      <c r="H4469" s="24"/>
      <c r="I4469" s="24" t="str">
        <f ca="1">IFERROR(__xludf.DUMMYFUNCTION("GOOGLETRANSLATE(F4469,""en"",""pt"")"),"torradeiras transportadoras")</f>
        <v>torradeiras transportadoras</v>
      </c>
      <c r="J4469">
        <f>VLOOKUP(A4469,Pr_Base_LNEC!$A$4:$J$6971,6,FALSE)</f>
        <v>0</v>
      </c>
      <c r="K4469">
        <f>VLOOKUP(A4469,Pr_Base_LNEC!$A$4:$J$6971,7,FALSE)</f>
        <v>0</v>
      </c>
    </row>
    <row r="4470" spans="1:11" ht="14.5">
      <c r="A4470" s="20" t="s">
        <v>25169</v>
      </c>
      <c r="B4470" s="20">
        <v>40</v>
      </c>
      <c r="C4470" s="20">
        <v>70</v>
      </c>
      <c r="D4470" s="20">
        <v>65</v>
      </c>
      <c r="E4470" s="20">
        <v>17</v>
      </c>
      <c r="F4470" s="20" t="s">
        <v>25170</v>
      </c>
      <c r="G4470" s="24"/>
      <c r="H4470" s="24"/>
      <c r="I4470" s="24" t="str">
        <f ca="1">IFERROR(__xludf.DUMMYFUNCTION("GOOGLETRANSLATE(F4470,""en"",""pt"")"),"Equipamento para bebida")</f>
        <v>Equipamento para bebida</v>
      </c>
      <c r="J4470">
        <f>VLOOKUP(A4470,Pr_Base_LNEC!$A$4:$J$6971,6,FALSE)</f>
        <v>0</v>
      </c>
      <c r="K4470">
        <f>VLOOKUP(A4470,Pr_Base_LNEC!$A$4:$J$6971,7,FALSE)</f>
        <v>0</v>
      </c>
    </row>
    <row r="4471" spans="1:11" ht="14.5">
      <c r="A4471" s="20" t="s">
        <v>25171</v>
      </c>
      <c r="B4471" s="20">
        <v>40</v>
      </c>
      <c r="C4471" s="20">
        <v>70</v>
      </c>
      <c r="D4471" s="20">
        <v>65</v>
      </c>
      <c r="E4471" s="20">
        <v>18</v>
      </c>
      <c r="F4471" s="20" t="s">
        <v>25172</v>
      </c>
      <c r="G4471" s="20" t="s">
        <v>25173</v>
      </c>
      <c r="H4471" s="24"/>
      <c r="I4471" s="24" t="str">
        <f ca="1">IFERROR(__xludf.DUMMYFUNCTION("GOOGLETRANSLATE(F4471,""en"",""pt"")"),"marmitas eléctricas")</f>
        <v>marmitas eléctricas</v>
      </c>
      <c r="J4471">
        <f>VLOOKUP(A4471,Pr_Base_LNEC!$A$4:$J$6971,6,FALSE)</f>
        <v>0</v>
      </c>
      <c r="K4471">
        <f>VLOOKUP(A4471,Pr_Base_LNEC!$A$4:$J$6971,7,FALSE)</f>
        <v>0</v>
      </c>
    </row>
    <row r="4472" spans="1:11" ht="14.5">
      <c r="A4472" s="20" t="s">
        <v>25174</v>
      </c>
      <c r="B4472" s="20">
        <v>40</v>
      </c>
      <c r="C4472" s="20">
        <v>70</v>
      </c>
      <c r="D4472" s="20">
        <v>65</v>
      </c>
      <c r="E4472" s="20">
        <v>19</v>
      </c>
      <c r="F4472" s="20" t="s">
        <v>25175</v>
      </c>
      <c r="G4472" s="20" t="s">
        <v>25176</v>
      </c>
      <c r="H4472" s="24"/>
      <c r="I4472" s="24" t="str">
        <f ca="1">IFERROR(__xludf.DUMMYFUNCTION("GOOGLETRANSLATE(F4472,""en"",""pt"")"),"mesas de ebulição elétricos")</f>
        <v>mesas de ebulição elétricos</v>
      </c>
      <c r="J4472">
        <f>VLOOKUP(A4472,Pr_Base_LNEC!$A$4:$J$6971,6,FALSE)</f>
        <v>0</v>
      </c>
      <c r="K4472">
        <f>VLOOKUP(A4472,Pr_Base_LNEC!$A$4:$J$6971,7,FALSE)</f>
        <v>0</v>
      </c>
    </row>
    <row r="4473" spans="1:11" ht="14.5">
      <c r="A4473" s="20" t="s">
        <v>25177</v>
      </c>
      <c r="B4473" s="20">
        <v>40</v>
      </c>
      <c r="C4473" s="20">
        <v>70</v>
      </c>
      <c r="D4473" s="20">
        <v>65</v>
      </c>
      <c r="E4473" s="20">
        <v>20</v>
      </c>
      <c r="F4473" s="20" t="s">
        <v>25178</v>
      </c>
      <c r="G4473" s="20" t="s">
        <v>25179</v>
      </c>
      <c r="H4473" s="24"/>
      <c r="I4473" s="24" t="str">
        <f ca="1">IFERROR(__xludf.DUMMYFUNCTION("GOOGLETRANSLATE(F4473,""en"",""pt"")"),"panelas bratt elétricos")</f>
        <v>panelas bratt elétricos</v>
      </c>
      <c r="J4473">
        <f>VLOOKUP(A4473,Pr_Base_LNEC!$A$4:$J$6971,6,FALSE)</f>
        <v>0</v>
      </c>
      <c r="K4473">
        <f>VLOOKUP(A4473,Pr_Base_LNEC!$A$4:$J$6971,7,FALSE)</f>
        <v>0</v>
      </c>
    </row>
    <row r="4474" spans="1:11" ht="14.5">
      <c r="A4474" s="20" t="s">
        <v>25180</v>
      </c>
      <c r="B4474" s="20">
        <v>40</v>
      </c>
      <c r="C4474" s="20">
        <v>70</v>
      </c>
      <c r="D4474" s="20">
        <v>65</v>
      </c>
      <c r="E4474" s="20">
        <v>21</v>
      </c>
      <c r="F4474" s="20" t="s">
        <v>25181</v>
      </c>
      <c r="G4474" s="20" t="s">
        <v>25182</v>
      </c>
      <c r="H4474" s="24"/>
      <c r="I4474" s="24" t="str">
        <f ca="1">IFERROR(__xludf.DUMMYFUNCTION("GOOGLETRANSLATE(F4474,""en"",""pt"")"),"fogões elétricos")</f>
        <v>fogões elétricos</v>
      </c>
      <c r="J4474">
        <f>VLOOKUP(A4474,Pr_Base_LNEC!$A$4:$J$6971,6,FALSE)</f>
        <v>0</v>
      </c>
      <c r="K4474">
        <f>VLOOKUP(A4474,Pr_Base_LNEC!$A$4:$J$6971,7,FALSE)</f>
        <v>0</v>
      </c>
    </row>
    <row r="4475" spans="1:11" ht="14.5">
      <c r="A4475" s="20" t="s">
        <v>25183</v>
      </c>
      <c r="B4475" s="20">
        <v>40</v>
      </c>
      <c r="C4475" s="20">
        <v>70</v>
      </c>
      <c r="D4475" s="20">
        <v>65</v>
      </c>
      <c r="E4475" s="20">
        <v>22</v>
      </c>
      <c r="F4475" s="20" t="s">
        <v>25184</v>
      </c>
      <c r="G4475" s="20" t="s">
        <v>25185</v>
      </c>
      <c r="H4475" s="24"/>
      <c r="I4475" s="24" t="str">
        <f ca="1">IFERROR(__xludf.DUMMYFUNCTION("GOOGLETRANSLATE(F4475,""en"",""pt"")"),"fritadeiras eléctricas")</f>
        <v>fritadeiras eléctricas</v>
      </c>
      <c r="J4475">
        <f>VLOOKUP(A4475,Pr_Base_LNEC!$A$4:$J$6971,6,FALSE)</f>
        <v>0</v>
      </c>
      <c r="K4475">
        <f>VLOOKUP(A4475,Pr_Base_LNEC!$A$4:$J$6971,7,FALSE)</f>
        <v>0</v>
      </c>
    </row>
    <row r="4476" spans="1:11" ht="14.5">
      <c r="A4476" s="20" t="s">
        <v>25186</v>
      </c>
      <c r="B4476" s="20">
        <v>40</v>
      </c>
      <c r="C4476" s="20">
        <v>70</v>
      </c>
      <c r="D4476" s="20">
        <v>65</v>
      </c>
      <c r="E4476" s="20">
        <v>23</v>
      </c>
      <c r="F4476" s="20" t="s">
        <v>25187</v>
      </c>
      <c r="G4476" s="24"/>
      <c r="H4476" s="24"/>
      <c r="I4476" s="24" t="str">
        <f ca="1">IFERROR(__xludf.DUMMYFUNCTION("GOOGLETRANSLATE(F4476,""en"",""pt"")"),"fritadeiras eléctricas")</f>
        <v>fritadeiras eléctricas</v>
      </c>
      <c r="J4476">
        <f>VLOOKUP(A4476,Pr_Base_LNEC!$A$4:$J$6971,6,FALSE)</f>
        <v>0</v>
      </c>
      <c r="K4476">
        <f>VLOOKUP(A4476,Pr_Base_LNEC!$A$4:$J$6971,7,FALSE)</f>
        <v>0</v>
      </c>
    </row>
    <row r="4477" spans="1:11" ht="14.5">
      <c r="A4477" s="20" t="s">
        <v>25188</v>
      </c>
      <c r="B4477" s="20">
        <v>40</v>
      </c>
      <c r="C4477" s="20">
        <v>70</v>
      </c>
      <c r="D4477" s="20">
        <v>65</v>
      </c>
      <c r="E4477" s="20">
        <v>24</v>
      </c>
      <c r="F4477" s="20" t="s">
        <v>25189</v>
      </c>
      <c r="G4477" s="20" t="s">
        <v>25190</v>
      </c>
      <c r="H4477" s="24"/>
      <c r="I4477" s="24" t="str">
        <f ca="1">IFERROR(__xludf.DUMMYFUNCTION("GOOGLETRANSLATE(F4477,""en"",""pt"")"),"griddles elétricos")</f>
        <v>griddles elétricos</v>
      </c>
      <c r="J4477">
        <f>VLOOKUP(A4477,Pr_Base_LNEC!$A$4:$J$6971,6,FALSE)</f>
        <v>0</v>
      </c>
      <c r="K4477">
        <f>VLOOKUP(A4477,Pr_Base_LNEC!$A$4:$J$6971,7,FALSE)</f>
        <v>0</v>
      </c>
    </row>
    <row r="4478" spans="1:11" ht="14.5">
      <c r="A4478" s="20" t="s">
        <v>25191</v>
      </c>
      <c r="B4478" s="20">
        <v>40</v>
      </c>
      <c r="C4478" s="20">
        <v>70</v>
      </c>
      <c r="D4478" s="20">
        <v>65</v>
      </c>
      <c r="E4478" s="20">
        <v>25</v>
      </c>
      <c r="F4478" s="20" t="s">
        <v>25192</v>
      </c>
      <c r="G4478" s="24"/>
      <c r="H4478" s="24"/>
      <c r="I4478" s="24" t="str">
        <f ca="1">IFERROR(__xludf.DUMMYFUNCTION("GOOGLETRANSLATE(F4478,""en"",""pt"")"),"grelhadores eléctricos")</f>
        <v>grelhadores eléctricos</v>
      </c>
      <c r="J4478">
        <f>VLOOKUP(A4478,Pr_Base_LNEC!$A$4:$J$6971,6,FALSE)</f>
        <v>0</v>
      </c>
      <c r="K4478">
        <f>VLOOKUP(A4478,Pr_Base_LNEC!$A$4:$J$6971,7,FALSE)</f>
        <v>0</v>
      </c>
    </row>
    <row r="4479" spans="1:11" ht="14.5">
      <c r="A4479" s="20" t="s">
        <v>25193</v>
      </c>
      <c r="B4479" s="20">
        <v>40</v>
      </c>
      <c r="C4479" s="20">
        <v>70</v>
      </c>
      <c r="D4479" s="20">
        <v>65</v>
      </c>
      <c r="E4479" s="20">
        <v>26</v>
      </c>
      <c r="F4479" s="20" t="s">
        <v>25194</v>
      </c>
      <c r="G4479" s="20" t="s">
        <v>25195</v>
      </c>
      <c r="H4479" s="24"/>
      <c r="I4479" s="24" t="str">
        <f ca="1">IFERROR(__xludf.DUMMYFUNCTION("GOOGLETRANSLATE(F4479,""en"",""pt"")"),"dispensadores de água quente elétricos")</f>
        <v>dispensadores de água quente elétricos</v>
      </c>
      <c r="J4479">
        <f>VLOOKUP(A4479,Pr_Base_LNEC!$A$4:$J$6971,6,FALSE)</f>
        <v>0</v>
      </c>
      <c r="K4479">
        <f>VLOOKUP(A4479,Pr_Base_LNEC!$A$4:$J$6971,7,FALSE)</f>
        <v>0</v>
      </c>
    </row>
    <row r="4480" spans="1:11" ht="14.5">
      <c r="A4480" s="20" t="s">
        <v>25196</v>
      </c>
      <c r="B4480" s="20">
        <v>40</v>
      </c>
      <c r="C4480" s="20">
        <v>70</v>
      </c>
      <c r="D4480" s="20">
        <v>65</v>
      </c>
      <c r="E4480" s="20">
        <v>27</v>
      </c>
      <c r="F4480" s="20" t="s">
        <v>25197</v>
      </c>
      <c r="G4480" s="24"/>
      <c r="H4480" s="24"/>
      <c r="I4480" s="24" t="str">
        <f ca="1">IFERROR(__xludf.DUMMYFUNCTION("GOOGLETRANSLATE(F4480,""en"",""pt"")"),"fornos eléctricos")</f>
        <v>fornos eléctricos</v>
      </c>
      <c r="J4480">
        <f>VLOOKUP(A4480,Pr_Base_LNEC!$A$4:$J$6971,6,FALSE)</f>
        <v>0</v>
      </c>
      <c r="K4480">
        <f>VLOOKUP(A4480,Pr_Base_LNEC!$A$4:$J$6971,7,FALSE)</f>
        <v>0</v>
      </c>
    </row>
    <row r="4481" spans="1:11" ht="14.5">
      <c r="A4481" s="20" t="s">
        <v>25198</v>
      </c>
      <c r="B4481" s="20">
        <v>40</v>
      </c>
      <c r="C4481" s="20">
        <v>70</v>
      </c>
      <c r="D4481" s="20">
        <v>65</v>
      </c>
      <c r="E4481" s="20">
        <v>28</v>
      </c>
      <c r="F4481" s="20" t="s">
        <v>25199</v>
      </c>
      <c r="G4481" s="20" t="s">
        <v>25200</v>
      </c>
      <c r="H4481" s="24"/>
      <c r="I4481" s="24" t="str">
        <f ca="1">IFERROR(__xludf.DUMMYFUNCTION("GOOGLETRANSLATE(F4481,""en"",""pt"")"),"fornos elétricos fumegantes")</f>
        <v>fornos elétricos fumegantes</v>
      </c>
      <c r="J4481">
        <f>VLOOKUP(A4481,Pr_Base_LNEC!$A$4:$J$6971,6,FALSE)</f>
        <v>0</v>
      </c>
      <c r="K4481">
        <f>VLOOKUP(A4481,Pr_Base_LNEC!$A$4:$J$6971,7,FALSE)</f>
        <v>0</v>
      </c>
    </row>
    <row r="4482" spans="1:11" ht="14.5">
      <c r="A4482" s="20" t="s">
        <v>25201</v>
      </c>
      <c r="B4482" s="20">
        <v>40</v>
      </c>
      <c r="C4482" s="20">
        <v>70</v>
      </c>
      <c r="D4482" s="20">
        <v>65</v>
      </c>
      <c r="E4482" s="20">
        <v>29</v>
      </c>
      <c r="F4482" s="20" t="s">
        <v>25202</v>
      </c>
      <c r="G4482" s="24"/>
      <c r="H4482" s="24"/>
      <c r="I4482" s="24" t="str">
        <f ca="1">IFERROR(__xludf.DUMMYFUNCTION("GOOGLETRANSLATE(F4482,""en"",""pt"")"),"liquidificadores alimentos")</f>
        <v>liquidificadores alimentos</v>
      </c>
      <c r="J4482">
        <f>VLOOKUP(A4482,Pr_Base_LNEC!$A$4:$J$6971,6,FALSE)</f>
        <v>0</v>
      </c>
      <c r="K4482">
        <f>VLOOKUP(A4482,Pr_Base_LNEC!$A$4:$J$6971,7,FALSE)</f>
        <v>0</v>
      </c>
    </row>
    <row r="4483" spans="1:11" ht="14.5">
      <c r="A4483" s="20" t="s">
        <v>25203</v>
      </c>
      <c r="B4483" s="20">
        <v>40</v>
      </c>
      <c r="C4483" s="20">
        <v>70</v>
      </c>
      <c r="D4483" s="20">
        <v>65</v>
      </c>
      <c r="E4483" s="20">
        <v>30</v>
      </c>
      <c r="F4483" s="20" t="s">
        <v>25204</v>
      </c>
      <c r="G4483" s="24"/>
      <c r="H4483" s="24"/>
      <c r="I4483" s="24" t="str">
        <f ca="1">IFERROR(__xludf.DUMMYFUNCTION("GOOGLETRANSLATE(F4483,""en"",""pt"")"),"picadoras de alimentos")</f>
        <v>picadoras de alimentos</v>
      </c>
      <c r="J4483">
        <f>VLOOKUP(A4483,Pr_Base_LNEC!$A$4:$J$6971,6,FALSE)</f>
        <v>0</v>
      </c>
      <c r="K4483">
        <f>VLOOKUP(A4483,Pr_Base_LNEC!$A$4:$J$6971,7,FALSE)</f>
        <v>0</v>
      </c>
    </row>
    <row r="4484" spans="1:11" ht="14.5">
      <c r="A4484" s="20" t="s">
        <v>25205</v>
      </c>
      <c r="B4484" s="20">
        <v>40</v>
      </c>
      <c r="C4484" s="20">
        <v>70</v>
      </c>
      <c r="D4484" s="20">
        <v>65</v>
      </c>
      <c r="E4484" s="20">
        <v>31</v>
      </c>
      <c r="F4484" s="20" t="s">
        <v>25206</v>
      </c>
      <c r="G4484" s="20" t="s">
        <v>25207</v>
      </c>
      <c r="H4484" s="24"/>
      <c r="I4484" s="24" t="str">
        <f ca="1">IFERROR(__xludf.DUMMYFUNCTION("GOOGLETRANSLATE(F4484,""en"",""pt"")"),"misturadores de alimentos")</f>
        <v>misturadores de alimentos</v>
      </c>
      <c r="J4484">
        <f>VLOOKUP(A4484,Pr_Base_LNEC!$A$4:$J$6971,6,FALSE)</f>
        <v>0</v>
      </c>
      <c r="K4484">
        <f>VLOOKUP(A4484,Pr_Base_LNEC!$A$4:$J$6971,7,FALSE)</f>
        <v>0</v>
      </c>
    </row>
    <row r="4485" spans="1:11" ht="14.5">
      <c r="A4485" s="20" t="s">
        <v>25208</v>
      </c>
      <c r="B4485" s="20">
        <v>40</v>
      </c>
      <c r="C4485" s="20">
        <v>70</v>
      </c>
      <c r="D4485" s="20">
        <v>65</v>
      </c>
      <c r="E4485" s="20">
        <v>32</v>
      </c>
      <c r="F4485" s="20" t="s">
        <v>25209</v>
      </c>
      <c r="G4485" s="24"/>
      <c r="H4485" s="24"/>
      <c r="I4485" s="24" t="str">
        <f ca="1">IFERROR(__xludf.DUMMYFUNCTION("GOOGLETRANSLATE(F4485,""en"",""pt"")"),"fumantes alimentos")</f>
        <v>fumantes alimentos</v>
      </c>
      <c r="J4485">
        <f>VLOOKUP(A4485,Pr_Base_LNEC!$A$4:$J$6971,6,FALSE)</f>
        <v>0</v>
      </c>
      <c r="K4485">
        <f>VLOOKUP(A4485,Pr_Base_LNEC!$A$4:$J$6971,7,FALSE)</f>
        <v>0</v>
      </c>
    </row>
    <row r="4486" spans="1:11" ht="14.5">
      <c r="A4486" s="20" t="s">
        <v>25210</v>
      </c>
      <c r="B4486" s="20">
        <v>40</v>
      </c>
      <c r="C4486" s="20">
        <v>70</v>
      </c>
      <c r="D4486" s="20">
        <v>65</v>
      </c>
      <c r="E4486" s="20">
        <v>33</v>
      </c>
      <c r="F4486" s="20" t="s">
        <v>25211</v>
      </c>
      <c r="G4486" s="20" t="s">
        <v>25212</v>
      </c>
      <c r="H4486" s="24"/>
      <c r="I4486" s="24" t="str">
        <f ca="1">IFERROR(__xludf.DUMMYFUNCTION("GOOGLETRANSLATE(F4486,""en"",""pt"")"),"marmitas gás")</f>
        <v>marmitas gás</v>
      </c>
      <c r="J4486">
        <f>VLOOKUP(A4486,Pr_Base_LNEC!$A$4:$J$6971,6,FALSE)</f>
        <v>0</v>
      </c>
      <c r="K4486">
        <f>VLOOKUP(A4486,Pr_Base_LNEC!$A$4:$J$6971,7,FALSE)</f>
        <v>0</v>
      </c>
    </row>
    <row r="4487" spans="1:11" ht="14.5">
      <c r="A4487" s="20" t="s">
        <v>25213</v>
      </c>
      <c r="B4487" s="20">
        <v>40</v>
      </c>
      <c r="C4487" s="20">
        <v>70</v>
      </c>
      <c r="D4487" s="20">
        <v>65</v>
      </c>
      <c r="E4487" s="20">
        <v>34</v>
      </c>
      <c r="F4487" s="20" t="s">
        <v>25214</v>
      </c>
      <c r="G4487" s="20" t="s">
        <v>25215</v>
      </c>
      <c r="H4487" s="24"/>
      <c r="I4487" s="24" t="str">
        <f ca="1">IFERROR(__xludf.DUMMYFUNCTION("GOOGLETRANSLATE(F4487,""en"",""pt"")"),"mesas de ebulição do gás")</f>
        <v>mesas de ebulição do gás</v>
      </c>
      <c r="J4487">
        <f>VLOOKUP(A4487,Pr_Base_LNEC!$A$4:$J$6971,6,FALSE)</f>
        <v>0</v>
      </c>
      <c r="K4487">
        <f>VLOOKUP(A4487,Pr_Base_LNEC!$A$4:$J$6971,7,FALSE)</f>
        <v>0</v>
      </c>
    </row>
    <row r="4488" spans="1:11" ht="14.5">
      <c r="A4488" s="20" t="s">
        <v>25216</v>
      </c>
      <c r="B4488" s="20">
        <v>40</v>
      </c>
      <c r="C4488" s="20">
        <v>70</v>
      </c>
      <c r="D4488" s="20">
        <v>65</v>
      </c>
      <c r="E4488" s="20">
        <v>35</v>
      </c>
      <c r="F4488" s="20" t="s">
        <v>25217</v>
      </c>
      <c r="G4488" s="20" t="s">
        <v>25218</v>
      </c>
      <c r="H4488" s="24"/>
      <c r="I4488" s="24" t="str">
        <f ca="1">IFERROR(__xludf.DUMMYFUNCTION("GOOGLETRANSLATE(F4488,""en"",""pt"")"),"panelas bratt gás")</f>
        <v>panelas bratt gás</v>
      </c>
      <c r="J4488">
        <f>VLOOKUP(A4488,Pr_Base_LNEC!$A$4:$J$6971,6,FALSE)</f>
        <v>0</v>
      </c>
      <c r="K4488">
        <f>VLOOKUP(A4488,Pr_Base_LNEC!$A$4:$J$6971,7,FALSE)</f>
        <v>0</v>
      </c>
    </row>
    <row r="4489" spans="1:11" ht="14.5">
      <c r="A4489" s="20" t="s">
        <v>25219</v>
      </c>
      <c r="B4489" s="20">
        <v>40</v>
      </c>
      <c r="C4489" s="20">
        <v>70</v>
      </c>
      <c r="D4489" s="20">
        <v>65</v>
      </c>
      <c r="E4489" s="20">
        <v>36</v>
      </c>
      <c r="F4489" s="20" t="s">
        <v>25220</v>
      </c>
      <c r="G4489" s="20" t="s">
        <v>25221</v>
      </c>
      <c r="H4489" s="24"/>
      <c r="I4489" s="24" t="str">
        <f ca="1">IFERROR(__xludf.DUMMYFUNCTION("GOOGLETRANSLATE(F4489,""en"",""pt"")"),"Gás de cozinha varia")</f>
        <v>Gás de cozinha varia</v>
      </c>
      <c r="J4489">
        <f>VLOOKUP(A4489,Pr_Base_LNEC!$A$4:$J$6971,6,FALSE)</f>
        <v>0</v>
      </c>
      <c r="K4489">
        <f>VLOOKUP(A4489,Pr_Base_LNEC!$A$4:$J$6971,7,FALSE)</f>
        <v>0</v>
      </c>
    </row>
    <row r="4490" spans="1:11" ht="14.5">
      <c r="A4490" s="20" t="s">
        <v>25222</v>
      </c>
      <c r="B4490" s="20">
        <v>40</v>
      </c>
      <c r="C4490" s="20">
        <v>70</v>
      </c>
      <c r="D4490" s="20">
        <v>65</v>
      </c>
      <c r="E4490" s="20">
        <v>37</v>
      </c>
      <c r="F4490" s="20" t="s">
        <v>25223</v>
      </c>
      <c r="G4490" s="20" t="s">
        <v>25224</v>
      </c>
      <c r="H4490" s="24"/>
      <c r="I4490" s="24" t="str">
        <f ca="1">IFERROR(__xludf.DUMMYFUNCTION("GOOGLETRANSLATE(F4490,""en"",""pt"")"),"Gás fritadeiras")</f>
        <v>Gás fritadeiras</v>
      </c>
      <c r="J4490">
        <f>VLOOKUP(A4490,Pr_Base_LNEC!$A$4:$J$6971,6,FALSE)</f>
        <v>0</v>
      </c>
      <c r="K4490">
        <f>VLOOKUP(A4490,Pr_Base_LNEC!$A$4:$J$6971,7,FALSE)</f>
        <v>0</v>
      </c>
    </row>
    <row r="4491" spans="1:11" ht="14.5">
      <c r="A4491" s="20" t="s">
        <v>25225</v>
      </c>
      <c r="B4491" s="20">
        <v>40</v>
      </c>
      <c r="C4491" s="20">
        <v>70</v>
      </c>
      <c r="D4491" s="20">
        <v>65</v>
      </c>
      <c r="E4491" s="20">
        <v>38</v>
      </c>
      <c r="F4491" s="20" t="s">
        <v>25226</v>
      </c>
      <c r="G4491" s="24"/>
      <c r="H4491" s="24"/>
      <c r="I4491" s="24" t="str">
        <f ca="1">IFERROR(__xludf.DUMMYFUNCTION("GOOGLETRANSLATE(F4491,""en"",""pt"")"),"fritadeiras a gás")</f>
        <v>fritadeiras a gás</v>
      </c>
      <c r="J4491">
        <f>VLOOKUP(A4491,Pr_Base_LNEC!$A$4:$J$6971,6,FALSE)</f>
        <v>0</v>
      </c>
      <c r="K4491">
        <f>VLOOKUP(A4491,Pr_Base_LNEC!$A$4:$J$6971,7,FALSE)</f>
        <v>0</v>
      </c>
    </row>
    <row r="4492" spans="1:11" ht="14.5">
      <c r="A4492" s="20" t="s">
        <v>25227</v>
      </c>
      <c r="B4492" s="20">
        <v>40</v>
      </c>
      <c r="C4492" s="20">
        <v>70</v>
      </c>
      <c r="D4492" s="20">
        <v>65</v>
      </c>
      <c r="E4492" s="20">
        <v>39</v>
      </c>
      <c r="F4492" s="20" t="s">
        <v>25228</v>
      </c>
      <c r="G4492" s="24"/>
      <c r="H4492" s="24"/>
      <c r="I4492" s="24" t="str">
        <f ca="1">IFERROR(__xludf.DUMMYFUNCTION("GOOGLETRANSLATE(F4492,""en"",""pt"")"),"griddles gás")</f>
        <v>griddles gás</v>
      </c>
      <c r="J4492">
        <f>VLOOKUP(A4492,Pr_Base_LNEC!$A$4:$J$6971,6,FALSE)</f>
        <v>0</v>
      </c>
      <c r="K4492">
        <f>VLOOKUP(A4492,Pr_Base_LNEC!$A$4:$J$6971,7,FALSE)</f>
        <v>0</v>
      </c>
    </row>
    <row r="4493" spans="1:11" ht="14.5">
      <c r="A4493" s="20" t="s">
        <v>25229</v>
      </c>
      <c r="B4493" s="20">
        <v>40</v>
      </c>
      <c r="C4493" s="20">
        <v>70</v>
      </c>
      <c r="D4493" s="20">
        <v>65</v>
      </c>
      <c r="E4493" s="20">
        <v>40</v>
      </c>
      <c r="F4493" s="20" t="s">
        <v>25230</v>
      </c>
      <c r="G4493" s="20" t="s">
        <v>25231</v>
      </c>
      <c r="H4493" s="24"/>
      <c r="I4493" s="24" t="str">
        <f ca="1">IFERROR(__xludf.DUMMYFUNCTION("GOOGLETRANSLATE(F4493,""en"",""pt"")"),"As grades do gás")</f>
        <v>As grades do gás</v>
      </c>
      <c r="J4493">
        <f>VLOOKUP(A4493,Pr_Base_LNEC!$A$4:$J$6971,6,FALSE)</f>
        <v>0</v>
      </c>
      <c r="K4493">
        <f>VLOOKUP(A4493,Pr_Base_LNEC!$A$4:$J$6971,7,FALSE)</f>
        <v>0</v>
      </c>
    </row>
    <row r="4494" spans="1:11" ht="14.5">
      <c r="A4494" s="20" t="s">
        <v>25232</v>
      </c>
      <c r="B4494" s="20">
        <v>40</v>
      </c>
      <c r="C4494" s="20">
        <v>70</v>
      </c>
      <c r="D4494" s="20">
        <v>65</v>
      </c>
      <c r="E4494" s="20">
        <v>41</v>
      </c>
      <c r="F4494" s="20" t="s">
        <v>25233</v>
      </c>
      <c r="G4494" s="24"/>
      <c r="H4494" s="24"/>
      <c r="I4494" s="24" t="str">
        <f ca="1">IFERROR(__xludf.DUMMYFUNCTION("GOOGLETRANSLATE(F4494,""en"",""pt"")"),"fornos a gás")</f>
        <v>fornos a gás</v>
      </c>
      <c r="J4494">
        <f>VLOOKUP(A4494,Pr_Base_LNEC!$A$4:$J$6971,6,FALSE)</f>
        <v>0</v>
      </c>
      <c r="K4494">
        <f>VLOOKUP(A4494,Pr_Base_LNEC!$A$4:$J$6971,7,FALSE)</f>
        <v>0</v>
      </c>
    </row>
    <row r="4495" spans="1:11" ht="14.5">
      <c r="A4495" s="20" t="s">
        <v>25234</v>
      </c>
      <c r="B4495" s="20">
        <v>40</v>
      </c>
      <c r="C4495" s="20">
        <v>70</v>
      </c>
      <c r="D4495" s="20">
        <v>65</v>
      </c>
      <c r="E4495" s="20">
        <v>42</v>
      </c>
      <c r="F4495" s="20" t="s">
        <v>25235</v>
      </c>
      <c r="G4495" s="20" t="s">
        <v>25236</v>
      </c>
      <c r="H4495" s="24"/>
      <c r="I4495" s="24" t="str">
        <f ca="1">IFERROR(__xludf.DUMMYFUNCTION("GOOGLETRANSLATE(F4495,""en"",""pt"")"),"fornos a gás vapor")</f>
        <v>fornos a gás vapor</v>
      </c>
      <c r="J4495">
        <f>VLOOKUP(A4495,Pr_Base_LNEC!$A$4:$J$6971,6,FALSE)</f>
        <v>0</v>
      </c>
      <c r="K4495">
        <f>VLOOKUP(A4495,Pr_Base_LNEC!$A$4:$J$6971,7,FALSE)</f>
        <v>0</v>
      </c>
    </row>
    <row r="4496" spans="1:11" ht="14.5">
      <c r="A4496" s="20" t="s">
        <v>25237</v>
      </c>
      <c r="B4496" s="20">
        <v>40</v>
      </c>
      <c r="C4496" s="20">
        <v>70</v>
      </c>
      <c r="D4496" s="20">
        <v>65</v>
      </c>
      <c r="E4496" s="20">
        <v>43</v>
      </c>
      <c r="F4496" s="20" t="s">
        <v>25238</v>
      </c>
      <c r="G4496" s="20" t="s">
        <v>25239</v>
      </c>
      <c r="H4496" s="24"/>
      <c r="I4496" s="24" t="str">
        <f ca="1">IFERROR(__xludf.DUMMYFUNCTION("GOOGLETRANSLATE(F4496,""en"",""pt"")"),"fornos eléctricos de uso geral")</f>
        <v>fornos eléctricos de uso geral</v>
      </c>
      <c r="J4496">
        <f>VLOOKUP(A4496,Pr_Base_LNEC!$A$4:$J$6971,6,FALSE)</f>
        <v>0</v>
      </c>
      <c r="K4496">
        <f>VLOOKUP(A4496,Pr_Base_LNEC!$A$4:$J$6971,7,FALSE)</f>
        <v>0</v>
      </c>
    </row>
    <row r="4497" spans="1:11" ht="14.5">
      <c r="A4497" s="20" t="s">
        <v>25240</v>
      </c>
      <c r="B4497" s="20">
        <v>40</v>
      </c>
      <c r="C4497" s="20">
        <v>70</v>
      </c>
      <c r="D4497" s="20">
        <v>65</v>
      </c>
      <c r="E4497" s="20">
        <v>44</v>
      </c>
      <c r="F4497" s="20" t="s">
        <v>25241</v>
      </c>
      <c r="G4497" s="20" t="s">
        <v>25242</v>
      </c>
      <c r="H4497" s="24"/>
      <c r="I4497" s="24" t="str">
        <f ca="1">IFERROR(__xludf.DUMMYFUNCTION("GOOGLETRANSLATE(F4497,""en"",""pt"")"),"fornos a gás de uso geral")</f>
        <v>fornos a gás de uso geral</v>
      </c>
      <c r="J4497">
        <f>VLOOKUP(A4497,Pr_Base_LNEC!$A$4:$J$6971,6,FALSE)</f>
        <v>0</v>
      </c>
      <c r="K4497">
        <f>VLOOKUP(A4497,Pr_Base_LNEC!$A$4:$J$6971,7,FALSE)</f>
        <v>0</v>
      </c>
    </row>
    <row r="4498" spans="1:11" ht="14.5">
      <c r="A4498" s="20" t="s">
        <v>25243</v>
      </c>
      <c r="B4498" s="20">
        <v>40</v>
      </c>
      <c r="C4498" s="20">
        <v>70</v>
      </c>
      <c r="D4498" s="20">
        <v>65</v>
      </c>
      <c r="E4498" s="20">
        <v>45</v>
      </c>
      <c r="F4498" s="20" t="s">
        <v>25244</v>
      </c>
      <c r="G4498" s="20" t="s">
        <v>25245</v>
      </c>
      <c r="H4498" s="24"/>
      <c r="I4498" s="24" t="str">
        <f ca="1">IFERROR(__xludf.DUMMYFUNCTION("GOOGLETRANSLATE(F4498,""en"",""pt"")"),"máquinas de corte de alimentação por gravidade")</f>
        <v>máquinas de corte de alimentação por gravidade</v>
      </c>
      <c r="J4498">
        <f>VLOOKUP(A4498,Pr_Base_LNEC!$A$4:$J$6971,6,FALSE)</f>
        <v>0</v>
      </c>
      <c r="K4498">
        <f>VLOOKUP(A4498,Pr_Base_LNEC!$A$4:$J$6971,7,FALSE)</f>
        <v>0</v>
      </c>
    </row>
    <row r="4499" spans="1:11" ht="14.5">
      <c r="A4499" s="20" t="s">
        <v>25246</v>
      </c>
      <c r="B4499" s="20">
        <v>40</v>
      </c>
      <c r="C4499" s="20">
        <v>70</v>
      </c>
      <c r="D4499" s="20">
        <v>65</v>
      </c>
      <c r="E4499" s="20">
        <v>46</v>
      </c>
      <c r="F4499" s="20" t="s">
        <v>25247</v>
      </c>
      <c r="G4499" s="20" t="s">
        <v>25248</v>
      </c>
      <c r="H4499" s="24"/>
      <c r="I4499" s="24" t="str">
        <f ca="1">IFERROR(__xludf.DUMMYFUNCTION("GOOGLETRANSLATE(F4499,""en"",""pt"")"),"armários quentes")</f>
        <v>armários quentes</v>
      </c>
      <c r="J4499">
        <f>VLOOKUP(A4499,Pr_Base_LNEC!$A$4:$J$6971,6,FALSE)</f>
        <v>0</v>
      </c>
      <c r="K4499">
        <f>VLOOKUP(A4499,Pr_Base_LNEC!$A$4:$J$6971,7,FALSE)</f>
        <v>0</v>
      </c>
    </row>
    <row r="4500" spans="1:11" ht="14.5">
      <c r="A4500" s="20" t="s">
        <v>25249</v>
      </c>
      <c r="B4500" s="20">
        <v>40</v>
      </c>
      <c r="C4500" s="20">
        <v>70</v>
      </c>
      <c r="D4500" s="20">
        <v>65</v>
      </c>
      <c r="E4500" s="20">
        <v>51</v>
      </c>
      <c r="F4500" s="20" t="s">
        <v>25250</v>
      </c>
      <c r="G4500" s="20" t="s">
        <v>25251</v>
      </c>
      <c r="H4500" s="24"/>
      <c r="I4500" s="24" t="str">
        <f ca="1">IFERROR(__xludf.DUMMYFUNCTION("GOOGLETRANSLATE(F4500,""en"",""pt"")"),"Fornos de microondas")</f>
        <v>Fornos de microondas</v>
      </c>
      <c r="J4500">
        <f>VLOOKUP(A4500,Pr_Base_LNEC!$A$4:$J$6971,6,FALSE)</f>
        <v>0</v>
      </c>
      <c r="K4500">
        <f>VLOOKUP(A4500,Pr_Base_LNEC!$A$4:$J$6971,7,FALSE)</f>
        <v>0</v>
      </c>
    </row>
    <row r="4501" spans="1:11" ht="14.5">
      <c r="A4501" s="20" t="s">
        <v>25252</v>
      </c>
      <c r="B4501" s="20">
        <v>40</v>
      </c>
      <c r="C4501" s="20">
        <v>70</v>
      </c>
      <c r="D4501" s="20">
        <v>65</v>
      </c>
      <c r="E4501" s="20">
        <v>65</v>
      </c>
      <c r="F4501" s="20" t="s">
        <v>25253</v>
      </c>
      <c r="G4501" s="20" t="s">
        <v>25254</v>
      </c>
      <c r="H4501" s="24"/>
      <c r="I4501" s="24" t="str">
        <f ca="1">IFERROR(__xludf.DUMMYFUNCTION("GOOGLETRANSLATE(F4501,""en"",""pt"")"),"descascadores de batata")</f>
        <v>descascadores de batata</v>
      </c>
      <c r="J4501">
        <f>VLOOKUP(A4501,Pr_Base_LNEC!$A$4:$J$6971,6,FALSE)</f>
        <v>0</v>
      </c>
      <c r="K4501">
        <f>VLOOKUP(A4501,Pr_Base_LNEC!$A$4:$J$6971,7,FALSE)</f>
        <v>0</v>
      </c>
    </row>
    <row r="4502" spans="1:11" ht="14.5">
      <c r="A4502" s="20" t="s">
        <v>25255</v>
      </c>
      <c r="B4502" s="20">
        <v>40</v>
      </c>
      <c r="C4502" s="20">
        <v>70</v>
      </c>
      <c r="D4502" s="20">
        <v>65</v>
      </c>
      <c r="E4502" s="20">
        <v>79</v>
      </c>
      <c r="F4502" s="20" t="s">
        <v>25256</v>
      </c>
      <c r="G4502" s="20" t="s">
        <v>25257</v>
      </c>
      <c r="H4502" s="24"/>
      <c r="I4502" s="24" t="str">
        <f ca="1">IFERROR(__xludf.DUMMYFUNCTION("GOOGLETRANSLATE(F4502,""en"",""pt"")"),"torradeiras caça-níqueis")</f>
        <v>torradeiras caça-níqueis</v>
      </c>
      <c r="J4502">
        <f>VLOOKUP(A4502,Pr_Base_LNEC!$A$4:$J$6971,6,FALSE)</f>
        <v>0</v>
      </c>
      <c r="K4502">
        <f>VLOOKUP(A4502,Pr_Base_LNEC!$A$4:$J$6971,7,FALSE)</f>
        <v>0</v>
      </c>
    </row>
    <row r="4503" spans="1:11" ht="14.5">
      <c r="A4503" s="20" t="s">
        <v>25258</v>
      </c>
      <c r="B4503" s="20">
        <v>40</v>
      </c>
      <c r="C4503" s="20">
        <v>70</v>
      </c>
      <c r="D4503" s="20">
        <v>65</v>
      </c>
      <c r="E4503" s="20">
        <v>94</v>
      </c>
      <c r="F4503" s="20" t="s">
        <v>25259</v>
      </c>
      <c r="G4503" s="20" t="s">
        <v>25260</v>
      </c>
      <c r="H4503" s="24"/>
      <c r="I4503" s="24" t="str">
        <f ca="1">IFERROR(__xludf.DUMMYFUNCTION("GOOGLETRANSLATE(F4503,""en"",""pt"")"),"máquinas de preparação de vegetais")</f>
        <v>máquinas de preparação de vegetais</v>
      </c>
      <c r="J4503">
        <f>VLOOKUP(A4503,Pr_Base_LNEC!$A$4:$J$6971,6,FALSE)</f>
        <v>0</v>
      </c>
      <c r="K4503">
        <f>VLOOKUP(A4503,Pr_Base_LNEC!$A$4:$J$6971,7,FALSE)</f>
        <v>0</v>
      </c>
    </row>
    <row r="4504" spans="1:11" ht="14.5">
      <c r="A4504" s="20" t="s">
        <v>25261</v>
      </c>
      <c r="B4504" s="20">
        <v>40</v>
      </c>
      <c r="C4504" s="20">
        <v>70</v>
      </c>
      <c r="D4504" s="20">
        <v>67</v>
      </c>
      <c r="E4504" s="24"/>
      <c r="F4504" s="20" t="s">
        <v>25262</v>
      </c>
      <c r="G4504" s="24"/>
      <c r="H4504" s="24"/>
      <c r="I4504" s="24" t="str">
        <f ca="1">IFERROR(__xludf.DUMMYFUNCTION("GOOGLETRANSLATE(F4504,""en"",""pt"")"),"projetores")</f>
        <v>projetores</v>
      </c>
      <c r="J4504">
        <f>VLOOKUP(A4504,Pr_Base_LNEC!$A$4:$J$6971,6,FALSE)</f>
        <v>0</v>
      </c>
      <c r="K4504">
        <f>VLOOKUP(A4504,Pr_Base_LNEC!$A$4:$J$6971,7,FALSE)</f>
        <v>0</v>
      </c>
    </row>
    <row r="4505" spans="1:11" ht="14.5">
      <c r="A4505" s="20" t="s">
        <v>25263</v>
      </c>
      <c r="B4505" s="20">
        <v>40</v>
      </c>
      <c r="C4505" s="20">
        <v>70</v>
      </c>
      <c r="D4505" s="20">
        <v>67</v>
      </c>
      <c r="E4505" s="20">
        <v>14</v>
      </c>
      <c r="F4505" s="20" t="s">
        <v>25264</v>
      </c>
      <c r="G4505" s="24"/>
      <c r="H4505" s="24"/>
      <c r="I4505" s="24" t="str">
        <f ca="1">IFERROR(__xludf.DUMMYFUNCTION("GOOGLETRANSLATE(F4505,""en"",""pt"")"),"projetores cinematográficos")</f>
        <v>projetores cinematográficos</v>
      </c>
      <c r="J4505">
        <f>VLOOKUP(A4505,Pr_Base_LNEC!$A$4:$J$6971,6,FALSE)</f>
        <v>0</v>
      </c>
      <c r="K4505">
        <f>VLOOKUP(A4505,Pr_Base_LNEC!$A$4:$J$6971,7,FALSE)</f>
        <v>0</v>
      </c>
    </row>
    <row r="4506" spans="1:11" ht="14.5">
      <c r="A4506" s="20" t="s">
        <v>25265</v>
      </c>
      <c r="B4506" s="20">
        <v>40</v>
      </c>
      <c r="C4506" s="20">
        <v>70</v>
      </c>
      <c r="D4506" s="20">
        <v>67</v>
      </c>
      <c r="E4506" s="20">
        <v>22</v>
      </c>
      <c r="F4506" s="20" t="s">
        <v>25266</v>
      </c>
      <c r="G4506" s="24"/>
      <c r="H4506" s="24"/>
      <c r="I4506" s="24" t="str">
        <f ca="1">IFERROR(__xludf.DUMMYFUNCTION("GOOGLETRANSLATE(F4506,""en"",""pt"")"),"projetores digitais")</f>
        <v>projetores digitais</v>
      </c>
      <c r="J4506">
        <f>VLOOKUP(A4506,Pr_Base_LNEC!$A$4:$J$6971,6,FALSE)</f>
        <v>0</v>
      </c>
      <c r="K4506">
        <f>VLOOKUP(A4506,Pr_Base_LNEC!$A$4:$J$6971,7,FALSE)</f>
        <v>0</v>
      </c>
    </row>
    <row r="4507" spans="1:11" ht="14.5">
      <c r="A4507" s="20" t="s">
        <v>25267</v>
      </c>
      <c r="B4507" s="20">
        <v>40</v>
      </c>
      <c r="C4507" s="20">
        <v>70</v>
      </c>
      <c r="D4507" s="20">
        <v>67</v>
      </c>
      <c r="E4507" s="20">
        <v>29</v>
      </c>
      <c r="F4507" s="20" t="s">
        <v>25268</v>
      </c>
      <c r="G4507" s="24"/>
      <c r="H4507" s="24"/>
      <c r="I4507" s="24" t="str">
        <f ca="1">IFERROR(__xludf.DUMMYFUNCTION("GOOGLETRANSLATE(F4507,""en"",""pt"")"),"projectores de filmes")</f>
        <v>projectores de filmes</v>
      </c>
      <c r="J4507">
        <f>VLOOKUP(A4507,Pr_Base_LNEC!$A$4:$J$6971,6,FALSE)</f>
        <v>0</v>
      </c>
      <c r="K4507">
        <f>VLOOKUP(A4507,Pr_Base_LNEC!$A$4:$J$6971,7,FALSE)</f>
        <v>0</v>
      </c>
    </row>
    <row r="4508" spans="1:11" ht="14.5">
      <c r="A4508" s="20" t="s">
        <v>25269</v>
      </c>
      <c r="B4508" s="20">
        <v>40</v>
      </c>
      <c r="C4508" s="20">
        <v>70</v>
      </c>
      <c r="D4508" s="20">
        <v>67</v>
      </c>
      <c r="E4508" s="20">
        <v>63</v>
      </c>
      <c r="F4508" s="20" t="s">
        <v>25270</v>
      </c>
      <c r="G4508" s="24"/>
      <c r="H4508" s="24"/>
      <c r="I4508" s="24" t="str">
        <f ca="1">IFERROR(__xludf.DUMMYFUNCTION("GOOGLETRANSLATE(F4508,""en"",""pt"")"),"projectores Planetário")</f>
        <v>projectores Planetário</v>
      </c>
      <c r="J4508">
        <f>VLOOKUP(A4508,Pr_Base_LNEC!$A$4:$J$6971,6,FALSE)</f>
        <v>0</v>
      </c>
      <c r="K4508">
        <f>VLOOKUP(A4508,Pr_Base_LNEC!$A$4:$J$6971,7,FALSE)</f>
        <v>0</v>
      </c>
    </row>
    <row r="4509" spans="1:11" ht="14.5">
      <c r="A4509" s="20" t="s">
        <v>25271</v>
      </c>
      <c r="B4509" s="20">
        <v>40</v>
      </c>
      <c r="C4509" s="20">
        <v>70</v>
      </c>
      <c r="D4509" s="20">
        <v>67</v>
      </c>
      <c r="E4509" s="20">
        <v>79</v>
      </c>
      <c r="F4509" s="20" t="s">
        <v>25272</v>
      </c>
      <c r="G4509" s="24"/>
      <c r="H4509" s="24"/>
      <c r="I4509" s="24" t="str">
        <f ca="1">IFERROR(__xludf.DUMMYFUNCTION("GOOGLETRANSLATE(F4509,""en"",""pt"")"),"projectores de slides")</f>
        <v>projectores de slides</v>
      </c>
      <c r="J4509">
        <f>VLOOKUP(A4509,Pr_Base_LNEC!$A$4:$J$6971,6,FALSE)</f>
        <v>0</v>
      </c>
      <c r="K4509">
        <f>VLOOKUP(A4509,Pr_Base_LNEC!$A$4:$J$6971,7,FALSE)</f>
        <v>0</v>
      </c>
    </row>
    <row r="4510" spans="1:11" ht="14.5">
      <c r="A4510" s="20" t="s">
        <v>25273</v>
      </c>
      <c r="B4510" s="20">
        <v>40</v>
      </c>
      <c r="C4510" s="20">
        <v>70</v>
      </c>
      <c r="D4510" s="20">
        <v>71</v>
      </c>
      <c r="E4510" s="24"/>
      <c r="F4510" s="20" t="s">
        <v>25274</v>
      </c>
      <c r="G4510" s="24"/>
      <c r="H4510" s="24"/>
      <c r="I4510" s="24" t="str">
        <f ca="1">IFERROR(__xludf.DUMMYFUNCTION("GOOGLETRANSLATE(F4510,""en"",""pt"")"),"equipamentos de recreação")</f>
        <v>equipamentos de recreação</v>
      </c>
      <c r="J4510">
        <f>VLOOKUP(A4510,Pr_Base_LNEC!$A$4:$J$6971,6,FALSE)</f>
        <v>0</v>
      </c>
      <c r="K4510">
        <f>VLOOKUP(A4510,Pr_Base_LNEC!$A$4:$J$6971,7,FALSE)</f>
        <v>0</v>
      </c>
    </row>
    <row r="4511" spans="1:11" ht="14.5">
      <c r="A4511" s="20" t="s">
        <v>25275</v>
      </c>
      <c r="B4511" s="20">
        <v>40</v>
      </c>
      <c r="C4511" s="20">
        <v>70</v>
      </c>
      <c r="D4511" s="20">
        <v>71</v>
      </c>
      <c r="E4511" s="20">
        <v>4</v>
      </c>
      <c r="F4511" s="20" t="s">
        <v>25276</v>
      </c>
      <c r="G4511" s="24"/>
      <c r="H4511" s="24"/>
      <c r="I4511" s="24" t="str">
        <f ca="1">IFERROR(__xludf.DUMMYFUNCTION("GOOGLETRANSLATE(F4511,""en"",""pt"")"),"máquinas de arcade")</f>
        <v>máquinas de arcade</v>
      </c>
      <c r="J4511">
        <f>VLOOKUP(A4511,Pr_Base_LNEC!$A$4:$J$6971,6,FALSE)</f>
        <v>0</v>
      </c>
      <c r="K4511">
        <f>VLOOKUP(A4511,Pr_Base_LNEC!$A$4:$J$6971,7,FALSE)</f>
        <v>0</v>
      </c>
    </row>
    <row r="4512" spans="1:11" ht="14.5">
      <c r="A4512" s="20" t="s">
        <v>25277</v>
      </c>
      <c r="B4512" s="20">
        <v>40</v>
      </c>
      <c r="C4512" s="20">
        <v>70</v>
      </c>
      <c r="D4512" s="20">
        <v>71</v>
      </c>
      <c r="E4512" s="20">
        <v>87</v>
      </c>
      <c r="F4512" s="20" t="s">
        <v>25278</v>
      </c>
      <c r="G4512" s="24"/>
      <c r="H4512" s="24"/>
      <c r="I4512" s="24" t="str">
        <f ca="1">IFERROR(__xludf.DUMMYFUNCTION("GOOGLETRANSLATE(F4512,""en"",""pt"")"),"unidades de bronzeamento")</f>
        <v>unidades de bronzeamento</v>
      </c>
      <c r="J4512">
        <f>VLOOKUP(A4512,Pr_Base_LNEC!$A$4:$J$6971,6,FALSE)</f>
        <v>0</v>
      </c>
      <c r="K4512">
        <f>VLOOKUP(A4512,Pr_Base_LNEC!$A$4:$J$6971,7,FALSE)</f>
        <v>0</v>
      </c>
    </row>
    <row r="4513" spans="1:11" ht="14.5">
      <c r="A4513" s="20" t="s">
        <v>25279</v>
      </c>
      <c r="B4513" s="20">
        <v>40</v>
      </c>
      <c r="C4513" s="20">
        <v>70</v>
      </c>
      <c r="D4513" s="20">
        <v>73</v>
      </c>
      <c r="E4513" s="24"/>
      <c r="F4513" s="20" t="s">
        <v>25280</v>
      </c>
      <c r="G4513" s="24"/>
      <c r="H4513" s="24"/>
      <c r="I4513" s="24" t="str">
        <f ca="1">IFERROR(__xludf.DUMMYFUNCTION("GOOGLETRANSLATE(F4513,""en"",""pt"")"),"equipamento estoque depósito de rolamento")</f>
        <v>equipamento estoque depósito de rolamento</v>
      </c>
      <c r="J4513">
        <f>VLOOKUP(A4513,Pr_Base_LNEC!$A$4:$J$6971,6,FALSE)</f>
        <v>0</v>
      </c>
      <c r="K4513">
        <f>VLOOKUP(A4513,Pr_Base_LNEC!$A$4:$J$6971,7,FALSE)</f>
        <v>0</v>
      </c>
    </row>
    <row r="4514" spans="1:11" ht="14.5">
      <c r="A4514" s="20" t="s">
        <v>25281</v>
      </c>
      <c r="B4514" s="20">
        <v>40</v>
      </c>
      <c r="C4514" s="20">
        <v>70</v>
      </c>
      <c r="D4514" s="20">
        <v>73</v>
      </c>
      <c r="E4514" s="20">
        <v>6</v>
      </c>
      <c r="F4514" s="20" t="s">
        <v>25282</v>
      </c>
      <c r="G4514" s="20" t="s">
        <v>25283</v>
      </c>
      <c r="H4514" s="24"/>
      <c r="I4514" s="24" t="str">
        <f ca="1">IFERROR(__xludf.DUMMYFUNCTION("GOOGLETRANSLATE(F4514,""en"",""pt"")"),"bogie cai")</f>
        <v>bogie cai</v>
      </c>
      <c r="J4514">
        <f>VLOOKUP(A4514,Pr_Base_LNEC!$A$4:$J$6971,6,FALSE)</f>
        <v>0</v>
      </c>
      <c r="K4514">
        <f>VLOOKUP(A4514,Pr_Base_LNEC!$A$4:$J$6971,7,FALSE)</f>
        <v>0</v>
      </c>
    </row>
    <row r="4515" spans="1:11" ht="14.5">
      <c r="A4515" s="20" t="s">
        <v>25284</v>
      </c>
      <c r="B4515" s="20">
        <v>40</v>
      </c>
      <c r="C4515" s="20">
        <v>70</v>
      </c>
      <c r="D4515" s="20">
        <v>73</v>
      </c>
      <c r="E4515" s="20">
        <v>7</v>
      </c>
      <c r="F4515" s="20" t="s">
        <v>25285</v>
      </c>
      <c r="G4515" s="20" t="s">
        <v>25286</v>
      </c>
      <c r="H4515" s="24"/>
      <c r="I4515" s="24" t="str">
        <f ca="1">IFERROR(__xludf.DUMMYFUNCTION("GOOGLETRANSLATE(F4515,""en"",""pt"")"),"prensas bogies")</f>
        <v>prensas bogies</v>
      </c>
      <c r="J4515">
        <f>VLOOKUP(A4515,Pr_Base_LNEC!$A$4:$J$6971,6,FALSE)</f>
        <v>0</v>
      </c>
      <c r="K4515">
        <f>VLOOKUP(A4515,Pr_Base_LNEC!$A$4:$J$6971,7,FALSE)</f>
        <v>0</v>
      </c>
    </row>
    <row r="4516" spans="1:11" ht="14.5">
      <c r="A4516" s="20" t="s">
        <v>25287</v>
      </c>
      <c r="B4516" s="20">
        <v>40</v>
      </c>
      <c r="C4516" s="20">
        <v>70</v>
      </c>
      <c r="D4516" s="20">
        <v>73</v>
      </c>
      <c r="E4516" s="20">
        <v>8</v>
      </c>
      <c r="F4516" s="20" t="s">
        <v>25288</v>
      </c>
      <c r="G4516" s="20" t="s">
        <v>25289</v>
      </c>
      <c r="H4516" s="24"/>
      <c r="I4516" s="24" t="str">
        <f ca="1">IFERROR(__xludf.DUMMYFUNCTION("GOOGLETRANSLATE(F4516,""en"",""pt"")"),"prateleiras dos bogies")</f>
        <v>prateleiras dos bogies</v>
      </c>
      <c r="J4516">
        <f>VLOOKUP(A4516,Pr_Base_LNEC!$A$4:$J$6971,6,FALSE)</f>
        <v>0</v>
      </c>
      <c r="K4516">
        <f>VLOOKUP(A4516,Pr_Base_LNEC!$A$4:$J$6971,7,FALSE)</f>
        <v>0</v>
      </c>
    </row>
    <row r="4517" spans="1:11" ht="14.5">
      <c r="A4517" s="20" t="s">
        <v>25290</v>
      </c>
      <c r="B4517" s="20">
        <v>40</v>
      </c>
      <c r="C4517" s="20">
        <v>70</v>
      </c>
      <c r="D4517" s="20">
        <v>73</v>
      </c>
      <c r="E4517" s="20">
        <v>9</v>
      </c>
      <c r="F4517" s="20" t="s">
        <v>25291</v>
      </c>
      <c r="G4517" s="20" t="s">
        <v>25292</v>
      </c>
      <c r="H4517" s="24"/>
      <c r="I4517" s="24" t="str">
        <f ca="1">IFERROR(__xludf.DUMMYFUNCTION("GOOGLETRANSLATE(F4517,""en"",""pt"")"),"turntables bogies")</f>
        <v>turntables bogies</v>
      </c>
      <c r="J4517">
        <f>VLOOKUP(A4517,Pr_Base_LNEC!$A$4:$J$6971,6,FALSE)</f>
        <v>0</v>
      </c>
      <c r="K4517">
        <f>VLOOKUP(A4517,Pr_Base_LNEC!$A$4:$J$6971,7,FALSE)</f>
        <v>0</v>
      </c>
    </row>
    <row r="4518" spans="1:11" ht="14.5">
      <c r="A4518" s="20" t="s">
        <v>25293</v>
      </c>
      <c r="B4518" s="20">
        <v>40</v>
      </c>
      <c r="C4518" s="20">
        <v>70</v>
      </c>
      <c r="D4518" s="20">
        <v>73</v>
      </c>
      <c r="E4518" s="20">
        <v>10</v>
      </c>
      <c r="F4518" s="20" t="s">
        <v>25294</v>
      </c>
      <c r="G4518" s="20" t="s">
        <v>25295</v>
      </c>
      <c r="H4518" s="24"/>
      <c r="I4518" s="24" t="str">
        <f ca="1">IFERROR(__xludf.DUMMYFUNCTION("GOOGLETRANSLATE(F4518,""en"",""pt"")"),"workstands bogies")</f>
        <v>workstands bogies</v>
      </c>
      <c r="J4518">
        <f>VLOOKUP(A4518,Pr_Base_LNEC!$A$4:$J$6971,6,FALSE)</f>
        <v>0</v>
      </c>
      <c r="K4518">
        <f>VLOOKUP(A4518,Pr_Base_LNEC!$A$4:$J$6971,7,FALSE)</f>
        <v>0</v>
      </c>
    </row>
    <row r="4519" spans="1:11" ht="14.5">
      <c r="A4519" s="20" t="s">
        <v>25296</v>
      </c>
      <c r="B4519" s="20">
        <v>40</v>
      </c>
      <c r="C4519" s="20">
        <v>70</v>
      </c>
      <c r="D4519" s="20">
        <v>73</v>
      </c>
      <c r="E4519" s="20">
        <v>23</v>
      </c>
      <c r="F4519" s="20" t="s">
        <v>25297</v>
      </c>
      <c r="G4519" s="24"/>
      <c r="H4519" s="24"/>
      <c r="I4519" s="24" t="str">
        <f ca="1">IFERROR(__xludf.DUMMYFUNCTION("GOOGLETRANSLATE(F4519,""en"",""pt"")"),"acopladores Buckeye Drophead")</f>
        <v>acopladores Buckeye Drophead</v>
      </c>
      <c r="J4519">
        <f>VLOOKUP(A4519,Pr_Base_LNEC!$A$4:$J$6971,6,FALSE)</f>
        <v>0</v>
      </c>
      <c r="K4519">
        <f>VLOOKUP(A4519,Pr_Base_LNEC!$A$4:$J$6971,7,FALSE)</f>
        <v>0</v>
      </c>
    </row>
    <row r="4520" spans="1:11" ht="14.5">
      <c r="A4520" s="20" t="s">
        <v>25298</v>
      </c>
      <c r="B4520" s="20">
        <v>40</v>
      </c>
      <c r="C4520" s="20">
        <v>70</v>
      </c>
      <c r="D4520" s="20">
        <v>73</v>
      </c>
      <c r="E4520" s="20">
        <v>24</v>
      </c>
      <c r="F4520" s="20" t="s">
        <v>25299</v>
      </c>
      <c r="G4520" s="24"/>
      <c r="H4520" s="24"/>
      <c r="I4520" s="24" t="str">
        <f ca="1">IFERROR(__xludf.DUMMYFUNCTION("GOOGLETRANSLATE(F4520,""en"",""pt"")"),"drawgears Buckeye Drophead")</f>
        <v>drawgears Buckeye Drophead</v>
      </c>
      <c r="J4520">
        <f>VLOOKUP(A4520,Pr_Base_LNEC!$A$4:$J$6971,6,FALSE)</f>
        <v>0</v>
      </c>
      <c r="K4520">
        <f>VLOOKUP(A4520,Pr_Base_LNEC!$A$4:$J$6971,7,FALSE)</f>
        <v>0</v>
      </c>
    </row>
    <row r="4521" spans="1:11" ht="14.5">
      <c r="A4521" s="20" t="s">
        <v>25300</v>
      </c>
      <c r="B4521" s="20">
        <v>40</v>
      </c>
      <c r="C4521" s="20">
        <v>70</v>
      </c>
      <c r="D4521" s="20">
        <v>73</v>
      </c>
      <c r="E4521" s="20">
        <v>30</v>
      </c>
      <c r="F4521" s="20" t="s">
        <v>25301</v>
      </c>
      <c r="G4521" s="20" t="s">
        <v>25302</v>
      </c>
      <c r="H4521" s="24"/>
      <c r="I4521" s="24" t="str">
        <f ca="1">IFERROR(__xludf.DUMMYFUNCTION("GOOGLETRANSLATE(F4521,""en"",""pt"")"),"CET fixos")</f>
        <v>CET fixos</v>
      </c>
      <c r="J4521">
        <f>VLOOKUP(A4521,Pr_Base_LNEC!$A$4:$J$6971,6,FALSE)</f>
        <v>0</v>
      </c>
      <c r="K4521">
        <f>VLOOKUP(A4521,Pr_Base_LNEC!$A$4:$J$6971,7,FALSE)</f>
        <v>0</v>
      </c>
    </row>
    <row r="4522" spans="1:11" ht="14.5">
      <c r="A4522" s="20" t="s">
        <v>25303</v>
      </c>
      <c r="B4522" s="20">
        <v>40</v>
      </c>
      <c r="C4522" s="20">
        <v>70</v>
      </c>
      <c r="D4522" s="20">
        <v>73</v>
      </c>
      <c r="E4522" s="20">
        <v>47</v>
      </c>
      <c r="F4522" s="20" t="s">
        <v>25304</v>
      </c>
      <c r="G4522" s="20" t="s">
        <v>25305</v>
      </c>
      <c r="H4522" s="24"/>
      <c r="I4522" s="24" t="str">
        <f ca="1">IFERROR(__xludf.DUMMYFUNCTION("GOOGLETRANSLATE(F4522,""en"",""pt"")"),"mesas de elevação")</f>
        <v>mesas de elevação</v>
      </c>
      <c r="J4522">
        <f>VLOOKUP(A4522,Pr_Base_LNEC!$A$4:$J$6971,6,FALSE)</f>
        <v>0</v>
      </c>
      <c r="K4522">
        <f>VLOOKUP(A4522,Pr_Base_LNEC!$A$4:$J$6971,7,FALSE)</f>
        <v>0</v>
      </c>
    </row>
    <row r="4523" spans="1:11" ht="14.5">
      <c r="A4523" s="20" t="s">
        <v>25306</v>
      </c>
      <c r="B4523" s="20">
        <v>40</v>
      </c>
      <c r="C4523" s="20">
        <v>70</v>
      </c>
      <c r="D4523" s="20">
        <v>73</v>
      </c>
      <c r="E4523" s="20">
        <v>70</v>
      </c>
      <c r="F4523" s="20" t="s">
        <v>25307</v>
      </c>
      <c r="G4523" s="20" t="s">
        <v>25308</v>
      </c>
      <c r="H4523" s="24"/>
      <c r="I4523" s="24" t="str">
        <f ca="1">IFERROR(__xludf.DUMMYFUNCTION("GOOGLETRANSLATE(F4523,""en"",""pt"")"),"Macacos veículo ferroviário")</f>
        <v>Macacos veículo ferroviário</v>
      </c>
      <c r="J4523">
        <f>VLOOKUP(A4523,Pr_Base_LNEC!$A$4:$J$6971,6,FALSE)</f>
        <v>0</v>
      </c>
      <c r="K4523">
        <f>VLOOKUP(A4523,Pr_Base_LNEC!$A$4:$J$6971,7,FALSE)</f>
        <v>0</v>
      </c>
    </row>
    <row r="4524" spans="1:11" ht="14.5">
      <c r="A4524" s="20" t="s">
        <v>25309</v>
      </c>
      <c r="B4524" s="20">
        <v>40</v>
      </c>
      <c r="C4524" s="20">
        <v>70</v>
      </c>
      <c r="D4524" s="20">
        <v>73</v>
      </c>
      <c r="E4524" s="20">
        <v>73</v>
      </c>
      <c r="F4524" s="20" t="s">
        <v>25310</v>
      </c>
      <c r="G4524" s="24"/>
      <c r="H4524" s="24"/>
      <c r="I4524" s="24" t="str">
        <f ca="1">IFERROR(__xludf.DUMMYFUNCTION("GOOGLETRANSLATE(F4524,""en"",""pt"")"),"buffers retráteis")</f>
        <v>buffers retráteis</v>
      </c>
      <c r="J4524">
        <f>VLOOKUP(A4524,Pr_Base_LNEC!$A$4:$J$6971,6,FALSE)</f>
        <v>0</v>
      </c>
      <c r="K4524">
        <f>VLOOKUP(A4524,Pr_Base_LNEC!$A$4:$J$6971,7,FALSE)</f>
        <v>0</v>
      </c>
    </row>
    <row r="4525" spans="1:11" ht="14.5">
      <c r="A4525" s="20" t="s">
        <v>25311</v>
      </c>
      <c r="B4525" s="20">
        <v>40</v>
      </c>
      <c r="C4525" s="20">
        <v>70</v>
      </c>
      <c r="D4525" s="20">
        <v>73</v>
      </c>
      <c r="E4525" s="20">
        <v>75</v>
      </c>
      <c r="F4525" s="20" t="s">
        <v>25312</v>
      </c>
      <c r="G4525" s="20" t="s">
        <v>25313</v>
      </c>
      <c r="H4525" s="24"/>
      <c r="I4525" s="24" t="str">
        <f ca="1">IFERROR(__xludf.DUMMYFUNCTION("GOOGLETRANSLATE(F4525,""en"",""pt"")"),"planta de areia")</f>
        <v>planta de areia</v>
      </c>
      <c r="J4525">
        <f>VLOOKUP(A4525,Pr_Base_LNEC!$A$4:$J$6971,6,FALSE)</f>
        <v>0</v>
      </c>
      <c r="K4525">
        <f>VLOOKUP(A4525,Pr_Base_LNEC!$A$4:$J$6971,7,FALSE)</f>
        <v>0</v>
      </c>
    </row>
    <row r="4526" spans="1:11" ht="14.5">
      <c r="A4526" s="20" t="s">
        <v>25314</v>
      </c>
      <c r="B4526" s="20">
        <v>40</v>
      </c>
      <c r="C4526" s="20">
        <v>70</v>
      </c>
      <c r="D4526" s="20">
        <v>73</v>
      </c>
      <c r="E4526" s="20">
        <v>95</v>
      </c>
      <c r="F4526" s="20" t="s">
        <v>25315</v>
      </c>
      <c r="G4526" s="20" t="s">
        <v>25316</v>
      </c>
      <c r="H4526" s="24"/>
      <c r="I4526" s="24" t="str">
        <f ca="1">IFERROR(__xludf.DUMMYFUNCTION("GOOGLETRANSLATE(F4526,""en"",""pt"")"),"gotas de roda")</f>
        <v>gotas de roda</v>
      </c>
      <c r="J4526">
        <f>VLOOKUP(A4526,Pr_Base_LNEC!$A$4:$J$6971,6,FALSE)</f>
        <v>0</v>
      </c>
      <c r="K4526">
        <f>VLOOKUP(A4526,Pr_Base_LNEC!$A$4:$J$6971,7,FALSE)</f>
        <v>0</v>
      </c>
    </row>
    <row r="4527" spans="1:11" ht="14.5">
      <c r="A4527" s="20" t="s">
        <v>25317</v>
      </c>
      <c r="B4527" s="20">
        <v>40</v>
      </c>
      <c r="C4527" s="20">
        <v>70</v>
      </c>
      <c r="D4527" s="20">
        <v>73</v>
      </c>
      <c r="E4527" s="20">
        <v>96</v>
      </c>
      <c r="F4527" s="20" t="s">
        <v>25318</v>
      </c>
      <c r="G4527" s="20" t="s">
        <v>25319</v>
      </c>
      <c r="H4527" s="24"/>
      <c r="I4527" s="24" t="str">
        <f ca="1">IFERROR(__xludf.DUMMYFUNCTION("GOOGLETRANSLATE(F4527,""en"",""pt"")"),"tornos de rodas")</f>
        <v>tornos de rodas</v>
      </c>
      <c r="J4527">
        <f>VLOOKUP(A4527,Pr_Base_LNEC!$A$4:$J$6971,6,FALSE)</f>
        <v>0</v>
      </c>
      <c r="K4527">
        <f>VLOOKUP(A4527,Pr_Base_LNEC!$A$4:$J$6971,7,FALSE)</f>
        <v>0</v>
      </c>
    </row>
    <row r="4528" spans="1:11" ht="14.5">
      <c r="A4528" s="20" t="s">
        <v>25320</v>
      </c>
      <c r="B4528" s="20">
        <v>40</v>
      </c>
      <c r="C4528" s="20">
        <v>70</v>
      </c>
      <c r="D4528" s="20">
        <v>73</v>
      </c>
      <c r="E4528" s="20">
        <v>97</v>
      </c>
      <c r="F4528" s="20" t="s">
        <v>25321</v>
      </c>
      <c r="G4528" s="20" t="s">
        <v>25322</v>
      </c>
      <c r="H4528" s="24"/>
      <c r="I4528" s="24" t="str">
        <f ca="1">IFERROR(__xludf.DUMMYFUNCTION("GOOGLETRANSLATE(F4528,""en"",""pt"")"),"prensas rodeiros")</f>
        <v>prensas rodeiros</v>
      </c>
      <c r="J4528">
        <f>VLOOKUP(A4528,Pr_Base_LNEC!$A$4:$J$6971,6,FALSE)</f>
        <v>0</v>
      </c>
      <c r="K4528">
        <f>VLOOKUP(A4528,Pr_Base_LNEC!$A$4:$J$6971,7,FALSE)</f>
        <v>0</v>
      </c>
    </row>
    <row r="4529" spans="1:11" ht="14.5">
      <c r="A4529" s="20" t="s">
        <v>25323</v>
      </c>
      <c r="B4529" s="20">
        <v>40</v>
      </c>
      <c r="C4529" s="20">
        <v>70</v>
      </c>
      <c r="D4529" s="20">
        <v>73</v>
      </c>
      <c r="E4529" s="20">
        <v>98</v>
      </c>
      <c r="F4529" s="20" t="s">
        <v>25324</v>
      </c>
      <c r="G4529" s="20" t="s">
        <v>25325</v>
      </c>
      <c r="H4529" s="24"/>
      <c r="I4529" s="24" t="str">
        <f ca="1">IFERROR(__xludf.DUMMYFUNCTION("GOOGLETRANSLATE(F4529,""en"",""pt"")"),"paradas de rodas")</f>
        <v>paradas de rodas</v>
      </c>
      <c r="J4529">
        <f>VLOOKUP(A4529,Pr_Base_LNEC!$A$4:$J$6971,6,FALSE)</f>
        <v>0</v>
      </c>
      <c r="K4529">
        <f>VLOOKUP(A4529,Pr_Base_LNEC!$A$4:$J$6971,7,FALSE)</f>
        <v>0</v>
      </c>
    </row>
    <row r="4530" spans="1:11" ht="14.5">
      <c r="A4530" s="20" t="s">
        <v>25326</v>
      </c>
      <c r="B4530" s="20">
        <v>40</v>
      </c>
      <c r="C4530" s="20">
        <v>70</v>
      </c>
      <c r="D4530" s="20">
        <v>75</v>
      </c>
      <c r="E4530" s="24"/>
      <c r="F4530" s="20" t="s">
        <v>25327</v>
      </c>
      <c r="G4530" s="24"/>
      <c r="H4530" s="24"/>
      <c r="I4530" s="24" t="str">
        <f ca="1">IFERROR(__xludf.DUMMYFUNCTION("GOOGLETRANSLATE(F4530,""en"",""pt"")"),"Equipamento de segurança")</f>
        <v>Equipamento de segurança</v>
      </c>
      <c r="J4530">
        <f>VLOOKUP(A4530,Pr_Base_LNEC!$A$4:$J$6971,6,FALSE)</f>
        <v>0</v>
      </c>
      <c r="K4530">
        <f>VLOOKUP(A4530,Pr_Base_LNEC!$A$4:$J$6971,7,FALSE)</f>
        <v>0</v>
      </c>
    </row>
    <row r="4531" spans="1:11" ht="14.5">
      <c r="A4531" s="20" t="s">
        <v>25328</v>
      </c>
      <c r="B4531" s="20">
        <v>40</v>
      </c>
      <c r="C4531" s="20">
        <v>70</v>
      </c>
      <c r="D4531" s="20">
        <v>75</v>
      </c>
      <c r="E4531" s="20">
        <v>1</v>
      </c>
      <c r="F4531" s="20" t="s">
        <v>25329</v>
      </c>
      <c r="G4531" s="20" t="s">
        <v>25330</v>
      </c>
      <c r="H4531" s="24"/>
      <c r="I4531" s="24" t="str">
        <f ca="1">IFERROR(__xludf.DUMMYFUNCTION("GOOGLETRANSLATE(F4531,""en"",""pt"")"),"berços de acesso")</f>
        <v>berços de acesso</v>
      </c>
      <c r="J4531">
        <f>VLOOKUP(A4531,Pr_Base_LNEC!$A$4:$J$6971,6,FALSE)</f>
        <v>0</v>
      </c>
      <c r="K4531">
        <f>VLOOKUP(A4531,Pr_Base_LNEC!$A$4:$J$6971,7,FALSE)</f>
        <v>0</v>
      </c>
    </row>
    <row r="4532" spans="1:11" ht="14.5">
      <c r="A4532" s="20" t="s">
        <v>25331</v>
      </c>
      <c r="B4532" s="20">
        <v>40</v>
      </c>
      <c r="C4532" s="20">
        <v>70</v>
      </c>
      <c r="D4532" s="20">
        <v>75</v>
      </c>
      <c r="E4532" s="20">
        <v>27</v>
      </c>
      <c r="F4532" s="20" t="s">
        <v>25332</v>
      </c>
      <c r="G4532" s="20" t="s">
        <v>25333</v>
      </c>
      <c r="H4532" s="24"/>
      <c r="I4532" s="24" t="str">
        <f ca="1">IFERROR(__xludf.DUMMYFUNCTION("GOOGLETRANSLATE(F4532,""en"",""pt"")"),"guinchos eléctricos")</f>
        <v>guinchos eléctricos</v>
      </c>
      <c r="J4532">
        <f>VLOOKUP(A4532,Pr_Base_LNEC!$A$4:$J$6971,6,FALSE)</f>
        <v>0</v>
      </c>
      <c r="K4532">
        <f>VLOOKUP(A4532,Pr_Base_LNEC!$A$4:$J$6971,7,FALSE)</f>
        <v>0</v>
      </c>
    </row>
    <row r="4533" spans="1:11" ht="14.5">
      <c r="A4533" s="20" t="s">
        <v>25334</v>
      </c>
      <c r="B4533" s="20">
        <v>40</v>
      </c>
      <c r="C4533" s="20">
        <v>70</v>
      </c>
      <c r="D4533" s="20">
        <v>75</v>
      </c>
      <c r="E4533" s="20">
        <v>28</v>
      </c>
      <c r="F4533" s="20" t="s">
        <v>25335</v>
      </c>
      <c r="G4533" s="24"/>
      <c r="H4533" s="24"/>
      <c r="I4533" s="24" t="str">
        <f ca="1">IFERROR(__xludf.DUMMYFUNCTION("GOOGLETRANSLATE(F4533,""en"",""pt"")"),"cadeiras de evacuação")</f>
        <v>cadeiras de evacuação</v>
      </c>
      <c r="J4533" t="e">
        <f>VLOOKUP(A4533,Pr_Base_LNEC!$A$4:$J$6971,6,FALSE)</f>
        <v>#N/A</v>
      </c>
      <c r="K4533" t="e">
        <f>VLOOKUP(A4533,Pr_Base_LNEC!$A$4:$J$6971,7,FALSE)</f>
        <v>#N/A</v>
      </c>
    </row>
    <row r="4534" spans="1:11" ht="14.5">
      <c r="A4534" s="20" t="s">
        <v>25336</v>
      </c>
      <c r="B4534" s="20">
        <v>40</v>
      </c>
      <c r="C4534" s="20">
        <v>70</v>
      </c>
      <c r="D4534" s="20">
        <v>75</v>
      </c>
      <c r="E4534" s="20">
        <v>29</v>
      </c>
      <c r="F4534" s="20" t="s">
        <v>25337</v>
      </c>
      <c r="G4534" s="20" t="s">
        <v>25338</v>
      </c>
      <c r="H4534" s="24"/>
      <c r="I4534" s="24" t="str">
        <f ca="1">IFERROR(__xludf.DUMMYFUNCTION("GOOGLETRANSLATE(F4534,""en"",""pt"")"),"Queda-raios dispositivos")</f>
        <v>Queda-raios dispositivos</v>
      </c>
      <c r="J4534">
        <f>VLOOKUP(A4534,Pr_Base_LNEC!$A$4:$J$6971,6,FALSE)</f>
        <v>0</v>
      </c>
      <c r="K4534">
        <f>VLOOKUP(A4534,Pr_Base_LNEC!$A$4:$J$6971,7,FALSE)</f>
        <v>0</v>
      </c>
    </row>
    <row r="4535" spans="1:11" ht="14.5">
      <c r="A4535" s="20" t="s">
        <v>25339</v>
      </c>
      <c r="B4535" s="20">
        <v>40</v>
      </c>
      <c r="C4535" s="20">
        <v>70</v>
      </c>
      <c r="D4535" s="20">
        <v>75</v>
      </c>
      <c r="E4535" s="20">
        <v>33</v>
      </c>
      <c r="F4535" s="20" t="s">
        <v>25340</v>
      </c>
      <c r="G4535" s="20" t="s">
        <v>25341</v>
      </c>
      <c r="H4535" s="24"/>
      <c r="I4535" s="24" t="str">
        <f ca="1">IFERROR(__xludf.DUMMYFUNCTION("GOOGLETRANSLATE(F4535,""en"",""pt"")"),"pórticos")</f>
        <v>pórticos</v>
      </c>
      <c r="J4535">
        <f>VLOOKUP(A4535,Pr_Base_LNEC!$A$4:$J$6971,6,FALSE)</f>
        <v>0</v>
      </c>
      <c r="K4535">
        <f>VLOOKUP(A4535,Pr_Base_LNEC!$A$4:$J$6971,7,FALSE)</f>
        <v>0</v>
      </c>
    </row>
    <row r="4536" spans="1:11" ht="14.5">
      <c r="A4536" s="20" t="s">
        <v>25342</v>
      </c>
      <c r="B4536" s="20">
        <v>40</v>
      </c>
      <c r="C4536" s="20">
        <v>70</v>
      </c>
      <c r="D4536" s="20">
        <v>75</v>
      </c>
      <c r="E4536" s="20">
        <v>35</v>
      </c>
      <c r="F4536" s="20" t="s">
        <v>25343</v>
      </c>
      <c r="G4536" s="24"/>
      <c r="H4536" s="24"/>
      <c r="I4536" s="24" t="str">
        <f ca="1">IFERROR(__xludf.DUMMYFUNCTION("GOOGLETRANSLATE(F4536,""en"",""pt"")"),"Guiados pára-quedas do tipo")</f>
        <v>Guiados pára-quedas do tipo</v>
      </c>
      <c r="J4536">
        <f>VLOOKUP(A4536,Pr_Base_LNEC!$A$4:$J$6971,6,FALSE)</f>
        <v>0</v>
      </c>
      <c r="K4536">
        <f>VLOOKUP(A4536,Pr_Base_LNEC!$A$4:$J$6971,7,FALSE)</f>
        <v>0</v>
      </c>
    </row>
    <row r="4537" spans="1:11" ht="14.5">
      <c r="A4537" s="20" t="s">
        <v>25344</v>
      </c>
      <c r="B4537" s="20">
        <v>40</v>
      </c>
      <c r="C4537" s="20">
        <v>70</v>
      </c>
      <c r="D4537" s="20">
        <v>75</v>
      </c>
      <c r="E4537" s="20">
        <v>36</v>
      </c>
      <c r="F4537" s="20" t="s">
        <v>25345</v>
      </c>
      <c r="G4537" s="24"/>
      <c r="H4537" s="24"/>
      <c r="I4537" s="24" t="str">
        <f ca="1">IFERROR(__xludf.DUMMYFUNCTION("GOOGLETRANSLATE(F4537,""en"",""pt"")"),"dispositivos de escalada mão")</f>
        <v>dispositivos de escalada mão</v>
      </c>
      <c r="J4537">
        <f>VLOOKUP(A4537,Pr_Base_LNEC!$A$4:$J$6971,6,FALSE)</f>
        <v>0</v>
      </c>
      <c r="K4537">
        <f>VLOOKUP(A4537,Pr_Base_LNEC!$A$4:$J$6971,7,FALSE)</f>
        <v>0</v>
      </c>
    </row>
    <row r="4538" spans="1:11" ht="14.5">
      <c r="A4538" s="20" t="s">
        <v>25346</v>
      </c>
      <c r="B4538" s="20">
        <v>40</v>
      </c>
      <c r="C4538" s="20">
        <v>70</v>
      </c>
      <c r="D4538" s="20">
        <v>75</v>
      </c>
      <c r="E4538" s="20">
        <v>37</v>
      </c>
      <c r="F4538" s="20" t="s">
        <v>25347</v>
      </c>
      <c r="G4538" s="20" t="s">
        <v>25348</v>
      </c>
      <c r="H4538" s="24"/>
      <c r="I4538" s="24" t="str">
        <f ca="1">IFERROR(__xludf.DUMMYFUNCTION("GOOGLETRANSLATE(F4538,""en"",""pt"")"),"Arreios e colhedores")</f>
        <v>Arreios e colhedores</v>
      </c>
      <c r="J4538">
        <f>VLOOKUP(A4538,Pr_Base_LNEC!$A$4:$J$6971,6,FALSE)</f>
        <v>0</v>
      </c>
      <c r="K4538">
        <f>VLOOKUP(A4538,Pr_Base_LNEC!$A$4:$J$6971,7,FALSE)</f>
        <v>0</v>
      </c>
    </row>
    <row r="4539" spans="1:11" ht="14.5">
      <c r="A4539" s="20" t="s">
        <v>25349</v>
      </c>
      <c r="B4539" s="20">
        <v>40</v>
      </c>
      <c r="C4539" s="20">
        <v>70</v>
      </c>
      <c r="D4539" s="20">
        <v>75</v>
      </c>
      <c r="E4539" s="20">
        <v>39</v>
      </c>
      <c r="F4539" s="20" t="s">
        <v>25350</v>
      </c>
      <c r="G4539" s="20" t="s">
        <v>25351</v>
      </c>
      <c r="H4539" s="24"/>
      <c r="I4539" s="24" t="str">
        <f ca="1">IFERROR(__xludf.DUMMYFUNCTION("GOOGLETRANSLATE(F4539,""en"",""pt"")"),"unidades de armazenamento de equipamentos grua")</f>
        <v>unidades de armazenamento de equipamentos grua</v>
      </c>
      <c r="J4539">
        <f>VLOOKUP(A4539,Pr_Base_LNEC!$A$4:$J$6971,6,FALSE)</f>
        <v>0</v>
      </c>
      <c r="K4539">
        <f>VLOOKUP(A4539,Pr_Base_LNEC!$A$4:$J$6971,7,FALSE)</f>
        <v>0</v>
      </c>
    </row>
    <row r="4540" spans="1:11" ht="14.5">
      <c r="A4540" s="20" t="s">
        <v>25352</v>
      </c>
      <c r="B4540" s="20">
        <v>40</v>
      </c>
      <c r="C4540" s="20">
        <v>70</v>
      </c>
      <c r="D4540" s="20">
        <v>75</v>
      </c>
      <c r="E4540" s="20">
        <v>50</v>
      </c>
      <c r="F4540" s="20" t="s">
        <v>25353</v>
      </c>
      <c r="G4540" s="24"/>
      <c r="H4540" s="24"/>
      <c r="I4540" s="24" t="str">
        <f ca="1">IFERROR(__xludf.DUMMYFUNCTION("GOOGLETRANSLATE(F4540,""en"",""pt"")"),"pressão manual")</f>
        <v>pressão manual</v>
      </c>
      <c r="J4540">
        <f>VLOOKUP(A4540,Pr_Base_LNEC!$A$4:$J$6971,6,FALSE)</f>
        <v>0</v>
      </c>
      <c r="K4540">
        <f>VLOOKUP(A4540,Pr_Base_LNEC!$A$4:$J$6971,7,FALSE)</f>
        <v>0</v>
      </c>
    </row>
    <row r="4541" spans="1:11" ht="14.5">
      <c r="A4541" s="20" t="s">
        <v>25354</v>
      </c>
      <c r="B4541" s="20">
        <v>40</v>
      </c>
      <c r="C4541" s="20">
        <v>70</v>
      </c>
      <c r="D4541" s="20">
        <v>75</v>
      </c>
      <c r="E4541" s="20">
        <v>51</v>
      </c>
      <c r="F4541" s="20" t="s">
        <v>25355</v>
      </c>
      <c r="G4541" s="20" t="s">
        <v>25356</v>
      </c>
      <c r="H4541" s="24"/>
      <c r="I4541" s="24" t="str">
        <f ca="1">IFERROR(__xludf.DUMMYFUNCTION("GOOGLETRANSLATE(F4541,""en"",""pt"")"),"guinchos manuais")</f>
        <v>guinchos manuais</v>
      </c>
      <c r="J4541">
        <f>VLOOKUP(A4541,Pr_Base_LNEC!$A$4:$J$6971,6,FALSE)</f>
        <v>0</v>
      </c>
      <c r="K4541">
        <f>VLOOKUP(A4541,Pr_Base_LNEC!$A$4:$J$6971,7,FALSE)</f>
        <v>0</v>
      </c>
    </row>
    <row r="4542" spans="1:11" ht="14.5">
      <c r="A4542" s="20" t="s">
        <v>25357</v>
      </c>
      <c r="B4542" s="20">
        <v>40</v>
      </c>
      <c r="C4542" s="20">
        <v>70</v>
      </c>
      <c r="D4542" s="20">
        <v>75</v>
      </c>
      <c r="E4542" s="20">
        <v>55</v>
      </c>
      <c r="F4542" s="20" t="s">
        <v>25358</v>
      </c>
      <c r="G4542" s="20" t="s">
        <v>25359</v>
      </c>
      <c r="H4542" s="24"/>
      <c r="I4542" s="24" t="str">
        <f ca="1">IFERROR(__xludf.DUMMYFUNCTION("GOOGLETRANSLATE(F4542,""en"",""pt"")"),"Mullion guias")</f>
        <v>Mullion guias</v>
      </c>
      <c r="J4542">
        <f>VLOOKUP(A4542,Pr_Base_LNEC!$A$4:$J$6971,6,FALSE)</f>
        <v>0</v>
      </c>
      <c r="K4542">
        <f>VLOOKUP(A4542,Pr_Base_LNEC!$A$4:$J$6971,7,FALSE)</f>
        <v>0</v>
      </c>
    </row>
    <row r="4543" spans="1:11" ht="14.5">
      <c r="A4543" s="20" t="s">
        <v>25360</v>
      </c>
      <c r="B4543" s="20">
        <v>40</v>
      </c>
      <c r="C4543" s="20">
        <v>70</v>
      </c>
      <c r="D4543" s="20">
        <v>75</v>
      </c>
      <c r="E4543" s="20">
        <v>66</v>
      </c>
      <c r="F4543" s="20" t="s">
        <v>25361</v>
      </c>
      <c r="G4543" s="20" t="s">
        <v>25362</v>
      </c>
      <c r="H4543" s="24"/>
      <c r="I4543" s="24" t="str">
        <f ca="1">IFERROR(__xludf.DUMMYFUNCTION("GOOGLETRANSLATE(F4543,""en"",""pt"")"),"rede de proteção")</f>
        <v>rede de proteção</v>
      </c>
      <c r="J4543">
        <f>VLOOKUP(A4543,Pr_Base_LNEC!$A$4:$J$6971,6,FALSE)</f>
        <v>0</v>
      </c>
      <c r="K4543">
        <f>VLOOKUP(A4543,Pr_Base_LNEC!$A$4:$J$6971,7,FALSE)</f>
        <v>0</v>
      </c>
    </row>
    <row r="4544" spans="1:11" ht="14.5">
      <c r="A4544" s="20" t="s">
        <v>25363</v>
      </c>
      <c r="B4544" s="20">
        <v>40</v>
      </c>
      <c r="C4544" s="20">
        <v>70</v>
      </c>
      <c r="D4544" s="20">
        <v>75</v>
      </c>
      <c r="E4544" s="20">
        <v>72</v>
      </c>
      <c r="F4544" s="20" t="s">
        <v>25364</v>
      </c>
      <c r="G4544" s="24"/>
      <c r="H4544" s="24"/>
      <c r="I4544" s="24" t="str">
        <f ca="1">IFERROR(__xludf.DUMMYFUNCTION("GOOGLETRANSLATE(F4544,""en"",""pt"")"),"dispositivos de corda e polia")</f>
        <v>dispositivos de corda e polia</v>
      </c>
      <c r="J4544">
        <f>VLOOKUP(A4544,Pr_Base_LNEC!$A$4:$J$6971,6,FALSE)</f>
        <v>0</v>
      </c>
      <c r="K4544">
        <f>VLOOKUP(A4544,Pr_Base_LNEC!$A$4:$J$6971,7,FALSE)</f>
        <v>0</v>
      </c>
    </row>
    <row r="4545" spans="1:11" ht="14.5">
      <c r="A4545" s="20" t="s">
        <v>25365</v>
      </c>
      <c r="B4545" s="20">
        <v>40</v>
      </c>
      <c r="C4545" s="20">
        <v>70</v>
      </c>
      <c r="D4545" s="20">
        <v>75</v>
      </c>
      <c r="E4545" s="20">
        <v>75</v>
      </c>
      <c r="F4545" s="20" t="s">
        <v>25366</v>
      </c>
      <c r="G4545" s="20" t="s">
        <v>25367</v>
      </c>
      <c r="H4545" s="24"/>
      <c r="I4545" s="24" t="str">
        <f ca="1">IFERROR(__xludf.DUMMYFUNCTION("GOOGLETRANSLATE(F4545,""en"",""pt"")"),"dispositivos de acesso âncora de segurança")</f>
        <v>dispositivos de acesso âncora de segurança</v>
      </c>
      <c r="J4545">
        <f>VLOOKUP(A4545,Pr_Base_LNEC!$A$4:$J$6971,6,FALSE)</f>
        <v>0</v>
      </c>
      <c r="K4545">
        <f>VLOOKUP(A4545,Pr_Base_LNEC!$A$4:$J$6971,7,FALSE)</f>
        <v>0</v>
      </c>
    </row>
    <row r="4546" spans="1:11" ht="14.5">
      <c r="A4546" s="20" t="s">
        <v>25368</v>
      </c>
      <c r="B4546" s="20">
        <v>40</v>
      </c>
      <c r="C4546" s="20">
        <v>70</v>
      </c>
      <c r="D4546" s="20">
        <v>75</v>
      </c>
      <c r="E4546" s="20">
        <v>76</v>
      </c>
      <c r="F4546" s="20" t="s">
        <v>25369</v>
      </c>
      <c r="G4546" s="24"/>
      <c r="H4546" s="24"/>
      <c r="I4546" s="24" t="str">
        <f ca="1">IFERROR(__xludf.DUMMYFUNCTION("GOOGLETRANSLATE(F4546,""en"",""pt"")"),"equipamentos de acesso de segurança enrolamento alças")</f>
        <v>equipamentos de acesso de segurança enrolamento alças</v>
      </c>
      <c r="J4546">
        <f>VLOOKUP(A4546,Pr_Base_LNEC!$A$4:$J$6971,6,FALSE)</f>
        <v>0</v>
      </c>
      <c r="K4546">
        <f>VLOOKUP(A4546,Pr_Base_LNEC!$A$4:$J$6971,7,FALSE)</f>
        <v>0</v>
      </c>
    </row>
    <row r="4547" spans="1:11" ht="14.5">
      <c r="A4547" s="20" t="s">
        <v>25370</v>
      </c>
      <c r="B4547" s="20">
        <v>40</v>
      </c>
      <c r="C4547" s="20">
        <v>70</v>
      </c>
      <c r="D4547" s="20">
        <v>75</v>
      </c>
      <c r="E4547" s="20">
        <v>77</v>
      </c>
      <c r="F4547" s="20" t="s">
        <v>25371</v>
      </c>
      <c r="G4547" s="24"/>
      <c r="H4547" s="24"/>
      <c r="I4547" s="24" t="str">
        <f ca="1">IFERROR(__xludf.DUMMYFUNCTION("GOOGLETRANSLATE(F4547,""en"",""pt"")"),"cintos de segurança")</f>
        <v>cintos de segurança</v>
      </c>
      <c r="J4547">
        <f>VLOOKUP(A4547,Pr_Base_LNEC!$A$4:$J$6971,6,FALSE)</f>
        <v>0</v>
      </c>
      <c r="K4547">
        <f>VLOOKUP(A4547,Pr_Base_LNEC!$A$4:$J$6971,7,FALSE)</f>
        <v>0</v>
      </c>
    </row>
    <row r="4548" spans="1:11" ht="14.5">
      <c r="A4548" s="20" t="s">
        <v>25372</v>
      </c>
      <c r="B4548" s="20">
        <v>40</v>
      </c>
      <c r="C4548" s="20">
        <v>70</v>
      </c>
      <c r="D4548" s="20">
        <v>75</v>
      </c>
      <c r="E4548" s="20">
        <v>79</v>
      </c>
      <c r="F4548" s="20" t="s">
        <v>25373</v>
      </c>
      <c r="G4548" s="20" t="s">
        <v>25374</v>
      </c>
      <c r="H4548" s="24"/>
      <c r="I4548" s="24" t="str">
        <f ca="1">IFERROR(__xludf.DUMMYFUNCTION("GOOGLETRANSLATE(F4548,""en"",""pt"")"),"segurança de compensação")</f>
        <v>segurança de compensação</v>
      </c>
      <c r="J4548">
        <f>VLOOKUP(A4548,Pr_Base_LNEC!$A$4:$J$6971,6,FALSE)</f>
        <v>0</v>
      </c>
      <c r="K4548">
        <f>VLOOKUP(A4548,Pr_Base_LNEC!$A$4:$J$6971,7,FALSE)</f>
        <v>0</v>
      </c>
    </row>
    <row r="4549" spans="1:11" ht="14.5">
      <c r="A4549" s="20" t="s">
        <v>25375</v>
      </c>
      <c r="B4549" s="20">
        <v>40</v>
      </c>
      <c r="C4549" s="20">
        <v>70</v>
      </c>
      <c r="D4549" s="20">
        <v>75</v>
      </c>
      <c r="E4549" s="20">
        <v>81</v>
      </c>
      <c r="F4549" s="20" t="s">
        <v>25376</v>
      </c>
      <c r="G4549" s="24"/>
      <c r="H4549" s="24"/>
      <c r="I4549" s="24" t="str">
        <f ca="1">IFERROR(__xludf.DUMMYFUNCTION("GOOGLETRANSLATE(F4549,""en"",""pt"")"),"Kits de controlo Spillage")</f>
        <v>Kits de controlo Spillage</v>
      </c>
      <c r="J4549">
        <f>VLOOKUP(A4549,Pr_Base_LNEC!$A$4:$J$6971,6,FALSE)</f>
        <v>0</v>
      </c>
      <c r="K4549">
        <f>VLOOKUP(A4549,Pr_Base_LNEC!$A$4:$J$6971,7,FALSE)</f>
        <v>0</v>
      </c>
    </row>
    <row r="4550" spans="1:11" ht="14.5">
      <c r="A4550" s="20" t="s">
        <v>25377</v>
      </c>
      <c r="B4550" s="20">
        <v>40</v>
      </c>
      <c r="C4550" s="20">
        <v>70</v>
      </c>
      <c r="D4550" s="20">
        <v>75</v>
      </c>
      <c r="E4550" s="20">
        <v>82</v>
      </c>
      <c r="F4550" s="20" t="s">
        <v>25378</v>
      </c>
      <c r="G4550" s="24"/>
      <c r="H4550" s="24"/>
      <c r="I4550" s="24" t="str">
        <f ca="1">IFERROR(__xludf.DUMMYFUNCTION("GOOGLETRANSLATE(F4550,""en"",""pt"")"),"carrinhos subir escadas")</f>
        <v>carrinhos subir escadas</v>
      </c>
      <c r="J4550">
        <f>VLOOKUP(A4550,Pr_Base_LNEC!$A$4:$J$6971,6,FALSE)</f>
        <v>0</v>
      </c>
      <c r="K4550">
        <f>VLOOKUP(A4550,Pr_Base_LNEC!$A$4:$J$6971,7,FALSE)</f>
        <v>0</v>
      </c>
    </row>
    <row r="4551" spans="1:11" ht="14.5">
      <c r="A4551" s="20" t="s">
        <v>25379</v>
      </c>
      <c r="B4551" s="20">
        <v>40</v>
      </c>
      <c r="C4551" s="20">
        <v>70</v>
      </c>
      <c r="D4551" s="20">
        <v>75</v>
      </c>
      <c r="E4551" s="20">
        <v>83</v>
      </c>
      <c r="F4551" s="20" t="s">
        <v>25380</v>
      </c>
      <c r="G4551" s="20" t="s">
        <v>25381</v>
      </c>
      <c r="H4551" s="24"/>
      <c r="I4551" s="24" t="str">
        <f ca="1">IFERROR(__xludf.DUMMYFUNCTION("GOOGLETRANSLATE(F4551,""en"",""pt"")"),"Suspensos faixas de acesso")</f>
        <v>Suspensos faixas de acesso</v>
      </c>
      <c r="J4551">
        <f>VLOOKUP(A4551,Pr_Base_LNEC!$A$4:$J$6971,6,FALSE)</f>
        <v>0</v>
      </c>
      <c r="K4551">
        <f>VLOOKUP(A4551,Pr_Base_LNEC!$A$4:$J$6971,7,FALSE)</f>
        <v>0</v>
      </c>
    </row>
    <row r="4552" spans="1:11" ht="14.5">
      <c r="A4552" s="20" t="s">
        <v>25382</v>
      </c>
      <c r="B4552" s="20">
        <v>40</v>
      </c>
      <c r="C4552" s="20">
        <v>70</v>
      </c>
      <c r="D4552" s="20">
        <v>75</v>
      </c>
      <c r="E4552" s="20">
        <v>84</v>
      </c>
      <c r="F4552" s="20" t="s">
        <v>25383</v>
      </c>
      <c r="G4552" s="20" t="s">
        <v>25384</v>
      </c>
      <c r="H4552" s="24"/>
      <c r="I4552" s="24" t="str">
        <f ca="1">IFERROR(__xludf.DUMMYFUNCTION("GOOGLETRANSLATE(F4552,""en"",""pt"")"),"cadeiras suspensas")</f>
        <v>cadeiras suspensas</v>
      </c>
      <c r="J4552">
        <f>VLOOKUP(A4552,Pr_Base_LNEC!$A$4:$J$6971,6,FALSE)</f>
        <v>0</v>
      </c>
      <c r="K4552">
        <f>VLOOKUP(A4552,Pr_Base_LNEC!$A$4:$J$6971,7,FALSE)</f>
        <v>0</v>
      </c>
    </row>
    <row r="4553" spans="1:11" ht="14.5">
      <c r="A4553" s="20" t="s">
        <v>25385</v>
      </c>
      <c r="B4553" s="20">
        <v>40</v>
      </c>
      <c r="C4553" s="20">
        <v>70</v>
      </c>
      <c r="D4553" s="20">
        <v>75</v>
      </c>
      <c r="E4553" s="20">
        <v>85</v>
      </c>
      <c r="F4553" s="20" t="s">
        <v>25386</v>
      </c>
      <c r="G4553" s="20" t="s">
        <v>25387</v>
      </c>
      <c r="H4553" s="24"/>
      <c r="I4553" s="24" t="str">
        <f ca="1">IFERROR(__xludf.DUMMYFUNCTION("GOOGLETRANSLATE(F4553,""en"",""pt"")"),"plataformas de suspensão")</f>
        <v>plataformas de suspensão</v>
      </c>
      <c r="J4553">
        <f>VLOOKUP(A4553,Pr_Base_LNEC!$A$4:$J$6971,6,FALSE)</f>
        <v>0</v>
      </c>
      <c r="K4553">
        <f>VLOOKUP(A4553,Pr_Base_LNEC!$A$4:$J$6971,7,FALSE)</f>
        <v>0</v>
      </c>
    </row>
    <row r="4554" spans="1:11" ht="14.5">
      <c r="A4554" s="20" t="s">
        <v>25388</v>
      </c>
      <c r="B4554" s="20">
        <v>40</v>
      </c>
      <c r="C4554" s="20">
        <v>70</v>
      </c>
      <c r="D4554" s="20">
        <v>75</v>
      </c>
      <c r="E4554" s="20">
        <v>86</v>
      </c>
      <c r="F4554" s="20" t="s">
        <v>25389</v>
      </c>
      <c r="G4554" s="20" t="s">
        <v>25390</v>
      </c>
      <c r="H4554" s="24"/>
      <c r="I4554" s="24" t="str">
        <f ca="1">IFERROR(__xludf.DUMMYFUNCTION("GOOGLETRANSLATE(F4554,""en"",""pt"")"),"encostos de corda de suspensão")</f>
        <v>encostos de corda de suspensão</v>
      </c>
      <c r="J4554">
        <f>VLOOKUP(A4554,Pr_Base_LNEC!$A$4:$J$6971,6,FALSE)</f>
        <v>0</v>
      </c>
      <c r="K4554">
        <f>VLOOKUP(A4554,Pr_Base_LNEC!$A$4:$J$6971,7,FALSE)</f>
        <v>0</v>
      </c>
    </row>
    <row r="4555" spans="1:11" ht="14.5">
      <c r="A4555" s="20" t="s">
        <v>25391</v>
      </c>
      <c r="B4555" s="20">
        <v>40</v>
      </c>
      <c r="C4555" s="20">
        <v>70</v>
      </c>
      <c r="D4555" s="20">
        <v>75</v>
      </c>
      <c r="E4555" s="20">
        <v>96</v>
      </c>
      <c r="F4555" s="20" t="s">
        <v>25392</v>
      </c>
      <c r="G4555" s="20" t="s">
        <v>25393</v>
      </c>
      <c r="H4555" s="24"/>
      <c r="I4555" s="24" t="str">
        <f ca="1">IFERROR(__xludf.DUMMYFUNCTION("GOOGLETRANSLATE(F4555,""en"",""pt"")"),"plataformas de trabalho")</f>
        <v>plataformas de trabalho</v>
      </c>
      <c r="J4555">
        <f>VLOOKUP(A4555,Pr_Base_LNEC!$A$4:$J$6971,6,FALSE)</f>
        <v>0</v>
      </c>
      <c r="K4555">
        <f>VLOOKUP(A4555,Pr_Base_LNEC!$A$4:$J$6971,7,FALSE)</f>
        <v>0</v>
      </c>
    </row>
    <row r="4556" spans="1:11" ht="14.5">
      <c r="A4556" s="20" t="s">
        <v>25394</v>
      </c>
      <c r="B4556" s="20">
        <v>40</v>
      </c>
      <c r="C4556" s="20">
        <v>70</v>
      </c>
      <c r="D4556" s="20">
        <v>75</v>
      </c>
      <c r="E4556" s="20">
        <v>97</v>
      </c>
      <c r="F4556" s="20" t="s">
        <v>25395</v>
      </c>
      <c r="G4556" s="20" t="s">
        <v>25396</v>
      </c>
      <c r="H4556" s="24"/>
      <c r="I4556" s="24" t="str">
        <f ca="1">IFERROR(__xludf.DUMMYFUNCTION("GOOGLETRANSLATE(F4556,""en"",""pt"")"),"Trabalhando unidades de armazenamento de plataforma")</f>
        <v>Trabalhando unidades de armazenamento de plataforma</v>
      </c>
      <c r="J4556">
        <f>VLOOKUP(A4556,Pr_Base_LNEC!$A$4:$J$6971,6,FALSE)</f>
        <v>0</v>
      </c>
      <c r="K4556">
        <f>VLOOKUP(A4556,Pr_Base_LNEC!$A$4:$J$6971,7,FALSE)</f>
        <v>0</v>
      </c>
    </row>
    <row r="4557" spans="1:11" ht="14.5">
      <c r="A4557" s="20" t="s">
        <v>25397</v>
      </c>
      <c r="B4557" s="20">
        <v>40</v>
      </c>
      <c r="C4557" s="20">
        <v>70</v>
      </c>
      <c r="D4557" s="20">
        <v>84</v>
      </c>
      <c r="E4557" s="24"/>
      <c r="F4557" s="20" t="s">
        <v>25398</v>
      </c>
      <c r="G4557" s="24"/>
      <c r="H4557" s="24"/>
      <c r="I4557" s="24" t="str">
        <f ca="1">IFERROR(__xludf.DUMMYFUNCTION("GOOGLETRANSLATE(F4557,""en"",""pt"")"),"Equipamentos esportivos")</f>
        <v>Equipamentos esportivos</v>
      </c>
      <c r="J4557">
        <f>VLOOKUP(A4557,Pr_Base_LNEC!$A$4:$J$6971,6,FALSE)</f>
        <v>0</v>
      </c>
      <c r="K4557">
        <f>VLOOKUP(A4557,Pr_Base_LNEC!$A$4:$J$6971,7,FALSE)</f>
        <v>0</v>
      </c>
    </row>
    <row r="4558" spans="1:11" ht="14.5">
      <c r="A4558" s="20" t="s">
        <v>25399</v>
      </c>
      <c r="B4558" s="20">
        <v>40</v>
      </c>
      <c r="C4558" s="20">
        <v>70</v>
      </c>
      <c r="D4558" s="20">
        <v>84</v>
      </c>
      <c r="E4558" s="20">
        <v>1</v>
      </c>
      <c r="F4558" s="20" t="s">
        <v>25400</v>
      </c>
      <c r="G4558" s="24"/>
      <c r="H4558" s="24"/>
      <c r="I4558" s="24" t="str">
        <f ca="1">IFERROR(__xludf.DUMMYFUNCTION("GOOGLETRANSLATE(F4558,""en"",""pt"")"),"máquinas de abdominais")</f>
        <v>máquinas de abdominais</v>
      </c>
      <c r="J4558">
        <f>VLOOKUP(A4558,Pr_Base_LNEC!$A$4:$J$6971,6,FALSE)</f>
        <v>0</v>
      </c>
      <c r="K4558">
        <f>VLOOKUP(A4558,Pr_Base_LNEC!$A$4:$J$6971,7,FALSE)</f>
        <v>0</v>
      </c>
    </row>
    <row r="4559" spans="1:11" ht="14.5">
      <c r="A4559" s="20" t="s">
        <v>25401</v>
      </c>
      <c r="B4559" s="20">
        <v>40</v>
      </c>
      <c r="C4559" s="20">
        <v>70</v>
      </c>
      <c r="D4559" s="20">
        <v>84</v>
      </c>
      <c r="E4559" s="20">
        <v>4</v>
      </c>
      <c r="F4559" s="20" t="s">
        <v>25402</v>
      </c>
      <c r="G4559" s="24"/>
      <c r="H4559" s="24"/>
      <c r="I4559" s="24" t="str">
        <f ca="1">IFERROR(__xludf.DUMMYFUNCTION("GOOGLETRANSLATE(F4559,""en"",""pt"")"),"máquinas ARM")</f>
        <v>máquinas ARM</v>
      </c>
      <c r="J4559">
        <f>VLOOKUP(A4559,Pr_Base_LNEC!$A$4:$J$6971,6,FALSE)</f>
        <v>0</v>
      </c>
      <c r="K4559">
        <f>VLOOKUP(A4559,Pr_Base_LNEC!$A$4:$J$6971,7,FALSE)</f>
        <v>0</v>
      </c>
    </row>
    <row r="4560" spans="1:11" ht="14.5">
      <c r="A4560" s="20" t="s">
        <v>25403</v>
      </c>
      <c r="B4560" s="20">
        <v>40</v>
      </c>
      <c r="C4560" s="20">
        <v>70</v>
      </c>
      <c r="D4560" s="20">
        <v>84</v>
      </c>
      <c r="E4560" s="20">
        <v>6</v>
      </c>
      <c r="F4560" s="20" t="s">
        <v>25404</v>
      </c>
      <c r="G4560" s="24"/>
      <c r="H4560" s="24"/>
      <c r="I4560" s="24" t="str">
        <f ca="1">IFERROR(__xludf.DUMMYFUNCTION("GOOGLETRANSLATE(F4560,""en"",""pt"")"),"máquinas de volta")</f>
        <v>máquinas de volta</v>
      </c>
      <c r="J4560">
        <f>VLOOKUP(A4560,Pr_Base_LNEC!$A$4:$J$6971,6,FALSE)</f>
        <v>0</v>
      </c>
      <c r="K4560">
        <f>VLOOKUP(A4560,Pr_Base_LNEC!$A$4:$J$6971,7,FALSE)</f>
        <v>0</v>
      </c>
    </row>
    <row r="4561" spans="1:11" ht="14.5">
      <c r="A4561" s="20" t="s">
        <v>25405</v>
      </c>
      <c r="B4561" s="20">
        <v>40</v>
      </c>
      <c r="C4561" s="20">
        <v>70</v>
      </c>
      <c r="D4561" s="20">
        <v>84</v>
      </c>
      <c r="E4561" s="20">
        <v>11</v>
      </c>
      <c r="F4561" s="20" t="s">
        <v>25406</v>
      </c>
      <c r="G4561" s="24"/>
      <c r="H4561" s="24"/>
      <c r="I4561" s="24" t="str">
        <f ca="1">IFERROR(__xludf.DUMMYFUNCTION("GOOGLETRANSLATE(F4561,""en"",""pt"")"),"máquinas de cabo")</f>
        <v>máquinas de cabo</v>
      </c>
      <c r="J4561">
        <f>VLOOKUP(A4561,Pr_Base_LNEC!$A$4:$J$6971,6,FALSE)</f>
        <v>0</v>
      </c>
      <c r="K4561">
        <f>VLOOKUP(A4561,Pr_Base_LNEC!$A$4:$J$6971,7,FALSE)</f>
        <v>0</v>
      </c>
    </row>
    <row r="4562" spans="1:11" ht="14.5">
      <c r="A4562" s="20" t="s">
        <v>25407</v>
      </c>
      <c r="B4562" s="20">
        <v>40</v>
      </c>
      <c r="C4562" s="20">
        <v>70</v>
      </c>
      <c r="D4562" s="20">
        <v>84</v>
      </c>
      <c r="E4562" s="20">
        <v>13</v>
      </c>
      <c r="F4562" s="20" t="s">
        <v>25408</v>
      </c>
      <c r="G4562" s="24"/>
      <c r="H4562" s="24"/>
      <c r="I4562" s="24" t="str">
        <f ca="1">IFERROR(__xludf.DUMMYFUNCTION("GOOGLETRANSLATE(F4562,""en"",""pt"")"),"Máquinas de peito e ombros")</f>
        <v>Máquinas de peito e ombros</v>
      </c>
      <c r="J4562">
        <f>VLOOKUP(A4562,Pr_Base_LNEC!$A$4:$J$6971,6,FALSE)</f>
        <v>0</v>
      </c>
      <c r="K4562">
        <f>VLOOKUP(A4562,Pr_Base_LNEC!$A$4:$J$6971,7,FALSE)</f>
        <v>0</v>
      </c>
    </row>
    <row r="4563" spans="1:11" ht="14.5">
      <c r="A4563" s="20" t="s">
        <v>25409</v>
      </c>
      <c r="B4563" s="20">
        <v>40</v>
      </c>
      <c r="C4563" s="20">
        <v>70</v>
      </c>
      <c r="D4563" s="20">
        <v>84</v>
      </c>
      <c r="E4563" s="20">
        <v>16</v>
      </c>
      <c r="F4563" s="20" t="s">
        <v>25410</v>
      </c>
      <c r="G4563" s="24"/>
      <c r="H4563" s="24"/>
      <c r="I4563" s="24" t="str">
        <f ca="1">IFERROR(__xludf.DUMMYFUNCTION("GOOGLETRANSLATE(F4563,""en"",""pt"")"),"Os instrutores transversais")</f>
        <v>Os instrutores transversais</v>
      </c>
      <c r="J4563">
        <f>VLOOKUP(A4563,Pr_Base_LNEC!$A$4:$J$6971,6,FALSE)</f>
        <v>0</v>
      </c>
      <c r="K4563">
        <f>VLOOKUP(A4563,Pr_Base_LNEC!$A$4:$J$6971,7,FALSE)</f>
        <v>0</v>
      </c>
    </row>
    <row r="4564" spans="1:11" ht="14.5">
      <c r="A4564" s="20" t="s">
        <v>25411</v>
      </c>
      <c r="B4564" s="20">
        <v>40</v>
      </c>
      <c r="C4564" s="20">
        <v>70</v>
      </c>
      <c r="D4564" s="20">
        <v>84</v>
      </c>
      <c r="E4564" s="20">
        <v>26</v>
      </c>
      <c r="F4564" s="20" t="s">
        <v>25412</v>
      </c>
      <c r="G4564" s="24"/>
      <c r="H4564" s="24"/>
      <c r="I4564" s="24" t="str">
        <f ca="1">IFERROR(__xludf.DUMMYFUNCTION("GOOGLETRANSLATE(F4564,""en"",""pt"")"),"elípticos")</f>
        <v>elípticos</v>
      </c>
      <c r="J4564">
        <f>VLOOKUP(A4564,Pr_Base_LNEC!$A$4:$J$6971,6,FALSE)</f>
        <v>0</v>
      </c>
      <c r="K4564">
        <f>VLOOKUP(A4564,Pr_Base_LNEC!$A$4:$J$6971,7,FALSE)</f>
        <v>0</v>
      </c>
    </row>
    <row r="4565" spans="1:11" ht="14.5">
      <c r="A4565" s="20" t="s">
        <v>25413</v>
      </c>
      <c r="B4565" s="20">
        <v>40</v>
      </c>
      <c r="C4565" s="20">
        <v>70</v>
      </c>
      <c r="D4565" s="20">
        <v>84</v>
      </c>
      <c r="E4565" s="20">
        <v>27</v>
      </c>
      <c r="F4565" s="20" t="s">
        <v>25414</v>
      </c>
      <c r="G4565" s="24"/>
      <c r="H4565" s="24"/>
      <c r="I4565" s="24" t="str">
        <f ca="1">IFERROR(__xludf.DUMMYFUNCTION("GOOGLETRANSLATE(F4565,""en"",""pt"")"),"As bicicletas de exercício")</f>
        <v>As bicicletas de exercício</v>
      </c>
      <c r="J4565">
        <f>VLOOKUP(A4565,Pr_Base_LNEC!$A$4:$J$6971,6,FALSE)</f>
        <v>0</v>
      </c>
      <c r="K4565">
        <f>VLOOKUP(A4565,Pr_Base_LNEC!$A$4:$J$6971,7,FALSE)</f>
        <v>0</v>
      </c>
    </row>
    <row r="4566" spans="1:11" ht="14.5">
      <c r="A4566" s="20" t="s">
        <v>25415</v>
      </c>
      <c r="B4566" s="20">
        <v>40</v>
      </c>
      <c r="C4566" s="20">
        <v>70</v>
      </c>
      <c r="D4566" s="20">
        <v>84</v>
      </c>
      <c r="E4566" s="20">
        <v>46</v>
      </c>
      <c r="F4566" s="20" t="s">
        <v>25416</v>
      </c>
      <c r="G4566" s="24"/>
      <c r="H4566" s="24"/>
      <c r="I4566" s="24" t="str">
        <f ca="1">IFERROR(__xludf.DUMMYFUNCTION("GOOGLETRANSLATE(F4566,""en"",""pt"")"),"máquinas de perna")</f>
        <v>máquinas de perna</v>
      </c>
      <c r="J4566">
        <f>VLOOKUP(A4566,Pr_Base_LNEC!$A$4:$J$6971,6,FALSE)</f>
        <v>0</v>
      </c>
      <c r="K4566">
        <f>VLOOKUP(A4566,Pr_Base_LNEC!$A$4:$J$6971,7,FALSE)</f>
        <v>0</v>
      </c>
    </row>
    <row r="4567" spans="1:11" ht="14.5">
      <c r="A4567" s="20" t="s">
        <v>25417</v>
      </c>
      <c r="B4567" s="20">
        <v>40</v>
      </c>
      <c r="C4567" s="20">
        <v>70</v>
      </c>
      <c r="D4567" s="20">
        <v>84</v>
      </c>
      <c r="E4567" s="20">
        <v>47</v>
      </c>
      <c r="F4567" s="20" t="s">
        <v>25418</v>
      </c>
      <c r="G4567" s="24"/>
      <c r="H4567" s="24"/>
      <c r="I4567" s="24" t="str">
        <f ca="1">IFERROR(__xludf.DUMMYFUNCTION("GOOGLETRANSLATE(F4567,""en"",""pt"")"),"unidades de alavancagem")</f>
        <v>unidades de alavancagem</v>
      </c>
      <c r="J4567">
        <f>VLOOKUP(A4567,Pr_Base_LNEC!$A$4:$J$6971,6,FALSE)</f>
        <v>0</v>
      </c>
      <c r="K4567">
        <f>VLOOKUP(A4567,Pr_Base_LNEC!$A$4:$J$6971,7,FALSE)</f>
        <v>0</v>
      </c>
    </row>
    <row r="4568" spans="1:11" ht="14.5">
      <c r="A4568" s="20" t="s">
        <v>25419</v>
      </c>
      <c r="B4568" s="20">
        <v>40</v>
      </c>
      <c r="C4568" s="20">
        <v>70</v>
      </c>
      <c r="D4568" s="20">
        <v>84</v>
      </c>
      <c r="E4568" s="20">
        <v>55</v>
      </c>
      <c r="F4568" s="20" t="s">
        <v>25420</v>
      </c>
      <c r="G4568" s="24"/>
      <c r="H4568" s="24"/>
      <c r="I4568" s="24" t="str">
        <f ca="1">IFERROR(__xludf.DUMMYFUNCTION("GOOGLETRANSLATE(F4568,""en"",""pt"")"),"Multi-ginásios")</f>
        <v>Multi-ginásios</v>
      </c>
      <c r="J4568">
        <f>VLOOKUP(A4568,Pr_Base_LNEC!$A$4:$J$6971,6,FALSE)</f>
        <v>0</v>
      </c>
      <c r="K4568">
        <f>VLOOKUP(A4568,Pr_Base_LNEC!$A$4:$J$6971,7,FALSE)</f>
        <v>0</v>
      </c>
    </row>
    <row r="4569" spans="1:11" ht="14.5">
      <c r="A4569" s="20" t="s">
        <v>25421</v>
      </c>
      <c r="B4569" s="20">
        <v>40</v>
      </c>
      <c r="C4569" s="20">
        <v>70</v>
      </c>
      <c r="D4569" s="20">
        <v>84</v>
      </c>
      <c r="E4569" s="20">
        <v>65</v>
      </c>
      <c r="F4569" s="20" t="s">
        <v>25422</v>
      </c>
      <c r="G4569" s="24"/>
      <c r="H4569" s="24"/>
      <c r="I4569" s="24" t="str">
        <f ca="1">IFERROR(__xludf.DUMMYFUNCTION("GOOGLETRANSLATE(F4569,""en"",""pt"")"),"Bilhar, mesas de snooker e bilhar")</f>
        <v>Bilhar, mesas de snooker e bilhar</v>
      </c>
      <c r="J4569">
        <f>VLOOKUP(A4569,Pr_Base_LNEC!$A$4:$J$6971,6,FALSE)</f>
        <v>0</v>
      </c>
      <c r="K4569">
        <f>VLOOKUP(A4569,Pr_Base_LNEC!$A$4:$J$6971,7,FALSE)</f>
        <v>0</v>
      </c>
    </row>
    <row r="4570" spans="1:11" ht="14.5">
      <c r="A4570" s="20" t="s">
        <v>25423</v>
      </c>
      <c r="B4570" s="20">
        <v>40</v>
      </c>
      <c r="C4570" s="20">
        <v>70</v>
      </c>
      <c r="D4570" s="20">
        <v>84</v>
      </c>
      <c r="E4570" s="20">
        <v>66</v>
      </c>
      <c r="F4570" s="20" t="s">
        <v>25424</v>
      </c>
      <c r="G4570" s="24"/>
      <c r="H4570" s="24"/>
      <c r="I4570" s="24" t="str">
        <f ca="1">IFERROR(__xludf.DUMMYFUNCTION("GOOGLETRANSLATE(F4570,""en"",""pt"")"),"gaiolas de energia e racks")</f>
        <v>gaiolas de energia e racks</v>
      </c>
      <c r="J4570">
        <f>VLOOKUP(A4570,Pr_Base_LNEC!$A$4:$J$6971,6,FALSE)</f>
        <v>0</v>
      </c>
      <c r="K4570">
        <f>VLOOKUP(A4570,Pr_Base_LNEC!$A$4:$J$6971,7,FALSE)</f>
        <v>0</v>
      </c>
    </row>
    <row r="4571" spans="1:11" ht="14.5">
      <c r="A4571" s="20" t="s">
        <v>25425</v>
      </c>
      <c r="B4571" s="20">
        <v>40</v>
      </c>
      <c r="C4571" s="20">
        <v>70</v>
      </c>
      <c r="D4571" s="20">
        <v>84</v>
      </c>
      <c r="E4571" s="20">
        <v>67</v>
      </c>
      <c r="F4571" s="20" t="s">
        <v>25426</v>
      </c>
      <c r="G4571" s="24"/>
      <c r="H4571" s="24"/>
      <c r="I4571" s="24" t="str">
        <f ca="1">IFERROR(__xludf.DUMMYFUNCTION("GOOGLETRANSLATE(F4571,""en"",""pt"")"),"placas de energia")</f>
        <v>placas de energia</v>
      </c>
      <c r="J4571">
        <f>VLOOKUP(A4571,Pr_Base_LNEC!$A$4:$J$6971,6,FALSE)</f>
        <v>0</v>
      </c>
      <c r="K4571">
        <f>VLOOKUP(A4571,Pr_Base_LNEC!$A$4:$J$6971,7,FALSE)</f>
        <v>0</v>
      </c>
    </row>
    <row r="4572" spans="1:11" ht="14.5">
      <c r="A4572" s="20" t="s">
        <v>25427</v>
      </c>
      <c r="B4572" s="20">
        <v>40</v>
      </c>
      <c r="C4572" s="20">
        <v>70</v>
      </c>
      <c r="D4572" s="20">
        <v>84</v>
      </c>
      <c r="E4572" s="20">
        <v>68</v>
      </c>
      <c r="F4572" s="20" t="s">
        <v>25428</v>
      </c>
      <c r="G4572" s="24"/>
      <c r="H4572" s="24"/>
      <c r="I4572" s="24" t="str">
        <f ca="1">IFERROR(__xludf.DUMMYFUNCTION("GOOGLETRANSLATE(F4572,""en"",""pt"")"),"soco sacos")</f>
        <v>soco sacos</v>
      </c>
      <c r="J4572">
        <f>VLOOKUP(A4572,Pr_Base_LNEC!$A$4:$J$6971,6,FALSE)</f>
        <v>0</v>
      </c>
      <c r="K4572">
        <f>VLOOKUP(A4572,Pr_Base_LNEC!$A$4:$J$6971,7,FALSE)</f>
        <v>0</v>
      </c>
    </row>
    <row r="4573" spans="1:11" ht="14.5">
      <c r="A4573" s="20" t="s">
        <v>25429</v>
      </c>
      <c r="B4573" s="20">
        <v>40</v>
      </c>
      <c r="C4573" s="20">
        <v>70</v>
      </c>
      <c r="D4573" s="20">
        <v>84</v>
      </c>
      <c r="E4573" s="20">
        <v>72</v>
      </c>
      <c r="F4573" s="20" t="s">
        <v>25430</v>
      </c>
      <c r="G4573" s="24"/>
      <c r="H4573" s="24"/>
      <c r="I4573" s="24" t="str">
        <f ca="1">IFERROR(__xludf.DUMMYFUNCTION("GOOGLETRANSLATE(F4573,""en"",""pt"")"),"máquinas de remo")</f>
        <v>máquinas de remo</v>
      </c>
      <c r="J4573">
        <f>VLOOKUP(A4573,Pr_Base_LNEC!$A$4:$J$6971,6,FALSE)</f>
        <v>0</v>
      </c>
      <c r="K4573">
        <f>VLOOKUP(A4573,Pr_Base_LNEC!$A$4:$J$6971,7,FALSE)</f>
        <v>0</v>
      </c>
    </row>
    <row r="4574" spans="1:11" ht="14.5">
      <c r="A4574" s="20" t="s">
        <v>25431</v>
      </c>
      <c r="B4574" s="20">
        <v>40</v>
      </c>
      <c r="C4574" s="20">
        <v>70</v>
      </c>
      <c r="D4574" s="20">
        <v>84</v>
      </c>
      <c r="E4574" s="20">
        <v>80</v>
      </c>
      <c r="F4574" s="20" t="s">
        <v>25432</v>
      </c>
      <c r="G4574" s="24"/>
      <c r="H4574" s="24"/>
      <c r="I4574" s="24" t="str">
        <f ca="1">IFERROR(__xludf.DUMMYFUNCTION("GOOGLETRANSLATE(F4574,""en"",""pt"")"),"máquinas Smith")</f>
        <v>máquinas Smith</v>
      </c>
      <c r="J4574">
        <f>VLOOKUP(A4574,Pr_Base_LNEC!$A$4:$J$6971,6,FALSE)</f>
        <v>0</v>
      </c>
      <c r="K4574">
        <f>VLOOKUP(A4574,Pr_Base_LNEC!$A$4:$J$6971,7,FALSE)</f>
        <v>0</v>
      </c>
    </row>
    <row r="4575" spans="1:11" ht="14.5">
      <c r="A4575" s="20" t="s">
        <v>25433</v>
      </c>
      <c r="B4575" s="20">
        <v>40</v>
      </c>
      <c r="C4575" s="20">
        <v>70</v>
      </c>
      <c r="D4575" s="20">
        <v>84</v>
      </c>
      <c r="E4575" s="20">
        <v>84</v>
      </c>
      <c r="F4575" s="20" t="s">
        <v>25434</v>
      </c>
      <c r="G4575" s="24"/>
      <c r="H4575" s="24"/>
      <c r="I4575" s="24" t="str">
        <f ca="1">IFERROR(__xludf.DUMMYFUNCTION("GOOGLETRANSLATE(F4575,""en"",""pt"")"),"steppers")</f>
        <v>steppers</v>
      </c>
      <c r="J4575">
        <f>VLOOKUP(A4575,Pr_Base_LNEC!$A$4:$J$6971,6,FALSE)</f>
        <v>0</v>
      </c>
      <c r="K4575">
        <f>VLOOKUP(A4575,Pr_Base_LNEC!$A$4:$J$6971,7,FALSE)</f>
        <v>0</v>
      </c>
    </row>
    <row r="4576" spans="1:11" ht="14.5">
      <c r="A4576" s="20" t="s">
        <v>25435</v>
      </c>
      <c r="B4576" s="20">
        <v>40</v>
      </c>
      <c r="C4576" s="20">
        <v>70</v>
      </c>
      <c r="D4576" s="20">
        <v>84</v>
      </c>
      <c r="E4576" s="20">
        <v>86</v>
      </c>
      <c r="F4576" s="20" t="s">
        <v>25436</v>
      </c>
      <c r="G4576" s="24"/>
      <c r="H4576" s="24"/>
      <c r="I4576" s="24" t="str">
        <f ca="1">IFERROR(__xludf.DUMMYFUNCTION("GOOGLETRANSLATE(F4576,""en"",""pt"")"),"formadores de suspensão")</f>
        <v>formadores de suspensão</v>
      </c>
      <c r="J4576">
        <f>VLOOKUP(A4576,Pr_Base_LNEC!$A$4:$J$6971,6,FALSE)</f>
        <v>0</v>
      </c>
      <c r="K4576">
        <f>VLOOKUP(A4576,Pr_Base_LNEC!$A$4:$J$6971,7,FALSE)</f>
        <v>0</v>
      </c>
    </row>
    <row r="4577" spans="1:11" ht="14.5">
      <c r="A4577" s="20" t="s">
        <v>25437</v>
      </c>
      <c r="B4577" s="20">
        <v>40</v>
      </c>
      <c r="C4577" s="20">
        <v>70</v>
      </c>
      <c r="D4577" s="20">
        <v>84</v>
      </c>
      <c r="E4577" s="20">
        <v>90</v>
      </c>
      <c r="F4577" s="20" t="s">
        <v>25438</v>
      </c>
      <c r="G4577" s="24"/>
      <c r="H4577" s="24"/>
      <c r="I4577" s="24" t="str">
        <f ca="1">IFERROR(__xludf.DUMMYFUNCTION("GOOGLETRANSLATE(F4577,""en"",""pt"")"),"trampolins")</f>
        <v>trampolins</v>
      </c>
      <c r="J4577">
        <f>VLOOKUP(A4577,Pr_Base_LNEC!$A$4:$J$6971,6,FALSE)</f>
        <v>0</v>
      </c>
      <c r="K4577">
        <f>VLOOKUP(A4577,Pr_Base_LNEC!$A$4:$J$6971,7,FALSE)</f>
        <v>0</v>
      </c>
    </row>
    <row r="4578" spans="1:11" ht="14.5">
      <c r="A4578" s="20" t="s">
        <v>25439</v>
      </c>
      <c r="B4578" s="20">
        <v>40</v>
      </c>
      <c r="C4578" s="20">
        <v>70</v>
      </c>
      <c r="D4578" s="20">
        <v>84</v>
      </c>
      <c r="E4578" s="20">
        <v>91</v>
      </c>
      <c r="F4578" s="20" t="s">
        <v>25440</v>
      </c>
      <c r="G4578" s="24"/>
      <c r="H4578" s="24"/>
      <c r="I4578" s="24" t="str">
        <f ca="1">IFERROR(__xludf.DUMMYFUNCTION("GOOGLETRANSLATE(F4578,""en"",""pt"")"),"esteiras")</f>
        <v>esteiras</v>
      </c>
      <c r="J4578">
        <f>VLOOKUP(A4578,Pr_Base_LNEC!$A$4:$J$6971,6,FALSE)</f>
        <v>0</v>
      </c>
      <c r="K4578">
        <f>VLOOKUP(A4578,Pr_Base_LNEC!$A$4:$J$6971,7,FALSE)</f>
        <v>0</v>
      </c>
    </row>
    <row r="4579" spans="1:11" ht="14.5">
      <c r="A4579" s="20" t="s">
        <v>25441</v>
      </c>
      <c r="B4579" s="20">
        <v>40</v>
      </c>
      <c r="C4579" s="20">
        <v>70</v>
      </c>
      <c r="D4579" s="20">
        <v>84</v>
      </c>
      <c r="E4579" s="20">
        <v>92</v>
      </c>
      <c r="F4579" s="20" t="s">
        <v>25442</v>
      </c>
      <c r="G4579" s="24"/>
      <c r="H4579" s="24"/>
      <c r="I4579" s="24" t="str">
        <f ca="1">IFERROR(__xludf.DUMMYFUNCTION("GOOGLETRANSLATE(F4579,""en"",""pt"")"),"formadores parte superior do corpo")</f>
        <v>formadores parte superior do corpo</v>
      </c>
      <c r="J4579">
        <f>VLOOKUP(A4579,Pr_Base_LNEC!$A$4:$J$6971,6,FALSE)</f>
        <v>0</v>
      </c>
      <c r="K4579">
        <f>VLOOKUP(A4579,Pr_Base_LNEC!$A$4:$J$6971,7,FALSE)</f>
        <v>0</v>
      </c>
    </row>
    <row r="4580" spans="1:11" ht="14.5">
      <c r="A4580" s="20" t="s">
        <v>25443</v>
      </c>
      <c r="B4580" s="20">
        <v>40</v>
      </c>
      <c r="C4580" s="20">
        <v>70</v>
      </c>
      <c r="D4580" s="20">
        <v>84</v>
      </c>
      <c r="E4580" s="20">
        <v>94</v>
      </c>
      <c r="F4580" s="20" t="s">
        <v>25444</v>
      </c>
      <c r="G4580" s="24"/>
      <c r="H4580" s="24"/>
      <c r="I4580" s="24" t="str">
        <f ca="1">IFERROR(__xludf.DUMMYFUNCTION("GOOGLETRANSLATE(F4580,""en"",""pt"")"),"máquinas levantam joelho vertical e dip")</f>
        <v>máquinas levantam joelho vertical e dip</v>
      </c>
      <c r="J4580">
        <f>VLOOKUP(A4580,Pr_Base_LNEC!$A$4:$J$6971,6,FALSE)</f>
        <v>0</v>
      </c>
      <c r="K4580">
        <f>VLOOKUP(A4580,Pr_Base_LNEC!$A$4:$J$6971,7,FALSE)</f>
        <v>0</v>
      </c>
    </row>
    <row r="4581" spans="1:11" ht="14.5">
      <c r="A4581" s="20" t="s">
        <v>25445</v>
      </c>
      <c r="B4581" s="20">
        <v>40</v>
      </c>
      <c r="C4581" s="20">
        <v>70</v>
      </c>
      <c r="D4581" s="20">
        <v>85</v>
      </c>
      <c r="E4581" s="24"/>
      <c r="F4581" s="20" t="s">
        <v>25446</v>
      </c>
      <c r="G4581" s="24"/>
      <c r="H4581" s="24"/>
      <c r="I4581" s="24" t="str">
        <f ca="1">IFERROR(__xludf.DUMMYFUNCTION("GOOGLETRANSLATE(F4581,""en"",""pt"")"),"equipamento de palco")</f>
        <v>equipamento de palco</v>
      </c>
      <c r="J4581">
        <f>VLOOKUP(A4581,Pr_Base_LNEC!$A$4:$J$6971,6,FALSE)</f>
        <v>0</v>
      </c>
      <c r="K4581">
        <f>VLOOKUP(A4581,Pr_Base_LNEC!$A$4:$J$6971,7,FALSE)</f>
        <v>0</v>
      </c>
    </row>
    <row r="4582" spans="1:11" ht="14.5">
      <c r="A4582" s="20" t="s">
        <v>25447</v>
      </c>
      <c r="B4582" s="20">
        <v>40</v>
      </c>
      <c r="C4582" s="20">
        <v>70</v>
      </c>
      <c r="D4582" s="20">
        <v>85</v>
      </c>
      <c r="E4582" s="20">
        <v>31</v>
      </c>
      <c r="F4582" s="20" t="s">
        <v>25448</v>
      </c>
      <c r="G4582" s="24"/>
      <c r="H4582" s="24"/>
      <c r="I4582" s="24" t="str">
        <f ca="1">IFERROR(__xludf.DUMMYFUNCTION("GOOGLETRANSLATE(F4582,""en"",""pt"")"),"Mosca / bares polia")</f>
        <v>Mosca / bares polia</v>
      </c>
      <c r="J4582">
        <f>VLOOKUP(A4582,Pr_Base_LNEC!$A$4:$J$6971,6,FALSE)</f>
        <v>0</v>
      </c>
      <c r="K4582">
        <f>VLOOKUP(A4582,Pr_Base_LNEC!$A$4:$J$6971,7,FALSE)</f>
        <v>0</v>
      </c>
    </row>
    <row r="4583" spans="1:11" ht="14.5">
      <c r="A4583" s="20" t="s">
        <v>25449</v>
      </c>
      <c r="B4583" s="20">
        <v>40</v>
      </c>
      <c r="C4583" s="20">
        <v>70</v>
      </c>
      <c r="D4583" s="20">
        <v>86</v>
      </c>
      <c r="E4583" s="24"/>
      <c r="F4583" s="20" t="s">
        <v>25450</v>
      </c>
      <c r="G4583" s="24"/>
      <c r="H4583" s="24"/>
      <c r="I4583" s="24" t="str">
        <f ca="1">IFERROR(__xludf.DUMMYFUNCTION("GOOGLETRANSLATE(F4583,""en"",""pt"")"),"equipamentos de piscina")</f>
        <v>equipamentos de piscina</v>
      </c>
      <c r="J4583">
        <f>VLOOKUP(A4583,Pr_Base_LNEC!$A$4:$J$6971,6,FALSE)</f>
        <v>0</v>
      </c>
      <c r="K4583">
        <f>VLOOKUP(A4583,Pr_Base_LNEC!$A$4:$J$6971,7,FALSE)</f>
        <v>0</v>
      </c>
    </row>
    <row r="4584" spans="1:11" ht="14.5">
      <c r="A4584" s="20" t="s">
        <v>25451</v>
      </c>
      <c r="B4584" s="20">
        <v>40</v>
      </c>
      <c r="C4584" s="20">
        <v>70</v>
      </c>
      <c r="D4584" s="20">
        <v>86</v>
      </c>
      <c r="E4584" s="20">
        <v>2</v>
      </c>
      <c r="F4584" s="20" t="s">
        <v>25452</v>
      </c>
      <c r="G4584" s="20" t="s">
        <v>25453</v>
      </c>
      <c r="H4584" s="24"/>
      <c r="I4584" s="24" t="str">
        <f ca="1">IFERROR(__xludf.DUMMYFUNCTION("GOOGLETRANSLATE(F4584,""en"",""pt"")"),"equipamentos almofada de ar")</f>
        <v>equipamentos almofada de ar</v>
      </c>
      <c r="J4584">
        <f>VLOOKUP(A4584,Pr_Base_LNEC!$A$4:$J$6971,6,FALSE)</f>
        <v>0</v>
      </c>
      <c r="K4584">
        <f>VLOOKUP(A4584,Pr_Base_LNEC!$A$4:$J$6971,7,FALSE)</f>
        <v>0</v>
      </c>
    </row>
    <row r="4585" spans="1:11" ht="14.5">
      <c r="A4585" s="20" t="s">
        <v>25454</v>
      </c>
      <c r="B4585" s="20">
        <v>40</v>
      </c>
      <c r="C4585" s="20">
        <v>70</v>
      </c>
      <c r="D4585" s="20">
        <v>86</v>
      </c>
      <c r="E4585" s="20">
        <v>8</v>
      </c>
      <c r="F4585" s="20" t="s">
        <v>25455</v>
      </c>
      <c r="G4585" s="20" t="s">
        <v>25456</v>
      </c>
      <c r="H4585" s="24"/>
      <c r="I4585" s="24" t="str">
        <f ca="1">IFERROR(__xludf.DUMMYFUNCTION("GOOGLETRANSLATE(F4585,""en"",""pt"")"),"pisos móveis auxiliado por flutuabilidade")</f>
        <v>pisos móveis auxiliado por flutuabilidade</v>
      </c>
      <c r="J4585">
        <f>VLOOKUP(A4585,Pr_Base_LNEC!$A$4:$J$6971,6,FALSE)</f>
        <v>0</v>
      </c>
      <c r="K4585">
        <f>VLOOKUP(A4585,Pr_Base_LNEC!$A$4:$J$6971,7,FALSE)</f>
        <v>0</v>
      </c>
    </row>
    <row r="4586" spans="1:11" ht="14.5">
      <c r="A4586" s="20" t="s">
        <v>25457</v>
      </c>
      <c r="B4586" s="20">
        <v>40</v>
      </c>
      <c r="C4586" s="20">
        <v>70</v>
      </c>
      <c r="D4586" s="20">
        <v>86</v>
      </c>
      <c r="E4586" s="20">
        <v>10</v>
      </c>
      <c r="F4586" s="20" t="s">
        <v>25458</v>
      </c>
      <c r="G4586" s="20" t="s">
        <v>25459</v>
      </c>
      <c r="H4586" s="24"/>
      <c r="I4586" s="24" t="str">
        <f ca="1">IFERROR(__xludf.DUMMYFUNCTION("GOOGLETRANSLATE(F4586,""en"",""pt"")"),"anteparas móveis auxiliado por flutuabilidade")</f>
        <v>anteparas móveis auxiliado por flutuabilidade</v>
      </c>
      <c r="J4586">
        <f>VLOOKUP(A4586,Pr_Base_LNEC!$A$4:$J$6971,6,FALSE)</f>
        <v>0</v>
      </c>
      <c r="K4586">
        <f>VLOOKUP(A4586,Pr_Base_LNEC!$A$4:$J$6971,7,FALSE)</f>
        <v>0</v>
      </c>
    </row>
    <row r="4587" spans="1:11" ht="14.5">
      <c r="A4587" s="20" t="s">
        <v>25460</v>
      </c>
      <c r="B4587" s="20">
        <v>40</v>
      </c>
      <c r="C4587" s="20">
        <v>70</v>
      </c>
      <c r="D4587" s="20">
        <v>86</v>
      </c>
      <c r="E4587" s="20">
        <v>52</v>
      </c>
      <c r="F4587" s="20" t="s">
        <v>25461</v>
      </c>
      <c r="G4587" s="20" t="s">
        <v>25462</v>
      </c>
      <c r="H4587" s="24"/>
      <c r="I4587" s="24" t="str">
        <f ca="1">IFERROR(__xludf.DUMMYFUNCTION("GOOGLETRANSLATE(F4587,""en"",""pt"")"),"pisos móveis de acionamento mecânico")</f>
        <v>pisos móveis de acionamento mecânico</v>
      </c>
      <c r="J4587">
        <f>VLOOKUP(A4587,Pr_Base_LNEC!$A$4:$J$6971,6,FALSE)</f>
        <v>0</v>
      </c>
      <c r="K4587">
        <f>VLOOKUP(A4587,Pr_Base_LNEC!$A$4:$J$6971,7,FALSE)</f>
        <v>0</v>
      </c>
    </row>
    <row r="4588" spans="1:11" ht="14.5">
      <c r="A4588" s="20" t="s">
        <v>25463</v>
      </c>
      <c r="B4588" s="20">
        <v>40</v>
      </c>
      <c r="C4588" s="20">
        <v>70</v>
      </c>
      <c r="D4588" s="20">
        <v>86</v>
      </c>
      <c r="E4588" s="20">
        <v>60</v>
      </c>
      <c r="F4588" s="20" t="s">
        <v>25464</v>
      </c>
      <c r="G4588" s="20" t="s">
        <v>25465</v>
      </c>
      <c r="H4588" s="24"/>
      <c r="I4588" s="24" t="str">
        <f ca="1">IFERROR(__xludf.DUMMYFUNCTION("GOOGLETRANSLATE(F4588,""en"",""pt"")"),"Piscina estrutura-suportado anteparas meis")</f>
        <v>Piscina estrutura-suportado anteparas meis</v>
      </c>
      <c r="J4588">
        <f>VLOOKUP(A4588,Pr_Base_LNEC!$A$4:$J$6971,6,FALSE)</f>
        <v>0</v>
      </c>
      <c r="K4588">
        <f>VLOOKUP(A4588,Pr_Base_LNEC!$A$4:$J$6971,7,FALSE)</f>
        <v>0</v>
      </c>
    </row>
    <row r="4589" spans="1:11" ht="14.5">
      <c r="A4589" s="20" t="s">
        <v>25466</v>
      </c>
      <c r="B4589" s="20">
        <v>40</v>
      </c>
      <c r="C4589" s="20">
        <v>70</v>
      </c>
      <c r="D4589" s="20">
        <v>86</v>
      </c>
      <c r="E4589" s="20">
        <v>84</v>
      </c>
      <c r="F4589" s="20" t="s">
        <v>25467</v>
      </c>
      <c r="G4589" s="20" t="s">
        <v>25468</v>
      </c>
      <c r="H4589" s="24"/>
      <c r="I4589" s="24" t="str">
        <f ca="1">IFERROR(__xludf.DUMMYFUNCTION("GOOGLETRANSLATE(F4589,""en"",""pt"")"),"equipamentos agitação da superfície")</f>
        <v>equipamentos agitação da superfície</v>
      </c>
      <c r="J4589">
        <f>VLOOKUP(A4589,Pr_Base_LNEC!$A$4:$J$6971,6,FALSE)</f>
        <v>0</v>
      </c>
      <c r="K4589">
        <f>VLOOKUP(A4589,Pr_Base_LNEC!$A$4:$J$6971,7,FALSE)</f>
        <v>0</v>
      </c>
    </row>
    <row r="4590" spans="1:11" ht="14.5">
      <c r="A4590" s="20" t="s">
        <v>25469</v>
      </c>
      <c r="B4590" s="20">
        <v>40</v>
      </c>
      <c r="C4590" s="20">
        <v>70</v>
      </c>
      <c r="D4590" s="20">
        <v>86</v>
      </c>
      <c r="E4590" s="20">
        <v>94</v>
      </c>
      <c r="F4590" s="20" t="s">
        <v>25470</v>
      </c>
      <c r="G4590" s="20" t="s">
        <v>25471</v>
      </c>
      <c r="H4590" s="24"/>
      <c r="I4590" s="24" t="str">
        <f ca="1">IFERROR(__xludf.DUMMYFUNCTION("GOOGLETRANSLATE(F4590,""en"",""pt"")"),"dispositivos de libertação bola de pólo aquático")</f>
        <v>dispositivos de libertação bola de pólo aquático</v>
      </c>
      <c r="J4590">
        <f>VLOOKUP(A4590,Pr_Base_LNEC!$A$4:$J$6971,6,FALSE)</f>
        <v>0</v>
      </c>
      <c r="K4590">
        <f>VLOOKUP(A4590,Pr_Base_LNEC!$A$4:$J$6971,7,FALSE)</f>
        <v>0</v>
      </c>
    </row>
    <row r="4591" spans="1:11" ht="14.5">
      <c r="A4591" s="20" t="s">
        <v>25472</v>
      </c>
      <c r="B4591" s="20">
        <v>40</v>
      </c>
      <c r="C4591" s="20">
        <v>70</v>
      </c>
      <c r="D4591" s="20">
        <v>86</v>
      </c>
      <c r="E4591" s="20">
        <v>98</v>
      </c>
      <c r="F4591" s="20" t="s">
        <v>25473</v>
      </c>
      <c r="G4591" s="24"/>
      <c r="H4591" s="24"/>
      <c r="I4591" s="24" t="str">
        <f ca="1">IFERROR(__xludf.DUMMYFUNCTION("GOOGLETRANSLATE(F4591,""en"",""pt"")"),"equipamentos de máquina de ondas")</f>
        <v>equipamentos de máquina de ondas</v>
      </c>
      <c r="J4591">
        <f>VLOOKUP(A4591,Pr_Base_LNEC!$A$4:$J$6971,6,FALSE)</f>
        <v>0</v>
      </c>
      <c r="K4591">
        <f>VLOOKUP(A4591,Pr_Base_LNEC!$A$4:$J$6971,7,FALSE)</f>
        <v>0</v>
      </c>
    </row>
    <row r="4592" spans="1:11" ht="14.5">
      <c r="A4592" s="20" t="s">
        <v>25474</v>
      </c>
      <c r="B4592" s="20">
        <v>40</v>
      </c>
      <c r="C4592" s="20">
        <v>70</v>
      </c>
      <c r="D4592" s="20">
        <v>96</v>
      </c>
      <c r="E4592" s="24"/>
      <c r="F4592" s="20" t="s">
        <v>25475</v>
      </c>
      <c r="G4592" s="24"/>
      <c r="H4592" s="24"/>
      <c r="I4592" s="24" t="str">
        <f ca="1">IFERROR(__xludf.DUMMYFUNCTION("GOOGLETRANSLATE(F4592,""en"",""pt"")"),"equipamentos de controle de água")</f>
        <v>equipamentos de controle de água</v>
      </c>
      <c r="J4592">
        <f>VLOOKUP(A4592,Pr_Base_LNEC!$A$4:$J$6971,6,FALSE)</f>
        <v>0</v>
      </c>
      <c r="K4592">
        <f>VLOOKUP(A4592,Pr_Base_LNEC!$A$4:$J$6971,7,FALSE)</f>
        <v>0</v>
      </c>
    </row>
    <row r="4593" spans="1:11" ht="14.5">
      <c r="A4593" s="20" t="s">
        <v>25476</v>
      </c>
      <c r="B4593" s="20">
        <v>40</v>
      </c>
      <c r="C4593" s="20">
        <v>70</v>
      </c>
      <c r="D4593" s="20">
        <v>96</v>
      </c>
      <c r="E4593" s="20">
        <v>30</v>
      </c>
      <c r="F4593" s="20" t="s">
        <v>25477</v>
      </c>
      <c r="G4593" s="24"/>
      <c r="H4593" s="24"/>
      <c r="I4593" s="24" t="str">
        <f ca="1">IFERROR(__xludf.DUMMYFUNCTION("GOOGLETRANSLATE(F4593,""en"",""pt"")"),"câmaras de dispositivos de controle de fluxo")</f>
        <v>câmaras de dispositivos de controle de fluxo</v>
      </c>
      <c r="J4593">
        <f>VLOOKUP(A4593,Pr_Base_LNEC!$A$4:$J$6971,6,FALSE)</f>
        <v>0</v>
      </c>
      <c r="K4593">
        <f>VLOOKUP(A4593,Pr_Base_LNEC!$A$4:$J$6971,7,FALSE)</f>
        <v>0</v>
      </c>
    </row>
    <row r="4594" spans="1:11" ht="14.5">
      <c r="A4594" s="20" t="s">
        <v>25478</v>
      </c>
      <c r="B4594" s="20">
        <v>40</v>
      </c>
      <c r="C4594" s="20">
        <v>70</v>
      </c>
      <c r="D4594" s="20">
        <v>96</v>
      </c>
      <c r="E4594" s="20">
        <v>31</v>
      </c>
      <c r="F4594" s="20" t="s">
        <v>25479</v>
      </c>
      <c r="G4594" s="24"/>
      <c r="H4594" s="24"/>
      <c r="I4594" s="24" t="str">
        <f ca="1">IFERROR(__xludf.DUMMYFUNCTION("GOOGLETRANSLATE(F4594,""en"",""pt"")"),"dispositivos de controle de fluxo")</f>
        <v>dispositivos de controle de fluxo</v>
      </c>
      <c r="J4594">
        <f>VLOOKUP(A4594,Pr_Base_LNEC!$A$4:$J$6971,6,FALSE)</f>
        <v>0</v>
      </c>
      <c r="K4594">
        <f>VLOOKUP(A4594,Pr_Base_LNEC!$A$4:$J$6971,7,FALSE)</f>
        <v>0</v>
      </c>
    </row>
    <row r="4595" spans="1:11" ht="14.5">
      <c r="A4595" s="20" t="s">
        <v>25480</v>
      </c>
      <c r="B4595" s="20">
        <v>40</v>
      </c>
      <c r="C4595" s="20">
        <v>70</v>
      </c>
      <c r="D4595" s="20">
        <v>99</v>
      </c>
      <c r="E4595" s="24"/>
      <c r="F4595" s="20" t="s">
        <v>25481</v>
      </c>
      <c r="G4595" s="24"/>
      <c r="H4595" s="24"/>
      <c r="I4595" s="24" t="str">
        <f ca="1">IFERROR(__xludf.DUMMYFUNCTION("GOOGLETRANSLATE(F4595,""en"",""pt"")"),"equipamento de pesagem")</f>
        <v>equipamento de pesagem</v>
      </c>
      <c r="J4595">
        <f>VLOOKUP(A4595,Pr_Base_LNEC!$A$4:$J$6971,6,FALSE)</f>
        <v>0</v>
      </c>
      <c r="K4595">
        <f>VLOOKUP(A4595,Pr_Base_LNEC!$A$4:$J$6971,7,FALSE)</f>
        <v>0</v>
      </c>
    </row>
    <row r="4596" spans="1:11" ht="14.5">
      <c r="A4596" s="20" t="s">
        <v>25482</v>
      </c>
      <c r="B4596" s="20">
        <v>40</v>
      </c>
      <c r="C4596" s="20">
        <v>70</v>
      </c>
      <c r="D4596" s="20">
        <v>99</v>
      </c>
      <c r="E4596" s="20">
        <v>22</v>
      </c>
      <c r="F4596" s="20" t="s">
        <v>25483</v>
      </c>
      <c r="G4596" s="24"/>
      <c r="H4596" s="24"/>
      <c r="I4596" s="24" t="str">
        <f ca="1">IFERROR(__xludf.DUMMYFUNCTION("GOOGLETRANSLATE(F4596,""en"",""pt"")"),"balanças digitais")</f>
        <v>balanças digitais</v>
      </c>
      <c r="J4596">
        <f>VLOOKUP(A4596,Pr_Base_LNEC!$A$4:$J$6971,6,FALSE)</f>
        <v>0</v>
      </c>
      <c r="K4596">
        <f>VLOOKUP(A4596,Pr_Base_LNEC!$A$4:$J$6971,7,FALSE)</f>
        <v>0</v>
      </c>
    </row>
    <row r="4597" spans="1:11" ht="14.5">
      <c r="A4597" s="20" t="s">
        <v>25484</v>
      </c>
      <c r="B4597" s="20">
        <v>40</v>
      </c>
      <c r="C4597" s="20">
        <v>70</v>
      </c>
      <c r="D4597" s="20">
        <v>99</v>
      </c>
      <c r="E4597" s="20">
        <v>42</v>
      </c>
      <c r="F4597" s="20" t="s">
        <v>25485</v>
      </c>
      <c r="G4597" s="24"/>
      <c r="H4597" s="24"/>
      <c r="I4597" s="24" t="str">
        <f ca="1">IFERROR(__xludf.DUMMYFUNCTION("GOOGLETRANSLATE(F4597,""en"",""pt"")"),"balanças industriais")</f>
        <v>balanças industriais</v>
      </c>
      <c r="J4597">
        <f>VLOOKUP(A4597,Pr_Base_LNEC!$A$4:$J$6971,6,FALSE)</f>
        <v>0</v>
      </c>
      <c r="K4597">
        <f>VLOOKUP(A4597,Pr_Base_LNEC!$A$4:$J$6971,7,FALSE)</f>
        <v>0</v>
      </c>
    </row>
    <row r="4598" spans="1:11" ht="14.5">
      <c r="A4598" s="20" t="s">
        <v>25486</v>
      </c>
      <c r="B4598" s="20">
        <v>40</v>
      </c>
      <c r="C4598" s="20">
        <v>70</v>
      </c>
      <c r="D4598" s="20">
        <v>99</v>
      </c>
      <c r="E4598" s="20">
        <v>45</v>
      </c>
      <c r="F4598" s="20" t="s">
        <v>25487</v>
      </c>
      <c r="G4598" s="24"/>
      <c r="H4598" s="24"/>
      <c r="I4598" s="24" t="str">
        <f ca="1">IFERROR(__xludf.DUMMYFUNCTION("GOOGLETRANSLATE(F4598,""en"",""pt"")"),"balanças de cozinha")</f>
        <v>balanças de cozinha</v>
      </c>
      <c r="J4598">
        <f>VLOOKUP(A4598,Pr_Base_LNEC!$A$4:$J$6971,6,FALSE)</f>
        <v>0</v>
      </c>
      <c r="K4598">
        <f>VLOOKUP(A4598,Pr_Base_LNEC!$A$4:$J$6971,7,FALSE)</f>
        <v>0</v>
      </c>
    </row>
    <row r="4599" spans="1:11" ht="14.5">
      <c r="A4599" s="20" t="s">
        <v>25488</v>
      </c>
      <c r="B4599" s="20">
        <v>40</v>
      </c>
      <c r="C4599" s="20">
        <v>70</v>
      </c>
      <c r="D4599" s="20">
        <v>99</v>
      </c>
      <c r="E4599" s="20">
        <v>62</v>
      </c>
      <c r="F4599" s="20" t="s">
        <v>25489</v>
      </c>
      <c r="G4599" s="24"/>
      <c r="H4599" s="24"/>
      <c r="I4599" s="24" t="str">
        <f ca="1">IFERROR(__xludf.DUMMYFUNCTION("GOOGLETRANSLATE(F4599,""en"",""pt"")"),"Pessoal balanças")</f>
        <v>Pessoal balanças</v>
      </c>
      <c r="J4599">
        <f>VLOOKUP(A4599,Pr_Base_LNEC!$A$4:$J$6971,6,FALSE)</f>
        <v>0</v>
      </c>
      <c r="K4599">
        <f>VLOOKUP(A4599,Pr_Base_LNEC!$A$4:$J$6971,7,FALSE)</f>
        <v>0</v>
      </c>
    </row>
    <row r="4600" spans="1:11" ht="14.5">
      <c r="A4600" s="20" t="s">
        <v>25490</v>
      </c>
      <c r="B4600" s="20">
        <v>45</v>
      </c>
      <c r="C4600" s="24"/>
      <c r="D4600" s="24"/>
      <c r="E4600" s="24"/>
      <c r="F4600" s="20" t="s">
        <v>25491</v>
      </c>
      <c r="G4600" s="24"/>
      <c r="H4600" s="24"/>
      <c r="I4600" s="24" t="str">
        <f ca="1">IFERROR(__xludf.DUMMYFUNCTION("GOOGLETRANSLATE(F4600,""en"",""pt"")"),"produtos de Flora e fauna")</f>
        <v>produtos de Flora e fauna</v>
      </c>
      <c r="J4600" t="str">
        <f>VLOOKUP(A4600,Pr_Base_LNEC!$A$4:$J$6971,6,FALSE)</f>
        <v>Produtos para Flora e Fauna</v>
      </c>
      <c r="K4600">
        <f>VLOOKUP(A4600,Pr_Base_LNEC!$A$4:$J$6971,7,FALSE)</f>
        <v>0</v>
      </c>
    </row>
    <row r="4601" spans="1:11" ht="14.5">
      <c r="A4601" s="20" t="s">
        <v>25492</v>
      </c>
      <c r="B4601" s="20">
        <v>45</v>
      </c>
      <c r="C4601" s="20">
        <v>28</v>
      </c>
      <c r="D4601" s="24"/>
      <c r="E4601" s="24"/>
      <c r="F4601" s="20" t="s">
        <v>25493</v>
      </c>
      <c r="G4601" s="24"/>
      <c r="H4601" s="24"/>
      <c r="I4601" s="24" t="str">
        <f ca="1">IFERROR(__xludf.DUMMYFUNCTION("GOOGLETRANSLATE(F4601,""en"",""pt"")"),"produtos da fauna")</f>
        <v>produtos da fauna</v>
      </c>
      <c r="J4601" t="str">
        <f>VLOOKUP(A4601,Pr_Base_LNEC!$A$4:$J$6971,6,FALSE)</f>
        <v>Produtos para Fauna</v>
      </c>
      <c r="K4601">
        <f>VLOOKUP(A4601,Pr_Base_LNEC!$A$4:$J$6971,7,FALSE)</f>
        <v>0</v>
      </c>
    </row>
    <row r="4602" spans="1:11" ht="14.5">
      <c r="A4602" s="20" t="s">
        <v>25494</v>
      </c>
      <c r="B4602" s="20">
        <v>45</v>
      </c>
      <c r="C4602" s="20">
        <v>28</v>
      </c>
      <c r="D4602" s="20">
        <v>30</v>
      </c>
      <c r="E4602" s="24"/>
      <c r="F4602" s="20" t="s">
        <v>25495</v>
      </c>
      <c r="G4602" s="24"/>
      <c r="H4602" s="24"/>
      <c r="I4602" s="24" t="str">
        <f ca="1">IFERROR(__xludf.DUMMYFUNCTION("GOOGLETRANSLATE(F4602,""en"",""pt"")"),"Peixes, enguias e lampreia produtos passam")</f>
        <v>Peixes, enguias e lampreia produtos passam</v>
      </c>
      <c r="J4602">
        <f>VLOOKUP(A4602,Pr_Base_LNEC!$A$4:$J$6971,6,FALSE)</f>
        <v>0</v>
      </c>
      <c r="K4602">
        <f>VLOOKUP(A4602,Pr_Base_LNEC!$A$4:$J$6971,7,FALSE)</f>
        <v>0</v>
      </c>
    </row>
    <row r="4603" spans="1:11" ht="14.5">
      <c r="A4603" s="20" t="s">
        <v>25496</v>
      </c>
      <c r="B4603" s="20">
        <v>45</v>
      </c>
      <c r="C4603" s="20">
        <v>28</v>
      </c>
      <c r="D4603" s="20">
        <v>30</v>
      </c>
      <c r="E4603" s="20">
        <v>10</v>
      </c>
      <c r="F4603" s="20" t="s">
        <v>25497</v>
      </c>
      <c r="G4603" s="24"/>
      <c r="H4603" s="24"/>
      <c r="I4603" s="24" t="str">
        <f ca="1">IFERROR(__xludf.DUMMYFUNCTION("GOOGLETRANSLATE(F4603,""en"",""pt"")"),"placas de cerdas e tapetes")</f>
        <v>placas de cerdas e tapetes</v>
      </c>
      <c r="J4603" t="e">
        <f>VLOOKUP(A4603,Pr_Base_LNEC!$A$4:$J$6971,6,FALSE)</f>
        <v>#N/A</v>
      </c>
      <c r="K4603" t="e">
        <f>VLOOKUP(A4603,Pr_Base_LNEC!$A$4:$J$6971,7,FALSE)</f>
        <v>#N/A</v>
      </c>
    </row>
    <row r="4604" spans="1:11" ht="14.5">
      <c r="A4604" s="20" t="s">
        <v>25498</v>
      </c>
      <c r="B4604" s="20">
        <v>45</v>
      </c>
      <c r="C4604" s="20">
        <v>28</v>
      </c>
      <c r="D4604" s="20">
        <v>30</v>
      </c>
      <c r="E4604" s="20">
        <v>27</v>
      </c>
      <c r="F4604" s="20" t="s">
        <v>25499</v>
      </c>
      <c r="G4604" s="20" t="s">
        <v>25500</v>
      </c>
      <c r="H4604" s="24"/>
      <c r="I4604" s="24" t="str">
        <f ca="1">IFERROR(__xludf.DUMMYFUNCTION("GOOGLETRANSLATE(F4604,""en"",""pt"")"),"telhas de enguia")</f>
        <v>telhas de enguia</v>
      </c>
      <c r="J4604">
        <f>VLOOKUP(A4604,Pr_Base_LNEC!$A$4:$J$6971,6,FALSE)</f>
        <v>0</v>
      </c>
      <c r="K4604">
        <f>VLOOKUP(A4604,Pr_Base_LNEC!$A$4:$J$6971,7,FALSE)</f>
        <v>0</v>
      </c>
    </row>
    <row r="4605" spans="1:11" ht="14.5">
      <c r="A4605" s="20" t="s">
        <v>25501</v>
      </c>
      <c r="B4605" s="20">
        <v>45</v>
      </c>
      <c r="C4605" s="20">
        <v>28</v>
      </c>
      <c r="D4605" s="20">
        <v>30</v>
      </c>
      <c r="E4605" s="20">
        <v>46</v>
      </c>
      <c r="F4605" s="20" t="s">
        <v>25502</v>
      </c>
      <c r="G4605" s="20" t="s">
        <v>25503</v>
      </c>
      <c r="H4605" s="24"/>
      <c r="I4605" s="24" t="str">
        <f ca="1">IFERROR(__xludf.DUMMYFUNCTION("GOOGLETRANSLATE(F4605,""en"",""pt"")"),"telhas Larinier")</f>
        <v>telhas Larinier</v>
      </c>
      <c r="J4605">
        <f>VLOOKUP(A4605,Pr_Base_LNEC!$A$4:$J$6971,6,FALSE)</f>
        <v>0</v>
      </c>
      <c r="K4605">
        <f>VLOOKUP(A4605,Pr_Base_LNEC!$A$4:$J$6971,7,FALSE)</f>
        <v>0</v>
      </c>
    </row>
    <row r="4606" spans="1:11" ht="14.5">
      <c r="A4606" s="20" t="s">
        <v>25504</v>
      </c>
      <c r="B4606" s="20">
        <v>45</v>
      </c>
      <c r="C4606" s="20">
        <v>28</v>
      </c>
      <c r="D4606" s="20">
        <v>30</v>
      </c>
      <c r="E4606" s="20">
        <v>78</v>
      </c>
      <c r="F4606" s="20" t="s">
        <v>25505</v>
      </c>
      <c r="G4606" s="20" t="s">
        <v>25506</v>
      </c>
      <c r="H4606" s="24"/>
      <c r="I4606" s="24" t="str">
        <f ca="1">IFERROR(__xludf.DUMMYFUNCTION("GOOGLETRANSLATE(F4606,""en"",""pt"")"),"passagens para peixes de sifão")</f>
        <v>passagens para peixes de sifão</v>
      </c>
      <c r="J4606">
        <f>VLOOKUP(A4606,Pr_Base_LNEC!$A$4:$J$6971,6,FALSE)</f>
        <v>0</v>
      </c>
      <c r="K4606">
        <f>VLOOKUP(A4606,Pr_Base_LNEC!$A$4:$J$6971,7,FALSE)</f>
        <v>0</v>
      </c>
    </row>
    <row r="4607" spans="1:11" ht="14.5">
      <c r="A4607" s="20" t="s">
        <v>25507</v>
      </c>
      <c r="B4607" s="20">
        <v>45</v>
      </c>
      <c r="C4607" s="20">
        <v>30</v>
      </c>
      <c r="D4607" s="24"/>
      <c r="E4607" s="24"/>
      <c r="F4607" s="20" t="s">
        <v>25508</v>
      </c>
      <c r="G4607" s="24"/>
      <c r="H4607" s="24"/>
      <c r="I4607" s="24" t="str">
        <f ca="1">IFERROR(__xludf.DUMMYFUNCTION("GOOGLETRANSLATE(F4607,""en"",""pt"")"),"produtos flora")</f>
        <v>produtos flora</v>
      </c>
      <c r="J4607" t="str">
        <f>VLOOKUP(A4607,Pr_Base_LNEC!$A$4:$J$6971,6,FALSE)</f>
        <v>Produtos para Flora</v>
      </c>
      <c r="K4607">
        <f>VLOOKUP(A4607,Pr_Base_LNEC!$A$4:$J$6971,7,FALSE)</f>
        <v>0</v>
      </c>
    </row>
    <row r="4608" spans="1:11" ht="14.5">
      <c r="A4608" s="20" t="s">
        <v>25509</v>
      </c>
      <c r="B4608" s="20">
        <v>45</v>
      </c>
      <c r="C4608" s="20">
        <v>30</v>
      </c>
      <c r="D4608" s="20">
        <v>4</v>
      </c>
      <c r="E4608" s="24"/>
      <c r="F4608" s="20" t="s">
        <v>25510</v>
      </c>
      <c r="G4608" s="24"/>
      <c r="H4608" s="24"/>
      <c r="I4608" s="24" t="str">
        <f ca="1">IFERROR(__xludf.DUMMYFUNCTION("GOOGLETRANSLATE(F4608,""en"",""pt"")"),"plantas artificiais")</f>
        <v>plantas artificiais</v>
      </c>
      <c r="J4608">
        <f>VLOOKUP(A4608,Pr_Base_LNEC!$A$4:$J$6971,6,FALSE)</f>
        <v>0</v>
      </c>
      <c r="K4608">
        <f>VLOOKUP(A4608,Pr_Base_LNEC!$A$4:$J$6971,7,FALSE)</f>
        <v>0</v>
      </c>
    </row>
    <row r="4609" spans="1:11" ht="14.5">
      <c r="A4609" s="20" t="s">
        <v>25511</v>
      </c>
      <c r="B4609" s="20">
        <v>45</v>
      </c>
      <c r="C4609" s="20">
        <v>30</v>
      </c>
      <c r="D4609" s="20">
        <v>4</v>
      </c>
      <c r="E4609" s="20">
        <v>2</v>
      </c>
      <c r="F4609" s="20" t="s">
        <v>25512</v>
      </c>
      <c r="G4609" s="24"/>
      <c r="H4609" s="24"/>
      <c r="I4609" s="24" t="str">
        <f ca="1">IFERROR(__xludf.DUMMYFUNCTION("GOOGLETRANSLATE(F4609,""en"",""pt"")"),"Grama artificial")</f>
        <v>Grama artificial</v>
      </c>
      <c r="J4609" t="e">
        <f>VLOOKUP(A4609,Pr_Base_LNEC!$A$4:$J$6971,6,FALSE)</f>
        <v>#N/A</v>
      </c>
      <c r="K4609" t="e">
        <f>VLOOKUP(A4609,Pr_Base_LNEC!$A$4:$J$6971,7,FALSE)</f>
        <v>#N/A</v>
      </c>
    </row>
    <row r="4610" spans="1:11" ht="14.5">
      <c r="A4610" s="20" t="s">
        <v>25513</v>
      </c>
      <c r="B4610" s="20">
        <v>45</v>
      </c>
      <c r="C4610" s="20">
        <v>30</v>
      </c>
      <c r="D4610" s="20">
        <v>4</v>
      </c>
      <c r="E4610" s="20">
        <v>3</v>
      </c>
      <c r="F4610" s="20" t="s">
        <v>25514</v>
      </c>
      <c r="G4610" s="20" t="s">
        <v>25515</v>
      </c>
      <c r="H4610" s="24"/>
      <c r="I4610" s="24" t="str">
        <f ca="1">IFERROR(__xludf.DUMMYFUNCTION("GOOGLETRANSLATE(F4610,""en"",""pt"")"),"crescendo baixas árvores artificiais")</f>
        <v>crescendo baixas árvores artificiais</v>
      </c>
      <c r="J4610">
        <f>VLOOKUP(A4610,Pr_Base_LNEC!$A$4:$J$6971,6,FALSE)</f>
        <v>0</v>
      </c>
      <c r="K4610">
        <f>VLOOKUP(A4610,Pr_Base_LNEC!$A$4:$J$6971,7,FALSE)</f>
        <v>0</v>
      </c>
    </row>
    <row r="4611" spans="1:11" ht="14.5">
      <c r="A4611" s="20" t="s">
        <v>25516</v>
      </c>
      <c r="B4611" s="20">
        <v>45</v>
      </c>
      <c r="C4611" s="20">
        <v>30</v>
      </c>
      <c r="D4611" s="20">
        <v>4</v>
      </c>
      <c r="E4611" s="20">
        <v>4</v>
      </c>
      <c r="F4611" s="20" t="s">
        <v>25517</v>
      </c>
      <c r="G4611" s="20" t="s">
        <v>25518</v>
      </c>
      <c r="H4611" s="24"/>
      <c r="I4611" s="24" t="str">
        <f ca="1">IFERROR(__xludf.DUMMYFUNCTION("GOOGLETRANSLATE(F4611,""en"",""pt"")"),"topiária artificial e pleaching")</f>
        <v>topiária artificial e pleaching</v>
      </c>
      <c r="J4611">
        <f>VLOOKUP(A4611,Pr_Base_LNEC!$A$4:$J$6971,6,FALSE)</f>
        <v>0</v>
      </c>
      <c r="K4611">
        <f>VLOOKUP(A4611,Pr_Base_LNEC!$A$4:$J$6971,7,FALSE)</f>
        <v>0</v>
      </c>
    </row>
    <row r="4612" spans="1:11" ht="14.5">
      <c r="A4612" s="20" t="s">
        <v>25519</v>
      </c>
      <c r="B4612" s="20">
        <v>45</v>
      </c>
      <c r="C4612" s="20">
        <v>30</v>
      </c>
      <c r="D4612" s="20">
        <v>4</v>
      </c>
      <c r="E4612" s="20">
        <v>5</v>
      </c>
      <c r="F4612" s="20" t="s">
        <v>25520</v>
      </c>
      <c r="G4612" s="20" t="s">
        <v>25521</v>
      </c>
      <c r="H4612" s="24"/>
      <c r="I4612" s="24" t="str">
        <f ca="1">IFERROR(__xludf.DUMMYFUNCTION("GOOGLETRANSLATE(F4612,""en"",""pt"")"),"As árvores artificiais")</f>
        <v>As árvores artificiais</v>
      </c>
      <c r="J4612">
        <f>VLOOKUP(A4612,Pr_Base_LNEC!$A$4:$J$6971,6,FALSE)</f>
        <v>0</v>
      </c>
      <c r="K4612">
        <f>VLOOKUP(A4612,Pr_Base_LNEC!$A$4:$J$6971,7,FALSE)</f>
        <v>0</v>
      </c>
    </row>
    <row r="4613" spans="1:11" ht="14.5">
      <c r="A4613" s="20" t="s">
        <v>25522</v>
      </c>
      <c r="B4613" s="20">
        <v>45</v>
      </c>
      <c r="C4613" s="20">
        <v>30</v>
      </c>
      <c r="D4613" s="20">
        <v>4</v>
      </c>
      <c r="E4613" s="20">
        <v>64</v>
      </c>
      <c r="F4613" s="20" t="s">
        <v>25523</v>
      </c>
      <c r="G4613" s="20" t="s">
        <v>25524</v>
      </c>
      <c r="H4613" s="24"/>
      <c r="I4613" s="24" t="str">
        <f ca="1">IFERROR(__xludf.DUMMYFUNCTION("GOOGLETRANSLATE(F4613,""en"",""pt"")"),"plantas poliéster de seda")</f>
        <v>plantas poliéster de seda</v>
      </c>
      <c r="J4613">
        <f>VLOOKUP(A4613,Pr_Base_LNEC!$A$4:$J$6971,6,FALSE)</f>
        <v>0</v>
      </c>
      <c r="K4613">
        <f>VLOOKUP(A4613,Pr_Base_LNEC!$A$4:$J$6971,7,FALSE)</f>
        <v>0</v>
      </c>
    </row>
    <row r="4614" spans="1:11" ht="14.5">
      <c r="A4614" s="20" t="s">
        <v>25525</v>
      </c>
      <c r="B4614" s="20">
        <v>45</v>
      </c>
      <c r="C4614" s="20">
        <v>30</v>
      </c>
      <c r="D4614" s="20">
        <v>4</v>
      </c>
      <c r="E4614" s="20">
        <v>66</v>
      </c>
      <c r="F4614" s="20" t="s">
        <v>25526</v>
      </c>
      <c r="G4614" s="20" t="s">
        <v>25527</v>
      </c>
      <c r="H4614" s="24"/>
      <c r="I4614" s="24" t="str">
        <f ca="1">IFERROR(__xludf.DUMMYFUNCTION("GOOGLETRANSLATE(F4614,""en"",""pt"")"),"plantas preservadas")</f>
        <v>plantas preservadas</v>
      </c>
      <c r="J4614">
        <f>VLOOKUP(A4614,Pr_Base_LNEC!$A$4:$J$6971,6,FALSE)</f>
        <v>0</v>
      </c>
      <c r="K4614">
        <f>VLOOKUP(A4614,Pr_Base_LNEC!$A$4:$J$6971,7,FALSE)</f>
        <v>0</v>
      </c>
    </row>
    <row r="4615" spans="1:11" ht="14.5">
      <c r="A4615" s="20" t="s">
        <v>25528</v>
      </c>
      <c r="B4615" s="20">
        <v>45</v>
      </c>
      <c r="C4615" s="20">
        <v>30</v>
      </c>
      <c r="D4615" s="20">
        <v>10</v>
      </c>
      <c r="E4615" s="24"/>
      <c r="F4615" s="20" t="s">
        <v>25529</v>
      </c>
      <c r="G4615" s="24"/>
      <c r="H4615" s="24"/>
      <c r="I4615" s="24" t="str">
        <f ca="1">IFERROR(__xludf.DUMMYFUNCTION("GOOGLETRANSLATE(F4615,""en"",""pt"")"),"Bolbos, tubérculos e raízes latentes")</f>
        <v>Bolbos, tubérculos e raízes latentes</v>
      </c>
      <c r="J4615">
        <f>VLOOKUP(A4615,Pr_Base_LNEC!$A$4:$J$6971,6,FALSE)</f>
        <v>0</v>
      </c>
      <c r="K4615">
        <f>VLOOKUP(A4615,Pr_Base_LNEC!$A$4:$J$6971,7,FALSE)</f>
        <v>0</v>
      </c>
    </row>
    <row r="4616" spans="1:11" ht="14.5">
      <c r="A4616" s="20" t="s">
        <v>25530</v>
      </c>
      <c r="B4616" s="20">
        <v>45</v>
      </c>
      <c r="C4616" s="20">
        <v>30</v>
      </c>
      <c r="D4616" s="20">
        <v>10</v>
      </c>
      <c r="E4616" s="20">
        <v>4</v>
      </c>
      <c r="F4616" s="20" t="s">
        <v>25531</v>
      </c>
      <c r="G4616" s="24"/>
      <c r="H4616" s="24"/>
      <c r="I4616" s="24" t="str">
        <f ca="1">IFERROR(__xludf.DUMMYFUNCTION("GOOGLETRANSLATE(F4616,""en"",""pt"")"),"tubérculos anuais")</f>
        <v>tubérculos anuais</v>
      </c>
      <c r="J4616">
        <f>VLOOKUP(A4616,Pr_Base_LNEC!$A$4:$J$6971,6,FALSE)</f>
        <v>0</v>
      </c>
      <c r="K4616">
        <f>VLOOKUP(A4616,Pr_Base_LNEC!$A$4:$J$6971,7,FALSE)</f>
        <v>0</v>
      </c>
    </row>
    <row r="4617" spans="1:11" ht="14.5">
      <c r="A4617" s="20" t="s">
        <v>25532</v>
      </c>
      <c r="B4617" s="20">
        <v>45</v>
      </c>
      <c r="C4617" s="20">
        <v>30</v>
      </c>
      <c r="D4617" s="20">
        <v>10</v>
      </c>
      <c r="E4617" s="20">
        <v>10</v>
      </c>
      <c r="F4617" s="20" t="s">
        <v>25533</v>
      </c>
      <c r="G4617" s="20" t="s">
        <v>25534</v>
      </c>
      <c r="H4617" s="24"/>
      <c r="I4617" s="24" t="str">
        <f ca="1">IFERROR(__xludf.DUMMYFUNCTION("GOOGLETRANSLATE(F4617,""en"",""pt"")"),"lâmpadas")</f>
        <v>lâmpadas</v>
      </c>
      <c r="J4617">
        <f>VLOOKUP(A4617,Pr_Base_LNEC!$A$4:$J$6971,6,FALSE)</f>
        <v>0</v>
      </c>
      <c r="K4617">
        <f>VLOOKUP(A4617,Pr_Base_LNEC!$A$4:$J$6971,7,FALSE)</f>
        <v>0</v>
      </c>
    </row>
    <row r="4618" spans="1:11" ht="14.5">
      <c r="A4618" s="20" t="s">
        <v>25535</v>
      </c>
      <c r="B4618" s="20">
        <v>45</v>
      </c>
      <c r="C4618" s="20">
        <v>30</v>
      </c>
      <c r="D4618" s="20">
        <v>10</v>
      </c>
      <c r="E4618" s="20">
        <v>15</v>
      </c>
      <c r="F4618" s="20" t="s">
        <v>25536</v>
      </c>
      <c r="G4618" s="20" t="s">
        <v>25534</v>
      </c>
      <c r="H4618" s="24"/>
      <c r="I4618" s="24" t="str">
        <f ca="1">IFERROR(__xludf.DUMMYFUNCTION("GOOGLETRANSLATE(F4618,""en"",""pt"")"),"rebentos")</f>
        <v>rebentos</v>
      </c>
      <c r="J4618">
        <f>VLOOKUP(A4618,Pr_Base_LNEC!$A$4:$J$6971,6,FALSE)</f>
        <v>0</v>
      </c>
      <c r="K4618">
        <f>VLOOKUP(A4618,Pr_Base_LNEC!$A$4:$J$6971,7,FALSE)</f>
        <v>0</v>
      </c>
    </row>
    <row r="4619" spans="1:11" ht="14.5">
      <c r="A4619" s="20" t="s">
        <v>25537</v>
      </c>
      <c r="B4619" s="20">
        <v>45</v>
      </c>
      <c r="C4619" s="20">
        <v>30</v>
      </c>
      <c r="D4619" s="20">
        <v>10</v>
      </c>
      <c r="E4619" s="20">
        <v>62</v>
      </c>
      <c r="F4619" s="20" t="s">
        <v>25538</v>
      </c>
      <c r="G4619" s="24"/>
      <c r="H4619" s="24"/>
      <c r="I4619" s="24" t="str">
        <f ca="1">IFERROR(__xludf.DUMMYFUNCTION("GOOGLETRANSLATE(F4619,""en"",""pt"")"),"raízes perenes")</f>
        <v>raízes perenes</v>
      </c>
      <c r="J4619">
        <f>VLOOKUP(A4619,Pr_Base_LNEC!$A$4:$J$6971,6,FALSE)</f>
        <v>0</v>
      </c>
      <c r="K4619">
        <f>VLOOKUP(A4619,Pr_Base_LNEC!$A$4:$J$6971,7,FALSE)</f>
        <v>0</v>
      </c>
    </row>
    <row r="4620" spans="1:11" ht="14.5">
      <c r="A4620" s="20" t="s">
        <v>25539</v>
      </c>
      <c r="B4620" s="20">
        <v>45</v>
      </c>
      <c r="C4620" s="20">
        <v>30</v>
      </c>
      <c r="D4620" s="20">
        <v>10</v>
      </c>
      <c r="E4620" s="20">
        <v>63</v>
      </c>
      <c r="F4620" s="20" t="s">
        <v>25540</v>
      </c>
      <c r="G4620" s="20" t="s">
        <v>25534</v>
      </c>
      <c r="H4620" s="24"/>
      <c r="I4620" s="24" t="str">
        <f ca="1">IFERROR(__xludf.DUMMYFUNCTION("GOOGLETRANSLATE(F4620,""en"",""pt"")"),"tubérculos perenes")</f>
        <v>tubérculos perenes</v>
      </c>
      <c r="J4620">
        <f>VLOOKUP(A4620,Pr_Base_LNEC!$A$4:$J$6971,6,FALSE)</f>
        <v>0</v>
      </c>
      <c r="K4620">
        <f>VLOOKUP(A4620,Pr_Base_LNEC!$A$4:$J$6971,7,FALSE)</f>
        <v>0</v>
      </c>
    </row>
    <row r="4621" spans="1:11" ht="14.5">
      <c r="A4621" s="20" t="s">
        <v>25541</v>
      </c>
      <c r="B4621" s="20">
        <v>45</v>
      </c>
      <c r="C4621" s="20">
        <v>30</v>
      </c>
      <c r="D4621" s="20">
        <v>36</v>
      </c>
      <c r="E4621" s="24"/>
      <c r="F4621" s="20" t="s">
        <v>25542</v>
      </c>
      <c r="G4621" s="24"/>
      <c r="H4621" s="24"/>
      <c r="I4621" s="24" t="str">
        <f ca="1">IFERROR(__xludf.DUMMYFUNCTION("GOOGLETRANSLATE(F4621,""en"",""pt"")"),"Herbáceas e plantas aquáticas")</f>
        <v>Herbáceas e plantas aquáticas</v>
      </c>
      <c r="J4621">
        <f>VLOOKUP(A4621,Pr_Base_LNEC!$A$4:$J$6971,6,FALSE)</f>
        <v>0</v>
      </c>
      <c r="K4621">
        <f>VLOOKUP(A4621,Pr_Base_LNEC!$A$4:$J$6971,7,FALSE)</f>
        <v>0</v>
      </c>
    </row>
    <row r="4622" spans="1:11" ht="14.5">
      <c r="A4622" s="20" t="s">
        <v>25543</v>
      </c>
      <c r="B4622" s="20">
        <v>45</v>
      </c>
      <c r="C4622" s="20">
        <v>30</v>
      </c>
      <c r="D4622" s="20">
        <v>36</v>
      </c>
      <c r="E4622" s="20">
        <v>2</v>
      </c>
      <c r="F4622" s="20" t="s">
        <v>25544</v>
      </c>
      <c r="G4622" s="20" t="s">
        <v>25545</v>
      </c>
      <c r="H4622" s="24"/>
      <c r="I4622" s="24" t="str">
        <f ca="1">IFERROR(__xludf.DUMMYFUNCTION("GOOGLETRANSLATE(F4622,""en"",""pt"")"),"plugs anuais")</f>
        <v>plugs anuais</v>
      </c>
      <c r="J4622">
        <f>VLOOKUP(A4622,Pr_Base_LNEC!$A$4:$J$6971,6,FALSE)</f>
        <v>0</v>
      </c>
      <c r="K4622">
        <f>VLOOKUP(A4622,Pr_Base_LNEC!$A$4:$J$6971,7,FALSE)</f>
        <v>0</v>
      </c>
    </row>
    <row r="4623" spans="1:11" ht="14.5">
      <c r="A4623" s="20" t="s">
        <v>25546</v>
      </c>
      <c r="B4623" s="20">
        <v>45</v>
      </c>
      <c r="C4623" s="20">
        <v>30</v>
      </c>
      <c r="D4623" s="20">
        <v>36</v>
      </c>
      <c r="E4623" s="20">
        <v>3</v>
      </c>
      <c r="F4623" s="20" t="s">
        <v>25547</v>
      </c>
      <c r="G4623" s="20" t="s">
        <v>25548</v>
      </c>
      <c r="H4623" s="24"/>
      <c r="I4623" s="24" t="str">
        <f ca="1">IFERROR(__xludf.DUMMYFUNCTION("GOOGLETRANSLATE(F4623,""en"",""pt"")"),"Planta aquática raízes nuas e aglomerados")</f>
        <v>Planta aquática raízes nuas e aglomerados</v>
      </c>
      <c r="J4623">
        <f>VLOOKUP(A4623,Pr_Base_LNEC!$A$4:$J$6971,6,FALSE)</f>
        <v>0</v>
      </c>
      <c r="K4623">
        <f>VLOOKUP(A4623,Pr_Base_LNEC!$A$4:$J$6971,7,FALSE)</f>
        <v>0</v>
      </c>
    </row>
    <row r="4624" spans="1:11" ht="14.5">
      <c r="A4624" s="20" t="s">
        <v>25549</v>
      </c>
      <c r="B4624" s="20">
        <v>45</v>
      </c>
      <c r="C4624" s="20">
        <v>30</v>
      </c>
      <c r="D4624" s="20">
        <v>36</v>
      </c>
      <c r="E4624" s="20">
        <v>4</v>
      </c>
      <c r="F4624" s="20" t="s">
        <v>25550</v>
      </c>
      <c r="G4624" s="20" t="s">
        <v>25551</v>
      </c>
      <c r="H4624" s="24"/>
      <c r="I4624" s="24" t="str">
        <f ca="1">IFERROR(__xludf.DUMMYFUNCTION("GOOGLETRANSLATE(F4624,""en"",""pt"")"),"cachos de plantas aquáticas")</f>
        <v>cachos de plantas aquáticas</v>
      </c>
      <c r="J4624">
        <f>VLOOKUP(A4624,Pr_Base_LNEC!$A$4:$J$6971,6,FALSE)</f>
        <v>0</v>
      </c>
      <c r="K4624">
        <f>VLOOKUP(A4624,Pr_Base_LNEC!$A$4:$J$6971,7,FALSE)</f>
        <v>0</v>
      </c>
    </row>
    <row r="4625" spans="1:11" ht="14.5">
      <c r="A4625" s="20" t="s">
        <v>25552</v>
      </c>
      <c r="B4625" s="20">
        <v>45</v>
      </c>
      <c r="C4625" s="20">
        <v>30</v>
      </c>
      <c r="D4625" s="20">
        <v>36</v>
      </c>
      <c r="E4625" s="20">
        <v>5</v>
      </c>
      <c r="F4625" s="20" t="s">
        <v>25553</v>
      </c>
      <c r="G4625" s="20" t="s">
        <v>25554</v>
      </c>
      <c r="H4625" s="24"/>
      <c r="I4625" s="24" t="str">
        <f ca="1">IFERROR(__xludf.DUMMYFUNCTION("GOOGLETRANSLATE(F4625,""en"",""pt"")"),"vasos de plantas aquáticas e cestas")</f>
        <v>vasos de plantas aquáticas e cestas</v>
      </c>
      <c r="J4625">
        <f>VLOOKUP(A4625,Pr_Base_LNEC!$A$4:$J$6971,6,FALSE)</f>
        <v>0</v>
      </c>
      <c r="K4625">
        <f>VLOOKUP(A4625,Pr_Base_LNEC!$A$4:$J$6971,7,FALSE)</f>
        <v>0</v>
      </c>
    </row>
    <row r="4626" spans="1:11" ht="14.5">
      <c r="A4626" s="20" t="s">
        <v>25555</v>
      </c>
      <c r="B4626" s="20">
        <v>45</v>
      </c>
      <c r="C4626" s="20">
        <v>30</v>
      </c>
      <c r="D4626" s="20">
        <v>36</v>
      </c>
      <c r="E4626" s="20">
        <v>6</v>
      </c>
      <c r="F4626" s="20" t="s">
        <v>25556</v>
      </c>
      <c r="G4626" s="20" t="s">
        <v>25557</v>
      </c>
      <c r="H4626" s="24"/>
      <c r="I4626" s="24" t="str">
        <f ca="1">IFERROR(__xludf.DUMMYFUNCTION("GOOGLETRANSLATE(F4626,""en"",""pt"")"),"tampões de plantas aquáticas")</f>
        <v>tampões de plantas aquáticas</v>
      </c>
      <c r="J4626">
        <f>VLOOKUP(A4626,Pr_Base_LNEC!$A$4:$J$6971,6,FALSE)</f>
        <v>0</v>
      </c>
      <c r="K4626">
        <f>VLOOKUP(A4626,Pr_Base_LNEC!$A$4:$J$6971,7,FALSE)</f>
        <v>0</v>
      </c>
    </row>
    <row r="4627" spans="1:11" ht="14.5">
      <c r="A4627" s="20" t="s">
        <v>25558</v>
      </c>
      <c r="B4627" s="20">
        <v>45</v>
      </c>
      <c r="C4627" s="20">
        <v>30</v>
      </c>
      <c r="D4627" s="20">
        <v>36</v>
      </c>
      <c r="E4627" s="20">
        <v>11</v>
      </c>
      <c r="F4627" s="20" t="s">
        <v>25559</v>
      </c>
      <c r="G4627" s="24"/>
      <c r="H4627" s="24"/>
      <c r="I4627" s="24" t="str">
        <f ca="1">IFERROR(__xludf.DUMMYFUNCTION("GOOGLETRANSLATE(F4627,""en"",""pt"")"),"anuários crescido de células")</f>
        <v>anuários crescido de células</v>
      </c>
      <c r="J4627">
        <f>VLOOKUP(A4627,Pr_Base_LNEC!$A$4:$J$6971,6,FALSE)</f>
        <v>0</v>
      </c>
      <c r="K4627">
        <f>VLOOKUP(A4627,Pr_Base_LNEC!$A$4:$J$6971,7,FALSE)</f>
        <v>0</v>
      </c>
    </row>
    <row r="4628" spans="1:11" ht="14.5">
      <c r="A4628" s="20" t="s">
        <v>25560</v>
      </c>
      <c r="B4628" s="20">
        <v>45</v>
      </c>
      <c r="C4628" s="20">
        <v>30</v>
      </c>
      <c r="D4628" s="20">
        <v>36</v>
      </c>
      <c r="E4628" s="20">
        <v>13</v>
      </c>
      <c r="F4628" s="20" t="s">
        <v>25561</v>
      </c>
      <c r="G4628" s="24"/>
      <c r="H4628" s="24"/>
      <c r="I4628" s="24" t="str">
        <f ca="1">IFERROR(__xludf.DUMMYFUNCTION("GOOGLETRANSLATE(F4628,""en"",""pt"")"),"perenes crescido de células")</f>
        <v>perenes crescido de células</v>
      </c>
      <c r="J4628">
        <f>VLOOKUP(A4628,Pr_Base_LNEC!$A$4:$J$6971,6,FALSE)</f>
        <v>0</v>
      </c>
      <c r="K4628">
        <f>VLOOKUP(A4628,Pr_Base_LNEC!$A$4:$J$6971,7,FALSE)</f>
        <v>0</v>
      </c>
    </row>
    <row r="4629" spans="1:11" ht="14.5">
      <c r="A4629" s="20" t="s">
        <v>25562</v>
      </c>
      <c r="B4629" s="20">
        <v>45</v>
      </c>
      <c r="C4629" s="20">
        <v>30</v>
      </c>
      <c r="D4629" s="20">
        <v>36</v>
      </c>
      <c r="E4629" s="20">
        <v>14</v>
      </c>
      <c r="F4629" s="20" t="s">
        <v>25563</v>
      </c>
      <c r="G4629" s="24"/>
      <c r="H4629" s="24"/>
      <c r="I4629" s="24" t="str">
        <f ca="1">IFERROR(__xludf.DUMMYFUNCTION("GOOGLETRANSLATE(F4629,""en"",""pt"")"),"plantas aquáticas recipiente-crescidas")</f>
        <v>plantas aquáticas recipiente-crescidas</v>
      </c>
      <c r="J4629" t="e">
        <f>VLOOKUP(A4629,Pr_Base_LNEC!$A$4:$J$6971,6,FALSE)</f>
        <v>#N/A</v>
      </c>
      <c r="K4629" t="e">
        <f>VLOOKUP(A4629,Pr_Base_LNEC!$A$4:$J$6971,7,FALSE)</f>
        <v>#N/A</v>
      </c>
    </row>
    <row r="4630" spans="1:11" ht="14.5">
      <c r="A4630" s="20" t="s">
        <v>25564</v>
      </c>
      <c r="B4630" s="20">
        <v>45</v>
      </c>
      <c r="C4630" s="20">
        <v>30</v>
      </c>
      <c r="D4630" s="20">
        <v>36</v>
      </c>
      <c r="E4630" s="20">
        <v>15</v>
      </c>
      <c r="F4630" s="20" t="s">
        <v>25565</v>
      </c>
      <c r="G4630" s="20" t="s">
        <v>25566</v>
      </c>
      <c r="H4630" s="24"/>
      <c r="I4630" s="24" t="str">
        <f ca="1">IFERROR(__xludf.DUMMYFUNCTION("GOOGLETRANSLATE(F4630,""en"",""pt"")"),"anuários recipiente-crescidas")</f>
        <v>anuários recipiente-crescidas</v>
      </c>
      <c r="J4630">
        <f>VLOOKUP(A4630,Pr_Base_LNEC!$A$4:$J$6971,6,FALSE)</f>
        <v>0</v>
      </c>
      <c r="K4630">
        <f>VLOOKUP(A4630,Pr_Base_LNEC!$A$4:$J$6971,7,FALSE)</f>
        <v>0</v>
      </c>
    </row>
    <row r="4631" spans="1:11" ht="14.5">
      <c r="A4631" s="20" t="s">
        <v>25567</v>
      </c>
      <c r="B4631" s="20">
        <v>45</v>
      </c>
      <c r="C4631" s="20">
        <v>30</v>
      </c>
      <c r="D4631" s="20">
        <v>36</v>
      </c>
      <c r="E4631" s="20">
        <v>16</v>
      </c>
      <c r="F4631" s="20" t="s">
        <v>25568</v>
      </c>
      <c r="G4631" s="20" t="s">
        <v>25569</v>
      </c>
      <c r="H4631" s="24"/>
      <c r="I4631" s="24" t="str">
        <f ca="1">IFERROR(__xludf.DUMMYFUNCTION("GOOGLETRANSLATE(F4631,""en"",""pt"")"),"perenes recipiente-crescidas")</f>
        <v>perenes recipiente-crescidas</v>
      </c>
      <c r="J4631">
        <f>VLOOKUP(A4631,Pr_Base_LNEC!$A$4:$J$6971,6,FALSE)</f>
        <v>0</v>
      </c>
      <c r="K4631">
        <f>VLOOKUP(A4631,Pr_Base_LNEC!$A$4:$J$6971,7,FALSE)</f>
        <v>0</v>
      </c>
    </row>
    <row r="4632" spans="1:11" ht="14.5">
      <c r="A4632" s="20" t="s">
        <v>25570</v>
      </c>
      <c r="B4632" s="20">
        <v>45</v>
      </c>
      <c r="C4632" s="20">
        <v>30</v>
      </c>
      <c r="D4632" s="20">
        <v>36</v>
      </c>
      <c r="E4632" s="20">
        <v>64</v>
      </c>
      <c r="F4632" s="20" t="s">
        <v>25571</v>
      </c>
      <c r="G4632" s="20" t="s">
        <v>25572</v>
      </c>
      <c r="H4632" s="24"/>
      <c r="I4632" s="24" t="str">
        <f ca="1">IFERROR(__xludf.DUMMYFUNCTION("GOOGLETRANSLATE(F4632,""en"",""pt"")"),"aglomerados perenes")</f>
        <v>aglomerados perenes</v>
      </c>
      <c r="J4632">
        <f>VLOOKUP(A4632,Pr_Base_LNEC!$A$4:$J$6971,6,FALSE)</f>
        <v>0</v>
      </c>
      <c r="K4632">
        <f>VLOOKUP(A4632,Pr_Base_LNEC!$A$4:$J$6971,7,FALSE)</f>
        <v>0</v>
      </c>
    </row>
    <row r="4633" spans="1:11" ht="14.5">
      <c r="A4633" s="20" t="s">
        <v>25573</v>
      </c>
      <c r="B4633" s="20">
        <v>45</v>
      </c>
      <c r="C4633" s="20">
        <v>30</v>
      </c>
      <c r="D4633" s="20">
        <v>36</v>
      </c>
      <c r="E4633" s="20">
        <v>65</v>
      </c>
      <c r="F4633" s="20" t="s">
        <v>25574</v>
      </c>
      <c r="G4633" s="20" t="s">
        <v>25575</v>
      </c>
      <c r="H4633" s="24"/>
      <c r="I4633" s="24" t="str">
        <f ca="1">IFERROR(__xludf.DUMMYFUNCTION("GOOGLETRANSLATE(F4633,""en"",""pt"")"),"plugs perenes")</f>
        <v>plugs perenes</v>
      </c>
      <c r="J4633">
        <f>VLOOKUP(A4633,Pr_Base_LNEC!$A$4:$J$6971,6,FALSE)</f>
        <v>0</v>
      </c>
      <c r="K4633">
        <f>VLOOKUP(A4633,Pr_Base_LNEC!$A$4:$J$6971,7,FALSE)</f>
        <v>0</v>
      </c>
    </row>
    <row r="4634" spans="1:11" ht="14.5">
      <c r="A4634" s="20" t="s">
        <v>25576</v>
      </c>
      <c r="B4634" s="20">
        <v>45</v>
      </c>
      <c r="C4634" s="20">
        <v>30</v>
      </c>
      <c r="D4634" s="20">
        <v>76</v>
      </c>
      <c r="E4634" s="24"/>
      <c r="F4634" s="20" t="s">
        <v>25577</v>
      </c>
      <c r="G4634" s="24"/>
      <c r="H4634" s="24"/>
      <c r="I4634" s="24" t="str">
        <f ca="1">IFERROR(__xludf.DUMMYFUNCTION("GOOGLETRANSLATE(F4634,""en"",""pt"")"),"sementes")</f>
        <v>sementes</v>
      </c>
      <c r="J4634">
        <f>VLOOKUP(A4634,Pr_Base_LNEC!$A$4:$J$6971,6,FALSE)</f>
        <v>0</v>
      </c>
      <c r="K4634">
        <f>VLOOKUP(A4634,Pr_Base_LNEC!$A$4:$J$6971,7,FALSE)</f>
        <v>0</v>
      </c>
    </row>
    <row r="4635" spans="1:11" ht="14.5">
      <c r="A4635" s="20" t="s">
        <v>25578</v>
      </c>
      <c r="B4635" s="20">
        <v>45</v>
      </c>
      <c r="C4635" s="20">
        <v>30</v>
      </c>
      <c r="D4635" s="20">
        <v>76</v>
      </c>
      <c r="E4635" s="20">
        <v>29</v>
      </c>
      <c r="F4635" s="20" t="s">
        <v>25579</v>
      </c>
      <c r="G4635" s="24"/>
      <c r="H4635" s="24"/>
      <c r="I4635" s="24" t="str">
        <f ca="1">IFERROR(__xludf.DUMMYFUNCTION("GOOGLETRANSLATE(F4635,""en"",""pt"")"),"Sementes de flores")</f>
        <v>Sementes de flores</v>
      </c>
      <c r="J4635">
        <f>VLOOKUP(A4635,Pr_Base_LNEC!$A$4:$J$6971,6,FALSE)</f>
        <v>0</v>
      </c>
      <c r="K4635">
        <f>VLOOKUP(A4635,Pr_Base_LNEC!$A$4:$J$6971,7,FALSE)</f>
        <v>0</v>
      </c>
    </row>
    <row r="4636" spans="1:11" ht="14.5">
      <c r="A4636" s="20" t="s">
        <v>25580</v>
      </c>
      <c r="B4636" s="20">
        <v>45</v>
      </c>
      <c r="C4636" s="20">
        <v>30</v>
      </c>
      <c r="D4636" s="20">
        <v>76</v>
      </c>
      <c r="E4636" s="20">
        <v>32</v>
      </c>
      <c r="F4636" s="20" t="s">
        <v>25581</v>
      </c>
      <c r="G4636" s="24"/>
      <c r="H4636" s="24"/>
      <c r="I4636" s="24" t="str">
        <f ca="1">IFERROR(__xludf.DUMMYFUNCTION("GOOGLETRANSLATE(F4636,""en"",""pt"")"),"sementes da fruta")</f>
        <v>sementes da fruta</v>
      </c>
      <c r="J4636">
        <f>VLOOKUP(A4636,Pr_Base_LNEC!$A$4:$J$6971,6,FALSE)</f>
        <v>0</v>
      </c>
      <c r="K4636">
        <f>VLOOKUP(A4636,Pr_Base_LNEC!$A$4:$J$6971,7,FALSE)</f>
        <v>0</v>
      </c>
    </row>
    <row r="4637" spans="1:11" ht="14.5">
      <c r="A4637" s="20" t="s">
        <v>25582</v>
      </c>
      <c r="B4637" s="20">
        <v>45</v>
      </c>
      <c r="C4637" s="20">
        <v>30</v>
      </c>
      <c r="D4637" s="20">
        <v>76</v>
      </c>
      <c r="E4637" s="20">
        <v>34</v>
      </c>
      <c r="F4637" s="20" t="s">
        <v>25583</v>
      </c>
      <c r="G4637" s="20" t="s">
        <v>25584</v>
      </c>
      <c r="H4637" s="24"/>
      <c r="I4637" s="24" t="str">
        <f ca="1">IFERROR(__xludf.DUMMYFUNCTION("GOOGLETRANSLATE(F4637,""en"",""pt"")"),"Sementes de grama")</f>
        <v>Sementes de grama</v>
      </c>
      <c r="J4637">
        <f>VLOOKUP(A4637,Pr_Base_LNEC!$A$4:$J$6971,6,FALSE)</f>
        <v>0</v>
      </c>
      <c r="K4637">
        <f>VLOOKUP(A4637,Pr_Base_LNEC!$A$4:$J$6971,7,FALSE)</f>
        <v>0</v>
      </c>
    </row>
    <row r="4638" spans="1:11" ht="14.5">
      <c r="A4638" s="20" t="s">
        <v>25585</v>
      </c>
      <c r="B4638" s="20">
        <v>45</v>
      </c>
      <c r="C4638" s="20">
        <v>30</v>
      </c>
      <c r="D4638" s="20">
        <v>76</v>
      </c>
      <c r="E4638" s="20">
        <v>39</v>
      </c>
      <c r="F4638" s="20" t="s">
        <v>25586</v>
      </c>
      <c r="G4638" s="24"/>
      <c r="H4638" s="24"/>
      <c r="I4638" s="24" t="str">
        <f ca="1">IFERROR(__xludf.DUMMYFUNCTION("GOOGLETRANSLATE(F4638,""en"",""pt"")"),"misturas hidrossemeadura")</f>
        <v>misturas hidrossemeadura</v>
      </c>
      <c r="J4638">
        <f>VLOOKUP(A4638,Pr_Base_LNEC!$A$4:$J$6971,6,FALSE)</f>
        <v>0</v>
      </c>
      <c r="K4638">
        <f>VLOOKUP(A4638,Pr_Base_LNEC!$A$4:$J$6971,7,FALSE)</f>
        <v>0</v>
      </c>
    </row>
    <row r="4639" spans="1:11" ht="14.5">
      <c r="A4639" s="20" t="s">
        <v>25587</v>
      </c>
      <c r="B4639" s="20">
        <v>45</v>
      </c>
      <c r="C4639" s="20">
        <v>30</v>
      </c>
      <c r="D4639" s="20">
        <v>76</v>
      </c>
      <c r="E4639" s="20">
        <v>48</v>
      </c>
      <c r="F4639" s="20" t="s">
        <v>25588</v>
      </c>
      <c r="G4639" s="20" t="s">
        <v>25589</v>
      </c>
      <c r="H4639" s="24"/>
      <c r="I4639" s="24" t="str">
        <f ca="1">IFERROR(__xludf.DUMMYFUNCTION("GOOGLETRANSLATE(F4639,""en"",""pt"")"),"sementes localmente recolhidos")</f>
        <v>sementes localmente recolhidos</v>
      </c>
      <c r="J4639">
        <f>VLOOKUP(A4639,Pr_Base_LNEC!$A$4:$J$6971,6,FALSE)</f>
        <v>0</v>
      </c>
      <c r="K4639">
        <f>VLOOKUP(A4639,Pr_Base_LNEC!$A$4:$J$6971,7,FALSE)</f>
        <v>0</v>
      </c>
    </row>
    <row r="4640" spans="1:11" ht="14.5">
      <c r="A4640" s="20" t="s">
        <v>25590</v>
      </c>
      <c r="B4640" s="20">
        <v>45</v>
      </c>
      <c r="C4640" s="20">
        <v>30</v>
      </c>
      <c r="D4640" s="20">
        <v>76</v>
      </c>
      <c r="E4640" s="20">
        <v>77</v>
      </c>
      <c r="F4640" s="20" t="s">
        <v>25591</v>
      </c>
      <c r="G4640" s="20" t="s">
        <v>25592</v>
      </c>
      <c r="H4640" s="24"/>
      <c r="I4640" s="24" t="str">
        <f ca="1">IFERROR(__xludf.DUMMYFUNCTION("GOOGLETRANSLATE(F4640,""en"",""pt"")"),"colheita das sementes temporária crescido-Site")</f>
        <v>colheita das sementes temporária crescido-Site</v>
      </c>
      <c r="J4640">
        <f>VLOOKUP(A4640,Pr_Base_LNEC!$A$4:$J$6971,6,FALSE)</f>
        <v>0</v>
      </c>
      <c r="K4640">
        <f>VLOOKUP(A4640,Pr_Base_LNEC!$A$4:$J$6971,7,FALSE)</f>
        <v>0</v>
      </c>
    </row>
    <row r="4641" spans="1:11" ht="14.5">
      <c r="A4641" s="20" t="s">
        <v>25593</v>
      </c>
      <c r="B4641" s="20">
        <v>45</v>
      </c>
      <c r="C4641" s="20">
        <v>30</v>
      </c>
      <c r="D4641" s="20">
        <v>76</v>
      </c>
      <c r="E4641" s="20">
        <v>90</v>
      </c>
      <c r="F4641" s="20" t="s">
        <v>25594</v>
      </c>
      <c r="G4641" s="20" t="s">
        <v>25595</v>
      </c>
      <c r="H4641" s="24"/>
      <c r="I4641" s="24" t="str">
        <f ca="1">IFERROR(__xludf.DUMMYFUNCTION("GOOGLETRANSLATE(F4641,""en"",""pt"")"),"Arbóreas e arbustivas sementes")</f>
        <v>Arbóreas e arbustivas sementes</v>
      </c>
      <c r="J4641">
        <f>VLOOKUP(A4641,Pr_Base_LNEC!$A$4:$J$6971,6,FALSE)</f>
        <v>0</v>
      </c>
      <c r="K4641">
        <f>VLOOKUP(A4641,Pr_Base_LNEC!$A$4:$J$6971,7,FALSE)</f>
        <v>0</v>
      </c>
    </row>
    <row r="4642" spans="1:11" ht="14.5">
      <c r="A4642" s="20" t="s">
        <v>25596</v>
      </c>
      <c r="B4642" s="20">
        <v>45</v>
      </c>
      <c r="C4642" s="20">
        <v>30</v>
      </c>
      <c r="D4642" s="20">
        <v>76</v>
      </c>
      <c r="E4642" s="20">
        <v>94</v>
      </c>
      <c r="F4642" s="20" t="s">
        <v>25597</v>
      </c>
      <c r="G4642" s="24"/>
      <c r="H4642" s="24"/>
      <c r="I4642" s="24" t="str">
        <f ca="1">IFERROR(__xludf.DUMMYFUNCTION("GOOGLETRANSLATE(F4642,""en"",""pt"")"),"sementes de hortaliças")</f>
        <v>sementes de hortaliças</v>
      </c>
      <c r="J4642">
        <f>VLOOKUP(A4642,Pr_Base_LNEC!$A$4:$J$6971,6,FALSE)</f>
        <v>0</v>
      </c>
      <c r="K4642">
        <f>VLOOKUP(A4642,Pr_Base_LNEC!$A$4:$J$6971,7,FALSE)</f>
        <v>0</v>
      </c>
    </row>
    <row r="4643" spans="1:11" ht="14.5">
      <c r="A4643" s="20" t="s">
        <v>25598</v>
      </c>
      <c r="B4643" s="20">
        <v>45</v>
      </c>
      <c r="C4643" s="20">
        <v>30</v>
      </c>
      <c r="D4643" s="20">
        <v>76</v>
      </c>
      <c r="E4643" s="20">
        <v>97</v>
      </c>
      <c r="F4643" s="20" t="s">
        <v>25599</v>
      </c>
      <c r="G4643" s="20" t="s">
        <v>25600</v>
      </c>
      <c r="H4643" s="24"/>
      <c r="I4643" s="24" t="str">
        <f ca="1">IFERROR(__xludf.DUMMYFUNCTION("GOOGLETRANSLATE(F4643,""en"",""pt"")"),"sementes de flores silvestres")</f>
        <v>sementes de flores silvestres</v>
      </c>
      <c r="J4643">
        <f>VLOOKUP(A4643,Pr_Base_LNEC!$A$4:$J$6971,6,FALSE)</f>
        <v>0</v>
      </c>
      <c r="K4643">
        <f>VLOOKUP(A4643,Pr_Base_LNEC!$A$4:$J$6971,7,FALSE)</f>
        <v>0</v>
      </c>
    </row>
    <row r="4644" spans="1:11" ht="14.5">
      <c r="A4644" s="20" t="s">
        <v>25601</v>
      </c>
      <c r="B4644" s="20">
        <v>45</v>
      </c>
      <c r="C4644" s="20">
        <v>30</v>
      </c>
      <c r="D4644" s="20">
        <v>80</v>
      </c>
      <c r="E4644" s="24"/>
      <c r="F4644" s="20" t="s">
        <v>25602</v>
      </c>
      <c r="G4644" s="24"/>
      <c r="H4644" s="24"/>
      <c r="I4644" s="24" t="str">
        <f ca="1">IFERROR(__xludf.DUMMYFUNCTION("GOOGLETRANSLATE(F4644,""en"",""pt"")"),"Arbustos e trepadeiras lenhosas")</f>
        <v>Arbustos e trepadeiras lenhosas</v>
      </c>
      <c r="J4644" t="e">
        <f>VLOOKUP(A4644,Pr_Base_LNEC!$A$4:$J$6971,6,FALSE)</f>
        <v>#N/A</v>
      </c>
      <c r="K4644" t="e">
        <f>VLOOKUP(A4644,Pr_Base_LNEC!$A$4:$J$6971,7,FALSE)</f>
        <v>#N/A</v>
      </c>
    </row>
    <row r="4645" spans="1:11" ht="14.5">
      <c r="A4645" s="20" t="s">
        <v>25603</v>
      </c>
      <c r="B4645" s="20">
        <v>45</v>
      </c>
      <c r="C4645" s="20">
        <v>30</v>
      </c>
      <c r="D4645" s="20">
        <v>80</v>
      </c>
      <c r="E4645" s="20">
        <v>4</v>
      </c>
      <c r="F4645" s="20" t="s">
        <v>25604</v>
      </c>
      <c r="G4645" s="20" t="s">
        <v>25605</v>
      </c>
      <c r="H4645" s="24"/>
      <c r="I4645" s="24" t="str">
        <f ca="1">IFERROR(__xludf.DUMMYFUNCTION("GOOGLETRANSLATE(F4645,""en"",""pt"")"),"alpinistas de raiz nua")</f>
        <v>alpinistas de raiz nua</v>
      </c>
      <c r="J4645" t="e">
        <f>VLOOKUP(A4645,Pr_Base_LNEC!$A$4:$J$6971,6,FALSE)</f>
        <v>#N/A</v>
      </c>
      <c r="K4645" t="e">
        <f>VLOOKUP(A4645,Pr_Base_LNEC!$A$4:$J$6971,7,FALSE)</f>
        <v>#N/A</v>
      </c>
    </row>
    <row r="4646" spans="1:11" ht="14.5">
      <c r="A4646" s="20" t="s">
        <v>25606</v>
      </c>
      <c r="B4646" s="20">
        <v>45</v>
      </c>
      <c r="C4646" s="20">
        <v>30</v>
      </c>
      <c r="D4646" s="20">
        <v>80</v>
      </c>
      <c r="E4646" s="20">
        <v>6</v>
      </c>
      <c r="F4646" s="20" t="s">
        <v>25607</v>
      </c>
      <c r="G4646" s="20" t="s">
        <v>25608</v>
      </c>
      <c r="H4646" s="24"/>
      <c r="I4646" s="24" t="str">
        <f ca="1">IFERROR(__xludf.DUMMYFUNCTION("GOOGLETRANSLATE(F4646,""en"",""pt"")"),"rosas levantou-corte de raiz nua")</f>
        <v>rosas levantou-corte de raiz nua</v>
      </c>
      <c r="J4646" t="e">
        <f>VLOOKUP(A4646,Pr_Base_LNEC!$A$4:$J$6971,6,FALSE)</f>
        <v>#N/A</v>
      </c>
      <c r="K4646" t="e">
        <f>VLOOKUP(A4646,Pr_Base_LNEC!$A$4:$J$6971,7,FALSE)</f>
        <v>#N/A</v>
      </c>
    </row>
    <row r="4647" spans="1:11" ht="14.5">
      <c r="A4647" s="20" t="s">
        <v>25609</v>
      </c>
      <c r="B4647" s="20">
        <v>45</v>
      </c>
      <c r="C4647" s="20">
        <v>30</v>
      </c>
      <c r="D4647" s="20">
        <v>80</v>
      </c>
      <c r="E4647" s="20">
        <v>8</v>
      </c>
      <c r="F4647" s="20" t="s">
        <v>25610</v>
      </c>
      <c r="G4647" s="20" t="s">
        <v>25611</v>
      </c>
      <c r="H4647" s="24"/>
      <c r="I4647" s="24" t="str">
        <f ca="1">IFERROR(__xludf.DUMMYFUNCTION("GOOGLETRANSLATE(F4647,""en"",""pt"")"),"arbustos de raiz nua")</f>
        <v>arbustos de raiz nua</v>
      </c>
      <c r="J4647" t="e">
        <f>VLOOKUP(A4647,Pr_Base_LNEC!$A$4:$J$6971,6,FALSE)</f>
        <v>#N/A</v>
      </c>
      <c r="K4647" t="e">
        <f>VLOOKUP(A4647,Pr_Base_LNEC!$A$4:$J$6971,7,FALSE)</f>
        <v>#N/A</v>
      </c>
    </row>
    <row r="4648" spans="1:11" ht="14.5">
      <c r="A4648" s="20" t="s">
        <v>25612</v>
      </c>
      <c r="B4648" s="20">
        <v>45</v>
      </c>
      <c r="C4648" s="20">
        <v>30</v>
      </c>
      <c r="D4648" s="20">
        <v>80</v>
      </c>
      <c r="E4648" s="20">
        <v>10</v>
      </c>
      <c r="F4648" s="20" t="s">
        <v>25613</v>
      </c>
      <c r="G4648" s="20" t="s">
        <v>25614</v>
      </c>
      <c r="H4648" s="24"/>
      <c r="I4648" s="24" t="str">
        <f ca="1">IFERROR(__xludf.DUMMYFUNCTION("GOOGLETRANSLATE(F4648,""en"",""pt"")"),"Bare-raiz floresceu rosas")</f>
        <v>Bare-raiz floresceu rosas</v>
      </c>
      <c r="J4648" t="e">
        <f>VLOOKUP(A4648,Pr_Base_LNEC!$A$4:$J$6971,6,FALSE)</f>
        <v>#N/A</v>
      </c>
      <c r="K4648" t="e">
        <f>VLOOKUP(A4648,Pr_Base_LNEC!$A$4:$J$6971,7,FALSE)</f>
        <v>#N/A</v>
      </c>
    </row>
    <row r="4649" spans="1:11" ht="14.5">
      <c r="A4649" s="20" t="s">
        <v>25615</v>
      </c>
      <c r="B4649" s="20">
        <v>45</v>
      </c>
      <c r="C4649" s="20">
        <v>30</v>
      </c>
      <c r="D4649" s="20">
        <v>80</v>
      </c>
      <c r="E4649" s="20">
        <v>11</v>
      </c>
      <c r="F4649" s="20" t="s">
        <v>25616</v>
      </c>
      <c r="G4649" s="24"/>
      <c r="H4649" s="24"/>
      <c r="I4649" s="24" t="str">
        <f ca="1">IFERROR(__xludf.DUMMYFUNCTION("GOOGLETRANSLATE(F4649,""en"",""pt"")"),"alpinistas crescido de células")</f>
        <v>alpinistas crescido de células</v>
      </c>
      <c r="J4649" t="e">
        <f>VLOOKUP(A4649,Pr_Base_LNEC!$A$4:$J$6971,6,FALSE)</f>
        <v>#N/A</v>
      </c>
      <c r="K4649" t="e">
        <f>VLOOKUP(A4649,Pr_Base_LNEC!$A$4:$J$6971,7,FALSE)</f>
        <v>#N/A</v>
      </c>
    </row>
    <row r="4650" spans="1:11" ht="14.5">
      <c r="A4650" s="20" t="s">
        <v>25617</v>
      </c>
      <c r="B4650" s="20">
        <v>45</v>
      </c>
      <c r="C4650" s="20">
        <v>30</v>
      </c>
      <c r="D4650" s="20">
        <v>80</v>
      </c>
      <c r="E4650" s="20">
        <v>12</v>
      </c>
      <c r="F4650" s="20" t="s">
        <v>25618</v>
      </c>
      <c r="G4650" s="20" t="s">
        <v>25619</v>
      </c>
      <c r="H4650" s="24"/>
      <c r="I4650" s="24" t="str">
        <f ca="1">IFERROR(__xludf.DUMMYFUNCTION("GOOGLETRANSLATE(F4650,""en"",""pt"")"),"arbustos crescido de células")</f>
        <v>arbustos crescido de células</v>
      </c>
      <c r="J4650" t="e">
        <f>VLOOKUP(A4650,Pr_Base_LNEC!$A$4:$J$6971,6,FALSE)</f>
        <v>#N/A</v>
      </c>
      <c r="K4650" t="e">
        <f>VLOOKUP(A4650,Pr_Base_LNEC!$A$4:$J$6971,7,FALSE)</f>
        <v>#N/A</v>
      </c>
    </row>
    <row r="4651" spans="1:11" ht="14.5">
      <c r="A4651" s="20" t="s">
        <v>25620</v>
      </c>
      <c r="B4651" s="20">
        <v>45</v>
      </c>
      <c r="C4651" s="20">
        <v>30</v>
      </c>
      <c r="D4651" s="20">
        <v>80</v>
      </c>
      <c r="E4651" s="20">
        <v>14</v>
      </c>
      <c r="F4651" s="20" t="s">
        <v>25621</v>
      </c>
      <c r="G4651" s="20" t="s">
        <v>25622</v>
      </c>
      <c r="H4651" s="24"/>
      <c r="I4651" s="24" t="str">
        <f ca="1">IFERROR(__xludf.DUMMYFUNCTION("GOOGLETRANSLATE(F4651,""en"",""pt"")"),"bambus recipiente-crescidas")</f>
        <v>bambus recipiente-crescidas</v>
      </c>
      <c r="J4651" t="e">
        <f>VLOOKUP(A4651,Pr_Base_LNEC!$A$4:$J$6971,6,FALSE)</f>
        <v>#N/A</v>
      </c>
      <c r="K4651" t="e">
        <f>VLOOKUP(A4651,Pr_Base_LNEC!$A$4:$J$6971,7,FALSE)</f>
        <v>#N/A</v>
      </c>
    </row>
    <row r="4652" spans="1:11" ht="14.5">
      <c r="A4652" s="20" t="s">
        <v>25623</v>
      </c>
      <c r="B4652" s="20">
        <v>45</v>
      </c>
      <c r="C4652" s="20">
        <v>30</v>
      </c>
      <c r="D4652" s="20">
        <v>80</v>
      </c>
      <c r="E4652" s="20">
        <v>15</v>
      </c>
      <c r="F4652" s="20" t="s">
        <v>25624</v>
      </c>
      <c r="G4652" s="20" t="s">
        <v>25625</v>
      </c>
      <c r="H4652" s="24"/>
      <c r="I4652" s="24" t="str">
        <f ca="1">IFERROR(__xludf.DUMMYFUNCTION("GOOGLETRANSLATE(F4652,""en"",""pt"")"),"Container-grown rosas enxertadas")</f>
        <v>Container-grown rosas enxertadas</v>
      </c>
      <c r="J4652" t="e">
        <f>VLOOKUP(A4652,Pr_Base_LNEC!$A$4:$J$6971,6,FALSE)</f>
        <v>#N/A</v>
      </c>
      <c r="K4652" t="e">
        <f>VLOOKUP(A4652,Pr_Base_LNEC!$A$4:$J$6971,7,FALSE)</f>
        <v>#N/A</v>
      </c>
    </row>
    <row r="4653" spans="1:11" ht="14.5">
      <c r="A4653" s="20" t="s">
        <v>25626</v>
      </c>
      <c r="B4653" s="20">
        <v>45</v>
      </c>
      <c r="C4653" s="20">
        <v>30</v>
      </c>
      <c r="D4653" s="20">
        <v>80</v>
      </c>
      <c r="E4653" s="20">
        <v>16</v>
      </c>
      <c r="F4653" s="20" t="s">
        <v>25627</v>
      </c>
      <c r="G4653" s="20" t="s">
        <v>25628</v>
      </c>
      <c r="H4653" s="24"/>
      <c r="I4653" s="24" t="str">
        <f ca="1">IFERROR(__xludf.DUMMYFUNCTION("GOOGLETRANSLATE(F4653,""en"",""pt"")"),"alpinistas recipiente-crescidas")</f>
        <v>alpinistas recipiente-crescidas</v>
      </c>
      <c r="J4653" t="e">
        <f>VLOOKUP(A4653,Pr_Base_LNEC!$A$4:$J$6971,6,FALSE)</f>
        <v>#N/A</v>
      </c>
      <c r="K4653" t="e">
        <f>VLOOKUP(A4653,Pr_Base_LNEC!$A$4:$J$6971,7,FALSE)</f>
        <v>#N/A</v>
      </c>
    </row>
    <row r="4654" spans="1:11" ht="14.5">
      <c r="A4654" s="20" t="s">
        <v>25629</v>
      </c>
      <c r="B4654" s="20">
        <v>45</v>
      </c>
      <c r="C4654" s="20">
        <v>30</v>
      </c>
      <c r="D4654" s="20">
        <v>80</v>
      </c>
      <c r="E4654" s="20">
        <v>18</v>
      </c>
      <c r="F4654" s="20" t="s">
        <v>25630</v>
      </c>
      <c r="G4654" s="20" t="s">
        <v>25631</v>
      </c>
      <c r="H4654" s="24"/>
      <c r="I4654" s="24" t="str">
        <f ca="1">IFERROR(__xludf.DUMMYFUNCTION("GOOGLETRANSLATE(F4654,""en"",""pt"")"),"rosas levantou-corte Container-grown")</f>
        <v>rosas levantou-corte Container-grown</v>
      </c>
      <c r="J4654" t="e">
        <f>VLOOKUP(A4654,Pr_Base_LNEC!$A$4:$J$6971,6,FALSE)</f>
        <v>#N/A</v>
      </c>
      <c r="K4654" t="e">
        <f>VLOOKUP(A4654,Pr_Base_LNEC!$A$4:$J$6971,7,FALSE)</f>
        <v>#N/A</v>
      </c>
    </row>
    <row r="4655" spans="1:11" ht="14.5">
      <c r="A4655" s="20" t="s">
        <v>25632</v>
      </c>
      <c r="B4655" s="20">
        <v>45</v>
      </c>
      <c r="C4655" s="20">
        <v>30</v>
      </c>
      <c r="D4655" s="20">
        <v>80</v>
      </c>
      <c r="E4655" s="20">
        <v>20</v>
      </c>
      <c r="F4655" s="20" t="s">
        <v>25633</v>
      </c>
      <c r="G4655" s="20" t="s">
        <v>25634</v>
      </c>
      <c r="H4655" s="24"/>
      <c r="I4655" s="24" t="str">
        <f ca="1">IFERROR(__xludf.DUMMYFUNCTION("GOOGLETRANSLATE(F4655,""en"",""pt"")"),"arbustos recipiente-crescidas")</f>
        <v>arbustos recipiente-crescidas</v>
      </c>
      <c r="J4655" t="e">
        <f>VLOOKUP(A4655,Pr_Base_LNEC!$A$4:$J$6971,6,FALSE)</f>
        <v>#N/A</v>
      </c>
      <c r="K4655" t="e">
        <f>VLOOKUP(A4655,Pr_Base_LNEC!$A$4:$J$6971,7,FALSE)</f>
        <v>#N/A</v>
      </c>
    </row>
    <row r="4656" spans="1:11" ht="14.5">
      <c r="A4656" s="20" t="s">
        <v>25635</v>
      </c>
      <c r="B4656" s="20">
        <v>45</v>
      </c>
      <c r="C4656" s="20">
        <v>30</v>
      </c>
      <c r="D4656" s="20">
        <v>80</v>
      </c>
      <c r="E4656" s="20">
        <v>71</v>
      </c>
      <c r="F4656" s="20" t="s">
        <v>25636</v>
      </c>
      <c r="G4656" s="20" t="s">
        <v>25637</v>
      </c>
      <c r="H4656" s="24"/>
      <c r="I4656" s="24" t="str">
        <f ca="1">IFERROR(__xludf.DUMMYFUNCTION("GOOGLETRANSLATE(F4656,""en"",""pt"")"),"bambus Rootballed")</f>
        <v>bambus Rootballed</v>
      </c>
      <c r="J4656" t="e">
        <f>VLOOKUP(A4656,Pr_Base_LNEC!$A$4:$J$6971,6,FALSE)</f>
        <v>#N/A</v>
      </c>
      <c r="K4656" t="e">
        <f>VLOOKUP(A4656,Pr_Base_LNEC!$A$4:$J$6971,7,FALSE)</f>
        <v>#N/A</v>
      </c>
    </row>
    <row r="4657" spans="1:11" ht="14.5">
      <c r="A4657" s="20" t="s">
        <v>25638</v>
      </c>
      <c r="B4657" s="20">
        <v>45</v>
      </c>
      <c r="C4657" s="20">
        <v>30</v>
      </c>
      <c r="D4657" s="20">
        <v>80</v>
      </c>
      <c r="E4657" s="20">
        <v>73</v>
      </c>
      <c r="F4657" s="20" t="s">
        <v>25639</v>
      </c>
      <c r="G4657" s="20" t="s">
        <v>25640</v>
      </c>
      <c r="H4657" s="24"/>
      <c r="I4657" s="24" t="str">
        <f ca="1">IFERROR(__xludf.DUMMYFUNCTION("GOOGLETRANSLATE(F4657,""en"",""pt"")"),"arbustos Rootballed")</f>
        <v>arbustos Rootballed</v>
      </c>
      <c r="J4657" t="e">
        <f>VLOOKUP(A4657,Pr_Base_LNEC!$A$4:$J$6971,6,FALSE)</f>
        <v>#N/A</v>
      </c>
      <c r="K4657" t="e">
        <f>VLOOKUP(A4657,Pr_Base_LNEC!$A$4:$J$6971,7,FALSE)</f>
        <v>#N/A</v>
      </c>
    </row>
    <row r="4658" spans="1:11" ht="14.5">
      <c r="A4658" s="20" t="s">
        <v>25641</v>
      </c>
      <c r="B4658" s="20">
        <v>45</v>
      </c>
      <c r="C4658" s="20">
        <v>30</v>
      </c>
      <c r="D4658" s="20">
        <v>90</v>
      </c>
      <c r="E4658" s="24"/>
      <c r="F4658" s="20" t="s">
        <v>25642</v>
      </c>
      <c r="G4658" s="24"/>
      <c r="H4658" s="24"/>
      <c r="I4658" s="24" t="str">
        <f ca="1">IFERROR(__xludf.DUMMYFUNCTION("GOOGLETRANSLATE(F4658,""en"",""pt"")"),"árvores")</f>
        <v>árvores</v>
      </c>
      <c r="J4658">
        <f>VLOOKUP(A4658,Pr_Base_LNEC!$A$4:$J$6971,6,FALSE)</f>
        <v>0</v>
      </c>
      <c r="K4658">
        <f>VLOOKUP(A4658,Pr_Base_LNEC!$A$4:$J$6971,7,FALSE)</f>
        <v>0</v>
      </c>
    </row>
    <row r="4659" spans="1:11" ht="14.5">
      <c r="A4659" s="20" t="s">
        <v>25643</v>
      </c>
      <c r="B4659" s="20">
        <v>45</v>
      </c>
      <c r="C4659" s="20">
        <v>30</v>
      </c>
      <c r="D4659" s="20">
        <v>90</v>
      </c>
      <c r="E4659" s="20">
        <v>5</v>
      </c>
      <c r="F4659" s="20" t="s">
        <v>25644</v>
      </c>
      <c r="G4659" s="20" t="s">
        <v>25645</v>
      </c>
      <c r="H4659" s="24"/>
      <c r="I4659" s="24" t="str">
        <f ca="1">IFERROR(__xludf.DUMMYFUNCTION("GOOGLETRANSLATE(F4659,""en"",""pt"")"),"coníferas de raiz nua")</f>
        <v>coníferas de raiz nua</v>
      </c>
      <c r="J4659">
        <f>VLOOKUP(A4659,Pr_Base_LNEC!$A$4:$J$6971,6,FALSE)</f>
        <v>0</v>
      </c>
      <c r="K4659">
        <f>VLOOKUP(A4659,Pr_Base_LNEC!$A$4:$J$6971,7,FALSE)</f>
        <v>0</v>
      </c>
    </row>
    <row r="4660" spans="1:11" ht="14.5">
      <c r="A4660" s="20" t="s">
        <v>25646</v>
      </c>
      <c r="B4660" s="20">
        <v>45</v>
      </c>
      <c r="C4660" s="20">
        <v>30</v>
      </c>
      <c r="D4660" s="20">
        <v>90</v>
      </c>
      <c r="E4660" s="20">
        <v>7</v>
      </c>
      <c r="F4660" s="20" t="s">
        <v>25647</v>
      </c>
      <c r="G4660" s="20" t="s">
        <v>25648</v>
      </c>
      <c r="H4660" s="24"/>
      <c r="I4660" s="24" t="str">
        <f ca="1">IFERROR(__xludf.DUMMYFUNCTION("GOOGLETRANSLATE(F4660,""en"",""pt"")"),"árvores de fruto de raiz nua")</f>
        <v>árvores de fruto de raiz nua</v>
      </c>
      <c r="J4660">
        <f>VLOOKUP(A4660,Pr_Base_LNEC!$A$4:$J$6971,6,FALSE)</f>
        <v>0</v>
      </c>
      <c r="K4660">
        <f>VLOOKUP(A4660,Pr_Base_LNEC!$A$4:$J$6971,7,FALSE)</f>
        <v>0</v>
      </c>
    </row>
    <row r="4661" spans="1:11" ht="14.5">
      <c r="A4661" s="20" t="s">
        <v>25649</v>
      </c>
      <c r="B4661" s="20">
        <v>45</v>
      </c>
      <c r="C4661" s="20">
        <v>30</v>
      </c>
      <c r="D4661" s="20">
        <v>90</v>
      </c>
      <c r="E4661" s="20">
        <v>9</v>
      </c>
      <c r="F4661" s="20" t="s">
        <v>25650</v>
      </c>
      <c r="G4661" s="20" t="s">
        <v>25651</v>
      </c>
      <c r="H4661" s="24"/>
      <c r="I4661" s="24" t="str">
        <f ca="1">IFERROR(__xludf.DUMMYFUNCTION("GOOGLETRANSLATE(F4661,""en"",""pt"")"),"árvores de raiz nua")</f>
        <v>árvores de raiz nua</v>
      </c>
      <c r="J4661">
        <f>VLOOKUP(A4661,Pr_Base_LNEC!$A$4:$J$6971,6,FALSE)</f>
        <v>0</v>
      </c>
      <c r="K4661">
        <f>VLOOKUP(A4661,Pr_Base_LNEC!$A$4:$J$6971,7,FALSE)</f>
        <v>0</v>
      </c>
    </row>
    <row r="4662" spans="1:11" ht="14.5">
      <c r="A4662" s="20" t="s">
        <v>25652</v>
      </c>
      <c r="B4662" s="20">
        <v>45</v>
      </c>
      <c r="C4662" s="20">
        <v>30</v>
      </c>
      <c r="D4662" s="20">
        <v>90</v>
      </c>
      <c r="E4662" s="20">
        <v>11</v>
      </c>
      <c r="F4662" s="20" t="s">
        <v>25653</v>
      </c>
      <c r="G4662" s="20" t="s">
        <v>25654</v>
      </c>
      <c r="H4662" s="24"/>
      <c r="I4662" s="24" t="str">
        <f ca="1">IFERROR(__xludf.DUMMYFUNCTION("GOOGLETRANSLATE(F4662,""en"",""pt"")"),"coníferas crescido de células")</f>
        <v>coníferas crescido de células</v>
      </c>
      <c r="J4662">
        <f>VLOOKUP(A4662,Pr_Base_LNEC!$A$4:$J$6971,6,FALSE)</f>
        <v>0</v>
      </c>
      <c r="K4662">
        <f>VLOOKUP(A4662,Pr_Base_LNEC!$A$4:$J$6971,7,FALSE)</f>
        <v>0</v>
      </c>
    </row>
    <row r="4663" spans="1:11" ht="14.5">
      <c r="A4663" s="20" t="s">
        <v>25655</v>
      </c>
      <c r="B4663" s="20">
        <v>45</v>
      </c>
      <c r="C4663" s="20">
        <v>30</v>
      </c>
      <c r="D4663" s="20">
        <v>90</v>
      </c>
      <c r="E4663" s="20">
        <v>13</v>
      </c>
      <c r="F4663" s="20" t="s">
        <v>25656</v>
      </c>
      <c r="G4663" s="20" t="s">
        <v>25657</v>
      </c>
      <c r="H4663" s="24"/>
      <c r="I4663" s="24" t="str">
        <f ca="1">IFERROR(__xludf.DUMMYFUNCTION("GOOGLETRANSLATE(F4663,""en"",""pt"")"),"árvores adulto celulares")</f>
        <v>árvores adulto celulares</v>
      </c>
      <c r="J4663">
        <f>VLOOKUP(A4663,Pr_Base_LNEC!$A$4:$J$6971,6,FALSE)</f>
        <v>0</v>
      </c>
      <c r="K4663">
        <f>VLOOKUP(A4663,Pr_Base_LNEC!$A$4:$J$6971,7,FALSE)</f>
        <v>0</v>
      </c>
    </row>
    <row r="4664" spans="1:11" ht="14.5">
      <c r="A4664" s="20" t="s">
        <v>25658</v>
      </c>
      <c r="B4664" s="20">
        <v>45</v>
      </c>
      <c r="C4664" s="20">
        <v>30</v>
      </c>
      <c r="D4664" s="20">
        <v>90</v>
      </c>
      <c r="E4664" s="20">
        <v>17</v>
      </c>
      <c r="F4664" s="20" t="s">
        <v>25659</v>
      </c>
      <c r="G4664" s="20" t="s">
        <v>25660</v>
      </c>
      <c r="H4664" s="24"/>
      <c r="I4664" s="24" t="str">
        <f ca="1">IFERROR(__xludf.DUMMYFUNCTION("GOOGLETRANSLATE(F4664,""en"",""pt"")"),"coníferas recipiente-crescidas")</f>
        <v>coníferas recipiente-crescidas</v>
      </c>
      <c r="J4664">
        <f>VLOOKUP(A4664,Pr_Base_LNEC!$A$4:$J$6971,6,FALSE)</f>
        <v>0</v>
      </c>
      <c r="K4664">
        <f>VLOOKUP(A4664,Pr_Base_LNEC!$A$4:$J$6971,7,FALSE)</f>
        <v>0</v>
      </c>
    </row>
    <row r="4665" spans="1:11" ht="14.5">
      <c r="A4665" s="20" t="s">
        <v>25661</v>
      </c>
      <c r="B4665" s="20">
        <v>45</v>
      </c>
      <c r="C4665" s="20">
        <v>30</v>
      </c>
      <c r="D4665" s="20">
        <v>90</v>
      </c>
      <c r="E4665" s="20">
        <v>19</v>
      </c>
      <c r="F4665" s="20" t="s">
        <v>25662</v>
      </c>
      <c r="G4665" s="20" t="s">
        <v>25663</v>
      </c>
      <c r="H4665" s="24"/>
      <c r="I4665" s="24" t="str">
        <f ca="1">IFERROR(__xludf.DUMMYFUNCTION("GOOGLETRANSLATE(F4665,""en"",""pt"")"),"árvores de fruto recipiente-crescidas")</f>
        <v>árvores de fruto recipiente-crescidas</v>
      </c>
      <c r="J4665">
        <f>VLOOKUP(A4665,Pr_Base_LNEC!$A$4:$J$6971,6,FALSE)</f>
        <v>0</v>
      </c>
      <c r="K4665">
        <f>VLOOKUP(A4665,Pr_Base_LNEC!$A$4:$J$6971,7,FALSE)</f>
        <v>0</v>
      </c>
    </row>
    <row r="4666" spans="1:11" ht="14.5">
      <c r="A4666" s="20" t="s">
        <v>25664</v>
      </c>
      <c r="B4666" s="20">
        <v>45</v>
      </c>
      <c r="C4666" s="20">
        <v>30</v>
      </c>
      <c r="D4666" s="20">
        <v>90</v>
      </c>
      <c r="E4666" s="20">
        <v>21</v>
      </c>
      <c r="F4666" s="20" t="s">
        <v>25665</v>
      </c>
      <c r="G4666" s="20" t="s">
        <v>25666</v>
      </c>
      <c r="H4666" s="24"/>
      <c r="I4666" s="24" t="str">
        <f ca="1">IFERROR(__xludf.DUMMYFUNCTION("GOOGLETRANSLATE(F4666,""en"",""pt"")"),"árvores recipiente-crescidas")</f>
        <v>árvores recipiente-crescidas</v>
      </c>
      <c r="J4666">
        <f>VLOOKUP(A4666,Pr_Base_LNEC!$A$4:$J$6971,6,FALSE)</f>
        <v>0</v>
      </c>
      <c r="K4666">
        <f>VLOOKUP(A4666,Pr_Base_LNEC!$A$4:$J$6971,7,FALSE)</f>
        <v>0</v>
      </c>
    </row>
    <row r="4667" spans="1:11" ht="14.5">
      <c r="A4667" s="20" t="s">
        <v>25667</v>
      </c>
      <c r="B4667" s="20">
        <v>45</v>
      </c>
      <c r="C4667" s="20">
        <v>30</v>
      </c>
      <c r="D4667" s="20">
        <v>90</v>
      </c>
      <c r="E4667" s="20">
        <v>72</v>
      </c>
      <c r="F4667" s="20" t="s">
        <v>25668</v>
      </c>
      <c r="G4667" s="20" t="s">
        <v>25669</v>
      </c>
      <c r="H4667" s="24"/>
      <c r="I4667" s="24" t="str">
        <f ca="1">IFERROR(__xludf.DUMMYFUNCTION("GOOGLETRANSLATE(F4667,""en"",""pt"")"),"coníferas Rootballed")</f>
        <v>coníferas Rootballed</v>
      </c>
      <c r="J4667">
        <f>VLOOKUP(A4667,Pr_Base_LNEC!$A$4:$J$6971,6,FALSE)</f>
        <v>0</v>
      </c>
      <c r="K4667">
        <f>VLOOKUP(A4667,Pr_Base_LNEC!$A$4:$J$6971,7,FALSE)</f>
        <v>0</v>
      </c>
    </row>
    <row r="4668" spans="1:11" ht="14.5">
      <c r="A4668" s="20" t="s">
        <v>25670</v>
      </c>
      <c r="B4668" s="20">
        <v>45</v>
      </c>
      <c r="C4668" s="20">
        <v>30</v>
      </c>
      <c r="D4668" s="20">
        <v>90</v>
      </c>
      <c r="E4668" s="20">
        <v>74</v>
      </c>
      <c r="F4668" s="20" t="s">
        <v>25671</v>
      </c>
      <c r="G4668" s="20" t="s">
        <v>25672</v>
      </c>
      <c r="H4668" s="24"/>
      <c r="I4668" s="24" t="str">
        <f ca="1">IFERROR(__xludf.DUMMYFUNCTION("GOOGLETRANSLATE(F4668,""en"",""pt"")"),"árvores Rootballed")</f>
        <v>árvores Rootballed</v>
      </c>
      <c r="J4668">
        <f>VLOOKUP(A4668,Pr_Base_LNEC!$A$4:$J$6971,6,FALSE)</f>
        <v>0</v>
      </c>
      <c r="K4668">
        <f>VLOOKUP(A4668,Pr_Base_LNEC!$A$4:$J$6971,7,FALSE)</f>
        <v>0</v>
      </c>
    </row>
    <row r="4669" spans="1:11" ht="14.5">
      <c r="A4669" s="20" t="s">
        <v>25673</v>
      </c>
      <c r="B4669" s="20">
        <v>45</v>
      </c>
      <c r="C4669" s="20">
        <v>31</v>
      </c>
      <c r="D4669" s="24"/>
      <c r="E4669" s="24"/>
      <c r="F4669" s="20" t="s">
        <v>25674</v>
      </c>
      <c r="G4669" s="24"/>
      <c r="H4669" s="24"/>
      <c r="I4669" s="24" t="str">
        <f ca="1">IFERROR(__xludf.DUMMYFUNCTION("GOOGLETRANSLATE(F4669,""en"",""pt"")"),"flora informes e produtos fauna")</f>
        <v>flora informes e produtos fauna</v>
      </c>
      <c r="J4669" t="str">
        <f>VLOOKUP(A4669,Pr_Base_LNEC!$A$4:$J$6971,6,FALSE)</f>
        <v>Produtos para Flora e Fauna sem forma</v>
      </c>
      <c r="K4669">
        <f>VLOOKUP(A4669,Pr_Base_LNEC!$A$4:$J$6971,7,FALSE)</f>
        <v>0</v>
      </c>
    </row>
    <row r="4670" spans="1:11" ht="14.5">
      <c r="A4670" s="20" t="s">
        <v>25675</v>
      </c>
      <c r="B4670" s="20">
        <v>45</v>
      </c>
      <c r="C4670" s="20">
        <v>31</v>
      </c>
      <c r="D4670" s="20">
        <v>3</v>
      </c>
      <c r="E4670" s="24"/>
      <c r="F4670" s="20" t="s">
        <v>25676</v>
      </c>
      <c r="G4670" s="24"/>
      <c r="H4670" s="24"/>
      <c r="I4670" s="24" t="str">
        <f ca="1">IFERROR(__xludf.DUMMYFUNCTION("GOOGLETRANSLATE(F4670,""en"",""pt"")"),"biocidas animais")</f>
        <v>biocidas animais</v>
      </c>
      <c r="J4670">
        <f>VLOOKUP(A4670,Pr_Base_LNEC!$A$4:$J$6971,6,FALSE)</f>
        <v>0</v>
      </c>
      <c r="K4670">
        <f>VLOOKUP(A4670,Pr_Base_LNEC!$A$4:$J$6971,7,FALSE)</f>
        <v>0</v>
      </c>
    </row>
    <row r="4671" spans="1:11" ht="14.5">
      <c r="A4671" s="20" t="s">
        <v>25677</v>
      </c>
      <c r="B4671" s="20">
        <v>45</v>
      </c>
      <c r="C4671" s="20">
        <v>31</v>
      </c>
      <c r="D4671" s="20">
        <v>3</v>
      </c>
      <c r="E4671" s="20">
        <v>8</v>
      </c>
      <c r="F4671" s="20" t="s">
        <v>25678</v>
      </c>
      <c r="G4671" s="20" t="s">
        <v>25679</v>
      </c>
      <c r="H4671" s="24"/>
      <c r="I4671" s="24" t="str">
        <f ca="1">IFERROR(__xludf.DUMMYFUNCTION("GOOGLETRANSLATE(F4671,""en"",""pt"")"),"controles biológicos")</f>
        <v>controles biológicos</v>
      </c>
      <c r="J4671">
        <f>VLOOKUP(A4671,Pr_Base_LNEC!$A$4:$J$6971,6,FALSE)</f>
        <v>0</v>
      </c>
      <c r="K4671">
        <f>VLOOKUP(A4671,Pr_Base_LNEC!$A$4:$J$6971,7,FALSE)</f>
        <v>0</v>
      </c>
    </row>
    <row r="4672" spans="1:11" ht="14.5">
      <c r="A4672" s="20" t="s">
        <v>25680</v>
      </c>
      <c r="B4672" s="20">
        <v>45</v>
      </c>
      <c r="C4672" s="20">
        <v>31</v>
      </c>
      <c r="D4672" s="20">
        <v>3</v>
      </c>
      <c r="E4672" s="20">
        <v>42</v>
      </c>
      <c r="F4672" s="20" t="s">
        <v>25681</v>
      </c>
      <c r="G4672" s="20" t="s">
        <v>25682</v>
      </c>
      <c r="H4672" s="24"/>
      <c r="I4672" s="24" t="str">
        <f ca="1">IFERROR(__xludf.DUMMYFUNCTION("GOOGLETRANSLATE(F4672,""en"",""pt"")"),"inseticidas")</f>
        <v>inseticidas</v>
      </c>
      <c r="J4672">
        <f>VLOOKUP(A4672,Pr_Base_LNEC!$A$4:$J$6971,6,FALSE)</f>
        <v>0</v>
      </c>
      <c r="K4672">
        <f>VLOOKUP(A4672,Pr_Base_LNEC!$A$4:$J$6971,7,FALSE)</f>
        <v>0</v>
      </c>
    </row>
    <row r="4673" spans="1:11" ht="14.5">
      <c r="A4673" s="20" t="s">
        <v>25683</v>
      </c>
      <c r="B4673" s="20">
        <v>45</v>
      </c>
      <c r="C4673" s="20">
        <v>31</v>
      </c>
      <c r="D4673" s="20">
        <v>3</v>
      </c>
      <c r="E4673" s="20">
        <v>64</v>
      </c>
      <c r="F4673" s="20" t="s">
        <v>25684</v>
      </c>
      <c r="G4673" s="24"/>
      <c r="H4673" s="24"/>
      <c r="I4673" s="24" t="str">
        <f ca="1">IFERROR(__xludf.DUMMYFUNCTION("GOOGLETRANSLATE(F4673,""en"",""pt"")"),"venenos")</f>
        <v>venenos</v>
      </c>
      <c r="J4673">
        <f>VLOOKUP(A4673,Pr_Base_LNEC!$A$4:$J$6971,6,FALSE)</f>
        <v>0</v>
      </c>
      <c r="K4673">
        <f>VLOOKUP(A4673,Pr_Base_LNEC!$A$4:$J$6971,7,FALSE)</f>
        <v>0</v>
      </c>
    </row>
    <row r="4674" spans="1:11" ht="14.5">
      <c r="A4674" s="20" t="s">
        <v>25685</v>
      </c>
      <c r="B4674" s="20">
        <v>45</v>
      </c>
      <c r="C4674" s="20">
        <v>31</v>
      </c>
      <c r="D4674" s="20">
        <v>3</v>
      </c>
      <c r="E4674" s="20">
        <v>72</v>
      </c>
      <c r="F4674" s="20" t="s">
        <v>25686</v>
      </c>
      <c r="G4674" s="20" t="s">
        <v>25687</v>
      </c>
      <c r="H4674" s="24"/>
      <c r="I4674" s="24" t="str">
        <f ca="1">IFERROR(__xludf.DUMMYFUNCTION("GOOGLETRANSLATE(F4674,""en"",""pt"")"),"rodenticidas")</f>
        <v>rodenticidas</v>
      </c>
      <c r="J4674">
        <f>VLOOKUP(A4674,Pr_Base_LNEC!$A$4:$J$6971,6,FALSE)</f>
        <v>0</v>
      </c>
      <c r="K4674">
        <f>VLOOKUP(A4674,Pr_Base_LNEC!$A$4:$J$6971,7,FALSE)</f>
        <v>0</v>
      </c>
    </row>
    <row r="4675" spans="1:11" ht="14.5">
      <c r="A4675" s="20" t="s">
        <v>25688</v>
      </c>
      <c r="B4675" s="20">
        <v>45</v>
      </c>
      <c r="C4675" s="20">
        <v>31</v>
      </c>
      <c r="D4675" s="20">
        <v>3</v>
      </c>
      <c r="E4675" s="20">
        <v>88</v>
      </c>
      <c r="F4675" s="20" t="s">
        <v>25689</v>
      </c>
      <c r="G4675" s="24"/>
      <c r="H4675" s="24"/>
      <c r="I4675" s="24" t="str">
        <f ca="1">IFERROR(__xludf.DUMMYFUNCTION("GOOGLETRANSLATE(F4675,""en"",""pt"")"),"grânulos de térmitas resistente")</f>
        <v>grânulos de térmitas resistente</v>
      </c>
      <c r="J4675" t="e">
        <f>VLOOKUP(A4675,Pr_Base_LNEC!$A$4:$J$6971,6,FALSE)</f>
        <v>#N/A</v>
      </c>
      <c r="K4675" t="e">
        <f>VLOOKUP(A4675,Pr_Base_LNEC!$A$4:$J$6971,7,FALSE)</f>
        <v>#N/A</v>
      </c>
    </row>
    <row r="4676" spans="1:11" ht="14.5">
      <c r="A4676" s="20" t="s">
        <v>25690</v>
      </c>
      <c r="B4676" s="20">
        <v>45</v>
      </c>
      <c r="C4676" s="20">
        <v>31</v>
      </c>
      <c r="D4676" s="20">
        <v>3</v>
      </c>
      <c r="E4676" s="20">
        <v>90</v>
      </c>
      <c r="F4676" s="20" t="s">
        <v>25691</v>
      </c>
      <c r="G4676" s="24"/>
      <c r="H4676" s="24"/>
      <c r="I4676" s="24" t="str">
        <f ca="1">IFERROR(__xludf.DUMMYFUNCTION("GOOGLETRANSLATE(F4676,""en"",""pt"")"),"termiticides")</f>
        <v>termiticides</v>
      </c>
      <c r="J4676" t="e">
        <f>VLOOKUP(A4676,Pr_Base_LNEC!$A$4:$J$6971,6,FALSE)</f>
        <v>#N/A</v>
      </c>
      <c r="K4676" t="e">
        <f>VLOOKUP(A4676,Pr_Base_LNEC!$A$4:$J$6971,7,FALSE)</f>
        <v>#N/A</v>
      </c>
    </row>
    <row r="4677" spans="1:11" ht="14.5">
      <c r="A4677" s="20" t="s">
        <v>25692</v>
      </c>
      <c r="B4677" s="20">
        <v>45</v>
      </c>
      <c r="C4677" s="20">
        <v>31</v>
      </c>
      <c r="D4677" s="20">
        <v>3</v>
      </c>
      <c r="E4677" s="20">
        <v>96</v>
      </c>
      <c r="F4677" s="20" t="s">
        <v>25693</v>
      </c>
      <c r="G4677" s="20" t="s">
        <v>25694</v>
      </c>
      <c r="H4677" s="24"/>
      <c r="I4677" s="24" t="str">
        <f ca="1">IFERROR(__xludf.DUMMYFUNCTION("GOOGLETRANSLATE(F4677,""en"",""pt"")"),"controles sem-fim")</f>
        <v>controles sem-fim</v>
      </c>
      <c r="J4677">
        <f>VLOOKUP(A4677,Pr_Base_LNEC!$A$4:$J$6971,6,FALSE)</f>
        <v>0</v>
      </c>
      <c r="K4677">
        <f>VLOOKUP(A4677,Pr_Base_LNEC!$A$4:$J$6971,7,FALSE)</f>
        <v>0</v>
      </c>
    </row>
    <row r="4678" spans="1:11" ht="14.5">
      <c r="A4678" s="20" t="s">
        <v>25695</v>
      </c>
      <c r="B4678" s="20">
        <v>45</v>
      </c>
      <c r="C4678" s="20">
        <v>31</v>
      </c>
      <c r="D4678" s="20">
        <v>37</v>
      </c>
      <c r="E4678" s="24"/>
      <c r="F4678" s="20" t="s">
        <v>25696</v>
      </c>
      <c r="G4678" s="24"/>
      <c r="H4678" s="24"/>
      <c r="I4678" s="24" t="str">
        <f ca="1">IFERROR(__xludf.DUMMYFUNCTION("GOOGLETRANSLATE(F4678,""en"",""pt"")"),"herbicidas")</f>
        <v>herbicidas</v>
      </c>
      <c r="J4678">
        <f>VLOOKUP(A4678,Pr_Base_LNEC!$A$4:$J$6971,6,FALSE)</f>
        <v>0</v>
      </c>
      <c r="K4678">
        <f>VLOOKUP(A4678,Pr_Base_LNEC!$A$4:$J$6971,7,FALSE)</f>
        <v>0</v>
      </c>
    </row>
    <row r="4679" spans="1:11" ht="14.5">
      <c r="A4679" s="20" t="s">
        <v>25697</v>
      </c>
      <c r="B4679" s="20">
        <v>45</v>
      </c>
      <c r="C4679" s="20">
        <v>31</v>
      </c>
      <c r="D4679" s="20">
        <v>37</v>
      </c>
      <c r="E4679" s="20">
        <v>15</v>
      </c>
      <c r="F4679" s="20" t="s">
        <v>25698</v>
      </c>
      <c r="G4679" s="20" t="s">
        <v>25699</v>
      </c>
      <c r="H4679" s="24"/>
      <c r="I4679" s="24" t="str">
        <f ca="1">IFERROR(__xludf.DUMMYFUNCTION("GOOGLETRANSLATE(F4679,""en"",""pt"")"),"Combinados herbicidas e misturas de alimentação selectiva de relva")</f>
        <v>Combinados herbicidas e misturas de alimentação selectiva de relva</v>
      </c>
      <c r="J4679">
        <f>VLOOKUP(A4679,Pr_Base_LNEC!$A$4:$J$6971,6,FALSE)</f>
        <v>0</v>
      </c>
      <c r="K4679">
        <f>VLOOKUP(A4679,Pr_Base_LNEC!$A$4:$J$6971,7,FALSE)</f>
        <v>0</v>
      </c>
    </row>
    <row r="4680" spans="1:11" ht="14.5">
      <c r="A4680" s="20" t="s">
        <v>25700</v>
      </c>
      <c r="B4680" s="20">
        <v>45</v>
      </c>
      <c r="C4680" s="20">
        <v>31</v>
      </c>
      <c r="D4680" s="20">
        <v>37</v>
      </c>
      <c r="E4680" s="20">
        <v>56</v>
      </c>
      <c r="F4680" s="20" t="s">
        <v>25701</v>
      </c>
      <c r="G4680" s="20" t="s">
        <v>25702</v>
      </c>
      <c r="H4680" s="24"/>
      <c r="I4680" s="24" t="str">
        <f ca="1">IFERROR(__xludf.DUMMYFUNCTION("GOOGLETRANSLATE(F4680,""en"",""pt"")"),"herbicidas de contacto não selectivos")</f>
        <v>herbicidas de contacto não selectivos</v>
      </c>
      <c r="J4680">
        <f>VLOOKUP(A4680,Pr_Base_LNEC!$A$4:$J$6971,6,FALSE)</f>
        <v>0</v>
      </c>
      <c r="K4680">
        <f>VLOOKUP(A4680,Pr_Base_LNEC!$A$4:$J$6971,7,FALSE)</f>
        <v>0</v>
      </c>
    </row>
    <row r="4681" spans="1:11" ht="14.5">
      <c r="A4681" s="20" t="s">
        <v>25703</v>
      </c>
      <c r="B4681" s="20">
        <v>45</v>
      </c>
      <c r="C4681" s="20">
        <v>31</v>
      </c>
      <c r="D4681" s="20">
        <v>37</v>
      </c>
      <c r="E4681" s="20">
        <v>57</v>
      </c>
      <c r="F4681" s="20" t="s">
        <v>25704</v>
      </c>
      <c r="G4681" s="20" t="s">
        <v>25705</v>
      </c>
      <c r="H4681" s="24"/>
      <c r="I4681" s="24" t="str">
        <f ca="1">IFERROR(__xludf.DUMMYFUNCTION("GOOGLETRANSLATE(F4681,""en"",""pt"")"),"herbicidas residuais não selectivos")</f>
        <v>herbicidas residuais não selectivos</v>
      </c>
      <c r="J4681">
        <f>VLOOKUP(A4681,Pr_Base_LNEC!$A$4:$J$6971,6,FALSE)</f>
        <v>0</v>
      </c>
      <c r="K4681">
        <f>VLOOKUP(A4681,Pr_Base_LNEC!$A$4:$J$6971,7,FALSE)</f>
        <v>0</v>
      </c>
    </row>
    <row r="4682" spans="1:11" ht="14.5">
      <c r="A4682" s="20" t="s">
        <v>25706</v>
      </c>
      <c r="B4682" s="20">
        <v>45</v>
      </c>
      <c r="C4682" s="20">
        <v>31</v>
      </c>
      <c r="D4682" s="20">
        <v>37</v>
      </c>
      <c r="E4682" s="20">
        <v>58</v>
      </c>
      <c r="F4682" s="20" t="s">
        <v>25707</v>
      </c>
      <c r="G4682" s="20" t="s">
        <v>25708</v>
      </c>
      <c r="H4682" s="24"/>
      <c r="I4682" s="24" t="str">
        <f ca="1">IFERROR(__xludf.DUMMYFUNCTION("GOOGLETRANSLATE(F4682,""en"",""pt"")"),"herbicidas sistémicos não-selectivos")</f>
        <v>herbicidas sistémicos não-selectivos</v>
      </c>
      <c r="J4682">
        <f>VLOOKUP(A4682,Pr_Base_LNEC!$A$4:$J$6971,6,FALSE)</f>
        <v>0</v>
      </c>
      <c r="K4682">
        <f>VLOOKUP(A4682,Pr_Base_LNEC!$A$4:$J$6971,7,FALSE)</f>
        <v>0</v>
      </c>
    </row>
    <row r="4683" spans="1:11" ht="14.5">
      <c r="A4683" s="20" t="s">
        <v>25709</v>
      </c>
      <c r="B4683" s="20">
        <v>45</v>
      </c>
      <c r="C4683" s="20">
        <v>31</v>
      </c>
      <c r="D4683" s="20">
        <v>37</v>
      </c>
      <c r="E4683" s="20">
        <v>76</v>
      </c>
      <c r="F4683" s="20" t="s">
        <v>25710</v>
      </c>
      <c r="G4683" s="20" t="s">
        <v>25711</v>
      </c>
      <c r="H4683" s="24"/>
      <c r="I4683" s="24" t="str">
        <f ca="1">IFERROR(__xludf.DUMMYFUNCTION("GOOGLETRANSLATE(F4683,""en"",""pt"")"),"herbicidas seletivos")</f>
        <v>herbicidas seletivos</v>
      </c>
      <c r="J4683">
        <f>VLOOKUP(A4683,Pr_Base_LNEC!$A$4:$J$6971,6,FALSE)</f>
        <v>0</v>
      </c>
      <c r="K4683">
        <f>VLOOKUP(A4683,Pr_Base_LNEC!$A$4:$J$6971,7,FALSE)</f>
        <v>0</v>
      </c>
    </row>
    <row r="4684" spans="1:11" ht="14.5">
      <c r="A4684" s="20" t="s">
        <v>25712</v>
      </c>
      <c r="B4684" s="20">
        <v>45</v>
      </c>
      <c r="C4684" s="20">
        <v>31</v>
      </c>
      <c r="D4684" s="20">
        <v>52</v>
      </c>
      <c r="E4684" s="24"/>
      <c r="F4684" s="20" t="s">
        <v>25713</v>
      </c>
      <c r="G4684" s="24"/>
      <c r="H4684" s="24"/>
      <c r="I4684" s="24" t="str">
        <f ca="1">IFERROR(__xludf.DUMMYFUNCTION("GOOGLETRANSLATE(F4684,""en"",""pt"")"),"biocidas microbianos")</f>
        <v>biocidas microbianos</v>
      </c>
      <c r="J4684">
        <f>VLOOKUP(A4684,Pr_Base_LNEC!$A$4:$J$6971,6,FALSE)</f>
        <v>0</v>
      </c>
      <c r="K4684">
        <f>VLOOKUP(A4684,Pr_Base_LNEC!$A$4:$J$6971,7,FALSE)</f>
        <v>0</v>
      </c>
    </row>
    <row r="4685" spans="1:11" ht="14.5">
      <c r="A4685" s="20" t="s">
        <v>25714</v>
      </c>
      <c r="B4685" s="20">
        <v>45</v>
      </c>
      <c r="C4685" s="20">
        <v>31</v>
      </c>
      <c r="D4685" s="20">
        <v>52</v>
      </c>
      <c r="E4685" s="20">
        <v>3</v>
      </c>
      <c r="F4685" s="20" t="s">
        <v>25715</v>
      </c>
      <c r="G4685" s="20" t="s">
        <v>25716</v>
      </c>
      <c r="H4685" s="24"/>
      <c r="I4685" s="24" t="str">
        <f ca="1">IFERROR(__xludf.DUMMYFUNCTION("GOOGLETRANSLATE(F4685,""en"",""pt"")"),"algicidas")</f>
        <v>algicidas</v>
      </c>
      <c r="J4685">
        <f>VLOOKUP(A4685,Pr_Base_LNEC!$A$4:$J$6971,6,FALSE)</f>
        <v>0</v>
      </c>
      <c r="K4685">
        <f>VLOOKUP(A4685,Pr_Base_LNEC!$A$4:$J$6971,7,FALSE)</f>
        <v>0</v>
      </c>
    </row>
    <row r="4686" spans="1:11" ht="14.5">
      <c r="A4686" s="20" t="s">
        <v>25717</v>
      </c>
      <c r="B4686" s="20">
        <v>45</v>
      </c>
      <c r="C4686" s="20">
        <v>31</v>
      </c>
      <c r="D4686" s="20">
        <v>52</v>
      </c>
      <c r="E4686" s="20">
        <v>7</v>
      </c>
      <c r="F4686" s="20" t="s">
        <v>25718</v>
      </c>
      <c r="G4686" s="20" t="s">
        <v>25719</v>
      </c>
      <c r="H4686" s="24"/>
      <c r="I4686" s="24" t="str">
        <f ca="1">IFERROR(__xludf.DUMMYFUNCTION("GOOGLETRANSLATE(F4686,""en"",""pt"")"),"biocidas")</f>
        <v>biocidas</v>
      </c>
      <c r="J4686">
        <f>VLOOKUP(A4686,Pr_Base_LNEC!$A$4:$J$6971,6,FALSE)</f>
        <v>0</v>
      </c>
      <c r="K4686">
        <f>VLOOKUP(A4686,Pr_Base_LNEC!$A$4:$J$6971,7,FALSE)</f>
        <v>0</v>
      </c>
    </row>
    <row r="4687" spans="1:11" ht="14.5">
      <c r="A4687" s="20" t="s">
        <v>25720</v>
      </c>
      <c r="B4687" s="20">
        <v>45</v>
      </c>
      <c r="C4687" s="20">
        <v>31</v>
      </c>
      <c r="D4687" s="20">
        <v>52</v>
      </c>
      <c r="E4687" s="20">
        <v>31</v>
      </c>
      <c r="F4687" s="20" t="s">
        <v>25721</v>
      </c>
      <c r="G4687" s="20" t="s">
        <v>25722</v>
      </c>
      <c r="H4687" s="24"/>
      <c r="I4687" s="24" t="str">
        <f ca="1">IFERROR(__xludf.DUMMYFUNCTION("GOOGLETRANSLATE(F4687,""en"",""pt"")"),"soluções fungicidas")</f>
        <v>soluções fungicidas</v>
      </c>
      <c r="J4687">
        <f>VLOOKUP(A4687,Pr_Base_LNEC!$A$4:$J$6971,6,FALSE)</f>
        <v>0</v>
      </c>
      <c r="K4687">
        <f>VLOOKUP(A4687,Pr_Base_LNEC!$A$4:$J$6971,7,FALSE)</f>
        <v>0</v>
      </c>
    </row>
    <row r="4688" spans="1:11" ht="14.5">
      <c r="A4688" s="20" t="s">
        <v>25723</v>
      </c>
      <c r="B4688" s="20">
        <v>45</v>
      </c>
      <c r="C4688" s="20">
        <v>31</v>
      </c>
      <c r="D4688" s="20">
        <v>52</v>
      </c>
      <c r="E4688" s="20">
        <v>32</v>
      </c>
      <c r="F4688" s="20" t="s">
        <v>25724</v>
      </c>
      <c r="G4688" s="24"/>
      <c r="H4688" s="24"/>
      <c r="I4688" s="24" t="str">
        <f ca="1">IFERROR(__xludf.DUMMYFUNCTION("GOOGLETRANSLATE(F4688,""en"",""pt"")"),"fungicidas")</f>
        <v>fungicidas</v>
      </c>
      <c r="J4688">
        <f>VLOOKUP(A4688,Pr_Base_LNEC!$A$4:$J$6971,6,FALSE)</f>
        <v>0</v>
      </c>
      <c r="K4688">
        <f>VLOOKUP(A4688,Pr_Base_LNEC!$A$4:$J$6971,7,FALSE)</f>
        <v>0</v>
      </c>
    </row>
    <row r="4689" spans="1:11" ht="14.5">
      <c r="A4689" s="20" t="s">
        <v>25725</v>
      </c>
      <c r="B4689" s="20">
        <v>45</v>
      </c>
      <c r="C4689" s="20">
        <v>31</v>
      </c>
      <c r="D4689" s="20">
        <v>52</v>
      </c>
      <c r="E4689" s="20">
        <v>55</v>
      </c>
      <c r="F4689" s="20" t="s">
        <v>25726</v>
      </c>
      <c r="G4689" s="20" t="s">
        <v>25727</v>
      </c>
      <c r="H4689" s="24"/>
      <c r="I4689" s="24" t="str">
        <f ca="1">IFERROR(__xludf.DUMMYFUNCTION("GOOGLETRANSLATE(F4689,""en"",""pt"")"),"Não-oxidantes biocidas de tratamento de águas")</f>
        <v>Não-oxidantes biocidas de tratamento de águas</v>
      </c>
      <c r="J4689">
        <f>VLOOKUP(A4689,Pr_Base_LNEC!$A$4:$J$6971,6,FALSE)</f>
        <v>0</v>
      </c>
      <c r="K4689">
        <f>VLOOKUP(A4689,Pr_Base_LNEC!$A$4:$J$6971,7,FALSE)</f>
        <v>0</v>
      </c>
    </row>
    <row r="4690" spans="1:11" ht="14.5">
      <c r="A4690" s="20" t="s">
        <v>25728</v>
      </c>
      <c r="B4690" s="20">
        <v>45</v>
      </c>
      <c r="C4690" s="20">
        <v>31</v>
      </c>
      <c r="D4690" s="20">
        <v>52</v>
      </c>
      <c r="E4690" s="20">
        <v>59</v>
      </c>
      <c r="F4690" s="20" t="s">
        <v>25729</v>
      </c>
      <c r="G4690" s="20" t="s">
        <v>25730</v>
      </c>
      <c r="H4690" s="24"/>
      <c r="I4690" s="24" t="str">
        <f ca="1">IFERROR(__xludf.DUMMYFUNCTION("GOOGLETRANSLATE(F4690,""en"",""pt"")"),"Biocidas oxidantes de tratamento de águas")</f>
        <v>Biocidas oxidantes de tratamento de águas</v>
      </c>
      <c r="J4690">
        <f>VLOOKUP(A4690,Pr_Base_LNEC!$A$4:$J$6971,6,FALSE)</f>
        <v>0</v>
      </c>
      <c r="K4690">
        <f>VLOOKUP(A4690,Pr_Base_LNEC!$A$4:$J$6971,7,FALSE)</f>
        <v>0</v>
      </c>
    </row>
    <row r="4691" spans="1:11" ht="14.5">
      <c r="A4691" s="20" t="s">
        <v>25731</v>
      </c>
      <c r="B4691" s="20">
        <v>45</v>
      </c>
      <c r="C4691" s="20">
        <v>31</v>
      </c>
      <c r="D4691" s="20">
        <v>52</v>
      </c>
      <c r="E4691" s="20">
        <v>62</v>
      </c>
      <c r="F4691" s="20" t="s">
        <v>25732</v>
      </c>
      <c r="G4691" s="20" t="s">
        <v>25733</v>
      </c>
      <c r="H4691" s="24"/>
      <c r="I4691" s="24" t="str">
        <f ca="1">IFERROR(__xludf.DUMMYFUNCTION("GOOGLETRANSLATE(F4691,""en"",""pt"")"),"fungicidas de plantas")</f>
        <v>fungicidas de plantas</v>
      </c>
      <c r="J4691">
        <f>VLOOKUP(A4691,Pr_Base_LNEC!$A$4:$J$6971,6,FALSE)</f>
        <v>0</v>
      </c>
      <c r="K4691">
        <f>VLOOKUP(A4691,Pr_Base_LNEC!$A$4:$J$6971,7,FALSE)</f>
        <v>0</v>
      </c>
    </row>
    <row r="4692" spans="1:11" ht="14.5">
      <c r="A4692" s="20" t="s">
        <v>25734</v>
      </c>
      <c r="B4692" s="20">
        <v>45</v>
      </c>
      <c r="C4692" s="20">
        <v>31</v>
      </c>
      <c r="D4692" s="20">
        <v>52</v>
      </c>
      <c r="E4692" s="20">
        <v>73</v>
      </c>
      <c r="F4692" s="20" t="s">
        <v>25735</v>
      </c>
      <c r="G4692" s="20" t="s">
        <v>25736</v>
      </c>
      <c r="H4692" s="24"/>
      <c r="I4692" s="24" t="str">
        <f ca="1">IFERROR(__xludf.DUMMYFUNCTION("GOOGLETRANSLATE(F4692,""en"",""pt"")"),"selantes raiz")</f>
        <v>selantes raiz</v>
      </c>
      <c r="J4692">
        <f>VLOOKUP(A4692,Pr_Base_LNEC!$A$4:$J$6971,6,FALSE)</f>
        <v>0</v>
      </c>
      <c r="K4692">
        <f>VLOOKUP(A4692,Pr_Base_LNEC!$A$4:$J$6971,7,FALSE)</f>
        <v>0</v>
      </c>
    </row>
    <row r="4693" spans="1:11" ht="14.5">
      <c r="A4693" s="20" t="s">
        <v>25737</v>
      </c>
      <c r="B4693" s="20">
        <v>45</v>
      </c>
      <c r="C4693" s="20">
        <v>31</v>
      </c>
      <c r="D4693" s="20">
        <v>52</v>
      </c>
      <c r="E4693" s="20">
        <v>86</v>
      </c>
      <c r="F4693" s="20" t="s">
        <v>25738</v>
      </c>
      <c r="G4693" s="20" t="s">
        <v>25739</v>
      </c>
      <c r="H4693" s="24"/>
      <c r="I4693" s="24" t="str">
        <f ca="1">IFERROR(__xludf.DUMMYFUNCTION("GOOGLETRANSLATE(F4693,""en"",""pt"")"),"biocidas superfície")</f>
        <v>biocidas superfície</v>
      </c>
      <c r="J4693">
        <f>VLOOKUP(A4693,Pr_Base_LNEC!$A$4:$J$6971,6,FALSE)</f>
        <v>0</v>
      </c>
      <c r="K4693">
        <f>VLOOKUP(A4693,Pr_Base_LNEC!$A$4:$J$6971,7,FALSE)</f>
        <v>0</v>
      </c>
    </row>
    <row r="4694" spans="1:11" ht="14.5">
      <c r="A4694" s="20" t="s">
        <v>25740</v>
      </c>
      <c r="B4694" s="20">
        <v>45</v>
      </c>
      <c r="C4694" s="20">
        <v>31</v>
      </c>
      <c r="D4694" s="20">
        <v>52</v>
      </c>
      <c r="E4694" s="20">
        <v>97</v>
      </c>
      <c r="F4694" s="20" t="s">
        <v>25741</v>
      </c>
      <c r="G4694" s="24"/>
      <c r="H4694" s="24"/>
      <c r="I4694" s="24" t="str">
        <f ca="1">IFERROR(__xludf.DUMMYFUNCTION("GOOGLETRANSLATE(F4694,""en"",""pt"")"),"vermicidas")</f>
        <v>vermicidas</v>
      </c>
      <c r="J4694">
        <f>VLOOKUP(A4694,Pr_Base_LNEC!$A$4:$J$6971,6,FALSE)</f>
        <v>0</v>
      </c>
      <c r="K4694">
        <f>VLOOKUP(A4694,Pr_Base_LNEC!$A$4:$J$6971,7,FALSE)</f>
        <v>0</v>
      </c>
    </row>
    <row r="4695" spans="1:11" ht="14.5">
      <c r="A4695" s="20" t="s">
        <v>25742</v>
      </c>
      <c r="B4695" s="20">
        <v>45</v>
      </c>
      <c r="C4695" s="20">
        <v>31</v>
      </c>
      <c r="D4695" s="20">
        <v>63</v>
      </c>
      <c r="E4695" s="24"/>
      <c r="F4695" s="20" t="s">
        <v>25743</v>
      </c>
      <c r="G4695" s="24"/>
      <c r="H4695" s="24"/>
      <c r="I4695" s="24" t="str">
        <f ca="1">IFERROR(__xludf.DUMMYFUNCTION("GOOGLETRANSLATE(F4695,""en"",""pt"")"),"fibras à base de plantas")</f>
        <v>fibras à base de plantas</v>
      </c>
      <c r="J4695">
        <f>VLOOKUP(A4695,Pr_Base_LNEC!$A$4:$J$6971,6,FALSE)</f>
        <v>0</v>
      </c>
      <c r="K4695">
        <f>VLOOKUP(A4695,Pr_Base_LNEC!$A$4:$J$6971,7,FALSE)</f>
        <v>0</v>
      </c>
    </row>
    <row r="4696" spans="1:11" ht="14.5">
      <c r="A4696" s="20" t="s">
        <v>25744</v>
      </c>
      <c r="B4696" s="20">
        <v>45</v>
      </c>
      <c r="C4696" s="20">
        <v>31</v>
      </c>
      <c r="D4696" s="20">
        <v>63</v>
      </c>
      <c r="E4696" s="20">
        <v>14</v>
      </c>
      <c r="F4696" s="20" t="s">
        <v>25745</v>
      </c>
      <c r="G4696" s="20" t="s">
        <v>25746</v>
      </c>
      <c r="H4696" s="24"/>
      <c r="I4696" s="24" t="str">
        <f ca="1">IFERROR(__xludf.DUMMYFUNCTION("GOOGLETRANSLATE(F4696,""en"",""pt"")"),"fibras de coco")</f>
        <v>fibras de coco</v>
      </c>
      <c r="J4696">
        <f>VLOOKUP(A4696,Pr_Base_LNEC!$A$4:$J$6971,6,FALSE)</f>
        <v>0</v>
      </c>
      <c r="K4696">
        <f>VLOOKUP(A4696,Pr_Base_LNEC!$A$4:$J$6971,7,FALSE)</f>
        <v>0</v>
      </c>
    </row>
    <row r="4697" spans="1:11" ht="14.5">
      <c r="A4697" s="20" t="s">
        <v>25747</v>
      </c>
      <c r="B4697" s="20">
        <v>45</v>
      </c>
      <c r="C4697" s="20">
        <v>31</v>
      </c>
      <c r="D4697" s="20">
        <v>63</v>
      </c>
      <c r="E4697" s="20">
        <v>15</v>
      </c>
      <c r="F4697" s="20" t="s">
        <v>25748</v>
      </c>
      <c r="G4697" s="20" t="s">
        <v>25749</v>
      </c>
      <c r="H4697" s="24"/>
      <c r="I4697" s="24" t="str">
        <f ca="1">IFERROR(__xludf.DUMMYFUNCTION("GOOGLETRANSLATE(F4697,""en"",""pt"")"),"trigo penteadas cana")</f>
        <v>trigo penteadas cana</v>
      </c>
      <c r="J4697">
        <f>VLOOKUP(A4697,Pr_Base_LNEC!$A$4:$J$6971,6,FALSE)</f>
        <v>0</v>
      </c>
      <c r="K4697">
        <f>VLOOKUP(A4697,Pr_Base_LNEC!$A$4:$J$6971,7,FALSE)</f>
        <v>0</v>
      </c>
    </row>
    <row r="4698" spans="1:11" ht="14.5">
      <c r="A4698" s="20" t="s">
        <v>25750</v>
      </c>
      <c r="B4698" s="20">
        <v>45</v>
      </c>
      <c r="C4698" s="20">
        <v>31</v>
      </c>
      <c r="D4698" s="20">
        <v>63</v>
      </c>
      <c r="E4698" s="20">
        <v>16</v>
      </c>
      <c r="F4698" s="20" t="s">
        <v>25751</v>
      </c>
      <c r="G4698" s="20" t="s">
        <v>25752</v>
      </c>
      <c r="H4698" s="24"/>
      <c r="I4698" s="24" t="str">
        <f ca="1">IFERROR(__xludf.DUMMYFUNCTION("GOOGLETRANSLATE(F4698,""en"",""pt"")"),"material vegetal compostável")</f>
        <v>material vegetal compostável</v>
      </c>
      <c r="J4698">
        <f>VLOOKUP(A4698,Pr_Base_LNEC!$A$4:$J$6971,6,FALSE)</f>
        <v>0</v>
      </c>
      <c r="K4698">
        <f>VLOOKUP(A4698,Pr_Base_LNEC!$A$4:$J$6971,7,FALSE)</f>
        <v>0</v>
      </c>
    </row>
    <row r="4699" spans="1:11" ht="14.5">
      <c r="A4699" s="20" t="s">
        <v>25753</v>
      </c>
      <c r="B4699" s="20">
        <v>45</v>
      </c>
      <c r="C4699" s="20">
        <v>31</v>
      </c>
      <c r="D4699" s="20">
        <v>63</v>
      </c>
      <c r="E4699" s="20">
        <v>30</v>
      </c>
      <c r="F4699" s="20" t="s">
        <v>25754</v>
      </c>
      <c r="G4699" s="20" t="s">
        <v>25755</v>
      </c>
      <c r="H4699" s="24"/>
      <c r="I4699" s="24" t="str">
        <f ca="1">IFERROR(__xludf.DUMMYFUNCTION("GOOGLETRANSLATE(F4699,""en"",""pt"")"),"fibras de linho")</f>
        <v>fibras de linho</v>
      </c>
      <c r="J4699">
        <f>VLOOKUP(A4699,Pr_Base_LNEC!$A$4:$J$6971,6,FALSE)</f>
        <v>0</v>
      </c>
      <c r="K4699">
        <f>VLOOKUP(A4699,Pr_Base_LNEC!$A$4:$J$6971,7,FALSE)</f>
        <v>0</v>
      </c>
    </row>
    <row r="4700" spans="1:11" ht="14.5">
      <c r="A4700" s="20" t="s">
        <v>25756</v>
      </c>
      <c r="B4700" s="20">
        <v>45</v>
      </c>
      <c r="C4700" s="20">
        <v>31</v>
      </c>
      <c r="D4700" s="20">
        <v>63</v>
      </c>
      <c r="E4700" s="20">
        <v>37</v>
      </c>
      <c r="F4700" s="20" t="s">
        <v>25757</v>
      </c>
      <c r="G4700" s="20" t="s">
        <v>25758</v>
      </c>
      <c r="H4700" s="24"/>
      <c r="I4700" s="24" t="str">
        <f ca="1">IFERROR(__xludf.DUMMYFUNCTION("GOOGLETRANSLATE(F4700,""en"",""pt"")"),"fibras de cânhamo")</f>
        <v>fibras de cânhamo</v>
      </c>
      <c r="J4700">
        <f>VLOOKUP(A4700,Pr_Base_LNEC!$A$4:$J$6971,6,FALSE)</f>
        <v>0</v>
      </c>
      <c r="K4700">
        <f>VLOOKUP(A4700,Pr_Base_LNEC!$A$4:$J$6971,7,FALSE)</f>
        <v>0</v>
      </c>
    </row>
    <row r="4701" spans="1:11" ht="14.5">
      <c r="A4701" s="20" t="s">
        <v>25759</v>
      </c>
      <c r="B4701" s="20">
        <v>45</v>
      </c>
      <c r="C4701" s="20">
        <v>31</v>
      </c>
      <c r="D4701" s="20">
        <v>63</v>
      </c>
      <c r="E4701" s="20">
        <v>44</v>
      </c>
      <c r="F4701" s="20" t="s">
        <v>25760</v>
      </c>
      <c r="G4701" s="20" t="s">
        <v>25761</v>
      </c>
      <c r="H4701" s="24"/>
      <c r="I4701" s="24" t="str">
        <f ca="1">IFERROR(__xludf.DUMMYFUNCTION("GOOGLETRANSLATE(F4701,""en"",""pt"")"),"fibras de juta")</f>
        <v>fibras de juta</v>
      </c>
      <c r="J4701">
        <f>VLOOKUP(A4701,Pr_Base_LNEC!$A$4:$J$6971,6,FALSE)</f>
        <v>0</v>
      </c>
      <c r="K4701">
        <f>VLOOKUP(A4701,Pr_Base_LNEC!$A$4:$J$6971,7,FALSE)</f>
        <v>0</v>
      </c>
    </row>
    <row r="4702" spans="1:11" ht="14.5">
      <c r="A4702" s="20" t="s">
        <v>25762</v>
      </c>
      <c r="B4702" s="20">
        <v>45</v>
      </c>
      <c r="C4702" s="20">
        <v>31</v>
      </c>
      <c r="D4702" s="20">
        <v>63</v>
      </c>
      <c r="E4702" s="20">
        <v>47</v>
      </c>
      <c r="F4702" s="20" t="s">
        <v>25763</v>
      </c>
      <c r="G4702" s="20" t="s">
        <v>25764</v>
      </c>
      <c r="H4702" s="24"/>
      <c r="I4702" s="24" t="str">
        <f ca="1">IFERROR(__xludf.DUMMYFUNCTION("GOOGLETRANSLATE(F4702,""en"",""pt"")"),"palha longa")</f>
        <v>palha longa</v>
      </c>
      <c r="J4702">
        <f>VLOOKUP(A4702,Pr_Base_LNEC!$A$4:$J$6971,6,FALSE)</f>
        <v>0</v>
      </c>
      <c r="K4702">
        <f>VLOOKUP(A4702,Pr_Base_LNEC!$A$4:$J$6971,7,FALSE)</f>
        <v>0</v>
      </c>
    </row>
    <row r="4703" spans="1:11" ht="14.5">
      <c r="A4703" s="20" t="s">
        <v>25765</v>
      </c>
      <c r="B4703" s="20">
        <v>45</v>
      </c>
      <c r="C4703" s="20">
        <v>31</v>
      </c>
      <c r="D4703" s="20">
        <v>63</v>
      </c>
      <c r="E4703" s="20">
        <v>48</v>
      </c>
      <c r="F4703" s="20" t="s">
        <v>25766</v>
      </c>
      <c r="G4703" s="20" t="s">
        <v>25767</v>
      </c>
      <c r="H4703" s="24"/>
      <c r="I4703" s="24" t="str">
        <f ca="1">IFERROR(__xludf.DUMMYFUNCTION("GOOGLETRANSLATE(F4703,""en"",""pt"")"),"palha solta")</f>
        <v>palha solta</v>
      </c>
      <c r="J4703">
        <f>VLOOKUP(A4703,Pr_Base_LNEC!$A$4:$J$6971,6,FALSE)</f>
        <v>0</v>
      </c>
      <c r="K4703">
        <f>VLOOKUP(A4703,Pr_Base_LNEC!$A$4:$J$6971,7,FALSE)</f>
        <v>0</v>
      </c>
    </row>
    <row r="4704" spans="1:11" ht="14.5">
      <c r="A4704" s="20" t="s">
        <v>25768</v>
      </c>
      <c r="B4704" s="20">
        <v>45</v>
      </c>
      <c r="C4704" s="20">
        <v>31</v>
      </c>
      <c r="D4704" s="20">
        <v>63</v>
      </c>
      <c r="E4704" s="20">
        <v>56</v>
      </c>
      <c r="F4704" s="20" t="s">
        <v>25769</v>
      </c>
      <c r="G4704" s="20" t="s">
        <v>25770</v>
      </c>
      <c r="H4704" s="24"/>
      <c r="I4704" s="24" t="str">
        <f ca="1">IFERROR(__xludf.DUMMYFUNCTION("GOOGLETRANSLATE(F4704,""en"",""pt"")"),"casca Natural")</f>
        <v>casca Natural</v>
      </c>
      <c r="J4704">
        <f>VLOOKUP(A4704,Pr_Base_LNEC!$A$4:$J$6971,6,FALSE)</f>
        <v>0</v>
      </c>
      <c r="K4704">
        <f>VLOOKUP(A4704,Pr_Base_LNEC!$A$4:$J$6971,7,FALSE)</f>
        <v>0</v>
      </c>
    </row>
    <row r="4705" spans="1:11" ht="14.5">
      <c r="A4705" s="20" t="s">
        <v>25771</v>
      </c>
      <c r="B4705" s="20">
        <v>45</v>
      </c>
      <c r="C4705" s="20">
        <v>31</v>
      </c>
      <c r="D4705" s="20">
        <v>63</v>
      </c>
      <c r="E4705" s="20">
        <v>60</v>
      </c>
      <c r="F4705" s="20" t="s">
        <v>25772</v>
      </c>
      <c r="G4705" s="24"/>
      <c r="H4705" s="24"/>
      <c r="I4705" s="24" t="str">
        <f ca="1">IFERROR(__xludf.DUMMYFUNCTION("GOOGLETRANSLATE(F4705,""en"",""pt"")"),"fardos de papel")</f>
        <v>fardos de papel</v>
      </c>
      <c r="J4705">
        <f>VLOOKUP(A4705,Pr_Base_LNEC!$A$4:$J$6971,6,FALSE)</f>
        <v>0</v>
      </c>
      <c r="K4705">
        <f>VLOOKUP(A4705,Pr_Base_LNEC!$A$4:$J$6971,7,FALSE)</f>
        <v>0</v>
      </c>
    </row>
    <row r="4706" spans="1:11" ht="14.5">
      <c r="A4706" s="20" t="s">
        <v>25773</v>
      </c>
      <c r="B4706" s="20">
        <v>45</v>
      </c>
      <c r="C4706" s="20">
        <v>31</v>
      </c>
      <c r="D4706" s="20">
        <v>63</v>
      </c>
      <c r="E4706" s="20">
        <v>64</v>
      </c>
      <c r="F4706" s="20" t="s">
        <v>25774</v>
      </c>
      <c r="G4706" s="20" t="s">
        <v>25775</v>
      </c>
      <c r="H4706" s="24"/>
      <c r="I4706" s="24" t="str">
        <f ca="1">IFERROR(__xludf.DUMMYFUNCTION("GOOGLETRANSLATE(F4706,""en"",""pt"")"),"Parque casca")</f>
        <v>Parque casca</v>
      </c>
      <c r="J4706">
        <f>VLOOKUP(A4706,Pr_Base_LNEC!$A$4:$J$6971,6,FALSE)</f>
        <v>0</v>
      </c>
      <c r="K4706">
        <f>VLOOKUP(A4706,Pr_Base_LNEC!$A$4:$J$6971,7,FALSE)</f>
        <v>0</v>
      </c>
    </row>
    <row r="4707" spans="1:11" ht="14.5">
      <c r="A4707" s="20" t="s">
        <v>25776</v>
      </c>
      <c r="B4707" s="20">
        <v>45</v>
      </c>
      <c r="C4707" s="20">
        <v>31</v>
      </c>
      <c r="D4707" s="20">
        <v>63</v>
      </c>
      <c r="E4707" s="20">
        <v>76</v>
      </c>
      <c r="F4707" s="20" t="s">
        <v>25777</v>
      </c>
      <c r="G4707" s="20" t="s">
        <v>25778</v>
      </c>
      <c r="H4707" s="24"/>
      <c r="I4707" s="24" t="str">
        <f ca="1">IFERROR(__xludf.DUMMYFUNCTION("GOOGLETRANSLATE(F4707,""en"",""pt"")"),"carriço")</f>
        <v>carriço</v>
      </c>
      <c r="J4707">
        <f>VLOOKUP(A4707,Pr_Base_LNEC!$A$4:$J$6971,6,FALSE)</f>
        <v>0</v>
      </c>
      <c r="K4707">
        <f>VLOOKUP(A4707,Pr_Base_LNEC!$A$4:$J$6971,7,FALSE)</f>
        <v>0</v>
      </c>
    </row>
    <row r="4708" spans="1:11" ht="14.5">
      <c r="A4708" s="20" t="s">
        <v>25779</v>
      </c>
      <c r="B4708" s="20">
        <v>45</v>
      </c>
      <c r="C4708" s="20">
        <v>31</v>
      </c>
      <c r="D4708" s="20">
        <v>63</v>
      </c>
      <c r="E4708" s="20">
        <v>78</v>
      </c>
      <c r="F4708" s="20" t="s">
        <v>25780</v>
      </c>
      <c r="G4708" s="20" t="s">
        <v>25781</v>
      </c>
      <c r="H4708" s="24"/>
      <c r="I4708" s="24" t="str">
        <f ca="1">IFERROR(__xludf.DUMMYFUNCTION("GOOGLETRANSLATE(F4708,""en"",""pt"")"),"fibras de sisal")</f>
        <v>fibras de sisal</v>
      </c>
      <c r="J4708">
        <f>VLOOKUP(A4708,Pr_Base_LNEC!$A$4:$J$6971,6,FALSE)</f>
        <v>0</v>
      </c>
      <c r="K4708">
        <f>VLOOKUP(A4708,Pr_Base_LNEC!$A$4:$J$6971,7,FALSE)</f>
        <v>0</v>
      </c>
    </row>
    <row r="4709" spans="1:11" ht="14.5">
      <c r="A4709" s="20" t="s">
        <v>25782</v>
      </c>
      <c r="B4709" s="20">
        <v>45</v>
      </c>
      <c r="C4709" s="20">
        <v>31</v>
      </c>
      <c r="D4709" s="20">
        <v>63</v>
      </c>
      <c r="E4709" s="20">
        <v>80</v>
      </c>
      <c r="F4709" s="20" t="s">
        <v>25783</v>
      </c>
      <c r="G4709" s="20" t="s">
        <v>25784</v>
      </c>
      <c r="H4709" s="24"/>
      <c r="I4709" s="24" t="str">
        <f ca="1">IFERROR(__xludf.DUMMYFUNCTION("GOOGLETRANSLATE(F4709,""en"",""pt"")"),"Sphagnum musgo")</f>
        <v>Sphagnum musgo</v>
      </c>
      <c r="J4709">
        <f>VLOOKUP(A4709,Pr_Base_LNEC!$A$4:$J$6971,6,FALSE)</f>
        <v>0</v>
      </c>
      <c r="K4709">
        <f>VLOOKUP(A4709,Pr_Base_LNEC!$A$4:$J$6971,7,FALSE)</f>
        <v>0</v>
      </c>
    </row>
    <row r="4710" spans="1:11" ht="14.5">
      <c r="A4710" s="20" t="s">
        <v>25785</v>
      </c>
      <c r="B4710" s="20">
        <v>45</v>
      </c>
      <c r="C4710" s="20">
        <v>31</v>
      </c>
      <c r="D4710" s="20">
        <v>63</v>
      </c>
      <c r="E4710" s="20">
        <v>84</v>
      </c>
      <c r="F4710" s="20" t="s">
        <v>25786</v>
      </c>
      <c r="G4710" s="20" t="s">
        <v>25787</v>
      </c>
      <c r="H4710" s="24"/>
      <c r="I4710" s="24" t="str">
        <f ca="1">IFERROR(__xludf.DUMMYFUNCTION("GOOGLETRANSLATE(F4710,""en"",""pt"")"),"Fardos de palha")</f>
        <v>Fardos de palha</v>
      </c>
      <c r="J4710">
        <f>VLOOKUP(A4710,Pr_Base_LNEC!$A$4:$J$6971,6,FALSE)</f>
        <v>0</v>
      </c>
      <c r="K4710">
        <f>VLOOKUP(A4710,Pr_Base_LNEC!$A$4:$J$6971,7,FALSE)</f>
        <v>0</v>
      </c>
    </row>
    <row r="4711" spans="1:11" ht="14.5">
      <c r="A4711" s="20" t="s">
        <v>25788</v>
      </c>
      <c r="B4711" s="20">
        <v>45</v>
      </c>
      <c r="C4711" s="20">
        <v>31</v>
      </c>
      <c r="D4711" s="20">
        <v>63</v>
      </c>
      <c r="E4711" s="20">
        <v>96</v>
      </c>
      <c r="F4711" s="20" t="s">
        <v>25789</v>
      </c>
      <c r="G4711" s="20" t="s">
        <v>25790</v>
      </c>
      <c r="H4711" s="24"/>
      <c r="I4711" s="24" t="str">
        <f ca="1">IFERROR(__xludf.DUMMYFUNCTION("GOOGLETRANSLATE(F4711,""en"",""pt"")"),"água reed")</f>
        <v>água reed</v>
      </c>
      <c r="J4711">
        <f>VLOOKUP(A4711,Pr_Base_LNEC!$A$4:$J$6971,6,FALSE)</f>
        <v>0</v>
      </c>
      <c r="K4711">
        <f>VLOOKUP(A4711,Pr_Base_LNEC!$A$4:$J$6971,7,FALSE)</f>
        <v>0</v>
      </c>
    </row>
    <row r="4712" spans="1:11" ht="14.5">
      <c r="A4712" s="20" t="s">
        <v>25791</v>
      </c>
      <c r="B4712" s="20">
        <v>45</v>
      </c>
      <c r="C4712" s="20">
        <v>31</v>
      </c>
      <c r="D4712" s="20">
        <v>63</v>
      </c>
      <c r="E4712" s="20">
        <v>97</v>
      </c>
      <c r="F4712" s="20" t="s">
        <v>25792</v>
      </c>
      <c r="G4712" s="20" t="s">
        <v>25793</v>
      </c>
      <c r="H4712" s="24"/>
      <c r="I4712" s="24" t="str">
        <f ca="1">IFERROR(__xludf.DUMMYFUNCTION("GOOGLETRANSLATE(F4712,""en"",""pt"")"),"Lascas de madeira")</f>
        <v>Lascas de madeira</v>
      </c>
      <c r="J4712">
        <f>VLOOKUP(A4712,Pr_Base_LNEC!$A$4:$J$6971,6,FALSE)</f>
        <v>0</v>
      </c>
      <c r="K4712">
        <f>VLOOKUP(A4712,Pr_Base_LNEC!$A$4:$J$6971,7,FALSE)</f>
        <v>0</v>
      </c>
    </row>
    <row r="4713" spans="1:11" ht="14.5">
      <c r="A4713" s="20" t="s">
        <v>25794</v>
      </c>
      <c r="B4713" s="20">
        <v>45</v>
      </c>
      <c r="C4713" s="20">
        <v>31</v>
      </c>
      <c r="D4713" s="20">
        <v>63</v>
      </c>
      <c r="E4713" s="20">
        <v>98</v>
      </c>
      <c r="F4713" s="20" t="s">
        <v>25795</v>
      </c>
      <c r="G4713" s="20" t="s">
        <v>25796</v>
      </c>
      <c r="H4713" s="24"/>
      <c r="I4713" s="24" t="str">
        <f ca="1">IFERROR(__xludf.DUMMYFUNCTION("GOOGLETRANSLATE(F4713,""en"",""pt"")"),"As fibras de madeira")</f>
        <v>As fibras de madeira</v>
      </c>
      <c r="J4713">
        <f>VLOOKUP(A4713,Pr_Base_LNEC!$A$4:$J$6971,6,FALSE)</f>
        <v>0</v>
      </c>
      <c r="K4713">
        <f>VLOOKUP(A4713,Pr_Base_LNEC!$A$4:$J$6971,7,FALSE)</f>
        <v>0</v>
      </c>
    </row>
    <row r="4714" spans="1:11" ht="14.5">
      <c r="A4714" s="20" t="s">
        <v>25797</v>
      </c>
      <c r="B4714" s="20">
        <v>45</v>
      </c>
      <c r="C4714" s="20">
        <v>31</v>
      </c>
      <c r="D4714" s="20">
        <v>89</v>
      </c>
      <c r="E4714" s="24"/>
      <c r="F4714" s="20" t="s">
        <v>25798</v>
      </c>
      <c r="G4714" s="24"/>
      <c r="H4714" s="24"/>
      <c r="I4714" s="24" t="str">
        <f ca="1">IFERROR(__xludf.DUMMYFUNCTION("GOOGLETRANSLATE(F4714,""en"",""pt"")"),"Topsoils, feeds e meios de crescimento")</f>
        <v>Topsoils, feeds e meios de crescimento</v>
      </c>
      <c r="J4714">
        <f>VLOOKUP(A4714,Pr_Base_LNEC!$A$4:$J$6971,6,FALSE)</f>
        <v>0</v>
      </c>
      <c r="K4714">
        <f>VLOOKUP(A4714,Pr_Base_LNEC!$A$4:$J$6971,7,FALSE)</f>
        <v>0</v>
      </c>
    </row>
    <row r="4715" spans="1:11" ht="14.5">
      <c r="A4715" s="20" t="s">
        <v>25799</v>
      </c>
      <c r="B4715" s="20">
        <v>45</v>
      </c>
      <c r="C4715" s="20">
        <v>31</v>
      </c>
      <c r="D4715" s="20">
        <v>89</v>
      </c>
      <c r="E4715" s="20">
        <v>8</v>
      </c>
      <c r="F4715" s="20" t="s">
        <v>25800</v>
      </c>
      <c r="G4715" s="20" t="s">
        <v>25801</v>
      </c>
      <c r="H4715" s="24"/>
      <c r="I4715" s="24" t="str">
        <f ca="1">IFERROR(__xludf.DUMMYFUNCTION("GOOGLETRANSLATE(F4715,""en"",""pt"")"),"Sangue e ossos")</f>
        <v>Sangue e ossos</v>
      </c>
      <c r="J4715">
        <f>VLOOKUP(A4715,Pr_Base_LNEC!$A$4:$J$6971,6,FALSE)</f>
        <v>0</v>
      </c>
      <c r="K4715">
        <f>VLOOKUP(A4715,Pr_Base_LNEC!$A$4:$J$6971,7,FALSE)</f>
        <v>0</v>
      </c>
    </row>
    <row r="4716" spans="1:11" ht="14.5">
      <c r="A4716" s="20" t="s">
        <v>25802</v>
      </c>
      <c r="B4716" s="20">
        <v>45</v>
      </c>
      <c r="C4716" s="20">
        <v>31</v>
      </c>
      <c r="D4716" s="20">
        <v>89</v>
      </c>
      <c r="E4716" s="20">
        <v>15</v>
      </c>
      <c r="F4716" s="20" t="s">
        <v>25803</v>
      </c>
      <c r="G4716" s="20" t="s">
        <v>25804</v>
      </c>
      <c r="H4716" s="24"/>
      <c r="I4716" s="24" t="str">
        <f ca="1">IFERROR(__xludf.DUMMYFUNCTION("GOOGLETRANSLATE(F4716,""en"",""pt"")"),"curativos de compostagem")</f>
        <v>curativos de compostagem</v>
      </c>
      <c r="J4716">
        <f>VLOOKUP(A4716,Pr_Base_LNEC!$A$4:$J$6971,6,FALSE)</f>
        <v>0</v>
      </c>
      <c r="K4716">
        <f>VLOOKUP(A4716,Pr_Base_LNEC!$A$4:$J$6971,7,FALSE)</f>
        <v>0</v>
      </c>
    </row>
    <row r="4717" spans="1:11" ht="14.5">
      <c r="A4717" s="20" t="s">
        <v>25805</v>
      </c>
      <c r="B4717" s="20">
        <v>45</v>
      </c>
      <c r="C4717" s="20">
        <v>31</v>
      </c>
      <c r="D4717" s="20">
        <v>89</v>
      </c>
      <c r="E4717" s="20">
        <v>16</v>
      </c>
      <c r="F4717" s="20" t="s">
        <v>25806</v>
      </c>
      <c r="G4717" s="20" t="s">
        <v>25807</v>
      </c>
      <c r="H4717" s="24"/>
      <c r="I4717" s="24" t="str">
        <f ca="1">IFERROR(__xludf.DUMMYFUNCTION("GOOGLETRANSLATE(F4717,""en"",""pt"")"),"materiais de compostagem")</f>
        <v>materiais de compostagem</v>
      </c>
      <c r="J4717">
        <f>VLOOKUP(A4717,Pr_Base_LNEC!$A$4:$J$6971,6,FALSE)</f>
        <v>0</v>
      </c>
      <c r="K4717">
        <f>VLOOKUP(A4717,Pr_Base_LNEC!$A$4:$J$6971,7,FALSE)</f>
        <v>0</v>
      </c>
    </row>
    <row r="4718" spans="1:11" ht="14.5">
      <c r="A4718" s="20" t="s">
        <v>25808</v>
      </c>
      <c r="B4718" s="20">
        <v>45</v>
      </c>
      <c r="C4718" s="20">
        <v>31</v>
      </c>
      <c r="D4718" s="20">
        <v>89</v>
      </c>
      <c r="E4718" s="20">
        <v>35</v>
      </c>
      <c r="F4718" s="20" t="s">
        <v>25809</v>
      </c>
      <c r="G4718" s="20" t="s">
        <v>25810</v>
      </c>
      <c r="H4718" s="24"/>
      <c r="I4718" s="24" t="str">
        <f ca="1">IFERROR(__xludf.DUMMYFUNCTION("GOOGLETRANSLATE(F4718,""en"",""pt"")"),"substratos telhado verde")</f>
        <v>substratos telhado verde</v>
      </c>
      <c r="J4718">
        <f>VLOOKUP(A4718,Pr_Base_LNEC!$A$4:$J$6971,6,FALSE)</f>
        <v>0</v>
      </c>
      <c r="K4718">
        <f>VLOOKUP(A4718,Pr_Base_LNEC!$A$4:$J$6971,7,FALSE)</f>
        <v>0</v>
      </c>
    </row>
    <row r="4719" spans="1:11" ht="14.5">
      <c r="A4719" s="20" t="s">
        <v>25811</v>
      </c>
      <c r="B4719" s="20">
        <v>45</v>
      </c>
      <c r="C4719" s="20">
        <v>31</v>
      </c>
      <c r="D4719" s="20">
        <v>89</v>
      </c>
      <c r="E4719" s="20">
        <v>41</v>
      </c>
      <c r="F4719" s="20" t="s">
        <v>25812</v>
      </c>
      <c r="G4719" s="20" t="s">
        <v>25813</v>
      </c>
      <c r="H4719" s="24"/>
      <c r="I4719" s="24" t="str">
        <f ca="1">IFERROR(__xludf.DUMMYFUNCTION("GOOGLETRANSLATE(F4719,""en"",""pt"")"),"meios de crescimento importados")</f>
        <v>meios de crescimento importados</v>
      </c>
      <c r="J4719">
        <f>VLOOKUP(A4719,Pr_Base_LNEC!$A$4:$J$6971,6,FALSE)</f>
        <v>0</v>
      </c>
      <c r="K4719">
        <f>VLOOKUP(A4719,Pr_Base_LNEC!$A$4:$J$6971,7,FALSE)</f>
        <v>0</v>
      </c>
    </row>
    <row r="4720" spans="1:11" ht="14.5">
      <c r="A4720" s="20" t="s">
        <v>25814</v>
      </c>
      <c r="B4720" s="20">
        <v>45</v>
      </c>
      <c r="C4720" s="20">
        <v>31</v>
      </c>
      <c r="D4720" s="20">
        <v>89</v>
      </c>
      <c r="E4720" s="20">
        <v>42</v>
      </c>
      <c r="F4720" s="20" t="s">
        <v>25815</v>
      </c>
      <c r="G4720" s="20" t="s">
        <v>25816</v>
      </c>
      <c r="H4720" s="24"/>
      <c r="I4720" s="24" t="str">
        <f ca="1">IFERROR(__xludf.DUMMYFUNCTION("GOOGLETRANSLATE(F4720,""en"",""pt"")"),"topsoils importados")</f>
        <v>topsoils importados</v>
      </c>
      <c r="J4720">
        <f>VLOOKUP(A4720,Pr_Base_LNEC!$A$4:$J$6971,6,FALSE)</f>
        <v>0</v>
      </c>
      <c r="K4720">
        <f>VLOOKUP(A4720,Pr_Base_LNEC!$A$4:$J$6971,7,FALSE)</f>
        <v>0</v>
      </c>
    </row>
    <row r="4721" spans="1:11" ht="14.5">
      <c r="A4721" s="20" t="s">
        <v>25817</v>
      </c>
      <c r="B4721" s="20">
        <v>45</v>
      </c>
      <c r="C4721" s="20">
        <v>31</v>
      </c>
      <c r="D4721" s="20">
        <v>89</v>
      </c>
      <c r="E4721" s="20">
        <v>43</v>
      </c>
      <c r="F4721" s="20" t="s">
        <v>25818</v>
      </c>
      <c r="G4721" s="20" t="s">
        <v>25819</v>
      </c>
      <c r="H4721" s="24"/>
      <c r="I4721" s="24" t="str">
        <f ca="1">IFERROR(__xludf.DUMMYFUNCTION("GOOGLETRANSLATE(F4721,""en"",""pt"")"),"fertilizantes inorgânicos")</f>
        <v>fertilizantes inorgânicos</v>
      </c>
      <c r="J4721">
        <f>VLOOKUP(A4721,Pr_Base_LNEC!$A$4:$J$6971,6,FALSE)</f>
        <v>0</v>
      </c>
      <c r="K4721">
        <f>VLOOKUP(A4721,Pr_Base_LNEC!$A$4:$J$6971,7,FALSE)</f>
        <v>0</v>
      </c>
    </row>
    <row r="4722" spans="1:11" ht="14.5">
      <c r="A4722" s="20" t="s">
        <v>25820</v>
      </c>
      <c r="B4722" s="20">
        <v>45</v>
      </c>
      <c r="C4722" s="20">
        <v>31</v>
      </c>
      <c r="D4722" s="20">
        <v>89</v>
      </c>
      <c r="E4722" s="20">
        <v>50</v>
      </c>
      <c r="F4722" s="20" t="s">
        <v>25821</v>
      </c>
      <c r="G4722" s="20" t="s">
        <v>25822</v>
      </c>
      <c r="H4722" s="24"/>
      <c r="I4722" s="24" t="str">
        <f ca="1">IFERROR(__xludf.DUMMYFUNCTION("GOOGLETRANSLATE(F4722,""en"",""pt"")"),"meios de crescimento fabricados")</f>
        <v>meios de crescimento fabricados</v>
      </c>
      <c r="J4722">
        <f>VLOOKUP(A4722,Pr_Base_LNEC!$A$4:$J$6971,6,FALSE)</f>
        <v>0</v>
      </c>
      <c r="K4722">
        <f>VLOOKUP(A4722,Pr_Base_LNEC!$A$4:$J$6971,7,FALSE)</f>
        <v>0</v>
      </c>
    </row>
    <row r="4723" spans="1:11" ht="14.5">
      <c r="A4723" s="20" t="s">
        <v>25823</v>
      </c>
      <c r="B4723" s="20">
        <v>45</v>
      </c>
      <c r="C4723" s="20">
        <v>31</v>
      </c>
      <c r="D4723" s="20">
        <v>89</v>
      </c>
      <c r="E4723" s="20">
        <v>51</v>
      </c>
      <c r="F4723" s="20" t="s">
        <v>25824</v>
      </c>
      <c r="G4723" s="20" t="s">
        <v>25825</v>
      </c>
      <c r="H4723" s="24"/>
      <c r="I4723" s="24" t="str">
        <f ca="1">IFERROR(__xludf.DUMMYFUNCTION("GOOGLETRANSLATE(F4723,""en"",""pt"")"),"topsoils manufaturados")</f>
        <v>topsoils manufaturados</v>
      </c>
      <c r="J4723">
        <f>VLOOKUP(A4723,Pr_Base_LNEC!$A$4:$J$6971,6,FALSE)</f>
        <v>0</v>
      </c>
      <c r="K4723">
        <f>VLOOKUP(A4723,Pr_Base_LNEC!$A$4:$J$6971,7,FALSE)</f>
        <v>0</v>
      </c>
    </row>
    <row r="4724" spans="1:11" ht="14.5">
      <c r="A4724" s="20" t="s">
        <v>25826</v>
      </c>
      <c r="B4724" s="20">
        <v>45</v>
      </c>
      <c r="C4724" s="20">
        <v>31</v>
      </c>
      <c r="D4724" s="20">
        <v>89</v>
      </c>
      <c r="E4724" s="20">
        <v>52</v>
      </c>
      <c r="F4724" s="20" t="s">
        <v>25827</v>
      </c>
      <c r="G4724" s="20" t="s">
        <v>25828</v>
      </c>
      <c r="H4724" s="24"/>
      <c r="I4724" s="24" t="str">
        <f ca="1">IFERROR(__xludf.DUMMYFUNCTION("GOOGLETRANSLATE(F4724,""en"",""pt"")"),"adubos")</f>
        <v>adubos</v>
      </c>
      <c r="J4724">
        <f>VLOOKUP(A4724,Pr_Base_LNEC!$A$4:$J$6971,6,FALSE)</f>
        <v>0</v>
      </c>
      <c r="K4724">
        <f>VLOOKUP(A4724,Pr_Base_LNEC!$A$4:$J$6971,7,FALSE)</f>
        <v>0</v>
      </c>
    </row>
    <row r="4725" spans="1:11" ht="14.5">
      <c r="A4725" s="20" t="s">
        <v>25829</v>
      </c>
      <c r="B4725" s="20">
        <v>45</v>
      </c>
      <c r="C4725" s="20">
        <v>31</v>
      </c>
      <c r="D4725" s="20">
        <v>89</v>
      </c>
      <c r="E4725" s="20">
        <v>55</v>
      </c>
      <c r="F4725" s="20" t="s">
        <v>25830</v>
      </c>
      <c r="G4725" s="20" t="s">
        <v>25831</v>
      </c>
      <c r="H4725" s="24"/>
      <c r="I4725" s="24" t="str">
        <f ca="1">IFERROR(__xludf.DUMMYFUNCTION("GOOGLETRANSLATE(F4725,""en"",""pt"")"),"inoculantes micorrízicos")</f>
        <v>inoculantes micorrízicos</v>
      </c>
      <c r="J4725">
        <f>VLOOKUP(A4725,Pr_Base_LNEC!$A$4:$J$6971,6,FALSE)</f>
        <v>0</v>
      </c>
      <c r="K4725">
        <f>VLOOKUP(A4725,Pr_Base_LNEC!$A$4:$J$6971,7,FALSE)</f>
        <v>0</v>
      </c>
    </row>
    <row r="4726" spans="1:11" ht="14.5">
      <c r="A4726" s="20" t="s">
        <v>25832</v>
      </c>
      <c r="B4726" s="20">
        <v>45</v>
      </c>
      <c r="C4726" s="20">
        <v>31</v>
      </c>
      <c r="D4726" s="20">
        <v>89</v>
      </c>
      <c r="E4726" s="20">
        <v>57</v>
      </c>
      <c r="F4726" s="20" t="s">
        <v>25833</v>
      </c>
      <c r="G4726" s="20" t="s">
        <v>25834</v>
      </c>
      <c r="H4726" s="24"/>
      <c r="I4726" s="24" t="str">
        <f ca="1">IFERROR(__xludf.DUMMYFUNCTION("GOOGLETRANSLATE(F4726,""en"",""pt"")"),"curativos relvado não compostagem")</f>
        <v>curativos relvado não compostagem</v>
      </c>
      <c r="J4726">
        <f>VLOOKUP(A4726,Pr_Base_LNEC!$A$4:$J$6971,6,FALSE)</f>
        <v>0</v>
      </c>
      <c r="K4726">
        <f>VLOOKUP(A4726,Pr_Base_LNEC!$A$4:$J$6971,7,FALSE)</f>
        <v>0</v>
      </c>
    </row>
    <row r="4727" spans="1:11" ht="14.5">
      <c r="A4727" s="20" t="s">
        <v>25835</v>
      </c>
      <c r="B4727" s="20">
        <v>45</v>
      </c>
      <c r="C4727" s="20">
        <v>31</v>
      </c>
      <c r="D4727" s="20">
        <v>89</v>
      </c>
      <c r="E4727" s="20">
        <v>58</v>
      </c>
      <c r="F4727" s="20" t="s">
        <v>25836</v>
      </c>
      <c r="G4727" s="20" t="s">
        <v>25837</v>
      </c>
      <c r="H4727" s="24"/>
      <c r="I4727" s="24" t="str">
        <f ca="1">IFERROR(__xludf.DUMMYFUNCTION("GOOGLETRANSLATE(F4727,""en"",""pt"")"),"adubos orgânicos")</f>
        <v>adubos orgânicos</v>
      </c>
      <c r="J4727">
        <f>VLOOKUP(A4727,Pr_Base_LNEC!$A$4:$J$6971,6,FALSE)</f>
        <v>0</v>
      </c>
      <c r="K4727">
        <f>VLOOKUP(A4727,Pr_Base_LNEC!$A$4:$J$6971,7,FALSE)</f>
        <v>0</v>
      </c>
    </row>
    <row r="4728" spans="1:11" ht="14.5">
      <c r="A4728" s="20" t="s">
        <v>25838</v>
      </c>
      <c r="B4728" s="20">
        <v>45</v>
      </c>
      <c r="C4728" s="20">
        <v>31</v>
      </c>
      <c r="D4728" s="20">
        <v>89</v>
      </c>
      <c r="E4728" s="20">
        <v>75</v>
      </c>
      <c r="F4728" s="20" t="s">
        <v>25839</v>
      </c>
      <c r="G4728" s="20" t="s">
        <v>25840</v>
      </c>
      <c r="H4728" s="24"/>
      <c r="I4728" s="24" t="str">
        <f ca="1">IFERROR(__xludf.DUMMYFUNCTION("GOOGLETRANSLATE(F4728,""en"",""pt"")"),"compostos higienizado e estabilizado")</f>
        <v>compostos higienizado e estabilizado</v>
      </c>
      <c r="J4728">
        <f>VLOOKUP(A4728,Pr_Base_LNEC!$A$4:$J$6971,6,FALSE)</f>
        <v>0</v>
      </c>
      <c r="K4728">
        <f>VLOOKUP(A4728,Pr_Base_LNEC!$A$4:$J$6971,7,FALSE)</f>
        <v>0</v>
      </c>
    </row>
    <row r="4729" spans="1:11" ht="14.5">
      <c r="A4729" s="20" t="s">
        <v>25841</v>
      </c>
      <c r="B4729" s="20">
        <v>45</v>
      </c>
      <c r="C4729" s="20">
        <v>31</v>
      </c>
      <c r="D4729" s="20">
        <v>89</v>
      </c>
      <c r="E4729" s="20">
        <v>80</v>
      </c>
      <c r="F4729" s="20" t="s">
        <v>14999</v>
      </c>
      <c r="G4729" s="20" t="s">
        <v>25842</v>
      </c>
      <c r="H4729" s="24"/>
      <c r="I4729" s="24" t="str">
        <f ca="1">IFERROR(__xludf.DUMMYFUNCTION("GOOGLETRANSLATE(F4729,""en"",""pt"")"),"agregados de melhoramento do solo")</f>
        <v>agregados de melhoramento do solo</v>
      </c>
      <c r="J4729">
        <f>VLOOKUP(A4729,Pr_Base_LNEC!$A$4:$J$6971,6,FALSE)</f>
        <v>0</v>
      </c>
      <c r="K4729">
        <f>VLOOKUP(A4729,Pr_Base_LNEC!$A$4:$J$6971,7,FALSE)</f>
        <v>0</v>
      </c>
    </row>
    <row r="4730" spans="1:11" ht="14.5">
      <c r="A4730" s="20" t="s">
        <v>25843</v>
      </c>
      <c r="B4730" s="20">
        <v>45</v>
      </c>
      <c r="C4730" s="20">
        <v>31</v>
      </c>
      <c r="D4730" s="20">
        <v>89</v>
      </c>
      <c r="E4730" s="20">
        <v>81</v>
      </c>
      <c r="F4730" s="20" t="s">
        <v>25844</v>
      </c>
      <c r="G4730" s="20" t="s">
        <v>25845</v>
      </c>
      <c r="H4730" s="24"/>
      <c r="I4730" s="24" t="str">
        <f ca="1">IFERROR(__xludf.DUMMYFUNCTION("GOOGLETRANSLATE(F4730,""en"",""pt"")"),"de melhoramento do solo subprodutos industriais")</f>
        <v>de melhoramento do solo subprodutos industriais</v>
      </c>
      <c r="J4730">
        <f>VLOOKUP(A4730,Pr_Base_LNEC!$A$4:$J$6971,6,FALSE)</f>
        <v>0</v>
      </c>
      <c r="K4730">
        <f>VLOOKUP(A4730,Pr_Base_LNEC!$A$4:$J$6971,7,FALSE)</f>
        <v>0</v>
      </c>
    </row>
    <row r="4731" spans="1:11" ht="14.5">
      <c r="A4731" s="20" t="s">
        <v>25846</v>
      </c>
      <c r="B4731" s="20">
        <v>45</v>
      </c>
      <c r="C4731" s="20">
        <v>31</v>
      </c>
      <c r="D4731" s="20">
        <v>89</v>
      </c>
      <c r="E4731" s="20">
        <v>82</v>
      </c>
      <c r="F4731" s="20" t="s">
        <v>25847</v>
      </c>
      <c r="G4731" s="20" t="s">
        <v>25848</v>
      </c>
      <c r="H4731" s="24"/>
      <c r="I4731" s="24" t="str">
        <f ca="1">IFERROR(__xludf.DUMMYFUNCTION("GOOGLETRANSLATE(F4731,""en"",""pt"")"),"minerais de melhoramento do solo")</f>
        <v>minerais de melhoramento do solo</v>
      </c>
      <c r="J4731">
        <f>VLOOKUP(A4731,Pr_Base_LNEC!$A$4:$J$6971,6,FALSE)</f>
        <v>0</v>
      </c>
      <c r="K4731">
        <f>VLOOKUP(A4731,Pr_Base_LNEC!$A$4:$J$6971,7,FALSE)</f>
        <v>0</v>
      </c>
    </row>
    <row r="4732" spans="1:11" ht="14.5">
      <c r="A4732" s="20" t="s">
        <v>25849</v>
      </c>
      <c r="B4732" s="20">
        <v>45</v>
      </c>
      <c r="C4732" s="20">
        <v>31</v>
      </c>
      <c r="D4732" s="20">
        <v>89</v>
      </c>
      <c r="E4732" s="20">
        <v>83</v>
      </c>
      <c r="F4732" s="20" t="s">
        <v>25850</v>
      </c>
      <c r="G4732" s="24"/>
      <c r="H4732" s="24"/>
      <c r="I4732" s="24" t="str">
        <f ca="1">IFERROR(__xludf.DUMMYFUNCTION("GOOGLETRANSLATE(F4732,""en"",""pt"")"),"agentes de condicionamento dos solos")</f>
        <v>agentes de condicionamento dos solos</v>
      </c>
      <c r="J4732">
        <f>VLOOKUP(A4732,Pr_Base_LNEC!$A$4:$J$6971,6,FALSE)</f>
        <v>0</v>
      </c>
      <c r="K4732">
        <f>VLOOKUP(A4732,Pr_Base_LNEC!$A$4:$J$6971,7,FALSE)</f>
        <v>0</v>
      </c>
    </row>
    <row r="4733" spans="1:11" ht="14.5">
      <c r="A4733" s="20" t="s">
        <v>25851</v>
      </c>
      <c r="B4733" s="20">
        <v>45</v>
      </c>
      <c r="C4733" s="20">
        <v>31</v>
      </c>
      <c r="D4733" s="20">
        <v>89</v>
      </c>
      <c r="E4733" s="20">
        <v>84</v>
      </c>
      <c r="F4733" s="20" t="s">
        <v>25852</v>
      </c>
      <c r="G4733" s="20" t="s">
        <v>25853</v>
      </c>
      <c r="H4733" s="24"/>
      <c r="I4733" s="24" t="str">
        <f ca="1">IFERROR(__xludf.DUMMYFUNCTION("GOOGLETRANSLATE(F4733,""en"",""pt"")"),"aditivos de retenção de humidade do solo")</f>
        <v>aditivos de retenção de humidade do solo</v>
      </c>
      <c r="J4733">
        <f>VLOOKUP(A4733,Pr_Base_LNEC!$A$4:$J$6971,6,FALSE)</f>
        <v>0</v>
      </c>
      <c r="K4733">
        <f>VLOOKUP(A4733,Pr_Base_LNEC!$A$4:$J$6971,7,FALSE)</f>
        <v>0</v>
      </c>
    </row>
    <row r="4734" spans="1:11" ht="14.5">
      <c r="A4734" s="20" t="s">
        <v>25854</v>
      </c>
      <c r="B4734" s="20">
        <v>45</v>
      </c>
      <c r="C4734" s="20">
        <v>57</v>
      </c>
      <c r="D4734" s="24"/>
      <c r="E4734" s="24"/>
      <c r="F4734" s="20" t="s">
        <v>25855</v>
      </c>
      <c r="G4734" s="24"/>
      <c r="H4734" s="24"/>
      <c r="I4734" s="24" t="str">
        <f ca="1">IFERROR(__xludf.DUMMYFUNCTION("GOOGLETRANSLATE(F4734,""en"",""pt"")"),"Não rígidas de folha, esteira e tira flora e fauna produtos")</f>
        <v>Não rígidas de folha, esteira e tira flora e fauna produtos</v>
      </c>
      <c r="J4734" t="str">
        <f>VLOOKUP(A4734,Pr_Base_LNEC!$A$4:$J$6971,6,FALSE)</f>
        <v>Produtos para Flora e Fauna não rigidos: Placas, Paineis e Chapas</v>
      </c>
      <c r="K4734">
        <f>VLOOKUP(A4734,Pr_Base_LNEC!$A$4:$J$6971,7,FALSE)</f>
        <v>0</v>
      </c>
    </row>
    <row r="4735" spans="1:11" ht="14.5">
      <c r="A4735" s="20" t="s">
        <v>25856</v>
      </c>
      <c r="B4735" s="20">
        <v>45</v>
      </c>
      <c r="C4735" s="20">
        <v>57</v>
      </c>
      <c r="D4735" s="20">
        <v>91</v>
      </c>
      <c r="E4735" s="24"/>
      <c r="F4735" s="20" t="s">
        <v>25857</v>
      </c>
      <c r="G4735" s="24"/>
      <c r="H4735" s="24"/>
      <c r="I4735" s="24" t="str">
        <f ca="1">IFERROR(__xludf.DUMMYFUNCTION("GOOGLETRANSLATE(F4735,""en"",""pt"")"),"Turfa e substratos pré-plantado")</f>
        <v>Turfa e substratos pré-plantado</v>
      </c>
      <c r="J4735">
        <f>VLOOKUP(A4735,Pr_Base_LNEC!$A$4:$J$6971,6,FALSE)</f>
        <v>0</v>
      </c>
      <c r="K4735">
        <f>VLOOKUP(A4735,Pr_Base_LNEC!$A$4:$J$6971,7,FALSE)</f>
        <v>0</v>
      </c>
    </row>
    <row r="4736" spans="1:11" ht="14.5">
      <c r="A4736" s="20" t="s">
        <v>25858</v>
      </c>
      <c r="B4736" s="20">
        <v>45</v>
      </c>
      <c r="C4736" s="20">
        <v>57</v>
      </c>
      <c r="D4736" s="20">
        <v>91</v>
      </c>
      <c r="E4736" s="20">
        <v>20</v>
      </c>
      <c r="F4736" s="20" t="s">
        <v>25859</v>
      </c>
      <c r="G4736" s="20" t="s">
        <v>25860</v>
      </c>
      <c r="H4736" s="24"/>
      <c r="I4736" s="24" t="str">
        <f ca="1">IFERROR(__xludf.DUMMYFUNCTION("GOOGLETRANSLATE(F4736,""en"",""pt"")"),"turf cultivada")</f>
        <v>turf cultivada</v>
      </c>
      <c r="J4736">
        <f>VLOOKUP(A4736,Pr_Base_LNEC!$A$4:$J$6971,6,FALSE)</f>
        <v>0</v>
      </c>
      <c r="K4736">
        <f>VLOOKUP(A4736,Pr_Base_LNEC!$A$4:$J$6971,7,FALSE)</f>
        <v>0</v>
      </c>
    </row>
    <row r="4737" spans="1:11" ht="14.5">
      <c r="A4737" s="20" t="s">
        <v>25861</v>
      </c>
      <c r="B4737" s="20">
        <v>45</v>
      </c>
      <c r="C4737" s="20">
        <v>57</v>
      </c>
      <c r="D4737" s="20">
        <v>91</v>
      </c>
      <c r="E4737" s="20">
        <v>56</v>
      </c>
      <c r="F4737" s="20" t="s">
        <v>25862</v>
      </c>
      <c r="G4737" s="20" t="s">
        <v>25863</v>
      </c>
      <c r="H4737" s="24"/>
      <c r="I4737" s="24" t="str">
        <f ca="1">IFERROR(__xludf.DUMMYFUNCTION("GOOGLETRANSLATE(F4737,""en"",""pt"")"),"relva natural")</f>
        <v>relva natural</v>
      </c>
      <c r="J4737">
        <f>VLOOKUP(A4737,Pr_Base_LNEC!$A$4:$J$6971,6,FALSE)</f>
        <v>0</v>
      </c>
      <c r="K4737">
        <f>VLOOKUP(A4737,Pr_Base_LNEC!$A$4:$J$6971,7,FALSE)</f>
        <v>0</v>
      </c>
    </row>
    <row r="4738" spans="1:11" ht="14.5">
      <c r="A4738" s="20" t="s">
        <v>25864</v>
      </c>
      <c r="B4738" s="20">
        <v>45</v>
      </c>
      <c r="C4738" s="20">
        <v>57</v>
      </c>
      <c r="D4738" s="20">
        <v>91</v>
      </c>
      <c r="E4738" s="20">
        <v>63</v>
      </c>
      <c r="F4738" s="20" t="s">
        <v>25865</v>
      </c>
      <c r="G4738" s="20" t="s">
        <v>25866</v>
      </c>
      <c r="H4738" s="24"/>
      <c r="I4738" s="24" t="str">
        <f ca="1">IFERROR(__xludf.DUMMYFUNCTION("GOOGLETRANSLATE(F4738,""en"",""pt"")"),"Pré-plantado rolos de coco")</f>
        <v>Pré-plantado rolos de coco</v>
      </c>
      <c r="J4738">
        <f>VLOOKUP(A4738,Pr_Base_LNEC!$A$4:$J$6971,6,FALSE)</f>
        <v>0</v>
      </c>
      <c r="K4738">
        <f>VLOOKUP(A4738,Pr_Base_LNEC!$A$4:$J$6971,7,FALSE)</f>
        <v>0</v>
      </c>
    </row>
    <row r="4739" spans="1:11" ht="14.5">
      <c r="A4739" s="20" t="s">
        <v>25867</v>
      </c>
      <c r="B4739" s="20">
        <v>45</v>
      </c>
      <c r="C4739" s="20">
        <v>57</v>
      </c>
      <c r="D4739" s="20">
        <v>91</v>
      </c>
      <c r="E4739" s="20">
        <v>64</v>
      </c>
      <c r="F4739" s="20" t="s">
        <v>25868</v>
      </c>
      <c r="G4739" s="20" t="s">
        <v>25869</v>
      </c>
      <c r="H4739" s="24"/>
      <c r="I4739" s="24" t="str">
        <f ca="1">IFERROR(__xludf.DUMMYFUNCTION("GOOGLETRANSLATE(F4739,""en"",""pt"")"),"paletes pré-plantadas")</f>
        <v>paletes pré-plantadas</v>
      </c>
      <c r="J4739">
        <f>VLOOKUP(A4739,Pr_Base_LNEC!$A$4:$J$6971,6,FALSE)</f>
        <v>0</v>
      </c>
      <c r="K4739">
        <f>VLOOKUP(A4739,Pr_Base_LNEC!$A$4:$J$6971,7,FALSE)</f>
        <v>0</v>
      </c>
    </row>
    <row r="4740" spans="1:11" ht="14.5">
      <c r="A4740" s="20" t="s">
        <v>25870</v>
      </c>
      <c r="B4740" s="20">
        <v>45</v>
      </c>
      <c r="C4740" s="20">
        <v>57</v>
      </c>
      <c r="D4740" s="20">
        <v>91</v>
      </c>
      <c r="E4740" s="20">
        <v>65</v>
      </c>
      <c r="F4740" s="20" t="s">
        <v>25871</v>
      </c>
      <c r="G4740" s="20" t="s">
        <v>25872</v>
      </c>
      <c r="H4740" s="24"/>
      <c r="I4740" s="24" t="str">
        <f ca="1">IFERROR(__xludf.DUMMYFUNCTION("GOOGLETRANSLATE(F4740,""en"",""pt"")"),"Pré-plantada tapetes de vegetação")</f>
        <v>Pré-plantada tapetes de vegetação</v>
      </c>
      <c r="J4740">
        <f>VLOOKUP(A4740,Pr_Base_LNEC!$A$4:$J$6971,6,FALSE)</f>
        <v>0</v>
      </c>
      <c r="K4740">
        <f>VLOOKUP(A4740,Pr_Base_LNEC!$A$4:$J$6971,7,FALSE)</f>
        <v>0</v>
      </c>
    </row>
    <row r="4741" spans="1:11" ht="14.5">
      <c r="A4741" s="20" t="s">
        <v>25873</v>
      </c>
      <c r="B4741" s="20">
        <v>45</v>
      </c>
      <c r="C4741" s="20">
        <v>57</v>
      </c>
      <c r="D4741" s="20">
        <v>91</v>
      </c>
      <c r="E4741" s="20">
        <v>67</v>
      </c>
      <c r="F4741" s="20" t="s">
        <v>25874</v>
      </c>
      <c r="G4741" s="20" t="s">
        <v>25875</v>
      </c>
      <c r="H4741" s="24"/>
      <c r="I4741" s="24" t="str">
        <f ca="1">IFERROR(__xludf.DUMMYFUNCTION("GOOGLETRANSLATE(F4741,""en"",""pt"")"),"esteiras pré-semeadas")</f>
        <v>esteiras pré-semeadas</v>
      </c>
      <c r="J4741">
        <f>VLOOKUP(A4741,Pr_Base_LNEC!$A$4:$J$6971,6,FALSE)</f>
        <v>0</v>
      </c>
      <c r="K4741">
        <f>VLOOKUP(A4741,Pr_Base_LNEC!$A$4:$J$6971,7,FALSE)</f>
        <v>0</v>
      </c>
    </row>
    <row r="4742" spans="1:11" ht="14.5">
      <c r="A4742" s="20" t="s">
        <v>25876</v>
      </c>
      <c r="B4742" s="20">
        <v>45</v>
      </c>
      <c r="C4742" s="20">
        <v>57</v>
      </c>
      <c r="D4742" s="20">
        <v>91</v>
      </c>
      <c r="E4742" s="20">
        <v>76</v>
      </c>
      <c r="F4742" s="20" t="s">
        <v>25877</v>
      </c>
      <c r="G4742" s="24"/>
      <c r="H4742" s="24"/>
      <c r="I4742" s="24" t="str">
        <f ca="1">IFERROR(__xludf.DUMMYFUNCTION("GOOGLETRANSLATE(F4742,""en"",""pt"")"),"área semeada afiação relvado")</f>
        <v>área semeada afiação relvado</v>
      </c>
      <c r="J4742">
        <f>VLOOKUP(A4742,Pr_Base_LNEC!$A$4:$J$6971,6,FALSE)</f>
        <v>0</v>
      </c>
      <c r="K4742">
        <f>VLOOKUP(A4742,Pr_Base_LNEC!$A$4:$J$6971,7,FALSE)</f>
        <v>0</v>
      </c>
    </row>
    <row r="4743" spans="1:11" ht="14.5">
      <c r="A4743" s="20" t="s">
        <v>25878</v>
      </c>
      <c r="B4743" s="20">
        <v>45</v>
      </c>
      <c r="C4743" s="20">
        <v>63</v>
      </c>
      <c r="D4743" s="24"/>
      <c r="E4743" s="24"/>
      <c r="F4743" s="20" t="s">
        <v>25879</v>
      </c>
      <c r="G4743" s="24"/>
      <c r="H4743" s="24"/>
      <c r="I4743" s="24" t="str">
        <f ca="1">IFERROR(__xludf.DUMMYFUNCTION("GOOGLETRANSLATE(F4743,""en"",""pt"")"),"produtos de suporte da planta")</f>
        <v>produtos de suporte da planta</v>
      </c>
      <c r="J4743" t="str">
        <f>VLOOKUP(A4743,Pr_Base_LNEC!$A$4:$J$6971,6,FALSE)</f>
        <v>Produtos para Suporte a plantas</v>
      </c>
      <c r="K4743">
        <f>VLOOKUP(A4743,Pr_Base_LNEC!$A$4:$J$6971,7,FALSE)</f>
        <v>0</v>
      </c>
    </row>
    <row r="4744" spans="1:11" ht="14.5">
      <c r="A4744" s="20" t="s">
        <v>25880</v>
      </c>
      <c r="B4744" s="20">
        <v>45</v>
      </c>
      <c r="C4744" s="20">
        <v>63</v>
      </c>
      <c r="D4744" s="20">
        <v>63</v>
      </c>
      <c r="E4744" s="24"/>
      <c r="F4744" s="20" t="s">
        <v>25881</v>
      </c>
      <c r="G4744" s="24"/>
      <c r="H4744" s="24"/>
      <c r="I4744" s="24" t="str">
        <f ca="1">IFERROR(__xludf.DUMMYFUNCTION("GOOGLETRANSLATE(F4744,""en"",""pt"")"),"recipientes de plantas")</f>
        <v>recipientes de plantas</v>
      </c>
      <c r="J4744">
        <f>VLOOKUP(A4744,Pr_Base_LNEC!$A$4:$J$6971,6,FALSE)</f>
        <v>0</v>
      </c>
      <c r="K4744">
        <f>VLOOKUP(A4744,Pr_Base_LNEC!$A$4:$J$6971,7,FALSE)</f>
        <v>0</v>
      </c>
    </row>
    <row r="4745" spans="1:11" ht="14.5">
      <c r="A4745" s="20" t="s">
        <v>25882</v>
      </c>
      <c r="B4745" s="20">
        <v>45</v>
      </c>
      <c r="C4745" s="20">
        <v>63</v>
      </c>
      <c r="D4745" s="20">
        <v>63</v>
      </c>
      <c r="E4745" s="20">
        <v>2</v>
      </c>
      <c r="F4745" s="20" t="s">
        <v>25883</v>
      </c>
      <c r="G4745" s="20" t="s">
        <v>25884</v>
      </c>
      <c r="H4745" s="24"/>
      <c r="I4745" s="24" t="str">
        <f ca="1">IFERROR(__xludf.DUMMYFUNCTION("GOOGLETRANSLATE(F4745,""en"",""pt"")"),"Alumínio dividido unidades modulares")</f>
        <v>Alumínio dividido unidades modulares</v>
      </c>
      <c r="J4745">
        <f>VLOOKUP(A4745,Pr_Base_LNEC!$A$4:$J$6971,6,FALSE)</f>
        <v>0</v>
      </c>
      <c r="K4745">
        <f>VLOOKUP(A4745,Pr_Base_LNEC!$A$4:$J$6971,7,FALSE)</f>
        <v>0</v>
      </c>
    </row>
    <row r="4746" spans="1:11" ht="14.5">
      <c r="A4746" s="20" t="s">
        <v>25885</v>
      </c>
      <c r="B4746" s="20">
        <v>45</v>
      </c>
      <c r="C4746" s="20">
        <v>63</v>
      </c>
      <c r="D4746" s="20">
        <v>63</v>
      </c>
      <c r="E4746" s="20">
        <v>3</v>
      </c>
      <c r="F4746" s="20" t="s">
        <v>25886</v>
      </c>
      <c r="G4746" s="20" t="s">
        <v>25887</v>
      </c>
      <c r="H4746" s="24"/>
      <c r="I4746" s="24" t="str">
        <f ca="1">IFERROR(__xludf.DUMMYFUNCTION("GOOGLETRANSLATE(F4746,""en"",""pt"")"),"perfis de bordo de retenção de alumínio")</f>
        <v>perfis de bordo de retenção de alumínio</v>
      </c>
      <c r="J4746">
        <f>VLOOKUP(A4746,Pr_Base_LNEC!$A$4:$J$6971,6,FALSE)</f>
        <v>0</v>
      </c>
      <c r="K4746">
        <f>VLOOKUP(A4746,Pr_Base_LNEC!$A$4:$J$6971,7,FALSE)</f>
        <v>0</v>
      </c>
    </row>
    <row r="4747" spans="1:11" ht="14.5">
      <c r="A4747" s="20" t="s">
        <v>25888</v>
      </c>
      <c r="B4747" s="20">
        <v>45</v>
      </c>
      <c r="C4747" s="20">
        <v>63</v>
      </c>
      <c r="D4747" s="20">
        <v>63</v>
      </c>
      <c r="E4747" s="20">
        <v>4</v>
      </c>
      <c r="F4747" s="20" t="s">
        <v>25889</v>
      </c>
      <c r="G4747" s="20" t="s">
        <v>25890</v>
      </c>
      <c r="H4747" s="24"/>
      <c r="I4747" s="24" t="str">
        <f ca="1">IFERROR(__xludf.DUMMYFUNCTION("GOOGLETRANSLATE(F4747,""en"",""pt"")"),"recipientes de plantas de alumínio")</f>
        <v>recipientes de plantas de alumínio</v>
      </c>
      <c r="J4747">
        <f>VLOOKUP(A4747,Pr_Base_LNEC!$A$4:$J$6971,6,FALSE)</f>
        <v>0</v>
      </c>
      <c r="K4747">
        <f>VLOOKUP(A4747,Pr_Base_LNEC!$A$4:$J$6971,7,FALSE)</f>
        <v>0</v>
      </c>
    </row>
    <row r="4748" spans="1:11" ht="14.5">
      <c r="A4748" s="20" t="s">
        <v>25891</v>
      </c>
      <c r="B4748" s="20">
        <v>45</v>
      </c>
      <c r="C4748" s="20">
        <v>63</v>
      </c>
      <c r="D4748" s="20">
        <v>63</v>
      </c>
      <c r="E4748" s="20">
        <v>5</v>
      </c>
      <c r="F4748" s="20" t="s">
        <v>25892</v>
      </c>
      <c r="G4748" s="24"/>
      <c r="H4748" s="24"/>
      <c r="I4748" s="24" t="str">
        <f ca="1">IFERROR(__xludf.DUMMYFUNCTION("GOOGLETRANSLATE(F4748,""en"",""pt"")"),"recipientes de plantas aquáticas")</f>
        <v>recipientes de plantas aquáticas</v>
      </c>
      <c r="J4748">
        <f>VLOOKUP(A4748,Pr_Base_LNEC!$A$4:$J$6971,6,FALSE)</f>
        <v>0</v>
      </c>
      <c r="K4748">
        <f>VLOOKUP(A4748,Pr_Base_LNEC!$A$4:$J$6971,7,FALSE)</f>
        <v>0</v>
      </c>
    </row>
    <row r="4749" spans="1:11" ht="14.5">
      <c r="A4749" s="20" t="s">
        <v>25893</v>
      </c>
      <c r="B4749" s="20">
        <v>45</v>
      </c>
      <c r="C4749" s="20">
        <v>63</v>
      </c>
      <c r="D4749" s="20">
        <v>63</v>
      </c>
      <c r="E4749" s="20">
        <v>7</v>
      </c>
      <c r="F4749" s="20" t="s">
        <v>25894</v>
      </c>
      <c r="G4749" s="24"/>
      <c r="H4749" s="24"/>
      <c r="I4749" s="24" t="str">
        <f ca="1">IFERROR(__xludf.DUMMYFUNCTION("GOOGLETRANSLATE(F4749,""en"",""pt"")"),"recipientes de plantas biodegradáveis")</f>
        <v>recipientes de plantas biodegradáveis</v>
      </c>
      <c r="J4749">
        <f>VLOOKUP(A4749,Pr_Base_LNEC!$A$4:$J$6971,6,FALSE)</f>
        <v>0</v>
      </c>
      <c r="K4749">
        <f>VLOOKUP(A4749,Pr_Base_LNEC!$A$4:$J$6971,7,FALSE)</f>
        <v>0</v>
      </c>
    </row>
    <row r="4750" spans="1:11" ht="14.5">
      <c r="A4750" s="20" t="s">
        <v>25895</v>
      </c>
      <c r="B4750" s="20">
        <v>45</v>
      </c>
      <c r="C4750" s="20">
        <v>63</v>
      </c>
      <c r="D4750" s="20">
        <v>63</v>
      </c>
      <c r="E4750" s="20">
        <v>11</v>
      </c>
      <c r="F4750" s="20" t="s">
        <v>25896</v>
      </c>
      <c r="G4750" s="24"/>
      <c r="H4750" s="24"/>
      <c r="I4750" s="24" t="str">
        <f ca="1">IFERROR(__xludf.DUMMYFUNCTION("GOOGLETRANSLATE(F4750,""en"",""pt"")"),"Fundido e recipientes de plantas de ferro forjado")</f>
        <v>Fundido e recipientes de plantas de ferro forjado</v>
      </c>
      <c r="J4750">
        <f>VLOOKUP(A4750,Pr_Base_LNEC!$A$4:$J$6971,6,FALSE)</f>
        <v>0</v>
      </c>
      <c r="K4750">
        <f>VLOOKUP(A4750,Pr_Base_LNEC!$A$4:$J$6971,7,FALSE)</f>
        <v>0</v>
      </c>
    </row>
    <row r="4751" spans="1:11" ht="14.5">
      <c r="A4751" s="20" t="s">
        <v>25897</v>
      </c>
      <c r="B4751" s="20">
        <v>45</v>
      </c>
      <c r="C4751" s="20">
        <v>63</v>
      </c>
      <c r="D4751" s="20">
        <v>63</v>
      </c>
      <c r="E4751" s="20">
        <v>15</v>
      </c>
      <c r="F4751" s="20" t="s">
        <v>25898</v>
      </c>
      <c r="G4751" s="20" t="s">
        <v>25899</v>
      </c>
      <c r="H4751" s="24"/>
      <c r="I4751" s="24" t="str">
        <f ca="1">IFERROR(__xludf.DUMMYFUNCTION("GOOGLETRANSLATE(F4751,""en"",""pt"")"),"Betão e recipientes agregado de plantas reconstituídos")</f>
        <v>Betão e recipientes agregado de plantas reconstituídos</v>
      </c>
      <c r="J4751">
        <f>VLOOKUP(A4751,Pr_Base_LNEC!$A$4:$J$6971,6,FALSE)</f>
        <v>0</v>
      </c>
      <c r="K4751">
        <f>VLOOKUP(A4751,Pr_Base_LNEC!$A$4:$J$6971,7,FALSE)</f>
        <v>0</v>
      </c>
    </row>
    <row r="4752" spans="1:11" ht="14.5">
      <c r="A4752" s="20" t="s">
        <v>25900</v>
      </c>
      <c r="B4752" s="20">
        <v>45</v>
      </c>
      <c r="C4752" s="20">
        <v>63</v>
      </c>
      <c r="D4752" s="20">
        <v>63</v>
      </c>
      <c r="E4752" s="20">
        <v>17</v>
      </c>
      <c r="F4752" s="20" t="s">
        <v>25901</v>
      </c>
      <c r="G4752" s="24"/>
      <c r="H4752" s="24"/>
      <c r="I4752" s="24" t="str">
        <f ca="1">IFERROR(__xludf.DUMMYFUNCTION("GOOGLETRANSLATE(F4752,""en"",""pt"")"),"cultivo sacos")</f>
        <v>cultivo sacos</v>
      </c>
      <c r="J4752">
        <f>VLOOKUP(A4752,Pr_Base_LNEC!$A$4:$J$6971,6,FALSE)</f>
        <v>0</v>
      </c>
      <c r="K4752">
        <f>VLOOKUP(A4752,Pr_Base_LNEC!$A$4:$J$6971,7,FALSE)</f>
        <v>0</v>
      </c>
    </row>
    <row r="4753" spans="1:11" ht="14.5">
      <c r="A4753" s="20" t="s">
        <v>25902</v>
      </c>
      <c r="B4753" s="20">
        <v>45</v>
      </c>
      <c r="C4753" s="20">
        <v>63</v>
      </c>
      <c r="D4753" s="20">
        <v>63</v>
      </c>
      <c r="E4753" s="20">
        <v>22</v>
      </c>
      <c r="F4753" s="20" t="s">
        <v>25903</v>
      </c>
      <c r="G4753" s="24"/>
      <c r="H4753" s="24"/>
      <c r="I4753" s="24" t="str">
        <f ca="1">IFERROR(__xludf.DUMMYFUNCTION("GOOGLETRANSLATE(F4753,""en"",""pt"")"),"Dividido unidades de plantio modulares")</f>
        <v>Dividido unidades de plantio modulares</v>
      </c>
      <c r="J4753">
        <f>VLOOKUP(A4753,Pr_Base_LNEC!$A$4:$J$6971,6,FALSE)</f>
        <v>0</v>
      </c>
      <c r="K4753">
        <f>VLOOKUP(A4753,Pr_Base_LNEC!$A$4:$J$6971,7,FALSE)</f>
        <v>0</v>
      </c>
    </row>
    <row r="4754" spans="1:11" ht="14.5">
      <c r="A4754" s="20" t="s">
        <v>25904</v>
      </c>
      <c r="B4754" s="20">
        <v>45</v>
      </c>
      <c r="C4754" s="20">
        <v>63</v>
      </c>
      <c r="D4754" s="20">
        <v>63</v>
      </c>
      <c r="E4754" s="20">
        <v>29</v>
      </c>
      <c r="F4754" s="20" t="s">
        <v>25905</v>
      </c>
      <c r="G4754" s="24"/>
      <c r="H4754" s="24"/>
      <c r="I4754" s="24" t="str">
        <f ca="1">IFERROR(__xludf.DUMMYFUNCTION("GOOGLETRANSLATE(F4754,""en"",""pt"")"),"bolsas de flores")</f>
        <v>bolsas de flores</v>
      </c>
      <c r="J4754">
        <f>VLOOKUP(A4754,Pr_Base_LNEC!$A$4:$J$6971,6,FALSE)</f>
        <v>0</v>
      </c>
      <c r="K4754">
        <f>VLOOKUP(A4754,Pr_Base_LNEC!$A$4:$J$6971,7,FALSE)</f>
        <v>0</v>
      </c>
    </row>
    <row r="4755" spans="1:11" ht="14.5">
      <c r="A4755" s="20" t="s">
        <v>25906</v>
      </c>
      <c r="B4755" s="20">
        <v>45</v>
      </c>
      <c r="C4755" s="20">
        <v>63</v>
      </c>
      <c r="D4755" s="20">
        <v>63</v>
      </c>
      <c r="E4755" s="20">
        <v>34</v>
      </c>
      <c r="F4755" s="20" t="s">
        <v>25907</v>
      </c>
      <c r="G4755" s="20" t="s">
        <v>25908</v>
      </c>
      <c r="H4755" s="24"/>
      <c r="I4755" s="24" t="str">
        <f ca="1">IFERROR(__xludf.DUMMYFUNCTION("GOOGLETRANSLATE(F4755,""en"",""pt"")"),"plástico (GRP) e compósitos avançados (AC) recipientes de plantas vidro reforçado")</f>
        <v>plástico (GRP) e compósitos avançados (AC) recipientes de plantas vidro reforçado</v>
      </c>
      <c r="J4755">
        <f>VLOOKUP(A4755,Pr_Base_LNEC!$A$4:$J$6971,6,FALSE)</f>
        <v>0</v>
      </c>
      <c r="K4755">
        <f>VLOOKUP(A4755,Pr_Base_LNEC!$A$4:$J$6971,7,FALSE)</f>
        <v>0</v>
      </c>
    </row>
    <row r="4756" spans="1:11" ht="14.5">
      <c r="A4756" s="20" t="s">
        <v>25909</v>
      </c>
      <c r="B4756" s="20">
        <v>45</v>
      </c>
      <c r="C4756" s="20">
        <v>63</v>
      </c>
      <c r="D4756" s="20">
        <v>63</v>
      </c>
      <c r="E4756" s="20">
        <v>36</v>
      </c>
      <c r="F4756" s="20" t="s">
        <v>25910</v>
      </c>
      <c r="G4756" s="20" t="s">
        <v>25911</v>
      </c>
      <c r="H4756" s="24"/>
      <c r="I4756" s="24" t="str">
        <f ca="1">IFERROR(__xludf.DUMMYFUNCTION("GOOGLETRANSLATE(F4756,""en"",""pt"")"),"Pendurado recipientes de plantas")</f>
        <v>Pendurado recipientes de plantas</v>
      </c>
      <c r="J4756">
        <f>VLOOKUP(A4756,Pr_Base_LNEC!$A$4:$J$6971,6,FALSE)</f>
        <v>0</v>
      </c>
      <c r="K4756">
        <f>VLOOKUP(A4756,Pr_Base_LNEC!$A$4:$J$6971,7,FALSE)</f>
        <v>0</v>
      </c>
    </row>
    <row r="4757" spans="1:11" ht="14.5">
      <c r="A4757" s="20" t="s">
        <v>25912</v>
      </c>
      <c r="B4757" s="20">
        <v>45</v>
      </c>
      <c r="C4757" s="20">
        <v>63</v>
      </c>
      <c r="D4757" s="20">
        <v>63</v>
      </c>
      <c r="E4757" s="20">
        <v>37</v>
      </c>
      <c r="F4757" s="20" t="s">
        <v>25913</v>
      </c>
      <c r="G4757" s="24"/>
      <c r="H4757" s="24"/>
      <c r="I4757" s="24" t="str">
        <f ca="1">IFERROR(__xludf.DUMMYFUNCTION("GOOGLETRANSLATE(F4757,""en"",""pt"")"),"plantadores de erva")</f>
        <v>plantadores de erva</v>
      </c>
      <c r="J4757">
        <f>VLOOKUP(A4757,Pr_Base_LNEC!$A$4:$J$6971,6,FALSE)</f>
        <v>0</v>
      </c>
      <c r="K4757">
        <f>VLOOKUP(A4757,Pr_Base_LNEC!$A$4:$J$6971,7,FALSE)</f>
        <v>0</v>
      </c>
    </row>
    <row r="4758" spans="1:11" ht="14.5">
      <c r="A4758" s="20" t="s">
        <v>25914</v>
      </c>
      <c r="B4758" s="20">
        <v>45</v>
      </c>
      <c r="C4758" s="20">
        <v>63</v>
      </c>
      <c r="D4758" s="20">
        <v>63</v>
      </c>
      <c r="E4758" s="20">
        <v>38</v>
      </c>
      <c r="F4758" s="20" t="s">
        <v>25915</v>
      </c>
      <c r="G4758" s="24"/>
      <c r="H4758" s="24"/>
      <c r="I4758" s="24" t="str">
        <f ca="1">IFERROR(__xludf.DUMMYFUNCTION("GOOGLETRANSLATE(F4758,""en"",""pt"")"),"rodas de ervas")</f>
        <v>rodas de ervas</v>
      </c>
      <c r="J4758">
        <f>VLOOKUP(A4758,Pr_Base_LNEC!$A$4:$J$6971,6,FALSE)</f>
        <v>0</v>
      </c>
      <c r="K4758">
        <f>VLOOKUP(A4758,Pr_Base_LNEC!$A$4:$J$6971,7,FALSE)</f>
        <v>0</v>
      </c>
    </row>
    <row r="4759" spans="1:11" ht="14.5">
      <c r="A4759" s="20" t="s">
        <v>25916</v>
      </c>
      <c r="B4759" s="20">
        <v>45</v>
      </c>
      <c r="C4759" s="20">
        <v>63</v>
      </c>
      <c r="D4759" s="20">
        <v>63</v>
      </c>
      <c r="E4759" s="20">
        <v>56</v>
      </c>
      <c r="F4759" s="20" t="s">
        <v>25917</v>
      </c>
      <c r="G4759" s="20" t="s">
        <v>25918</v>
      </c>
      <c r="H4759" s="24"/>
      <c r="I4759" s="24" t="str">
        <f ca="1">IFERROR(__xludf.DUMMYFUNCTION("GOOGLETRANSLATE(F4759,""en"",""pt"")"),"cassetes de plantio Natural")</f>
        <v>cassetes de plantio Natural</v>
      </c>
      <c r="J4759">
        <f>VLOOKUP(A4759,Pr_Base_LNEC!$A$4:$J$6971,6,FALSE)</f>
        <v>0</v>
      </c>
      <c r="K4759">
        <f>VLOOKUP(A4759,Pr_Base_LNEC!$A$4:$J$6971,7,FALSE)</f>
        <v>0</v>
      </c>
    </row>
    <row r="4760" spans="1:11" ht="14.5">
      <c r="A4760" s="20" t="s">
        <v>25919</v>
      </c>
      <c r="B4760" s="20">
        <v>45</v>
      </c>
      <c r="C4760" s="20">
        <v>63</v>
      </c>
      <c r="D4760" s="20">
        <v>63</v>
      </c>
      <c r="E4760" s="20">
        <v>62</v>
      </c>
      <c r="F4760" s="20" t="s">
        <v>25920</v>
      </c>
      <c r="G4760" s="20" t="s">
        <v>25921</v>
      </c>
      <c r="H4760" s="24"/>
      <c r="I4760" s="24" t="str">
        <f ca="1">IFERROR(__xludf.DUMMYFUNCTION("GOOGLETRANSLATE(F4760,""en"",""pt"")"),"Plastics dividido unidades modulares")</f>
        <v>Plastics dividido unidades modulares</v>
      </c>
      <c r="J4760">
        <f>VLOOKUP(A4760,Pr_Base_LNEC!$A$4:$J$6971,6,FALSE)</f>
        <v>0</v>
      </c>
      <c r="K4760">
        <f>VLOOKUP(A4760,Pr_Base_LNEC!$A$4:$J$6971,7,FALSE)</f>
        <v>0</v>
      </c>
    </row>
    <row r="4761" spans="1:11" ht="14.5">
      <c r="A4761" s="20" t="s">
        <v>25922</v>
      </c>
      <c r="B4761" s="20">
        <v>45</v>
      </c>
      <c r="C4761" s="20">
        <v>63</v>
      </c>
      <c r="D4761" s="20">
        <v>63</v>
      </c>
      <c r="E4761" s="20">
        <v>64</v>
      </c>
      <c r="F4761" s="20" t="s">
        <v>25923</v>
      </c>
      <c r="G4761" s="24"/>
      <c r="H4761" s="24"/>
      <c r="I4761" s="24" t="str">
        <f ca="1">IFERROR(__xludf.DUMMYFUNCTION("GOOGLETRANSLATE(F4761,""en"",""pt"")"),"recipientes de plantas Polymer")</f>
        <v>recipientes de plantas Polymer</v>
      </c>
      <c r="J4761">
        <f>VLOOKUP(A4761,Pr_Base_LNEC!$A$4:$J$6971,6,FALSE)</f>
        <v>0</v>
      </c>
      <c r="K4761">
        <f>VLOOKUP(A4761,Pr_Base_LNEC!$A$4:$J$6971,7,FALSE)</f>
        <v>0</v>
      </c>
    </row>
    <row r="4762" spans="1:11" ht="14.5">
      <c r="A4762" s="20" t="s">
        <v>25924</v>
      </c>
      <c r="B4762" s="20">
        <v>45</v>
      </c>
      <c r="C4762" s="20">
        <v>63</v>
      </c>
      <c r="D4762" s="20">
        <v>63</v>
      </c>
      <c r="E4762" s="20">
        <v>65</v>
      </c>
      <c r="F4762" s="20" t="s">
        <v>25925</v>
      </c>
      <c r="G4762" s="24"/>
      <c r="H4762" s="24"/>
      <c r="I4762" s="24" t="str">
        <f ca="1">IFERROR(__xludf.DUMMYFUNCTION("GOOGLETRANSLATE(F4762,""en"",""pt"")"),"semeadores de batata")</f>
        <v>semeadores de batata</v>
      </c>
      <c r="J4762">
        <f>VLOOKUP(A4762,Pr_Base_LNEC!$A$4:$J$6971,6,FALSE)</f>
        <v>0</v>
      </c>
      <c r="K4762">
        <f>VLOOKUP(A4762,Pr_Base_LNEC!$A$4:$J$6971,7,FALSE)</f>
        <v>0</v>
      </c>
    </row>
    <row r="4763" spans="1:11" ht="14.5">
      <c r="A4763" s="20" t="s">
        <v>25926</v>
      </c>
      <c r="B4763" s="20">
        <v>45</v>
      </c>
      <c r="C4763" s="20">
        <v>63</v>
      </c>
      <c r="D4763" s="20">
        <v>63</v>
      </c>
      <c r="E4763" s="20">
        <v>72</v>
      </c>
      <c r="F4763" s="20" t="s">
        <v>25927</v>
      </c>
      <c r="G4763" s="24"/>
      <c r="H4763" s="24"/>
      <c r="I4763" s="24" t="str">
        <f ca="1">IFERROR(__xludf.DUMMYFUNCTION("GOOGLETRANSLATE(F4763,""en"",""pt"")"),"recipientes de plantas redondos")</f>
        <v>recipientes de plantas redondos</v>
      </c>
      <c r="J4763">
        <f>VLOOKUP(A4763,Pr_Base_LNEC!$A$4:$J$6971,6,FALSE)</f>
        <v>0</v>
      </c>
      <c r="K4763">
        <f>VLOOKUP(A4763,Pr_Base_LNEC!$A$4:$J$6971,7,FALSE)</f>
        <v>0</v>
      </c>
    </row>
    <row r="4764" spans="1:11" ht="14.5">
      <c r="A4764" s="20" t="s">
        <v>25928</v>
      </c>
      <c r="B4764" s="20">
        <v>45</v>
      </c>
      <c r="C4764" s="20">
        <v>63</v>
      </c>
      <c r="D4764" s="20">
        <v>63</v>
      </c>
      <c r="E4764" s="20">
        <v>80</v>
      </c>
      <c r="F4764" s="20" t="s">
        <v>25929</v>
      </c>
      <c r="G4764" s="24"/>
      <c r="H4764" s="24"/>
      <c r="I4764" s="24" t="str">
        <f ca="1">IFERROR(__xludf.DUMMYFUNCTION("GOOGLETRANSLATE(F4764,""en"",""pt"")"),"recipientes de planta quadrada")</f>
        <v>recipientes de planta quadrada</v>
      </c>
      <c r="J4764">
        <f>VLOOKUP(A4764,Pr_Base_LNEC!$A$4:$J$6971,6,FALSE)</f>
        <v>0</v>
      </c>
      <c r="K4764">
        <f>VLOOKUP(A4764,Pr_Base_LNEC!$A$4:$J$6971,7,FALSE)</f>
        <v>0</v>
      </c>
    </row>
    <row r="4765" spans="1:11" ht="14.5">
      <c r="A4765" s="20" t="s">
        <v>25930</v>
      </c>
      <c r="B4765" s="20">
        <v>45</v>
      </c>
      <c r="C4765" s="20">
        <v>63</v>
      </c>
      <c r="D4765" s="20">
        <v>63</v>
      </c>
      <c r="E4765" s="20">
        <v>81</v>
      </c>
      <c r="F4765" s="20" t="s">
        <v>25931</v>
      </c>
      <c r="G4765" s="20" t="s">
        <v>25932</v>
      </c>
      <c r="H4765" s="24"/>
      <c r="I4765" s="24" t="str">
        <f ca="1">IFERROR(__xludf.DUMMYFUNCTION("GOOGLETRANSLATE(F4765,""en"",""pt"")"),"aço inoxidável dividido unidades modulares")</f>
        <v>aço inoxidável dividido unidades modulares</v>
      </c>
      <c r="J4765">
        <f>VLOOKUP(A4765,Pr_Base_LNEC!$A$4:$J$6971,6,FALSE)</f>
        <v>0</v>
      </c>
      <c r="K4765">
        <f>VLOOKUP(A4765,Pr_Base_LNEC!$A$4:$J$6971,7,FALSE)</f>
        <v>0</v>
      </c>
    </row>
    <row r="4766" spans="1:11" ht="14.5">
      <c r="A4766" s="20" t="s">
        <v>25933</v>
      </c>
      <c r="B4766" s="20">
        <v>45</v>
      </c>
      <c r="C4766" s="20">
        <v>63</v>
      </c>
      <c r="D4766" s="20">
        <v>63</v>
      </c>
      <c r="E4766" s="20">
        <v>82</v>
      </c>
      <c r="F4766" s="20" t="s">
        <v>25934</v>
      </c>
      <c r="G4766" s="20" t="s">
        <v>25935</v>
      </c>
      <c r="H4766" s="24"/>
      <c r="I4766" s="24" t="str">
        <f ca="1">IFERROR(__xludf.DUMMYFUNCTION("GOOGLETRANSLATE(F4766,""en"",""pt"")"),"perfis de borda de retenção de aço inoxidável")</f>
        <v>perfis de borda de retenção de aço inoxidável</v>
      </c>
      <c r="J4766">
        <f>VLOOKUP(A4766,Pr_Base_LNEC!$A$4:$J$6971,6,FALSE)</f>
        <v>0</v>
      </c>
      <c r="K4766">
        <f>VLOOKUP(A4766,Pr_Base_LNEC!$A$4:$J$6971,7,FALSE)</f>
        <v>0</v>
      </c>
    </row>
    <row r="4767" spans="1:11" ht="14.5">
      <c r="A4767" s="20" t="s">
        <v>25936</v>
      </c>
      <c r="B4767" s="20">
        <v>45</v>
      </c>
      <c r="C4767" s="20">
        <v>63</v>
      </c>
      <c r="D4767" s="20">
        <v>63</v>
      </c>
      <c r="E4767" s="20">
        <v>83</v>
      </c>
      <c r="F4767" s="20" t="s">
        <v>25937</v>
      </c>
      <c r="G4767" s="20" t="s">
        <v>25938</v>
      </c>
      <c r="H4767" s="24"/>
      <c r="I4767" s="24" t="str">
        <f ca="1">IFERROR(__xludf.DUMMYFUNCTION("GOOGLETRANSLATE(F4767,""en"",""pt"")"),"recipientes de plantas de aço inoxidável")</f>
        <v>recipientes de plantas de aço inoxidável</v>
      </c>
      <c r="J4767">
        <f>VLOOKUP(A4767,Pr_Base_LNEC!$A$4:$J$6971,6,FALSE)</f>
        <v>0</v>
      </c>
      <c r="K4767">
        <f>VLOOKUP(A4767,Pr_Base_LNEC!$A$4:$J$6971,7,FALSE)</f>
        <v>0</v>
      </c>
    </row>
    <row r="4768" spans="1:11" ht="14.5">
      <c r="A4768" s="20" t="s">
        <v>25939</v>
      </c>
      <c r="B4768" s="20">
        <v>45</v>
      </c>
      <c r="C4768" s="20">
        <v>63</v>
      </c>
      <c r="D4768" s="20">
        <v>63</v>
      </c>
      <c r="E4768" s="20">
        <v>84</v>
      </c>
      <c r="F4768" s="20" t="s">
        <v>25940</v>
      </c>
      <c r="G4768" s="20" t="s">
        <v>25941</v>
      </c>
      <c r="H4768" s="24"/>
      <c r="I4768" s="24" t="str">
        <f ca="1">IFERROR(__xludf.DUMMYFUNCTION("GOOGLETRANSLATE(F4768,""en"",""pt"")"),"recipientes de plantas aço")</f>
        <v>recipientes de plantas aço</v>
      </c>
      <c r="J4768">
        <f>VLOOKUP(A4768,Pr_Base_LNEC!$A$4:$J$6971,6,FALSE)</f>
        <v>0</v>
      </c>
      <c r="K4768">
        <f>VLOOKUP(A4768,Pr_Base_LNEC!$A$4:$J$6971,7,FALSE)</f>
        <v>0</v>
      </c>
    </row>
    <row r="4769" spans="1:11" ht="14.5">
      <c r="A4769" s="20" t="s">
        <v>25942</v>
      </c>
      <c r="B4769" s="20">
        <v>45</v>
      </c>
      <c r="C4769" s="20">
        <v>63</v>
      </c>
      <c r="D4769" s="20">
        <v>63</v>
      </c>
      <c r="E4769" s="20">
        <v>85</v>
      </c>
      <c r="F4769" s="20" t="s">
        <v>25943</v>
      </c>
      <c r="G4769" s="20" t="s">
        <v>25944</v>
      </c>
      <c r="H4769" s="24"/>
      <c r="I4769" s="24" t="str">
        <f ca="1">IFERROR(__xludf.DUMMYFUNCTION("GOOGLETRANSLATE(F4769,""en"",""pt"")"),"recipientes de plantas pedra")</f>
        <v>recipientes de plantas pedra</v>
      </c>
      <c r="J4769">
        <f>VLOOKUP(A4769,Pr_Base_LNEC!$A$4:$J$6971,6,FALSE)</f>
        <v>0</v>
      </c>
      <c r="K4769">
        <f>VLOOKUP(A4769,Pr_Base_LNEC!$A$4:$J$6971,7,FALSE)</f>
        <v>0</v>
      </c>
    </row>
    <row r="4770" spans="1:11" ht="14.5">
      <c r="A4770" s="20" t="s">
        <v>25945</v>
      </c>
      <c r="B4770" s="20">
        <v>45</v>
      </c>
      <c r="C4770" s="20">
        <v>63</v>
      </c>
      <c r="D4770" s="20">
        <v>63</v>
      </c>
      <c r="E4770" s="20">
        <v>86</v>
      </c>
      <c r="F4770" s="20" t="s">
        <v>25946</v>
      </c>
      <c r="G4770" s="24"/>
      <c r="H4770" s="24"/>
      <c r="I4770" s="24" t="str">
        <f ca="1">IFERROR(__xludf.DUMMYFUNCTION("GOOGLETRANSLATE(F4770,""en"",""pt"")"),"plantadores de morango")</f>
        <v>plantadores de morango</v>
      </c>
      <c r="J4770">
        <f>VLOOKUP(A4770,Pr_Base_LNEC!$A$4:$J$6971,6,FALSE)</f>
        <v>0</v>
      </c>
      <c r="K4770">
        <f>VLOOKUP(A4770,Pr_Base_LNEC!$A$4:$J$6971,7,FALSE)</f>
        <v>0</v>
      </c>
    </row>
    <row r="4771" spans="1:11" ht="14.5">
      <c r="A4771" s="20" t="s">
        <v>25947</v>
      </c>
      <c r="B4771" s="20">
        <v>45</v>
      </c>
      <c r="C4771" s="20">
        <v>63</v>
      </c>
      <c r="D4771" s="20">
        <v>63</v>
      </c>
      <c r="E4771" s="20">
        <v>87</v>
      </c>
      <c r="F4771" s="20" t="s">
        <v>25948</v>
      </c>
      <c r="G4771" s="20" t="s">
        <v>25949</v>
      </c>
      <c r="H4771" s="24"/>
      <c r="I4771" s="24" t="str">
        <f ca="1">IFERROR(__xludf.DUMMYFUNCTION("GOOGLETRANSLATE(F4771,""en"",""pt"")"),"recipientes de plantas de terracota")</f>
        <v>recipientes de plantas de terracota</v>
      </c>
      <c r="J4771">
        <f>VLOOKUP(A4771,Pr_Base_LNEC!$A$4:$J$6971,6,FALSE)</f>
        <v>0</v>
      </c>
      <c r="K4771">
        <f>VLOOKUP(A4771,Pr_Base_LNEC!$A$4:$J$6971,7,FALSE)</f>
        <v>0</v>
      </c>
    </row>
    <row r="4772" spans="1:11" ht="14.5">
      <c r="A4772" s="20" t="s">
        <v>25950</v>
      </c>
      <c r="B4772" s="20">
        <v>45</v>
      </c>
      <c r="C4772" s="20">
        <v>63</v>
      </c>
      <c r="D4772" s="20">
        <v>63</v>
      </c>
      <c r="E4772" s="20">
        <v>88</v>
      </c>
      <c r="F4772" s="20" t="s">
        <v>25951</v>
      </c>
      <c r="G4772" s="24"/>
      <c r="H4772" s="24"/>
      <c r="I4772" s="24" t="str">
        <f ca="1">IFERROR(__xludf.DUMMYFUNCTION("GOOGLETRANSLATE(F4772,""en"",""pt"")"),"terrariums")</f>
        <v>terrariums</v>
      </c>
      <c r="J4772">
        <f>VLOOKUP(A4772,Pr_Base_LNEC!$A$4:$J$6971,6,FALSE)</f>
        <v>0</v>
      </c>
      <c r="K4772">
        <f>VLOOKUP(A4772,Pr_Base_LNEC!$A$4:$J$6971,7,FALSE)</f>
        <v>0</v>
      </c>
    </row>
    <row r="4773" spans="1:11" ht="14.5">
      <c r="A4773" s="20" t="s">
        <v>25952</v>
      </c>
      <c r="B4773" s="20">
        <v>45</v>
      </c>
      <c r="C4773" s="20">
        <v>63</v>
      </c>
      <c r="D4773" s="20">
        <v>63</v>
      </c>
      <c r="E4773" s="20">
        <v>89</v>
      </c>
      <c r="F4773" s="20" t="s">
        <v>25953</v>
      </c>
      <c r="G4773" s="20" t="s">
        <v>25954</v>
      </c>
      <c r="H4773" s="24"/>
      <c r="I4773" s="24" t="str">
        <f ca="1">IFERROR(__xludf.DUMMYFUNCTION("GOOGLETRANSLATE(F4773,""en"",""pt"")"),"recipientes de plantas de madeira tratados")</f>
        <v>recipientes de plantas de madeira tratados</v>
      </c>
      <c r="J4773">
        <f>VLOOKUP(A4773,Pr_Base_LNEC!$A$4:$J$6971,6,FALSE)</f>
        <v>0</v>
      </c>
      <c r="K4773">
        <f>VLOOKUP(A4773,Pr_Base_LNEC!$A$4:$J$6971,7,FALSE)</f>
        <v>0</v>
      </c>
    </row>
    <row r="4774" spans="1:11" ht="14.5">
      <c r="A4774" s="20" t="s">
        <v>25955</v>
      </c>
      <c r="B4774" s="20">
        <v>45</v>
      </c>
      <c r="C4774" s="20">
        <v>63</v>
      </c>
      <c r="D4774" s="20">
        <v>63</v>
      </c>
      <c r="E4774" s="20">
        <v>90</v>
      </c>
      <c r="F4774" s="20" t="s">
        <v>25956</v>
      </c>
      <c r="G4774" s="24"/>
      <c r="H4774" s="24"/>
      <c r="I4774" s="24" t="str">
        <f ca="1">IFERROR(__xludf.DUMMYFUNCTION("GOOGLETRANSLATE(F4774,""en"",""pt"")"),"recipientes de plantas calha")</f>
        <v>recipientes de plantas calha</v>
      </c>
      <c r="J4774">
        <f>VLOOKUP(A4774,Pr_Base_LNEC!$A$4:$J$6971,6,FALSE)</f>
        <v>0</v>
      </c>
      <c r="K4774">
        <f>VLOOKUP(A4774,Pr_Base_LNEC!$A$4:$J$6971,7,FALSE)</f>
        <v>0</v>
      </c>
    </row>
    <row r="4775" spans="1:11" ht="14.5">
      <c r="A4775" s="20" t="s">
        <v>25957</v>
      </c>
      <c r="B4775" s="20">
        <v>45</v>
      </c>
      <c r="C4775" s="20">
        <v>63</v>
      </c>
      <c r="D4775" s="20">
        <v>63</v>
      </c>
      <c r="E4775" s="20">
        <v>92</v>
      </c>
      <c r="F4775" s="20" t="s">
        <v>25958</v>
      </c>
      <c r="G4775" s="20" t="s">
        <v>25959</v>
      </c>
      <c r="H4775" s="24"/>
      <c r="I4775" s="24" t="str">
        <f ca="1">IFERROR(__xludf.DUMMYFUNCTION("GOOGLETRANSLATE(F4775,""en"",""pt"")"),"recipientes de plantas madeira não tratada")</f>
        <v>recipientes de plantas madeira não tratada</v>
      </c>
      <c r="J4775">
        <f>VLOOKUP(A4775,Pr_Base_LNEC!$A$4:$J$6971,6,FALSE)</f>
        <v>0</v>
      </c>
      <c r="K4775">
        <f>VLOOKUP(A4775,Pr_Base_LNEC!$A$4:$J$6971,7,FALSE)</f>
        <v>0</v>
      </c>
    </row>
    <row r="4776" spans="1:11" ht="14.5">
      <c r="A4776" s="20" t="s">
        <v>25960</v>
      </c>
      <c r="B4776" s="20">
        <v>45</v>
      </c>
      <c r="C4776" s="20">
        <v>63</v>
      </c>
      <c r="D4776" s="20">
        <v>63</v>
      </c>
      <c r="E4776" s="20">
        <v>94</v>
      </c>
      <c r="F4776" s="20" t="s">
        <v>25961</v>
      </c>
      <c r="G4776" s="24"/>
      <c r="H4776" s="24"/>
      <c r="I4776" s="24" t="str">
        <f ca="1">IFERROR(__xludf.DUMMYFUNCTION("GOOGLETRANSLATE(F4776,""en"",""pt"")"),"vasos")</f>
        <v>vasos</v>
      </c>
      <c r="J4776">
        <f>VLOOKUP(A4776,Pr_Base_LNEC!$A$4:$J$6971,6,FALSE)</f>
        <v>0</v>
      </c>
      <c r="K4776">
        <f>VLOOKUP(A4776,Pr_Base_LNEC!$A$4:$J$6971,7,FALSE)</f>
        <v>0</v>
      </c>
    </row>
    <row r="4777" spans="1:11" ht="14.5">
      <c r="A4777" s="20" t="s">
        <v>25962</v>
      </c>
      <c r="B4777" s="20">
        <v>45</v>
      </c>
      <c r="C4777" s="20">
        <v>63</v>
      </c>
      <c r="D4777" s="20">
        <v>63</v>
      </c>
      <c r="E4777" s="20">
        <v>96</v>
      </c>
      <c r="F4777" s="20" t="s">
        <v>25963</v>
      </c>
      <c r="G4777" s="24"/>
      <c r="H4777" s="24"/>
      <c r="I4777" s="24" t="str">
        <f ca="1">IFERROR(__xludf.DUMMYFUNCTION("GOOGLETRANSLATE(F4777,""en"",""pt"")"),"plantadores de parede")</f>
        <v>plantadores de parede</v>
      </c>
      <c r="J4777">
        <f>VLOOKUP(A4777,Pr_Base_LNEC!$A$4:$J$6971,6,FALSE)</f>
        <v>0</v>
      </c>
      <c r="K4777">
        <f>VLOOKUP(A4777,Pr_Base_LNEC!$A$4:$J$6971,7,FALSE)</f>
        <v>0</v>
      </c>
    </row>
    <row r="4778" spans="1:11" ht="14.5">
      <c r="A4778" s="20" t="s">
        <v>25964</v>
      </c>
      <c r="B4778" s="20">
        <v>45</v>
      </c>
      <c r="C4778" s="20">
        <v>63</v>
      </c>
      <c r="D4778" s="20">
        <v>63</v>
      </c>
      <c r="E4778" s="20">
        <v>97</v>
      </c>
      <c r="F4778" s="20" t="s">
        <v>25965</v>
      </c>
      <c r="G4778" s="24"/>
      <c r="H4778" s="24"/>
      <c r="I4778" s="24" t="str">
        <f ca="1">IFERROR(__xludf.DUMMYFUNCTION("GOOGLETRANSLATE(F4778,""en"",""pt"")"),"floreiras")</f>
        <v>floreiras</v>
      </c>
      <c r="J4778">
        <f>VLOOKUP(A4778,Pr_Base_LNEC!$A$4:$J$6971,6,FALSE)</f>
        <v>0</v>
      </c>
      <c r="K4778">
        <f>VLOOKUP(A4778,Pr_Base_LNEC!$A$4:$J$6971,7,FALSE)</f>
        <v>0</v>
      </c>
    </row>
    <row r="4779" spans="1:11" ht="14.5">
      <c r="A4779" s="20" t="s">
        <v>25966</v>
      </c>
      <c r="B4779" s="20">
        <v>45</v>
      </c>
      <c r="C4779" s="20">
        <v>63</v>
      </c>
      <c r="D4779" s="20">
        <v>64</v>
      </c>
      <c r="E4779" s="24"/>
      <c r="F4779" s="20" t="s">
        <v>25967</v>
      </c>
      <c r="G4779" s="24"/>
      <c r="H4779" s="24"/>
      <c r="I4779" s="24" t="str">
        <f ca="1">IFERROR(__xludf.DUMMYFUNCTION("GOOGLETRANSLATE(F4779,""en"",""pt"")"),"apoio e protecção das plantas")</f>
        <v>apoio e protecção das plantas</v>
      </c>
      <c r="J4779">
        <f>VLOOKUP(A4779,Pr_Base_LNEC!$A$4:$J$6971,6,FALSE)</f>
        <v>0</v>
      </c>
      <c r="K4779">
        <f>VLOOKUP(A4779,Pr_Base_LNEC!$A$4:$J$6971,7,FALSE)</f>
        <v>0</v>
      </c>
    </row>
    <row r="4780" spans="1:11" ht="14.5">
      <c r="A4780" s="20" t="s">
        <v>25968</v>
      </c>
      <c r="B4780" s="20">
        <v>45</v>
      </c>
      <c r="C4780" s="20">
        <v>63</v>
      </c>
      <c r="D4780" s="20">
        <v>64</v>
      </c>
      <c r="E4780" s="20">
        <v>11</v>
      </c>
      <c r="F4780" s="20" t="s">
        <v>25969</v>
      </c>
      <c r="G4780" s="20" t="s">
        <v>25970</v>
      </c>
      <c r="H4780" s="24"/>
      <c r="I4780" s="24" t="str">
        <f ca="1">IFERROR(__xludf.DUMMYFUNCTION("GOOGLETRANSLATE(F4780,""en"",""pt"")"),"Canes")</f>
        <v>Canes</v>
      </c>
      <c r="J4780">
        <f>VLOOKUP(A4780,Pr_Base_LNEC!$A$4:$J$6971,6,FALSE)</f>
        <v>0</v>
      </c>
      <c r="K4780">
        <f>VLOOKUP(A4780,Pr_Base_LNEC!$A$4:$J$6971,7,FALSE)</f>
        <v>0</v>
      </c>
    </row>
    <row r="4781" spans="1:11" ht="14.5">
      <c r="A4781" s="20" t="s">
        <v>25971</v>
      </c>
      <c r="B4781" s="20">
        <v>45</v>
      </c>
      <c r="C4781" s="20">
        <v>63</v>
      </c>
      <c r="D4781" s="20">
        <v>64</v>
      </c>
      <c r="E4781" s="20">
        <v>14</v>
      </c>
      <c r="F4781" s="20" t="s">
        <v>25972</v>
      </c>
      <c r="G4781" s="20" t="s">
        <v>25973</v>
      </c>
      <c r="H4781" s="24"/>
      <c r="I4781" s="24" t="str">
        <f ca="1">IFERROR(__xludf.DUMMYFUNCTION("GOOGLETRANSLATE(F4781,""en"",""pt"")"),"Escalada suportes de plantas")</f>
        <v>Escalada suportes de plantas</v>
      </c>
      <c r="J4781">
        <f>VLOOKUP(A4781,Pr_Base_LNEC!$A$4:$J$6971,6,FALSE)</f>
        <v>0</v>
      </c>
      <c r="K4781">
        <f>VLOOKUP(A4781,Pr_Base_LNEC!$A$4:$J$6971,7,FALSE)</f>
        <v>0</v>
      </c>
    </row>
    <row r="4782" spans="1:11" ht="14.5">
      <c r="A4782" s="20" t="s">
        <v>25974</v>
      </c>
      <c r="B4782" s="20">
        <v>45</v>
      </c>
      <c r="C4782" s="20">
        <v>63</v>
      </c>
      <c r="D4782" s="20">
        <v>64</v>
      </c>
      <c r="E4782" s="20">
        <v>15</v>
      </c>
      <c r="F4782" s="20" t="s">
        <v>25975</v>
      </c>
      <c r="G4782" s="20" t="s">
        <v>25976</v>
      </c>
      <c r="H4782" s="24"/>
      <c r="I4782" s="24" t="str">
        <f ca="1">IFERROR(__xludf.DUMMYFUNCTION("GOOGLETRANSLATE(F4782,""en"",""pt"")"),"árvore concreto rodeia")</f>
        <v>árvore concreto rodeia</v>
      </c>
      <c r="J4782">
        <f>VLOOKUP(A4782,Pr_Base_LNEC!$A$4:$J$6971,6,FALSE)</f>
        <v>0</v>
      </c>
      <c r="K4782">
        <f>VLOOKUP(A4782,Pr_Base_LNEC!$A$4:$J$6971,7,FALSE)</f>
        <v>0</v>
      </c>
    </row>
    <row r="4783" spans="1:11" ht="14.5">
      <c r="A4783" s="20" t="s">
        <v>25977</v>
      </c>
      <c r="B4783" s="20">
        <v>45</v>
      </c>
      <c r="C4783" s="20">
        <v>63</v>
      </c>
      <c r="D4783" s="20">
        <v>64</v>
      </c>
      <c r="E4783" s="20">
        <v>30</v>
      </c>
      <c r="F4783" s="20" t="s">
        <v>25978</v>
      </c>
      <c r="G4783" s="20" t="s">
        <v>25979</v>
      </c>
      <c r="H4783" s="24"/>
      <c r="I4783" s="24" t="str">
        <f ca="1">IFERROR(__xludf.DUMMYFUNCTION("GOOGLETRANSLATE(F4783,""en"",""pt"")"),"meios de fixação de espuma floral")</f>
        <v>meios de fixação de espuma floral</v>
      </c>
      <c r="J4783">
        <f>VLOOKUP(A4783,Pr_Base_LNEC!$A$4:$J$6971,6,FALSE)</f>
        <v>0</v>
      </c>
      <c r="K4783">
        <f>VLOOKUP(A4783,Pr_Base_LNEC!$A$4:$J$6971,7,FALSE)</f>
        <v>0</v>
      </c>
    </row>
    <row r="4784" spans="1:11" ht="14.5">
      <c r="A4784" s="20" t="s">
        <v>25980</v>
      </c>
      <c r="B4784" s="20">
        <v>45</v>
      </c>
      <c r="C4784" s="20">
        <v>63</v>
      </c>
      <c r="D4784" s="20">
        <v>64</v>
      </c>
      <c r="E4784" s="20">
        <v>33</v>
      </c>
      <c r="F4784" s="20" t="s">
        <v>25981</v>
      </c>
      <c r="G4784" s="20" t="s">
        <v>25982</v>
      </c>
      <c r="H4784" s="24"/>
      <c r="I4784" s="24" t="str">
        <f ca="1">IFERROR(__xludf.DUMMYFUNCTION("GOOGLETRANSLATE(F4784,""en"",""pt"")"),"plásticos modulares Geocellular unidades de solos estruturados")</f>
        <v>plásticos modulares Geocellular unidades de solos estruturados</v>
      </c>
      <c r="J4784">
        <f>VLOOKUP(A4784,Pr_Base_LNEC!$A$4:$J$6971,6,FALSE)</f>
        <v>0</v>
      </c>
      <c r="K4784">
        <f>VLOOKUP(A4784,Pr_Base_LNEC!$A$4:$J$6971,7,FALSE)</f>
        <v>0</v>
      </c>
    </row>
    <row r="4785" spans="1:11" ht="14.5">
      <c r="A4785" s="20" t="s">
        <v>25983</v>
      </c>
      <c r="B4785" s="20">
        <v>45</v>
      </c>
      <c r="C4785" s="20">
        <v>63</v>
      </c>
      <c r="D4785" s="20">
        <v>64</v>
      </c>
      <c r="E4785" s="20">
        <v>35</v>
      </c>
      <c r="F4785" s="20" t="s">
        <v>25984</v>
      </c>
      <c r="G4785" s="20" t="s">
        <v>25985</v>
      </c>
      <c r="H4785" s="24"/>
      <c r="I4785" s="24" t="str">
        <f ca="1">IFERROR(__xludf.DUMMYFUNCTION("GOOGLETRANSLATE(F4785,""en"",""pt"")"),"kits de fio de indivíduo")</f>
        <v>kits de fio de indivíduo</v>
      </c>
      <c r="J4785">
        <f>VLOOKUP(A4785,Pr_Base_LNEC!$A$4:$J$6971,6,FALSE)</f>
        <v>0</v>
      </c>
      <c r="K4785">
        <f>VLOOKUP(A4785,Pr_Base_LNEC!$A$4:$J$6971,7,FALSE)</f>
        <v>0</v>
      </c>
    </row>
    <row r="4786" spans="1:11" ht="14.5">
      <c r="A4786" s="20" t="s">
        <v>25986</v>
      </c>
      <c r="B4786" s="20">
        <v>45</v>
      </c>
      <c r="C4786" s="20">
        <v>63</v>
      </c>
      <c r="D4786" s="20">
        <v>64</v>
      </c>
      <c r="E4786" s="20">
        <v>63</v>
      </c>
      <c r="F4786" s="20" t="s">
        <v>25987</v>
      </c>
      <c r="G4786" s="20" t="s">
        <v>25988</v>
      </c>
      <c r="H4786" s="24"/>
      <c r="I4786" s="24" t="str">
        <f ca="1">IFERROR(__xludf.DUMMYFUNCTION("GOOGLETRANSLATE(F4786,""en"",""pt"")"),"Plásticos reforço de malha")</f>
        <v>Plásticos reforço de malha</v>
      </c>
      <c r="J4786">
        <f>VLOOKUP(A4786,Pr_Base_LNEC!$A$4:$J$6971,6,FALSE)</f>
        <v>0</v>
      </c>
      <c r="K4786">
        <f>VLOOKUP(A4786,Pr_Base_LNEC!$A$4:$J$6971,7,FALSE)</f>
        <v>0</v>
      </c>
    </row>
    <row r="4787" spans="1:11" ht="14.5">
      <c r="A4787" s="20" t="s">
        <v>25989</v>
      </c>
      <c r="B4787" s="20">
        <v>45</v>
      </c>
      <c r="C4787" s="20">
        <v>63</v>
      </c>
      <c r="D4787" s="20">
        <v>64</v>
      </c>
      <c r="E4787" s="20">
        <v>66</v>
      </c>
      <c r="F4787" s="20" t="s">
        <v>25990</v>
      </c>
      <c r="G4787" s="20" t="s">
        <v>25991</v>
      </c>
      <c r="H4787" s="24"/>
      <c r="I4787" s="24" t="str">
        <f ca="1">IFERROR(__xludf.DUMMYFUNCTION("GOOGLETRANSLATE(F4787,""en"",""pt"")"),"Poliestireno (PS) meios de fixação")</f>
        <v>Poliestireno (PS) meios de fixação</v>
      </c>
      <c r="J4787">
        <f>VLOOKUP(A4787,Pr_Base_LNEC!$A$4:$J$6971,6,FALSE)</f>
        <v>0</v>
      </c>
      <c r="K4787">
        <f>VLOOKUP(A4787,Pr_Base_LNEC!$A$4:$J$6971,7,FALSE)</f>
        <v>0</v>
      </c>
    </row>
    <row r="4788" spans="1:11" ht="14.5">
      <c r="A4788" s="20" t="s">
        <v>25992</v>
      </c>
      <c r="B4788" s="20">
        <v>45</v>
      </c>
      <c r="C4788" s="20">
        <v>63</v>
      </c>
      <c r="D4788" s="20">
        <v>64</v>
      </c>
      <c r="E4788" s="20">
        <v>67</v>
      </c>
      <c r="F4788" s="20" t="s">
        <v>25993</v>
      </c>
      <c r="G4788" s="20" t="s">
        <v>25994</v>
      </c>
      <c r="H4788" s="24"/>
      <c r="I4788" s="24" t="str">
        <f ca="1">IFERROR(__xludf.DUMMYFUNCTION("GOOGLETRANSLATE(F4788,""en"",""pt"")"),"cercas de proteção")</f>
        <v>cercas de proteção</v>
      </c>
      <c r="J4788">
        <f>VLOOKUP(A4788,Pr_Base_LNEC!$A$4:$J$6971,6,FALSE)</f>
        <v>0</v>
      </c>
      <c r="K4788">
        <f>VLOOKUP(A4788,Pr_Base_LNEC!$A$4:$J$6971,7,FALSE)</f>
        <v>0</v>
      </c>
    </row>
    <row r="4789" spans="1:11" ht="14.5">
      <c r="A4789" s="20" t="s">
        <v>25995</v>
      </c>
      <c r="B4789" s="20">
        <v>45</v>
      </c>
      <c r="C4789" s="20">
        <v>63</v>
      </c>
      <c r="D4789" s="20">
        <v>64</v>
      </c>
      <c r="E4789" s="20">
        <v>72</v>
      </c>
      <c r="F4789" s="20" t="s">
        <v>25996</v>
      </c>
      <c r="G4789" s="20" t="s">
        <v>25997</v>
      </c>
      <c r="H4789" s="24"/>
      <c r="I4789" s="24" t="str">
        <f ca="1">IFERROR(__xludf.DUMMYFUNCTION("GOOGLETRANSLATE(F4789,""en"",""pt"")"),"quadros de fixação rootball")</f>
        <v>quadros de fixação rootball</v>
      </c>
      <c r="J4789">
        <f>VLOOKUP(A4789,Pr_Base_LNEC!$A$4:$J$6971,6,FALSE)</f>
        <v>0</v>
      </c>
      <c r="K4789">
        <f>VLOOKUP(A4789,Pr_Base_LNEC!$A$4:$J$6971,7,FALSE)</f>
        <v>0</v>
      </c>
    </row>
    <row r="4790" spans="1:11" ht="14.5">
      <c r="A4790" s="20" t="s">
        <v>25998</v>
      </c>
      <c r="B4790" s="20">
        <v>45</v>
      </c>
      <c r="C4790" s="20">
        <v>63</v>
      </c>
      <c r="D4790" s="20">
        <v>64</v>
      </c>
      <c r="E4790" s="20">
        <v>78</v>
      </c>
      <c r="F4790" s="20" t="s">
        <v>25999</v>
      </c>
      <c r="G4790" s="20" t="s">
        <v>26000</v>
      </c>
      <c r="H4790" s="24"/>
      <c r="I4790" s="24" t="str">
        <f ca="1">IFERROR(__xludf.DUMMYFUNCTION("GOOGLETRANSLATE(F4790,""en"",""pt"")"),"protetores de arbusto")</f>
        <v>protetores de arbusto</v>
      </c>
      <c r="J4790">
        <f>VLOOKUP(A4790,Pr_Base_LNEC!$A$4:$J$6971,6,FALSE)</f>
        <v>0</v>
      </c>
      <c r="K4790">
        <f>VLOOKUP(A4790,Pr_Base_LNEC!$A$4:$J$6971,7,FALSE)</f>
        <v>0</v>
      </c>
    </row>
    <row r="4791" spans="1:11" ht="14.5">
      <c r="A4791" s="20" t="s">
        <v>26001</v>
      </c>
      <c r="B4791" s="20">
        <v>45</v>
      </c>
      <c r="C4791" s="20">
        <v>63</v>
      </c>
      <c r="D4791" s="20">
        <v>64</v>
      </c>
      <c r="E4791" s="20">
        <v>80</v>
      </c>
      <c r="F4791" s="20" t="s">
        <v>26002</v>
      </c>
      <c r="G4791" s="20" t="s">
        <v>26003</v>
      </c>
      <c r="H4791" s="24"/>
      <c r="I4791" s="24" t="str">
        <f ca="1">IFERROR(__xludf.DUMMYFUNCTION("GOOGLETRANSLATE(F4791,""en"",""pt"")"),"cavilhas de madeira mole")</f>
        <v>cavilhas de madeira mole</v>
      </c>
      <c r="J4791">
        <f>VLOOKUP(A4791,Pr_Base_LNEC!$A$4:$J$6971,6,FALSE)</f>
        <v>0</v>
      </c>
      <c r="K4791">
        <f>VLOOKUP(A4791,Pr_Base_LNEC!$A$4:$J$6971,7,FALSE)</f>
        <v>0</v>
      </c>
    </row>
    <row r="4792" spans="1:11" ht="14.5">
      <c r="A4792" s="20" t="s">
        <v>26004</v>
      </c>
      <c r="B4792" s="20">
        <v>45</v>
      </c>
      <c r="C4792" s="20">
        <v>63</v>
      </c>
      <c r="D4792" s="20">
        <v>64</v>
      </c>
      <c r="E4792" s="20">
        <v>83</v>
      </c>
      <c r="F4792" s="20" t="s">
        <v>26005</v>
      </c>
      <c r="G4792" s="20" t="s">
        <v>26006</v>
      </c>
      <c r="H4792" s="24"/>
      <c r="I4792" s="24" t="str">
        <f ca="1">IFERROR(__xludf.DUMMYFUNCTION("GOOGLETRANSLATE(F4792,""en"",""pt"")"),"laços de estaca")</f>
        <v>laços de estaca</v>
      </c>
      <c r="J4792">
        <f>VLOOKUP(A4792,Pr_Base_LNEC!$A$4:$J$6971,6,FALSE)</f>
        <v>0</v>
      </c>
      <c r="K4792">
        <f>VLOOKUP(A4792,Pr_Base_LNEC!$A$4:$J$6971,7,FALSE)</f>
        <v>0</v>
      </c>
    </row>
    <row r="4793" spans="1:11" ht="14.5">
      <c r="A4793" s="20" t="s">
        <v>26007</v>
      </c>
      <c r="B4793" s="20">
        <v>45</v>
      </c>
      <c r="C4793" s="20">
        <v>63</v>
      </c>
      <c r="D4793" s="20">
        <v>64</v>
      </c>
      <c r="E4793" s="20">
        <v>84</v>
      </c>
      <c r="F4793" s="20" t="s">
        <v>26008</v>
      </c>
      <c r="G4793" s="20" t="s">
        <v>26009</v>
      </c>
      <c r="H4793" s="24"/>
      <c r="I4793" s="24" t="str">
        <f ca="1">IFERROR(__xludf.DUMMYFUNCTION("GOOGLETRANSLATE(F4793,""en"",""pt"")"),"stakes")</f>
        <v>stakes</v>
      </c>
      <c r="J4793">
        <f>VLOOKUP(A4793,Pr_Base_LNEC!$A$4:$J$6971,6,FALSE)</f>
        <v>0</v>
      </c>
      <c r="K4793">
        <f>VLOOKUP(A4793,Pr_Base_LNEC!$A$4:$J$6971,7,FALSE)</f>
        <v>0</v>
      </c>
    </row>
    <row r="4794" spans="1:11" ht="14.5">
      <c r="A4794" s="20" t="s">
        <v>26010</v>
      </c>
      <c r="B4794" s="20">
        <v>45</v>
      </c>
      <c r="C4794" s="20">
        <v>63</v>
      </c>
      <c r="D4794" s="20">
        <v>64</v>
      </c>
      <c r="E4794" s="20">
        <v>86</v>
      </c>
      <c r="F4794" s="20" t="s">
        <v>26011</v>
      </c>
      <c r="G4794" s="20" t="s">
        <v>26012</v>
      </c>
      <c r="H4794" s="24"/>
      <c r="I4794" s="24" t="str">
        <f ca="1">IFERROR(__xludf.DUMMYFUNCTION("GOOGLETRANSLATE(F4794,""en"",""pt"")"),"treliças de cabos sob tens")</f>
        <v>treliças de cabos sob tens</v>
      </c>
      <c r="J4794">
        <f>VLOOKUP(A4794,Pr_Base_LNEC!$A$4:$J$6971,6,FALSE)</f>
        <v>0</v>
      </c>
      <c r="K4794">
        <f>VLOOKUP(A4794,Pr_Base_LNEC!$A$4:$J$6971,7,FALSE)</f>
        <v>0</v>
      </c>
    </row>
    <row r="4795" spans="1:11" ht="14.5">
      <c r="A4795" s="20" t="s">
        <v>26013</v>
      </c>
      <c r="B4795" s="20">
        <v>45</v>
      </c>
      <c r="C4795" s="20">
        <v>63</v>
      </c>
      <c r="D4795" s="20">
        <v>64</v>
      </c>
      <c r="E4795" s="20">
        <v>87</v>
      </c>
      <c r="F4795" s="20" t="s">
        <v>26014</v>
      </c>
      <c r="G4795" s="20" t="s">
        <v>26015</v>
      </c>
      <c r="H4795" s="24"/>
      <c r="I4795" s="24" t="str">
        <f ca="1">IFERROR(__xludf.DUMMYFUNCTION("GOOGLETRANSLATE(F4795,""en"",""pt"")"),"grades de árvores")</f>
        <v>grades de árvores</v>
      </c>
      <c r="J4795">
        <f>VLOOKUP(A4795,Pr_Base_LNEC!$A$4:$J$6971,6,FALSE)</f>
        <v>0</v>
      </c>
      <c r="K4795">
        <f>VLOOKUP(A4795,Pr_Base_LNEC!$A$4:$J$6971,7,FALSE)</f>
        <v>0</v>
      </c>
    </row>
    <row r="4796" spans="1:11" ht="14.5">
      <c r="A4796" s="20" t="s">
        <v>26016</v>
      </c>
      <c r="B4796" s="20">
        <v>45</v>
      </c>
      <c r="C4796" s="20">
        <v>63</v>
      </c>
      <c r="D4796" s="20">
        <v>64</v>
      </c>
      <c r="E4796" s="20">
        <v>88</v>
      </c>
      <c r="F4796" s="20" t="s">
        <v>26017</v>
      </c>
      <c r="G4796" s="20" t="s">
        <v>26018</v>
      </c>
      <c r="H4796" s="24"/>
      <c r="I4796" s="24" t="str">
        <f ca="1">IFERROR(__xludf.DUMMYFUNCTION("GOOGLETRANSLATE(F4796,""en"",""pt"")"),"guardas de árvores")</f>
        <v>guardas de árvores</v>
      </c>
      <c r="J4796">
        <f>VLOOKUP(A4796,Pr_Base_LNEC!$A$4:$J$6971,6,FALSE)</f>
        <v>0</v>
      </c>
      <c r="K4796">
        <f>VLOOKUP(A4796,Pr_Base_LNEC!$A$4:$J$6971,7,FALSE)</f>
        <v>0</v>
      </c>
    </row>
    <row r="4797" spans="1:11" ht="14.5">
      <c r="A4797" s="20" t="s">
        <v>26019</v>
      </c>
      <c r="B4797" s="20">
        <v>45</v>
      </c>
      <c r="C4797" s="20">
        <v>63</v>
      </c>
      <c r="D4797" s="20">
        <v>64</v>
      </c>
      <c r="E4797" s="20">
        <v>89</v>
      </c>
      <c r="F4797" s="20" t="s">
        <v>26020</v>
      </c>
      <c r="G4797" s="20" t="s">
        <v>26021</v>
      </c>
      <c r="H4797" s="24"/>
      <c r="I4797" s="24" t="str">
        <f ca="1">IFERROR(__xludf.DUMMYFUNCTION("GOOGLETRANSLATE(F4797,""en"",""pt"")"),"protetores de árvores")</f>
        <v>protetores de árvores</v>
      </c>
      <c r="J4797">
        <f>VLOOKUP(A4797,Pr_Base_LNEC!$A$4:$J$6971,6,FALSE)</f>
        <v>0</v>
      </c>
      <c r="K4797">
        <f>VLOOKUP(A4797,Pr_Base_LNEC!$A$4:$J$6971,7,FALSE)</f>
        <v>0</v>
      </c>
    </row>
    <row r="4798" spans="1:11" ht="14.5">
      <c r="A4798" s="20" t="s">
        <v>26022</v>
      </c>
      <c r="B4798" s="20">
        <v>45</v>
      </c>
      <c r="C4798" s="20">
        <v>63</v>
      </c>
      <c r="D4798" s="20">
        <v>64</v>
      </c>
      <c r="E4798" s="20">
        <v>90</v>
      </c>
      <c r="F4798" s="20" t="s">
        <v>26023</v>
      </c>
      <c r="G4798" s="20" t="s">
        <v>26024</v>
      </c>
      <c r="H4798" s="24"/>
      <c r="I4798" s="24" t="str">
        <f ca="1">IFERROR(__xludf.DUMMYFUNCTION("GOOGLETRANSLATE(F4798,""en"",""pt"")"),"treliças")</f>
        <v>treliças</v>
      </c>
      <c r="J4798">
        <f>VLOOKUP(A4798,Pr_Base_LNEC!$A$4:$J$6971,6,FALSE)</f>
        <v>0</v>
      </c>
      <c r="K4798">
        <f>VLOOKUP(A4798,Pr_Base_LNEC!$A$4:$J$6971,7,FALSE)</f>
        <v>0</v>
      </c>
    </row>
    <row r="4799" spans="1:11" ht="14.5">
      <c r="A4799" s="20" t="s">
        <v>26025</v>
      </c>
      <c r="B4799" s="20">
        <v>45</v>
      </c>
      <c r="C4799" s="20">
        <v>63</v>
      </c>
      <c r="D4799" s="20">
        <v>64</v>
      </c>
      <c r="E4799" s="20">
        <v>96</v>
      </c>
      <c r="F4799" s="20" t="s">
        <v>26026</v>
      </c>
      <c r="G4799" s="20" t="s">
        <v>26027</v>
      </c>
      <c r="H4799" s="24"/>
      <c r="I4799" s="24" t="str">
        <f ca="1">IFERROR(__xludf.DUMMYFUNCTION("GOOGLETRANSLATE(F4799,""en"",""pt"")"),"esteiras de controlo de ervas daninhas")</f>
        <v>esteiras de controlo de ervas daninhas</v>
      </c>
      <c r="J4799">
        <f>VLOOKUP(A4799,Pr_Base_LNEC!$A$4:$J$6971,6,FALSE)</f>
        <v>0</v>
      </c>
      <c r="K4799">
        <f>VLOOKUP(A4799,Pr_Base_LNEC!$A$4:$J$6971,7,FALSE)</f>
        <v>0</v>
      </c>
    </row>
    <row r="4800" spans="1:11" ht="14.5">
      <c r="A4800" s="20" t="s">
        <v>26028</v>
      </c>
      <c r="B4800" s="20">
        <v>50</v>
      </c>
      <c r="C4800" s="24"/>
      <c r="D4800" s="24"/>
      <c r="E4800" s="24"/>
      <c r="F4800" s="20" t="s">
        <v>26029</v>
      </c>
      <c r="G4800" s="24"/>
      <c r="H4800" s="24"/>
      <c r="I4800" s="24" t="str">
        <f ca="1">IFERROR(__xludf.DUMMYFUNCTION("GOOGLETRANSLATE(F4800,""en"",""pt"")"),"produtos acessórios de tecido")</f>
        <v>produtos acessórios de tecido</v>
      </c>
      <c r="J4800" t="str">
        <f>VLOOKUP(A4800,Pr_Base_LNEC!$A$4:$J$6971,6,FALSE)</f>
        <v>Produtos Suplementares à Construção</v>
      </c>
      <c r="K4800">
        <f>VLOOKUP(A4800,Pr_Base_LNEC!$A$4:$J$6971,7,FALSE)</f>
        <v>0</v>
      </c>
    </row>
    <row r="4801" spans="1:11" ht="14.5">
      <c r="A4801" s="20" t="s">
        <v>26030</v>
      </c>
      <c r="B4801" s="20">
        <v>60</v>
      </c>
      <c r="C4801" s="24"/>
      <c r="D4801" s="24"/>
      <c r="E4801" s="24"/>
      <c r="F4801" s="20" t="s">
        <v>26031</v>
      </c>
      <c r="G4801" s="24"/>
      <c r="H4801" s="24"/>
      <c r="I4801" s="24" t="str">
        <f ca="1">IFERROR(__xludf.DUMMYFUNCTION("GOOGLETRANSLATE(F4801,""en"",""pt"")"),"produtos de código de serviços")</f>
        <v>produtos de código de serviços</v>
      </c>
      <c r="J4801" t="str">
        <f>VLOOKUP(A4801,Pr_Base_LNEC!$A$4:$J$6971,6,FALSE)</f>
        <v>Produtos para Fontes e Fornecimento de Serviços</v>
      </c>
      <c r="K4801">
        <f>VLOOKUP(A4801,Pr_Base_LNEC!$A$4:$J$6971,7,FALSE)</f>
        <v>0</v>
      </c>
    </row>
    <row r="4802" spans="1:11" ht="14.5">
      <c r="A4802" s="20" t="s">
        <v>26032</v>
      </c>
      <c r="B4802" s="20">
        <v>60</v>
      </c>
      <c r="C4802" s="20">
        <v>45</v>
      </c>
      <c r="D4802" s="24"/>
      <c r="E4802" s="24"/>
      <c r="F4802" s="20" t="s">
        <v>26033</v>
      </c>
      <c r="G4802" s="24"/>
      <c r="H4802" s="24"/>
      <c r="I4802" s="24" t="str">
        <f ca="1">IFERROR(__xludf.DUMMYFUNCTION("GOOGLETRANSLATE(F4802,""en"",""pt"")"),"filtração da água e dos produtos de tratamento")</f>
        <v>filtração da água e dos produtos de tratamento</v>
      </c>
      <c r="J4802" t="str">
        <f>VLOOKUP(A4802,Pr_Base_LNEC!$A$4:$J$6971,6,FALSE)</f>
        <v>Produtos para Filtração de água e para Tratamento de água</v>
      </c>
      <c r="K4802">
        <f>VLOOKUP(A4802,Pr_Base_LNEC!$A$4:$J$6971,7,FALSE)</f>
        <v>0</v>
      </c>
    </row>
    <row r="4803" spans="1:11" ht="14.5">
      <c r="A4803" s="20" t="s">
        <v>26034</v>
      </c>
      <c r="B4803" s="20">
        <v>60</v>
      </c>
      <c r="C4803" s="20">
        <v>45</v>
      </c>
      <c r="D4803" s="20">
        <v>1</v>
      </c>
      <c r="E4803" s="24"/>
      <c r="F4803" s="20" t="s">
        <v>26035</v>
      </c>
      <c r="G4803" s="24"/>
      <c r="H4803" s="24"/>
      <c r="I4803" s="24" t="str">
        <f ca="1">IFERROR(__xludf.DUMMYFUNCTION("GOOGLETRANSLATE(F4803,""en"",""pt"")"),"produtos arejador")</f>
        <v>produtos arejador</v>
      </c>
      <c r="J4803">
        <f>VLOOKUP(A4803,Pr_Base_LNEC!$A$4:$J$6971,6,FALSE)</f>
        <v>0</v>
      </c>
      <c r="K4803">
        <f>VLOOKUP(A4803,Pr_Base_LNEC!$A$4:$J$6971,7,FALSE)</f>
        <v>0</v>
      </c>
    </row>
    <row r="4804" spans="1:11" ht="14.5">
      <c r="A4804" s="20" t="s">
        <v>26036</v>
      </c>
      <c r="B4804" s="20">
        <v>60</v>
      </c>
      <c r="C4804" s="20">
        <v>45</v>
      </c>
      <c r="D4804" s="20">
        <v>1</v>
      </c>
      <c r="E4804" s="20">
        <v>11</v>
      </c>
      <c r="F4804" s="20" t="s">
        <v>26037</v>
      </c>
      <c r="G4804" s="20" t="s">
        <v>26038</v>
      </c>
      <c r="H4804" s="24"/>
      <c r="I4804" s="24" t="str">
        <f ca="1">IFERROR(__xludf.DUMMYFUNCTION("GOOGLETRANSLATE(F4804,""en"",""pt"")"),"bandejas Cascade")</f>
        <v>bandejas Cascade</v>
      </c>
      <c r="J4804">
        <f>VLOOKUP(A4804,Pr_Base_LNEC!$A$4:$J$6971,6,FALSE)</f>
        <v>0</v>
      </c>
      <c r="K4804">
        <f>VLOOKUP(A4804,Pr_Base_LNEC!$A$4:$J$6971,7,FALSE)</f>
        <v>0</v>
      </c>
    </row>
    <row r="4805" spans="1:11" ht="14.5">
      <c r="A4805" s="20" t="s">
        <v>26039</v>
      </c>
      <c r="B4805" s="20">
        <v>60</v>
      </c>
      <c r="C4805" s="20">
        <v>45</v>
      </c>
      <c r="D4805" s="20">
        <v>1</v>
      </c>
      <c r="E4805" s="20">
        <v>30</v>
      </c>
      <c r="F4805" s="20" t="s">
        <v>26040</v>
      </c>
      <c r="G4805" s="20" t="s">
        <v>26041</v>
      </c>
      <c r="H4805" s="24"/>
      <c r="I4805" s="24" t="str">
        <f ca="1">IFERROR(__xludf.DUMMYFUNCTION("GOOGLETRANSLATE(F4805,""en"",""pt"")"),"manifolds bolha difusor finas")</f>
        <v>manifolds bolha difusor finas</v>
      </c>
      <c r="J4805">
        <f>VLOOKUP(A4805,Pr_Base_LNEC!$A$4:$J$6971,6,FALSE)</f>
        <v>0</v>
      </c>
      <c r="K4805">
        <f>VLOOKUP(A4805,Pr_Base_LNEC!$A$4:$J$6971,7,FALSE)</f>
        <v>0</v>
      </c>
    </row>
    <row r="4806" spans="1:11" ht="14.5">
      <c r="A4806" s="20" t="s">
        <v>26042</v>
      </c>
      <c r="B4806" s="20">
        <v>60</v>
      </c>
      <c r="C4806" s="20">
        <v>45</v>
      </c>
      <c r="D4806" s="20">
        <v>1</v>
      </c>
      <c r="E4806" s="20">
        <v>37</v>
      </c>
      <c r="F4806" s="20" t="s">
        <v>26043</v>
      </c>
      <c r="G4806" s="20" t="s">
        <v>26044</v>
      </c>
      <c r="H4806" s="24"/>
      <c r="I4806" s="24" t="str">
        <f ca="1">IFERROR(__xludf.DUMMYFUNCTION("GOOGLETRANSLATE(F4806,""en"",""pt"")"),"Alta velocidade arejadores de superfície de eixo vertical")</f>
        <v>Alta velocidade arejadores de superfície de eixo vertical</v>
      </c>
      <c r="J4806">
        <f>VLOOKUP(A4806,Pr_Base_LNEC!$A$4:$J$6971,6,FALSE)</f>
        <v>0</v>
      </c>
      <c r="K4806">
        <f>VLOOKUP(A4806,Pr_Base_LNEC!$A$4:$J$6971,7,FALSE)</f>
        <v>0</v>
      </c>
    </row>
    <row r="4807" spans="1:11" ht="14.5">
      <c r="A4807" s="20" t="s">
        <v>26045</v>
      </c>
      <c r="B4807" s="20">
        <v>60</v>
      </c>
      <c r="C4807" s="20">
        <v>45</v>
      </c>
      <c r="D4807" s="20">
        <v>1</v>
      </c>
      <c r="E4807" s="20">
        <v>38</v>
      </c>
      <c r="F4807" s="20" t="s">
        <v>26046</v>
      </c>
      <c r="G4807" s="20" t="s">
        <v>26047</v>
      </c>
      <c r="H4807" s="24"/>
      <c r="I4807" s="24" t="str">
        <f ca="1">IFERROR(__xludf.DUMMYFUNCTION("GOOGLETRANSLATE(F4807,""en"",""pt"")"),"arejadores de superfície de eixo horizontal")</f>
        <v>arejadores de superfície de eixo horizontal</v>
      </c>
      <c r="J4807">
        <f>VLOOKUP(A4807,Pr_Base_LNEC!$A$4:$J$6971,6,FALSE)</f>
        <v>0</v>
      </c>
      <c r="K4807">
        <f>VLOOKUP(A4807,Pr_Base_LNEC!$A$4:$J$6971,7,FALSE)</f>
        <v>0</v>
      </c>
    </row>
    <row r="4808" spans="1:11" ht="14.5">
      <c r="A4808" s="20" t="s">
        <v>26048</v>
      </c>
      <c r="B4808" s="20">
        <v>60</v>
      </c>
      <c r="C4808" s="20">
        <v>45</v>
      </c>
      <c r="D4808" s="20">
        <v>1</v>
      </c>
      <c r="E4808" s="20">
        <v>44</v>
      </c>
      <c r="F4808" s="20" t="s">
        <v>26049</v>
      </c>
      <c r="G4808" s="20" t="s">
        <v>26050</v>
      </c>
      <c r="H4808" s="24"/>
      <c r="I4808" s="24" t="str">
        <f ca="1">IFERROR(__xludf.DUMMYFUNCTION("GOOGLETRANSLATE(F4808,""en"",""pt"")"),"manifolds Jet aeração")</f>
        <v>manifolds Jet aeração</v>
      </c>
      <c r="J4808">
        <f>VLOOKUP(A4808,Pr_Base_LNEC!$A$4:$J$6971,6,FALSE)</f>
        <v>0</v>
      </c>
      <c r="K4808">
        <f>VLOOKUP(A4808,Pr_Base_LNEC!$A$4:$J$6971,7,FALSE)</f>
        <v>0</v>
      </c>
    </row>
    <row r="4809" spans="1:11" ht="14.5">
      <c r="A4809" s="20" t="s">
        <v>26051</v>
      </c>
      <c r="B4809" s="20">
        <v>60</v>
      </c>
      <c r="C4809" s="20">
        <v>45</v>
      </c>
      <c r="D4809" s="20">
        <v>1</v>
      </c>
      <c r="E4809" s="20">
        <v>48</v>
      </c>
      <c r="F4809" s="20" t="s">
        <v>26052</v>
      </c>
      <c r="G4809" s="20" t="s">
        <v>26053</v>
      </c>
      <c r="H4809" s="24"/>
      <c r="I4809" s="24" t="str">
        <f ca="1">IFERROR(__xludf.DUMMYFUNCTION("GOOGLETRANSLATE(F4809,""en"",""pt"")"),"Baixa velocidade arejadores de superfície de eixo vertical")</f>
        <v>Baixa velocidade arejadores de superfície de eixo vertical</v>
      </c>
      <c r="J4809">
        <f>VLOOKUP(A4809,Pr_Base_LNEC!$A$4:$J$6971,6,FALSE)</f>
        <v>0</v>
      </c>
      <c r="K4809">
        <f>VLOOKUP(A4809,Pr_Base_LNEC!$A$4:$J$6971,7,FALSE)</f>
        <v>0</v>
      </c>
    </row>
    <row r="4810" spans="1:11" ht="14.5">
      <c r="A4810" s="20" t="s">
        <v>26054</v>
      </c>
      <c r="B4810" s="20">
        <v>60</v>
      </c>
      <c r="C4810" s="20">
        <v>45</v>
      </c>
      <c r="D4810" s="20">
        <v>1</v>
      </c>
      <c r="E4810" s="20">
        <v>96</v>
      </c>
      <c r="F4810" s="20" t="s">
        <v>26055</v>
      </c>
      <c r="G4810" s="20" t="s">
        <v>26056</v>
      </c>
      <c r="H4810" s="24"/>
      <c r="I4810" s="24" t="str">
        <f ca="1">IFERROR(__xludf.DUMMYFUNCTION("GOOGLETRANSLATE(F4810,""en"",""pt"")"),"Enrole arejadores movidos")</f>
        <v>Enrole arejadores movidos</v>
      </c>
      <c r="J4810">
        <f>VLOOKUP(A4810,Pr_Base_LNEC!$A$4:$J$6971,6,FALSE)</f>
        <v>0</v>
      </c>
      <c r="K4810">
        <f>VLOOKUP(A4810,Pr_Base_LNEC!$A$4:$J$6971,7,FALSE)</f>
        <v>0</v>
      </c>
    </row>
    <row r="4811" spans="1:11" ht="14.5">
      <c r="A4811" s="20" t="s">
        <v>26057</v>
      </c>
      <c r="B4811" s="20">
        <v>60</v>
      </c>
      <c r="C4811" s="20">
        <v>45</v>
      </c>
      <c r="D4811" s="20">
        <v>3</v>
      </c>
      <c r="E4811" s="24"/>
      <c r="F4811" s="20" t="s">
        <v>26058</v>
      </c>
      <c r="G4811" s="24"/>
      <c r="H4811" s="24"/>
      <c r="I4811" s="24" t="str">
        <f ca="1">IFERROR(__xludf.DUMMYFUNCTION("GOOGLETRANSLATE(F4811,""en"",""pt"")"),"produtos de sopradores de ar")</f>
        <v>produtos de sopradores de ar</v>
      </c>
      <c r="J4811">
        <f>VLOOKUP(A4811,Pr_Base_LNEC!$A$4:$J$6971,6,FALSE)</f>
        <v>0</v>
      </c>
      <c r="K4811">
        <f>VLOOKUP(A4811,Pr_Base_LNEC!$A$4:$J$6971,7,FALSE)</f>
        <v>0</v>
      </c>
    </row>
    <row r="4812" spans="1:11" ht="14.5">
      <c r="A4812" s="20" t="s">
        <v>26059</v>
      </c>
      <c r="B4812" s="20">
        <v>60</v>
      </c>
      <c r="C4812" s="20">
        <v>45</v>
      </c>
      <c r="D4812" s="20">
        <v>3</v>
      </c>
      <c r="E4812" s="20">
        <v>12</v>
      </c>
      <c r="F4812" s="20" t="s">
        <v>26060</v>
      </c>
      <c r="G4812" s="20" t="s">
        <v>26061</v>
      </c>
      <c r="H4812" s="24"/>
      <c r="I4812" s="24" t="str">
        <f ca="1">IFERROR(__xludf.DUMMYFUNCTION("GOOGLETRANSLATE(F4812,""en"",""pt"")"),"ventiladores centrífugos")</f>
        <v>ventiladores centrífugos</v>
      </c>
      <c r="J4812">
        <f>VLOOKUP(A4812,Pr_Base_LNEC!$A$4:$J$6971,6,FALSE)</f>
        <v>0</v>
      </c>
      <c r="K4812">
        <f>VLOOKUP(A4812,Pr_Base_LNEC!$A$4:$J$6971,7,FALSE)</f>
        <v>0</v>
      </c>
    </row>
    <row r="4813" spans="1:11" ht="14.5">
      <c r="A4813" s="20" t="s">
        <v>26062</v>
      </c>
      <c r="B4813" s="20">
        <v>60</v>
      </c>
      <c r="C4813" s="20">
        <v>45</v>
      </c>
      <c r="D4813" s="20">
        <v>3</v>
      </c>
      <c r="E4813" s="20">
        <v>55</v>
      </c>
      <c r="F4813" s="20" t="s">
        <v>26063</v>
      </c>
      <c r="G4813" s="24"/>
      <c r="H4813" s="24"/>
      <c r="I4813" s="24" t="str">
        <f ca="1">IFERROR(__xludf.DUMMYFUNCTION("GOOGLETRANSLATE(F4813,""en"",""pt"")"),"sopradores multicore")</f>
        <v>sopradores multicore</v>
      </c>
      <c r="J4813" t="e">
        <f>VLOOKUP(A4813,Pr_Base_LNEC!$A$4:$J$6971,6,FALSE)</f>
        <v>#N/A</v>
      </c>
      <c r="K4813" t="e">
        <f>VLOOKUP(A4813,Pr_Base_LNEC!$A$4:$J$6971,7,FALSE)</f>
        <v>#N/A</v>
      </c>
    </row>
    <row r="4814" spans="1:11" ht="14.5">
      <c r="A4814" s="20" t="s">
        <v>26064</v>
      </c>
      <c r="B4814" s="20">
        <v>60</v>
      </c>
      <c r="C4814" s="20">
        <v>45</v>
      </c>
      <c r="D4814" s="20">
        <v>3</v>
      </c>
      <c r="E4814" s="20">
        <v>72</v>
      </c>
      <c r="F4814" s="20" t="s">
        <v>26065</v>
      </c>
      <c r="G4814" s="20" t="s">
        <v>26066</v>
      </c>
      <c r="H4814" s="24"/>
      <c r="I4814" s="24" t="str">
        <f ca="1">IFERROR(__xludf.DUMMYFUNCTION("GOOGLETRANSLATE(F4814,""en"",""pt"")"),"sopradores de ar rotativo lóbulo")</f>
        <v>sopradores de ar rotativo lóbulo</v>
      </c>
      <c r="J4814">
        <f>VLOOKUP(A4814,Pr_Base_LNEC!$A$4:$J$6971,6,FALSE)</f>
        <v>0</v>
      </c>
      <c r="K4814">
        <f>VLOOKUP(A4814,Pr_Base_LNEC!$A$4:$J$6971,7,FALSE)</f>
        <v>0</v>
      </c>
    </row>
    <row r="4815" spans="1:11" ht="14.5">
      <c r="A4815" s="20" t="s">
        <v>26067</v>
      </c>
      <c r="B4815" s="20">
        <v>60</v>
      </c>
      <c r="C4815" s="20">
        <v>45</v>
      </c>
      <c r="D4815" s="20">
        <v>3</v>
      </c>
      <c r="E4815" s="20">
        <v>73</v>
      </c>
      <c r="F4815" s="20" t="s">
        <v>26068</v>
      </c>
      <c r="G4815" s="20" t="s">
        <v>26069</v>
      </c>
      <c r="H4815" s="24"/>
      <c r="I4815" s="24" t="str">
        <f ca="1">IFERROR(__xludf.DUMMYFUNCTION("GOOGLETRANSLATE(F4815,""en"",""pt"")"),"sopradores de parafuso rotativos")</f>
        <v>sopradores de parafuso rotativos</v>
      </c>
      <c r="J4815">
        <f>VLOOKUP(A4815,Pr_Base_LNEC!$A$4:$J$6971,6,FALSE)</f>
        <v>0</v>
      </c>
      <c r="K4815">
        <f>VLOOKUP(A4815,Pr_Base_LNEC!$A$4:$J$6971,7,FALSE)</f>
        <v>0</v>
      </c>
    </row>
    <row r="4816" spans="1:11" ht="14.5">
      <c r="A4816" s="20" t="s">
        <v>26070</v>
      </c>
      <c r="B4816" s="20">
        <v>60</v>
      </c>
      <c r="C4816" s="20">
        <v>45</v>
      </c>
      <c r="D4816" s="20">
        <v>3</v>
      </c>
      <c r="E4816" s="20">
        <v>78</v>
      </c>
      <c r="F4816" s="20" t="s">
        <v>26071</v>
      </c>
      <c r="G4816" s="20" t="s">
        <v>26072</v>
      </c>
      <c r="H4816" s="24"/>
      <c r="I4816" s="24" t="str">
        <f ca="1">IFERROR(__xludf.DUMMYFUNCTION("GOOGLETRANSLATE(F4816,""en"",""pt"")"),"sopradores de canal lateral")</f>
        <v>sopradores de canal lateral</v>
      </c>
      <c r="J4816">
        <f>VLOOKUP(A4816,Pr_Base_LNEC!$A$4:$J$6971,6,FALSE)</f>
        <v>0</v>
      </c>
      <c r="K4816">
        <f>VLOOKUP(A4816,Pr_Base_LNEC!$A$4:$J$6971,7,FALSE)</f>
        <v>0</v>
      </c>
    </row>
    <row r="4817" spans="1:11" ht="14.5">
      <c r="A4817" s="20" t="s">
        <v>26073</v>
      </c>
      <c r="B4817" s="20">
        <v>60</v>
      </c>
      <c r="C4817" s="20">
        <v>45</v>
      </c>
      <c r="D4817" s="20">
        <v>3</v>
      </c>
      <c r="E4817" s="20">
        <v>90</v>
      </c>
      <c r="F4817" s="20" t="s">
        <v>26074</v>
      </c>
      <c r="G4817" s="24"/>
      <c r="H4817" s="24"/>
      <c r="I4817" s="24" t="str">
        <f ca="1">IFERROR(__xludf.DUMMYFUNCTION("GOOGLETRANSLATE(F4817,""en"",""pt"")"),"ventiladores turbo")</f>
        <v>ventiladores turbo</v>
      </c>
      <c r="J4817" t="e">
        <f>VLOOKUP(A4817,Pr_Base_LNEC!$A$4:$J$6971,6,FALSE)</f>
        <v>#N/A</v>
      </c>
      <c r="K4817" t="e">
        <f>VLOOKUP(A4817,Pr_Base_LNEC!$A$4:$J$6971,7,FALSE)</f>
        <v>#N/A</v>
      </c>
    </row>
    <row r="4818" spans="1:11" ht="14.5">
      <c r="A4818" s="20" t="s">
        <v>26075</v>
      </c>
      <c r="B4818" s="20">
        <v>60</v>
      </c>
      <c r="C4818" s="20">
        <v>45</v>
      </c>
      <c r="D4818" s="20">
        <v>7</v>
      </c>
      <c r="E4818" s="24"/>
      <c r="F4818" s="20" t="s">
        <v>26076</v>
      </c>
      <c r="G4818" s="24"/>
      <c r="H4818" s="24"/>
      <c r="I4818" s="24" t="str">
        <f ca="1">IFERROR(__xludf.DUMMYFUNCTION("GOOGLETRANSLATE(F4818,""en"",""pt"")"),"filtração biológica produtos de tratamento de efluentes")</f>
        <v>filtração biológica produtos de tratamento de efluentes</v>
      </c>
      <c r="J4818">
        <f>VLOOKUP(A4818,Pr_Base_LNEC!$A$4:$J$6971,6,FALSE)</f>
        <v>0</v>
      </c>
      <c r="K4818">
        <f>VLOOKUP(A4818,Pr_Base_LNEC!$A$4:$J$6971,7,FALSE)</f>
        <v>0</v>
      </c>
    </row>
    <row r="4819" spans="1:11" ht="14.5">
      <c r="A4819" s="20" t="s">
        <v>26077</v>
      </c>
      <c r="B4819" s="20">
        <v>60</v>
      </c>
      <c r="C4819" s="20">
        <v>45</v>
      </c>
      <c r="D4819" s="20">
        <v>7</v>
      </c>
      <c r="E4819" s="20">
        <v>21</v>
      </c>
      <c r="F4819" s="20" t="s">
        <v>26078</v>
      </c>
      <c r="G4819" s="20" t="s">
        <v>26079</v>
      </c>
      <c r="H4819" s="24"/>
      <c r="I4819" s="24" t="str">
        <f ca="1">IFERROR(__xludf.DUMMYFUNCTION("GOOGLETRANSLATE(F4819,""en"",""pt"")"),"separadores de Hoxar")</f>
        <v>separadores de Hoxar</v>
      </c>
      <c r="J4819">
        <f>VLOOKUP(A4819,Pr_Base_LNEC!$A$4:$J$6971,6,FALSE)</f>
        <v>0</v>
      </c>
      <c r="K4819">
        <f>VLOOKUP(A4819,Pr_Base_LNEC!$A$4:$J$6971,7,FALSE)</f>
        <v>0</v>
      </c>
    </row>
    <row r="4820" spans="1:11" ht="14.5">
      <c r="A4820" s="20" t="s">
        <v>26080</v>
      </c>
      <c r="B4820" s="20">
        <v>60</v>
      </c>
      <c r="C4820" s="20">
        <v>45</v>
      </c>
      <c r="D4820" s="20">
        <v>7</v>
      </c>
      <c r="E4820" s="20">
        <v>22</v>
      </c>
      <c r="F4820" s="20" t="s">
        <v>26081</v>
      </c>
      <c r="G4820" s="20" t="s">
        <v>26082</v>
      </c>
      <c r="H4820" s="24"/>
      <c r="I4820" s="24" t="str">
        <f ca="1">IFERROR(__xludf.DUMMYFUNCTION("GOOGLETRANSLATE(F4820,""en"",""pt"")"),"plantas de flotação por ar dissolvido")</f>
        <v>plantas de flotação por ar dissolvido</v>
      </c>
      <c r="J4820">
        <f>VLOOKUP(A4820,Pr_Base_LNEC!$A$4:$J$6971,6,FALSE)</f>
        <v>0</v>
      </c>
      <c r="K4820">
        <f>VLOOKUP(A4820,Pr_Base_LNEC!$A$4:$J$6971,7,FALSE)</f>
        <v>0</v>
      </c>
    </row>
    <row r="4821" spans="1:11" ht="14.5">
      <c r="A4821" s="20" t="s">
        <v>26083</v>
      </c>
      <c r="B4821" s="20">
        <v>60</v>
      </c>
      <c r="C4821" s="20">
        <v>45</v>
      </c>
      <c r="D4821" s="20">
        <v>7</v>
      </c>
      <c r="E4821" s="20">
        <v>23</v>
      </c>
      <c r="F4821" s="20" t="s">
        <v>26084</v>
      </c>
      <c r="G4821" s="20" t="s">
        <v>26085</v>
      </c>
      <c r="H4821" s="24"/>
      <c r="I4821" s="24" t="str">
        <f ca="1">IFERROR(__xludf.DUMMYFUNCTION("GOOGLETRANSLATE(F4821,""en"",""pt"")"),"filtros biológicos disco")</f>
        <v>filtros biológicos disco</v>
      </c>
      <c r="J4821">
        <f>VLOOKUP(A4821,Pr_Base_LNEC!$A$4:$J$6971,6,FALSE)</f>
        <v>0</v>
      </c>
      <c r="K4821">
        <f>VLOOKUP(A4821,Pr_Base_LNEC!$A$4:$J$6971,7,FALSE)</f>
        <v>0</v>
      </c>
    </row>
    <row r="4822" spans="1:11" ht="14.5">
      <c r="A4822" s="20" t="s">
        <v>26086</v>
      </c>
      <c r="B4822" s="20">
        <v>60</v>
      </c>
      <c r="C4822" s="20">
        <v>45</v>
      </c>
      <c r="D4822" s="20">
        <v>7</v>
      </c>
      <c r="E4822" s="20">
        <v>25</v>
      </c>
      <c r="F4822" s="20" t="s">
        <v>26087</v>
      </c>
      <c r="G4822" s="20" t="s">
        <v>26088</v>
      </c>
      <c r="H4822" s="24"/>
      <c r="I4822" s="24" t="str">
        <f ca="1">IFERROR(__xludf.DUMMYFUNCTION("GOOGLETRANSLATE(F4822,""en"",""pt"")"),"filtros de tambor")</f>
        <v>filtros de tambor</v>
      </c>
      <c r="J4822">
        <f>VLOOKUP(A4822,Pr_Base_LNEC!$A$4:$J$6971,6,FALSE)</f>
        <v>0</v>
      </c>
      <c r="K4822">
        <f>VLOOKUP(A4822,Pr_Base_LNEC!$A$4:$J$6971,7,FALSE)</f>
        <v>0</v>
      </c>
    </row>
    <row r="4823" spans="1:11" ht="14.5">
      <c r="A4823" s="20" t="s">
        <v>26089</v>
      </c>
      <c r="B4823" s="20">
        <v>60</v>
      </c>
      <c r="C4823" s="20">
        <v>45</v>
      </c>
      <c r="D4823" s="20">
        <v>7</v>
      </c>
      <c r="E4823" s="20">
        <v>46</v>
      </c>
      <c r="F4823" s="20" t="s">
        <v>26090</v>
      </c>
      <c r="G4823" s="20" t="s">
        <v>26091</v>
      </c>
      <c r="H4823" s="24"/>
      <c r="I4823" s="24" t="str">
        <f ca="1">IFERROR(__xludf.DUMMYFUNCTION("GOOGLETRANSLATE(F4823,""en"",""pt"")"),"conjuntos de lâminas de lamelas")</f>
        <v>conjuntos de lâminas de lamelas</v>
      </c>
      <c r="J4823">
        <f>VLOOKUP(A4823,Pr_Base_LNEC!$A$4:$J$6971,6,FALSE)</f>
        <v>0</v>
      </c>
      <c r="K4823">
        <f>VLOOKUP(A4823,Pr_Base_LNEC!$A$4:$J$6971,7,FALSE)</f>
        <v>0</v>
      </c>
    </row>
    <row r="4824" spans="1:11" ht="14.5">
      <c r="A4824" s="20" t="s">
        <v>26092</v>
      </c>
      <c r="B4824" s="20">
        <v>60</v>
      </c>
      <c r="C4824" s="20">
        <v>45</v>
      </c>
      <c r="D4824" s="20">
        <v>7</v>
      </c>
      <c r="E4824" s="20">
        <v>51</v>
      </c>
      <c r="F4824" s="20" t="s">
        <v>26093</v>
      </c>
      <c r="G4824" s="20" t="s">
        <v>26094</v>
      </c>
      <c r="H4824" s="24"/>
      <c r="I4824" s="24" t="str">
        <f ca="1">IFERROR(__xludf.DUMMYFUNCTION("GOOGLETRANSLATE(F4824,""en"",""pt"")"),"bio-reactores de membrana")</f>
        <v>bio-reactores de membrana</v>
      </c>
      <c r="J4824">
        <f>VLOOKUP(A4824,Pr_Base_LNEC!$A$4:$J$6971,6,FALSE)</f>
        <v>0</v>
      </c>
      <c r="K4824">
        <f>VLOOKUP(A4824,Pr_Base_LNEC!$A$4:$J$6971,7,FALSE)</f>
        <v>0</v>
      </c>
    </row>
    <row r="4825" spans="1:11" ht="14.5">
      <c r="A4825" s="20" t="s">
        <v>26095</v>
      </c>
      <c r="B4825" s="20">
        <v>60</v>
      </c>
      <c r="C4825" s="20">
        <v>45</v>
      </c>
      <c r="D4825" s="20">
        <v>7</v>
      </c>
      <c r="E4825" s="20">
        <v>60</v>
      </c>
      <c r="F4825" s="20" t="s">
        <v>26096</v>
      </c>
      <c r="G4825" s="20" t="s">
        <v>26097</v>
      </c>
      <c r="H4825" s="24"/>
      <c r="I4825" s="24" t="str">
        <f ca="1">IFERROR(__xludf.DUMMYFUNCTION("GOOGLETRANSLATE(F4825,""en"",""pt"")"),"unidades de lamelas embalados")</f>
        <v>unidades de lamelas embalados</v>
      </c>
      <c r="J4825">
        <f>VLOOKUP(A4825,Pr_Base_LNEC!$A$4:$J$6971,6,FALSE)</f>
        <v>0</v>
      </c>
      <c r="K4825">
        <f>VLOOKUP(A4825,Pr_Base_LNEC!$A$4:$J$6971,7,FALSE)</f>
        <v>0</v>
      </c>
    </row>
    <row r="4826" spans="1:11" ht="14.5">
      <c r="A4826" s="20" t="s">
        <v>26098</v>
      </c>
      <c r="B4826" s="20">
        <v>60</v>
      </c>
      <c r="C4826" s="20">
        <v>45</v>
      </c>
      <c r="D4826" s="20">
        <v>7</v>
      </c>
      <c r="E4826" s="20">
        <v>72</v>
      </c>
      <c r="F4826" s="20" t="s">
        <v>26099</v>
      </c>
      <c r="G4826" s="20" t="s">
        <v>26100</v>
      </c>
      <c r="H4826" s="24"/>
      <c r="I4826" s="24" t="str">
        <f ca="1">IFERROR(__xludf.DUMMYFUNCTION("GOOGLETRANSLATE(F4826,""en"",""pt"")"),"Discos biológicos")</f>
        <v>Discos biológicos</v>
      </c>
      <c r="J4826">
        <f>VLOOKUP(A4826,Pr_Base_LNEC!$A$4:$J$6971,6,FALSE)</f>
        <v>0</v>
      </c>
      <c r="K4826">
        <f>VLOOKUP(A4826,Pr_Base_LNEC!$A$4:$J$6971,7,FALSE)</f>
        <v>0</v>
      </c>
    </row>
    <row r="4827" spans="1:11" ht="14.5">
      <c r="A4827" s="20" t="s">
        <v>26101</v>
      </c>
      <c r="B4827" s="20">
        <v>60</v>
      </c>
      <c r="C4827" s="20">
        <v>45</v>
      </c>
      <c r="D4827" s="20">
        <v>12</v>
      </c>
      <c r="E4827" s="24"/>
      <c r="F4827" s="20" t="s">
        <v>26102</v>
      </c>
      <c r="G4827" s="24"/>
      <c r="H4827" s="24"/>
      <c r="I4827" s="24" t="str">
        <f ca="1">IFERROR(__xludf.DUMMYFUNCTION("GOOGLETRANSLATE(F4827,""en"",""pt"")"),"produtos centrífuga")</f>
        <v>produtos centrífuga</v>
      </c>
      <c r="J4827">
        <f>VLOOKUP(A4827,Pr_Base_LNEC!$A$4:$J$6971,6,FALSE)</f>
        <v>0</v>
      </c>
      <c r="K4827">
        <f>VLOOKUP(A4827,Pr_Base_LNEC!$A$4:$J$6971,7,FALSE)</f>
        <v>0</v>
      </c>
    </row>
    <row r="4828" spans="1:11" ht="14.5">
      <c r="A4828" s="20" t="s">
        <v>26103</v>
      </c>
      <c r="B4828" s="20">
        <v>60</v>
      </c>
      <c r="C4828" s="20">
        <v>45</v>
      </c>
      <c r="D4828" s="20">
        <v>22</v>
      </c>
      <c r="E4828" s="24"/>
      <c r="F4828" s="20" t="s">
        <v>26104</v>
      </c>
      <c r="G4828" s="24"/>
      <c r="H4828" s="24"/>
      <c r="I4828" s="24" t="str">
        <f ca="1">IFERROR(__xludf.DUMMYFUNCTION("GOOGLETRANSLATE(F4828,""en"",""pt"")"),"decantadores")</f>
        <v>decantadores</v>
      </c>
      <c r="J4828">
        <f>VLOOKUP(A4828,Pr_Base_LNEC!$A$4:$J$6971,6,FALSE)</f>
        <v>0</v>
      </c>
      <c r="K4828">
        <f>VLOOKUP(A4828,Pr_Base_LNEC!$A$4:$J$6971,7,FALSE)</f>
        <v>0</v>
      </c>
    </row>
    <row r="4829" spans="1:11" ht="14.5">
      <c r="A4829" s="20" t="s">
        <v>26105</v>
      </c>
      <c r="B4829" s="20">
        <v>60</v>
      </c>
      <c r="C4829" s="20">
        <v>45</v>
      </c>
      <c r="D4829" s="20">
        <v>22</v>
      </c>
      <c r="E4829" s="20">
        <v>30</v>
      </c>
      <c r="F4829" s="20" t="s">
        <v>26106</v>
      </c>
      <c r="G4829" s="20" t="s">
        <v>26107</v>
      </c>
      <c r="H4829" s="24"/>
      <c r="I4829" s="24" t="str">
        <f ca="1">IFERROR(__xludf.DUMMYFUNCTION("GOOGLETRANSLATE(F4829,""en"",""pt"")"),"flutuante decantadores")</f>
        <v>flutuante decantadores</v>
      </c>
      <c r="J4829">
        <f>VLOOKUP(A4829,Pr_Base_LNEC!$A$4:$J$6971,6,FALSE)</f>
        <v>0</v>
      </c>
      <c r="K4829">
        <f>VLOOKUP(A4829,Pr_Base_LNEC!$A$4:$J$6971,7,FALSE)</f>
        <v>0</v>
      </c>
    </row>
    <row r="4830" spans="1:11" ht="14.5">
      <c r="A4830" s="20" t="s">
        <v>26108</v>
      </c>
      <c r="B4830" s="20">
        <v>60</v>
      </c>
      <c r="C4830" s="20">
        <v>45</v>
      </c>
      <c r="D4830" s="20">
        <v>22</v>
      </c>
      <c r="E4830" s="20">
        <v>52</v>
      </c>
      <c r="F4830" s="20" t="s">
        <v>26109</v>
      </c>
      <c r="G4830" s="20" t="s">
        <v>26110</v>
      </c>
      <c r="H4830" s="24"/>
      <c r="I4830" s="24" t="str">
        <f ca="1">IFERROR(__xludf.DUMMYFUNCTION("GOOGLETRANSLATE(F4830,""en"",""pt"")"),"decantadores em movimento do braço accionado a motor")</f>
        <v>decantadores em movimento do braço accionado a motor</v>
      </c>
      <c r="J4830">
        <f>VLOOKUP(A4830,Pr_Base_LNEC!$A$4:$J$6971,6,FALSE)</f>
        <v>0</v>
      </c>
      <c r="K4830">
        <f>VLOOKUP(A4830,Pr_Base_LNEC!$A$4:$J$6971,7,FALSE)</f>
        <v>0</v>
      </c>
    </row>
    <row r="4831" spans="1:11" ht="14.5">
      <c r="A4831" s="20" t="s">
        <v>26111</v>
      </c>
      <c r="B4831" s="20">
        <v>60</v>
      </c>
      <c r="C4831" s="20">
        <v>45</v>
      </c>
      <c r="D4831" s="20">
        <v>24</v>
      </c>
      <c r="E4831" s="24"/>
      <c r="F4831" s="20" t="s">
        <v>26112</v>
      </c>
      <c r="G4831" s="24"/>
      <c r="H4831" s="24"/>
      <c r="I4831" s="24" t="str">
        <f ca="1">IFERROR(__xludf.DUMMYFUNCTION("GOOGLETRANSLATE(F4831,""en"",""pt"")"),"distribuidor de produtos")</f>
        <v>distribuidor de produtos</v>
      </c>
      <c r="J4831">
        <f>VLOOKUP(A4831,Pr_Base_LNEC!$A$4:$J$6971,6,FALSE)</f>
        <v>0</v>
      </c>
      <c r="K4831">
        <f>VLOOKUP(A4831,Pr_Base_LNEC!$A$4:$J$6971,7,FALSE)</f>
        <v>0</v>
      </c>
    </row>
    <row r="4832" spans="1:11" ht="14.5">
      <c r="A4832" s="20" t="s">
        <v>26113</v>
      </c>
      <c r="B4832" s="20">
        <v>60</v>
      </c>
      <c r="C4832" s="20">
        <v>45</v>
      </c>
      <c r="D4832" s="20">
        <v>24</v>
      </c>
      <c r="E4832" s="20">
        <v>52</v>
      </c>
      <c r="F4832" s="20" t="s">
        <v>26114</v>
      </c>
      <c r="G4832" s="20" t="s">
        <v>26115</v>
      </c>
      <c r="H4832" s="24"/>
      <c r="I4832" s="24" t="str">
        <f ca="1">IFERROR(__xludf.DUMMYFUNCTION("GOOGLETRANSLATE(F4832,""en"",""pt"")"),"Motorizados escorrendo braços distribuidor filtro")</f>
        <v>Motorizados escorrendo braços distribuidor filtro</v>
      </c>
      <c r="J4832">
        <f>VLOOKUP(A4832,Pr_Base_LNEC!$A$4:$J$6971,6,FALSE)</f>
        <v>0</v>
      </c>
      <c r="K4832">
        <f>VLOOKUP(A4832,Pr_Base_LNEC!$A$4:$J$6971,7,FALSE)</f>
        <v>0</v>
      </c>
    </row>
    <row r="4833" spans="1:11" ht="14.5">
      <c r="A4833" s="20" t="s">
        <v>26116</v>
      </c>
      <c r="B4833" s="20">
        <v>60</v>
      </c>
      <c r="C4833" s="20">
        <v>45</v>
      </c>
      <c r="D4833" s="20">
        <v>24</v>
      </c>
      <c r="E4833" s="20">
        <v>60</v>
      </c>
      <c r="F4833" s="20" t="s">
        <v>26117</v>
      </c>
      <c r="G4833" s="20" t="s">
        <v>26118</v>
      </c>
      <c r="H4833" s="24"/>
      <c r="I4833" s="24" t="str">
        <f ca="1">IFERROR(__xludf.DUMMYFUNCTION("GOOGLETRANSLATE(F4833,""en"",""pt"")"),"Roda de pás escorrendo braços distribuidor filtro")</f>
        <v>Roda de pás escorrendo braços distribuidor filtro</v>
      </c>
      <c r="J4833">
        <f>VLOOKUP(A4833,Pr_Base_LNEC!$A$4:$J$6971,6,FALSE)</f>
        <v>0</v>
      </c>
      <c r="K4833">
        <f>VLOOKUP(A4833,Pr_Base_LNEC!$A$4:$J$6971,7,FALSE)</f>
        <v>0</v>
      </c>
    </row>
    <row r="4834" spans="1:11" ht="14.5">
      <c r="A4834" s="20" t="s">
        <v>26119</v>
      </c>
      <c r="B4834" s="20">
        <v>60</v>
      </c>
      <c r="C4834" s="20">
        <v>45</v>
      </c>
      <c r="D4834" s="20">
        <v>24</v>
      </c>
      <c r="E4834" s="20">
        <v>72</v>
      </c>
      <c r="F4834" s="20" t="s">
        <v>26120</v>
      </c>
      <c r="G4834" s="20" t="s">
        <v>26121</v>
      </c>
      <c r="H4834" s="24"/>
      <c r="I4834" s="24" t="str">
        <f ca="1">IFERROR(__xludf.DUMMYFUNCTION("GOOGLETRANSLATE(F4834,""en"",""pt"")"),"reacção rotativo escorrendo braços distribuidor filtro e sifões")</f>
        <v>reacção rotativo escorrendo braços distribuidor filtro e sifões</v>
      </c>
      <c r="J4834">
        <f>VLOOKUP(A4834,Pr_Base_LNEC!$A$4:$J$6971,6,FALSE)</f>
        <v>0</v>
      </c>
      <c r="K4834">
        <f>VLOOKUP(A4834,Pr_Base_LNEC!$A$4:$J$6971,7,FALSE)</f>
        <v>0</v>
      </c>
    </row>
    <row r="4835" spans="1:11" ht="14.5">
      <c r="A4835" s="20" t="s">
        <v>26122</v>
      </c>
      <c r="B4835" s="20">
        <v>60</v>
      </c>
      <c r="C4835" s="20">
        <v>45</v>
      </c>
      <c r="D4835" s="20">
        <v>24</v>
      </c>
      <c r="E4835" s="20">
        <v>90</v>
      </c>
      <c r="F4835" s="20" t="s">
        <v>26123</v>
      </c>
      <c r="G4835" s="20" t="s">
        <v>26124</v>
      </c>
      <c r="H4835" s="24"/>
      <c r="I4835" s="24" t="str">
        <f ca="1">IFERROR(__xludf.DUMMYFUNCTION("GOOGLETRANSLATE(F4835,""en"",""pt"")"),"Turbina braços distribuidor filtro biológico")</f>
        <v>Turbina braços distribuidor filtro biológico</v>
      </c>
      <c r="J4835">
        <f>VLOOKUP(A4835,Pr_Base_LNEC!$A$4:$J$6971,6,FALSE)</f>
        <v>0</v>
      </c>
      <c r="K4835">
        <f>VLOOKUP(A4835,Pr_Base_LNEC!$A$4:$J$6971,7,FALSE)</f>
        <v>0</v>
      </c>
    </row>
    <row r="4836" spans="1:11" ht="14.5">
      <c r="A4836" s="20" t="s">
        <v>26125</v>
      </c>
      <c r="B4836" s="20">
        <v>60</v>
      </c>
      <c r="C4836" s="20">
        <v>45</v>
      </c>
      <c r="D4836" s="20">
        <v>29</v>
      </c>
      <c r="E4836" s="24"/>
      <c r="F4836" s="20" t="s">
        <v>26126</v>
      </c>
      <c r="G4836" s="24"/>
      <c r="H4836" s="24"/>
      <c r="I4836" s="24" t="str">
        <f ca="1">IFERROR(__xludf.DUMMYFUNCTION("GOOGLETRANSLATE(F4836,""en"",""pt"")"),"filtração médiuns")</f>
        <v>filtração médiuns</v>
      </c>
      <c r="J4836">
        <f>VLOOKUP(A4836,Pr_Base_LNEC!$A$4:$J$6971,6,FALSE)</f>
        <v>0</v>
      </c>
      <c r="K4836">
        <f>VLOOKUP(A4836,Pr_Base_LNEC!$A$4:$J$6971,7,FALSE)</f>
        <v>0</v>
      </c>
    </row>
    <row r="4837" spans="1:11" ht="14.5">
      <c r="A4837" s="20" t="s">
        <v>26127</v>
      </c>
      <c r="B4837" s="20">
        <v>60</v>
      </c>
      <c r="C4837" s="20">
        <v>45</v>
      </c>
      <c r="D4837" s="20">
        <v>29</v>
      </c>
      <c r="E4837" s="20">
        <v>14</v>
      </c>
      <c r="F4837" s="20" t="s">
        <v>26128</v>
      </c>
      <c r="G4837" s="20" t="s">
        <v>26129</v>
      </c>
      <c r="H4837" s="24"/>
      <c r="I4837" s="24" t="str">
        <f ca="1">IFERROR(__xludf.DUMMYFUNCTION("GOOGLETRANSLATE(F4837,""en"",""pt"")"),"ladrilhos filtro biológico argila")</f>
        <v>ladrilhos filtro biológico argila</v>
      </c>
      <c r="J4837">
        <f>VLOOKUP(A4837,Pr_Base_LNEC!$A$4:$J$6971,6,FALSE)</f>
        <v>0</v>
      </c>
      <c r="K4837">
        <f>VLOOKUP(A4837,Pr_Base_LNEC!$A$4:$J$6971,7,FALSE)</f>
        <v>0</v>
      </c>
    </row>
    <row r="4838" spans="1:11" ht="14.5">
      <c r="A4838" s="20" t="s">
        <v>26130</v>
      </c>
      <c r="B4838" s="20">
        <v>60</v>
      </c>
      <c r="C4838" s="20">
        <v>45</v>
      </c>
      <c r="D4838" s="20">
        <v>29</v>
      </c>
      <c r="E4838" s="20">
        <v>16</v>
      </c>
      <c r="F4838" s="20" t="s">
        <v>26131</v>
      </c>
      <c r="G4838" s="20" t="s">
        <v>26132</v>
      </c>
      <c r="H4838" s="24"/>
      <c r="I4838" s="24" t="str">
        <f ca="1">IFERROR(__xludf.DUMMYFUNCTION("GOOGLETRANSLATE(F4838,""en"",""pt"")"),"Concretas escorrendo pisos filtro")</f>
        <v>Concretas escorrendo pisos filtro</v>
      </c>
      <c r="J4838">
        <f>VLOOKUP(A4838,Pr_Base_LNEC!$A$4:$J$6971,6,FALSE)</f>
        <v>0</v>
      </c>
      <c r="K4838">
        <f>VLOOKUP(A4838,Pr_Base_LNEC!$A$4:$J$6971,7,FALSE)</f>
        <v>0</v>
      </c>
    </row>
    <row r="4839" spans="1:11" ht="14.5">
      <c r="A4839" s="20" t="s">
        <v>26133</v>
      </c>
      <c r="B4839" s="20">
        <v>60</v>
      </c>
      <c r="C4839" s="20">
        <v>45</v>
      </c>
      <c r="D4839" s="20">
        <v>29</v>
      </c>
      <c r="E4839" s="20">
        <v>65</v>
      </c>
      <c r="F4839" s="20" t="s">
        <v>26134</v>
      </c>
      <c r="G4839" s="20" t="s">
        <v>26135</v>
      </c>
      <c r="H4839" s="24"/>
      <c r="I4839" s="24" t="str">
        <f ca="1">IFERROR(__xludf.DUMMYFUNCTION("GOOGLETRANSLATE(F4839,""en"",""pt"")"),"Plásticos estruturados meios de fluxo cruzado")</f>
        <v>Plásticos estruturados meios de fluxo cruzado</v>
      </c>
      <c r="J4839">
        <f>VLOOKUP(A4839,Pr_Base_LNEC!$A$4:$J$6971,6,FALSE)</f>
        <v>0</v>
      </c>
      <c r="K4839">
        <f>VLOOKUP(A4839,Pr_Base_LNEC!$A$4:$J$6971,7,FALSE)</f>
        <v>0</v>
      </c>
    </row>
    <row r="4840" spans="1:11" ht="14.5">
      <c r="A4840" s="20" t="s">
        <v>26136</v>
      </c>
      <c r="B4840" s="20">
        <v>60</v>
      </c>
      <c r="C4840" s="20">
        <v>45</v>
      </c>
      <c r="D4840" s="20">
        <v>29</v>
      </c>
      <c r="E4840" s="20">
        <v>70</v>
      </c>
      <c r="F4840" s="20" t="s">
        <v>26137</v>
      </c>
      <c r="G4840" s="20" t="s">
        <v>26138</v>
      </c>
      <c r="H4840" s="24"/>
      <c r="I4840" s="24" t="str">
        <f ca="1">IFERROR(__xludf.DUMMYFUNCTION("GOOGLETRANSLATE(F4840,""en"",""pt"")"),"Aleatório embalado plásticos médiuns")</f>
        <v>Aleatório embalado plásticos médiuns</v>
      </c>
      <c r="J4840">
        <f>VLOOKUP(A4840,Pr_Base_LNEC!$A$4:$J$6971,6,FALSE)</f>
        <v>0</v>
      </c>
      <c r="K4840">
        <f>VLOOKUP(A4840,Pr_Base_LNEC!$A$4:$J$6971,7,FALSE)</f>
        <v>0</v>
      </c>
    </row>
    <row r="4841" spans="1:11" ht="14.5">
      <c r="A4841" s="20" t="s">
        <v>26139</v>
      </c>
      <c r="B4841" s="20">
        <v>60</v>
      </c>
      <c r="C4841" s="20">
        <v>45</v>
      </c>
      <c r="D4841" s="20">
        <v>30</v>
      </c>
      <c r="E4841" s="24"/>
      <c r="F4841" s="20" t="s">
        <v>26140</v>
      </c>
      <c r="G4841" s="24"/>
      <c r="H4841" s="24"/>
      <c r="I4841" s="24" t="str">
        <f ca="1">IFERROR(__xludf.DUMMYFUNCTION("GOOGLETRANSLATE(F4841,""en"",""pt"")"),"produtos de controle de fluxo")</f>
        <v>produtos de controle de fluxo</v>
      </c>
      <c r="J4841">
        <f>VLOOKUP(A4841,Pr_Base_LNEC!$A$4:$J$6971,6,FALSE)</f>
        <v>0</v>
      </c>
      <c r="K4841">
        <f>VLOOKUP(A4841,Pr_Base_LNEC!$A$4:$J$6971,7,FALSE)</f>
        <v>0</v>
      </c>
    </row>
    <row r="4842" spans="1:11" ht="14.5">
      <c r="A4842" s="20" t="s">
        <v>26141</v>
      </c>
      <c r="B4842" s="20">
        <v>60</v>
      </c>
      <c r="C4842" s="20">
        <v>45</v>
      </c>
      <c r="D4842" s="20">
        <v>30</v>
      </c>
      <c r="E4842" s="20">
        <v>15</v>
      </c>
      <c r="F4842" s="20" t="s">
        <v>26142</v>
      </c>
      <c r="G4842" s="20" t="s">
        <v>26143</v>
      </c>
      <c r="H4842" s="24"/>
      <c r="I4842" s="24" t="str">
        <f ca="1">IFERROR(__xludf.DUMMYFUNCTION("GOOGLETRANSLATE(F4842,""en"",""pt"")"),"penstocks plásticos compósitos")</f>
        <v>penstocks plásticos compósitos</v>
      </c>
      <c r="J4842">
        <f>VLOOKUP(A4842,Pr_Base_LNEC!$A$4:$J$6971,6,FALSE)</f>
        <v>0</v>
      </c>
      <c r="K4842">
        <f>VLOOKUP(A4842,Pr_Base_LNEC!$A$4:$J$6971,7,FALSE)</f>
        <v>0</v>
      </c>
    </row>
    <row r="4843" spans="1:11" ht="14.5">
      <c r="A4843" s="20" t="s">
        <v>26144</v>
      </c>
      <c r="B4843" s="20">
        <v>60</v>
      </c>
      <c r="C4843" s="20">
        <v>45</v>
      </c>
      <c r="D4843" s="20">
        <v>30</v>
      </c>
      <c r="E4843" s="20">
        <v>23</v>
      </c>
      <c r="F4843" s="20" t="s">
        <v>26145</v>
      </c>
      <c r="G4843" s="20" t="s">
        <v>26146</v>
      </c>
      <c r="H4843" s="24"/>
      <c r="I4843" s="24" t="str">
        <f ca="1">IFERROR(__xludf.DUMMYFUNCTION("GOOGLETRANSLATE(F4843,""en"",""pt"")"),"bateria difusor")</f>
        <v>bateria difusor</v>
      </c>
      <c r="J4843">
        <f>VLOOKUP(A4843,Pr_Base_LNEC!$A$4:$J$6971,6,FALSE)</f>
        <v>0</v>
      </c>
      <c r="K4843">
        <f>VLOOKUP(A4843,Pr_Base_LNEC!$A$4:$J$6971,7,FALSE)</f>
        <v>0</v>
      </c>
    </row>
    <row r="4844" spans="1:11" ht="14.5">
      <c r="A4844" s="20" t="s">
        <v>26147</v>
      </c>
      <c r="B4844" s="20">
        <v>60</v>
      </c>
      <c r="C4844" s="20">
        <v>45</v>
      </c>
      <c r="D4844" s="20">
        <v>30</v>
      </c>
      <c r="E4844" s="20">
        <v>31</v>
      </c>
      <c r="F4844" s="20" t="s">
        <v>26148</v>
      </c>
      <c r="G4844" s="20" t="s">
        <v>26149</v>
      </c>
      <c r="H4844" s="24"/>
      <c r="I4844" s="24" t="str">
        <f ca="1">IFERROR(__xludf.DUMMYFUNCTION("GOOGLETRANSLATE(F4844,""en"",""pt"")"),"Flutuador unidades de controlo de fluxo activada")</f>
        <v>Flutuador unidades de controlo de fluxo activada</v>
      </c>
      <c r="J4844">
        <f>VLOOKUP(A4844,Pr_Base_LNEC!$A$4:$J$6971,6,FALSE)</f>
        <v>0</v>
      </c>
      <c r="K4844">
        <f>VLOOKUP(A4844,Pr_Base_LNEC!$A$4:$J$6971,7,FALSE)</f>
        <v>0</v>
      </c>
    </row>
    <row r="4845" spans="1:11" ht="14.5">
      <c r="A4845" s="20" t="s">
        <v>26150</v>
      </c>
      <c r="B4845" s="20">
        <v>60</v>
      </c>
      <c r="C4845" s="20">
        <v>45</v>
      </c>
      <c r="D4845" s="20">
        <v>30</v>
      </c>
      <c r="E4845" s="20">
        <v>52</v>
      </c>
      <c r="F4845" s="20" t="s">
        <v>26151</v>
      </c>
      <c r="G4845" s="20" t="s">
        <v>26152</v>
      </c>
      <c r="H4845" s="24"/>
      <c r="I4845" s="24" t="str">
        <f ca="1">IFERROR(__xludf.DUMMYFUNCTION("GOOGLETRANSLATE(F4845,""en"",""pt"")"),"comportas de metal")</f>
        <v>comportas de metal</v>
      </c>
      <c r="J4845">
        <f>VLOOKUP(A4845,Pr_Base_LNEC!$A$4:$J$6971,6,FALSE)</f>
        <v>0</v>
      </c>
      <c r="K4845">
        <f>VLOOKUP(A4845,Pr_Base_LNEC!$A$4:$J$6971,7,FALSE)</f>
        <v>0</v>
      </c>
    </row>
    <row r="4846" spans="1:11" ht="14.5">
      <c r="A4846" s="20" t="s">
        <v>26153</v>
      </c>
      <c r="B4846" s="20">
        <v>60</v>
      </c>
      <c r="C4846" s="20">
        <v>45</v>
      </c>
      <c r="D4846" s="20">
        <v>30</v>
      </c>
      <c r="E4846" s="20">
        <v>83</v>
      </c>
      <c r="F4846" s="20" t="s">
        <v>26154</v>
      </c>
      <c r="G4846" s="20" t="s">
        <v>26155</v>
      </c>
      <c r="H4846" s="24"/>
      <c r="I4846" s="24" t="str">
        <f ca="1">IFERROR(__xludf.DUMMYFUNCTION("GOOGLETRANSLATE(F4846,""en"",""pt"")"),"portões de parada")</f>
        <v>portões de parada</v>
      </c>
      <c r="J4846">
        <f>VLOOKUP(A4846,Pr_Base_LNEC!$A$4:$J$6971,6,FALSE)</f>
        <v>0</v>
      </c>
      <c r="K4846">
        <f>VLOOKUP(A4846,Pr_Base_LNEC!$A$4:$J$6971,7,FALSE)</f>
        <v>0</v>
      </c>
    </row>
    <row r="4847" spans="1:11" ht="14.5">
      <c r="A4847" s="20" t="s">
        <v>26156</v>
      </c>
      <c r="B4847" s="20">
        <v>60</v>
      </c>
      <c r="C4847" s="20">
        <v>45</v>
      </c>
      <c r="D4847" s="20">
        <v>30</v>
      </c>
      <c r="E4847" s="20">
        <v>84</v>
      </c>
      <c r="F4847" s="20" t="s">
        <v>26157</v>
      </c>
      <c r="G4847" s="20" t="s">
        <v>26158</v>
      </c>
      <c r="H4847" s="24"/>
      <c r="I4847" s="24" t="str">
        <f ca="1">IFERROR(__xludf.DUMMYFUNCTION("GOOGLETRANSLATE(F4847,""en"",""pt"")"),"registros de parada")</f>
        <v>registros de parada</v>
      </c>
      <c r="J4847">
        <f>VLOOKUP(A4847,Pr_Base_LNEC!$A$4:$J$6971,6,FALSE)</f>
        <v>0</v>
      </c>
      <c r="K4847">
        <f>VLOOKUP(A4847,Pr_Base_LNEC!$A$4:$J$6971,7,FALSE)</f>
        <v>0</v>
      </c>
    </row>
    <row r="4848" spans="1:11" ht="14.5">
      <c r="A4848" s="20" t="s">
        <v>26159</v>
      </c>
      <c r="B4848" s="20">
        <v>60</v>
      </c>
      <c r="C4848" s="20">
        <v>45</v>
      </c>
      <c r="D4848" s="20">
        <v>30</v>
      </c>
      <c r="E4848" s="20">
        <v>93</v>
      </c>
      <c r="F4848" s="20" t="s">
        <v>26160</v>
      </c>
      <c r="G4848" s="24"/>
      <c r="H4848" s="24"/>
      <c r="I4848" s="24" t="str">
        <f ca="1">IFERROR(__xludf.DUMMYFUNCTION("GOOGLETRANSLATE(F4848,""en"",""pt"")"),"os controlos de fluxo de água Vortex")</f>
        <v>os controlos de fluxo de água Vortex</v>
      </c>
      <c r="J4848">
        <f>VLOOKUP(A4848,Pr_Base_LNEC!$A$4:$J$6971,6,FALSE)</f>
        <v>0</v>
      </c>
      <c r="K4848">
        <f>VLOOKUP(A4848,Pr_Base_LNEC!$A$4:$J$6971,7,FALSE)</f>
        <v>0</v>
      </c>
    </row>
    <row r="4849" spans="1:11" ht="14.5">
      <c r="A4849" s="20" t="s">
        <v>26161</v>
      </c>
      <c r="B4849" s="20">
        <v>60</v>
      </c>
      <c r="C4849" s="20">
        <v>45</v>
      </c>
      <c r="D4849" s="20">
        <v>30</v>
      </c>
      <c r="E4849" s="20">
        <v>95</v>
      </c>
      <c r="F4849" s="20" t="s">
        <v>26162</v>
      </c>
      <c r="G4849" s="20" t="s">
        <v>26163</v>
      </c>
      <c r="H4849" s="24"/>
      <c r="I4849" s="24" t="str">
        <f ca="1">IFERROR(__xludf.DUMMYFUNCTION("GOOGLETRANSLATE(F4849,""en"",""pt"")"),"defletores de água")</f>
        <v>defletores de água</v>
      </c>
      <c r="J4849">
        <f>VLOOKUP(A4849,Pr_Base_LNEC!$A$4:$J$6971,6,FALSE)</f>
        <v>0</v>
      </c>
      <c r="K4849">
        <f>VLOOKUP(A4849,Pr_Base_LNEC!$A$4:$J$6971,7,FALSE)</f>
        <v>0</v>
      </c>
    </row>
    <row r="4850" spans="1:11" ht="14.5">
      <c r="A4850" s="20" t="s">
        <v>26164</v>
      </c>
      <c r="B4850" s="20">
        <v>60</v>
      </c>
      <c r="C4850" s="20">
        <v>45</v>
      </c>
      <c r="D4850" s="20">
        <v>30</v>
      </c>
      <c r="E4850" s="20">
        <v>96</v>
      </c>
      <c r="F4850" s="20" t="s">
        <v>26165</v>
      </c>
      <c r="G4850" s="20" t="s">
        <v>26166</v>
      </c>
      <c r="H4850" s="24"/>
      <c r="I4850" s="24" t="str">
        <f ca="1">IFERROR(__xludf.DUMMYFUNCTION("GOOGLETRANSLATE(F4850,""en"",""pt"")"),"portões Weir")</f>
        <v>portões Weir</v>
      </c>
      <c r="J4850">
        <f>VLOOKUP(A4850,Pr_Base_LNEC!$A$4:$J$6971,6,FALSE)</f>
        <v>0</v>
      </c>
      <c r="K4850">
        <f>VLOOKUP(A4850,Pr_Base_LNEC!$A$4:$J$6971,7,FALSE)</f>
        <v>0</v>
      </c>
    </row>
    <row r="4851" spans="1:11" ht="14.5">
      <c r="A4851" s="20" t="s">
        <v>26167</v>
      </c>
      <c r="B4851" s="20">
        <v>60</v>
      </c>
      <c r="C4851" s="20">
        <v>45</v>
      </c>
      <c r="D4851" s="20">
        <v>30</v>
      </c>
      <c r="E4851" s="20">
        <v>97</v>
      </c>
      <c r="F4851" s="20" t="s">
        <v>26168</v>
      </c>
      <c r="G4851" s="20" t="s">
        <v>26169</v>
      </c>
      <c r="H4851" s="24"/>
      <c r="I4851" s="24" t="str">
        <f ca="1">IFERROR(__xludf.DUMMYFUNCTION("GOOGLETRANSLATE(F4851,""en"",""pt"")"),"placas Weir")</f>
        <v>placas Weir</v>
      </c>
      <c r="J4851">
        <f>VLOOKUP(A4851,Pr_Base_LNEC!$A$4:$J$6971,6,FALSE)</f>
        <v>0</v>
      </c>
      <c r="K4851">
        <f>VLOOKUP(A4851,Pr_Base_LNEC!$A$4:$J$6971,7,FALSE)</f>
        <v>0</v>
      </c>
    </row>
    <row r="4852" spans="1:11" ht="14.5">
      <c r="A4852" s="20" t="s">
        <v>26170</v>
      </c>
      <c r="B4852" s="20">
        <v>60</v>
      </c>
      <c r="C4852" s="20">
        <v>45</v>
      </c>
      <c r="D4852" s="20">
        <v>33</v>
      </c>
      <c r="E4852" s="24"/>
      <c r="F4852" s="20" t="s">
        <v>26171</v>
      </c>
      <c r="G4852" s="24"/>
      <c r="H4852" s="24"/>
      <c r="I4852" s="24" t="str">
        <f ca="1">IFERROR(__xludf.DUMMYFUNCTION("GOOGLETRANSLATE(F4852,""en"",""pt"")"),"produtos Grit armadilha")</f>
        <v>produtos Grit armadilha</v>
      </c>
      <c r="J4852">
        <f>VLOOKUP(A4852,Pr_Base_LNEC!$A$4:$J$6971,6,FALSE)</f>
        <v>0</v>
      </c>
      <c r="K4852">
        <f>VLOOKUP(A4852,Pr_Base_LNEC!$A$4:$J$6971,7,FALSE)</f>
        <v>0</v>
      </c>
    </row>
    <row r="4853" spans="1:11" ht="14.5">
      <c r="A4853" s="20" t="s">
        <v>26172</v>
      </c>
      <c r="B4853" s="20">
        <v>60</v>
      </c>
      <c r="C4853" s="20">
        <v>45</v>
      </c>
      <c r="D4853" s="20">
        <v>33</v>
      </c>
      <c r="E4853" s="20">
        <v>17</v>
      </c>
      <c r="F4853" s="20" t="s">
        <v>26173</v>
      </c>
      <c r="G4853" s="20" t="s">
        <v>26174</v>
      </c>
      <c r="H4853" s="24"/>
      <c r="I4853" s="24" t="str">
        <f ca="1">IFERROR(__xludf.DUMMYFUNCTION("GOOGLETRANSLATE(F4853,""en"",""pt"")"),"separadores de fluxo transversal")</f>
        <v>separadores de fluxo transversal</v>
      </c>
      <c r="J4853">
        <f>VLOOKUP(A4853,Pr_Base_LNEC!$A$4:$J$6971,6,FALSE)</f>
        <v>0</v>
      </c>
      <c r="K4853">
        <f>VLOOKUP(A4853,Pr_Base_LNEC!$A$4:$J$6971,7,FALSE)</f>
        <v>0</v>
      </c>
    </row>
    <row r="4854" spans="1:11" ht="14.5">
      <c r="A4854" s="20" t="s">
        <v>26175</v>
      </c>
      <c r="B4854" s="20">
        <v>60</v>
      </c>
      <c r="C4854" s="20">
        <v>45</v>
      </c>
      <c r="D4854" s="20">
        <v>33</v>
      </c>
      <c r="E4854" s="20">
        <v>57</v>
      </c>
      <c r="F4854" s="20" t="s">
        <v>26176</v>
      </c>
      <c r="G4854" s="20" t="s">
        <v>26177</v>
      </c>
      <c r="H4854" s="24"/>
      <c r="I4854" s="24" t="str">
        <f ca="1">IFERROR(__xludf.DUMMYFUNCTION("GOOGLETRANSLATE(F4854,""en"",""pt"")"),"separadores de vórtice sem alimentação própria")</f>
        <v>separadores de vórtice sem alimentação própria</v>
      </c>
      <c r="J4854">
        <f>VLOOKUP(A4854,Pr_Base_LNEC!$A$4:$J$6971,6,FALSE)</f>
        <v>0</v>
      </c>
      <c r="K4854">
        <f>VLOOKUP(A4854,Pr_Base_LNEC!$A$4:$J$6971,7,FALSE)</f>
        <v>0</v>
      </c>
    </row>
    <row r="4855" spans="1:11" ht="14.5">
      <c r="A4855" s="20" t="s">
        <v>26178</v>
      </c>
      <c r="B4855" s="20">
        <v>60</v>
      </c>
      <c r="C4855" s="20">
        <v>45</v>
      </c>
      <c r="D4855" s="20">
        <v>33</v>
      </c>
      <c r="E4855" s="20">
        <v>65</v>
      </c>
      <c r="F4855" s="20" t="s">
        <v>26179</v>
      </c>
      <c r="G4855" s="20" t="s">
        <v>26180</v>
      </c>
      <c r="H4855" s="24"/>
      <c r="I4855" s="24" t="str">
        <f ca="1">IFERROR(__xludf.DUMMYFUNCTION("GOOGLETRANSLATE(F4855,""en"",""pt"")"),"separadores de fluxo de vórtice amplificados")</f>
        <v>separadores de fluxo de vórtice amplificados</v>
      </c>
      <c r="J4855">
        <f>VLOOKUP(A4855,Pr_Base_LNEC!$A$4:$J$6971,6,FALSE)</f>
        <v>0</v>
      </c>
      <c r="K4855">
        <f>VLOOKUP(A4855,Pr_Base_LNEC!$A$4:$J$6971,7,FALSE)</f>
        <v>0</v>
      </c>
    </row>
    <row r="4856" spans="1:11" ht="14.5">
      <c r="A4856" s="20" t="s">
        <v>26181</v>
      </c>
      <c r="B4856" s="20">
        <v>60</v>
      </c>
      <c r="C4856" s="20">
        <v>45</v>
      </c>
      <c r="D4856" s="20">
        <v>34</v>
      </c>
      <c r="E4856" s="24"/>
      <c r="F4856" s="20" t="s">
        <v>26182</v>
      </c>
      <c r="G4856" s="24"/>
      <c r="H4856" s="24"/>
      <c r="I4856" s="24" t="str">
        <f ca="1">IFERROR(__xludf.DUMMYFUNCTION("GOOGLETRANSLATE(F4856,""en"",""pt"")"),"produtos Grit classificador")</f>
        <v>produtos Grit classificador</v>
      </c>
      <c r="J4856">
        <f>VLOOKUP(A4856,Pr_Base_LNEC!$A$4:$J$6971,6,FALSE)</f>
        <v>0</v>
      </c>
      <c r="K4856">
        <f>VLOOKUP(A4856,Pr_Base_LNEC!$A$4:$J$6971,7,FALSE)</f>
        <v>0</v>
      </c>
    </row>
    <row r="4857" spans="1:11" ht="14.5">
      <c r="A4857" s="20" t="s">
        <v>26183</v>
      </c>
      <c r="B4857" s="20">
        <v>60</v>
      </c>
      <c r="C4857" s="20">
        <v>45</v>
      </c>
      <c r="D4857" s="20">
        <v>34</v>
      </c>
      <c r="E4857" s="20">
        <v>15</v>
      </c>
      <c r="F4857" s="20" t="s">
        <v>26184</v>
      </c>
      <c r="G4857" s="20" t="s">
        <v>26185</v>
      </c>
      <c r="H4857" s="24"/>
      <c r="I4857" s="24" t="str">
        <f ca="1">IFERROR(__xludf.DUMMYFUNCTION("GOOGLETRANSLATE(F4857,""en"",""pt"")"),"Classificador anilha vórtice e DE-bebedouros")</f>
        <v>Classificador anilha vórtice e DE-bebedouros</v>
      </c>
      <c r="J4857">
        <f>VLOOKUP(A4857,Pr_Base_LNEC!$A$4:$J$6971,6,FALSE)</f>
        <v>0</v>
      </c>
      <c r="K4857">
        <f>VLOOKUP(A4857,Pr_Base_LNEC!$A$4:$J$6971,7,FALSE)</f>
        <v>0</v>
      </c>
    </row>
    <row r="4858" spans="1:11" ht="14.5">
      <c r="A4858" s="20" t="s">
        <v>26186</v>
      </c>
      <c r="B4858" s="20">
        <v>60</v>
      </c>
      <c r="C4858" s="20">
        <v>45</v>
      </c>
      <c r="D4858" s="20">
        <v>34</v>
      </c>
      <c r="E4858" s="20">
        <v>71</v>
      </c>
      <c r="F4858" s="20" t="s">
        <v>26187</v>
      </c>
      <c r="G4858" s="20" t="s">
        <v>26188</v>
      </c>
      <c r="H4858" s="24"/>
      <c r="I4858" s="24" t="str">
        <f ca="1">IFERROR(__xludf.DUMMYFUNCTION("GOOGLETRANSLATE(F4858,""en"",""pt"")"),"Alternativo classificadores de rake")</f>
        <v>Alternativo classificadores de rake</v>
      </c>
      <c r="J4858">
        <f>VLOOKUP(A4858,Pr_Base_LNEC!$A$4:$J$6971,6,FALSE)</f>
        <v>0</v>
      </c>
      <c r="K4858">
        <f>VLOOKUP(A4858,Pr_Base_LNEC!$A$4:$J$6971,7,FALSE)</f>
        <v>0</v>
      </c>
    </row>
    <row r="4859" spans="1:11" ht="14.5">
      <c r="A4859" s="20" t="s">
        <v>26189</v>
      </c>
      <c r="B4859" s="20">
        <v>60</v>
      </c>
      <c r="C4859" s="20">
        <v>45</v>
      </c>
      <c r="D4859" s="20">
        <v>34</v>
      </c>
      <c r="E4859" s="20">
        <v>76</v>
      </c>
      <c r="F4859" s="20" t="s">
        <v>26190</v>
      </c>
      <c r="G4859" s="20" t="s">
        <v>26191</v>
      </c>
      <c r="H4859" s="24"/>
      <c r="I4859" s="24" t="str">
        <f ca="1">IFERROR(__xludf.DUMMYFUNCTION("GOOGLETRANSLATE(F4859,""en"",""pt"")"),"classificadores de parafuso")</f>
        <v>classificadores de parafuso</v>
      </c>
      <c r="J4859">
        <f>VLOOKUP(A4859,Pr_Base_LNEC!$A$4:$J$6971,6,FALSE)</f>
        <v>0</v>
      </c>
      <c r="K4859">
        <f>VLOOKUP(A4859,Pr_Base_LNEC!$A$4:$J$6971,7,FALSE)</f>
        <v>0</v>
      </c>
    </row>
    <row r="4860" spans="1:11" ht="14.5">
      <c r="A4860" s="20" t="s">
        <v>26192</v>
      </c>
      <c r="B4860" s="20">
        <v>60</v>
      </c>
      <c r="C4860" s="20">
        <v>45</v>
      </c>
      <c r="D4860" s="20">
        <v>46</v>
      </c>
      <c r="E4860" s="24"/>
      <c r="F4860" s="20" t="s">
        <v>26193</v>
      </c>
      <c r="G4860" s="24"/>
      <c r="H4860" s="24"/>
      <c r="I4860" s="24" t="str">
        <f ca="1">IFERROR(__xludf.DUMMYFUNCTION("GOOGLETRANSLATE(F4860,""en"",""pt"")"),"produtos de vale lavar")</f>
        <v>produtos de vale lavar</v>
      </c>
      <c r="J4860">
        <f>VLOOKUP(A4860,Pr_Base_LNEC!$A$4:$J$6971,6,FALSE)</f>
        <v>0</v>
      </c>
      <c r="K4860">
        <f>VLOOKUP(A4860,Pr_Base_LNEC!$A$4:$J$6971,7,FALSE)</f>
        <v>0</v>
      </c>
    </row>
    <row r="4861" spans="1:11" ht="14.5">
      <c r="A4861" s="20" t="s">
        <v>26194</v>
      </c>
      <c r="B4861" s="20">
        <v>60</v>
      </c>
      <c r="C4861" s="20">
        <v>45</v>
      </c>
      <c r="D4861" s="20">
        <v>46</v>
      </c>
      <c r="E4861" s="20">
        <v>46</v>
      </c>
      <c r="F4861" s="20" t="s">
        <v>26195</v>
      </c>
      <c r="G4861" s="20" t="s">
        <v>26196</v>
      </c>
      <c r="H4861" s="24"/>
      <c r="I4861" s="24" t="str">
        <f ca="1">IFERROR(__xludf.DUMMYFUNCTION("GOOGLETRANSLATE(F4861,""en"",""pt"")"),"calhas lavar")</f>
        <v>calhas lavar</v>
      </c>
      <c r="J4861">
        <f>VLOOKUP(A4861,Pr_Base_LNEC!$A$4:$J$6971,6,FALSE)</f>
        <v>0</v>
      </c>
      <c r="K4861">
        <f>VLOOKUP(A4861,Pr_Base_LNEC!$A$4:$J$6971,7,FALSE)</f>
        <v>0</v>
      </c>
    </row>
    <row r="4862" spans="1:11" ht="14.5">
      <c r="A4862" s="20" t="s">
        <v>26197</v>
      </c>
      <c r="B4862" s="20">
        <v>60</v>
      </c>
      <c r="C4862" s="20">
        <v>45</v>
      </c>
      <c r="D4862" s="20">
        <v>58</v>
      </c>
      <c r="E4862" s="24"/>
      <c r="F4862" s="20" t="s">
        <v>26198</v>
      </c>
      <c r="G4862" s="24"/>
      <c r="H4862" s="24"/>
      <c r="I4862" s="24" t="str">
        <f ca="1">IFERROR(__xludf.DUMMYFUNCTION("GOOGLETRANSLATE(F4862,""en"",""pt"")"),"produtos de controlo de odores da tampa do tanque")</f>
        <v>produtos de controlo de odores da tampa do tanque</v>
      </c>
      <c r="J4862">
        <f>VLOOKUP(A4862,Pr_Base_LNEC!$A$4:$J$6971,6,FALSE)</f>
        <v>0</v>
      </c>
      <c r="K4862">
        <f>VLOOKUP(A4862,Pr_Base_LNEC!$A$4:$J$6971,7,FALSE)</f>
        <v>0</v>
      </c>
    </row>
    <row r="4863" spans="1:11" ht="14.5">
      <c r="A4863" s="20" t="s">
        <v>26199</v>
      </c>
      <c r="B4863" s="20">
        <v>60</v>
      </c>
      <c r="C4863" s="20">
        <v>45</v>
      </c>
      <c r="D4863" s="20">
        <v>58</v>
      </c>
      <c r="E4863" s="20">
        <v>33</v>
      </c>
      <c r="F4863" s="20" t="s">
        <v>26200</v>
      </c>
      <c r="G4863" s="20" t="s">
        <v>26201</v>
      </c>
      <c r="H4863" s="24"/>
      <c r="I4863" s="24" t="str">
        <f ca="1">IFERROR(__xludf.DUMMYFUNCTION("GOOGLETRANSLATE(F4863,""en"",""pt"")"),"tampas de contenção de gás")</f>
        <v>tampas de contenção de gás</v>
      </c>
      <c r="J4863">
        <f>VLOOKUP(A4863,Pr_Base_LNEC!$A$4:$J$6971,6,FALSE)</f>
        <v>0</v>
      </c>
      <c r="K4863">
        <f>VLOOKUP(A4863,Pr_Base_LNEC!$A$4:$J$6971,7,FALSE)</f>
        <v>0</v>
      </c>
    </row>
    <row r="4864" spans="1:11" ht="14.5">
      <c r="A4864" s="20" t="s">
        <v>26202</v>
      </c>
      <c r="B4864" s="20">
        <v>60</v>
      </c>
      <c r="C4864" s="20">
        <v>45</v>
      </c>
      <c r="D4864" s="20">
        <v>58</v>
      </c>
      <c r="E4864" s="20">
        <v>58</v>
      </c>
      <c r="F4864" s="20" t="s">
        <v>26203</v>
      </c>
      <c r="G4864" s="20" t="s">
        <v>26204</v>
      </c>
      <c r="H4864" s="24"/>
      <c r="I4864" s="24" t="str">
        <f ca="1">IFERROR(__xludf.DUMMYFUNCTION("GOOGLETRANSLATE(F4864,""en"",""pt"")"),"capas de controle de odor")</f>
        <v>capas de controle de odor</v>
      </c>
      <c r="J4864">
        <f>VLOOKUP(A4864,Pr_Base_LNEC!$A$4:$J$6971,6,FALSE)</f>
        <v>0</v>
      </c>
      <c r="K4864">
        <f>VLOOKUP(A4864,Pr_Base_LNEC!$A$4:$J$6971,7,FALSE)</f>
        <v>0</v>
      </c>
    </row>
    <row r="4865" spans="1:11" ht="14.5">
      <c r="A4865" s="20" t="s">
        <v>26205</v>
      </c>
      <c r="B4865" s="20">
        <v>60</v>
      </c>
      <c r="C4865" s="20">
        <v>45</v>
      </c>
      <c r="D4865" s="20">
        <v>74</v>
      </c>
      <c r="E4865" s="24"/>
      <c r="F4865" s="20" t="s">
        <v>26206</v>
      </c>
      <c r="G4865" s="24"/>
      <c r="H4865" s="24"/>
      <c r="I4865" s="24" t="str">
        <f ca="1">IFERROR(__xludf.DUMMYFUNCTION("GOOGLETRANSLATE(F4865,""en"",""pt"")"),"produtos de remoção de escória")</f>
        <v>produtos de remoção de escória</v>
      </c>
      <c r="J4865">
        <f>VLOOKUP(A4865,Pr_Base_LNEC!$A$4:$J$6971,6,FALSE)</f>
        <v>0</v>
      </c>
      <c r="K4865">
        <f>VLOOKUP(A4865,Pr_Base_LNEC!$A$4:$J$6971,7,FALSE)</f>
        <v>0</v>
      </c>
    </row>
    <row r="4866" spans="1:11" ht="14.5">
      <c r="A4866" s="20" t="s">
        <v>26207</v>
      </c>
      <c r="B4866" s="20">
        <v>60</v>
      </c>
      <c r="C4866" s="20">
        <v>45</v>
      </c>
      <c r="D4866" s="20">
        <v>74</v>
      </c>
      <c r="E4866" s="20">
        <v>30</v>
      </c>
      <c r="F4866" s="20" t="s">
        <v>26208</v>
      </c>
      <c r="G4866" s="20" t="s">
        <v>26209</v>
      </c>
      <c r="H4866" s="24"/>
      <c r="I4866" s="24" t="str">
        <f ca="1">IFERROR(__xludf.DUMMYFUNCTION("GOOGLETRANSLATE(F4866,""en"",""pt"")"),"escuma tubos fixos")</f>
        <v>escuma tubos fixos</v>
      </c>
      <c r="J4866">
        <f>VLOOKUP(A4866,Pr_Base_LNEC!$A$4:$J$6971,6,FALSE)</f>
        <v>0</v>
      </c>
      <c r="K4866">
        <f>VLOOKUP(A4866,Pr_Base_LNEC!$A$4:$J$6971,7,FALSE)</f>
        <v>0</v>
      </c>
    </row>
    <row r="4867" spans="1:11" ht="14.5">
      <c r="A4867" s="20" t="s">
        <v>26210</v>
      </c>
      <c r="B4867" s="20">
        <v>60</v>
      </c>
      <c r="C4867" s="20">
        <v>45</v>
      </c>
      <c r="D4867" s="20">
        <v>74</v>
      </c>
      <c r="E4867" s="20">
        <v>72</v>
      </c>
      <c r="F4867" s="20" t="s">
        <v>26211</v>
      </c>
      <c r="G4867" s="20" t="s">
        <v>26212</v>
      </c>
      <c r="H4867" s="24"/>
      <c r="I4867" s="24" t="str">
        <f ca="1">IFERROR(__xludf.DUMMYFUNCTION("GOOGLETRANSLATE(F4867,""en"",""pt"")"),"Girando tubos escumalha")</f>
        <v>Girando tubos escumalha</v>
      </c>
      <c r="J4867">
        <f>VLOOKUP(A4867,Pr_Base_LNEC!$A$4:$J$6971,6,FALSE)</f>
        <v>0</v>
      </c>
      <c r="K4867">
        <f>VLOOKUP(A4867,Pr_Base_LNEC!$A$4:$J$6971,7,FALSE)</f>
        <v>0</v>
      </c>
    </row>
    <row r="4868" spans="1:11" ht="14.5">
      <c r="A4868" s="20" t="s">
        <v>26213</v>
      </c>
      <c r="B4868" s="20">
        <v>60</v>
      </c>
      <c r="C4868" s="20">
        <v>45</v>
      </c>
      <c r="D4868" s="20">
        <v>74</v>
      </c>
      <c r="E4868" s="20">
        <v>75</v>
      </c>
      <c r="F4868" s="20" t="s">
        <v>26214</v>
      </c>
      <c r="G4868" s="20" t="s">
        <v>26215</v>
      </c>
      <c r="H4868" s="24"/>
      <c r="I4868" s="24" t="str">
        <f ca="1">IFERROR(__xludf.DUMMYFUNCTION("GOOGLETRANSLATE(F4868,""en"",""pt"")"),"praias scum")</f>
        <v>praias scum</v>
      </c>
      <c r="J4868">
        <f>VLOOKUP(A4868,Pr_Base_LNEC!$A$4:$J$6971,6,FALSE)</f>
        <v>0</v>
      </c>
      <c r="K4868">
        <f>VLOOKUP(A4868,Pr_Base_LNEC!$A$4:$J$6971,7,FALSE)</f>
        <v>0</v>
      </c>
    </row>
    <row r="4869" spans="1:11" ht="14.5">
      <c r="A4869" s="20" t="s">
        <v>26216</v>
      </c>
      <c r="B4869" s="20">
        <v>60</v>
      </c>
      <c r="C4869" s="20">
        <v>45</v>
      </c>
      <c r="D4869" s="20">
        <v>74</v>
      </c>
      <c r="E4869" s="20">
        <v>76</v>
      </c>
      <c r="F4869" s="20" t="s">
        <v>26217</v>
      </c>
      <c r="G4869" s="20" t="s">
        <v>26218</v>
      </c>
      <c r="H4869" s="24"/>
      <c r="I4869" s="24" t="str">
        <f ca="1">IFERROR(__xludf.DUMMYFUNCTION("GOOGLETRANSLATE(F4869,""en"",""pt"")"),"placas de remoção de escória")</f>
        <v>placas de remoção de escória</v>
      </c>
      <c r="J4869">
        <f>VLOOKUP(A4869,Pr_Base_LNEC!$A$4:$J$6971,6,FALSE)</f>
        <v>0</v>
      </c>
      <c r="K4869">
        <f>VLOOKUP(A4869,Pr_Base_LNEC!$A$4:$J$6971,7,FALSE)</f>
        <v>0</v>
      </c>
    </row>
    <row r="4870" spans="1:11" ht="14.5">
      <c r="A4870" s="20" t="s">
        <v>26219</v>
      </c>
      <c r="B4870" s="20">
        <v>60</v>
      </c>
      <c r="C4870" s="20">
        <v>45</v>
      </c>
      <c r="D4870" s="20">
        <v>74</v>
      </c>
      <c r="E4870" s="20">
        <v>77</v>
      </c>
      <c r="F4870" s="20" t="s">
        <v>26220</v>
      </c>
      <c r="G4870" s="20" t="s">
        <v>26221</v>
      </c>
      <c r="H4870" s="24"/>
      <c r="I4870" s="24" t="str">
        <f ca="1">IFERROR(__xludf.DUMMYFUNCTION("GOOGLETRANSLATE(F4870,""en"",""pt"")"),"As válvulas de remoção de escuma")</f>
        <v>As válvulas de remoção de escuma</v>
      </c>
      <c r="J4870">
        <f>VLOOKUP(A4870,Pr_Base_LNEC!$A$4:$J$6971,6,FALSE)</f>
        <v>0</v>
      </c>
      <c r="K4870">
        <f>VLOOKUP(A4870,Pr_Base_LNEC!$A$4:$J$6971,7,FALSE)</f>
        <v>0</v>
      </c>
    </row>
    <row r="4871" spans="1:11" ht="14.5">
      <c r="A4871" s="20" t="s">
        <v>26222</v>
      </c>
      <c r="B4871" s="20">
        <v>60</v>
      </c>
      <c r="C4871" s="20">
        <v>45</v>
      </c>
      <c r="D4871" s="20">
        <v>74</v>
      </c>
      <c r="E4871" s="20">
        <v>85</v>
      </c>
      <c r="F4871" s="20" t="s">
        <v>26223</v>
      </c>
      <c r="G4871" s="20" t="s">
        <v>26224</v>
      </c>
      <c r="H4871" s="24"/>
      <c r="I4871" s="24" t="str">
        <f ca="1">IFERROR(__xludf.DUMMYFUNCTION("GOOGLETRANSLATE(F4871,""en"",""pt"")"),"raspadores scum superfície")</f>
        <v>raspadores scum superfície</v>
      </c>
      <c r="J4871">
        <f>VLOOKUP(A4871,Pr_Base_LNEC!$A$4:$J$6971,6,FALSE)</f>
        <v>0</v>
      </c>
      <c r="K4871">
        <f>VLOOKUP(A4871,Pr_Base_LNEC!$A$4:$J$6971,7,FALSE)</f>
        <v>0</v>
      </c>
    </row>
    <row r="4872" spans="1:11" ht="14.5">
      <c r="A4872" s="20" t="s">
        <v>26225</v>
      </c>
      <c r="B4872" s="20">
        <v>60</v>
      </c>
      <c r="C4872" s="20">
        <v>45</v>
      </c>
      <c r="D4872" s="20">
        <v>76</v>
      </c>
      <c r="E4872" s="24"/>
      <c r="F4872" s="20" t="s">
        <v>26226</v>
      </c>
      <c r="G4872" s="24"/>
      <c r="H4872" s="24"/>
      <c r="I4872" s="24" t="str">
        <f ca="1">IFERROR(__xludf.DUMMYFUNCTION("GOOGLETRANSLATE(F4872,""en"",""pt"")"),"Lodo de desidratação produtos")</f>
        <v>Lodo de desidratação produtos</v>
      </c>
      <c r="J4872">
        <f>VLOOKUP(A4872,Pr_Base_LNEC!$A$4:$J$6971,6,FALSE)</f>
        <v>0</v>
      </c>
      <c r="K4872">
        <f>VLOOKUP(A4872,Pr_Base_LNEC!$A$4:$J$6971,7,FALSE)</f>
        <v>0</v>
      </c>
    </row>
    <row r="4873" spans="1:11" ht="14.5">
      <c r="A4873" s="20" t="s">
        <v>26227</v>
      </c>
      <c r="B4873" s="20">
        <v>60</v>
      </c>
      <c r="C4873" s="20">
        <v>45</v>
      </c>
      <c r="D4873" s="20">
        <v>76</v>
      </c>
      <c r="E4873" s="20">
        <v>7</v>
      </c>
      <c r="F4873" s="20" t="s">
        <v>26228</v>
      </c>
      <c r="G4873" s="20" t="s">
        <v>26229</v>
      </c>
      <c r="H4873" s="24"/>
      <c r="I4873" s="24" t="str">
        <f ca="1">IFERROR(__xludf.DUMMYFUNCTION("GOOGLETRANSLATE(F4873,""en"",""pt"")"),"prensas de correia")</f>
        <v>prensas de correia</v>
      </c>
      <c r="J4873">
        <f>VLOOKUP(A4873,Pr_Base_LNEC!$A$4:$J$6971,6,FALSE)</f>
        <v>0</v>
      </c>
      <c r="K4873">
        <f>VLOOKUP(A4873,Pr_Base_LNEC!$A$4:$J$6971,7,FALSE)</f>
        <v>0</v>
      </c>
    </row>
    <row r="4874" spans="1:11" ht="14.5">
      <c r="A4874" s="20" t="s">
        <v>26230</v>
      </c>
      <c r="B4874" s="20">
        <v>60</v>
      </c>
      <c r="C4874" s="20">
        <v>45</v>
      </c>
      <c r="D4874" s="20">
        <v>76</v>
      </c>
      <c r="E4874" s="20">
        <v>22</v>
      </c>
      <c r="F4874" s="20" t="s">
        <v>26231</v>
      </c>
      <c r="G4874" s="20" t="s">
        <v>26232</v>
      </c>
      <c r="H4874" s="24"/>
      <c r="I4874" s="24" t="str">
        <f ca="1">IFERROR(__xludf.DUMMYFUNCTION("GOOGLETRANSLATE(F4874,""en"",""pt"")"),"centrífugas decanter")</f>
        <v>centrífugas decanter</v>
      </c>
      <c r="J4874">
        <f>VLOOKUP(A4874,Pr_Base_LNEC!$A$4:$J$6971,6,FALSE)</f>
        <v>0</v>
      </c>
      <c r="K4874">
        <f>VLOOKUP(A4874,Pr_Base_LNEC!$A$4:$J$6971,7,FALSE)</f>
        <v>0</v>
      </c>
    </row>
    <row r="4875" spans="1:11" ht="14.5">
      <c r="A4875" s="20" t="s">
        <v>26233</v>
      </c>
      <c r="B4875" s="20">
        <v>60</v>
      </c>
      <c r="C4875" s="20">
        <v>45</v>
      </c>
      <c r="D4875" s="20">
        <v>76</v>
      </c>
      <c r="E4875" s="20">
        <v>65</v>
      </c>
      <c r="F4875" s="20" t="s">
        <v>26234</v>
      </c>
      <c r="G4875" s="20" t="s">
        <v>26235</v>
      </c>
      <c r="H4875" s="24"/>
      <c r="I4875" s="24" t="str">
        <f ca="1">IFERROR(__xludf.DUMMYFUNCTION("GOOGLETRANSLATE(F4875,""en"",""pt"")"),"prensas de placas")</f>
        <v>prensas de placas</v>
      </c>
      <c r="J4875">
        <f>VLOOKUP(A4875,Pr_Base_LNEC!$A$4:$J$6971,6,FALSE)</f>
        <v>0</v>
      </c>
      <c r="K4875">
        <f>VLOOKUP(A4875,Pr_Base_LNEC!$A$4:$J$6971,7,FALSE)</f>
        <v>0</v>
      </c>
    </row>
    <row r="4876" spans="1:11" ht="14.5">
      <c r="A4876" s="20" t="s">
        <v>26236</v>
      </c>
      <c r="B4876" s="20">
        <v>60</v>
      </c>
      <c r="C4876" s="20">
        <v>45</v>
      </c>
      <c r="D4876" s="20">
        <v>78</v>
      </c>
      <c r="E4876" s="24"/>
      <c r="F4876" s="20" t="s">
        <v>26237</v>
      </c>
      <c r="G4876" s="24"/>
      <c r="H4876" s="24"/>
      <c r="I4876" s="24" t="str">
        <f ca="1">IFERROR(__xludf.DUMMYFUNCTION("GOOGLETRANSLATE(F4876,""en"",""pt"")"),"produtos de remoção de lamas")</f>
        <v>produtos de remoção de lamas</v>
      </c>
      <c r="J4876">
        <f>VLOOKUP(A4876,Pr_Base_LNEC!$A$4:$J$6971,6,FALSE)</f>
        <v>0</v>
      </c>
      <c r="K4876">
        <f>VLOOKUP(A4876,Pr_Base_LNEC!$A$4:$J$6971,7,FALSE)</f>
        <v>0</v>
      </c>
    </row>
    <row r="4877" spans="1:11" ht="14.5">
      <c r="A4877" s="20" t="s">
        <v>26238</v>
      </c>
      <c r="B4877" s="20">
        <v>60</v>
      </c>
      <c r="C4877" s="20">
        <v>45</v>
      </c>
      <c r="D4877" s="20">
        <v>78</v>
      </c>
      <c r="E4877" s="20">
        <v>8</v>
      </c>
      <c r="F4877" s="20" t="s">
        <v>26239</v>
      </c>
      <c r="G4877" s="20" t="s">
        <v>26240</v>
      </c>
      <c r="H4877" s="24"/>
      <c r="I4877" s="24" t="str">
        <f ca="1">IFERROR(__xludf.DUMMYFUNCTION("GOOGLETRANSLATE(F4877,""en"",""pt"")"),"raspadores de lodo de fundo")</f>
        <v>raspadores de lodo de fundo</v>
      </c>
      <c r="J4877">
        <f>VLOOKUP(A4877,Pr_Base_LNEC!$A$4:$J$6971,6,FALSE)</f>
        <v>0</v>
      </c>
      <c r="K4877">
        <f>VLOOKUP(A4877,Pr_Base_LNEC!$A$4:$J$6971,7,FALSE)</f>
        <v>0</v>
      </c>
    </row>
    <row r="4878" spans="1:11" ht="14.5">
      <c r="A4878" s="20" t="s">
        <v>26241</v>
      </c>
      <c r="B4878" s="20">
        <v>60</v>
      </c>
      <c r="C4878" s="20">
        <v>45</v>
      </c>
      <c r="D4878" s="20">
        <v>78</v>
      </c>
      <c r="E4878" s="20">
        <v>12</v>
      </c>
      <c r="F4878" s="20" t="s">
        <v>26242</v>
      </c>
      <c r="G4878" s="20" t="s">
        <v>26243</v>
      </c>
      <c r="H4878" s="24"/>
      <c r="I4878" s="24" t="str">
        <f ca="1">IFERROR(__xludf.DUMMYFUNCTION("GOOGLETRANSLATE(F4878,""en"",""pt"")"),"Corrente e vôo raspadores")</f>
        <v>Corrente e vôo raspadores</v>
      </c>
      <c r="J4878">
        <f>VLOOKUP(A4878,Pr_Base_LNEC!$A$4:$J$6971,6,FALSE)</f>
        <v>0</v>
      </c>
      <c r="K4878">
        <f>VLOOKUP(A4878,Pr_Base_LNEC!$A$4:$J$6971,7,FALSE)</f>
        <v>0</v>
      </c>
    </row>
    <row r="4879" spans="1:11" ht="14.5">
      <c r="A4879" s="20" t="s">
        <v>26244</v>
      </c>
      <c r="B4879" s="20">
        <v>60</v>
      </c>
      <c r="C4879" s="20">
        <v>45</v>
      </c>
      <c r="D4879" s="20">
        <v>78</v>
      </c>
      <c r="E4879" s="20">
        <v>72</v>
      </c>
      <c r="F4879" s="20" t="s">
        <v>26245</v>
      </c>
      <c r="G4879" s="20" t="s">
        <v>26246</v>
      </c>
      <c r="H4879" s="24"/>
      <c r="I4879" s="24" t="str">
        <f ca="1">IFERROR(__xludf.DUMMYFUNCTION("GOOGLETRANSLATE(F4879,""en"",""pt"")"),"Rotativa raspadores ponte completa")</f>
        <v>Rotativa raspadores ponte completa</v>
      </c>
      <c r="J4879">
        <f>VLOOKUP(A4879,Pr_Base_LNEC!$A$4:$J$6971,6,FALSE)</f>
        <v>0</v>
      </c>
      <c r="K4879">
        <f>VLOOKUP(A4879,Pr_Base_LNEC!$A$4:$J$6971,7,FALSE)</f>
        <v>0</v>
      </c>
    </row>
    <row r="4880" spans="1:11" ht="14.5">
      <c r="A4880" s="20" t="s">
        <v>26247</v>
      </c>
      <c r="B4880" s="20">
        <v>60</v>
      </c>
      <c r="C4880" s="20">
        <v>45</v>
      </c>
      <c r="D4880" s="20">
        <v>78</v>
      </c>
      <c r="E4880" s="20">
        <v>73</v>
      </c>
      <c r="F4880" s="20" t="s">
        <v>26248</v>
      </c>
      <c r="G4880" s="20" t="s">
        <v>26249</v>
      </c>
      <c r="H4880" s="24"/>
      <c r="I4880" s="24" t="str">
        <f ca="1">IFERROR(__xludf.DUMMYFUNCTION("GOOGLETRANSLATE(F4880,""en"",""pt"")"),"Rotativa raspadores meia ponte")</f>
        <v>Rotativa raspadores meia ponte</v>
      </c>
      <c r="J4880">
        <f>VLOOKUP(A4880,Pr_Base_LNEC!$A$4:$J$6971,6,FALSE)</f>
        <v>0</v>
      </c>
      <c r="K4880">
        <f>VLOOKUP(A4880,Pr_Base_LNEC!$A$4:$J$6971,7,FALSE)</f>
        <v>0</v>
      </c>
    </row>
    <row r="4881" spans="1:11" ht="14.5">
      <c r="A4881" s="20" t="s">
        <v>26250</v>
      </c>
      <c r="B4881" s="20">
        <v>60</v>
      </c>
      <c r="C4881" s="20">
        <v>45</v>
      </c>
      <c r="D4881" s="20">
        <v>78</v>
      </c>
      <c r="E4881" s="20">
        <v>78</v>
      </c>
      <c r="F4881" s="20" t="s">
        <v>26251</v>
      </c>
      <c r="G4881" s="20" t="s">
        <v>26252</v>
      </c>
      <c r="H4881" s="24"/>
      <c r="I4881" s="24" t="str">
        <f ca="1">IFERROR(__xludf.DUMMYFUNCTION("GOOGLETRANSLATE(F4881,""en"",""pt"")"),"sifões")</f>
        <v>sifões</v>
      </c>
      <c r="J4881">
        <f>VLOOKUP(A4881,Pr_Base_LNEC!$A$4:$J$6971,6,FALSE)</f>
        <v>0</v>
      </c>
      <c r="K4881">
        <f>VLOOKUP(A4881,Pr_Base_LNEC!$A$4:$J$6971,7,FALSE)</f>
        <v>0</v>
      </c>
    </row>
    <row r="4882" spans="1:11" ht="14.5">
      <c r="A4882" s="20" t="s">
        <v>26253</v>
      </c>
      <c r="B4882" s="20">
        <v>60</v>
      </c>
      <c r="C4882" s="20">
        <v>45</v>
      </c>
      <c r="D4882" s="20">
        <v>79</v>
      </c>
      <c r="E4882" s="24"/>
      <c r="F4882" s="20" t="s">
        <v>26254</v>
      </c>
      <c r="G4882" s="24"/>
      <c r="H4882" s="24"/>
      <c r="I4882" s="24" t="str">
        <f ca="1">IFERROR(__xludf.DUMMYFUNCTION("GOOGLETRANSLATE(F4882,""en"",""pt"")"),"Sludge triagem produtos")</f>
        <v>Sludge triagem produtos</v>
      </c>
      <c r="J4882">
        <f>VLOOKUP(A4882,Pr_Base_LNEC!$A$4:$J$6971,6,FALSE)</f>
        <v>0</v>
      </c>
      <c r="K4882">
        <f>VLOOKUP(A4882,Pr_Base_LNEC!$A$4:$J$6971,7,FALSE)</f>
        <v>0</v>
      </c>
    </row>
    <row r="4883" spans="1:11" ht="14.5">
      <c r="A4883" s="20" t="s">
        <v>26255</v>
      </c>
      <c r="B4883" s="20">
        <v>60</v>
      </c>
      <c r="C4883" s="20">
        <v>45</v>
      </c>
      <c r="D4883" s="20">
        <v>79</v>
      </c>
      <c r="E4883" s="20">
        <v>34</v>
      </c>
      <c r="F4883" s="20" t="s">
        <v>26256</v>
      </c>
      <c r="G4883" s="20" t="s">
        <v>26257</v>
      </c>
      <c r="H4883" s="24"/>
      <c r="I4883" s="24" t="str">
        <f ca="1">IFERROR(__xludf.DUMMYFUNCTION("GOOGLETRANSLATE(F4883,""en"",""pt"")"),"telas gravidade lodo")</f>
        <v>telas gravidade lodo</v>
      </c>
      <c r="J4883">
        <f>VLOOKUP(A4883,Pr_Base_LNEC!$A$4:$J$6971,6,FALSE)</f>
        <v>0</v>
      </c>
      <c r="K4883">
        <f>VLOOKUP(A4883,Pr_Base_LNEC!$A$4:$J$6971,7,FALSE)</f>
        <v>0</v>
      </c>
    </row>
    <row r="4884" spans="1:11" ht="14.5">
      <c r="A4884" s="20" t="s">
        <v>26258</v>
      </c>
      <c r="B4884" s="20">
        <v>60</v>
      </c>
      <c r="C4884" s="20">
        <v>45</v>
      </c>
      <c r="D4884" s="20">
        <v>79</v>
      </c>
      <c r="E4884" s="20">
        <v>65</v>
      </c>
      <c r="F4884" s="20" t="s">
        <v>26259</v>
      </c>
      <c r="G4884" s="20" t="s">
        <v>26260</v>
      </c>
      <c r="H4884" s="24"/>
      <c r="I4884" s="24" t="str">
        <f ca="1">IFERROR(__xludf.DUMMYFUNCTION("GOOGLETRANSLATE(F4884,""en"",""pt"")"),"telas de lodo pressurizados")</f>
        <v>telas de lodo pressurizados</v>
      </c>
      <c r="J4884">
        <f>VLOOKUP(A4884,Pr_Base_LNEC!$A$4:$J$6971,6,FALSE)</f>
        <v>0</v>
      </c>
      <c r="K4884">
        <f>VLOOKUP(A4884,Pr_Base_LNEC!$A$4:$J$6971,7,FALSE)</f>
        <v>0</v>
      </c>
    </row>
    <row r="4885" spans="1:11" ht="14.5">
      <c r="A4885" s="20" t="s">
        <v>26261</v>
      </c>
      <c r="B4885" s="20">
        <v>60</v>
      </c>
      <c r="C4885" s="20">
        <v>45</v>
      </c>
      <c r="D4885" s="20">
        <v>80</v>
      </c>
      <c r="E4885" s="24"/>
      <c r="F4885" s="20" t="s">
        <v>26262</v>
      </c>
      <c r="G4885" s="24"/>
      <c r="H4885" s="24"/>
      <c r="I4885" s="24" t="str">
        <f ca="1">IFERROR(__xludf.DUMMYFUNCTION("GOOGLETRANSLATE(F4885,""en"",""pt"")"),"produtos de espessamento de lamas")</f>
        <v>produtos de espessamento de lamas</v>
      </c>
      <c r="J4885">
        <f>VLOOKUP(A4885,Pr_Base_LNEC!$A$4:$J$6971,6,FALSE)</f>
        <v>0</v>
      </c>
      <c r="K4885">
        <f>VLOOKUP(A4885,Pr_Base_LNEC!$A$4:$J$6971,7,FALSE)</f>
        <v>0</v>
      </c>
    </row>
    <row r="4886" spans="1:11" ht="14.5">
      <c r="A4886" s="20" t="s">
        <v>26263</v>
      </c>
      <c r="B4886" s="20">
        <v>60</v>
      </c>
      <c r="C4886" s="20">
        <v>45</v>
      </c>
      <c r="D4886" s="20">
        <v>80</v>
      </c>
      <c r="E4886" s="20">
        <v>24</v>
      </c>
      <c r="F4886" s="20" t="s">
        <v>26264</v>
      </c>
      <c r="G4886" s="20" t="s">
        <v>26265</v>
      </c>
      <c r="H4886" s="24"/>
      <c r="I4886" s="24" t="str">
        <f ca="1">IFERROR(__xludf.DUMMYFUNCTION("GOOGLETRANSLATE(F4886,""en"",""pt"")"),"espessantes tambor")</f>
        <v>espessantes tambor</v>
      </c>
      <c r="J4886">
        <f>VLOOKUP(A4886,Pr_Base_LNEC!$A$4:$J$6971,6,FALSE)</f>
        <v>0</v>
      </c>
      <c r="K4886">
        <f>VLOOKUP(A4886,Pr_Base_LNEC!$A$4:$J$6971,7,FALSE)</f>
        <v>0</v>
      </c>
    </row>
    <row r="4887" spans="1:11" ht="14.5">
      <c r="A4887" s="20" t="s">
        <v>26266</v>
      </c>
      <c r="B4887" s="20">
        <v>60</v>
      </c>
      <c r="C4887" s="20">
        <v>45</v>
      </c>
      <c r="D4887" s="20">
        <v>80</v>
      </c>
      <c r="E4887" s="20">
        <v>34</v>
      </c>
      <c r="F4887" s="20" t="s">
        <v>26267</v>
      </c>
      <c r="G4887" s="20" t="s">
        <v>26268</v>
      </c>
      <c r="H4887" s="24"/>
      <c r="I4887" s="24" t="str">
        <f ca="1">IFERROR(__xludf.DUMMYFUNCTION("GOOGLETRANSLATE(F4887,""en"",""pt"")"),"espessantes correia gravidade")</f>
        <v>espessantes correia gravidade</v>
      </c>
      <c r="J4887">
        <f>VLOOKUP(A4887,Pr_Base_LNEC!$A$4:$J$6971,6,FALSE)</f>
        <v>0</v>
      </c>
      <c r="K4887">
        <f>VLOOKUP(A4887,Pr_Base_LNEC!$A$4:$J$6971,7,FALSE)</f>
        <v>0</v>
      </c>
    </row>
    <row r="4888" spans="1:11" ht="14.5">
      <c r="A4888" s="20" t="s">
        <v>26269</v>
      </c>
      <c r="B4888" s="20">
        <v>60</v>
      </c>
      <c r="C4888" s="20">
        <v>45</v>
      </c>
      <c r="D4888" s="20">
        <v>80</v>
      </c>
      <c r="E4888" s="20">
        <v>63</v>
      </c>
      <c r="F4888" s="20" t="s">
        <v>26270</v>
      </c>
      <c r="G4888" s="20" t="s">
        <v>26271</v>
      </c>
      <c r="H4888" s="24"/>
      <c r="I4888" s="24" t="str">
        <f ca="1">IFERROR(__xludf.DUMMYFUNCTION("GOOGLETRANSLATE(F4888,""en"",""pt"")"),"espessantes cerca de piquete")</f>
        <v>espessantes cerca de piquete</v>
      </c>
      <c r="J4888">
        <f>VLOOKUP(A4888,Pr_Base_LNEC!$A$4:$J$6971,6,FALSE)</f>
        <v>0</v>
      </c>
      <c r="K4888">
        <f>VLOOKUP(A4888,Pr_Base_LNEC!$A$4:$J$6971,7,FALSE)</f>
        <v>0</v>
      </c>
    </row>
    <row r="4889" spans="1:11" ht="14.5">
      <c r="A4889" s="20" t="s">
        <v>26272</v>
      </c>
      <c r="B4889" s="20">
        <v>60</v>
      </c>
      <c r="C4889" s="20">
        <v>45</v>
      </c>
      <c r="D4889" s="20">
        <v>85</v>
      </c>
      <c r="E4889" s="24"/>
      <c r="F4889" s="20" t="s">
        <v>26273</v>
      </c>
      <c r="G4889" s="24"/>
      <c r="H4889" s="24"/>
      <c r="I4889" s="24" t="str">
        <f ca="1">IFERROR(__xludf.DUMMYFUNCTION("GOOGLETRANSLATE(F4889,""en"",""pt"")"),"crescimento suspenso e produtos de tratamento de águas residuais terciárias")</f>
        <v>crescimento suspenso e produtos de tratamento de águas residuais terciárias</v>
      </c>
      <c r="J4889">
        <f>VLOOKUP(A4889,Pr_Base_LNEC!$A$4:$J$6971,6,FALSE)</f>
        <v>0</v>
      </c>
      <c r="K4889">
        <f>VLOOKUP(A4889,Pr_Base_LNEC!$A$4:$J$6971,7,FALSE)</f>
        <v>0</v>
      </c>
    </row>
    <row r="4890" spans="1:11" ht="14.5">
      <c r="A4890" s="20" t="s">
        <v>26274</v>
      </c>
      <c r="B4890" s="20">
        <v>60</v>
      </c>
      <c r="C4890" s="20">
        <v>45</v>
      </c>
      <c r="D4890" s="20">
        <v>90</v>
      </c>
      <c r="E4890" s="24"/>
      <c r="F4890" s="20" t="s">
        <v>26275</v>
      </c>
      <c r="G4890" s="24"/>
      <c r="H4890" s="24"/>
      <c r="I4890" s="24" t="str">
        <f ca="1">IFERROR(__xludf.DUMMYFUNCTION("GOOGLETRANSLATE(F4890,""en"",""pt"")"),"Águas residuais e de produtos misturador")</f>
        <v>Águas residuais e de produtos misturador</v>
      </c>
      <c r="J4890">
        <f>VLOOKUP(A4890,Pr_Base_LNEC!$A$4:$J$6971,6,FALSE)</f>
        <v>0</v>
      </c>
      <c r="K4890">
        <f>VLOOKUP(A4890,Pr_Base_LNEC!$A$4:$J$6971,7,FALSE)</f>
        <v>0</v>
      </c>
    </row>
    <row r="4891" spans="1:11" ht="14.5">
      <c r="A4891" s="20" t="s">
        <v>26276</v>
      </c>
      <c r="B4891" s="20">
        <v>60</v>
      </c>
      <c r="C4891" s="20">
        <v>45</v>
      </c>
      <c r="D4891" s="20">
        <v>90</v>
      </c>
      <c r="E4891" s="20">
        <v>15</v>
      </c>
      <c r="F4891" s="20" t="s">
        <v>26277</v>
      </c>
      <c r="G4891" s="20" t="s">
        <v>26278</v>
      </c>
      <c r="H4891" s="24"/>
      <c r="I4891" s="24" t="str">
        <f ca="1">IFERROR(__xludf.DUMMYFUNCTION("GOOGLETRANSLATE(F4891,""en"",""pt"")"),"misturadores de canal")</f>
        <v>misturadores de canal</v>
      </c>
      <c r="J4891">
        <f>VLOOKUP(A4891,Pr_Base_LNEC!$A$4:$J$6971,6,FALSE)</f>
        <v>0</v>
      </c>
      <c r="K4891">
        <f>VLOOKUP(A4891,Pr_Base_LNEC!$A$4:$J$6971,7,FALSE)</f>
        <v>0</v>
      </c>
    </row>
    <row r="4892" spans="1:11" ht="14.5">
      <c r="A4892" s="20" t="s">
        <v>26279</v>
      </c>
      <c r="B4892" s="20">
        <v>60</v>
      </c>
      <c r="C4892" s="20">
        <v>45</v>
      </c>
      <c r="D4892" s="20">
        <v>90</v>
      </c>
      <c r="E4892" s="20">
        <v>51</v>
      </c>
      <c r="F4892" s="20" t="s">
        <v>26280</v>
      </c>
      <c r="G4892" s="20" t="s">
        <v>26281</v>
      </c>
      <c r="H4892" s="24"/>
      <c r="I4892" s="24" t="str">
        <f ca="1">IFERROR(__xludf.DUMMYFUNCTION("GOOGLETRANSLATE(F4892,""en"",""pt"")"),"misturadores mecânicos")</f>
        <v>misturadores mecânicos</v>
      </c>
      <c r="J4892">
        <f>VLOOKUP(A4892,Pr_Base_LNEC!$A$4:$J$6971,6,FALSE)</f>
        <v>0</v>
      </c>
      <c r="K4892">
        <f>VLOOKUP(A4892,Pr_Base_LNEC!$A$4:$J$6971,7,FALSE)</f>
        <v>0</v>
      </c>
    </row>
    <row r="4893" spans="1:11" ht="14.5">
      <c r="A4893" s="20" t="s">
        <v>26282</v>
      </c>
      <c r="B4893" s="20">
        <v>60</v>
      </c>
      <c r="C4893" s="20">
        <v>45</v>
      </c>
      <c r="D4893" s="20">
        <v>90</v>
      </c>
      <c r="E4893" s="20">
        <v>85</v>
      </c>
      <c r="F4893" s="20" t="s">
        <v>26283</v>
      </c>
      <c r="G4893" s="20" t="s">
        <v>26284</v>
      </c>
      <c r="H4893" s="24"/>
      <c r="I4893" s="24" t="str">
        <f ca="1">IFERROR(__xludf.DUMMYFUNCTION("GOOGLETRANSLATE(F4893,""en"",""pt"")"),"misturadores de tubos estáticos")</f>
        <v>misturadores de tubos estáticos</v>
      </c>
      <c r="J4893">
        <f>VLOOKUP(A4893,Pr_Base_LNEC!$A$4:$J$6971,6,FALSE)</f>
        <v>0</v>
      </c>
      <c r="K4893">
        <f>VLOOKUP(A4893,Pr_Base_LNEC!$A$4:$J$6971,7,FALSE)</f>
        <v>0</v>
      </c>
    </row>
    <row r="4894" spans="1:11" ht="14.5">
      <c r="A4894" s="20" t="s">
        <v>26285</v>
      </c>
      <c r="B4894" s="20">
        <v>60</v>
      </c>
      <c r="C4894" s="20">
        <v>45</v>
      </c>
      <c r="D4894" s="20">
        <v>90</v>
      </c>
      <c r="E4894" s="20">
        <v>86</v>
      </c>
      <c r="F4894" s="20" t="s">
        <v>26286</v>
      </c>
      <c r="G4894" s="24"/>
      <c r="H4894" s="24"/>
      <c r="I4894" s="24" t="str">
        <f ca="1">IFERROR(__xludf.DUMMYFUNCTION("GOOGLETRANSLATE(F4894,""en"",""pt"")"),"Misturadores de hélice submersíveis")</f>
        <v>Misturadores de hélice submersíveis</v>
      </c>
      <c r="J4894" t="e">
        <f>VLOOKUP(A4894,Pr_Base_LNEC!$A$4:$J$6971,6,FALSE)</f>
        <v>#N/A</v>
      </c>
      <c r="K4894" t="e">
        <f>VLOOKUP(A4894,Pr_Base_LNEC!$A$4:$J$6971,7,FALSE)</f>
        <v>#N/A</v>
      </c>
    </row>
    <row r="4895" spans="1:11" ht="14.5">
      <c r="A4895" s="20" t="s">
        <v>26287</v>
      </c>
      <c r="B4895" s="20">
        <v>60</v>
      </c>
      <c r="C4895" s="20">
        <v>45</v>
      </c>
      <c r="D4895" s="20">
        <v>93</v>
      </c>
      <c r="E4895" s="24"/>
      <c r="F4895" s="20" t="s">
        <v>26288</v>
      </c>
      <c r="G4895" s="24"/>
      <c r="H4895" s="24"/>
      <c r="I4895" s="24" t="str">
        <f ca="1">IFERROR(__xludf.DUMMYFUNCTION("GOOGLETRANSLATE(F4895,""en"",""pt"")"),"Águas residuais rastreios produtos de tratamento")</f>
        <v>Águas residuais rastreios produtos de tratamento</v>
      </c>
      <c r="J4895">
        <f>VLOOKUP(A4895,Pr_Base_LNEC!$A$4:$J$6971,6,FALSE)</f>
        <v>0</v>
      </c>
      <c r="K4895">
        <f>VLOOKUP(A4895,Pr_Base_LNEC!$A$4:$J$6971,7,FALSE)</f>
        <v>0</v>
      </c>
    </row>
    <row r="4896" spans="1:11" ht="14.5">
      <c r="A4896" s="20" t="s">
        <v>26289</v>
      </c>
      <c r="B4896" s="20">
        <v>60</v>
      </c>
      <c r="C4896" s="20">
        <v>45</v>
      </c>
      <c r="D4896" s="20">
        <v>93</v>
      </c>
      <c r="E4896" s="20">
        <v>42</v>
      </c>
      <c r="F4896" s="20" t="s">
        <v>26290</v>
      </c>
      <c r="G4896" s="20" t="s">
        <v>26291</v>
      </c>
      <c r="H4896" s="24"/>
      <c r="I4896" s="24" t="str">
        <f ca="1">IFERROR(__xludf.DUMMYFUNCTION("GOOGLETRANSLATE(F4896,""en"",""pt"")"),"Impulsor e do tanque de lavagem compactador")</f>
        <v>Impulsor e do tanque de lavagem compactador</v>
      </c>
      <c r="J4896">
        <f>VLOOKUP(A4896,Pr_Base_LNEC!$A$4:$J$6971,6,FALSE)</f>
        <v>0</v>
      </c>
      <c r="K4896">
        <f>VLOOKUP(A4896,Pr_Base_LNEC!$A$4:$J$6971,7,FALSE)</f>
        <v>0</v>
      </c>
    </row>
    <row r="4897" spans="1:11" ht="14.5">
      <c r="A4897" s="20" t="s">
        <v>26292</v>
      </c>
      <c r="B4897" s="20">
        <v>60</v>
      </c>
      <c r="C4897" s="20">
        <v>45</v>
      </c>
      <c r="D4897" s="20">
        <v>93</v>
      </c>
      <c r="E4897" s="20">
        <v>50</v>
      </c>
      <c r="F4897" s="20" t="s">
        <v>26293</v>
      </c>
      <c r="G4897" s="20" t="s">
        <v>26294</v>
      </c>
      <c r="H4897" s="24"/>
      <c r="I4897" s="24" t="str">
        <f ca="1">IFERROR(__xludf.DUMMYFUNCTION("GOOGLETRANSLATE(F4897,""en"",""pt"")"),"Triturador e lavagem do tanque de rega-")</f>
        <v>Triturador e lavagem do tanque de rega-</v>
      </c>
      <c r="J4897">
        <f>VLOOKUP(A4897,Pr_Base_LNEC!$A$4:$J$6971,6,FALSE)</f>
        <v>0</v>
      </c>
      <c r="K4897">
        <f>VLOOKUP(A4897,Pr_Base_LNEC!$A$4:$J$6971,7,FALSE)</f>
        <v>0</v>
      </c>
    </row>
    <row r="4898" spans="1:11" ht="14.5">
      <c r="A4898" s="20" t="s">
        <v>26295</v>
      </c>
      <c r="B4898" s="20">
        <v>60</v>
      </c>
      <c r="C4898" s="20">
        <v>45</v>
      </c>
      <c r="D4898" s="20">
        <v>93</v>
      </c>
      <c r="E4898" s="20">
        <v>75</v>
      </c>
      <c r="F4898" s="20" t="s">
        <v>26296</v>
      </c>
      <c r="G4898" s="20" t="s">
        <v>26297</v>
      </c>
      <c r="H4898" s="24"/>
      <c r="I4898" s="24" t="str">
        <f ca="1">IFERROR(__xludf.DUMMYFUNCTION("GOOGLETRANSLATE(F4898,""en"",""pt"")"),"compactadores de parafuso")</f>
        <v>compactadores de parafuso</v>
      </c>
      <c r="J4898">
        <f>VLOOKUP(A4898,Pr_Base_LNEC!$A$4:$J$6971,6,FALSE)</f>
        <v>0</v>
      </c>
      <c r="K4898">
        <f>VLOOKUP(A4898,Pr_Base_LNEC!$A$4:$J$6971,7,FALSE)</f>
        <v>0</v>
      </c>
    </row>
    <row r="4899" spans="1:11" ht="14.5">
      <c r="A4899" s="20" t="s">
        <v>26298</v>
      </c>
      <c r="B4899" s="20">
        <v>60</v>
      </c>
      <c r="C4899" s="20">
        <v>45</v>
      </c>
      <c r="D4899" s="20">
        <v>93</v>
      </c>
      <c r="E4899" s="20">
        <v>96</v>
      </c>
      <c r="F4899" s="20" t="s">
        <v>26299</v>
      </c>
      <c r="G4899" s="20" t="s">
        <v>26300</v>
      </c>
      <c r="H4899" s="24"/>
      <c r="I4899" s="24" t="str">
        <f ca="1">IFERROR(__xludf.DUMMYFUNCTION("GOOGLETRANSLATE(F4899,""en"",""pt"")"),"compactadores Máquina de lavar roupa")</f>
        <v>compactadores Máquina de lavar roupa</v>
      </c>
      <c r="J4899">
        <f>VLOOKUP(A4899,Pr_Base_LNEC!$A$4:$J$6971,6,FALSE)</f>
        <v>0</v>
      </c>
      <c r="K4899">
        <f>VLOOKUP(A4899,Pr_Base_LNEC!$A$4:$J$6971,7,FALSE)</f>
        <v>0</v>
      </c>
    </row>
    <row r="4900" spans="1:11" ht="14.5">
      <c r="A4900" s="20" t="s">
        <v>26301</v>
      </c>
      <c r="B4900" s="20">
        <v>60</v>
      </c>
      <c r="C4900" s="20">
        <v>45</v>
      </c>
      <c r="D4900" s="20">
        <v>94</v>
      </c>
      <c r="E4900" s="24"/>
      <c r="F4900" s="20" t="s">
        <v>26302</v>
      </c>
      <c r="G4900" s="24"/>
      <c r="H4900" s="24"/>
      <c r="I4900" s="24" t="str">
        <f ca="1">IFERROR(__xludf.DUMMYFUNCTION("GOOGLETRANSLATE(F4900,""en"",""pt"")"),"triagem de águas residuais e produtos de captação de água")</f>
        <v>triagem de águas residuais e produtos de captação de água</v>
      </c>
      <c r="J4900">
        <f>VLOOKUP(A4900,Pr_Base_LNEC!$A$4:$J$6971,6,FALSE)</f>
        <v>0</v>
      </c>
      <c r="K4900">
        <f>VLOOKUP(A4900,Pr_Base_LNEC!$A$4:$J$6971,7,FALSE)</f>
        <v>0</v>
      </c>
    </row>
    <row r="4901" spans="1:11" ht="14.5">
      <c r="A4901" s="20" t="s">
        <v>26303</v>
      </c>
      <c r="B4901" s="20">
        <v>60</v>
      </c>
      <c r="C4901" s="20">
        <v>45</v>
      </c>
      <c r="D4901" s="20">
        <v>94</v>
      </c>
      <c r="E4901" s="20">
        <v>6</v>
      </c>
      <c r="F4901" s="20" t="s">
        <v>26304</v>
      </c>
      <c r="G4901" s="20" t="s">
        <v>26305</v>
      </c>
      <c r="H4901" s="24"/>
      <c r="I4901" s="24" t="str">
        <f ca="1">IFERROR(__xludf.DUMMYFUNCTION("GOOGLETRANSLATE(F4901,""en"",""pt"")"),"telas de banda")</f>
        <v>telas de banda</v>
      </c>
      <c r="J4901">
        <f>VLOOKUP(A4901,Pr_Base_LNEC!$A$4:$J$6971,6,FALSE)</f>
        <v>0</v>
      </c>
      <c r="K4901">
        <f>VLOOKUP(A4901,Pr_Base_LNEC!$A$4:$J$6971,7,FALSE)</f>
        <v>0</v>
      </c>
    </row>
    <row r="4902" spans="1:11" ht="14.5">
      <c r="A4902" s="20" t="s">
        <v>26306</v>
      </c>
      <c r="B4902" s="20">
        <v>60</v>
      </c>
      <c r="C4902" s="20">
        <v>45</v>
      </c>
      <c r="D4902" s="20">
        <v>94</v>
      </c>
      <c r="E4902" s="20">
        <v>8</v>
      </c>
      <c r="F4902" s="20" t="s">
        <v>26307</v>
      </c>
      <c r="G4902" s="20" t="s">
        <v>26308</v>
      </c>
      <c r="H4902" s="24"/>
      <c r="I4902" s="24" t="str">
        <f ca="1">IFERROR(__xludf.DUMMYFUNCTION("GOOGLETRANSLATE(F4902,""en"",""pt"")"),"Escovado e telas macerator combinado")</f>
        <v>Escovado e telas macerator combinado</v>
      </c>
      <c r="J4902">
        <f>VLOOKUP(A4902,Pr_Base_LNEC!$A$4:$J$6971,6,FALSE)</f>
        <v>0</v>
      </c>
      <c r="K4902">
        <f>VLOOKUP(A4902,Pr_Base_LNEC!$A$4:$J$6971,7,FALSE)</f>
        <v>0</v>
      </c>
    </row>
    <row r="4903" spans="1:11" ht="14.5">
      <c r="A4903" s="20" t="s">
        <v>26309</v>
      </c>
      <c r="B4903" s="20">
        <v>60</v>
      </c>
      <c r="C4903" s="20">
        <v>45</v>
      </c>
      <c r="D4903" s="20">
        <v>94</v>
      </c>
      <c r="E4903" s="20">
        <v>9</v>
      </c>
      <c r="F4903" s="20" t="s">
        <v>26310</v>
      </c>
      <c r="G4903" s="20" t="s">
        <v>26311</v>
      </c>
      <c r="H4903" s="24"/>
      <c r="I4903" s="24" t="str">
        <f ca="1">IFERROR(__xludf.DUMMYFUNCTION("GOOGLETRANSLATE(F4903,""en"",""pt"")"),"telas escovado")</f>
        <v>telas escovado</v>
      </c>
      <c r="J4903">
        <f>VLOOKUP(A4903,Pr_Base_LNEC!$A$4:$J$6971,6,FALSE)</f>
        <v>0</v>
      </c>
      <c r="K4903">
        <f>VLOOKUP(A4903,Pr_Base_LNEC!$A$4:$J$6971,7,FALSE)</f>
        <v>0</v>
      </c>
    </row>
    <row r="4904" spans="1:11" ht="14.5">
      <c r="A4904" s="20" t="s">
        <v>26312</v>
      </c>
      <c r="B4904" s="20">
        <v>60</v>
      </c>
      <c r="C4904" s="20">
        <v>45</v>
      </c>
      <c r="D4904" s="20">
        <v>94</v>
      </c>
      <c r="E4904" s="20">
        <v>15</v>
      </c>
      <c r="F4904" s="20" t="s">
        <v>26313</v>
      </c>
      <c r="G4904" s="20" t="s">
        <v>26314</v>
      </c>
      <c r="H4904" s="24"/>
      <c r="I4904" s="24" t="str">
        <f ca="1">IFERROR(__xludf.DUMMYFUNCTION("GOOGLETRANSLATE(F4904,""en"",""pt"")"),"telas Coanda")</f>
        <v>telas Coanda</v>
      </c>
      <c r="J4904">
        <f>VLOOKUP(A4904,Pr_Base_LNEC!$A$4:$J$6971,6,FALSE)</f>
        <v>0</v>
      </c>
      <c r="K4904">
        <f>VLOOKUP(A4904,Pr_Base_LNEC!$A$4:$J$6971,7,FALSE)</f>
        <v>0</v>
      </c>
    </row>
    <row r="4905" spans="1:11" ht="14.5">
      <c r="A4905" s="20" t="s">
        <v>26315</v>
      </c>
      <c r="B4905" s="20">
        <v>60</v>
      </c>
      <c r="C4905" s="20">
        <v>45</v>
      </c>
      <c r="D4905" s="20">
        <v>94</v>
      </c>
      <c r="E4905" s="20">
        <v>23</v>
      </c>
      <c r="F4905" s="20" t="s">
        <v>26316</v>
      </c>
      <c r="G4905" s="20" t="s">
        <v>26317</v>
      </c>
      <c r="H4905" s="24"/>
      <c r="I4905" s="24" t="str">
        <f ca="1">IFERROR(__xludf.DUMMYFUNCTION("GOOGLETRANSLATE(F4905,""en"",""pt"")"),"telas de disco")</f>
        <v>telas de disco</v>
      </c>
      <c r="J4905">
        <f>VLOOKUP(A4905,Pr_Base_LNEC!$A$4:$J$6971,6,FALSE)</f>
        <v>0</v>
      </c>
      <c r="K4905">
        <f>VLOOKUP(A4905,Pr_Base_LNEC!$A$4:$J$6971,7,FALSE)</f>
        <v>0</v>
      </c>
    </row>
    <row r="4906" spans="1:11" ht="14.5">
      <c r="A4906" s="20" t="s">
        <v>26318</v>
      </c>
      <c r="B4906" s="20">
        <v>60</v>
      </c>
      <c r="C4906" s="20">
        <v>45</v>
      </c>
      <c r="D4906" s="20">
        <v>94</v>
      </c>
      <c r="E4906" s="20">
        <v>25</v>
      </c>
      <c r="F4906" s="20" t="s">
        <v>26319</v>
      </c>
      <c r="G4906" s="20" t="s">
        <v>26320</v>
      </c>
      <c r="H4906" s="24"/>
      <c r="I4906" s="24" t="str">
        <f ca="1">IFERROR(__xludf.DUMMYFUNCTION("GOOGLETRANSLATE(F4906,""en"",""pt"")"),"Peneiras de tambor")</f>
        <v>Peneiras de tambor</v>
      </c>
      <c r="J4906">
        <f>VLOOKUP(A4906,Pr_Base_LNEC!$A$4:$J$6971,6,FALSE)</f>
        <v>0</v>
      </c>
      <c r="K4906">
        <f>VLOOKUP(A4906,Pr_Base_LNEC!$A$4:$J$6971,7,FALSE)</f>
        <v>0</v>
      </c>
    </row>
    <row r="4907" spans="1:11" ht="14.5">
      <c r="A4907" s="20" t="s">
        <v>26321</v>
      </c>
      <c r="B4907" s="20">
        <v>60</v>
      </c>
      <c r="C4907" s="20">
        <v>45</v>
      </c>
      <c r="D4907" s="20">
        <v>94</v>
      </c>
      <c r="E4907" s="20">
        <v>29</v>
      </c>
      <c r="F4907" s="20" t="s">
        <v>26322</v>
      </c>
      <c r="G4907" s="20" t="s">
        <v>26323</v>
      </c>
      <c r="H4907" s="24"/>
      <c r="I4907" s="24" t="str">
        <f ca="1">IFERROR(__xludf.DUMMYFUNCTION("GOOGLETRANSLATE(F4907,""en"",""pt"")"),"Finescreens")</f>
        <v>Finescreens</v>
      </c>
      <c r="J4907">
        <f>VLOOKUP(A4907,Pr_Base_LNEC!$A$4:$J$6971,6,FALSE)</f>
        <v>0</v>
      </c>
      <c r="K4907">
        <f>VLOOKUP(A4907,Pr_Base_LNEC!$A$4:$J$6971,7,FALSE)</f>
        <v>0</v>
      </c>
    </row>
    <row r="4908" spans="1:11" ht="14.5">
      <c r="A4908" s="20" t="s">
        <v>26324</v>
      </c>
      <c r="B4908" s="20">
        <v>60</v>
      </c>
      <c r="C4908" s="20">
        <v>45</v>
      </c>
      <c r="D4908" s="20">
        <v>94</v>
      </c>
      <c r="E4908" s="20">
        <v>30</v>
      </c>
      <c r="F4908" s="20" t="s">
        <v>26325</v>
      </c>
      <c r="G4908" s="20" t="s">
        <v>26326</v>
      </c>
      <c r="H4908" s="24"/>
      <c r="I4908" s="24" t="str">
        <f ca="1">IFERROR(__xludf.DUMMYFUNCTION("GOOGLETRANSLATE(F4908,""en"",""pt"")"),"telas Flushing")</f>
        <v>telas Flushing</v>
      </c>
      <c r="J4908">
        <f>VLOOKUP(A4908,Pr_Base_LNEC!$A$4:$J$6971,6,FALSE)</f>
        <v>0</v>
      </c>
      <c r="K4908">
        <f>VLOOKUP(A4908,Pr_Base_LNEC!$A$4:$J$6971,7,FALSE)</f>
        <v>0</v>
      </c>
    </row>
    <row r="4909" spans="1:11" ht="14.5">
      <c r="A4909" s="20" t="s">
        <v>26327</v>
      </c>
      <c r="B4909" s="20">
        <v>60</v>
      </c>
      <c r="C4909" s="20">
        <v>45</v>
      </c>
      <c r="D4909" s="20">
        <v>94</v>
      </c>
      <c r="E4909" s="20">
        <v>34</v>
      </c>
      <c r="F4909" s="20" t="s">
        <v>26328</v>
      </c>
      <c r="G4909" s="20" t="s">
        <v>26329</v>
      </c>
      <c r="H4909" s="24"/>
      <c r="I4909" s="24" t="str">
        <f ca="1">IFERROR(__xludf.DUMMYFUNCTION("GOOGLETRANSLATE(F4909,""en"",""pt"")"),"telas Grab")</f>
        <v>telas Grab</v>
      </c>
      <c r="J4909">
        <f>VLOOKUP(A4909,Pr_Base_LNEC!$A$4:$J$6971,6,FALSE)</f>
        <v>0</v>
      </c>
      <c r="K4909">
        <f>VLOOKUP(A4909,Pr_Base_LNEC!$A$4:$J$6971,7,FALSE)</f>
        <v>0</v>
      </c>
    </row>
    <row r="4910" spans="1:11" ht="14.5">
      <c r="A4910" s="20" t="s">
        <v>26330</v>
      </c>
      <c r="B4910" s="20">
        <v>60</v>
      </c>
      <c r="C4910" s="20">
        <v>45</v>
      </c>
      <c r="D4910" s="20">
        <v>94</v>
      </c>
      <c r="E4910" s="20">
        <v>70</v>
      </c>
      <c r="F4910" s="20" t="s">
        <v>26331</v>
      </c>
      <c r="G4910" s="20" t="s">
        <v>26332</v>
      </c>
      <c r="H4910" s="24"/>
      <c r="I4910" s="24" t="str">
        <f ca="1">IFERROR(__xludf.DUMMYFUNCTION("GOOGLETRANSLATE(F4910,""en"",""pt"")"),"telas de barras raked")</f>
        <v>telas de barras raked</v>
      </c>
      <c r="J4910">
        <f>VLOOKUP(A4910,Pr_Base_LNEC!$A$4:$J$6971,6,FALSE)</f>
        <v>0</v>
      </c>
      <c r="K4910">
        <f>VLOOKUP(A4910,Pr_Base_LNEC!$A$4:$J$6971,7,FALSE)</f>
        <v>0</v>
      </c>
    </row>
    <row r="4911" spans="1:11" ht="14.5">
      <c r="A4911" s="20" t="s">
        <v>26333</v>
      </c>
      <c r="B4911" s="20">
        <v>60</v>
      </c>
      <c r="C4911" s="20">
        <v>45</v>
      </c>
      <c r="D4911" s="20">
        <v>94</v>
      </c>
      <c r="E4911" s="20">
        <v>72</v>
      </c>
      <c r="F4911" s="20" t="s">
        <v>26334</v>
      </c>
      <c r="G4911" s="20" t="s">
        <v>26335</v>
      </c>
      <c r="H4911" s="24"/>
      <c r="I4911" s="24" t="str">
        <f ca="1">IFERROR(__xludf.DUMMYFUNCTION("GOOGLETRANSLATE(F4911,""en"",""pt"")"),"telas de tambor rotativos")</f>
        <v>telas de tambor rotativos</v>
      </c>
      <c r="J4911">
        <f>VLOOKUP(A4911,Pr_Base_LNEC!$A$4:$J$6971,6,FALSE)</f>
        <v>0</v>
      </c>
      <c r="K4911">
        <f>VLOOKUP(A4911,Pr_Base_LNEC!$A$4:$J$6971,7,FALSE)</f>
        <v>0</v>
      </c>
    </row>
    <row r="4912" spans="1:11" ht="14.5">
      <c r="A4912" s="20" t="s">
        <v>26336</v>
      </c>
      <c r="B4912" s="20">
        <v>60</v>
      </c>
      <c r="C4912" s="20">
        <v>45</v>
      </c>
      <c r="D4912" s="20">
        <v>94</v>
      </c>
      <c r="E4912" s="20">
        <v>73</v>
      </c>
      <c r="F4912" s="20" t="s">
        <v>26337</v>
      </c>
      <c r="G4912" s="20" t="s">
        <v>26338</v>
      </c>
      <c r="H4912" s="24"/>
      <c r="I4912" s="24" t="str">
        <f ca="1">IFERROR(__xludf.DUMMYFUNCTION("GOOGLETRANSLATE(F4912,""en"",""pt"")"),"Girando interceptores de barras")</f>
        <v>Girando interceptores de barras</v>
      </c>
      <c r="J4912">
        <f>VLOOKUP(A4912,Pr_Base_LNEC!$A$4:$J$6971,6,FALSE)</f>
        <v>0</v>
      </c>
      <c r="K4912">
        <f>VLOOKUP(A4912,Pr_Base_LNEC!$A$4:$J$6971,7,FALSE)</f>
        <v>0</v>
      </c>
    </row>
    <row r="4913" spans="1:11" ht="14.5">
      <c r="A4913" s="20" t="s">
        <v>26339</v>
      </c>
      <c r="B4913" s="20">
        <v>60</v>
      </c>
      <c r="C4913" s="20">
        <v>45</v>
      </c>
      <c r="D4913" s="20">
        <v>94</v>
      </c>
      <c r="E4913" s="20">
        <v>78</v>
      </c>
      <c r="F4913" s="20" t="s">
        <v>26340</v>
      </c>
      <c r="G4913" s="20" t="s">
        <v>26341</v>
      </c>
      <c r="H4913" s="24"/>
      <c r="I4913" s="24" t="str">
        <f ca="1">IFERROR(__xludf.DUMMYFUNCTION("GOOGLETRANSLATE(F4913,""en"",""pt"")"),"telas de entalhe")</f>
        <v>telas de entalhe</v>
      </c>
      <c r="J4913">
        <f>VLOOKUP(A4913,Pr_Base_LNEC!$A$4:$J$6971,6,FALSE)</f>
        <v>0</v>
      </c>
      <c r="K4913">
        <f>VLOOKUP(A4913,Pr_Base_LNEC!$A$4:$J$6971,7,FALSE)</f>
        <v>0</v>
      </c>
    </row>
    <row r="4914" spans="1:11" ht="14.5">
      <c r="A4914" s="20" t="s">
        <v>26342</v>
      </c>
      <c r="B4914" s="20">
        <v>60</v>
      </c>
      <c r="C4914" s="20">
        <v>45</v>
      </c>
      <c r="D4914" s="20">
        <v>94</v>
      </c>
      <c r="E4914" s="20">
        <v>80</v>
      </c>
      <c r="F4914" s="20" t="s">
        <v>26343</v>
      </c>
      <c r="G4914" s="20" t="s">
        <v>26344</v>
      </c>
      <c r="H4914" s="24"/>
      <c r="I4914" s="24" t="str">
        <f ca="1">IFERROR(__xludf.DUMMYFUNCTION("GOOGLETRANSLATE(F4914,""en"",""pt"")"),"Espiral e telas de compactação combinado")</f>
        <v>Espiral e telas de compactação combinado</v>
      </c>
      <c r="J4914">
        <f>VLOOKUP(A4914,Pr_Base_LNEC!$A$4:$J$6971,6,FALSE)</f>
        <v>0</v>
      </c>
      <c r="K4914">
        <f>VLOOKUP(A4914,Pr_Base_LNEC!$A$4:$J$6971,7,FALSE)</f>
        <v>0</v>
      </c>
    </row>
    <row r="4915" spans="1:11" ht="14.5">
      <c r="A4915" s="20" t="s">
        <v>26345</v>
      </c>
      <c r="B4915" s="20">
        <v>60</v>
      </c>
      <c r="C4915" s="20">
        <v>45</v>
      </c>
      <c r="D4915" s="20">
        <v>94</v>
      </c>
      <c r="E4915" s="20">
        <v>81</v>
      </c>
      <c r="F4915" s="20" t="s">
        <v>26346</v>
      </c>
      <c r="G4915" s="20" t="s">
        <v>26347</v>
      </c>
      <c r="H4915" s="24"/>
      <c r="I4915" s="24" t="str">
        <f ca="1">IFERROR(__xludf.DUMMYFUNCTION("GOOGLETRANSLATE(F4915,""en"",""pt"")"),"telas de espiral")</f>
        <v>telas de espiral</v>
      </c>
      <c r="J4915">
        <f>VLOOKUP(A4915,Pr_Base_LNEC!$A$4:$J$6971,6,FALSE)</f>
        <v>0</v>
      </c>
      <c r="K4915">
        <f>VLOOKUP(A4915,Pr_Base_LNEC!$A$4:$J$6971,7,FALSE)</f>
        <v>0</v>
      </c>
    </row>
    <row r="4916" spans="1:11" ht="14.5">
      <c r="A4916" s="20" t="s">
        <v>26348</v>
      </c>
      <c r="B4916" s="20">
        <v>60</v>
      </c>
      <c r="C4916" s="20">
        <v>45</v>
      </c>
      <c r="D4916" s="20">
        <v>94</v>
      </c>
      <c r="E4916" s="20">
        <v>83</v>
      </c>
      <c r="F4916" s="20" t="s">
        <v>26349</v>
      </c>
      <c r="G4916" s="20" t="s">
        <v>26350</v>
      </c>
      <c r="H4916" s="24"/>
      <c r="I4916" s="24" t="str">
        <f ca="1">IFERROR(__xludf.DUMMYFUNCTION("GOOGLETRANSLATE(F4916,""en"",""pt"")"),"Estática perfurada telas de placas")</f>
        <v>Estática perfurada telas de placas</v>
      </c>
      <c r="J4916">
        <f>VLOOKUP(A4916,Pr_Base_LNEC!$A$4:$J$6971,6,FALSE)</f>
        <v>0</v>
      </c>
      <c r="K4916">
        <f>VLOOKUP(A4916,Pr_Base_LNEC!$A$4:$J$6971,7,FALSE)</f>
        <v>0</v>
      </c>
    </row>
    <row r="4917" spans="1:11" ht="14.5">
      <c r="A4917" s="20" t="s">
        <v>26351</v>
      </c>
      <c r="B4917" s="20">
        <v>60</v>
      </c>
      <c r="C4917" s="20">
        <v>45</v>
      </c>
      <c r="D4917" s="20">
        <v>94</v>
      </c>
      <c r="E4917" s="20">
        <v>84</v>
      </c>
      <c r="F4917" s="20" t="s">
        <v>26352</v>
      </c>
      <c r="G4917" s="20" t="s">
        <v>26353</v>
      </c>
      <c r="H4917" s="24"/>
      <c r="I4917" s="24" t="str">
        <f ca="1">IFERROR(__xludf.DUMMYFUNCTION("GOOGLETRANSLATE(F4917,""en"",""pt"")"),"telas de arame em cunha estática")</f>
        <v>telas de arame em cunha estática</v>
      </c>
      <c r="J4917">
        <f>VLOOKUP(A4917,Pr_Base_LNEC!$A$4:$J$6971,6,FALSE)</f>
        <v>0</v>
      </c>
      <c r="K4917">
        <f>VLOOKUP(A4917,Pr_Base_LNEC!$A$4:$J$6971,7,FALSE)</f>
        <v>0</v>
      </c>
    </row>
    <row r="4918" spans="1:11" ht="14.5">
      <c r="A4918" s="20" t="s">
        <v>26354</v>
      </c>
      <c r="B4918" s="20">
        <v>60</v>
      </c>
      <c r="C4918" s="20">
        <v>45</v>
      </c>
      <c r="D4918" s="20">
        <v>94</v>
      </c>
      <c r="E4918" s="20">
        <v>85</v>
      </c>
      <c r="F4918" s="20" t="s">
        <v>26355</v>
      </c>
      <c r="G4918" s="20" t="s">
        <v>26356</v>
      </c>
      <c r="H4918" s="24"/>
      <c r="I4918" s="24" t="str">
        <f ca="1">IFERROR(__xludf.DUMMYFUNCTION("GOOGLETRANSLATE(F4918,""en"",""pt"")"),"passo telas")</f>
        <v>passo telas</v>
      </c>
      <c r="J4918">
        <f>VLOOKUP(A4918,Pr_Base_LNEC!$A$4:$J$6971,6,FALSE)</f>
        <v>0</v>
      </c>
      <c r="K4918">
        <f>VLOOKUP(A4918,Pr_Base_LNEC!$A$4:$J$6971,7,FALSE)</f>
        <v>0</v>
      </c>
    </row>
    <row r="4919" spans="1:11" ht="14.5">
      <c r="A4919" s="20" t="s">
        <v>26357</v>
      </c>
      <c r="B4919" s="20">
        <v>60</v>
      </c>
      <c r="C4919" s="20">
        <v>45</v>
      </c>
      <c r="D4919" s="20">
        <v>95</v>
      </c>
      <c r="E4919" s="24"/>
      <c r="F4919" s="20" t="s">
        <v>26358</v>
      </c>
      <c r="G4919" s="24"/>
      <c r="H4919" s="24"/>
      <c r="I4919" s="24" t="str">
        <f ca="1">IFERROR(__xludf.DUMMYFUNCTION("GOOGLETRANSLATE(F4919,""en"",""pt"")"),"produtos de liquidação de águas residuais")</f>
        <v>produtos de liquidação de águas residuais</v>
      </c>
      <c r="J4919">
        <f>VLOOKUP(A4919,Pr_Base_LNEC!$A$4:$J$6971,6,FALSE)</f>
        <v>0</v>
      </c>
      <c r="K4919">
        <f>VLOOKUP(A4919,Pr_Base_LNEC!$A$4:$J$6971,7,FALSE)</f>
        <v>0</v>
      </c>
    </row>
    <row r="4920" spans="1:11" ht="14.5">
      <c r="A4920" s="20" t="s">
        <v>26359</v>
      </c>
      <c r="B4920" s="20">
        <v>60</v>
      </c>
      <c r="C4920" s="20">
        <v>45</v>
      </c>
      <c r="D4920" s="20">
        <v>95</v>
      </c>
      <c r="E4920" s="20">
        <v>15</v>
      </c>
      <c r="F4920" s="20" t="s">
        <v>26360</v>
      </c>
      <c r="G4920" s="20" t="s">
        <v>26361</v>
      </c>
      <c r="H4920" s="24"/>
      <c r="I4920" s="24" t="str">
        <f ca="1">IFERROR(__xludf.DUMMYFUNCTION("GOOGLETRANSLATE(F4920,""en"",""pt"")"),"vidro cónico de plástico reforçado (GRP) tanques de decantação")</f>
        <v>vidro cónico de plástico reforçado (GRP) tanques de decantação</v>
      </c>
      <c r="J4920">
        <f>VLOOKUP(A4920,Pr_Base_LNEC!$A$4:$J$6971,6,FALSE)</f>
        <v>0</v>
      </c>
      <c r="K4920">
        <f>VLOOKUP(A4920,Pr_Base_LNEC!$A$4:$J$6971,7,FALSE)</f>
        <v>0</v>
      </c>
    </row>
    <row r="4921" spans="1:11" ht="14.5">
      <c r="A4921" s="20" t="s">
        <v>26362</v>
      </c>
      <c r="B4921" s="20">
        <v>60</v>
      </c>
      <c r="C4921" s="20">
        <v>45</v>
      </c>
      <c r="D4921" s="20">
        <v>96</v>
      </c>
      <c r="E4921" s="24"/>
      <c r="F4921" s="20" t="s">
        <v>26363</v>
      </c>
      <c r="G4921" s="24"/>
      <c r="H4921" s="24"/>
      <c r="I4921" s="24" t="str">
        <f ca="1">IFERROR(__xludf.DUMMYFUNCTION("GOOGLETRANSLATE(F4921,""en"",""pt"")"),"produtos de lavagem de tanques de águas residuais")</f>
        <v>produtos de lavagem de tanques de águas residuais</v>
      </c>
      <c r="J4921">
        <f>VLOOKUP(A4921,Pr_Base_LNEC!$A$4:$J$6971,6,FALSE)</f>
        <v>0</v>
      </c>
      <c r="K4921">
        <f>VLOOKUP(A4921,Pr_Base_LNEC!$A$4:$J$6971,7,FALSE)</f>
        <v>0</v>
      </c>
    </row>
    <row r="4922" spans="1:11" ht="14.5">
      <c r="A4922" s="20" t="s">
        <v>26364</v>
      </c>
      <c r="B4922" s="20">
        <v>60</v>
      </c>
      <c r="C4922" s="20">
        <v>45</v>
      </c>
      <c r="D4922" s="20">
        <v>96</v>
      </c>
      <c r="E4922" s="20">
        <v>14</v>
      </c>
      <c r="F4922" s="20" t="s">
        <v>26365</v>
      </c>
      <c r="G4922" s="20" t="s">
        <v>26366</v>
      </c>
      <c r="H4922" s="24"/>
      <c r="I4922" s="24" t="str">
        <f ca="1">IFERROR(__xludf.DUMMYFUNCTION("GOOGLETRANSLATE(F4922,""en"",""pt"")"),"vasos de lavagem de tanque circular")</f>
        <v>vasos de lavagem de tanque circular</v>
      </c>
      <c r="J4922">
        <f>VLOOKUP(A4922,Pr_Base_LNEC!$A$4:$J$6971,6,FALSE)</f>
        <v>0</v>
      </c>
      <c r="K4922">
        <f>VLOOKUP(A4922,Pr_Base_LNEC!$A$4:$J$6971,7,FALSE)</f>
        <v>0</v>
      </c>
    </row>
    <row r="4923" spans="1:11" ht="14.5">
      <c r="A4923" s="20" t="s">
        <v>26367</v>
      </c>
      <c r="B4923" s="20">
        <v>60</v>
      </c>
      <c r="C4923" s="20">
        <v>45</v>
      </c>
      <c r="D4923" s="20">
        <v>96</v>
      </c>
      <c r="E4923" s="20">
        <v>30</v>
      </c>
      <c r="F4923" s="20" t="s">
        <v>26368</v>
      </c>
      <c r="G4923" s="20" t="s">
        <v>26369</v>
      </c>
      <c r="H4923" s="24"/>
      <c r="I4923" s="24" t="str">
        <f ca="1">IFERROR(__xludf.DUMMYFUNCTION("GOOGLETRANSLATE(F4923,""en"",""pt"")"),"portões Flushing")</f>
        <v>portões Flushing</v>
      </c>
      <c r="J4923">
        <f>VLOOKUP(A4923,Pr_Base_LNEC!$A$4:$J$6971,6,FALSE)</f>
        <v>0</v>
      </c>
      <c r="K4923">
        <f>VLOOKUP(A4923,Pr_Base_LNEC!$A$4:$J$6971,7,FALSE)</f>
        <v>0</v>
      </c>
    </row>
    <row r="4924" spans="1:11" ht="14.5">
      <c r="A4924" s="20" t="s">
        <v>26370</v>
      </c>
      <c r="B4924" s="20">
        <v>60</v>
      </c>
      <c r="C4924" s="20">
        <v>45</v>
      </c>
      <c r="D4924" s="20">
        <v>96</v>
      </c>
      <c r="E4924" s="20">
        <v>89</v>
      </c>
      <c r="F4924" s="20" t="s">
        <v>26371</v>
      </c>
      <c r="G4924" s="20" t="s">
        <v>26372</v>
      </c>
      <c r="H4924" s="24"/>
      <c r="I4924" s="24" t="str">
        <f ca="1">IFERROR(__xludf.DUMMYFUNCTION("GOOGLETRANSLATE(F4924,""en"",""pt"")"),"Tipping calhas")</f>
        <v>Tipping calhas</v>
      </c>
      <c r="J4924">
        <f>VLOOKUP(A4924,Pr_Base_LNEC!$A$4:$J$6971,6,FALSE)</f>
        <v>0</v>
      </c>
      <c r="K4924">
        <f>VLOOKUP(A4924,Pr_Base_LNEC!$A$4:$J$6971,7,FALSE)</f>
        <v>0</v>
      </c>
    </row>
    <row r="4925" spans="1:11" ht="14.5">
      <c r="A4925" s="20" t="s">
        <v>26373</v>
      </c>
      <c r="B4925" s="20">
        <v>60</v>
      </c>
      <c r="C4925" s="20">
        <v>45</v>
      </c>
      <c r="D4925" s="20">
        <v>96</v>
      </c>
      <c r="E4925" s="20">
        <v>94</v>
      </c>
      <c r="F4925" s="20" t="s">
        <v>26374</v>
      </c>
      <c r="G4925" s="20" t="s">
        <v>26375</v>
      </c>
      <c r="H4925" s="24"/>
      <c r="I4925" s="24" t="str">
        <f ca="1">IFERROR(__xludf.DUMMYFUNCTION("GOOGLETRANSLATE(F4925,""en"",""pt"")"),"Vácuo operado reservatórios de armazenamento")</f>
        <v>Vácuo operado reservatórios de armazenamento</v>
      </c>
      <c r="J4925">
        <f>VLOOKUP(A4925,Pr_Base_LNEC!$A$4:$J$6971,6,FALSE)</f>
        <v>0</v>
      </c>
      <c r="K4925">
        <f>VLOOKUP(A4925,Pr_Base_LNEC!$A$4:$J$6971,7,FALSE)</f>
        <v>0</v>
      </c>
    </row>
    <row r="4926" spans="1:11" ht="14.5">
      <c r="A4926" s="20" t="s">
        <v>26376</v>
      </c>
      <c r="B4926" s="20">
        <v>60</v>
      </c>
      <c r="C4926" s="20">
        <v>50</v>
      </c>
      <c r="D4926" s="24"/>
      <c r="E4926" s="24"/>
      <c r="F4926" s="20" t="s">
        <v>26377</v>
      </c>
      <c r="G4926" s="24"/>
      <c r="H4926" s="24"/>
      <c r="I4926" s="24" t="str">
        <f ca="1">IFERROR(__xludf.DUMMYFUNCTION("GOOGLETRANSLATE(F4926,""en"",""pt"")"),"Tanque, cilindro e produtos dos vasos")</f>
        <v>Tanque, cilindro e produtos dos vasos</v>
      </c>
      <c r="J4926" t="str">
        <f>VLOOKUP(A4926,Pr_Base_LNEC!$A$4:$J$6971,6,FALSE)</f>
        <v>Produtos para Tanques, Cilindros e Reservatorios</v>
      </c>
      <c r="K4926">
        <f>VLOOKUP(A4926,Pr_Base_LNEC!$A$4:$J$6971,7,FALSE)</f>
        <v>0</v>
      </c>
    </row>
    <row r="4927" spans="1:11" ht="14.5">
      <c r="A4927" s="20" t="s">
        <v>26378</v>
      </c>
      <c r="B4927" s="20">
        <v>60</v>
      </c>
      <c r="C4927" s="20">
        <v>50</v>
      </c>
      <c r="D4927" s="20">
        <v>10</v>
      </c>
      <c r="E4927" s="24"/>
      <c r="F4927" s="20" t="s">
        <v>26379</v>
      </c>
      <c r="G4927" s="24"/>
      <c r="H4927" s="24"/>
      <c r="I4927" s="24" t="str">
        <f ca="1">IFERROR(__xludf.DUMMYFUNCTION("GOOGLETRANSLATE(F4927,""en"",""pt"")"),"tanques de armazenamento de grandes quantidades")</f>
        <v>tanques de armazenamento de grandes quantidades</v>
      </c>
      <c r="J4927">
        <f>VLOOKUP(A4927,Pr_Base_LNEC!$A$4:$J$6971,6,FALSE)</f>
        <v>0</v>
      </c>
      <c r="K4927">
        <f>VLOOKUP(A4927,Pr_Base_LNEC!$A$4:$J$6971,7,FALSE)</f>
        <v>0</v>
      </c>
    </row>
    <row r="4928" spans="1:11" ht="14.5">
      <c r="A4928" s="20" t="s">
        <v>26380</v>
      </c>
      <c r="B4928" s="20">
        <v>60</v>
      </c>
      <c r="C4928" s="20">
        <v>50</v>
      </c>
      <c r="D4928" s="20">
        <v>10</v>
      </c>
      <c r="E4928" s="20">
        <v>34</v>
      </c>
      <c r="F4928" s="20" t="s">
        <v>26381</v>
      </c>
      <c r="G4928" s="20" t="s">
        <v>26382</v>
      </c>
      <c r="H4928" s="24"/>
      <c r="I4928" s="24" t="str">
        <f ca="1">IFERROR(__xludf.DUMMYFUNCTION("GOOGLETRANSLATE(F4928,""en"",""pt"")"),"Vidro fundido tanques de aço")</f>
        <v>Vidro fundido tanques de aço</v>
      </c>
      <c r="J4928">
        <f>VLOOKUP(A4928,Pr_Base_LNEC!$A$4:$J$6971,6,FALSE)</f>
        <v>0</v>
      </c>
      <c r="K4928">
        <f>VLOOKUP(A4928,Pr_Base_LNEC!$A$4:$J$6971,7,FALSE)</f>
        <v>0</v>
      </c>
    </row>
    <row r="4929" spans="1:11" ht="14.5">
      <c r="A4929" s="20" t="s">
        <v>26383</v>
      </c>
      <c r="B4929" s="20">
        <v>60</v>
      </c>
      <c r="C4929" s="20">
        <v>50</v>
      </c>
      <c r="D4929" s="20">
        <v>10</v>
      </c>
      <c r="E4929" s="20">
        <v>64</v>
      </c>
      <c r="F4929" s="20" t="s">
        <v>26384</v>
      </c>
      <c r="G4929" s="20" t="s">
        <v>26385</v>
      </c>
      <c r="H4929" s="24"/>
      <c r="I4929" s="24" t="str">
        <f ca="1">IFERROR(__xludf.DUMMYFUNCTION("GOOGLETRANSLATE(F4929,""en"",""pt"")"),"tanques de plásticos")</f>
        <v>tanques de plásticos</v>
      </c>
      <c r="J4929">
        <f>VLOOKUP(A4929,Pr_Base_LNEC!$A$4:$J$6971,6,FALSE)</f>
        <v>0</v>
      </c>
      <c r="K4929">
        <f>VLOOKUP(A4929,Pr_Base_LNEC!$A$4:$J$6971,7,FALSE)</f>
        <v>0</v>
      </c>
    </row>
    <row r="4930" spans="1:11" ht="14.5">
      <c r="A4930" s="20" t="s">
        <v>26386</v>
      </c>
      <c r="B4930" s="20">
        <v>60</v>
      </c>
      <c r="C4930" s="20">
        <v>50</v>
      </c>
      <c r="D4930" s="20">
        <v>10</v>
      </c>
      <c r="E4930" s="20">
        <v>66</v>
      </c>
      <c r="F4930" s="20" t="s">
        <v>26387</v>
      </c>
      <c r="G4930" s="20" t="s">
        <v>26388</v>
      </c>
      <c r="H4930" s="24"/>
      <c r="I4930" s="24" t="str">
        <f ca="1">IFERROR(__xludf.DUMMYFUNCTION("GOOGLETRANSLATE(F4930,""en"",""pt"")"),"tanques modulares de concreto pré-moldado")</f>
        <v>tanques modulares de concreto pré-moldado</v>
      </c>
      <c r="J4930">
        <f>VLOOKUP(A4930,Pr_Base_LNEC!$A$4:$J$6971,6,FALSE)</f>
        <v>0</v>
      </c>
      <c r="K4930">
        <f>VLOOKUP(A4930,Pr_Base_LNEC!$A$4:$J$6971,7,FALSE)</f>
        <v>0</v>
      </c>
    </row>
    <row r="4931" spans="1:11" ht="14.5">
      <c r="A4931" s="20" t="s">
        <v>26389</v>
      </c>
      <c r="B4931" s="20">
        <v>60</v>
      </c>
      <c r="C4931" s="20">
        <v>50</v>
      </c>
      <c r="D4931" s="20">
        <v>20</v>
      </c>
      <c r="E4931" s="24"/>
      <c r="F4931" s="20" t="s">
        <v>26390</v>
      </c>
      <c r="G4931" s="24"/>
      <c r="H4931" s="24"/>
      <c r="I4931" s="24" t="str">
        <f ca="1">IFERROR(__xludf.DUMMYFUNCTION("GOOGLETRANSLATE(F4931,""en"",""pt"")"),"As garrafas e vasos tampão")</f>
        <v>As garrafas e vasos tampão</v>
      </c>
      <c r="J4931">
        <f>VLOOKUP(A4931,Pr_Base_LNEC!$A$4:$J$6971,6,FALSE)</f>
        <v>0</v>
      </c>
      <c r="K4931">
        <f>VLOOKUP(A4931,Pr_Base_LNEC!$A$4:$J$6971,7,FALSE)</f>
        <v>0</v>
      </c>
    </row>
    <row r="4932" spans="1:11" ht="14.5">
      <c r="A4932" s="20" t="s">
        <v>26391</v>
      </c>
      <c r="B4932" s="20">
        <v>60</v>
      </c>
      <c r="C4932" s="20">
        <v>50</v>
      </c>
      <c r="D4932" s="20">
        <v>20</v>
      </c>
      <c r="E4932" s="20">
        <v>2</v>
      </c>
      <c r="F4932" s="20" t="s">
        <v>26392</v>
      </c>
      <c r="G4932" s="20" t="s">
        <v>26393</v>
      </c>
      <c r="H4932" s="24"/>
      <c r="I4932" s="24" t="str">
        <f ca="1">IFERROR(__xludf.DUMMYFUNCTION("GOOGLETRANSLATE(F4932,""en"",""pt"")"),"acumuladores")</f>
        <v>acumuladores</v>
      </c>
      <c r="J4932">
        <f>VLOOKUP(A4932,Pr_Base_LNEC!$A$4:$J$6971,6,FALSE)</f>
        <v>0</v>
      </c>
      <c r="K4932">
        <f>VLOOKUP(A4932,Pr_Base_LNEC!$A$4:$J$6971,7,FALSE)</f>
        <v>0</v>
      </c>
    </row>
    <row r="4933" spans="1:11" ht="14.5">
      <c r="A4933" s="20" t="s">
        <v>26394</v>
      </c>
      <c r="B4933" s="20">
        <v>60</v>
      </c>
      <c r="C4933" s="20">
        <v>50</v>
      </c>
      <c r="D4933" s="20">
        <v>20</v>
      </c>
      <c r="E4933" s="20">
        <v>10</v>
      </c>
      <c r="F4933" s="20" t="s">
        <v>26395</v>
      </c>
      <c r="G4933" s="20" t="s">
        <v>26396</v>
      </c>
      <c r="H4933" s="24"/>
      <c r="I4933" s="24" t="str">
        <f ca="1">IFERROR(__xludf.DUMMYFUNCTION("GOOGLETRANSLATE(F4933,""en"",""pt"")"),"vasos tampão")</f>
        <v>vasos tampão</v>
      </c>
      <c r="J4933">
        <f>VLOOKUP(A4933,Pr_Base_LNEC!$A$4:$J$6971,6,FALSE)</f>
        <v>0</v>
      </c>
      <c r="K4933">
        <f>VLOOKUP(A4933,Pr_Base_LNEC!$A$4:$J$6971,7,FALSE)</f>
        <v>0</v>
      </c>
    </row>
    <row r="4934" spans="1:11" ht="14.5">
      <c r="A4934" s="20" t="s">
        <v>26397</v>
      </c>
      <c r="B4934" s="20">
        <v>60</v>
      </c>
      <c r="C4934" s="20">
        <v>50</v>
      </c>
      <c r="D4934" s="20">
        <v>20</v>
      </c>
      <c r="E4934" s="20">
        <v>21</v>
      </c>
      <c r="F4934" s="20" t="s">
        <v>26398</v>
      </c>
      <c r="G4934" s="20" t="s">
        <v>26399</v>
      </c>
      <c r="H4934" s="24"/>
      <c r="I4934" s="24" t="str">
        <f ca="1">IFERROR(__xludf.DUMMYFUNCTION("GOOGLETRANSLATE(F4934,""en"",""pt"")"),"cilindros de armazenamento de água quente directos")</f>
        <v>cilindros de armazenamento de água quente directos</v>
      </c>
      <c r="J4934">
        <f>VLOOKUP(A4934,Pr_Base_LNEC!$A$4:$J$6971,6,FALSE)</f>
        <v>0</v>
      </c>
      <c r="K4934">
        <f>VLOOKUP(A4934,Pr_Base_LNEC!$A$4:$J$6971,7,FALSE)</f>
        <v>0</v>
      </c>
    </row>
    <row r="4935" spans="1:11" ht="14.5">
      <c r="A4935" s="20" t="s">
        <v>26400</v>
      </c>
      <c r="B4935" s="20">
        <v>60</v>
      </c>
      <c r="C4935" s="20">
        <v>50</v>
      </c>
      <c r="D4935" s="20">
        <v>20</v>
      </c>
      <c r="E4935" s="20">
        <v>22</v>
      </c>
      <c r="F4935" s="20" t="s">
        <v>26401</v>
      </c>
      <c r="G4935" s="20" t="s">
        <v>26402</v>
      </c>
      <c r="H4935" s="24"/>
      <c r="I4935" s="24" t="str">
        <f ca="1">IFERROR(__xludf.DUMMYFUNCTION("GOOGLETRANSLATE(F4935,""en"",""pt"")"),"unidades isoladas diretos combinação de água quente")</f>
        <v>unidades isoladas diretos combinação de água quente</v>
      </c>
      <c r="J4935">
        <f>VLOOKUP(A4935,Pr_Base_LNEC!$A$4:$J$6971,6,FALSE)</f>
        <v>0</v>
      </c>
      <c r="K4935">
        <f>VLOOKUP(A4935,Pr_Base_LNEC!$A$4:$J$6971,7,FALSE)</f>
        <v>0</v>
      </c>
    </row>
    <row r="4936" spans="1:11" ht="14.5">
      <c r="A4936" s="20" t="s">
        <v>26403</v>
      </c>
      <c r="B4936" s="20">
        <v>60</v>
      </c>
      <c r="C4936" s="20">
        <v>50</v>
      </c>
      <c r="D4936" s="20">
        <v>20</v>
      </c>
      <c r="E4936" s="20">
        <v>23</v>
      </c>
      <c r="F4936" s="20" t="s">
        <v>26404</v>
      </c>
      <c r="G4936" s="20" t="s">
        <v>26405</v>
      </c>
      <c r="H4936" s="24"/>
      <c r="I4936" s="24" t="str">
        <f ca="1">IFERROR(__xludf.DUMMYFUNCTION("GOOGLETRANSLATE(F4936,""en"",""pt"")"),"alimentação dupla cilindros de armazenamento de água quente indirecta")</f>
        <v>alimentação dupla cilindros de armazenamento de água quente indirecta</v>
      </c>
      <c r="J4936">
        <f>VLOOKUP(A4936,Pr_Base_LNEC!$A$4:$J$6971,6,FALSE)</f>
        <v>0</v>
      </c>
      <c r="K4936">
        <f>VLOOKUP(A4936,Pr_Base_LNEC!$A$4:$J$6971,7,FALSE)</f>
        <v>0</v>
      </c>
    </row>
    <row r="4937" spans="1:11" ht="14.5">
      <c r="A4937" s="20" t="s">
        <v>26406</v>
      </c>
      <c r="B4937" s="20">
        <v>60</v>
      </c>
      <c r="C4937" s="20">
        <v>50</v>
      </c>
      <c r="D4937" s="20">
        <v>20</v>
      </c>
      <c r="E4937" s="20">
        <v>24</v>
      </c>
      <c r="F4937" s="20" t="s">
        <v>26407</v>
      </c>
      <c r="G4937" s="20" t="s">
        <v>26408</v>
      </c>
      <c r="H4937" s="24"/>
      <c r="I4937" s="24" t="str">
        <f ca="1">IFERROR(__xludf.DUMMYFUNCTION("GOOGLETRANSLATE(F4937,""en"",""pt"")"),"unidades de combinação de alimentação dupla indirectos isolados de água quente")</f>
        <v>unidades de combinação de alimentação dupla indirectos isolados de água quente</v>
      </c>
      <c r="J4937">
        <f>VLOOKUP(A4937,Pr_Base_LNEC!$A$4:$J$6971,6,FALSE)</f>
        <v>0</v>
      </c>
      <c r="K4937">
        <f>VLOOKUP(A4937,Pr_Base_LNEC!$A$4:$J$6971,7,FALSE)</f>
        <v>0</v>
      </c>
    </row>
    <row r="4938" spans="1:11" ht="14.5">
      <c r="A4938" s="20" t="s">
        <v>26409</v>
      </c>
      <c r="B4938" s="20">
        <v>60</v>
      </c>
      <c r="C4938" s="20">
        <v>50</v>
      </c>
      <c r="D4938" s="20">
        <v>20</v>
      </c>
      <c r="E4938" s="20">
        <v>25</v>
      </c>
      <c r="F4938" s="20" t="s">
        <v>26410</v>
      </c>
      <c r="G4938" s="20" t="s">
        <v>26411</v>
      </c>
      <c r="H4938" s="24"/>
      <c r="I4938" s="24" t="str">
        <f ca="1">IFERROR(__xludf.DUMMYFUNCTION("GOOGLETRANSLATE(F4938,""en"",""pt"")"),"cilindros de armazenamento de água quente de bobina dupla")</f>
        <v>cilindros de armazenamento de água quente de bobina dupla</v>
      </c>
      <c r="J4938">
        <f>VLOOKUP(A4938,Pr_Base_LNEC!$A$4:$J$6971,6,FALSE)</f>
        <v>0</v>
      </c>
      <c r="K4938">
        <f>VLOOKUP(A4938,Pr_Base_LNEC!$A$4:$J$6971,7,FALSE)</f>
        <v>0</v>
      </c>
    </row>
    <row r="4939" spans="1:11" ht="14.5">
      <c r="A4939" s="20" t="s">
        <v>26412</v>
      </c>
      <c r="B4939" s="20">
        <v>60</v>
      </c>
      <c r="C4939" s="20">
        <v>50</v>
      </c>
      <c r="D4939" s="20">
        <v>20</v>
      </c>
      <c r="E4939" s="20">
        <v>28</v>
      </c>
      <c r="F4939" s="20" t="s">
        <v>26413</v>
      </c>
      <c r="G4939" s="20" t="s">
        <v>26414</v>
      </c>
      <c r="H4939" s="24"/>
      <c r="I4939" s="24" t="str">
        <f ca="1">IFERROR(__xludf.DUMMYFUNCTION("GOOGLETRANSLATE(F4939,""en"",""pt"")"),"vasos de expansão")</f>
        <v>vasos de expansão</v>
      </c>
      <c r="J4939">
        <f>VLOOKUP(A4939,Pr_Base_LNEC!$A$4:$J$6971,6,FALSE)</f>
        <v>0</v>
      </c>
      <c r="K4939">
        <f>VLOOKUP(A4939,Pr_Base_LNEC!$A$4:$J$6971,7,FALSE)</f>
        <v>0</v>
      </c>
    </row>
    <row r="4940" spans="1:11" ht="14.5">
      <c r="A4940" s="20" t="s">
        <v>26415</v>
      </c>
      <c r="B4940" s="20">
        <v>60</v>
      </c>
      <c r="C4940" s="20">
        <v>50</v>
      </c>
      <c r="D4940" s="20">
        <v>20</v>
      </c>
      <c r="E4940" s="20">
        <v>42</v>
      </c>
      <c r="F4940" s="20" t="s">
        <v>26416</v>
      </c>
      <c r="G4940" s="20" t="s">
        <v>26417</v>
      </c>
      <c r="H4940" s="24"/>
      <c r="I4940" s="24" t="str">
        <f ca="1">IFERROR(__xludf.DUMMYFUNCTION("GOOGLETRANSLATE(F4940,""en"",""pt"")"),"Indirectamente aquecida cilindros unvented de armazenamento de água quente")</f>
        <v>Indirectamente aquecida cilindros unvented de armazenamento de água quente</v>
      </c>
      <c r="J4940">
        <f>VLOOKUP(A4940,Pr_Base_LNEC!$A$4:$J$6971,6,FALSE)</f>
        <v>0</v>
      </c>
      <c r="K4940">
        <f>VLOOKUP(A4940,Pr_Base_LNEC!$A$4:$J$6971,7,FALSE)</f>
        <v>0</v>
      </c>
    </row>
    <row r="4941" spans="1:11" ht="14.5">
      <c r="A4941" s="20" t="s">
        <v>26418</v>
      </c>
      <c r="B4941" s="20">
        <v>60</v>
      </c>
      <c r="C4941" s="20">
        <v>50</v>
      </c>
      <c r="D4941" s="20">
        <v>20</v>
      </c>
      <c r="E4941" s="20">
        <v>77</v>
      </c>
      <c r="F4941" s="20" t="s">
        <v>26419</v>
      </c>
      <c r="G4941" s="20" t="s">
        <v>26420</v>
      </c>
      <c r="H4941" s="24"/>
      <c r="I4941" s="24" t="str">
        <f ca="1">IFERROR(__xludf.DUMMYFUNCTION("GOOGLETRANSLATE(F4941,""en"",""pt"")"),"unidades de combinação isolados indirectos única alimentação")</f>
        <v>unidades de combinação isolados indirectos única alimentação</v>
      </c>
      <c r="J4941">
        <f>VLOOKUP(A4941,Pr_Base_LNEC!$A$4:$J$6971,6,FALSE)</f>
        <v>0</v>
      </c>
      <c r="K4941">
        <f>VLOOKUP(A4941,Pr_Base_LNEC!$A$4:$J$6971,7,FALSE)</f>
        <v>0</v>
      </c>
    </row>
    <row r="4942" spans="1:11" ht="14.5">
      <c r="A4942" s="20" t="s">
        <v>26421</v>
      </c>
      <c r="B4942" s="20">
        <v>60</v>
      </c>
      <c r="C4942" s="20">
        <v>50</v>
      </c>
      <c r="D4942" s="20">
        <v>20</v>
      </c>
      <c r="E4942" s="20">
        <v>78</v>
      </c>
      <c r="F4942" s="20" t="s">
        <v>26422</v>
      </c>
      <c r="G4942" s="20" t="s">
        <v>26423</v>
      </c>
      <c r="H4942" s="24"/>
      <c r="I4942" s="24" t="str">
        <f ca="1">IFERROR(__xludf.DUMMYFUNCTION("GOOGLETRANSLATE(F4942,""en"",""pt"")"),"Única alimentação cilindros de armazenamento de água quente indirecta")</f>
        <v>Única alimentação cilindros de armazenamento de água quente indirecta</v>
      </c>
      <c r="J4942">
        <f>VLOOKUP(A4942,Pr_Base_LNEC!$A$4:$J$6971,6,FALSE)</f>
        <v>0</v>
      </c>
      <c r="K4942">
        <f>VLOOKUP(A4942,Pr_Base_LNEC!$A$4:$J$6971,7,FALSE)</f>
        <v>0</v>
      </c>
    </row>
    <row r="4943" spans="1:11" ht="14.5">
      <c r="A4943" s="20" t="s">
        <v>26424</v>
      </c>
      <c r="B4943" s="20">
        <v>60</v>
      </c>
      <c r="C4943" s="20">
        <v>50</v>
      </c>
      <c r="D4943" s="20">
        <v>33</v>
      </c>
      <c r="E4943" s="24"/>
      <c r="F4943" s="20" t="s">
        <v>26425</v>
      </c>
      <c r="G4943" s="24"/>
      <c r="H4943" s="24"/>
      <c r="I4943" s="24" t="str">
        <f ca="1">IFERROR(__xludf.DUMMYFUNCTION("GOOGLETRANSLATE(F4943,""en"",""pt"")"),"cilindros de armazenamento de gás")</f>
        <v>cilindros de armazenamento de gás</v>
      </c>
      <c r="J4943">
        <f>VLOOKUP(A4943,Pr_Base_LNEC!$A$4:$J$6971,6,FALSE)</f>
        <v>0</v>
      </c>
      <c r="K4943">
        <f>VLOOKUP(A4943,Pr_Base_LNEC!$A$4:$J$6971,7,FALSE)</f>
        <v>0</v>
      </c>
    </row>
    <row r="4944" spans="1:11" ht="14.5">
      <c r="A4944" s="20" t="s">
        <v>26426</v>
      </c>
      <c r="B4944" s="20">
        <v>60</v>
      </c>
      <c r="C4944" s="20">
        <v>50</v>
      </c>
      <c r="D4944" s="20">
        <v>33</v>
      </c>
      <c r="E4944" s="20">
        <v>14</v>
      </c>
      <c r="F4944" s="20" t="s">
        <v>26427</v>
      </c>
      <c r="G4944" s="20" t="s">
        <v>26428</v>
      </c>
      <c r="H4944" s="24"/>
      <c r="I4944" s="24" t="str">
        <f ca="1">IFERROR(__xludf.DUMMYFUNCTION("GOOGLETRANSLATE(F4944,""en"",""pt"")"),"cilindros de ar comprimido")</f>
        <v>cilindros de ar comprimido</v>
      </c>
      <c r="J4944">
        <f>VLOOKUP(A4944,Pr_Base_LNEC!$A$4:$J$6971,6,FALSE)</f>
        <v>0</v>
      </c>
      <c r="K4944">
        <f>VLOOKUP(A4944,Pr_Base_LNEC!$A$4:$J$6971,7,FALSE)</f>
        <v>0</v>
      </c>
    </row>
    <row r="4945" spans="1:11" ht="14.5">
      <c r="A4945" s="20" t="s">
        <v>26429</v>
      </c>
      <c r="B4945" s="20">
        <v>60</v>
      </c>
      <c r="C4945" s="20">
        <v>50</v>
      </c>
      <c r="D4945" s="20">
        <v>33</v>
      </c>
      <c r="E4945" s="20">
        <v>15</v>
      </c>
      <c r="F4945" s="20" t="s">
        <v>26430</v>
      </c>
      <c r="G4945" s="20" t="s">
        <v>26431</v>
      </c>
      <c r="H4945" s="24"/>
      <c r="I4945" s="24" t="str">
        <f ca="1">IFERROR(__xludf.DUMMYFUNCTION("GOOGLETRANSLATE(F4945,""en"",""pt"")"),"cilindros de gás comprimido")</f>
        <v>cilindros de gás comprimido</v>
      </c>
      <c r="J4945">
        <f>VLOOKUP(A4945,Pr_Base_LNEC!$A$4:$J$6971,6,FALSE)</f>
        <v>0</v>
      </c>
      <c r="K4945">
        <f>VLOOKUP(A4945,Pr_Base_LNEC!$A$4:$J$6971,7,FALSE)</f>
        <v>0</v>
      </c>
    </row>
    <row r="4946" spans="1:11" ht="14.5">
      <c r="A4946" s="20" t="s">
        <v>26432</v>
      </c>
      <c r="B4946" s="20">
        <v>60</v>
      </c>
      <c r="C4946" s="20">
        <v>50</v>
      </c>
      <c r="D4946" s="20">
        <v>33</v>
      </c>
      <c r="E4946" s="20">
        <v>37</v>
      </c>
      <c r="F4946" s="20" t="s">
        <v>26433</v>
      </c>
      <c r="G4946" s="20" t="s">
        <v>26434</v>
      </c>
      <c r="H4946" s="24"/>
      <c r="I4946" s="24" t="str">
        <f ca="1">IFERROR(__xludf.DUMMYFUNCTION("GOOGLETRANSLATE(F4946,""en"",""pt"")"),"cilindros de armazenamento de gás de extinção de incêndio a alta pressão")</f>
        <v>cilindros de armazenamento de gás de extinção de incêndio a alta pressão</v>
      </c>
      <c r="J4946">
        <f>VLOOKUP(A4946,Pr_Base_LNEC!$A$4:$J$6971,6,FALSE)</f>
        <v>0</v>
      </c>
      <c r="K4946">
        <f>VLOOKUP(A4946,Pr_Base_LNEC!$A$4:$J$6971,7,FALSE)</f>
        <v>0</v>
      </c>
    </row>
    <row r="4947" spans="1:11" ht="14.5">
      <c r="A4947" s="20" t="s">
        <v>26435</v>
      </c>
      <c r="B4947" s="20">
        <v>60</v>
      </c>
      <c r="C4947" s="20">
        <v>50</v>
      </c>
      <c r="D4947" s="20">
        <v>33</v>
      </c>
      <c r="E4947" s="20">
        <v>46</v>
      </c>
      <c r="F4947" s="20" t="s">
        <v>26436</v>
      </c>
      <c r="G4947" s="20" t="s">
        <v>26437</v>
      </c>
      <c r="H4947" s="24"/>
      <c r="I4947" s="24" t="str">
        <f ca="1">IFERROR(__xludf.DUMMYFUNCTION("GOOGLETRANSLATE(F4947,""en"",""pt"")"),"cilindros de gás liquefeito")</f>
        <v>cilindros de gás liquefeito</v>
      </c>
      <c r="J4947">
        <f>VLOOKUP(A4947,Pr_Base_LNEC!$A$4:$J$6971,6,FALSE)</f>
        <v>0</v>
      </c>
      <c r="K4947">
        <f>VLOOKUP(A4947,Pr_Base_LNEC!$A$4:$J$6971,7,FALSE)</f>
        <v>0</v>
      </c>
    </row>
    <row r="4948" spans="1:11" ht="14.5">
      <c r="A4948" s="20" t="s">
        <v>26438</v>
      </c>
      <c r="B4948" s="20">
        <v>60</v>
      </c>
      <c r="C4948" s="20">
        <v>50</v>
      </c>
      <c r="D4948" s="20">
        <v>33</v>
      </c>
      <c r="E4948" s="20">
        <v>47</v>
      </c>
      <c r="F4948" s="20" t="s">
        <v>26439</v>
      </c>
      <c r="G4948" s="20" t="s">
        <v>26440</v>
      </c>
      <c r="H4948" s="24"/>
      <c r="I4948" s="24" t="str">
        <f ca="1">IFERROR(__xludf.DUMMYFUNCTION("GOOGLETRANSLATE(F4948,""en"",""pt"")"),"cilindros de oxigênio líquido")</f>
        <v>cilindros de oxigênio líquido</v>
      </c>
      <c r="J4948">
        <f>VLOOKUP(A4948,Pr_Base_LNEC!$A$4:$J$6971,6,FALSE)</f>
        <v>0</v>
      </c>
      <c r="K4948">
        <f>VLOOKUP(A4948,Pr_Base_LNEC!$A$4:$J$6971,7,FALSE)</f>
        <v>0</v>
      </c>
    </row>
    <row r="4949" spans="1:11" ht="14.5">
      <c r="A4949" s="20" t="s">
        <v>26441</v>
      </c>
      <c r="B4949" s="20">
        <v>60</v>
      </c>
      <c r="C4949" s="20">
        <v>50</v>
      </c>
      <c r="D4949" s="20">
        <v>33</v>
      </c>
      <c r="E4949" s="20">
        <v>48</v>
      </c>
      <c r="F4949" s="20" t="s">
        <v>26442</v>
      </c>
      <c r="G4949" s="20" t="s">
        <v>26443</v>
      </c>
      <c r="H4949" s="24"/>
      <c r="I4949" s="24" t="str">
        <f ca="1">IFERROR(__xludf.DUMMYFUNCTION("GOOGLETRANSLATE(F4949,""en"",""pt"")"),"cilindros de armazenamento de gás de extinção de incêndios de baixa pressão")</f>
        <v>cilindros de armazenamento de gás de extinção de incêndios de baixa pressão</v>
      </c>
      <c r="J4949">
        <f>VLOOKUP(A4949,Pr_Base_LNEC!$A$4:$J$6971,6,FALSE)</f>
        <v>0</v>
      </c>
      <c r="K4949">
        <f>VLOOKUP(A4949,Pr_Base_LNEC!$A$4:$J$6971,7,FALSE)</f>
        <v>0</v>
      </c>
    </row>
    <row r="4950" spans="1:11" ht="14.5">
      <c r="A4950" s="20" t="s">
        <v>26444</v>
      </c>
      <c r="B4950" s="20">
        <v>60</v>
      </c>
      <c r="C4950" s="20">
        <v>50</v>
      </c>
      <c r="D4950" s="20">
        <v>33</v>
      </c>
      <c r="E4950" s="20">
        <v>51</v>
      </c>
      <c r="F4950" s="20" t="s">
        <v>26445</v>
      </c>
      <c r="G4950" s="20" t="s">
        <v>26446</v>
      </c>
      <c r="H4950" s="24"/>
      <c r="I4950" s="24" t="str">
        <f ca="1">IFERROR(__xludf.DUMMYFUNCTION("GOOGLETRANSLATE(F4950,""en"",""pt"")"),"cilindros de gás comprimido médicos")</f>
        <v>cilindros de gás comprimido médicos</v>
      </c>
      <c r="J4950">
        <f>VLOOKUP(A4950,Pr_Base_LNEC!$A$4:$J$6971,6,FALSE)</f>
        <v>0</v>
      </c>
      <c r="K4950">
        <f>VLOOKUP(A4950,Pr_Base_LNEC!$A$4:$J$6971,7,FALSE)</f>
        <v>0</v>
      </c>
    </row>
    <row r="4951" spans="1:11" ht="14.5">
      <c r="A4951" s="20" t="s">
        <v>26447</v>
      </c>
      <c r="B4951" s="20">
        <v>60</v>
      </c>
      <c r="C4951" s="20">
        <v>50</v>
      </c>
      <c r="D4951" s="20">
        <v>41</v>
      </c>
      <c r="E4951" s="24"/>
      <c r="F4951" s="20" t="s">
        <v>26448</v>
      </c>
      <c r="G4951" s="24"/>
      <c r="H4951" s="24"/>
      <c r="I4951" s="24" t="str">
        <f ca="1">IFERROR(__xludf.DUMMYFUNCTION("GOOGLETRANSLATE(F4951,""en"",""pt"")"),"característica da água de irrigação e reservatórios")</f>
        <v>característica da água de irrigação e reservatórios</v>
      </c>
      <c r="J4951">
        <f>VLOOKUP(A4951,Pr_Base_LNEC!$A$4:$J$6971,6,FALSE)</f>
        <v>0</v>
      </c>
      <c r="K4951">
        <f>VLOOKUP(A4951,Pr_Base_LNEC!$A$4:$J$6971,7,FALSE)</f>
        <v>0</v>
      </c>
    </row>
    <row r="4952" spans="1:11" ht="14.5">
      <c r="A4952" s="20" t="s">
        <v>26449</v>
      </c>
      <c r="B4952" s="20">
        <v>60</v>
      </c>
      <c r="C4952" s="20">
        <v>50</v>
      </c>
      <c r="D4952" s="20">
        <v>41</v>
      </c>
      <c r="E4952" s="20">
        <v>41</v>
      </c>
      <c r="F4952" s="20" t="s">
        <v>26450</v>
      </c>
      <c r="G4952" s="20" t="s">
        <v>26451</v>
      </c>
      <c r="H4952" s="24"/>
      <c r="I4952" s="24" t="str">
        <f ca="1">IFERROR(__xludf.DUMMYFUNCTION("GOOGLETRANSLATE(F4952,""en"",""pt"")"),"características da água integrais")</f>
        <v>características da água integrais</v>
      </c>
      <c r="J4952">
        <f>VLOOKUP(A4952,Pr_Base_LNEC!$A$4:$J$6971,6,FALSE)</f>
        <v>0</v>
      </c>
      <c r="K4952">
        <f>VLOOKUP(A4952,Pr_Base_LNEC!$A$4:$J$6971,7,FALSE)</f>
        <v>0</v>
      </c>
    </row>
    <row r="4953" spans="1:11" ht="14.5">
      <c r="A4953" s="20" t="s">
        <v>26452</v>
      </c>
      <c r="B4953" s="20">
        <v>60</v>
      </c>
      <c r="C4953" s="20">
        <v>50</v>
      </c>
      <c r="D4953" s="20">
        <v>41</v>
      </c>
      <c r="E4953" s="20">
        <v>53</v>
      </c>
      <c r="F4953" s="20" t="s">
        <v>26453</v>
      </c>
      <c r="G4953" s="20" t="s">
        <v>26454</v>
      </c>
      <c r="H4953" s="24"/>
      <c r="I4953" s="24" t="str">
        <f ca="1">IFERROR(__xludf.DUMMYFUNCTION("GOOGLETRANSLATE(F4953,""en"",""pt"")"),"reservatórios de irrigação modulares")</f>
        <v>reservatórios de irrigação modulares</v>
      </c>
      <c r="J4953">
        <f>VLOOKUP(A4953,Pr_Base_LNEC!$A$4:$J$6971,6,FALSE)</f>
        <v>0</v>
      </c>
      <c r="K4953">
        <f>VLOOKUP(A4953,Pr_Base_LNEC!$A$4:$J$6971,7,FALSE)</f>
        <v>0</v>
      </c>
    </row>
    <row r="4954" spans="1:11" ht="14.5">
      <c r="A4954" s="20" t="s">
        <v>26455</v>
      </c>
      <c r="B4954" s="20">
        <v>60</v>
      </c>
      <c r="C4954" s="20">
        <v>50</v>
      </c>
      <c r="D4954" s="20">
        <v>41</v>
      </c>
      <c r="E4954" s="20">
        <v>65</v>
      </c>
      <c r="F4954" s="20" t="s">
        <v>26456</v>
      </c>
      <c r="G4954" s="20" t="s">
        <v>26457</v>
      </c>
      <c r="H4954" s="24"/>
      <c r="I4954" s="24" t="str">
        <f ca="1">IFERROR(__xludf.DUMMYFUNCTION("GOOGLETRANSLATE(F4954,""en"",""pt"")"),"reservatórios pré-formado")</f>
        <v>reservatórios pré-formado</v>
      </c>
      <c r="J4954">
        <f>VLOOKUP(A4954,Pr_Base_LNEC!$A$4:$J$6971,6,FALSE)</f>
        <v>0</v>
      </c>
      <c r="K4954">
        <f>VLOOKUP(A4954,Pr_Base_LNEC!$A$4:$J$6971,7,FALSE)</f>
        <v>0</v>
      </c>
    </row>
    <row r="4955" spans="1:11" ht="14.5">
      <c r="A4955" s="20" t="s">
        <v>26458</v>
      </c>
      <c r="B4955" s="20">
        <v>60</v>
      </c>
      <c r="C4955" s="20">
        <v>50</v>
      </c>
      <c r="D4955" s="20">
        <v>41</v>
      </c>
      <c r="E4955" s="20">
        <v>66</v>
      </c>
      <c r="F4955" s="20" t="s">
        <v>26459</v>
      </c>
      <c r="G4955" s="20" t="s">
        <v>26460</v>
      </c>
      <c r="H4955" s="24"/>
      <c r="I4955" s="24" t="str">
        <f ca="1">IFERROR(__xludf.DUMMYFUNCTION("GOOGLETRANSLATE(F4955,""en"",""pt"")"),"Pré-formado forros da lagoa rígidas")</f>
        <v>Pré-formado forros da lagoa rígidas</v>
      </c>
      <c r="J4955">
        <f>VLOOKUP(A4955,Pr_Base_LNEC!$A$4:$J$6971,6,FALSE)</f>
        <v>0</v>
      </c>
      <c r="K4955">
        <f>VLOOKUP(A4955,Pr_Base_LNEC!$A$4:$J$6971,7,FALSE)</f>
        <v>0</v>
      </c>
    </row>
    <row r="4956" spans="1:11" ht="14.5">
      <c r="A4956" s="20" t="s">
        <v>26461</v>
      </c>
      <c r="B4956" s="20">
        <v>60</v>
      </c>
      <c r="C4956" s="20">
        <v>50</v>
      </c>
      <c r="D4956" s="20">
        <v>41</v>
      </c>
      <c r="E4956" s="20">
        <v>77</v>
      </c>
      <c r="F4956" s="20" t="s">
        <v>26462</v>
      </c>
      <c r="G4956" s="20" t="s">
        <v>26463</v>
      </c>
      <c r="H4956" s="24"/>
      <c r="I4956" s="24" t="str">
        <f ca="1">IFERROR(__xludf.DUMMYFUNCTION("GOOGLETRANSLATE(F4956,""en"",""pt"")"),"reservatórios de irrigação selados")</f>
        <v>reservatórios de irrigação selados</v>
      </c>
      <c r="J4956">
        <f>VLOOKUP(A4956,Pr_Base_LNEC!$A$4:$J$6971,6,FALSE)</f>
        <v>0</v>
      </c>
      <c r="K4956">
        <f>VLOOKUP(A4956,Pr_Base_LNEC!$A$4:$J$6971,7,FALSE)</f>
        <v>0</v>
      </c>
    </row>
    <row r="4957" spans="1:11" ht="14.5">
      <c r="A4957" s="20" t="s">
        <v>26464</v>
      </c>
      <c r="B4957" s="20">
        <v>60</v>
      </c>
      <c r="C4957" s="20">
        <v>50</v>
      </c>
      <c r="D4957" s="20">
        <v>41</v>
      </c>
      <c r="E4957" s="20">
        <v>96</v>
      </c>
      <c r="F4957" s="20" t="s">
        <v>26465</v>
      </c>
      <c r="G4957" s="20" t="s">
        <v>26466</v>
      </c>
      <c r="H4957" s="24"/>
      <c r="I4957" s="24" t="str">
        <f ca="1">IFERROR(__xludf.DUMMYFUNCTION("GOOGLETRANSLATE(F4957,""en"",""pt"")"),"recipientes apresentam Água")</f>
        <v>recipientes apresentam Água</v>
      </c>
      <c r="J4957">
        <f>VLOOKUP(A4957,Pr_Base_LNEC!$A$4:$J$6971,6,FALSE)</f>
        <v>0</v>
      </c>
      <c r="K4957">
        <f>VLOOKUP(A4957,Pr_Base_LNEC!$A$4:$J$6971,7,FALSE)</f>
        <v>0</v>
      </c>
    </row>
    <row r="4958" spans="1:11" ht="14.5">
      <c r="A4958" s="20" t="s">
        <v>26467</v>
      </c>
      <c r="B4958" s="20">
        <v>60</v>
      </c>
      <c r="C4958" s="20">
        <v>50</v>
      </c>
      <c r="D4958" s="20">
        <v>46</v>
      </c>
      <c r="E4958" s="24"/>
      <c r="F4958" s="20" t="s">
        <v>26468</v>
      </c>
      <c r="G4958" s="24"/>
      <c r="H4958" s="24"/>
      <c r="I4958" s="24" t="str">
        <f ca="1">IFERROR(__xludf.DUMMYFUNCTION("GOOGLETRANSLATE(F4958,""en"",""pt"")"),"acessórios do tanque de combustível líquido")</f>
        <v>acessórios do tanque de combustível líquido</v>
      </c>
      <c r="J4958">
        <f>VLOOKUP(A4958,Pr_Base_LNEC!$A$4:$J$6971,6,FALSE)</f>
        <v>0</v>
      </c>
      <c r="K4958">
        <f>VLOOKUP(A4958,Pr_Base_LNEC!$A$4:$J$6971,7,FALSE)</f>
        <v>0</v>
      </c>
    </row>
    <row r="4959" spans="1:11" ht="14.5">
      <c r="A4959" s="20" t="s">
        <v>26469</v>
      </c>
      <c r="B4959" s="20">
        <v>60</v>
      </c>
      <c r="C4959" s="20">
        <v>50</v>
      </c>
      <c r="D4959" s="20">
        <v>46</v>
      </c>
      <c r="E4959" s="20">
        <v>45</v>
      </c>
      <c r="F4959" s="20" t="s">
        <v>26470</v>
      </c>
      <c r="G4959" s="20" t="s">
        <v>26471</v>
      </c>
      <c r="H4959" s="24"/>
      <c r="I4959" s="24" t="str">
        <f ca="1">IFERROR(__xludf.DUMMYFUNCTION("GOOGLETRANSLATE(F4959,""en"",""pt"")"),"conteúdo líquido calibres tanque de combustível")</f>
        <v>conteúdo líquido calibres tanque de combustível</v>
      </c>
      <c r="J4959">
        <f>VLOOKUP(A4959,Pr_Base_LNEC!$A$4:$J$6971,6,FALSE)</f>
        <v>0</v>
      </c>
      <c r="K4959">
        <f>VLOOKUP(A4959,Pr_Base_LNEC!$A$4:$J$6971,7,FALSE)</f>
        <v>0</v>
      </c>
    </row>
    <row r="4960" spans="1:11" ht="14.5">
      <c r="A4960" s="20" t="s">
        <v>26472</v>
      </c>
      <c r="B4960" s="20">
        <v>60</v>
      </c>
      <c r="C4960" s="20">
        <v>50</v>
      </c>
      <c r="D4960" s="20">
        <v>46</v>
      </c>
      <c r="E4960" s="20">
        <v>46</v>
      </c>
      <c r="F4960" s="20" t="s">
        <v>26473</v>
      </c>
      <c r="G4960" s="20" t="s">
        <v>26474</v>
      </c>
      <c r="H4960" s="24"/>
      <c r="I4960" s="24" t="str">
        <f ca="1">IFERROR(__xludf.DUMMYFUNCTION("GOOGLETRANSLATE(F4960,""en"",""pt"")"),"bandejas de gotejamento do tanque de combustível líquido")</f>
        <v>bandejas de gotejamento do tanque de combustível líquido</v>
      </c>
      <c r="J4960">
        <f>VLOOKUP(A4960,Pr_Base_LNEC!$A$4:$J$6971,6,FALSE)</f>
        <v>0</v>
      </c>
      <c r="K4960">
        <f>VLOOKUP(A4960,Pr_Base_LNEC!$A$4:$J$6971,7,FALSE)</f>
        <v>0</v>
      </c>
    </row>
    <row r="4961" spans="1:11" ht="14.5">
      <c r="A4961" s="20" t="s">
        <v>26475</v>
      </c>
      <c r="B4961" s="20">
        <v>60</v>
      </c>
      <c r="C4961" s="20">
        <v>50</v>
      </c>
      <c r="D4961" s="20">
        <v>46</v>
      </c>
      <c r="E4961" s="20">
        <v>47</v>
      </c>
      <c r="F4961" s="20" t="s">
        <v>26476</v>
      </c>
      <c r="G4961" s="20" t="s">
        <v>26477</v>
      </c>
      <c r="H4961" s="24"/>
      <c r="I4961" s="24" t="str">
        <f ca="1">IFERROR(__xludf.DUMMYFUNCTION("GOOGLETRANSLATE(F4961,""en"",""pt"")"),"pontos de preenchimento de líquido do tanque de combustível")</f>
        <v>pontos de preenchimento de líquido do tanque de combustível</v>
      </c>
      <c r="J4961">
        <f>VLOOKUP(A4961,Pr_Base_LNEC!$A$4:$J$6971,6,FALSE)</f>
        <v>0</v>
      </c>
      <c r="K4961">
        <f>VLOOKUP(A4961,Pr_Base_LNEC!$A$4:$J$6971,7,FALSE)</f>
        <v>0</v>
      </c>
    </row>
    <row r="4962" spans="1:11" ht="14.5">
      <c r="A4962" s="20" t="s">
        <v>26478</v>
      </c>
      <c r="B4962" s="20">
        <v>60</v>
      </c>
      <c r="C4962" s="20">
        <v>50</v>
      </c>
      <c r="D4962" s="20">
        <v>46</v>
      </c>
      <c r="E4962" s="20">
        <v>48</v>
      </c>
      <c r="F4962" s="20" t="s">
        <v>26479</v>
      </c>
      <c r="G4962" s="20" t="s">
        <v>26480</v>
      </c>
      <c r="H4962" s="24"/>
      <c r="I4962" s="24" t="str">
        <f ca="1">IFERROR(__xludf.DUMMYFUNCTION("GOOGLETRANSLATE(F4962,""en"",""pt"")"),"aquecedores de escoamento de tanque de combustível líquido")</f>
        <v>aquecedores de escoamento de tanque de combustível líquido</v>
      </c>
      <c r="J4962">
        <f>VLOOKUP(A4962,Pr_Base_LNEC!$A$4:$J$6971,6,FALSE)</f>
        <v>0</v>
      </c>
      <c r="K4962">
        <f>VLOOKUP(A4962,Pr_Base_LNEC!$A$4:$J$6971,7,FALSE)</f>
        <v>0</v>
      </c>
    </row>
    <row r="4963" spans="1:11" ht="14.5">
      <c r="A4963" s="20" t="s">
        <v>26481</v>
      </c>
      <c r="B4963" s="20">
        <v>60</v>
      </c>
      <c r="C4963" s="20">
        <v>50</v>
      </c>
      <c r="D4963" s="20">
        <v>46</v>
      </c>
      <c r="E4963" s="20">
        <v>49</v>
      </c>
      <c r="F4963" s="20" t="s">
        <v>26482</v>
      </c>
      <c r="G4963" s="20" t="s">
        <v>26483</v>
      </c>
      <c r="H4963" s="24"/>
      <c r="I4963" s="24" t="str">
        <f ca="1">IFERROR(__xludf.DUMMYFUNCTION("GOOGLETRANSLATE(F4963,""en"",""pt"")"),"aquecedores tanque de combustível líquido")</f>
        <v>aquecedores tanque de combustível líquido</v>
      </c>
      <c r="J4963">
        <f>VLOOKUP(A4963,Pr_Base_LNEC!$A$4:$J$6971,6,FALSE)</f>
        <v>0</v>
      </c>
      <c r="K4963">
        <f>VLOOKUP(A4963,Pr_Base_LNEC!$A$4:$J$6971,7,FALSE)</f>
        <v>0</v>
      </c>
    </row>
    <row r="4964" spans="1:11" ht="14.5">
      <c r="A4964" s="20" t="s">
        <v>26484</v>
      </c>
      <c r="B4964" s="20">
        <v>60</v>
      </c>
      <c r="C4964" s="20">
        <v>50</v>
      </c>
      <c r="D4964" s="20">
        <v>46</v>
      </c>
      <c r="E4964" s="20">
        <v>59</v>
      </c>
      <c r="F4964" s="20" t="s">
        <v>26485</v>
      </c>
      <c r="G4964" s="20" t="s">
        <v>26486</v>
      </c>
      <c r="H4964" s="24"/>
      <c r="I4964" s="24" t="str">
        <f ca="1">IFERROR(__xludf.DUMMYFUNCTION("GOOGLETRANSLATE(F4964,""en"",""pt"")"),"dispositivos de prevenção de transbordamento")</f>
        <v>dispositivos de prevenção de transbordamento</v>
      </c>
      <c r="J4964">
        <f>VLOOKUP(A4964,Pr_Base_LNEC!$A$4:$J$6971,6,FALSE)</f>
        <v>0</v>
      </c>
      <c r="K4964">
        <f>VLOOKUP(A4964,Pr_Base_LNEC!$A$4:$J$6971,7,FALSE)</f>
        <v>0</v>
      </c>
    </row>
    <row r="4965" spans="1:11" ht="14.5">
      <c r="A4965" s="20" t="s">
        <v>26487</v>
      </c>
      <c r="B4965" s="20">
        <v>60</v>
      </c>
      <c r="C4965" s="20">
        <v>50</v>
      </c>
      <c r="D4965" s="20">
        <v>46</v>
      </c>
      <c r="E4965" s="20">
        <v>87</v>
      </c>
      <c r="F4965" s="20" t="s">
        <v>26488</v>
      </c>
      <c r="G4965" s="20" t="s">
        <v>26489</v>
      </c>
      <c r="H4965" s="24"/>
      <c r="I4965" s="24" t="str">
        <f ca="1">IFERROR(__xludf.DUMMYFUNCTION("GOOGLETRANSLATE(F4965,""en"",""pt"")"),"câmaras de acesso tanque")</f>
        <v>câmaras de acesso tanque</v>
      </c>
      <c r="J4965">
        <f>VLOOKUP(A4965,Pr_Base_LNEC!$A$4:$J$6971,6,FALSE)</f>
        <v>0</v>
      </c>
      <c r="K4965">
        <f>VLOOKUP(A4965,Pr_Base_LNEC!$A$4:$J$6971,7,FALSE)</f>
        <v>0</v>
      </c>
    </row>
    <row r="4966" spans="1:11" ht="14.5">
      <c r="A4966" s="20" t="s">
        <v>26490</v>
      </c>
      <c r="B4966" s="20">
        <v>60</v>
      </c>
      <c r="C4966" s="20">
        <v>50</v>
      </c>
      <c r="D4966" s="20">
        <v>47</v>
      </c>
      <c r="E4966" s="24"/>
      <c r="F4966" s="20" t="s">
        <v>26491</v>
      </c>
      <c r="G4966" s="24"/>
      <c r="H4966" s="24"/>
      <c r="I4966" s="24" t="str">
        <f ca="1">IFERROR(__xludf.DUMMYFUNCTION("GOOGLETRANSLATE(F4966,""en"",""pt"")"),"reservatórios de combustível líquido")</f>
        <v>reservatórios de combustível líquido</v>
      </c>
      <c r="J4966">
        <f>VLOOKUP(A4966,Pr_Base_LNEC!$A$4:$J$6971,6,FALSE)</f>
        <v>0</v>
      </c>
      <c r="K4966">
        <f>VLOOKUP(A4966,Pr_Base_LNEC!$A$4:$J$6971,7,FALSE)</f>
        <v>0</v>
      </c>
    </row>
    <row r="4967" spans="1:11" ht="14.5">
      <c r="A4967" s="20" t="s">
        <v>26492</v>
      </c>
      <c r="B4967" s="20">
        <v>60</v>
      </c>
      <c r="C4967" s="20">
        <v>50</v>
      </c>
      <c r="D4967" s="20">
        <v>47</v>
      </c>
      <c r="E4967" s="20">
        <v>11</v>
      </c>
      <c r="F4967" s="20" t="s">
        <v>26493</v>
      </c>
      <c r="G4967" s="24"/>
      <c r="H4967" s="24"/>
      <c r="I4967" s="24" t="str">
        <f ca="1">IFERROR(__xludf.DUMMYFUNCTION("GOOGLETRANSLATE(F4967,""en"",""pt"")"),"tanques de serviços de combustível líquido")</f>
        <v>tanques de serviços de combustível líquido</v>
      </c>
      <c r="J4967">
        <f>VLOOKUP(A4967,Pr_Base_LNEC!$A$4:$J$6971,6,FALSE)</f>
        <v>0</v>
      </c>
      <c r="K4967">
        <f>VLOOKUP(A4967,Pr_Base_LNEC!$A$4:$J$6971,7,FALSE)</f>
        <v>0</v>
      </c>
    </row>
    <row r="4968" spans="1:11" ht="14.5">
      <c r="A4968" s="20" t="s">
        <v>26494</v>
      </c>
      <c r="B4968" s="20">
        <v>60</v>
      </c>
      <c r="C4968" s="20">
        <v>50</v>
      </c>
      <c r="D4968" s="20">
        <v>47</v>
      </c>
      <c r="E4968" s="20">
        <v>12</v>
      </c>
      <c r="F4968" s="20" t="s">
        <v>26495</v>
      </c>
      <c r="G4968" s="20" t="s">
        <v>26496</v>
      </c>
      <c r="H4968" s="24"/>
      <c r="I4968" s="24" t="str">
        <f ca="1">IFERROR(__xludf.DUMMYFUNCTION("GOOGLETRANSLATE(F4968,""en"",""pt"")"),"aço carbono reservatórios de combustível líquido")</f>
        <v>aço carbono reservatórios de combustível líquido</v>
      </c>
      <c r="J4968">
        <f>VLOOKUP(A4968,Pr_Base_LNEC!$A$4:$J$6971,6,FALSE)</f>
        <v>0</v>
      </c>
      <c r="K4968">
        <f>VLOOKUP(A4968,Pr_Base_LNEC!$A$4:$J$6971,7,FALSE)</f>
        <v>0</v>
      </c>
    </row>
    <row r="4969" spans="1:11" ht="14.5">
      <c r="A4969" s="20" t="s">
        <v>26497</v>
      </c>
      <c r="B4969" s="20">
        <v>60</v>
      </c>
      <c r="C4969" s="20">
        <v>50</v>
      </c>
      <c r="D4969" s="20">
        <v>47</v>
      </c>
      <c r="E4969" s="20">
        <v>13</v>
      </c>
      <c r="F4969" s="20" t="s">
        <v>26498</v>
      </c>
      <c r="G4969" s="20" t="s">
        <v>26499</v>
      </c>
      <c r="H4969" s="24"/>
      <c r="I4969" s="24" t="str">
        <f ca="1">IFERROR(__xludf.DUMMYFUNCTION("GOOGLETRANSLATE(F4969,""en"",""pt"")"),"tanques de óleo de aço carbono")</f>
        <v>tanques de óleo de aço carbono</v>
      </c>
      <c r="J4969">
        <f>VLOOKUP(A4969,Pr_Base_LNEC!$A$4:$J$6971,6,FALSE)</f>
        <v>0</v>
      </c>
      <c r="K4969">
        <f>VLOOKUP(A4969,Pr_Base_LNEC!$A$4:$J$6971,7,FALSE)</f>
        <v>0</v>
      </c>
    </row>
    <row r="4970" spans="1:11" ht="14.5">
      <c r="A4970" s="20" t="s">
        <v>26500</v>
      </c>
      <c r="B4970" s="20">
        <v>60</v>
      </c>
      <c r="C4970" s="20">
        <v>50</v>
      </c>
      <c r="D4970" s="20">
        <v>47</v>
      </c>
      <c r="E4970" s="20">
        <v>34</v>
      </c>
      <c r="F4970" s="20" t="s">
        <v>26501</v>
      </c>
      <c r="G4970" s="20" t="s">
        <v>26502</v>
      </c>
      <c r="H4970" s="24"/>
      <c r="I4970" s="24" t="str">
        <f ca="1">IFERROR(__xludf.DUMMYFUNCTION("GOOGLETRANSLATE(F4970,""en"",""pt"")"),"Plástico reforçado com vidro reservatórios de combustível líquido")</f>
        <v>Plástico reforçado com vidro reservatórios de combustível líquido</v>
      </c>
      <c r="J4970">
        <f>VLOOKUP(A4970,Pr_Base_LNEC!$A$4:$J$6971,6,FALSE)</f>
        <v>0</v>
      </c>
      <c r="K4970">
        <f>VLOOKUP(A4970,Pr_Base_LNEC!$A$4:$J$6971,7,FALSE)</f>
        <v>0</v>
      </c>
    </row>
    <row r="4971" spans="1:11" ht="14.5">
      <c r="A4971" s="20" t="s">
        <v>26503</v>
      </c>
      <c r="B4971" s="20">
        <v>60</v>
      </c>
      <c r="C4971" s="20">
        <v>50</v>
      </c>
      <c r="D4971" s="20">
        <v>47</v>
      </c>
      <c r="E4971" s="20">
        <v>63</v>
      </c>
      <c r="F4971" s="20" t="s">
        <v>26504</v>
      </c>
      <c r="G4971" s="20" t="s">
        <v>26505</v>
      </c>
      <c r="H4971" s="24"/>
      <c r="I4971" s="24" t="str">
        <f ca="1">IFERROR(__xludf.DUMMYFUNCTION("GOOGLETRANSLATE(F4971,""en"",""pt"")"),"tanques de óleo Plastics")</f>
        <v>tanques de óleo Plastics</v>
      </c>
      <c r="J4971">
        <f>VLOOKUP(A4971,Pr_Base_LNEC!$A$4:$J$6971,6,FALSE)</f>
        <v>0</v>
      </c>
      <c r="K4971">
        <f>VLOOKUP(A4971,Pr_Base_LNEC!$A$4:$J$6971,7,FALSE)</f>
        <v>0</v>
      </c>
    </row>
    <row r="4972" spans="1:11" ht="14.5">
      <c r="A4972" s="20" t="s">
        <v>26506</v>
      </c>
      <c r="B4972" s="20">
        <v>60</v>
      </c>
      <c r="C4972" s="20">
        <v>50</v>
      </c>
      <c r="D4972" s="20">
        <v>47</v>
      </c>
      <c r="E4972" s="20">
        <v>84</v>
      </c>
      <c r="F4972" s="20" t="s">
        <v>26507</v>
      </c>
      <c r="G4972" s="20" t="s">
        <v>26477</v>
      </c>
      <c r="H4972" s="24"/>
      <c r="I4972" s="24" t="str">
        <f ca="1">IFERROR(__xludf.DUMMYFUNCTION("GOOGLETRANSLATE(F4972,""en"",""pt"")"),"reservatórios de combustível líquido de aço inoxidável")</f>
        <v>reservatórios de combustível líquido de aço inoxidável</v>
      </c>
      <c r="J4972">
        <f>VLOOKUP(A4972,Pr_Base_LNEC!$A$4:$J$6971,6,FALSE)</f>
        <v>0</v>
      </c>
      <c r="K4972">
        <f>VLOOKUP(A4972,Pr_Base_LNEC!$A$4:$J$6971,7,FALSE)</f>
        <v>0</v>
      </c>
    </row>
    <row r="4973" spans="1:11" ht="14.5">
      <c r="A4973" s="20" t="s">
        <v>26508</v>
      </c>
      <c r="B4973" s="20">
        <v>60</v>
      </c>
      <c r="C4973" s="20">
        <v>50</v>
      </c>
      <c r="D4973" s="20">
        <v>67</v>
      </c>
      <c r="E4973" s="24"/>
      <c r="F4973" s="20" t="s">
        <v>26509</v>
      </c>
      <c r="G4973" s="24"/>
      <c r="H4973" s="24"/>
      <c r="I4973" s="24" t="str">
        <f ca="1">IFERROR(__xludf.DUMMYFUNCTION("GOOGLETRANSLATE(F4973,""en"",""pt"")"),"recipientes de armazenamento pressão")</f>
        <v>recipientes de armazenamento pressão</v>
      </c>
      <c r="J4973">
        <f>VLOOKUP(A4973,Pr_Base_LNEC!$A$4:$J$6971,6,FALSE)</f>
        <v>0</v>
      </c>
      <c r="K4973">
        <f>VLOOKUP(A4973,Pr_Base_LNEC!$A$4:$J$6971,7,FALSE)</f>
        <v>0</v>
      </c>
    </row>
    <row r="4974" spans="1:11" ht="14.5">
      <c r="A4974" s="20" t="s">
        <v>26510</v>
      </c>
      <c r="B4974" s="20">
        <v>60</v>
      </c>
      <c r="C4974" s="20">
        <v>50</v>
      </c>
      <c r="D4974" s="20">
        <v>67</v>
      </c>
      <c r="E4974" s="20">
        <v>31</v>
      </c>
      <c r="F4974" s="20" t="s">
        <v>26511</v>
      </c>
      <c r="G4974" s="20" t="s">
        <v>26512</v>
      </c>
      <c r="H4974" s="24"/>
      <c r="I4974" s="24" t="str">
        <f ca="1">IFERROR(__xludf.DUMMYFUNCTION("GOOGLETRANSLATE(F4974,""en"",""pt"")"),"tanques de combate a incêndio de espuma")</f>
        <v>tanques de combate a incêndio de espuma</v>
      </c>
      <c r="J4974">
        <f>VLOOKUP(A4974,Pr_Base_LNEC!$A$4:$J$6971,6,FALSE)</f>
        <v>0</v>
      </c>
      <c r="K4974">
        <f>VLOOKUP(A4974,Pr_Base_LNEC!$A$4:$J$6971,7,FALSE)</f>
        <v>0</v>
      </c>
    </row>
    <row r="4975" spans="1:11" ht="14.5">
      <c r="A4975" s="20" t="s">
        <v>26513</v>
      </c>
      <c r="B4975" s="20">
        <v>60</v>
      </c>
      <c r="C4975" s="20">
        <v>50</v>
      </c>
      <c r="D4975" s="20">
        <v>67</v>
      </c>
      <c r="E4975" s="20">
        <v>48</v>
      </c>
      <c r="F4975" s="20" t="s">
        <v>26514</v>
      </c>
      <c r="G4975" s="20" t="s">
        <v>26515</v>
      </c>
      <c r="H4975" s="24"/>
      <c r="I4975" s="24" t="str">
        <f ca="1">IFERROR(__xludf.DUMMYFUNCTION("GOOGLETRANSLATE(F4975,""en"",""pt"")"),"de gás de petróleo liquefeito (GPL) recipientes de armazenamento")</f>
        <v>de gás de petróleo liquefeito (GPL) recipientes de armazenamento</v>
      </c>
      <c r="J4975">
        <f>VLOOKUP(A4975,Pr_Base_LNEC!$A$4:$J$6971,6,FALSE)</f>
        <v>0</v>
      </c>
      <c r="K4975">
        <f>VLOOKUP(A4975,Pr_Base_LNEC!$A$4:$J$6971,7,FALSE)</f>
        <v>0</v>
      </c>
    </row>
    <row r="4976" spans="1:11" ht="14.5">
      <c r="A4976" s="20" t="s">
        <v>26516</v>
      </c>
      <c r="B4976" s="20">
        <v>60</v>
      </c>
      <c r="C4976" s="20">
        <v>50</v>
      </c>
      <c r="D4976" s="20">
        <v>67</v>
      </c>
      <c r="E4976" s="20">
        <v>52</v>
      </c>
      <c r="F4976" s="20" t="s">
        <v>26517</v>
      </c>
      <c r="G4976" s="20" t="s">
        <v>26518</v>
      </c>
      <c r="H4976" s="24"/>
      <c r="I4976" s="24" t="str">
        <f ca="1">IFERROR(__xludf.DUMMYFUNCTION("GOOGLETRANSLATE(F4976,""en"",""pt"")"),"vasos de pressão de líquido ou gás de metal")</f>
        <v>vasos de pressão de líquido ou gás de metal</v>
      </c>
      <c r="J4976">
        <f>VLOOKUP(A4976,Pr_Base_LNEC!$A$4:$J$6971,6,FALSE)</f>
        <v>0</v>
      </c>
      <c r="K4976">
        <f>VLOOKUP(A4976,Pr_Base_LNEC!$A$4:$J$6971,7,FALSE)</f>
        <v>0</v>
      </c>
    </row>
    <row r="4977" spans="1:11" ht="14.5">
      <c r="A4977" s="20" t="s">
        <v>26519</v>
      </c>
      <c r="B4977" s="20">
        <v>60</v>
      </c>
      <c r="C4977" s="20">
        <v>50</v>
      </c>
      <c r="D4977" s="20">
        <v>67</v>
      </c>
      <c r="E4977" s="20">
        <v>70</v>
      </c>
      <c r="F4977" s="20" t="s">
        <v>26520</v>
      </c>
      <c r="G4977" s="24"/>
      <c r="H4977" s="24"/>
      <c r="I4977" s="24" t="str">
        <f ca="1">IFERROR(__xludf.DUMMYFUNCTION("GOOGLETRANSLATE(F4977,""en"",""pt"")"),"recipientes de armazenamento de recuperação de refrigerante")</f>
        <v>recipientes de armazenamento de recuperação de refrigerante</v>
      </c>
      <c r="J4977">
        <f>VLOOKUP(A4977,Pr_Base_LNEC!$A$4:$J$6971,6,FALSE)</f>
        <v>0</v>
      </c>
      <c r="K4977">
        <f>VLOOKUP(A4977,Pr_Base_LNEC!$A$4:$J$6971,7,FALSE)</f>
        <v>0</v>
      </c>
    </row>
    <row r="4978" spans="1:11" ht="14.5">
      <c r="A4978" s="20" t="s">
        <v>26521</v>
      </c>
      <c r="B4978" s="20">
        <v>60</v>
      </c>
      <c r="C4978" s="20">
        <v>50</v>
      </c>
      <c r="D4978" s="20">
        <v>67</v>
      </c>
      <c r="E4978" s="20">
        <v>93</v>
      </c>
      <c r="F4978" s="20" t="s">
        <v>26522</v>
      </c>
      <c r="G4978" s="24"/>
      <c r="H4978" s="24"/>
      <c r="I4978" s="24" t="str">
        <f ca="1">IFERROR(__xludf.DUMMYFUNCTION("GOOGLETRANSLATE(F4978,""en"",""pt"")"),"garrafas térmicas")</f>
        <v>garrafas térmicas</v>
      </c>
      <c r="J4978">
        <f>VLOOKUP(A4978,Pr_Base_LNEC!$A$4:$J$6971,6,FALSE)</f>
        <v>0</v>
      </c>
      <c r="K4978">
        <f>VLOOKUP(A4978,Pr_Base_LNEC!$A$4:$J$6971,7,FALSE)</f>
        <v>0</v>
      </c>
    </row>
    <row r="4979" spans="1:11" ht="14.5">
      <c r="A4979" s="20" t="s">
        <v>26523</v>
      </c>
      <c r="B4979" s="20">
        <v>60</v>
      </c>
      <c r="C4979" s="20">
        <v>50</v>
      </c>
      <c r="D4979" s="20">
        <v>67</v>
      </c>
      <c r="E4979" s="20">
        <v>94</v>
      </c>
      <c r="F4979" s="20" t="s">
        <v>26524</v>
      </c>
      <c r="G4979" s="20" t="s">
        <v>26525</v>
      </c>
      <c r="H4979" s="24"/>
      <c r="I4979" s="24" t="str">
        <f ca="1">IFERROR(__xludf.DUMMYFUNCTION("GOOGLETRANSLATE(F4979,""en"",""pt"")"),"Vácuo do evaporador isolado (VIE) recipientes de armazenamento")</f>
        <v>Vácuo do evaporador isolado (VIE) recipientes de armazenamento</v>
      </c>
      <c r="J4979">
        <f>VLOOKUP(A4979,Pr_Base_LNEC!$A$4:$J$6971,6,FALSE)</f>
        <v>0</v>
      </c>
      <c r="K4979">
        <f>VLOOKUP(A4979,Pr_Base_LNEC!$A$4:$J$6971,7,FALSE)</f>
        <v>0</v>
      </c>
    </row>
    <row r="4980" spans="1:11" ht="14.5">
      <c r="A4980" s="20" t="s">
        <v>26526</v>
      </c>
      <c r="B4980" s="20">
        <v>60</v>
      </c>
      <c r="C4980" s="20">
        <v>50</v>
      </c>
      <c r="D4980" s="20">
        <v>85</v>
      </c>
      <c r="E4980" s="24"/>
      <c r="F4980" s="20" t="s">
        <v>26527</v>
      </c>
      <c r="G4980" s="24"/>
      <c r="H4980" s="24"/>
      <c r="I4980" s="24" t="str">
        <f ca="1">IFERROR(__xludf.DUMMYFUNCTION("GOOGLETRANSLATE(F4980,""en"",""pt"")"),"Armazenamento de materiais sólidos")</f>
        <v>Armazenamento de materiais sólidos</v>
      </c>
      <c r="J4980">
        <f>VLOOKUP(A4980,Pr_Base_LNEC!$A$4:$J$6971,6,FALSE)</f>
        <v>0</v>
      </c>
      <c r="K4980">
        <f>VLOOKUP(A4980,Pr_Base_LNEC!$A$4:$J$6971,7,FALSE)</f>
        <v>0</v>
      </c>
    </row>
    <row r="4981" spans="1:11" ht="14.5">
      <c r="A4981" s="20" t="s">
        <v>26528</v>
      </c>
      <c r="B4981" s="20">
        <v>60</v>
      </c>
      <c r="C4981" s="20">
        <v>50</v>
      </c>
      <c r="D4981" s="20">
        <v>85</v>
      </c>
      <c r="E4981" s="20">
        <v>1</v>
      </c>
      <c r="F4981" s="20" t="s">
        <v>26529</v>
      </c>
      <c r="G4981" s="20" t="s">
        <v>26530</v>
      </c>
      <c r="H4981" s="24"/>
      <c r="I4981" s="24" t="str">
        <f ca="1">IFERROR(__xludf.DUMMYFUNCTION("GOOGLETRANSLATE(F4981,""en"",""pt"")"),"recipientes de armazenamento acima do solo de combustível sólido")</f>
        <v>recipientes de armazenamento acima do solo de combustível sólido</v>
      </c>
      <c r="J4981">
        <f>VLOOKUP(A4981,Pr_Base_LNEC!$A$4:$J$6971,6,FALSE)</f>
        <v>0</v>
      </c>
      <c r="K4981">
        <f>VLOOKUP(A4981,Pr_Base_LNEC!$A$4:$J$6971,7,FALSE)</f>
        <v>0</v>
      </c>
    </row>
    <row r="4982" spans="1:11" ht="14.5">
      <c r="A4982" s="20" t="s">
        <v>26531</v>
      </c>
      <c r="B4982" s="20">
        <v>60</v>
      </c>
      <c r="C4982" s="20">
        <v>50</v>
      </c>
      <c r="D4982" s="20">
        <v>85</v>
      </c>
      <c r="E4982" s="20">
        <v>7</v>
      </c>
      <c r="F4982" s="20" t="s">
        <v>26532</v>
      </c>
      <c r="G4982" s="20" t="s">
        <v>26533</v>
      </c>
      <c r="H4982" s="24"/>
      <c r="I4982" s="24" t="str">
        <f ca="1">IFERROR(__xludf.DUMMYFUNCTION("GOOGLETRANSLATE(F4982,""en"",""pt"")"),"recipientes de armazenamento do solo abaixo de combustível sólido")</f>
        <v>recipientes de armazenamento do solo abaixo de combustível sólido</v>
      </c>
      <c r="J4982">
        <f>VLOOKUP(A4982,Pr_Base_LNEC!$A$4:$J$6971,6,FALSE)</f>
        <v>0</v>
      </c>
      <c r="K4982">
        <f>VLOOKUP(A4982,Pr_Base_LNEC!$A$4:$J$6971,7,FALSE)</f>
        <v>0</v>
      </c>
    </row>
    <row r="4983" spans="1:11" ht="14.5">
      <c r="A4983" s="20" t="s">
        <v>26534</v>
      </c>
      <c r="B4983" s="20">
        <v>60</v>
      </c>
      <c r="C4983" s="20">
        <v>50</v>
      </c>
      <c r="D4983" s="20">
        <v>85</v>
      </c>
      <c r="E4983" s="20">
        <v>78</v>
      </c>
      <c r="F4983" s="20" t="s">
        <v>26535</v>
      </c>
      <c r="G4983" s="20" t="s">
        <v>26536</v>
      </c>
      <c r="H4983" s="24"/>
      <c r="I4983" s="24" t="str">
        <f ca="1">IFERROR(__xludf.DUMMYFUNCTION("GOOGLETRANSLATE(F4983,""en"",""pt"")"),"silos")</f>
        <v>silos</v>
      </c>
      <c r="J4983">
        <f>VLOOKUP(A4983,Pr_Base_LNEC!$A$4:$J$6971,6,FALSE)</f>
        <v>0</v>
      </c>
      <c r="K4983">
        <f>VLOOKUP(A4983,Pr_Base_LNEC!$A$4:$J$6971,7,FALSE)</f>
        <v>0</v>
      </c>
    </row>
    <row r="4984" spans="1:11" ht="14.5">
      <c r="A4984" s="20" t="s">
        <v>26537</v>
      </c>
      <c r="B4984" s="20">
        <v>60</v>
      </c>
      <c r="C4984" s="20">
        <v>50</v>
      </c>
      <c r="D4984" s="20">
        <v>96</v>
      </c>
      <c r="E4984" s="24"/>
      <c r="F4984" s="20" t="s">
        <v>26538</v>
      </c>
      <c r="G4984" s="24"/>
      <c r="H4984" s="24"/>
      <c r="I4984" s="24" t="str">
        <f ca="1">IFERROR(__xludf.DUMMYFUNCTION("GOOGLETRANSLATE(F4984,""en"",""pt"")"),"Os tanques de água e cisternas")</f>
        <v>Os tanques de água e cisternas</v>
      </c>
      <c r="J4984">
        <f>VLOOKUP(A4984,Pr_Base_LNEC!$A$4:$J$6971,6,FALSE)</f>
        <v>0</v>
      </c>
      <c r="K4984">
        <f>VLOOKUP(A4984,Pr_Base_LNEC!$A$4:$J$6971,7,FALSE)</f>
        <v>0</v>
      </c>
    </row>
    <row r="4985" spans="1:11" ht="14.5">
      <c r="A4985" s="20" t="s">
        <v>26539</v>
      </c>
      <c r="B4985" s="20">
        <v>60</v>
      </c>
      <c r="C4985" s="20">
        <v>50</v>
      </c>
      <c r="D4985" s="20">
        <v>96</v>
      </c>
      <c r="E4985" s="20">
        <v>15</v>
      </c>
      <c r="F4985" s="20" t="s">
        <v>26540</v>
      </c>
      <c r="G4985" s="24"/>
      <c r="H4985" s="24"/>
      <c r="I4985" s="24" t="str">
        <f ca="1">IFERROR(__xludf.DUMMYFUNCTION("GOOGLETRANSLATE(F4985,""en"",""pt"")"),"tanques de concreto")</f>
        <v>tanques de concreto</v>
      </c>
      <c r="J4985">
        <f>VLOOKUP(A4985,Pr_Base_LNEC!$A$4:$J$6971,6,FALSE)</f>
        <v>0</v>
      </c>
      <c r="K4985">
        <f>VLOOKUP(A4985,Pr_Base_LNEC!$A$4:$J$6971,7,FALSE)</f>
        <v>0</v>
      </c>
    </row>
    <row r="4986" spans="1:11" ht="14.5">
      <c r="A4986" s="20" t="s">
        <v>26541</v>
      </c>
      <c r="B4986" s="20">
        <v>60</v>
      </c>
      <c r="C4986" s="20">
        <v>50</v>
      </c>
      <c r="D4986" s="20">
        <v>96</v>
      </c>
      <c r="E4986" s="20">
        <v>20</v>
      </c>
      <c r="F4986" s="20" t="s">
        <v>26542</v>
      </c>
      <c r="G4986" s="20" t="s">
        <v>26543</v>
      </c>
      <c r="H4986" s="24"/>
      <c r="I4986" s="24" t="str">
        <f ca="1">IFERROR(__xludf.DUMMYFUNCTION("GOOGLETRANSLATE(F4986,""en"",""pt"")"),"tanques cilíndricos")</f>
        <v>tanques cilíndricos</v>
      </c>
      <c r="J4986">
        <f>VLOOKUP(A4986,Pr_Base_LNEC!$A$4:$J$6971,6,FALSE)</f>
        <v>0</v>
      </c>
      <c r="K4986">
        <f>VLOOKUP(A4986,Pr_Base_LNEC!$A$4:$J$6971,7,FALSE)</f>
        <v>0</v>
      </c>
    </row>
    <row r="4987" spans="1:11" ht="14.5">
      <c r="A4987" s="20" t="s">
        <v>26544</v>
      </c>
      <c r="B4987" s="20">
        <v>60</v>
      </c>
      <c r="C4987" s="20">
        <v>50</v>
      </c>
      <c r="D4987" s="20">
        <v>96</v>
      </c>
      <c r="E4987" s="20">
        <v>32</v>
      </c>
      <c r="F4987" s="20" t="s">
        <v>26545</v>
      </c>
      <c r="G4987" s="20" t="s">
        <v>26546</v>
      </c>
      <c r="H4987" s="24"/>
      <c r="I4987" s="24" t="str">
        <f ca="1">IFERROR(__xludf.DUMMYFUNCTION("GOOGLETRANSLATE(F4987,""en"",""pt"")"),"cisternas de aço galvanizado")</f>
        <v>cisternas de aço galvanizado</v>
      </c>
      <c r="J4987">
        <f>VLOOKUP(A4987,Pr_Base_LNEC!$A$4:$J$6971,6,FALSE)</f>
        <v>0</v>
      </c>
      <c r="K4987">
        <f>VLOOKUP(A4987,Pr_Base_LNEC!$A$4:$J$6971,7,FALSE)</f>
        <v>0</v>
      </c>
    </row>
    <row r="4988" spans="1:11" ht="14.5">
      <c r="A4988" s="20" t="s">
        <v>26547</v>
      </c>
      <c r="B4988" s="20">
        <v>60</v>
      </c>
      <c r="C4988" s="20">
        <v>50</v>
      </c>
      <c r="D4988" s="20">
        <v>96</v>
      </c>
      <c r="E4988" s="20">
        <v>33</v>
      </c>
      <c r="F4988" s="20" t="s">
        <v>26548</v>
      </c>
      <c r="G4988" s="20" t="s">
        <v>26549</v>
      </c>
      <c r="H4988" s="24"/>
      <c r="I4988" s="24" t="str">
        <f ca="1">IFERROR(__xludf.DUMMYFUNCTION("GOOGLETRANSLATE(F4988,""en"",""pt"")"),"tanques de aço galvanizado")</f>
        <v>tanques de aço galvanizado</v>
      </c>
      <c r="J4988">
        <f>VLOOKUP(A4988,Pr_Base_LNEC!$A$4:$J$6971,6,FALSE)</f>
        <v>0</v>
      </c>
      <c r="K4988">
        <f>VLOOKUP(A4988,Pr_Base_LNEC!$A$4:$J$6971,7,FALSE)</f>
        <v>0</v>
      </c>
    </row>
    <row r="4989" spans="1:11" ht="14.5">
      <c r="A4989" s="20" t="s">
        <v>26550</v>
      </c>
      <c r="B4989" s="20">
        <v>60</v>
      </c>
      <c r="C4989" s="20">
        <v>50</v>
      </c>
      <c r="D4989" s="20">
        <v>96</v>
      </c>
      <c r="E4989" s="20">
        <v>34</v>
      </c>
      <c r="F4989" s="20" t="s">
        <v>26551</v>
      </c>
      <c r="G4989" s="20" t="s">
        <v>26552</v>
      </c>
      <c r="H4989" s="24"/>
      <c r="I4989" s="24" t="str">
        <f ca="1">IFERROR(__xludf.DUMMYFUNCTION("GOOGLETRANSLATE(F4989,""en"",""pt"")"),"Vidro reforçado plásticos cisternas")</f>
        <v>Vidro reforçado plásticos cisternas</v>
      </c>
      <c r="J4989">
        <f>VLOOKUP(A4989,Pr_Base_LNEC!$A$4:$J$6971,6,FALSE)</f>
        <v>0</v>
      </c>
      <c r="K4989">
        <f>VLOOKUP(A4989,Pr_Base_LNEC!$A$4:$J$6971,7,FALSE)</f>
        <v>0</v>
      </c>
    </row>
    <row r="4990" spans="1:11" ht="14.5">
      <c r="A4990" s="20" t="s">
        <v>26553</v>
      </c>
      <c r="B4990" s="20">
        <v>60</v>
      </c>
      <c r="C4990" s="20">
        <v>50</v>
      </c>
      <c r="D4990" s="20">
        <v>96</v>
      </c>
      <c r="E4990" s="20">
        <v>35</v>
      </c>
      <c r="F4990" s="20" t="s">
        <v>26554</v>
      </c>
      <c r="G4990" s="20" t="s">
        <v>26555</v>
      </c>
      <c r="H4990" s="24"/>
      <c r="I4990" s="24" t="str">
        <f ca="1">IFERROR(__xludf.DUMMYFUNCTION("GOOGLETRANSLATE(F4990,""en"",""pt"")"),"Vidro reforçado tanques de pressão")</f>
        <v>Vidro reforçado tanques de pressão</v>
      </c>
      <c r="J4990">
        <f>VLOOKUP(A4990,Pr_Base_LNEC!$A$4:$J$6971,6,FALSE)</f>
        <v>0</v>
      </c>
      <c r="K4990">
        <f>VLOOKUP(A4990,Pr_Base_LNEC!$A$4:$J$6971,7,FALSE)</f>
        <v>0</v>
      </c>
    </row>
    <row r="4991" spans="1:11" ht="14.5">
      <c r="A4991" s="20" t="s">
        <v>26556</v>
      </c>
      <c r="B4991" s="20">
        <v>60</v>
      </c>
      <c r="C4991" s="20">
        <v>50</v>
      </c>
      <c r="D4991" s="20">
        <v>96</v>
      </c>
      <c r="E4991" s="20">
        <v>36</v>
      </c>
      <c r="F4991" s="20" t="s">
        <v>26557</v>
      </c>
      <c r="G4991" s="20" t="s">
        <v>26552</v>
      </c>
      <c r="H4991" s="24"/>
      <c r="I4991" s="24" t="str">
        <f ca="1">IFERROR(__xludf.DUMMYFUNCTION("GOOGLETRANSLATE(F4991,""en"",""pt"")"),"Vidro reforçado tanques plásticos")</f>
        <v>Vidro reforçado tanques plásticos</v>
      </c>
      <c r="J4991">
        <f>VLOOKUP(A4991,Pr_Base_LNEC!$A$4:$J$6971,6,FALSE)</f>
        <v>0</v>
      </c>
      <c r="K4991">
        <f>VLOOKUP(A4991,Pr_Base_LNEC!$A$4:$J$6971,7,FALSE)</f>
        <v>0</v>
      </c>
    </row>
    <row r="4992" spans="1:11" ht="14.5">
      <c r="A4992" s="20" t="s">
        <v>26558</v>
      </c>
      <c r="B4992" s="20">
        <v>60</v>
      </c>
      <c r="C4992" s="20">
        <v>50</v>
      </c>
      <c r="D4992" s="20">
        <v>96</v>
      </c>
      <c r="E4992" s="20">
        <v>52</v>
      </c>
      <c r="F4992" s="20" t="s">
        <v>26559</v>
      </c>
      <c r="G4992" s="24"/>
      <c r="H4992" s="24"/>
      <c r="I4992" s="24" t="str">
        <f ca="1">IFERROR(__xludf.DUMMYFUNCTION("GOOGLETRANSLATE(F4992,""en"",""pt"")"),"tanques de plásticos moldados")</f>
        <v>tanques de plásticos moldados</v>
      </c>
      <c r="J4992">
        <f>VLOOKUP(A4992,Pr_Base_LNEC!$A$4:$J$6971,6,FALSE)</f>
        <v>0</v>
      </c>
      <c r="K4992">
        <f>VLOOKUP(A4992,Pr_Base_LNEC!$A$4:$J$6971,7,FALSE)</f>
        <v>0</v>
      </c>
    </row>
    <row r="4993" spans="1:11" ht="14.5">
      <c r="A4993" s="20" t="s">
        <v>26560</v>
      </c>
      <c r="B4993" s="20">
        <v>60</v>
      </c>
      <c r="C4993" s="20">
        <v>50</v>
      </c>
      <c r="D4993" s="20">
        <v>96</v>
      </c>
      <c r="E4993" s="20">
        <v>53</v>
      </c>
      <c r="F4993" s="20" t="s">
        <v>26561</v>
      </c>
      <c r="G4993" s="20" t="s">
        <v>26562</v>
      </c>
      <c r="H4993" s="24"/>
      <c r="I4993" s="24" t="str">
        <f ca="1">IFERROR(__xludf.DUMMYFUNCTION("GOOGLETRANSLATE(F4993,""en"",""pt"")"),"cisternas plásticos moldados")</f>
        <v>cisternas plásticos moldados</v>
      </c>
      <c r="J4993">
        <f>VLOOKUP(A4993,Pr_Base_LNEC!$A$4:$J$6971,6,FALSE)</f>
        <v>0</v>
      </c>
      <c r="K4993">
        <f>VLOOKUP(A4993,Pr_Base_LNEC!$A$4:$J$6971,7,FALSE)</f>
        <v>0</v>
      </c>
    </row>
    <row r="4994" spans="1:11" ht="14.5">
      <c r="A4994" s="20" t="s">
        <v>26563</v>
      </c>
      <c r="B4994" s="20">
        <v>60</v>
      </c>
      <c r="C4994" s="20">
        <v>50</v>
      </c>
      <c r="D4994" s="20">
        <v>96</v>
      </c>
      <c r="E4994" s="20">
        <v>62</v>
      </c>
      <c r="F4994" s="20" t="s">
        <v>26564</v>
      </c>
      <c r="G4994" s="20" t="s">
        <v>26565</v>
      </c>
      <c r="H4994" s="24"/>
      <c r="I4994" s="24" t="str">
        <f ca="1">IFERROR(__xludf.DUMMYFUNCTION("GOOGLETRANSLATE(F4994,""en"",""pt"")"),"estruturas de atenuação canalizada")</f>
        <v>estruturas de atenuação canalizada</v>
      </c>
      <c r="J4994">
        <f>VLOOKUP(A4994,Pr_Base_LNEC!$A$4:$J$6971,6,FALSE)</f>
        <v>0</v>
      </c>
      <c r="K4994">
        <f>VLOOKUP(A4994,Pr_Base_LNEC!$A$4:$J$6971,7,FALSE)</f>
        <v>0</v>
      </c>
    </row>
    <row r="4995" spans="1:11" ht="14.5">
      <c r="A4995" s="20" t="s">
        <v>26566</v>
      </c>
      <c r="B4995" s="20">
        <v>60</v>
      </c>
      <c r="C4995" s="20">
        <v>50</v>
      </c>
      <c r="D4995" s="20">
        <v>96</v>
      </c>
      <c r="E4995" s="20">
        <v>63</v>
      </c>
      <c r="F4995" s="20" t="s">
        <v>26567</v>
      </c>
      <c r="G4995" s="24"/>
      <c r="H4995" s="24"/>
      <c r="I4995" s="24" t="str">
        <f ca="1">IFERROR(__xludf.DUMMYFUNCTION("GOOGLETRANSLATE(F4995,""en"",""pt"")"),"Plásticos bexiga tanques de armazenamento de água")</f>
        <v>Plásticos bexiga tanques de armazenamento de água</v>
      </c>
      <c r="J4995">
        <f>VLOOKUP(A4995,Pr_Base_LNEC!$A$4:$J$6971,6,FALSE)</f>
        <v>0</v>
      </c>
      <c r="K4995">
        <f>VLOOKUP(A4995,Pr_Base_LNEC!$A$4:$J$6971,7,FALSE)</f>
        <v>0</v>
      </c>
    </row>
    <row r="4996" spans="1:11" ht="14.5">
      <c r="A4996" s="20" t="s">
        <v>26568</v>
      </c>
      <c r="B4996" s="20">
        <v>60</v>
      </c>
      <c r="C4996" s="20">
        <v>50</v>
      </c>
      <c r="D4996" s="20">
        <v>96</v>
      </c>
      <c r="E4996" s="20">
        <v>64</v>
      </c>
      <c r="F4996" s="20" t="s">
        <v>26569</v>
      </c>
      <c r="G4996" s="20" t="s">
        <v>26570</v>
      </c>
      <c r="H4996" s="24"/>
      <c r="I4996" s="24" t="str">
        <f ca="1">IFERROR(__xludf.DUMMYFUNCTION("GOOGLETRANSLATE(F4996,""en"",""pt"")"),"Polietileno (PE) tanques")</f>
        <v>Polietileno (PE) tanques</v>
      </c>
      <c r="J4996">
        <f>VLOOKUP(A4996,Pr_Base_LNEC!$A$4:$J$6971,6,FALSE)</f>
        <v>0</v>
      </c>
      <c r="K4996">
        <f>VLOOKUP(A4996,Pr_Base_LNEC!$A$4:$J$6971,7,FALSE)</f>
        <v>0</v>
      </c>
    </row>
    <row r="4997" spans="1:11" ht="14.5">
      <c r="A4997" s="20" t="s">
        <v>26571</v>
      </c>
      <c r="B4997" s="20">
        <v>60</v>
      </c>
      <c r="C4997" s="20">
        <v>50</v>
      </c>
      <c r="D4997" s="20">
        <v>96</v>
      </c>
      <c r="E4997" s="20">
        <v>65</v>
      </c>
      <c r="F4997" s="20" t="s">
        <v>26572</v>
      </c>
      <c r="G4997" s="20" t="s">
        <v>26573</v>
      </c>
      <c r="H4997" s="24"/>
      <c r="I4997" s="24" t="str">
        <f ca="1">IFERROR(__xludf.DUMMYFUNCTION("GOOGLETRANSLATE(F4997,""en"",""pt"")"),"Polipropileno (PP) tanques")</f>
        <v>Polipropileno (PP) tanques</v>
      </c>
      <c r="J4997">
        <f>VLOOKUP(A4997,Pr_Base_LNEC!$A$4:$J$6971,6,FALSE)</f>
        <v>0</v>
      </c>
      <c r="K4997">
        <f>VLOOKUP(A4997,Pr_Base_LNEC!$A$4:$J$6971,7,FALSE)</f>
        <v>0</v>
      </c>
    </row>
    <row r="4998" spans="1:11" ht="14.5">
      <c r="A4998" s="20" t="s">
        <v>26574</v>
      </c>
      <c r="B4998" s="20">
        <v>60</v>
      </c>
      <c r="C4998" s="20">
        <v>50</v>
      </c>
      <c r="D4998" s="20">
        <v>96</v>
      </c>
      <c r="E4998" s="20">
        <v>70</v>
      </c>
      <c r="F4998" s="20" t="s">
        <v>26575</v>
      </c>
      <c r="G4998" s="20" t="s">
        <v>26576</v>
      </c>
      <c r="H4998" s="24"/>
      <c r="I4998" s="24" t="str">
        <f ca="1">IFERROR(__xludf.DUMMYFUNCTION("GOOGLETRANSLATE(F4998,""en"",""pt"")"),"Pontas de armazenagem de água da chuva")</f>
        <v>Pontas de armazenagem de água da chuva</v>
      </c>
      <c r="J4998">
        <f>VLOOKUP(A4998,Pr_Base_LNEC!$A$4:$J$6971,6,FALSE)</f>
        <v>0</v>
      </c>
      <c r="K4998">
        <f>VLOOKUP(A4998,Pr_Base_LNEC!$A$4:$J$6971,7,FALSE)</f>
        <v>0</v>
      </c>
    </row>
    <row r="4999" spans="1:11" ht="14.5">
      <c r="A4999" s="20" t="s">
        <v>26577</v>
      </c>
      <c r="B4999" s="20">
        <v>60</v>
      </c>
      <c r="C4999" s="20">
        <v>50</v>
      </c>
      <c r="D4999" s="20">
        <v>96</v>
      </c>
      <c r="E4999" s="20">
        <v>76</v>
      </c>
      <c r="F4999" s="20" t="s">
        <v>26578</v>
      </c>
      <c r="G4999" s="20" t="s">
        <v>26579</v>
      </c>
      <c r="H4999" s="24"/>
      <c r="I4999" s="24" t="str">
        <f ca="1">IFERROR(__xludf.DUMMYFUNCTION("GOOGLETRANSLATE(F4999,""en"",""pt"")"),"tanques de aço carbono seccionais")</f>
        <v>tanques de aço carbono seccionais</v>
      </c>
      <c r="J4999">
        <f>VLOOKUP(A4999,Pr_Base_LNEC!$A$4:$J$6971,6,FALSE)</f>
        <v>0</v>
      </c>
      <c r="K4999">
        <f>VLOOKUP(A4999,Pr_Base_LNEC!$A$4:$J$6971,7,FALSE)</f>
        <v>0</v>
      </c>
    </row>
    <row r="5000" spans="1:11" ht="14.5">
      <c r="A5000" s="20" t="s">
        <v>26580</v>
      </c>
      <c r="B5000" s="20">
        <v>60</v>
      </c>
      <c r="C5000" s="20">
        <v>50</v>
      </c>
      <c r="D5000" s="20">
        <v>96</v>
      </c>
      <c r="E5000" s="20">
        <v>84</v>
      </c>
      <c r="F5000" s="20" t="s">
        <v>26581</v>
      </c>
      <c r="G5000" s="24"/>
      <c r="H5000" s="24"/>
      <c r="I5000" s="24" t="str">
        <f ca="1">IFERROR(__xludf.DUMMYFUNCTION("GOOGLETRANSLATE(F5000,""en"",""pt"")"),"tanques de aço inoxidável")</f>
        <v>tanques de aço inoxidável</v>
      </c>
      <c r="J5000">
        <f>VLOOKUP(A5000,Pr_Base_LNEC!$A$4:$J$6971,6,FALSE)</f>
        <v>0</v>
      </c>
      <c r="K5000">
        <f>VLOOKUP(A5000,Pr_Base_LNEC!$A$4:$J$6971,7,FALSE)</f>
        <v>0</v>
      </c>
    </row>
    <row r="5001" spans="1:11" ht="14.5">
      <c r="A5001" s="20" t="s">
        <v>26582</v>
      </c>
      <c r="B5001" s="20">
        <v>60</v>
      </c>
      <c r="C5001" s="20">
        <v>55</v>
      </c>
      <c r="D5001" s="24"/>
      <c r="E5001" s="24"/>
      <c r="F5001" s="20" t="s">
        <v>26583</v>
      </c>
      <c r="G5001" s="24"/>
      <c r="H5001" s="24"/>
      <c r="I5001" s="24" t="str">
        <f ca="1">IFERROR(__xludf.DUMMYFUNCTION("GOOGLETRANSLATE(F5001,""en"",""pt"")"),"produtos de código de líquidos e gases")</f>
        <v>produtos de código de líquidos e gases</v>
      </c>
      <c r="J5001" t="str">
        <f>VLOOKUP(A5001,Pr_Base_LNEC!$A$4:$J$6971,6,FALSE)</f>
        <v>Produtos para Fontes de Gás e Fluídos</v>
      </c>
      <c r="K5001">
        <f>VLOOKUP(A5001,Pr_Base_LNEC!$A$4:$J$6971,7,FALSE)</f>
        <v>0</v>
      </c>
    </row>
    <row r="5002" spans="1:11" ht="14.5">
      <c r="A5002" s="20" t="s">
        <v>26584</v>
      </c>
      <c r="B5002" s="20">
        <v>60</v>
      </c>
      <c r="C5002" s="20">
        <v>55</v>
      </c>
      <c r="D5002" s="20">
        <v>31</v>
      </c>
      <c r="E5002" s="24"/>
      <c r="F5002" s="20" t="s">
        <v>26585</v>
      </c>
      <c r="G5002" s="24"/>
      <c r="H5002" s="24"/>
      <c r="I5002" s="24" t="str">
        <f ca="1">IFERROR(__xludf.DUMMYFUNCTION("GOOGLETRANSLATE(F5002,""en"",""pt"")"),"Entrada de conexões e conexões de preenchimento")</f>
        <v>Entrada de conexões e conexões de preenchimento</v>
      </c>
      <c r="J5002">
        <f>VLOOKUP(A5002,Pr_Base_LNEC!$A$4:$J$6971,6,FALSE)</f>
        <v>0</v>
      </c>
      <c r="K5002">
        <f>VLOOKUP(A5002,Pr_Base_LNEC!$A$4:$J$6971,7,FALSE)</f>
        <v>0</v>
      </c>
    </row>
    <row r="5003" spans="1:11" ht="14.5">
      <c r="A5003" s="20" t="s">
        <v>26586</v>
      </c>
      <c r="B5003" s="20">
        <v>60</v>
      </c>
      <c r="C5003" s="20">
        <v>55</v>
      </c>
      <c r="D5003" s="20">
        <v>31</v>
      </c>
      <c r="E5003" s="20">
        <v>29</v>
      </c>
      <c r="F5003" s="20" t="s">
        <v>26587</v>
      </c>
      <c r="G5003" s="20" t="s">
        <v>26588</v>
      </c>
      <c r="H5003" s="24"/>
      <c r="I5003" s="24" t="str">
        <f ca="1">IFERROR(__xludf.DUMMYFUNCTION("GOOGLETRANSLATE(F5003,""en"",""pt"")"),"Adaptadores de admissão de espuma")</f>
        <v>Adaptadores de admissão de espuma</v>
      </c>
      <c r="J5003">
        <f>VLOOKUP(A5003,Pr_Base_LNEC!$A$4:$J$6971,6,FALSE)</f>
        <v>0</v>
      </c>
      <c r="K5003">
        <f>VLOOKUP(A5003,Pr_Base_LNEC!$A$4:$J$6971,7,FALSE)</f>
        <v>0</v>
      </c>
    </row>
    <row r="5004" spans="1:11" ht="14.5">
      <c r="A5004" s="20" t="s">
        <v>26589</v>
      </c>
      <c r="B5004" s="20">
        <v>60</v>
      </c>
      <c r="C5004" s="20">
        <v>55</v>
      </c>
      <c r="D5004" s="20">
        <v>31</v>
      </c>
      <c r="E5004" s="20">
        <v>30</v>
      </c>
      <c r="F5004" s="20" t="s">
        <v>26590</v>
      </c>
      <c r="G5004" s="20" t="s">
        <v>26591</v>
      </c>
      <c r="H5004" s="24"/>
      <c r="I5004" s="24" t="str">
        <f ca="1">IFERROR(__xludf.DUMMYFUNCTION("GOOGLETRANSLATE(F5004,""en"",""pt"")"),"caixas de entrada de ar de espuma")</f>
        <v>caixas de entrada de ar de espuma</v>
      </c>
      <c r="J5004">
        <f>VLOOKUP(A5004,Pr_Base_LNEC!$A$4:$J$6971,6,FALSE)</f>
        <v>0</v>
      </c>
      <c r="K5004">
        <f>VLOOKUP(A5004,Pr_Base_LNEC!$A$4:$J$6971,7,FALSE)</f>
        <v>0</v>
      </c>
    </row>
    <row r="5005" spans="1:11" ht="14.5">
      <c r="A5005" s="20" t="s">
        <v>26592</v>
      </c>
      <c r="B5005" s="20">
        <v>60</v>
      </c>
      <c r="C5005" s="20">
        <v>55</v>
      </c>
      <c r="D5005" s="20">
        <v>31</v>
      </c>
      <c r="E5005" s="20">
        <v>42</v>
      </c>
      <c r="F5005" s="20" t="s">
        <v>26593</v>
      </c>
      <c r="G5005" s="24"/>
      <c r="H5005" s="24"/>
      <c r="I5005" s="24" t="str">
        <f ca="1">IFERROR(__xludf.DUMMYFUNCTION("GOOGLETRANSLATE(F5005,""en"",""pt"")"),"Riser entrada breechings e caixas")</f>
        <v>Riser entrada breechings e caixas</v>
      </c>
      <c r="J5005">
        <f>VLOOKUP(A5005,Pr_Base_LNEC!$A$4:$J$6971,6,FALSE)</f>
        <v>0</v>
      </c>
      <c r="K5005">
        <f>VLOOKUP(A5005,Pr_Base_LNEC!$A$4:$J$6971,7,FALSE)</f>
        <v>0</v>
      </c>
    </row>
    <row r="5006" spans="1:11" ht="14.5">
      <c r="A5006" s="20" t="s">
        <v>26594</v>
      </c>
      <c r="B5006" s="20">
        <v>60</v>
      </c>
      <c r="C5006" s="20">
        <v>55</v>
      </c>
      <c r="D5006" s="20">
        <v>31</v>
      </c>
      <c r="E5006" s="20">
        <v>47</v>
      </c>
      <c r="F5006" s="20" t="s">
        <v>26595</v>
      </c>
      <c r="G5006" s="20" t="s">
        <v>26596</v>
      </c>
      <c r="H5006" s="24"/>
      <c r="I5006" s="24" t="str">
        <f ca="1">IFERROR(__xludf.DUMMYFUNCTION("GOOGLETRANSLATE(F5006,""en"",""pt"")"),"de gás de petróleo liquefeito (GPL) ligações de enchimento")</f>
        <v>de gás de petróleo liquefeito (GPL) ligações de enchimento</v>
      </c>
      <c r="J5006">
        <f>VLOOKUP(A5006,Pr_Base_LNEC!$A$4:$J$6971,6,FALSE)</f>
        <v>0</v>
      </c>
      <c r="K5006">
        <f>VLOOKUP(A5006,Pr_Base_LNEC!$A$4:$J$6971,7,FALSE)</f>
        <v>0</v>
      </c>
    </row>
    <row r="5007" spans="1:11" ht="14.5">
      <c r="A5007" s="20" t="s">
        <v>26597</v>
      </c>
      <c r="B5007" s="20">
        <v>60</v>
      </c>
      <c r="C5007" s="20">
        <v>55</v>
      </c>
      <c r="D5007" s="20">
        <v>31</v>
      </c>
      <c r="E5007" s="20">
        <v>96</v>
      </c>
      <c r="F5007" s="20" t="s">
        <v>26598</v>
      </c>
      <c r="G5007" s="24"/>
      <c r="H5007" s="24"/>
      <c r="I5007" s="24" t="str">
        <f ca="1">IFERROR(__xludf.DUMMYFUNCTION("GOOGLETRANSLATE(F5007,""en"",""pt"")"),"Água de entrada adaptadores")</f>
        <v>Água de entrada adaptadores</v>
      </c>
      <c r="J5007">
        <f>VLOOKUP(A5007,Pr_Base_LNEC!$A$4:$J$6971,6,FALSE)</f>
        <v>0</v>
      </c>
      <c r="K5007">
        <f>VLOOKUP(A5007,Pr_Base_LNEC!$A$4:$J$6971,7,FALSE)</f>
        <v>0</v>
      </c>
    </row>
    <row r="5008" spans="1:11" ht="14.5">
      <c r="A5008" s="20" t="s">
        <v>26599</v>
      </c>
      <c r="B5008" s="20">
        <v>60</v>
      </c>
      <c r="C5008" s="20">
        <v>55</v>
      </c>
      <c r="D5008" s="20">
        <v>31</v>
      </c>
      <c r="E5008" s="20">
        <v>97</v>
      </c>
      <c r="F5008" s="20" t="s">
        <v>26600</v>
      </c>
      <c r="G5008" s="24"/>
      <c r="H5008" s="24"/>
      <c r="I5008" s="24" t="str">
        <f ca="1">IFERROR(__xludf.DUMMYFUNCTION("GOOGLETRANSLATE(F5008,""en"",""pt"")"),"Água de entrada caixas")</f>
        <v>Água de entrada caixas</v>
      </c>
      <c r="J5008">
        <f>VLOOKUP(A5008,Pr_Base_LNEC!$A$4:$J$6971,6,FALSE)</f>
        <v>0</v>
      </c>
      <c r="K5008">
        <f>VLOOKUP(A5008,Pr_Base_LNEC!$A$4:$J$6971,7,FALSE)</f>
        <v>0</v>
      </c>
    </row>
    <row r="5009" spans="1:11" ht="14.5">
      <c r="A5009" s="20" t="s">
        <v>26601</v>
      </c>
      <c r="B5009" s="20">
        <v>60</v>
      </c>
      <c r="C5009" s="20">
        <v>55</v>
      </c>
      <c r="D5009" s="20">
        <v>33</v>
      </c>
      <c r="E5009" s="24"/>
      <c r="F5009" s="20" t="s">
        <v>26602</v>
      </c>
      <c r="G5009" s="24"/>
      <c r="H5009" s="24"/>
      <c r="I5009" s="24" t="str">
        <f ca="1">IFERROR(__xludf.DUMMYFUNCTION("GOOGLETRANSLATE(F5009,""en"",""pt"")"),"Geradores de gás e vácuo")</f>
        <v>Geradores de gás e vácuo</v>
      </c>
      <c r="J5009">
        <f>VLOOKUP(A5009,Pr_Base_LNEC!$A$4:$J$6971,6,FALSE)</f>
        <v>0</v>
      </c>
      <c r="K5009">
        <f>VLOOKUP(A5009,Pr_Base_LNEC!$A$4:$J$6971,7,FALSE)</f>
        <v>0</v>
      </c>
    </row>
    <row r="5010" spans="1:11" ht="14.5">
      <c r="A5010" s="20" t="s">
        <v>26603</v>
      </c>
      <c r="B5010" s="20">
        <v>60</v>
      </c>
      <c r="C5010" s="20">
        <v>55</v>
      </c>
      <c r="D5010" s="20">
        <v>33</v>
      </c>
      <c r="E5010" s="20">
        <v>4</v>
      </c>
      <c r="F5010" s="20" t="s">
        <v>26604</v>
      </c>
      <c r="G5010" s="20" t="s">
        <v>26605</v>
      </c>
      <c r="H5010" s="24"/>
      <c r="I5010" s="24" t="str">
        <f ca="1">IFERROR(__xludf.DUMMYFUNCTION("GOOGLETRANSLATE(F5010,""en"",""pt"")"),"digestores anaeróbios")</f>
        <v>digestores anaeróbios</v>
      </c>
      <c r="J5010">
        <f>VLOOKUP(A5010,Pr_Base_LNEC!$A$4:$J$6971,6,FALSE)</f>
        <v>0</v>
      </c>
      <c r="K5010">
        <f>VLOOKUP(A5010,Pr_Base_LNEC!$A$4:$J$6971,7,FALSE)</f>
        <v>0</v>
      </c>
    </row>
    <row r="5011" spans="1:11" ht="14.5">
      <c r="A5011" s="20" t="s">
        <v>26606</v>
      </c>
      <c r="B5011" s="20">
        <v>60</v>
      </c>
      <c r="C5011" s="20">
        <v>55</v>
      </c>
      <c r="D5011" s="20">
        <v>33</v>
      </c>
      <c r="E5011" s="20">
        <v>13</v>
      </c>
      <c r="F5011" s="20" t="s">
        <v>26607</v>
      </c>
      <c r="G5011" s="24"/>
      <c r="H5011" s="24"/>
      <c r="I5011" s="24" t="str">
        <f ca="1">IFERROR(__xludf.DUMMYFUNCTION("GOOGLETRANSLATE(F5011,""en"",""pt"")"),"geradores de cloro")</f>
        <v>geradores de cloro</v>
      </c>
      <c r="J5011">
        <f>VLOOKUP(A5011,Pr_Base_LNEC!$A$4:$J$6971,6,FALSE)</f>
        <v>0</v>
      </c>
      <c r="K5011">
        <f>VLOOKUP(A5011,Pr_Base_LNEC!$A$4:$J$6971,7,FALSE)</f>
        <v>0</v>
      </c>
    </row>
    <row r="5012" spans="1:11" ht="14.5">
      <c r="A5012" s="20" t="s">
        <v>26608</v>
      </c>
      <c r="B5012" s="20">
        <v>60</v>
      </c>
      <c r="C5012" s="20">
        <v>55</v>
      </c>
      <c r="D5012" s="20">
        <v>33</v>
      </c>
      <c r="E5012" s="20">
        <v>39</v>
      </c>
      <c r="F5012" s="20" t="s">
        <v>26609</v>
      </c>
      <c r="G5012" s="20" t="s">
        <v>26610</v>
      </c>
      <c r="H5012" s="24"/>
      <c r="I5012" s="24" t="str">
        <f ca="1">IFERROR(__xludf.DUMMYFUNCTION("GOOGLETRANSLATE(F5012,""en"",""pt"")"),"geradores de hidrogênio")</f>
        <v>geradores de hidrogênio</v>
      </c>
      <c r="J5012">
        <f>VLOOKUP(A5012,Pr_Base_LNEC!$A$4:$J$6971,6,FALSE)</f>
        <v>0</v>
      </c>
      <c r="K5012">
        <f>VLOOKUP(A5012,Pr_Base_LNEC!$A$4:$J$6971,7,FALSE)</f>
        <v>0</v>
      </c>
    </row>
    <row r="5013" spans="1:11" ht="14.5">
      <c r="A5013" s="20" t="s">
        <v>26611</v>
      </c>
      <c r="B5013" s="20">
        <v>60</v>
      </c>
      <c r="C5013" s="20">
        <v>55</v>
      </c>
      <c r="D5013" s="20">
        <v>33</v>
      </c>
      <c r="E5013" s="20">
        <v>56</v>
      </c>
      <c r="F5013" s="20" t="s">
        <v>26612</v>
      </c>
      <c r="G5013" s="20" t="s">
        <v>26613</v>
      </c>
      <c r="H5013" s="24"/>
      <c r="I5013" s="24" t="str">
        <f ca="1">IFERROR(__xludf.DUMMYFUNCTION("GOOGLETRANSLATE(F5013,""en"",""pt"")"),"geradores de azoto")</f>
        <v>geradores de azoto</v>
      </c>
      <c r="J5013">
        <f>VLOOKUP(A5013,Pr_Base_LNEC!$A$4:$J$6971,6,FALSE)</f>
        <v>0</v>
      </c>
      <c r="K5013">
        <f>VLOOKUP(A5013,Pr_Base_LNEC!$A$4:$J$6971,7,FALSE)</f>
        <v>0</v>
      </c>
    </row>
    <row r="5014" spans="1:11" ht="14.5">
      <c r="A5014" s="20" t="s">
        <v>26614</v>
      </c>
      <c r="B5014" s="20">
        <v>60</v>
      </c>
      <c r="C5014" s="20">
        <v>55</v>
      </c>
      <c r="D5014" s="20">
        <v>33</v>
      </c>
      <c r="E5014" s="20">
        <v>73</v>
      </c>
      <c r="F5014" s="20" t="s">
        <v>26615</v>
      </c>
      <c r="G5014" s="20" t="s">
        <v>26616</v>
      </c>
      <c r="H5014" s="24"/>
      <c r="I5014" s="24" t="str">
        <f ca="1">IFERROR(__xludf.DUMMYFUNCTION("GOOGLETRANSLATE(F5014,""en"",""pt"")"),"adsorção de oscilação de pressão (PSA) planta")</f>
        <v>adsorção de oscilação de pressão (PSA) planta</v>
      </c>
      <c r="J5014">
        <f>VLOOKUP(A5014,Pr_Base_LNEC!$A$4:$J$6971,6,FALSE)</f>
        <v>0</v>
      </c>
      <c r="K5014">
        <f>VLOOKUP(A5014,Pr_Base_LNEC!$A$4:$J$6971,7,FALSE)</f>
        <v>0</v>
      </c>
    </row>
    <row r="5015" spans="1:11" ht="14.5">
      <c r="A5015" s="20" t="s">
        <v>26617</v>
      </c>
      <c r="B5015" s="20">
        <v>60</v>
      </c>
      <c r="C5015" s="20">
        <v>55</v>
      </c>
      <c r="D5015" s="20">
        <v>33</v>
      </c>
      <c r="E5015" s="20">
        <v>94</v>
      </c>
      <c r="F5015" s="20" t="s">
        <v>26618</v>
      </c>
      <c r="G5015" s="20" t="s">
        <v>26619</v>
      </c>
      <c r="H5015" s="24"/>
      <c r="I5015" s="24" t="str">
        <f ca="1">IFERROR(__xludf.DUMMYFUNCTION("GOOGLETRANSLATE(F5015,""en"",""pt"")"),"planta de vácuo")</f>
        <v>planta de vácuo</v>
      </c>
      <c r="J5015">
        <f>VLOOKUP(A5015,Pr_Base_LNEC!$A$4:$J$6971,6,FALSE)</f>
        <v>0</v>
      </c>
      <c r="K5015">
        <f>VLOOKUP(A5015,Pr_Base_LNEC!$A$4:$J$6971,7,FALSE)</f>
        <v>0</v>
      </c>
    </row>
    <row r="5016" spans="1:11" ht="14.5">
      <c r="A5016" s="20" t="s">
        <v>26620</v>
      </c>
      <c r="B5016" s="20">
        <v>60</v>
      </c>
      <c r="C5016" s="20">
        <v>55</v>
      </c>
      <c r="D5016" s="20">
        <v>96</v>
      </c>
      <c r="E5016" s="24"/>
      <c r="F5016" s="20" t="s">
        <v>26621</v>
      </c>
      <c r="G5016" s="24"/>
      <c r="H5016" s="24"/>
      <c r="I5016" s="24" t="str">
        <f ca="1">IFERROR(__xludf.DUMMYFUNCTION("GOOGLETRANSLATE(F5016,""en"",""pt"")"),"produtos químicos para tratamento de água")</f>
        <v>produtos químicos para tratamento de água</v>
      </c>
      <c r="J5016">
        <f>VLOOKUP(A5016,Pr_Base_LNEC!$A$4:$J$6971,6,FALSE)</f>
        <v>0</v>
      </c>
      <c r="K5016">
        <f>VLOOKUP(A5016,Pr_Base_LNEC!$A$4:$J$6971,7,FALSE)</f>
        <v>0</v>
      </c>
    </row>
    <row r="5017" spans="1:11" ht="14.5">
      <c r="A5017" s="20" t="s">
        <v>26622</v>
      </c>
      <c r="B5017" s="20">
        <v>60</v>
      </c>
      <c r="C5017" s="20">
        <v>55</v>
      </c>
      <c r="D5017" s="20">
        <v>96</v>
      </c>
      <c r="E5017" s="20">
        <v>6</v>
      </c>
      <c r="F5017" s="20" t="s">
        <v>26623</v>
      </c>
      <c r="G5017" s="20" t="s">
        <v>26624</v>
      </c>
      <c r="H5017" s="24"/>
      <c r="I5017" s="24" t="str">
        <f ca="1">IFERROR(__xludf.DUMMYFUNCTION("GOOGLETRANSLATE(F5017,""en"",""pt"")"),"As bactérias e os inibidores de incrustação biológica")</f>
        <v>As bactérias e os inibidores de incrustação biológica</v>
      </c>
      <c r="J5017">
        <f>VLOOKUP(A5017,Pr_Base_LNEC!$A$4:$J$6971,6,FALSE)</f>
        <v>0</v>
      </c>
      <c r="K5017">
        <f>VLOOKUP(A5017,Pr_Base_LNEC!$A$4:$J$6971,7,FALSE)</f>
        <v>0</v>
      </c>
    </row>
    <row r="5018" spans="1:11" ht="14.5">
      <c r="A5018" s="20" t="s">
        <v>26625</v>
      </c>
      <c r="B5018" s="20">
        <v>60</v>
      </c>
      <c r="C5018" s="20">
        <v>55</v>
      </c>
      <c r="D5018" s="20">
        <v>96</v>
      </c>
      <c r="E5018" s="20">
        <v>7</v>
      </c>
      <c r="F5018" s="20" t="s">
        <v>26626</v>
      </c>
      <c r="G5018" s="24"/>
      <c r="H5018" s="24"/>
      <c r="I5018" s="24" t="str">
        <f ca="1">IFERROR(__xludf.DUMMYFUNCTION("GOOGLETRANSLATE(F5018,""en"",""pt"")"),"produtos químicos biocidas")</f>
        <v>produtos químicos biocidas</v>
      </c>
      <c r="J5018">
        <f>VLOOKUP(A5018,Pr_Base_LNEC!$A$4:$J$6971,6,FALSE)</f>
        <v>0</v>
      </c>
      <c r="K5018">
        <f>VLOOKUP(A5018,Pr_Base_LNEC!$A$4:$J$6971,7,FALSE)</f>
        <v>0</v>
      </c>
    </row>
    <row r="5019" spans="1:11" ht="14.5">
      <c r="A5019" s="20" t="s">
        <v>26627</v>
      </c>
      <c r="B5019" s="20">
        <v>60</v>
      </c>
      <c r="C5019" s="20">
        <v>55</v>
      </c>
      <c r="D5019" s="20">
        <v>96</v>
      </c>
      <c r="E5019" s="20">
        <v>8</v>
      </c>
      <c r="F5019" s="20" t="s">
        <v>26628</v>
      </c>
      <c r="G5019" s="20" t="s">
        <v>26629</v>
      </c>
      <c r="H5019" s="24"/>
      <c r="I5019" s="24" t="str">
        <f ca="1">IFERROR(__xludf.DUMMYFUNCTION("GOOGLETRANSLATE(F5019,""en"",""pt"")"),"produtos químicos biodispersante")</f>
        <v>produtos químicos biodispersante</v>
      </c>
      <c r="J5019">
        <f>VLOOKUP(A5019,Pr_Base_LNEC!$A$4:$J$6971,6,FALSE)</f>
        <v>0</v>
      </c>
      <c r="K5019">
        <f>VLOOKUP(A5019,Pr_Base_LNEC!$A$4:$J$6971,7,FALSE)</f>
        <v>0</v>
      </c>
    </row>
    <row r="5020" spans="1:11" ht="14.5">
      <c r="A5020" s="20" t="s">
        <v>26630</v>
      </c>
      <c r="B5020" s="20">
        <v>60</v>
      </c>
      <c r="C5020" s="20">
        <v>55</v>
      </c>
      <c r="D5020" s="20">
        <v>96</v>
      </c>
      <c r="E5020" s="20">
        <v>12</v>
      </c>
      <c r="F5020" s="20" t="s">
        <v>26631</v>
      </c>
      <c r="G5020" s="20" t="s">
        <v>26632</v>
      </c>
      <c r="H5020" s="24"/>
      <c r="I5020" s="24" t="str">
        <f ca="1">IFERROR(__xludf.DUMMYFUNCTION("GOOGLETRANSLATE(F5020,""en"",""pt"")"),"produtos químicos de cloração")</f>
        <v>produtos químicos de cloração</v>
      </c>
      <c r="J5020">
        <f>VLOOKUP(A5020,Pr_Base_LNEC!$A$4:$J$6971,6,FALSE)</f>
        <v>0</v>
      </c>
      <c r="K5020">
        <f>VLOOKUP(A5020,Pr_Base_LNEC!$A$4:$J$6971,7,FALSE)</f>
        <v>0</v>
      </c>
    </row>
    <row r="5021" spans="1:11" ht="14.5">
      <c r="A5021" s="20" t="s">
        <v>26633</v>
      </c>
      <c r="B5021" s="20">
        <v>60</v>
      </c>
      <c r="C5021" s="20">
        <v>55</v>
      </c>
      <c r="D5021" s="20">
        <v>96</v>
      </c>
      <c r="E5021" s="20">
        <v>15</v>
      </c>
      <c r="F5021" s="20" t="s">
        <v>26634</v>
      </c>
      <c r="G5021" s="20" t="s">
        <v>26635</v>
      </c>
      <c r="H5021" s="24"/>
      <c r="I5021" s="24" t="str">
        <f ca="1">IFERROR(__xludf.DUMMYFUNCTION("GOOGLETRANSLATE(F5021,""en"",""pt"")"),"produtos químicos inibidor de corrosão")</f>
        <v>produtos químicos inibidor de corrosão</v>
      </c>
      <c r="J5021">
        <f>VLOOKUP(A5021,Pr_Base_LNEC!$A$4:$J$6971,6,FALSE)</f>
        <v>0</v>
      </c>
      <c r="K5021">
        <f>VLOOKUP(A5021,Pr_Base_LNEC!$A$4:$J$6971,7,FALSE)</f>
        <v>0</v>
      </c>
    </row>
    <row r="5022" spans="1:11" ht="14.5">
      <c r="A5022" s="20" t="s">
        <v>26636</v>
      </c>
      <c r="B5022" s="20">
        <v>60</v>
      </c>
      <c r="C5022" s="20">
        <v>55</v>
      </c>
      <c r="D5022" s="20">
        <v>96</v>
      </c>
      <c r="E5022" s="20">
        <v>16</v>
      </c>
      <c r="F5022" s="20" t="s">
        <v>26637</v>
      </c>
      <c r="G5022" s="20" t="s">
        <v>26638</v>
      </c>
      <c r="H5022" s="24"/>
      <c r="I5022" s="24" t="str">
        <f ca="1">IFERROR(__xludf.DUMMYFUNCTION("GOOGLETRANSLATE(F5022,""en"",""pt"")"),"produtos químicos inibidores de corrosão para circuitos fechados")</f>
        <v>produtos químicos inibidores de corrosão para circuitos fechados</v>
      </c>
      <c r="J5022">
        <f>VLOOKUP(A5022,Pr_Base_LNEC!$A$4:$J$6971,6,FALSE)</f>
        <v>0</v>
      </c>
      <c r="K5022">
        <f>VLOOKUP(A5022,Pr_Base_LNEC!$A$4:$J$6971,7,FALSE)</f>
        <v>0</v>
      </c>
    </row>
    <row r="5023" spans="1:11" ht="14.5">
      <c r="A5023" s="20" t="s">
        <v>26639</v>
      </c>
      <c r="B5023" s="20">
        <v>60</v>
      </c>
      <c r="C5023" s="20">
        <v>55</v>
      </c>
      <c r="D5023" s="20">
        <v>96</v>
      </c>
      <c r="E5023" s="20">
        <v>21</v>
      </c>
      <c r="F5023" s="20" t="s">
        <v>26640</v>
      </c>
      <c r="G5023" s="20" t="s">
        <v>26641</v>
      </c>
      <c r="H5023" s="24"/>
      <c r="I5023" s="24" t="str">
        <f ca="1">IFERROR(__xludf.DUMMYFUNCTION("GOOGLETRANSLATE(F5023,""en"",""pt"")"),"produtos químicos de-cloração")</f>
        <v>produtos químicos de-cloração</v>
      </c>
      <c r="J5023">
        <f>VLOOKUP(A5023,Pr_Base_LNEC!$A$4:$J$6971,6,FALSE)</f>
        <v>0</v>
      </c>
      <c r="K5023">
        <f>VLOOKUP(A5023,Pr_Base_LNEC!$A$4:$J$6971,7,FALSE)</f>
        <v>0</v>
      </c>
    </row>
    <row r="5024" spans="1:11" ht="14.5">
      <c r="A5024" s="20" t="s">
        <v>26642</v>
      </c>
      <c r="B5024" s="20">
        <v>60</v>
      </c>
      <c r="C5024" s="20">
        <v>55</v>
      </c>
      <c r="D5024" s="20">
        <v>96</v>
      </c>
      <c r="E5024" s="20">
        <v>22</v>
      </c>
      <c r="F5024" s="20" t="s">
        <v>26643</v>
      </c>
      <c r="G5024" s="20" t="s">
        <v>26644</v>
      </c>
      <c r="H5024" s="24"/>
      <c r="I5024" s="24" t="str">
        <f ca="1">IFERROR(__xludf.DUMMYFUNCTION("GOOGLETRANSLATE(F5024,""en"",""pt"")"),"dispersantes químicos")</f>
        <v>dispersantes químicos</v>
      </c>
      <c r="J5024">
        <f>VLOOKUP(A5024,Pr_Base_LNEC!$A$4:$J$6971,6,FALSE)</f>
        <v>0</v>
      </c>
      <c r="K5024">
        <f>VLOOKUP(A5024,Pr_Base_LNEC!$A$4:$J$6971,7,FALSE)</f>
        <v>0</v>
      </c>
    </row>
    <row r="5025" spans="1:11" ht="14.5">
      <c r="A5025" s="20" t="s">
        <v>26645</v>
      </c>
      <c r="B5025" s="20">
        <v>60</v>
      </c>
      <c r="C5025" s="20">
        <v>55</v>
      </c>
      <c r="D5025" s="20">
        <v>96</v>
      </c>
      <c r="E5025" s="20">
        <v>58</v>
      </c>
      <c r="F5025" s="20" t="s">
        <v>26646</v>
      </c>
      <c r="G5025" s="20" t="s">
        <v>26647</v>
      </c>
      <c r="H5025" s="24"/>
      <c r="I5025" s="24" t="str">
        <f ca="1">IFERROR(__xludf.DUMMYFUNCTION("GOOGLETRANSLATE(F5025,""en"",""pt"")"),"produtos químicos de controle de odor")</f>
        <v>produtos químicos de controle de odor</v>
      </c>
      <c r="J5025">
        <f>VLOOKUP(A5025,Pr_Base_LNEC!$A$4:$J$6971,6,FALSE)</f>
        <v>0</v>
      </c>
      <c r="K5025">
        <f>VLOOKUP(A5025,Pr_Base_LNEC!$A$4:$J$6971,7,FALSE)</f>
        <v>0</v>
      </c>
    </row>
    <row r="5026" spans="1:11" ht="14.5">
      <c r="A5026" s="20" t="s">
        <v>26648</v>
      </c>
      <c r="B5026" s="20">
        <v>60</v>
      </c>
      <c r="C5026" s="20">
        <v>55</v>
      </c>
      <c r="D5026" s="20">
        <v>96</v>
      </c>
      <c r="E5026" s="20">
        <v>64</v>
      </c>
      <c r="F5026" s="20" t="s">
        <v>26649</v>
      </c>
      <c r="G5026" s="20" t="s">
        <v>26650</v>
      </c>
      <c r="H5026" s="24"/>
      <c r="I5026" s="24" t="str">
        <f ca="1">IFERROR(__xludf.DUMMYFUNCTION("GOOGLETRANSLATE(F5026,""en"",""pt"")"),"produtos químicos de correção de pH")</f>
        <v>produtos químicos de correção de pH</v>
      </c>
      <c r="J5026">
        <f>VLOOKUP(A5026,Pr_Base_LNEC!$A$4:$J$6971,6,FALSE)</f>
        <v>0</v>
      </c>
      <c r="K5026">
        <f>VLOOKUP(A5026,Pr_Base_LNEC!$A$4:$J$6971,7,FALSE)</f>
        <v>0</v>
      </c>
    </row>
    <row r="5027" spans="1:11" ht="14.5">
      <c r="A5027" s="20" t="s">
        <v>26651</v>
      </c>
      <c r="B5027" s="20">
        <v>60</v>
      </c>
      <c r="C5027" s="20">
        <v>55</v>
      </c>
      <c r="D5027" s="20">
        <v>96</v>
      </c>
      <c r="E5027" s="20">
        <v>77</v>
      </c>
      <c r="F5027" s="20" t="s">
        <v>26652</v>
      </c>
      <c r="G5027" s="20" t="s">
        <v>26653</v>
      </c>
      <c r="H5027" s="24"/>
      <c r="I5027" s="24" t="str">
        <f ca="1">IFERROR(__xludf.DUMMYFUNCTION("GOOGLETRANSLATE(F5027,""en"",""pt"")"),"produtos químicos inibidores da escala")</f>
        <v>produtos químicos inibidores da escala</v>
      </c>
      <c r="J5027">
        <f>VLOOKUP(A5027,Pr_Base_LNEC!$A$4:$J$6971,6,FALSE)</f>
        <v>0</v>
      </c>
      <c r="K5027">
        <f>VLOOKUP(A5027,Pr_Base_LNEC!$A$4:$J$6971,7,FALSE)</f>
        <v>0</v>
      </c>
    </row>
    <row r="5028" spans="1:11" ht="14.5">
      <c r="A5028" s="20" t="s">
        <v>26654</v>
      </c>
      <c r="B5028" s="20">
        <v>60</v>
      </c>
      <c r="C5028" s="20">
        <v>55</v>
      </c>
      <c r="D5028" s="20">
        <v>96</v>
      </c>
      <c r="E5028" s="20">
        <v>78</v>
      </c>
      <c r="F5028" s="20" t="s">
        <v>26655</v>
      </c>
      <c r="G5028" s="20" t="s">
        <v>26656</v>
      </c>
      <c r="H5028" s="24"/>
      <c r="I5028" s="24" t="str">
        <f ca="1">IFERROR(__xludf.DUMMYFUNCTION("GOOGLETRANSLATE(F5028,""en"",""pt"")"),"produtos químicos de controle Septicity")</f>
        <v>produtos químicos de controle Septicity</v>
      </c>
      <c r="J5028">
        <f>VLOOKUP(A5028,Pr_Base_LNEC!$A$4:$J$6971,6,FALSE)</f>
        <v>0</v>
      </c>
      <c r="K5028">
        <f>VLOOKUP(A5028,Pr_Base_LNEC!$A$4:$J$6971,7,FALSE)</f>
        <v>0</v>
      </c>
    </row>
    <row r="5029" spans="1:11" ht="14.5">
      <c r="A5029" s="20" t="s">
        <v>26657</v>
      </c>
      <c r="B5029" s="20">
        <v>60</v>
      </c>
      <c r="C5029" s="20">
        <v>55</v>
      </c>
      <c r="D5029" s="20">
        <v>96</v>
      </c>
      <c r="E5029" s="20">
        <v>79</v>
      </c>
      <c r="F5029" s="20" t="s">
        <v>26658</v>
      </c>
      <c r="G5029" s="20" t="s">
        <v>26659</v>
      </c>
      <c r="H5029" s="24"/>
      <c r="I5029" s="24" t="str">
        <f ca="1">IFERROR(__xludf.DUMMYFUNCTION("GOOGLETRANSLATE(F5029,""en"",""pt"")"),"coagulantes liquidação")</f>
        <v>coagulantes liquidação</v>
      </c>
      <c r="J5029">
        <f>VLOOKUP(A5029,Pr_Base_LNEC!$A$4:$J$6971,6,FALSE)</f>
        <v>0</v>
      </c>
      <c r="K5029">
        <f>VLOOKUP(A5029,Pr_Base_LNEC!$A$4:$J$6971,7,FALSE)</f>
        <v>0</v>
      </c>
    </row>
    <row r="5030" spans="1:11" ht="14.5">
      <c r="A5030" s="20" t="s">
        <v>26660</v>
      </c>
      <c r="B5030" s="20">
        <v>60</v>
      </c>
      <c r="C5030" s="20">
        <v>55</v>
      </c>
      <c r="D5030" s="20">
        <v>96</v>
      </c>
      <c r="E5030" s="20">
        <v>96</v>
      </c>
      <c r="F5030" s="20" t="s">
        <v>26661</v>
      </c>
      <c r="G5030" s="20" t="s">
        <v>26662</v>
      </c>
      <c r="H5030" s="24"/>
      <c r="I5030" s="24" t="str">
        <f ca="1">IFERROR(__xludf.DUMMYFUNCTION("GOOGLETRANSLATE(F5030,""en"",""pt"")"),"produtos químicos de redução plumbosolvency água")</f>
        <v>produtos químicos de redução plumbosolvency água</v>
      </c>
      <c r="J5030">
        <f>VLOOKUP(A5030,Pr_Base_LNEC!$A$4:$J$6971,6,FALSE)</f>
        <v>0</v>
      </c>
      <c r="K5030">
        <f>VLOOKUP(A5030,Pr_Base_LNEC!$A$4:$J$6971,7,FALSE)</f>
        <v>0</v>
      </c>
    </row>
    <row r="5031" spans="1:11" ht="14.5">
      <c r="A5031" s="20" t="s">
        <v>26663</v>
      </c>
      <c r="B5031" s="20">
        <v>60</v>
      </c>
      <c r="C5031" s="20">
        <v>55</v>
      </c>
      <c r="D5031" s="20">
        <v>97</v>
      </c>
      <c r="E5031" s="24"/>
      <c r="F5031" s="20" t="s">
        <v>26664</v>
      </c>
      <c r="G5031" s="24"/>
      <c r="H5031" s="24"/>
      <c r="I5031" s="24" t="str">
        <f ca="1">IFERROR(__xludf.DUMMYFUNCTION("GOOGLETRANSLATE(F5031,""en"",""pt"")"),"produtos de tratamento de água")</f>
        <v>produtos de tratamento de água</v>
      </c>
      <c r="J5031">
        <f>VLOOKUP(A5031,Pr_Base_LNEC!$A$4:$J$6971,6,FALSE)</f>
        <v>0</v>
      </c>
      <c r="K5031">
        <f>VLOOKUP(A5031,Pr_Base_LNEC!$A$4:$J$6971,7,FALSE)</f>
        <v>0</v>
      </c>
    </row>
    <row r="5032" spans="1:11" ht="14.5">
      <c r="A5032" s="20" t="s">
        <v>26665</v>
      </c>
      <c r="B5032" s="20">
        <v>60</v>
      </c>
      <c r="C5032" s="20">
        <v>55</v>
      </c>
      <c r="D5032" s="20">
        <v>97</v>
      </c>
      <c r="E5032" s="20">
        <v>2</v>
      </c>
      <c r="F5032" s="20" t="s">
        <v>26666</v>
      </c>
      <c r="G5032" s="20" t="s">
        <v>26667</v>
      </c>
      <c r="H5032" s="24"/>
      <c r="I5032" s="24" t="str">
        <f ca="1">IFERROR(__xludf.DUMMYFUNCTION("GOOGLETRANSLATE(F5032,""en"",""pt"")"),"Alcalinidade unidades de dosagem")</f>
        <v>Alcalinidade unidades de dosagem</v>
      </c>
      <c r="J5032">
        <f>VLOOKUP(A5032,Pr_Base_LNEC!$A$4:$J$6971,6,FALSE)</f>
        <v>0</v>
      </c>
      <c r="K5032">
        <f>VLOOKUP(A5032,Pr_Base_LNEC!$A$4:$J$6971,7,FALSE)</f>
        <v>0</v>
      </c>
    </row>
    <row r="5033" spans="1:11" ht="14.5">
      <c r="A5033" s="20" t="s">
        <v>26668</v>
      </c>
      <c r="B5033" s="20">
        <v>60</v>
      </c>
      <c r="C5033" s="20">
        <v>55</v>
      </c>
      <c r="D5033" s="20">
        <v>97</v>
      </c>
      <c r="E5033" s="20">
        <v>6</v>
      </c>
      <c r="F5033" s="20" t="s">
        <v>26669</v>
      </c>
      <c r="G5033" s="20" t="s">
        <v>26670</v>
      </c>
      <c r="H5033" s="24"/>
      <c r="I5033" s="24" t="str">
        <f ca="1">IFERROR(__xludf.DUMMYFUNCTION("GOOGLETRANSLATE(F5033,""en"",""pt"")"),"bioaumentação dispositivos")</f>
        <v>bioaumentação dispositivos</v>
      </c>
      <c r="J5033">
        <f>VLOOKUP(A5033,Pr_Base_LNEC!$A$4:$J$6971,6,FALSE)</f>
        <v>0</v>
      </c>
      <c r="K5033">
        <f>VLOOKUP(A5033,Pr_Base_LNEC!$A$4:$J$6971,7,FALSE)</f>
        <v>0</v>
      </c>
    </row>
    <row r="5034" spans="1:11" ht="14.5">
      <c r="A5034" s="20" t="s">
        <v>26671</v>
      </c>
      <c r="B5034" s="20">
        <v>60</v>
      </c>
      <c r="C5034" s="20">
        <v>55</v>
      </c>
      <c r="D5034" s="20">
        <v>97</v>
      </c>
      <c r="E5034" s="20">
        <v>7</v>
      </c>
      <c r="F5034" s="20" t="s">
        <v>26672</v>
      </c>
      <c r="G5034" s="20" t="s">
        <v>26673</v>
      </c>
      <c r="H5034" s="24"/>
      <c r="I5034" s="24" t="str">
        <f ca="1">IFERROR(__xludf.DUMMYFUNCTION("GOOGLETRANSLATE(F5034,""en"",""pt"")"),"potes de dosagem de biocidas")</f>
        <v>potes de dosagem de biocidas</v>
      </c>
      <c r="J5034">
        <f>VLOOKUP(A5034,Pr_Base_LNEC!$A$4:$J$6971,6,FALSE)</f>
        <v>0</v>
      </c>
      <c r="K5034">
        <f>VLOOKUP(A5034,Pr_Base_LNEC!$A$4:$J$6971,7,FALSE)</f>
        <v>0</v>
      </c>
    </row>
    <row r="5035" spans="1:11" ht="14.5">
      <c r="A5035" s="20" t="s">
        <v>26674</v>
      </c>
      <c r="B5035" s="20">
        <v>60</v>
      </c>
      <c r="C5035" s="20">
        <v>55</v>
      </c>
      <c r="D5035" s="20">
        <v>97</v>
      </c>
      <c r="E5035" s="20">
        <v>11</v>
      </c>
      <c r="F5035" s="20" t="s">
        <v>26675</v>
      </c>
      <c r="G5035" s="24"/>
      <c r="H5035" s="24"/>
      <c r="I5035" s="24" t="str">
        <f ca="1">IFERROR(__xludf.DUMMYFUNCTION("GOOGLETRANSLATE(F5035,""en"",""pt"")"),"dispositivos de desinfecção química")</f>
        <v>dispositivos de desinfecção química</v>
      </c>
      <c r="J5035">
        <f>VLOOKUP(A5035,Pr_Base_LNEC!$A$4:$J$6971,6,FALSE)</f>
        <v>0</v>
      </c>
      <c r="K5035">
        <f>VLOOKUP(A5035,Pr_Base_LNEC!$A$4:$J$6971,7,FALSE)</f>
        <v>0</v>
      </c>
    </row>
    <row r="5036" spans="1:11" ht="14.5">
      <c r="A5036" s="20" t="s">
        <v>26676</v>
      </c>
      <c r="B5036" s="20">
        <v>60</v>
      </c>
      <c r="C5036" s="20">
        <v>55</v>
      </c>
      <c r="D5036" s="20">
        <v>97</v>
      </c>
      <c r="E5036" s="20">
        <v>12</v>
      </c>
      <c r="F5036" s="20" t="s">
        <v>26677</v>
      </c>
      <c r="G5036" s="20" t="s">
        <v>26673</v>
      </c>
      <c r="H5036" s="24"/>
      <c r="I5036" s="24" t="str">
        <f ca="1">IFERROR(__xludf.DUMMYFUNCTION("GOOGLETRANSLATE(F5036,""en"",""pt"")"),"potes dosagem química")</f>
        <v>potes dosagem química</v>
      </c>
      <c r="J5036">
        <f>VLOOKUP(A5036,Pr_Base_LNEC!$A$4:$J$6971,6,FALSE)</f>
        <v>0</v>
      </c>
      <c r="K5036">
        <f>VLOOKUP(A5036,Pr_Base_LNEC!$A$4:$J$6971,7,FALSE)</f>
        <v>0</v>
      </c>
    </row>
    <row r="5037" spans="1:11" ht="14.5">
      <c r="A5037" s="20" t="s">
        <v>26678</v>
      </c>
      <c r="B5037" s="20">
        <v>60</v>
      </c>
      <c r="C5037" s="20">
        <v>55</v>
      </c>
      <c r="D5037" s="20">
        <v>97</v>
      </c>
      <c r="E5037" s="20">
        <v>13</v>
      </c>
      <c r="F5037" s="20" t="s">
        <v>26679</v>
      </c>
      <c r="G5037" s="20" t="s">
        <v>26680</v>
      </c>
      <c r="H5037" s="24"/>
      <c r="I5037" s="24" t="str">
        <f ca="1">IFERROR(__xludf.DUMMYFUNCTION("GOOGLETRANSLATE(F5037,""en"",""pt"")"),"injetores químicos")</f>
        <v>injetores químicos</v>
      </c>
      <c r="J5037">
        <f>VLOOKUP(A5037,Pr_Base_LNEC!$A$4:$J$6971,6,FALSE)</f>
        <v>0</v>
      </c>
      <c r="K5037">
        <f>VLOOKUP(A5037,Pr_Base_LNEC!$A$4:$J$6971,7,FALSE)</f>
        <v>0</v>
      </c>
    </row>
    <row r="5038" spans="1:11" ht="14.5">
      <c r="A5038" s="20" t="s">
        <v>26681</v>
      </c>
      <c r="B5038" s="20">
        <v>60</v>
      </c>
      <c r="C5038" s="20">
        <v>55</v>
      </c>
      <c r="D5038" s="20">
        <v>97</v>
      </c>
      <c r="E5038" s="20">
        <v>14</v>
      </c>
      <c r="F5038" s="20" t="s">
        <v>26682</v>
      </c>
      <c r="G5038" s="20" t="s">
        <v>26683</v>
      </c>
      <c r="H5038" s="24"/>
      <c r="I5038" s="24" t="str">
        <f ca="1">IFERROR(__xludf.DUMMYFUNCTION("GOOGLETRANSLATE(F5038,""en"",""pt"")"),"clarificadores")</f>
        <v>clarificadores</v>
      </c>
      <c r="J5038">
        <f>VLOOKUP(A5038,Pr_Base_LNEC!$A$4:$J$6971,6,FALSE)</f>
        <v>0</v>
      </c>
      <c r="K5038">
        <f>VLOOKUP(A5038,Pr_Base_LNEC!$A$4:$J$6971,7,FALSE)</f>
        <v>0</v>
      </c>
    </row>
    <row r="5039" spans="1:11" ht="14.5">
      <c r="A5039" s="20" t="s">
        <v>26684</v>
      </c>
      <c r="B5039" s="20">
        <v>60</v>
      </c>
      <c r="C5039" s="20">
        <v>55</v>
      </c>
      <c r="D5039" s="20">
        <v>97</v>
      </c>
      <c r="E5039" s="20">
        <v>15</v>
      </c>
      <c r="F5039" s="20" t="s">
        <v>26685</v>
      </c>
      <c r="G5039" s="20" t="s">
        <v>26686</v>
      </c>
      <c r="H5039" s="24"/>
      <c r="I5039" s="24" t="str">
        <f ca="1">IFERROR(__xludf.DUMMYFUNCTION("GOOGLETRANSLATE(F5039,""en"",""pt"")"),"unidades de dosagem coagulantes")</f>
        <v>unidades de dosagem coagulantes</v>
      </c>
      <c r="J5039">
        <f>VLOOKUP(A5039,Pr_Base_LNEC!$A$4:$J$6971,6,FALSE)</f>
        <v>0</v>
      </c>
      <c r="K5039">
        <f>VLOOKUP(A5039,Pr_Base_LNEC!$A$4:$J$6971,7,FALSE)</f>
        <v>0</v>
      </c>
    </row>
    <row r="5040" spans="1:11" ht="14.5">
      <c r="A5040" s="20" t="s">
        <v>26687</v>
      </c>
      <c r="B5040" s="20">
        <v>60</v>
      </c>
      <c r="C5040" s="20">
        <v>55</v>
      </c>
      <c r="D5040" s="20">
        <v>97</v>
      </c>
      <c r="E5040" s="20">
        <v>20</v>
      </c>
      <c r="F5040" s="20" t="s">
        <v>26688</v>
      </c>
      <c r="G5040" s="24"/>
      <c r="H5040" s="24"/>
      <c r="I5040" s="24" t="str">
        <f ca="1">IFERROR(__xludf.DUMMYFUNCTION("GOOGLETRANSLATE(F5040,""en"",""pt"")"),"unidades de desionização")</f>
        <v>unidades de desionização</v>
      </c>
      <c r="J5040">
        <f>VLOOKUP(A5040,Pr_Base_LNEC!$A$4:$J$6971,6,FALSE)</f>
        <v>0</v>
      </c>
      <c r="K5040">
        <f>VLOOKUP(A5040,Pr_Base_LNEC!$A$4:$J$6971,7,FALSE)</f>
        <v>0</v>
      </c>
    </row>
    <row r="5041" spans="1:11" ht="14.5">
      <c r="A5041" s="20" t="s">
        <v>26689</v>
      </c>
      <c r="B5041" s="20">
        <v>60</v>
      </c>
      <c r="C5041" s="20">
        <v>55</v>
      </c>
      <c r="D5041" s="20">
        <v>97</v>
      </c>
      <c r="E5041" s="20">
        <v>21</v>
      </c>
      <c r="F5041" s="20" t="s">
        <v>26690</v>
      </c>
      <c r="G5041" s="24"/>
      <c r="H5041" s="24"/>
      <c r="I5041" s="24" t="str">
        <f ca="1">IFERROR(__xludf.DUMMYFUNCTION("GOOGLETRANSLATE(F5041,""en"",""pt"")"),"unidades de dessalinização")</f>
        <v>unidades de dessalinização</v>
      </c>
      <c r="J5041">
        <f>VLOOKUP(A5041,Pr_Base_LNEC!$A$4:$J$6971,6,FALSE)</f>
        <v>0</v>
      </c>
      <c r="K5041">
        <f>VLOOKUP(A5041,Pr_Base_LNEC!$A$4:$J$6971,7,FALSE)</f>
        <v>0</v>
      </c>
    </row>
    <row r="5042" spans="1:11" ht="14.5">
      <c r="A5042" s="20" t="s">
        <v>26691</v>
      </c>
      <c r="B5042" s="20">
        <v>60</v>
      </c>
      <c r="C5042" s="20">
        <v>55</v>
      </c>
      <c r="D5042" s="20">
        <v>97</v>
      </c>
      <c r="E5042" s="20">
        <v>22</v>
      </c>
      <c r="F5042" s="20" t="s">
        <v>26692</v>
      </c>
      <c r="G5042" s="20" t="s">
        <v>26693</v>
      </c>
      <c r="H5042" s="24"/>
      <c r="I5042" s="24" t="str">
        <f ca="1">IFERROR(__xludf.DUMMYFUNCTION("GOOGLETRANSLATE(F5042,""en"",""pt"")"),"unidades de dosagem de desinfecção")</f>
        <v>unidades de dosagem de desinfecção</v>
      </c>
      <c r="J5042">
        <f>VLOOKUP(A5042,Pr_Base_LNEC!$A$4:$J$6971,6,FALSE)</f>
        <v>0</v>
      </c>
      <c r="K5042">
        <f>VLOOKUP(A5042,Pr_Base_LNEC!$A$4:$J$6971,7,FALSE)</f>
        <v>0</v>
      </c>
    </row>
    <row r="5043" spans="1:11" ht="14.5">
      <c r="A5043" s="20" t="s">
        <v>26694</v>
      </c>
      <c r="B5043" s="20">
        <v>60</v>
      </c>
      <c r="C5043" s="20">
        <v>55</v>
      </c>
      <c r="D5043" s="20">
        <v>97</v>
      </c>
      <c r="E5043" s="20">
        <v>23</v>
      </c>
      <c r="F5043" s="20" t="s">
        <v>26695</v>
      </c>
      <c r="G5043" s="24"/>
      <c r="H5043" s="24"/>
      <c r="I5043" s="24" t="str">
        <f ca="1">IFERROR(__xludf.DUMMYFUNCTION("GOOGLETRANSLATE(F5043,""en"",""pt"")"),"unidades de destilação")</f>
        <v>unidades de destilação</v>
      </c>
      <c r="J5043">
        <f>VLOOKUP(A5043,Pr_Base_LNEC!$A$4:$J$6971,6,FALSE)</f>
        <v>0</v>
      </c>
      <c r="K5043">
        <f>VLOOKUP(A5043,Pr_Base_LNEC!$A$4:$J$6971,7,FALSE)</f>
        <v>0</v>
      </c>
    </row>
    <row r="5044" spans="1:11" ht="14.5">
      <c r="A5044" s="20" t="s">
        <v>26696</v>
      </c>
      <c r="B5044" s="20">
        <v>60</v>
      </c>
      <c r="C5044" s="20">
        <v>55</v>
      </c>
      <c r="D5044" s="20">
        <v>97</v>
      </c>
      <c r="E5044" s="20">
        <v>24</v>
      </c>
      <c r="F5044" s="20" t="s">
        <v>26697</v>
      </c>
      <c r="G5044" s="20" t="s">
        <v>26698</v>
      </c>
      <c r="H5044" s="24"/>
      <c r="I5044" s="24" t="str">
        <f ca="1">IFERROR(__xludf.DUMMYFUNCTION("GOOGLETRANSLATE(F5044,""en"",""pt"")"),"Beber dispositivos de remoção de nitrato de água")</f>
        <v>Beber dispositivos de remoção de nitrato de água</v>
      </c>
      <c r="J5044">
        <f>VLOOKUP(A5044,Pr_Base_LNEC!$A$4:$J$6971,6,FALSE)</f>
        <v>0</v>
      </c>
      <c r="K5044">
        <f>VLOOKUP(A5044,Pr_Base_LNEC!$A$4:$J$6971,7,FALSE)</f>
        <v>0</v>
      </c>
    </row>
    <row r="5045" spans="1:11" ht="14.5">
      <c r="A5045" s="20" t="s">
        <v>26699</v>
      </c>
      <c r="B5045" s="20">
        <v>60</v>
      </c>
      <c r="C5045" s="20">
        <v>55</v>
      </c>
      <c r="D5045" s="20">
        <v>97</v>
      </c>
      <c r="E5045" s="20">
        <v>27</v>
      </c>
      <c r="F5045" s="20" t="s">
        <v>26700</v>
      </c>
      <c r="G5045" s="20" t="s">
        <v>26701</v>
      </c>
      <c r="H5045" s="24"/>
      <c r="I5045" s="24" t="str">
        <f ca="1">IFERROR(__xludf.DUMMYFUNCTION("GOOGLETRANSLATE(F5045,""en"",""pt"")"),"unidades de electrodiálise")</f>
        <v>unidades de electrodiálise</v>
      </c>
      <c r="J5045">
        <f>VLOOKUP(A5045,Pr_Base_LNEC!$A$4:$J$6971,6,FALSE)</f>
        <v>0</v>
      </c>
      <c r="K5045">
        <f>VLOOKUP(A5045,Pr_Base_LNEC!$A$4:$J$6971,7,FALSE)</f>
        <v>0</v>
      </c>
    </row>
    <row r="5046" spans="1:11" ht="14.5">
      <c r="A5046" s="20" t="s">
        <v>26702</v>
      </c>
      <c r="B5046" s="20">
        <v>60</v>
      </c>
      <c r="C5046" s="20">
        <v>55</v>
      </c>
      <c r="D5046" s="20">
        <v>97</v>
      </c>
      <c r="E5046" s="20">
        <v>41</v>
      </c>
      <c r="F5046" s="20" t="s">
        <v>26703</v>
      </c>
      <c r="G5046" s="20" t="s">
        <v>26704</v>
      </c>
      <c r="H5046" s="24"/>
      <c r="I5046" s="24" t="str">
        <f ca="1">IFERROR(__xludf.DUMMYFUNCTION("GOOGLETRANSLATE(F5046,""en"",""pt"")"),"unidades de filtro in-line")</f>
        <v>unidades de filtro in-line</v>
      </c>
      <c r="J5046">
        <f>VLOOKUP(A5046,Pr_Base_LNEC!$A$4:$J$6971,6,FALSE)</f>
        <v>0</v>
      </c>
      <c r="K5046">
        <f>VLOOKUP(A5046,Pr_Base_LNEC!$A$4:$J$6971,7,FALSE)</f>
        <v>0</v>
      </c>
    </row>
    <row r="5047" spans="1:11" ht="14.5">
      <c r="A5047" s="20" t="s">
        <v>26705</v>
      </c>
      <c r="B5047" s="20">
        <v>60</v>
      </c>
      <c r="C5047" s="20">
        <v>55</v>
      </c>
      <c r="D5047" s="20">
        <v>97</v>
      </c>
      <c r="E5047" s="20">
        <v>43</v>
      </c>
      <c r="F5047" s="20" t="s">
        <v>26706</v>
      </c>
      <c r="G5047" s="20" t="s">
        <v>26707</v>
      </c>
      <c r="H5047" s="24"/>
      <c r="I5047" s="24" t="str">
        <f ca="1">IFERROR(__xludf.DUMMYFUNCTION("GOOGLETRANSLATE(F5047,""en"",""pt"")"),"unidades de troca de desmineralização de íon")</f>
        <v>unidades de troca de desmineralização de íon</v>
      </c>
      <c r="J5047">
        <f>VLOOKUP(A5047,Pr_Base_LNEC!$A$4:$J$6971,6,FALSE)</f>
        <v>0</v>
      </c>
      <c r="K5047">
        <f>VLOOKUP(A5047,Pr_Base_LNEC!$A$4:$J$6971,7,FALSE)</f>
        <v>0</v>
      </c>
    </row>
    <row r="5048" spans="1:11" ht="14.5">
      <c r="A5048" s="20" t="s">
        <v>26708</v>
      </c>
      <c r="B5048" s="20">
        <v>60</v>
      </c>
      <c r="C5048" s="20">
        <v>55</v>
      </c>
      <c r="D5048" s="20">
        <v>97</v>
      </c>
      <c r="E5048" s="20">
        <v>44</v>
      </c>
      <c r="F5048" s="20" t="s">
        <v>26709</v>
      </c>
      <c r="G5048" s="20" t="s">
        <v>26710</v>
      </c>
      <c r="H5048" s="24"/>
      <c r="I5048" s="24" t="str">
        <f ca="1">IFERROR(__xludf.DUMMYFUNCTION("GOOGLETRANSLATE(F5048,""en"",""pt"")"),"unidades de amaciamento de troca de iões")</f>
        <v>unidades de amaciamento de troca de iões</v>
      </c>
      <c r="J5048">
        <f>VLOOKUP(A5048,Pr_Base_LNEC!$A$4:$J$6971,6,FALSE)</f>
        <v>0</v>
      </c>
      <c r="K5048">
        <f>VLOOKUP(A5048,Pr_Base_LNEC!$A$4:$J$6971,7,FALSE)</f>
        <v>0</v>
      </c>
    </row>
    <row r="5049" spans="1:11" ht="14.5">
      <c r="A5049" s="20" t="s">
        <v>26711</v>
      </c>
      <c r="B5049" s="20">
        <v>60</v>
      </c>
      <c r="C5049" s="20">
        <v>55</v>
      </c>
      <c r="D5049" s="20">
        <v>97</v>
      </c>
      <c r="E5049" s="20">
        <v>50</v>
      </c>
      <c r="F5049" s="20" t="s">
        <v>26712</v>
      </c>
      <c r="G5049" s="20" t="s">
        <v>26713</v>
      </c>
      <c r="H5049" s="24"/>
      <c r="I5049" s="24" t="str">
        <f ca="1">IFERROR(__xludf.DUMMYFUNCTION("GOOGLETRANSLATE(F5049,""en"",""pt"")"),"condicionadores de água magnéticos")</f>
        <v>condicionadores de água magnéticos</v>
      </c>
      <c r="J5049">
        <f>VLOOKUP(A5049,Pr_Base_LNEC!$A$4:$J$6971,6,FALSE)</f>
        <v>0</v>
      </c>
      <c r="K5049">
        <f>VLOOKUP(A5049,Pr_Base_LNEC!$A$4:$J$6971,7,FALSE)</f>
        <v>0</v>
      </c>
    </row>
    <row r="5050" spans="1:11" ht="14.5">
      <c r="A5050" s="20" t="s">
        <v>26714</v>
      </c>
      <c r="B5050" s="20">
        <v>60</v>
      </c>
      <c r="C5050" s="20">
        <v>55</v>
      </c>
      <c r="D5050" s="20">
        <v>97</v>
      </c>
      <c r="E5050" s="20">
        <v>63</v>
      </c>
      <c r="F5050" s="20" t="s">
        <v>26715</v>
      </c>
      <c r="G5050" s="20" t="s">
        <v>26716</v>
      </c>
      <c r="H5050" s="24"/>
      <c r="I5050" s="24" t="str">
        <f ca="1">IFERROR(__xludf.DUMMYFUNCTION("GOOGLETRANSLATE(F5050,""en"",""pt"")"),"unidades de dosagem de controlo do pH")</f>
        <v>unidades de dosagem de controlo do pH</v>
      </c>
      <c r="J5050">
        <f>VLOOKUP(A5050,Pr_Base_LNEC!$A$4:$J$6971,6,FALSE)</f>
        <v>0</v>
      </c>
      <c r="K5050">
        <f>VLOOKUP(A5050,Pr_Base_LNEC!$A$4:$J$6971,7,FALSE)</f>
        <v>0</v>
      </c>
    </row>
    <row r="5051" spans="1:11" ht="14.5">
      <c r="A5051" s="20" t="s">
        <v>26717</v>
      </c>
      <c r="B5051" s="20">
        <v>60</v>
      </c>
      <c r="C5051" s="20">
        <v>55</v>
      </c>
      <c r="D5051" s="20">
        <v>97</v>
      </c>
      <c r="E5051" s="20">
        <v>72</v>
      </c>
      <c r="F5051" s="20" t="s">
        <v>26718</v>
      </c>
      <c r="G5051" s="20" t="s">
        <v>26719</v>
      </c>
      <c r="H5051" s="24"/>
      <c r="I5051" s="24" t="str">
        <f ca="1">IFERROR(__xludf.DUMMYFUNCTION("GOOGLETRANSLATE(F5051,""en"",""pt"")"),"unidades de osmose reversa")</f>
        <v>unidades de osmose reversa</v>
      </c>
      <c r="J5051">
        <f>VLOOKUP(A5051,Pr_Base_LNEC!$A$4:$J$6971,6,FALSE)</f>
        <v>0</v>
      </c>
      <c r="K5051">
        <f>VLOOKUP(A5051,Pr_Base_LNEC!$A$4:$J$6971,7,FALSE)</f>
        <v>0</v>
      </c>
    </row>
    <row r="5052" spans="1:11" ht="14.5">
      <c r="A5052" s="20" t="s">
        <v>26720</v>
      </c>
      <c r="B5052" s="20">
        <v>60</v>
      </c>
      <c r="C5052" s="20">
        <v>55</v>
      </c>
      <c r="D5052" s="20">
        <v>97</v>
      </c>
      <c r="E5052" s="20">
        <v>85</v>
      </c>
      <c r="F5052" s="20" t="s">
        <v>26721</v>
      </c>
      <c r="G5052" s="20" t="s">
        <v>26722</v>
      </c>
      <c r="H5052" s="24"/>
      <c r="I5052" s="24" t="str">
        <f ca="1">IFERROR(__xludf.DUMMYFUNCTION("GOOGLETRANSLATE(F5052,""en"",""pt"")"),"esterilizadores")</f>
        <v>esterilizadores</v>
      </c>
      <c r="J5052">
        <f>VLOOKUP(A5052,Pr_Base_LNEC!$A$4:$J$6971,6,FALSE)</f>
        <v>0</v>
      </c>
      <c r="K5052">
        <f>VLOOKUP(A5052,Pr_Base_LNEC!$A$4:$J$6971,7,FALSE)</f>
        <v>0</v>
      </c>
    </row>
    <row r="5053" spans="1:11" ht="14.5">
      <c r="A5053" s="20" t="s">
        <v>26723</v>
      </c>
      <c r="B5053" s="20">
        <v>60</v>
      </c>
      <c r="C5053" s="20">
        <v>55</v>
      </c>
      <c r="D5053" s="20">
        <v>97</v>
      </c>
      <c r="E5053" s="20">
        <v>86</v>
      </c>
      <c r="F5053" s="20" t="s">
        <v>26724</v>
      </c>
      <c r="G5053" s="20" t="s">
        <v>26725</v>
      </c>
      <c r="H5053" s="24"/>
      <c r="I5053" s="24" t="str">
        <f ca="1">IFERROR(__xludf.DUMMYFUNCTION("GOOGLETRANSLATE(F5053,""en"",""pt"")"),"skimmers de superfície")</f>
        <v>skimmers de superfície</v>
      </c>
      <c r="J5053">
        <f>VLOOKUP(A5053,Pr_Base_LNEC!$A$4:$J$6971,6,FALSE)</f>
        <v>0</v>
      </c>
      <c r="K5053">
        <f>VLOOKUP(A5053,Pr_Base_LNEC!$A$4:$J$6971,7,FALSE)</f>
        <v>0</v>
      </c>
    </row>
    <row r="5054" spans="1:11" ht="14.5">
      <c r="A5054" s="20" t="s">
        <v>26726</v>
      </c>
      <c r="B5054" s="20">
        <v>60</v>
      </c>
      <c r="C5054" s="20">
        <v>55</v>
      </c>
      <c r="D5054" s="20">
        <v>97</v>
      </c>
      <c r="E5054" s="20">
        <v>93</v>
      </c>
      <c r="F5054" s="20" t="s">
        <v>26727</v>
      </c>
      <c r="G5054" s="20" t="s">
        <v>26728</v>
      </c>
      <c r="H5054" s="24"/>
      <c r="I5054" s="24" t="str">
        <f ca="1">IFERROR(__xludf.DUMMYFUNCTION("GOOGLETRANSLATE(F5054,""en"",""pt"")"),"Ultravioleta (UV) dispositivos de desinfecção")</f>
        <v>Ultravioleta (UV) dispositivos de desinfecção</v>
      </c>
      <c r="J5054">
        <f>VLOOKUP(A5054,Pr_Base_LNEC!$A$4:$J$6971,6,FALSE)</f>
        <v>0</v>
      </c>
      <c r="K5054">
        <f>VLOOKUP(A5054,Pr_Base_LNEC!$A$4:$J$6971,7,FALSE)</f>
        <v>0</v>
      </c>
    </row>
    <row r="5055" spans="1:11" ht="14.5">
      <c r="A5055" s="20" t="s">
        <v>26729</v>
      </c>
      <c r="B5055" s="20">
        <v>60</v>
      </c>
      <c r="C5055" s="20">
        <v>55</v>
      </c>
      <c r="D5055" s="20">
        <v>97</v>
      </c>
      <c r="E5055" s="20">
        <v>95</v>
      </c>
      <c r="F5055" s="20" t="s">
        <v>26730</v>
      </c>
      <c r="G5055" s="20" t="s">
        <v>26731</v>
      </c>
      <c r="H5055" s="24"/>
      <c r="I5055" s="24" t="str">
        <f ca="1">IFERROR(__xludf.DUMMYFUNCTION("GOOGLETRANSLATE(F5055,""en"",""pt"")"),"Geradores de água")</f>
        <v>Geradores de água</v>
      </c>
      <c r="J5055">
        <f>VLOOKUP(A5055,Pr_Base_LNEC!$A$4:$J$6971,6,FALSE)</f>
        <v>0</v>
      </c>
      <c r="K5055">
        <f>VLOOKUP(A5055,Pr_Base_LNEC!$A$4:$J$6971,7,FALSE)</f>
        <v>0</v>
      </c>
    </row>
    <row r="5056" spans="1:11" ht="14.5">
      <c r="A5056" s="20" t="s">
        <v>26732</v>
      </c>
      <c r="B5056" s="20">
        <v>60</v>
      </c>
      <c r="C5056" s="20">
        <v>55</v>
      </c>
      <c r="D5056" s="20">
        <v>97</v>
      </c>
      <c r="E5056" s="20">
        <v>96</v>
      </c>
      <c r="F5056" s="20" t="s">
        <v>26733</v>
      </c>
      <c r="G5056" s="20" t="s">
        <v>26734</v>
      </c>
      <c r="H5056" s="24"/>
      <c r="I5056" s="24" t="str">
        <f ca="1">IFERROR(__xludf.DUMMYFUNCTION("GOOGLETRANSLATE(F5056,""en"",""pt"")"),"condicionadores de água")</f>
        <v>condicionadores de água</v>
      </c>
      <c r="J5056">
        <f>VLOOKUP(A5056,Pr_Base_LNEC!$A$4:$J$6971,6,FALSE)</f>
        <v>0</v>
      </c>
      <c r="K5056">
        <f>VLOOKUP(A5056,Pr_Base_LNEC!$A$4:$J$6971,7,FALSE)</f>
        <v>0</v>
      </c>
    </row>
    <row r="5057" spans="1:11" ht="14.5">
      <c r="A5057" s="20" t="s">
        <v>26735</v>
      </c>
      <c r="B5057" s="20">
        <v>60</v>
      </c>
      <c r="C5057" s="20">
        <v>55</v>
      </c>
      <c r="D5057" s="20">
        <v>97</v>
      </c>
      <c r="E5057" s="20">
        <v>97</v>
      </c>
      <c r="F5057" s="20" t="s">
        <v>26736</v>
      </c>
      <c r="G5057" s="24"/>
      <c r="H5057" s="24"/>
      <c r="I5057" s="24" t="str">
        <f ca="1">IFERROR(__xludf.DUMMYFUNCTION("GOOGLETRANSLATE(F5057,""en"",""pt"")"),"tratamento de água de dosagem potes")</f>
        <v>tratamento de água de dosagem potes</v>
      </c>
      <c r="J5057">
        <f>VLOOKUP(A5057,Pr_Base_LNEC!$A$4:$J$6971,6,FALSE)</f>
        <v>0</v>
      </c>
      <c r="K5057">
        <f>VLOOKUP(A5057,Pr_Base_LNEC!$A$4:$J$6971,7,FALSE)</f>
        <v>0</v>
      </c>
    </row>
    <row r="5058" spans="1:11" ht="14.5">
      <c r="A5058" s="20" t="s">
        <v>26737</v>
      </c>
      <c r="B5058" s="20">
        <v>60</v>
      </c>
      <c r="C5058" s="20">
        <v>60</v>
      </c>
      <c r="D5058" s="24"/>
      <c r="E5058" s="24"/>
      <c r="F5058" s="20" t="s">
        <v>26738</v>
      </c>
      <c r="G5058" s="24"/>
      <c r="H5058" s="24"/>
      <c r="I5058" s="24" t="str">
        <f ca="1">IFERROR(__xludf.DUMMYFUNCTION("GOOGLETRANSLATE(F5058,""en"",""pt"")"),"Aquecimento e refrigeração produtos de origem")</f>
        <v>Aquecimento e refrigeração produtos de origem</v>
      </c>
      <c r="J5058" t="str">
        <f>VLOOKUP(A5058,Pr_Base_LNEC!$A$4:$J$6971,6,FALSE)</f>
        <v>Produtos para Fontes de Aquecimento e Arrefecimento</v>
      </c>
      <c r="K5058">
        <f>VLOOKUP(A5058,Pr_Base_LNEC!$A$4:$J$6971,7,FALSE)</f>
        <v>0</v>
      </c>
    </row>
    <row r="5059" spans="1:11" ht="14.5">
      <c r="A5059" s="20" t="s">
        <v>26739</v>
      </c>
      <c r="B5059" s="20">
        <v>60</v>
      </c>
      <c r="C5059" s="20">
        <v>60</v>
      </c>
      <c r="D5059" s="20">
        <v>8</v>
      </c>
      <c r="E5059" s="24"/>
      <c r="F5059" s="20" t="s">
        <v>26740</v>
      </c>
      <c r="G5059" s="24"/>
      <c r="H5059" s="24"/>
      <c r="I5059" s="24" t="str">
        <f ca="1">IFERROR(__xludf.DUMMYFUNCTION("GOOGLETRANSLATE(F5059,""en"",""pt"")"),"caldeiras")</f>
        <v>caldeiras</v>
      </c>
      <c r="J5059">
        <f>VLOOKUP(A5059,Pr_Base_LNEC!$A$4:$J$6971,6,FALSE)</f>
        <v>0</v>
      </c>
      <c r="K5059">
        <f>VLOOKUP(A5059,Pr_Base_LNEC!$A$4:$J$6971,7,FALSE)</f>
        <v>0</v>
      </c>
    </row>
    <row r="5060" spans="1:11" ht="14.5">
      <c r="A5060" s="20" t="s">
        <v>26741</v>
      </c>
      <c r="B5060" s="20">
        <v>60</v>
      </c>
      <c r="C5060" s="20">
        <v>60</v>
      </c>
      <c r="D5060" s="20">
        <v>8</v>
      </c>
      <c r="E5060" s="20">
        <v>8</v>
      </c>
      <c r="F5060" s="20" t="s">
        <v>26742</v>
      </c>
      <c r="G5060" s="24"/>
      <c r="H5060" s="24"/>
      <c r="I5060" s="24" t="str">
        <f ca="1">IFERROR(__xludf.DUMMYFUNCTION("GOOGLETRANSLATE(F5060,""en"",""pt"")"),"caldeiras de biomassa")</f>
        <v>caldeiras de biomassa</v>
      </c>
      <c r="J5060" t="e">
        <f>VLOOKUP(A5060,Pr_Base_LNEC!$A$4:$J$6971,6,FALSE)</f>
        <v>#N/A</v>
      </c>
      <c r="K5060" t="e">
        <f>VLOOKUP(A5060,Pr_Base_LNEC!$A$4:$J$6971,7,FALSE)</f>
        <v>#N/A</v>
      </c>
    </row>
    <row r="5061" spans="1:11" ht="14.5">
      <c r="A5061" s="20" t="s">
        <v>26743</v>
      </c>
      <c r="B5061" s="20">
        <v>60</v>
      </c>
      <c r="C5061" s="20">
        <v>60</v>
      </c>
      <c r="D5061" s="20">
        <v>8</v>
      </c>
      <c r="E5061" s="20">
        <v>24</v>
      </c>
      <c r="F5061" s="20" t="s">
        <v>26744</v>
      </c>
      <c r="G5061" s="20" t="s">
        <v>26745</v>
      </c>
      <c r="H5061" s="24"/>
      <c r="I5061" s="24" t="str">
        <f ca="1">IFERROR(__xludf.DUMMYFUNCTION("GOOGLETRANSLATE(F5061,""en"",""pt"")"),"caldeiras de ferro fundido bicombustíveis")</f>
        <v>caldeiras de ferro fundido bicombustíveis</v>
      </c>
      <c r="J5061">
        <f>VLOOKUP(A5061,Pr_Base_LNEC!$A$4:$J$6971,6,FALSE)</f>
        <v>0</v>
      </c>
      <c r="K5061">
        <f>VLOOKUP(A5061,Pr_Base_LNEC!$A$4:$J$6971,7,FALSE)</f>
        <v>0</v>
      </c>
    </row>
    <row r="5062" spans="1:11" ht="14.5">
      <c r="A5062" s="20" t="s">
        <v>26746</v>
      </c>
      <c r="B5062" s="20">
        <v>60</v>
      </c>
      <c r="C5062" s="20">
        <v>60</v>
      </c>
      <c r="D5062" s="20">
        <v>8</v>
      </c>
      <c r="E5062" s="20">
        <v>25</v>
      </c>
      <c r="F5062" s="20" t="s">
        <v>26747</v>
      </c>
      <c r="G5062" s="20" t="s">
        <v>26748</v>
      </c>
      <c r="H5062" s="24"/>
      <c r="I5062" s="24" t="str">
        <f ca="1">IFERROR(__xludf.DUMMYFUNCTION("GOOGLETRANSLATE(F5062,""en"",""pt"")"),"bicombustíveis caldeiras de casca de aço")</f>
        <v>bicombustíveis caldeiras de casca de aço</v>
      </c>
      <c r="J5062">
        <f>VLOOKUP(A5062,Pr_Base_LNEC!$A$4:$J$6971,6,FALSE)</f>
        <v>0</v>
      </c>
      <c r="K5062">
        <f>VLOOKUP(A5062,Pr_Base_LNEC!$A$4:$J$6971,7,FALSE)</f>
        <v>0</v>
      </c>
    </row>
    <row r="5063" spans="1:11" ht="14.5">
      <c r="A5063" s="20" t="s">
        <v>26749</v>
      </c>
      <c r="B5063" s="20">
        <v>60</v>
      </c>
      <c r="C5063" s="20">
        <v>60</v>
      </c>
      <c r="D5063" s="20">
        <v>8</v>
      </c>
      <c r="E5063" s="20">
        <v>27</v>
      </c>
      <c r="F5063" s="20" t="s">
        <v>26750</v>
      </c>
      <c r="G5063" s="24"/>
      <c r="H5063" s="24"/>
      <c r="I5063" s="24" t="str">
        <f ca="1">IFERROR(__xludf.DUMMYFUNCTION("GOOGLETRANSLATE(F5063,""en"",""pt"")"),"caldeiras eléctricas")</f>
        <v>caldeiras eléctricas</v>
      </c>
      <c r="J5063">
        <f>VLOOKUP(A5063,Pr_Base_LNEC!$A$4:$J$6971,6,FALSE)</f>
        <v>0</v>
      </c>
      <c r="K5063">
        <f>VLOOKUP(A5063,Pr_Base_LNEC!$A$4:$J$6971,7,FALSE)</f>
        <v>0</v>
      </c>
    </row>
    <row r="5064" spans="1:11" ht="14.5">
      <c r="A5064" s="20" t="s">
        <v>26751</v>
      </c>
      <c r="B5064" s="20">
        <v>60</v>
      </c>
      <c r="C5064" s="20">
        <v>60</v>
      </c>
      <c r="D5064" s="20">
        <v>8</v>
      </c>
      <c r="E5064" s="20">
        <v>33</v>
      </c>
      <c r="F5064" s="20" t="s">
        <v>26752</v>
      </c>
      <c r="G5064" s="20" t="s">
        <v>26753</v>
      </c>
      <c r="H5064" s="24"/>
      <c r="I5064" s="24" t="str">
        <f ca="1">IFERROR(__xludf.DUMMYFUNCTION("GOOGLETRANSLATE(F5064,""en"",""pt"")"),"Gás caldeiras")</f>
        <v>Gás caldeiras</v>
      </c>
      <c r="J5064">
        <f>VLOOKUP(A5064,Pr_Base_LNEC!$A$4:$J$6971,6,FALSE)</f>
        <v>0</v>
      </c>
      <c r="K5064">
        <f>VLOOKUP(A5064,Pr_Base_LNEC!$A$4:$J$6971,7,FALSE)</f>
        <v>0</v>
      </c>
    </row>
    <row r="5065" spans="1:11" ht="14.5">
      <c r="A5065" s="20" t="s">
        <v>26754</v>
      </c>
      <c r="B5065" s="20">
        <v>60</v>
      </c>
      <c r="C5065" s="20">
        <v>60</v>
      </c>
      <c r="D5065" s="20">
        <v>8</v>
      </c>
      <c r="E5065" s="20">
        <v>34</v>
      </c>
      <c r="F5065" s="20" t="s">
        <v>26755</v>
      </c>
      <c r="G5065" s="20" t="s">
        <v>26756</v>
      </c>
      <c r="H5065" s="24"/>
      <c r="I5065" s="24" t="str">
        <f ca="1">IFERROR(__xludf.DUMMYFUNCTION("GOOGLETRANSLATE(F5065,""en"",""pt"")"),"A gás caldeiras de condensação")</f>
        <v>A gás caldeiras de condensação</v>
      </c>
      <c r="J5065">
        <f>VLOOKUP(A5065,Pr_Base_LNEC!$A$4:$J$6971,6,FALSE)</f>
        <v>0</v>
      </c>
      <c r="K5065">
        <f>VLOOKUP(A5065,Pr_Base_LNEC!$A$4:$J$6971,7,FALSE)</f>
        <v>0</v>
      </c>
    </row>
    <row r="5066" spans="1:11" ht="14.5">
      <c r="A5066" s="20" t="s">
        <v>26757</v>
      </c>
      <c r="B5066" s="20">
        <v>60</v>
      </c>
      <c r="C5066" s="20">
        <v>60</v>
      </c>
      <c r="D5066" s="20">
        <v>8</v>
      </c>
      <c r="E5066" s="20">
        <v>35</v>
      </c>
      <c r="F5066" s="20" t="s">
        <v>26758</v>
      </c>
      <c r="G5066" s="20" t="s">
        <v>26759</v>
      </c>
      <c r="H5066" s="24"/>
      <c r="I5066" s="24" t="str">
        <f ca="1">IFERROR(__xludf.DUMMYFUNCTION("GOOGLETRANSLATE(F5066,""en"",""pt"")"),"Gás caldeiras de ferro fundido")</f>
        <v>Gás caldeiras de ferro fundido</v>
      </c>
      <c r="J5066">
        <f>VLOOKUP(A5066,Pr_Base_LNEC!$A$4:$J$6971,6,FALSE)</f>
        <v>0</v>
      </c>
      <c r="K5066">
        <f>VLOOKUP(A5066,Pr_Base_LNEC!$A$4:$J$6971,7,FALSE)</f>
        <v>0</v>
      </c>
    </row>
    <row r="5067" spans="1:11" ht="14.5">
      <c r="A5067" s="20" t="s">
        <v>26760</v>
      </c>
      <c r="B5067" s="20">
        <v>60</v>
      </c>
      <c r="C5067" s="20">
        <v>60</v>
      </c>
      <c r="D5067" s="20">
        <v>8</v>
      </c>
      <c r="E5067" s="20">
        <v>36</v>
      </c>
      <c r="F5067" s="20" t="s">
        <v>26761</v>
      </c>
      <c r="G5067" s="20" t="s">
        <v>26762</v>
      </c>
      <c r="H5067" s="24"/>
      <c r="I5067" s="24" t="str">
        <f ca="1">IFERROR(__xludf.DUMMYFUNCTION("GOOGLETRANSLATE(F5067,""en"",""pt"")"),"Gás caldeiras de casca de aço")</f>
        <v>Gás caldeiras de casca de aço</v>
      </c>
      <c r="J5067">
        <f>VLOOKUP(A5067,Pr_Base_LNEC!$A$4:$J$6971,6,FALSE)</f>
        <v>0</v>
      </c>
      <c r="K5067">
        <f>VLOOKUP(A5067,Pr_Base_LNEC!$A$4:$J$6971,7,FALSE)</f>
        <v>0</v>
      </c>
    </row>
    <row r="5068" spans="1:11" ht="14.5">
      <c r="A5068" s="20" t="s">
        <v>26763</v>
      </c>
      <c r="B5068" s="20">
        <v>60</v>
      </c>
      <c r="C5068" s="20">
        <v>60</v>
      </c>
      <c r="D5068" s="20">
        <v>8</v>
      </c>
      <c r="E5068" s="20">
        <v>37</v>
      </c>
      <c r="F5068" s="20" t="s">
        <v>26764</v>
      </c>
      <c r="G5068" s="20" t="s">
        <v>26765</v>
      </c>
      <c r="H5068" s="24"/>
      <c r="I5068" s="24" t="str">
        <f ca="1">IFERROR(__xludf.DUMMYFUNCTION("GOOGLETRANSLATE(F5068,""en"",""pt"")"),"Gás caldeiras de tubos de água")</f>
        <v>Gás caldeiras de tubos de água</v>
      </c>
      <c r="J5068">
        <f>VLOOKUP(A5068,Pr_Base_LNEC!$A$4:$J$6971,6,FALSE)</f>
        <v>0</v>
      </c>
      <c r="K5068">
        <f>VLOOKUP(A5068,Pr_Base_LNEC!$A$4:$J$6971,7,FALSE)</f>
        <v>0</v>
      </c>
    </row>
    <row r="5069" spans="1:11" ht="14.5">
      <c r="A5069" s="20" t="s">
        <v>26766</v>
      </c>
      <c r="B5069" s="20">
        <v>60</v>
      </c>
      <c r="C5069" s="20">
        <v>60</v>
      </c>
      <c r="D5069" s="20">
        <v>8</v>
      </c>
      <c r="E5069" s="20">
        <v>56</v>
      </c>
      <c r="F5069" s="20" t="s">
        <v>26767</v>
      </c>
      <c r="G5069" s="20" t="s">
        <v>26768</v>
      </c>
      <c r="H5069" s="24"/>
      <c r="I5069" s="24" t="str">
        <f ca="1">IFERROR(__xludf.DUMMYFUNCTION("GOOGLETRANSLATE(F5069,""en"",""pt"")"),"Óleo de caldeiras de condensação")</f>
        <v>Óleo de caldeiras de condensação</v>
      </c>
      <c r="J5069" t="e">
        <f>VLOOKUP(A5069,Pr_Base_LNEC!$A$4:$J$6971,6,FALSE)</f>
        <v>#N/A</v>
      </c>
      <c r="K5069" t="e">
        <f>VLOOKUP(A5069,Pr_Base_LNEC!$A$4:$J$6971,7,FALSE)</f>
        <v>#N/A</v>
      </c>
    </row>
    <row r="5070" spans="1:11" ht="14.5">
      <c r="A5070" s="20" t="s">
        <v>26769</v>
      </c>
      <c r="B5070" s="20">
        <v>60</v>
      </c>
      <c r="C5070" s="20">
        <v>60</v>
      </c>
      <c r="D5070" s="20">
        <v>8</v>
      </c>
      <c r="E5070" s="20">
        <v>57</v>
      </c>
      <c r="F5070" s="20" t="s">
        <v>26770</v>
      </c>
      <c r="G5070" s="20" t="s">
        <v>26771</v>
      </c>
      <c r="H5070" s="24"/>
      <c r="I5070" s="24" t="str">
        <f ca="1">IFERROR(__xludf.DUMMYFUNCTION("GOOGLETRANSLATE(F5070,""en"",""pt"")"),"Óleo de caldeiras sem condensação")</f>
        <v>Óleo de caldeiras sem condensação</v>
      </c>
      <c r="J5070" t="e">
        <f>VLOOKUP(A5070,Pr_Base_LNEC!$A$4:$J$6971,6,FALSE)</f>
        <v>#N/A</v>
      </c>
      <c r="K5070" t="e">
        <f>VLOOKUP(A5070,Pr_Base_LNEC!$A$4:$J$6971,7,FALSE)</f>
        <v>#N/A</v>
      </c>
    </row>
    <row r="5071" spans="1:11" ht="14.5">
      <c r="A5071" s="20" t="s">
        <v>26772</v>
      </c>
      <c r="B5071" s="20">
        <v>60</v>
      </c>
      <c r="C5071" s="20">
        <v>60</v>
      </c>
      <c r="D5071" s="20">
        <v>8</v>
      </c>
      <c r="E5071" s="20">
        <v>58</v>
      </c>
      <c r="F5071" s="20" t="s">
        <v>26773</v>
      </c>
      <c r="G5071" s="20" t="s">
        <v>26774</v>
      </c>
      <c r="H5071" s="24"/>
      <c r="I5071" s="24" t="str">
        <f ca="1">IFERROR(__xludf.DUMMYFUNCTION("GOOGLETRANSLATE(F5071,""en"",""pt"")"),"Óleo de caldeiras de ferro fundido")</f>
        <v>Óleo de caldeiras de ferro fundido</v>
      </c>
      <c r="J5071">
        <f>VLOOKUP(A5071,Pr_Base_LNEC!$A$4:$J$6971,6,FALSE)</f>
        <v>0</v>
      </c>
      <c r="K5071">
        <f>VLOOKUP(A5071,Pr_Base_LNEC!$A$4:$J$6971,7,FALSE)</f>
        <v>0</v>
      </c>
    </row>
    <row r="5072" spans="1:11" ht="14.5">
      <c r="A5072" s="20" t="s">
        <v>26775</v>
      </c>
      <c r="B5072" s="20">
        <v>60</v>
      </c>
      <c r="C5072" s="20">
        <v>60</v>
      </c>
      <c r="D5072" s="20">
        <v>8</v>
      </c>
      <c r="E5072" s="20">
        <v>59</v>
      </c>
      <c r="F5072" s="20" t="s">
        <v>26776</v>
      </c>
      <c r="G5072" s="20" t="s">
        <v>26777</v>
      </c>
      <c r="H5072" s="24"/>
      <c r="I5072" s="24" t="str">
        <f ca="1">IFERROR(__xludf.DUMMYFUNCTION("GOOGLETRANSLATE(F5072,""en"",""pt"")"),"Óleo de caldeiras de casca de aço")</f>
        <v>Óleo de caldeiras de casca de aço</v>
      </c>
      <c r="J5072">
        <f>VLOOKUP(A5072,Pr_Base_LNEC!$A$4:$J$6971,6,FALSE)</f>
        <v>0</v>
      </c>
      <c r="K5072">
        <f>VLOOKUP(A5072,Pr_Base_LNEC!$A$4:$J$6971,7,FALSE)</f>
        <v>0</v>
      </c>
    </row>
    <row r="5073" spans="1:11" ht="14.5">
      <c r="A5073" s="20" t="s">
        <v>26778</v>
      </c>
      <c r="B5073" s="20">
        <v>60</v>
      </c>
      <c r="C5073" s="20">
        <v>60</v>
      </c>
      <c r="D5073" s="20">
        <v>8</v>
      </c>
      <c r="E5073" s="20">
        <v>60</v>
      </c>
      <c r="F5073" s="20" t="s">
        <v>26779</v>
      </c>
      <c r="G5073" s="20" t="s">
        <v>26780</v>
      </c>
      <c r="H5073" s="24"/>
      <c r="I5073" s="24" t="str">
        <f ca="1">IFERROR(__xludf.DUMMYFUNCTION("GOOGLETRANSLATE(F5073,""en"",""pt"")"),"Óleo de caldeiras de tubos de água")</f>
        <v>Óleo de caldeiras de tubos de água</v>
      </c>
      <c r="J5073">
        <f>VLOOKUP(A5073,Pr_Base_LNEC!$A$4:$J$6971,6,FALSE)</f>
        <v>0</v>
      </c>
      <c r="K5073">
        <f>VLOOKUP(A5073,Pr_Base_LNEC!$A$4:$J$6971,7,FALSE)</f>
        <v>0</v>
      </c>
    </row>
    <row r="5074" spans="1:11" ht="14.5">
      <c r="A5074" s="20" t="s">
        <v>26781</v>
      </c>
      <c r="B5074" s="20">
        <v>60</v>
      </c>
      <c r="C5074" s="20">
        <v>60</v>
      </c>
      <c r="D5074" s="20">
        <v>8</v>
      </c>
      <c r="E5074" s="20">
        <v>80</v>
      </c>
      <c r="F5074" s="20" t="s">
        <v>26782</v>
      </c>
      <c r="G5074" s="20" t="s">
        <v>26783</v>
      </c>
      <c r="H5074" s="24"/>
      <c r="I5074" s="24" t="str">
        <f ca="1">IFERROR(__xludf.DUMMYFUNCTION("GOOGLETRANSLATE(F5074,""en"",""pt"")"),"caldeiras de ferro fundido combustível sólido")</f>
        <v>caldeiras de ferro fundido combustível sólido</v>
      </c>
      <c r="J5074">
        <f>VLOOKUP(A5074,Pr_Base_LNEC!$A$4:$J$6971,6,FALSE)</f>
        <v>0</v>
      </c>
      <c r="K5074">
        <f>VLOOKUP(A5074,Pr_Base_LNEC!$A$4:$J$6971,7,FALSE)</f>
        <v>0</v>
      </c>
    </row>
    <row r="5075" spans="1:11" ht="14.5">
      <c r="A5075" s="20" t="s">
        <v>26784</v>
      </c>
      <c r="B5075" s="20">
        <v>60</v>
      </c>
      <c r="C5075" s="20">
        <v>60</v>
      </c>
      <c r="D5075" s="20">
        <v>8</v>
      </c>
      <c r="E5075" s="20">
        <v>81</v>
      </c>
      <c r="F5075" s="20" t="s">
        <v>26785</v>
      </c>
      <c r="G5075" s="20" t="s">
        <v>26786</v>
      </c>
      <c r="H5075" s="24"/>
      <c r="I5075" s="24" t="str">
        <f ca="1">IFERROR(__xludf.DUMMYFUNCTION("GOOGLETRANSLATE(F5075,""en"",""pt"")"),"caldeiras de casca de aço combustível sólido")</f>
        <v>caldeiras de casca de aço combustível sólido</v>
      </c>
      <c r="J5075">
        <f>VLOOKUP(A5075,Pr_Base_LNEC!$A$4:$J$6971,6,FALSE)</f>
        <v>0</v>
      </c>
      <c r="K5075">
        <f>VLOOKUP(A5075,Pr_Base_LNEC!$A$4:$J$6971,7,FALSE)</f>
        <v>0</v>
      </c>
    </row>
    <row r="5076" spans="1:11" ht="14.5">
      <c r="A5076" s="20" t="s">
        <v>26787</v>
      </c>
      <c r="B5076" s="20">
        <v>60</v>
      </c>
      <c r="C5076" s="20">
        <v>60</v>
      </c>
      <c r="D5076" s="20">
        <v>8</v>
      </c>
      <c r="E5076" s="20">
        <v>83</v>
      </c>
      <c r="F5076" s="20" t="s">
        <v>26788</v>
      </c>
      <c r="G5076" s="20" t="s">
        <v>26789</v>
      </c>
      <c r="H5076" s="24"/>
      <c r="I5076" s="24" t="str">
        <f ca="1">IFERROR(__xludf.DUMMYFUNCTION("GOOGLETRANSLATE(F5076,""en"",""pt"")"),"permutadores de calor do painel submersas")</f>
        <v>permutadores de calor do painel submersas</v>
      </c>
      <c r="J5076" t="e">
        <f>VLOOKUP(A5076,Pr_Base_LNEC!$A$4:$J$6971,6,FALSE)</f>
        <v>#N/A</v>
      </c>
      <c r="K5076" t="e">
        <f>VLOOKUP(A5076,Pr_Base_LNEC!$A$4:$J$6971,7,FALSE)</f>
        <v>#N/A</v>
      </c>
    </row>
    <row r="5077" spans="1:11" ht="14.5">
      <c r="A5077" s="20" t="s">
        <v>26790</v>
      </c>
      <c r="B5077" s="20">
        <v>60</v>
      </c>
      <c r="C5077" s="20">
        <v>60</v>
      </c>
      <c r="D5077" s="20">
        <v>8</v>
      </c>
      <c r="E5077" s="20">
        <v>84</v>
      </c>
      <c r="F5077" s="20" t="s">
        <v>26791</v>
      </c>
      <c r="G5077" s="20" t="s">
        <v>26792</v>
      </c>
      <c r="H5077" s="24"/>
      <c r="I5077" s="24" t="str">
        <f ca="1">IFERROR(__xludf.DUMMYFUNCTION("GOOGLETRANSLATE(F5077,""en"",""pt"")"),"permutadores de calor de tubos submersos")</f>
        <v>permutadores de calor de tubos submersos</v>
      </c>
      <c r="J5077" t="e">
        <f>VLOOKUP(A5077,Pr_Base_LNEC!$A$4:$J$6971,6,FALSE)</f>
        <v>#N/A</v>
      </c>
      <c r="K5077" t="e">
        <f>VLOOKUP(A5077,Pr_Base_LNEC!$A$4:$J$6971,7,FALSE)</f>
        <v>#N/A</v>
      </c>
    </row>
    <row r="5078" spans="1:11" ht="14.5">
      <c r="A5078" s="20" t="s">
        <v>26793</v>
      </c>
      <c r="B5078" s="20">
        <v>60</v>
      </c>
      <c r="C5078" s="20">
        <v>60</v>
      </c>
      <c r="D5078" s="20">
        <v>10</v>
      </c>
      <c r="E5078" s="24"/>
      <c r="F5078" s="20" t="s">
        <v>26794</v>
      </c>
      <c r="G5078" s="24"/>
      <c r="H5078" s="24"/>
      <c r="I5078" s="24" t="str">
        <f ca="1">IFERROR(__xludf.DUMMYFUNCTION("GOOGLETRANSLATE(F5078,""en"",""pt"")"),"queimadores")</f>
        <v>queimadores</v>
      </c>
      <c r="J5078">
        <f>VLOOKUP(A5078,Pr_Base_LNEC!$A$4:$J$6971,6,FALSE)</f>
        <v>0</v>
      </c>
      <c r="K5078">
        <f>VLOOKUP(A5078,Pr_Base_LNEC!$A$4:$J$6971,7,FALSE)</f>
        <v>0</v>
      </c>
    </row>
    <row r="5079" spans="1:11" ht="14.5">
      <c r="A5079" s="20" t="s">
        <v>26795</v>
      </c>
      <c r="B5079" s="20">
        <v>60</v>
      </c>
      <c r="C5079" s="20">
        <v>60</v>
      </c>
      <c r="D5079" s="20">
        <v>10</v>
      </c>
      <c r="E5079" s="20">
        <v>3</v>
      </c>
      <c r="F5079" s="20" t="s">
        <v>26796</v>
      </c>
      <c r="G5079" s="24"/>
      <c r="H5079" s="24"/>
      <c r="I5079" s="24" t="str">
        <f ca="1">IFERROR(__xludf.DUMMYFUNCTION("GOOGLETRANSLATE(F5079,""en"",""pt"")"),"queimadores a gás atmosféricas")</f>
        <v>queimadores a gás atmosféricas</v>
      </c>
      <c r="J5079">
        <f>VLOOKUP(A5079,Pr_Base_LNEC!$A$4:$J$6971,6,FALSE)</f>
        <v>0</v>
      </c>
      <c r="K5079">
        <f>VLOOKUP(A5079,Pr_Base_LNEC!$A$4:$J$6971,7,FALSE)</f>
        <v>0</v>
      </c>
    </row>
    <row r="5080" spans="1:11" ht="14.5">
      <c r="A5080" s="20" t="s">
        <v>26797</v>
      </c>
      <c r="B5080" s="20">
        <v>60</v>
      </c>
      <c r="C5080" s="20">
        <v>60</v>
      </c>
      <c r="D5080" s="20">
        <v>10</v>
      </c>
      <c r="E5080" s="20">
        <v>5</v>
      </c>
      <c r="F5080" s="20" t="s">
        <v>26798</v>
      </c>
      <c r="G5080" s="24"/>
      <c r="H5080" s="24"/>
      <c r="I5080" s="24" t="str">
        <f ca="1">IFERROR(__xludf.DUMMYFUNCTION("GOOGLETRANSLATE(F5080,""en"",""pt"")"),"Atomização queimadores de óleo")</f>
        <v>Atomização queimadores de óleo</v>
      </c>
      <c r="J5080">
        <f>VLOOKUP(A5080,Pr_Base_LNEC!$A$4:$J$6971,6,FALSE)</f>
        <v>0</v>
      </c>
      <c r="K5080">
        <f>VLOOKUP(A5080,Pr_Base_LNEC!$A$4:$J$6971,7,FALSE)</f>
        <v>0</v>
      </c>
    </row>
    <row r="5081" spans="1:11" ht="14.5">
      <c r="A5081" s="20" t="s">
        <v>26799</v>
      </c>
      <c r="B5081" s="20">
        <v>60</v>
      </c>
      <c r="C5081" s="20">
        <v>60</v>
      </c>
      <c r="D5081" s="20">
        <v>10</v>
      </c>
      <c r="E5081" s="20">
        <v>29</v>
      </c>
      <c r="F5081" s="20" t="s">
        <v>26800</v>
      </c>
      <c r="G5081" s="20" t="s">
        <v>26801</v>
      </c>
      <c r="H5081" s="24"/>
      <c r="I5081" s="24" t="str">
        <f ca="1">IFERROR(__xludf.DUMMYFUNCTION("GOOGLETRANSLATE(F5081,""en"",""pt"")"),"tiragem forçada queimadores dupla de combustível")</f>
        <v>tiragem forçada queimadores dupla de combustível</v>
      </c>
      <c r="J5081">
        <f>VLOOKUP(A5081,Pr_Base_LNEC!$A$4:$J$6971,6,FALSE)</f>
        <v>0</v>
      </c>
      <c r="K5081">
        <f>VLOOKUP(A5081,Pr_Base_LNEC!$A$4:$J$6971,7,FALSE)</f>
        <v>0</v>
      </c>
    </row>
    <row r="5082" spans="1:11" ht="14.5">
      <c r="A5082" s="20" t="s">
        <v>26802</v>
      </c>
      <c r="B5082" s="20">
        <v>60</v>
      </c>
      <c r="C5082" s="20">
        <v>60</v>
      </c>
      <c r="D5082" s="20">
        <v>10</v>
      </c>
      <c r="E5082" s="20">
        <v>30</v>
      </c>
      <c r="F5082" s="20" t="s">
        <v>26803</v>
      </c>
      <c r="G5082" s="20" t="s">
        <v>26804</v>
      </c>
      <c r="H5082" s="24"/>
      <c r="I5082" s="24" t="str">
        <f ca="1">IFERROR(__xludf.DUMMYFUNCTION("GOOGLETRANSLATE(F5082,""en"",""pt"")"),"queimadores a gás tiragem forçada")</f>
        <v>queimadores a gás tiragem forçada</v>
      </c>
      <c r="J5082">
        <f>VLOOKUP(A5082,Pr_Base_LNEC!$A$4:$J$6971,6,FALSE)</f>
        <v>0</v>
      </c>
      <c r="K5082">
        <f>VLOOKUP(A5082,Pr_Base_LNEC!$A$4:$J$6971,7,FALSE)</f>
        <v>0</v>
      </c>
    </row>
    <row r="5083" spans="1:11" ht="14.5">
      <c r="A5083" s="20" t="s">
        <v>26805</v>
      </c>
      <c r="B5083" s="20">
        <v>60</v>
      </c>
      <c r="C5083" s="20">
        <v>60</v>
      </c>
      <c r="D5083" s="20">
        <v>10</v>
      </c>
      <c r="E5083" s="20">
        <v>31</v>
      </c>
      <c r="F5083" s="20" t="s">
        <v>26806</v>
      </c>
      <c r="G5083" s="20" t="s">
        <v>26807</v>
      </c>
      <c r="H5083" s="24"/>
      <c r="I5083" s="24" t="str">
        <f ca="1">IFERROR(__xludf.DUMMYFUNCTION("GOOGLETRANSLATE(F5083,""en"",""pt"")"),"queimadores de óleo tiragem forçada")</f>
        <v>queimadores de óleo tiragem forçada</v>
      </c>
      <c r="J5083">
        <f>VLOOKUP(A5083,Pr_Base_LNEC!$A$4:$J$6971,6,FALSE)</f>
        <v>0</v>
      </c>
      <c r="K5083">
        <f>VLOOKUP(A5083,Pr_Base_LNEC!$A$4:$J$6971,7,FALSE)</f>
        <v>0</v>
      </c>
    </row>
    <row r="5084" spans="1:11" ht="14.5">
      <c r="A5084" s="20" t="s">
        <v>26808</v>
      </c>
      <c r="B5084" s="20">
        <v>60</v>
      </c>
      <c r="C5084" s="20">
        <v>60</v>
      </c>
      <c r="D5084" s="20">
        <v>10</v>
      </c>
      <c r="E5084" s="20">
        <v>65</v>
      </c>
      <c r="F5084" s="20" t="s">
        <v>26809</v>
      </c>
      <c r="G5084" s="24"/>
      <c r="H5084" s="24"/>
      <c r="I5084" s="24" t="str">
        <f ca="1">IFERROR(__xludf.DUMMYFUNCTION("GOOGLETRANSLATE(F5084,""en"",""pt"")"),"Pré-misturar queimadores de gás")</f>
        <v>Pré-misturar queimadores de gás</v>
      </c>
      <c r="J5084">
        <f>VLOOKUP(A5084,Pr_Base_LNEC!$A$4:$J$6971,6,FALSE)</f>
        <v>0</v>
      </c>
      <c r="K5084">
        <f>VLOOKUP(A5084,Pr_Base_LNEC!$A$4:$J$6971,7,FALSE)</f>
        <v>0</v>
      </c>
    </row>
    <row r="5085" spans="1:11" ht="14.5">
      <c r="A5085" s="20" t="s">
        <v>26810</v>
      </c>
      <c r="B5085" s="20">
        <v>60</v>
      </c>
      <c r="C5085" s="20">
        <v>60</v>
      </c>
      <c r="D5085" s="20">
        <v>13</v>
      </c>
      <c r="E5085" s="24"/>
      <c r="F5085" s="20" t="s">
        <v>26811</v>
      </c>
      <c r="G5085" s="24"/>
      <c r="H5085" s="24"/>
      <c r="I5085" s="24" t="str">
        <f ca="1">IFERROR(__xludf.DUMMYFUNCTION("GOOGLETRANSLATE(F5085,""en"",""pt"")"),"Chillers e torres de refrigeração")</f>
        <v>Chillers e torres de refrigeração</v>
      </c>
      <c r="J5085">
        <f>VLOOKUP(A5085,Pr_Base_LNEC!$A$4:$J$6971,6,FALSE)</f>
        <v>0</v>
      </c>
      <c r="K5085">
        <f>VLOOKUP(A5085,Pr_Base_LNEC!$A$4:$J$6971,7,FALSE)</f>
        <v>0</v>
      </c>
    </row>
    <row r="5086" spans="1:11" ht="14.5">
      <c r="A5086" s="20" t="s">
        <v>26812</v>
      </c>
      <c r="B5086" s="20">
        <v>60</v>
      </c>
      <c r="C5086" s="20">
        <v>60</v>
      </c>
      <c r="D5086" s="20">
        <v>13</v>
      </c>
      <c r="E5086" s="20">
        <v>1</v>
      </c>
      <c r="F5086" s="20" t="s">
        <v>26813</v>
      </c>
      <c r="G5086" s="24"/>
      <c r="H5086" s="24"/>
      <c r="I5086" s="24" t="str">
        <f ca="1">IFERROR(__xludf.DUMMYFUNCTION("GOOGLETRANSLATE(F5086,""en"",""pt"")"),"chillers de adsorção")</f>
        <v>chillers de adsorção</v>
      </c>
      <c r="J5086">
        <f>VLOOKUP(A5086,Pr_Base_LNEC!$A$4:$J$6971,6,FALSE)</f>
        <v>0</v>
      </c>
      <c r="K5086">
        <f>VLOOKUP(A5086,Pr_Base_LNEC!$A$4:$J$6971,7,FALSE)</f>
        <v>0</v>
      </c>
    </row>
    <row r="5087" spans="1:11" ht="14.5">
      <c r="A5087" s="20" t="s">
        <v>26814</v>
      </c>
      <c r="B5087" s="20">
        <v>60</v>
      </c>
      <c r="C5087" s="20">
        <v>60</v>
      </c>
      <c r="D5087" s="20">
        <v>13</v>
      </c>
      <c r="E5087" s="20">
        <v>2</v>
      </c>
      <c r="F5087" s="20" t="s">
        <v>26815</v>
      </c>
      <c r="G5087" s="24"/>
      <c r="H5087" s="24"/>
      <c r="I5087" s="24" t="str">
        <f ca="1">IFERROR(__xludf.DUMMYFUNCTION("GOOGLETRANSLATE(F5087,""en"",""pt"")"),"chillers adiabáticos")</f>
        <v>chillers adiabáticos</v>
      </c>
      <c r="J5087" t="e">
        <f>VLOOKUP(A5087,Pr_Base_LNEC!$A$4:$J$6971,6,FALSE)</f>
        <v>#N/A</v>
      </c>
      <c r="K5087" t="e">
        <f>VLOOKUP(A5087,Pr_Base_LNEC!$A$4:$J$6971,7,FALSE)</f>
        <v>#N/A</v>
      </c>
    </row>
    <row r="5088" spans="1:11" ht="14.5">
      <c r="A5088" s="20" t="s">
        <v>26816</v>
      </c>
      <c r="B5088" s="20">
        <v>60</v>
      </c>
      <c r="C5088" s="20">
        <v>60</v>
      </c>
      <c r="D5088" s="20">
        <v>13</v>
      </c>
      <c r="E5088" s="20">
        <v>4</v>
      </c>
      <c r="F5088" s="20" t="s">
        <v>26817</v>
      </c>
      <c r="G5088" s="20" t="s">
        <v>26818</v>
      </c>
      <c r="H5088" s="24"/>
      <c r="I5088" s="24" t="str">
        <f ca="1">IFERROR(__xludf.DUMMYFUNCTION("GOOGLETRANSLATE(F5088,""en"",""pt"")"),"Ar arrefecida chillers")</f>
        <v>Ar arrefecida chillers</v>
      </c>
      <c r="J5088">
        <f>VLOOKUP(A5088,Pr_Base_LNEC!$A$4:$J$6971,6,FALSE)</f>
        <v>0</v>
      </c>
      <c r="K5088">
        <f>VLOOKUP(A5088,Pr_Base_LNEC!$A$4:$J$6971,7,FALSE)</f>
        <v>0</v>
      </c>
    </row>
    <row r="5089" spans="1:11" ht="14.5">
      <c r="A5089" s="20" t="s">
        <v>26819</v>
      </c>
      <c r="B5089" s="20">
        <v>60</v>
      </c>
      <c r="C5089" s="20">
        <v>60</v>
      </c>
      <c r="D5089" s="20">
        <v>13</v>
      </c>
      <c r="E5089" s="20">
        <v>14</v>
      </c>
      <c r="F5089" s="20" t="s">
        <v>26820</v>
      </c>
      <c r="G5089" s="20" t="s">
        <v>26821</v>
      </c>
      <c r="H5089" s="24"/>
      <c r="I5089" s="24" t="str">
        <f ca="1">IFERROR(__xludf.DUMMYFUNCTION("GOOGLETRANSLATE(F5089,""en"",""pt"")"),"torres circuito de arrefecimento fechados")</f>
        <v>torres circuito de arrefecimento fechados</v>
      </c>
      <c r="J5089">
        <f>VLOOKUP(A5089,Pr_Base_LNEC!$A$4:$J$6971,6,FALSE)</f>
        <v>0</v>
      </c>
      <c r="K5089">
        <f>VLOOKUP(A5089,Pr_Base_LNEC!$A$4:$J$6971,7,FALSE)</f>
        <v>0</v>
      </c>
    </row>
    <row r="5090" spans="1:11" ht="14.5">
      <c r="A5090" s="20" t="s">
        <v>26822</v>
      </c>
      <c r="B5090" s="20">
        <v>60</v>
      </c>
      <c r="C5090" s="20">
        <v>60</v>
      </c>
      <c r="D5090" s="20">
        <v>13</v>
      </c>
      <c r="E5090" s="20">
        <v>22</v>
      </c>
      <c r="F5090" s="20" t="s">
        <v>26823</v>
      </c>
      <c r="G5090" s="20" t="s">
        <v>26824</v>
      </c>
      <c r="H5090" s="24"/>
      <c r="I5090" s="24" t="str">
        <f ca="1">IFERROR(__xludf.DUMMYFUNCTION("GOOGLETRANSLATE(F5090,""en"",""pt"")"),"Direta disparou absorção resfriadores de líquido")</f>
        <v>Direta disparou absorção resfriadores de líquido</v>
      </c>
      <c r="J5090">
        <f>VLOOKUP(A5090,Pr_Base_LNEC!$A$4:$J$6971,6,FALSE)</f>
        <v>0</v>
      </c>
      <c r="K5090">
        <f>VLOOKUP(A5090,Pr_Base_LNEC!$A$4:$J$6971,7,FALSE)</f>
        <v>0</v>
      </c>
    </row>
    <row r="5091" spans="1:11" ht="14.5">
      <c r="A5091" s="20" t="s">
        <v>26825</v>
      </c>
      <c r="B5091" s="20">
        <v>60</v>
      </c>
      <c r="C5091" s="20">
        <v>60</v>
      </c>
      <c r="D5091" s="20">
        <v>13</v>
      </c>
      <c r="E5091" s="20">
        <v>27</v>
      </c>
      <c r="F5091" s="20" t="s">
        <v>26826</v>
      </c>
      <c r="G5091" s="20" t="s">
        <v>26827</v>
      </c>
      <c r="H5091" s="24"/>
      <c r="I5091" s="24" t="str">
        <f ca="1">IFERROR(__xludf.DUMMYFUNCTION("GOOGLETRANSLATE(F5091,""en"",""pt"")"),"compressores de refrigeração impulsionado elétricos")</f>
        <v>compressores de refrigeração impulsionado elétricos</v>
      </c>
      <c r="J5091">
        <f>VLOOKUP(A5091,Pr_Base_LNEC!$A$4:$J$6971,6,FALSE)</f>
        <v>0</v>
      </c>
      <c r="K5091">
        <f>VLOOKUP(A5091,Pr_Base_LNEC!$A$4:$J$6971,7,FALSE)</f>
        <v>0</v>
      </c>
    </row>
    <row r="5092" spans="1:11" ht="14.5">
      <c r="A5092" s="20" t="s">
        <v>26828</v>
      </c>
      <c r="B5092" s="20">
        <v>60</v>
      </c>
      <c r="C5092" s="20">
        <v>60</v>
      </c>
      <c r="D5092" s="20">
        <v>13</v>
      </c>
      <c r="E5092" s="20">
        <v>33</v>
      </c>
      <c r="F5092" s="20" t="s">
        <v>26829</v>
      </c>
      <c r="G5092" s="20" t="s">
        <v>26830</v>
      </c>
      <c r="H5092" s="24"/>
      <c r="I5092" s="24" t="str">
        <f ca="1">IFERROR(__xludf.DUMMYFUNCTION("GOOGLETRANSLATE(F5092,""en"",""pt"")"),"motores a gás impulsionado compressores de refrigeração")</f>
        <v>motores a gás impulsionado compressores de refrigeração</v>
      </c>
      <c r="J5092">
        <f>VLOOKUP(A5092,Pr_Base_LNEC!$A$4:$J$6971,6,FALSE)</f>
        <v>0</v>
      </c>
      <c r="K5092">
        <f>VLOOKUP(A5092,Pr_Base_LNEC!$A$4:$J$6971,7,FALSE)</f>
        <v>0</v>
      </c>
    </row>
    <row r="5093" spans="1:11" ht="14.5">
      <c r="A5093" s="20" t="s">
        <v>26831</v>
      </c>
      <c r="B5093" s="20">
        <v>60</v>
      </c>
      <c r="C5093" s="20">
        <v>60</v>
      </c>
      <c r="D5093" s="20">
        <v>13</v>
      </c>
      <c r="E5093" s="20">
        <v>38</v>
      </c>
      <c r="F5093" s="20" t="s">
        <v>26832</v>
      </c>
      <c r="G5093" s="20" t="s">
        <v>26833</v>
      </c>
      <c r="H5093" s="24"/>
      <c r="I5093" s="24" t="str">
        <f ca="1">IFERROR(__xludf.DUMMYFUNCTION("GOOGLETRANSLATE(F5093,""en"",""pt"")"),"água quente alimentadas absorção resfriadores de líquido")</f>
        <v>água quente alimentadas absorção resfriadores de líquido</v>
      </c>
      <c r="J5093">
        <f>VLOOKUP(A5093,Pr_Base_LNEC!$A$4:$J$6971,6,FALSE)</f>
        <v>0</v>
      </c>
      <c r="K5093">
        <f>VLOOKUP(A5093,Pr_Base_LNEC!$A$4:$J$6971,7,FALSE)</f>
        <v>0</v>
      </c>
    </row>
    <row r="5094" spans="1:11" ht="14.5">
      <c r="A5094" s="20" t="s">
        <v>26834</v>
      </c>
      <c r="B5094" s="20">
        <v>60</v>
      </c>
      <c r="C5094" s="20">
        <v>60</v>
      </c>
      <c r="D5094" s="20">
        <v>13</v>
      </c>
      <c r="E5094" s="20">
        <v>59</v>
      </c>
      <c r="F5094" s="20" t="s">
        <v>26835</v>
      </c>
      <c r="G5094" s="20" t="s">
        <v>26836</v>
      </c>
      <c r="H5094" s="24"/>
      <c r="I5094" s="24" t="str">
        <f ca="1">IFERROR(__xludf.DUMMYFUNCTION("GOOGLETRANSLATE(F5094,""en"",""pt"")"),"Abrir circuito torres de refrigeração")</f>
        <v>Abrir circuito torres de refrigeração</v>
      </c>
      <c r="J5094">
        <f>VLOOKUP(A5094,Pr_Base_LNEC!$A$4:$J$6971,6,FALSE)</f>
        <v>0</v>
      </c>
      <c r="K5094">
        <f>VLOOKUP(A5094,Pr_Base_LNEC!$A$4:$J$6971,7,FALSE)</f>
        <v>0</v>
      </c>
    </row>
    <row r="5095" spans="1:11" ht="14.5">
      <c r="A5095" s="20" t="s">
        <v>26837</v>
      </c>
      <c r="B5095" s="20">
        <v>60</v>
      </c>
      <c r="C5095" s="20">
        <v>60</v>
      </c>
      <c r="D5095" s="20">
        <v>13</v>
      </c>
      <c r="E5095" s="20">
        <v>84</v>
      </c>
      <c r="F5095" s="20" t="s">
        <v>26838</v>
      </c>
      <c r="G5095" s="20" t="s">
        <v>26839</v>
      </c>
      <c r="H5095" s="24"/>
      <c r="I5095" s="24" t="str">
        <f ca="1">IFERROR(__xludf.DUMMYFUNCTION("GOOGLETRANSLATE(F5095,""en"",""pt"")"),"Vapor disparado absorção chillers")</f>
        <v>Vapor disparado absorção chillers</v>
      </c>
      <c r="J5095">
        <f>VLOOKUP(A5095,Pr_Base_LNEC!$A$4:$J$6971,6,FALSE)</f>
        <v>0</v>
      </c>
      <c r="K5095">
        <f>VLOOKUP(A5095,Pr_Base_LNEC!$A$4:$J$6971,7,FALSE)</f>
        <v>0</v>
      </c>
    </row>
    <row r="5096" spans="1:11" ht="14.5">
      <c r="A5096" s="20" t="s">
        <v>26840</v>
      </c>
      <c r="B5096" s="20">
        <v>60</v>
      </c>
      <c r="C5096" s="20">
        <v>60</v>
      </c>
      <c r="D5096" s="20">
        <v>13</v>
      </c>
      <c r="E5096" s="20">
        <v>96</v>
      </c>
      <c r="F5096" s="20" t="s">
        <v>26841</v>
      </c>
      <c r="G5096" s="20" t="s">
        <v>26842</v>
      </c>
      <c r="H5096" s="24"/>
      <c r="I5096" s="24" t="str">
        <f ca="1">IFERROR(__xludf.DUMMYFUNCTION("GOOGLETRANSLATE(F5096,""en"",""pt"")"),"Água arrefecida chillers")</f>
        <v>Água arrefecida chillers</v>
      </c>
      <c r="J5096">
        <f>VLOOKUP(A5096,Pr_Base_LNEC!$A$4:$J$6971,6,FALSE)</f>
        <v>0</v>
      </c>
      <c r="K5096">
        <f>VLOOKUP(A5096,Pr_Base_LNEC!$A$4:$J$6971,7,FALSE)</f>
        <v>0</v>
      </c>
    </row>
    <row r="5097" spans="1:11" ht="14.5">
      <c r="A5097" s="20" t="s">
        <v>26843</v>
      </c>
      <c r="B5097" s="20">
        <v>60</v>
      </c>
      <c r="C5097" s="20">
        <v>60</v>
      </c>
      <c r="D5097" s="20">
        <v>36</v>
      </c>
      <c r="E5097" s="24"/>
      <c r="F5097" s="20" t="s">
        <v>26844</v>
      </c>
      <c r="G5097" s="24"/>
      <c r="H5097" s="24"/>
      <c r="I5097" s="24" t="str">
        <f ca="1">IFERROR(__xludf.DUMMYFUNCTION("GOOGLETRANSLATE(F5097,""en"",""pt"")"),"equipamento de distribuição de recuperação de calor")</f>
        <v>equipamento de distribuição de recuperação de calor</v>
      </c>
      <c r="J5097">
        <f>VLOOKUP(A5097,Pr_Base_LNEC!$A$4:$J$6971,6,FALSE)</f>
        <v>0</v>
      </c>
      <c r="K5097">
        <f>VLOOKUP(A5097,Pr_Base_LNEC!$A$4:$J$6971,7,FALSE)</f>
        <v>0</v>
      </c>
    </row>
    <row r="5098" spans="1:11" ht="14.5">
      <c r="A5098" s="20" t="s">
        <v>26845</v>
      </c>
      <c r="B5098" s="20">
        <v>60</v>
      </c>
      <c r="C5098" s="20">
        <v>60</v>
      </c>
      <c r="D5098" s="20">
        <v>36</v>
      </c>
      <c r="E5098" s="20">
        <v>26</v>
      </c>
      <c r="F5098" s="20" t="s">
        <v>26846</v>
      </c>
      <c r="G5098" s="24"/>
      <c r="H5098" s="24"/>
      <c r="I5098" s="24" t="str">
        <f ca="1">IFERROR(__xludf.DUMMYFUNCTION("GOOGLETRANSLATE(F5098,""en"",""pt"")"),"economizadores")</f>
        <v>economizadores</v>
      </c>
      <c r="J5098">
        <f>VLOOKUP(A5098,Pr_Base_LNEC!$A$4:$J$6971,6,FALSE)</f>
        <v>0</v>
      </c>
      <c r="K5098">
        <f>VLOOKUP(A5098,Pr_Base_LNEC!$A$4:$J$6971,7,FALSE)</f>
        <v>0</v>
      </c>
    </row>
    <row r="5099" spans="1:11" ht="14.5">
      <c r="A5099" s="20" t="s">
        <v>26847</v>
      </c>
      <c r="B5099" s="20">
        <v>60</v>
      </c>
      <c r="C5099" s="20">
        <v>60</v>
      </c>
      <c r="D5099" s="20">
        <v>36</v>
      </c>
      <c r="E5099" s="20">
        <v>36</v>
      </c>
      <c r="F5099" s="20" t="s">
        <v>26848</v>
      </c>
      <c r="G5099" s="20" t="s">
        <v>26849</v>
      </c>
      <c r="H5099" s="24"/>
      <c r="I5099" s="24" t="str">
        <f ca="1">IFERROR(__xludf.DUMMYFUNCTION("GOOGLETRANSLATE(F5099,""en"",""pt"")"),"tubos de calor")</f>
        <v>tubos de calor</v>
      </c>
      <c r="J5099">
        <f>VLOOKUP(A5099,Pr_Base_LNEC!$A$4:$J$6971,6,FALSE)</f>
        <v>0</v>
      </c>
      <c r="K5099">
        <f>VLOOKUP(A5099,Pr_Base_LNEC!$A$4:$J$6971,7,FALSE)</f>
        <v>0</v>
      </c>
    </row>
    <row r="5100" spans="1:11" ht="14.5">
      <c r="A5100" s="20" t="s">
        <v>26850</v>
      </c>
      <c r="B5100" s="20">
        <v>60</v>
      </c>
      <c r="C5100" s="20">
        <v>60</v>
      </c>
      <c r="D5100" s="20">
        <v>36</v>
      </c>
      <c r="E5100" s="20">
        <v>60</v>
      </c>
      <c r="F5100" s="20" t="s">
        <v>26851</v>
      </c>
      <c r="G5100" s="20" t="s">
        <v>26852</v>
      </c>
      <c r="H5100" s="24"/>
      <c r="I5100" s="24" t="str">
        <f ca="1">IFERROR(__xludf.DUMMYFUNCTION("GOOGLETRANSLATE(F5100,""en"",""pt"")"),"permutadores de calor passivo")</f>
        <v>permutadores de calor passivo</v>
      </c>
      <c r="J5100">
        <f>VLOOKUP(A5100,Pr_Base_LNEC!$A$4:$J$6971,6,FALSE)</f>
        <v>0</v>
      </c>
      <c r="K5100">
        <f>VLOOKUP(A5100,Pr_Base_LNEC!$A$4:$J$6971,7,FALSE)</f>
        <v>0</v>
      </c>
    </row>
    <row r="5101" spans="1:11" ht="14.5">
      <c r="A5101" s="20" t="s">
        <v>26853</v>
      </c>
      <c r="B5101" s="20">
        <v>60</v>
      </c>
      <c r="C5101" s="20">
        <v>60</v>
      </c>
      <c r="D5101" s="20">
        <v>36</v>
      </c>
      <c r="E5101" s="20">
        <v>62</v>
      </c>
      <c r="F5101" s="20" t="s">
        <v>26854</v>
      </c>
      <c r="G5101" s="20" t="s">
        <v>26855</v>
      </c>
      <c r="H5101" s="24"/>
      <c r="I5101" s="24" t="str">
        <f ca="1">IFERROR(__xludf.DUMMYFUNCTION("GOOGLETRANSLATE(F5101,""en"",""pt"")"),"recuperadores de placa")</f>
        <v>recuperadores de placa</v>
      </c>
      <c r="J5101">
        <f>VLOOKUP(A5101,Pr_Base_LNEC!$A$4:$J$6971,6,FALSE)</f>
        <v>0</v>
      </c>
      <c r="K5101">
        <f>VLOOKUP(A5101,Pr_Base_LNEC!$A$4:$J$6971,7,FALSE)</f>
        <v>0</v>
      </c>
    </row>
    <row r="5102" spans="1:11" ht="14.5">
      <c r="A5102" s="20" t="s">
        <v>26856</v>
      </c>
      <c r="B5102" s="20">
        <v>60</v>
      </c>
      <c r="C5102" s="20">
        <v>60</v>
      </c>
      <c r="D5102" s="20">
        <v>36</v>
      </c>
      <c r="E5102" s="20">
        <v>72</v>
      </c>
      <c r="F5102" s="20" t="s">
        <v>26857</v>
      </c>
      <c r="G5102" s="20" t="s">
        <v>26858</v>
      </c>
      <c r="H5102" s="24"/>
      <c r="I5102" s="24" t="str">
        <f ca="1">IFERROR(__xludf.DUMMYFUNCTION("GOOGLETRANSLATE(F5102,""en"",""pt"")"),"regeneradores")</f>
        <v>regeneradores</v>
      </c>
      <c r="J5102">
        <f>VLOOKUP(A5102,Pr_Base_LNEC!$A$4:$J$6971,6,FALSE)</f>
        <v>0</v>
      </c>
      <c r="K5102">
        <f>VLOOKUP(A5102,Pr_Base_LNEC!$A$4:$J$6971,7,FALSE)</f>
        <v>0</v>
      </c>
    </row>
    <row r="5103" spans="1:11" ht="14.5">
      <c r="A5103" s="20" t="s">
        <v>26859</v>
      </c>
      <c r="B5103" s="20">
        <v>60</v>
      </c>
      <c r="C5103" s="20">
        <v>60</v>
      </c>
      <c r="D5103" s="20">
        <v>36</v>
      </c>
      <c r="E5103" s="20">
        <v>74</v>
      </c>
      <c r="F5103" s="20" t="s">
        <v>26860</v>
      </c>
      <c r="G5103" s="20" t="s">
        <v>26861</v>
      </c>
      <c r="H5103" s="24"/>
      <c r="I5103" s="24" t="str">
        <f ca="1">IFERROR(__xludf.DUMMYFUNCTION("GOOGLETRANSLATE(F5103,""en"",""pt"")"),"Execute-around bobinas")</f>
        <v>Execute-around bobinas</v>
      </c>
      <c r="J5103">
        <f>VLOOKUP(A5103,Pr_Base_LNEC!$A$4:$J$6971,6,FALSE)</f>
        <v>0</v>
      </c>
      <c r="K5103">
        <f>VLOOKUP(A5103,Pr_Base_LNEC!$A$4:$J$6971,7,FALSE)</f>
        <v>0</v>
      </c>
    </row>
    <row r="5104" spans="1:11" ht="14.5">
      <c r="A5104" s="20" t="s">
        <v>26862</v>
      </c>
      <c r="B5104" s="20">
        <v>60</v>
      </c>
      <c r="C5104" s="20">
        <v>60</v>
      </c>
      <c r="D5104" s="20">
        <v>36</v>
      </c>
      <c r="E5104" s="20">
        <v>88</v>
      </c>
      <c r="F5104" s="20" t="s">
        <v>26863</v>
      </c>
      <c r="G5104" s="20" t="s">
        <v>26864</v>
      </c>
      <c r="H5104" s="24"/>
      <c r="I5104" s="24" t="str">
        <f ca="1">IFERROR(__xludf.DUMMYFUNCTION("GOOGLETRANSLATE(F5104,""en"",""pt"")"),"rodas térmicas")</f>
        <v>rodas térmicas</v>
      </c>
      <c r="J5104">
        <f>VLOOKUP(A5104,Pr_Base_LNEC!$A$4:$J$6971,6,FALSE)</f>
        <v>0</v>
      </c>
      <c r="K5104">
        <f>VLOOKUP(A5104,Pr_Base_LNEC!$A$4:$J$6971,7,FALSE)</f>
        <v>0</v>
      </c>
    </row>
    <row r="5105" spans="1:11" ht="14.5">
      <c r="A5105" s="20" t="s">
        <v>26865</v>
      </c>
      <c r="B5105" s="20">
        <v>60</v>
      </c>
      <c r="C5105" s="20">
        <v>60</v>
      </c>
      <c r="D5105" s="20">
        <v>38</v>
      </c>
      <c r="E5105" s="24"/>
      <c r="F5105" s="20" t="s">
        <v>26866</v>
      </c>
      <c r="G5105" s="24"/>
      <c r="H5105" s="24"/>
      <c r="I5105" s="24" t="str">
        <f ca="1">IFERROR(__xludf.DUMMYFUNCTION("GOOGLETRANSLATE(F5105,""en"",""pt"")"),"Calorifiers e permutadores de calor de placas")</f>
        <v>Calorifiers e permutadores de calor de placas</v>
      </c>
      <c r="J5105">
        <f>VLOOKUP(A5105,Pr_Base_LNEC!$A$4:$J$6971,6,FALSE)</f>
        <v>0</v>
      </c>
      <c r="K5105">
        <f>VLOOKUP(A5105,Pr_Base_LNEC!$A$4:$J$6971,7,FALSE)</f>
        <v>0</v>
      </c>
    </row>
    <row r="5106" spans="1:11" ht="14.5">
      <c r="A5106" s="20" t="s">
        <v>26867</v>
      </c>
      <c r="B5106" s="20">
        <v>60</v>
      </c>
      <c r="C5106" s="20">
        <v>60</v>
      </c>
      <c r="D5106" s="20">
        <v>38</v>
      </c>
      <c r="E5106" s="20">
        <v>36</v>
      </c>
      <c r="F5106" s="20" t="s">
        <v>26868</v>
      </c>
      <c r="G5106" s="20" t="s">
        <v>26869</v>
      </c>
      <c r="H5106" s="24"/>
      <c r="I5106" s="24" t="str">
        <f ca="1">IFERROR(__xludf.DUMMYFUNCTION("GOOGLETRANSLATE(F5106,""en"",""pt"")"),"unidades de interface de calor")</f>
        <v>unidades de interface de calor</v>
      </c>
      <c r="J5106">
        <f>VLOOKUP(A5106,Pr_Base_LNEC!$A$4:$J$6971,6,FALSE)</f>
        <v>0</v>
      </c>
      <c r="K5106">
        <f>VLOOKUP(A5106,Pr_Base_LNEC!$A$4:$J$6971,7,FALSE)</f>
        <v>0</v>
      </c>
    </row>
    <row r="5107" spans="1:11" ht="14.5">
      <c r="A5107" s="20" t="s">
        <v>26870</v>
      </c>
      <c r="B5107" s="20">
        <v>60</v>
      </c>
      <c r="C5107" s="20">
        <v>60</v>
      </c>
      <c r="D5107" s="20">
        <v>38</v>
      </c>
      <c r="E5107" s="20">
        <v>38</v>
      </c>
      <c r="F5107" s="20" t="s">
        <v>26871</v>
      </c>
      <c r="G5107" s="20" t="s">
        <v>26872</v>
      </c>
      <c r="H5107" s="24"/>
      <c r="I5107" s="24" t="str">
        <f ca="1">IFERROR(__xludf.DUMMYFUNCTION("GOOGLETRANSLATE(F5107,""en"",""pt"")"),"calorifiers não de armazenamento de água quente")</f>
        <v>calorifiers não de armazenamento de água quente</v>
      </c>
      <c r="J5107">
        <f>VLOOKUP(A5107,Pr_Base_LNEC!$A$4:$J$6971,6,FALSE)</f>
        <v>0</v>
      </c>
      <c r="K5107">
        <f>VLOOKUP(A5107,Pr_Base_LNEC!$A$4:$J$6971,7,FALSE)</f>
        <v>0</v>
      </c>
    </row>
    <row r="5108" spans="1:11" ht="14.5">
      <c r="A5108" s="20" t="s">
        <v>26873</v>
      </c>
      <c r="B5108" s="20">
        <v>60</v>
      </c>
      <c r="C5108" s="20">
        <v>60</v>
      </c>
      <c r="D5108" s="20">
        <v>38</v>
      </c>
      <c r="E5108" s="20">
        <v>42</v>
      </c>
      <c r="F5108" s="20" t="s">
        <v>26874</v>
      </c>
      <c r="G5108" s="20" t="s">
        <v>26875</v>
      </c>
      <c r="H5108" s="24"/>
      <c r="I5108" s="24" t="str">
        <f ca="1">IFERROR(__xludf.DUMMYFUNCTION("GOOGLETRANSLATE(F5108,""en"",""pt"")"),"permutadores de calor de placa instantânea")</f>
        <v>permutadores de calor de placa instantânea</v>
      </c>
      <c r="J5108">
        <f>VLOOKUP(A5108,Pr_Base_LNEC!$A$4:$J$6971,6,FALSE)</f>
        <v>0</v>
      </c>
      <c r="K5108">
        <f>VLOOKUP(A5108,Pr_Base_LNEC!$A$4:$J$6971,7,FALSE)</f>
        <v>0</v>
      </c>
    </row>
    <row r="5109" spans="1:11" ht="14.5">
      <c r="A5109" s="20" t="s">
        <v>26876</v>
      </c>
      <c r="B5109" s="20">
        <v>60</v>
      </c>
      <c r="C5109" s="20">
        <v>60</v>
      </c>
      <c r="D5109" s="20">
        <v>38</v>
      </c>
      <c r="E5109" s="20">
        <v>62</v>
      </c>
      <c r="F5109" s="20" t="s">
        <v>26877</v>
      </c>
      <c r="G5109" s="20" t="s">
        <v>26878</v>
      </c>
      <c r="H5109" s="24"/>
      <c r="I5109" s="24" t="str">
        <f ca="1">IFERROR(__xludf.DUMMYFUNCTION("GOOGLETRANSLATE(F5109,""en"",""pt"")"),"permutadores de calor de placas")</f>
        <v>permutadores de calor de placas</v>
      </c>
      <c r="J5109">
        <f>VLOOKUP(A5109,Pr_Base_LNEC!$A$4:$J$6971,6,FALSE)</f>
        <v>0</v>
      </c>
      <c r="K5109">
        <f>VLOOKUP(A5109,Pr_Base_LNEC!$A$4:$J$6971,7,FALSE)</f>
        <v>0</v>
      </c>
    </row>
    <row r="5110" spans="1:11" ht="14.5">
      <c r="A5110" s="20" t="s">
        <v>26879</v>
      </c>
      <c r="B5110" s="20">
        <v>60</v>
      </c>
      <c r="C5110" s="20">
        <v>60</v>
      </c>
      <c r="D5110" s="20">
        <v>38</v>
      </c>
      <c r="E5110" s="20">
        <v>84</v>
      </c>
      <c r="F5110" s="20" t="s">
        <v>26880</v>
      </c>
      <c r="G5110" s="20" t="s">
        <v>26881</v>
      </c>
      <c r="H5110" s="24"/>
      <c r="I5110" s="24" t="str">
        <f ca="1">IFERROR(__xludf.DUMMYFUNCTION("GOOGLETRANSLATE(F5110,""en"",""pt"")"),"Vapor para calorifiers de não armazenamento de água")</f>
        <v>Vapor para calorifiers de não armazenamento de água</v>
      </c>
      <c r="J5110">
        <f>VLOOKUP(A5110,Pr_Base_LNEC!$A$4:$J$6971,6,FALSE)</f>
        <v>0</v>
      </c>
      <c r="K5110">
        <f>VLOOKUP(A5110,Pr_Base_LNEC!$A$4:$J$6971,7,FALSE)</f>
        <v>0</v>
      </c>
    </row>
    <row r="5111" spans="1:11" ht="14.5">
      <c r="A5111" s="20" t="s">
        <v>26882</v>
      </c>
      <c r="B5111" s="20">
        <v>60</v>
      </c>
      <c r="C5111" s="20">
        <v>60</v>
      </c>
      <c r="D5111" s="20">
        <v>38</v>
      </c>
      <c r="E5111" s="20">
        <v>85</v>
      </c>
      <c r="F5111" s="20" t="s">
        <v>26883</v>
      </c>
      <c r="G5111" s="24"/>
      <c r="H5111" s="24"/>
      <c r="I5111" s="24" t="str">
        <f ca="1">IFERROR(__xludf.DUMMYFUNCTION("GOOGLETRANSLATE(F5111,""en"",""pt"")"),"calorifiers armazenamento")</f>
        <v>calorifiers armazenamento</v>
      </c>
      <c r="J5111">
        <f>VLOOKUP(A5111,Pr_Base_LNEC!$A$4:$J$6971,6,FALSE)</f>
        <v>0</v>
      </c>
      <c r="K5111">
        <f>VLOOKUP(A5111,Pr_Base_LNEC!$A$4:$J$6971,7,FALSE)</f>
        <v>0</v>
      </c>
    </row>
    <row r="5112" spans="1:11" ht="14.5">
      <c r="A5112" s="20" t="s">
        <v>26884</v>
      </c>
      <c r="B5112" s="20">
        <v>60</v>
      </c>
      <c r="C5112" s="20">
        <v>60</v>
      </c>
      <c r="D5112" s="20">
        <v>81</v>
      </c>
      <c r="E5112" s="24"/>
      <c r="F5112" s="20" t="s">
        <v>26885</v>
      </c>
      <c r="G5112" s="24"/>
      <c r="H5112" s="24"/>
      <c r="I5112" s="24" t="str">
        <f ca="1">IFERROR(__xludf.DUMMYFUNCTION("GOOGLETRANSLATE(F5112,""en"",""pt"")"),"coletores solares")</f>
        <v>coletores solares</v>
      </c>
      <c r="J5112">
        <f>VLOOKUP(A5112,Pr_Base_LNEC!$A$4:$J$6971,6,FALSE)</f>
        <v>0</v>
      </c>
      <c r="K5112">
        <f>VLOOKUP(A5112,Pr_Base_LNEC!$A$4:$J$6971,7,FALSE)</f>
        <v>0</v>
      </c>
    </row>
    <row r="5113" spans="1:11" ht="14.5">
      <c r="A5113" s="20" t="s">
        <v>26886</v>
      </c>
      <c r="B5113" s="20">
        <v>60</v>
      </c>
      <c r="C5113" s="20">
        <v>60</v>
      </c>
      <c r="D5113" s="20">
        <v>81</v>
      </c>
      <c r="E5113" s="20">
        <v>26</v>
      </c>
      <c r="F5113" s="20" t="s">
        <v>26887</v>
      </c>
      <c r="G5113" s="20" t="s">
        <v>26888</v>
      </c>
      <c r="H5113" s="24"/>
      <c r="I5113" s="24" t="str">
        <f ca="1">IFERROR(__xludf.DUMMYFUNCTION("GOOGLETRANSLATE(F5113,""en"",""pt"")"),"coletores solares tubo evacuado")</f>
        <v>coletores solares tubo evacuado</v>
      </c>
      <c r="J5113">
        <f>VLOOKUP(A5113,Pr_Base_LNEC!$A$4:$J$6971,6,FALSE)</f>
        <v>0</v>
      </c>
      <c r="K5113">
        <f>VLOOKUP(A5113,Pr_Base_LNEC!$A$4:$J$6971,7,FALSE)</f>
        <v>0</v>
      </c>
    </row>
    <row r="5114" spans="1:11" ht="14.5">
      <c r="A5114" s="20" t="s">
        <v>26889</v>
      </c>
      <c r="B5114" s="20">
        <v>60</v>
      </c>
      <c r="C5114" s="20">
        <v>60</v>
      </c>
      <c r="D5114" s="20">
        <v>81</v>
      </c>
      <c r="E5114" s="20">
        <v>30</v>
      </c>
      <c r="F5114" s="20" t="s">
        <v>26890</v>
      </c>
      <c r="G5114" s="20" t="s">
        <v>26891</v>
      </c>
      <c r="H5114" s="24"/>
      <c r="I5114" s="24" t="str">
        <f ca="1">IFERROR(__xludf.DUMMYFUNCTION("GOOGLETRANSLATE(F5114,""en"",""pt"")"),"coletores solares de placa lisa")</f>
        <v>coletores solares de placa lisa</v>
      </c>
      <c r="J5114">
        <f>VLOOKUP(A5114,Pr_Base_LNEC!$A$4:$J$6971,6,FALSE)</f>
        <v>0</v>
      </c>
      <c r="K5114">
        <f>VLOOKUP(A5114,Pr_Base_LNEC!$A$4:$J$6971,7,FALSE)</f>
        <v>0</v>
      </c>
    </row>
    <row r="5115" spans="1:11" ht="14.5">
      <c r="A5115" s="20" t="s">
        <v>26892</v>
      </c>
      <c r="B5115" s="20">
        <v>60</v>
      </c>
      <c r="C5115" s="20">
        <v>60</v>
      </c>
      <c r="D5115" s="20">
        <v>81</v>
      </c>
      <c r="E5115" s="20">
        <v>80</v>
      </c>
      <c r="F5115" s="20" t="s">
        <v>26893</v>
      </c>
      <c r="G5115" s="24"/>
      <c r="H5115" s="24"/>
      <c r="I5115" s="24" t="str">
        <f ca="1">IFERROR(__xludf.DUMMYFUNCTION("GOOGLETRANSLATE(F5115,""en"",""pt"")"),"lojas de calor solar")</f>
        <v>lojas de calor solar</v>
      </c>
      <c r="J5115">
        <f>VLOOKUP(A5115,Pr_Base_LNEC!$A$4:$J$6971,6,FALSE)</f>
        <v>0</v>
      </c>
      <c r="K5115">
        <f>VLOOKUP(A5115,Pr_Base_LNEC!$A$4:$J$6971,7,FALSE)</f>
        <v>0</v>
      </c>
    </row>
    <row r="5116" spans="1:11" ht="14.5">
      <c r="A5116" s="20" t="s">
        <v>26894</v>
      </c>
      <c r="B5116" s="20">
        <v>60</v>
      </c>
      <c r="C5116" s="20">
        <v>60</v>
      </c>
      <c r="D5116" s="20">
        <v>81</v>
      </c>
      <c r="E5116" s="20">
        <v>81</v>
      </c>
      <c r="F5116" s="20" t="s">
        <v>26895</v>
      </c>
      <c r="G5116" s="20" t="s">
        <v>26896</v>
      </c>
      <c r="H5116" s="24"/>
      <c r="I5116" s="24" t="str">
        <f ca="1">IFERROR(__xludf.DUMMYFUNCTION("GOOGLETRANSLATE(F5116,""en"",""pt"")"),"seguidores solares")</f>
        <v>seguidores solares</v>
      </c>
      <c r="J5116">
        <f>VLOOKUP(A5116,Pr_Base_LNEC!$A$4:$J$6971,6,FALSE)</f>
        <v>0</v>
      </c>
      <c r="K5116">
        <f>VLOOKUP(A5116,Pr_Base_LNEC!$A$4:$J$6971,7,FALSE)</f>
        <v>0</v>
      </c>
    </row>
    <row r="5117" spans="1:11" ht="14.5">
      <c r="A5117" s="20" t="s">
        <v>26897</v>
      </c>
      <c r="B5117" s="20">
        <v>60</v>
      </c>
      <c r="C5117" s="20">
        <v>60</v>
      </c>
      <c r="D5117" s="20">
        <v>83</v>
      </c>
      <c r="E5117" s="24"/>
      <c r="F5117" s="20" t="s">
        <v>26898</v>
      </c>
      <c r="G5117" s="24"/>
      <c r="H5117" s="24"/>
      <c r="I5117" s="24" t="str">
        <f ca="1">IFERROR(__xludf.DUMMYFUNCTION("GOOGLETRANSLATE(F5117,""en"",""pt"")"),"equipamento de combustível e manuseio de resíduos sólidos")</f>
        <v>equipamento de combustível e manuseio de resíduos sólidos</v>
      </c>
      <c r="J5117">
        <f>VLOOKUP(A5117,Pr_Base_LNEC!$A$4:$J$6971,6,FALSE)</f>
        <v>0</v>
      </c>
      <c r="K5117">
        <f>VLOOKUP(A5117,Pr_Base_LNEC!$A$4:$J$6971,7,FALSE)</f>
        <v>0</v>
      </c>
    </row>
    <row r="5118" spans="1:11" ht="14.5">
      <c r="A5118" s="20" t="s">
        <v>26899</v>
      </c>
      <c r="B5118" s="20">
        <v>60</v>
      </c>
      <c r="C5118" s="20">
        <v>60</v>
      </c>
      <c r="D5118" s="20">
        <v>83</v>
      </c>
      <c r="E5118" s="20">
        <v>5</v>
      </c>
      <c r="F5118" s="20" t="s">
        <v>26900</v>
      </c>
      <c r="G5118" s="20" t="s">
        <v>26901</v>
      </c>
      <c r="H5118" s="24"/>
      <c r="I5118" s="24" t="str">
        <f ca="1">IFERROR(__xludf.DUMMYFUNCTION("GOOGLETRANSLATE(F5118,""en"",""pt"")"),"Ash manuseamento")</f>
        <v>Ash manuseamento</v>
      </c>
      <c r="J5118">
        <f>VLOOKUP(A5118,Pr_Base_LNEC!$A$4:$J$6971,6,FALSE)</f>
        <v>0</v>
      </c>
      <c r="K5118">
        <f>VLOOKUP(A5118,Pr_Base_LNEC!$A$4:$J$6971,7,FALSE)</f>
        <v>0</v>
      </c>
    </row>
    <row r="5119" spans="1:11" ht="14.5">
      <c r="A5119" s="20" t="s">
        <v>26902</v>
      </c>
      <c r="B5119" s="20">
        <v>60</v>
      </c>
      <c r="C5119" s="20">
        <v>60</v>
      </c>
      <c r="D5119" s="20">
        <v>83</v>
      </c>
      <c r="E5119" s="20">
        <v>81</v>
      </c>
      <c r="F5119" s="20" t="s">
        <v>26903</v>
      </c>
      <c r="G5119" s="20" t="s">
        <v>26904</v>
      </c>
      <c r="H5119" s="24"/>
      <c r="I5119" s="24" t="str">
        <f ca="1">IFERROR(__xludf.DUMMYFUNCTION("GOOGLETRANSLATE(F5119,""en"",""pt"")"),"equipamentos de manuseio de combustível sólido")</f>
        <v>equipamentos de manuseio de combustível sólido</v>
      </c>
      <c r="J5119">
        <f>VLOOKUP(A5119,Pr_Base_LNEC!$A$4:$J$6971,6,FALSE)</f>
        <v>0</v>
      </c>
      <c r="K5119">
        <f>VLOOKUP(A5119,Pr_Base_LNEC!$A$4:$J$6971,7,FALSE)</f>
        <v>0</v>
      </c>
    </row>
    <row r="5120" spans="1:11" ht="14.5">
      <c r="A5120" s="20" t="s">
        <v>26905</v>
      </c>
      <c r="B5120" s="20">
        <v>60</v>
      </c>
      <c r="C5120" s="20">
        <v>60</v>
      </c>
      <c r="D5120" s="20">
        <v>84</v>
      </c>
      <c r="E5120" s="24"/>
      <c r="F5120" s="20" t="s">
        <v>26906</v>
      </c>
      <c r="G5120" s="24"/>
      <c r="H5120" s="24"/>
      <c r="I5120" s="24" t="str">
        <f ca="1">IFERROR(__xludf.DUMMYFUNCTION("GOOGLETRANSLATE(F5120,""en"",""pt"")"),"geradores de vapor")</f>
        <v>geradores de vapor</v>
      </c>
      <c r="J5120">
        <f>VLOOKUP(A5120,Pr_Base_LNEC!$A$4:$J$6971,6,FALSE)</f>
        <v>0</v>
      </c>
      <c r="K5120">
        <f>VLOOKUP(A5120,Pr_Base_LNEC!$A$4:$J$6971,7,FALSE)</f>
        <v>0</v>
      </c>
    </row>
    <row r="5121" spans="1:11" ht="14.5">
      <c r="A5121" s="20" t="s">
        <v>26907</v>
      </c>
      <c r="B5121" s="20">
        <v>60</v>
      </c>
      <c r="C5121" s="20">
        <v>60</v>
      </c>
      <c r="D5121" s="20">
        <v>84</v>
      </c>
      <c r="E5121" s="20">
        <v>14</v>
      </c>
      <c r="F5121" s="20" t="s">
        <v>26908</v>
      </c>
      <c r="G5121" s="20" t="s">
        <v>26909</v>
      </c>
      <c r="H5121" s="24"/>
      <c r="I5121" s="24" t="str">
        <f ca="1">IFERROR(__xludf.DUMMYFUNCTION("GOOGLETRANSLATE(F5121,""en"",""pt"")"),"geradores de vapor limpas")</f>
        <v>geradores de vapor limpas</v>
      </c>
      <c r="J5121">
        <f>VLOOKUP(A5121,Pr_Base_LNEC!$A$4:$J$6971,6,FALSE)</f>
        <v>0</v>
      </c>
      <c r="K5121">
        <f>VLOOKUP(A5121,Pr_Base_LNEC!$A$4:$J$6971,7,FALSE)</f>
        <v>0</v>
      </c>
    </row>
    <row r="5122" spans="1:11" ht="14.5">
      <c r="A5122" s="20" t="s">
        <v>26910</v>
      </c>
      <c r="B5122" s="20">
        <v>60</v>
      </c>
      <c r="C5122" s="20">
        <v>60</v>
      </c>
      <c r="D5122" s="20">
        <v>96</v>
      </c>
      <c r="E5122" s="24"/>
      <c r="F5122" s="20" t="s">
        <v>26911</v>
      </c>
      <c r="G5122" s="24"/>
      <c r="H5122" s="24"/>
      <c r="I5122" s="24" t="str">
        <f ca="1">IFERROR(__xludf.DUMMYFUNCTION("GOOGLETRANSLATE(F5122,""en"",""pt"")"),"Aquecedores de água")</f>
        <v>Aquecedores de água</v>
      </c>
      <c r="J5122">
        <f>VLOOKUP(A5122,Pr_Base_LNEC!$A$4:$J$6971,6,FALSE)</f>
        <v>0</v>
      </c>
      <c r="K5122">
        <f>VLOOKUP(A5122,Pr_Base_LNEC!$A$4:$J$6971,7,FALSE)</f>
        <v>0</v>
      </c>
    </row>
    <row r="5123" spans="1:11" ht="14.5">
      <c r="A5123" s="20" t="s">
        <v>26912</v>
      </c>
      <c r="B5123" s="20">
        <v>60</v>
      </c>
      <c r="C5123" s="20">
        <v>60</v>
      </c>
      <c r="D5123" s="20">
        <v>96</v>
      </c>
      <c r="E5123" s="20">
        <v>26</v>
      </c>
      <c r="F5123" s="20" t="s">
        <v>26913</v>
      </c>
      <c r="G5123" s="20" t="s">
        <v>26914</v>
      </c>
      <c r="H5123" s="24"/>
      <c r="I5123" s="24" t="str">
        <f ca="1">IFERROR(__xludf.DUMMYFUNCTION("GOOGLETRANSLATE(F5123,""en"",""pt"")"),"unidades de chuveiro instantâneos elétricos")</f>
        <v>unidades de chuveiro instantâneos elétricos</v>
      </c>
      <c r="J5123">
        <f>VLOOKUP(A5123,Pr_Base_LNEC!$A$4:$J$6971,6,FALSE)</f>
        <v>0</v>
      </c>
      <c r="K5123">
        <f>VLOOKUP(A5123,Pr_Base_LNEC!$A$4:$J$6971,7,FALSE)</f>
        <v>0</v>
      </c>
    </row>
    <row r="5124" spans="1:11" ht="14.5">
      <c r="A5124" s="20" t="s">
        <v>26915</v>
      </c>
      <c r="B5124" s="20">
        <v>60</v>
      </c>
      <c r="C5124" s="20">
        <v>60</v>
      </c>
      <c r="D5124" s="20">
        <v>96</v>
      </c>
      <c r="E5124" s="20">
        <v>27</v>
      </c>
      <c r="F5124" s="20" t="s">
        <v>26916</v>
      </c>
      <c r="G5124" s="20" t="s">
        <v>26917</v>
      </c>
      <c r="H5124" s="24"/>
      <c r="I5124" s="24" t="str">
        <f ca="1">IFERROR(__xludf.DUMMYFUNCTION("GOOGLETRANSLATE(F5124,""en"",""pt"")"),"Elétricos aquecedores de água instantâneos")</f>
        <v>Elétricos aquecedores de água instantâneos</v>
      </c>
      <c r="J5124">
        <f>VLOOKUP(A5124,Pr_Base_LNEC!$A$4:$J$6971,6,FALSE)</f>
        <v>0</v>
      </c>
      <c r="K5124">
        <f>VLOOKUP(A5124,Pr_Base_LNEC!$A$4:$J$6971,7,FALSE)</f>
        <v>0</v>
      </c>
    </row>
    <row r="5125" spans="1:11" ht="14.5">
      <c r="A5125" s="20" t="s">
        <v>26918</v>
      </c>
      <c r="B5125" s="20">
        <v>60</v>
      </c>
      <c r="C5125" s="20">
        <v>60</v>
      </c>
      <c r="D5125" s="20">
        <v>96</v>
      </c>
      <c r="E5125" s="20">
        <v>28</v>
      </c>
      <c r="F5125" s="20" t="s">
        <v>26919</v>
      </c>
      <c r="G5125" s="20" t="s">
        <v>26920</v>
      </c>
      <c r="H5125" s="24"/>
      <c r="I5125" s="24" t="str">
        <f ca="1">IFERROR(__xludf.DUMMYFUNCTION("GOOGLETRANSLATE(F5125,""en"",""pt"")"),"termoacumuladores elétrica")</f>
        <v>termoacumuladores elétrica</v>
      </c>
      <c r="J5125">
        <f>VLOOKUP(A5125,Pr_Base_LNEC!$A$4:$J$6971,6,FALSE)</f>
        <v>0</v>
      </c>
      <c r="K5125">
        <f>VLOOKUP(A5125,Pr_Base_LNEC!$A$4:$J$6971,7,FALSE)</f>
        <v>0</v>
      </c>
    </row>
    <row r="5126" spans="1:11" ht="14.5">
      <c r="A5126" s="20" t="s">
        <v>26921</v>
      </c>
      <c r="B5126" s="20">
        <v>60</v>
      </c>
      <c r="C5126" s="20">
        <v>60</v>
      </c>
      <c r="D5126" s="20">
        <v>96</v>
      </c>
      <c r="E5126" s="20">
        <v>33</v>
      </c>
      <c r="F5126" s="20" t="s">
        <v>26922</v>
      </c>
      <c r="G5126" s="20" t="s">
        <v>26923</v>
      </c>
      <c r="H5126" s="24"/>
      <c r="I5126" s="24" t="str">
        <f ca="1">IFERROR(__xludf.DUMMYFUNCTION("GOOGLETRANSLATE(F5126,""en"",""pt"")"),"aquecedores de água a gás")</f>
        <v>aquecedores de água a gás</v>
      </c>
      <c r="J5126">
        <f>VLOOKUP(A5126,Pr_Base_LNEC!$A$4:$J$6971,6,FALSE)</f>
        <v>0</v>
      </c>
      <c r="K5126">
        <f>VLOOKUP(A5126,Pr_Base_LNEC!$A$4:$J$6971,7,FALSE)</f>
        <v>0</v>
      </c>
    </row>
    <row r="5127" spans="1:11" ht="14.5">
      <c r="A5127" s="20" t="s">
        <v>26924</v>
      </c>
      <c r="B5127" s="20">
        <v>60</v>
      </c>
      <c r="C5127" s="20">
        <v>60</v>
      </c>
      <c r="D5127" s="20">
        <v>96</v>
      </c>
      <c r="E5127" s="20">
        <v>34</v>
      </c>
      <c r="F5127" s="20" t="s">
        <v>26925</v>
      </c>
      <c r="G5127" s="20" t="s">
        <v>26926</v>
      </c>
      <c r="H5127" s="24"/>
      <c r="I5127" s="24" t="str">
        <f ca="1">IFERROR(__xludf.DUMMYFUNCTION("GOOGLETRANSLATE(F5127,""en"",""pt"")"),"termoacumuladores a gás")</f>
        <v>termoacumuladores a gás</v>
      </c>
      <c r="J5127">
        <f>VLOOKUP(A5127,Pr_Base_LNEC!$A$4:$J$6971,6,FALSE)</f>
        <v>0</v>
      </c>
      <c r="K5127">
        <f>VLOOKUP(A5127,Pr_Base_LNEC!$A$4:$J$6971,7,FALSE)</f>
        <v>0</v>
      </c>
    </row>
    <row r="5128" spans="1:11" ht="14.5">
      <c r="A5128" s="20" t="s">
        <v>26927</v>
      </c>
      <c r="B5128" s="20">
        <v>60</v>
      </c>
      <c r="C5128" s="20">
        <v>60</v>
      </c>
      <c r="D5128" s="20">
        <v>96</v>
      </c>
      <c r="E5128" s="20">
        <v>42</v>
      </c>
      <c r="F5128" s="20" t="s">
        <v>26928</v>
      </c>
      <c r="G5128" s="20" t="s">
        <v>26929</v>
      </c>
      <c r="H5128" s="24"/>
      <c r="I5128" s="24" t="str">
        <f ca="1">IFERROR(__xludf.DUMMYFUNCTION("GOOGLETRANSLATE(F5128,""en"",""pt"")"),"imersão")</f>
        <v>imersão</v>
      </c>
      <c r="J5128">
        <f>VLOOKUP(A5128,Pr_Base_LNEC!$A$4:$J$6971,6,FALSE)</f>
        <v>0</v>
      </c>
      <c r="K5128">
        <f>VLOOKUP(A5128,Pr_Base_LNEC!$A$4:$J$6971,7,FALSE)</f>
        <v>0</v>
      </c>
    </row>
    <row r="5129" spans="1:11" ht="14.5">
      <c r="A5129" s="20" t="s">
        <v>26930</v>
      </c>
      <c r="B5129" s="20">
        <v>60</v>
      </c>
      <c r="C5129" s="20">
        <v>65</v>
      </c>
      <c r="D5129" s="24"/>
      <c r="E5129" s="24"/>
      <c r="F5129" s="20" t="s">
        <v>26931</v>
      </c>
      <c r="G5129" s="24"/>
      <c r="H5129" s="24"/>
      <c r="I5129" s="24" t="str">
        <f ca="1">IFERROR(__xludf.DUMMYFUNCTION("GOOGLETRANSLATE(F5129,""en"",""pt"")"),"Ar e produtos de código de fumos")</f>
        <v>Ar e produtos de código de fumos</v>
      </c>
      <c r="J5129" t="str">
        <f>VLOOKUP(A5129,Pr_Base_LNEC!$A$4:$J$6971,6,FALSE)</f>
        <v>Produtos para Fontes de AVAC e Exaustão Fumos</v>
      </c>
      <c r="K5129">
        <f>VLOOKUP(A5129,Pr_Base_LNEC!$A$4:$J$6971,7,FALSE)</f>
        <v>0</v>
      </c>
    </row>
    <row r="5130" spans="1:11" ht="14.5">
      <c r="A5130" s="20" t="s">
        <v>26932</v>
      </c>
      <c r="B5130" s="20">
        <v>60</v>
      </c>
      <c r="C5130" s="20">
        <v>65</v>
      </c>
      <c r="D5130" s="20">
        <v>3</v>
      </c>
      <c r="E5130" s="24"/>
      <c r="F5130" s="20" t="s">
        <v>26933</v>
      </c>
      <c r="G5130" s="24"/>
      <c r="H5130" s="24"/>
      <c r="I5130" s="24" t="str">
        <f ca="1">IFERROR(__xludf.DUMMYFUNCTION("GOOGLETRANSLATE(F5130,""en"",""pt"")"),"unidades de tratamento de ar")</f>
        <v>unidades de tratamento de ar</v>
      </c>
      <c r="J5130">
        <f>VLOOKUP(A5130,Pr_Base_LNEC!$A$4:$J$6971,6,FALSE)</f>
        <v>0</v>
      </c>
      <c r="K5130">
        <f>VLOOKUP(A5130,Pr_Base_LNEC!$A$4:$J$6971,7,FALSE)</f>
        <v>0</v>
      </c>
    </row>
    <row r="5131" spans="1:11" ht="14.5">
      <c r="A5131" s="20" t="s">
        <v>26934</v>
      </c>
      <c r="B5131" s="20">
        <v>60</v>
      </c>
      <c r="C5131" s="20">
        <v>65</v>
      </c>
      <c r="D5131" s="20">
        <v>3</v>
      </c>
      <c r="E5131" s="20">
        <v>28</v>
      </c>
      <c r="F5131" s="20" t="s">
        <v>26935</v>
      </c>
      <c r="G5131" s="24"/>
      <c r="H5131" s="24"/>
      <c r="I5131" s="24" t="str">
        <f ca="1">IFERROR(__xludf.DUMMYFUNCTION("GOOGLETRANSLATE(F5131,""en"",""pt"")"),"unidades de tratamento de ar de saída e de retorno")</f>
        <v>unidades de tratamento de ar de saída e de retorno</v>
      </c>
      <c r="J5131">
        <f>VLOOKUP(A5131,Pr_Base_LNEC!$A$4:$J$6971,6,FALSE)</f>
        <v>0</v>
      </c>
      <c r="K5131">
        <f>VLOOKUP(A5131,Pr_Base_LNEC!$A$4:$J$6971,7,FALSE)</f>
        <v>0</v>
      </c>
    </row>
    <row r="5132" spans="1:11" ht="14.5">
      <c r="A5132" s="20" t="s">
        <v>26936</v>
      </c>
      <c r="B5132" s="20">
        <v>60</v>
      </c>
      <c r="C5132" s="20">
        <v>65</v>
      </c>
      <c r="D5132" s="20">
        <v>3</v>
      </c>
      <c r="E5132" s="20">
        <v>86</v>
      </c>
      <c r="F5132" s="20" t="s">
        <v>26937</v>
      </c>
      <c r="G5132" s="20" t="s">
        <v>26938</v>
      </c>
      <c r="H5132" s="24"/>
      <c r="I5132" s="24" t="str">
        <f ca="1">IFERROR(__xludf.DUMMYFUNCTION("GOOGLETRANSLATE(F5132,""en"",""pt"")"),"unidades de tratamento de ar de abastecimento")</f>
        <v>unidades de tratamento de ar de abastecimento</v>
      </c>
      <c r="J5132">
        <f>VLOOKUP(A5132,Pr_Base_LNEC!$A$4:$J$6971,6,FALSE)</f>
        <v>0</v>
      </c>
      <c r="K5132">
        <f>VLOOKUP(A5132,Pr_Base_LNEC!$A$4:$J$6971,7,FALSE)</f>
        <v>0</v>
      </c>
    </row>
    <row r="5133" spans="1:11" ht="14.5">
      <c r="A5133" s="20" t="s">
        <v>26939</v>
      </c>
      <c r="B5133" s="20">
        <v>60</v>
      </c>
      <c r="C5133" s="20">
        <v>65</v>
      </c>
      <c r="D5133" s="20">
        <v>3</v>
      </c>
      <c r="E5133" s="20">
        <v>87</v>
      </c>
      <c r="F5133" s="20" t="s">
        <v>26940</v>
      </c>
      <c r="G5133" s="20" t="s">
        <v>26941</v>
      </c>
      <c r="H5133" s="24"/>
      <c r="I5133" s="24" t="str">
        <f ca="1">IFERROR(__xludf.DUMMYFUNCTION("GOOGLETRANSLATE(F5133,""en"",""pt"")"),"unidades de tratamento de ar de abastecimento e de retorno")</f>
        <v>unidades de tratamento de ar de abastecimento e de retorno</v>
      </c>
      <c r="J5133">
        <f>VLOOKUP(A5133,Pr_Base_LNEC!$A$4:$J$6971,6,FALSE)</f>
        <v>0</v>
      </c>
      <c r="K5133">
        <f>VLOOKUP(A5133,Pr_Base_LNEC!$A$4:$J$6971,7,FALSE)</f>
        <v>0</v>
      </c>
    </row>
    <row r="5134" spans="1:11" ht="14.5">
      <c r="A5134" s="20" t="s">
        <v>26942</v>
      </c>
      <c r="B5134" s="20">
        <v>60</v>
      </c>
      <c r="C5134" s="20">
        <v>65</v>
      </c>
      <c r="D5134" s="20">
        <v>31</v>
      </c>
      <c r="E5134" s="24"/>
      <c r="F5134" s="20" t="s">
        <v>26943</v>
      </c>
      <c r="G5134" s="24"/>
      <c r="H5134" s="24"/>
      <c r="I5134" s="24" t="str">
        <f ca="1">IFERROR(__xludf.DUMMYFUNCTION("GOOGLETRANSLATE(F5134,""en"",""pt"")"),"Fume armários e gabinetes de segurança")</f>
        <v>Fume armários e gabinetes de segurança</v>
      </c>
      <c r="J5134">
        <f>VLOOKUP(A5134,Pr_Base_LNEC!$A$4:$J$6971,6,FALSE)</f>
        <v>0</v>
      </c>
      <c r="K5134">
        <f>VLOOKUP(A5134,Pr_Base_LNEC!$A$4:$J$6971,7,FALSE)</f>
        <v>0</v>
      </c>
    </row>
    <row r="5135" spans="1:11" ht="14.5">
      <c r="A5135" s="20" t="s">
        <v>26944</v>
      </c>
      <c r="B5135" s="20">
        <v>60</v>
      </c>
      <c r="C5135" s="20">
        <v>65</v>
      </c>
      <c r="D5135" s="20">
        <v>31</v>
      </c>
      <c r="E5135" s="20">
        <v>33</v>
      </c>
      <c r="F5135" s="20" t="s">
        <v>26945</v>
      </c>
      <c r="G5135" s="20" t="s">
        <v>26946</v>
      </c>
      <c r="H5135" s="24"/>
      <c r="I5135" s="24" t="str">
        <f ca="1">IFERROR(__xludf.DUMMYFUNCTION("GOOGLETRANSLATE(F5135,""en"",""pt"")"),"capelas de uso geral")</f>
        <v>capelas de uso geral</v>
      </c>
      <c r="J5135">
        <f>VLOOKUP(A5135,Pr_Base_LNEC!$A$4:$J$6971,6,FALSE)</f>
        <v>0</v>
      </c>
      <c r="K5135">
        <f>VLOOKUP(A5135,Pr_Base_LNEC!$A$4:$J$6971,7,FALSE)</f>
        <v>0</v>
      </c>
    </row>
    <row r="5136" spans="1:11" ht="14.5">
      <c r="A5136" s="20" t="s">
        <v>26947</v>
      </c>
      <c r="B5136" s="20">
        <v>60</v>
      </c>
      <c r="C5136" s="20">
        <v>65</v>
      </c>
      <c r="D5136" s="20">
        <v>31</v>
      </c>
      <c r="E5136" s="20">
        <v>46</v>
      </c>
      <c r="F5136" s="20" t="s">
        <v>26948</v>
      </c>
      <c r="G5136" s="20" t="s">
        <v>26949</v>
      </c>
      <c r="H5136" s="24"/>
      <c r="I5136" s="24" t="str">
        <f ca="1">IFERROR(__xludf.DUMMYFUNCTION("GOOGLETRANSLATE(F5136,""en"",""pt"")"),"Fluxo laminar armários")</f>
        <v>Fluxo laminar armários</v>
      </c>
      <c r="J5136">
        <f>VLOOKUP(A5136,Pr_Base_LNEC!$A$4:$J$6971,6,FALSE)</f>
        <v>0</v>
      </c>
      <c r="K5136">
        <f>VLOOKUP(A5136,Pr_Base_LNEC!$A$4:$J$6971,7,FALSE)</f>
        <v>0</v>
      </c>
    </row>
    <row r="5137" spans="1:11" ht="14.5">
      <c r="A5137" s="20" t="s">
        <v>26950</v>
      </c>
      <c r="B5137" s="20">
        <v>60</v>
      </c>
      <c r="C5137" s="20">
        <v>65</v>
      </c>
      <c r="D5137" s="20">
        <v>31</v>
      </c>
      <c r="E5137" s="20">
        <v>52</v>
      </c>
      <c r="F5137" s="20" t="s">
        <v>26951</v>
      </c>
      <c r="G5137" s="20" t="s">
        <v>26952</v>
      </c>
      <c r="H5137" s="24"/>
      <c r="I5137" s="24" t="str">
        <f ca="1">IFERROR(__xludf.DUMMYFUNCTION("GOOGLETRANSLATE(F5137,""en"",""pt"")"),"cabines de segurança microbiológica")</f>
        <v>cabines de segurança microbiológica</v>
      </c>
      <c r="J5137">
        <f>VLOOKUP(A5137,Pr_Base_LNEC!$A$4:$J$6971,6,FALSE)</f>
        <v>0</v>
      </c>
      <c r="K5137">
        <f>VLOOKUP(A5137,Pr_Base_LNEC!$A$4:$J$6971,7,FALSE)</f>
        <v>0</v>
      </c>
    </row>
    <row r="5138" spans="1:11" ht="14.5">
      <c r="A5138" s="20" t="s">
        <v>26953</v>
      </c>
      <c r="B5138" s="20">
        <v>60</v>
      </c>
      <c r="C5138" s="20">
        <v>65</v>
      </c>
      <c r="D5138" s="20">
        <v>31</v>
      </c>
      <c r="E5138" s="20">
        <v>71</v>
      </c>
      <c r="F5138" s="20" t="s">
        <v>26954</v>
      </c>
      <c r="G5138" s="20" t="s">
        <v>26955</v>
      </c>
      <c r="H5138" s="24"/>
      <c r="I5138" s="24" t="str">
        <f ca="1">IFERROR(__xludf.DUMMYFUNCTION("GOOGLETRANSLATE(F5138,""en"",""pt"")"),"Recirculatory filtração fumos armários")</f>
        <v>Recirculatory filtração fumos armários</v>
      </c>
      <c r="J5138">
        <f>VLOOKUP(A5138,Pr_Base_LNEC!$A$4:$J$6971,6,FALSE)</f>
        <v>0</v>
      </c>
      <c r="K5138">
        <f>VLOOKUP(A5138,Pr_Base_LNEC!$A$4:$J$6971,7,FALSE)</f>
        <v>0</v>
      </c>
    </row>
    <row r="5139" spans="1:11" ht="14.5">
      <c r="A5139" s="20" t="s">
        <v>26956</v>
      </c>
      <c r="B5139" s="20">
        <v>60</v>
      </c>
      <c r="C5139" s="20">
        <v>65</v>
      </c>
      <c r="D5139" s="20">
        <v>31</v>
      </c>
      <c r="E5139" s="20">
        <v>76</v>
      </c>
      <c r="F5139" s="20" t="s">
        <v>26957</v>
      </c>
      <c r="G5139" s="20" t="s">
        <v>26958</v>
      </c>
      <c r="H5139" s="24"/>
      <c r="I5139" s="24" t="str">
        <f ca="1">IFERROR(__xludf.DUMMYFUNCTION("GOOGLETRANSLATE(F5139,""en"",""pt"")"),"capelas escolares")</f>
        <v>capelas escolares</v>
      </c>
      <c r="J5139">
        <f>VLOOKUP(A5139,Pr_Base_LNEC!$A$4:$J$6971,6,FALSE)</f>
        <v>0</v>
      </c>
      <c r="K5139">
        <f>VLOOKUP(A5139,Pr_Base_LNEC!$A$4:$J$6971,7,FALSE)</f>
        <v>0</v>
      </c>
    </row>
    <row r="5140" spans="1:11" ht="14.5">
      <c r="A5140" s="20" t="s">
        <v>26959</v>
      </c>
      <c r="B5140" s="20">
        <v>60</v>
      </c>
      <c r="C5140" s="20">
        <v>65</v>
      </c>
      <c r="D5140" s="20">
        <v>31</v>
      </c>
      <c r="E5140" s="20">
        <v>94</v>
      </c>
      <c r="F5140" s="20" t="s">
        <v>26960</v>
      </c>
      <c r="G5140" s="20" t="s">
        <v>26961</v>
      </c>
      <c r="H5140" s="24"/>
      <c r="I5140" s="24" t="str">
        <f ca="1">IFERROR(__xludf.DUMMYFUNCTION("GOOGLETRANSLATE(F5140,""en"",""pt"")"),"hottes de volume de ar variável")</f>
        <v>hottes de volume de ar variável</v>
      </c>
      <c r="J5140">
        <f>VLOOKUP(A5140,Pr_Base_LNEC!$A$4:$J$6971,6,FALSE)</f>
        <v>0</v>
      </c>
      <c r="K5140">
        <f>VLOOKUP(A5140,Pr_Base_LNEC!$A$4:$J$6971,7,FALSE)</f>
        <v>0</v>
      </c>
    </row>
    <row r="5141" spans="1:11" ht="14.5">
      <c r="A5141" s="20" t="s">
        <v>26962</v>
      </c>
      <c r="B5141" s="20">
        <v>60</v>
      </c>
      <c r="C5141" s="20">
        <v>65</v>
      </c>
      <c r="D5141" s="20">
        <v>37</v>
      </c>
      <c r="E5141" s="24"/>
      <c r="F5141" s="20" t="s">
        <v>26963</v>
      </c>
      <c r="G5141" s="24"/>
      <c r="H5141" s="24"/>
      <c r="I5141" s="24" t="str">
        <f ca="1">IFERROR(__xludf.DUMMYFUNCTION("GOOGLETRANSLATE(F5141,""en"",""pt"")"),"Aquecimento e arrefecimento bobinas")</f>
        <v>Aquecimento e arrefecimento bobinas</v>
      </c>
      <c r="J5141">
        <f>VLOOKUP(A5141,Pr_Base_LNEC!$A$4:$J$6971,6,FALSE)</f>
        <v>0</v>
      </c>
      <c r="K5141">
        <f>VLOOKUP(A5141,Pr_Base_LNEC!$A$4:$J$6971,7,FALSE)</f>
        <v>0</v>
      </c>
    </row>
    <row r="5142" spans="1:11" ht="14.5">
      <c r="A5142" s="20" t="s">
        <v>26964</v>
      </c>
      <c r="B5142" s="20">
        <v>60</v>
      </c>
      <c r="C5142" s="20">
        <v>65</v>
      </c>
      <c r="D5142" s="20">
        <v>37</v>
      </c>
      <c r="E5142" s="20">
        <v>12</v>
      </c>
      <c r="F5142" s="20" t="s">
        <v>26965</v>
      </c>
      <c r="G5142" s="20" t="s">
        <v>26966</v>
      </c>
      <c r="H5142" s="24"/>
      <c r="I5142" s="24" t="str">
        <f ca="1">IFERROR(__xludf.DUMMYFUNCTION("GOOGLETRANSLATE(F5142,""en"",""pt"")"),"bobinas de água de arrefecimento refrigerados")</f>
        <v>bobinas de água de arrefecimento refrigerados</v>
      </c>
      <c r="J5142">
        <f>VLOOKUP(A5142,Pr_Base_LNEC!$A$4:$J$6971,6,FALSE)</f>
        <v>0</v>
      </c>
      <c r="K5142">
        <f>VLOOKUP(A5142,Pr_Base_LNEC!$A$4:$J$6971,7,FALSE)</f>
        <v>0</v>
      </c>
    </row>
    <row r="5143" spans="1:11" ht="14.5">
      <c r="A5143" s="20" t="s">
        <v>26967</v>
      </c>
      <c r="B5143" s="20">
        <v>60</v>
      </c>
      <c r="C5143" s="20">
        <v>65</v>
      </c>
      <c r="D5143" s="20">
        <v>37</v>
      </c>
      <c r="E5143" s="20">
        <v>27</v>
      </c>
      <c r="F5143" s="20" t="s">
        <v>26968</v>
      </c>
      <c r="G5143" s="20" t="s">
        <v>26969</v>
      </c>
      <c r="H5143" s="24"/>
      <c r="I5143" s="24" t="str">
        <f ca="1">IFERROR(__xludf.DUMMYFUNCTION("GOOGLETRANSLATE(F5143,""en"",""pt"")"),"baterias de aquecimento elétrico")</f>
        <v>baterias de aquecimento elétrico</v>
      </c>
      <c r="J5143">
        <f>VLOOKUP(A5143,Pr_Base_LNEC!$A$4:$J$6971,6,FALSE)</f>
        <v>0</v>
      </c>
      <c r="K5143">
        <f>VLOOKUP(A5143,Pr_Base_LNEC!$A$4:$J$6971,7,FALSE)</f>
        <v>0</v>
      </c>
    </row>
    <row r="5144" spans="1:11" ht="14.5">
      <c r="A5144" s="20" t="s">
        <v>26970</v>
      </c>
      <c r="B5144" s="20">
        <v>60</v>
      </c>
      <c r="C5144" s="20">
        <v>65</v>
      </c>
      <c r="D5144" s="20">
        <v>37</v>
      </c>
      <c r="E5144" s="20">
        <v>33</v>
      </c>
      <c r="F5144" s="20" t="s">
        <v>26971</v>
      </c>
      <c r="G5144" s="20" t="s">
        <v>26972</v>
      </c>
      <c r="H5144" s="24"/>
      <c r="I5144" s="24" t="str">
        <f ca="1">IFERROR(__xludf.DUMMYFUNCTION("GOOGLETRANSLATE(F5144,""en"",""pt"")"),"Gás baterias de aquecimento")</f>
        <v>Gás baterias de aquecimento</v>
      </c>
      <c r="J5144">
        <f>VLOOKUP(A5144,Pr_Base_LNEC!$A$4:$J$6971,6,FALSE)</f>
        <v>0</v>
      </c>
      <c r="K5144">
        <f>VLOOKUP(A5144,Pr_Base_LNEC!$A$4:$J$6971,7,FALSE)</f>
        <v>0</v>
      </c>
    </row>
    <row r="5145" spans="1:11" ht="14.5">
      <c r="A5145" s="20" t="s">
        <v>26973</v>
      </c>
      <c r="B5145" s="20">
        <v>60</v>
      </c>
      <c r="C5145" s="20">
        <v>65</v>
      </c>
      <c r="D5145" s="20">
        <v>37</v>
      </c>
      <c r="E5145" s="20">
        <v>41</v>
      </c>
      <c r="F5145" s="20" t="s">
        <v>26974</v>
      </c>
      <c r="G5145" s="24"/>
      <c r="H5145" s="24"/>
      <c r="I5145" s="24" t="str">
        <f ca="1">IFERROR(__xludf.DUMMYFUNCTION("GOOGLETRANSLATE(F5145,""en"",""pt"")"),"intercoolers")</f>
        <v>intercoolers</v>
      </c>
      <c r="J5145">
        <f>VLOOKUP(A5145,Pr_Base_LNEC!$A$4:$J$6971,6,FALSE)</f>
        <v>0</v>
      </c>
      <c r="K5145">
        <f>VLOOKUP(A5145,Pr_Base_LNEC!$A$4:$J$6971,7,FALSE)</f>
        <v>0</v>
      </c>
    </row>
    <row r="5146" spans="1:11" ht="14.5">
      <c r="A5146" s="20" t="s">
        <v>26975</v>
      </c>
      <c r="B5146" s="20">
        <v>60</v>
      </c>
      <c r="C5146" s="20">
        <v>65</v>
      </c>
      <c r="D5146" s="20">
        <v>37</v>
      </c>
      <c r="E5146" s="20">
        <v>47</v>
      </c>
      <c r="F5146" s="20" t="s">
        <v>26976</v>
      </c>
      <c r="G5146" s="20" t="s">
        <v>26977</v>
      </c>
      <c r="H5146" s="24"/>
      <c r="I5146" s="24" t="str">
        <f ca="1">IFERROR(__xludf.DUMMYFUNCTION("GOOGLETRANSLATE(F5146,""en"",""pt"")"),"Baixa temperatura bobinas de aquecimento de água quente")</f>
        <v>Baixa temperatura bobinas de aquecimento de água quente</v>
      </c>
      <c r="J5146">
        <f>VLOOKUP(A5146,Pr_Base_LNEC!$A$4:$J$6971,6,FALSE)</f>
        <v>0</v>
      </c>
      <c r="K5146">
        <f>VLOOKUP(A5146,Pr_Base_LNEC!$A$4:$J$6971,7,FALSE)</f>
        <v>0</v>
      </c>
    </row>
    <row r="5147" spans="1:11" ht="14.5">
      <c r="A5147" s="20" t="s">
        <v>26978</v>
      </c>
      <c r="B5147" s="20">
        <v>60</v>
      </c>
      <c r="C5147" s="20">
        <v>65</v>
      </c>
      <c r="D5147" s="20">
        <v>37</v>
      </c>
      <c r="E5147" s="20">
        <v>72</v>
      </c>
      <c r="F5147" s="20" t="s">
        <v>26979</v>
      </c>
      <c r="G5147" s="20" t="s">
        <v>26980</v>
      </c>
      <c r="H5147" s="24"/>
      <c r="I5147" s="24" t="str">
        <f ca="1">IFERROR(__xludf.DUMMYFUNCTION("GOOGLETRANSLATE(F5147,""en"",""pt"")"),"serpentinas de arrefecimento de refrigerante")</f>
        <v>serpentinas de arrefecimento de refrigerante</v>
      </c>
      <c r="J5147">
        <f>VLOOKUP(A5147,Pr_Base_LNEC!$A$4:$J$6971,6,FALSE)</f>
        <v>0</v>
      </c>
      <c r="K5147">
        <f>VLOOKUP(A5147,Pr_Base_LNEC!$A$4:$J$6971,7,FALSE)</f>
        <v>0</v>
      </c>
    </row>
    <row r="5148" spans="1:11" ht="14.5">
      <c r="A5148" s="20" t="s">
        <v>26981</v>
      </c>
      <c r="B5148" s="20">
        <v>60</v>
      </c>
      <c r="C5148" s="20">
        <v>65</v>
      </c>
      <c r="D5148" s="20">
        <v>94</v>
      </c>
      <c r="E5148" s="24"/>
      <c r="F5148" s="20" t="s">
        <v>26982</v>
      </c>
      <c r="G5148" s="24"/>
      <c r="H5148" s="24"/>
      <c r="I5148" s="24" t="str">
        <f ca="1">IFERROR(__xludf.DUMMYFUNCTION("GOOGLETRANSLATE(F5148,""en"",""pt"")"),"exaustores e pontos de extrato")</f>
        <v>exaustores e pontos de extrato</v>
      </c>
      <c r="J5148">
        <f>VLOOKUP(A5148,Pr_Base_LNEC!$A$4:$J$6971,6,FALSE)</f>
        <v>0</v>
      </c>
      <c r="K5148">
        <f>VLOOKUP(A5148,Pr_Base_LNEC!$A$4:$J$6971,7,FALSE)</f>
        <v>0</v>
      </c>
    </row>
    <row r="5149" spans="1:11" ht="14.5">
      <c r="A5149" s="20" t="s">
        <v>26983</v>
      </c>
      <c r="B5149" s="20">
        <v>60</v>
      </c>
      <c r="C5149" s="20">
        <v>65</v>
      </c>
      <c r="D5149" s="20">
        <v>94</v>
      </c>
      <c r="E5149" s="20">
        <v>29</v>
      </c>
      <c r="F5149" s="20" t="s">
        <v>26984</v>
      </c>
      <c r="G5149" s="20" t="s">
        <v>26985</v>
      </c>
      <c r="H5149" s="24"/>
      <c r="I5149" s="24" t="str">
        <f ca="1">IFERROR(__xludf.DUMMYFUNCTION("GOOGLETRANSLATE(F5149,""en"",""pt"")"),"Fume capturar capuzes")</f>
        <v>Fume capturar capuzes</v>
      </c>
      <c r="J5149">
        <f>VLOOKUP(A5149,Pr_Base_LNEC!$A$4:$J$6971,6,FALSE)</f>
        <v>0</v>
      </c>
      <c r="K5149">
        <f>VLOOKUP(A5149,Pr_Base_LNEC!$A$4:$J$6971,7,FALSE)</f>
        <v>0</v>
      </c>
    </row>
    <row r="5150" spans="1:11" ht="14.5">
      <c r="A5150" s="20" t="s">
        <v>26986</v>
      </c>
      <c r="B5150" s="20">
        <v>60</v>
      </c>
      <c r="C5150" s="20">
        <v>65</v>
      </c>
      <c r="D5150" s="20">
        <v>94</v>
      </c>
      <c r="E5150" s="20">
        <v>30</v>
      </c>
      <c r="F5150" s="20" t="s">
        <v>26987</v>
      </c>
      <c r="G5150" s="20" t="s">
        <v>26988</v>
      </c>
      <c r="H5150" s="24"/>
      <c r="I5150" s="24" t="str">
        <f ca="1">IFERROR(__xludf.DUMMYFUNCTION("GOOGLETRANSLATE(F5150,""en"",""pt"")"),"Fume encerrando capuzes")</f>
        <v>Fume encerrando capuzes</v>
      </c>
      <c r="J5150">
        <f>VLOOKUP(A5150,Pr_Base_LNEC!$A$4:$J$6971,6,FALSE)</f>
        <v>0</v>
      </c>
      <c r="K5150">
        <f>VLOOKUP(A5150,Pr_Base_LNEC!$A$4:$J$6971,7,FALSE)</f>
        <v>0</v>
      </c>
    </row>
    <row r="5151" spans="1:11" ht="14.5">
      <c r="A5151" s="20" t="s">
        <v>26989</v>
      </c>
      <c r="B5151" s="20">
        <v>60</v>
      </c>
      <c r="C5151" s="20">
        <v>65</v>
      </c>
      <c r="D5151" s="20">
        <v>94</v>
      </c>
      <c r="E5151" s="20">
        <v>31</v>
      </c>
      <c r="F5151" s="20" t="s">
        <v>26990</v>
      </c>
      <c r="G5151" s="20" t="s">
        <v>26991</v>
      </c>
      <c r="H5151" s="24"/>
      <c r="I5151" s="24" t="str">
        <f ca="1">IFERROR(__xludf.DUMMYFUNCTION("GOOGLETRANSLATE(F5151,""en"",""pt"")"),"Fume receber capuzes")</f>
        <v>Fume receber capuzes</v>
      </c>
      <c r="J5151">
        <f>VLOOKUP(A5151,Pr_Base_LNEC!$A$4:$J$6971,6,FALSE)</f>
        <v>0</v>
      </c>
      <c r="K5151">
        <f>VLOOKUP(A5151,Pr_Base_LNEC!$A$4:$J$6971,7,FALSE)</f>
        <v>0</v>
      </c>
    </row>
    <row r="5152" spans="1:11" ht="14.5">
      <c r="A5152" s="20" t="s">
        <v>26992</v>
      </c>
      <c r="B5152" s="20">
        <v>60</v>
      </c>
      <c r="C5152" s="20">
        <v>65</v>
      </c>
      <c r="D5152" s="20">
        <v>94</v>
      </c>
      <c r="E5152" s="20">
        <v>32</v>
      </c>
      <c r="F5152" s="20" t="s">
        <v>26993</v>
      </c>
      <c r="G5152" s="20" t="s">
        <v>26994</v>
      </c>
      <c r="H5152" s="24"/>
      <c r="I5152" s="24" t="str">
        <f ca="1">IFERROR(__xludf.DUMMYFUNCTION("GOOGLETRANSLATE(F5152,""en"",""pt"")"),"Fume pontos extrato")</f>
        <v>Fume pontos extrato</v>
      </c>
      <c r="J5152">
        <f>VLOOKUP(A5152,Pr_Base_LNEC!$A$4:$J$6971,6,FALSE)</f>
        <v>0</v>
      </c>
      <c r="K5152">
        <f>VLOOKUP(A5152,Pr_Base_LNEC!$A$4:$J$6971,7,FALSE)</f>
        <v>0</v>
      </c>
    </row>
    <row r="5153" spans="1:11" ht="14.5">
      <c r="A5153" s="20" t="s">
        <v>26995</v>
      </c>
      <c r="B5153" s="20">
        <v>60</v>
      </c>
      <c r="C5153" s="20">
        <v>65</v>
      </c>
      <c r="D5153" s="20">
        <v>94</v>
      </c>
      <c r="E5153" s="20">
        <v>45</v>
      </c>
      <c r="F5153" s="20" t="s">
        <v>26996</v>
      </c>
      <c r="G5153" s="20" t="s">
        <v>26997</v>
      </c>
      <c r="H5153" s="24"/>
      <c r="I5153" s="24" t="str">
        <f ca="1">IFERROR(__xludf.DUMMYFUNCTION("GOOGLETRANSLATE(F5153,""en"",""pt"")"),"copa cozinha")</f>
        <v>copa cozinha</v>
      </c>
      <c r="J5153">
        <f>VLOOKUP(A5153,Pr_Base_LNEC!$A$4:$J$6971,6,FALSE)</f>
        <v>0</v>
      </c>
      <c r="K5153">
        <f>VLOOKUP(A5153,Pr_Base_LNEC!$A$4:$J$6971,7,FALSE)</f>
        <v>0</v>
      </c>
    </row>
    <row r="5154" spans="1:11" ht="14.5">
      <c r="A5154" s="20" t="s">
        <v>26998</v>
      </c>
      <c r="B5154" s="20">
        <v>60</v>
      </c>
      <c r="C5154" s="20">
        <v>65</v>
      </c>
      <c r="D5154" s="20">
        <v>94</v>
      </c>
      <c r="E5154" s="20">
        <v>46</v>
      </c>
      <c r="F5154" s="20" t="s">
        <v>26999</v>
      </c>
      <c r="G5154" s="20" t="s">
        <v>27000</v>
      </c>
      <c r="H5154" s="24"/>
      <c r="I5154" s="24" t="str">
        <f ca="1">IFERROR(__xludf.DUMMYFUNCTION("GOOGLETRANSLATE(F5154,""en"",""pt"")"),"exaustores de cozinha")</f>
        <v>exaustores de cozinha</v>
      </c>
      <c r="J5154">
        <f>VLOOKUP(A5154,Pr_Base_LNEC!$A$4:$J$6971,6,FALSE)</f>
        <v>0</v>
      </c>
      <c r="K5154">
        <f>VLOOKUP(A5154,Pr_Base_LNEC!$A$4:$J$6971,7,FALSE)</f>
        <v>0</v>
      </c>
    </row>
    <row r="5155" spans="1:11" ht="14.5">
      <c r="A5155" s="20" t="s">
        <v>27001</v>
      </c>
      <c r="B5155" s="20">
        <v>60</v>
      </c>
      <c r="C5155" s="20">
        <v>65</v>
      </c>
      <c r="D5155" s="20">
        <v>94</v>
      </c>
      <c r="E5155" s="20">
        <v>94</v>
      </c>
      <c r="F5155" s="20" t="s">
        <v>27002</v>
      </c>
      <c r="G5155" s="20" t="s">
        <v>27003</v>
      </c>
      <c r="H5155" s="24"/>
      <c r="I5155" s="24" t="str">
        <f ca="1">IFERROR(__xludf.DUMMYFUNCTION("GOOGLETRANSLATE(F5155,""en"",""pt"")"),"bocais de escape de veículos")</f>
        <v>bocais de escape de veículos</v>
      </c>
      <c r="J5155">
        <f>VLOOKUP(A5155,Pr_Base_LNEC!$A$4:$J$6971,6,FALSE)</f>
        <v>0</v>
      </c>
      <c r="K5155">
        <f>VLOOKUP(A5155,Pr_Base_LNEC!$A$4:$J$6971,7,FALSE)</f>
        <v>0</v>
      </c>
    </row>
    <row r="5156" spans="1:11" ht="14.5">
      <c r="A5156" s="20" t="s">
        <v>27004</v>
      </c>
      <c r="B5156" s="20">
        <v>60</v>
      </c>
      <c r="C5156" s="20">
        <v>70</v>
      </c>
      <c r="D5156" s="24"/>
      <c r="E5156" s="24"/>
      <c r="F5156" s="20" t="s">
        <v>27005</v>
      </c>
      <c r="G5156" s="24"/>
      <c r="H5156" s="24"/>
      <c r="I5156" s="24" t="str">
        <f ca="1">IFERROR(__xludf.DUMMYFUNCTION("GOOGLETRANSLATE(F5156,""en"",""pt"")"),"produtos de alimentação")</f>
        <v>produtos de alimentação</v>
      </c>
      <c r="J5156" t="str">
        <f>VLOOKUP(A5156,Pr_Base_LNEC!$A$4:$J$6971,6,FALSE)</f>
        <v>Produtos para Fornecimento de Energia</v>
      </c>
      <c r="K5156">
        <f>VLOOKUP(A5156,Pr_Base_LNEC!$A$4:$J$6971,7,FALSE)</f>
        <v>0</v>
      </c>
    </row>
    <row r="5157" spans="1:11" ht="14.5">
      <c r="A5157" s="20" t="s">
        <v>27006</v>
      </c>
      <c r="B5157" s="20">
        <v>60</v>
      </c>
      <c r="C5157" s="20">
        <v>70</v>
      </c>
      <c r="D5157" s="20">
        <v>6</v>
      </c>
      <c r="E5157" s="24"/>
      <c r="F5157" s="20" t="s">
        <v>27007</v>
      </c>
      <c r="G5157" s="24"/>
      <c r="H5157" s="24"/>
      <c r="I5157" s="24" t="str">
        <f ca="1">IFERROR(__xludf.DUMMYFUNCTION("GOOGLETRANSLATE(F5157,""en"",""pt"")"),"Baterias e carregadores")</f>
        <v>Baterias e carregadores</v>
      </c>
      <c r="J5157">
        <f>VLOOKUP(A5157,Pr_Base_LNEC!$A$4:$J$6971,6,FALSE)</f>
        <v>0</v>
      </c>
      <c r="K5157">
        <f>VLOOKUP(A5157,Pr_Base_LNEC!$A$4:$J$6971,7,FALSE)</f>
        <v>0</v>
      </c>
    </row>
    <row r="5158" spans="1:11" ht="14.5">
      <c r="A5158" s="20" t="s">
        <v>27008</v>
      </c>
      <c r="B5158" s="20">
        <v>60</v>
      </c>
      <c r="C5158" s="20">
        <v>70</v>
      </c>
      <c r="D5158" s="20">
        <v>6</v>
      </c>
      <c r="E5158" s="20">
        <v>5</v>
      </c>
      <c r="F5158" s="20" t="s">
        <v>27009</v>
      </c>
      <c r="G5158" s="20" t="s">
        <v>27010</v>
      </c>
      <c r="H5158" s="24"/>
      <c r="I5158" s="24" t="str">
        <f ca="1">IFERROR(__xludf.DUMMYFUNCTION("GOOGLETRANSLATE(F5158,""en"",""pt"")"),"carregadores automáticos para os acumuladores")</f>
        <v>carregadores automáticos para os acumuladores</v>
      </c>
      <c r="J5158">
        <f>VLOOKUP(A5158,Pr_Base_LNEC!$A$4:$J$6971,6,FALSE)</f>
        <v>0</v>
      </c>
      <c r="K5158">
        <f>VLOOKUP(A5158,Pr_Base_LNEC!$A$4:$J$6971,7,FALSE)</f>
        <v>0</v>
      </c>
    </row>
    <row r="5159" spans="1:11" ht="14.5">
      <c r="A5159" s="20" t="s">
        <v>27011</v>
      </c>
      <c r="B5159" s="20">
        <v>60</v>
      </c>
      <c r="C5159" s="20">
        <v>70</v>
      </c>
      <c r="D5159" s="20">
        <v>6</v>
      </c>
      <c r="E5159" s="20">
        <v>6</v>
      </c>
      <c r="F5159" s="20" t="s">
        <v>27012</v>
      </c>
      <c r="G5159" s="20" t="s">
        <v>27013</v>
      </c>
      <c r="H5159" s="24"/>
      <c r="I5159" s="24" t="str">
        <f ca="1">IFERROR(__xludf.DUMMYFUNCTION("GOOGLETRANSLATE(F5159,""en"",""pt"")"),"alimentação da bateria de backup")</f>
        <v>alimentação da bateria de backup</v>
      </c>
      <c r="J5159">
        <f>VLOOKUP(A5159,Pr_Base_LNEC!$A$4:$J$6971,6,FALSE)</f>
        <v>0</v>
      </c>
      <c r="K5159">
        <f>VLOOKUP(A5159,Pr_Base_LNEC!$A$4:$J$6971,7,FALSE)</f>
        <v>0</v>
      </c>
    </row>
    <row r="5160" spans="1:11" ht="14.5">
      <c r="A5160" s="20" t="s">
        <v>27014</v>
      </c>
      <c r="B5160" s="20">
        <v>60</v>
      </c>
      <c r="C5160" s="20">
        <v>70</v>
      </c>
      <c r="D5160" s="20">
        <v>6</v>
      </c>
      <c r="E5160" s="20">
        <v>12</v>
      </c>
      <c r="F5160" s="20" t="s">
        <v>27015</v>
      </c>
      <c r="G5160" s="20" t="s">
        <v>27016</v>
      </c>
      <c r="H5160" s="24"/>
      <c r="I5160" s="24" t="str">
        <f ca="1">IFERROR(__xludf.DUMMYFUNCTION("GOOGLETRANSLATE(F5160,""en"",""pt"")"),"unidades de fornecimento de baterias Central")</f>
        <v>unidades de fornecimento de baterias Central</v>
      </c>
      <c r="J5160">
        <f>VLOOKUP(A5160,Pr_Base_LNEC!$A$4:$J$6971,6,FALSE)</f>
        <v>0</v>
      </c>
      <c r="K5160">
        <f>VLOOKUP(A5160,Pr_Base_LNEC!$A$4:$J$6971,7,FALSE)</f>
        <v>0</v>
      </c>
    </row>
    <row r="5161" spans="1:11" ht="14.5">
      <c r="A5161" s="20" t="s">
        <v>27017</v>
      </c>
      <c r="B5161" s="20">
        <v>60</v>
      </c>
      <c r="C5161" s="20">
        <v>70</v>
      </c>
      <c r="D5161" s="20">
        <v>6</v>
      </c>
      <c r="E5161" s="20">
        <v>23</v>
      </c>
      <c r="F5161" s="20" t="s">
        <v>27018</v>
      </c>
      <c r="G5161" s="20" t="s">
        <v>27019</v>
      </c>
      <c r="H5161" s="24"/>
      <c r="I5161" s="24" t="str">
        <f ca="1">IFERROR(__xludf.DUMMYFUNCTION("GOOGLETRANSLATE(F5161,""en"",""pt"")"),"controladores de carga da bateria em corrente contínua")</f>
        <v>controladores de carga da bateria em corrente contínua</v>
      </c>
      <c r="J5161">
        <f>VLOOKUP(A5161,Pr_Base_LNEC!$A$4:$J$6971,6,FALSE)</f>
        <v>0</v>
      </c>
      <c r="K5161">
        <f>VLOOKUP(A5161,Pr_Base_LNEC!$A$4:$J$6971,7,FALSE)</f>
        <v>0</v>
      </c>
    </row>
    <row r="5162" spans="1:11" ht="14.5">
      <c r="A5162" s="20" t="s">
        <v>27020</v>
      </c>
      <c r="B5162" s="20">
        <v>60</v>
      </c>
      <c r="C5162" s="20">
        <v>70</v>
      </c>
      <c r="D5162" s="20">
        <v>6</v>
      </c>
      <c r="E5162" s="20">
        <v>27</v>
      </c>
      <c r="F5162" s="20" t="s">
        <v>27021</v>
      </c>
      <c r="G5162" s="20" t="s">
        <v>27022</v>
      </c>
      <c r="H5162" s="24"/>
      <c r="I5162" s="24" t="str">
        <f ca="1">IFERROR(__xludf.DUMMYFUNCTION("GOOGLETRANSLATE(F5162,""en"",""pt"")"),"carregadores de veículos elétricos")</f>
        <v>carregadores de veículos elétricos</v>
      </c>
      <c r="J5162">
        <f>VLOOKUP(A5162,Pr_Base_LNEC!$A$4:$J$6971,6,FALSE)</f>
        <v>0</v>
      </c>
      <c r="K5162">
        <f>VLOOKUP(A5162,Pr_Base_LNEC!$A$4:$J$6971,7,FALSE)</f>
        <v>0</v>
      </c>
    </row>
    <row r="5163" spans="1:11" ht="14.5">
      <c r="A5163" s="20" t="s">
        <v>27023</v>
      </c>
      <c r="B5163" s="20">
        <v>60</v>
      </c>
      <c r="C5163" s="20">
        <v>70</v>
      </c>
      <c r="D5163" s="20">
        <v>6</v>
      </c>
      <c r="E5163" s="20">
        <v>67</v>
      </c>
      <c r="F5163" s="20" t="s">
        <v>27024</v>
      </c>
      <c r="G5163" s="20" t="s">
        <v>27025</v>
      </c>
      <c r="H5163" s="24"/>
      <c r="I5163" s="24" t="str">
        <f ca="1">IFERROR(__xludf.DUMMYFUNCTION("GOOGLETRANSLATE(F5163,""en"",""pt"")"),"caixas de junção gerador PV")</f>
        <v>caixas de junção gerador PV</v>
      </c>
      <c r="J5163">
        <f>VLOOKUP(A5163,Pr_Base_LNEC!$A$4:$J$6971,6,FALSE)</f>
        <v>0</v>
      </c>
      <c r="K5163">
        <f>VLOOKUP(A5163,Pr_Base_LNEC!$A$4:$J$6971,7,FALSE)</f>
        <v>0</v>
      </c>
    </row>
    <row r="5164" spans="1:11" ht="14.5">
      <c r="A5164" s="20" t="s">
        <v>27026</v>
      </c>
      <c r="B5164" s="20">
        <v>60</v>
      </c>
      <c r="C5164" s="20">
        <v>70</v>
      </c>
      <c r="D5164" s="20">
        <v>6</v>
      </c>
      <c r="E5164" s="20">
        <v>71</v>
      </c>
      <c r="F5164" s="20" t="s">
        <v>27027</v>
      </c>
      <c r="G5164" s="20" t="s">
        <v>27028</v>
      </c>
      <c r="H5164" s="24"/>
      <c r="I5164" s="24" t="str">
        <f ca="1">IFERROR(__xludf.DUMMYFUNCTION("GOOGLETRANSLATE(F5164,""en"",""pt"")"),"carregadores de bateria de células secas recarregável")</f>
        <v>carregadores de bateria de células secas recarregável</v>
      </c>
      <c r="J5164">
        <f>VLOOKUP(A5164,Pr_Base_LNEC!$A$4:$J$6971,6,FALSE)</f>
        <v>0</v>
      </c>
      <c r="K5164">
        <f>VLOOKUP(A5164,Pr_Base_LNEC!$A$4:$J$6971,7,FALSE)</f>
        <v>0</v>
      </c>
    </row>
    <row r="5165" spans="1:11" ht="14.5">
      <c r="A5165" s="20" t="s">
        <v>27029</v>
      </c>
      <c r="B5165" s="20">
        <v>60</v>
      </c>
      <c r="C5165" s="20">
        <v>70</v>
      </c>
      <c r="D5165" s="20">
        <v>6</v>
      </c>
      <c r="E5165" s="20">
        <v>76</v>
      </c>
      <c r="F5165" s="20" t="s">
        <v>27030</v>
      </c>
      <c r="G5165" s="20" t="s">
        <v>27031</v>
      </c>
      <c r="H5165" s="24"/>
      <c r="I5165" s="24" t="str">
        <f ca="1">IFERROR(__xludf.DUMMYFUNCTION("GOOGLETRANSLATE(F5165,""en"",""pt"")"),"baterias de ácido e chumbo selada")</f>
        <v>baterias de ácido e chumbo selada</v>
      </c>
      <c r="J5165">
        <f>VLOOKUP(A5165,Pr_Base_LNEC!$A$4:$J$6971,6,FALSE)</f>
        <v>0</v>
      </c>
      <c r="K5165">
        <f>VLOOKUP(A5165,Pr_Base_LNEC!$A$4:$J$6971,7,FALSE)</f>
        <v>0</v>
      </c>
    </row>
    <row r="5166" spans="1:11" ht="14.5">
      <c r="A5166" s="20" t="s">
        <v>27032</v>
      </c>
      <c r="B5166" s="20">
        <v>60</v>
      </c>
      <c r="C5166" s="20">
        <v>70</v>
      </c>
      <c r="D5166" s="20">
        <v>6</v>
      </c>
      <c r="E5166" s="20">
        <v>77</v>
      </c>
      <c r="F5166" s="20" t="s">
        <v>27033</v>
      </c>
      <c r="G5166" s="20" t="s">
        <v>27031</v>
      </c>
      <c r="H5166" s="24"/>
      <c r="I5166" s="24" t="str">
        <f ca="1">IFERROR(__xludf.DUMMYFUNCTION("GOOGLETRANSLATE(F5166,""en"",""pt"")"),"baterias de níquel-cádmio selados")</f>
        <v>baterias de níquel-cádmio selados</v>
      </c>
      <c r="J5166">
        <f>VLOOKUP(A5166,Pr_Base_LNEC!$A$4:$J$6971,6,FALSE)</f>
        <v>0</v>
      </c>
      <c r="K5166">
        <f>VLOOKUP(A5166,Pr_Base_LNEC!$A$4:$J$6971,7,FALSE)</f>
        <v>0</v>
      </c>
    </row>
    <row r="5167" spans="1:11" ht="14.5">
      <c r="A5167" s="20" t="s">
        <v>27034</v>
      </c>
      <c r="B5167" s="20">
        <v>60</v>
      </c>
      <c r="C5167" s="20">
        <v>70</v>
      </c>
      <c r="D5167" s="20">
        <v>6</v>
      </c>
      <c r="E5167" s="20">
        <v>94</v>
      </c>
      <c r="F5167" s="20" t="s">
        <v>27035</v>
      </c>
      <c r="G5167" s="20" t="s">
        <v>27031</v>
      </c>
      <c r="H5167" s="24"/>
      <c r="I5167" s="24" t="str">
        <f ca="1">IFERROR(__xludf.DUMMYFUNCTION("GOOGLETRANSLATE(F5167,""en"",""pt"")"),"Válvula regulada (selado) ácido chumbo")</f>
        <v>Válvula regulada (selado) ácido chumbo</v>
      </c>
      <c r="J5167">
        <f>VLOOKUP(A5167,Pr_Base_LNEC!$A$4:$J$6971,6,FALSE)</f>
        <v>0</v>
      </c>
      <c r="K5167">
        <f>VLOOKUP(A5167,Pr_Base_LNEC!$A$4:$J$6971,7,FALSE)</f>
        <v>0</v>
      </c>
    </row>
    <row r="5168" spans="1:11" ht="14.5">
      <c r="A5168" s="20" t="s">
        <v>27036</v>
      </c>
      <c r="B5168" s="20">
        <v>60</v>
      </c>
      <c r="C5168" s="20">
        <v>70</v>
      </c>
      <c r="D5168" s="20">
        <v>6</v>
      </c>
      <c r="E5168" s="20">
        <v>95</v>
      </c>
      <c r="F5168" s="20" t="s">
        <v>27037</v>
      </c>
      <c r="G5168" s="20" t="s">
        <v>27031</v>
      </c>
      <c r="H5168" s="24"/>
      <c r="I5168" s="24" t="str">
        <f ca="1">IFERROR(__xludf.DUMMYFUNCTION("GOOGLETRANSLATE(F5168,""en"",""pt"")"),"baterias de chumbo-ácido ventilados")</f>
        <v>baterias de chumbo-ácido ventilados</v>
      </c>
      <c r="J5168">
        <f>VLOOKUP(A5168,Pr_Base_LNEC!$A$4:$J$6971,6,FALSE)</f>
        <v>0</v>
      </c>
      <c r="K5168">
        <f>VLOOKUP(A5168,Pr_Base_LNEC!$A$4:$J$6971,7,FALSE)</f>
        <v>0</v>
      </c>
    </row>
    <row r="5169" spans="1:11" ht="14.5">
      <c r="A5169" s="20" t="s">
        <v>27038</v>
      </c>
      <c r="B5169" s="20">
        <v>60</v>
      </c>
      <c r="C5169" s="20">
        <v>70</v>
      </c>
      <c r="D5169" s="20">
        <v>6</v>
      </c>
      <c r="E5169" s="20">
        <v>96</v>
      </c>
      <c r="F5169" s="20" t="s">
        <v>27039</v>
      </c>
      <c r="G5169" s="20" t="s">
        <v>27031</v>
      </c>
      <c r="H5169" s="24"/>
      <c r="I5169" s="24" t="str">
        <f ca="1">IFERROR(__xludf.DUMMYFUNCTION("GOOGLETRANSLATE(F5169,""en"",""pt"")"),"baterias de níquel-cádmio ventilados")</f>
        <v>baterias de níquel-cádmio ventilados</v>
      </c>
      <c r="J5169">
        <f>VLOOKUP(A5169,Pr_Base_LNEC!$A$4:$J$6971,6,FALSE)</f>
        <v>0</v>
      </c>
      <c r="K5169">
        <f>VLOOKUP(A5169,Pr_Base_LNEC!$A$4:$J$6971,7,FALSE)</f>
        <v>0</v>
      </c>
    </row>
    <row r="5170" spans="1:11" ht="14.5">
      <c r="A5170" s="20" t="s">
        <v>27040</v>
      </c>
      <c r="B5170" s="20">
        <v>60</v>
      </c>
      <c r="C5170" s="20">
        <v>70</v>
      </c>
      <c r="D5170" s="20">
        <v>22</v>
      </c>
      <c r="E5170" s="24"/>
      <c r="F5170" s="20" t="s">
        <v>27041</v>
      </c>
      <c r="G5170" s="24"/>
      <c r="H5170" s="24"/>
      <c r="I5170" s="24" t="str">
        <f ca="1">IFERROR(__xludf.DUMMYFUNCTION("GOOGLETRANSLATE(F5170,""en"",""pt"")"),"caixas de distribuição e painéis")</f>
        <v>caixas de distribuição e painéis</v>
      </c>
      <c r="J5170">
        <f>VLOOKUP(A5170,Pr_Base_LNEC!$A$4:$J$6971,6,FALSE)</f>
        <v>0</v>
      </c>
      <c r="K5170">
        <f>VLOOKUP(A5170,Pr_Base_LNEC!$A$4:$J$6971,7,FALSE)</f>
        <v>0</v>
      </c>
    </row>
    <row r="5171" spans="1:11" ht="14.5">
      <c r="A5171" s="20" t="s">
        <v>27042</v>
      </c>
      <c r="B5171" s="20">
        <v>60</v>
      </c>
      <c r="C5171" s="20">
        <v>70</v>
      </c>
      <c r="D5171" s="20">
        <v>22</v>
      </c>
      <c r="E5171" s="20">
        <v>11</v>
      </c>
      <c r="F5171" s="20" t="s">
        <v>27043</v>
      </c>
      <c r="G5171" s="20" t="s">
        <v>27044</v>
      </c>
      <c r="H5171" s="24"/>
      <c r="I5171" s="24" t="str">
        <f ca="1">IFERROR(__xludf.DUMMYFUNCTION("GOOGLETRANSLATE(F5171,""en"",""pt"")"),"armários de distribuição por cabo")</f>
        <v>armários de distribuição por cabo</v>
      </c>
      <c r="J5171">
        <f>VLOOKUP(A5171,Pr_Base_LNEC!$A$4:$J$6971,6,FALSE)</f>
        <v>0</v>
      </c>
      <c r="K5171">
        <f>VLOOKUP(A5171,Pr_Base_LNEC!$A$4:$J$6971,7,FALSE)</f>
        <v>0</v>
      </c>
    </row>
    <row r="5172" spans="1:11" ht="14.5">
      <c r="A5172" s="20" t="s">
        <v>27045</v>
      </c>
      <c r="B5172" s="20">
        <v>60</v>
      </c>
      <c r="C5172" s="20">
        <v>70</v>
      </c>
      <c r="D5172" s="20">
        <v>22</v>
      </c>
      <c r="E5172" s="20">
        <v>15</v>
      </c>
      <c r="F5172" s="20" t="s">
        <v>27046</v>
      </c>
      <c r="G5172" s="24"/>
      <c r="H5172" s="24"/>
      <c r="I5172" s="24" t="str">
        <f ca="1">IFERROR(__xludf.DUMMYFUNCTION("GOOGLETRANSLATE(F5172,""en"",""pt"")"),"unidades consumidoras")</f>
        <v>unidades consumidoras</v>
      </c>
      <c r="J5172">
        <f>VLOOKUP(A5172,Pr_Base_LNEC!$A$4:$J$6971,6,FALSE)</f>
        <v>0</v>
      </c>
      <c r="K5172">
        <f>VLOOKUP(A5172,Pr_Base_LNEC!$A$4:$J$6971,7,FALSE)</f>
        <v>0</v>
      </c>
    </row>
    <row r="5173" spans="1:11" ht="14.5">
      <c r="A5173" s="20" t="s">
        <v>27047</v>
      </c>
      <c r="B5173" s="20">
        <v>60</v>
      </c>
      <c r="C5173" s="20">
        <v>70</v>
      </c>
      <c r="D5173" s="20">
        <v>22</v>
      </c>
      <c r="E5173" s="20">
        <v>19</v>
      </c>
      <c r="F5173" s="20" t="s">
        <v>27048</v>
      </c>
      <c r="G5173" s="20" t="s">
        <v>27049</v>
      </c>
      <c r="H5173" s="24"/>
      <c r="I5173" s="24" t="str">
        <f ca="1">IFERROR(__xludf.DUMMYFUNCTION("GOOGLETRANSLATE(F5173,""en"",""pt"")"),"quadros cubículo")</f>
        <v>quadros cubículo</v>
      </c>
      <c r="J5173">
        <f>VLOOKUP(A5173,Pr_Base_LNEC!$A$4:$J$6971,6,FALSE)</f>
        <v>0</v>
      </c>
      <c r="K5173">
        <f>VLOOKUP(A5173,Pr_Base_LNEC!$A$4:$J$6971,7,FALSE)</f>
        <v>0</v>
      </c>
    </row>
    <row r="5174" spans="1:11" ht="14.5">
      <c r="A5174" s="20" t="s">
        <v>27050</v>
      </c>
      <c r="B5174" s="20">
        <v>60</v>
      </c>
      <c r="C5174" s="20">
        <v>70</v>
      </c>
      <c r="D5174" s="20">
        <v>22</v>
      </c>
      <c r="E5174" s="20">
        <v>22</v>
      </c>
      <c r="F5174" s="20" t="s">
        <v>27051</v>
      </c>
      <c r="G5174" s="20" t="s">
        <v>27052</v>
      </c>
      <c r="H5174" s="24"/>
      <c r="I5174" s="24" t="str">
        <f ca="1">IFERROR(__xludf.DUMMYFUNCTION("GOOGLETRANSLATE(F5174,""en"",""pt"")"),"quadros de distribuição")</f>
        <v>quadros de distribuição</v>
      </c>
      <c r="J5174">
        <f>VLOOKUP(A5174,Pr_Base_LNEC!$A$4:$J$6971,6,FALSE)</f>
        <v>0</v>
      </c>
      <c r="K5174">
        <f>VLOOKUP(A5174,Pr_Base_LNEC!$A$4:$J$6971,7,FALSE)</f>
        <v>0</v>
      </c>
    </row>
    <row r="5175" spans="1:11" ht="14.5">
      <c r="A5175" s="20" t="s">
        <v>27053</v>
      </c>
      <c r="B5175" s="20">
        <v>60</v>
      </c>
      <c r="C5175" s="20">
        <v>70</v>
      </c>
      <c r="D5175" s="20">
        <v>22</v>
      </c>
      <c r="E5175" s="20">
        <v>28</v>
      </c>
      <c r="F5175" s="20" t="s">
        <v>27054</v>
      </c>
      <c r="G5175" s="24"/>
      <c r="H5175" s="24"/>
      <c r="I5175" s="24" t="str">
        <f ca="1">IFERROR(__xludf.DUMMYFUNCTION("GOOGLETRANSLATE(F5175,""en"",""pt"")"),"caixas de extensão")</f>
        <v>caixas de extensão</v>
      </c>
      <c r="J5175">
        <f>VLOOKUP(A5175,Pr_Base_LNEC!$A$4:$J$6971,6,FALSE)</f>
        <v>0</v>
      </c>
      <c r="K5175">
        <f>VLOOKUP(A5175,Pr_Base_LNEC!$A$4:$J$6971,7,FALSE)</f>
        <v>0</v>
      </c>
    </row>
    <row r="5176" spans="1:11" ht="14.5">
      <c r="A5176" s="20" t="s">
        <v>27055</v>
      </c>
      <c r="B5176" s="20">
        <v>60</v>
      </c>
      <c r="C5176" s="20">
        <v>70</v>
      </c>
      <c r="D5176" s="20">
        <v>22</v>
      </c>
      <c r="E5176" s="20">
        <v>46</v>
      </c>
      <c r="F5176" s="20" t="s">
        <v>27056</v>
      </c>
      <c r="G5176" s="20" t="s">
        <v>27057</v>
      </c>
      <c r="H5176" s="24"/>
      <c r="I5176" s="24" t="str">
        <f ca="1">IFERROR(__xludf.DUMMYFUNCTION("GOOGLETRANSLATE(F5176,""en"",""pt"")"),"Iluminação caixas de distribuição")</f>
        <v>Iluminação caixas de distribuição</v>
      </c>
      <c r="J5176">
        <f>VLOOKUP(A5176,Pr_Base_LNEC!$A$4:$J$6971,6,FALSE)</f>
        <v>0</v>
      </c>
      <c r="K5176">
        <f>VLOOKUP(A5176,Pr_Base_LNEC!$A$4:$J$6971,7,FALSE)</f>
        <v>0</v>
      </c>
    </row>
    <row r="5177" spans="1:11" ht="14.5">
      <c r="A5177" s="20" t="s">
        <v>27058</v>
      </c>
      <c r="B5177" s="20">
        <v>60</v>
      </c>
      <c r="C5177" s="20">
        <v>70</v>
      </c>
      <c r="D5177" s="20">
        <v>22</v>
      </c>
      <c r="E5177" s="20">
        <v>50</v>
      </c>
      <c r="F5177" s="20" t="s">
        <v>27059</v>
      </c>
      <c r="G5177" s="20" t="s">
        <v>27060</v>
      </c>
      <c r="H5177" s="24"/>
      <c r="I5177" s="24" t="str">
        <f ca="1">IFERROR(__xludf.DUMMYFUNCTION("GOOGLETRANSLATE(F5177,""en"",""pt"")"),"caixas de distribuição mestre")</f>
        <v>caixas de distribuição mestre</v>
      </c>
      <c r="J5177">
        <f>VLOOKUP(A5177,Pr_Base_LNEC!$A$4:$J$6971,6,FALSE)</f>
        <v>0</v>
      </c>
      <c r="K5177">
        <f>VLOOKUP(A5177,Pr_Base_LNEC!$A$4:$J$6971,7,FALSE)</f>
        <v>0</v>
      </c>
    </row>
    <row r="5178" spans="1:11" ht="14.5">
      <c r="A5178" s="20" t="s">
        <v>27061</v>
      </c>
      <c r="B5178" s="20">
        <v>60</v>
      </c>
      <c r="C5178" s="20">
        <v>70</v>
      </c>
      <c r="D5178" s="20">
        <v>22</v>
      </c>
      <c r="E5178" s="20">
        <v>79</v>
      </c>
      <c r="F5178" s="20" t="s">
        <v>27062</v>
      </c>
      <c r="G5178" s="20" t="s">
        <v>27063</v>
      </c>
      <c r="H5178" s="24"/>
      <c r="I5178" s="24" t="str">
        <f ca="1">IFERROR(__xludf.DUMMYFUNCTION("GOOGLETRANSLATE(F5178,""en"",""pt"")"),"caixas de distribuição de escravos")</f>
        <v>caixas de distribuição de escravos</v>
      </c>
      <c r="J5178">
        <f>VLOOKUP(A5178,Pr_Base_LNEC!$A$4:$J$6971,6,FALSE)</f>
        <v>0</v>
      </c>
      <c r="K5178">
        <f>VLOOKUP(A5178,Pr_Base_LNEC!$A$4:$J$6971,7,FALSE)</f>
        <v>0</v>
      </c>
    </row>
    <row r="5179" spans="1:11" ht="14.5">
      <c r="A5179" s="20" t="s">
        <v>27064</v>
      </c>
      <c r="B5179" s="20">
        <v>60</v>
      </c>
      <c r="C5179" s="20">
        <v>70</v>
      </c>
      <c r="D5179" s="20">
        <v>22</v>
      </c>
      <c r="E5179" s="20">
        <v>80</v>
      </c>
      <c r="F5179" s="20" t="s">
        <v>27065</v>
      </c>
      <c r="G5179" s="24"/>
      <c r="H5179" s="24"/>
      <c r="I5179" s="24" t="str">
        <f ca="1">IFERROR(__xludf.DUMMYFUNCTION("GOOGLETRANSLATE(F5179,""en"",""pt"")"),"caixas de espalhamento")</f>
        <v>caixas de espalhamento</v>
      </c>
      <c r="J5179">
        <f>VLOOKUP(A5179,Pr_Base_LNEC!$A$4:$J$6971,6,FALSE)</f>
        <v>0</v>
      </c>
      <c r="K5179">
        <f>VLOOKUP(A5179,Pr_Base_LNEC!$A$4:$J$6971,7,FALSE)</f>
        <v>0</v>
      </c>
    </row>
    <row r="5180" spans="1:11" ht="14.5">
      <c r="A5180" s="20" t="s">
        <v>27066</v>
      </c>
      <c r="B5180" s="20">
        <v>60</v>
      </c>
      <c r="C5180" s="20">
        <v>70</v>
      </c>
      <c r="D5180" s="20">
        <v>22</v>
      </c>
      <c r="E5180" s="20">
        <v>85</v>
      </c>
      <c r="F5180" s="20" t="s">
        <v>27067</v>
      </c>
      <c r="G5180" s="24"/>
      <c r="H5180" s="24"/>
      <c r="I5180" s="24" t="str">
        <f ca="1">IFERROR(__xludf.DUMMYFUNCTION("GOOGLETRANSLATE(F5180,""en"",""pt"")"),"quadros de distribuição sub-principal")</f>
        <v>quadros de distribuição sub-principal</v>
      </c>
      <c r="J5180" t="e">
        <f>VLOOKUP(A5180,Pr_Base_LNEC!$A$4:$J$6971,6,FALSE)</f>
        <v>#N/A</v>
      </c>
      <c r="K5180" t="e">
        <f>VLOOKUP(A5180,Pr_Base_LNEC!$A$4:$J$6971,7,FALSE)</f>
        <v>#N/A</v>
      </c>
    </row>
    <row r="5181" spans="1:11" ht="14.5">
      <c r="A5181" s="20" t="s">
        <v>27068</v>
      </c>
      <c r="B5181" s="20">
        <v>60</v>
      </c>
      <c r="C5181" s="20">
        <v>70</v>
      </c>
      <c r="D5181" s="20">
        <v>28</v>
      </c>
      <c r="E5181" s="24"/>
      <c r="F5181" s="20" t="s">
        <v>27069</v>
      </c>
      <c r="G5181" s="24"/>
      <c r="H5181" s="24"/>
      <c r="I5181" s="24" t="str">
        <f ca="1">IFERROR(__xludf.DUMMYFUNCTION("GOOGLETRANSLATE(F5181,""en"",""pt"")"),"Extra comutadores de alta tensão")</f>
        <v>Extra comutadores de alta tensão</v>
      </c>
      <c r="J5181">
        <f>VLOOKUP(A5181,Pr_Base_LNEC!$A$4:$J$6971,6,FALSE)</f>
        <v>0</v>
      </c>
      <c r="K5181">
        <f>VLOOKUP(A5181,Pr_Base_LNEC!$A$4:$J$6971,7,FALSE)</f>
        <v>0</v>
      </c>
    </row>
    <row r="5182" spans="1:11" ht="14.5">
      <c r="A5182" s="20" t="s">
        <v>27070</v>
      </c>
      <c r="B5182" s="20">
        <v>60</v>
      </c>
      <c r="C5182" s="20">
        <v>70</v>
      </c>
      <c r="D5182" s="20">
        <v>36</v>
      </c>
      <c r="E5182" s="24"/>
      <c r="F5182" s="20" t="s">
        <v>27071</v>
      </c>
      <c r="G5182" s="24"/>
      <c r="H5182" s="24"/>
      <c r="I5182" s="24" t="str">
        <f ca="1">IFERROR(__xludf.DUMMYFUNCTION("GOOGLETRANSLATE(F5182,""en"",""pt"")"),"comutadores de alta tensão e transformadores")</f>
        <v>comutadores de alta tensão e transformadores</v>
      </c>
      <c r="J5182">
        <f>VLOOKUP(A5182,Pr_Base_LNEC!$A$4:$J$6971,6,FALSE)</f>
        <v>0</v>
      </c>
      <c r="K5182">
        <f>VLOOKUP(A5182,Pr_Base_LNEC!$A$4:$J$6971,7,FALSE)</f>
        <v>0</v>
      </c>
    </row>
    <row r="5183" spans="1:11" ht="14.5">
      <c r="A5183" s="20" t="s">
        <v>27072</v>
      </c>
      <c r="B5183" s="20">
        <v>60</v>
      </c>
      <c r="C5183" s="20">
        <v>70</v>
      </c>
      <c r="D5183" s="20">
        <v>36</v>
      </c>
      <c r="E5183" s="20">
        <v>6</v>
      </c>
      <c r="F5183" s="20" t="s">
        <v>27073</v>
      </c>
      <c r="G5183" s="20" t="s">
        <v>27074</v>
      </c>
      <c r="H5183" s="24"/>
      <c r="I5183" s="24" t="str">
        <f ca="1">IFERROR(__xludf.DUMMYFUNCTION("GOOGLETRANSLATE(F5183,""en"",""pt"")"),"painéis barramento de medição de alta tensão")</f>
        <v>painéis barramento de medição de alta tensão</v>
      </c>
      <c r="J5183">
        <f>VLOOKUP(A5183,Pr_Base_LNEC!$A$4:$J$6971,6,FALSE)</f>
        <v>0</v>
      </c>
      <c r="K5183">
        <f>VLOOKUP(A5183,Pr_Base_LNEC!$A$4:$J$6971,7,FALSE)</f>
        <v>0</v>
      </c>
    </row>
    <row r="5184" spans="1:11" ht="14.5">
      <c r="A5184" s="20" t="s">
        <v>27075</v>
      </c>
      <c r="B5184" s="20">
        <v>60</v>
      </c>
      <c r="C5184" s="20">
        <v>70</v>
      </c>
      <c r="D5184" s="20">
        <v>36</v>
      </c>
      <c r="E5184" s="20">
        <v>7</v>
      </c>
      <c r="F5184" s="20" t="s">
        <v>27076</v>
      </c>
      <c r="G5184" s="20" t="s">
        <v>27077</v>
      </c>
      <c r="H5184" s="24"/>
      <c r="I5184" s="24" t="str">
        <f ca="1">IFERROR(__xludf.DUMMYFUNCTION("GOOGLETRANSLATE(F5184,""en"",""pt"")"),"painéis de secção barramento de alta tensão")</f>
        <v>painéis de secção barramento de alta tensão</v>
      </c>
      <c r="J5184">
        <f>VLOOKUP(A5184,Pr_Base_LNEC!$A$4:$J$6971,6,FALSE)</f>
        <v>0</v>
      </c>
      <c r="K5184">
        <f>VLOOKUP(A5184,Pr_Base_LNEC!$A$4:$J$6971,7,FALSE)</f>
        <v>0</v>
      </c>
    </row>
    <row r="5185" spans="1:11" ht="14.5">
      <c r="A5185" s="20" t="s">
        <v>27078</v>
      </c>
      <c r="B5185" s="20">
        <v>60</v>
      </c>
      <c r="C5185" s="20">
        <v>70</v>
      </c>
      <c r="D5185" s="20">
        <v>36</v>
      </c>
      <c r="E5185" s="20">
        <v>12</v>
      </c>
      <c r="F5185" s="20" t="s">
        <v>27079</v>
      </c>
      <c r="G5185" s="24"/>
      <c r="H5185" s="24"/>
      <c r="I5185" s="24" t="str">
        <f ca="1">IFERROR(__xludf.DUMMYFUNCTION("GOOGLETRANSLATE(F5185,""en"",""pt"")"),"disjuntores de alta tensão")</f>
        <v>disjuntores de alta tensão</v>
      </c>
      <c r="J5185">
        <f>VLOOKUP(A5185,Pr_Base_LNEC!$A$4:$J$6971,6,FALSE)</f>
        <v>0</v>
      </c>
      <c r="K5185">
        <f>VLOOKUP(A5185,Pr_Base_LNEC!$A$4:$J$6971,7,FALSE)</f>
        <v>0</v>
      </c>
    </row>
    <row r="5186" spans="1:11" ht="14.5">
      <c r="A5186" s="20" t="s">
        <v>27080</v>
      </c>
      <c r="B5186" s="20">
        <v>60</v>
      </c>
      <c r="C5186" s="20">
        <v>70</v>
      </c>
      <c r="D5186" s="20">
        <v>36</v>
      </c>
      <c r="E5186" s="20">
        <v>18</v>
      </c>
      <c r="F5186" s="20" t="s">
        <v>27081</v>
      </c>
      <c r="G5186" s="20" t="s">
        <v>27082</v>
      </c>
      <c r="H5186" s="24"/>
      <c r="I5186" s="24" t="str">
        <f ca="1">IFERROR(__xludf.DUMMYFUNCTION("GOOGLETRANSLATE(F5186,""en"",""pt"")"),"transformadores de corrente de alta tensão")</f>
        <v>transformadores de corrente de alta tensão</v>
      </c>
      <c r="J5186">
        <f>VLOOKUP(A5186,Pr_Base_LNEC!$A$4:$J$6971,6,FALSE)</f>
        <v>0</v>
      </c>
      <c r="K5186">
        <f>VLOOKUP(A5186,Pr_Base_LNEC!$A$4:$J$6971,7,FALSE)</f>
        <v>0</v>
      </c>
    </row>
    <row r="5187" spans="1:11" ht="14.5">
      <c r="A5187" s="20" t="s">
        <v>27083</v>
      </c>
      <c r="B5187" s="20">
        <v>60</v>
      </c>
      <c r="C5187" s="20">
        <v>70</v>
      </c>
      <c r="D5187" s="20">
        <v>36</v>
      </c>
      <c r="E5187" s="20">
        <v>22</v>
      </c>
      <c r="F5187" s="20" t="s">
        <v>27084</v>
      </c>
      <c r="G5187" s="24"/>
      <c r="H5187" s="24"/>
      <c r="I5187" s="24" t="str">
        <f ca="1">IFERROR(__xludf.DUMMYFUNCTION("GOOGLETRANSLATE(F5187,""en"",""pt"")"),"seccionadores de alta tensão")</f>
        <v>seccionadores de alta tensão</v>
      </c>
      <c r="J5187">
        <f>VLOOKUP(A5187,Pr_Base_LNEC!$A$4:$J$6971,6,FALSE)</f>
        <v>0</v>
      </c>
      <c r="K5187">
        <f>VLOOKUP(A5187,Pr_Base_LNEC!$A$4:$J$6971,7,FALSE)</f>
        <v>0</v>
      </c>
    </row>
    <row r="5188" spans="1:11" ht="14.5">
      <c r="A5188" s="20" t="s">
        <v>27085</v>
      </c>
      <c r="B5188" s="20">
        <v>60</v>
      </c>
      <c r="C5188" s="20">
        <v>70</v>
      </c>
      <c r="D5188" s="20">
        <v>36</v>
      </c>
      <c r="E5188" s="20">
        <v>24</v>
      </c>
      <c r="F5188" s="20" t="s">
        <v>27086</v>
      </c>
      <c r="G5188" s="20" t="s">
        <v>27087</v>
      </c>
      <c r="H5188" s="24"/>
      <c r="I5188" s="24" t="str">
        <f ca="1">IFERROR(__xludf.DUMMYFUNCTION("GOOGLETRANSLATE(F5188,""en"",""pt"")"),"transformadores de alta tensão do tipo seco")</f>
        <v>transformadores de alta tensão do tipo seco</v>
      </c>
      <c r="J5188">
        <f>VLOOKUP(A5188,Pr_Base_LNEC!$A$4:$J$6971,6,FALSE)</f>
        <v>0</v>
      </c>
      <c r="K5188">
        <f>VLOOKUP(A5188,Pr_Base_LNEC!$A$4:$J$6971,7,FALSE)</f>
        <v>0</v>
      </c>
    </row>
    <row r="5189" spans="1:11" ht="14.5">
      <c r="A5189" s="20" t="s">
        <v>27088</v>
      </c>
      <c r="B5189" s="20">
        <v>60</v>
      </c>
      <c r="C5189" s="20">
        <v>70</v>
      </c>
      <c r="D5189" s="20">
        <v>36</v>
      </c>
      <c r="E5189" s="20">
        <v>26</v>
      </c>
      <c r="F5189" s="20" t="s">
        <v>27089</v>
      </c>
      <c r="G5189" s="24"/>
      <c r="H5189" s="24"/>
      <c r="I5189" s="24" t="str">
        <f ca="1">IFERROR(__xludf.DUMMYFUNCTION("GOOGLETRANSLATE(F5189,""en"",""pt"")"),"interruptores de ligação à terra de alta tensão")</f>
        <v>interruptores de ligação à terra de alta tensão</v>
      </c>
      <c r="J5189">
        <f>VLOOKUP(A5189,Pr_Base_LNEC!$A$4:$J$6971,6,FALSE)</f>
        <v>0</v>
      </c>
      <c r="K5189">
        <f>VLOOKUP(A5189,Pr_Base_LNEC!$A$4:$J$6971,7,FALSE)</f>
        <v>0</v>
      </c>
    </row>
    <row r="5190" spans="1:11" ht="14.5">
      <c r="A5190" s="20" t="s">
        <v>27090</v>
      </c>
      <c r="B5190" s="20">
        <v>60</v>
      </c>
      <c r="C5190" s="20">
        <v>70</v>
      </c>
      <c r="D5190" s="20">
        <v>36</v>
      </c>
      <c r="E5190" s="20">
        <v>30</v>
      </c>
      <c r="F5190" s="20" t="s">
        <v>27091</v>
      </c>
      <c r="G5190" s="20" t="s">
        <v>27092</v>
      </c>
      <c r="H5190" s="24"/>
      <c r="I5190" s="24" t="str">
        <f ca="1">IFERROR(__xludf.DUMMYFUNCTION("GOOGLETRANSLATE(F5190,""en"",""pt"")"),"líquidos imerso transformadores de alta tensão")</f>
        <v>líquidos imerso transformadores de alta tensão</v>
      </c>
      <c r="J5190">
        <f>VLOOKUP(A5190,Pr_Base_LNEC!$A$4:$J$6971,6,FALSE)</f>
        <v>0</v>
      </c>
      <c r="K5190">
        <f>VLOOKUP(A5190,Pr_Base_LNEC!$A$4:$J$6971,7,FALSE)</f>
        <v>0</v>
      </c>
    </row>
    <row r="5191" spans="1:11" ht="14.5">
      <c r="A5191" s="20" t="s">
        <v>27093</v>
      </c>
      <c r="B5191" s="20">
        <v>60</v>
      </c>
      <c r="C5191" s="20">
        <v>70</v>
      </c>
      <c r="D5191" s="20">
        <v>36</v>
      </c>
      <c r="E5191" s="20">
        <v>37</v>
      </c>
      <c r="F5191" s="20" t="s">
        <v>27094</v>
      </c>
      <c r="G5191" s="24"/>
      <c r="H5191" s="24"/>
      <c r="I5191" s="24" t="str">
        <f ca="1">IFERROR(__xludf.DUMMYFUNCTION("GOOGLETRANSLATE(F5191,""en"",""pt"")"),"fusíveis de alta tensão")</f>
        <v>fusíveis de alta tensão</v>
      </c>
      <c r="J5191">
        <f>VLOOKUP(A5191,Pr_Base_LNEC!$A$4:$J$6971,6,FALSE)</f>
        <v>0</v>
      </c>
      <c r="K5191">
        <f>VLOOKUP(A5191,Pr_Base_LNEC!$A$4:$J$6971,7,FALSE)</f>
        <v>0</v>
      </c>
    </row>
    <row r="5192" spans="1:11" ht="14.5">
      <c r="A5192" s="20" t="s">
        <v>27095</v>
      </c>
      <c r="B5192" s="20">
        <v>60</v>
      </c>
      <c r="C5192" s="20">
        <v>70</v>
      </c>
      <c r="D5192" s="20">
        <v>36</v>
      </c>
      <c r="E5192" s="20">
        <v>53</v>
      </c>
      <c r="F5192" s="20" t="s">
        <v>27096</v>
      </c>
      <c r="G5192" s="20" t="s">
        <v>27097</v>
      </c>
      <c r="H5192" s="24"/>
      <c r="I5192" s="24" t="str">
        <f ca="1">IFERROR(__xludf.DUMMYFUNCTION("GOOGLETRANSLATE(F5192,""en"",""pt"")"),"painéis modulares de alta tensão")</f>
        <v>painéis modulares de alta tensão</v>
      </c>
      <c r="J5192">
        <f>VLOOKUP(A5192,Pr_Base_LNEC!$A$4:$J$6971,6,FALSE)</f>
        <v>0</v>
      </c>
      <c r="K5192">
        <f>VLOOKUP(A5192,Pr_Base_LNEC!$A$4:$J$6971,7,FALSE)</f>
        <v>0</v>
      </c>
    </row>
    <row r="5193" spans="1:11" ht="14.5">
      <c r="A5193" s="20" t="s">
        <v>27098</v>
      </c>
      <c r="B5193" s="20">
        <v>60</v>
      </c>
      <c r="C5193" s="20">
        <v>70</v>
      </c>
      <c r="D5193" s="20">
        <v>36</v>
      </c>
      <c r="E5193" s="20">
        <v>70</v>
      </c>
      <c r="F5193" s="20" t="s">
        <v>27099</v>
      </c>
      <c r="G5193" s="24"/>
      <c r="H5193" s="24"/>
      <c r="I5193" s="24" t="str">
        <f ca="1">IFERROR(__xludf.DUMMYFUNCTION("GOOGLETRANSLATE(F5193,""en"",""pt"")"),"rectiformers alta tensão")</f>
        <v>rectiformers alta tensão</v>
      </c>
      <c r="J5193" t="e">
        <f>VLOOKUP(A5193,Pr_Base_LNEC!$A$4:$J$6971,6,FALSE)</f>
        <v>#N/A</v>
      </c>
      <c r="K5193" t="e">
        <f>VLOOKUP(A5193,Pr_Base_LNEC!$A$4:$J$6971,7,FALSE)</f>
        <v>#N/A</v>
      </c>
    </row>
    <row r="5194" spans="1:11" ht="14.5">
      <c r="A5194" s="20" t="s">
        <v>27100</v>
      </c>
      <c r="B5194" s="20">
        <v>60</v>
      </c>
      <c r="C5194" s="20">
        <v>70</v>
      </c>
      <c r="D5194" s="20">
        <v>36</v>
      </c>
      <c r="E5194" s="20">
        <v>72</v>
      </c>
      <c r="F5194" s="20" t="s">
        <v>27101</v>
      </c>
      <c r="G5194" s="20" t="s">
        <v>27102</v>
      </c>
      <c r="H5194" s="24"/>
      <c r="I5194" s="24" t="str">
        <f ca="1">IFERROR(__xludf.DUMMYFUNCTION("GOOGLETRANSLATE(F5194,""en"",""pt"")"),"unidades principais de anel alta tensão")</f>
        <v>unidades principais de anel alta tensão</v>
      </c>
      <c r="J5194">
        <f>VLOOKUP(A5194,Pr_Base_LNEC!$A$4:$J$6971,6,FALSE)</f>
        <v>0</v>
      </c>
      <c r="K5194">
        <f>VLOOKUP(A5194,Pr_Base_LNEC!$A$4:$J$6971,7,FALSE)</f>
        <v>0</v>
      </c>
    </row>
    <row r="5195" spans="1:11" ht="14.5">
      <c r="A5195" s="20" t="s">
        <v>27103</v>
      </c>
      <c r="B5195" s="20">
        <v>60</v>
      </c>
      <c r="C5195" s="20">
        <v>70</v>
      </c>
      <c r="D5195" s="20">
        <v>36</v>
      </c>
      <c r="E5195" s="20">
        <v>75</v>
      </c>
      <c r="F5195" s="20" t="s">
        <v>27104</v>
      </c>
      <c r="G5195" s="20" t="s">
        <v>27105</v>
      </c>
      <c r="H5195" s="24"/>
      <c r="I5195" s="24" t="str">
        <f ca="1">IFERROR(__xludf.DUMMYFUNCTION("GOOGLETRANSLATE(F5195,""en"",""pt"")"),"esteiras de segurança de alta tensão")</f>
        <v>esteiras de segurança de alta tensão</v>
      </c>
      <c r="J5195">
        <f>VLOOKUP(A5195,Pr_Base_LNEC!$A$4:$J$6971,6,FALSE)</f>
        <v>0</v>
      </c>
      <c r="K5195">
        <f>VLOOKUP(A5195,Pr_Base_LNEC!$A$4:$J$6971,7,FALSE)</f>
        <v>0</v>
      </c>
    </row>
    <row r="5196" spans="1:11" ht="14.5">
      <c r="A5196" s="20" t="s">
        <v>27106</v>
      </c>
      <c r="B5196" s="20">
        <v>60</v>
      </c>
      <c r="C5196" s="20">
        <v>70</v>
      </c>
      <c r="D5196" s="20">
        <v>36</v>
      </c>
      <c r="E5196" s="20">
        <v>80</v>
      </c>
      <c r="F5196" s="20" t="s">
        <v>27107</v>
      </c>
      <c r="G5196" s="24"/>
      <c r="H5196" s="24"/>
      <c r="I5196" s="24" t="str">
        <f ca="1">IFERROR(__xludf.DUMMYFUNCTION("GOOGLETRANSLATE(F5196,""en"",""pt"")"),"Alta tensão chaves seccionadoras")</f>
        <v>Alta tensão chaves seccionadoras</v>
      </c>
      <c r="J5196">
        <f>VLOOKUP(A5196,Pr_Base_LNEC!$A$4:$J$6971,6,FALSE)</f>
        <v>0</v>
      </c>
      <c r="K5196">
        <f>VLOOKUP(A5196,Pr_Base_LNEC!$A$4:$J$6971,7,FALSE)</f>
        <v>0</v>
      </c>
    </row>
    <row r="5197" spans="1:11" ht="14.5">
      <c r="A5197" s="20" t="s">
        <v>27108</v>
      </c>
      <c r="B5197" s="20">
        <v>60</v>
      </c>
      <c r="C5197" s="20">
        <v>70</v>
      </c>
      <c r="D5197" s="20">
        <v>36</v>
      </c>
      <c r="E5197" s="20">
        <v>81</v>
      </c>
      <c r="F5197" s="20" t="s">
        <v>27109</v>
      </c>
      <c r="G5197" s="24"/>
      <c r="H5197" s="24"/>
      <c r="I5197" s="24" t="str">
        <f ca="1">IFERROR(__xludf.DUMMYFUNCTION("GOOGLETRANSLATE(F5197,""en"",""pt"")"),"Combinações interruptor-fusíveis de alta tensão")</f>
        <v>Combinações interruptor-fusíveis de alta tensão</v>
      </c>
      <c r="J5197">
        <f>VLOOKUP(A5197,Pr_Base_LNEC!$A$4:$J$6971,6,FALSE)</f>
        <v>0</v>
      </c>
      <c r="K5197">
        <f>VLOOKUP(A5197,Pr_Base_LNEC!$A$4:$J$6971,7,FALSE)</f>
        <v>0</v>
      </c>
    </row>
    <row r="5198" spans="1:11" ht="14.5">
      <c r="A5198" s="20" t="s">
        <v>27110</v>
      </c>
      <c r="B5198" s="20">
        <v>60</v>
      </c>
      <c r="C5198" s="20">
        <v>70</v>
      </c>
      <c r="D5198" s="20">
        <v>36</v>
      </c>
      <c r="E5198" s="20">
        <v>82</v>
      </c>
      <c r="F5198" s="20" t="s">
        <v>27111</v>
      </c>
      <c r="G5198" s="24"/>
      <c r="H5198" s="24"/>
      <c r="I5198" s="24" t="str">
        <f ca="1">IFERROR(__xludf.DUMMYFUNCTION("GOOGLETRANSLATE(F5198,""en"",""pt"")"),"Alta tensão alterna")</f>
        <v>Alta tensão alterna</v>
      </c>
      <c r="J5198">
        <f>VLOOKUP(A5198,Pr_Base_LNEC!$A$4:$J$6971,6,FALSE)</f>
        <v>0</v>
      </c>
      <c r="K5198">
        <f>VLOOKUP(A5198,Pr_Base_LNEC!$A$4:$J$6971,7,FALSE)</f>
        <v>0</v>
      </c>
    </row>
    <row r="5199" spans="1:11" ht="14.5">
      <c r="A5199" s="20" t="s">
        <v>27112</v>
      </c>
      <c r="B5199" s="20">
        <v>60</v>
      </c>
      <c r="C5199" s="20">
        <v>70</v>
      </c>
      <c r="D5199" s="20">
        <v>36</v>
      </c>
      <c r="E5199" s="20">
        <v>83</v>
      </c>
      <c r="F5199" s="20" t="s">
        <v>27113</v>
      </c>
      <c r="G5199" s="20" t="s">
        <v>27114</v>
      </c>
      <c r="H5199" s="24"/>
      <c r="I5199" s="24" t="str">
        <f ca="1">IFERROR(__xludf.DUMMYFUNCTION("GOOGLETRANSLATE(F5199,""en"",""pt"")"),"módulos de protecção e de controlo de comutação de alta tensão")</f>
        <v>módulos de protecção e de controlo de comutação de alta tensão</v>
      </c>
      <c r="J5199">
        <f>VLOOKUP(A5199,Pr_Base_LNEC!$A$4:$J$6971,6,FALSE)</f>
        <v>0</v>
      </c>
      <c r="K5199">
        <f>VLOOKUP(A5199,Pr_Base_LNEC!$A$4:$J$6971,7,FALSE)</f>
        <v>0</v>
      </c>
    </row>
    <row r="5200" spans="1:11" ht="14.5">
      <c r="A5200" s="20" t="s">
        <v>27115</v>
      </c>
      <c r="B5200" s="20">
        <v>60</v>
      </c>
      <c r="C5200" s="20">
        <v>70</v>
      </c>
      <c r="D5200" s="20">
        <v>36</v>
      </c>
      <c r="E5200" s="20">
        <v>94</v>
      </c>
      <c r="F5200" s="20" t="s">
        <v>27116</v>
      </c>
      <c r="G5200" s="20" t="s">
        <v>27117</v>
      </c>
      <c r="H5200" s="24"/>
      <c r="I5200" s="24" t="str">
        <f ca="1">IFERROR(__xludf.DUMMYFUNCTION("GOOGLETRANSLATE(F5200,""en"",""pt"")"),"painéis de vácuo circuito disjuntor de alta tensão")</f>
        <v>painéis de vácuo circuito disjuntor de alta tensão</v>
      </c>
      <c r="J5200">
        <f>VLOOKUP(A5200,Pr_Base_LNEC!$A$4:$J$6971,6,FALSE)</f>
        <v>0</v>
      </c>
      <c r="K5200">
        <f>VLOOKUP(A5200,Pr_Base_LNEC!$A$4:$J$6971,7,FALSE)</f>
        <v>0</v>
      </c>
    </row>
    <row r="5201" spans="1:11" ht="14.5">
      <c r="A5201" s="20" t="s">
        <v>27118</v>
      </c>
      <c r="B5201" s="20">
        <v>60</v>
      </c>
      <c r="C5201" s="20">
        <v>70</v>
      </c>
      <c r="D5201" s="20">
        <v>48</v>
      </c>
      <c r="E5201" s="24"/>
      <c r="F5201" s="20" t="s">
        <v>27119</v>
      </c>
      <c r="G5201" s="24"/>
      <c r="H5201" s="24"/>
      <c r="I5201" s="24" t="str">
        <f ca="1">IFERROR(__xludf.DUMMYFUNCTION("GOOGLETRANSLATE(F5201,""en"",""pt"")"),"Aparelhagem de baixa tensão")</f>
        <v>Aparelhagem de baixa tensão</v>
      </c>
      <c r="J5201">
        <f>VLOOKUP(A5201,Pr_Base_LNEC!$A$4:$J$6971,6,FALSE)</f>
        <v>0</v>
      </c>
      <c r="K5201">
        <f>VLOOKUP(A5201,Pr_Base_LNEC!$A$4:$J$6971,7,FALSE)</f>
        <v>0</v>
      </c>
    </row>
    <row r="5202" spans="1:11" ht="14.5">
      <c r="A5202" s="20" t="s">
        <v>27120</v>
      </c>
      <c r="B5202" s="20">
        <v>60</v>
      </c>
      <c r="C5202" s="20">
        <v>70</v>
      </c>
      <c r="D5202" s="20">
        <v>48</v>
      </c>
      <c r="E5202" s="20">
        <v>5</v>
      </c>
      <c r="F5202" s="20" t="s">
        <v>27121</v>
      </c>
      <c r="G5202" s="20" t="s">
        <v>27122</v>
      </c>
      <c r="H5202" s="24"/>
      <c r="I5202" s="24" t="str">
        <f ca="1">IFERROR(__xludf.DUMMYFUNCTION("GOOGLETRANSLATE(F5202,""en"",""pt"")"),"equipamento de comutação automática de transferência (TSE)")</f>
        <v>equipamento de comutação automática de transferência (TSE)</v>
      </c>
      <c r="J5202">
        <f>VLOOKUP(A5202,Pr_Base_LNEC!$A$4:$J$6971,6,FALSE)</f>
        <v>0</v>
      </c>
      <c r="K5202">
        <f>VLOOKUP(A5202,Pr_Base_LNEC!$A$4:$J$6971,7,FALSE)</f>
        <v>0</v>
      </c>
    </row>
    <row r="5203" spans="1:11" ht="14.5">
      <c r="A5203" s="20" t="s">
        <v>27123</v>
      </c>
      <c r="B5203" s="20">
        <v>60</v>
      </c>
      <c r="C5203" s="20">
        <v>70</v>
      </c>
      <c r="D5203" s="20">
        <v>48</v>
      </c>
      <c r="E5203" s="20">
        <v>6</v>
      </c>
      <c r="F5203" s="20" t="s">
        <v>27124</v>
      </c>
      <c r="G5203" s="20" t="s">
        <v>27125</v>
      </c>
      <c r="H5203" s="24"/>
      <c r="I5203" s="24" t="str">
        <f ca="1">IFERROR(__xludf.DUMMYFUNCTION("GOOGLETRANSLATE(F5203,""en"",""pt"")"),"câmaras de barramentos")</f>
        <v>câmaras de barramentos</v>
      </c>
      <c r="J5203">
        <f>VLOOKUP(A5203,Pr_Base_LNEC!$A$4:$J$6971,6,FALSE)</f>
        <v>0</v>
      </c>
      <c r="K5203">
        <f>VLOOKUP(A5203,Pr_Base_LNEC!$A$4:$J$6971,7,FALSE)</f>
        <v>0</v>
      </c>
    </row>
    <row r="5204" spans="1:11" ht="14.5">
      <c r="A5204" s="20" t="s">
        <v>27126</v>
      </c>
      <c r="B5204" s="20">
        <v>60</v>
      </c>
      <c r="C5204" s="20">
        <v>70</v>
      </c>
      <c r="D5204" s="20">
        <v>48</v>
      </c>
      <c r="E5204" s="20">
        <v>7</v>
      </c>
      <c r="F5204" s="20" t="s">
        <v>27127</v>
      </c>
      <c r="G5204" s="20" t="s">
        <v>27128</v>
      </c>
      <c r="H5204" s="24"/>
      <c r="I5204" s="24" t="str">
        <f ca="1">IFERROR(__xludf.DUMMYFUNCTION("GOOGLETRANSLATE(F5204,""en"",""pt"")"),"Prefabricadas de calhas unidades de alimentação")</f>
        <v>Prefabricadas de calhas unidades de alimentação</v>
      </c>
      <c r="J5204">
        <f>VLOOKUP(A5204,Pr_Base_LNEC!$A$4:$J$6971,6,FALSE)</f>
        <v>0</v>
      </c>
      <c r="K5204">
        <f>VLOOKUP(A5204,Pr_Base_LNEC!$A$4:$J$6971,7,FALSE)</f>
        <v>0</v>
      </c>
    </row>
    <row r="5205" spans="1:11" ht="14.5">
      <c r="A5205" s="20" t="s">
        <v>27129</v>
      </c>
      <c r="B5205" s="20">
        <v>60</v>
      </c>
      <c r="C5205" s="20">
        <v>70</v>
      </c>
      <c r="D5205" s="20">
        <v>48</v>
      </c>
      <c r="E5205" s="20">
        <v>8</v>
      </c>
      <c r="F5205" s="20" t="s">
        <v>27130</v>
      </c>
      <c r="G5205" s="20" t="s">
        <v>27131</v>
      </c>
      <c r="H5205" s="24"/>
      <c r="I5205" s="24" t="str">
        <f ca="1">IFERROR(__xludf.DUMMYFUNCTION("GOOGLETRANSLATE(F5205,""en"",""pt"")"),"Barramentos unidades de barreira trunking fogo")</f>
        <v>Barramentos unidades de barreira trunking fogo</v>
      </c>
      <c r="J5205">
        <f>VLOOKUP(A5205,Pr_Base_LNEC!$A$4:$J$6971,6,FALSE)</f>
        <v>0</v>
      </c>
      <c r="K5205">
        <f>VLOOKUP(A5205,Pr_Base_LNEC!$A$4:$J$6971,7,FALSE)</f>
        <v>0</v>
      </c>
    </row>
    <row r="5206" spans="1:11" ht="14.5">
      <c r="A5206" s="20" t="s">
        <v>27132</v>
      </c>
      <c r="B5206" s="20">
        <v>60</v>
      </c>
      <c r="C5206" s="20">
        <v>70</v>
      </c>
      <c r="D5206" s="20">
        <v>48</v>
      </c>
      <c r="E5206" s="20">
        <v>9</v>
      </c>
      <c r="F5206" s="20" t="s">
        <v>27133</v>
      </c>
      <c r="G5206" s="20" t="s">
        <v>27134</v>
      </c>
      <c r="H5206" s="24"/>
      <c r="I5206" s="24" t="str">
        <f ca="1">IFERROR(__xludf.DUMMYFUNCTION("GOOGLETRANSLATE(F5206,""en"",""pt"")"),"Busbar trunking tap-off unidades")</f>
        <v>Busbar trunking tap-off unidades</v>
      </c>
      <c r="J5206">
        <f>VLOOKUP(A5206,Pr_Base_LNEC!$A$4:$J$6971,6,FALSE)</f>
        <v>0</v>
      </c>
      <c r="K5206">
        <f>VLOOKUP(A5206,Pr_Base_LNEC!$A$4:$J$6971,7,FALSE)</f>
        <v>0</v>
      </c>
    </row>
    <row r="5207" spans="1:11" ht="14.5">
      <c r="A5207" s="20" t="s">
        <v>27135</v>
      </c>
      <c r="B5207" s="20">
        <v>60</v>
      </c>
      <c r="C5207" s="20">
        <v>70</v>
      </c>
      <c r="D5207" s="20">
        <v>48</v>
      </c>
      <c r="E5207" s="20">
        <v>11</v>
      </c>
      <c r="F5207" s="20" t="s">
        <v>27136</v>
      </c>
      <c r="G5207" s="20" t="s">
        <v>27137</v>
      </c>
      <c r="H5207" s="24"/>
      <c r="I5207" s="24" t="str">
        <f ca="1">IFERROR(__xludf.DUMMYFUNCTION("GOOGLETRANSLATE(F5207,""en"",""pt"")"),"comutadores")</f>
        <v>comutadores</v>
      </c>
      <c r="J5207">
        <f>VLOOKUP(A5207,Pr_Base_LNEC!$A$4:$J$6971,6,FALSE)</f>
        <v>0</v>
      </c>
      <c r="K5207">
        <f>VLOOKUP(A5207,Pr_Base_LNEC!$A$4:$J$6971,7,FALSE)</f>
        <v>0</v>
      </c>
    </row>
    <row r="5208" spans="1:11" ht="14.5">
      <c r="A5208" s="20" t="s">
        <v>27138</v>
      </c>
      <c r="B5208" s="20">
        <v>60</v>
      </c>
      <c r="C5208" s="20">
        <v>70</v>
      </c>
      <c r="D5208" s="20">
        <v>48</v>
      </c>
      <c r="E5208" s="20">
        <v>27</v>
      </c>
      <c r="F5208" s="20" t="s">
        <v>27139</v>
      </c>
      <c r="G5208" s="20" t="s">
        <v>27140</v>
      </c>
      <c r="H5208" s="24"/>
      <c r="I5208" s="24" t="str">
        <f ca="1">IFERROR(__xludf.DUMMYFUNCTION("GOOGLETRANSLATE(F5208,""en"",""pt"")"),"Eléctricas recortes")</f>
        <v>Eléctricas recortes</v>
      </c>
      <c r="J5208">
        <f>VLOOKUP(A5208,Pr_Base_LNEC!$A$4:$J$6971,6,FALSE)</f>
        <v>0</v>
      </c>
      <c r="K5208">
        <f>VLOOKUP(A5208,Pr_Base_LNEC!$A$4:$J$6971,7,FALSE)</f>
        <v>0</v>
      </c>
    </row>
    <row r="5209" spans="1:11" ht="14.5">
      <c r="A5209" s="20" t="s">
        <v>27141</v>
      </c>
      <c r="B5209" s="20">
        <v>60</v>
      </c>
      <c r="C5209" s="20">
        <v>70</v>
      </c>
      <c r="D5209" s="20">
        <v>48</v>
      </c>
      <c r="E5209" s="20">
        <v>30</v>
      </c>
      <c r="F5209" s="20" t="s">
        <v>27142</v>
      </c>
      <c r="G5209" s="24"/>
      <c r="H5209" s="24"/>
      <c r="I5209" s="24" t="str">
        <f ca="1">IFERROR(__xludf.DUMMYFUNCTION("GOOGLETRANSLATE(F5209,""en"",""pt"")"),"emergência do bombeiro muda")</f>
        <v>emergência do bombeiro muda</v>
      </c>
      <c r="J5209">
        <f>VLOOKUP(A5209,Pr_Base_LNEC!$A$4:$J$6971,6,FALSE)</f>
        <v>0</v>
      </c>
      <c r="K5209">
        <f>VLOOKUP(A5209,Pr_Base_LNEC!$A$4:$J$6971,7,FALSE)</f>
        <v>0</v>
      </c>
    </row>
    <row r="5210" spans="1:11" ht="14.5">
      <c r="A5210" s="20" t="s">
        <v>27143</v>
      </c>
      <c r="B5210" s="20">
        <v>60</v>
      </c>
      <c r="C5210" s="20">
        <v>70</v>
      </c>
      <c r="D5210" s="20">
        <v>48</v>
      </c>
      <c r="E5210" s="20">
        <v>44</v>
      </c>
      <c r="F5210" s="20" t="s">
        <v>27144</v>
      </c>
      <c r="G5210" s="20" t="s">
        <v>27145</v>
      </c>
      <c r="H5210" s="24"/>
      <c r="I5210" s="24" t="str">
        <f ca="1">IFERROR(__xludf.DUMMYFUNCTION("GOOGLETRANSLATE(F5210,""en"",""pt"")"),"Baixa tensão seccionadores fusível-switch")</f>
        <v>Baixa tensão seccionadores fusível-switch</v>
      </c>
      <c r="J5210">
        <f>VLOOKUP(A5210,Pr_Base_LNEC!$A$4:$J$6971,6,FALSE)</f>
        <v>0</v>
      </c>
      <c r="K5210">
        <f>VLOOKUP(A5210,Pr_Base_LNEC!$A$4:$J$6971,7,FALSE)</f>
        <v>0</v>
      </c>
    </row>
    <row r="5211" spans="1:11" ht="14.5">
      <c r="A5211" s="20" t="s">
        <v>27146</v>
      </c>
      <c r="B5211" s="20">
        <v>60</v>
      </c>
      <c r="C5211" s="20">
        <v>70</v>
      </c>
      <c r="D5211" s="20">
        <v>48</v>
      </c>
      <c r="E5211" s="20">
        <v>45</v>
      </c>
      <c r="F5211" s="20" t="s">
        <v>27147</v>
      </c>
      <c r="G5211" s="24"/>
      <c r="H5211" s="24"/>
      <c r="I5211" s="24" t="str">
        <f ca="1">IFERROR(__xludf.DUMMYFUNCTION("GOOGLETRANSLATE(F5211,""en"",""pt"")"),"esteiras de segurança de baixa tensão")</f>
        <v>esteiras de segurança de baixa tensão</v>
      </c>
      <c r="J5211">
        <f>VLOOKUP(A5211,Pr_Base_LNEC!$A$4:$J$6971,6,FALSE)</f>
        <v>0</v>
      </c>
      <c r="K5211">
        <f>VLOOKUP(A5211,Pr_Base_LNEC!$A$4:$J$6971,7,FALSE)</f>
        <v>0</v>
      </c>
    </row>
    <row r="5212" spans="1:11" ht="14.5">
      <c r="A5212" s="20" t="s">
        <v>27148</v>
      </c>
      <c r="B5212" s="20">
        <v>60</v>
      </c>
      <c r="C5212" s="20">
        <v>70</v>
      </c>
      <c r="D5212" s="20">
        <v>48</v>
      </c>
      <c r="E5212" s="20">
        <v>46</v>
      </c>
      <c r="F5212" s="20" t="s">
        <v>27149</v>
      </c>
      <c r="G5212" s="20" t="s">
        <v>27150</v>
      </c>
      <c r="H5212" s="24"/>
      <c r="I5212" s="24" t="str">
        <f ca="1">IFERROR(__xludf.DUMMYFUNCTION("GOOGLETRANSLATE(F5212,""en"",""pt"")"),"Baixa tensão fusíveis interruptor-seccionador")</f>
        <v>Baixa tensão fusíveis interruptor-seccionador</v>
      </c>
      <c r="J5212">
        <f>VLOOKUP(A5212,Pr_Base_LNEC!$A$4:$J$6971,6,FALSE)</f>
        <v>0</v>
      </c>
      <c r="K5212">
        <f>VLOOKUP(A5212,Pr_Base_LNEC!$A$4:$J$6971,7,FALSE)</f>
        <v>0</v>
      </c>
    </row>
    <row r="5213" spans="1:11" ht="14.5">
      <c r="A5213" s="20" t="s">
        <v>27151</v>
      </c>
      <c r="B5213" s="20">
        <v>60</v>
      </c>
      <c r="C5213" s="20">
        <v>70</v>
      </c>
      <c r="D5213" s="20">
        <v>48</v>
      </c>
      <c r="E5213" s="20">
        <v>47</v>
      </c>
      <c r="F5213" s="20" t="s">
        <v>27152</v>
      </c>
      <c r="G5213" s="20" t="s">
        <v>27153</v>
      </c>
      <c r="H5213" s="24"/>
      <c r="I5213" s="24" t="str">
        <f ca="1">IFERROR(__xludf.DUMMYFUNCTION("GOOGLETRANSLATE(F5213,""en"",""pt"")"),"chaves seccionadoras de baixa tensão")</f>
        <v>chaves seccionadoras de baixa tensão</v>
      </c>
      <c r="J5213">
        <f>VLOOKUP(A5213,Pr_Base_LNEC!$A$4:$J$6971,6,FALSE)</f>
        <v>0</v>
      </c>
      <c r="K5213">
        <f>VLOOKUP(A5213,Pr_Base_LNEC!$A$4:$J$6971,7,FALSE)</f>
        <v>0</v>
      </c>
    </row>
    <row r="5214" spans="1:11" ht="14.5">
      <c r="A5214" s="20" t="s">
        <v>27154</v>
      </c>
      <c r="B5214" s="20">
        <v>60</v>
      </c>
      <c r="C5214" s="20">
        <v>70</v>
      </c>
      <c r="D5214" s="20">
        <v>48</v>
      </c>
      <c r="E5214" s="20">
        <v>48</v>
      </c>
      <c r="F5214" s="20" t="s">
        <v>27155</v>
      </c>
      <c r="G5214" s="24"/>
      <c r="H5214" s="24"/>
      <c r="I5214" s="24" t="str">
        <f ca="1">IFERROR(__xludf.DUMMYFUNCTION("GOOGLETRANSLATE(F5214,""en"",""pt"")"),"comutadores de baixa tensão")</f>
        <v>comutadores de baixa tensão</v>
      </c>
      <c r="J5214">
        <f>VLOOKUP(A5214,Pr_Base_LNEC!$A$4:$J$6971,6,FALSE)</f>
        <v>0</v>
      </c>
      <c r="K5214">
        <f>VLOOKUP(A5214,Pr_Base_LNEC!$A$4:$J$6971,7,FALSE)</f>
        <v>0</v>
      </c>
    </row>
    <row r="5215" spans="1:11" ht="14.5">
      <c r="A5215" s="20" t="s">
        <v>27156</v>
      </c>
      <c r="B5215" s="20">
        <v>60</v>
      </c>
      <c r="C5215" s="20">
        <v>70</v>
      </c>
      <c r="D5215" s="20">
        <v>48</v>
      </c>
      <c r="E5215" s="20">
        <v>49</v>
      </c>
      <c r="F5215" s="20" t="s">
        <v>27157</v>
      </c>
      <c r="G5215" s="20" t="s">
        <v>27158</v>
      </c>
      <c r="H5215" s="24"/>
      <c r="I5215" s="24" t="str">
        <f ca="1">IFERROR(__xludf.DUMMYFUNCTION("GOOGLETRANSLATE(F5215,""en"",""pt"")"),"Baixa Tensão Painéis unidades de disparo")</f>
        <v>Baixa Tensão Painéis unidades de disparo</v>
      </c>
      <c r="J5215">
        <f>VLOOKUP(A5215,Pr_Base_LNEC!$A$4:$J$6971,6,FALSE)</f>
        <v>0</v>
      </c>
      <c r="K5215">
        <f>VLOOKUP(A5215,Pr_Base_LNEC!$A$4:$J$6971,7,FALSE)</f>
        <v>0</v>
      </c>
    </row>
    <row r="5216" spans="1:11" ht="14.5">
      <c r="A5216" s="20" t="s">
        <v>27159</v>
      </c>
      <c r="B5216" s="20">
        <v>60</v>
      </c>
      <c r="C5216" s="20">
        <v>70</v>
      </c>
      <c r="D5216" s="20">
        <v>48</v>
      </c>
      <c r="E5216" s="20">
        <v>62</v>
      </c>
      <c r="F5216" s="20" t="s">
        <v>27160</v>
      </c>
      <c r="G5216" s="20" t="s">
        <v>27161</v>
      </c>
      <c r="H5216" s="24"/>
      <c r="I5216" s="24" t="str">
        <f ca="1">IFERROR(__xludf.DUMMYFUNCTION("GOOGLETRANSLATE(F5216,""en"",""pt"")"),"caixas de junção de matriz fotovoltaica")</f>
        <v>caixas de junção de matriz fotovoltaica</v>
      </c>
      <c r="J5216">
        <f>VLOOKUP(A5216,Pr_Base_LNEC!$A$4:$J$6971,6,FALSE)</f>
        <v>0</v>
      </c>
      <c r="K5216">
        <f>VLOOKUP(A5216,Pr_Base_LNEC!$A$4:$J$6971,7,FALSE)</f>
        <v>0</v>
      </c>
    </row>
    <row r="5217" spans="1:11" ht="14.5">
      <c r="A5217" s="20" t="s">
        <v>27162</v>
      </c>
      <c r="B5217" s="20">
        <v>60</v>
      </c>
      <c r="C5217" s="20">
        <v>70</v>
      </c>
      <c r="D5217" s="20">
        <v>48</v>
      </c>
      <c r="E5217" s="20">
        <v>63</v>
      </c>
      <c r="F5217" s="20" t="s">
        <v>27163</v>
      </c>
      <c r="G5217" s="24"/>
      <c r="H5217" s="24"/>
      <c r="I5217" s="24" t="str">
        <f ca="1">IFERROR(__xludf.DUMMYFUNCTION("GOOGLETRANSLATE(F5217,""en"",""pt"")"),"caixas de junção gerador fotovoltaico")</f>
        <v>caixas de junção gerador fotovoltaico</v>
      </c>
      <c r="J5217">
        <f>VLOOKUP(A5217,Pr_Base_LNEC!$A$4:$J$6971,6,FALSE)</f>
        <v>0</v>
      </c>
      <c r="K5217">
        <f>VLOOKUP(A5217,Pr_Base_LNEC!$A$4:$J$6971,7,FALSE)</f>
        <v>0</v>
      </c>
    </row>
    <row r="5218" spans="1:11" ht="14.5">
      <c r="A5218" s="20" t="s">
        <v>27164</v>
      </c>
      <c r="B5218" s="20">
        <v>60</v>
      </c>
      <c r="C5218" s="20">
        <v>70</v>
      </c>
      <c r="D5218" s="20">
        <v>48</v>
      </c>
      <c r="E5218" s="20">
        <v>66</v>
      </c>
      <c r="F5218" s="20" t="s">
        <v>27165</v>
      </c>
      <c r="G5218" s="20" t="s">
        <v>27166</v>
      </c>
      <c r="H5218" s="24"/>
      <c r="I5218" s="24" t="str">
        <f ca="1">IFERROR(__xludf.DUMMYFUNCTION("GOOGLETRANSLATE(F5218,""en"",""pt"")"),"canalizações eléctricas de potência")</f>
        <v>canalizações eléctricas de potência</v>
      </c>
      <c r="J5218">
        <f>VLOOKUP(A5218,Pr_Base_LNEC!$A$4:$J$6971,6,FALSE)</f>
        <v>0</v>
      </c>
      <c r="K5218">
        <f>VLOOKUP(A5218,Pr_Base_LNEC!$A$4:$J$6971,7,FALSE)</f>
        <v>0</v>
      </c>
    </row>
    <row r="5219" spans="1:11" ht="14.5">
      <c r="A5219" s="20" t="s">
        <v>27167</v>
      </c>
      <c r="B5219" s="20">
        <v>60</v>
      </c>
      <c r="C5219" s="20">
        <v>70</v>
      </c>
      <c r="D5219" s="20">
        <v>64</v>
      </c>
      <c r="E5219" s="24"/>
      <c r="F5219" s="20" t="s">
        <v>27168</v>
      </c>
      <c r="G5219" s="24"/>
      <c r="H5219" s="24"/>
      <c r="I5219" s="24" t="str">
        <f ca="1">IFERROR(__xludf.DUMMYFUNCTION("GOOGLETRANSLATE(F5219,""en"",""pt"")"),"equipamentos de abastecimento de condicionamento de energia")</f>
        <v>equipamentos de abastecimento de condicionamento de energia</v>
      </c>
      <c r="J5219">
        <f>VLOOKUP(A5219,Pr_Base_LNEC!$A$4:$J$6971,6,FALSE)</f>
        <v>0</v>
      </c>
      <c r="K5219">
        <f>VLOOKUP(A5219,Pr_Base_LNEC!$A$4:$J$6971,7,FALSE)</f>
        <v>0</v>
      </c>
    </row>
    <row r="5220" spans="1:11" ht="14.5">
      <c r="A5220" s="20" t="s">
        <v>27169</v>
      </c>
      <c r="B5220" s="20">
        <v>60</v>
      </c>
      <c r="C5220" s="20">
        <v>70</v>
      </c>
      <c r="D5220" s="20">
        <v>64</v>
      </c>
      <c r="E5220" s="20">
        <v>86</v>
      </c>
      <c r="F5220" s="20" t="s">
        <v>27170</v>
      </c>
      <c r="G5220" s="20" t="s">
        <v>27171</v>
      </c>
      <c r="H5220" s="24"/>
      <c r="I5220" s="24" t="str">
        <f ca="1">IFERROR(__xludf.DUMMYFUNCTION("GOOGLETRANSLATE(F5220,""en"",""pt"")"),"Fontes de alimentação de inversores estáticos")</f>
        <v>Fontes de alimentação de inversores estáticos</v>
      </c>
      <c r="J5220">
        <f>VLOOKUP(A5220,Pr_Base_LNEC!$A$4:$J$6971,6,FALSE)</f>
        <v>0</v>
      </c>
      <c r="K5220">
        <f>VLOOKUP(A5220,Pr_Base_LNEC!$A$4:$J$6971,7,FALSE)</f>
        <v>0</v>
      </c>
    </row>
    <row r="5221" spans="1:11" ht="14.5">
      <c r="A5221" s="20" t="s">
        <v>27172</v>
      </c>
      <c r="B5221" s="20">
        <v>60</v>
      </c>
      <c r="C5221" s="20">
        <v>70</v>
      </c>
      <c r="D5221" s="20">
        <v>64</v>
      </c>
      <c r="E5221" s="20">
        <v>93</v>
      </c>
      <c r="F5221" s="20" t="s">
        <v>27173</v>
      </c>
      <c r="G5221" s="20" t="s">
        <v>27174</v>
      </c>
      <c r="H5221" s="24"/>
      <c r="I5221" s="24" t="str">
        <f ca="1">IFERROR(__xludf.DUMMYFUNCTION("GOOGLETRANSLATE(F5221,""en"",""pt"")"),"fonte de alimentação ininterrupta (UPS) unidades")</f>
        <v>fonte de alimentação ininterrupta (UPS) unidades</v>
      </c>
      <c r="J5221">
        <f>VLOOKUP(A5221,Pr_Base_LNEC!$A$4:$J$6971,6,FALSE)</f>
        <v>0</v>
      </c>
      <c r="K5221">
        <f>VLOOKUP(A5221,Pr_Base_LNEC!$A$4:$J$6971,7,FALSE)</f>
        <v>0</v>
      </c>
    </row>
    <row r="5222" spans="1:11" ht="14.5">
      <c r="A5222" s="20" t="s">
        <v>27175</v>
      </c>
      <c r="B5222" s="20">
        <v>60</v>
      </c>
      <c r="C5222" s="20">
        <v>70</v>
      </c>
      <c r="D5222" s="20">
        <v>64</v>
      </c>
      <c r="E5222" s="20">
        <v>94</v>
      </c>
      <c r="F5222" s="20" t="s">
        <v>27176</v>
      </c>
      <c r="G5222" s="20" t="s">
        <v>27177</v>
      </c>
      <c r="H5222" s="24"/>
      <c r="I5222" s="24" t="str">
        <f ca="1">IFERROR(__xludf.DUMMYFUNCTION("GOOGLETRANSLATE(F5222,""en"",""pt"")"),"fonte de alimentação ininterrupta (UPS) painéis de alarme remoto")</f>
        <v>fonte de alimentação ininterrupta (UPS) painéis de alarme remoto</v>
      </c>
      <c r="J5222">
        <f>VLOOKUP(A5222,Pr_Base_LNEC!$A$4:$J$6971,6,FALSE)</f>
        <v>0</v>
      </c>
      <c r="K5222">
        <f>VLOOKUP(A5222,Pr_Base_LNEC!$A$4:$J$6971,7,FALSE)</f>
        <v>0</v>
      </c>
    </row>
    <row r="5223" spans="1:11" ht="14.5">
      <c r="A5223" s="20" t="s">
        <v>27178</v>
      </c>
      <c r="B5223" s="20">
        <v>60</v>
      </c>
      <c r="C5223" s="20">
        <v>70</v>
      </c>
      <c r="D5223" s="20">
        <v>65</v>
      </c>
      <c r="E5223" s="24"/>
      <c r="F5223" s="20" t="s">
        <v>27179</v>
      </c>
      <c r="G5223" s="24"/>
      <c r="H5223" s="24"/>
      <c r="I5223" s="24" t="str">
        <f ca="1">IFERROR(__xludf.DUMMYFUNCTION("GOOGLETRANSLATE(F5223,""en"",""pt"")"),"geradores, motores e as unidades de energia (CHP) produção combinada de calor e embalados")</f>
        <v>geradores, motores e as unidades de energia (CHP) produção combinada de calor e embalados</v>
      </c>
      <c r="J5223">
        <f>VLOOKUP(A5223,Pr_Base_LNEC!$A$4:$J$6971,6,FALSE)</f>
        <v>0</v>
      </c>
      <c r="K5223">
        <f>VLOOKUP(A5223,Pr_Base_LNEC!$A$4:$J$6971,7,FALSE)</f>
        <v>0</v>
      </c>
    </row>
    <row r="5224" spans="1:11" ht="14.5">
      <c r="A5224" s="20" t="s">
        <v>27180</v>
      </c>
      <c r="B5224" s="20">
        <v>60</v>
      </c>
      <c r="C5224" s="20">
        <v>70</v>
      </c>
      <c r="D5224" s="20">
        <v>65</v>
      </c>
      <c r="E5224" s="20">
        <v>3</v>
      </c>
      <c r="F5224" s="20" t="s">
        <v>27181</v>
      </c>
      <c r="G5224" s="24"/>
      <c r="H5224" s="24"/>
      <c r="I5224" s="24" t="str">
        <f ca="1">IFERROR(__xludf.DUMMYFUNCTION("GOOGLETRANSLATE(F5224,""en"",""pt"")"),"alternadores")</f>
        <v>alternadores</v>
      </c>
      <c r="J5224">
        <f>VLOOKUP(A5224,Pr_Base_LNEC!$A$4:$J$6971,6,FALSE)</f>
        <v>0</v>
      </c>
      <c r="K5224">
        <f>VLOOKUP(A5224,Pr_Base_LNEC!$A$4:$J$6971,7,FALSE)</f>
        <v>0</v>
      </c>
    </row>
    <row r="5225" spans="1:11" ht="14.5">
      <c r="A5225" s="20" t="s">
        <v>27182</v>
      </c>
      <c r="B5225" s="20">
        <v>60</v>
      </c>
      <c r="C5225" s="20">
        <v>70</v>
      </c>
      <c r="D5225" s="20">
        <v>65</v>
      </c>
      <c r="E5225" s="20">
        <v>5</v>
      </c>
      <c r="F5225" s="20" t="s">
        <v>27183</v>
      </c>
      <c r="G5225" s="24"/>
      <c r="H5225" s="24"/>
      <c r="I5225" s="24" t="str">
        <f ca="1">IFERROR(__xludf.DUMMYFUNCTION("GOOGLETRANSLATE(F5225,""en"",""pt"")"),"reguladores de tensão automáticos")</f>
        <v>reguladores de tensão automáticos</v>
      </c>
      <c r="J5225">
        <f>VLOOKUP(A5225,Pr_Base_LNEC!$A$4:$J$6971,6,FALSE)</f>
        <v>0</v>
      </c>
      <c r="K5225">
        <f>VLOOKUP(A5225,Pr_Base_LNEC!$A$4:$J$6971,7,FALSE)</f>
        <v>0</v>
      </c>
    </row>
    <row r="5226" spans="1:11" ht="14.5">
      <c r="A5226" s="20" t="s">
        <v>27184</v>
      </c>
      <c r="B5226" s="20">
        <v>60</v>
      </c>
      <c r="C5226" s="20">
        <v>70</v>
      </c>
      <c r="D5226" s="20">
        <v>65</v>
      </c>
      <c r="E5226" s="20">
        <v>32</v>
      </c>
      <c r="F5226" s="20" t="s">
        <v>27185</v>
      </c>
      <c r="G5226" s="20" t="s">
        <v>27186</v>
      </c>
      <c r="H5226" s="24"/>
      <c r="I5226" s="24" t="str">
        <f ca="1">IFERROR(__xludf.DUMMYFUNCTION("GOOGLETRANSLATE(F5226,""en"",""pt"")"),"As turbinas a gás (CCGT)")</f>
        <v>As turbinas a gás (CCGT)</v>
      </c>
      <c r="J5226">
        <f>VLOOKUP(A5226,Pr_Base_LNEC!$A$4:$J$6971,6,FALSE)</f>
        <v>0</v>
      </c>
      <c r="K5226">
        <f>VLOOKUP(A5226,Pr_Base_LNEC!$A$4:$J$6971,7,FALSE)</f>
        <v>0</v>
      </c>
    </row>
    <row r="5227" spans="1:11" ht="14.5">
      <c r="A5227" s="20" t="s">
        <v>27187</v>
      </c>
      <c r="B5227" s="20">
        <v>60</v>
      </c>
      <c r="C5227" s="20">
        <v>70</v>
      </c>
      <c r="D5227" s="20">
        <v>65</v>
      </c>
      <c r="E5227" s="20">
        <v>33</v>
      </c>
      <c r="F5227" s="20" t="s">
        <v>27188</v>
      </c>
      <c r="G5227" s="24"/>
      <c r="H5227" s="24"/>
      <c r="I5227" s="24" t="str">
        <f ca="1">IFERROR(__xludf.DUMMYFUNCTION("GOOGLETRANSLATE(F5227,""en"",""pt"")"),"painéis de controle do gerador")</f>
        <v>painéis de controle do gerador</v>
      </c>
      <c r="J5227">
        <f>VLOOKUP(A5227,Pr_Base_LNEC!$A$4:$J$6971,6,FALSE)</f>
        <v>0</v>
      </c>
      <c r="K5227">
        <f>VLOOKUP(A5227,Pr_Base_LNEC!$A$4:$J$6971,7,FALSE)</f>
        <v>0</v>
      </c>
    </row>
    <row r="5228" spans="1:11" ht="14.5">
      <c r="A5228" s="20" t="s">
        <v>27189</v>
      </c>
      <c r="B5228" s="20">
        <v>60</v>
      </c>
      <c r="C5228" s="20">
        <v>70</v>
      </c>
      <c r="D5228" s="20">
        <v>65</v>
      </c>
      <c r="E5228" s="20">
        <v>34</v>
      </c>
      <c r="F5228" s="20" t="s">
        <v>27190</v>
      </c>
      <c r="G5228" s="20" t="s">
        <v>27191</v>
      </c>
      <c r="H5228" s="24"/>
      <c r="I5228" s="24" t="str">
        <f ca="1">IFERROR(__xludf.DUMMYFUNCTION("GOOGLETRANSLATE(F5228,""en"",""pt"")"),"conjuntos de geradores")</f>
        <v>conjuntos de geradores</v>
      </c>
      <c r="J5228">
        <f>VLOOKUP(A5228,Pr_Base_LNEC!$A$4:$J$6971,6,FALSE)</f>
        <v>0</v>
      </c>
      <c r="K5228">
        <f>VLOOKUP(A5228,Pr_Base_LNEC!$A$4:$J$6971,7,FALSE)</f>
        <v>0</v>
      </c>
    </row>
    <row r="5229" spans="1:11" ht="14.5">
      <c r="A5229" s="20" t="s">
        <v>27192</v>
      </c>
      <c r="B5229" s="20">
        <v>60</v>
      </c>
      <c r="C5229" s="20">
        <v>70</v>
      </c>
      <c r="D5229" s="20">
        <v>65</v>
      </c>
      <c r="E5229" s="20">
        <v>35</v>
      </c>
      <c r="F5229" s="20" t="s">
        <v>27193</v>
      </c>
      <c r="G5229" s="24"/>
      <c r="H5229" s="24"/>
      <c r="I5229" s="24" t="str">
        <f ca="1">IFERROR(__xludf.DUMMYFUNCTION("GOOGLETRANSLATE(F5229,""en"",""pt"")"),"Governadores")</f>
        <v>Governadores</v>
      </c>
      <c r="J5229">
        <f>VLOOKUP(A5229,Pr_Base_LNEC!$A$4:$J$6971,6,FALSE)</f>
        <v>0</v>
      </c>
      <c r="K5229">
        <f>VLOOKUP(A5229,Pr_Base_LNEC!$A$4:$J$6971,7,FALSE)</f>
        <v>0</v>
      </c>
    </row>
    <row r="5230" spans="1:11" ht="14.5">
      <c r="A5230" s="20" t="s">
        <v>27194</v>
      </c>
      <c r="B5230" s="20">
        <v>60</v>
      </c>
      <c r="C5230" s="20">
        <v>70</v>
      </c>
      <c r="D5230" s="20">
        <v>65</v>
      </c>
      <c r="E5230" s="20">
        <v>37</v>
      </c>
      <c r="F5230" s="20" t="s">
        <v>27195</v>
      </c>
      <c r="G5230" s="20" t="s">
        <v>27196</v>
      </c>
      <c r="H5230" s="24"/>
      <c r="I5230" s="24" t="str">
        <f ca="1">IFERROR(__xludf.DUMMYFUNCTION("GOOGLETRANSLATE(F5230,""en"",""pt"")"),"Turbinas eólicas de eixo horizontal (HAWT)")</f>
        <v>Turbinas eólicas de eixo horizontal (HAWT)</v>
      </c>
      <c r="J5230">
        <f>VLOOKUP(A5230,Pr_Base_LNEC!$A$4:$J$6971,6,FALSE)</f>
        <v>0</v>
      </c>
      <c r="K5230">
        <f>VLOOKUP(A5230,Pr_Base_LNEC!$A$4:$J$6971,7,FALSE)</f>
        <v>0</v>
      </c>
    </row>
    <row r="5231" spans="1:11" ht="14.5">
      <c r="A5231" s="20" t="s">
        <v>27197</v>
      </c>
      <c r="B5231" s="20">
        <v>60</v>
      </c>
      <c r="C5231" s="20">
        <v>70</v>
      </c>
      <c r="D5231" s="20">
        <v>65</v>
      </c>
      <c r="E5231" s="20">
        <v>38</v>
      </c>
      <c r="F5231" s="20" t="s">
        <v>27198</v>
      </c>
      <c r="G5231" s="24"/>
      <c r="H5231" s="24"/>
      <c r="I5231" s="24" t="str">
        <f ca="1">IFERROR(__xludf.DUMMYFUNCTION("GOOGLETRANSLATE(F5231,""en"",""pt"")"),"unidades hidráulicas")</f>
        <v>unidades hidráulicas</v>
      </c>
      <c r="J5231" t="e">
        <f>VLOOKUP(A5231,Pr_Base_LNEC!$A$4:$J$6971,6,FALSE)</f>
        <v>#N/A</v>
      </c>
      <c r="K5231" t="e">
        <f>VLOOKUP(A5231,Pr_Base_LNEC!$A$4:$J$6971,7,FALSE)</f>
        <v>#N/A</v>
      </c>
    </row>
    <row r="5232" spans="1:11" ht="14.5">
      <c r="A5232" s="20" t="s">
        <v>27199</v>
      </c>
      <c r="B5232" s="20">
        <v>60</v>
      </c>
      <c r="C5232" s="20">
        <v>70</v>
      </c>
      <c r="D5232" s="20">
        <v>65</v>
      </c>
      <c r="E5232" s="20">
        <v>39</v>
      </c>
      <c r="F5232" s="20" t="s">
        <v>27200</v>
      </c>
      <c r="G5232" s="20" t="s">
        <v>27201</v>
      </c>
      <c r="H5232" s="24"/>
      <c r="I5232" s="24" t="str">
        <f ca="1">IFERROR(__xludf.DUMMYFUNCTION("GOOGLETRANSLATE(F5232,""en"",""pt"")"),"turbinas hidráulicas")</f>
        <v>turbinas hidráulicas</v>
      </c>
      <c r="J5232">
        <f>VLOOKUP(A5232,Pr_Base_LNEC!$A$4:$J$6971,6,FALSE)</f>
        <v>0</v>
      </c>
      <c r="K5232">
        <f>VLOOKUP(A5232,Pr_Base_LNEC!$A$4:$J$6971,7,FALSE)</f>
        <v>0</v>
      </c>
    </row>
    <row r="5233" spans="1:11" ht="14.5">
      <c r="A5233" s="20" t="s">
        <v>27202</v>
      </c>
      <c r="B5233" s="20">
        <v>60</v>
      </c>
      <c r="C5233" s="20">
        <v>70</v>
      </c>
      <c r="D5233" s="20">
        <v>65</v>
      </c>
      <c r="E5233" s="20">
        <v>41</v>
      </c>
      <c r="F5233" s="20" t="s">
        <v>27203</v>
      </c>
      <c r="G5233" s="24"/>
      <c r="H5233" s="24"/>
      <c r="I5233" s="24" t="str">
        <f ca="1">IFERROR(__xludf.DUMMYFUNCTION("GOOGLETRANSLATE(F5233,""en"",""pt"")"),"Motores de combustão interna")</f>
        <v>Motores de combustão interna</v>
      </c>
      <c r="J5233">
        <f>VLOOKUP(A5233,Pr_Base_LNEC!$A$4:$J$6971,6,FALSE)</f>
        <v>0</v>
      </c>
      <c r="K5233">
        <f>VLOOKUP(A5233,Pr_Base_LNEC!$A$4:$J$6971,7,FALSE)</f>
        <v>0</v>
      </c>
    </row>
    <row r="5234" spans="1:11" ht="14.5">
      <c r="A5234" s="20" t="s">
        <v>27204</v>
      </c>
      <c r="B5234" s="20">
        <v>60</v>
      </c>
      <c r="C5234" s="20">
        <v>70</v>
      </c>
      <c r="D5234" s="20">
        <v>65</v>
      </c>
      <c r="E5234" s="20">
        <v>47</v>
      </c>
      <c r="F5234" s="20" t="s">
        <v>27205</v>
      </c>
      <c r="G5234" s="20" t="s">
        <v>27206</v>
      </c>
      <c r="H5234" s="24"/>
      <c r="I5234" s="24" t="str">
        <f ca="1">IFERROR(__xludf.DUMMYFUNCTION("GOOGLETRANSLATE(F5234,""en"",""pt"")"),"bancos de carga")</f>
        <v>bancos de carga</v>
      </c>
      <c r="J5234">
        <f>VLOOKUP(A5234,Pr_Base_LNEC!$A$4:$J$6971,6,FALSE)</f>
        <v>0</v>
      </c>
      <c r="K5234">
        <f>VLOOKUP(A5234,Pr_Base_LNEC!$A$4:$J$6971,7,FALSE)</f>
        <v>0</v>
      </c>
    </row>
    <row r="5235" spans="1:11" ht="14.5">
      <c r="A5235" s="20" t="s">
        <v>27207</v>
      </c>
      <c r="B5235" s="20">
        <v>60</v>
      </c>
      <c r="C5235" s="20">
        <v>70</v>
      </c>
      <c r="D5235" s="20">
        <v>65</v>
      </c>
      <c r="E5235" s="20">
        <v>58</v>
      </c>
      <c r="F5235" s="20" t="s">
        <v>27208</v>
      </c>
      <c r="G5235" s="20" t="s">
        <v>27209</v>
      </c>
      <c r="H5235" s="24"/>
      <c r="I5235" s="24" t="str">
        <f ca="1">IFERROR(__xludf.DUMMYFUNCTION("GOOGLETRANSLATE(F5235,""en"",""pt"")"),"turbinas eólicas offshore")</f>
        <v>turbinas eólicas offshore</v>
      </c>
      <c r="J5235">
        <f>VLOOKUP(A5235,Pr_Base_LNEC!$A$4:$J$6971,6,FALSE)</f>
        <v>0</v>
      </c>
      <c r="K5235">
        <f>VLOOKUP(A5235,Pr_Base_LNEC!$A$4:$J$6971,7,FALSE)</f>
        <v>0</v>
      </c>
    </row>
    <row r="5236" spans="1:11" ht="14.5">
      <c r="A5236" s="20" t="s">
        <v>27210</v>
      </c>
      <c r="B5236" s="20">
        <v>60</v>
      </c>
      <c r="C5236" s="20">
        <v>70</v>
      </c>
      <c r="D5236" s="20">
        <v>65</v>
      </c>
      <c r="E5236" s="20">
        <v>59</v>
      </c>
      <c r="F5236" s="20" t="s">
        <v>27211</v>
      </c>
      <c r="G5236" s="20" t="s">
        <v>27212</v>
      </c>
      <c r="H5236" s="24"/>
      <c r="I5236" s="24" t="str">
        <f ca="1">IFERROR(__xludf.DUMMYFUNCTION("GOOGLETRANSLATE(F5236,""en"",""pt"")"),"Onshore turbinas eólicas")</f>
        <v>Onshore turbinas eólicas</v>
      </c>
      <c r="J5236">
        <f>VLOOKUP(A5236,Pr_Base_LNEC!$A$4:$J$6971,6,FALSE)</f>
        <v>0</v>
      </c>
      <c r="K5236">
        <f>VLOOKUP(A5236,Pr_Base_LNEC!$A$4:$J$6971,7,FALSE)</f>
        <v>0</v>
      </c>
    </row>
    <row r="5237" spans="1:11" ht="14.5">
      <c r="A5237" s="20" t="s">
        <v>27213</v>
      </c>
      <c r="B5237" s="20">
        <v>60</v>
      </c>
      <c r="C5237" s="20">
        <v>70</v>
      </c>
      <c r="D5237" s="20">
        <v>65</v>
      </c>
      <c r="E5237" s="20">
        <v>60</v>
      </c>
      <c r="F5237" s="20" t="s">
        <v>27214</v>
      </c>
      <c r="G5237" s="20" t="s">
        <v>27215</v>
      </c>
      <c r="H5237" s="24"/>
      <c r="I5237" s="24" t="str">
        <f ca="1">IFERROR(__xludf.DUMMYFUNCTION("GOOGLETRANSLATE(F5237,""en"",""pt"")"),"unidades (CHP) de calor e de potência combinados embalados")</f>
        <v>unidades (CHP) de calor e de potência combinados embalados</v>
      </c>
      <c r="J5237">
        <f>VLOOKUP(A5237,Pr_Base_LNEC!$A$4:$J$6971,6,FALSE)</f>
        <v>0</v>
      </c>
      <c r="K5237">
        <f>VLOOKUP(A5237,Pr_Base_LNEC!$A$4:$J$6971,7,FALSE)</f>
        <v>0</v>
      </c>
    </row>
    <row r="5238" spans="1:11" ht="14.5">
      <c r="A5238" s="20" t="s">
        <v>27216</v>
      </c>
      <c r="B5238" s="20">
        <v>60</v>
      </c>
      <c r="C5238" s="20">
        <v>70</v>
      </c>
      <c r="D5238" s="20">
        <v>65</v>
      </c>
      <c r="E5238" s="20">
        <v>63</v>
      </c>
      <c r="F5238" s="20" t="s">
        <v>27217</v>
      </c>
      <c r="G5238" s="20" t="s">
        <v>27218</v>
      </c>
      <c r="H5238" s="24"/>
      <c r="I5238" s="24" t="str">
        <f ca="1">IFERROR(__xludf.DUMMYFUNCTION("GOOGLETRANSLATE(F5238,""en"",""pt"")"),"módulos fotovoltaicos")</f>
        <v>módulos fotovoltaicos</v>
      </c>
      <c r="J5238">
        <f>VLOOKUP(A5238,Pr_Base_LNEC!$A$4:$J$6971,6,FALSE)</f>
        <v>0</v>
      </c>
      <c r="K5238">
        <f>VLOOKUP(A5238,Pr_Base_LNEC!$A$4:$J$6971,7,FALSE)</f>
        <v>0</v>
      </c>
    </row>
    <row r="5239" spans="1:11" ht="14.5">
      <c r="A5239" s="20" t="s">
        <v>27219</v>
      </c>
      <c r="B5239" s="20">
        <v>60</v>
      </c>
      <c r="C5239" s="20">
        <v>70</v>
      </c>
      <c r="D5239" s="20">
        <v>65</v>
      </c>
      <c r="E5239" s="20">
        <v>94</v>
      </c>
      <c r="F5239" s="20" t="s">
        <v>27220</v>
      </c>
      <c r="G5239" s="20" t="s">
        <v>27221</v>
      </c>
      <c r="H5239" s="24"/>
      <c r="I5239" s="24" t="str">
        <f ca="1">IFERROR(__xludf.DUMMYFUNCTION("GOOGLETRANSLATE(F5239,""en"",""pt"")"),"As turbinas eólicas de eixo vertical (VAWT)")</f>
        <v>As turbinas eólicas de eixo vertical (VAWT)</v>
      </c>
      <c r="J5239">
        <f>VLOOKUP(A5239,Pr_Base_LNEC!$A$4:$J$6971,6,FALSE)</f>
        <v>0</v>
      </c>
      <c r="K5239">
        <f>VLOOKUP(A5239,Pr_Base_LNEC!$A$4:$J$6971,7,FALSE)</f>
        <v>0</v>
      </c>
    </row>
    <row r="5240" spans="1:11" ht="14.5">
      <c r="A5240" s="20" t="s">
        <v>27222</v>
      </c>
      <c r="B5240" s="20">
        <v>60</v>
      </c>
      <c r="C5240" s="20">
        <v>70</v>
      </c>
      <c r="D5240" s="20">
        <v>65</v>
      </c>
      <c r="E5240" s="20">
        <v>97</v>
      </c>
      <c r="F5240" s="20" t="s">
        <v>27223</v>
      </c>
      <c r="G5240" s="20" t="s">
        <v>27224</v>
      </c>
      <c r="H5240" s="24"/>
      <c r="I5240" s="24" t="str">
        <f ca="1">IFERROR(__xludf.DUMMYFUNCTION("GOOGLETRANSLATE(F5240,""en"",""pt"")"),"controladores de turbina de vento")</f>
        <v>controladores de turbina de vento</v>
      </c>
      <c r="J5240">
        <f>VLOOKUP(A5240,Pr_Base_LNEC!$A$4:$J$6971,6,FALSE)</f>
        <v>0</v>
      </c>
      <c r="K5240">
        <f>VLOOKUP(A5240,Pr_Base_LNEC!$A$4:$J$6971,7,FALSE)</f>
        <v>0</v>
      </c>
    </row>
    <row r="5241" spans="1:11" ht="14.5">
      <c r="A5241" s="20" t="s">
        <v>27225</v>
      </c>
      <c r="B5241" s="20">
        <v>60</v>
      </c>
      <c r="C5241" s="20">
        <v>75</v>
      </c>
      <c r="D5241" s="24"/>
      <c r="E5241" s="24"/>
      <c r="F5241" s="20" t="s">
        <v>27226</v>
      </c>
      <c r="G5241" s="24"/>
      <c r="H5241" s="24"/>
      <c r="I5241" s="24" t="str">
        <f ca="1">IFERROR(__xludf.DUMMYFUNCTION("GOOGLETRANSLATE(F5241,""en"",""pt"")"),"produtos de código de comunicação")</f>
        <v>produtos de código de comunicação</v>
      </c>
      <c r="J5241" t="str">
        <f>VLOOKUP(A5241,Pr_Base_LNEC!$A$4:$J$6971,6,FALSE)</f>
        <v>Produtos para Fonte de Comunicações</v>
      </c>
      <c r="K5241">
        <f>VLOOKUP(A5241,Pr_Base_LNEC!$A$4:$J$6971,7,FALSE)</f>
        <v>0</v>
      </c>
    </row>
    <row r="5242" spans="1:11" ht="14.5">
      <c r="A5242" s="20" t="s">
        <v>27227</v>
      </c>
      <c r="B5242" s="20">
        <v>60</v>
      </c>
      <c r="C5242" s="20">
        <v>75</v>
      </c>
      <c r="D5242" s="20">
        <v>1</v>
      </c>
      <c r="E5242" s="24"/>
      <c r="F5242" s="20" t="s">
        <v>27228</v>
      </c>
      <c r="G5242" s="24"/>
      <c r="H5242" s="24"/>
      <c r="I5242" s="24" t="str">
        <f ca="1">IFERROR(__xludf.DUMMYFUNCTION("GOOGLETRANSLATE(F5242,""en"",""pt"")"),"Antenas e antenas parabólicas")</f>
        <v>Antenas e antenas parabólicas</v>
      </c>
      <c r="J5242">
        <f>VLOOKUP(A5242,Pr_Base_LNEC!$A$4:$J$6971,6,FALSE)</f>
        <v>0</v>
      </c>
      <c r="K5242">
        <f>VLOOKUP(A5242,Pr_Base_LNEC!$A$4:$J$6971,7,FALSE)</f>
        <v>0</v>
      </c>
    </row>
    <row r="5243" spans="1:11" ht="14.5">
      <c r="A5243" s="20" t="s">
        <v>27229</v>
      </c>
      <c r="B5243" s="20">
        <v>60</v>
      </c>
      <c r="C5243" s="20">
        <v>75</v>
      </c>
      <c r="D5243" s="20">
        <v>1</v>
      </c>
      <c r="E5243" s="20">
        <v>22</v>
      </c>
      <c r="F5243" s="20" t="s">
        <v>27230</v>
      </c>
      <c r="G5243" s="20" t="s">
        <v>27231</v>
      </c>
      <c r="H5243" s="24"/>
      <c r="I5243" s="24" t="str">
        <f ca="1">IFERROR(__xludf.DUMMYFUNCTION("GOOGLETRANSLATE(F5243,""en"",""pt"")"),"radiodifusão digital de áudio (DAB) antenas")</f>
        <v>radiodifusão digital de áudio (DAB) antenas</v>
      </c>
      <c r="J5243">
        <f>VLOOKUP(A5243,Pr_Base_LNEC!$A$4:$J$6971,6,FALSE)</f>
        <v>0</v>
      </c>
      <c r="K5243">
        <f>VLOOKUP(A5243,Pr_Base_LNEC!$A$4:$J$6971,7,FALSE)</f>
        <v>0</v>
      </c>
    </row>
    <row r="5244" spans="1:11" ht="14.5">
      <c r="A5244" s="20" t="s">
        <v>27232</v>
      </c>
      <c r="B5244" s="20">
        <v>60</v>
      </c>
      <c r="C5244" s="20">
        <v>75</v>
      </c>
      <c r="D5244" s="20">
        <v>1</v>
      </c>
      <c r="E5244" s="20">
        <v>31</v>
      </c>
      <c r="F5244" s="20" t="s">
        <v>27233</v>
      </c>
      <c r="G5244" s="20" t="s">
        <v>27234</v>
      </c>
      <c r="H5244" s="24"/>
      <c r="I5244" s="24" t="str">
        <f ca="1">IFERROR(__xludf.DUMMYFUNCTION("GOOGLETRANSLATE(F5244,""en"",""pt"")"),"modulação de frequência antenas (FM)")</f>
        <v>modulação de frequência antenas (FM)</v>
      </c>
      <c r="J5244">
        <f>VLOOKUP(A5244,Pr_Base_LNEC!$A$4:$J$6971,6,FALSE)</f>
        <v>0</v>
      </c>
      <c r="K5244">
        <f>VLOOKUP(A5244,Pr_Base_LNEC!$A$4:$J$6971,7,FALSE)</f>
        <v>0</v>
      </c>
    </row>
    <row r="5245" spans="1:11" ht="14.5">
      <c r="A5245" s="20" t="s">
        <v>27235</v>
      </c>
      <c r="B5245" s="20">
        <v>60</v>
      </c>
      <c r="C5245" s="20">
        <v>75</v>
      </c>
      <c r="D5245" s="20">
        <v>1</v>
      </c>
      <c r="E5245" s="20">
        <v>75</v>
      </c>
      <c r="F5245" s="20" t="s">
        <v>27236</v>
      </c>
      <c r="G5245" s="20" t="s">
        <v>27237</v>
      </c>
      <c r="H5245" s="24"/>
      <c r="I5245" s="24" t="str">
        <f ca="1">IFERROR(__xludf.DUMMYFUNCTION("GOOGLETRANSLATE(F5245,""en"",""pt"")"),"Antenas parabólicas")</f>
        <v>Antenas parabólicas</v>
      </c>
      <c r="J5245">
        <f>VLOOKUP(A5245,Pr_Base_LNEC!$A$4:$J$6971,6,FALSE)</f>
        <v>0</v>
      </c>
      <c r="K5245">
        <f>VLOOKUP(A5245,Pr_Base_LNEC!$A$4:$J$6971,7,FALSE)</f>
        <v>0</v>
      </c>
    </row>
    <row r="5246" spans="1:11" ht="14.5">
      <c r="A5246" s="20" t="s">
        <v>27238</v>
      </c>
      <c r="B5246" s="20">
        <v>60</v>
      </c>
      <c r="C5246" s="20">
        <v>75</v>
      </c>
      <c r="D5246" s="20">
        <v>1</v>
      </c>
      <c r="E5246" s="20">
        <v>92</v>
      </c>
      <c r="F5246" s="20" t="s">
        <v>27239</v>
      </c>
      <c r="G5246" s="20" t="s">
        <v>27240</v>
      </c>
      <c r="H5246" s="24"/>
      <c r="I5246" s="24" t="str">
        <f ca="1">IFERROR(__xludf.DUMMYFUNCTION("GOOGLETRANSLATE(F5246,""en"",""pt"")"),"Ultra-alta (UHF) antenas")</f>
        <v>Ultra-alta (UHF) antenas</v>
      </c>
      <c r="J5246">
        <f>VLOOKUP(A5246,Pr_Base_LNEC!$A$4:$J$6971,6,FALSE)</f>
        <v>0</v>
      </c>
      <c r="K5246">
        <f>VLOOKUP(A5246,Pr_Base_LNEC!$A$4:$J$6971,7,FALSE)</f>
        <v>0</v>
      </c>
    </row>
    <row r="5247" spans="1:11" ht="14.5">
      <c r="A5247" s="20" t="s">
        <v>27241</v>
      </c>
      <c r="B5247" s="20">
        <v>60</v>
      </c>
      <c r="C5247" s="20">
        <v>75</v>
      </c>
      <c r="D5247" s="20">
        <v>3</v>
      </c>
      <c r="E5247" s="24"/>
      <c r="F5247" s="20" t="s">
        <v>27242</v>
      </c>
      <c r="G5247" s="24"/>
      <c r="H5247" s="24"/>
      <c r="I5247" s="24" t="str">
        <f ca="1">IFERROR(__xludf.DUMMYFUNCTION("GOOGLETRANSLATE(F5247,""en"",""pt"")"),"Áudio e vídeo players e gravadores")</f>
        <v>Áudio e vídeo players e gravadores</v>
      </c>
      <c r="J5247">
        <f>VLOOKUP(A5247,Pr_Base_LNEC!$A$4:$J$6971,6,FALSE)</f>
        <v>0</v>
      </c>
      <c r="K5247">
        <f>VLOOKUP(A5247,Pr_Base_LNEC!$A$4:$J$6971,7,FALSE)</f>
        <v>0</v>
      </c>
    </row>
    <row r="5248" spans="1:11" ht="14.5">
      <c r="A5248" s="20" t="s">
        <v>27243</v>
      </c>
      <c r="B5248" s="20">
        <v>60</v>
      </c>
      <c r="C5248" s="20">
        <v>75</v>
      </c>
      <c r="D5248" s="20">
        <v>3</v>
      </c>
      <c r="E5248" s="20">
        <v>7</v>
      </c>
      <c r="F5248" s="20" t="s">
        <v>27244</v>
      </c>
      <c r="G5248" s="24"/>
      <c r="H5248" s="24"/>
      <c r="I5248" s="24" t="str">
        <f ca="1">IFERROR(__xludf.DUMMYFUNCTION("GOOGLETRANSLATE(F5248,""en"",""pt"")"),"Blu-ray")</f>
        <v>Blu-ray</v>
      </c>
      <c r="J5248">
        <f>VLOOKUP(A5248,Pr_Base_LNEC!$A$4:$J$6971,6,FALSE)</f>
        <v>0</v>
      </c>
      <c r="K5248">
        <f>VLOOKUP(A5248,Pr_Base_LNEC!$A$4:$J$6971,7,FALSE)</f>
        <v>0</v>
      </c>
    </row>
    <row r="5249" spans="1:11" ht="14.5">
      <c r="A5249" s="20" t="s">
        <v>27245</v>
      </c>
      <c r="B5249" s="20">
        <v>60</v>
      </c>
      <c r="C5249" s="20">
        <v>75</v>
      </c>
      <c r="D5249" s="20">
        <v>3</v>
      </c>
      <c r="E5249" s="20">
        <v>11</v>
      </c>
      <c r="F5249" s="20" t="s">
        <v>27246</v>
      </c>
      <c r="G5249" s="20" t="s">
        <v>27247</v>
      </c>
      <c r="H5249" s="24"/>
      <c r="I5249" s="24" t="str">
        <f ca="1">IFERROR(__xludf.DUMMYFUNCTION("GOOGLETRANSLATE(F5249,""en"",""pt"")"),"leitores de cassetes")</f>
        <v>leitores de cassetes</v>
      </c>
      <c r="J5249">
        <f>VLOOKUP(A5249,Pr_Base_LNEC!$A$4:$J$6971,6,FALSE)</f>
        <v>0</v>
      </c>
      <c r="K5249">
        <f>VLOOKUP(A5249,Pr_Base_LNEC!$A$4:$J$6971,7,FALSE)</f>
        <v>0</v>
      </c>
    </row>
    <row r="5250" spans="1:11" ht="14.5">
      <c r="A5250" s="20" t="s">
        <v>27248</v>
      </c>
      <c r="B5250" s="20">
        <v>60</v>
      </c>
      <c r="C5250" s="20">
        <v>75</v>
      </c>
      <c r="D5250" s="20">
        <v>3</v>
      </c>
      <c r="E5250" s="20">
        <v>15</v>
      </c>
      <c r="F5250" s="20" t="s">
        <v>27249</v>
      </c>
      <c r="G5250" s="20" t="s">
        <v>27250</v>
      </c>
      <c r="H5250" s="24"/>
      <c r="I5250" s="24" t="str">
        <f ca="1">IFERROR(__xludf.DUMMYFUNCTION("GOOGLETRANSLATE(F5250,""en"",""pt"")"),"leitores de discos compactos")</f>
        <v>leitores de discos compactos</v>
      </c>
      <c r="J5250">
        <f>VLOOKUP(A5250,Pr_Base_LNEC!$A$4:$J$6971,6,FALSE)</f>
        <v>0</v>
      </c>
      <c r="K5250">
        <f>VLOOKUP(A5250,Pr_Base_LNEC!$A$4:$J$6971,7,FALSE)</f>
        <v>0</v>
      </c>
    </row>
    <row r="5251" spans="1:11" ht="14.5">
      <c r="A5251" s="20" t="s">
        <v>27251</v>
      </c>
      <c r="B5251" s="20">
        <v>60</v>
      </c>
      <c r="C5251" s="20">
        <v>75</v>
      </c>
      <c r="D5251" s="20">
        <v>3</v>
      </c>
      <c r="E5251" s="20">
        <v>22</v>
      </c>
      <c r="F5251" s="20" t="s">
        <v>27252</v>
      </c>
      <c r="G5251" s="20" t="s">
        <v>27253</v>
      </c>
      <c r="H5251" s="24"/>
      <c r="I5251" s="24" t="str">
        <f ca="1">IFERROR(__xludf.DUMMYFUNCTION("GOOGLETRANSLATE(F5251,""en"",""pt"")"),"gravadores de vídeo digital")</f>
        <v>gravadores de vídeo digital</v>
      </c>
      <c r="J5251">
        <f>VLOOKUP(A5251,Pr_Base_LNEC!$A$4:$J$6971,6,FALSE)</f>
        <v>0</v>
      </c>
      <c r="K5251">
        <f>VLOOKUP(A5251,Pr_Base_LNEC!$A$4:$J$6971,7,FALSE)</f>
        <v>0</v>
      </c>
    </row>
    <row r="5252" spans="1:11" ht="14.5">
      <c r="A5252" s="20" t="s">
        <v>27254</v>
      </c>
      <c r="B5252" s="20">
        <v>60</v>
      </c>
      <c r="C5252" s="20">
        <v>75</v>
      </c>
      <c r="D5252" s="20">
        <v>3</v>
      </c>
      <c r="E5252" s="20">
        <v>56</v>
      </c>
      <c r="F5252" s="20" t="s">
        <v>27255</v>
      </c>
      <c r="G5252" s="20" t="s">
        <v>27256</v>
      </c>
      <c r="H5252" s="24"/>
      <c r="I5252" s="24" t="str">
        <f ca="1">IFERROR(__xludf.DUMMYFUNCTION("GOOGLETRANSLATE(F5252,""en"",""pt"")"),"gravadores de vídeo de rede")</f>
        <v>gravadores de vídeo de rede</v>
      </c>
      <c r="J5252">
        <f>VLOOKUP(A5252,Pr_Base_LNEC!$A$4:$J$6971,6,FALSE)</f>
        <v>0</v>
      </c>
      <c r="K5252">
        <f>VLOOKUP(A5252,Pr_Base_LNEC!$A$4:$J$6971,7,FALSE)</f>
        <v>0</v>
      </c>
    </row>
    <row r="5253" spans="1:11" ht="14.5">
      <c r="A5253" s="20" t="s">
        <v>27257</v>
      </c>
      <c r="B5253" s="20">
        <v>60</v>
      </c>
      <c r="C5253" s="20">
        <v>75</v>
      </c>
      <c r="D5253" s="20">
        <v>3</v>
      </c>
      <c r="E5253" s="20">
        <v>70</v>
      </c>
      <c r="F5253" s="20" t="s">
        <v>27258</v>
      </c>
      <c r="G5253" s="24"/>
      <c r="H5253" s="24"/>
      <c r="I5253" s="24" t="str">
        <f ca="1">IFERROR(__xludf.DUMMYFUNCTION("GOOGLETRANSLATE(F5253,""en"",""pt"")"),"sintonizadores de rádio")</f>
        <v>sintonizadores de rádio</v>
      </c>
      <c r="J5253">
        <f>VLOOKUP(A5253,Pr_Base_LNEC!$A$4:$J$6971,6,FALSE)</f>
        <v>0</v>
      </c>
      <c r="K5253">
        <f>VLOOKUP(A5253,Pr_Base_LNEC!$A$4:$J$6971,7,FALSE)</f>
        <v>0</v>
      </c>
    </row>
    <row r="5254" spans="1:11" ht="14.5">
      <c r="A5254" s="20" t="s">
        <v>27259</v>
      </c>
      <c r="B5254" s="20">
        <v>60</v>
      </c>
      <c r="C5254" s="20">
        <v>75</v>
      </c>
      <c r="D5254" s="20">
        <v>3</v>
      </c>
      <c r="E5254" s="20">
        <v>87</v>
      </c>
      <c r="F5254" s="20" t="s">
        <v>27260</v>
      </c>
      <c r="G5254" s="20" t="s">
        <v>27261</v>
      </c>
      <c r="H5254" s="24"/>
      <c r="I5254" s="24" t="str">
        <f ca="1">IFERROR(__xludf.DUMMYFUNCTION("GOOGLETRANSLATE(F5254,""en"",""pt"")"),"gravadores de vídeo lapso de tempo")</f>
        <v>gravadores de vídeo lapso de tempo</v>
      </c>
      <c r="J5254">
        <f>VLOOKUP(A5254,Pr_Base_LNEC!$A$4:$J$6971,6,FALSE)</f>
        <v>0</v>
      </c>
      <c r="K5254">
        <f>VLOOKUP(A5254,Pr_Base_LNEC!$A$4:$J$6971,7,FALSE)</f>
        <v>0</v>
      </c>
    </row>
    <row r="5255" spans="1:11" ht="14.5">
      <c r="A5255" s="20" t="s">
        <v>27262</v>
      </c>
      <c r="B5255" s="20">
        <v>60</v>
      </c>
      <c r="C5255" s="20">
        <v>75</v>
      </c>
      <c r="D5255" s="20">
        <v>6</v>
      </c>
      <c r="E5255" s="24"/>
      <c r="F5255" s="20" t="s">
        <v>27263</v>
      </c>
      <c r="G5255" s="24"/>
      <c r="H5255" s="24"/>
      <c r="I5255" s="24" t="str">
        <f ca="1">IFERROR(__xludf.DUMMYFUNCTION("GOOGLETRANSLATE(F5255,""en"",""pt"")"),"dispositivos de entrada de áudio")</f>
        <v>dispositivos de entrada de áudio</v>
      </c>
      <c r="J5255">
        <f>VLOOKUP(A5255,Pr_Base_LNEC!$A$4:$J$6971,6,FALSE)</f>
        <v>0</v>
      </c>
      <c r="K5255">
        <f>VLOOKUP(A5255,Pr_Base_LNEC!$A$4:$J$6971,7,FALSE)</f>
        <v>0</v>
      </c>
    </row>
    <row r="5256" spans="1:11" ht="14.5">
      <c r="A5256" s="20" t="s">
        <v>27264</v>
      </c>
      <c r="B5256" s="20">
        <v>60</v>
      </c>
      <c r="C5256" s="20">
        <v>75</v>
      </c>
      <c r="D5256" s="20">
        <v>6</v>
      </c>
      <c r="E5256" s="20">
        <v>53</v>
      </c>
      <c r="F5256" s="20" t="s">
        <v>27265</v>
      </c>
      <c r="G5256" s="20" t="s">
        <v>27266</v>
      </c>
      <c r="H5256" s="24"/>
      <c r="I5256" s="24" t="str">
        <f ca="1">IFERROR(__xludf.DUMMYFUNCTION("GOOGLETRANSLATE(F5256,""en"",""pt"")"),"microfones")</f>
        <v>microfones</v>
      </c>
      <c r="J5256">
        <f>VLOOKUP(A5256,Pr_Base_LNEC!$A$4:$J$6971,6,FALSE)</f>
        <v>0</v>
      </c>
      <c r="K5256">
        <f>VLOOKUP(A5256,Pr_Base_LNEC!$A$4:$J$6971,7,FALSE)</f>
        <v>0</v>
      </c>
    </row>
    <row r="5257" spans="1:11" ht="14.5">
      <c r="A5257" s="20" t="s">
        <v>27267</v>
      </c>
      <c r="B5257" s="20">
        <v>60</v>
      </c>
      <c r="C5257" s="20">
        <v>75</v>
      </c>
      <c r="D5257" s="20">
        <v>6</v>
      </c>
      <c r="E5257" s="20">
        <v>60</v>
      </c>
      <c r="F5257" s="20" t="s">
        <v>27268</v>
      </c>
      <c r="G5257" s="20" t="s">
        <v>27269</v>
      </c>
      <c r="H5257" s="24"/>
      <c r="I5257" s="24" t="str">
        <f ca="1">IFERROR(__xludf.DUMMYFUNCTION("GOOGLETRANSLATE(F5257,""en"",""pt"")"),"consoles de paginação")</f>
        <v>consoles de paginação</v>
      </c>
      <c r="J5257">
        <f>VLOOKUP(A5257,Pr_Base_LNEC!$A$4:$J$6971,6,FALSE)</f>
        <v>0</v>
      </c>
      <c r="K5257">
        <f>VLOOKUP(A5257,Pr_Base_LNEC!$A$4:$J$6971,7,FALSE)</f>
        <v>0</v>
      </c>
    </row>
    <row r="5258" spans="1:11" ht="14.5">
      <c r="A5258" s="20" t="s">
        <v>27270</v>
      </c>
      <c r="B5258" s="20">
        <v>60</v>
      </c>
      <c r="C5258" s="20">
        <v>75</v>
      </c>
      <c r="D5258" s="20">
        <v>8</v>
      </c>
      <c r="E5258" s="24"/>
      <c r="F5258" s="20" t="s">
        <v>27271</v>
      </c>
      <c r="G5258" s="24"/>
      <c r="H5258" s="24"/>
      <c r="I5258" s="24" t="str">
        <f ca="1">IFERROR(__xludf.DUMMYFUNCTION("GOOGLETRANSLATE(F5258,""en"",""pt"")"),"Áudio e produtos de código visuais")</f>
        <v>Áudio e produtos de código visuais</v>
      </c>
      <c r="J5258">
        <f>VLOOKUP(A5258,Pr_Base_LNEC!$A$4:$J$6971,6,FALSE)</f>
        <v>0</v>
      </c>
      <c r="K5258">
        <f>VLOOKUP(A5258,Pr_Base_LNEC!$A$4:$J$6971,7,FALSE)</f>
        <v>0</v>
      </c>
    </row>
    <row r="5259" spans="1:11" ht="14.5">
      <c r="A5259" s="20" t="s">
        <v>27272</v>
      </c>
      <c r="B5259" s="20">
        <v>60</v>
      </c>
      <c r="C5259" s="20">
        <v>75</v>
      </c>
      <c r="D5259" s="20">
        <v>8</v>
      </c>
      <c r="E5259" s="20">
        <v>1</v>
      </c>
      <c r="F5259" s="20" t="s">
        <v>27273</v>
      </c>
      <c r="G5259" s="20" t="s">
        <v>27274</v>
      </c>
      <c r="H5259" s="24"/>
      <c r="I5259" s="24" t="str">
        <f ca="1">IFERROR(__xludf.DUMMYFUNCTION("GOOGLETRANSLATE(F5259,""en"",""pt"")"),"reverberação artificial, tempo de espera e desvio de freqüência de equipamentos")</f>
        <v>reverberação artificial, tempo de espera e desvio de freqüência de equipamentos</v>
      </c>
      <c r="J5259">
        <f>VLOOKUP(A5259,Pr_Base_LNEC!$A$4:$J$6971,6,FALSE)</f>
        <v>0</v>
      </c>
      <c r="K5259">
        <f>VLOOKUP(A5259,Pr_Base_LNEC!$A$4:$J$6971,7,FALSE)</f>
        <v>0</v>
      </c>
    </row>
    <row r="5260" spans="1:11" ht="14.5">
      <c r="A5260" s="20" t="s">
        <v>27275</v>
      </c>
      <c r="B5260" s="20">
        <v>60</v>
      </c>
      <c r="C5260" s="20">
        <v>75</v>
      </c>
      <c r="D5260" s="20">
        <v>8</v>
      </c>
      <c r="E5260" s="20">
        <v>2</v>
      </c>
      <c r="F5260" s="20" t="s">
        <v>27276</v>
      </c>
      <c r="G5260" s="20" t="s">
        <v>27277</v>
      </c>
      <c r="H5260" s="24"/>
      <c r="I5260" s="24" t="str">
        <f ca="1">IFERROR(__xludf.DUMMYFUNCTION("GOOGLETRANSLATE(F5260,""en"",""pt"")"),"amplificadores de áudio")</f>
        <v>amplificadores de áudio</v>
      </c>
      <c r="J5260">
        <f>VLOOKUP(A5260,Pr_Base_LNEC!$A$4:$J$6971,6,FALSE)</f>
        <v>0</v>
      </c>
      <c r="K5260">
        <f>VLOOKUP(A5260,Pr_Base_LNEC!$A$4:$J$6971,7,FALSE)</f>
        <v>0</v>
      </c>
    </row>
    <row r="5261" spans="1:11" ht="14.5">
      <c r="A5261" s="20" t="s">
        <v>27278</v>
      </c>
      <c r="B5261" s="20">
        <v>60</v>
      </c>
      <c r="C5261" s="20">
        <v>75</v>
      </c>
      <c r="D5261" s="20">
        <v>8</v>
      </c>
      <c r="E5261" s="20">
        <v>3</v>
      </c>
      <c r="F5261" s="20" t="s">
        <v>27279</v>
      </c>
      <c r="G5261" s="20" t="s">
        <v>27280</v>
      </c>
      <c r="H5261" s="24"/>
      <c r="I5261" s="24" t="str">
        <f ca="1">IFERROR(__xludf.DUMMYFUNCTION("GOOGLETRANSLATE(F5261,""en"",""pt"")"),"equalizadores de áudio")</f>
        <v>equalizadores de áudio</v>
      </c>
      <c r="J5261">
        <f>VLOOKUP(A5261,Pr_Base_LNEC!$A$4:$J$6971,6,FALSE)</f>
        <v>0</v>
      </c>
      <c r="K5261">
        <f>VLOOKUP(A5261,Pr_Base_LNEC!$A$4:$J$6971,7,FALSE)</f>
        <v>0</v>
      </c>
    </row>
    <row r="5262" spans="1:11" ht="14.5">
      <c r="A5262" s="20" t="s">
        <v>27281</v>
      </c>
      <c r="B5262" s="20">
        <v>60</v>
      </c>
      <c r="C5262" s="20">
        <v>75</v>
      </c>
      <c r="D5262" s="20">
        <v>8</v>
      </c>
      <c r="E5262" s="20">
        <v>4</v>
      </c>
      <c r="F5262" s="20" t="s">
        <v>27282</v>
      </c>
      <c r="G5262" s="20" t="s">
        <v>27283</v>
      </c>
      <c r="H5262" s="24"/>
      <c r="I5262" s="24" t="str">
        <f ca="1">IFERROR(__xludf.DUMMYFUNCTION("GOOGLETRANSLATE(F5262,""en"",""pt"")"),"equipamento automático anúncio")</f>
        <v>equipamento automático anúncio</v>
      </c>
      <c r="J5262">
        <f>VLOOKUP(A5262,Pr_Base_LNEC!$A$4:$J$6971,6,FALSE)</f>
        <v>0</v>
      </c>
      <c r="K5262">
        <f>VLOOKUP(A5262,Pr_Base_LNEC!$A$4:$J$6971,7,FALSE)</f>
        <v>0</v>
      </c>
    </row>
    <row r="5263" spans="1:11" ht="14.5">
      <c r="A5263" s="20" t="s">
        <v>27284</v>
      </c>
      <c r="B5263" s="20">
        <v>60</v>
      </c>
      <c r="C5263" s="20">
        <v>75</v>
      </c>
      <c r="D5263" s="20">
        <v>8</v>
      </c>
      <c r="E5263" s="20">
        <v>5</v>
      </c>
      <c r="F5263" s="20" t="s">
        <v>27285</v>
      </c>
      <c r="G5263" s="24"/>
      <c r="H5263" s="24"/>
      <c r="I5263" s="24" t="str">
        <f ca="1">IFERROR(__xludf.DUMMYFUNCTION("GOOGLETRANSLATE(F5263,""en"",""pt"")"),"elementos passivos auxiliares")</f>
        <v>elementos passivos auxiliares</v>
      </c>
      <c r="J5263">
        <f>VLOOKUP(A5263,Pr_Base_LNEC!$A$4:$J$6971,6,FALSE)</f>
        <v>0</v>
      </c>
      <c r="K5263">
        <f>VLOOKUP(A5263,Pr_Base_LNEC!$A$4:$J$6971,7,FALSE)</f>
        <v>0</v>
      </c>
    </row>
    <row r="5264" spans="1:11" ht="14.5">
      <c r="A5264" s="20" t="s">
        <v>27286</v>
      </c>
      <c r="B5264" s="20">
        <v>60</v>
      </c>
      <c r="C5264" s="20">
        <v>75</v>
      </c>
      <c r="D5264" s="20">
        <v>8</v>
      </c>
      <c r="E5264" s="20">
        <v>23</v>
      </c>
      <c r="F5264" s="20" t="s">
        <v>27287</v>
      </c>
      <c r="G5264" s="20" t="s">
        <v>27288</v>
      </c>
      <c r="H5264" s="24"/>
      <c r="I5264" s="24" t="str">
        <f ca="1">IFERROR(__xludf.DUMMYFUNCTION("GOOGLETRANSLATE(F5264,""en"",""pt"")"),"diplexers")</f>
        <v>diplexers</v>
      </c>
      <c r="J5264">
        <f>VLOOKUP(A5264,Pr_Base_LNEC!$A$4:$J$6971,6,FALSE)</f>
        <v>0</v>
      </c>
      <c r="K5264">
        <f>VLOOKUP(A5264,Pr_Base_LNEC!$A$4:$J$6971,7,FALSE)</f>
        <v>0</v>
      </c>
    </row>
    <row r="5265" spans="1:11" ht="14.5">
      <c r="A5265" s="20" t="s">
        <v>27289</v>
      </c>
      <c r="B5265" s="20">
        <v>60</v>
      </c>
      <c r="C5265" s="20">
        <v>75</v>
      </c>
      <c r="D5265" s="20">
        <v>8</v>
      </c>
      <c r="E5265" s="20">
        <v>28</v>
      </c>
      <c r="F5265" s="20" t="s">
        <v>27290</v>
      </c>
      <c r="G5265" s="20" t="s">
        <v>27291</v>
      </c>
      <c r="H5265" s="24"/>
      <c r="I5265" s="24" t="str">
        <f ca="1">IFERROR(__xludf.DUMMYFUNCTION("GOOGLETRANSLATE(F5265,""en"",""pt"")"),"pontos de entrada de fonte externa")</f>
        <v>pontos de entrada de fonte externa</v>
      </c>
      <c r="J5265">
        <f>VLOOKUP(A5265,Pr_Base_LNEC!$A$4:$J$6971,6,FALSE)</f>
        <v>0</v>
      </c>
      <c r="K5265">
        <f>VLOOKUP(A5265,Pr_Base_LNEC!$A$4:$J$6971,7,FALSE)</f>
        <v>0</v>
      </c>
    </row>
    <row r="5266" spans="1:11" ht="14.5">
      <c r="A5266" s="20" t="s">
        <v>27292</v>
      </c>
      <c r="B5266" s="20">
        <v>60</v>
      </c>
      <c r="C5266" s="20">
        <v>75</v>
      </c>
      <c r="D5266" s="20">
        <v>8</v>
      </c>
      <c r="E5266" s="20">
        <v>46</v>
      </c>
      <c r="F5266" s="20" t="s">
        <v>27293</v>
      </c>
      <c r="G5266" s="20" t="s">
        <v>27294</v>
      </c>
      <c r="H5266" s="24"/>
      <c r="I5266" s="24" t="str">
        <f ca="1">IFERROR(__xludf.DUMMYFUNCTION("GOOGLETRANSLATE(F5266,""en"",""pt"")"),"amplificadores de lançamento")</f>
        <v>amplificadores de lançamento</v>
      </c>
      <c r="J5266">
        <f>VLOOKUP(A5266,Pr_Base_LNEC!$A$4:$J$6971,6,FALSE)</f>
        <v>0</v>
      </c>
      <c r="K5266">
        <f>VLOOKUP(A5266,Pr_Base_LNEC!$A$4:$J$6971,7,FALSE)</f>
        <v>0</v>
      </c>
    </row>
    <row r="5267" spans="1:11" ht="14.5">
      <c r="A5267" s="20" t="s">
        <v>27295</v>
      </c>
      <c r="B5267" s="20">
        <v>60</v>
      </c>
      <c r="C5267" s="20">
        <v>75</v>
      </c>
      <c r="D5267" s="20">
        <v>8</v>
      </c>
      <c r="E5267" s="20">
        <v>48</v>
      </c>
      <c r="F5267" s="20" t="s">
        <v>27296</v>
      </c>
      <c r="G5267" s="20" t="s">
        <v>27297</v>
      </c>
      <c r="H5267" s="24"/>
      <c r="I5267" s="24" t="str">
        <f ca="1">IFERROR(__xludf.DUMMYFUNCTION("GOOGLETRANSLATE(F5267,""en"",""pt"")"),"controles de volume locais")</f>
        <v>controles de volume locais</v>
      </c>
      <c r="J5267">
        <f>VLOOKUP(A5267,Pr_Base_LNEC!$A$4:$J$6971,6,FALSE)</f>
        <v>0</v>
      </c>
      <c r="K5267">
        <f>VLOOKUP(A5267,Pr_Base_LNEC!$A$4:$J$6971,7,FALSE)</f>
        <v>0</v>
      </c>
    </row>
    <row r="5268" spans="1:11" ht="14.5">
      <c r="A5268" s="20" t="s">
        <v>27298</v>
      </c>
      <c r="B5268" s="20">
        <v>60</v>
      </c>
      <c r="C5268" s="20">
        <v>75</v>
      </c>
      <c r="D5268" s="20">
        <v>8</v>
      </c>
      <c r="E5268" s="20">
        <v>50</v>
      </c>
      <c r="F5268" s="20" t="s">
        <v>27299</v>
      </c>
      <c r="G5268" s="20" t="s">
        <v>27300</v>
      </c>
      <c r="H5268" s="24"/>
      <c r="I5268" s="24" t="str">
        <f ca="1">IFERROR(__xludf.DUMMYFUNCTION("GOOGLETRANSLATE(F5268,""en"",""pt"")"),"amplificadores de mastro")</f>
        <v>amplificadores de mastro</v>
      </c>
      <c r="J5268">
        <f>VLOOKUP(A5268,Pr_Base_LNEC!$A$4:$J$6971,6,FALSE)</f>
        <v>0</v>
      </c>
      <c r="K5268">
        <f>VLOOKUP(A5268,Pr_Base_LNEC!$A$4:$J$6971,7,FALSE)</f>
        <v>0</v>
      </c>
    </row>
    <row r="5269" spans="1:11" ht="14.5">
      <c r="A5269" s="20" t="s">
        <v>27301</v>
      </c>
      <c r="B5269" s="20">
        <v>60</v>
      </c>
      <c r="C5269" s="20">
        <v>75</v>
      </c>
      <c r="D5269" s="20">
        <v>8</v>
      </c>
      <c r="E5269" s="20">
        <v>52</v>
      </c>
      <c r="F5269" s="20" t="s">
        <v>27302</v>
      </c>
      <c r="G5269" s="20" t="s">
        <v>27303</v>
      </c>
      <c r="H5269" s="24"/>
      <c r="I5269" s="24" t="str">
        <f ca="1">IFERROR(__xludf.DUMMYFUNCTION("GOOGLETRANSLATE(F5269,""en"",""pt"")"),"amplificadores Mixer")</f>
        <v>amplificadores Mixer</v>
      </c>
      <c r="J5269">
        <f>VLOOKUP(A5269,Pr_Base_LNEC!$A$4:$J$6971,6,FALSE)</f>
        <v>0</v>
      </c>
      <c r="K5269">
        <f>VLOOKUP(A5269,Pr_Base_LNEC!$A$4:$J$6971,7,FALSE)</f>
        <v>0</v>
      </c>
    </row>
    <row r="5270" spans="1:11" ht="14.5">
      <c r="A5270" s="20" t="s">
        <v>27304</v>
      </c>
      <c r="B5270" s="20">
        <v>60</v>
      </c>
      <c r="C5270" s="20">
        <v>75</v>
      </c>
      <c r="D5270" s="20">
        <v>8</v>
      </c>
      <c r="E5270" s="20">
        <v>54</v>
      </c>
      <c r="F5270" s="20" t="s">
        <v>27305</v>
      </c>
      <c r="G5270" s="20" t="s">
        <v>27306</v>
      </c>
      <c r="H5270" s="24"/>
      <c r="I5270" s="24" t="str">
        <f ca="1">IFERROR(__xludf.DUMMYFUNCTION("GOOGLETRANSLATE(F5270,""en"",""pt"")"),"misturadores")</f>
        <v>misturadores</v>
      </c>
      <c r="J5270">
        <f>VLOOKUP(A5270,Pr_Base_LNEC!$A$4:$J$6971,6,FALSE)</f>
        <v>0</v>
      </c>
      <c r="K5270">
        <f>VLOOKUP(A5270,Pr_Base_LNEC!$A$4:$J$6971,7,FALSE)</f>
        <v>0</v>
      </c>
    </row>
    <row r="5271" spans="1:11" ht="14.5">
      <c r="A5271" s="20" t="s">
        <v>27307</v>
      </c>
      <c r="B5271" s="20">
        <v>60</v>
      </c>
      <c r="C5271" s="20">
        <v>75</v>
      </c>
      <c r="D5271" s="20">
        <v>8</v>
      </c>
      <c r="E5271" s="20">
        <v>55</v>
      </c>
      <c r="F5271" s="20" t="s">
        <v>27308</v>
      </c>
      <c r="G5271" s="20" t="s">
        <v>27309</v>
      </c>
      <c r="H5271" s="24"/>
      <c r="I5271" s="24" t="str">
        <f ca="1">IFERROR(__xludf.DUMMYFUNCTION("GOOGLETRANSLATE(F5271,""en"",""pt"")"),"multiswitches")</f>
        <v>multiswitches</v>
      </c>
      <c r="J5271">
        <f>VLOOKUP(A5271,Pr_Base_LNEC!$A$4:$J$6971,6,FALSE)</f>
        <v>0</v>
      </c>
      <c r="K5271">
        <f>VLOOKUP(A5271,Pr_Base_LNEC!$A$4:$J$6971,7,FALSE)</f>
        <v>0</v>
      </c>
    </row>
    <row r="5272" spans="1:11" ht="14.5">
      <c r="A5272" s="20" t="s">
        <v>27310</v>
      </c>
      <c r="B5272" s="20">
        <v>60</v>
      </c>
      <c r="C5272" s="20">
        <v>75</v>
      </c>
      <c r="D5272" s="20">
        <v>8</v>
      </c>
      <c r="E5272" s="20">
        <v>63</v>
      </c>
      <c r="F5272" s="20" t="s">
        <v>27311</v>
      </c>
      <c r="G5272" s="20" t="s">
        <v>27312</v>
      </c>
      <c r="H5272" s="24"/>
      <c r="I5272" s="24" t="str">
        <f ca="1">IFERROR(__xludf.DUMMYFUNCTION("GOOGLETRANSLATE(F5272,""en"",""pt"")"),"Pré-amplificadores")</f>
        <v>Pré-amplificadores</v>
      </c>
      <c r="J5272">
        <f>VLOOKUP(A5272,Pr_Base_LNEC!$A$4:$J$6971,6,FALSE)</f>
        <v>0</v>
      </c>
      <c r="K5272">
        <f>VLOOKUP(A5272,Pr_Base_LNEC!$A$4:$J$6971,7,FALSE)</f>
        <v>0</v>
      </c>
    </row>
    <row r="5273" spans="1:11" ht="14.5">
      <c r="A5273" s="20" t="s">
        <v>27313</v>
      </c>
      <c r="B5273" s="20">
        <v>60</v>
      </c>
      <c r="C5273" s="20">
        <v>75</v>
      </c>
      <c r="D5273" s="20">
        <v>8</v>
      </c>
      <c r="E5273" s="20">
        <v>71</v>
      </c>
      <c r="F5273" s="20" t="s">
        <v>27314</v>
      </c>
      <c r="G5273" s="20" t="s">
        <v>27315</v>
      </c>
      <c r="H5273" s="24"/>
      <c r="I5273" s="24" t="str">
        <f ca="1">IFERROR(__xludf.DUMMYFUNCTION("GOOGLETRANSLATE(F5273,""en"",""pt"")"),"Os pontos de entrada de microfone remoto")</f>
        <v>Os pontos de entrada de microfone remoto</v>
      </c>
      <c r="J5273">
        <f>VLOOKUP(A5273,Pr_Base_LNEC!$A$4:$J$6971,6,FALSE)</f>
        <v>0</v>
      </c>
      <c r="K5273">
        <f>VLOOKUP(A5273,Pr_Base_LNEC!$A$4:$J$6971,7,FALSE)</f>
        <v>0</v>
      </c>
    </row>
    <row r="5274" spans="1:11" ht="14.5">
      <c r="A5274" s="20" t="s">
        <v>27316</v>
      </c>
      <c r="B5274" s="20">
        <v>60</v>
      </c>
      <c r="C5274" s="20">
        <v>75</v>
      </c>
      <c r="D5274" s="20">
        <v>8</v>
      </c>
      <c r="E5274" s="20">
        <v>78</v>
      </c>
      <c r="F5274" s="20" t="s">
        <v>27317</v>
      </c>
      <c r="G5274" s="20" t="s">
        <v>27318</v>
      </c>
      <c r="H5274" s="24"/>
      <c r="I5274" s="24" t="str">
        <f ca="1">IFERROR(__xludf.DUMMYFUNCTION("GOOGLETRANSLATE(F5274,""en"",""pt"")"),"divisores")</f>
        <v>divisores</v>
      </c>
      <c r="J5274">
        <f>VLOOKUP(A5274,Pr_Base_LNEC!$A$4:$J$6971,6,FALSE)</f>
        <v>0</v>
      </c>
      <c r="K5274">
        <f>VLOOKUP(A5274,Pr_Base_LNEC!$A$4:$J$6971,7,FALSE)</f>
        <v>0</v>
      </c>
    </row>
    <row r="5275" spans="1:11" ht="14.5">
      <c r="A5275" s="20" t="s">
        <v>27319</v>
      </c>
      <c r="B5275" s="20">
        <v>60</v>
      </c>
      <c r="C5275" s="20">
        <v>75</v>
      </c>
      <c r="D5275" s="20">
        <v>78</v>
      </c>
      <c r="E5275" s="24"/>
      <c r="F5275" s="20" t="s">
        <v>27320</v>
      </c>
      <c r="G5275" s="24"/>
      <c r="H5275" s="24"/>
      <c r="I5275" s="24" t="str">
        <f ca="1">IFERROR(__xludf.DUMMYFUNCTION("GOOGLETRANSLATE(F5275,""en"",""pt"")"),"transmissores de sinais")</f>
        <v>transmissores de sinais</v>
      </c>
      <c r="J5275">
        <f>VLOOKUP(A5275,Pr_Base_LNEC!$A$4:$J$6971,6,FALSE)</f>
        <v>0</v>
      </c>
      <c r="K5275">
        <f>VLOOKUP(A5275,Pr_Base_LNEC!$A$4:$J$6971,7,FALSE)</f>
        <v>0</v>
      </c>
    </row>
    <row r="5276" spans="1:11" ht="14.5">
      <c r="A5276" s="20" t="s">
        <v>27321</v>
      </c>
      <c r="B5276" s="20">
        <v>60</v>
      </c>
      <c r="C5276" s="20">
        <v>75</v>
      </c>
      <c r="D5276" s="20">
        <v>78</v>
      </c>
      <c r="E5276" s="20">
        <v>85</v>
      </c>
      <c r="F5276" s="20" t="s">
        <v>27322</v>
      </c>
      <c r="G5276" s="20" t="s">
        <v>27323</v>
      </c>
      <c r="H5276" s="24"/>
      <c r="I5276" s="24" t="str">
        <f ca="1">IFERROR(__xludf.DUMMYFUNCTION("GOOGLETRANSLATE(F5276,""en"",""pt"")"),"instalações supervisionadas transceptores")</f>
        <v>instalações supervisionadas transceptores</v>
      </c>
      <c r="J5276">
        <f>VLOOKUP(A5276,Pr_Base_LNEC!$A$4:$J$6971,6,FALSE)</f>
        <v>0</v>
      </c>
      <c r="K5276">
        <f>VLOOKUP(A5276,Pr_Base_LNEC!$A$4:$J$6971,7,FALSE)</f>
        <v>0</v>
      </c>
    </row>
    <row r="5277" spans="1:11" ht="14.5">
      <c r="A5277" s="20" t="s">
        <v>27324</v>
      </c>
      <c r="B5277" s="20">
        <v>60</v>
      </c>
      <c r="C5277" s="20">
        <v>75</v>
      </c>
      <c r="D5277" s="20">
        <v>78</v>
      </c>
      <c r="E5277" s="20">
        <v>91</v>
      </c>
      <c r="F5277" s="20" t="s">
        <v>27325</v>
      </c>
      <c r="G5277" s="20" t="s">
        <v>27326</v>
      </c>
      <c r="H5277" s="24"/>
      <c r="I5277" s="24" t="str">
        <f ca="1">IFERROR(__xludf.DUMMYFUNCTION("GOOGLETRANSLATE(F5277,""en"",""pt"")"),"equalizadores de televisão")</f>
        <v>equalizadores de televisão</v>
      </c>
      <c r="J5277">
        <f>VLOOKUP(A5277,Pr_Base_LNEC!$A$4:$J$6971,6,FALSE)</f>
        <v>0</v>
      </c>
      <c r="K5277">
        <f>VLOOKUP(A5277,Pr_Base_LNEC!$A$4:$J$6971,7,FALSE)</f>
        <v>0</v>
      </c>
    </row>
    <row r="5278" spans="1:11" ht="14.5">
      <c r="A5278" s="20" t="s">
        <v>27327</v>
      </c>
      <c r="B5278" s="20">
        <v>60</v>
      </c>
      <c r="C5278" s="20">
        <v>75</v>
      </c>
      <c r="D5278" s="20">
        <v>86</v>
      </c>
      <c r="E5278" s="24"/>
      <c r="F5278" s="20" t="s">
        <v>27328</v>
      </c>
      <c r="G5278" s="24"/>
      <c r="H5278" s="24"/>
      <c r="I5278" s="24" t="str">
        <f ca="1">IFERROR(__xludf.DUMMYFUNCTION("GOOGLETRANSLATE(F5278,""en"",""pt"")"),"Câmaras de vigilância, monitores e auxiliares")</f>
        <v>Câmaras de vigilância, monitores e auxiliares</v>
      </c>
      <c r="J5278">
        <f>VLOOKUP(A5278,Pr_Base_LNEC!$A$4:$J$6971,6,FALSE)</f>
        <v>0</v>
      </c>
      <c r="K5278">
        <f>VLOOKUP(A5278,Pr_Base_LNEC!$A$4:$J$6971,7,FALSE)</f>
        <v>0</v>
      </c>
    </row>
    <row r="5279" spans="1:11" ht="14.5">
      <c r="A5279" s="20" t="s">
        <v>27329</v>
      </c>
      <c r="B5279" s="20">
        <v>60</v>
      </c>
      <c r="C5279" s="20">
        <v>75</v>
      </c>
      <c r="D5279" s="20">
        <v>86</v>
      </c>
      <c r="E5279" s="20">
        <v>1</v>
      </c>
      <c r="F5279" s="20" t="s">
        <v>27330</v>
      </c>
      <c r="G5279" s="24"/>
      <c r="H5279" s="24"/>
      <c r="I5279" s="24" t="str">
        <f ca="1">IFERROR(__xludf.DUMMYFUNCTION("GOOGLETRANSLATE(F5279,""en"",""pt"")"),"câmeras de reconhecimento de placa de número automático")</f>
        <v>câmeras de reconhecimento de placa de número automático</v>
      </c>
      <c r="J5279">
        <f>VLOOKUP(A5279,Pr_Base_LNEC!$A$4:$J$6971,6,FALSE)</f>
        <v>0</v>
      </c>
      <c r="K5279">
        <f>VLOOKUP(A5279,Pr_Base_LNEC!$A$4:$J$6971,7,FALSE)</f>
        <v>0</v>
      </c>
    </row>
    <row r="5280" spans="1:11" ht="14.5">
      <c r="A5280" s="20" t="s">
        <v>27331</v>
      </c>
      <c r="B5280" s="20">
        <v>60</v>
      </c>
      <c r="C5280" s="20">
        <v>75</v>
      </c>
      <c r="D5280" s="20">
        <v>86</v>
      </c>
      <c r="E5280" s="20">
        <v>2</v>
      </c>
      <c r="F5280" s="20" t="s">
        <v>27332</v>
      </c>
      <c r="G5280" s="20" t="s">
        <v>27333</v>
      </c>
      <c r="H5280" s="24"/>
      <c r="I5280" s="24" t="str">
        <f ca="1">IFERROR(__xludf.DUMMYFUNCTION("GOOGLETRANSLATE(F5280,""en"",""pt"")"),"câmeras de caixa analógicos")</f>
        <v>câmeras de caixa analógicos</v>
      </c>
      <c r="J5280">
        <f>VLOOKUP(A5280,Pr_Base_LNEC!$A$4:$J$6971,6,FALSE)</f>
        <v>0</v>
      </c>
      <c r="K5280">
        <f>VLOOKUP(A5280,Pr_Base_LNEC!$A$4:$J$6971,7,FALSE)</f>
        <v>0</v>
      </c>
    </row>
    <row r="5281" spans="1:11" ht="14.5">
      <c r="A5281" s="20" t="s">
        <v>27334</v>
      </c>
      <c r="B5281" s="20">
        <v>60</v>
      </c>
      <c r="C5281" s="20">
        <v>75</v>
      </c>
      <c r="D5281" s="20">
        <v>86</v>
      </c>
      <c r="E5281" s="20">
        <v>3</v>
      </c>
      <c r="F5281" s="20" t="s">
        <v>27335</v>
      </c>
      <c r="G5281" s="20" t="s">
        <v>27336</v>
      </c>
      <c r="H5281" s="24"/>
      <c r="I5281" s="24" t="str">
        <f ca="1">IFERROR(__xludf.DUMMYFUNCTION("GOOGLETRANSLATE(F5281,""en"",""pt"")"),"câmeras de bala analógicos")</f>
        <v>câmeras de bala analógicos</v>
      </c>
      <c r="J5281">
        <f>VLOOKUP(A5281,Pr_Base_LNEC!$A$4:$J$6971,6,FALSE)</f>
        <v>0</v>
      </c>
      <c r="K5281">
        <f>VLOOKUP(A5281,Pr_Base_LNEC!$A$4:$J$6971,7,FALSE)</f>
        <v>0</v>
      </c>
    </row>
    <row r="5282" spans="1:11" ht="14.5">
      <c r="A5282" s="20" t="s">
        <v>27337</v>
      </c>
      <c r="B5282" s="20">
        <v>60</v>
      </c>
      <c r="C5282" s="20">
        <v>75</v>
      </c>
      <c r="D5282" s="20">
        <v>86</v>
      </c>
      <c r="E5282" s="20">
        <v>4</v>
      </c>
      <c r="F5282" s="20" t="s">
        <v>27338</v>
      </c>
      <c r="G5282" s="20" t="s">
        <v>27339</v>
      </c>
      <c r="H5282" s="24"/>
      <c r="I5282" s="24" t="str">
        <f ca="1">IFERROR(__xludf.DUMMYFUNCTION("GOOGLETRANSLATE(F5282,""en"",""pt"")"),"Analógicos câmeras secretas")</f>
        <v>Analógicos câmeras secretas</v>
      </c>
      <c r="J5282">
        <f>VLOOKUP(A5282,Pr_Base_LNEC!$A$4:$J$6971,6,FALSE)</f>
        <v>0</v>
      </c>
      <c r="K5282">
        <f>VLOOKUP(A5282,Pr_Base_LNEC!$A$4:$J$6971,7,FALSE)</f>
        <v>0</v>
      </c>
    </row>
    <row r="5283" spans="1:11" ht="14.5">
      <c r="A5283" s="20" t="s">
        <v>27340</v>
      </c>
      <c r="B5283" s="20">
        <v>60</v>
      </c>
      <c r="C5283" s="20">
        <v>75</v>
      </c>
      <c r="D5283" s="20">
        <v>86</v>
      </c>
      <c r="E5283" s="20">
        <v>5</v>
      </c>
      <c r="F5283" s="20" t="s">
        <v>27341</v>
      </c>
      <c r="G5283" s="20" t="s">
        <v>27342</v>
      </c>
      <c r="H5283" s="24"/>
      <c r="I5283" s="24" t="str">
        <f ca="1">IFERROR(__xludf.DUMMYFUNCTION("GOOGLETRANSLATE(F5283,""en"",""pt"")"),"câmeras dome fixa analógica")</f>
        <v>câmeras dome fixa analógica</v>
      </c>
      <c r="J5283">
        <f>VLOOKUP(A5283,Pr_Base_LNEC!$A$4:$J$6971,6,FALSE)</f>
        <v>0</v>
      </c>
      <c r="K5283">
        <f>VLOOKUP(A5283,Pr_Base_LNEC!$A$4:$J$6971,7,FALSE)</f>
        <v>0</v>
      </c>
    </row>
    <row r="5284" spans="1:11" ht="14.5">
      <c r="A5284" s="20" t="s">
        <v>27343</v>
      </c>
      <c r="B5284" s="20">
        <v>60</v>
      </c>
      <c r="C5284" s="20">
        <v>75</v>
      </c>
      <c r="D5284" s="20">
        <v>86</v>
      </c>
      <c r="E5284" s="20">
        <v>6</v>
      </c>
      <c r="F5284" s="20" t="s">
        <v>27344</v>
      </c>
      <c r="G5284" s="20" t="s">
        <v>27345</v>
      </c>
      <c r="H5284" s="24"/>
      <c r="I5284" s="24" t="str">
        <f ca="1">IFERROR(__xludf.DUMMYFUNCTION("GOOGLETRANSLATE(F5284,""en"",""pt"")"),"Analógicas pan, tilt, zoom (PTZ)")</f>
        <v>Analógicas pan, tilt, zoom (PTZ)</v>
      </c>
      <c r="J5284">
        <f>VLOOKUP(A5284,Pr_Base_LNEC!$A$4:$J$6971,6,FALSE)</f>
        <v>0</v>
      </c>
      <c r="K5284">
        <f>VLOOKUP(A5284,Pr_Base_LNEC!$A$4:$J$6971,7,FALSE)</f>
        <v>0</v>
      </c>
    </row>
    <row r="5285" spans="1:11" ht="14.5">
      <c r="A5285" s="20" t="s">
        <v>27346</v>
      </c>
      <c r="B5285" s="20">
        <v>60</v>
      </c>
      <c r="C5285" s="20">
        <v>75</v>
      </c>
      <c r="D5285" s="20">
        <v>86</v>
      </c>
      <c r="E5285" s="20">
        <v>7</v>
      </c>
      <c r="F5285" s="20" t="s">
        <v>27347</v>
      </c>
      <c r="G5285" s="20" t="s">
        <v>27348</v>
      </c>
      <c r="H5285" s="24"/>
      <c r="I5285" s="24" t="str">
        <f ca="1">IFERROR(__xludf.DUMMYFUNCTION("GOOGLETRANSLATE(F5285,""en"",""pt"")"),"câmeras de caixa")</f>
        <v>câmeras de caixa</v>
      </c>
      <c r="J5285">
        <f>VLOOKUP(A5285,Pr_Base_LNEC!$A$4:$J$6971,6,FALSE)</f>
        <v>0</v>
      </c>
      <c r="K5285">
        <f>VLOOKUP(A5285,Pr_Base_LNEC!$A$4:$J$6971,7,FALSE)</f>
        <v>0</v>
      </c>
    </row>
    <row r="5286" spans="1:11" ht="14.5">
      <c r="A5286" s="20" t="s">
        <v>27349</v>
      </c>
      <c r="B5286" s="20">
        <v>60</v>
      </c>
      <c r="C5286" s="20">
        <v>75</v>
      </c>
      <c r="D5286" s="20">
        <v>86</v>
      </c>
      <c r="E5286" s="20">
        <v>8</v>
      </c>
      <c r="F5286" s="20" t="s">
        <v>27350</v>
      </c>
      <c r="G5286" s="20" t="s">
        <v>27351</v>
      </c>
      <c r="H5286" s="24"/>
      <c r="I5286" s="24" t="str">
        <f ca="1">IFERROR(__xludf.DUMMYFUNCTION("GOOGLETRANSLATE(F5286,""en"",""pt"")"),"Caixa de lentes de câmera")</f>
        <v>Caixa de lentes de câmera</v>
      </c>
      <c r="J5286">
        <f>VLOOKUP(A5286,Pr_Base_LNEC!$A$4:$J$6971,6,FALSE)</f>
        <v>0</v>
      </c>
      <c r="K5286">
        <f>VLOOKUP(A5286,Pr_Base_LNEC!$A$4:$J$6971,7,FALSE)</f>
        <v>0</v>
      </c>
    </row>
    <row r="5287" spans="1:11" ht="14.5">
      <c r="A5287" s="20" t="s">
        <v>27352</v>
      </c>
      <c r="B5287" s="20">
        <v>60</v>
      </c>
      <c r="C5287" s="20">
        <v>75</v>
      </c>
      <c r="D5287" s="20">
        <v>86</v>
      </c>
      <c r="E5287" s="20">
        <v>9</v>
      </c>
      <c r="F5287" s="20" t="s">
        <v>27353</v>
      </c>
      <c r="G5287" s="20" t="s">
        <v>27354</v>
      </c>
      <c r="H5287" s="24"/>
      <c r="I5287" s="24" t="str">
        <f ca="1">IFERROR(__xludf.DUMMYFUNCTION("GOOGLETRANSLATE(F5287,""en"",""pt"")"),"As câmeras da bala")</f>
        <v>As câmeras da bala</v>
      </c>
      <c r="J5287">
        <f>VLOOKUP(A5287,Pr_Base_LNEC!$A$4:$J$6971,6,FALSE)</f>
        <v>0</v>
      </c>
      <c r="K5287">
        <f>VLOOKUP(A5287,Pr_Base_LNEC!$A$4:$J$6971,7,FALSE)</f>
        <v>0</v>
      </c>
    </row>
    <row r="5288" spans="1:11" ht="14.5">
      <c r="A5288" s="20" t="s">
        <v>27355</v>
      </c>
      <c r="B5288" s="20">
        <v>60</v>
      </c>
      <c r="C5288" s="20">
        <v>75</v>
      </c>
      <c r="D5288" s="20">
        <v>86</v>
      </c>
      <c r="E5288" s="20">
        <v>10</v>
      </c>
      <c r="F5288" s="20" t="s">
        <v>27356</v>
      </c>
      <c r="G5288" s="24"/>
      <c r="H5288" s="24"/>
      <c r="I5288" s="24" t="str">
        <f ca="1">IFERROR(__xludf.DUMMYFUNCTION("GOOGLETRANSLATE(F5288,""en"",""pt"")"),"caixas de junção Camera")</f>
        <v>caixas de junção Camera</v>
      </c>
      <c r="J5288">
        <f>VLOOKUP(A5288,Pr_Base_LNEC!$A$4:$J$6971,6,FALSE)</f>
        <v>0</v>
      </c>
      <c r="K5288">
        <f>VLOOKUP(A5288,Pr_Base_LNEC!$A$4:$J$6971,7,FALSE)</f>
        <v>0</v>
      </c>
    </row>
    <row r="5289" spans="1:11" ht="14.5">
      <c r="A5289" s="20" t="s">
        <v>27357</v>
      </c>
      <c r="B5289" s="20">
        <v>60</v>
      </c>
      <c r="C5289" s="20">
        <v>75</v>
      </c>
      <c r="D5289" s="20">
        <v>86</v>
      </c>
      <c r="E5289" s="20">
        <v>11</v>
      </c>
      <c r="F5289" s="20" t="s">
        <v>27358</v>
      </c>
      <c r="G5289" s="20" t="s">
        <v>27359</v>
      </c>
      <c r="H5289" s="24"/>
      <c r="I5289" s="24" t="str">
        <f ca="1">IFERROR(__xludf.DUMMYFUNCTION("GOOGLETRANSLATE(F5289,""en"",""pt"")"),"câmeras secretas")</f>
        <v>câmeras secretas</v>
      </c>
      <c r="J5289">
        <f>VLOOKUP(A5289,Pr_Base_LNEC!$A$4:$J$6971,6,FALSE)</f>
        <v>0</v>
      </c>
      <c r="K5289">
        <f>VLOOKUP(A5289,Pr_Base_LNEC!$A$4:$J$6971,7,FALSE)</f>
        <v>0</v>
      </c>
    </row>
    <row r="5290" spans="1:11" ht="14.5">
      <c r="A5290" s="20" t="s">
        <v>27360</v>
      </c>
      <c r="B5290" s="20">
        <v>60</v>
      </c>
      <c r="C5290" s="20">
        <v>75</v>
      </c>
      <c r="D5290" s="20">
        <v>86</v>
      </c>
      <c r="E5290" s="20">
        <v>21</v>
      </c>
      <c r="F5290" s="20" t="s">
        <v>27361</v>
      </c>
      <c r="G5290" s="20" t="s">
        <v>27362</v>
      </c>
      <c r="H5290" s="24"/>
      <c r="I5290" s="24" t="str">
        <f ca="1">IFERROR(__xludf.DUMMYFUNCTION("GOOGLETRANSLATE(F5290,""en"",""pt"")"),"câmeras Dia Noite")</f>
        <v>câmeras Dia Noite</v>
      </c>
      <c r="J5290">
        <f>VLOOKUP(A5290,Pr_Base_LNEC!$A$4:$J$6971,6,FALSE)</f>
        <v>0</v>
      </c>
      <c r="K5290">
        <f>VLOOKUP(A5290,Pr_Base_LNEC!$A$4:$J$6971,7,FALSE)</f>
        <v>0</v>
      </c>
    </row>
    <row r="5291" spans="1:11" ht="14.5">
      <c r="A5291" s="20" t="s">
        <v>27363</v>
      </c>
      <c r="B5291" s="20">
        <v>60</v>
      </c>
      <c r="C5291" s="20">
        <v>75</v>
      </c>
      <c r="D5291" s="20">
        <v>86</v>
      </c>
      <c r="E5291" s="20">
        <v>24</v>
      </c>
      <c r="F5291" s="20" t="s">
        <v>27364</v>
      </c>
      <c r="G5291" s="24"/>
      <c r="H5291" s="24"/>
      <c r="I5291" s="24" t="str">
        <f ca="1">IFERROR(__xludf.DUMMYFUNCTION("GOOGLETRANSLATE(F5291,""en"",""pt"")"),"câmeras dome")</f>
        <v>câmeras dome</v>
      </c>
      <c r="J5291">
        <f>VLOOKUP(A5291,Pr_Base_LNEC!$A$4:$J$6971,6,FALSE)</f>
        <v>0</v>
      </c>
      <c r="K5291">
        <f>VLOOKUP(A5291,Pr_Base_LNEC!$A$4:$J$6971,7,FALSE)</f>
        <v>0</v>
      </c>
    </row>
    <row r="5292" spans="1:11" ht="14.5">
      <c r="A5292" s="20" t="s">
        <v>27365</v>
      </c>
      <c r="B5292" s="20">
        <v>60</v>
      </c>
      <c r="C5292" s="20">
        <v>75</v>
      </c>
      <c r="D5292" s="20">
        <v>86</v>
      </c>
      <c r="E5292" s="20">
        <v>30</v>
      </c>
      <c r="F5292" s="20" t="s">
        <v>27366</v>
      </c>
      <c r="G5292" s="24"/>
      <c r="H5292" s="24"/>
      <c r="I5292" s="24" t="str">
        <f ca="1">IFERROR(__xludf.DUMMYFUNCTION("GOOGLETRANSLATE(F5292,""en"",""pt"")"),"câmeras fixas")</f>
        <v>câmeras fixas</v>
      </c>
      <c r="J5292">
        <f>VLOOKUP(A5292,Pr_Base_LNEC!$A$4:$J$6971,6,FALSE)</f>
        <v>0</v>
      </c>
      <c r="K5292">
        <f>VLOOKUP(A5292,Pr_Base_LNEC!$A$4:$J$6971,7,FALSE)</f>
        <v>0</v>
      </c>
    </row>
    <row r="5293" spans="1:11" ht="14.5">
      <c r="A5293" s="20" t="s">
        <v>27367</v>
      </c>
      <c r="B5293" s="20">
        <v>60</v>
      </c>
      <c r="C5293" s="20">
        <v>75</v>
      </c>
      <c r="D5293" s="20">
        <v>86</v>
      </c>
      <c r="E5293" s="20">
        <v>31</v>
      </c>
      <c r="F5293" s="20" t="s">
        <v>27368</v>
      </c>
      <c r="G5293" s="20" t="s">
        <v>27369</v>
      </c>
      <c r="H5293" s="24"/>
      <c r="I5293" s="24" t="str">
        <f ca="1">IFERROR(__xludf.DUMMYFUNCTION("GOOGLETRANSLATE(F5293,""en"",""pt"")"),"câmeras dome fixas")</f>
        <v>câmeras dome fixas</v>
      </c>
      <c r="J5293">
        <f>VLOOKUP(A5293,Pr_Base_LNEC!$A$4:$J$6971,6,FALSE)</f>
        <v>0</v>
      </c>
      <c r="K5293">
        <f>VLOOKUP(A5293,Pr_Base_LNEC!$A$4:$J$6971,7,FALSE)</f>
        <v>0</v>
      </c>
    </row>
    <row r="5294" spans="1:11" ht="14.5">
      <c r="A5294" s="20" t="s">
        <v>27370</v>
      </c>
      <c r="B5294" s="20">
        <v>60</v>
      </c>
      <c r="C5294" s="20">
        <v>75</v>
      </c>
      <c r="D5294" s="20">
        <v>86</v>
      </c>
      <c r="E5294" s="20">
        <v>40</v>
      </c>
      <c r="F5294" s="20" t="s">
        <v>27371</v>
      </c>
      <c r="G5294" s="24"/>
      <c r="H5294" s="24"/>
      <c r="I5294" s="24" t="str">
        <f ca="1">IFERROR(__xludf.DUMMYFUNCTION("GOOGLETRANSLATE(F5294,""en"",""pt"")"),"unidades de processamento de imagem")</f>
        <v>unidades de processamento de imagem</v>
      </c>
      <c r="J5294">
        <f>VLOOKUP(A5294,Pr_Base_LNEC!$A$4:$J$6971,6,FALSE)</f>
        <v>0</v>
      </c>
      <c r="K5294">
        <f>VLOOKUP(A5294,Pr_Base_LNEC!$A$4:$J$6971,7,FALSE)</f>
        <v>0</v>
      </c>
    </row>
    <row r="5295" spans="1:11" ht="14.5">
      <c r="A5295" s="20" t="s">
        <v>27372</v>
      </c>
      <c r="B5295" s="20">
        <v>60</v>
      </c>
      <c r="C5295" s="20">
        <v>75</v>
      </c>
      <c r="D5295" s="20">
        <v>86</v>
      </c>
      <c r="E5295" s="20">
        <v>41</v>
      </c>
      <c r="F5295" s="20" t="s">
        <v>27373</v>
      </c>
      <c r="G5295" s="24"/>
      <c r="H5295" s="24"/>
      <c r="I5295" s="24" t="str">
        <f ca="1">IFERROR(__xludf.DUMMYFUNCTION("GOOGLETRANSLATE(F5295,""en"",""pt"")"),"câmeras infra-vermelho")</f>
        <v>câmeras infra-vermelho</v>
      </c>
      <c r="J5295">
        <f>VLOOKUP(A5295,Pr_Base_LNEC!$A$4:$J$6971,6,FALSE)</f>
        <v>0</v>
      </c>
      <c r="K5295">
        <f>VLOOKUP(A5295,Pr_Base_LNEC!$A$4:$J$6971,7,FALSE)</f>
        <v>0</v>
      </c>
    </row>
    <row r="5296" spans="1:11" ht="14.5">
      <c r="A5296" s="20" t="s">
        <v>27374</v>
      </c>
      <c r="B5296" s="20">
        <v>60</v>
      </c>
      <c r="C5296" s="20">
        <v>75</v>
      </c>
      <c r="D5296" s="20">
        <v>86</v>
      </c>
      <c r="E5296" s="20">
        <v>42</v>
      </c>
      <c r="F5296" s="20" t="s">
        <v>27375</v>
      </c>
      <c r="G5296" s="24"/>
      <c r="H5296" s="24"/>
      <c r="I5296" s="24" t="str">
        <f ca="1">IFERROR(__xludf.DUMMYFUNCTION("GOOGLETRANSLATE(F5296,""en"",""pt"")"),"iluminadores infravermelhos")</f>
        <v>iluminadores infravermelhos</v>
      </c>
      <c r="J5296">
        <f>VLOOKUP(A5296,Pr_Base_LNEC!$A$4:$J$6971,6,FALSE)</f>
        <v>0</v>
      </c>
      <c r="K5296">
        <f>VLOOKUP(A5296,Pr_Base_LNEC!$A$4:$J$6971,7,FALSE)</f>
        <v>0</v>
      </c>
    </row>
    <row r="5297" spans="1:11" ht="14.5">
      <c r="A5297" s="20" t="s">
        <v>27376</v>
      </c>
      <c r="B5297" s="20">
        <v>60</v>
      </c>
      <c r="C5297" s="20">
        <v>75</v>
      </c>
      <c r="D5297" s="20">
        <v>86</v>
      </c>
      <c r="E5297" s="20">
        <v>45</v>
      </c>
      <c r="F5297" s="20" t="s">
        <v>27377</v>
      </c>
      <c r="G5297" s="24"/>
      <c r="H5297" s="24"/>
      <c r="I5297" s="24" t="str">
        <f ca="1">IFERROR(__xludf.DUMMYFUNCTION("GOOGLETRANSLATE(F5297,""en"",""pt"")"),"câmera digital integrada e iluminadores infravermelhos")</f>
        <v>câmera digital integrada e iluminadores infravermelhos</v>
      </c>
      <c r="J5297">
        <f>VLOOKUP(A5297,Pr_Base_LNEC!$A$4:$J$6971,6,FALSE)</f>
        <v>0</v>
      </c>
      <c r="K5297">
        <f>VLOOKUP(A5297,Pr_Base_LNEC!$A$4:$J$6971,7,FALSE)</f>
        <v>0</v>
      </c>
    </row>
    <row r="5298" spans="1:11" ht="14.5">
      <c r="A5298" s="20" t="s">
        <v>27378</v>
      </c>
      <c r="B5298" s="20">
        <v>60</v>
      </c>
      <c r="C5298" s="20">
        <v>75</v>
      </c>
      <c r="D5298" s="20">
        <v>86</v>
      </c>
      <c r="E5298" s="20">
        <v>47</v>
      </c>
      <c r="F5298" s="20" t="s">
        <v>27379</v>
      </c>
      <c r="G5298" s="24"/>
      <c r="H5298" s="24"/>
      <c r="I5298" s="24" t="str">
        <f ca="1">IFERROR(__xludf.DUMMYFUNCTION("GOOGLETRANSLATE(F5298,""en"",""pt"")"),"Lentes")</f>
        <v>Lentes</v>
      </c>
      <c r="J5298">
        <f>VLOOKUP(A5298,Pr_Base_LNEC!$A$4:$J$6971,6,FALSE)</f>
        <v>0</v>
      </c>
      <c r="K5298">
        <f>VLOOKUP(A5298,Pr_Base_LNEC!$A$4:$J$6971,7,FALSE)</f>
        <v>0</v>
      </c>
    </row>
    <row r="5299" spans="1:11" ht="14.5">
      <c r="A5299" s="20" t="s">
        <v>27380</v>
      </c>
      <c r="B5299" s="20">
        <v>60</v>
      </c>
      <c r="C5299" s="20">
        <v>75</v>
      </c>
      <c r="D5299" s="20">
        <v>86</v>
      </c>
      <c r="E5299" s="20">
        <v>60</v>
      </c>
      <c r="F5299" s="20" t="s">
        <v>27381</v>
      </c>
      <c r="G5299" s="20" t="s">
        <v>27382</v>
      </c>
      <c r="H5299" s="24"/>
      <c r="I5299" s="24" t="str">
        <f ca="1">IFERROR(__xludf.DUMMYFUNCTION("GOOGLETRANSLATE(F5299,""en"",""pt"")"),"unidades de pan e tilt")</f>
        <v>unidades de pan e tilt</v>
      </c>
      <c r="J5299">
        <f>VLOOKUP(A5299,Pr_Base_LNEC!$A$4:$J$6971,6,FALSE)</f>
        <v>0</v>
      </c>
      <c r="K5299">
        <f>VLOOKUP(A5299,Pr_Base_LNEC!$A$4:$J$6971,7,FALSE)</f>
        <v>0</v>
      </c>
    </row>
    <row r="5300" spans="1:11" ht="14.5">
      <c r="A5300" s="20" t="s">
        <v>27383</v>
      </c>
      <c r="B5300" s="20">
        <v>60</v>
      </c>
      <c r="C5300" s="20">
        <v>75</v>
      </c>
      <c r="D5300" s="20">
        <v>86</v>
      </c>
      <c r="E5300" s="20">
        <v>65</v>
      </c>
      <c r="F5300" s="20" t="s">
        <v>27384</v>
      </c>
      <c r="G5300" s="20" t="s">
        <v>27385</v>
      </c>
      <c r="H5300" s="24"/>
      <c r="I5300" s="24" t="str">
        <f ca="1">IFERROR(__xludf.DUMMYFUNCTION("GOOGLETRANSLATE(F5300,""en"",""pt"")"),"Pan, tilt câmeras de zoom")</f>
        <v>Pan, tilt câmeras de zoom</v>
      </c>
      <c r="J5300">
        <f>VLOOKUP(A5300,Pr_Base_LNEC!$A$4:$J$6971,6,FALSE)</f>
        <v>0</v>
      </c>
      <c r="K5300">
        <f>VLOOKUP(A5300,Pr_Base_LNEC!$A$4:$J$6971,7,FALSE)</f>
        <v>0</v>
      </c>
    </row>
    <row r="5301" spans="1:11" ht="14.5">
      <c r="A5301" s="20" t="s">
        <v>27386</v>
      </c>
      <c r="B5301" s="20">
        <v>60</v>
      </c>
      <c r="C5301" s="20">
        <v>75</v>
      </c>
      <c r="D5301" s="20">
        <v>86</v>
      </c>
      <c r="E5301" s="20">
        <v>79</v>
      </c>
      <c r="F5301" s="20" t="s">
        <v>27387</v>
      </c>
      <c r="G5301" s="20" t="s">
        <v>27388</v>
      </c>
      <c r="H5301" s="24"/>
      <c r="I5301" s="24" t="str">
        <f ca="1">IFERROR(__xludf.DUMMYFUNCTION("GOOGLETRANSLATE(F5301,""en"",""pt"")"),"monitores de vigilância")</f>
        <v>monitores de vigilância</v>
      </c>
      <c r="J5301">
        <f>VLOOKUP(A5301,Pr_Base_LNEC!$A$4:$J$6971,6,FALSE)</f>
        <v>0</v>
      </c>
      <c r="K5301">
        <f>VLOOKUP(A5301,Pr_Base_LNEC!$A$4:$J$6971,7,FALSE)</f>
        <v>0</v>
      </c>
    </row>
    <row r="5302" spans="1:11" ht="14.5">
      <c r="A5302" s="20" t="s">
        <v>27389</v>
      </c>
      <c r="B5302" s="20">
        <v>60</v>
      </c>
      <c r="C5302" s="20">
        <v>75</v>
      </c>
      <c r="D5302" s="20">
        <v>86</v>
      </c>
      <c r="E5302" s="20">
        <v>80</v>
      </c>
      <c r="F5302" s="20" t="s">
        <v>27390</v>
      </c>
      <c r="G5302" s="20" t="s">
        <v>27391</v>
      </c>
      <c r="H5302" s="24"/>
      <c r="I5302" s="24" t="str">
        <f ca="1">IFERROR(__xludf.DUMMYFUNCTION("GOOGLETRANSLATE(F5302,""en"",""pt"")"),"câmeras de pesquisa")</f>
        <v>câmeras de pesquisa</v>
      </c>
      <c r="J5302">
        <f>VLOOKUP(A5302,Pr_Base_LNEC!$A$4:$J$6971,6,FALSE)</f>
        <v>0</v>
      </c>
      <c r="K5302">
        <f>VLOOKUP(A5302,Pr_Base_LNEC!$A$4:$J$6971,7,FALSE)</f>
        <v>0</v>
      </c>
    </row>
    <row r="5303" spans="1:11" ht="14.5">
      <c r="A5303" s="20" t="s">
        <v>27392</v>
      </c>
      <c r="B5303" s="20">
        <v>60</v>
      </c>
      <c r="C5303" s="20">
        <v>75</v>
      </c>
      <c r="D5303" s="20">
        <v>86</v>
      </c>
      <c r="E5303" s="20">
        <v>90</v>
      </c>
      <c r="F5303" s="20" t="s">
        <v>27393</v>
      </c>
      <c r="G5303" s="24"/>
      <c r="H5303" s="24"/>
      <c r="I5303" s="24" t="str">
        <f ca="1">IFERROR(__xludf.DUMMYFUNCTION("GOOGLETRANSLATE(F5303,""en"",""pt"")"),"câmeras de controle de tráfego")</f>
        <v>câmeras de controle de tráfego</v>
      </c>
      <c r="J5303">
        <f>VLOOKUP(A5303,Pr_Base_LNEC!$A$4:$J$6971,6,FALSE)</f>
        <v>0</v>
      </c>
      <c r="K5303">
        <f>VLOOKUP(A5303,Pr_Base_LNEC!$A$4:$J$6971,7,FALSE)</f>
        <v>0</v>
      </c>
    </row>
    <row r="5304" spans="1:11" ht="14.5">
      <c r="A5304" s="20" t="s">
        <v>27394</v>
      </c>
      <c r="B5304" s="20">
        <v>60</v>
      </c>
      <c r="C5304" s="20">
        <v>75</v>
      </c>
      <c r="D5304" s="20">
        <v>86</v>
      </c>
      <c r="E5304" s="20">
        <v>92</v>
      </c>
      <c r="F5304" s="20" t="s">
        <v>27395</v>
      </c>
      <c r="G5304" s="24"/>
      <c r="H5304" s="24"/>
      <c r="I5304" s="24" t="str">
        <f ca="1">IFERROR(__xludf.DUMMYFUNCTION("GOOGLETRANSLATE(F5304,""en"",""pt"")"),"amplificadores de distribuição de vídeo")</f>
        <v>amplificadores de distribuição de vídeo</v>
      </c>
      <c r="J5304">
        <f>VLOOKUP(A5304,Pr_Base_LNEC!$A$4:$J$6971,6,FALSE)</f>
        <v>0</v>
      </c>
      <c r="K5304">
        <f>VLOOKUP(A5304,Pr_Base_LNEC!$A$4:$J$6971,7,FALSE)</f>
        <v>0</v>
      </c>
    </row>
    <row r="5305" spans="1:11" ht="14.5">
      <c r="A5305" s="20" t="s">
        <v>27396</v>
      </c>
      <c r="B5305" s="20">
        <v>60</v>
      </c>
      <c r="C5305" s="20">
        <v>75</v>
      </c>
      <c r="D5305" s="20">
        <v>86</v>
      </c>
      <c r="E5305" s="20">
        <v>94</v>
      </c>
      <c r="F5305" s="20" t="s">
        <v>27397</v>
      </c>
      <c r="G5305" s="24"/>
      <c r="H5305" s="24"/>
      <c r="I5305" s="24" t="str">
        <f ca="1">IFERROR(__xludf.DUMMYFUNCTION("GOOGLETRANSLATE(F5305,""en"",""pt"")"),"hubs de receptor de vídeo")</f>
        <v>hubs de receptor de vídeo</v>
      </c>
      <c r="J5305">
        <f>VLOOKUP(A5305,Pr_Base_LNEC!$A$4:$J$6971,6,FALSE)</f>
        <v>0</v>
      </c>
      <c r="K5305">
        <f>VLOOKUP(A5305,Pr_Base_LNEC!$A$4:$J$6971,7,FALSE)</f>
        <v>0</v>
      </c>
    </row>
    <row r="5306" spans="1:11" ht="14.5">
      <c r="A5306" s="20" t="s">
        <v>27398</v>
      </c>
      <c r="B5306" s="20">
        <v>60</v>
      </c>
      <c r="C5306" s="20">
        <v>75</v>
      </c>
      <c r="D5306" s="20">
        <v>86</v>
      </c>
      <c r="E5306" s="20">
        <v>99</v>
      </c>
      <c r="F5306" s="20" t="s">
        <v>27399</v>
      </c>
      <c r="G5306" s="24"/>
      <c r="H5306" s="24"/>
      <c r="I5306" s="24" t="str">
        <f ca="1">IFERROR(__xludf.DUMMYFUNCTION("GOOGLETRANSLATE(F5306,""en"",""pt"")"),"lentes de zoom")</f>
        <v>lentes de zoom</v>
      </c>
      <c r="J5306">
        <f>VLOOKUP(A5306,Pr_Base_LNEC!$A$4:$J$6971,6,FALSE)</f>
        <v>0</v>
      </c>
      <c r="K5306">
        <f>VLOOKUP(A5306,Pr_Base_LNEC!$A$4:$J$6971,7,FALSE)</f>
        <v>0</v>
      </c>
    </row>
    <row r="5307" spans="1:11" ht="14.5">
      <c r="A5307" s="20" t="s">
        <v>27400</v>
      </c>
      <c r="B5307" s="20">
        <v>65</v>
      </c>
      <c r="C5307" s="24"/>
      <c r="D5307" s="24"/>
      <c r="E5307" s="24"/>
      <c r="F5307" s="20" t="s">
        <v>27401</v>
      </c>
      <c r="G5307" s="24"/>
      <c r="H5307" s="24"/>
      <c r="I5307" s="24" t="str">
        <f ca="1">IFERROR(__xludf.DUMMYFUNCTION("GOOGLETRANSLATE(F5307,""en"",""pt"")"),"produtos de distribuição de serviços")</f>
        <v>produtos de distribuição de serviços</v>
      </c>
      <c r="J5307" t="str">
        <f>VLOOKUP(A5307,Pr_Base_LNEC!$A$4:$J$6971,6,FALSE)</f>
        <v>Produtos para Distribuição de Serviços</v>
      </c>
      <c r="K5307">
        <f>VLOOKUP(A5307,Pr_Base_LNEC!$A$4:$J$6971,7,FALSE)</f>
        <v>0</v>
      </c>
    </row>
    <row r="5308" spans="1:11" ht="14.5">
      <c r="A5308" s="20" t="s">
        <v>27402</v>
      </c>
      <c r="B5308" s="20">
        <v>65</v>
      </c>
      <c r="C5308" s="20">
        <v>12</v>
      </c>
      <c r="D5308" s="24"/>
      <c r="E5308" s="24"/>
      <c r="F5308" s="20" t="s">
        <v>7598</v>
      </c>
      <c r="G5308" s="24"/>
      <c r="H5308" s="24"/>
      <c r="I5308" s="24" t="str">
        <f ca="1">IFERROR(__xludf.DUMMYFUNCTION("GOOGLETRANSLATE(F5308,""en"",""pt"")"),"chutes")</f>
        <v>chutes</v>
      </c>
      <c r="J5308" t="str">
        <f>VLOOKUP(A5308,Pr_Base_LNEC!$A$4:$J$6971,6,FALSE)</f>
        <v>Coletor de Entulhe</v>
      </c>
      <c r="K5308">
        <f>VLOOKUP(A5308,Pr_Base_LNEC!$A$4:$J$6971,7,FALSE)</f>
        <v>0</v>
      </c>
    </row>
    <row r="5309" spans="1:11" ht="14.5">
      <c r="A5309" s="20" t="s">
        <v>27403</v>
      </c>
      <c r="B5309" s="20">
        <v>65</v>
      </c>
      <c r="C5309" s="20">
        <v>12</v>
      </c>
      <c r="D5309" s="20">
        <v>70</v>
      </c>
      <c r="E5309" s="24"/>
      <c r="F5309" s="20" t="s">
        <v>27404</v>
      </c>
      <c r="G5309" s="24"/>
      <c r="H5309" s="24"/>
      <c r="I5309" s="24" t="str">
        <f ca="1">IFERROR(__xludf.DUMMYFUNCTION("GOOGLETRANSLATE(F5309,""en"",""pt"")"),"Recusar e linho chutes")</f>
        <v>Recusar e linho chutes</v>
      </c>
      <c r="J5309">
        <f>VLOOKUP(A5309,Pr_Base_LNEC!$A$4:$J$6971,6,FALSE)</f>
        <v>0</v>
      </c>
      <c r="K5309">
        <f>VLOOKUP(A5309,Pr_Base_LNEC!$A$4:$J$6971,7,FALSE)</f>
        <v>0</v>
      </c>
    </row>
    <row r="5310" spans="1:11" ht="14.5">
      <c r="A5310" s="20" t="s">
        <v>27405</v>
      </c>
      <c r="B5310" s="20">
        <v>65</v>
      </c>
      <c r="C5310" s="20">
        <v>12</v>
      </c>
      <c r="D5310" s="20">
        <v>70</v>
      </c>
      <c r="E5310" s="20">
        <v>22</v>
      </c>
      <c r="F5310" s="20" t="s">
        <v>27406</v>
      </c>
      <c r="G5310" s="20" t="s">
        <v>27407</v>
      </c>
      <c r="H5310" s="24"/>
      <c r="I5310" s="24" t="str">
        <f ca="1">IFERROR(__xludf.DUMMYFUNCTION("GOOGLETRANSLATE(F5310,""en"",""pt"")"),"chutes eliminação")</f>
        <v>chutes eliminação</v>
      </c>
      <c r="J5310">
        <f>VLOOKUP(A5310,Pr_Base_LNEC!$A$4:$J$6971,6,FALSE)</f>
        <v>0</v>
      </c>
      <c r="K5310">
        <f>VLOOKUP(A5310,Pr_Base_LNEC!$A$4:$J$6971,7,FALSE)</f>
        <v>0</v>
      </c>
    </row>
    <row r="5311" spans="1:11" ht="14.5">
      <c r="A5311" s="20" t="s">
        <v>27408</v>
      </c>
      <c r="B5311" s="20">
        <v>65</v>
      </c>
      <c r="C5311" s="20">
        <v>12</v>
      </c>
      <c r="D5311" s="20">
        <v>70</v>
      </c>
      <c r="E5311" s="20">
        <v>47</v>
      </c>
      <c r="F5311" s="20" t="s">
        <v>27409</v>
      </c>
      <c r="G5311" s="20" t="s">
        <v>27410</v>
      </c>
      <c r="H5311" s="24"/>
      <c r="I5311" s="24" t="str">
        <f ca="1">IFERROR(__xludf.DUMMYFUNCTION("GOOGLETRANSLATE(F5311,""en"",""pt"")"),"chutes de linho")</f>
        <v>chutes de linho</v>
      </c>
      <c r="J5311">
        <f>VLOOKUP(A5311,Pr_Base_LNEC!$A$4:$J$6971,6,FALSE)</f>
        <v>0</v>
      </c>
      <c r="K5311">
        <f>VLOOKUP(A5311,Pr_Base_LNEC!$A$4:$J$6971,7,FALSE)</f>
        <v>0</v>
      </c>
    </row>
    <row r="5312" spans="1:11" ht="14.5">
      <c r="A5312" s="20" t="s">
        <v>27411</v>
      </c>
      <c r="B5312" s="20">
        <v>65</v>
      </c>
      <c r="C5312" s="20">
        <v>12</v>
      </c>
      <c r="D5312" s="20">
        <v>71</v>
      </c>
      <c r="E5312" s="24"/>
      <c r="F5312" s="20" t="s">
        <v>27412</v>
      </c>
      <c r="G5312" s="24"/>
      <c r="H5312" s="24"/>
      <c r="I5312" s="24" t="str">
        <f ca="1">IFERROR(__xludf.DUMMYFUNCTION("GOOGLETRANSLATE(F5312,""en"",""pt"")"),"Recusar e linho acessórios de calha")</f>
        <v>Recusar e linho acessórios de calha</v>
      </c>
      <c r="J5312">
        <f>VLOOKUP(A5312,Pr_Base_LNEC!$A$4:$J$6971,6,FALSE)</f>
        <v>0</v>
      </c>
      <c r="K5312">
        <f>VLOOKUP(A5312,Pr_Base_LNEC!$A$4:$J$6971,7,FALSE)</f>
        <v>0</v>
      </c>
    </row>
    <row r="5313" spans="1:11" ht="14.5">
      <c r="A5313" s="20" t="s">
        <v>27413</v>
      </c>
      <c r="B5313" s="20">
        <v>65</v>
      </c>
      <c r="C5313" s="20">
        <v>12</v>
      </c>
      <c r="D5313" s="20">
        <v>71</v>
      </c>
      <c r="E5313" s="20">
        <v>12</v>
      </c>
      <c r="F5313" s="20" t="s">
        <v>27414</v>
      </c>
      <c r="G5313" s="20" t="s">
        <v>27415</v>
      </c>
      <c r="H5313" s="24"/>
      <c r="I5313" s="24" t="str">
        <f ca="1">IFERROR(__xludf.DUMMYFUNCTION("GOOGLETRANSLATE(F5313,""en"",""pt"")"),"mecanismos de limpeza de calha")</f>
        <v>mecanismos de limpeza de calha</v>
      </c>
      <c r="J5313">
        <f>VLOOKUP(A5313,Pr_Base_LNEC!$A$4:$J$6971,6,FALSE)</f>
        <v>0</v>
      </c>
      <c r="K5313">
        <f>VLOOKUP(A5313,Pr_Base_LNEC!$A$4:$J$6971,7,FALSE)</f>
        <v>0</v>
      </c>
    </row>
    <row r="5314" spans="1:11" ht="14.5">
      <c r="A5314" s="20" t="s">
        <v>27416</v>
      </c>
      <c r="B5314" s="20">
        <v>65</v>
      </c>
      <c r="C5314" s="20">
        <v>12</v>
      </c>
      <c r="D5314" s="20">
        <v>71</v>
      </c>
      <c r="E5314" s="20">
        <v>72</v>
      </c>
      <c r="F5314" s="20" t="s">
        <v>27417</v>
      </c>
      <c r="G5314" s="20" t="s">
        <v>27418</v>
      </c>
      <c r="H5314" s="24"/>
      <c r="I5314" s="24" t="str">
        <f ca="1">IFERROR(__xludf.DUMMYFUNCTION("GOOGLETRANSLATE(F5314,""en"",""pt"")"),"separadores de lixo e reciclagem")</f>
        <v>separadores de lixo e reciclagem</v>
      </c>
      <c r="J5314">
        <f>VLOOKUP(A5314,Pr_Base_LNEC!$A$4:$J$6971,6,FALSE)</f>
        <v>0</v>
      </c>
      <c r="K5314">
        <f>VLOOKUP(A5314,Pr_Base_LNEC!$A$4:$J$6971,7,FALSE)</f>
        <v>0</v>
      </c>
    </row>
    <row r="5315" spans="1:11" ht="14.5">
      <c r="A5315" s="20" t="s">
        <v>27419</v>
      </c>
      <c r="B5315" s="20">
        <v>65</v>
      </c>
      <c r="C5315" s="20">
        <v>50</v>
      </c>
      <c r="D5315" s="24"/>
      <c r="E5315" s="24"/>
      <c r="F5315" s="20" t="s">
        <v>27420</v>
      </c>
      <c r="G5315" s="24"/>
      <c r="H5315" s="24"/>
      <c r="I5315" s="24" t="str">
        <f ca="1">IFERROR(__xludf.DUMMYFUNCTION("GOOGLETRANSLATE(F5315,""en"",""pt"")"),"Sarjeta e produtos de montagem")</f>
        <v>Sarjeta e produtos de montagem</v>
      </c>
      <c r="J5315" t="str">
        <f>VLOOKUP(A5315,Pr_Base_LNEC!$A$4:$J$6971,6,FALSE)</f>
        <v>Algeiros, Calhas e Tubos de queda e Produtos para montagem</v>
      </c>
      <c r="K5315">
        <f>VLOOKUP(A5315,Pr_Base_LNEC!$A$4:$J$6971,7,FALSE)</f>
        <v>0</v>
      </c>
    </row>
    <row r="5316" spans="1:11" ht="14.5">
      <c r="A5316" s="20" t="s">
        <v>27421</v>
      </c>
      <c r="B5316" s="20">
        <v>65</v>
      </c>
      <c r="C5316" s="20">
        <v>50</v>
      </c>
      <c r="D5316" s="20">
        <v>35</v>
      </c>
      <c r="E5316" s="24"/>
      <c r="F5316" s="20" t="s">
        <v>27422</v>
      </c>
      <c r="G5316" s="24"/>
      <c r="H5316" s="24"/>
      <c r="I5316" s="24" t="str">
        <f ca="1">IFERROR(__xludf.DUMMYFUNCTION("GOOGLETRANSLATE(F5316,""en"",""pt"")"),"Calhas e acessórios")</f>
        <v>Calhas e acessórios</v>
      </c>
      <c r="J5316">
        <f>VLOOKUP(A5316,Pr_Base_LNEC!$A$4:$J$6971,6,FALSE)</f>
        <v>0</v>
      </c>
      <c r="K5316">
        <f>VLOOKUP(A5316,Pr_Base_LNEC!$A$4:$J$6971,7,FALSE)</f>
        <v>0</v>
      </c>
    </row>
    <row r="5317" spans="1:11" ht="14.5">
      <c r="A5317" s="20" t="s">
        <v>27423</v>
      </c>
      <c r="B5317" s="20">
        <v>65</v>
      </c>
      <c r="C5317" s="20">
        <v>50</v>
      </c>
      <c r="D5317" s="20">
        <v>35</v>
      </c>
      <c r="E5317" s="20">
        <v>2</v>
      </c>
      <c r="F5317" s="20" t="s">
        <v>27424</v>
      </c>
      <c r="G5317" s="20" t="s">
        <v>27425</v>
      </c>
      <c r="H5317" s="24"/>
      <c r="I5317" s="24" t="str">
        <f ca="1">IFERROR(__xludf.DUMMYFUNCTION("GOOGLETRANSLATE(F5317,""en"",""pt"")"),"Alumínio combinado fáscia, intradorsos e calhas")</f>
        <v>Alumínio combinado fáscia, intradorsos e calhas</v>
      </c>
      <c r="J5317">
        <f>VLOOKUP(A5317,Pr_Base_LNEC!$A$4:$J$6971,6,FALSE)</f>
        <v>0</v>
      </c>
      <c r="K5317">
        <f>VLOOKUP(A5317,Pr_Base_LNEC!$A$4:$J$6971,7,FALSE)</f>
        <v>0</v>
      </c>
    </row>
    <row r="5318" spans="1:11" ht="14.5">
      <c r="A5318" s="20" t="s">
        <v>27426</v>
      </c>
      <c r="B5318" s="20">
        <v>65</v>
      </c>
      <c r="C5318" s="20">
        <v>50</v>
      </c>
      <c r="D5318" s="20">
        <v>35</v>
      </c>
      <c r="E5318" s="20">
        <v>4</v>
      </c>
      <c r="F5318" s="20" t="s">
        <v>27427</v>
      </c>
      <c r="G5318" s="20" t="s">
        <v>27428</v>
      </c>
      <c r="H5318" s="24"/>
      <c r="I5318" s="24" t="str">
        <f ca="1">IFERROR(__xludf.DUMMYFUNCTION("GOOGLETRANSLATE(F5318,""en"",""pt"")"),"Alumínio calhas vale compósito")</f>
        <v>Alumínio calhas vale compósito</v>
      </c>
      <c r="J5318">
        <f>VLOOKUP(A5318,Pr_Base_LNEC!$A$4:$J$6971,6,FALSE)</f>
        <v>0</v>
      </c>
      <c r="K5318">
        <f>VLOOKUP(A5318,Pr_Base_LNEC!$A$4:$J$6971,7,FALSE)</f>
        <v>0</v>
      </c>
    </row>
    <row r="5319" spans="1:11" ht="14.5">
      <c r="A5319" s="20" t="s">
        <v>27429</v>
      </c>
      <c r="B5319" s="20">
        <v>65</v>
      </c>
      <c r="C5319" s="20">
        <v>50</v>
      </c>
      <c r="D5319" s="20">
        <v>35</v>
      </c>
      <c r="E5319" s="20">
        <v>6</v>
      </c>
      <c r="F5319" s="20" t="s">
        <v>27430</v>
      </c>
      <c r="G5319" s="20" t="s">
        <v>27431</v>
      </c>
      <c r="H5319" s="24"/>
      <c r="I5319" s="24" t="str">
        <f ca="1">IFERROR(__xludf.DUMMYFUNCTION("GOOGLETRANSLATE(F5319,""en"",""pt"")"),"Alumínio beirados calhas")</f>
        <v>Alumínio beirados calhas</v>
      </c>
      <c r="J5319">
        <f>VLOOKUP(A5319,Pr_Base_LNEC!$A$4:$J$6971,6,FALSE)</f>
        <v>0</v>
      </c>
      <c r="K5319">
        <f>VLOOKUP(A5319,Pr_Base_LNEC!$A$4:$J$6971,7,FALSE)</f>
        <v>0</v>
      </c>
    </row>
    <row r="5320" spans="1:11" ht="14.5">
      <c r="A5320" s="20" t="s">
        <v>27432</v>
      </c>
      <c r="B5320" s="20">
        <v>65</v>
      </c>
      <c r="C5320" s="20">
        <v>50</v>
      </c>
      <c r="D5320" s="20">
        <v>35</v>
      </c>
      <c r="E5320" s="20">
        <v>8</v>
      </c>
      <c r="F5320" s="20" t="s">
        <v>27433</v>
      </c>
      <c r="G5320" s="20" t="s">
        <v>27434</v>
      </c>
      <c r="H5320" s="24"/>
      <c r="I5320" s="24" t="str">
        <f ca="1">IFERROR(__xludf.DUMMYFUNCTION("GOOGLETRANSLATE(F5320,""en"",""pt"")"),"calhas vale de alumínio")</f>
        <v>calhas vale de alumínio</v>
      </c>
      <c r="J5320">
        <f>VLOOKUP(A5320,Pr_Base_LNEC!$A$4:$J$6971,6,FALSE)</f>
        <v>0</v>
      </c>
      <c r="K5320">
        <f>VLOOKUP(A5320,Pr_Base_LNEC!$A$4:$J$6971,7,FALSE)</f>
        <v>0</v>
      </c>
    </row>
    <row r="5321" spans="1:11" ht="14.5">
      <c r="A5321" s="20" t="s">
        <v>27435</v>
      </c>
      <c r="B5321" s="20">
        <v>65</v>
      </c>
      <c r="C5321" s="20">
        <v>50</v>
      </c>
      <c r="D5321" s="20">
        <v>35</v>
      </c>
      <c r="E5321" s="20">
        <v>9</v>
      </c>
      <c r="F5321" s="20" t="s">
        <v>27436</v>
      </c>
      <c r="G5321" s="24"/>
      <c r="H5321" s="24"/>
      <c r="I5321" s="24" t="str">
        <f ca="1">IFERROR(__xludf.DUMMYFUNCTION("GOOGLETRANSLATE(F5321,""en"",""pt"")"),"sumps sarjeta caixa")</f>
        <v>sumps sarjeta caixa</v>
      </c>
      <c r="J5321" t="e">
        <f>VLOOKUP(A5321,Pr_Base_LNEC!$A$4:$J$6971,6,FALSE)</f>
        <v>#N/A</v>
      </c>
      <c r="K5321" t="e">
        <f>VLOOKUP(A5321,Pr_Base_LNEC!$A$4:$J$6971,7,FALSE)</f>
        <v>#N/A</v>
      </c>
    </row>
    <row r="5322" spans="1:11" ht="14.5">
      <c r="A5322" s="20" t="s">
        <v>27437</v>
      </c>
      <c r="B5322" s="20">
        <v>65</v>
      </c>
      <c r="C5322" s="20">
        <v>50</v>
      </c>
      <c r="D5322" s="20">
        <v>35</v>
      </c>
      <c r="E5322" s="20">
        <v>11</v>
      </c>
      <c r="F5322" s="20" t="s">
        <v>27438</v>
      </c>
      <c r="G5322" s="20" t="s">
        <v>27439</v>
      </c>
      <c r="H5322" s="24"/>
      <c r="I5322" s="24" t="str">
        <f ca="1">IFERROR(__xludf.DUMMYFUNCTION("GOOGLETRANSLATE(F5322,""en"",""pt"")"),"ferro fundido beirados calhas")</f>
        <v>ferro fundido beirados calhas</v>
      </c>
      <c r="J5322">
        <f>VLOOKUP(A5322,Pr_Base_LNEC!$A$4:$J$6971,6,FALSE)</f>
        <v>0</v>
      </c>
      <c r="K5322">
        <f>VLOOKUP(A5322,Pr_Base_LNEC!$A$4:$J$6971,7,FALSE)</f>
        <v>0</v>
      </c>
    </row>
    <row r="5323" spans="1:11" ht="14.5">
      <c r="A5323" s="20" t="s">
        <v>27440</v>
      </c>
      <c r="B5323" s="20">
        <v>65</v>
      </c>
      <c r="C5323" s="20">
        <v>50</v>
      </c>
      <c r="D5323" s="20">
        <v>35</v>
      </c>
      <c r="E5323" s="20">
        <v>15</v>
      </c>
      <c r="F5323" s="20" t="s">
        <v>27441</v>
      </c>
      <c r="G5323" s="20" t="s">
        <v>27442</v>
      </c>
      <c r="H5323" s="24"/>
      <c r="I5323" s="24" t="str">
        <f ca="1">IFERROR(__xludf.DUMMYFUNCTION("GOOGLETRANSLATE(F5323,""en"",""pt"")"),"beirais cobre calhas")</f>
        <v>beirais cobre calhas</v>
      </c>
      <c r="J5323">
        <f>VLOOKUP(A5323,Pr_Base_LNEC!$A$4:$J$6971,6,FALSE)</f>
        <v>0</v>
      </c>
      <c r="K5323">
        <f>VLOOKUP(A5323,Pr_Base_LNEC!$A$4:$J$6971,7,FALSE)</f>
        <v>0</v>
      </c>
    </row>
    <row r="5324" spans="1:11" ht="14.5">
      <c r="A5324" s="20" t="s">
        <v>27443</v>
      </c>
      <c r="B5324" s="20">
        <v>65</v>
      </c>
      <c r="C5324" s="20">
        <v>50</v>
      </c>
      <c r="D5324" s="20">
        <v>35</v>
      </c>
      <c r="E5324" s="20">
        <v>26</v>
      </c>
      <c r="F5324" s="20" t="s">
        <v>27444</v>
      </c>
      <c r="G5324" s="20" t="s">
        <v>27445</v>
      </c>
      <c r="H5324" s="24"/>
      <c r="I5324" s="24" t="str">
        <f ca="1">IFERROR(__xludf.DUMMYFUNCTION("GOOGLETRANSLATE(F5324,""en"",""pt"")"),"Eaves sarjeta guardas folha")</f>
        <v>Eaves sarjeta guardas folha</v>
      </c>
      <c r="J5324">
        <f>VLOOKUP(A5324,Pr_Base_LNEC!$A$4:$J$6971,6,FALSE)</f>
        <v>0</v>
      </c>
      <c r="K5324">
        <f>VLOOKUP(A5324,Pr_Base_LNEC!$A$4:$J$6971,7,FALSE)</f>
        <v>0</v>
      </c>
    </row>
    <row r="5325" spans="1:11" ht="14.5">
      <c r="A5325" s="20" t="s">
        <v>27446</v>
      </c>
      <c r="B5325" s="20">
        <v>65</v>
      </c>
      <c r="C5325" s="20">
        <v>50</v>
      </c>
      <c r="D5325" s="20">
        <v>35</v>
      </c>
      <c r="E5325" s="20">
        <v>27</v>
      </c>
      <c r="F5325" s="20" t="s">
        <v>27447</v>
      </c>
      <c r="G5325" s="20" t="s">
        <v>27448</v>
      </c>
      <c r="H5325" s="24"/>
      <c r="I5325" s="24" t="str">
        <f ca="1">IFERROR(__xludf.DUMMYFUNCTION("GOOGLETRANSLATE(F5325,""en"",""pt"")"),"calhas vale de aço galvanizado")</f>
        <v>calhas vale de aço galvanizado</v>
      </c>
      <c r="J5325">
        <f>VLOOKUP(A5325,Pr_Base_LNEC!$A$4:$J$6971,6,FALSE)</f>
        <v>0</v>
      </c>
      <c r="K5325">
        <f>VLOOKUP(A5325,Pr_Base_LNEC!$A$4:$J$6971,7,FALSE)</f>
        <v>0</v>
      </c>
    </row>
    <row r="5326" spans="1:11" ht="14.5">
      <c r="A5326" s="20" t="s">
        <v>27449</v>
      </c>
      <c r="B5326" s="20">
        <v>65</v>
      </c>
      <c r="C5326" s="20">
        <v>50</v>
      </c>
      <c r="D5326" s="20">
        <v>35</v>
      </c>
      <c r="E5326" s="20">
        <v>28</v>
      </c>
      <c r="F5326" s="20" t="s">
        <v>27450</v>
      </c>
      <c r="G5326" s="24"/>
      <c r="H5326" s="24"/>
      <c r="I5326" s="24" t="str">
        <f ca="1">IFERROR(__xludf.DUMMYFUNCTION("GOOGLETRANSLATE(F5326,""en"",""pt"")"),"aço galvanizado câmaras calhas")</f>
        <v>aço galvanizado câmaras calhas</v>
      </c>
      <c r="J5326">
        <f>VLOOKUP(A5326,Pr_Base_LNEC!$A$4:$J$6971,6,FALSE)</f>
        <v>0</v>
      </c>
      <c r="K5326">
        <f>VLOOKUP(A5326,Pr_Base_LNEC!$A$4:$J$6971,7,FALSE)</f>
        <v>0</v>
      </c>
    </row>
    <row r="5327" spans="1:11" ht="14.5">
      <c r="A5327" s="20" t="s">
        <v>27451</v>
      </c>
      <c r="B5327" s="20">
        <v>65</v>
      </c>
      <c r="C5327" s="20">
        <v>50</v>
      </c>
      <c r="D5327" s="20">
        <v>35</v>
      </c>
      <c r="E5327" s="20">
        <v>29</v>
      </c>
      <c r="F5327" s="20" t="s">
        <v>27452</v>
      </c>
      <c r="G5327" s="20" t="s">
        <v>27425</v>
      </c>
      <c r="H5327" s="24"/>
      <c r="I5327" s="24" t="str">
        <f ca="1">IFERROR(__xludf.DUMMYFUNCTION("GOOGLETRANSLATE(F5327,""en"",""pt"")"),"Aço galvanizado combinadas fáscia, intradorsos e calhas")</f>
        <v>Aço galvanizado combinadas fáscia, intradorsos e calhas</v>
      </c>
      <c r="J5327">
        <f>VLOOKUP(A5327,Pr_Base_LNEC!$A$4:$J$6971,6,FALSE)</f>
        <v>0</v>
      </c>
      <c r="K5327">
        <f>VLOOKUP(A5327,Pr_Base_LNEC!$A$4:$J$6971,7,FALSE)</f>
        <v>0</v>
      </c>
    </row>
    <row r="5328" spans="1:11" ht="14.5">
      <c r="A5328" s="20" t="s">
        <v>27453</v>
      </c>
      <c r="B5328" s="20">
        <v>65</v>
      </c>
      <c r="C5328" s="20">
        <v>50</v>
      </c>
      <c r="D5328" s="20">
        <v>35</v>
      </c>
      <c r="E5328" s="20">
        <v>30</v>
      </c>
      <c r="F5328" s="20" t="s">
        <v>27454</v>
      </c>
      <c r="G5328" s="20" t="s">
        <v>27455</v>
      </c>
      <c r="H5328" s="24"/>
      <c r="I5328" s="24" t="str">
        <f ca="1">IFERROR(__xludf.DUMMYFUNCTION("GOOGLETRANSLATE(F5328,""en"",""pt"")"),"calhas compósitos de aço galvanizado")</f>
        <v>calhas compósitos de aço galvanizado</v>
      </c>
      <c r="J5328">
        <f>VLOOKUP(A5328,Pr_Base_LNEC!$A$4:$J$6971,6,FALSE)</f>
        <v>0</v>
      </c>
      <c r="K5328">
        <f>VLOOKUP(A5328,Pr_Base_LNEC!$A$4:$J$6971,7,FALSE)</f>
        <v>0</v>
      </c>
    </row>
    <row r="5329" spans="1:11" ht="14.5">
      <c r="A5329" s="20" t="s">
        <v>27456</v>
      </c>
      <c r="B5329" s="20">
        <v>65</v>
      </c>
      <c r="C5329" s="20">
        <v>50</v>
      </c>
      <c r="D5329" s="20">
        <v>35</v>
      </c>
      <c r="E5329" s="20">
        <v>31</v>
      </c>
      <c r="F5329" s="20" t="s">
        <v>27457</v>
      </c>
      <c r="G5329" s="24"/>
      <c r="H5329" s="24"/>
      <c r="I5329" s="24" t="str">
        <f ca="1">IFERROR(__xludf.DUMMYFUNCTION("GOOGLETRANSLATE(F5329,""en"",""pt"")"),"aço galvanizado beirados calhas")</f>
        <v>aço galvanizado beirados calhas</v>
      </c>
      <c r="J5329">
        <f>VLOOKUP(A5329,Pr_Base_LNEC!$A$4:$J$6971,6,FALSE)</f>
        <v>0</v>
      </c>
      <c r="K5329">
        <f>VLOOKUP(A5329,Pr_Base_LNEC!$A$4:$J$6971,7,FALSE)</f>
        <v>0</v>
      </c>
    </row>
    <row r="5330" spans="1:11" ht="14.5">
      <c r="A5330" s="20" t="s">
        <v>27458</v>
      </c>
      <c r="B5330" s="20">
        <v>65</v>
      </c>
      <c r="C5330" s="20">
        <v>50</v>
      </c>
      <c r="D5330" s="20">
        <v>35</v>
      </c>
      <c r="E5330" s="20">
        <v>33</v>
      </c>
      <c r="F5330" s="20" t="s">
        <v>27459</v>
      </c>
      <c r="G5330" s="20" t="s">
        <v>27460</v>
      </c>
      <c r="H5330" s="24"/>
      <c r="I5330" s="24" t="str">
        <f ca="1">IFERROR(__xludf.DUMMYFUNCTION("GOOGLETRANSLATE(F5330,""en"",""pt"")"),"Plástico reforçado com vidro (GRP) calhas vale")</f>
        <v>Plástico reforçado com vidro (GRP) calhas vale</v>
      </c>
      <c r="J5330">
        <f>VLOOKUP(A5330,Pr_Base_LNEC!$A$4:$J$6971,6,FALSE)</f>
        <v>0</v>
      </c>
      <c r="K5330">
        <f>VLOOKUP(A5330,Pr_Base_LNEC!$A$4:$J$6971,7,FALSE)</f>
        <v>0</v>
      </c>
    </row>
    <row r="5331" spans="1:11" ht="14.5">
      <c r="A5331" s="20" t="s">
        <v>27461</v>
      </c>
      <c r="B5331" s="20">
        <v>65</v>
      </c>
      <c r="C5331" s="20">
        <v>50</v>
      </c>
      <c r="D5331" s="20">
        <v>35</v>
      </c>
      <c r="E5331" s="20">
        <v>34</v>
      </c>
      <c r="F5331" s="20" t="s">
        <v>27462</v>
      </c>
      <c r="G5331" s="20" t="s">
        <v>27463</v>
      </c>
      <c r="H5331" s="24"/>
      <c r="I5331" s="24" t="str">
        <f ca="1">IFERROR(__xludf.DUMMYFUNCTION("GOOGLETRANSLATE(F5331,""en"",""pt"")"),"Plástico reforçado com vidro (GRP) calhas vale compósitos")</f>
        <v>Plástico reforçado com vidro (GRP) calhas vale compósitos</v>
      </c>
      <c r="J5331">
        <f>VLOOKUP(A5331,Pr_Base_LNEC!$A$4:$J$6971,6,FALSE)</f>
        <v>0</v>
      </c>
      <c r="K5331">
        <f>VLOOKUP(A5331,Pr_Base_LNEC!$A$4:$J$6971,7,FALSE)</f>
        <v>0</v>
      </c>
    </row>
    <row r="5332" spans="1:11" ht="14.5">
      <c r="A5332" s="20" t="s">
        <v>27464</v>
      </c>
      <c r="B5332" s="20">
        <v>65</v>
      </c>
      <c r="C5332" s="20">
        <v>50</v>
      </c>
      <c r="D5332" s="20">
        <v>35</v>
      </c>
      <c r="E5332" s="20">
        <v>35</v>
      </c>
      <c r="F5332" s="20" t="s">
        <v>27465</v>
      </c>
      <c r="G5332" s="20" t="s">
        <v>27466</v>
      </c>
      <c r="H5332" s="24"/>
      <c r="I5332" s="24" t="str">
        <f ca="1">IFERROR(__xludf.DUMMYFUNCTION("GOOGLETRANSLATE(F5332,""en"",""pt"")"),"Plástico reforçado com vidro (GRP) beirais calhas")</f>
        <v>Plástico reforçado com vidro (GRP) beirais calhas</v>
      </c>
      <c r="J5332">
        <f>VLOOKUP(A5332,Pr_Base_LNEC!$A$4:$J$6971,6,FALSE)</f>
        <v>0</v>
      </c>
      <c r="K5332">
        <f>VLOOKUP(A5332,Pr_Base_LNEC!$A$4:$J$6971,7,FALSE)</f>
        <v>0</v>
      </c>
    </row>
    <row r="5333" spans="1:11" ht="14.5">
      <c r="A5333" s="20" t="s">
        <v>27467</v>
      </c>
      <c r="B5333" s="20">
        <v>65</v>
      </c>
      <c r="C5333" s="20">
        <v>50</v>
      </c>
      <c r="D5333" s="20">
        <v>35</v>
      </c>
      <c r="E5333" s="20">
        <v>36</v>
      </c>
      <c r="F5333" s="20" t="s">
        <v>27468</v>
      </c>
      <c r="G5333" s="24"/>
      <c r="H5333" s="24"/>
      <c r="I5333" s="24" t="str">
        <f ca="1">IFERROR(__xludf.DUMMYFUNCTION("GOOGLETRANSLATE(F5333,""en"",""pt"")"),"Plástico reforçado com vidro (GRP) caleiras")</f>
        <v>Plástico reforçado com vidro (GRP) caleiras</v>
      </c>
      <c r="J5333">
        <f>VLOOKUP(A5333,Pr_Base_LNEC!$A$4:$J$6971,6,FALSE)</f>
        <v>0</v>
      </c>
      <c r="K5333">
        <f>VLOOKUP(A5333,Pr_Base_LNEC!$A$4:$J$6971,7,FALSE)</f>
        <v>0</v>
      </c>
    </row>
    <row r="5334" spans="1:11" ht="14.5">
      <c r="A5334" s="20" t="s">
        <v>27469</v>
      </c>
      <c r="B5334" s="20">
        <v>65</v>
      </c>
      <c r="C5334" s="20">
        <v>50</v>
      </c>
      <c r="D5334" s="20">
        <v>35</v>
      </c>
      <c r="E5334" s="20">
        <v>37</v>
      </c>
      <c r="F5334" s="20" t="s">
        <v>27470</v>
      </c>
      <c r="G5334" s="20" t="s">
        <v>27471</v>
      </c>
      <c r="H5334" s="24"/>
      <c r="I5334" s="24" t="str">
        <f ca="1">IFERROR(__xludf.DUMMYFUNCTION("GOOGLETRANSLATE(F5334,""en"",""pt"")"),"saídas de águas pluviais gravidade")</f>
        <v>saídas de águas pluviais gravidade</v>
      </c>
      <c r="J5334">
        <f>VLOOKUP(A5334,Pr_Base_LNEC!$A$4:$J$6971,6,FALSE)</f>
        <v>0</v>
      </c>
      <c r="K5334">
        <f>VLOOKUP(A5334,Pr_Base_LNEC!$A$4:$J$6971,7,FALSE)</f>
        <v>0</v>
      </c>
    </row>
    <row r="5335" spans="1:11" ht="14.5">
      <c r="A5335" s="20" t="s">
        <v>27472</v>
      </c>
      <c r="B5335" s="20">
        <v>65</v>
      </c>
      <c r="C5335" s="20">
        <v>50</v>
      </c>
      <c r="D5335" s="20">
        <v>35</v>
      </c>
      <c r="E5335" s="20">
        <v>38</v>
      </c>
      <c r="F5335" s="20" t="s">
        <v>27473</v>
      </c>
      <c r="G5335" s="20" t="s">
        <v>27474</v>
      </c>
      <c r="H5335" s="24"/>
      <c r="I5335" s="24" t="str">
        <f ca="1">IFERROR(__xludf.DUMMYFUNCTION("GOOGLETRANSLATE(F5335,""en"",""pt"")"),"forros calha")</f>
        <v>forros calha</v>
      </c>
      <c r="J5335">
        <f>VLOOKUP(A5335,Pr_Base_LNEC!$A$4:$J$6971,6,FALSE)</f>
        <v>0</v>
      </c>
      <c r="K5335">
        <f>VLOOKUP(A5335,Pr_Base_LNEC!$A$4:$J$6971,7,FALSE)</f>
        <v>0</v>
      </c>
    </row>
    <row r="5336" spans="1:11" ht="14.5">
      <c r="A5336" s="20" t="s">
        <v>27475</v>
      </c>
      <c r="B5336" s="20">
        <v>65</v>
      </c>
      <c r="C5336" s="20">
        <v>50</v>
      </c>
      <c r="D5336" s="20">
        <v>35</v>
      </c>
      <c r="E5336" s="20">
        <v>40</v>
      </c>
      <c r="F5336" s="20" t="s">
        <v>27476</v>
      </c>
      <c r="G5336" s="20" t="s">
        <v>27425</v>
      </c>
      <c r="H5336" s="24"/>
      <c r="I5336" s="24" t="str">
        <f ca="1">IFERROR(__xludf.DUMMYFUNCTION("GOOGLETRANSLATE(F5336,""en"",""pt"")"),"imersão a quente de aço carbono pré-revestido combinadas fáscia, intradorsos e calhas")</f>
        <v>imersão a quente de aço carbono pré-revestido combinadas fáscia, intradorsos e calhas</v>
      </c>
      <c r="J5336">
        <f>VLOOKUP(A5336,Pr_Base_LNEC!$A$4:$J$6971,6,FALSE)</f>
        <v>0</v>
      </c>
      <c r="K5336">
        <f>VLOOKUP(A5336,Pr_Base_LNEC!$A$4:$J$6971,7,FALSE)</f>
        <v>0</v>
      </c>
    </row>
    <row r="5337" spans="1:11" ht="14.5">
      <c r="A5337" s="20" t="s">
        <v>27477</v>
      </c>
      <c r="B5337" s="20">
        <v>65</v>
      </c>
      <c r="C5337" s="20">
        <v>50</v>
      </c>
      <c r="D5337" s="20">
        <v>35</v>
      </c>
      <c r="E5337" s="20">
        <v>42</v>
      </c>
      <c r="F5337" s="20" t="s">
        <v>27478</v>
      </c>
      <c r="G5337" s="20" t="s">
        <v>27479</v>
      </c>
      <c r="H5337" s="24"/>
      <c r="I5337" s="24" t="str">
        <f ca="1">IFERROR(__xludf.DUMMYFUNCTION("GOOGLETRANSLATE(F5337,""en"",""pt"")"),"imersão a quente de aço carbono pré-revestido beirais calhas")</f>
        <v>imersão a quente de aço carbono pré-revestido beirais calhas</v>
      </c>
      <c r="J5337">
        <f>VLOOKUP(A5337,Pr_Base_LNEC!$A$4:$J$6971,6,FALSE)</f>
        <v>0</v>
      </c>
      <c r="K5337">
        <f>VLOOKUP(A5337,Pr_Base_LNEC!$A$4:$J$6971,7,FALSE)</f>
        <v>0</v>
      </c>
    </row>
    <row r="5338" spans="1:11" ht="14.5">
      <c r="A5338" s="20" t="s">
        <v>27480</v>
      </c>
      <c r="B5338" s="20">
        <v>65</v>
      </c>
      <c r="C5338" s="20">
        <v>50</v>
      </c>
      <c r="D5338" s="20">
        <v>35</v>
      </c>
      <c r="E5338" s="20">
        <v>43</v>
      </c>
      <c r="F5338" s="20" t="s">
        <v>27481</v>
      </c>
      <c r="G5338" s="24"/>
      <c r="H5338" s="24"/>
      <c r="I5338" s="24" t="str">
        <f ca="1">IFERROR(__xludf.DUMMYFUNCTION("GOOGLETRANSLATE(F5338,""en"",""pt"")"),"imersão a quente de carbono pré-revestido calhas vale aço")</f>
        <v>imersão a quente de carbono pré-revestido calhas vale aço</v>
      </c>
      <c r="J5338" t="e">
        <f>VLOOKUP(A5338,Pr_Base_LNEC!$A$4:$J$6971,6,FALSE)</f>
        <v>#N/A</v>
      </c>
      <c r="K5338" t="e">
        <f>VLOOKUP(A5338,Pr_Base_LNEC!$A$4:$J$6971,7,FALSE)</f>
        <v>#N/A</v>
      </c>
    </row>
    <row r="5339" spans="1:11" ht="14.5">
      <c r="A5339" s="20" t="s">
        <v>27482</v>
      </c>
      <c r="B5339" s="20">
        <v>65</v>
      </c>
      <c r="C5339" s="20">
        <v>50</v>
      </c>
      <c r="D5339" s="20">
        <v>35</v>
      </c>
      <c r="E5339" s="20">
        <v>47</v>
      </c>
      <c r="F5339" s="20" t="s">
        <v>27483</v>
      </c>
      <c r="G5339" s="20" t="s">
        <v>27484</v>
      </c>
      <c r="H5339" s="24"/>
      <c r="I5339" s="24" t="str">
        <f ca="1">IFERROR(__xludf.DUMMYFUNCTION("GOOGLETRANSLATE(F5339,""en"",""pt"")"),"calhas de água de chuva de chumbo")</f>
        <v>calhas de água de chuva de chumbo</v>
      </c>
      <c r="J5339">
        <f>VLOOKUP(A5339,Pr_Base_LNEC!$A$4:$J$6971,6,FALSE)</f>
        <v>0</v>
      </c>
      <c r="K5339">
        <f>VLOOKUP(A5339,Pr_Base_LNEC!$A$4:$J$6971,7,FALSE)</f>
        <v>0</v>
      </c>
    </row>
    <row r="5340" spans="1:11" ht="14.5">
      <c r="A5340" s="20" t="s">
        <v>27485</v>
      </c>
      <c r="B5340" s="20">
        <v>65</v>
      </c>
      <c r="C5340" s="20">
        <v>50</v>
      </c>
      <c r="D5340" s="20">
        <v>35</v>
      </c>
      <c r="E5340" s="20">
        <v>68</v>
      </c>
      <c r="F5340" s="20" t="s">
        <v>27486</v>
      </c>
      <c r="G5340" s="24"/>
      <c r="H5340" s="24"/>
      <c r="I5340" s="24" t="str">
        <f ca="1">IFERROR(__xludf.DUMMYFUNCTION("GOOGLETRANSLATE(F5340,""en"",""pt"")"),"funis de águas pluviais")</f>
        <v>funis de águas pluviais</v>
      </c>
      <c r="J5340">
        <f>VLOOKUP(A5340,Pr_Base_LNEC!$A$4:$J$6971,6,FALSE)</f>
        <v>0</v>
      </c>
      <c r="K5340">
        <f>VLOOKUP(A5340,Pr_Base_LNEC!$A$4:$J$6971,7,FALSE)</f>
        <v>0</v>
      </c>
    </row>
    <row r="5341" spans="1:11" ht="14.5">
      <c r="A5341" s="20" t="s">
        <v>27487</v>
      </c>
      <c r="B5341" s="20">
        <v>65</v>
      </c>
      <c r="C5341" s="20">
        <v>50</v>
      </c>
      <c r="D5341" s="20">
        <v>35</v>
      </c>
      <c r="E5341" s="20">
        <v>70</v>
      </c>
      <c r="F5341" s="20" t="s">
        <v>27488</v>
      </c>
      <c r="G5341" s="20" t="s">
        <v>27489</v>
      </c>
      <c r="H5341" s="24"/>
      <c r="I5341" s="24" t="str">
        <f ca="1">IFERROR(__xludf.DUMMYFUNCTION("GOOGLETRANSLATE(F5341,""en"",""pt"")"),"unidades de desvio de tubos de água da chuva")</f>
        <v>unidades de desvio de tubos de água da chuva</v>
      </c>
      <c r="J5341">
        <f>VLOOKUP(A5341,Pr_Base_LNEC!$A$4:$J$6971,6,FALSE)</f>
        <v>0</v>
      </c>
      <c r="K5341">
        <f>VLOOKUP(A5341,Pr_Base_LNEC!$A$4:$J$6971,7,FALSE)</f>
        <v>0</v>
      </c>
    </row>
    <row r="5342" spans="1:11" ht="14.5">
      <c r="A5342" s="20" t="s">
        <v>27490</v>
      </c>
      <c r="B5342" s="20">
        <v>65</v>
      </c>
      <c r="C5342" s="20">
        <v>50</v>
      </c>
      <c r="D5342" s="20">
        <v>35</v>
      </c>
      <c r="E5342" s="20">
        <v>72</v>
      </c>
      <c r="F5342" s="20" t="s">
        <v>27491</v>
      </c>
      <c r="G5342" s="24"/>
      <c r="H5342" s="24"/>
      <c r="I5342" s="24" t="str">
        <f ca="1">IFERROR(__xludf.DUMMYFUNCTION("GOOGLETRANSLATE(F5342,""en"",""pt"")"),"açudes de águas pluviais")</f>
        <v>açudes de águas pluviais</v>
      </c>
      <c r="J5342">
        <f>VLOOKUP(A5342,Pr_Base_LNEC!$A$4:$J$6971,6,FALSE)</f>
        <v>0</v>
      </c>
      <c r="K5342">
        <f>VLOOKUP(A5342,Pr_Base_LNEC!$A$4:$J$6971,7,FALSE)</f>
        <v>0</v>
      </c>
    </row>
    <row r="5343" spans="1:11" ht="14.5">
      <c r="A5343" s="20" t="s">
        <v>27492</v>
      </c>
      <c r="B5343" s="20">
        <v>65</v>
      </c>
      <c r="C5343" s="20">
        <v>50</v>
      </c>
      <c r="D5343" s="20">
        <v>35</v>
      </c>
      <c r="E5343" s="20">
        <v>81</v>
      </c>
      <c r="F5343" s="20" t="s">
        <v>27493</v>
      </c>
      <c r="G5343" s="20" t="s">
        <v>27494</v>
      </c>
      <c r="H5343" s="24"/>
      <c r="I5343" s="24" t="str">
        <f ca="1">IFERROR(__xludf.DUMMYFUNCTION("GOOGLETRANSLATE(F5343,""en"",""pt"")"),"saídas de águas pluviais Siphonic")</f>
        <v>saídas de águas pluviais Siphonic</v>
      </c>
      <c r="J5343">
        <f>VLOOKUP(A5343,Pr_Base_LNEC!$A$4:$J$6971,6,FALSE)</f>
        <v>0</v>
      </c>
      <c r="K5343">
        <f>VLOOKUP(A5343,Pr_Base_LNEC!$A$4:$J$6971,7,FALSE)</f>
        <v>0</v>
      </c>
    </row>
    <row r="5344" spans="1:11" ht="14.5">
      <c r="A5344" s="20" t="s">
        <v>27495</v>
      </c>
      <c r="B5344" s="20">
        <v>65</v>
      </c>
      <c r="C5344" s="20">
        <v>50</v>
      </c>
      <c r="D5344" s="20">
        <v>35</v>
      </c>
      <c r="E5344" s="20">
        <v>82</v>
      </c>
      <c r="F5344" s="20" t="s">
        <v>27496</v>
      </c>
      <c r="G5344" s="20" t="s">
        <v>27497</v>
      </c>
      <c r="H5344" s="24"/>
      <c r="I5344" s="24" t="str">
        <f ca="1">IFERROR(__xludf.DUMMYFUNCTION("GOOGLETRANSLATE(F5344,""en"",""pt"")"),"aço inoxidável beirados calhas")</f>
        <v>aço inoxidável beirados calhas</v>
      </c>
      <c r="J5344">
        <f>VLOOKUP(A5344,Pr_Base_LNEC!$A$4:$J$6971,6,FALSE)</f>
        <v>0</v>
      </c>
      <c r="K5344">
        <f>VLOOKUP(A5344,Pr_Base_LNEC!$A$4:$J$6971,7,FALSE)</f>
        <v>0</v>
      </c>
    </row>
    <row r="5345" spans="1:11" ht="14.5">
      <c r="A5345" s="20" t="s">
        <v>27498</v>
      </c>
      <c r="B5345" s="20">
        <v>65</v>
      </c>
      <c r="C5345" s="20">
        <v>50</v>
      </c>
      <c r="D5345" s="20">
        <v>35</v>
      </c>
      <c r="E5345" s="20">
        <v>83</v>
      </c>
      <c r="F5345" s="20" t="s">
        <v>27499</v>
      </c>
      <c r="G5345" s="20" t="s">
        <v>27500</v>
      </c>
      <c r="H5345" s="24"/>
      <c r="I5345" s="24" t="str">
        <f ca="1">IFERROR(__xludf.DUMMYFUNCTION("GOOGLETRANSLATE(F5345,""en"",""pt"")"),"calhas de água de chuva em aço inoxidável")</f>
        <v>calhas de água de chuva em aço inoxidável</v>
      </c>
      <c r="J5345">
        <f>VLOOKUP(A5345,Pr_Base_LNEC!$A$4:$J$6971,6,FALSE)</f>
        <v>0</v>
      </c>
      <c r="K5345">
        <f>VLOOKUP(A5345,Pr_Base_LNEC!$A$4:$J$6971,7,FALSE)</f>
        <v>0</v>
      </c>
    </row>
    <row r="5346" spans="1:11" ht="14.5">
      <c r="A5346" s="20" t="s">
        <v>27501</v>
      </c>
      <c r="B5346" s="20">
        <v>65</v>
      </c>
      <c r="C5346" s="20">
        <v>50</v>
      </c>
      <c r="D5346" s="20">
        <v>35</v>
      </c>
      <c r="E5346" s="20">
        <v>84</v>
      </c>
      <c r="F5346" s="20" t="s">
        <v>27502</v>
      </c>
      <c r="G5346" s="24"/>
      <c r="H5346" s="24"/>
      <c r="I5346" s="24" t="str">
        <f ca="1">IFERROR(__xludf.DUMMYFUNCTION("GOOGLETRANSLATE(F5346,""en"",""pt"")"),"calhas vale aço inoxidável")</f>
        <v>calhas vale aço inoxidável</v>
      </c>
      <c r="J5346" t="e">
        <f>VLOOKUP(A5346,Pr_Base_LNEC!$A$4:$J$6971,6,FALSE)</f>
        <v>#N/A</v>
      </c>
      <c r="K5346" t="e">
        <f>VLOOKUP(A5346,Pr_Base_LNEC!$A$4:$J$6971,7,FALSE)</f>
        <v>#N/A</v>
      </c>
    </row>
    <row r="5347" spans="1:11" ht="14.5">
      <c r="A5347" s="20" t="s">
        <v>27503</v>
      </c>
      <c r="B5347" s="20">
        <v>65</v>
      </c>
      <c r="C5347" s="20">
        <v>50</v>
      </c>
      <c r="D5347" s="20">
        <v>35</v>
      </c>
      <c r="E5347" s="20">
        <v>92</v>
      </c>
      <c r="F5347" s="20" t="s">
        <v>27504</v>
      </c>
      <c r="G5347" s="20" t="s">
        <v>27505</v>
      </c>
      <c r="H5347" s="24"/>
      <c r="I5347" s="24" t="str">
        <f ca="1">IFERROR(__xludf.DUMMYFUNCTION("GOOGLETRANSLATE(F5347,""en"",""pt"")"),"cloreto de polivinilo não plastificado (PVC-U) beirais calhas")</f>
        <v>cloreto de polivinilo não plastificado (PVC-U) beirais calhas</v>
      </c>
      <c r="J5347">
        <f>VLOOKUP(A5347,Pr_Base_LNEC!$A$4:$J$6971,6,FALSE)</f>
        <v>0</v>
      </c>
      <c r="K5347">
        <f>VLOOKUP(A5347,Pr_Base_LNEC!$A$4:$J$6971,7,FALSE)</f>
        <v>0</v>
      </c>
    </row>
    <row r="5348" spans="1:11" ht="14.5">
      <c r="A5348" s="20" t="s">
        <v>27506</v>
      </c>
      <c r="B5348" s="20">
        <v>65</v>
      </c>
      <c r="C5348" s="20">
        <v>50</v>
      </c>
      <c r="D5348" s="20">
        <v>35</v>
      </c>
      <c r="E5348" s="20">
        <v>98</v>
      </c>
      <c r="F5348" s="20" t="s">
        <v>27507</v>
      </c>
      <c r="G5348" s="20" t="s">
        <v>27508</v>
      </c>
      <c r="H5348" s="24"/>
      <c r="I5348" s="24" t="str">
        <f ca="1">IFERROR(__xludf.DUMMYFUNCTION("GOOGLETRANSLATE(F5348,""en"",""pt"")"),"Zinco beirados calhas")</f>
        <v>Zinco beirados calhas</v>
      </c>
      <c r="J5348">
        <f>VLOOKUP(A5348,Pr_Base_LNEC!$A$4:$J$6971,6,FALSE)</f>
        <v>0</v>
      </c>
      <c r="K5348">
        <f>VLOOKUP(A5348,Pr_Base_LNEC!$A$4:$J$6971,7,FALSE)</f>
        <v>0</v>
      </c>
    </row>
    <row r="5349" spans="1:11" ht="14.5">
      <c r="A5349" s="20" t="s">
        <v>27509</v>
      </c>
      <c r="B5349" s="20">
        <v>65</v>
      </c>
      <c r="C5349" s="20">
        <v>50</v>
      </c>
      <c r="D5349" s="20">
        <v>35</v>
      </c>
      <c r="E5349" s="20">
        <v>99</v>
      </c>
      <c r="F5349" s="20" t="s">
        <v>27510</v>
      </c>
      <c r="G5349" s="20" t="s">
        <v>27511</v>
      </c>
      <c r="H5349" s="24"/>
      <c r="I5349" s="24" t="str">
        <f ca="1">IFERROR(__xludf.DUMMYFUNCTION("GOOGLETRANSLATE(F5349,""en"",""pt"")"),"calhas de águas pluviais de zinco")</f>
        <v>calhas de águas pluviais de zinco</v>
      </c>
      <c r="J5349">
        <f>VLOOKUP(A5349,Pr_Base_LNEC!$A$4:$J$6971,6,FALSE)</f>
        <v>0</v>
      </c>
      <c r="K5349">
        <f>VLOOKUP(A5349,Pr_Base_LNEC!$A$4:$J$6971,7,FALSE)</f>
        <v>0</v>
      </c>
    </row>
    <row r="5350" spans="1:11" ht="14.5">
      <c r="A5350" s="20" t="s">
        <v>27512</v>
      </c>
      <c r="B5350" s="20">
        <v>65</v>
      </c>
      <c r="C5350" s="20">
        <v>52</v>
      </c>
      <c r="D5350" s="24"/>
      <c r="E5350" s="24"/>
      <c r="F5350" s="20" t="s">
        <v>27513</v>
      </c>
      <c r="G5350" s="24"/>
      <c r="H5350" s="24"/>
      <c r="I5350" s="24" t="str">
        <f ca="1">IFERROR(__xludf.DUMMYFUNCTION("GOOGLETRANSLATE(F5350,""en"",""pt"")"),"Tubos e produtos correspondentes ao")</f>
        <v>Tubos e produtos correspondentes ao</v>
      </c>
      <c r="J5350" t="str">
        <f>VLOOKUP(A5350,Pr_Base_LNEC!$A$4:$J$6971,6,FALSE)</f>
        <v>Canos, Tubos e Produtos acessórios</v>
      </c>
      <c r="K5350">
        <f>VLOOKUP(A5350,Pr_Base_LNEC!$A$4:$J$6971,7,FALSE)</f>
        <v>0</v>
      </c>
    </row>
    <row r="5351" spans="1:11" ht="14.5">
      <c r="A5351" s="20" t="s">
        <v>27514</v>
      </c>
      <c r="B5351" s="20">
        <v>65</v>
      </c>
      <c r="C5351" s="20">
        <v>52</v>
      </c>
      <c r="D5351" s="20">
        <v>1</v>
      </c>
      <c r="E5351" s="24"/>
      <c r="F5351" s="20" t="s">
        <v>27515</v>
      </c>
      <c r="G5351" s="24"/>
      <c r="H5351" s="24"/>
      <c r="I5351" s="24" t="str">
        <f ca="1">IFERROR(__xludf.DUMMYFUNCTION("GOOGLETRANSLATE(F5351,""en"",""pt"")"),"De acesso e de inspeção câmaras e ravinas")</f>
        <v>De acesso e de inspeção câmaras e ravinas</v>
      </c>
      <c r="J5351">
        <f>VLOOKUP(A5351,Pr_Base_LNEC!$A$4:$J$6971,6,FALSE)</f>
        <v>0</v>
      </c>
      <c r="K5351">
        <f>VLOOKUP(A5351,Pr_Base_LNEC!$A$4:$J$6971,7,FALSE)</f>
        <v>0</v>
      </c>
    </row>
    <row r="5352" spans="1:11" ht="14.5">
      <c r="A5352" s="20" t="s">
        <v>27516</v>
      </c>
      <c r="B5352" s="20">
        <v>65</v>
      </c>
      <c r="C5352" s="20">
        <v>52</v>
      </c>
      <c r="D5352" s="20">
        <v>1</v>
      </c>
      <c r="E5352" s="20">
        <v>1</v>
      </c>
      <c r="F5352" s="20" t="s">
        <v>27517</v>
      </c>
      <c r="G5352" s="24"/>
      <c r="H5352" s="24"/>
      <c r="I5352" s="24" t="str">
        <f ca="1">IFERROR(__xludf.DUMMYFUNCTION("GOOGLETRANSLATE(F5352,""en"",""pt"")"),"câmaras de acesso e de inspeção")</f>
        <v>câmaras de acesso e de inspeção</v>
      </c>
      <c r="J5352">
        <f>VLOOKUP(A5352,Pr_Base_LNEC!$A$4:$J$6971,6,FALSE)</f>
        <v>0</v>
      </c>
      <c r="K5352">
        <f>VLOOKUP(A5352,Pr_Base_LNEC!$A$4:$J$6971,7,FALSE)</f>
        <v>0</v>
      </c>
    </row>
    <row r="5353" spans="1:11" ht="14.5">
      <c r="A5353" s="20" t="s">
        <v>27518</v>
      </c>
      <c r="B5353" s="20">
        <v>65</v>
      </c>
      <c r="C5353" s="20">
        <v>52</v>
      </c>
      <c r="D5353" s="20">
        <v>1</v>
      </c>
      <c r="E5353" s="20">
        <v>2</v>
      </c>
      <c r="F5353" s="20" t="s">
        <v>27519</v>
      </c>
      <c r="G5353" s="20" t="s">
        <v>27520</v>
      </c>
      <c r="H5353" s="24"/>
      <c r="I5353" s="24" t="str">
        <f ca="1">IFERROR(__xludf.DUMMYFUNCTION("GOOGLETRANSLATE(F5353,""en"",""pt"")"),"tampas de acesso e quadros")</f>
        <v>tampas de acesso e quadros</v>
      </c>
      <c r="J5353">
        <f>VLOOKUP(A5353,Pr_Base_LNEC!$A$4:$J$6971,6,FALSE)</f>
        <v>0</v>
      </c>
      <c r="K5353">
        <f>VLOOKUP(A5353,Pr_Base_LNEC!$A$4:$J$6971,7,FALSE)</f>
        <v>0</v>
      </c>
    </row>
    <row r="5354" spans="1:11" ht="14.5">
      <c r="A5354" s="20" t="s">
        <v>27521</v>
      </c>
      <c r="B5354" s="20">
        <v>65</v>
      </c>
      <c r="C5354" s="20">
        <v>52</v>
      </c>
      <c r="D5354" s="20">
        <v>1</v>
      </c>
      <c r="E5354" s="20">
        <v>3</v>
      </c>
      <c r="F5354" s="20" t="s">
        <v>27522</v>
      </c>
      <c r="G5354" s="24"/>
      <c r="H5354" s="24"/>
      <c r="I5354" s="24" t="str">
        <f ca="1">IFERROR(__xludf.DUMMYFUNCTION("GOOGLETRANSLATE(F5354,""en"",""pt"")"),"grades de acesso")</f>
        <v>grades de acesso</v>
      </c>
      <c r="J5354">
        <f>VLOOKUP(A5354,Pr_Base_LNEC!$A$4:$J$6971,6,FALSE)</f>
        <v>0</v>
      </c>
      <c r="K5354">
        <f>VLOOKUP(A5354,Pr_Base_LNEC!$A$4:$J$6971,7,FALSE)</f>
        <v>0</v>
      </c>
    </row>
    <row r="5355" spans="1:11" ht="14.5">
      <c r="A5355" s="20" t="s">
        <v>27523</v>
      </c>
      <c r="B5355" s="20">
        <v>65</v>
      </c>
      <c r="C5355" s="20">
        <v>52</v>
      </c>
      <c r="D5355" s="20">
        <v>1</v>
      </c>
      <c r="E5355" s="20">
        <v>4</v>
      </c>
      <c r="F5355" s="20" t="s">
        <v>27524</v>
      </c>
      <c r="G5355" s="24"/>
      <c r="H5355" s="24"/>
      <c r="I5355" s="24" t="str">
        <f ca="1">IFERROR(__xludf.DUMMYFUNCTION("GOOGLETRANSLATE(F5355,""en"",""pt"")"),"caixas de visita de alumínio")</f>
        <v>caixas de visita de alumínio</v>
      </c>
      <c r="J5355">
        <f>VLOOKUP(A5355,Pr_Base_LNEC!$A$4:$J$6971,6,FALSE)</f>
        <v>0</v>
      </c>
      <c r="K5355">
        <f>VLOOKUP(A5355,Pr_Base_LNEC!$A$4:$J$6971,7,FALSE)</f>
        <v>0</v>
      </c>
    </row>
    <row r="5356" spans="1:11" ht="14.5">
      <c r="A5356" s="20" t="s">
        <v>27525</v>
      </c>
      <c r="B5356" s="20">
        <v>65</v>
      </c>
      <c r="C5356" s="20">
        <v>52</v>
      </c>
      <c r="D5356" s="20">
        <v>1</v>
      </c>
      <c r="E5356" s="20">
        <v>8</v>
      </c>
      <c r="F5356" s="20" t="s">
        <v>27526</v>
      </c>
      <c r="G5356" s="20" t="s">
        <v>27527</v>
      </c>
      <c r="H5356" s="24"/>
      <c r="I5356" s="24" t="str">
        <f ca="1">IFERROR(__xludf.DUMMYFUNCTION("GOOGLETRANSLATE(F5356,""en"",""pt"")"),"Carbono tiras de bordo de aço e quadros")</f>
        <v>Carbono tiras de bordo de aço e quadros</v>
      </c>
      <c r="J5356">
        <f>VLOOKUP(A5356,Pr_Base_LNEC!$A$4:$J$6971,6,FALSE)</f>
        <v>0</v>
      </c>
      <c r="K5356">
        <f>VLOOKUP(A5356,Pr_Base_LNEC!$A$4:$J$6971,7,FALSE)</f>
        <v>0</v>
      </c>
    </row>
    <row r="5357" spans="1:11" ht="14.5">
      <c r="A5357" s="20" t="s">
        <v>27528</v>
      </c>
      <c r="B5357" s="20">
        <v>65</v>
      </c>
      <c r="C5357" s="20">
        <v>52</v>
      </c>
      <c r="D5357" s="20">
        <v>1</v>
      </c>
      <c r="E5357" s="20">
        <v>9</v>
      </c>
      <c r="F5357" s="20" t="s">
        <v>27529</v>
      </c>
      <c r="G5357" s="24"/>
      <c r="H5357" s="24"/>
      <c r="I5357" s="24" t="str">
        <f ca="1">IFERROR(__xludf.DUMMYFUNCTION("GOOGLETRANSLATE(F5357,""en"",""pt"")"),"câmaras de inspecção de aço de carbono")</f>
        <v>câmaras de inspecção de aço de carbono</v>
      </c>
      <c r="J5357">
        <f>VLOOKUP(A5357,Pr_Base_LNEC!$A$4:$J$6971,6,FALSE)</f>
        <v>0</v>
      </c>
      <c r="K5357">
        <f>VLOOKUP(A5357,Pr_Base_LNEC!$A$4:$J$6971,7,FALSE)</f>
        <v>0</v>
      </c>
    </row>
    <row r="5358" spans="1:11" ht="14.5">
      <c r="A5358" s="20" t="s">
        <v>27530</v>
      </c>
      <c r="B5358" s="20">
        <v>65</v>
      </c>
      <c r="C5358" s="20">
        <v>52</v>
      </c>
      <c r="D5358" s="20">
        <v>1</v>
      </c>
      <c r="E5358" s="20">
        <v>14</v>
      </c>
      <c r="F5358" s="20" t="s">
        <v>27531</v>
      </c>
      <c r="G5358" s="20" t="s">
        <v>27532</v>
      </c>
      <c r="H5358" s="24"/>
      <c r="I5358" s="24" t="str">
        <f ca="1">IFERROR(__xludf.DUMMYFUNCTION("GOOGLETRANSLATE(F5358,""en"",""pt"")"),"assentos tampa de acesso concreto")</f>
        <v>assentos tampa de acesso concreto</v>
      </c>
      <c r="J5358">
        <f>VLOOKUP(A5358,Pr_Base_LNEC!$A$4:$J$6971,6,FALSE)</f>
        <v>0</v>
      </c>
      <c r="K5358">
        <f>VLOOKUP(A5358,Pr_Base_LNEC!$A$4:$J$6971,7,FALSE)</f>
        <v>0</v>
      </c>
    </row>
    <row r="5359" spans="1:11" ht="14.5">
      <c r="A5359" s="20" t="s">
        <v>27533</v>
      </c>
      <c r="B5359" s="20">
        <v>65</v>
      </c>
      <c r="C5359" s="20">
        <v>52</v>
      </c>
      <c r="D5359" s="20">
        <v>1</v>
      </c>
      <c r="E5359" s="20">
        <v>16</v>
      </c>
      <c r="F5359" s="20" t="s">
        <v>27534</v>
      </c>
      <c r="G5359" s="20" t="s">
        <v>27535</v>
      </c>
      <c r="H5359" s="24"/>
      <c r="I5359" s="24" t="str">
        <f ca="1">IFERROR(__xludf.DUMMYFUNCTION("GOOGLETRANSLATE(F5359,""en"",""pt"")"),"seções câmara de inspeção de concreto")</f>
        <v>seções câmara de inspeção de concreto</v>
      </c>
      <c r="J5359">
        <f>VLOOKUP(A5359,Pr_Base_LNEC!$A$4:$J$6971,6,FALSE)</f>
        <v>0</v>
      </c>
      <c r="K5359">
        <f>VLOOKUP(A5359,Pr_Base_LNEC!$A$4:$J$6971,7,FALSE)</f>
        <v>0</v>
      </c>
    </row>
    <row r="5360" spans="1:11" ht="14.5">
      <c r="A5360" s="20" t="s">
        <v>27536</v>
      </c>
      <c r="B5360" s="20">
        <v>65</v>
      </c>
      <c r="C5360" s="20">
        <v>52</v>
      </c>
      <c r="D5360" s="20">
        <v>1</v>
      </c>
      <c r="E5360" s="20">
        <v>17</v>
      </c>
      <c r="F5360" s="20" t="s">
        <v>27537</v>
      </c>
      <c r="G5360" s="20" t="s">
        <v>27538</v>
      </c>
      <c r="H5360" s="24"/>
      <c r="I5360" s="24" t="str">
        <f ca="1">IFERROR(__xludf.DUMMYFUNCTION("GOOGLETRANSLATE(F5360,""en"",""pt"")"),"de inspecção de betão placas de cobertura câmara")</f>
        <v>de inspecção de betão placas de cobertura câmara</v>
      </c>
      <c r="J5360">
        <f>VLOOKUP(A5360,Pr_Base_LNEC!$A$4:$J$6971,6,FALSE)</f>
        <v>0</v>
      </c>
      <c r="K5360">
        <f>VLOOKUP(A5360,Pr_Base_LNEC!$A$4:$J$6971,7,FALSE)</f>
        <v>0</v>
      </c>
    </row>
    <row r="5361" spans="1:11" ht="14.5">
      <c r="A5361" s="20" t="s">
        <v>27539</v>
      </c>
      <c r="B5361" s="20">
        <v>65</v>
      </c>
      <c r="C5361" s="20">
        <v>52</v>
      </c>
      <c r="D5361" s="20">
        <v>1</v>
      </c>
      <c r="E5361" s="20">
        <v>18</v>
      </c>
      <c r="F5361" s="20" t="s">
        <v>27540</v>
      </c>
      <c r="G5361" s="20" t="s">
        <v>27541</v>
      </c>
      <c r="H5361" s="24"/>
      <c r="I5361" s="24" t="str">
        <f ca="1">IFERROR(__xludf.DUMMYFUNCTION("GOOGLETRANSLATE(F5361,""en"",""pt"")"),"secções do eixo da câmara de inspecção de betão")</f>
        <v>secções do eixo da câmara de inspecção de betão</v>
      </c>
      <c r="J5361">
        <f>VLOOKUP(A5361,Pr_Base_LNEC!$A$4:$J$6971,6,FALSE)</f>
        <v>0</v>
      </c>
      <c r="K5361">
        <f>VLOOKUP(A5361,Pr_Base_LNEC!$A$4:$J$6971,7,FALSE)</f>
        <v>0</v>
      </c>
    </row>
    <row r="5362" spans="1:11" ht="14.5">
      <c r="A5362" s="20" t="s">
        <v>27542</v>
      </c>
      <c r="B5362" s="20">
        <v>65</v>
      </c>
      <c r="C5362" s="20">
        <v>52</v>
      </c>
      <c r="D5362" s="20">
        <v>1</v>
      </c>
      <c r="E5362" s="20">
        <v>19</v>
      </c>
      <c r="F5362" s="20" t="s">
        <v>27543</v>
      </c>
      <c r="G5362" s="20" t="s">
        <v>27544</v>
      </c>
      <c r="H5362" s="24"/>
      <c r="I5362" s="24" t="str">
        <f ca="1">IFERROR(__xludf.DUMMYFUNCTION("GOOGLETRANSLATE(F5362,""en"",""pt"")"),"secções de transição câmara de inspecção de betão")</f>
        <v>secções de transição câmara de inspecção de betão</v>
      </c>
      <c r="J5362">
        <f>VLOOKUP(A5362,Pr_Base_LNEC!$A$4:$J$6971,6,FALSE)</f>
        <v>0</v>
      </c>
      <c r="K5362">
        <f>VLOOKUP(A5362,Pr_Base_LNEC!$A$4:$J$6971,7,FALSE)</f>
        <v>0</v>
      </c>
    </row>
    <row r="5363" spans="1:11" ht="14.5">
      <c r="A5363" s="20" t="s">
        <v>27545</v>
      </c>
      <c r="B5363" s="20">
        <v>65</v>
      </c>
      <c r="C5363" s="20">
        <v>52</v>
      </c>
      <c r="D5363" s="20">
        <v>1</v>
      </c>
      <c r="E5363" s="20">
        <v>20</v>
      </c>
      <c r="F5363" s="20" t="s">
        <v>27546</v>
      </c>
      <c r="G5363" s="20" t="s">
        <v>27547</v>
      </c>
      <c r="H5363" s="24"/>
      <c r="I5363" s="24" t="str">
        <f ca="1">IFERROR(__xludf.DUMMYFUNCTION("GOOGLETRANSLATE(F5363,""en"",""pt"")"),"unidades de base de bueiro betão")</f>
        <v>unidades de base de bueiro betão</v>
      </c>
      <c r="J5363">
        <f>VLOOKUP(A5363,Pr_Base_LNEC!$A$4:$J$6971,6,FALSE)</f>
        <v>0</v>
      </c>
      <c r="K5363">
        <f>VLOOKUP(A5363,Pr_Base_LNEC!$A$4:$J$6971,7,FALSE)</f>
        <v>0</v>
      </c>
    </row>
    <row r="5364" spans="1:11" ht="14.5">
      <c r="A5364" s="20" t="s">
        <v>27548</v>
      </c>
      <c r="B5364" s="20">
        <v>65</v>
      </c>
      <c r="C5364" s="20">
        <v>52</v>
      </c>
      <c r="D5364" s="20">
        <v>1</v>
      </c>
      <c r="E5364" s="20">
        <v>21</v>
      </c>
      <c r="F5364" s="20" t="s">
        <v>27549</v>
      </c>
      <c r="G5364" s="20" t="s">
        <v>27550</v>
      </c>
      <c r="H5364" s="24"/>
      <c r="I5364" s="24" t="str">
        <f ca="1">IFERROR(__xludf.DUMMYFUNCTION("GOOGLETRANSLATE(F5364,""en"",""pt"")"),"seções câmara de visita de concreto")</f>
        <v>seções câmara de visita de concreto</v>
      </c>
      <c r="J5364">
        <f>VLOOKUP(A5364,Pr_Base_LNEC!$A$4:$J$6971,6,FALSE)</f>
        <v>0</v>
      </c>
      <c r="K5364">
        <f>VLOOKUP(A5364,Pr_Base_LNEC!$A$4:$J$6971,7,FALSE)</f>
        <v>0</v>
      </c>
    </row>
    <row r="5365" spans="1:11" ht="14.5">
      <c r="A5365" s="20" t="s">
        <v>27551</v>
      </c>
      <c r="B5365" s="20">
        <v>65</v>
      </c>
      <c r="C5365" s="20">
        <v>52</v>
      </c>
      <c r="D5365" s="20">
        <v>1</v>
      </c>
      <c r="E5365" s="20">
        <v>22</v>
      </c>
      <c r="F5365" s="20" t="s">
        <v>27552</v>
      </c>
      <c r="G5365" s="20" t="s">
        <v>27553</v>
      </c>
      <c r="H5365" s="24"/>
      <c r="I5365" s="24" t="str">
        <f ca="1">IFERROR(__xludf.DUMMYFUNCTION("GOOGLETRANSLATE(F5365,""en"",""pt"")"),"Concretas seções do eixo de bueiro")</f>
        <v>Concretas seções do eixo de bueiro</v>
      </c>
      <c r="J5365">
        <f>VLOOKUP(A5365,Pr_Base_LNEC!$A$4:$J$6971,6,FALSE)</f>
        <v>0</v>
      </c>
      <c r="K5365">
        <f>VLOOKUP(A5365,Pr_Base_LNEC!$A$4:$J$6971,7,FALSE)</f>
        <v>0</v>
      </c>
    </row>
    <row r="5366" spans="1:11" ht="14.5">
      <c r="A5366" s="20" t="s">
        <v>27554</v>
      </c>
      <c r="B5366" s="20">
        <v>65</v>
      </c>
      <c r="C5366" s="20">
        <v>52</v>
      </c>
      <c r="D5366" s="20">
        <v>1</v>
      </c>
      <c r="E5366" s="20">
        <v>23</v>
      </c>
      <c r="F5366" s="20" t="s">
        <v>27555</v>
      </c>
      <c r="G5366" s="20" t="s">
        <v>27556</v>
      </c>
      <c r="H5366" s="24"/>
      <c r="I5366" s="24" t="str">
        <f ca="1">IFERROR(__xludf.DUMMYFUNCTION("GOOGLETRANSLATE(F5366,""en"",""pt"")"),"seções de transição bueiro de concreto")</f>
        <v>seções de transição bueiro de concreto</v>
      </c>
      <c r="J5366">
        <f>VLOOKUP(A5366,Pr_Base_LNEC!$A$4:$J$6971,6,FALSE)</f>
        <v>0</v>
      </c>
      <c r="K5366">
        <f>VLOOKUP(A5366,Pr_Base_LNEC!$A$4:$J$6971,7,FALSE)</f>
        <v>0</v>
      </c>
    </row>
    <row r="5367" spans="1:11" ht="14.5">
      <c r="A5367" s="20" t="s">
        <v>27557</v>
      </c>
      <c r="B5367" s="20">
        <v>65</v>
      </c>
      <c r="C5367" s="20">
        <v>52</v>
      </c>
      <c r="D5367" s="20">
        <v>1</v>
      </c>
      <c r="E5367" s="20">
        <v>24</v>
      </c>
      <c r="F5367" s="20" t="s">
        <v>27558</v>
      </c>
      <c r="G5367" s="20" t="s">
        <v>27559</v>
      </c>
      <c r="H5367" s="24"/>
      <c r="I5367" s="24" t="str">
        <f ca="1">IFERROR(__xludf.DUMMYFUNCTION("GOOGLETRANSLATE(F5367,""en"",""pt"")"),"bueiros de concreto e lajes de cobertura soakaway")</f>
        <v>bueiros de concreto e lajes de cobertura soakaway</v>
      </c>
      <c r="J5367">
        <f>VLOOKUP(A5367,Pr_Base_LNEC!$A$4:$J$6971,6,FALSE)</f>
        <v>0</v>
      </c>
      <c r="K5367">
        <f>VLOOKUP(A5367,Pr_Base_LNEC!$A$4:$J$6971,7,FALSE)</f>
        <v>0</v>
      </c>
    </row>
    <row r="5368" spans="1:11" ht="14.5">
      <c r="A5368" s="20" t="s">
        <v>27560</v>
      </c>
      <c r="B5368" s="20">
        <v>65</v>
      </c>
      <c r="C5368" s="20">
        <v>52</v>
      </c>
      <c r="D5368" s="20">
        <v>1</v>
      </c>
      <c r="E5368" s="20">
        <v>25</v>
      </c>
      <c r="F5368" s="20" t="s">
        <v>27561</v>
      </c>
      <c r="G5368" s="20" t="s">
        <v>27562</v>
      </c>
      <c r="H5368" s="24"/>
      <c r="I5368" s="24" t="str">
        <f ca="1">IFERROR(__xludf.DUMMYFUNCTION("GOOGLETRANSLATE(F5368,""en"",""pt"")"),"seções do eixo soakaway concreto")</f>
        <v>seções do eixo soakaway concreto</v>
      </c>
      <c r="J5368">
        <f>VLOOKUP(A5368,Pr_Base_LNEC!$A$4:$J$6971,6,FALSE)</f>
        <v>0</v>
      </c>
      <c r="K5368">
        <f>VLOOKUP(A5368,Pr_Base_LNEC!$A$4:$J$6971,7,FALSE)</f>
        <v>0</v>
      </c>
    </row>
    <row r="5369" spans="1:11" ht="14.5">
      <c r="A5369" s="20" t="s">
        <v>27563</v>
      </c>
      <c r="B5369" s="20">
        <v>65</v>
      </c>
      <c r="C5369" s="20">
        <v>52</v>
      </c>
      <c r="D5369" s="20">
        <v>1</v>
      </c>
      <c r="E5369" s="20">
        <v>50</v>
      </c>
      <c r="F5369" s="20" t="s">
        <v>27564</v>
      </c>
      <c r="G5369" s="24"/>
      <c r="H5369" s="24"/>
      <c r="I5369" s="24" t="str">
        <f ca="1">IFERROR(__xludf.DUMMYFUNCTION("GOOGLETRANSLATE(F5369,""en"",""pt"")"),"tampas e molduras")</f>
        <v>tampas e molduras</v>
      </c>
      <c r="J5369">
        <f>VLOOKUP(A5369,Pr_Base_LNEC!$A$4:$J$6971,6,FALSE)</f>
        <v>0</v>
      </c>
      <c r="K5369">
        <f>VLOOKUP(A5369,Pr_Base_LNEC!$A$4:$J$6971,7,FALSE)</f>
        <v>0</v>
      </c>
    </row>
    <row r="5370" spans="1:11" ht="14.5">
      <c r="A5370" s="20" t="s">
        <v>27565</v>
      </c>
      <c r="B5370" s="20">
        <v>65</v>
      </c>
      <c r="C5370" s="20">
        <v>52</v>
      </c>
      <c r="D5370" s="20">
        <v>1</v>
      </c>
      <c r="E5370" s="20">
        <v>58</v>
      </c>
      <c r="F5370" s="20" t="s">
        <v>27566</v>
      </c>
      <c r="G5370" s="20" t="s">
        <v>27567</v>
      </c>
      <c r="H5370" s="24"/>
      <c r="I5370" s="24" t="str">
        <f ca="1">IFERROR(__xludf.DUMMYFUNCTION("GOOGLETRANSLATE(F5370,""en"",""pt"")"),"controladores de fluxo de drenagem placa de orifício")</f>
        <v>controladores de fluxo de drenagem placa de orifício</v>
      </c>
      <c r="J5370">
        <f>VLOOKUP(A5370,Pr_Base_LNEC!$A$4:$J$6971,6,FALSE)</f>
        <v>0</v>
      </c>
      <c r="K5370">
        <f>VLOOKUP(A5370,Pr_Base_LNEC!$A$4:$J$6971,7,FALSE)</f>
        <v>0</v>
      </c>
    </row>
    <row r="5371" spans="1:11" ht="14.5">
      <c r="A5371" s="20" t="s">
        <v>27568</v>
      </c>
      <c r="B5371" s="20">
        <v>65</v>
      </c>
      <c r="C5371" s="20">
        <v>52</v>
      </c>
      <c r="D5371" s="20">
        <v>1</v>
      </c>
      <c r="E5371" s="20">
        <v>60</v>
      </c>
      <c r="F5371" s="20" t="s">
        <v>27569</v>
      </c>
      <c r="G5371" s="24"/>
      <c r="H5371" s="24"/>
      <c r="I5371" s="24" t="str">
        <f ca="1">IFERROR(__xludf.DUMMYFUNCTION("GOOGLETRANSLATE(F5371,""en"",""pt"")"),"câmaras de plásticos de acesso e de inspeção")</f>
        <v>câmaras de plásticos de acesso e de inspeção</v>
      </c>
      <c r="J5371">
        <f>VLOOKUP(A5371,Pr_Base_LNEC!$A$4:$J$6971,6,FALSE)</f>
        <v>0</v>
      </c>
      <c r="K5371">
        <f>VLOOKUP(A5371,Pr_Base_LNEC!$A$4:$J$6971,7,FALSE)</f>
        <v>0</v>
      </c>
    </row>
    <row r="5372" spans="1:11" ht="14.5">
      <c r="A5372" s="20" t="s">
        <v>27570</v>
      </c>
      <c r="B5372" s="20">
        <v>65</v>
      </c>
      <c r="C5372" s="20">
        <v>52</v>
      </c>
      <c r="D5372" s="20">
        <v>1</v>
      </c>
      <c r="E5372" s="20">
        <v>61</v>
      </c>
      <c r="F5372" s="20" t="s">
        <v>27571</v>
      </c>
      <c r="G5372" s="20" t="s">
        <v>27572</v>
      </c>
      <c r="H5372" s="24"/>
      <c r="I5372" s="24" t="str">
        <f ca="1">IFERROR(__xludf.DUMMYFUNCTION("GOOGLETRANSLATE(F5372,""en"",""pt"")"),"Plásticos abaixo do solo câmaras de acesso ou equipamentos")</f>
        <v>Plásticos abaixo do solo câmaras de acesso ou equipamentos</v>
      </c>
      <c r="J5372">
        <f>VLOOKUP(A5372,Pr_Base_LNEC!$A$4:$J$6971,6,FALSE)</f>
        <v>0</v>
      </c>
      <c r="K5372">
        <f>VLOOKUP(A5372,Pr_Base_LNEC!$A$4:$J$6971,7,FALSE)</f>
        <v>0</v>
      </c>
    </row>
    <row r="5373" spans="1:11" ht="14.5">
      <c r="A5373" s="20" t="s">
        <v>27573</v>
      </c>
      <c r="B5373" s="20">
        <v>65</v>
      </c>
      <c r="C5373" s="20">
        <v>52</v>
      </c>
      <c r="D5373" s="20">
        <v>1</v>
      </c>
      <c r="E5373" s="20">
        <v>62</v>
      </c>
      <c r="F5373" s="20" t="s">
        <v>27574</v>
      </c>
      <c r="G5373" s="20" t="s">
        <v>27575</v>
      </c>
      <c r="H5373" s="24"/>
      <c r="I5373" s="24" t="str">
        <f ca="1">IFERROR(__xludf.DUMMYFUNCTION("GOOGLETRANSLATE(F5373,""en"",""pt"")"),"Plásticos canais para câmaras de acesso")</f>
        <v>Plásticos canais para câmaras de acesso</v>
      </c>
      <c r="J5373">
        <f>VLOOKUP(A5373,Pr_Base_LNEC!$A$4:$J$6971,6,FALSE)</f>
        <v>0</v>
      </c>
      <c r="K5373">
        <f>VLOOKUP(A5373,Pr_Base_LNEC!$A$4:$J$6971,7,FALSE)</f>
        <v>0</v>
      </c>
    </row>
    <row r="5374" spans="1:11" ht="14.5">
      <c r="A5374" s="20" t="s">
        <v>27576</v>
      </c>
      <c r="B5374" s="20">
        <v>65</v>
      </c>
      <c r="C5374" s="20">
        <v>52</v>
      </c>
      <c r="D5374" s="20">
        <v>1</v>
      </c>
      <c r="E5374" s="20">
        <v>63</v>
      </c>
      <c r="F5374" s="20" t="s">
        <v>27577</v>
      </c>
      <c r="G5374" s="20" t="s">
        <v>27578</v>
      </c>
      <c r="H5374" s="24"/>
      <c r="I5374" s="24" t="str">
        <f ca="1">IFERROR(__xludf.DUMMYFUNCTION("GOOGLETRANSLATE(F5374,""en"",""pt"")"),"Plásticos distribuição e as câmaras de amostragem")</f>
        <v>Plásticos distribuição e as câmaras de amostragem</v>
      </c>
      <c r="J5374">
        <f>VLOOKUP(A5374,Pr_Base_LNEC!$A$4:$J$6971,6,FALSE)</f>
        <v>0</v>
      </c>
      <c r="K5374">
        <f>VLOOKUP(A5374,Pr_Base_LNEC!$A$4:$J$6971,7,FALSE)</f>
        <v>0</v>
      </c>
    </row>
    <row r="5375" spans="1:11" ht="14.5">
      <c r="A5375" s="20" t="s">
        <v>27579</v>
      </c>
      <c r="B5375" s="20">
        <v>65</v>
      </c>
      <c r="C5375" s="20">
        <v>52</v>
      </c>
      <c r="D5375" s="20">
        <v>1</v>
      </c>
      <c r="E5375" s="20">
        <v>64</v>
      </c>
      <c r="F5375" s="20" t="s">
        <v>27580</v>
      </c>
      <c r="G5375" s="20" t="s">
        <v>27581</v>
      </c>
      <c r="H5375" s="24"/>
      <c r="I5375" s="24" t="str">
        <f ca="1">IFERROR(__xludf.DUMMYFUNCTION("GOOGLETRANSLATE(F5375,""en"",""pt"")"),"câmaras de inspecção plásticos")</f>
        <v>câmaras de inspecção plásticos</v>
      </c>
      <c r="J5375">
        <f>VLOOKUP(A5375,Pr_Base_LNEC!$A$4:$J$6971,6,FALSE)</f>
        <v>0</v>
      </c>
      <c r="K5375">
        <f>VLOOKUP(A5375,Pr_Base_LNEC!$A$4:$J$6971,7,FALSE)</f>
        <v>0</v>
      </c>
    </row>
    <row r="5376" spans="1:11" ht="14.5">
      <c r="A5376" s="20" t="s">
        <v>27582</v>
      </c>
      <c r="B5376" s="20">
        <v>65</v>
      </c>
      <c r="C5376" s="20">
        <v>52</v>
      </c>
      <c r="D5376" s="20">
        <v>1</v>
      </c>
      <c r="E5376" s="20">
        <v>65</v>
      </c>
      <c r="F5376" s="20" t="s">
        <v>27583</v>
      </c>
      <c r="G5376" s="20" t="s">
        <v>27584</v>
      </c>
      <c r="H5376" s="24"/>
      <c r="I5376" s="24" t="str">
        <f ca="1">IFERROR(__xludf.DUMMYFUNCTION("GOOGLETRANSLATE(F5376,""en"",""pt"")"),"Plásticos mini-câmaras de inspecção")</f>
        <v>Plásticos mini-câmaras de inspecção</v>
      </c>
      <c r="J5376">
        <f>VLOOKUP(A5376,Pr_Base_LNEC!$A$4:$J$6971,6,FALSE)</f>
        <v>0</v>
      </c>
      <c r="K5376">
        <f>VLOOKUP(A5376,Pr_Base_LNEC!$A$4:$J$6971,7,FALSE)</f>
        <v>0</v>
      </c>
    </row>
    <row r="5377" spans="1:11" ht="14.5">
      <c r="A5377" s="20" t="s">
        <v>27585</v>
      </c>
      <c r="B5377" s="20">
        <v>65</v>
      </c>
      <c r="C5377" s="20">
        <v>52</v>
      </c>
      <c r="D5377" s="20">
        <v>1</v>
      </c>
      <c r="E5377" s="20">
        <v>66</v>
      </c>
      <c r="F5377" s="20" t="s">
        <v>27586</v>
      </c>
      <c r="G5377" s="20" t="s">
        <v>27587</v>
      </c>
      <c r="H5377" s="24"/>
      <c r="I5377" s="24" t="str">
        <f ca="1">IFERROR(__xludf.DUMMYFUNCTION("GOOGLETRANSLATE(F5377,""en"",""pt"")"),"Plásticos restritas poços de acesso")</f>
        <v>Plásticos restritas poços de acesso</v>
      </c>
      <c r="J5377">
        <f>VLOOKUP(A5377,Pr_Base_LNEC!$A$4:$J$6971,6,FALSE)</f>
        <v>0</v>
      </c>
      <c r="K5377">
        <f>VLOOKUP(A5377,Pr_Base_LNEC!$A$4:$J$6971,7,FALSE)</f>
        <v>0</v>
      </c>
    </row>
    <row r="5378" spans="1:11" ht="14.5">
      <c r="A5378" s="20" t="s">
        <v>27588</v>
      </c>
      <c r="B5378" s="20">
        <v>65</v>
      </c>
      <c r="C5378" s="20">
        <v>52</v>
      </c>
      <c r="D5378" s="20">
        <v>1</v>
      </c>
      <c r="E5378" s="20">
        <v>67</v>
      </c>
      <c r="F5378" s="20" t="s">
        <v>27589</v>
      </c>
      <c r="G5378" s="20" t="s">
        <v>27590</v>
      </c>
      <c r="H5378" s="24"/>
      <c r="I5378" s="24" t="str">
        <f ca="1">IFERROR(__xludf.DUMMYFUNCTION("GOOGLETRANSLATE(F5378,""en"",""pt"")"),"Plásticos selados tubos de acesso")</f>
        <v>Plásticos selados tubos de acesso</v>
      </c>
      <c r="J5378">
        <f>VLOOKUP(A5378,Pr_Base_LNEC!$A$4:$J$6971,6,FALSE)</f>
        <v>0</v>
      </c>
      <c r="K5378">
        <f>VLOOKUP(A5378,Pr_Base_LNEC!$A$4:$J$6971,7,FALSE)</f>
        <v>0</v>
      </c>
    </row>
    <row r="5379" spans="1:11" ht="14.5">
      <c r="A5379" s="20" t="s">
        <v>27591</v>
      </c>
      <c r="B5379" s="20">
        <v>65</v>
      </c>
      <c r="C5379" s="20">
        <v>52</v>
      </c>
      <c r="D5379" s="20">
        <v>1</v>
      </c>
      <c r="E5379" s="20">
        <v>68</v>
      </c>
      <c r="F5379" s="20" t="s">
        <v>27592</v>
      </c>
      <c r="G5379" s="20" t="s">
        <v>27593</v>
      </c>
      <c r="H5379" s="24"/>
      <c r="I5379" s="24" t="str">
        <f ca="1">IFERROR(__xludf.DUMMYFUNCTION("GOOGLETRANSLATE(F5379,""en"",""pt"")"),"dutos de acesso pré-formados")</f>
        <v>dutos de acesso pré-formados</v>
      </c>
      <c r="J5379">
        <f>VLOOKUP(A5379,Pr_Base_LNEC!$A$4:$J$6971,6,FALSE)</f>
        <v>0</v>
      </c>
      <c r="K5379">
        <f>VLOOKUP(A5379,Pr_Base_LNEC!$A$4:$J$6971,7,FALSE)</f>
        <v>0</v>
      </c>
    </row>
    <row r="5380" spans="1:11" ht="14.5">
      <c r="A5380" s="20" t="s">
        <v>27594</v>
      </c>
      <c r="B5380" s="20">
        <v>65</v>
      </c>
      <c r="C5380" s="20">
        <v>52</v>
      </c>
      <c r="D5380" s="20">
        <v>1</v>
      </c>
      <c r="E5380" s="20">
        <v>72</v>
      </c>
      <c r="F5380" s="20" t="s">
        <v>27595</v>
      </c>
      <c r="G5380" s="24"/>
      <c r="H5380" s="24"/>
      <c r="I5380" s="24" t="str">
        <f ca="1">IFERROR(__xludf.DUMMYFUNCTION("GOOGLETRANSLATE(F5380,""en"",""pt"")"),"polietileno reciclado câmaras de inspecção (PE)")</f>
        <v>polietileno reciclado câmaras de inspecção (PE)</v>
      </c>
      <c r="J5380">
        <f>VLOOKUP(A5380,Pr_Base_LNEC!$A$4:$J$6971,6,FALSE)</f>
        <v>0</v>
      </c>
      <c r="K5380">
        <f>VLOOKUP(A5380,Pr_Base_LNEC!$A$4:$J$6971,7,FALSE)</f>
        <v>0</v>
      </c>
    </row>
    <row r="5381" spans="1:11" ht="14.5">
      <c r="A5381" s="20" t="s">
        <v>27596</v>
      </c>
      <c r="B5381" s="20">
        <v>65</v>
      </c>
      <c r="C5381" s="20">
        <v>52</v>
      </c>
      <c r="D5381" s="20">
        <v>1</v>
      </c>
      <c r="E5381" s="20">
        <v>83</v>
      </c>
      <c r="F5381" s="20" t="s">
        <v>27597</v>
      </c>
      <c r="G5381" s="20" t="s">
        <v>27598</v>
      </c>
      <c r="H5381" s="24"/>
      <c r="I5381" s="24" t="str">
        <f ca="1">IFERROR(__xludf.DUMMYFUNCTION("GOOGLETRANSLATE(F5381,""en"",""pt"")"),"tiras e quadros inoxidáveis ​​borda de aço")</f>
        <v>tiras e quadros inoxidáveis ​​borda de aço</v>
      </c>
      <c r="J5381">
        <f>VLOOKUP(A5381,Pr_Base_LNEC!$A$4:$J$6971,6,FALSE)</f>
        <v>0</v>
      </c>
      <c r="K5381">
        <f>VLOOKUP(A5381,Pr_Base_LNEC!$A$4:$J$6971,7,FALSE)</f>
        <v>0</v>
      </c>
    </row>
    <row r="5382" spans="1:11" ht="14.5">
      <c r="A5382" s="20" t="s">
        <v>27599</v>
      </c>
      <c r="B5382" s="20">
        <v>65</v>
      </c>
      <c r="C5382" s="20">
        <v>52</v>
      </c>
      <c r="D5382" s="20">
        <v>1</v>
      </c>
      <c r="E5382" s="20">
        <v>84</v>
      </c>
      <c r="F5382" s="20" t="s">
        <v>27600</v>
      </c>
      <c r="G5382" s="24"/>
      <c r="H5382" s="24"/>
      <c r="I5382" s="24" t="str">
        <f ca="1">IFERROR(__xludf.DUMMYFUNCTION("GOOGLETRANSLATE(F5382,""en"",""pt"")"),"câmaras de inspeção de aço inoxidável")</f>
        <v>câmaras de inspeção de aço inoxidável</v>
      </c>
      <c r="J5382">
        <f>VLOOKUP(A5382,Pr_Base_LNEC!$A$4:$J$6971,6,FALSE)</f>
        <v>0</v>
      </c>
      <c r="K5382">
        <f>VLOOKUP(A5382,Pr_Base_LNEC!$A$4:$J$6971,7,FALSE)</f>
        <v>0</v>
      </c>
    </row>
    <row r="5383" spans="1:11" ht="14.5">
      <c r="A5383" s="20" t="s">
        <v>27601</v>
      </c>
      <c r="B5383" s="20">
        <v>65</v>
      </c>
      <c r="C5383" s="20">
        <v>52</v>
      </c>
      <c r="D5383" s="20">
        <v>1</v>
      </c>
      <c r="E5383" s="20">
        <v>86</v>
      </c>
      <c r="F5383" s="20" t="s">
        <v>27602</v>
      </c>
      <c r="G5383" s="20" t="s">
        <v>27603</v>
      </c>
      <c r="H5383" s="24"/>
      <c r="I5383" s="24" t="str">
        <f ca="1">IFERROR(__xludf.DUMMYFUNCTION("GOOGLETRANSLATE(F5383,""en"",""pt"")"),"caixas de superfície")</f>
        <v>caixas de superfície</v>
      </c>
      <c r="J5383">
        <f>VLOOKUP(A5383,Pr_Base_LNEC!$A$4:$J$6971,6,FALSE)</f>
        <v>0</v>
      </c>
      <c r="K5383">
        <f>VLOOKUP(A5383,Pr_Base_LNEC!$A$4:$J$6971,7,FALSE)</f>
        <v>0</v>
      </c>
    </row>
    <row r="5384" spans="1:11" ht="14.5">
      <c r="A5384" s="20" t="s">
        <v>27604</v>
      </c>
      <c r="B5384" s="20">
        <v>65</v>
      </c>
      <c r="C5384" s="20">
        <v>52</v>
      </c>
      <c r="D5384" s="20">
        <v>1</v>
      </c>
      <c r="E5384" s="20">
        <v>95</v>
      </c>
      <c r="F5384" s="20" t="s">
        <v>27605</v>
      </c>
      <c r="G5384" s="20" t="s">
        <v>27606</v>
      </c>
      <c r="H5384" s="24"/>
      <c r="I5384" s="24" t="str">
        <f ca="1">IFERROR(__xludf.DUMMYFUNCTION("GOOGLETRANSLATE(F5384,""en"",""pt"")"),"controladores de drenagem de fluxo Vortex")</f>
        <v>controladores de drenagem de fluxo Vortex</v>
      </c>
      <c r="J5384">
        <f>VLOOKUP(A5384,Pr_Base_LNEC!$A$4:$J$6971,6,FALSE)</f>
        <v>0</v>
      </c>
      <c r="K5384">
        <f>VLOOKUP(A5384,Pr_Base_LNEC!$A$4:$J$6971,7,FALSE)</f>
        <v>0</v>
      </c>
    </row>
    <row r="5385" spans="1:11" ht="14.5">
      <c r="A5385" s="20" t="s">
        <v>27607</v>
      </c>
      <c r="B5385" s="20">
        <v>65</v>
      </c>
      <c r="C5385" s="20">
        <v>52</v>
      </c>
      <c r="D5385" s="20">
        <v>7</v>
      </c>
      <c r="E5385" s="24"/>
      <c r="F5385" s="20" t="s">
        <v>27608</v>
      </c>
      <c r="G5385" s="24"/>
      <c r="H5385" s="24"/>
      <c r="I5385" s="24" t="str">
        <f ca="1">IFERROR(__xludf.DUMMYFUNCTION("GOOGLETRANSLATE(F5385,""en"",""pt"")"),"tubos abaixo do solo e drenagem pressão e acessórios")</f>
        <v>tubos abaixo do solo e drenagem pressão e acessórios</v>
      </c>
      <c r="J5385">
        <f>VLOOKUP(A5385,Pr_Base_LNEC!$A$4:$J$6971,6,FALSE)</f>
        <v>0</v>
      </c>
      <c r="K5385">
        <f>VLOOKUP(A5385,Pr_Base_LNEC!$A$4:$J$6971,7,FALSE)</f>
        <v>0</v>
      </c>
    </row>
    <row r="5386" spans="1:11" ht="14.5">
      <c r="A5386" s="20" t="s">
        <v>27609</v>
      </c>
      <c r="B5386" s="20">
        <v>65</v>
      </c>
      <c r="C5386" s="20">
        <v>52</v>
      </c>
      <c r="D5386" s="20">
        <v>7</v>
      </c>
      <c r="E5386" s="20">
        <v>13</v>
      </c>
      <c r="F5386" s="20" t="s">
        <v>27610</v>
      </c>
      <c r="G5386" s="24"/>
      <c r="H5386" s="24"/>
      <c r="I5386" s="24" t="str">
        <f ca="1">IFERROR(__xludf.DUMMYFUNCTION("GOOGLETRANSLATE(F5386,""en"",""pt"")"),"Argila abaixo do solo tubos de drenagem e acessórios")</f>
        <v>Argila abaixo do solo tubos de drenagem e acessórios</v>
      </c>
      <c r="J5386">
        <f>VLOOKUP(A5386,Pr_Base_LNEC!$A$4:$J$6971,6,FALSE)</f>
        <v>0</v>
      </c>
      <c r="K5386">
        <f>VLOOKUP(A5386,Pr_Base_LNEC!$A$4:$J$6971,7,FALSE)</f>
        <v>0</v>
      </c>
    </row>
    <row r="5387" spans="1:11" ht="14.5">
      <c r="A5387" s="20" t="s">
        <v>27611</v>
      </c>
      <c r="B5387" s="20">
        <v>65</v>
      </c>
      <c r="C5387" s="20">
        <v>52</v>
      </c>
      <c r="D5387" s="20">
        <v>7</v>
      </c>
      <c r="E5387" s="20">
        <v>15</v>
      </c>
      <c r="F5387" s="20" t="s">
        <v>27612</v>
      </c>
      <c r="G5387" s="20" t="s">
        <v>27613</v>
      </c>
      <c r="H5387" s="24"/>
      <c r="I5387" s="24" t="str">
        <f ca="1">IFERROR(__xludf.DUMMYFUNCTION("GOOGLETRANSLATE(F5387,""en"",""pt"")"),"Betão perfurada tubos de drenagem abaixo do solo e acessórios para juntas flexível")</f>
        <v>Betão perfurada tubos de drenagem abaixo do solo e acessórios para juntas flexível</v>
      </c>
      <c r="J5387">
        <f>VLOOKUP(A5387,Pr_Base_LNEC!$A$4:$J$6971,6,FALSE)</f>
        <v>0</v>
      </c>
      <c r="K5387">
        <f>VLOOKUP(A5387,Pr_Base_LNEC!$A$4:$J$6971,7,FALSE)</f>
        <v>0</v>
      </c>
    </row>
    <row r="5388" spans="1:11" ht="14.5">
      <c r="A5388" s="20" t="s">
        <v>27614</v>
      </c>
      <c r="B5388" s="20">
        <v>65</v>
      </c>
      <c r="C5388" s="20">
        <v>52</v>
      </c>
      <c r="D5388" s="20">
        <v>7</v>
      </c>
      <c r="E5388" s="20">
        <v>16</v>
      </c>
      <c r="F5388" s="20" t="s">
        <v>27615</v>
      </c>
      <c r="G5388" s="20" t="s">
        <v>27616</v>
      </c>
      <c r="H5388" s="24"/>
      <c r="I5388" s="24" t="str">
        <f ca="1">IFERROR(__xludf.DUMMYFUNCTION("GOOGLETRANSLATE(F5388,""en"",""pt"")"),"Betão parede lisa abaixo do solo tubos de drenagem e para acessórios de articulação flexível")</f>
        <v>Betão parede lisa abaixo do solo tubos de drenagem e para acessórios de articulação flexível</v>
      </c>
      <c r="J5388">
        <f>VLOOKUP(A5388,Pr_Base_LNEC!$A$4:$J$6971,6,FALSE)</f>
        <v>0</v>
      </c>
      <c r="K5388">
        <f>VLOOKUP(A5388,Pr_Base_LNEC!$A$4:$J$6971,7,FALSE)</f>
        <v>0</v>
      </c>
    </row>
    <row r="5389" spans="1:11" ht="14.5">
      <c r="A5389" s="20" t="s">
        <v>27617</v>
      </c>
      <c r="B5389" s="20">
        <v>65</v>
      </c>
      <c r="C5389" s="20">
        <v>52</v>
      </c>
      <c r="D5389" s="20">
        <v>7</v>
      </c>
      <c r="E5389" s="20">
        <v>25</v>
      </c>
      <c r="F5389" s="20" t="s">
        <v>27618</v>
      </c>
      <c r="G5389" s="20" t="s">
        <v>27619</v>
      </c>
      <c r="H5389" s="24"/>
      <c r="I5389" s="24" t="str">
        <f ca="1">IFERROR(__xludf.DUMMYFUNCTION("GOOGLETRANSLATE(F5389,""en"",""pt"")"),"Dúctil tubos de pressão de ferro e acessórios")</f>
        <v>Dúctil tubos de pressão de ferro e acessórios</v>
      </c>
      <c r="J5389">
        <f>VLOOKUP(A5389,Pr_Base_LNEC!$A$4:$J$6971,6,FALSE)</f>
        <v>0</v>
      </c>
      <c r="K5389">
        <f>VLOOKUP(A5389,Pr_Base_LNEC!$A$4:$J$6971,7,FALSE)</f>
        <v>0</v>
      </c>
    </row>
    <row r="5390" spans="1:11" ht="14.5">
      <c r="A5390" s="20" t="s">
        <v>27620</v>
      </c>
      <c r="B5390" s="20">
        <v>65</v>
      </c>
      <c r="C5390" s="20">
        <v>52</v>
      </c>
      <c r="D5390" s="20">
        <v>7</v>
      </c>
      <c r="E5390" s="20">
        <v>27</v>
      </c>
      <c r="F5390" s="20" t="s">
        <v>27621</v>
      </c>
      <c r="G5390" s="24"/>
      <c r="H5390" s="24"/>
      <c r="I5390" s="24" t="str">
        <f ca="1">IFERROR(__xludf.DUMMYFUNCTION("GOOGLETRANSLATE(F5390,""en"",""pt"")"),"Filtração tubos de drenagem e acessórios")</f>
        <v>Filtração tubos de drenagem e acessórios</v>
      </c>
      <c r="J5390">
        <f>VLOOKUP(A5390,Pr_Base_LNEC!$A$4:$J$6971,6,FALSE)</f>
        <v>0</v>
      </c>
      <c r="K5390">
        <f>VLOOKUP(A5390,Pr_Base_LNEC!$A$4:$J$6971,7,FALSE)</f>
        <v>0</v>
      </c>
    </row>
    <row r="5391" spans="1:11" ht="14.5">
      <c r="A5391" s="20" t="s">
        <v>27622</v>
      </c>
      <c r="B5391" s="20">
        <v>65</v>
      </c>
      <c r="C5391" s="20">
        <v>52</v>
      </c>
      <c r="D5391" s="20">
        <v>7</v>
      </c>
      <c r="E5391" s="20">
        <v>28</v>
      </c>
      <c r="F5391" s="20" t="s">
        <v>27623</v>
      </c>
      <c r="G5391" s="20" t="s">
        <v>27624</v>
      </c>
      <c r="H5391" s="24"/>
      <c r="I5391" s="24" t="str">
        <f ca="1">IFERROR(__xludf.DUMMYFUNCTION("GOOGLETRANSLATE(F5391,""en"",""pt"")"),"acoplamentos flexíveis entre tubos de drenagem abaixo do solo")</f>
        <v>acoplamentos flexíveis entre tubos de drenagem abaixo do solo</v>
      </c>
      <c r="J5391">
        <f>VLOOKUP(A5391,Pr_Base_LNEC!$A$4:$J$6971,6,FALSE)</f>
        <v>0</v>
      </c>
      <c r="K5391">
        <f>VLOOKUP(A5391,Pr_Base_LNEC!$A$4:$J$6971,7,FALSE)</f>
        <v>0</v>
      </c>
    </row>
    <row r="5392" spans="1:11" ht="14.5">
      <c r="A5392" s="20" t="s">
        <v>27625</v>
      </c>
      <c r="B5392" s="20">
        <v>65</v>
      </c>
      <c r="C5392" s="20">
        <v>52</v>
      </c>
      <c r="D5392" s="20">
        <v>7</v>
      </c>
      <c r="E5392" s="20">
        <v>34</v>
      </c>
      <c r="F5392" s="20" t="s">
        <v>27626</v>
      </c>
      <c r="G5392" s="20" t="s">
        <v>27627</v>
      </c>
      <c r="H5392" s="24"/>
      <c r="I5392" s="24" t="str">
        <f ca="1">IFERROR(__xludf.DUMMYFUNCTION("GOOGLETRANSLATE(F5392,""en"",""pt"")"),"ferro fundido cinzento abaixo do solo tubos de drenagem e acessórios")</f>
        <v>ferro fundido cinzento abaixo do solo tubos de drenagem e acessórios</v>
      </c>
      <c r="J5392">
        <f>VLOOKUP(A5392,Pr_Base_LNEC!$A$4:$J$6971,6,FALSE)</f>
        <v>0</v>
      </c>
      <c r="K5392">
        <f>VLOOKUP(A5392,Pr_Base_LNEC!$A$4:$J$6971,7,FALSE)</f>
        <v>0</v>
      </c>
    </row>
    <row r="5393" spans="1:11" ht="14.5">
      <c r="A5393" s="20" t="s">
        <v>27628</v>
      </c>
      <c r="B5393" s="20">
        <v>65</v>
      </c>
      <c r="C5393" s="20">
        <v>52</v>
      </c>
      <c r="D5393" s="20">
        <v>7</v>
      </c>
      <c r="E5393" s="20">
        <v>36</v>
      </c>
      <c r="F5393" s="20" t="s">
        <v>27629</v>
      </c>
      <c r="G5393" s="20" t="s">
        <v>27630</v>
      </c>
      <c r="H5393" s="24"/>
      <c r="I5393" s="24" t="str">
        <f ca="1">IFERROR(__xludf.DUMMYFUNCTION("GOOGLETRANSLATE(F5393,""en"",""pt"")"),"polietileno de alta densidade (HDPE) tubos de pressão e acessórios")</f>
        <v>polietileno de alta densidade (HDPE) tubos de pressão e acessórios</v>
      </c>
      <c r="J5393">
        <f>VLOOKUP(A5393,Pr_Base_LNEC!$A$4:$J$6971,6,FALSE)</f>
        <v>0</v>
      </c>
      <c r="K5393">
        <f>VLOOKUP(A5393,Pr_Base_LNEC!$A$4:$J$6971,7,FALSE)</f>
        <v>0</v>
      </c>
    </row>
    <row r="5394" spans="1:11" ht="14.5">
      <c r="A5394" s="20" t="s">
        <v>27631</v>
      </c>
      <c r="B5394" s="20">
        <v>65</v>
      </c>
      <c r="C5394" s="20">
        <v>52</v>
      </c>
      <c r="D5394" s="20">
        <v>7</v>
      </c>
      <c r="E5394" s="20">
        <v>38</v>
      </c>
      <c r="F5394" s="20" t="s">
        <v>27632</v>
      </c>
      <c r="G5394" s="20" t="s">
        <v>27633</v>
      </c>
      <c r="H5394" s="24"/>
      <c r="I5394" s="24" t="str">
        <f ca="1">IFERROR(__xludf.DUMMYFUNCTION("GOOGLETRANSLATE(F5394,""en"",""pt"")"),"polietileno de alta densidade (HDPE) parede estruturado abaixo do solo tubos de drenagem e para acessórios de articulação flexível")</f>
        <v>polietileno de alta densidade (HDPE) parede estruturado abaixo do solo tubos de drenagem e para acessórios de articulação flexível</v>
      </c>
      <c r="J5394">
        <f>VLOOKUP(A5394,Pr_Base_LNEC!$A$4:$J$6971,6,FALSE)</f>
        <v>0</v>
      </c>
      <c r="K5394">
        <f>VLOOKUP(A5394,Pr_Base_LNEC!$A$4:$J$6971,7,FALSE)</f>
        <v>0</v>
      </c>
    </row>
    <row r="5395" spans="1:11" ht="14.5">
      <c r="A5395" s="20" t="s">
        <v>27634</v>
      </c>
      <c r="B5395" s="20">
        <v>65</v>
      </c>
      <c r="C5395" s="20">
        <v>52</v>
      </c>
      <c r="D5395" s="20">
        <v>7</v>
      </c>
      <c r="E5395" s="20">
        <v>39</v>
      </c>
      <c r="F5395" s="20" t="s">
        <v>27635</v>
      </c>
      <c r="G5395" s="20" t="s">
        <v>27636</v>
      </c>
      <c r="H5395" s="24"/>
      <c r="I5395" s="24" t="str">
        <f ca="1">IFERROR(__xludf.DUMMYFUNCTION("GOOGLETRANSLATE(F5395,""en"",""pt"")"),"polietileno de alta densidade (HDPE) parede estruturado abaixo do solo tubos de drenagem e acessórios para juntas soldadas")</f>
        <v>polietileno de alta densidade (HDPE) parede estruturado abaixo do solo tubos de drenagem e acessórios para juntas soldadas</v>
      </c>
      <c r="J5395">
        <f>VLOOKUP(A5395,Pr_Base_LNEC!$A$4:$J$6971,6,FALSE)</f>
        <v>0</v>
      </c>
      <c r="K5395">
        <f>VLOOKUP(A5395,Pr_Base_LNEC!$A$4:$J$6971,7,FALSE)</f>
        <v>0</v>
      </c>
    </row>
    <row r="5396" spans="1:11" ht="14.5">
      <c r="A5396" s="20" t="s">
        <v>27637</v>
      </c>
      <c r="B5396" s="20">
        <v>65</v>
      </c>
      <c r="C5396" s="20">
        <v>52</v>
      </c>
      <c r="D5396" s="20">
        <v>7</v>
      </c>
      <c r="E5396" s="20">
        <v>40</v>
      </c>
      <c r="F5396" s="20" t="s">
        <v>27638</v>
      </c>
      <c r="G5396" s="20" t="s">
        <v>27639</v>
      </c>
      <c r="H5396" s="24"/>
      <c r="I5396" s="24" t="str">
        <f ca="1">IFERROR(__xludf.DUMMYFUNCTION("GOOGLETRANSLATE(F5396,""en"",""pt"")"),"polietileno de alta densidade (HDPE) estruturado parede perfurada abaixo do solo tubos de drenagem e acessórios para juntas flexível")</f>
        <v>polietileno de alta densidade (HDPE) estruturado parede perfurada abaixo do solo tubos de drenagem e acessórios para juntas flexível</v>
      </c>
      <c r="J5396">
        <f>VLOOKUP(A5396,Pr_Base_LNEC!$A$4:$J$6971,6,FALSE)</f>
        <v>0</v>
      </c>
      <c r="K5396">
        <f>VLOOKUP(A5396,Pr_Base_LNEC!$A$4:$J$6971,7,FALSE)</f>
        <v>0</v>
      </c>
    </row>
    <row r="5397" spans="1:11" ht="14.5">
      <c r="A5397" s="20" t="s">
        <v>27640</v>
      </c>
      <c r="B5397" s="20">
        <v>65</v>
      </c>
      <c r="C5397" s="20">
        <v>52</v>
      </c>
      <c r="D5397" s="20">
        <v>7</v>
      </c>
      <c r="E5397" s="20">
        <v>58</v>
      </c>
      <c r="F5397" s="20" t="s">
        <v>27641</v>
      </c>
      <c r="G5397" s="20" t="s">
        <v>27642</v>
      </c>
      <c r="H5397" s="24"/>
      <c r="I5397" s="24" t="str">
        <f ca="1">IFERROR(__xludf.DUMMYFUNCTION("GOOGLETRANSLATE(F5397,""en"",""pt"")"),"Orientada de cloreto de polivinilo não plastificado (PVC-S) tubos de pressão e acessórios")</f>
        <v>Orientada de cloreto de polivinilo não plastificado (PVC-S) tubos de pressão e acessórios</v>
      </c>
      <c r="J5397">
        <f>VLOOKUP(A5397,Pr_Base_LNEC!$A$4:$J$6971,6,FALSE)</f>
        <v>0</v>
      </c>
      <c r="K5397">
        <f>VLOOKUP(A5397,Pr_Base_LNEC!$A$4:$J$6971,7,FALSE)</f>
        <v>0</v>
      </c>
    </row>
    <row r="5398" spans="1:11" ht="14.5">
      <c r="A5398" s="20" t="s">
        <v>27643</v>
      </c>
      <c r="B5398" s="20">
        <v>65</v>
      </c>
      <c r="C5398" s="20">
        <v>52</v>
      </c>
      <c r="D5398" s="20">
        <v>7</v>
      </c>
      <c r="E5398" s="20">
        <v>63</v>
      </c>
      <c r="F5398" s="20" t="s">
        <v>27644</v>
      </c>
      <c r="G5398" s="20" t="s">
        <v>27645</v>
      </c>
      <c r="H5398" s="24"/>
      <c r="I5398" s="24" t="str">
        <f ca="1">IFERROR(__xludf.DUMMYFUNCTION("GOOGLETRANSLATE(F5398,""en"",""pt"")"),"Plásticos flexíveis (bobina) perfurada parede abaixo do solo tubos de drenagem e acessórios")</f>
        <v>Plásticos flexíveis (bobina) perfurada parede abaixo do solo tubos de drenagem e acessórios</v>
      </c>
      <c r="J5398">
        <f>VLOOKUP(A5398,Pr_Base_LNEC!$A$4:$J$6971,6,FALSE)</f>
        <v>0</v>
      </c>
      <c r="K5398">
        <f>VLOOKUP(A5398,Pr_Base_LNEC!$A$4:$J$6971,7,FALSE)</f>
        <v>0</v>
      </c>
    </row>
    <row r="5399" spans="1:11" ht="14.5">
      <c r="A5399" s="20" t="s">
        <v>27646</v>
      </c>
      <c r="B5399" s="20">
        <v>65</v>
      </c>
      <c r="C5399" s="20">
        <v>52</v>
      </c>
      <c r="D5399" s="20">
        <v>7</v>
      </c>
      <c r="E5399" s="20">
        <v>64</v>
      </c>
      <c r="F5399" s="20" t="s">
        <v>27647</v>
      </c>
      <c r="G5399" s="20" t="s">
        <v>27648</v>
      </c>
      <c r="H5399" s="24"/>
      <c r="I5399" s="24" t="str">
        <f ca="1">IFERROR(__xludf.DUMMYFUNCTION("GOOGLETRANSLATE(F5399,""en"",""pt"")"),"Polipropileno (PP) parede sólida abaixo do solo tubos de drenagem e para acessórios de articulação flexível")</f>
        <v>Polipropileno (PP) parede sólida abaixo do solo tubos de drenagem e para acessórios de articulação flexível</v>
      </c>
      <c r="J5399">
        <f>VLOOKUP(A5399,Pr_Base_LNEC!$A$4:$J$6971,6,FALSE)</f>
        <v>0</v>
      </c>
      <c r="K5399">
        <f>VLOOKUP(A5399,Pr_Base_LNEC!$A$4:$J$6971,7,FALSE)</f>
        <v>0</v>
      </c>
    </row>
    <row r="5400" spans="1:11" ht="14.5">
      <c r="A5400" s="20" t="s">
        <v>27649</v>
      </c>
      <c r="B5400" s="20">
        <v>65</v>
      </c>
      <c r="C5400" s="20">
        <v>52</v>
      </c>
      <c r="D5400" s="20">
        <v>7</v>
      </c>
      <c r="E5400" s="20">
        <v>65</v>
      </c>
      <c r="F5400" s="20" t="s">
        <v>27650</v>
      </c>
      <c r="G5400" s="20" t="s">
        <v>27651</v>
      </c>
      <c r="H5400" s="24"/>
      <c r="I5400" s="24" t="str">
        <f ca="1">IFERROR(__xludf.DUMMYFUNCTION("GOOGLETRANSLATE(F5400,""en"",""pt"")"),"parede de polipropileno (PP) estruturado abaixo do solo tubos de drenagem e para acessórios de articulação flexível")</f>
        <v>parede de polipropileno (PP) estruturado abaixo do solo tubos de drenagem e para acessórios de articulação flexível</v>
      </c>
      <c r="J5400">
        <f>VLOOKUP(A5400,Pr_Base_LNEC!$A$4:$J$6971,6,FALSE)</f>
        <v>0</v>
      </c>
      <c r="K5400">
        <f>VLOOKUP(A5400,Pr_Base_LNEC!$A$4:$J$6971,7,FALSE)</f>
        <v>0</v>
      </c>
    </row>
    <row r="5401" spans="1:11" ht="14.5">
      <c r="A5401" s="20" t="s">
        <v>27652</v>
      </c>
      <c r="B5401" s="20">
        <v>65</v>
      </c>
      <c r="C5401" s="20">
        <v>52</v>
      </c>
      <c r="D5401" s="20">
        <v>7</v>
      </c>
      <c r="E5401" s="20">
        <v>66</v>
      </c>
      <c r="F5401" s="20" t="s">
        <v>27653</v>
      </c>
      <c r="G5401" s="20" t="s">
        <v>27654</v>
      </c>
      <c r="H5401" s="24"/>
      <c r="I5401" s="24" t="str">
        <f ca="1">IFERROR(__xludf.DUMMYFUNCTION("GOOGLETRANSLATE(F5401,""en"",""pt"")"),"parede de polipropileno (PP) estruturado perfurada tubos de drenagem abaixo do solo e acessórios para juntas flexível")</f>
        <v>parede de polipropileno (PP) estruturado perfurada tubos de drenagem abaixo do solo e acessórios para juntas flexível</v>
      </c>
      <c r="J5401">
        <f>VLOOKUP(A5401,Pr_Base_LNEC!$A$4:$J$6971,6,FALSE)</f>
        <v>0</v>
      </c>
      <c r="K5401">
        <f>VLOOKUP(A5401,Pr_Base_LNEC!$A$4:$J$6971,7,FALSE)</f>
        <v>0</v>
      </c>
    </row>
    <row r="5402" spans="1:11" ht="14.5">
      <c r="A5402" s="20" t="s">
        <v>27655</v>
      </c>
      <c r="B5402" s="20">
        <v>65</v>
      </c>
      <c r="C5402" s="20">
        <v>52</v>
      </c>
      <c r="D5402" s="20">
        <v>7</v>
      </c>
      <c r="E5402" s="20">
        <v>67</v>
      </c>
      <c r="F5402" s="20" t="s">
        <v>27656</v>
      </c>
      <c r="G5402" s="20" t="s">
        <v>27657</v>
      </c>
      <c r="H5402" s="24"/>
      <c r="I5402" s="24" t="str">
        <f ca="1">IFERROR(__xludf.DUMMYFUNCTION("GOOGLETRANSLATE(F5402,""en"",""pt"")"),"parede de polipropileno (PP) estruturado abaixo do solo tubos de drenagem e acessórios para juntas soldadas")</f>
        <v>parede de polipropileno (PP) estruturado abaixo do solo tubos de drenagem e acessórios para juntas soldadas</v>
      </c>
      <c r="J5402">
        <f>VLOOKUP(A5402,Pr_Base_LNEC!$A$4:$J$6971,6,FALSE)</f>
        <v>0</v>
      </c>
      <c r="K5402">
        <f>VLOOKUP(A5402,Pr_Base_LNEC!$A$4:$J$6971,7,FALSE)</f>
        <v>0</v>
      </c>
    </row>
    <row r="5403" spans="1:11" ht="14.5">
      <c r="A5403" s="20" t="s">
        <v>27658</v>
      </c>
      <c r="B5403" s="20">
        <v>65</v>
      </c>
      <c r="C5403" s="20">
        <v>52</v>
      </c>
      <c r="D5403" s="20">
        <v>7</v>
      </c>
      <c r="E5403" s="20">
        <v>75</v>
      </c>
      <c r="F5403" s="20" t="s">
        <v>27659</v>
      </c>
      <c r="G5403" s="20" t="s">
        <v>27660</v>
      </c>
      <c r="H5403" s="24"/>
      <c r="I5403" s="24" t="str">
        <f ca="1">IFERROR(__xludf.DUMMYFUNCTION("GOOGLETRANSLATE(F5403,""en"",""pt"")"),"conectores sela para tubos de drenagem abaixo do solo")</f>
        <v>conectores sela para tubos de drenagem abaixo do solo</v>
      </c>
      <c r="J5403">
        <f>VLOOKUP(A5403,Pr_Base_LNEC!$A$4:$J$6971,6,FALSE)</f>
        <v>0</v>
      </c>
      <c r="K5403">
        <f>VLOOKUP(A5403,Pr_Base_LNEC!$A$4:$J$6971,7,FALSE)</f>
        <v>0</v>
      </c>
    </row>
    <row r="5404" spans="1:11" ht="14.5">
      <c r="A5404" s="20" t="s">
        <v>27661</v>
      </c>
      <c r="B5404" s="20">
        <v>65</v>
      </c>
      <c r="C5404" s="20">
        <v>52</v>
      </c>
      <c r="D5404" s="20">
        <v>7</v>
      </c>
      <c r="E5404" s="20">
        <v>84</v>
      </c>
      <c r="F5404" s="20" t="s">
        <v>27662</v>
      </c>
      <c r="G5404" s="20" t="s">
        <v>27663</v>
      </c>
      <c r="H5404" s="24"/>
      <c r="I5404" s="24" t="str">
        <f ca="1">IFERROR(__xludf.DUMMYFUNCTION("GOOGLETRANSLATE(F5404,""en"",""pt"")"),"Aço reforçado polietileno compósito estruturado parede abaixo condutas de drenagem no solo para juntas flexível")</f>
        <v>Aço reforçado polietileno compósito estruturado parede abaixo condutas de drenagem no solo para juntas flexível</v>
      </c>
      <c r="J5404">
        <f>VLOOKUP(A5404,Pr_Base_LNEC!$A$4:$J$6971,6,FALSE)</f>
        <v>0</v>
      </c>
      <c r="K5404">
        <f>VLOOKUP(A5404,Pr_Base_LNEC!$A$4:$J$6971,7,FALSE)</f>
        <v>0</v>
      </c>
    </row>
    <row r="5405" spans="1:11" ht="14.5">
      <c r="A5405" s="20" t="s">
        <v>27664</v>
      </c>
      <c r="B5405" s="20">
        <v>65</v>
      </c>
      <c r="C5405" s="20">
        <v>52</v>
      </c>
      <c r="D5405" s="20">
        <v>7</v>
      </c>
      <c r="E5405" s="20">
        <v>87</v>
      </c>
      <c r="F5405" s="20" t="s">
        <v>27665</v>
      </c>
      <c r="G5405" s="20" t="s">
        <v>27666</v>
      </c>
      <c r="H5405" s="24"/>
      <c r="I5405" s="24" t="str">
        <f ca="1">IFERROR(__xludf.DUMMYFUNCTION("GOOGLETRANSLATE(F5405,""en"",""pt"")"),"de cloreto de polivinilo não plastificado (PVC-U) tubos de pressão e acessórios")</f>
        <v>de cloreto de polivinilo não plastificado (PVC-U) tubos de pressão e acessórios</v>
      </c>
      <c r="J5405">
        <f>VLOOKUP(A5405,Pr_Base_LNEC!$A$4:$J$6971,6,FALSE)</f>
        <v>0</v>
      </c>
      <c r="K5405">
        <f>VLOOKUP(A5405,Pr_Base_LNEC!$A$4:$J$6971,7,FALSE)</f>
        <v>0</v>
      </c>
    </row>
    <row r="5406" spans="1:11" ht="14.5">
      <c r="A5406" s="20" t="s">
        <v>27667</v>
      </c>
      <c r="B5406" s="20">
        <v>65</v>
      </c>
      <c r="C5406" s="20">
        <v>52</v>
      </c>
      <c r="D5406" s="20">
        <v>7</v>
      </c>
      <c r="E5406" s="20">
        <v>88</v>
      </c>
      <c r="F5406" s="20" t="s">
        <v>27668</v>
      </c>
      <c r="G5406" s="20" t="s">
        <v>27669</v>
      </c>
      <c r="H5406" s="24"/>
      <c r="I5406" s="24" t="str">
        <f ca="1">IFERROR(__xludf.DUMMYFUNCTION("GOOGLETRANSLATE(F5406,""en"",""pt"")"),"cloreto de polivinilo não plastificado (PVC-U) da parede abaixo do solo tubo de drenagem sólido e acessórios para juntas flexível")</f>
        <v>cloreto de polivinilo não plastificado (PVC-U) da parede abaixo do solo tubo de drenagem sólido e acessórios para juntas flexível</v>
      </c>
      <c r="J5406">
        <f>VLOOKUP(A5406,Pr_Base_LNEC!$A$4:$J$6971,6,FALSE)</f>
        <v>0</v>
      </c>
      <c r="K5406">
        <f>VLOOKUP(A5406,Pr_Base_LNEC!$A$4:$J$6971,7,FALSE)</f>
        <v>0</v>
      </c>
    </row>
    <row r="5407" spans="1:11" ht="14.5">
      <c r="A5407" s="20" t="s">
        <v>27670</v>
      </c>
      <c r="B5407" s="20">
        <v>65</v>
      </c>
      <c r="C5407" s="20">
        <v>52</v>
      </c>
      <c r="D5407" s="20">
        <v>7</v>
      </c>
      <c r="E5407" s="20">
        <v>89</v>
      </c>
      <c r="F5407" s="20" t="s">
        <v>27671</v>
      </c>
      <c r="G5407" s="20" t="s">
        <v>27672</v>
      </c>
      <c r="H5407" s="24"/>
      <c r="I5407" s="24" t="str">
        <f ca="1">IFERROR(__xludf.DUMMYFUNCTION("GOOGLETRANSLATE(F5407,""en"",""pt"")"),"cloreto de polivinilo não plastificado (PVC-U) parede sólida perfurada tubos de drenagem abaixo do solo e acessórios para juntas flexível")</f>
        <v>cloreto de polivinilo não plastificado (PVC-U) parede sólida perfurada tubos de drenagem abaixo do solo e acessórios para juntas flexível</v>
      </c>
      <c r="J5407">
        <f>VLOOKUP(A5407,Pr_Base_LNEC!$A$4:$J$6971,6,FALSE)</f>
        <v>0</v>
      </c>
      <c r="K5407">
        <f>VLOOKUP(A5407,Pr_Base_LNEC!$A$4:$J$6971,7,FALSE)</f>
        <v>0</v>
      </c>
    </row>
    <row r="5408" spans="1:11" ht="14.5">
      <c r="A5408" s="20" t="s">
        <v>27673</v>
      </c>
      <c r="B5408" s="20">
        <v>65</v>
      </c>
      <c r="C5408" s="20">
        <v>52</v>
      </c>
      <c r="D5408" s="20">
        <v>7</v>
      </c>
      <c r="E5408" s="20">
        <v>90</v>
      </c>
      <c r="F5408" s="20" t="s">
        <v>27674</v>
      </c>
      <c r="G5408" s="20" t="s">
        <v>27675</v>
      </c>
      <c r="H5408" s="24"/>
      <c r="I5408" s="24" t="str">
        <f ca="1">IFERROR(__xludf.DUMMYFUNCTION("GOOGLETRANSLATE(F5408,""en"",""pt"")"),"Não plastificada de cloreto de polivinilo (PVC-U) estruturado tubos de drenagem de parede abaixo do solo e acessórios para juntas flexível")</f>
        <v>Não plastificada de cloreto de polivinilo (PVC-U) estruturado tubos de drenagem de parede abaixo do solo e acessórios para juntas flexível</v>
      </c>
      <c r="J5408">
        <f>VLOOKUP(A5408,Pr_Base_LNEC!$A$4:$J$6971,6,FALSE)</f>
        <v>0</v>
      </c>
      <c r="K5408">
        <f>VLOOKUP(A5408,Pr_Base_LNEC!$A$4:$J$6971,7,FALSE)</f>
        <v>0</v>
      </c>
    </row>
    <row r="5409" spans="1:11" ht="14.5">
      <c r="A5409" s="20" t="s">
        <v>27676</v>
      </c>
      <c r="B5409" s="20">
        <v>65</v>
      </c>
      <c r="C5409" s="20">
        <v>52</v>
      </c>
      <c r="D5409" s="20">
        <v>7</v>
      </c>
      <c r="E5409" s="20">
        <v>91</v>
      </c>
      <c r="F5409" s="20" t="s">
        <v>27677</v>
      </c>
      <c r="G5409" s="20" t="s">
        <v>27678</v>
      </c>
      <c r="H5409" s="24"/>
      <c r="I5409" s="24" t="str">
        <f ca="1">IFERROR(__xludf.DUMMYFUNCTION("GOOGLETRANSLATE(F5409,""en"",""pt"")"),"cloreto de polivinilo não plastificado (PVC-U) estruturado parede perfurada abaixo do solo tubo de drenagem e acessórios para juntas flexível")</f>
        <v>cloreto de polivinilo não plastificado (PVC-U) estruturado parede perfurada abaixo do solo tubo de drenagem e acessórios para juntas flexível</v>
      </c>
      <c r="J5409">
        <f>VLOOKUP(A5409,Pr_Base_LNEC!$A$4:$J$6971,6,FALSE)</f>
        <v>0</v>
      </c>
      <c r="K5409">
        <f>VLOOKUP(A5409,Pr_Base_LNEC!$A$4:$J$6971,7,FALSE)</f>
        <v>0</v>
      </c>
    </row>
    <row r="5410" spans="1:11" ht="14.5">
      <c r="A5410" s="20" t="s">
        <v>27679</v>
      </c>
      <c r="B5410" s="20">
        <v>65</v>
      </c>
      <c r="C5410" s="20">
        <v>52</v>
      </c>
      <c r="D5410" s="20">
        <v>7</v>
      </c>
      <c r="E5410" s="20">
        <v>92</v>
      </c>
      <c r="F5410" s="20" t="s">
        <v>27680</v>
      </c>
      <c r="G5410" s="20" t="s">
        <v>27681</v>
      </c>
      <c r="H5410" s="24"/>
      <c r="I5410" s="24" t="str">
        <f ca="1">IFERROR(__xludf.DUMMYFUNCTION("GOOGLETRANSLATE(F5410,""en"",""pt"")"),"Não plastificado liga de cloreto de polivinilo tubos e acessórios de pressão (PVC-A)")</f>
        <v>Não plastificado liga de cloreto de polivinilo tubos e acessórios de pressão (PVC-A)</v>
      </c>
      <c r="J5410">
        <f>VLOOKUP(A5410,Pr_Base_LNEC!$A$4:$J$6971,6,FALSE)</f>
        <v>0</v>
      </c>
      <c r="K5410">
        <f>VLOOKUP(A5410,Pr_Base_LNEC!$A$4:$J$6971,7,FALSE)</f>
        <v>0</v>
      </c>
    </row>
    <row r="5411" spans="1:11" ht="14.5">
      <c r="A5411" s="20" t="s">
        <v>27682</v>
      </c>
      <c r="B5411" s="20">
        <v>65</v>
      </c>
      <c r="C5411" s="20">
        <v>52</v>
      </c>
      <c r="D5411" s="20">
        <v>7</v>
      </c>
      <c r="E5411" s="20">
        <v>94</v>
      </c>
      <c r="F5411" s="20" t="s">
        <v>27683</v>
      </c>
      <c r="G5411" s="20" t="s">
        <v>27684</v>
      </c>
      <c r="H5411" s="24"/>
      <c r="I5411" s="24" t="str">
        <f ca="1">IFERROR(__xludf.DUMMYFUNCTION("GOOGLETRANSLATE(F5411,""en"",""pt"")"),"argila vitrificados perfurada tubos de drenagem abaixo do solo e acessórios para juntas flexível")</f>
        <v>argila vitrificados perfurada tubos de drenagem abaixo do solo e acessórios para juntas flexível</v>
      </c>
      <c r="J5411">
        <f>VLOOKUP(A5411,Pr_Base_LNEC!$A$4:$J$6971,6,FALSE)</f>
        <v>0</v>
      </c>
      <c r="K5411">
        <f>VLOOKUP(A5411,Pr_Base_LNEC!$A$4:$J$6971,7,FALSE)</f>
        <v>0</v>
      </c>
    </row>
    <row r="5412" spans="1:11" ht="14.5">
      <c r="A5412" s="20" t="s">
        <v>27685</v>
      </c>
      <c r="B5412" s="20">
        <v>65</v>
      </c>
      <c r="C5412" s="20">
        <v>52</v>
      </c>
      <c r="D5412" s="20">
        <v>7</v>
      </c>
      <c r="E5412" s="20">
        <v>96</v>
      </c>
      <c r="F5412" s="20" t="s">
        <v>27686</v>
      </c>
      <c r="G5412" s="20" t="s">
        <v>27687</v>
      </c>
      <c r="H5412" s="24"/>
      <c r="I5412" s="24" t="str">
        <f ca="1">IFERROR(__xludf.DUMMYFUNCTION("GOOGLETRANSLATE(F5412,""en"",""pt"")"),"tubos de argila vitrificada parede lisa abaixo do solo de drenagem aberta junta de topo (telhas de drenagem de terras) e acessórios")</f>
        <v>tubos de argila vitrificada parede lisa abaixo do solo de drenagem aberta junta de topo (telhas de drenagem de terras) e acessórios</v>
      </c>
      <c r="J5412">
        <f>VLOOKUP(A5412,Pr_Base_LNEC!$A$4:$J$6971,6,FALSE)</f>
        <v>0</v>
      </c>
      <c r="K5412">
        <f>VLOOKUP(A5412,Pr_Base_LNEC!$A$4:$J$6971,7,FALSE)</f>
        <v>0</v>
      </c>
    </row>
    <row r="5413" spans="1:11" ht="14.5">
      <c r="A5413" s="20" t="s">
        <v>27688</v>
      </c>
      <c r="B5413" s="20">
        <v>65</v>
      </c>
      <c r="C5413" s="20">
        <v>52</v>
      </c>
      <c r="D5413" s="20">
        <v>7</v>
      </c>
      <c r="E5413" s="20">
        <v>97</v>
      </c>
      <c r="F5413" s="20" t="s">
        <v>27689</v>
      </c>
      <c r="G5413" s="20" t="s">
        <v>27690</v>
      </c>
      <c r="H5413" s="24"/>
      <c r="I5413" s="24" t="str">
        <f ca="1">IFERROR(__xludf.DUMMYFUNCTION("GOOGLETRANSLATE(F5413,""en"",""pt"")"),"argila vitrificada parede lisa abaixo do solo tubos de drenagem e para acessórios de articulação flexível")</f>
        <v>argila vitrificada parede lisa abaixo do solo tubos de drenagem e para acessórios de articulação flexível</v>
      </c>
      <c r="J5413">
        <f>VLOOKUP(A5413,Pr_Base_LNEC!$A$4:$J$6971,6,FALSE)</f>
        <v>0</v>
      </c>
      <c r="K5413">
        <f>VLOOKUP(A5413,Pr_Base_LNEC!$A$4:$J$6971,7,FALSE)</f>
        <v>0</v>
      </c>
    </row>
    <row r="5414" spans="1:11" ht="14.5">
      <c r="A5414" s="20" t="s">
        <v>27691</v>
      </c>
      <c r="B5414" s="20">
        <v>65</v>
      </c>
      <c r="C5414" s="20">
        <v>52</v>
      </c>
      <c r="D5414" s="20">
        <v>7</v>
      </c>
      <c r="E5414" s="20">
        <v>98</v>
      </c>
      <c r="F5414" s="20" t="s">
        <v>27692</v>
      </c>
      <c r="G5414" s="20" t="s">
        <v>27693</v>
      </c>
      <c r="H5414" s="24"/>
      <c r="I5414" s="24" t="str">
        <f ca="1">IFERROR(__xludf.DUMMYFUNCTION("GOOGLETRANSLATE(F5414,""en"",""pt"")"),"argila vitrificada parede lisa abaixo do solo tubos de drenagem e acessórios para juntas rígidas")</f>
        <v>argila vitrificada parede lisa abaixo do solo tubos de drenagem e acessórios para juntas rígidas</v>
      </c>
      <c r="J5414">
        <f>VLOOKUP(A5414,Pr_Base_LNEC!$A$4:$J$6971,6,FALSE)</f>
        <v>0</v>
      </c>
      <c r="K5414">
        <f>VLOOKUP(A5414,Pr_Base_LNEC!$A$4:$J$6971,7,FALSE)</f>
        <v>0</v>
      </c>
    </row>
    <row r="5415" spans="1:11" ht="14.5">
      <c r="A5415" s="20" t="s">
        <v>27694</v>
      </c>
      <c r="B5415" s="20">
        <v>65</v>
      </c>
      <c r="C5415" s="20">
        <v>52</v>
      </c>
      <c r="D5415" s="20">
        <v>20</v>
      </c>
      <c r="E5415" s="24"/>
      <c r="F5415" s="20" t="s">
        <v>27695</v>
      </c>
      <c r="G5415" s="24"/>
      <c r="H5415" s="24"/>
      <c r="I5415" s="24" t="str">
        <f ca="1">IFERROR(__xludf.DUMMYFUNCTION("GOOGLETRANSLATE(F5415,""en"",""pt"")"),"culverts")</f>
        <v>culverts</v>
      </c>
      <c r="J5415">
        <f>VLOOKUP(A5415,Pr_Base_LNEC!$A$4:$J$6971,6,FALSE)</f>
        <v>0</v>
      </c>
      <c r="K5415">
        <f>VLOOKUP(A5415,Pr_Base_LNEC!$A$4:$J$6971,7,FALSE)</f>
        <v>0</v>
      </c>
    </row>
    <row r="5416" spans="1:11" ht="14.5">
      <c r="A5416" s="20" t="s">
        <v>27696</v>
      </c>
      <c r="B5416" s="20">
        <v>65</v>
      </c>
      <c r="C5416" s="20">
        <v>52</v>
      </c>
      <c r="D5416" s="20">
        <v>20</v>
      </c>
      <c r="E5416" s="20">
        <v>15</v>
      </c>
      <c r="F5416" s="20" t="s">
        <v>27697</v>
      </c>
      <c r="G5416" s="24"/>
      <c r="H5416" s="24"/>
      <c r="I5416" s="24" t="str">
        <f ca="1">IFERROR(__xludf.DUMMYFUNCTION("GOOGLETRANSLATE(F5416,""en"",""pt"")"),"Betão arco bueiros")</f>
        <v>Betão arco bueiros</v>
      </c>
      <c r="J5416">
        <f>VLOOKUP(A5416,Pr_Base_LNEC!$A$4:$J$6971,6,FALSE)</f>
        <v>0</v>
      </c>
      <c r="K5416">
        <f>VLOOKUP(A5416,Pr_Base_LNEC!$A$4:$J$6971,7,FALSE)</f>
        <v>0</v>
      </c>
    </row>
    <row r="5417" spans="1:11" ht="14.5">
      <c r="A5417" s="20" t="s">
        <v>27698</v>
      </c>
      <c r="B5417" s="20">
        <v>65</v>
      </c>
      <c r="C5417" s="20">
        <v>52</v>
      </c>
      <c r="D5417" s="20">
        <v>20</v>
      </c>
      <c r="E5417" s="20">
        <v>16</v>
      </c>
      <c r="F5417" s="20" t="s">
        <v>27699</v>
      </c>
      <c r="G5417" s="20" t="s">
        <v>27700</v>
      </c>
      <c r="H5417" s="24"/>
      <c r="I5417" s="24" t="str">
        <f ca="1">IFERROR(__xludf.DUMMYFUNCTION("GOOGLETRANSLATE(F5417,""en"",""pt"")"),"Concretas caixa de bueiros")</f>
        <v>Concretas caixa de bueiros</v>
      </c>
      <c r="J5417">
        <f>VLOOKUP(A5417,Pr_Base_LNEC!$A$4:$J$6971,6,FALSE)</f>
        <v>0</v>
      </c>
      <c r="K5417">
        <f>VLOOKUP(A5417,Pr_Base_LNEC!$A$4:$J$6971,7,FALSE)</f>
        <v>0</v>
      </c>
    </row>
    <row r="5418" spans="1:11" ht="14.5">
      <c r="A5418" s="20" t="s">
        <v>27701</v>
      </c>
      <c r="B5418" s="20">
        <v>65</v>
      </c>
      <c r="C5418" s="20">
        <v>52</v>
      </c>
      <c r="D5418" s="20">
        <v>20</v>
      </c>
      <c r="E5418" s="20">
        <v>17</v>
      </c>
      <c r="F5418" s="20" t="s">
        <v>27702</v>
      </c>
      <c r="G5418" s="24"/>
      <c r="H5418" s="24"/>
      <c r="I5418" s="24" t="str">
        <f ca="1">IFERROR(__xludf.DUMMYFUNCTION("GOOGLETRANSLATE(F5418,""en"",""pt"")"),"Betão pontões ponte")</f>
        <v>Betão pontões ponte</v>
      </c>
      <c r="J5418">
        <f>VLOOKUP(A5418,Pr_Base_LNEC!$A$4:$J$6971,6,FALSE)</f>
        <v>0</v>
      </c>
      <c r="K5418">
        <f>VLOOKUP(A5418,Pr_Base_LNEC!$A$4:$J$6971,7,FALSE)</f>
        <v>0</v>
      </c>
    </row>
    <row r="5419" spans="1:11" ht="14.5">
      <c r="A5419" s="20" t="s">
        <v>27703</v>
      </c>
      <c r="B5419" s="20">
        <v>65</v>
      </c>
      <c r="C5419" s="20">
        <v>52</v>
      </c>
      <c r="D5419" s="20">
        <v>20</v>
      </c>
      <c r="E5419" s="20">
        <v>18</v>
      </c>
      <c r="F5419" s="20" t="s">
        <v>27704</v>
      </c>
      <c r="G5419" s="24"/>
      <c r="H5419" s="24"/>
      <c r="I5419" s="24" t="str">
        <f ca="1">IFERROR(__xludf.DUMMYFUNCTION("GOOGLETRANSLATE(F5419,""en"",""pt"")"),"bueiros arco tubo de concreto")</f>
        <v>bueiros arco tubo de concreto</v>
      </c>
      <c r="J5419">
        <f>VLOOKUP(A5419,Pr_Base_LNEC!$A$4:$J$6971,6,FALSE)</f>
        <v>0</v>
      </c>
      <c r="K5419">
        <f>VLOOKUP(A5419,Pr_Base_LNEC!$A$4:$J$6971,7,FALSE)</f>
        <v>0</v>
      </c>
    </row>
    <row r="5420" spans="1:11" ht="14.5">
      <c r="A5420" s="20" t="s">
        <v>27705</v>
      </c>
      <c r="B5420" s="20">
        <v>65</v>
      </c>
      <c r="C5420" s="20">
        <v>52</v>
      </c>
      <c r="D5420" s="20">
        <v>20</v>
      </c>
      <c r="E5420" s="20">
        <v>19</v>
      </c>
      <c r="F5420" s="20" t="s">
        <v>27706</v>
      </c>
      <c r="G5420" s="24"/>
      <c r="H5420" s="24"/>
      <c r="I5420" s="24" t="str">
        <f ca="1">IFERROR(__xludf.DUMMYFUNCTION("GOOGLETRANSLATE(F5420,""en"",""pt"")"),"bueiros tubo de concreto")</f>
        <v>bueiros tubo de concreto</v>
      </c>
      <c r="J5420">
        <f>VLOOKUP(A5420,Pr_Base_LNEC!$A$4:$J$6971,6,FALSE)</f>
        <v>0</v>
      </c>
      <c r="K5420">
        <f>VLOOKUP(A5420,Pr_Base_LNEC!$A$4:$J$6971,7,FALSE)</f>
        <v>0</v>
      </c>
    </row>
    <row r="5421" spans="1:11" ht="14.5">
      <c r="A5421" s="20" t="s">
        <v>27707</v>
      </c>
      <c r="B5421" s="20">
        <v>65</v>
      </c>
      <c r="C5421" s="20">
        <v>52</v>
      </c>
      <c r="D5421" s="20">
        <v>20</v>
      </c>
      <c r="E5421" s="20">
        <v>20</v>
      </c>
      <c r="F5421" s="20" t="s">
        <v>27708</v>
      </c>
      <c r="G5421" s="24"/>
      <c r="H5421" s="24"/>
      <c r="I5421" s="24" t="str">
        <f ca="1">IFERROR(__xludf.DUMMYFUNCTION("GOOGLETRANSLATE(F5421,""en"",""pt"")"),"bueiros tubo de aço corrugado")</f>
        <v>bueiros tubo de aço corrugado</v>
      </c>
      <c r="J5421">
        <f>VLOOKUP(A5421,Pr_Base_LNEC!$A$4:$J$6971,6,FALSE)</f>
        <v>0</v>
      </c>
      <c r="K5421">
        <f>VLOOKUP(A5421,Pr_Base_LNEC!$A$4:$J$6971,7,FALSE)</f>
        <v>0</v>
      </c>
    </row>
    <row r="5422" spans="1:11" ht="14.5">
      <c r="A5422" s="20" t="s">
        <v>27709</v>
      </c>
      <c r="B5422" s="20">
        <v>65</v>
      </c>
      <c r="C5422" s="20">
        <v>52</v>
      </c>
      <c r="D5422" s="20">
        <v>20</v>
      </c>
      <c r="E5422" s="20">
        <v>84</v>
      </c>
      <c r="F5422" s="20" t="s">
        <v>27710</v>
      </c>
      <c r="G5422" s="24"/>
      <c r="H5422" s="24"/>
      <c r="I5422" s="24" t="str">
        <f ca="1">IFERROR(__xludf.DUMMYFUNCTION("GOOGLETRANSLATE(F5422,""en"",""pt"")"),"placa estrutural pontões de tubo de aço ondulado")</f>
        <v>placa estrutural pontões de tubo de aço ondulado</v>
      </c>
      <c r="J5422">
        <f>VLOOKUP(A5422,Pr_Base_LNEC!$A$4:$J$6971,6,FALSE)</f>
        <v>0</v>
      </c>
      <c r="K5422">
        <f>VLOOKUP(A5422,Pr_Base_LNEC!$A$4:$J$6971,7,FALSE)</f>
        <v>0</v>
      </c>
    </row>
    <row r="5423" spans="1:11" ht="14.5">
      <c r="A5423" s="20" t="s">
        <v>27711</v>
      </c>
      <c r="B5423" s="20">
        <v>65</v>
      </c>
      <c r="C5423" s="20">
        <v>52</v>
      </c>
      <c r="D5423" s="20">
        <v>24</v>
      </c>
      <c r="E5423" s="24"/>
      <c r="F5423" s="20" t="s">
        <v>27712</v>
      </c>
      <c r="G5423" s="24"/>
      <c r="H5423" s="24"/>
      <c r="I5423" s="24" t="str">
        <f ca="1">IFERROR(__xludf.DUMMYFUNCTION("GOOGLETRANSLATE(F5423,""en"",""pt"")"),"ravinas de drenagem e canais")</f>
        <v>ravinas de drenagem e canais</v>
      </c>
      <c r="J5423">
        <f>VLOOKUP(A5423,Pr_Base_LNEC!$A$4:$J$6971,6,FALSE)</f>
        <v>0</v>
      </c>
      <c r="K5423">
        <f>VLOOKUP(A5423,Pr_Base_LNEC!$A$4:$J$6971,7,FALSE)</f>
        <v>0</v>
      </c>
    </row>
    <row r="5424" spans="1:11" ht="14.5">
      <c r="A5424" s="20" t="s">
        <v>27713</v>
      </c>
      <c r="B5424" s="20">
        <v>65</v>
      </c>
      <c r="C5424" s="20">
        <v>52</v>
      </c>
      <c r="D5424" s="20">
        <v>24</v>
      </c>
      <c r="E5424" s="20">
        <v>2</v>
      </c>
      <c r="F5424" s="20" t="s">
        <v>27714</v>
      </c>
      <c r="G5424" s="20" t="s">
        <v>27715</v>
      </c>
      <c r="H5424" s="24"/>
      <c r="I5424" s="24" t="str">
        <f ca="1">IFERROR(__xludf.DUMMYFUNCTION("GOOGLETRANSLATE(F5424,""en"",""pt"")"),"Adaptadores a ligação de tubos acima do solo para condutas de drenagem de argila")</f>
        <v>Adaptadores a ligação de tubos acima do solo para condutas de drenagem de argila</v>
      </c>
      <c r="J5424">
        <f>VLOOKUP(A5424,Pr_Base_LNEC!$A$4:$J$6971,6,FALSE)</f>
        <v>0</v>
      </c>
      <c r="K5424">
        <f>VLOOKUP(A5424,Pr_Base_LNEC!$A$4:$J$6971,7,FALSE)</f>
        <v>0</v>
      </c>
    </row>
    <row r="5425" spans="1:11" ht="14.5">
      <c r="A5425" s="20" t="s">
        <v>27716</v>
      </c>
      <c r="B5425" s="20">
        <v>65</v>
      </c>
      <c r="C5425" s="20">
        <v>52</v>
      </c>
      <c r="D5425" s="20">
        <v>24</v>
      </c>
      <c r="E5425" s="20">
        <v>3</v>
      </c>
      <c r="F5425" s="20" t="s">
        <v>27717</v>
      </c>
      <c r="G5425" s="20" t="s">
        <v>27718</v>
      </c>
      <c r="H5425" s="24"/>
      <c r="I5425" s="24" t="str">
        <f ca="1">IFERROR(__xludf.DUMMYFUNCTION("GOOGLETRANSLATE(F5425,""en"",""pt"")"),"Adaptadores para conexões de tubulação acima do solo para plásticos drenagem dutos")</f>
        <v>Adaptadores para conexões de tubulação acima do solo para plásticos drenagem dutos</v>
      </c>
      <c r="J5425">
        <f>VLOOKUP(A5425,Pr_Base_LNEC!$A$4:$J$6971,6,FALSE)</f>
        <v>0</v>
      </c>
      <c r="K5425">
        <f>VLOOKUP(A5425,Pr_Base_LNEC!$A$4:$J$6971,7,FALSE)</f>
        <v>0</v>
      </c>
    </row>
    <row r="5426" spans="1:11" ht="14.5">
      <c r="A5426" s="20" t="s">
        <v>27719</v>
      </c>
      <c r="B5426" s="20">
        <v>65</v>
      </c>
      <c r="C5426" s="20">
        <v>52</v>
      </c>
      <c r="D5426" s="20">
        <v>24</v>
      </c>
      <c r="E5426" s="20">
        <v>11</v>
      </c>
      <c r="F5426" s="20" t="s">
        <v>27720</v>
      </c>
      <c r="G5426" s="24"/>
      <c r="H5426" s="24"/>
      <c r="I5426" s="24" t="str">
        <f ca="1">IFERROR(__xludf.DUMMYFUNCTION("GOOGLETRANSLATE(F5426,""en"",""pt"")"),"canais de meio-fio e drenagem de rodovias")</f>
        <v>canais de meio-fio e drenagem de rodovias</v>
      </c>
      <c r="J5426">
        <f>VLOOKUP(A5426,Pr_Base_LNEC!$A$4:$J$6971,6,FALSE)</f>
        <v>0</v>
      </c>
      <c r="K5426">
        <f>VLOOKUP(A5426,Pr_Base_LNEC!$A$4:$J$6971,7,FALSE)</f>
        <v>0</v>
      </c>
    </row>
    <row r="5427" spans="1:11" ht="14.5">
      <c r="A5427" s="20" t="s">
        <v>27721</v>
      </c>
      <c r="B5427" s="20">
        <v>65</v>
      </c>
      <c r="C5427" s="20">
        <v>52</v>
      </c>
      <c r="D5427" s="20">
        <v>24</v>
      </c>
      <c r="E5427" s="20">
        <v>12</v>
      </c>
      <c r="F5427" s="20" t="s">
        <v>27722</v>
      </c>
      <c r="G5427" s="20" t="s">
        <v>27723</v>
      </c>
      <c r="H5427" s="24"/>
      <c r="I5427" s="24" t="str">
        <f ca="1">IFERROR(__xludf.DUMMYFUNCTION("GOOGLETRANSLATE(F5427,""en"",""pt"")"),"regos compósitos de ferro fundido")</f>
        <v>regos compósitos de ferro fundido</v>
      </c>
      <c r="J5427">
        <f>VLOOKUP(A5427,Pr_Base_LNEC!$A$4:$J$6971,6,FALSE)</f>
        <v>0</v>
      </c>
      <c r="K5427">
        <f>VLOOKUP(A5427,Pr_Base_LNEC!$A$4:$J$6971,7,FALSE)</f>
        <v>0</v>
      </c>
    </row>
    <row r="5428" spans="1:11" ht="14.5">
      <c r="A5428" s="20" t="s">
        <v>27724</v>
      </c>
      <c r="B5428" s="20">
        <v>65</v>
      </c>
      <c r="C5428" s="20">
        <v>52</v>
      </c>
      <c r="D5428" s="20">
        <v>24</v>
      </c>
      <c r="E5428" s="20">
        <v>13</v>
      </c>
      <c r="F5428" s="20" t="s">
        <v>27725</v>
      </c>
      <c r="G5428" s="20" t="s">
        <v>27726</v>
      </c>
      <c r="H5428" s="24"/>
      <c r="I5428" s="24" t="str">
        <f ca="1">IFERROR(__xludf.DUMMYFUNCTION("GOOGLETRANSLATE(F5428,""en"",""pt"")"),"ferro fundido uma peça ravinas")</f>
        <v>ferro fundido uma peça ravinas</v>
      </c>
      <c r="J5428">
        <f>VLOOKUP(A5428,Pr_Base_LNEC!$A$4:$J$6971,6,FALSE)</f>
        <v>0</v>
      </c>
      <c r="K5428">
        <f>VLOOKUP(A5428,Pr_Base_LNEC!$A$4:$J$6971,7,FALSE)</f>
        <v>0</v>
      </c>
    </row>
    <row r="5429" spans="1:11" ht="14.5">
      <c r="A5429" s="20" t="s">
        <v>27727</v>
      </c>
      <c r="B5429" s="20">
        <v>65</v>
      </c>
      <c r="C5429" s="20">
        <v>52</v>
      </c>
      <c r="D5429" s="20">
        <v>24</v>
      </c>
      <c r="E5429" s="20">
        <v>14</v>
      </c>
      <c r="F5429" s="20" t="s">
        <v>27728</v>
      </c>
      <c r="G5429" s="20" t="s">
        <v>27729</v>
      </c>
      <c r="H5429" s="24"/>
      <c r="I5429" s="24" t="str">
        <f ca="1">IFERROR(__xludf.DUMMYFUNCTION("GOOGLETRANSLATE(F5429,""en"",""pt"")"),"olhos rodding ferro fundido")</f>
        <v>olhos rodding ferro fundido</v>
      </c>
      <c r="J5429">
        <f>VLOOKUP(A5429,Pr_Base_LNEC!$A$4:$J$6971,6,FALSE)</f>
        <v>0</v>
      </c>
      <c r="K5429">
        <f>VLOOKUP(A5429,Pr_Base_LNEC!$A$4:$J$6971,7,FALSE)</f>
        <v>0</v>
      </c>
    </row>
    <row r="5430" spans="1:11" ht="14.5">
      <c r="A5430" s="20" t="s">
        <v>27730</v>
      </c>
      <c r="B5430" s="20">
        <v>65</v>
      </c>
      <c r="C5430" s="20">
        <v>52</v>
      </c>
      <c r="D5430" s="20">
        <v>24</v>
      </c>
      <c r="E5430" s="20">
        <v>15</v>
      </c>
      <c r="F5430" s="20" t="s">
        <v>27731</v>
      </c>
      <c r="G5430" s="20" t="s">
        <v>27732</v>
      </c>
      <c r="H5430" s="24"/>
      <c r="I5430" s="24" t="str">
        <f ca="1">IFERROR(__xludf.DUMMYFUNCTION("GOOGLETRANSLATE(F5430,""en"",""pt"")"),"ferro selada tubos de acesso expressos")</f>
        <v>ferro selada tubos de acesso expressos</v>
      </c>
      <c r="J5430">
        <f>VLOOKUP(A5430,Pr_Base_LNEC!$A$4:$J$6971,6,FALSE)</f>
        <v>0</v>
      </c>
      <c r="K5430">
        <f>VLOOKUP(A5430,Pr_Base_LNEC!$A$4:$J$6971,7,FALSE)</f>
        <v>0</v>
      </c>
    </row>
    <row r="5431" spans="1:11" ht="14.5">
      <c r="A5431" s="20" t="s">
        <v>27733</v>
      </c>
      <c r="B5431" s="20">
        <v>65</v>
      </c>
      <c r="C5431" s="20">
        <v>52</v>
      </c>
      <c r="D5431" s="20">
        <v>24</v>
      </c>
      <c r="E5431" s="20">
        <v>18</v>
      </c>
      <c r="F5431" s="20" t="s">
        <v>27734</v>
      </c>
      <c r="G5431" s="20" t="s">
        <v>27735</v>
      </c>
      <c r="H5431" s="24"/>
      <c r="I5431" s="24" t="str">
        <f ca="1">IFERROR(__xludf.DUMMYFUNCTION("GOOGLETRANSLATE(F5431,""en"",""pt"")"),"um concreto ravinas peça")</f>
        <v>um concreto ravinas peça</v>
      </c>
      <c r="J5431">
        <f>VLOOKUP(A5431,Pr_Base_LNEC!$A$4:$J$6971,6,FALSE)</f>
        <v>0</v>
      </c>
      <c r="K5431">
        <f>VLOOKUP(A5431,Pr_Base_LNEC!$A$4:$J$6971,7,FALSE)</f>
        <v>0</v>
      </c>
    </row>
    <row r="5432" spans="1:11" ht="14.5">
      <c r="A5432" s="20" t="s">
        <v>27736</v>
      </c>
      <c r="B5432" s="20">
        <v>65</v>
      </c>
      <c r="C5432" s="20">
        <v>52</v>
      </c>
      <c r="D5432" s="20">
        <v>24</v>
      </c>
      <c r="E5432" s="20">
        <v>24</v>
      </c>
      <c r="F5432" s="20" t="s">
        <v>27737</v>
      </c>
      <c r="G5432" s="20" t="s">
        <v>27738</v>
      </c>
      <c r="H5432" s="24"/>
      <c r="I5432" s="24" t="str">
        <f ca="1">IFERROR(__xludf.DUMMYFUNCTION("GOOGLETRANSLATE(F5432,""en"",""pt"")"),"canais de drenagem com grades")</f>
        <v>canais de drenagem com grades</v>
      </c>
      <c r="J5432">
        <f>VLOOKUP(A5432,Pr_Base_LNEC!$A$4:$J$6971,6,FALSE)</f>
        <v>0</v>
      </c>
      <c r="K5432">
        <f>VLOOKUP(A5432,Pr_Base_LNEC!$A$4:$J$6971,7,FALSE)</f>
        <v>0</v>
      </c>
    </row>
    <row r="5433" spans="1:11" ht="14.5">
      <c r="A5433" s="20" t="s">
        <v>27739</v>
      </c>
      <c r="B5433" s="20">
        <v>65</v>
      </c>
      <c r="C5433" s="20">
        <v>52</v>
      </c>
      <c r="D5433" s="20">
        <v>24</v>
      </c>
      <c r="E5433" s="20">
        <v>26</v>
      </c>
      <c r="F5433" s="20" t="s">
        <v>27740</v>
      </c>
      <c r="G5433" s="20" t="s">
        <v>27741</v>
      </c>
      <c r="H5433" s="24"/>
      <c r="I5433" s="24" t="str">
        <f ca="1">IFERROR(__xludf.DUMMYFUNCTION("GOOGLETRANSLATE(F5433,""en"",""pt"")"),"canais de drenagem de filtração")</f>
        <v>canais de drenagem de filtração</v>
      </c>
      <c r="J5433">
        <f>VLOOKUP(A5433,Pr_Base_LNEC!$A$4:$J$6971,6,FALSE)</f>
        <v>0</v>
      </c>
      <c r="K5433">
        <f>VLOOKUP(A5433,Pr_Base_LNEC!$A$4:$J$6971,7,FALSE)</f>
        <v>0</v>
      </c>
    </row>
    <row r="5434" spans="1:11" ht="14.5">
      <c r="A5434" s="20" t="s">
        <v>27742</v>
      </c>
      <c r="B5434" s="20">
        <v>65</v>
      </c>
      <c r="C5434" s="20">
        <v>52</v>
      </c>
      <c r="D5434" s="20">
        <v>24</v>
      </c>
      <c r="E5434" s="20">
        <v>28</v>
      </c>
      <c r="F5434" s="20" t="s">
        <v>27743</v>
      </c>
      <c r="G5434" s="20" t="s">
        <v>27744</v>
      </c>
      <c r="H5434" s="24"/>
      <c r="I5434" s="24" t="str">
        <f ca="1">IFERROR(__xludf.DUMMYFUNCTION("GOOGLETRANSLATE(F5434,""en"",""pt"")"),"canais de chão")</f>
        <v>canais de chão</v>
      </c>
      <c r="J5434">
        <f>VLOOKUP(A5434,Pr_Base_LNEC!$A$4:$J$6971,6,FALSE)</f>
        <v>0</v>
      </c>
      <c r="K5434">
        <f>VLOOKUP(A5434,Pr_Base_LNEC!$A$4:$J$6971,7,FALSE)</f>
        <v>0</v>
      </c>
    </row>
    <row r="5435" spans="1:11" ht="14.5">
      <c r="A5435" s="20" t="s">
        <v>27745</v>
      </c>
      <c r="B5435" s="20">
        <v>65</v>
      </c>
      <c r="C5435" s="20">
        <v>52</v>
      </c>
      <c r="D5435" s="20">
        <v>24</v>
      </c>
      <c r="E5435" s="20">
        <v>29</v>
      </c>
      <c r="F5435" s="20" t="s">
        <v>27746</v>
      </c>
      <c r="G5435" s="20" t="s">
        <v>27747</v>
      </c>
      <c r="H5435" s="24"/>
      <c r="I5435" s="24" t="str">
        <f ca="1">IFERROR(__xludf.DUMMYFUNCTION("GOOGLETRANSLATE(F5435,""en"",""pt"")"),"tampas de canal piso e grades")</f>
        <v>tampas de canal piso e grades</v>
      </c>
      <c r="J5435">
        <f>VLOOKUP(A5435,Pr_Base_LNEC!$A$4:$J$6971,6,FALSE)</f>
        <v>0</v>
      </c>
      <c r="K5435">
        <f>VLOOKUP(A5435,Pr_Base_LNEC!$A$4:$J$6971,7,FALSE)</f>
        <v>0</v>
      </c>
    </row>
    <row r="5436" spans="1:11" ht="14.5">
      <c r="A5436" s="20" t="s">
        <v>27748</v>
      </c>
      <c r="B5436" s="20">
        <v>65</v>
      </c>
      <c r="C5436" s="20">
        <v>52</v>
      </c>
      <c r="D5436" s="20">
        <v>24</v>
      </c>
      <c r="E5436" s="20">
        <v>30</v>
      </c>
      <c r="F5436" s="20" t="s">
        <v>27749</v>
      </c>
      <c r="G5436" s="20" t="s">
        <v>27750</v>
      </c>
      <c r="H5436" s="24"/>
      <c r="I5436" s="24" t="str">
        <f ca="1">IFERROR(__xludf.DUMMYFUNCTION("GOOGLETRANSLATE(F5436,""en"",""pt"")"),"tampas chão da ravina e grades")</f>
        <v>tampas chão da ravina e grades</v>
      </c>
      <c r="J5436">
        <f>VLOOKUP(A5436,Pr_Base_LNEC!$A$4:$J$6971,6,FALSE)</f>
        <v>0</v>
      </c>
      <c r="K5436">
        <f>VLOOKUP(A5436,Pr_Base_LNEC!$A$4:$J$6971,7,FALSE)</f>
        <v>0</v>
      </c>
    </row>
    <row r="5437" spans="1:11" ht="14.5">
      <c r="A5437" s="20" t="s">
        <v>27751</v>
      </c>
      <c r="B5437" s="20">
        <v>65</v>
      </c>
      <c r="C5437" s="20">
        <v>52</v>
      </c>
      <c r="D5437" s="20">
        <v>24</v>
      </c>
      <c r="E5437" s="20">
        <v>31</v>
      </c>
      <c r="F5437" s="20" t="s">
        <v>27752</v>
      </c>
      <c r="G5437" s="20" t="s">
        <v>27753</v>
      </c>
      <c r="H5437" s="24"/>
      <c r="I5437" s="24" t="str">
        <f ca="1">IFERROR(__xludf.DUMMYFUNCTION("GOOGLETRANSLATE(F5437,""en"",""pt"")"),"ravinas piso")</f>
        <v>ravinas piso</v>
      </c>
      <c r="J5437">
        <f>VLOOKUP(A5437,Pr_Base_LNEC!$A$4:$J$6971,6,FALSE)</f>
        <v>0</v>
      </c>
      <c r="K5437">
        <f>VLOOKUP(A5437,Pr_Base_LNEC!$A$4:$J$6971,7,FALSE)</f>
        <v>0</v>
      </c>
    </row>
    <row r="5438" spans="1:11" ht="14.5">
      <c r="A5438" s="20" t="s">
        <v>27754</v>
      </c>
      <c r="B5438" s="20">
        <v>65</v>
      </c>
      <c r="C5438" s="20">
        <v>52</v>
      </c>
      <c r="D5438" s="20">
        <v>24</v>
      </c>
      <c r="E5438" s="20">
        <v>47</v>
      </c>
      <c r="F5438" s="20" t="s">
        <v>27755</v>
      </c>
      <c r="G5438" s="20" t="s">
        <v>27756</v>
      </c>
      <c r="H5438" s="24"/>
      <c r="I5438" s="24" t="str">
        <f ca="1">IFERROR(__xludf.DUMMYFUNCTION("GOOGLETRANSLATE(F5438,""en"",""pt"")"),"canais ranhura de drenagem lineares")</f>
        <v>canais ranhura de drenagem lineares</v>
      </c>
      <c r="J5438">
        <f>VLOOKUP(A5438,Pr_Base_LNEC!$A$4:$J$6971,6,FALSE)</f>
        <v>0</v>
      </c>
      <c r="K5438">
        <f>VLOOKUP(A5438,Pr_Base_LNEC!$A$4:$J$6971,7,FALSE)</f>
        <v>0</v>
      </c>
    </row>
    <row r="5439" spans="1:11" ht="14.5">
      <c r="A5439" s="20" t="s">
        <v>27757</v>
      </c>
      <c r="B5439" s="20">
        <v>65</v>
      </c>
      <c r="C5439" s="20">
        <v>52</v>
      </c>
      <c r="D5439" s="20">
        <v>24</v>
      </c>
      <c r="E5439" s="20">
        <v>59</v>
      </c>
      <c r="F5439" s="20" t="s">
        <v>27758</v>
      </c>
      <c r="G5439" s="20" t="s">
        <v>27759</v>
      </c>
      <c r="H5439" s="24"/>
      <c r="I5439" s="24" t="str">
        <f ca="1">IFERROR(__xludf.DUMMYFUNCTION("GOOGLETRANSLATE(F5439,""en"",""pt"")"),"Plásticos regos compósitos")</f>
        <v>Plásticos regos compósitos</v>
      </c>
      <c r="J5439">
        <f>VLOOKUP(A5439,Pr_Base_LNEC!$A$4:$J$6971,6,FALSE)</f>
        <v>0</v>
      </c>
      <c r="K5439">
        <f>VLOOKUP(A5439,Pr_Base_LNEC!$A$4:$J$6971,7,FALSE)</f>
        <v>0</v>
      </c>
    </row>
    <row r="5440" spans="1:11" ht="14.5">
      <c r="A5440" s="20" t="s">
        <v>27760</v>
      </c>
      <c r="B5440" s="20">
        <v>65</v>
      </c>
      <c r="C5440" s="20">
        <v>52</v>
      </c>
      <c r="D5440" s="20">
        <v>24</v>
      </c>
      <c r="E5440" s="20">
        <v>60</v>
      </c>
      <c r="F5440" s="20" t="s">
        <v>27761</v>
      </c>
      <c r="G5440" s="20" t="s">
        <v>27762</v>
      </c>
      <c r="H5440" s="24"/>
      <c r="I5440" s="24" t="str">
        <f ca="1">IFERROR(__xludf.DUMMYFUNCTION("GOOGLETRANSLATE(F5440,""en"",""pt"")"),"Plastics One regos peça")</f>
        <v>Plastics One regos peça</v>
      </c>
      <c r="J5440">
        <f>VLOOKUP(A5440,Pr_Base_LNEC!$A$4:$J$6971,6,FALSE)</f>
        <v>0</v>
      </c>
      <c r="K5440">
        <f>VLOOKUP(A5440,Pr_Base_LNEC!$A$4:$J$6971,7,FALSE)</f>
        <v>0</v>
      </c>
    </row>
    <row r="5441" spans="1:11" ht="14.5">
      <c r="A5441" s="20" t="s">
        <v>27763</v>
      </c>
      <c r="B5441" s="20">
        <v>65</v>
      </c>
      <c r="C5441" s="20">
        <v>52</v>
      </c>
      <c r="D5441" s="20">
        <v>24</v>
      </c>
      <c r="E5441" s="20">
        <v>61</v>
      </c>
      <c r="F5441" s="20" t="s">
        <v>27764</v>
      </c>
      <c r="G5441" s="20" t="s">
        <v>27765</v>
      </c>
      <c r="H5441" s="24"/>
      <c r="I5441" s="24" t="str">
        <f ca="1">IFERROR(__xludf.DUMMYFUNCTION("GOOGLETRANSLATE(F5441,""en"",""pt"")"),"Plastics rodding olhos")</f>
        <v>Plastics rodding olhos</v>
      </c>
      <c r="J5441">
        <f>VLOOKUP(A5441,Pr_Base_LNEC!$A$4:$J$6971,6,FALSE)</f>
        <v>0</v>
      </c>
      <c r="K5441">
        <f>VLOOKUP(A5441,Pr_Base_LNEC!$A$4:$J$6971,7,FALSE)</f>
        <v>0</v>
      </c>
    </row>
    <row r="5442" spans="1:11" ht="14.5">
      <c r="A5442" s="20" t="s">
        <v>27766</v>
      </c>
      <c r="B5442" s="20">
        <v>65</v>
      </c>
      <c r="C5442" s="20">
        <v>52</v>
      </c>
      <c r="D5442" s="20">
        <v>24</v>
      </c>
      <c r="E5442" s="20">
        <v>64</v>
      </c>
      <c r="F5442" s="20" t="s">
        <v>27767</v>
      </c>
      <c r="G5442" s="20" t="s">
        <v>27768</v>
      </c>
      <c r="H5442" s="24"/>
      <c r="I5442" s="24" t="str">
        <f ca="1">IFERROR(__xludf.DUMMYFUNCTION("GOOGLETRANSLATE(F5442,""en"",""pt"")"),"Polipropileno (PP) regos compósitos")</f>
        <v>Polipropileno (PP) regos compósitos</v>
      </c>
      <c r="J5442">
        <f>VLOOKUP(A5442,Pr_Base_LNEC!$A$4:$J$6971,6,FALSE)</f>
        <v>0</v>
      </c>
      <c r="K5442">
        <f>VLOOKUP(A5442,Pr_Base_LNEC!$A$4:$J$6971,7,FALSE)</f>
        <v>0</v>
      </c>
    </row>
    <row r="5443" spans="1:11" ht="14.5">
      <c r="A5443" s="20" t="s">
        <v>27769</v>
      </c>
      <c r="B5443" s="20">
        <v>65</v>
      </c>
      <c r="C5443" s="20">
        <v>52</v>
      </c>
      <c r="D5443" s="20">
        <v>24</v>
      </c>
      <c r="E5443" s="20">
        <v>65</v>
      </c>
      <c r="F5443" s="20" t="s">
        <v>27770</v>
      </c>
      <c r="G5443" s="20" t="s">
        <v>27771</v>
      </c>
      <c r="H5443" s="24"/>
      <c r="I5443" s="24" t="str">
        <f ca="1">IFERROR(__xludf.DUMMYFUNCTION("GOOGLETRANSLATE(F5443,""en"",""pt"")"),"Polipropileno (PP) regos peça uma")</f>
        <v>Polipropileno (PP) regos peça uma</v>
      </c>
      <c r="J5443">
        <f>VLOOKUP(A5443,Pr_Base_LNEC!$A$4:$J$6971,6,FALSE)</f>
        <v>0</v>
      </c>
      <c r="K5443">
        <f>VLOOKUP(A5443,Pr_Base_LNEC!$A$4:$J$6971,7,FALSE)</f>
        <v>0</v>
      </c>
    </row>
    <row r="5444" spans="1:11" ht="14.5">
      <c r="A5444" s="20" t="s">
        <v>27772</v>
      </c>
      <c r="B5444" s="20">
        <v>65</v>
      </c>
      <c r="C5444" s="20">
        <v>52</v>
      </c>
      <c r="D5444" s="20">
        <v>24</v>
      </c>
      <c r="E5444" s="20">
        <v>73</v>
      </c>
      <c r="F5444" s="20" t="s">
        <v>27773</v>
      </c>
      <c r="G5444" s="20" t="s">
        <v>27774</v>
      </c>
      <c r="H5444" s="24"/>
      <c r="I5444" s="24" t="str">
        <f ca="1">IFERROR(__xludf.DUMMYFUNCTION("GOOGLETRANSLATE(F5444,""en"",""pt"")"),"tubos de barreira Rat")</f>
        <v>tubos de barreira Rat</v>
      </c>
      <c r="J5444">
        <f>VLOOKUP(A5444,Pr_Base_LNEC!$A$4:$J$6971,6,FALSE)</f>
        <v>0</v>
      </c>
      <c r="K5444">
        <f>VLOOKUP(A5444,Pr_Base_LNEC!$A$4:$J$6971,7,FALSE)</f>
        <v>0</v>
      </c>
    </row>
    <row r="5445" spans="1:11" ht="14.5">
      <c r="A5445" s="20" t="s">
        <v>27775</v>
      </c>
      <c r="B5445" s="20">
        <v>65</v>
      </c>
      <c r="C5445" s="20">
        <v>52</v>
      </c>
      <c r="D5445" s="20">
        <v>24</v>
      </c>
      <c r="E5445" s="20">
        <v>85</v>
      </c>
      <c r="F5445" s="20" t="s">
        <v>27776</v>
      </c>
      <c r="G5445" s="20" t="s">
        <v>27777</v>
      </c>
      <c r="H5445" s="24"/>
      <c r="I5445" s="24" t="str">
        <f ca="1">IFERROR(__xludf.DUMMYFUNCTION("GOOGLETRANSLATE(F5445,""en"",""pt"")"),"olhos rodding aço inoxidável")</f>
        <v>olhos rodding aço inoxidável</v>
      </c>
      <c r="J5445">
        <f>VLOOKUP(A5445,Pr_Base_LNEC!$A$4:$J$6971,6,FALSE)</f>
        <v>0</v>
      </c>
      <c r="K5445">
        <f>VLOOKUP(A5445,Pr_Base_LNEC!$A$4:$J$6971,7,FALSE)</f>
        <v>0</v>
      </c>
    </row>
    <row r="5446" spans="1:11" ht="14.5">
      <c r="A5446" s="20" t="s">
        <v>27778</v>
      </c>
      <c r="B5446" s="20">
        <v>65</v>
      </c>
      <c r="C5446" s="20">
        <v>52</v>
      </c>
      <c r="D5446" s="20">
        <v>24</v>
      </c>
      <c r="E5446" s="20">
        <v>91</v>
      </c>
      <c r="F5446" s="20" t="s">
        <v>27779</v>
      </c>
      <c r="G5446" s="20" t="s">
        <v>27780</v>
      </c>
      <c r="H5446" s="24"/>
      <c r="I5446" s="24" t="str">
        <f ca="1">IFERROR(__xludf.DUMMYFUNCTION("GOOGLETRANSLATE(F5446,""en"",""pt"")"),"canais de acesso da câmara de argila vitrificada")</f>
        <v>canais de acesso da câmara de argila vitrificada</v>
      </c>
      <c r="J5446">
        <f>VLOOKUP(A5446,Pr_Base_LNEC!$A$4:$J$6971,6,FALSE)</f>
        <v>0</v>
      </c>
      <c r="K5446">
        <f>VLOOKUP(A5446,Pr_Base_LNEC!$A$4:$J$6971,7,FALSE)</f>
        <v>0</v>
      </c>
    </row>
    <row r="5447" spans="1:11" ht="14.5">
      <c r="A5447" s="20" t="s">
        <v>27781</v>
      </c>
      <c r="B5447" s="20">
        <v>65</v>
      </c>
      <c r="C5447" s="20">
        <v>52</v>
      </c>
      <c r="D5447" s="20">
        <v>24</v>
      </c>
      <c r="E5447" s="20">
        <v>92</v>
      </c>
      <c r="F5447" s="20" t="s">
        <v>27782</v>
      </c>
      <c r="G5447" s="20" t="s">
        <v>27783</v>
      </c>
      <c r="H5447" s="24"/>
      <c r="I5447" s="24" t="str">
        <f ca="1">IFERROR(__xludf.DUMMYFUNCTION("GOOGLETRANSLATE(F5447,""en"",""pt"")"),"regos compósitos de argila vitrificada")</f>
        <v>regos compósitos de argila vitrificada</v>
      </c>
      <c r="J5447">
        <f>VLOOKUP(A5447,Pr_Base_LNEC!$A$4:$J$6971,6,FALSE)</f>
        <v>0</v>
      </c>
      <c r="K5447">
        <f>VLOOKUP(A5447,Pr_Base_LNEC!$A$4:$J$6971,7,FALSE)</f>
        <v>0</v>
      </c>
    </row>
    <row r="5448" spans="1:11" ht="14.5">
      <c r="A5448" s="20" t="s">
        <v>27784</v>
      </c>
      <c r="B5448" s="20">
        <v>65</v>
      </c>
      <c r="C5448" s="20">
        <v>52</v>
      </c>
      <c r="D5448" s="20">
        <v>24</v>
      </c>
      <c r="E5448" s="20">
        <v>94</v>
      </c>
      <c r="F5448" s="20" t="s">
        <v>27785</v>
      </c>
      <c r="G5448" s="20" t="s">
        <v>27786</v>
      </c>
      <c r="H5448" s="24"/>
      <c r="I5448" s="24" t="str">
        <f ca="1">IFERROR(__xludf.DUMMYFUNCTION("GOOGLETRANSLATE(F5448,""en"",""pt"")"),"argila vitrificados peça uma regos")</f>
        <v>argila vitrificados peça uma regos</v>
      </c>
      <c r="J5448">
        <f>VLOOKUP(A5448,Pr_Base_LNEC!$A$4:$J$6971,6,FALSE)</f>
        <v>0</v>
      </c>
      <c r="K5448">
        <f>VLOOKUP(A5448,Pr_Base_LNEC!$A$4:$J$6971,7,FALSE)</f>
        <v>0</v>
      </c>
    </row>
    <row r="5449" spans="1:11" ht="14.5">
      <c r="A5449" s="20" t="s">
        <v>27787</v>
      </c>
      <c r="B5449" s="20">
        <v>65</v>
      </c>
      <c r="C5449" s="20">
        <v>52</v>
      </c>
      <c r="D5449" s="20">
        <v>24</v>
      </c>
      <c r="E5449" s="20">
        <v>95</v>
      </c>
      <c r="F5449" s="20" t="s">
        <v>27788</v>
      </c>
      <c r="G5449" s="20" t="s">
        <v>27789</v>
      </c>
      <c r="H5449" s="24"/>
      <c r="I5449" s="24" t="str">
        <f ca="1">IFERROR(__xludf.DUMMYFUNCTION("GOOGLETRANSLATE(F5449,""en"",""pt"")"),"argila rodding olhos vitrificados")</f>
        <v>argila rodding olhos vitrificados</v>
      </c>
      <c r="J5449">
        <f>VLOOKUP(A5449,Pr_Base_LNEC!$A$4:$J$6971,6,FALSE)</f>
        <v>0</v>
      </c>
      <c r="K5449">
        <f>VLOOKUP(A5449,Pr_Base_LNEC!$A$4:$J$6971,7,FALSE)</f>
        <v>0</v>
      </c>
    </row>
    <row r="5450" spans="1:11" ht="14.5">
      <c r="A5450" s="20" t="s">
        <v>27790</v>
      </c>
      <c r="B5450" s="20">
        <v>65</v>
      </c>
      <c r="C5450" s="20">
        <v>52</v>
      </c>
      <c r="D5450" s="20">
        <v>24</v>
      </c>
      <c r="E5450" s="20">
        <v>96</v>
      </c>
      <c r="F5450" s="20" t="s">
        <v>27791</v>
      </c>
      <c r="G5450" s="20" t="s">
        <v>27792</v>
      </c>
      <c r="H5450" s="24"/>
      <c r="I5450" s="24" t="str">
        <f ca="1">IFERROR(__xludf.DUMMYFUNCTION("GOOGLETRANSLATE(F5450,""en"",""pt"")"),"argila selado tubos de acesso vitrificados")</f>
        <v>argila selado tubos de acesso vitrificados</v>
      </c>
      <c r="J5450">
        <f>VLOOKUP(A5450,Pr_Base_LNEC!$A$4:$J$6971,6,FALSE)</f>
        <v>0</v>
      </c>
      <c r="K5450">
        <f>VLOOKUP(A5450,Pr_Base_LNEC!$A$4:$J$6971,7,FALSE)</f>
        <v>0</v>
      </c>
    </row>
    <row r="5451" spans="1:11" ht="14.5">
      <c r="A5451" s="20" t="s">
        <v>27793</v>
      </c>
      <c r="B5451" s="20">
        <v>65</v>
      </c>
      <c r="C5451" s="20">
        <v>52</v>
      </c>
      <c r="D5451" s="20">
        <v>25</v>
      </c>
      <c r="E5451" s="24"/>
      <c r="F5451" s="20" t="s">
        <v>27794</v>
      </c>
      <c r="G5451" s="24"/>
      <c r="H5451" s="24"/>
      <c r="I5451" s="24" t="str">
        <f ca="1">IFERROR(__xludf.DUMMYFUNCTION("GOOGLETRANSLATE(F5451,""en"",""pt"")"),"armadilhas de drenagem e acessórios")</f>
        <v>armadilhas de drenagem e acessórios</v>
      </c>
      <c r="J5451">
        <f>VLOOKUP(A5451,Pr_Base_LNEC!$A$4:$J$6971,6,FALSE)</f>
        <v>0</v>
      </c>
      <c r="K5451">
        <f>VLOOKUP(A5451,Pr_Base_LNEC!$A$4:$J$6971,7,FALSE)</f>
        <v>0</v>
      </c>
    </row>
    <row r="5452" spans="1:11" ht="14.5">
      <c r="A5452" s="20" t="s">
        <v>27795</v>
      </c>
      <c r="B5452" s="20">
        <v>65</v>
      </c>
      <c r="C5452" s="20">
        <v>52</v>
      </c>
      <c r="D5452" s="20">
        <v>25</v>
      </c>
      <c r="E5452" s="20">
        <v>6</v>
      </c>
      <c r="F5452" s="20" t="s">
        <v>27796</v>
      </c>
      <c r="G5452" s="20" t="s">
        <v>27797</v>
      </c>
      <c r="H5452" s="24"/>
      <c r="I5452" s="24" t="str">
        <f ca="1">IFERROR(__xludf.DUMMYFUNCTION("GOOGLETRANSLATE(F5452,""en"",""pt"")"),"Abaixo do solo caixas de gordura e conversores")</f>
        <v>Abaixo do solo caixas de gordura e conversores</v>
      </c>
      <c r="J5452">
        <f>VLOOKUP(A5452,Pr_Base_LNEC!$A$4:$J$6971,6,FALSE)</f>
        <v>0</v>
      </c>
      <c r="K5452">
        <f>VLOOKUP(A5452,Pr_Base_LNEC!$A$4:$J$6971,7,FALSE)</f>
        <v>0</v>
      </c>
    </row>
    <row r="5453" spans="1:11" ht="14.5">
      <c r="A5453" s="20" t="s">
        <v>27798</v>
      </c>
      <c r="B5453" s="20">
        <v>65</v>
      </c>
      <c r="C5453" s="20">
        <v>52</v>
      </c>
      <c r="D5453" s="20">
        <v>25</v>
      </c>
      <c r="E5453" s="20">
        <v>15</v>
      </c>
      <c r="F5453" s="20" t="s">
        <v>27799</v>
      </c>
      <c r="G5453" s="20" t="s">
        <v>27800</v>
      </c>
      <c r="H5453" s="24"/>
      <c r="I5453" s="24" t="str">
        <f ca="1">IFERROR(__xludf.DUMMYFUNCTION("GOOGLETRANSLATE(F5453,""en"",""pt"")"),"Concretas armadilhas silte")</f>
        <v>Concretas armadilhas silte</v>
      </c>
      <c r="J5453">
        <f>VLOOKUP(A5453,Pr_Base_LNEC!$A$4:$J$6971,6,FALSE)</f>
        <v>0</v>
      </c>
      <c r="K5453">
        <f>VLOOKUP(A5453,Pr_Base_LNEC!$A$4:$J$6971,7,FALSE)</f>
        <v>0</v>
      </c>
    </row>
    <row r="5454" spans="1:11" ht="14.5">
      <c r="A5454" s="20" t="s">
        <v>27801</v>
      </c>
      <c r="B5454" s="20">
        <v>65</v>
      </c>
      <c r="C5454" s="20">
        <v>52</v>
      </c>
      <c r="D5454" s="20">
        <v>25</v>
      </c>
      <c r="E5454" s="20">
        <v>23</v>
      </c>
      <c r="F5454" s="20" t="s">
        <v>27802</v>
      </c>
      <c r="G5454" s="20" t="s">
        <v>27803</v>
      </c>
      <c r="H5454" s="24"/>
      <c r="I5454" s="24" t="str">
        <f ca="1">IFERROR(__xludf.DUMMYFUNCTION("GOOGLETRANSLATE(F5454,""en"",""pt"")"),"sumps despressurização")</f>
        <v>sumps despressurização</v>
      </c>
      <c r="J5454">
        <f>VLOOKUP(A5454,Pr_Base_LNEC!$A$4:$J$6971,6,FALSE)</f>
        <v>0</v>
      </c>
      <c r="K5454">
        <f>VLOOKUP(A5454,Pr_Base_LNEC!$A$4:$J$6971,7,FALSE)</f>
        <v>0</v>
      </c>
    </row>
    <row r="5455" spans="1:11" ht="14.5">
      <c r="A5455" s="20" t="s">
        <v>27804</v>
      </c>
      <c r="B5455" s="20">
        <v>65</v>
      </c>
      <c r="C5455" s="20">
        <v>52</v>
      </c>
      <c r="D5455" s="20">
        <v>25</v>
      </c>
      <c r="E5455" s="20">
        <v>27</v>
      </c>
      <c r="F5455" s="20" t="s">
        <v>27805</v>
      </c>
      <c r="G5455" s="20" t="s">
        <v>27806</v>
      </c>
      <c r="H5455" s="24"/>
      <c r="I5455" s="24" t="str">
        <f ca="1">IFERROR(__xludf.DUMMYFUNCTION("GOOGLETRANSLATE(F5455,""en"",""pt"")"),"unidades de dosagem de enzima")</f>
        <v>unidades de dosagem de enzima</v>
      </c>
      <c r="J5455">
        <f>VLOOKUP(A5455,Pr_Base_LNEC!$A$4:$J$6971,6,FALSE)</f>
        <v>0</v>
      </c>
      <c r="K5455">
        <f>VLOOKUP(A5455,Pr_Base_LNEC!$A$4:$J$6971,7,FALSE)</f>
        <v>0</v>
      </c>
    </row>
    <row r="5456" spans="1:11" ht="14.5">
      <c r="A5456" s="20" t="s">
        <v>27807</v>
      </c>
      <c r="B5456" s="20">
        <v>65</v>
      </c>
      <c r="C5456" s="20">
        <v>52</v>
      </c>
      <c r="D5456" s="20">
        <v>25</v>
      </c>
      <c r="E5456" s="20">
        <v>32</v>
      </c>
      <c r="F5456" s="20" t="s">
        <v>27808</v>
      </c>
      <c r="G5456" s="20" t="s">
        <v>27809</v>
      </c>
      <c r="H5456" s="24"/>
      <c r="I5456" s="24" t="str">
        <f ca="1">IFERROR(__xludf.DUMMYFUNCTION("GOOGLETRANSLATE(F5456,""en"",""pt"")"),"Free-standing caixas de gordura e conversores")</f>
        <v>Free-standing caixas de gordura e conversores</v>
      </c>
      <c r="J5456">
        <f>VLOOKUP(A5456,Pr_Base_LNEC!$A$4:$J$6971,6,FALSE)</f>
        <v>0</v>
      </c>
      <c r="K5456">
        <f>VLOOKUP(A5456,Pr_Base_LNEC!$A$4:$J$6971,7,FALSE)</f>
        <v>0</v>
      </c>
    </row>
    <row r="5457" spans="1:11" ht="14.5">
      <c r="A5457" s="20" t="s">
        <v>27810</v>
      </c>
      <c r="B5457" s="20">
        <v>65</v>
      </c>
      <c r="C5457" s="20">
        <v>52</v>
      </c>
      <c r="D5457" s="20">
        <v>25</v>
      </c>
      <c r="E5457" s="20">
        <v>60</v>
      </c>
      <c r="F5457" s="20" t="s">
        <v>27811</v>
      </c>
      <c r="G5457" s="24"/>
      <c r="H5457" s="24"/>
      <c r="I5457" s="24" t="str">
        <f ca="1">IFERROR(__xludf.DUMMYFUNCTION("GOOGLETRANSLATE(F5457,""en"",""pt"")"),"interceptores gasolina")</f>
        <v>interceptores gasolina</v>
      </c>
      <c r="J5457">
        <f>VLOOKUP(A5457,Pr_Base_LNEC!$A$4:$J$6971,6,FALSE)</f>
        <v>0</v>
      </c>
      <c r="K5457">
        <f>VLOOKUP(A5457,Pr_Base_LNEC!$A$4:$J$6971,7,FALSE)</f>
        <v>0</v>
      </c>
    </row>
    <row r="5458" spans="1:11" ht="14.5">
      <c r="A5458" s="20" t="s">
        <v>27812</v>
      </c>
      <c r="B5458" s="20">
        <v>65</v>
      </c>
      <c r="C5458" s="20">
        <v>52</v>
      </c>
      <c r="D5458" s="20">
        <v>25</v>
      </c>
      <c r="E5458" s="20">
        <v>62</v>
      </c>
      <c r="F5458" s="20" t="s">
        <v>27813</v>
      </c>
      <c r="G5458" s="20" t="s">
        <v>27814</v>
      </c>
      <c r="H5458" s="24"/>
      <c r="I5458" s="24" t="str">
        <f ca="1">IFERROR(__xludf.DUMMYFUNCTION("GOOGLETRANSLATE(F5458,""en"",""pt"")"),"armadilhas Plastics silte")</f>
        <v>armadilhas Plastics silte</v>
      </c>
      <c r="J5458">
        <f>VLOOKUP(A5458,Pr_Base_LNEC!$A$4:$J$6971,6,FALSE)</f>
        <v>0</v>
      </c>
      <c r="K5458">
        <f>VLOOKUP(A5458,Pr_Base_LNEC!$A$4:$J$6971,7,FALSE)</f>
        <v>0</v>
      </c>
    </row>
    <row r="5459" spans="1:11" ht="14.5">
      <c r="A5459" s="20" t="s">
        <v>27815</v>
      </c>
      <c r="B5459" s="20">
        <v>65</v>
      </c>
      <c r="C5459" s="20">
        <v>52</v>
      </c>
      <c r="D5459" s="20">
        <v>25</v>
      </c>
      <c r="E5459" s="20">
        <v>72</v>
      </c>
      <c r="F5459" s="20" t="s">
        <v>27816</v>
      </c>
      <c r="G5459" s="24"/>
      <c r="H5459" s="24"/>
      <c r="I5459" s="24" t="str">
        <f ca="1">IFERROR(__xludf.DUMMYFUNCTION("GOOGLETRANSLATE(F5459,""en"",""pt"")"),"interceptores ação reversa")</f>
        <v>interceptores ação reversa</v>
      </c>
      <c r="J5459">
        <f>VLOOKUP(A5459,Pr_Base_LNEC!$A$4:$J$6971,6,FALSE)</f>
        <v>0</v>
      </c>
      <c r="K5459">
        <f>VLOOKUP(A5459,Pr_Base_LNEC!$A$4:$J$6971,7,FALSE)</f>
        <v>0</v>
      </c>
    </row>
    <row r="5460" spans="1:11" ht="14.5">
      <c r="A5460" s="20" t="s">
        <v>27817</v>
      </c>
      <c r="B5460" s="20">
        <v>65</v>
      </c>
      <c r="C5460" s="20">
        <v>52</v>
      </c>
      <c r="D5460" s="20">
        <v>25</v>
      </c>
      <c r="E5460" s="20">
        <v>75</v>
      </c>
      <c r="F5460" s="20" t="s">
        <v>27818</v>
      </c>
      <c r="G5460" s="20" t="s">
        <v>27819</v>
      </c>
      <c r="H5460" s="24"/>
      <c r="I5460" s="24" t="str">
        <f ca="1">IFERROR(__xludf.DUMMYFUNCTION("GOOGLETRANSLATE(F5460,""en"",""pt"")"),"armadilhas de aparelhos sanitários")</f>
        <v>armadilhas de aparelhos sanitários</v>
      </c>
      <c r="J5460">
        <f>VLOOKUP(A5460,Pr_Base_LNEC!$A$4:$J$6971,6,FALSE)</f>
        <v>0</v>
      </c>
      <c r="K5460">
        <f>VLOOKUP(A5460,Pr_Base_LNEC!$A$4:$J$6971,7,FALSE)</f>
        <v>0</v>
      </c>
    </row>
    <row r="5461" spans="1:11" ht="14.5">
      <c r="A5461" s="20" t="s">
        <v>27820</v>
      </c>
      <c r="B5461" s="20">
        <v>65</v>
      </c>
      <c r="C5461" s="20">
        <v>52</v>
      </c>
      <c r="D5461" s="20">
        <v>25</v>
      </c>
      <c r="E5461" s="20">
        <v>78</v>
      </c>
      <c r="F5461" s="20" t="s">
        <v>27821</v>
      </c>
      <c r="G5461" s="20" t="s">
        <v>27822</v>
      </c>
      <c r="H5461" s="24"/>
      <c r="I5461" s="24" t="str">
        <f ca="1">IFERROR(__xludf.DUMMYFUNCTION("GOOGLETRANSLATE(F5461,""en"",""pt"")"),"baldes de lodo")</f>
        <v>baldes de lodo</v>
      </c>
      <c r="J5461">
        <f>VLOOKUP(A5461,Pr_Base_LNEC!$A$4:$J$6971,6,FALSE)</f>
        <v>0</v>
      </c>
      <c r="K5461">
        <f>VLOOKUP(A5461,Pr_Base_LNEC!$A$4:$J$6971,7,FALSE)</f>
        <v>0</v>
      </c>
    </row>
    <row r="5462" spans="1:11" ht="14.5">
      <c r="A5462" s="20" t="s">
        <v>27823</v>
      </c>
      <c r="B5462" s="20">
        <v>65</v>
      </c>
      <c r="C5462" s="20">
        <v>52</v>
      </c>
      <c r="D5462" s="20">
        <v>25</v>
      </c>
      <c r="E5462" s="20">
        <v>93</v>
      </c>
      <c r="F5462" s="20" t="s">
        <v>27824</v>
      </c>
      <c r="G5462" s="20" t="s">
        <v>27825</v>
      </c>
      <c r="H5462" s="24"/>
      <c r="I5462" s="24" t="str">
        <f ca="1">IFERROR(__xludf.DUMMYFUNCTION("GOOGLETRANSLATE(F5462,""en"",""pt"")"),"armadilhas interceptores de argila vitrificada")</f>
        <v>armadilhas interceptores de argila vitrificada</v>
      </c>
      <c r="J5462">
        <f>VLOOKUP(A5462,Pr_Base_LNEC!$A$4:$J$6971,6,FALSE)</f>
        <v>0</v>
      </c>
      <c r="K5462">
        <f>VLOOKUP(A5462,Pr_Base_LNEC!$A$4:$J$6971,7,FALSE)</f>
        <v>0</v>
      </c>
    </row>
    <row r="5463" spans="1:11" ht="14.5">
      <c r="A5463" s="20" t="s">
        <v>27826</v>
      </c>
      <c r="B5463" s="20">
        <v>65</v>
      </c>
      <c r="C5463" s="20">
        <v>52</v>
      </c>
      <c r="D5463" s="20">
        <v>25</v>
      </c>
      <c r="E5463" s="20">
        <v>96</v>
      </c>
      <c r="F5463" s="20" t="s">
        <v>27827</v>
      </c>
      <c r="G5463" s="20" t="s">
        <v>27828</v>
      </c>
      <c r="H5463" s="24"/>
      <c r="I5463" s="24" t="str">
        <f ca="1">IFERROR(__xludf.DUMMYFUNCTION("GOOGLETRANSLATE(F5463,""en"",""pt"")"),"armadilhas sedimentos de argila vitrificada")</f>
        <v>armadilhas sedimentos de argila vitrificada</v>
      </c>
      <c r="J5463">
        <f>VLOOKUP(A5463,Pr_Base_LNEC!$A$4:$J$6971,6,FALSE)</f>
        <v>0</v>
      </c>
      <c r="K5463">
        <f>VLOOKUP(A5463,Pr_Base_LNEC!$A$4:$J$6971,7,FALSE)</f>
        <v>0</v>
      </c>
    </row>
    <row r="5464" spans="1:11" ht="14.5">
      <c r="A5464" s="20" t="s">
        <v>27829</v>
      </c>
      <c r="B5464" s="20">
        <v>65</v>
      </c>
      <c r="C5464" s="20">
        <v>52</v>
      </c>
      <c r="D5464" s="20">
        <v>25</v>
      </c>
      <c r="E5464" s="20">
        <v>98</v>
      </c>
      <c r="F5464" s="20" t="s">
        <v>27830</v>
      </c>
      <c r="G5464" s="24"/>
      <c r="H5464" s="24"/>
      <c r="I5464" s="24" t="str">
        <f ca="1">IFERROR(__xludf.DUMMYFUNCTION("GOOGLETRANSLATE(F5464,""en"",""pt"")"),"sifões")</f>
        <v>sifões</v>
      </c>
      <c r="J5464">
        <f>VLOOKUP(A5464,Pr_Base_LNEC!$A$4:$J$6971,6,FALSE)</f>
        <v>0</v>
      </c>
      <c r="K5464">
        <f>VLOOKUP(A5464,Pr_Base_LNEC!$A$4:$J$6971,7,FALSE)</f>
        <v>0</v>
      </c>
    </row>
    <row r="5465" spans="1:11" ht="14.5">
      <c r="A5465" s="20" t="s">
        <v>27831</v>
      </c>
      <c r="B5465" s="20">
        <v>65</v>
      </c>
      <c r="C5465" s="20">
        <v>52</v>
      </c>
      <c r="D5465" s="20">
        <v>34</v>
      </c>
      <c r="E5465" s="24"/>
      <c r="F5465" s="20" t="s">
        <v>27832</v>
      </c>
      <c r="G5465" s="24"/>
      <c r="H5465" s="24"/>
      <c r="I5465" s="24" t="str">
        <f ca="1">IFERROR(__xludf.DUMMYFUNCTION("GOOGLETRANSLATE(F5465,""en"",""pt"")"),"Medidores e visores")</f>
        <v>Medidores e visores</v>
      </c>
      <c r="J5465">
        <f>VLOOKUP(A5465,Pr_Base_LNEC!$A$4:$J$6971,6,FALSE)</f>
        <v>0</v>
      </c>
      <c r="K5465">
        <f>VLOOKUP(A5465,Pr_Base_LNEC!$A$4:$J$6971,7,FALSE)</f>
        <v>0</v>
      </c>
    </row>
    <row r="5466" spans="1:11" ht="14.5">
      <c r="A5466" s="20" t="s">
        <v>27833</v>
      </c>
      <c r="B5466" s="20">
        <v>65</v>
      </c>
      <c r="C5466" s="20">
        <v>52</v>
      </c>
      <c r="D5466" s="20">
        <v>34</v>
      </c>
      <c r="E5466" s="20">
        <v>8</v>
      </c>
      <c r="F5466" s="20" t="s">
        <v>27834</v>
      </c>
      <c r="G5466" s="20" t="s">
        <v>27835</v>
      </c>
      <c r="H5466" s="24"/>
      <c r="I5466" s="24" t="str">
        <f ca="1">IFERROR(__xludf.DUMMYFUNCTION("GOOGLETRANSLATE(F5466,""en"",""pt"")"),"Bourdon manómetros tubo")</f>
        <v>Bourdon manómetros tubo</v>
      </c>
      <c r="J5466">
        <f>VLOOKUP(A5466,Pr_Base_LNEC!$A$4:$J$6971,6,FALSE)</f>
        <v>0</v>
      </c>
      <c r="K5466">
        <f>VLOOKUP(A5466,Pr_Base_LNEC!$A$4:$J$6971,7,FALSE)</f>
        <v>0</v>
      </c>
    </row>
    <row r="5467" spans="1:11" ht="14.5">
      <c r="A5467" s="20" t="s">
        <v>27836</v>
      </c>
      <c r="B5467" s="20">
        <v>65</v>
      </c>
      <c r="C5467" s="20">
        <v>52</v>
      </c>
      <c r="D5467" s="20">
        <v>34</v>
      </c>
      <c r="E5467" s="20">
        <v>15</v>
      </c>
      <c r="F5467" s="20" t="s">
        <v>27837</v>
      </c>
      <c r="G5467" s="20" t="s">
        <v>27838</v>
      </c>
      <c r="H5467" s="24"/>
      <c r="I5467" s="24" t="str">
        <f ca="1">IFERROR(__xludf.DUMMYFUNCTION("GOOGLETRANSLATE(F5467,""en"",""pt"")"),"válvulas Combinada vidro vista de vapor e de verificação")</f>
        <v>válvulas Combinada vidro vista de vapor e de verificação</v>
      </c>
      <c r="J5467">
        <f>VLOOKUP(A5467,Pr_Base_LNEC!$A$4:$J$6971,6,FALSE)</f>
        <v>0</v>
      </c>
      <c r="K5467">
        <f>VLOOKUP(A5467,Pr_Base_LNEC!$A$4:$J$6971,7,FALSE)</f>
        <v>0</v>
      </c>
    </row>
    <row r="5468" spans="1:11" ht="14.5">
      <c r="A5468" s="20" t="s">
        <v>27839</v>
      </c>
      <c r="B5468" s="20">
        <v>65</v>
      </c>
      <c r="C5468" s="20">
        <v>52</v>
      </c>
      <c r="D5468" s="20">
        <v>34</v>
      </c>
      <c r="E5468" s="20">
        <v>16</v>
      </c>
      <c r="F5468" s="20" t="s">
        <v>27840</v>
      </c>
      <c r="G5468" s="20" t="s">
        <v>27841</v>
      </c>
      <c r="H5468" s="24"/>
      <c r="I5468" s="24" t="str">
        <f ca="1">IFERROR(__xludf.DUMMYFUNCTION("GOOGLETRANSLATE(F5468,""en"",""pt"")"),"Índice calibres")</f>
        <v>Índice calibres</v>
      </c>
      <c r="J5468">
        <f>VLOOKUP(A5468,Pr_Base_LNEC!$A$4:$J$6971,6,FALSE)</f>
        <v>0</v>
      </c>
      <c r="K5468">
        <f>VLOOKUP(A5468,Pr_Base_LNEC!$A$4:$J$6971,7,FALSE)</f>
        <v>0</v>
      </c>
    </row>
    <row r="5469" spans="1:11" ht="14.5">
      <c r="A5469" s="20" t="s">
        <v>27842</v>
      </c>
      <c r="B5469" s="20">
        <v>65</v>
      </c>
      <c r="C5469" s="20">
        <v>52</v>
      </c>
      <c r="D5469" s="20">
        <v>34</v>
      </c>
      <c r="E5469" s="20">
        <v>18</v>
      </c>
      <c r="F5469" s="20" t="s">
        <v>27843</v>
      </c>
      <c r="G5469" s="20" t="s">
        <v>27844</v>
      </c>
      <c r="H5469" s="24"/>
      <c r="I5469" s="24" t="str">
        <f ca="1">IFERROR(__xludf.DUMMYFUNCTION("GOOGLETRANSLATE(F5469,""en"",""pt"")"),"Índice visores")</f>
        <v>Índice visores</v>
      </c>
      <c r="J5469">
        <f>VLOOKUP(A5469,Pr_Base_LNEC!$A$4:$J$6971,6,FALSE)</f>
        <v>0</v>
      </c>
      <c r="K5469">
        <f>VLOOKUP(A5469,Pr_Base_LNEC!$A$4:$J$6971,7,FALSE)</f>
        <v>0</v>
      </c>
    </row>
    <row r="5470" spans="1:11" ht="14.5">
      <c r="A5470" s="20" t="s">
        <v>27845</v>
      </c>
      <c r="B5470" s="20">
        <v>65</v>
      </c>
      <c r="C5470" s="20">
        <v>52</v>
      </c>
      <c r="D5470" s="20">
        <v>34</v>
      </c>
      <c r="E5470" s="20">
        <v>22</v>
      </c>
      <c r="F5470" s="20" t="s">
        <v>27846</v>
      </c>
      <c r="G5470" s="20" t="s">
        <v>27847</v>
      </c>
      <c r="H5470" s="24"/>
      <c r="I5470" s="24" t="str">
        <f ca="1">IFERROR(__xludf.DUMMYFUNCTION("GOOGLETRANSLATE(F5470,""en"",""pt"")"),"medidores de pressão diferenciais")</f>
        <v>medidores de pressão diferenciais</v>
      </c>
      <c r="J5470">
        <f>VLOOKUP(A5470,Pr_Base_LNEC!$A$4:$J$6971,6,FALSE)</f>
        <v>0</v>
      </c>
      <c r="K5470">
        <f>VLOOKUP(A5470,Pr_Base_LNEC!$A$4:$J$6971,7,FALSE)</f>
        <v>0</v>
      </c>
    </row>
    <row r="5471" spans="1:11" ht="14.5">
      <c r="A5471" s="20" t="s">
        <v>27848</v>
      </c>
      <c r="B5471" s="20">
        <v>65</v>
      </c>
      <c r="C5471" s="20">
        <v>52</v>
      </c>
      <c r="D5471" s="20">
        <v>34</v>
      </c>
      <c r="E5471" s="20">
        <v>24</v>
      </c>
      <c r="F5471" s="20" t="s">
        <v>27849</v>
      </c>
      <c r="G5471" s="20" t="s">
        <v>27850</v>
      </c>
      <c r="H5471" s="24"/>
      <c r="I5471" s="24" t="str">
        <f ca="1">IFERROR(__xludf.DUMMYFUNCTION("GOOGLETRANSLATE(F5471,""en"",""pt"")"),"janela dupla visores vapor")</f>
        <v>janela dupla visores vapor</v>
      </c>
      <c r="J5471">
        <f>VLOOKUP(A5471,Pr_Base_LNEC!$A$4:$J$6971,6,FALSE)</f>
        <v>0</v>
      </c>
      <c r="K5471">
        <f>VLOOKUP(A5471,Pr_Base_LNEC!$A$4:$J$6971,7,FALSE)</f>
        <v>0</v>
      </c>
    </row>
    <row r="5472" spans="1:11" ht="14.5">
      <c r="A5472" s="20" t="s">
        <v>27851</v>
      </c>
      <c r="B5472" s="20">
        <v>65</v>
      </c>
      <c r="C5472" s="20">
        <v>52</v>
      </c>
      <c r="D5472" s="20">
        <v>34</v>
      </c>
      <c r="E5472" s="20">
        <v>48</v>
      </c>
      <c r="F5472" s="20" t="s">
        <v>27852</v>
      </c>
      <c r="G5472" s="24"/>
      <c r="H5472" s="24"/>
      <c r="I5472" s="24" t="str">
        <f ca="1">IFERROR(__xludf.DUMMYFUNCTION("GOOGLETRANSLATE(F5472,""en"",""pt"")"),"medidores de pressão")</f>
        <v>medidores de pressão</v>
      </c>
      <c r="J5472">
        <f>VLOOKUP(A5472,Pr_Base_LNEC!$A$4:$J$6971,6,FALSE)</f>
        <v>0</v>
      </c>
      <c r="K5472">
        <f>VLOOKUP(A5472,Pr_Base_LNEC!$A$4:$J$6971,7,FALSE)</f>
        <v>0</v>
      </c>
    </row>
    <row r="5473" spans="1:11" ht="14.5">
      <c r="A5473" s="20" t="s">
        <v>27853</v>
      </c>
      <c r="B5473" s="20">
        <v>65</v>
      </c>
      <c r="C5473" s="20">
        <v>52</v>
      </c>
      <c r="D5473" s="20">
        <v>34</v>
      </c>
      <c r="E5473" s="20">
        <v>50</v>
      </c>
      <c r="F5473" s="20" t="s">
        <v>27854</v>
      </c>
      <c r="G5473" s="20" t="s">
        <v>27847</v>
      </c>
      <c r="H5473" s="24"/>
      <c r="I5473" s="24" t="str">
        <f ca="1">IFERROR(__xludf.DUMMYFUNCTION("GOOGLETRANSLATE(F5473,""en"",""pt"")"),"manómetros")</f>
        <v>manómetros</v>
      </c>
      <c r="J5473">
        <f>VLOOKUP(A5473,Pr_Base_LNEC!$A$4:$J$6971,6,FALSE)</f>
        <v>0</v>
      </c>
      <c r="K5473">
        <f>VLOOKUP(A5473,Pr_Base_LNEC!$A$4:$J$6971,7,FALSE)</f>
        <v>0</v>
      </c>
    </row>
    <row r="5474" spans="1:11" ht="14.5">
      <c r="A5474" s="20" t="s">
        <v>27855</v>
      </c>
      <c r="B5474" s="20">
        <v>65</v>
      </c>
      <c r="C5474" s="20">
        <v>52</v>
      </c>
      <c r="D5474" s="20">
        <v>34</v>
      </c>
      <c r="E5474" s="20">
        <v>55</v>
      </c>
      <c r="F5474" s="20" t="s">
        <v>27856</v>
      </c>
      <c r="G5474" s="20" t="s">
        <v>27857</v>
      </c>
      <c r="H5474" s="24"/>
      <c r="I5474" s="24" t="str">
        <f ca="1">IFERROR(__xludf.DUMMYFUNCTION("GOOGLETRANSLATE(F5474,""en"",""pt"")"),"visores janela de vapor multi")</f>
        <v>visores janela de vapor multi</v>
      </c>
      <c r="J5474">
        <f>VLOOKUP(A5474,Pr_Base_LNEC!$A$4:$J$6971,6,FALSE)</f>
        <v>0</v>
      </c>
      <c r="K5474">
        <f>VLOOKUP(A5474,Pr_Base_LNEC!$A$4:$J$6971,7,FALSE)</f>
        <v>0</v>
      </c>
    </row>
    <row r="5475" spans="1:11" ht="14.5">
      <c r="A5475" s="20" t="s">
        <v>27858</v>
      </c>
      <c r="B5475" s="20">
        <v>65</v>
      </c>
      <c r="C5475" s="20">
        <v>52</v>
      </c>
      <c r="D5475" s="20">
        <v>34</v>
      </c>
      <c r="E5475" s="20">
        <v>65</v>
      </c>
      <c r="F5475" s="20" t="s">
        <v>27859</v>
      </c>
      <c r="G5475" s="20" t="s">
        <v>27860</v>
      </c>
      <c r="H5475" s="24"/>
      <c r="I5475" s="24" t="str">
        <f ca="1">IFERROR(__xludf.DUMMYFUNCTION("GOOGLETRANSLATE(F5475,""en"",""pt"")"),"medidores de pressão e altitude")</f>
        <v>medidores de pressão e altitude</v>
      </c>
      <c r="J5475">
        <f>VLOOKUP(A5475,Pr_Base_LNEC!$A$4:$J$6971,6,FALSE)</f>
        <v>0</v>
      </c>
      <c r="K5475">
        <f>VLOOKUP(A5475,Pr_Base_LNEC!$A$4:$J$6971,7,FALSE)</f>
        <v>0</v>
      </c>
    </row>
    <row r="5476" spans="1:11" ht="14.5">
      <c r="A5476" s="20" t="s">
        <v>27861</v>
      </c>
      <c r="B5476" s="20">
        <v>65</v>
      </c>
      <c r="C5476" s="20">
        <v>52</v>
      </c>
      <c r="D5476" s="20">
        <v>34</v>
      </c>
      <c r="E5476" s="20">
        <v>66</v>
      </c>
      <c r="F5476" s="20" t="s">
        <v>27862</v>
      </c>
      <c r="G5476" s="20" t="s">
        <v>27863</v>
      </c>
      <c r="H5476" s="24"/>
      <c r="I5476" s="24" t="str">
        <f ca="1">IFERROR(__xludf.DUMMYFUNCTION("GOOGLETRANSLATE(F5476,""en"",""pt"")"),"Medidores de pressão")</f>
        <v>Medidores de pressão</v>
      </c>
      <c r="J5476">
        <f>VLOOKUP(A5476,Pr_Base_LNEC!$A$4:$J$6971,6,FALSE)</f>
        <v>0</v>
      </c>
      <c r="K5476">
        <f>VLOOKUP(A5476,Pr_Base_LNEC!$A$4:$J$6971,7,FALSE)</f>
        <v>0</v>
      </c>
    </row>
    <row r="5477" spans="1:11" ht="14.5">
      <c r="A5477" s="20" t="s">
        <v>27864</v>
      </c>
      <c r="B5477" s="20">
        <v>65</v>
      </c>
      <c r="C5477" s="20">
        <v>52</v>
      </c>
      <c r="D5477" s="20">
        <v>34</v>
      </c>
      <c r="E5477" s="20">
        <v>77</v>
      </c>
      <c r="F5477" s="20" t="s">
        <v>27865</v>
      </c>
      <c r="G5477" s="20" t="s">
        <v>27866</v>
      </c>
      <c r="H5477" s="24"/>
      <c r="I5477" s="24" t="str">
        <f ca="1">IFERROR(__xludf.DUMMYFUNCTION("GOOGLETRANSLATE(F5477,""en"",""pt"")"),"Janela Única visores vapor")</f>
        <v>Janela Única visores vapor</v>
      </c>
      <c r="J5477">
        <f>VLOOKUP(A5477,Pr_Base_LNEC!$A$4:$J$6971,6,FALSE)</f>
        <v>0</v>
      </c>
      <c r="K5477">
        <f>VLOOKUP(A5477,Pr_Base_LNEC!$A$4:$J$6971,7,FALSE)</f>
        <v>0</v>
      </c>
    </row>
    <row r="5478" spans="1:11" ht="14.5">
      <c r="A5478" s="20" t="s">
        <v>27867</v>
      </c>
      <c r="B5478" s="20">
        <v>65</v>
      </c>
      <c r="C5478" s="20">
        <v>52</v>
      </c>
      <c r="D5478" s="20">
        <v>34</v>
      </c>
      <c r="E5478" s="20">
        <v>88</v>
      </c>
      <c r="F5478" s="20" t="s">
        <v>27868</v>
      </c>
      <c r="G5478" s="20" t="s">
        <v>27869</v>
      </c>
      <c r="H5478" s="24"/>
      <c r="I5478" s="24" t="str">
        <f ca="1">IFERROR(__xludf.DUMMYFUNCTION("GOOGLETRANSLATE(F5478,""en"",""pt"")"),"medidores de temperatura")</f>
        <v>medidores de temperatura</v>
      </c>
      <c r="J5478">
        <f>VLOOKUP(A5478,Pr_Base_LNEC!$A$4:$J$6971,6,FALSE)</f>
        <v>0</v>
      </c>
      <c r="K5478">
        <f>VLOOKUP(A5478,Pr_Base_LNEC!$A$4:$J$6971,7,FALSE)</f>
        <v>0</v>
      </c>
    </row>
    <row r="5479" spans="1:11" ht="14.5">
      <c r="A5479" s="20" t="s">
        <v>27870</v>
      </c>
      <c r="B5479" s="20">
        <v>65</v>
      </c>
      <c r="C5479" s="20">
        <v>52</v>
      </c>
      <c r="D5479" s="20">
        <v>38</v>
      </c>
      <c r="E5479" s="24"/>
      <c r="F5479" s="20" t="s">
        <v>27871</v>
      </c>
      <c r="G5479" s="24"/>
      <c r="H5479" s="24"/>
      <c r="I5479" s="24" t="str">
        <f ca="1">IFERROR(__xludf.DUMMYFUNCTION("GOOGLETRANSLATE(F5479,""en"",""pt"")"),"Mangueiras, mangueiras e auxiliares")</f>
        <v>Mangueiras, mangueiras e auxiliares</v>
      </c>
      <c r="J5479">
        <f>VLOOKUP(A5479,Pr_Base_LNEC!$A$4:$J$6971,6,FALSE)</f>
        <v>0</v>
      </c>
      <c r="K5479">
        <f>VLOOKUP(A5479,Pr_Base_LNEC!$A$4:$J$6971,7,FALSE)</f>
        <v>0</v>
      </c>
    </row>
    <row r="5480" spans="1:11" ht="14.5">
      <c r="A5480" s="20" t="s">
        <v>27872</v>
      </c>
      <c r="B5480" s="20">
        <v>65</v>
      </c>
      <c r="C5480" s="20">
        <v>52</v>
      </c>
      <c r="D5480" s="20">
        <v>38</v>
      </c>
      <c r="E5480" s="20">
        <v>14</v>
      </c>
      <c r="F5480" s="20" t="s">
        <v>27873</v>
      </c>
      <c r="G5480" s="20" t="s">
        <v>27874</v>
      </c>
      <c r="H5480" s="24"/>
      <c r="I5480" s="24" t="str">
        <f ca="1">IFERROR(__xludf.DUMMYFUNCTION("GOOGLETRANSLATE(F5480,""en"",""pt"")"),"mangueiras de ar comprimido bobina")</f>
        <v>mangueiras de ar comprimido bobina</v>
      </c>
      <c r="J5480">
        <f>VLOOKUP(A5480,Pr_Base_LNEC!$A$4:$J$6971,6,FALSE)</f>
        <v>0</v>
      </c>
      <c r="K5480">
        <f>VLOOKUP(A5480,Pr_Base_LNEC!$A$4:$J$6971,7,FALSE)</f>
        <v>0</v>
      </c>
    </row>
    <row r="5481" spans="1:11" ht="14.5">
      <c r="A5481" s="20" t="s">
        <v>27875</v>
      </c>
      <c r="B5481" s="20">
        <v>65</v>
      </c>
      <c r="C5481" s="20">
        <v>52</v>
      </c>
      <c r="D5481" s="20">
        <v>38</v>
      </c>
      <c r="E5481" s="20">
        <v>15</v>
      </c>
      <c r="F5481" s="20" t="s">
        <v>27876</v>
      </c>
      <c r="G5481" s="20" t="s">
        <v>27877</v>
      </c>
      <c r="H5481" s="24"/>
      <c r="I5481" s="24" t="str">
        <f ca="1">IFERROR(__xludf.DUMMYFUNCTION("GOOGLETRANSLATE(F5481,""en"",""pt"")"),"mangueiras de ar comprimido")</f>
        <v>mangueiras de ar comprimido</v>
      </c>
      <c r="J5481">
        <f>VLOOKUP(A5481,Pr_Base_LNEC!$A$4:$J$6971,6,FALSE)</f>
        <v>0</v>
      </c>
      <c r="K5481">
        <f>VLOOKUP(A5481,Pr_Base_LNEC!$A$4:$J$6971,7,FALSE)</f>
        <v>0</v>
      </c>
    </row>
    <row r="5482" spans="1:11" ht="14.5">
      <c r="A5482" s="20" t="s">
        <v>27878</v>
      </c>
      <c r="B5482" s="20">
        <v>65</v>
      </c>
      <c r="C5482" s="20">
        <v>52</v>
      </c>
      <c r="D5482" s="20">
        <v>38</v>
      </c>
      <c r="E5482" s="20">
        <v>16</v>
      </c>
      <c r="F5482" s="20" t="s">
        <v>27879</v>
      </c>
      <c r="G5482" s="20" t="s">
        <v>27880</v>
      </c>
      <c r="H5482" s="24"/>
      <c r="I5482" s="24" t="str">
        <f ca="1">IFERROR(__xludf.DUMMYFUNCTION("GOOGLETRANSLATE(F5482,""en"",""pt"")"),"balanceadores de carretel da mangueira de ar comprimido")</f>
        <v>balanceadores de carretel da mangueira de ar comprimido</v>
      </c>
      <c r="J5482">
        <f>VLOOKUP(A5482,Pr_Base_LNEC!$A$4:$J$6971,6,FALSE)</f>
        <v>0</v>
      </c>
      <c r="K5482">
        <f>VLOOKUP(A5482,Pr_Base_LNEC!$A$4:$J$6971,7,FALSE)</f>
        <v>0</v>
      </c>
    </row>
    <row r="5483" spans="1:11" ht="14.5">
      <c r="A5483" s="20" t="s">
        <v>27881</v>
      </c>
      <c r="B5483" s="20">
        <v>65</v>
      </c>
      <c r="C5483" s="20">
        <v>52</v>
      </c>
      <c r="D5483" s="20">
        <v>38</v>
      </c>
      <c r="E5483" s="20">
        <v>18</v>
      </c>
      <c r="F5483" s="20" t="s">
        <v>27882</v>
      </c>
      <c r="G5483" s="20" t="s">
        <v>27883</v>
      </c>
      <c r="H5483" s="24"/>
      <c r="I5483" s="24" t="str">
        <f ca="1">IFERROR(__xludf.DUMMYFUNCTION("GOOGLETRANSLATE(F5483,""en"",""pt"")"),"As mangueiras de ar comprimido")</f>
        <v>As mangueiras de ar comprimido</v>
      </c>
      <c r="J5483">
        <f>VLOOKUP(A5483,Pr_Base_LNEC!$A$4:$J$6971,6,FALSE)</f>
        <v>0</v>
      </c>
      <c r="K5483">
        <f>VLOOKUP(A5483,Pr_Base_LNEC!$A$4:$J$6971,7,FALSE)</f>
        <v>0</v>
      </c>
    </row>
    <row r="5484" spans="1:11" ht="14.5">
      <c r="A5484" s="20" t="s">
        <v>27884</v>
      </c>
      <c r="B5484" s="20">
        <v>65</v>
      </c>
      <c r="C5484" s="20">
        <v>52</v>
      </c>
      <c r="D5484" s="20">
        <v>38</v>
      </c>
      <c r="E5484" s="20">
        <v>20</v>
      </c>
      <c r="F5484" s="20" t="s">
        <v>27885</v>
      </c>
      <c r="G5484" s="20" t="s">
        <v>27886</v>
      </c>
      <c r="H5484" s="24"/>
      <c r="I5484" s="24" t="str">
        <f ca="1">IFERROR(__xludf.DUMMYFUNCTION("GOOGLETRANSLATE(F5484,""en"",""pt"")"),"mangueiras de escape do veículo crushproof")</f>
        <v>mangueiras de escape do veículo crushproof</v>
      </c>
      <c r="J5484">
        <f>VLOOKUP(A5484,Pr_Base_LNEC!$A$4:$J$6971,6,FALSE)</f>
        <v>0</v>
      </c>
      <c r="K5484">
        <f>VLOOKUP(A5484,Pr_Base_LNEC!$A$4:$J$6971,7,FALSE)</f>
        <v>0</v>
      </c>
    </row>
    <row r="5485" spans="1:11" ht="14.5">
      <c r="A5485" s="20" t="s">
        <v>27887</v>
      </c>
      <c r="B5485" s="20">
        <v>65</v>
      </c>
      <c r="C5485" s="20">
        <v>52</v>
      </c>
      <c r="D5485" s="20">
        <v>38</v>
      </c>
      <c r="E5485" s="20">
        <v>30</v>
      </c>
      <c r="F5485" s="20" t="s">
        <v>27888</v>
      </c>
      <c r="G5485" s="20" t="s">
        <v>27889</v>
      </c>
      <c r="H5485" s="24"/>
      <c r="I5485" s="24" t="str">
        <f ca="1">IFERROR(__xludf.DUMMYFUNCTION("GOOGLETRANSLATE(F5485,""en"",""pt"")"),"As mangueiras de incêndio")</f>
        <v>As mangueiras de incêndio</v>
      </c>
      <c r="J5485">
        <f>VLOOKUP(A5485,Pr_Base_LNEC!$A$4:$J$6971,6,FALSE)</f>
        <v>0</v>
      </c>
      <c r="K5485">
        <f>VLOOKUP(A5485,Pr_Base_LNEC!$A$4:$J$6971,7,FALSE)</f>
        <v>0</v>
      </c>
    </row>
    <row r="5486" spans="1:11" ht="14.5">
      <c r="A5486" s="20" t="s">
        <v>27890</v>
      </c>
      <c r="B5486" s="20">
        <v>65</v>
      </c>
      <c r="C5486" s="20">
        <v>52</v>
      </c>
      <c r="D5486" s="20">
        <v>38</v>
      </c>
      <c r="E5486" s="20">
        <v>31</v>
      </c>
      <c r="F5486" s="20" t="s">
        <v>27891</v>
      </c>
      <c r="G5486" s="20" t="s">
        <v>27892</v>
      </c>
      <c r="H5486" s="24"/>
      <c r="I5486" s="24" t="str">
        <f ca="1">IFERROR(__xludf.DUMMYFUNCTION("GOOGLETRANSLATE(F5486,""en"",""pt"")"),"mangueiras de irrigação planas")</f>
        <v>mangueiras de irrigação planas</v>
      </c>
      <c r="J5486">
        <f>VLOOKUP(A5486,Pr_Base_LNEC!$A$4:$J$6971,6,FALSE)</f>
        <v>0</v>
      </c>
      <c r="K5486">
        <f>VLOOKUP(A5486,Pr_Base_LNEC!$A$4:$J$6971,7,FALSE)</f>
        <v>0</v>
      </c>
    </row>
    <row r="5487" spans="1:11" ht="14.5">
      <c r="A5487" s="20" t="s">
        <v>27893</v>
      </c>
      <c r="B5487" s="20">
        <v>65</v>
      </c>
      <c r="C5487" s="20">
        <v>52</v>
      </c>
      <c r="D5487" s="20">
        <v>38</v>
      </c>
      <c r="E5487" s="20">
        <v>32</v>
      </c>
      <c r="F5487" s="20" t="s">
        <v>27894</v>
      </c>
      <c r="G5487" s="20" t="s">
        <v>27895</v>
      </c>
      <c r="H5487" s="24"/>
      <c r="I5487" s="24" t="str">
        <f ca="1">IFERROR(__xludf.DUMMYFUNCTION("GOOGLETRANSLATE(F5487,""en"",""pt"")"),"mangueiras de espuma")</f>
        <v>mangueiras de espuma</v>
      </c>
      <c r="J5487">
        <f>VLOOKUP(A5487,Pr_Base_LNEC!$A$4:$J$6971,6,FALSE)</f>
        <v>0</v>
      </c>
      <c r="K5487">
        <f>VLOOKUP(A5487,Pr_Base_LNEC!$A$4:$J$6971,7,FALSE)</f>
        <v>0</v>
      </c>
    </row>
    <row r="5488" spans="1:11" ht="14.5">
      <c r="A5488" s="20" t="s">
        <v>27896</v>
      </c>
      <c r="B5488" s="20">
        <v>65</v>
      </c>
      <c r="C5488" s="20">
        <v>52</v>
      </c>
      <c r="D5488" s="20">
        <v>38</v>
      </c>
      <c r="E5488" s="20">
        <v>33</v>
      </c>
      <c r="F5488" s="20" t="s">
        <v>27897</v>
      </c>
      <c r="G5488" s="20" t="s">
        <v>27898</v>
      </c>
      <c r="H5488" s="24"/>
      <c r="I5488" s="24" t="str">
        <f ca="1">IFERROR(__xludf.DUMMYFUNCTION("GOOGLETRANSLATE(F5488,""en"",""pt"")"),"As mangueiras de gás")</f>
        <v>As mangueiras de gás</v>
      </c>
      <c r="J5488">
        <f>VLOOKUP(A5488,Pr_Base_LNEC!$A$4:$J$6971,6,FALSE)</f>
        <v>0</v>
      </c>
      <c r="K5488">
        <f>VLOOKUP(A5488,Pr_Base_LNEC!$A$4:$J$6971,7,FALSE)</f>
        <v>0</v>
      </c>
    </row>
    <row r="5489" spans="1:11" ht="14.5">
      <c r="A5489" s="20" t="s">
        <v>27899</v>
      </c>
      <c r="B5489" s="20">
        <v>65</v>
      </c>
      <c r="C5489" s="20">
        <v>52</v>
      </c>
      <c r="D5489" s="20">
        <v>38</v>
      </c>
      <c r="E5489" s="20">
        <v>42</v>
      </c>
      <c r="F5489" s="20" t="s">
        <v>27900</v>
      </c>
      <c r="G5489" s="20" t="s">
        <v>27901</v>
      </c>
      <c r="H5489" s="24"/>
      <c r="I5489" s="24" t="str">
        <f ca="1">IFERROR(__xludf.DUMMYFUNCTION("GOOGLETRANSLATE(F5489,""en"",""pt"")"),"irrigação mangueiras")</f>
        <v>irrigação mangueiras</v>
      </c>
      <c r="J5489">
        <f>VLOOKUP(A5489,Pr_Base_LNEC!$A$4:$J$6971,6,FALSE)</f>
        <v>0</v>
      </c>
      <c r="K5489">
        <f>VLOOKUP(A5489,Pr_Base_LNEC!$A$4:$J$6971,7,FALSE)</f>
        <v>0</v>
      </c>
    </row>
    <row r="5490" spans="1:11" ht="14.5">
      <c r="A5490" s="20" t="s">
        <v>27902</v>
      </c>
      <c r="B5490" s="20">
        <v>65</v>
      </c>
      <c r="C5490" s="20">
        <v>52</v>
      </c>
      <c r="D5490" s="20">
        <v>38</v>
      </c>
      <c r="E5490" s="20">
        <v>48</v>
      </c>
      <c r="F5490" s="20" t="s">
        <v>27903</v>
      </c>
      <c r="G5490" s="20" t="s">
        <v>27904</v>
      </c>
      <c r="H5490" s="24"/>
      <c r="I5490" s="24" t="str">
        <f ca="1">IFERROR(__xludf.DUMMYFUNCTION("GOOGLETRANSLATE(F5490,""en"",""pt"")"),"gás de petróleo liquefeito (GPL) mangueiras de borracha e mangueiras")</f>
        <v>gás de petróleo liquefeito (GPL) mangueiras de borracha e mangueiras</v>
      </c>
      <c r="J5490">
        <f>VLOOKUP(A5490,Pr_Base_LNEC!$A$4:$J$6971,6,FALSE)</f>
        <v>0</v>
      </c>
      <c r="K5490">
        <f>VLOOKUP(A5490,Pr_Base_LNEC!$A$4:$J$6971,7,FALSE)</f>
        <v>0</v>
      </c>
    </row>
    <row r="5491" spans="1:11" ht="14.5">
      <c r="A5491" s="20" t="s">
        <v>27905</v>
      </c>
      <c r="B5491" s="20">
        <v>65</v>
      </c>
      <c r="C5491" s="20">
        <v>52</v>
      </c>
      <c r="D5491" s="20">
        <v>38</v>
      </c>
      <c r="E5491" s="20">
        <v>69</v>
      </c>
      <c r="F5491" s="20" t="s">
        <v>27906</v>
      </c>
      <c r="G5491" s="24"/>
      <c r="H5491" s="24"/>
      <c r="I5491" s="24" t="str">
        <f ca="1">IFERROR(__xludf.DUMMYFUNCTION("GOOGLETRANSLATE(F5491,""en"",""pt"")"),"acoplamentos de liberação rápida")</f>
        <v>acoplamentos de liberação rápida</v>
      </c>
      <c r="J5491">
        <f>VLOOKUP(A5491,Pr_Base_LNEC!$A$4:$J$6971,6,FALSE)</f>
        <v>0</v>
      </c>
      <c r="K5491">
        <f>VLOOKUP(A5491,Pr_Base_LNEC!$A$4:$J$6971,7,FALSE)</f>
        <v>0</v>
      </c>
    </row>
    <row r="5492" spans="1:11" ht="14.5">
      <c r="A5492" s="20" t="s">
        <v>27907</v>
      </c>
      <c r="B5492" s="20">
        <v>65</v>
      </c>
      <c r="C5492" s="20">
        <v>52</v>
      </c>
      <c r="D5492" s="20">
        <v>38</v>
      </c>
      <c r="E5492" s="20">
        <v>71</v>
      </c>
      <c r="F5492" s="20" t="s">
        <v>27908</v>
      </c>
      <c r="G5492" s="24"/>
      <c r="H5492" s="24"/>
      <c r="I5492" s="24" t="str">
        <f ca="1">IFERROR(__xludf.DUMMYFUNCTION("GOOGLETRANSLATE(F5492,""en"",""pt"")"),"mangueiras de parede reforçados")</f>
        <v>mangueiras de parede reforçados</v>
      </c>
      <c r="J5492" t="e">
        <f>VLOOKUP(A5492,Pr_Base_LNEC!$A$4:$J$6971,6,FALSE)</f>
        <v>#N/A</v>
      </c>
      <c r="K5492" t="e">
        <f>VLOOKUP(A5492,Pr_Base_LNEC!$A$4:$J$6971,7,FALSE)</f>
        <v>#N/A</v>
      </c>
    </row>
    <row r="5493" spans="1:11" ht="14.5">
      <c r="A5493" s="20" t="s">
        <v>27909</v>
      </c>
      <c r="B5493" s="20">
        <v>65</v>
      </c>
      <c r="C5493" s="20">
        <v>52</v>
      </c>
      <c r="D5493" s="20">
        <v>38</v>
      </c>
      <c r="E5493" s="20">
        <v>84</v>
      </c>
      <c r="F5493" s="20" t="s">
        <v>27910</v>
      </c>
      <c r="G5493" s="20" t="s">
        <v>27911</v>
      </c>
      <c r="H5493" s="24"/>
      <c r="I5493" s="24" t="str">
        <f ca="1">IFERROR(__xludf.DUMMYFUNCTION("GOOGLETRANSLATE(F5493,""en"",""pt"")"),"mangueiras de ar comprimido em espiral")</f>
        <v>mangueiras de ar comprimido em espiral</v>
      </c>
      <c r="J5493">
        <f>VLOOKUP(A5493,Pr_Base_LNEC!$A$4:$J$6971,6,FALSE)</f>
        <v>0</v>
      </c>
      <c r="K5493">
        <f>VLOOKUP(A5493,Pr_Base_LNEC!$A$4:$J$6971,7,FALSE)</f>
        <v>0</v>
      </c>
    </row>
    <row r="5494" spans="1:11" ht="14.5">
      <c r="A5494" s="20" t="s">
        <v>27912</v>
      </c>
      <c r="B5494" s="20">
        <v>65</v>
      </c>
      <c r="C5494" s="20">
        <v>52</v>
      </c>
      <c r="D5494" s="20">
        <v>38</v>
      </c>
      <c r="E5494" s="20">
        <v>85</v>
      </c>
      <c r="F5494" s="20" t="s">
        <v>27913</v>
      </c>
      <c r="G5494" s="24"/>
      <c r="H5494" s="24"/>
      <c r="I5494" s="24" t="str">
        <f ca="1">IFERROR(__xludf.DUMMYFUNCTION("GOOGLETRANSLATE(F5494,""en"",""pt"")"),"mangueiras de plástico em espiral")</f>
        <v>mangueiras de plástico em espiral</v>
      </c>
      <c r="J5494">
        <f>VLOOKUP(A5494,Pr_Base_LNEC!$A$4:$J$6971,6,FALSE)</f>
        <v>0</v>
      </c>
      <c r="K5494">
        <f>VLOOKUP(A5494,Pr_Base_LNEC!$A$4:$J$6971,7,FALSE)</f>
        <v>0</v>
      </c>
    </row>
    <row r="5495" spans="1:11" ht="14.5">
      <c r="A5495" s="20" t="s">
        <v>27914</v>
      </c>
      <c r="B5495" s="20">
        <v>65</v>
      </c>
      <c r="C5495" s="20">
        <v>52</v>
      </c>
      <c r="D5495" s="20">
        <v>38</v>
      </c>
      <c r="E5495" s="20">
        <v>86</v>
      </c>
      <c r="F5495" s="20" t="s">
        <v>27915</v>
      </c>
      <c r="G5495" s="20" t="s">
        <v>27916</v>
      </c>
      <c r="H5495" s="24"/>
      <c r="I5495" s="24" t="str">
        <f ca="1">IFERROR(__xludf.DUMMYFUNCTION("GOOGLETRANSLATE(F5495,""en"",""pt"")"),"balanceador mola suportes de mangueira de exaustão de veículos")</f>
        <v>balanceador mola suportes de mangueira de exaustão de veículos</v>
      </c>
      <c r="J5495">
        <f>VLOOKUP(A5495,Pr_Base_LNEC!$A$4:$J$6971,6,FALSE)</f>
        <v>0</v>
      </c>
      <c r="K5495">
        <f>VLOOKUP(A5495,Pr_Base_LNEC!$A$4:$J$6971,7,FALSE)</f>
        <v>0</v>
      </c>
    </row>
    <row r="5496" spans="1:11" ht="14.5">
      <c r="A5496" s="20" t="s">
        <v>27917</v>
      </c>
      <c r="B5496" s="20">
        <v>65</v>
      </c>
      <c r="C5496" s="20">
        <v>52</v>
      </c>
      <c r="D5496" s="20">
        <v>38</v>
      </c>
      <c r="E5496" s="20">
        <v>94</v>
      </c>
      <c r="F5496" s="20" t="s">
        <v>27918</v>
      </c>
      <c r="G5496" s="20" t="s">
        <v>27919</v>
      </c>
      <c r="H5496" s="24"/>
      <c r="I5496" s="24" t="str">
        <f ca="1">IFERROR(__xludf.DUMMYFUNCTION("GOOGLETRANSLATE(F5496,""en"",""pt"")"),"As mangueiras de escape do veículo")</f>
        <v>As mangueiras de escape do veículo</v>
      </c>
      <c r="J5496">
        <f>VLOOKUP(A5496,Pr_Base_LNEC!$A$4:$J$6971,6,FALSE)</f>
        <v>0</v>
      </c>
      <c r="K5496">
        <f>VLOOKUP(A5496,Pr_Base_LNEC!$A$4:$J$6971,7,FALSE)</f>
        <v>0</v>
      </c>
    </row>
    <row r="5497" spans="1:11" ht="14.5">
      <c r="A5497" s="20" t="s">
        <v>27920</v>
      </c>
      <c r="B5497" s="20">
        <v>65</v>
      </c>
      <c r="C5497" s="20">
        <v>52</v>
      </c>
      <c r="D5497" s="20">
        <v>38</v>
      </c>
      <c r="E5497" s="20">
        <v>95</v>
      </c>
      <c r="F5497" s="20" t="s">
        <v>27921</v>
      </c>
      <c r="G5497" s="24"/>
      <c r="H5497" s="24"/>
      <c r="I5497" s="24" t="str">
        <f ca="1">IFERROR(__xludf.DUMMYFUNCTION("GOOGLETRANSLATE(F5497,""en"",""pt"")"),"As mangueiras de água")</f>
        <v>As mangueiras de água</v>
      </c>
      <c r="J5497">
        <f>VLOOKUP(A5497,Pr_Base_LNEC!$A$4:$J$6971,6,FALSE)</f>
        <v>0</v>
      </c>
      <c r="K5497">
        <f>VLOOKUP(A5497,Pr_Base_LNEC!$A$4:$J$6971,7,FALSE)</f>
        <v>0</v>
      </c>
    </row>
    <row r="5498" spans="1:11" ht="14.5">
      <c r="A5498" s="20" t="s">
        <v>27922</v>
      </c>
      <c r="B5498" s="20">
        <v>65</v>
      </c>
      <c r="C5498" s="20">
        <v>52</v>
      </c>
      <c r="D5498" s="20">
        <v>38</v>
      </c>
      <c r="E5498" s="20">
        <v>96</v>
      </c>
      <c r="F5498" s="20" t="s">
        <v>27923</v>
      </c>
      <c r="G5498" s="24"/>
      <c r="H5498" s="24"/>
      <c r="I5498" s="24" t="str">
        <f ca="1">IFERROR(__xludf.DUMMYFUNCTION("GOOGLETRANSLATE(F5498,""en"",""pt"")"),"mangueiras de água")</f>
        <v>mangueiras de água</v>
      </c>
      <c r="J5498">
        <f>VLOOKUP(A5498,Pr_Base_LNEC!$A$4:$J$6971,6,FALSE)</f>
        <v>0</v>
      </c>
      <c r="K5498">
        <f>VLOOKUP(A5498,Pr_Base_LNEC!$A$4:$J$6971,7,FALSE)</f>
        <v>0</v>
      </c>
    </row>
    <row r="5499" spans="1:11" ht="14.5">
      <c r="A5499" s="20" t="s">
        <v>27924</v>
      </c>
      <c r="B5499" s="20">
        <v>65</v>
      </c>
      <c r="C5499" s="20">
        <v>52</v>
      </c>
      <c r="D5499" s="20">
        <v>38</v>
      </c>
      <c r="E5499" s="20">
        <v>97</v>
      </c>
      <c r="F5499" s="20" t="s">
        <v>27925</v>
      </c>
      <c r="G5499" s="20" t="s">
        <v>27926</v>
      </c>
      <c r="H5499" s="24"/>
      <c r="I5499" s="24" t="str">
        <f ca="1">IFERROR(__xludf.DUMMYFUNCTION("GOOGLETRANSLATE(F5499,""en"",""pt"")"),"água de extinção mangueiras")</f>
        <v>água de extinção mangueiras</v>
      </c>
      <c r="J5499">
        <f>VLOOKUP(A5499,Pr_Base_LNEC!$A$4:$J$6971,6,FALSE)</f>
        <v>0</v>
      </c>
      <c r="K5499">
        <f>VLOOKUP(A5499,Pr_Base_LNEC!$A$4:$J$6971,7,FALSE)</f>
        <v>0</v>
      </c>
    </row>
    <row r="5500" spans="1:11" ht="14.5">
      <c r="A5500" s="20" t="s">
        <v>27927</v>
      </c>
      <c r="B5500" s="20">
        <v>65</v>
      </c>
      <c r="C5500" s="20">
        <v>52</v>
      </c>
      <c r="D5500" s="20">
        <v>38</v>
      </c>
      <c r="E5500" s="20">
        <v>98</v>
      </c>
      <c r="F5500" s="20" t="s">
        <v>27928</v>
      </c>
      <c r="G5500" s="20" t="s">
        <v>27929</v>
      </c>
      <c r="H5500" s="24"/>
      <c r="I5500" s="24" t="str">
        <f ca="1">IFERROR(__xludf.DUMMYFUNCTION("GOOGLETRANSLATE(F5500,""en"",""pt"")"),"mangueiras de jato de líquido WC")</f>
        <v>mangueiras de jato de líquido WC</v>
      </c>
      <c r="J5500">
        <f>VLOOKUP(A5500,Pr_Base_LNEC!$A$4:$J$6971,6,FALSE)</f>
        <v>0</v>
      </c>
      <c r="K5500">
        <f>VLOOKUP(A5500,Pr_Base_LNEC!$A$4:$J$6971,7,FALSE)</f>
        <v>0</v>
      </c>
    </row>
    <row r="5501" spans="1:11" ht="14.5">
      <c r="A5501" s="20" t="s">
        <v>27930</v>
      </c>
      <c r="B5501" s="20">
        <v>65</v>
      </c>
      <c r="C5501" s="20">
        <v>52</v>
      </c>
      <c r="D5501" s="20">
        <v>61</v>
      </c>
      <c r="E5501" s="24"/>
      <c r="F5501" s="20" t="s">
        <v>27931</v>
      </c>
      <c r="G5501" s="24"/>
      <c r="H5501" s="24"/>
      <c r="I5501" s="24" t="str">
        <f ca="1">IFERROR(__xludf.DUMMYFUNCTION("GOOGLETRANSLATE(F5501,""en"",""pt"")"),"acessórios para tubos")</f>
        <v>acessórios para tubos</v>
      </c>
      <c r="J5501">
        <f>VLOOKUP(A5501,Pr_Base_LNEC!$A$4:$J$6971,6,FALSE)</f>
        <v>0</v>
      </c>
      <c r="K5501">
        <f>VLOOKUP(A5501,Pr_Base_LNEC!$A$4:$J$6971,7,FALSE)</f>
        <v>0</v>
      </c>
    </row>
    <row r="5502" spans="1:11" ht="14.5">
      <c r="A5502" s="20" t="s">
        <v>27932</v>
      </c>
      <c r="B5502" s="20">
        <v>65</v>
      </c>
      <c r="C5502" s="20">
        <v>52</v>
      </c>
      <c r="D5502" s="20">
        <v>61</v>
      </c>
      <c r="E5502" s="20">
        <v>4</v>
      </c>
      <c r="F5502" s="20" t="s">
        <v>27933</v>
      </c>
      <c r="G5502" s="20" t="s">
        <v>27934</v>
      </c>
      <c r="H5502" s="24"/>
      <c r="I5502" s="24" t="str">
        <f ca="1">IFERROR(__xludf.DUMMYFUNCTION("GOOGLETRANSLATE(F5502,""en"",""pt"")"),"tampas de tubos anti-climb")</f>
        <v>tampas de tubos anti-climb</v>
      </c>
      <c r="J5502">
        <f>VLOOKUP(A5502,Pr_Base_LNEC!$A$4:$J$6971,6,FALSE)</f>
        <v>0</v>
      </c>
      <c r="K5502">
        <f>VLOOKUP(A5502,Pr_Base_LNEC!$A$4:$J$6971,7,FALSE)</f>
        <v>0</v>
      </c>
    </row>
    <row r="5503" spans="1:11" ht="14.5">
      <c r="A5503" s="20" t="s">
        <v>27935</v>
      </c>
      <c r="B5503" s="20">
        <v>65</v>
      </c>
      <c r="C5503" s="20">
        <v>52</v>
      </c>
      <c r="D5503" s="20">
        <v>61</v>
      </c>
      <c r="E5503" s="20">
        <v>15</v>
      </c>
      <c r="F5503" s="20" t="s">
        <v>27936</v>
      </c>
      <c r="G5503" s="20" t="s">
        <v>27937</v>
      </c>
      <c r="H5503" s="24"/>
      <c r="I5503" s="24" t="str">
        <f ca="1">IFERROR(__xludf.DUMMYFUNCTION("GOOGLETRANSLATE(F5503,""en"",""pt"")"),"Escondidas coleiras tubos intumescentes")</f>
        <v>Escondidas coleiras tubos intumescentes</v>
      </c>
      <c r="J5503">
        <f>VLOOKUP(A5503,Pr_Base_LNEC!$A$4:$J$6971,6,FALSE)</f>
        <v>0</v>
      </c>
      <c r="K5503">
        <f>VLOOKUP(A5503,Pr_Base_LNEC!$A$4:$J$6971,7,FALSE)</f>
        <v>0</v>
      </c>
    </row>
    <row r="5504" spans="1:11" ht="14.5">
      <c r="A5504" s="20" t="s">
        <v>27938</v>
      </c>
      <c r="B5504" s="20">
        <v>65</v>
      </c>
      <c r="C5504" s="20">
        <v>52</v>
      </c>
      <c r="D5504" s="20">
        <v>61</v>
      </c>
      <c r="E5504" s="20">
        <v>22</v>
      </c>
      <c r="F5504" s="20" t="s">
        <v>27939</v>
      </c>
      <c r="G5504" s="24"/>
      <c r="H5504" s="24"/>
      <c r="I5504" s="24" t="str">
        <f ca="1">IFERROR(__xludf.DUMMYFUNCTION("GOOGLETRANSLATE(F5504,""en"",""pt"")"),"bolsos sujeira")</f>
        <v>bolsos sujeira</v>
      </c>
      <c r="J5504">
        <f>VLOOKUP(A5504,Pr_Base_LNEC!$A$4:$J$6971,6,FALSE)</f>
        <v>0</v>
      </c>
      <c r="K5504">
        <f>VLOOKUP(A5504,Pr_Base_LNEC!$A$4:$J$6971,7,FALSE)</f>
        <v>0</v>
      </c>
    </row>
    <row r="5505" spans="1:11" ht="14.5">
      <c r="A5505" s="20" t="s">
        <v>27940</v>
      </c>
      <c r="B5505" s="20">
        <v>65</v>
      </c>
      <c r="C5505" s="20">
        <v>52</v>
      </c>
      <c r="D5505" s="20">
        <v>61</v>
      </c>
      <c r="E5505" s="20">
        <v>23</v>
      </c>
      <c r="F5505" s="20" t="s">
        <v>27941</v>
      </c>
      <c r="G5505" s="20" t="s">
        <v>27942</v>
      </c>
      <c r="H5505" s="24"/>
      <c r="I5505" s="24" t="str">
        <f ca="1">IFERROR(__xludf.DUMMYFUNCTION("GOOGLETRANSLATE(F5505,""en"",""pt"")"),"Descarga e de ventilação terminações pilha")</f>
        <v>Descarga e de ventilação terminações pilha</v>
      </c>
      <c r="J5505">
        <f>VLOOKUP(A5505,Pr_Base_LNEC!$A$4:$J$6971,6,FALSE)</f>
        <v>0</v>
      </c>
      <c r="K5505">
        <f>VLOOKUP(A5505,Pr_Base_LNEC!$A$4:$J$6971,7,FALSE)</f>
        <v>0</v>
      </c>
    </row>
    <row r="5506" spans="1:11" ht="14.5">
      <c r="A5506" s="20" t="s">
        <v>27943</v>
      </c>
      <c r="B5506" s="20">
        <v>65</v>
      </c>
      <c r="C5506" s="20">
        <v>52</v>
      </c>
      <c r="D5506" s="20">
        <v>61</v>
      </c>
      <c r="E5506" s="20">
        <v>42</v>
      </c>
      <c r="F5506" s="20" t="s">
        <v>27944</v>
      </c>
      <c r="G5506" s="24"/>
      <c r="H5506" s="24"/>
      <c r="I5506" s="24" t="str">
        <f ca="1">IFERROR(__xludf.DUMMYFUNCTION("GOOGLETRANSLATE(F5506,""en"",""pt"")"),"colares de tubo envoltório isolada")</f>
        <v>colares de tubo envoltório isolada</v>
      </c>
      <c r="J5506">
        <f>VLOOKUP(A5506,Pr_Base_LNEC!$A$4:$J$6971,6,FALSE)</f>
        <v>0</v>
      </c>
      <c r="K5506">
        <f>VLOOKUP(A5506,Pr_Base_LNEC!$A$4:$J$6971,7,FALSE)</f>
        <v>0</v>
      </c>
    </row>
    <row r="5507" spans="1:11" ht="14.5">
      <c r="A5507" s="20" t="s">
        <v>27945</v>
      </c>
      <c r="B5507" s="20">
        <v>65</v>
      </c>
      <c r="C5507" s="20">
        <v>52</v>
      </c>
      <c r="D5507" s="20">
        <v>61</v>
      </c>
      <c r="E5507" s="20">
        <v>50</v>
      </c>
      <c r="F5507" s="20" t="s">
        <v>27946</v>
      </c>
      <c r="G5507" s="20" t="s">
        <v>27947</v>
      </c>
      <c r="H5507" s="24"/>
      <c r="I5507" s="24" t="str">
        <f ca="1">IFERROR(__xludf.DUMMYFUNCTION("GOOGLETRANSLATE(F5507,""en"",""pt"")"),"mascaramento placas")</f>
        <v>mascaramento placas</v>
      </c>
      <c r="J5507">
        <f>VLOOKUP(A5507,Pr_Base_LNEC!$A$4:$J$6971,6,FALSE)</f>
        <v>0</v>
      </c>
      <c r="K5507">
        <f>VLOOKUP(A5507,Pr_Base_LNEC!$A$4:$J$6971,7,FALSE)</f>
        <v>0</v>
      </c>
    </row>
    <row r="5508" spans="1:11" ht="14.5">
      <c r="A5508" s="20" t="s">
        <v>27948</v>
      </c>
      <c r="B5508" s="20">
        <v>65</v>
      </c>
      <c r="C5508" s="20">
        <v>52</v>
      </c>
      <c r="D5508" s="20">
        <v>61</v>
      </c>
      <c r="E5508" s="20">
        <v>61</v>
      </c>
      <c r="F5508" s="20" t="s">
        <v>27949</v>
      </c>
      <c r="G5508" s="20" t="s">
        <v>27950</v>
      </c>
      <c r="H5508" s="24"/>
      <c r="I5508" s="24" t="str">
        <f ca="1">IFERROR(__xludf.DUMMYFUNCTION("GOOGLETRANSLATE(F5508,""en"",""pt"")"),"condutas de tubos")</f>
        <v>condutas de tubos</v>
      </c>
      <c r="J5508">
        <f>VLOOKUP(A5508,Pr_Base_LNEC!$A$4:$J$6971,6,FALSE)</f>
        <v>0</v>
      </c>
      <c r="K5508">
        <f>VLOOKUP(A5508,Pr_Base_LNEC!$A$4:$J$6971,7,FALSE)</f>
        <v>0</v>
      </c>
    </row>
    <row r="5509" spans="1:11" ht="14.5">
      <c r="A5509" s="20" t="s">
        <v>27951</v>
      </c>
      <c r="B5509" s="20">
        <v>65</v>
      </c>
      <c r="C5509" s="20">
        <v>52</v>
      </c>
      <c r="D5509" s="20">
        <v>61</v>
      </c>
      <c r="E5509" s="20">
        <v>62</v>
      </c>
      <c r="F5509" s="20" t="s">
        <v>27952</v>
      </c>
      <c r="G5509" s="20" t="s">
        <v>27953</v>
      </c>
      <c r="H5509" s="24"/>
      <c r="I5509" s="24" t="str">
        <f ca="1">IFERROR(__xludf.DUMMYFUNCTION("GOOGLETRANSLATE(F5509,""en"",""pt"")"),"suportes Pipeline")</f>
        <v>suportes Pipeline</v>
      </c>
      <c r="J5509">
        <f>VLOOKUP(A5509,Pr_Base_LNEC!$A$4:$J$6971,6,FALSE)</f>
        <v>0</v>
      </c>
      <c r="K5509">
        <f>VLOOKUP(A5509,Pr_Base_LNEC!$A$4:$J$6971,7,FALSE)</f>
        <v>0</v>
      </c>
    </row>
    <row r="5510" spans="1:11" ht="14.5">
      <c r="A5510" s="20" t="s">
        <v>27954</v>
      </c>
      <c r="B5510" s="20">
        <v>65</v>
      </c>
      <c r="C5510" s="20">
        <v>52</v>
      </c>
      <c r="D5510" s="20">
        <v>61</v>
      </c>
      <c r="E5510" s="20">
        <v>63</v>
      </c>
      <c r="F5510" s="20" t="s">
        <v>27955</v>
      </c>
      <c r="G5510" s="20" t="s">
        <v>27956</v>
      </c>
      <c r="H5510" s="24"/>
      <c r="I5510" s="24" t="str">
        <f ca="1">IFERROR(__xludf.DUMMYFUNCTION("GOOGLETRANSLATE(F5510,""en"",""pt"")"),"mangas de tubos")</f>
        <v>mangas de tubos</v>
      </c>
      <c r="J5510">
        <f>VLOOKUP(A5510,Pr_Base_LNEC!$A$4:$J$6971,6,FALSE)</f>
        <v>0</v>
      </c>
      <c r="K5510">
        <f>VLOOKUP(A5510,Pr_Base_LNEC!$A$4:$J$6971,7,FALSE)</f>
        <v>0</v>
      </c>
    </row>
    <row r="5511" spans="1:11" ht="14.5">
      <c r="A5511" s="20" t="s">
        <v>27957</v>
      </c>
      <c r="B5511" s="20">
        <v>65</v>
      </c>
      <c r="C5511" s="20">
        <v>52</v>
      </c>
      <c r="D5511" s="20">
        <v>61</v>
      </c>
      <c r="E5511" s="20">
        <v>64</v>
      </c>
      <c r="F5511" s="20" t="s">
        <v>27958</v>
      </c>
      <c r="G5511" s="20" t="s">
        <v>27959</v>
      </c>
      <c r="H5511" s="24"/>
      <c r="I5511" s="24" t="str">
        <f ca="1">IFERROR(__xludf.DUMMYFUNCTION("GOOGLETRANSLATE(F5511,""en"",""pt"")"),"selos manga tubo")</f>
        <v>selos manga tubo</v>
      </c>
      <c r="J5511">
        <f>VLOOKUP(A5511,Pr_Base_LNEC!$A$4:$J$6971,6,FALSE)</f>
        <v>0</v>
      </c>
      <c r="K5511">
        <f>VLOOKUP(A5511,Pr_Base_LNEC!$A$4:$J$6971,7,FALSE)</f>
        <v>0</v>
      </c>
    </row>
    <row r="5512" spans="1:11" ht="14.5">
      <c r="A5512" s="20" t="s">
        <v>27960</v>
      </c>
      <c r="B5512" s="20">
        <v>65</v>
      </c>
      <c r="C5512" s="20">
        <v>52</v>
      </c>
      <c r="D5512" s="20">
        <v>61</v>
      </c>
      <c r="E5512" s="20">
        <v>65</v>
      </c>
      <c r="F5512" s="20" t="s">
        <v>27961</v>
      </c>
      <c r="G5512" s="20" t="s">
        <v>27962</v>
      </c>
      <c r="H5512" s="24"/>
      <c r="I5512" s="24" t="str">
        <f ca="1">IFERROR(__xludf.DUMMYFUNCTION("GOOGLETRANSLATE(F5512,""en"",""pt"")"),"Plásticos condutas para cabos eléctricos")</f>
        <v>Plásticos condutas para cabos eléctricos</v>
      </c>
      <c r="J5512">
        <f>VLOOKUP(A5512,Pr_Base_LNEC!$A$4:$J$6971,6,FALSE)</f>
        <v>0</v>
      </c>
      <c r="K5512">
        <f>VLOOKUP(A5512,Pr_Base_LNEC!$A$4:$J$6971,7,FALSE)</f>
        <v>0</v>
      </c>
    </row>
    <row r="5513" spans="1:11" ht="14.5">
      <c r="A5513" s="20" t="s">
        <v>27963</v>
      </c>
      <c r="B5513" s="20">
        <v>65</v>
      </c>
      <c r="C5513" s="20">
        <v>52</v>
      </c>
      <c r="D5513" s="20">
        <v>61</v>
      </c>
      <c r="E5513" s="20">
        <v>68</v>
      </c>
      <c r="F5513" s="20" t="s">
        <v>27964</v>
      </c>
      <c r="G5513" s="20" t="s">
        <v>27965</v>
      </c>
      <c r="H5513" s="24"/>
      <c r="I5513" s="24" t="str">
        <f ca="1">IFERROR(__xludf.DUMMYFUNCTION("GOOGLETRANSLATE(F5513,""en"",""pt"")"),"flanges poça")</f>
        <v>flanges poça</v>
      </c>
      <c r="J5513">
        <f>VLOOKUP(A5513,Pr_Base_LNEC!$A$4:$J$6971,6,FALSE)</f>
        <v>0</v>
      </c>
      <c r="K5513">
        <f>VLOOKUP(A5513,Pr_Base_LNEC!$A$4:$J$6971,7,FALSE)</f>
        <v>0</v>
      </c>
    </row>
    <row r="5514" spans="1:11" ht="14.5">
      <c r="A5514" s="20" t="s">
        <v>27966</v>
      </c>
      <c r="B5514" s="20">
        <v>65</v>
      </c>
      <c r="C5514" s="20">
        <v>52</v>
      </c>
      <c r="D5514" s="20">
        <v>61</v>
      </c>
      <c r="E5514" s="20">
        <v>72</v>
      </c>
      <c r="F5514" s="20" t="s">
        <v>27967</v>
      </c>
      <c r="G5514" s="20" t="s">
        <v>27968</v>
      </c>
      <c r="H5514" s="24"/>
      <c r="I5514" s="24" t="str">
        <f ca="1">IFERROR(__xludf.DUMMYFUNCTION("GOOGLETRANSLATE(F5514,""en"",""pt"")"),"vedantes para tubos de radiador")</f>
        <v>vedantes para tubos de radiador</v>
      </c>
      <c r="J5514">
        <f>VLOOKUP(A5514,Pr_Base_LNEC!$A$4:$J$6971,6,FALSE)</f>
        <v>0</v>
      </c>
      <c r="K5514">
        <f>VLOOKUP(A5514,Pr_Base_LNEC!$A$4:$J$6971,7,FALSE)</f>
        <v>0</v>
      </c>
    </row>
    <row r="5515" spans="1:11" ht="14.5">
      <c r="A5515" s="20" t="s">
        <v>27969</v>
      </c>
      <c r="B5515" s="20">
        <v>65</v>
      </c>
      <c r="C5515" s="20">
        <v>52</v>
      </c>
      <c r="D5515" s="20">
        <v>61</v>
      </c>
      <c r="E5515" s="20">
        <v>86</v>
      </c>
      <c r="F5515" s="20" t="s">
        <v>27970</v>
      </c>
      <c r="G5515" s="20" t="s">
        <v>27937</v>
      </c>
      <c r="H5515" s="24"/>
      <c r="I5515" s="24" t="str">
        <f ca="1">IFERROR(__xludf.DUMMYFUNCTION("GOOGLETRANSLATE(F5515,""en"",""pt"")"),"colares de tubo intumescente montadas à superfície")</f>
        <v>colares de tubo intumescente montadas à superfície</v>
      </c>
      <c r="J5515">
        <f>VLOOKUP(A5515,Pr_Base_LNEC!$A$4:$J$6971,6,FALSE)</f>
        <v>0</v>
      </c>
      <c r="K5515">
        <f>VLOOKUP(A5515,Pr_Base_LNEC!$A$4:$J$6971,7,FALSE)</f>
        <v>0</v>
      </c>
    </row>
    <row r="5516" spans="1:11" ht="14.5">
      <c r="A5516" s="20" t="s">
        <v>27971</v>
      </c>
      <c r="B5516" s="20">
        <v>65</v>
      </c>
      <c r="C5516" s="20">
        <v>52</v>
      </c>
      <c r="D5516" s="20">
        <v>61</v>
      </c>
      <c r="E5516" s="20">
        <v>91</v>
      </c>
      <c r="F5516" s="20" t="s">
        <v>27972</v>
      </c>
      <c r="G5516" s="20" t="s">
        <v>27973</v>
      </c>
      <c r="H5516" s="24"/>
      <c r="I5516" s="24" t="str">
        <f ca="1">IFERROR(__xludf.DUMMYFUNCTION("GOOGLETRANSLATE(F5516,""en"",""pt"")"),"distribuidores de lingotamento contínuo")</f>
        <v>distribuidores de lingotamento contínuo</v>
      </c>
      <c r="J5516">
        <f>VLOOKUP(A5516,Pr_Base_LNEC!$A$4:$J$6971,6,FALSE)</f>
        <v>0</v>
      </c>
      <c r="K5516">
        <f>VLOOKUP(A5516,Pr_Base_LNEC!$A$4:$J$6971,7,FALSE)</f>
        <v>0</v>
      </c>
    </row>
    <row r="5517" spans="1:11" ht="14.5">
      <c r="A5517" s="20" t="s">
        <v>27974</v>
      </c>
      <c r="B5517" s="20">
        <v>65</v>
      </c>
      <c r="C5517" s="20">
        <v>52</v>
      </c>
      <c r="D5517" s="20">
        <v>61</v>
      </c>
      <c r="E5517" s="20">
        <v>96</v>
      </c>
      <c r="F5517" s="20" t="s">
        <v>27975</v>
      </c>
      <c r="G5517" s="20" t="s">
        <v>27976</v>
      </c>
      <c r="H5517" s="24"/>
      <c r="I5517" s="24" t="str">
        <f ca="1">IFERROR(__xludf.DUMMYFUNCTION("GOOGLETRANSLATE(F5517,""en"",""pt"")"),"colares de parede")</f>
        <v>colares de parede</v>
      </c>
      <c r="J5517">
        <f>VLOOKUP(A5517,Pr_Base_LNEC!$A$4:$J$6971,6,FALSE)</f>
        <v>0</v>
      </c>
      <c r="K5517">
        <f>VLOOKUP(A5517,Pr_Base_LNEC!$A$4:$J$6971,7,FALSE)</f>
        <v>0</v>
      </c>
    </row>
    <row r="5518" spans="1:11" ht="14.5">
      <c r="A5518" s="20" t="s">
        <v>27977</v>
      </c>
      <c r="B5518" s="20">
        <v>65</v>
      </c>
      <c r="C5518" s="20">
        <v>52</v>
      </c>
      <c r="D5518" s="20">
        <v>62</v>
      </c>
      <c r="E5518" s="24"/>
      <c r="F5518" s="20" t="s">
        <v>27978</v>
      </c>
      <c r="G5518" s="24"/>
      <c r="H5518" s="24"/>
      <c r="I5518" s="24" t="str">
        <f ca="1">IFERROR(__xludf.DUMMYFUNCTION("GOOGLETRANSLATE(F5518,""en"",""pt"")"),"materiais de tubos de junção")</f>
        <v>materiais de tubos de junção</v>
      </c>
      <c r="J5518">
        <f>VLOOKUP(A5518,Pr_Base_LNEC!$A$4:$J$6971,6,FALSE)</f>
        <v>0</v>
      </c>
      <c r="K5518">
        <f>VLOOKUP(A5518,Pr_Base_LNEC!$A$4:$J$6971,7,FALSE)</f>
        <v>0</v>
      </c>
    </row>
    <row r="5519" spans="1:11" ht="14.5">
      <c r="A5519" s="20" t="s">
        <v>27979</v>
      </c>
      <c r="B5519" s="20">
        <v>65</v>
      </c>
      <c r="C5519" s="20">
        <v>52</v>
      </c>
      <c r="D5519" s="20">
        <v>62</v>
      </c>
      <c r="E5519" s="20">
        <v>3</v>
      </c>
      <c r="F5519" s="20" t="s">
        <v>27980</v>
      </c>
      <c r="G5519" s="24"/>
      <c r="H5519" s="24"/>
      <c r="I5519" s="24" t="str">
        <f ca="1">IFERROR(__xludf.DUMMYFUNCTION("GOOGLETRANSLATE(F5519,""en"",""pt"")"),"selantes anaeróbios")</f>
        <v>selantes anaeróbios</v>
      </c>
      <c r="J5519">
        <f>VLOOKUP(A5519,Pr_Base_LNEC!$A$4:$J$6971,6,FALSE)</f>
        <v>0</v>
      </c>
      <c r="K5519">
        <f>VLOOKUP(A5519,Pr_Base_LNEC!$A$4:$J$6971,7,FALSE)</f>
        <v>0</v>
      </c>
    </row>
    <row r="5520" spans="1:11" ht="14.5">
      <c r="A5520" s="20" t="s">
        <v>27981</v>
      </c>
      <c r="B5520" s="20">
        <v>65</v>
      </c>
      <c r="C5520" s="20">
        <v>52</v>
      </c>
      <c r="D5520" s="20">
        <v>62</v>
      </c>
      <c r="E5520" s="20">
        <v>9</v>
      </c>
      <c r="F5520" s="20" t="s">
        <v>27982</v>
      </c>
      <c r="G5520" s="20" t="s">
        <v>27983</v>
      </c>
      <c r="H5520" s="24"/>
      <c r="I5520" s="24" t="str">
        <f ca="1">IFERROR(__xludf.DUMMYFUNCTION("GOOGLETRANSLATE(F5520,""en"",""pt"")"),"brasagem compostos")</f>
        <v>brasagem compostos</v>
      </c>
      <c r="J5520">
        <f>VLOOKUP(A5520,Pr_Base_LNEC!$A$4:$J$6971,6,FALSE)</f>
        <v>0</v>
      </c>
      <c r="K5520">
        <f>VLOOKUP(A5520,Pr_Base_LNEC!$A$4:$J$6971,7,FALSE)</f>
        <v>0</v>
      </c>
    </row>
    <row r="5521" spans="1:11" ht="14.5">
      <c r="A5521" s="20" t="s">
        <v>27984</v>
      </c>
      <c r="B5521" s="20">
        <v>65</v>
      </c>
      <c r="C5521" s="20">
        <v>52</v>
      </c>
      <c r="D5521" s="20">
        <v>62</v>
      </c>
      <c r="E5521" s="20">
        <v>11</v>
      </c>
      <c r="F5521" s="20" t="s">
        <v>27985</v>
      </c>
      <c r="G5521" s="20" t="s">
        <v>27986</v>
      </c>
      <c r="H5521" s="24"/>
      <c r="I5521" s="24" t="str">
        <f ca="1">IFERROR(__xludf.DUMMYFUNCTION("GOOGLETRANSLATE(F5521,""en"",""pt"")"),"calafetagem cordas")</f>
        <v>calafetagem cordas</v>
      </c>
      <c r="J5521">
        <f>VLOOKUP(A5521,Pr_Base_LNEC!$A$4:$J$6971,6,FALSE)</f>
        <v>0</v>
      </c>
      <c r="K5521">
        <f>VLOOKUP(A5521,Pr_Base_LNEC!$A$4:$J$6971,7,FALSE)</f>
        <v>0</v>
      </c>
    </row>
    <row r="5522" spans="1:11" ht="14.5">
      <c r="A5522" s="20" t="s">
        <v>27987</v>
      </c>
      <c r="B5522" s="20">
        <v>65</v>
      </c>
      <c r="C5522" s="20">
        <v>52</v>
      </c>
      <c r="D5522" s="20">
        <v>62</v>
      </c>
      <c r="E5522" s="20">
        <v>27</v>
      </c>
      <c r="F5522" s="20" t="s">
        <v>27988</v>
      </c>
      <c r="G5522" s="20" t="s">
        <v>27989</v>
      </c>
      <c r="H5522" s="24"/>
      <c r="I5522" s="24" t="str">
        <f ca="1">IFERROR(__xludf.DUMMYFUNCTION("GOOGLETRANSLATE(F5522,""en"",""pt"")"),"anéis de vedação elastoméricos")</f>
        <v>anéis de vedação elastoméricos</v>
      </c>
      <c r="J5522">
        <f>VLOOKUP(A5522,Pr_Base_LNEC!$A$4:$J$6971,6,FALSE)</f>
        <v>0</v>
      </c>
      <c r="K5522">
        <f>VLOOKUP(A5522,Pr_Base_LNEC!$A$4:$J$6971,7,FALSE)</f>
        <v>0</v>
      </c>
    </row>
    <row r="5523" spans="1:11" ht="14.5">
      <c r="A5523" s="20" t="s">
        <v>27990</v>
      </c>
      <c r="B5523" s="20">
        <v>65</v>
      </c>
      <c r="C5523" s="20">
        <v>52</v>
      </c>
      <c r="D5523" s="20">
        <v>62</v>
      </c>
      <c r="E5523" s="20">
        <v>28</v>
      </c>
      <c r="F5523" s="20" t="s">
        <v>27991</v>
      </c>
      <c r="G5523" s="24"/>
      <c r="H5523" s="24"/>
      <c r="I5523" s="24" t="str">
        <f ca="1">IFERROR(__xludf.DUMMYFUNCTION("GOOGLETRANSLATE(F5523,""en"",""pt"")"),"adaptadores de flange")</f>
        <v>adaptadores de flange</v>
      </c>
      <c r="J5523" t="e">
        <f>VLOOKUP(A5523,Pr_Base_LNEC!$A$4:$J$6971,6,FALSE)</f>
        <v>#N/A</v>
      </c>
      <c r="K5523" t="e">
        <f>VLOOKUP(A5523,Pr_Base_LNEC!$A$4:$J$6971,7,FALSE)</f>
        <v>#N/A</v>
      </c>
    </row>
    <row r="5524" spans="1:11" ht="14.5">
      <c r="A5524" s="20" t="s">
        <v>27992</v>
      </c>
      <c r="B5524" s="20">
        <v>65</v>
      </c>
      <c r="C5524" s="20">
        <v>52</v>
      </c>
      <c r="D5524" s="20">
        <v>62</v>
      </c>
      <c r="E5524" s="20">
        <v>29</v>
      </c>
      <c r="F5524" s="20" t="s">
        <v>27993</v>
      </c>
      <c r="G5524" s="20" t="s">
        <v>27983</v>
      </c>
      <c r="H5524" s="24"/>
      <c r="I5524" s="24" t="str">
        <f ca="1">IFERROR(__xludf.DUMMYFUNCTION("GOOGLETRANSLATE(F5524,""en"",""pt"")"),"anéis de flange juntas de flanges de cobre")</f>
        <v>anéis de flange juntas de flanges de cobre</v>
      </c>
      <c r="J5524">
        <f>VLOOKUP(A5524,Pr_Base_LNEC!$A$4:$J$6971,6,FALSE)</f>
        <v>0</v>
      </c>
      <c r="K5524">
        <f>VLOOKUP(A5524,Pr_Base_LNEC!$A$4:$J$6971,7,FALSE)</f>
        <v>0</v>
      </c>
    </row>
    <row r="5525" spans="1:11" ht="14.5">
      <c r="A5525" s="20" t="s">
        <v>27994</v>
      </c>
      <c r="B5525" s="20">
        <v>65</v>
      </c>
      <c r="C5525" s="20">
        <v>52</v>
      </c>
      <c r="D5525" s="20">
        <v>62</v>
      </c>
      <c r="E5525" s="20">
        <v>30</v>
      </c>
      <c r="F5525" s="20" t="s">
        <v>27995</v>
      </c>
      <c r="G5525" s="20" t="s">
        <v>27996</v>
      </c>
      <c r="H5525" s="24"/>
      <c r="I5525" s="24" t="str">
        <f ca="1">IFERROR(__xludf.DUMMYFUNCTION("GOOGLETRANSLATE(F5525,""en"",""pt"")"),"anéis de flange juntas de flanges de aço inoxidável")</f>
        <v>anéis de flange juntas de flanges de aço inoxidável</v>
      </c>
      <c r="J5525">
        <f>VLOOKUP(A5525,Pr_Base_LNEC!$A$4:$J$6971,6,FALSE)</f>
        <v>0</v>
      </c>
      <c r="K5525">
        <f>VLOOKUP(A5525,Pr_Base_LNEC!$A$4:$J$6971,7,FALSE)</f>
        <v>0</v>
      </c>
    </row>
    <row r="5526" spans="1:11" ht="14.5">
      <c r="A5526" s="20" t="s">
        <v>27997</v>
      </c>
      <c r="B5526" s="20">
        <v>65</v>
      </c>
      <c r="C5526" s="20">
        <v>52</v>
      </c>
      <c r="D5526" s="20">
        <v>62</v>
      </c>
      <c r="E5526" s="20">
        <v>31</v>
      </c>
      <c r="F5526" s="20" t="s">
        <v>27998</v>
      </c>
      <c r="G5526" s="20" t="s">
        <v>27999</v>
      </c>
      <c r="H5526" s="24"/>
      <c r="I5526" s="24" t="str">
        <f ca="1">IFERROR(__xludf.DUMMYFUNCTION("GOOGLETRANSLATE(F5526,""en"",""pt"")"),"anéis de flange juntas de flanges de aço")</f>
        <v>anéis de flange juntas de flanges de aço</v>
      </c>
      <c r="J5526">
        <f>VLOOKUP(A5526,Pr_Base_LNEC!$A$4:$J$6971,6,FALSE)</f>
        <v>0</v>
      </c>
      <c r="K5526">
        <f>VLOOKUP(A5526,Pr_Base_LNEC!$A$4:$J$6971,7,FALSE)</f>
        <v>0</v>
      </c>
    </row>
    <row r="5527" spans="1:11" ht="14.5">
      <c r="A5527" s="20" t="s">
        <v>28000</v>
      </c>
      <c r="B5527" s="20">
        <v>65</v>
      </c>
      <c r="C5527" s="20">
        <v>52</v>
      </c>
      <c r="D5527" s="20">
        <v>62</v>
      </c>
      <c r="E5527" s="20">
        <v>32</v>
      </c>
      <c r="F5527" s="20" t="s">
        <v>28001</v>
      </c>
      <c r="G5527" s="20" t="s">
        <v>27996</v>
      </c>
      <c r="H5527" s="24"/>
      <c r="I5527" s="24" t="str">
        <f ca="1">IFERROR(__xludf.DUMMYFUNCTION("GOOGLETRANSLATE(F5527,""en"",""pt"")"),"Fluxo")</f>
        <v>Fluxo</v>
      </c>
      <c r="J5527">
        <f>VLOOKUP(A5527,Pr_Base_LNEC!$A$4:$J$6971,6,FALSE)</f>
        <v>0</v>
      </c>
      <c r="K5527">
        <f>VLOOKUP(A5527,Pr_Base_LNEC!$A$4:$J$6971,7,FALSE)</f>
        <v>0</v>
      </c>
    </row>
    <row r="5528" spans="1:11" ht="14.5">
      <c r="A5528" s="20" t="s">
        <v>28002</v>
      </c>
      <c r="B5528" s="20">
        <v>65</v>
      </c>
      <c r="C5528" s="20">
        <v>52</v>
      </c>
      <c r="D5528" s="20">
        <v>62</v>
      </c>
      <c r="E5528" s="20">
        <v>36</v>
      </c>
      <c r="F5528" s="20" t="s">
        <v>28003</v>
      </c>
      <c r="G5528" s="20" t="s">
        <v>27999</v>
      </c>
      <c r="H5528" s="24"/>
      <c r="I5528" s="24" t="str">
        <f ca="1">IFERROR(__xludf.DUMMYFUNCTION("GOOGLETRANSLATE(F5528,""en"",""pt"")"),"Hemps e pastas")</f>
        <v>Hemps e pastas</v>
      </c>
      <c r="J5528">
        <f>VLOOKUP(A5528,Pr_Base_LNEC!$A$4:$J$6971,6,FALSE)</f>
        <v>0</v>
      </c>
      <c r="K5528">
        <f>VLOOKUP(A5528,Pr_Base_LNEC!$A$4:$J$6971,7,FALSE)</f>
        <v>0</v>
      </c>
    </row>
    <row r="5529" spans="1:11" ht="14.5">
      <c r="A5529" s="20" t="s">
        <v>28004</v>
      </c>
      <c r="B5529" s="20">
        <v>65</v>
      </c>
      <c r="C5529" s="20">
        <v>52</v>
      </c>
      <c r="D5529" s="20">
        <v>62</v>
      </c>
      <c r="E5529" s="20">
        <v>50</v>
      </c>
      <c r="F5529" s="20" t="s">
        <v>28005</v>
      </c>
      <c r="G5529" s="24"/>
      <c r="H5529" s="24"/>
      <c r="I5529" s="24" t="str">
        <f ca="1">IFERROR(__xludf.DUMMYFUNCTION("GOOGLETRANSLATE(F5529,""en"",""pt"")"),"Ligações mecânicas")</f>
        <v>Ligações mecânicas</v>
      </c>
      <c r="J5529" t="e">
        <f>VLOOKUP(A5529,Pr_Base_LNEC!$A$4:$J$6971,6,FALSE)</f>
        <v>#N/A</v>
      </c>
      <c r="K5529" t="e">
        <f>VLOOKUP(A5529,Pr_Base_LNEC!$A$4:$J$6971,7,FALSE)</f>
        <v>#N/A</v>
      </c>
    </row>
    <row r="5530" spans="1:11" ht="14.5">
      <c r="A5530" s="20" t="s">
        <v>28006</v>
      </c>
      <c r="B5530" s="20">
        <v>65</v>
      </c>
      <c r="C5530" s="20">
        <v>52</v>
      </c>
      <c r="D5530" s="20">
        <v>62</v>
      </c>
      <c r="E5530" s="20">
        <v>62</v>
      </c>
      <c r="F5530" s="20" t="s">
        <v>28007</v>
      </c>
      <c r="G5530" s="24"/>
      <c r="H5530" s="24"/>
      <c r="I5530" s="24" t="str">
        <f ca="1">IFERROR(__xludf.DUMMYFUNCTION("GOOGLETRANSLATE(F5530,""en"",""pt"")"),"conectores Pipeline")</f>
        <v>conectores Pipeline</v>
      </c>
      <c r="J5530">
        <f>VLOOKUP(A5530,Pr_Base_LNEC!$A$4:$J$6971,6,FALSE)</f>
        <v>0</v>
      </c>
      <c r="K5530">
        <f>VLOOKUP(A5530,Pr_Base_LNEC!$A$4:$J$6971,7,FALSE)</f>
        <v>0</v>
      </c>
    </row>
    <row r="5531" spans="1:11" ht="14.5">
      <c r="A5531" s="20" t="s">
        <v>28008</v>
      </c>
      <c r="B5531" s="20">
        <v>65</v>
      </c>
      <c r="C5531" s="20">
        <v>52</v>
      </c>
      <c r="D5531" s="20">
        <v>62</v>
      </c>
      <c r="E5531" s="20">
        <v>65</v>
      </c>
      <c r="F5531" s="20" t="s">
        <v>28009</v>
      </c>
      <c r="G5531" s="20" t="s">
        <v>28010</v>
      </c>
      <c r="H5531" s="24"/>
      <c r="I5531" s="24" t="str">
        <f ca="1">IFERROR(__xludf.DUMMYFUNCTION("GOOGLETRANSLATE(F5531,""en"",""pt"")"),"Politetrafluoretileno (PTFE) fitas conjuntas")</f>
        <v>Politetrafluoretileno (PTFE) fitas conjuntas</v>
      </c>
      <c r="J5531">
        <f>VLOOKUP(A5531,Pr_Base_LNEC!$A$4:$J$6971,6,FALSE)</f>
        <v>0</v>
      </c>
      <c r="K5531">
        <f>VLOOKUP(A5531,Pr_Base_LNEC!$A$4:$J$6971,7,FALSE)</f>
        <v>0</v>
      </c>
    </row>
    <row r="5532" spans="1:11" ht="14.5">
      <c r="A5532" s="20" t="s">
        <v>28011</v>
      </c>
      <c r="B5532" s="20">
        <v>65</v>
      </c>
      <c r="C5532" s="20">
        <v>52</v>
      </c>
      <c r="D5532" s="20">
        <v>62</v>
      </c>
      <c r="E5532" s="20">
        <v>71</v>
      </c>
      <c r="F5532" s="20" t="s">
        <v>28012</v>
      </c>
      <c r="G5532" s="20" t="s">
        <v>27986</v>
      </c>
      <c r="H5532" s="24"/>
      <c r="I5532" s="24" t="str">
        <f ca="1">IFERROR(__xludf.DUMMYFUNCTION("GOOGLETRANSLATE(F5532,""en"",""pt"")"),"Resina modificada cimentos")</f>
        <v>Resina modificada cimentos</v>
      </c>
      <c r="J5532">
        <f>VLOOKUP(A5532,Pr_Base_LNEC!$A$4:$J$6971,6,FALSE)</f>
        <v>0</v>
      </c>
      <c r="K5532">
        <f>VLOOKUP(A5532,Pr_Base_LNEC!$A$4:$J$6971,7,FALSE)</f>
        <v>0</v>
      </c>
    </row>
    <row r="5533" spans="1:11" ht="14.5">
      <c r="A5533" s="20" t="s">
        <v>28013</v>
      </c>
      <c r="B5533" s="20">
        <v>65</v>
      </c>
      <c r="C5533" s="20">
        <v>52</v>
      </c>
      <c r="D5533" s="20">
        <v>62</v>
      </c>
      <c r="E5533" s="20">
        <v>81</v>
      </c>
      <c r="F5533" s="20" t="s">
        <v>28014</v>
      </c>
      <c r="G5533" s="20" t="s">
        <v>27983</v>
      </c>
      <c r="H5533" s="24"/>
      <c r="I5533" s="24" t="str">
        <f ca="1">IFERROR(__xludf.DUMMYFUNCTION("GOOGLETRANSLATE(F5533,""en"",""pt"")"),"soldas")</f>
        <v>soldas</v>
      </c>
      <c r="J5533">
        <f>VLOOKUP(A5533,Pr_Base_LNEC!$A$4:$J$6971,6,FALSE)</f>
        <v>0</v>
      </c>
      <c r="K5533">
        <f>VLOOKUP(A5533,Pr_Base_LNEC!$A$4:$J$6971,7,FALSE)</f>
        <v>0</v>
      </c>
    </row>
    <row r="5534" spans="1:11" ht="14.5">
      <c r="A5534" s="20" t="s">
        <v>28015</v>
      </c>
      <c r="B5534" s="20">
        <v>65</v>
      </c>
      <c r="C5534" s="20">
        <v>52</v>
      </c>
      <c r="D5534" s="20">
        <v>62</v>
      </c>
      <c r="E5534" s="20">
        <v>82</v>
      </c>
      <c r="F5534" s="20" t="s">
        <v>28016</v>
      </c>
      <c r="G5534" s="20" t="s">
        <v>28017</v>
      </c>
      <c r="H5534" s="24"/>
      <c r="I5534" s="24" t="str">
        <f ca="1">IFERROR(__xludf.DUMMYFUNCTION("GOOGLETRANSLATE(F5534,""en"",""pt"")"),"cimentos de soldagem de solventes")</f>
        <v>cimentos de soldagem de solventes</v>
      </c>
      <c r="J5534">
        <f>VLOOKUP(A5534,Pr_Base_LNEC!$A$4:$J$6971,6,FALSE)</f>
        <v>0</v>
      </c>
      <c r="K5534">
        <f>VLOOKUP(A5534,Pr_Base_LNEC!$A$4:$J$6971,7,FALSE)</f>
        <v>0</v>
      </c>
    </row>
    <row r="5535" spans="1:11" ht="14.5">
      <c r="A5535" s="20" t="s">
        <v>28018</v>
      </c>
      <c r="B5535" s="20">
        <v>65</v>
      </c>
      <c r="C5535" s="20">
        <v>52</v>
      </c>
      <c r="D5535" s="20">
        <v>63</v>
      </c>
      <c r="E5535" s="24"/>
      <c r="F5535" s="20" t="s">
        <v>28019</v>
      </c>
      <c r="G5535" s="24"/>
      <c r="H5535" s="24"/>
      <c r="I5535" s="24" t="str">
        <f ca="1">IFERROR(__xludf.DUMMYFUNCTION("GOOGLETRANSLATE(F5535,""en"",""pt"")"),"Tubos e acessórios")</f>
        <v>Tubos e acessórios</v>
      </c>
      <c r="J5535">
        <f>VLOOKUP(A5535,Pr_Base_LNEC!$A$4:$J$6971,6,FALSE)</f>
        <v>0</v>
      </c>
      <c r="K5535">
        <f>VLOOKUP(A5535,Pr_Base_LNEC!$A$4:$J$6971,7,FALSE)</f>
        <v>0</v>
      </c>
    </row>
    <row r="5536" spans="1:11" ht="14.5">
      <c r="A5536" s="20" t="s">
        <v>28020</v>
      </c>
      <c r="B5536" s="20">
        <v>65</v>
      </c>
      <c r="C5536" s="20">
        <v>52</v>
      </c>
      <c r="D5536" s="20">
        <v>63</v>
      </c>
      <c r="E5536" s="20">
        <v>2</v>
      </c>
      <c r="F5536" s="20" t="s">
        <v>28021</v>
      </c>
      <c r="G5536" s="20" t="s">
        <v>28022</v>
      </c>
      <c r="H5536" s="24"/>
      <c r="I5536" s="24" t="str">
        <f ca="1">IFERROR(__xludf.DUMMYFUNCTION("GOOGLETRANSLATE(F5536,""en"",""pt"")"),"Acrilonitrilo butadieno estireno (ABS) tubos e acessórios")</f>
        <v>Acrilonitrilo butadieno estireno (ABS) tubos e acessórios</v>
      </c>
      <c r="J5536">
        <f>VLOOKUP(A5536,Pr_Base_LNEC!$A$4:$J$6971,6,FALSE)</f>
        <v>0</v>
      </c>
      <c r="K5536">
        <f>VLOOKUP(A5536,Pr_Base_LNEC!$A$4:$J$6971,7,FALSE)</f>
        <v>0</v>
      </c>
    </row>
    <row r="5537" spans="1:11" ht="14.5">
      <c r="A5537" s="20" t="s">
        <v>28023</v>
      </c>
      <c r="B5537" s="20">
        <v>65</v>
      </c>
      <c r="C5537" s="20">
        <v>52</v>
      </c>
      <c r="D5537" s="20">
        <v>63</v>
      </c>
      <c r="E5537" s="20">
        <v>3</v>
      </c>
      <c r="F5537" s="20" t="s">
        <v>28024</v>
      </c>
      <c r="G5537" s="20" t="s">
        <v>28025</v>
      </c>
      <c r="H5537" s="24"/>
      <c r="I5537" s="24" t="str">
        <f ca="1">IFERROR(__xludf.DUMMYFUNCTION("GOOGLETRANSLATE(F5537,""en"",""pt"")"),"Acrilonitrilo butadieno estireno (ABS) encaixes")</f>
        <v>Acrilonitrilo butadieno estireno (ABS) encaixes</v>
      </c>
      <c r="J5537">
        <f>VLOOKUP(A5537,Pr_Base_LNEC!$A$4:$J$6971,6,FALSE)</f>
        <v>0</v>
      </c>
      <c r="K5537">
        <f>VLOOKUP(A5537,Pr_Base_LNEC!$A$4:$J$6971,7,FALSE)</f>
        <v>0</v>
      </c>
    </row>
    <row r="5538" spans="1:11" ht="14.5">
      <c r="A5538" s="20" t="s">
        <v>28026</v>
      </c>
      <c r="B5538" s="20">
        <v>65</v>
      </c>
      <c r="C5538" s="20">
        <v>52</v>
      </c>
      <c r="D5538" s="20">
        <v>63</v>
      </c>
      <c r="E5538" s="20">
        <v>4</v>
      </c>
      <c r="F5538" s="20" t="s">
        <v>28027</v>
      </c>
      <c r="G5538" s="20" t="s">
        <v>28028</v>
      </c>
      <c r="H5538" s="24"/>
      <c r="I5538" s="24" t="str">
        <f ca="1">IFERROR(__xludf.DUMMYFUNCTION("GOOGLETRANSLATE(F5538,""en"",""pt"")"),"Alumínio tubo de água da chuva e acessórios")</f>
        <v>Alumínio tubo de água da chuva e acessórios</v>
      </c>
      <c r="J5538">
        <f>VLOOKUP(A5538,Pr_Base_LNEC!$A$4:$J$6971,6,FALSE)</f>
        <v>0</v>
      </c>
      <c r="K5538">
        <f>VLOOKUP(A5538,Pr_Base_LNEC!$A$4:$J$6971,7,FALSE)</f>
        <v>0</v>
      </c>
    </row>
    <row r="5539" spans="1:11" ht="14.5">
      <c r="A5539" s="20" t="s">
        <v>28029</v>
      </c>
      <c r="B5539" s="20">
        <v>65</v>
      </c>
      <c r="C5539" s="20">
        <v>52</v>
      </c>
      <c r="D5539" s="20">
        <v>63</v>
      </c>
      <c r="E5539" s="20">
        <v>8</v>
      </c>
      <c r="F5539" s="20" t="s">
        <v>28030</v>
      </c>
      <c r="G5539" s="20" t="s">
        <v>28031</v>
      </c>
      <c r="H5539" s="24"/>
      <c r="I5539" s="24" t="str">
        <f ca="1">IFERROR(__xludf.DUMMYFUNCTION("GOOGLETRANSLATE(F5539,""en"",""pt"")"),"tubo de vidro de borosilicato e acessórios")</f>
        <v>tubo de vidro de borosilicato e acessórios</v>
      </c>
      <c r="J5539">
        <f>VLOOKUP(A5539,Pr_Base_LNEC!$A$4:$J$6971,6,FALSE)</f>
        <v>0</v>
      </c>
      <c r="K5539">
        <f>VLOOKUP(A5539,Pr_Base_LNEC!$A$4:$J$6971,7,FALSE)</f>
        <v>0</v>
      </c>
    </row>
    <row r="5540" spans="1:11" ht="14.5">
      <c r="A5540" s="20" t="s">
        <v>28032</v>
      </c>
      <c r="B5540" s="20">
        <v>65</v>
      </c>
      <c r="C5540" s="20">
        <v>52</v>
      </c>
      <c r="D5540" s="20">
        <v>63</v>
      </c>
      <c r="E5540" s="20">
        <v>10</v>
      </c>
      <c r="F5540" s="20" t="s">
        <v>28033</v>
      </c>
      <c r="G5540" s="24"/>
      <c r="H5540" s="24"/>
      <c r="I5540" s="24" t="str">
        <f ca="1">IFERROR(__xludf.DUMMYFUNCTION("GOOGLETRANSLATE(F5540,""en"",""pt"")"),"tubo de aço carbono e acessórios")</f>
        <v>tubo de aço carbono e acessórios</v>
      </c>
      <c r="J5540">
        <f>VLOOKUP(A5540,Pr_Base_LNEC!$A$4:$J$6971,6,FALSE)</f>
        <v>0</v>
      </c>
      <c r="K5540">
        <f>VLOOKUP(A5540,Pr_Base_LNEC!$A$4:$J$6971,7,FALSE)</f>
        <v>0</v>
      </c>
    </row>
    <row r="5541" spans="1:11" ht="14.5">
      <c r="A5541" s="20" t="s">
        <v>28034</v>
      </c>
      <c r="B5541" s="20">
        <v>65</v>
      </c>
      <c r="C5541" s="20">
        <v>52</v>
      </c>
      <c r="D5541" s="20">
        <v>63</v>
      </c>
      <c r="E5541" s="20">
        <v>11</v>
      </c>
      <c r="F5541" s="20" t="s">
        <v>28035</v>
      </c>
      <c r="G5541" s="20" t="s">
        <v>28036</v>
      </c>
      <c r="H5541" s="24"/>
      <c r="I5541" s="24" t="str">
        <f ca="1">IFERROR(__xludf.DUMMYFUNCTION("GOOGLETRANSLATE(F5541,""en"",""pt"")"),"ferro fundido tubo de água da chuva e acessórios")</f>
        <v>ferro fundido tubo de água da chuva e acessórios</v>
      </c>
      <c r="J5541">
        <f>VLOOKUP(A5541,Pr_Base_LNEC!$A$4:$J$6971,6,FALSE)</f>
        <v>0</v>
      </c>
      <c r="K5541">
        <f>VLOOKUP(A5541,Pr_Base_LNEC!$A$4:$J$6971,7,FALSE)</f>
        <v>0</v>
      </c>
    </row>
    <row r="5542" spans="1:11" ht="14.5">
      <c r="A5542" s="20" t="s">
        <v>28037</v>
      </c>
      <c r="B5542" s="20">
        <v>65</v>
      </c>
      <c r="C5542" s="20">
        <v>52</v>
      </c>
      <c r="D5542" s="20">
        <v>63</v>
      </c>
      <c r="E5542" s="20">
        <v>12</v>
      </c>
      <c r="F5542" s="20" t="s">
        <v>28038</v>
      </c>
      <c r="G5542" s="20" t="s">
        <v>28039</v>
      </c>
      <c r="H5542" s="24"/>
      <c r="I5542" s="24" t="str">
        <f ca="1">IFERROR(__xludf.DUMMYFUNCTION("GOOGLETRANSLATE(F5542,""en"",""pt"")"),"ferro fundido tubo de drenagem e acessórios")</f>
        <v>ferro fundido tubo de drenagem e acessórios</v>
      </c>
      <c r="J5542">
        <f>VLOOKUP(A5542,Pr_Base_LNEC!$A$4:$J$6971,6,FALSE)</f>
        <v>0</v>
      </c>
      <c r="K5542">
        <f>VLOOKUP(A5542,Pr_Base_LNEC!$A$4:$J$6971,7,FALSE)</f>
        <v>0</v>
      </c>
    </row>
    <row r="5543" spans="1:11" ht="14.5">
      <c r="A5543" s="20" t="s">
        <v>28040</v>
      </c>
      <c r="B5543" s="20">
        <v>65</v>
      </c>
      <c r="C5543" s="20">
        <v>52</v>
      </c>
      <c r="D5543" s="20">
        <v>63</v>
      </c>
      <c r="E5543" s="20">
        <v>13</v>
      </c>
      <c r="F5543" s="20" t="s">
        <v>28041</v>
      </c>
      <c r="G5543" s="20" t="s">
        <v>28042</v>
      </c>
      <c r="H5543" s="24"/>
      <c r="I5543" s="24" t="str">
        <f ca="1">IFERROR(__xludf.DUMMYFUNCTION("GOOGLETRANSLATE(F5543,""en"",""pt"")"),"Clorada de policloreto de vinilo (PVC-C) tubos e acessórios")</f>
        <v>Clorada de policloreto de vinilo (PVC-C) tubos e acessórios</v>
      </c>
      <c r="J5543">
        <f>VLOOKUP(A5543,Pr_Base_LNEC!$A$4:$J$6971,6,FALSE)</f>
        <v>0</v>
      </c>
      <c r="K5543">
        <f>VLOOKUP(A5543,Pr_Base_LNEC!$A$4:$J$6971,7,FALSE)</f>
        <v>0</v>
      </c>
    </row>
    <row r="5544" spans="1:11" ht="14.5">
      <c r="A5544" s="20" t="s">
        <v>28043</v>
      </c>
      <c r="B5544" s="20">
        <v>65</v>
      </c>
      <c r="C5544" s="20">
        <v>52</v>
      </c>
      <c r="D5544" s="20">
        <v>63</v>
      </c>
      <c r="E5544" s="20">
        <v>14</v>
      </c>
      <c r="F5544" s="20" t="s">
        <v>28044</v>
      </c>
      <c r="G5544" s="20" t="s">
        <v>28045</v>
      </c>
      <c r="H5544" s="24"/>
      <c r="I5544" s="24" t="str">
        <f ca="1">IFERROR(__xludf.DUMMYFUNCTION("GOOGLETRANSLATE(F5544,""en"",""pt"")"),"Clorada de policloreto de vinilo (PVC-C) oleodutos")</f>
        <v>Clorada de policloreto de vinilo (PVC-C) oleodutos</v>
      </c>
      <c r="J5544">
        <f>VLOOKUP(A5544,Pr_Base_LNEC!$A$4:$J$6971,6,FALSE)</f>
        <v>0</v>
      </c>
      <c r="K5544">
        <f>VLOOKUP(A5544,Pr_Base_LNEC!$A$4:$J$6971,7,FALSE)</f>
        <v>0</v>
      </c>
    </row>
    <row r="5545" spans="1:11" ht="14.5">
      <c r="A5545" s="20" t="s">
        <v>28046</v>
      </c>
      <c r="B5545" s="20">
        <v>65</v>
      </c>
      <c r="C5545" s="20">
        <v>52</v>
      </c>
      <c r="D5545" s="20">
        <v>63</v>
      </c>
      <c r="E5545" s="20">
        <v>15</v>
      </c>
      <c r="F5545" s="20" t="s">
        <v>28047</v>
      </c>
      <c r="G5545" s="24"/>
      <c r="H5545" s="24"/>
      <c r="I5545" s="24" t="str">
        <f ca="1">IFERROR(__xludf.DUMMYFUNCTION("GOOGLETRANSLATE(F5545,""en"",""pt"")"),"Betão perfuradas tubos e acessórios")</f>
        <v>Betão perfuradas tubos e acessórios</v>
      </c>
      <c r="J5545">
        <f>VLOOKUP(A5545,Pr_Base_LNEC!$A$4:$J$6971,6,FALSE)</f>
        <v>0</v>
      </c>
      <c r="K5545">
        <f>VLOOKUP(A5545,Pr_Base_LNEC!$A$4:$J$6971,7,FALSE)</f>
        <v>0</v>
      </c>
    </row>
    <row r="5546" spans="1:11" ht="14.5">
      <c r="A5546" s="20" t="s">
        <v>28048</v>
      </c>
      <c r="B5546" s="20">
        <v>65</v>
      </c>
      <c r="C5546" s="20">
        <v>52</v>
      </c>
      <c r="D5546" s="20">
        <v>63</v>
      </c>
      <c r="E5546" s="20">
        <v>16</v>
      </c>
      <c r="F5546" s="20" t="s">
        <v>28049</v>
      </c>
      <c r="G5546" s="24"/>
      <c r="H5546" s="24"/>
      <c r="I5546" s="24" t="str">
        <f ca="1">IFERROR(__xludf.DUMMYFUNCTION("GOOGLETRANSLATE(F5546,""en"",""pt"")"),"tubos de betão e acessórios")</f>
        <v>tubos de betão e acessórios</v>
      </c>
      <c r="J5546">
        <f>VLOOKUP(A5546,Pr_Base_LNEC!$A$4:$J$6971,6,FALSE)</f>
        <v>0</v>
      </c>
      <c r="K5546">
        <f>VLOOKUP(A5546,Pr_Base_LNEC!$A$4:$J$6971,7,FALSE)</f>
        <v>0</v>
      </c>
    </row>
    <row r="5547" spans="1:11" ht="14.5">
      <c r="A5547" s="20" t="s">
        <v>28050</v>
      </c>
      <c r="B5547" s="20">
        <v>65</v>
      </c>
      <c r="C5547" s="20">
        <v>52</v>
      </c>
      <c r="D5547" s="20">
        <v>63</v>
      </c>
      <c r="E5547" s="20">
        <v>17</v>
      </c>
      <c r="F5547" s="20" t="s">
        <v>28051</v>
      </c>
      <c r="G5547" s="20" t="s">
        <v>28052</v>
      </c>
      <c r="H5547" s="24"/>
      <c r="I5547" s="24" t="str">
        <f ca="1">IFERROR(__xludf.DUMMYFUNCTION("GOOGLETRANSLATE(F5547,""en"",""pt"")"),"encanamentos de cobre")</f>
        <v>encanamentos de cobre</v>
      </c>
      <c r="J5547">
        <f>VLOOKUP(A5547,Pr_Base_LNEC!$A$4:$J$6971,6,FALSE)</f>
        <v>0</v>
      </c>
      <c r="K5547">
        <f>VLOOKUP(A5547,Pr_Base_LNEC!$A$4:$J$6971,7,FALSE)</f>
        <v>0</v>
      </c>
    </row>
    <row r="5548" spans="1:11" ht="14.5">
      <c r="A5548" s="20" t="s">
        <v>28053</v>
      </c>
      <c r="B5548" s="20">
        <v>65</v>
      </c>
      <c r="C5548" s="20">
        <v>52</v>
      </c>
      <c r="D5548" s="20">
        <v>63</v>
      </c>
      <c r="E5548" s="20">
        <v>18</v>
      </c>
      <c r="F5548" s="20" t="s">
        <v>28054</v>
      </c>
      <c r="G5548" s="20" t="s">
        <v>28055</v>
      </c>
      <c r="H5548" s="24"/>
      <c r="I5548" s="24" t="str">
        <f ca="1">IFERROR(__xludf.DUMMYFUNCTION("GOOGLETRANSLATE(F5548,""en"",""pt"")"),"armação de condutas de cobre")</f>
        <v>armação de condutas de cobre</v>
      </c>
      <c r="J5548">
        <f>VLOOKUP(A5548,Pr_Base_LNEC!$A$4:$J$6971,6,FALSE)</f>
        <v>0</v>
      </c>
      <c r="K5548">
        <f>VLOOKUP(A5548,Pr_Base_LNEC!$A$4:$J$6971,7,FALSE)</f>
        <v>0</v>
      </c>
    </row>
    <row r="5549" spans="1:11" ht="14.5">
      <c r="A5549" s="20" t="s">
        <v>28056</v>
      </c>
      <c r="B5549" s="20">
        <v>65</v>
      </c>
      <c r="C5549" s="20">
        <v>52</v>
      </c>
      <c r="D5549" s="20">
        <v>63</v>
      </c>
      <c r="E5549" s="20">
        <v>19</v>
      </c>
      <c r="F5549" s="20" t="s">
        <v>28057</v>
      </c>
      <c r="G5549" s="20" t="s">
        <v>28058</v>
      </c>
      <c r="H5549" s="24"/>
      <c r="I5549" s="24" t="str">
        <f ca="1">IFERROR(__xludf.DUMMYFUNCTION("GOOGLETRANSLATE(F5549,""en"",""pt"")"),"tubos de cobre da água da chuva e acessórios")</f>
        <v>tubos de cobre da água da chuva e acessórios</v>
      </c>
      <c r="J5549">
        <f>VLOOKUP(A5549,Pr_Base_LNEC!$A$4:$J$6971,6,FALSE)</f>
        <v>0</v>
      </c>
      <c r="K5549">
        <f>VLOOKUP(A5549,Pr_Base_LNEC!$A$4:$J$6971,7,FALSE)</f>
        <v>0</v>
      </c>
    </row>
    <row r="5550" spans="1:11" ht="14.5">
      <c r="A5550" s="20" t="s">
        <v>28059</v>
      </c>
      <c r="B5550" s="20">
        <v>65</v>
      </c>
      <c r="C5550" s="20">
        <v>52</v>
      </c>
      <c r="D5550" s="20">
        <v>63</v>
      </c>
      <c r="E5550" s="20">
        <v>20</v>
      </c>
      <c r="F5550" s="20" t="s">
        <v>28060</v>
      </c>
      <c r="G5550" s="20" t="s">
        <v>28061</v>
      </c>
      <c r="H5550" s="24"/>
      <c r="I5550" s="24" t="str">
        <f ca="1">IFERROR(__xludf.DUMMYFUNCTION("GOOGLETRANSLATE(F5550,""en"",""pt"")"),"dutos de cobre de refrigeração")</f>
        <v>dutos de cobre de refrigeração</v>
      </c>
      <c r="J5550">
        <f>VLOOKUP(A5550,Pr_Base_LNEC!$A$4:$J$6971,6,FALSE)</f>
        <v>0</v>
      </c>
      <c r="K5550">
        <f>VLOOKUP(A5550,Pr_Base_LNEC!$A$4:$J$6971,7,FALSE)</f>
        <v>0</v>
      </c>
    </row>
    <row r="5551" spans="1:11" ht="14.5">
      <c r="A5551" s="20" t="s">
        <v>28062</v>
      </c>
      <c r="B5551" s="20">
        <v>65</v>
      </c>
      <c r="C5551" s="20">
        <v>52</v>
      </c>
      <c r="D5551" s="20">
        <v>63</v>
      </c>
      <c r="E5551" s="20">
        <v>21</v>
      </c>
      <c r="F5551" s="20" t="s">
        <v>28063</v>
      </c>
      <c r="G5551" s="24"/>
      <c r="H5551" s="24"/>
      <c r="I5551" s="24" t="str">
        <f ca="1">IFERROR(__xludf.DUMMYFUNCTION("GOOGLETRANSLATE(F5551,""en"",""pt"")"),"Cobre tubulação de águas residuais e acessórios")</f>
        <v>Cobre tubulação de águas residuais e acessórios</v>
      </c>
      <c r="J5551">
        <f>VLOOKUP(A5551,Pr_Base_LNEC!$A$4:$J$6971,6,FALSE)</f>
        <v>0</v>
      </c>
      <c r="K5551">
        <f>VLOOKUP(A5551,Pr_Base_LNEC!$A$4:$J$6971,7,FALSE)</f>
        <v>0</v>
      </c>
    </row>
    <row r="5552" spans="1:11" ht="14.5">
      <c r="A5552" s="20" t="s">
        <v>28064</v>
      </c>
      <c r="B5552" s="20">
        <v>65</v>
      </c>
      <c r="C5552" s="20">
        <v>52</v>
      </c>
      <c r="D5552" s="20">
        <v>63</v>
      </c>
      <c r="E5552" s="20">
        <v>22</v>
      </c>
      <c r="F5552" s="20" t="s">
        <v>28065</v>
      </c>
      <c r="G5552" s="20" t="s">
        <v>28066</v>
      </c>
      <c r="H5552" s="24"/>
      <c r="I5552" s="24" t="str">
        <f ca="1">IFERROR(__xludf.DUMMYFUNCTION("GOOGLETRANSLATE(F5552,""en"",""pt"")"),"tubos de aço inoxidável e tubos corrugados")</f>
        <v>tubos de aço inoxidável e tubos corrugados</v>
      </c>
      <c r="J5552">
        <f>VLOOKUP(A5552,Pr_Base_LNEC!$A$4:$J$6971,6,FALSE)</f>
        <v>0</v>
      </c>
      <c r="K5552">
        <f>VLOOKUP(A5552,Pr_Base_LNEC!$A$4:$J$6971,7,FALSE)</f>
        <v>0</v>
      </c>
    </row>
    <row r="5553" spans="1:11" ht="14.5">
      <c r="A5553" s="20" t="s">
        <v>28067</v>
      </c>
      <c r="B5553" s="20">
        <v>65</v>
      </c>
      <c r="C5553" s="20">
        <v>52</v>
      </c>
      <c r="D5553" s="20">
        <v>63</v>
      </c>
      <c r="E5553" s="20">
        <v>23</v>
      </c>
      <c r="F5553" s="20" t="s">
        <v>28068</v>
      </c>
      <c r="G5553" s="20" t="s">
        <v>28069</v>
      </c>
      <c r="H5553" s="24"/>
      <c r="I5553" s="24" t="str">
        <f ca="1">IFERROR(__xludf.DUMMYFUNCTION("GOOGLETRANSLATE(F5553,""en"",""pt"")"),"tubos de polietileno (PE-X) e encaixes reticulado")</f>
        <v>tubos de polietileno (PE-X) e encaixes reticulado</v>
      </c>
      <c r="J5553">
        <f>VLOOKUP(A5553,Pr_Base_LNEC!$A$4:$J$6971,6,FALSE)</f>
        <v>0</v>
      </c>
      <c r="K5553">
        <f>VLOOKUP(A5553,Pr_Base_LNEC!$A$4:$J$6971,7,FALSE)</f>
        <v>0</v>
      </c>
    </row>
    <row r="5554" spans="1:11" ht="14.5">
      <c r="A5554" s="20" t="s">
        <v>28070</v>
      </c>
      <c r="B5554" s="20">
        <v>65</v>
      </c>
      <c r="C5554" s="20">
        <v>52</v>
      </c>
      <c r="D5554" s="20">
        <v>63</v>
      </c>
      <c r="E5554" s="20">
        <v>25</v>
      </c>
      <c r="F5554" s="20" t="s">
        <v>28071</v>
      </c>
      <c r="G5554" s="20" t="s">
        <v>28072</v>
      </c>
      <c r="H5554" s="24"/>
      <c r="I5554" s="24" t="str">
        <f ca="1">IFERROR(__xludf.DUMMYFUNCTION("GOOGLETRANSLATE(F5554,""en"",""pt"")"),"Dúctil tubos de ferro e acessórios")</f>
        <v>Dúctil tubos de ferro e acessórios</v>
      </c>
      <c r="J5554">
        <f>VLOOKUP(A5554,Pr_Base_LNEC!$A$4:$J$6971,6,FALSE)</f>
        <v>0</v>
      </c>
      <c r="K5554">
        <f>VLOOKUP(A5554,Pr_Base_LNEC!$A$4:$J$6971,7,FALSE)</f>
        <v>0</v>
      </c>
    </row>
    <row r="5555" spans="1:11" ht="14.5">
      <c r="A5555" s="20" t="s">
        <v>28073</v>
      </c>
      <c r="B5555" s="20">
        <v>65</v>
      </c>
      <c r="C5555" s="20">
        <v>52</v>
      </c>
      <c r="D5555" s="20">
        <v>63</v>
      </c>
      <c r="E5555" s="20">
        <v>29</v>
      </c>
      <c r="F5555" s="20" t="s">
        <v>28074</v>
      </c>
      <c r="G5555" s="20" t="s">
        <v>28075</v>
      </c>
      <c r="H5555" s="24"/>
      <c r="I5555" s="24" t="str">
        <f ca="1">IFERROR(__xludf.DUMMYFUNCTION("GOOGLETRANSLATE(F5555,""en"",""pt"")"),"dutos compósitos flexíveis para combustíveis líquidos")</f>
        <v>dutos compósitos flexíveis para combustíveis líquidos</v>
      </c>
      <c r="J5555">
        <f>VLOOKUP(A5555,Pr_Base_LNEC!$A$4:$J$6971,6,FALSE)</f>
        <v>0</v>
      </c>
      <c r="K5555">
        <f>VLOOKUP(A5555,Pr_Base_LNEC!$A$4:$J$6971,7,FALSE)</f>
        <v>0</v>
      </c>
    </row>
    <row r="5556" spans="1:11" ht="14.5">
      <c r="A5556" s="20" t="s">
        <v>28076</v>
      </c>
      <c r="B5556" s="20">
        <v>65</v>
      </c>
      <c r="C5556" s="20">
        <v>52</v>
      </c>
      <c r="D5556" s="20">
        <v>63</v>
      </c>
      <c r="E5556" s="20">
        <v>30</v>
      </c>
      <c r="F5556" s="20" t="s">
        <v>28077</v>
      </c>
      <c r="G5556" s="24"/>
      <c r="H5556" s="24"/>
      <c r="I5556" s="24" t="str">
        <f ca="1">IFERROR(__xludf.DUMMYFUNCTION("GOOGLETRANSLATE(F5556,""en"",""pt"")"),"imersão a quente de carbono pré-revestido tubo de águas pluviais de aço e acessórios")</f>
        <v>imersão a quente de carbono pré-revestido tubo de águas pluviais de aço e acessórios</v>
      </c>
      <c r="J5556" t="e">
        <f>VLOOKUP(A5556,Pr_Base_LNEC!$A$4:$J$6971,6,FALSE)</f>
        <v>#N/A</v>
      </c>
      <c r="K5556" t="e">
        <f>VLOOKUP(A5556,Pr_Base_LNEC!$A$4:$J$6971,7,FALSE)</f>
        <v>#N/A</v>
      </c>
    </row>
    <row r="5557" spans="1:11" ht="14.5">
      <c r="A5557" s="20" t="s">
        <v>28078</v>
      </c>
      <c r="B5557" s="20">
        <v>65</v>
      </c>
      <c r="C5557" s="20">
        <v>52</v>
      </c>
      <c r="D5557" s="20">
        <v>63</v>
      </c>
      <c r="E5557" s="20">
        <v>31</v>
      </c>
      <c r="F5557" s="20" t="s">
        <v>28079</v>
      </c>
      <c r="G5557" s="20" t="s">
        <v>28080</v>
      </c>
      <c r="H5557" s="24"/>
      <c r="I5557" s="24" t="str">
        <f ca="1">IFERROR(__xludf.DUMMYFUNCTION("GOOGLETRANSLATE(F5557,""en"",""pt"")"),"aço galvanizado de tubos de água da chuva e acessórios")</f>
        <v>aço galvanizado de tubos de água da chuva e acessórios</v>
      </c>
      <c r="J5557">
        <f>VLOOKUP(A5557,Pr_Base_LNEC!$A$4:$J$6971,6,FALSE)</f>
        <v>0</v>
      </c>
      <c r="K5557">
        <f>VLOOKUP(A5557,Pr_Base_LNEC!$A$4:$J$6971,7,FALSE)</f>
        <v>0</v>
      </c>
    </row>
    <row r="5558" spans="1:11" ht="14.5">
      <c r="A5558" s="20" t="s">
        <v>28081</v>
      </c>
      <c r="B5558" s="20">
        <v>65</v>
      </c>
      <c r="C5558" s="20">
        <v>52</v>
      </c>
      <c r="D5558" s="20">
        <v>63</v>
      </c>
      <c r="E5558" s="20">
        <v>32</v>
      </c>
      <c r="F5558" s="20" t="s">
        <v>28082</v>
      </c>
      <c r="G5558" s="20" t="s">
        <v>28083</v>
      </c>
      <c r="H5558" s="24"/>
      <c r="I5558" s="24" t="str">
        <f ca="1">IFERROR(__xludf.DUMMYFUNCTION("GOOGLETRANSLATE(F5558,""en"",""pt"")"),"dutos de vidro")</f>
        <v>dutos de vidro</v>
      </c>
      <c r="J5558">
        <f>VLOOKUP(A5558,Pr_Base_LNEC!$A$4:$J$6971,6,FALSE)</f>
        <v>0</v>
      </c>
      <c r="K5558">
        <f>VLOOKUP(A5558,Pr_Base_LNEC!$A$4:$J$6971,7,FALSE)</f>
        <v>0</v>
      </c>
    </row>
    <row r="5559" spans="1:11" ht="14.5">
      <c r="A5559" s="20" t="s">
        <v>28084</v>
      </c>
      <c r="B5559" s="20">
        <v>65</v>
      </c>
      <c r="C5559" s="20">
        <v>52</v>
      </c>
      <c r="D5559" s="20">
        <v>63</v>
      </c>
      <c r="E5559" s="20">
        <v>33</v>
      </c>
      <c r="F5559" s="20" t="s">
        <v>28085</v>
      </c>
      <c r="G5559" s="20" t="s">
        <v>28086</v>
      </c>
      <c r="H5559" s="24"/>
      <c r="I5559" s="24" t="str">
        <f ca="1">IFERROR(__xludf.DUMMYFUNCTION("GOOGLETRANSLATE(F5559,""en"",""pt"")"),"Plástico reforçado com vidro (GRP) tubos de pressão e acessórios")</f>
        <v>Plástico reforçado com vidro (GRP) tubos de pressão e acessórios</v>
      </c>
      <c r="J5559">
        <f>VLOOKUP(A5559,Pr_Base_LNEC!$A$4:$J$6971,6,FALSE)</f>
        <v>0</v>
      </c>
      <c r="K5559">
        <f>VLOOKUP(A5559,Pr_Base_LNEC!$A$4:$J$6971,7,FALSE)</f>
        <v>0</v>
      </c>
    </row>
    <row r="5560" spans="1:11" ht="14.5">
      <c r="A5560" s="20" t="s">
        <v>28087</v>
      </c>
      <c r="B5560" s="20">
        <v>65</v>
      </c>
      <c r="C5560" s="20">
        <v>52</v>
      </c>
      <c r="D5560" s="20">
        <v>63</v>
      </c>
      <c r="E5560" s="20">
        <v>34</v>
      </c>
      <c r="F5560" s="20" t="s">
        <v>28088</v>
      </c>
      <c r="G5560" s="20" t="s">
        <v>28089</v>
      </c>
      <c r="H5560" s="24"/>
      <c r="I5560" s="24" t="str">
        <f ca="1">IFERROR(__xludf.DUMMYFUNCTION("GOOGLETRANSLATE(F5560,""en"",""pt"")"),"Plástico reforçado com vidro (GRP) tubos de água da chuva e acessórios")</f>
        <v>Plástico reforçado com vidro (GRP) tubos de água da chuva e acessórios</v>
      </c>
      <c r="J5560">
        <f>VLOOKUP(A5560,Pr_Base_LNEC!$A$4:$J$6971,6,FALSE)</f>
        <v>0</v>
      </c>
      <c r="K5560">
        <f>VLOOKUP(A5560,Pr_Base_LNEC!$A$4:$J$6971,7,FALSE)</f>
        <v>0</v>
      </c>
    </row>
    <row r="5561" spans="1:11" ht="14.5">
      <c r="A5561" s="20" t="s">
        <v>28090</v>
      </c>
      <c r="B5561" s="20">
        <v>65</v>
      </c>
      <c r="C5561" s="20">
        <v>52</v>
      </c>
      <c r="D5561" s="20">
        <v>63</v>
      </c>
      <c r="E5561" s="20">
        <v>35</v>
      </c>
      <c r="F5561" s="20" t="s">
        <v>28091</v>
      </c>
      <c r="G5561" s="20" t="s">
        <v>28092</v>
      </c>
      <c r="H5561" s="24"/>
      <c r="I5561" s="24" t="str">
        <f ca="1">IFERROR(__xludf.DUMMYFUNCTION("GOOGLETRANSLATE(F5561,""en"",""pt"")"),"Plástico reforçado com vidro tubos e acessórios (GRP) para combustíveis líquidos")</f>
        <v>Plástico reforçado com vidro tubos e acessórios (GRP) para combustíveis líquidos</v>
      </c>
      <c r="J5561">
        <f>VLOOKUP(A5561,Pr_Base_LNEC!$A$4:$J$6971,6,FALSE)</f>
        <v>0</v>
      </c>
      <c r="K5561">
        <f>VLOOKUP(A5561,Pr_Base_LNEC!$A$4:$J$6971,7,FALSE)</f>
        <v>0</v>
      </c>
    </row>
    <row r="5562" spans="1:11" ht="14.5">
      <c r="A5562" s="20" t="s">
        <v>28093</v>
      </c>
      <c r="B5562" s="20">
        <v>65</v>
      </c>
      <c r="C5562" s="20">
        <v>52</v>
      </c>
      <c r="D5562" s="20">
        <v>63</v>
      </c>
      <c r="E5562" s="20">
        <v>46</v>
      </c>
      <c r="F5562" s="20" t="s">
        <v>28094</v>
      </c>
      <c r="G5562" s="24"/>
      <c r="H5562" s="24"/>
      <c r="I5562" s="24" t="str">
        <f ca="1">IFERROR(__xludf.DUMMYFUNCTION("GOOGLETRANSLATE(F5562,""en"",""pt"")"),"tubos de chumbo e acessórios")</f>
        <v>tubos de chumbo e acessórios</v>
      </c>
      <c r="J5562">
        <f>VLOOKUP(A5562,Pr_Base_LNEC!$A$4:$J$6971,6,FALSE)</f>
        <v>0</v>
      </c>
      <c r="K5562">
        <f>VLOOKUP(A5562,Pr_Base_LNEC!$A$4:$J$6971,7,FALSE)</f>
        <v>0</v>
      </c>
    </row>
    <row r="5563" spans="1:11" ht="14.5">
      <c r="A5563" s="20" t="s">
        <v>28095</v>
      </c>
      <c r="B5563" s="20">
        <v>65</v>
      </c>
      <c r="C5563" s="20">
        <v>52</v>
      </c>
      <c r="D5563" s="20">
        <v>63</v>
      </c>
      <c r="E5563" s="20">
        <v>50</v>
      </c>
      <c r="F5563" s="20" t="s">
        <v>28096</v>
      </c>
      <c r="G5563" s="20" t="s">
        <v>28097</v>
      </c>
      <c r="H5563" s="24"/>
      <c r="I5563" s="24" t="str">
        <f ca="1">IFERROR(__xludf.DUMMYFUNCTION("GOOGLETRANSLATE(F5563,""en"",""pt"")"),"tubo de cobre gás medicinal")</f>
        <v>tubo de cobre gás medicinal</v>
      </c>
      <c r="J5563">
        <f>VLOOKUP(A5563,Pr_Base_LNEC!$A$4:$J$6971,6,FALSE)</f>
        <v>0</v>
      </c>
      <c r="K5563">
        <f>VLOOKUP(A5563,Pr_Base_LNEC!$A$4:$J$6971,7,FALSE)</f>
        <v>0</v>
      </c>
    </row>
    <row r="5564" spans="1:11" ht="14.5">
      <c r="A5564" s="20" t="s">
        <v>28098</v>
      </c>
      <c r="B5564" s="20">
        <v>65</v>
      </c>
      <c r="C5564" s="20">
        <v>52</v>
      </c>
      <c r="D5564" s="20">
        <v>63</v>
      </c>
      <c r="E5564" s="20">
        <v>52</v>
      </c>
      <c r="F5564" s="20" t="s">
        <v>28099</v>
      </c>
      <c r="G5564" s="20" t="s">
        <v>28100</v>
      </c>
      <c r="H5564" s="24"/>
      <c r="I5564" s="24" t="str">
        <f ca="1">IFERROR(__xludf.DUMMYFUNCTION("GOOGLETRANSLATE(F5564,""en"",""pt"")"),"Modificação de cloreto de polivinilo não plastificado (MUPVC) tubos e acessórios")</f>
        <v>Modificação de cloreto de polivinilo não plastificado (MUPVC) tubos e acessórios</v>
      </c>
      <c r="J5564">
        <f>VLOOKUP(A5564,Pr_Base_LNEC!$A$4:$J$6971,6,FALSE)</f>
        <v>0</v>
      </c>
      <c r="K5564">
        <f>VLOOKUP(A5564,Pr_Base_LNEC!$A$4:$J$6971,7,FALSE)</f>
        <v>0</v>
      </c>
    </row>
    <row r="5565" spans="1:11" ht="14.5">
      <c r="A5565" s="20" t="s">
        <v>28101</v>
      </c>
      <c r="B5565" s="20">
        <v>65</v>
      </c>
      <c r="C5565" s="20">
        <v>52</v>
      </c>
      <c r="D5565" s="20">
        <v>63</v>
      </c>
      <c r="E5565" s="20">
        <v>54</v>
      </c>
      <c r="F5565" s="20" t="s">
        <v>28102</v>
      </c>
      <c r="G5565" s="20" t="s">
        <v>28103</v>
      </c>
      <c r="H5565" s="24"/>
      <c r="I5565" s="24" t="str">
        <f ca="1">IFERROR(__xludf.DUMMYFUNCTION("GOOGLETRANSLATE(F5565,""en"",""pt"")"),"dutos multicamadas para combustíveis gasosos")</f>
        <v>dutos multicamadas para combustíveis gasosos</v>
      </c>
      <c r="J5565">
        <f>VLOOKUP(A5565,Pr_Base_LNEC!$A$4:$J$6971,6,FALSE)</f>
        <v>0</v>
      </c>
      <c r="K5565">
        <f>VLOOKUP(A5565,Pr_Base_LNEC!$A$4:$J$6971,7,FALSE)</f>
        <v>0</v>
      </c>
    </row>
    <row r="5566" spans="1:11" ht="14.5">
      <c r="A5566" s="20" t="s">
        <v>28104</v>
      </c>
      <c r="B5566" s="20">
        <v>65</v>
      </c>
      <c r="C5566" s="20">
        <v>52</v>
      </c>
      <c r="D5566" s="20">
        <v>63</v>
      </c>
      <c r="E5566" s="20">
        <v>55</v>
      </c>
      <c r="F5566" s="20" t="s">
        <v>28105</v>
      </c>
      <c r="G5566" s="20" t="s">
        <v>28106</v>
      </c>
      <c r="H5566" s="24"/>
      <c r="I5566" s="24" t="str">
        <f ca="1">IFERROR(__xludf.DUMMYFUNCTION("GOOGLETRANSLATE(F5566,""en"",""pt"")"),"condutas para água multicamada")</f>
        <v>condutas para água multicamada</v>
      </c>
      <c r="J5566">
        <f>VLOOKUP(A5566,Pr_Base_LNEC!$A$4:$J$6971,6,FALSE)</f>
        <v>0</v>
      </c>
      <c r="K5566">
        <f>VLOOKUP(A5566,Pr_Base_LNEC!$A$4:$J$6971,7,FALSE)</f>
        <v>0</v>
      </c>
    </row>
    <row r="5567" spans="1:11" ht="14.5">
      <c r="A5567" s="20" t="s">
        <v>28107</v>
      </c>
      <c r="B5567" s="20">
        <v>65</v>
      </c>
      <c r="C5567" s="20">
        <v>52</v>
      </c>
      <c r="D5567" s="20">
        <v>63</v>
      </c>
      <c r="E5567" s="20">
        <v>60</v>
      </c>
      <c r="F5567" s="20" t="s">
        <v>28108</v>
      </c>
      <c r="G5567" s="20" t="s">
        <v>28109</v>
      </c>
      <c r="H5567" s="24"/>
      <c r="I5567" s="24" t="str">
        <f ca="1">IFERROR(__xludf.DUMMYFUNCTION("GOOGLETRANSLATE(F5567,""en"",""pt"")"),"Polibutileno (PB) tubos e acessórios")</f>
        <v>Polibutileno (PB) tubos e acessórios</v>
      </c>
      <c r="J5567">
        <f>VLOOKUP(A5567,Pr_Base_LNEC!$A$4:$J$6971,6,FALSE)</f>
        <v>0</v>
      </c>
      <c r="K5567">
        <f>VLOOKUP(A5567,Pr_Base_LNEC!$A$4:$J$6971,7,FALSE)</f>
        <v>0</v>
      </c>
    </row>
    <row r="5568" spans="1:11" ht="14.5">
      <c r="A5568" s="20" t="s">
        <v>28110</v>
      </c>
      <c r="B5568" s="20">
        <v>65</v>
      </c>
      <c r="C5568" s="20">
        <v>52</v>
      </c>
      <c r="D5568" s="20">
        <v>63</v>
      </c>
      <c r="E5568" s="20">
        <v>61</v>
      </c>
      <c r="F5568" s="20" t="s">
        <v>28111</v>
      </c>
      <c r="G5568" s="20" t="s">
        <v>28112</v>
      </c>
      <c r="H5568" s="24"/>
      <c r="I5568" s="24" t="str">
        <f ca="1">IFERROR(__xludf.DUMMYFUNCTION("GOOGLETRANSLATE(F5568,""en"",""pt"")"),"O polietileno (PE) de tubos de drenagem e acessórios")</f>
        <v>O polietileno (PE) de tubos de drenagem e acessórios</v>
      </c>
      <c r="J5568">
        <f>VLOOKUP(A5568,Pr_Base_LNEC!$A$4:$J$6971,6,FALSE)</f>
        <v>0</v>
      </c>
      <c r="K5568">
        <f>VLOOKUP(A5568,Pr_Base_LNEC!$A$4:$J$6971,7,FALSE)</f>
        <v>0</v>
      </c>
    </row>
    <row r="5569" spans="1:11" ht="14.5">
      <c r="A5569" s="20" t="s">
        <v>28113</v>
      </c>
      <c r="B5569" s="20">
        <v>65</v>
      </c>
      <c r="C5569" s="20">
        <v>52</v>
      </c>
      <c r="D5569" s="20">
        <v>63</v>
      </c>
      <c r="E5569" s="20">
        <v>62</v>
      </c>
      <c r="F5569" s="20" t="s">
        <v>28114</v>
      </c>
      <c r="G5569" s="20" t="s">
        <v>28115</v>
      </c>
      <c r="H5569" s="24"/>
      <c r="I5569" s="24" t="str">
        <f ca="1">IFERROR(__xludf.DUMMYFUNCTION("GOOGLETRANSLATE(F5569,""en"",""pt"")"),"O polietileno (PE) de tubos de combustível gasoso e acessórios")</f>
        <v>O polietileno (PE) de tubos de combustível gasoso e acessórios</v>
      </c>
      <c r="J5569">
        <f>VLOOKUP(A5569,Pr_Base_LNEC!$A$4:$J$6971,6,FALSE)</f>
        <v>0</v>
      </c>
      <c r="K5569">
        <f>VLOOKUP(A5569,Pr_Base_LNEC!$A$4:$J$6971,7,FALSE)</f>
        <v>0</v>
      </c>
    </row>
    <row r="5570" spans="1:11" ht="14.5">
      <c r="A5570" s="20" t="s">
        <v>28116</v>
      </c>
      <c r="B5570" s="20">
        <v>65</v>
      </c>
      <c r="C5570" s="20">
        <v>52</v>
      </c>
      <c r="D5570" s="20">
        <v>63</v>
      </c>
      <c r="E5570" s="20">
        <v>63</v>
      </c>
      <c r="F5570" s="20" t="s">
        <v>28117</v>
      </c>
      <c r="G5570" s="20" t="s">
        <v>28118</v>
      </c>
      <c r="H5570" s="24"/>
      <c r="I5570" s="24" t="str">
        <f ca="1">IFERROR(__xludf.DUMMYFUNCTION("GOOGLETRANSLATE(F5570,""en"",""pt"")"),"O polietileno (PE) de tubos de água e acessórios")</f>
        <v>O polietileno (PE) de tubos de água e acessórios</v>
      </c>
      <c r="J5570">
        <f>VLOOKUP(A5570,Pr_Base_LNEC!$A$4:$J$6971,6,FALSE)</f>
        <v>0</v>
      </c>
      <c r="K5570">
        <f>VLOOKUP(A5570,Pr_Base_LNEC!$A$4:$J$6971,7,FALSE)</f>
        <v>0</v>
      </c>
    </row>
    <row r="5571" spans="1:11" ht="14.5">
      <c r="A5571" s="20" t="s">
        <v>28119</v>
      </c>
      <c r="B5571" s="20">
        <v>65</v>
      </c>
      <c r="C5571" s="20">
        <v>52</v>
      </c>
      <c r="D5571" s="20">
        <v>63</v>
      </c>
      <c r="E5571" s="20">
        <v>64</v>
      </c>
      <c r="F5571" s="20" t="s">
        <v>28120</v>
      </c>
      <c r="G5571" s="20" t="s">
        <v>28121</v>
      </c>
      <c r="H5571" s="24"/>
      <c r="I5571" s="24" t="str">
        <f ca="1">IFERROR(__xludf.DUMMYFUNCTION("GOOGLETRANSLATE(F5571,""en"",""pt"")"),"O polietileno (PE) de tubos para combustíveis líquidos")</f>
        <v>O polietileno (PE) de tubos para combustíveis líquidos</v>
      </c>
      <c r="J5571">
        <f>VLOOKUP(A5571,Pr_Base_LNEC!$A$4:$J$6971,6,FALSE)</f>
        <v>0</v>
      </c>
      <c r="K5571">
        <f>VLOOKUP(A5571,Pr_Base_LNEC!$A$4:$J$6971,7,FALSE)</f>
        <v>0</v>
      </c>
    </row>
    <row r="5572" spans="1:11" ht="14.5">
      <c r="A5572" s="20" t="s">
        <v>28122</v>
      </c>
      <c r="B5572" s="20">
        <v>65</v>
      </c>
      <c r="C5572" s="20">
        <v>52</v>
      </c>
      <c r="D5572" s="20">
        <v>63</v>
      </c>
      <c r="E5572" s="20">
        <v>65</v>
      </c>
      <c r="F5572" s="20" t="s">
        <v>28123</v>
      </c>
      <c r="G5572" s="20" t="s">
        <v>28124</v>
      </c>
      <c r="H5572" s="24"/>
      <c r="I5572" s="24" t="str">
        <f ca="1">IFERROR(__xludf.DUMMYFUNCTION("GOOGLETRANSLATE(F5572,""en"",""pt"")"),"Polipropileno (PP) oleodutos")</f>
        <v>Polipropileno (PP) oleodutos</v>
      </c>
      <c r="J5572">
        <f>VLOOKUP(A5572,Pr_Base_LNEC!$A$4:$J$6971,6,FALSE)</f>
        <v>0</v>
      </c>
      <c r="K5572">
        <f>VLOOKUP(A5572,Pr_Base_LNEC!$A$4:$J$6971,7,FALSE)</f>
        <v>0</v>
      </c>
    </row>
    <row r="5573" spans="1:11" ht="14.5">
      <c r="A5573" s="20" t="s">
        <v>28125</v>
      </c>
      <c r="B5573" s="20">
        <v>65</v>
      </c>
      <c r="C5573" s="20">
        <v>52</v>
      </c>
      <c r="D5573" s="20">
        <v>63</v>
      </c>
      <c r="E5573" s="20">
        <v>66</v>
      </c>
      <c r="F5573" s="20" t="s">
        <v>28126</v>
      </c>
      <c r="G5573" s="20" t="s">
        <v>28127</v>
      </c>
      <c r="H5573" s="24"/>
      <c r="I5573" s="24" t="str">
        <f ca="1">IFERROR(__xludf.DUMMYFUNCTION("GOOGLETRANSLATE(F5573,""en"",""pt"")"),"Polipropileno (PP) tubos de parede sólidas e acessórios")</f>
        <v>Polipropileno (PP) tubos de parede sólidas e acessórios</v>
      </c>
      <c r="J5573">
        <f>VLOOKUP(A5573,Pr_Base_LNEC!$A$4:$J$6971,6,FALSE)</f>
        <v>0</v>
      </c>
      <c r="K5573">
        <f>VLOOKUP(A5573,Pr_Base_LNEC!$A$4:$J$6971,7,FALSE)</f>
        <v>0</v>
      </c>
    </row>
    <row r="5574" spans="1:11" ht="14.5">
      <c r="A5574" s="20" t="s">
        <v>28128</v>
      </c>
      <c r="B5574" s="20">
        <v>65</v>
      </c>
      <c r="C5574" s="20">
        <v>52</v>
      </c>
      <c r="D5574" s="20">
        <v>63</v>
      </c>
      <c r="E5574" s="20">
        <v>67</v>
      </c>
      <c r="F5574" s="20" t="s">
        <v>28129</v>
      </c>
      <c r="G5574" s="24"/>
      <c r="H5574" s="24"/>
      <c r="I5574" s="24" t="str">
        <f ca="1">IFERROR(__xludf.DUMMYFUNCTION("GOOGLETRANSLATE(F5574,""en"",""pt"")"),"Polipropileno (PP) estruturado tubos de parede e acessórios")</f>
        <v>Polipropileno (PP) estruturado tubos de parede e acessórios</v>
      </c>
      <c r="J5574">
        <f>VLOOKUP(A5574,Pr_Base_LNEC!$A$4:$J$6971,6,FALSE)</f>
        <v>0</v>
      </c>
      <c r="K5574">
        <f>VLOOKUP(A5574,Pr_Base_LNEC!$A$4:$J$6971,7,FALSE)</f>
        <v>0</v>
      </c>
    </row>
    <row r="5575" spans="1:11" ht="14.5">
      <c r="A5575" s="20" t="s">
        <v>28130</v>
      </c>
      <c r="B5575" s="20">
        <v>65</v>
      </c>
      <c r="C5575" s="20">
        <v>52</v>
      </c>
      <c r="D5575" s="20">
        <v>63</v>
      </c>
      <c r="E5575" s="20">
        <v>68</v>
      </c>
      <c r="F5575" s="20" t="s">
        <v>28131</v>
      </c>
      <c r="G5575" s="20" t="s">
        <v>28132</v>
      </c>
      <c r="H5575" s="24"/>
      <c r="I5575" s="24" t="str">
        <f ca="1">IFERROR(__xludf.DUMMYFUNCTION("GOOGLETRANSLATE(F5575,""en"",""pt"")"),"condutas pré-isolados")</f>
        <v>condutas pré-isolados</v>
      </c>
      <c r="J5575">
        <f>VLOOKUP(A5575,Pr_Base_LNEC!$A$4:$J$6971,6,FALSE)</f>
        <v>0</v>
      </c>
      <c r="K5575">
        <f>VLOOKUP(A5575,Pr_Base_LNEC!$A$4:$J$6971,7,FALSE)</f>
        <v>0</v>
      </c>
    </row>
    <row r="5576" spans="1:11" ht="14.5">
      <c r="A5576" s="20" t="s">
        <v>28133</v>
      </c>
      <c r="B5576" s="20">
        <v>65</v>
      </c>
      <c r="C5576" s="20">
        <v>52</v>
      </c>
      <c r="D5576" s="20">
        <v>63</v>
      </c>
      <c r="E5576" s="20">
        <v>70</v>
      </c>
      <c r="F5576" s="20" t="s">
        <v>28134</v>
      </c>
      <c r="G5576" s="20" t="s">
        <v>28135</v>
      </c>
      <c r="H5576" s="24"/>
      <c r="I5576" s="24" t="str">
        <f ca="1">IFERROR(__xludf.DUMMYFUNCTION("GOOGLETRANSLATE(F5576,""en"",""pt"")"),"Propileno copolímero de tubos de pressão e acessórios")</f>
        <v>Propileno copolímero de tubos de pressão e acessórios</v>
      </c>
      <c r="J5576">
        <f>VLOOKUP(A5576,Pr_Base_LNEC!$A$4:$J$6971,6,FALSE)</f>
        <v>0</v>
      </c>
      <c r="K5576">
        <f>VLOOKUP(A5576,Pr_Base_LNEC!$A$4:$J$6971,7,FALSE)</f>
        <v>0</v>
      </c>
    </row>
    <row r="5577" spans="1:11" ht="14.5">
      <c r="A5577" s="20" t="s">
        <v>28136</v>
      </c>
      <c r="B5577" s="20">
        <v>65</v>
      </c>
      <c r="C5577" s="20">
        <v>52</v>
      </c>
      <c r="D5577" s="20">
        <v>63</v>
      </c>
      <c r="E5577" s="20">
        <v>78</v>
      </c>
      <c r="F5577" s="20" t="s">
        <v>28137</v>
      </c>
      <c r="G5577" s="20" t="s">
        <v>28138</v>
      </c>
      <c r="H5577" s="24"/>
      <c r="I5577" s="24" t="str">
        <f ca="1">IFERROR(__xludf.DUMMYFUNCTION("GOOGLETRANSLATE(F5577,""en"",""pt"")"),"encanamentos de aço inoxidável")</f>
        <v>encanamentos de aço inoxidável</v>
      </c>
      <c r="J5577">
        <f>VLOOKUP(A5577,Pr_Base_LNEC!$A$4:$J$6971,6,FALSE)</f>
        <v>0</v>
      </c>
      <c r="K5577">
        <f>VLOOKUP(A5577,Pr_Base_LNEC!$A$4:$J$6971,7,FALSE)</f>
        <v>0</v>
      </c>
    </row>
    <row r="5578" spans="1:11" ht="14.5">
      <c r="A5578" s="20" t="s">
        <v>28139</v>
      </c>
      <c r="B5578" s="20">
        <v>65</v>
      </c>
      <c r="C5578" s="20">
        <v>52</v>
      </c>
      <c r="D5578" s="20">
        <v>63</v>
      </c>
      <c r="E5578" s="20">
        <v>79</v>
      </c>
      <c r="F5578" s="20" t="s">
        <v>28140</v>
      </c>
      <c r="G5578" s="20" t="s">
        <v>28141</v>
      </c>
      <c r="H5578" s="24"/>
      <c r="I5578" s="24" t="str">
        <f ca="1">IFERROR(__xludf.DUMMYFUNCTION("GOOGLETRANSLATE(F5578,""en"",""pt"")"),"armação de condutas de aço inoxidável")</f>
        <v>armação de condutas de aço inoxidável</v>
      </c>
      <c r="J5578">
        <f>VLOOKUP(A5578,Pr_Base_LNEC!$A$4:$J$6971,6,FALSE)</f>
        <v>0</v>
      </c>
      <c r="K5578">
        <f>VLOOKUP(A5578,Pr_Base_LNEC!$A$4:$J$6971,7,FALSE)</f>
        <v>0</v>
      </c>
    </row>
    <row r="5579" spans="1:11" ht="14.5">
      <c r="A5579" s="20" t="s">
        <v>28142</v>
      </c>
      <c r="B5579" s="20">
        <v>65</v>
      </c>
      <c r="C5579" s="20">
        <v>52</v>
      </c>
      <c r="D5579" s="20">
        <v>63</v>
      </c>
      <c r="E5579" s="20">
        <v>80</v>
      </c>
      <c r="F5579" s="20" t="s">
        <v>28143</v>
      </c>
      <c r="G5579" s="20" t="s">
        <v>28144</v>
      </c>
      <c r="H5579" s="24"/>
      <c r="I5579" s="24" t="str">
        <f ca="1">IFERROR(__xludf.DUMMYFUNCTION("GOOGLETRANSLATE(F5579,""en"",""pt"")"),"tubos e acessórios de aço inoxidável de águas pluviais de aço")</f>
        <v>tubos e acessórios de aço inoxidável de águas pluviais de aço</v>
      </c>
      <c r="J5579">
        <f>VLOOKUP(A5579,Pr_Base_LNEC!$A$4:$J$6971,6,FALSE)</f>
        <v>0</v>
      </c>
      <c r="K5579">
        <f>VLOOKUP(A5579,Pr_Base_LNEC!$A$4:$J$6971,7,FALSE)</f>
        <v>0</v>
      </c>
    </row>
    <row r="5580" spans="1:11" ht="14.5">
      <c r="A5580" s="20" t="s">
        <v>28145</v>
      </c>
      <c r="B5580" s="20">
        <v>65</v>
      </c>
      <c r="C5580" s="20">
        <v>52</v>
      </c>
      <c r="D5580" s="20">
        <v>63</v>
      </c>
      <c r="E5580" s="20">
        <v>81</v>
      </c>
      <c r="F5580" s="20" t="s">
        <v>28146</v>
      </c>
      <c r="G5580" s="20" t="s">
        <v>28147</v>
      </c>
      <c r="H5580" s="24"/>
      <c r="I5580" s="24" t="str">
        <f ca="1">IFERROR(__xludf.DUMMYFUNCTION("GOOGLETRANSLATE(F5580,""en"",""pt"")"),"tubos e acessórios de águas residuais em aço inoxidável")</f>
        <v>tubos e acessórios de águas residuais em aço inoxidável</v>
      </c>
      <c r="J5580">
        <f>VLOOKUP(A5580,Pr_Base_LNEC!$A$4:$J$6971,6,FALSE)</f>
        <v>0</v>
      </c>
      <c r="K5580">
        <f>VLOOKUP(A5580,Pr_Base_LNEC!$A$4:$J$6971,7,FALSE)</f>
        <v>0</v>
      </c>
    </row>
    <row r="5581" spans="1:11" ht="14.5">
      <c r="A5581" s="20" t="s">
        <v>28148</v>
      </c>
      <c r="B5581" s="20">
        <v>65</v>
      </c>
      <c r="C5581" s="20">
        <v>52</v>
      </c>
      <c r="D5581" s="20">
        <v>63</v>
      </c>
      <c r="E5581" s="20">
        <v>82</v>
      </c>
      <c r="F5581" s="20" t="s">
        <v>28149</v>
      </c>
      <c r="G5581" s="20" t="s">
        <v>28150</v>
      </c>
      <c r="H5581" s="24"/>
      <c r="I5581" s="24" t="str">
        <f ca="1">IFERROR(__xludf.DUMMYFUNCTION("GOOGLETRANSLATE(F5581,""en"",""pt"")"),"encanamentos de aço")</f>
        <v>encanamentos de aço</v>
      </c>
      <c r="J5581">
        <f>VLOOKUP(A5581,Pr_Base_LNEC!$A$4:$J$6971,6,FALSE)</f>
        <v>0</v>
      </c>
      <c r="K5581">
        <f>VLOOKUP(A5581,Pr_Base_LNEC!$A$4:$J$6971,7,FALSE)</f>
        <v>0</v>
      </c>
    </row>
    <row r="5582" spans="1:11" ht="14.5">
      <c r="A5582" s="20" t="s">
        <v>28151</v>
      </c>
      <c r="B5582" s="20">
        <v>65</v>
      </c>
      <c r="C5582" s="20">
        <v>52</v>
      </c>
      <c r="D5582" s="20">
        <v>63</v>
      </c>
      <c r="E5582" s="20">
        <v>83</v>
      </c>
      <c r="F5582" s="20" t="s">
        <v>28152</v>
      </c>
      <c r="G5582" s="20" t="s">
        <v>28153</v>
      </c>
      <c r="H5582" s="24"/>
      <c r="I5582" s="24" t="str">
        <f ca="1">IFERROR(__xludf.DUMMYFUNCTION("GOOGLETRANSLATE(F5582,""en"",""pt"")"),"armação de condutas de aço")</f>
        <v>armação de condutas de aço</v>
      </c>
      <c r="J5582">
        <f>VLOOKUP(A5582,Pr_Base_LNEC!$A$4:$J$6971,6,FALSE)</f>
        <v>0</v>
      </c>
      <c r="K5582">
        <f>VLOOKUP(A5582,Pr_Base_LNEC!$A$4:$J$6971,7,FALSE)</f>
        <v>0</v>
      </c>
    </row>
    <row r="5583" spans="1:11" ht="14.5">
      <c r="A5583" s="20" t="s">
        <v>28154</v>
      </c>
      <c r="B5583" s="20">
        <v>65</v>
      </c>
      <c r="C5583" s="20">
        <v>52</v>
      </c>
      <c r="D5583" s="20">
        <v>63</v>
      </c>
      <c r="E5583" s="20">
        <v>84</v>
      </c>
      <c r="F5583" s="20" t="s">
        <v>28155</v>
      </c>
      <c r="G5583" s="20" t="s">
        <v>28156</v>
      </c>
      <c r="H5583" s="24"/>
      <c r="I5583" s="24" t="str">
        <f ca="1">IFERROR(__xludf.DUMMYFUNCTION("GOOGLETRANSLATE(F5583,""en"",""pt"")"),"tubos de aço e acessórios para combustíveis líquidos")</f>
        <v>tubos de aço e acessórios para combustíveis líquidos</v>
      </c>
      <c r="J5583">
        <f>VLOOKUP(A5583,Pr_Base_LNEC!$A$4:$J$6971,6,FALSE)</f>
        <v>0</v>
      </c>
      <c r="K5583">
        <f>VLOOKUP(A5583,Pr_Base_LNEC!$A$4:$J$6971,7,FALSE)</f>
        <v>0</v>
      </c>
    </row>
    <row r="5584" spans="1:11" ht="14.5">
      <c r="A5584" s="20" t="s">
        <v>28157</v>
      </c>
      <c r="B5584" s="20">
        <v>65</v>
      </c>
      <c r="C5584" s="20">
        <v>52</v>
      </c>
      <c r="D5584" s="20">
        <v>63</v>
      </c>
      <c r="E5584" s="20">
        <v>87</v>
      </c>
      <c r="F5584" s="20" t="s">
        <v>28158</v>
      </c>
      <c r="G5584" s="20" t="s">
        <v>28159</v>
      </c>
      <c r="H5584" s="24"/>
      <c r="I5584" s="24" t="str">
        <f ca="1">IFERROR(__xludf.DUMMYFUNCTION("GOOGLETRANSLATE(F5584,""en"",""pt"")"),"cloreto de polivinilo não plastificado (PVC-U) de tubo de drenagem e acessórios")</f>
        <v>cloreto de polivinilo não plastificado (PVC-U) de tubo de drenagem e acessórios</v>
      </c>
      <c r="J5584">
        <f>VLOOKUP(A5584,Pr_Base_LNEC!$A$4:$J$6971,6,FALSE)</f>
        <v>0</v>
      </c>
      <c r="K5584">
        <f>VLOOKUP(A5584,Pr_Base_LNEC!$A$4:$J$6971,7,FALSE)</f>
        <v>0</v>
      </c>
    </row>
    <row r="5585" spans="1:11" ht="14.5">
      <c r="A5585" s="20" t="s">
        <v>28160</v>
      </c>
      <c r="B5585" s="20">
        <v>65</v>
      </c>
      <c r="C5585" s="20">
        <v>52</v>
      </c>
      <c r="D5585" s="20">
        <v>63</v>
      </c>
      <c r="E5585" s="20">
        <v>88</v>
      </c>
      <c r="F5585" s="20" t="s">
        <v>28161</v>
      </c>
      <c r="G5585" s="20" t="s">
        <v>28162</v>
      </c>
      <c r="H5585" s="24"/>
      <c r="I5585" s="24" t="str">
        <f ca="1">IFERROR(__xludf.DUMMYFUNCTION("GOOGLETRANSLATE(F5585,""en"",""pt"")"),"de cloreto de polivinilo não plastificado (PVC-U) tubos de água da chuva e acessórios")</f>
        <v>de cloreto de polivinilo não plastificado (PVC-U) tubos de água da chuva e acessórios</v>
      </c>
      <c r="J5585">
        <f>VLOOKUP(A5585,Pr_Base_LNEC!$A$4:$J$6971,6,FALSE)</f>
        <v>0</v>
      </c>
      <c r="K5585">
        <f>VLOOKUP(A5585,Pr_Base_LNEC!$A$4:$J$6971,7,FALSE)</f>
        <v>0</v>
      </c>
    </row>
    <row r="5586" spans="1:11" ht="14.5">
      <c r="A5586" s="20" t="s">
        <v>28163</v>
      </c>
      <c r="B5586" s="20">
        <v>65</v>
      </c>
      <c r="C5586" s="20">
        <v>52</v>
      </c>
      <c r="D5586" s="20">
        <v>63</v>
      </c>
      <c r="E5586" s="20">
        <v>89</v>
      </c>
      <c r="F5586" s="20" t="s">
        <v>28164</v>
      </c>
      <c r="G5586" s="20" t="s">
        <v>28165</v>
      </c>
      <c r="H5586" s="24"/>
      <c r="I5586" s="24" t="str">
        <f ca="1">IFERROR(__xludf.DUMMYFUNCTION("GOOGLETRANSLATE(F5586,""en"",""pt"")"),"de cloreto de polivinilo não plastificado (PVC-U) oleodutos")</f>
        <v>de cloreto de polivinilo não plastificado (PVC-U) oleodutos</v>
      </c>
      <c r="J5586">
        <f>VLOOKUP(A5586,Pr_Base_LNEC!$A$4:$J$6971,6,FALSE)</f>
        <v>0</v>
      </c>
      <c r="K5586">
        <f>VLOOKUP(A5586,Pr_Base_LNEC!$A$4:$J$6971,7,FALSE)</f>
        <v>0</v>
      </c>
    </row>
    <row r="5587" spans="1:11" ht="14.5">
      <c r="A5587" s="20" t="s">
        <v>28166</v>
      </c>
      <c r="B5587" s="20">
        <v>65</v>
      </c>
      <c r="C5587" s="20">
        <v>52</v>
      </c>
      <c r="D5587" s="20">
        <v>63</v>
      </c>
      <c r="E5587" s="20">
        <v>90</v>
      </c>
      <c r="F5587" s="20" t="s">
        <v>28167</v>
      </c>
      <c r="G5587" s="24"/>
      <c r="H5587" s="24"/>
      <c r="I5587" s="24" t="str">
        <f ca="1">IFERROR(__xludf.DUMMYFUNCTION("GOOGLETRANSLATE(F5587,""en"",""pt"")"),"cloreto de polivinilo não plastificado (PVC-U) tubos de parede sólidas e acessórios")</f>
        <v>cloreto de polivinilo não plastificado (PVC-U) tubos de parede sólidas e acessórios</v>
      </c>
      <c r="J5587">
        <f>VLOOKUP(A5587,Pr_Base_LNEC!$A$4:$J$6971,6,FALSE)</f>
        <v>0</v>
      </c>
      <c r="K5587">
        <f>VLOOKUP(A5587,Pr_Base_LNEC!$A$4:$J$6971,7,FALSE)</f>
        <v>0</v>
      </c>
    </row>
    <row r="5588" spans="1:11" ht="14.5">
      <c r="A5588" s="20" t="s">
        <v>28168</v>
      </c>
      <c r="B5588" s="20">
        <v>65</v>
      </c>
      <c r="C5588" s="20">
        <v>52</v>
      </c>
      <c r="D5588" s="20">
        <v>63</v>
      </c>
      <c r="E5588" s="20">
        <v>91</v>
      </c>
      <c r="F5588" s="20" t="s">
        <v>28169</v>
      </c>
      <c r="G5588" s="24"/>
      <c r="H5588" s="24"/>
      <c r="I5588" s="24" t="str">
        <f ca="1">IFERROR(__xludf.DUMMYFUNCTION("GOOGLETRANSLATE(F5588,""en"",""pt"")"),"cloreto de polivinilo não plastificado parede (PVC-U) estruturado perfurada tubos e acessórios")</f>
        <v>cloreto de polivinilo não plastificado parede (PVC-U) estruturado perfurada tubos e acessórios</v>
      </c>
      <c r="J5588">
        <f>VLOOKUP(A5588,Pr_Base_LNEC!$A$4:$J$6971,6,FALSE)</f>
        <v>0</v>
      </c>
      <c r="K5588">
        <f>VLOOKUP(A5588,Pr_Base_LNEC!$A$4:$J$6971,7,FALSE)</f>
        <v>0</v>
      </c>
    </row>
    <row r="5589" spans="1:11" ht="14.5">
      <c r="A5589" s="20" t="s">
        <v>28170</v>
      </c>
      <c r="B5589" s="20">
        <v>65</v>
      </c>
      <c r="C5589" s="20">
        <v>52</v>
      </c>
      <c r="D5589" s="20">
        <v>63</v>
      </c>
      <c r="E5589" s="20">
        <v>92</v>
      </c>
      <c r="F5589" s="20" t="s">
        <v>28171</v>
      </c>
      <c r="G5589" s="24"/>
      <c r="H5589" s="24"/>
      <c r="I5589" s="24" t="str">
        <f ca="1">IFERROR(__xludf.DUMMYFUNCTION("GOOGLETRANSLATE(F5589,""en"",""pt"")"),"Não plastificada de cloreto de polivinilo (PVC-U) estruturado tubos de parede e acessórios")</f>
        <v>Não plastificada de cloreto de polivinilo (PVC-U) estruturado tubos de parede e acessórios</v>
      </c>
      <c r="J5589">
        <f>VLOOKUP(A5589,Pr_Base_LNEC!$A$4:$J$6971,6,FALSE)</f>
        <v>0</v>
      </c>
      <c r="K5589">
        <f>VLOOKUP(A5589,Pr_Base_LNEC!$A$4:$J$6971,7,FALSE)</f>
        <v>0</v>
      </c>
    </row>
    <row r="5590" spans="1:11" ht="14.5">
      <c r="A5590" s="20" t="s">
        <v>28172</v>
      </c>
      <c r="B5590" s="20">
        <v>65</v>
      </c>
      <c r="C5590" s="20">
        <v>52</v>
      </c>
      <c r="D5590" s="20">
        <v>63</v>
      </c>
      <c r="E5590" s="20">
        <v>93</v>
      </c>
      <c r="F5590" s="20" t="s">
        <v>28173</v>
      </c>
      <c r="G5590" s="24"/>
      <c r="H5590" s="24"/>
      <c r="I5590" s="24" t="str">
        <f ca="1">IFERROR(__xludf.DUMMYFUNCTION("GOOGLETRANSLATE(F5590,""en"",""pt"")"),"Não plastificado liga de cloreto de polivinilo (PVC-A), tubos e acessórios")</f>
        <v>Não plastificado liga de cloreto de polivinilo (PVC-A), tubos e acessórios</v>
      </c>
      <c r="J5590">
        <f>VLOOKUP(A5590,Pr_Base_LNEC!$A$4:$J$6971,6,FALSE)</f>
        <v>0</v>
      </c>
      <c r="K5590">
        <f>VLOOKUP(A5590,Pr_Base_LNEC!$A$4:$J$6971,7,FALSE)</f>
        <v>0</v>
      </c>
    </row>
    <row r="5591" spans="1:11" ht="14.5">
      <c r="A5591" s="20" t="s">
        <v>28174</v>
      </c>
      <c r="B5591" s="20">
        <v>65</v>
      </c>
      <c r="C5591" s="20">
        <v>52</v>
      </c>
      <c r="D5591" s="20">
        <v>63</v>
      </c>
      <c r="E5591" s="20">
        <v>94</v>
      </c>
      <c r="F5591" s="20" t="s">
        <v>28175</v>
      </c>
      <c r="G5591" s="24"/>
      <c r="H5591" s="24"/>
      <c r="I5591" s="24" t="str">
        <f ca="1">IFERROR(__xludf.DUMMYFUNCTION("GOOGLETRANSLATE(F5591,""en"",""pt"")"),"argila perfurado tubos e acessórios vitrificados")</f>
        <v>argila perfurado tubos e acessórios vitrificados</v>
      </c>
      <c r="J5591">
        <f>VLOOKUP(A5591,Pr_Base_LNEC!$A$4:$J$6971,6,FALSE)</f>
        <v>0</v>
      </c>
      <c r="K5591">
        <f>VLOOKUP(A5591,Pr_Base_LNEC!$A$4:$J$6971,7,FALSE)</f>
        <v>0</v>
      </c>
    </row>
    <row r="5592" spans="1:11" ht="14.5">
      <c r="A5592" s="20" t="s">
        <v>28176</v>
      </c>
      <c r="B5592" s="20">
        <v>65</v>
      </c>
      <c r="C5592" s="20">
        <v>52</v>
      </c>
      <c r="D5592" s="20">
        <v>63</v>
      </c>
      <c r="E5592" s="20">
        <v>95</v>
      </c>
      <c r="F5592" s="20" t="s">
        <v>28177</v>
      </c>
      <c r="G5592" s="24"/>
      <c r="H5592" s="24"/>
      <c r="I5592" s="24" t="str">
        <f ca="1">IFERROR(__xludf.DUMMYFUNCTION("GOOGLETRANSLATE(F5592,""en"",""pt"")"),"argila vitrificada parede lisa da extremidade aberta tubos e acessórios conjuntos")</f>
        <v>argila vitrificada parede lisa da extremidade aberta tubos e acessórios conjuntos</v>
      </c>
      <c r="J5592">
        <f>VLOOKUP(A5592,Pr_Base_LNEC!$A$4:$J$6971,6,FALSE)</f>
        <v>0</v>
      </c>
      <c r="K5592">
        <f>VLOOKUP(A5592,Pr_Base_LNEC!$A$4:$J$6971,7,FALSE)</f>
        <v>0</v>
      </c>
    </row>
    <row r="5593" spans="1:11" ht="14.5">
      <c r="A5593" s="20" t="s">
        <v>28178</v>
      </c>
      <c r="B5593" s="20">
        <v>65</v>
      </c>
      <c r="C5593" s="20">
        <v>52</v>
      </c>
      <c r="D5593" s="20">
        <v>63</v>
      </c>
      <c r="E5593" s="20">
        <v>96</v>
      </c>
      <c r="F5593" s="20" t="s">
        <v>28179</v>
      </c>
      <c r="G5593" s="24"/>
      <c r="H5593" s="24"/>
      <c r="I5593" s="24" t="str">
        <f ca="1">IFERROR(__xludf.DUMMYFUNCTION("GOOGLETRANSLATE(F5593,""en"",""pt"")"),"tubos e acessórios de parede simples de argila vitrificada")</f>
        <v>tubos e acessórios de parede simples de argila vitrificada</v>
      </c>
      <c r="J5593">
        <f>VLOOKUP(A5593,Pr_Base_LNEC!$A$4:$J$6971,6,FALSE)</f>
        <v>0</v>
      </c>
      <c r="K5593">
        <f>VLOOKUP(A5593,Pr_Base_LNEC!$A$4:$J$6971,7,FALSE)</f>
        <v>0</v>
      </c>
    </row>
    <row r="5594" spans="1:11" ht="14.5">
      <c r="A5594" s="20" t="s">
        <v>28180</v>
      </c>
      <c r="B5594" s="20">
        <v>65</v>
      </c>
      <c r="C5594" s="20">
        <v>52</v>
      </c>
      <c r="D5594" s="20">
        <v>63</v>
      </c>
      <c r="E5594" s="20">
        <v>99</v>
      </c>
      <c r="F5594" s="20" t="s">
        <v>28181</v>
      </c>
      <c r="G5594" s="20" t="s">
        <v>28182</v>
      </c>
      <c r="H5594" s="24"/>
      <c r="I5594" s="24" t="str">
        <f ca="1">IFERROR(__xludf.DUMMYFUNCTION("GOOGLETRANSLATE(F5594,""en"",""pt"")"),"tubos de água da chuva e de zinco acessórios")</f>
        <v>tubos de água da chuva e de zinco acessórios</v>
      </c>
      <c r="J5594">
        <f>VLOOKUP(A5594,Pr_Base_LNEC!$A$4:$J$6971,6,FALSE)</f>
        <v>0</v>
      </c>
      <c r="K5594">
        <f>VLOOKUP(A5594,Pr_Base_LNEC!$A$4:$J$6971,7,FALSE)</f>
        <v>0</v>
      </c>
    </row>
    <row r="5595" spans="1:11" ht="14.5">
      <c r="A5595" s="20" t="s">
        <v>28183</v>
      </c>
      <c r="B5595" s="20">
        <v>65</v>
      </c>
      <c r="C5595" s="20">
        <v>53</v>
      </c>
      <c r="D5595" s="24"/>
      <c r="E5595" s="24"/>
      <c r="F5595" s="20" t="s">
        <v>28184</v>
      </c>
      <c r="G5595" s="24"/>
      <c r="H5595" s="24"/>
      <c r="I5595" s="24" t="str">
        <f ca="1">IFERROR(__xludf.DUMMYFUNCTION("GOOGLETRANSLATE(F5595,""en"",""pt"")"),"produtos de bomba")</f>
        <v>produtos de bomba</v>
      </c>
      <c r="J5595" t="str">
        <f>VLOOKUP(A5595,Pr_Base_LNEC!$A$4:$J$6971,6,FALSE)</f>
        <v>Produtos para Bombagens</v>
      </c>
      <c r="K5595">
        <f>VLOOKUP(A5595,Pr_Base_LNEC!$A$4:$J$6971,7,FALSE)</f>
        <v>0</v>
      </c>
    </row>
    <row r="5596" spans="1:11" ht="14.5">
      <c r="A5596" s="20" t="s">
        <v>28185</v>
      </c>
      <c r="B5596" s="20">
        <v>65</v>
      </c>
      <c r="C5596" s="20">
        <v>53</v>
      </c>
      <c r="D5596" s="20">
        <v>24</v>
      </c>
      <c r="E5596" s="24"/>
      <c r="F5596" s="20" t="s">
        <v>28186</v>
      </c>
      <c r="G5596" s="24"/>
      <c r="H5596" s="24"/>
      <c r="I5596" s="24" t="str">
        <f ca="1">IFERROR(__xludf.DUMMYFUNCTION("GOOGLETRANSLATE(F5596,""en"",""pt"")"),"bombas de drenagem")</f>
        <v>bombas de drenagem</v>
      </c>
      <c r="J5596">
        <f>VLOOKUP(A5596,Pr_Base_LNEC!$A$4:$J$6971,6,FALSE)</f>
        <v>0</v>
      </c>
      <c r="K5596">
        <f>VLOOKUP(A5596,Pr_Base_LNEC!$A$4:$J$6971,7,FALSE)</f>
        <v>0</v>
      </c>
    </row>
    <row r="5597" spans="1:11" ht="14.5">
      <c r="A5597" s="20" t="s">
        <v>28187</v>
      </c>
      <c r="B5597" s="20">
        <v>65</v>
      </c>
      <c r="C5597" s="20">
        <v>53</v>
      </c>
      <c r="D5597" s="20">
        <v>24</v>
      </c>
      <c r="E5597" s="20">
        <v>80</v>
      </c>
      <c r="F5597" s="20" t="s">
        <v>28188</v>
      </c>
      <c r="G5597" s="20" t="s">
        <v>28189</v>
      </c>
      <c r="H5597" s="24"/>
      <c r="I5597" s="24" t="str">
        <f ca="1">IFERROR(__xludf.DUMMYFUNCTION("GOOGLETRANSLATE(F5597,""en"",""pt"")"),"Pequeno triturador de descarga furo e bombas")</f>
        <v>Pequeno triturador de descarga furo e bombas</v>
      </c>
      <c r="J5597">
        <f>VLOOKUP(A5597,Pr_Base_LNEC!$A$4:$J$6971,6,FALSE)</f>
        <v>0</v>
      </c>
      <c r="K5597">
        <f>VLOOKUP(A5597,Pr_Base_LNEC!$A$4:$J$6971,7,FALSE)</f>
        <v>0</v>
      </c>
    </row>
    <row r="5598" spans="1:11" ht="14.5">
      <c r="A5598" s="20" t="s">
        <v>28190</v>
      </c>
      <c r="B5598" s="20">
        <v>65</v>
      </c>
      <c r="C5598" s="20">
        <v>53</v>
      </c>
      <c r="D5598" s="20">
        <v>24</v>
      </c>
      <c r="E5598" s="20">
        <v>81</v>
      </c>
      <c r="F5598" s="20" t="s">
        <v>28191</v>
      </c>
      <c r="G5598" s="20" t="s">
        <v>28192</v>
      </c>
      <c r="H5598" s="24"/>
      <c r="I5598" s="24" t="str">
        <f ca="1">IFERROR(__xludf.DUMMYFUNCTION("GOOGLETRANSLATE(F5598,""en"",""pt"")"),"Bombas de descarga furo pequeno")</f>
        <v>Bombas de descarga furo pequeno</v>
      </c>
      <c r="J5598">
        <f>VLOOKUP(A5598,Pr_Base_LNEC!$A$4:$J$6971,6,FALSE)</f>
        <v>0</v>
      </c>
      <c r="K5598">
        <f>VLOOKUP(A5598,Pr_Base_LNEC!$A$4:$J$6971,7,FALSE)</f>
        <v>0</v>
      </c>
    </row>
    <row r="5599" spans="1:11" ht="14.5">
      <c r="A5599" s="20" t="s">
        <v>28193</v>
      </c>
      <c r="B5599" s="20">
        <v>65</v>
      </c>
      <c r="C5599" s="20">
        <v>53</v>
      </c>
      <c r="D5599" s="20">
        <v>24</v>
      </c>
      <c r="E5599" s="20">
        <v>86</v>
      </c>
      <c r="F5599" s="20" t="s">
        <v>28194</v>
      </c>
      <c r="G5599" s="20" t="s">
        <v>28195</v>
      </c>
      <c r="H5599" s="24"/>
      <c r="I5599" s="24" t="str">
        <f ca="1">IFERROR(__xludf.DUMMYFUNCTION("GOOGLETRANSLATE(F5599,""en"",""pt"")"),"Bombas submersíveis")</f>
        <v>Bombas submersíveis</v>
      </c>
      <c r="J5599">
        <f>VLOOKUP(A5599,Pr_Base_LNEC!$A$4:$J$6971,6,FALSE)</f>
        <v>0</v>
      </c>
      <c r="K5599">
        <f>VLOOKUP(A5599,Pr_Base_LNEC!$A$4:$J$6971,7,FALSE)</f>
        <v>0</v>
      </c>
    </row>
    <row r="5600" spans="1:11" ht="14.5">
      <c r="A5600" s="20" t="s">
        <v>28196</v>
      </c>
      <c r="B5600" s="20">
        <v>65</v>
      </c>
      <c r="C5600" s="20">
        <v>53</v>
      </c>
      <c r="D5600" s="20">
        <v>65</v>
      </c>
      <c r="E5600" s="24"/>
      <c r="F5600" s="20" t="s">
        <v>28197</v>
      </c>
      <c r="G5600" s="24"/>
      <c r="H5600" s="24"/>
      <c r="I5600" s="24" t="str">
        <f ca="1">IFERROR(__xludf.DUMMYFUNCTION("GOOGLETRANSLATE(F5600,""en"",""pt"")"),"bomba acessórios")</f>
        <v>bomba acessórios</v>
      </c>
      <c r="J5600">
        <f>VLOOKUP(A5600,Pr_Base_LNEC!$A$4:$J$6971,6,FALSE)</f>
        <v>0</v>
      </c>
      <c r="K5600">
        <f>VLOOKUP(A5600,Pr_Base_LNEC!$A$4:$J$6971,7,FALSE)</f>
        <v>0</v>
      </c>
    </row>
    <row r="5601" spans="1:11" ht="14.5">
      <c r="A5601" s="20" t="s">
        <v>28198</v>
      </c>
      <c r="B5601" s="20">
        <v>65</v>
      </c>
      <c r="C5601" s="20">
        <v>53</v>
      </c>
      <c r="D5601" s="20">
        <v>65</v>
      </c>
      <c r="E5601" s="20">
        <v>4</v>
      </c>
      <c r="F5601" s="20" t="s">
        <v>28199</v>
      </c>
      <c r="G5601" s="24"/>
      <c r="H5601" s="24"/>
      <c r="I5601" s="24" t="str">
        <f ca="1">IFERROR(__xludf.DUMMYFUNCTION("GOOGLETRANSLATE(F5601,""en"",""pt"")"),"conjuntos de acoplamento automático")</f>
        <v>conjuntos de acoplamento automático</v>
      </c>
      <c r="J5601">
        <f>VLOOKUP(A5601,Pr_Base_LNEC!$A$4:$J$6971,6,FALSE)</f>
        <v>0</v>
      </c>
      <c r="K5601">
        <f>VLOOKUP(A5601,Pr_Base_LNEC!$A$4:$J$6971,7,FALSE)</f>
        <v>0</v>
      </c>
    </row>
    <row r="5602" spans="1:11" ht="14.5">
      <c r="A5602" s="20" t="s">
        <v>28200</v>
      </c>
      <c r="B5602" s="20">
        <v>65</v>
      </c>
      <c r="C5602" s="20">
        <v>53</v>
      </c>
      <c r="D5602" s="20">
        <v>86</v>
      </c>
      <c r="E5602" s="24"/>
      <c r="F5602" s="20" t="s">
        <v>28201</v>
      </c>
      <c r="G5602" s="24"/>
      <c r="H5602" s="24"/>
      <c r="I5602" s="24" t="str">
        <f ca="1">IFERROR(__xludf.DUMMYFUNCTION("GOOGLETRANSLATE(F5602,""en"",""pt"")"),"Fornecimento e bombas de escape")</f>
        <v>Fornecimento e bombas de escape</v>
      </c>
      <c r="J5602">
        <f>VLOOKUP(A5602,Pr_Base_LNEC!$A$4:$J$6971,6,FALSE)</f>
        <v>0</v>
      </c>
      <c r="K5602">
        <f>VLOOKUP(A5602,Pr_Base_LNEC!$A$4:$J$6971,7,FALSE)</f>
        <v>0</v>
      </c>
    </row>
    <row r="5603" spans="1:11" ht="14.5">
      <c r="A5603" s="20" t="s">
        <v>28202</v>
      </c>
      <c r="B5603" s="20">
        <v>65</v>
      </c>
      <c r="C5603" s="20">
        <v>53</v>
      </c>
      <c r="D5603" s="20">
        <v>86</v>
      </c>
      <c r="E5603" s="20">
        <v>5</v>
      </c>
      <c r="F5603" s="20" t="s">
        <v>28203</v>
      </c>
      <c r="G5603" s="20" t="s">
        <v>28204</v>
      </c>
      <c r="H5603" s="24"/>
      <c r="I5603" s="24" t="str">
        <f ca="1">IFERROR(__xludf.DUMMYFUNCTION("GOOGLETRANSLATE(F5603,""en"",""pt"")"),"Bombas de condensado automática")</f>
        <v>Bombas de condensado automática</v>
      </c>
      <c r="J5603">
        <f>VLOOKUP(A5603,Pr_Base_LNEC!$A$4:$J$6971,6,FALSE)</f>
        <v>0</v>
      </c>
      <c r="K5603">
        <f>VLOOKUP(A5603,Pr_Base_LNEC!$A$4:$J$6971,7,FALSE)</f>
        <v>0</v>
      </c>
    </row>
    <row r="5604" spans="1:11" ht="14.5">
      <c r="A5604" s="20" t="s">
        <v>28205</v>
      </c>
      <c r="B5604" s="20">
        <v>65</v>
      </c>
      <c r="C5604" s="20">
        <v>53</v>
      </c>
      <c r="D5604" s="20">
        <v>86</v>
      </c>
      <c r="E5604" s="20">
        <v>7</v>
      </c>
      <c r="F5604" s="20" t="s">
        <v>28206</v>
      </c>
      <c r="G5604" s="20" t="s">
        <v>28207</v>
      </c>
      <c r="H5604" s="24"/>
      <c r="I5604" s="24" t="str">
        <f ca="1">IFERROR(__xludf.DUMMYFUNCTION("GOOGLETRANSLATE(F5604,""en"",""pt"")"),"bombas de sucção de extremidade de correia accionado")</f>
        <v>bombas de sucção de extremidade de correia accionado</v>
      </c>
      <c r="J5604">
        <f>VLOOKUP(A5604,Pr_Base_LNEC!$A$4:$J$6971,6,FALSE)</f>
        <v>0</v>
      </c>
      <c r="K5604">
        <f>VLOOKUP(A5604,Pr_Base_LNEC!$A$4:$J$6971,7,FALSE)</f>
        <v>0</v>
      </c>
    </row>
    <row r="5605" spans="1:11" ht="14.5">
      <c r="A5605" s="20" t="s">
        <v>28208</v>
      </c>
      <c r="B5605" s="20">
        <v>65</v>
      </c>
      <c r="C5605" s="20">
        <v>53</v>
      </c>
      <c r="D5605" s="20">
        <v>86</v>
      </c>
      <c r="E5605" s="20">
        <v>11</v>
      </c>
      <c r="F5605" s="20" t="s">
        <v>28209</v>
      </c>
      <c r="G5605" s="20" t="s">
        <v>28210</v>
      </c>
      <c r="H5605" s="24"/>
      <c r="I5605" s="24" t="str">
        <f ca="1">IFERROR(__xludf.DUMMYFUNCTION("GOOGLETRANSLATE(F5605,""en"",""pt"")"),"As bombas de rotor enlatados")</f>
        <v>As bombas de rotor enlatados</v>
      </c>
      <c r="J5605">
        <f>VLOOKUP(A5605,Pr_Base_LNEC!$A$4:$J$6971,6,FALSE)</f>
        <v>0</v>
      </c>
      <c r="K5605">
        <f>VLOOKUP(A5605,Pr_Base_LNEC!$A$4:$J$6971,7,FALSE)</f>
        <v>0</v>
      </c>
    </row>
    <row r="5606" spans="1:11" ht="14.5">
      <c r="A5606" s="20" t="s">
        <v>28211</v>
      </c>
      <c r="B5606" s="20">
        <v>65</v>
      </c>
      <c r="C5606" s="20">
        <v>53</v>
      </c>
      <c r="D5606" s="20">
        <v>86</v>
      </c>
      <c r="E5606" s="20">
        <v>12</v>
      </c>
      <c r="F5606" s="20" t="s">
        <v>28212</v>
      </c>
      <c r="G5606" s="24"/>
      <c r="H5606" s="24"/>
      <c r="I5606" s="24" t="str">
        <f ca="1">IFERROR(__xludf.DUMMYFUNCTION("GOOGLETRANSLATE(F5606,""en"",""pt"")"),"Bombas centrífugas")</f>
        <v>Bombas centrífugas</v>
      </c>
      <c r="J5606">
        <f>VLOOKUP(A5606,Pr_Base_LNEC!$A$4:$J$6971,6,FALSE)</f>
        <v>0</v>
      </c>
      <c r="K5606">
        <f>VLOOKUP(A5606,Pr_Base_LNEC!$A$4:$J$6971,7,FALSE)</f>
        <v>0</v>
      </c>
    </row>
    <row r="5607" spans="1:11" ht="14.5">
      <c r="A5607" s="20" t="s">
        <v>28213</v>
      </c>
      <c r="B5607" s="20">
        <v>65</v>
      </c>
      <c r="C5607" s="20">
        <v>53</v>
      </c>
      <c r="D5607" s="20">
        <v>86</v>
      </c>
      <c r="E5607" s="20">
        <v>13</v>
      </c>
      <c r="F5607" s="20" t="s">
        <v>28214</v>
      </c>
      <c r="G5607" s="20" t="s">
        <v>28215</v>
      </c>
      <c r="H5607" s="24"/>
      <c r="I5607" s="24" t="str">
        <f ca="1">IFERROR(__xludf.DUMMYFUNCTION("GOOGLETRANSLATE(F5607,""en"",""pt"")"),"As bombas de sucção final monobloco")</f>
        <v>As bombas de sucção final monobloco</v>
      </c>
      <c r="J5607">
        <f>VLOOKUP(A5607,Pr_Base_LNEC!$A$4:$J$6971,6,FALSE)</f>
        <v>0</v>
      </c>
      <c r="K5607">
        <f>VLOOKUP(A5607,Pr_Base_LNEC!$A$4:$J$6971,7,FALSE)</f>
        <v>0</v>
      </c>
    </row>
    <row r="5608" spans="1:11" ht="14.5">
      <c r="A5608" s="20" t="s">
        <v>28216</v>
      </c>
      <c r="B5608" s="20">
        <v>65</v>
      </c>
      <c r="C5608" s="20">
        <v>53</v>
      </c>
      <c r="D5608" s="20">
        <v>86</v>
      </c>
      <c r="E5608" s="20">
        <v>15</v>
      </c>
      <c r="F5608" s="20" t="s">
        <v>28217</v>
      </c>
      <c r="G5608" s="20" t="s">
        <v>28218</v>
      </c>
      <c r="H5608" s="24"/>
      <c r="I5608" s="24" t="str">
        <f ca="1">IFERROR(__xludf.DUMMYFUNCTION("GOOGLETRANSLATE(F5608,""en"",""pt"")"),"Close-acoplados em bombas de linha")</f>
        <v>Close-acoplados em bombas de linha</v>
      </c>
      <c r="J5608">
        <f>VLOOKUP(A5608,Pr_Base_LNEC!$A$4:$J$6971,6,FALSE)</f>
        <v>0</v>
      </c>
      <c r="K5608">
        <f>VLOOKUP(A5608,Pr_Base_LNEC!$A$4:$J$6971,7,FALSE)</f>
        <v>0</v>
      </c>
    </row>
    <row r="5609" spans="1:11" ht="14.5">
      <c r="A5609" s="20" t="s">
        <v>28219</v>
      </c>
      <c r="B5609" s="20">
        <v>65</v>
      </c>
      <c r="C5609" s="20">
        <v>53</v>
      </c>
      <c r="D5609" s="20">
        <v>86</v>
      </c>
      <c r="E5609" s="20">
        <v>17</v>
      </c>
      <c r="F5609" s="20" t="s">
        <v>28220</v>
      </c>
      <c r="G5609" s="20" t="s">
        <v>28221</v>
      </c>
      <c r="H5609" s="24"/>
      <c r="I5609" s="24" t="str">
        <f ca="1">IFERROR(__xludf.DUMMYFUNCTION("GOOGLETRANSLATE(F5609,""en"",""pt"")"),"unidades de recuperação de condensado")</f>
        <v>unidades de recuperação de condensado</v>
      </c>
      <c r="J5609">
        <f>VLOOKUP(A5609,Pr_Base_LNEC!$A$4:$J$6971,6,FALSE)</f>
        <v>0</v>
      </c>
      <c r="K5609">
        <f>VLOOKUP(A5609,Pr_Base_LNEC!$A$4:$J$6971,7,FALSE)</f>
        <v>0</v>
      </c>
    </row>
    <row r="5610" spans="1:11" ht="14.5">
      <c r="A5610" s="20" t="s">
        <v>28222</v>
      </c>
      <c r="B5610" s="20">
        <v>65</v>
      </c>
      <c r="C5610" s="20">
        <v>53</v>
      </c>
      <c r="D5610" s="20">
        <v>86</v>
      </c>
      <c r="E5610" s="20">
        <v>24</v>
      </c>
      <c r="F5610" s="20" t="s">
        <v>28223</v>
      </c>
      <c r="G5610" s="20" t="s">
        <v>28224</v>
      </c>
      <c r="H5610" s="24"/>
      <c r="I5610" s="24" t="str">
        <f ca="1">IFERROR(__xludf.DUMMYFUNCTION("GOOGLETRANSLATE(F5610,""en"",""pt"")"),"unidades de bomba doseadora")</f>
        <v>unidades de bomba doseadora</v>
      </c>
      <c r="J5610">
        <f>VLOOKUP(A5610,Pr_Base_LNEC!$A$4:$J$6971,6,FALSE)</f>
        <v>0</v>
      </c>
      <c r="K5610">
        <f>VLOOKUP(A5610,Pr_Base_LNEC!$A$4:$J$6971,7,FALSE)</f>
        <v>0</v>
      </c>
    </row>
    <row r="5611" spans="1:11" ht="14.5">
      <c r="A5611" s="20" t="s">
        <v>28225</v>
      </c>
      <c r="B5611" s="20">
        <v>65</v>
      </c>
      <c r="C5611" s="20">
        <v>53</v>
      </c>
      <c r="D5611" s="20">
        <v>86</v>
      </c>
      <c r="E5611" s="20">
        <v>32</v>
      </c>
      <c r="F5611" s="20" t="s">
        <v>28226</v>
      </c>
      <c r="G5611" s="20" t="s">
        <v>28227</v>
      </c>
      <c r="H5611" s="24"/>
      <c r="I5611" s="24" t="str">
        <f ca="1">IFERROR(__xludf.DUMMYFUNCTION("GOOGLETRANSLATE(F5611,""en"",""pt"")"),"bombas de transferência de óleo combustível")</f>
        <v>bombas de transferência de óleo combustível</v>
      </c>
      <c r="J5611">
        <f>VLOOKUP(A5611,Pr_Base_LNEC!$A$4:$J$6971,6,FALSE)</f>
        <v>0</v>
      </c>
      <c r="K5611">
        <f>VLOOKUP(A5611,Pr_Base_LNEC!$A$4:$J$6971,7,FALSE)</f>
        <v>0</v>
      </c>
    </row>
    <row r="5612" spans="1:11" ht="14.5">
      <c r="A5612" s="20" t="s">
        <v>28228</v>
      </c>
      <c r="B5612" s="20">
        <v>65</v>
      </c>
      <c r="C5612" s="20">
        <v>53</v>
      </c>
      <c r="D5612" s="20">
        <v>86</v>
      </c>
      <c r="E5612" s="20">
        <v>33</v>
      </c>
      <c r="F5612" s="20" t="s">
        <v>28229</v>
      </c>
      <c r="G5612" s="20" t="s">
        <v>28230</v>
      </c>
      <c r="H5612" s="24"/>
      <c r="I5612" s="24" t="str">
        <f ca="1">IFERROR(__xludf.DUMMYFUNCTION("GOOGLETRANSLATE(F5612,""en"",""pt"")"),"boosters de gás")</f>
        <v>boosters de gás</v>
      </c>
      <c r="J5612">
        <f>VLOOKUP(A5612,Pr_Base_LNEC!$A$4:$J$6971,6,FALSE)</f>
        <v>0</v>
      </c>
      <c r="K5612">
        <f>VLOOKUP(A5612,Pr_Base_LNEC!$A$4:$J$6971,7,FALSE)</f>
        <v>0</v>
      </c>
    </row>
    <row r="5613" spans="1:11" ht="14.5">
      <c r="A5613" s="20" t="s">
        <v>28231</v>
      </c>
      <c r="B5613" s="20">
        <v>65</v>
      </c>
      <c r="C5613" s="20">
        <v>53</v>
      </c>
      <c r="D5613" s="20">
        <v>86</v>
      </c>
      <c r="E5613" s="20">
        <v>50</v>
      </c>
      <c r="F5613" s="20" t="s">
        <v>28232</v>
      </c>
      <c r="G5613" s="20" t="s">
        <v>28233</v>
      </c>
      <c r="H5613" s="24"/>
      <c r="I5613" s="24" t="str">
        <f ca="1">IFERROR(__xludf.DUMMYFUNCTION("GOOGLETRANSLATE(F5613,""en"",""pt"")"),"unidades de exaustores de gases medicinais")</f>
        <v>unidades de exaustores de gases medicinais</v>
      </c>
      <c r="J5613">
        <f>VLOOKUP(A5613,Pr_Base_LNEC!$A$4:$J$6971,6,FALSE)</f>
        <v>0</v>
      </c>
      <c r="K5613">
        <f>VLOOKUP(A5613,Pr_Base_LNEC!$A$4:$J$6971,7,FALSE)</f>
        <v>0</v>
      </c>
    </row>
    <row r="5614" spans="1:11" ht="14.5">
      <c r="A5614" s="20" t="s">
        <v>28234</v>
      </c>
      <c r="B5614" s="20">
        <v>65</v>
      </c>
      <c r="C5614" s="20">
        <v>53</v>
      </c>
      <c r="D5614" s="20">
        <v>86</v>
      </c>
      <c r="E5614" s="20">
        <v>51</v>
      </c>
      <c r="F5614" s="20" t="s">
        <v>28235</v>
      </c>
      <c r="G5614" s="20" t="s">
        <v>28236</v>
      </c>
      <c r="H5614" s="24"/>
      <c r="I5614" s="24" t="str">
        <f ca="1">IFERROR(__xludf.DUMMYFUNCTION("GOOGLETRANSLATE(F5614,""en"",""pt"")"),"bombas de medição")</f>
        <v>bombas de medição</v>
      </c>
      <c r="J5614">
        <f>VLOOKUP(A5614,Pr_Base_LNEC!$A$4:$J$6971,6,FALSE)</f>
        <v>0</v>
      </c>
      <c r="K5614">
        <f>VLOOKUP(A5614,Pr_Base_LNEC!$A$4:$J$6971,7,FALSE)</f>
        <v>0</v>
      </c>
    </row>
    <row r="5615" spans="1:11" ht="14.5">
      <c r="A5615" s="20" t="s">
        <v>28237</v>
      </c>
      <c r="B5615" s="20">
        <v>65</v>
      </c>
      <c r="C5615" s="20">
        <v>53</v>
      </c>
      <c r="D5615" s="20">
        <v>86</v>
      </c>
      <c r="E5615" s="20">
        <v>55</v>
      </c>
      <c r="F5615" s="20" t="s">
        <v>28238</v>
      </c>
      <c r="G5615" s="20" t="s">
        <v>28239</v>
      </c>
      <c r="H5615" s="24"/>
      <c r="I5615" s="24" t="str">
        <f ca="1">IFERROR(__xludf.DUMMYFUNCTION("GOOGLETRANSLATE(F5615,""en"",""pt"")"),"bombas multi-etapas")</f>
        <v>bombas multi-etapas</v>
      </c>
      <c r="J5615">
        <f>VLOOKUP(A5615,Pr_Base_LNEC!$A$4:$J$6971,6,FALSE)</f>
        <v>0</v>
      </c>
      <c r="K5615">
        <f>VLOOKUP(A5615,Pr_Base_LNEC!$A$4:$J$6971,7,FALSE)</f>
        <v>0</v>
      </c>
    </row>
    <row r="5616" spans="1:11" ht="14.5">
      <c r="A5616" s="20" t="s">
        <v>28240</v>
      </c>
      <c r="B5616" s="20">
        <v>65</v>
      </c>
      <c r="C5616" s="20">
        <v>53</v>
      </c>
      <c r="D5616" s="20">
        <v>86</v>
      </c>
      <c r="E5616" s="20">
        <v>66</v>
      </c>
      <c r="F5616" s="20" t="s">
        <v>28241</v>
      </c>
      <c r="G5616" s="20" t="s">
        <v>28242</v>
      </c>
      <c r="H5616" s="24"/>
      <c r="I5616" s="24" t="str">
        <f ca="1">IFERROR(__xludf.DUMMYFUNCTION("GOOGLETRANSLATE(F5616,""en"",""pt"")"),"Bombas pressurização")</f>
        <v>Bombas pressurização</v>
      </c>
      <c r="J5616">
        <f>VLOOKUP(A5616,Pr_Base_LNEC!$A$4:$J$6971,6,FALSE)</f>
        <v>0</v>
      </c>
      <c r="K5616">
        <f>VLOOKUP(A5616,Pr_Base_LNEC!$A$4:$J$6971,7,FALSE)</f>
        <v>0</v>
      </c>
    </row>
    <row r="5617" spans="1:11" ht="14.5">
      <c r="A5617" s="20" t="s">
        <v>28243</v>
      </c>
      <c r="B5617" s="20">
        <v>65</v>
      </c>
      <c r="C5617" s="20">
        <v>53</v>
      </c>
      <c r="D5617" s="20">
        <v>86</v>
      </c>
      <c r="E5617" s="20">
        <v>68</v>
      </c>
      <c r="F5617" s="20" t="s">
        <v>28244</v>
      </c>
      <c r="G5617" s="20" t="s">
        <v>28245</v>
      </c>
      <c r="H5617" s="24"/>
      <c r="I5617" s="24" t="str">
        <f ca="1">IFERROR(__xludf.DUMMYFUNCTION("GOOGLETRANSLATE(F5617,""en"",""pt"")"),"unidades de pressurização")</f>
        <v>unidades de pressurização</v>
      </c>
      <c r="J5617">
        <f>VLOOKUP(A5617,Pr_Base_LNEC!$A$4:$J$6971,6,FALSE)</f>
        <v>0</v>
      </c>
      <c r="K5617">
        <f>VLOOKUP(A5617,Pr_Base_LNEC!$A$4:$J$6971,7,FALSE)</f>
        <v>0</v>
      </c>
    </row>
    <row r="5618" spans="1:11" ht="14.5">
      <c r="A5618" s="20" t="s">
        <v>28246</v>
      </c>
      <c r="B5618" s="20">
        <v>65</v>
      </c>
      <c r="C5618" s="20">
        <v>53</v>
      </c>
      <c r="D5618" s="20">
        <v>86</v>
      </c>
      <c r="E5618" s="20">
        <v>86</v>
      </c>
      <c r="F5618" s="20" t="s">
        <v>28247</v>
      </c>
      <c r="G5618" s="20" t="s">
        <v>28248</v>
      </c>
      <c r="H5618" s="24"/>
      <c r="I5618" s="24" t="str">
        <f ca="1">IFERROR(__xludf.DUMMYFUNCTION("GOOGLETRANSLATE(F5618,""en"",""pt"")"),"bombas de sucção")</f>
        <v>bombas de sucção</v>
      </c>
      <c r="J5618">
        <f>VLOOKUP(A5618,Pr_Base_LNEC!$A$4:$J$6971,6,FALSE)</f>
        <v>0</v>
      </c>
      <c r="K5618">
        <f>VLOOKUP(A5618,Pr_Base_LNEC!$A$4:$J$6971,7,FALSE)</f>
        <v>0</v>
      </c>
    </row>
    <row r="5619" spans="1:11" ht="14.5">
      <c r="A5619" s="20" t="s">
        <v>28249</v>
      </c>
      <c r="B5619" s="20">
        <v>65</v>
      </c>
      <c r="C5619" s="20">
        <v>53</v>
      </c>
      <c r="D5619" s="20">
        <v>86</v>
      </c>
      <c r="E5619" s="20">
        <v>94</v>
      </c>
      <c r="F5619" s="20" t="s">
        <v>28250</v>
      </c>
      <c r="G5619" s="20" t="s">
        <v>28251</v>
      </c>
      <c r="H5619" s="24"/>
      <c r="I5619" s="24" t="str">
        <f ca="1">IFERROR(__xludf.DUMMYFUNCTION("GOOGLETRANSLATE(F5619,""en"",""pt"")"),"bombas de vapor")</f>
        <v>bombas de vapor</v>
      </c>
      <c r="J5619">
        <f>VLOOKUP(A5619,Pr_Base_LNEC!$A$4:$J$6971,6,FALSE)</f>
        <v>0</v>
      </c>
      <c r="K5619">
        <f>VLOOKUP(A5619,Pr_Base_LNEC!$A$4:$J$6971,7,FALSE)</f>
        <v>0</v>
      </c>
    </row>
    <row r="5620" spans="1:11" ht="14.5">
      <c r="A5620" s="20" t="s">
        <v>28252</v>
      </c>
      <c r="B5620" s="20">
        <v>65</v>
      </c>
      <c r="C5620" s="20">
        <v>53</v>
      </c>
      <c r="D5620" s="20">
        <v>96</v>
      </c>
      <c r="E5620" s="24"/>
      <c r="F5620" s="20" t="s">
        <v>28253</v>
      </c>
      <c r="G5620" s="24"/>
      <c r="H5620" s="24"/>
      <c r="I5620" s="24" t="str">
        <f ca="1">IFERROR(__xludf.DUMMYFUNCTION("GOOGLETRANSLATE(F5620,""en"",""pt"")"),"abastecimento de água e bombas de águas residuais")</f>
        <v>abastecimento de água e bombas de águas residuais</v>
      </c>
      <c r="J5620">
        <f>VLOOKUP(A5620,Pr_Base_LNEC!$A$4:$J$6971,6,FALSE)</f>
        <v>0</v>
      </c>
      <c r="K5620">
        <f>VLOOKUP(A5620,Pr_Base_LNEC!$A$4:$J$6971,7,FALSE)</f>
        <v>0</v>
      </c>
    </row>
    <row r="5621" spans="1:11" ht="14.5">
      <c r="A5621" s="20" t="s">
        <v>28254</v>
      </c>
      <c r="B5621" s="20">
        <v>65</v>
      </c>
      <c r="C5621" s="20">
        <v>53</v>
      </c>
      <c r="D5621" s="20">
        <v>96</v>
      </c>
      <c r="E5621" s="20">
        <v>2</v>
      </c>
      <c r="F5621" s="20" t="s">
        <v>28255</v>
      </c>
      <c r="G5621" s="20" t="s">
        <v>28256</v>
      </c>
      <c r="H5621" s="24"/>
      <c r="I5621" s="24" t="str">
        <f ca="1">IFERROR(__xludf.DUMMYFUNCTION("GOOGLETRANSLATE(F5621,""en"",""pt"")"),"Bombas de ar elevador")</f>
        <v>Bombas de ar elevador</v>
      </c>
      <c r="J5621">
        <f>VLOOKUP(A5621,Pr_Base_LNEC!$A$4:$J$6971,6,FALSE)</f>
        <v>0</v>
      </c>
      <c r="K5621">
        <f>VLOOKUP(A5621,Pr_Base_LNEC!$A$4:$J$6971,7,FALSE)</f>
        <v>0</v>
      </c>
    </row>
    <row r="5622" spans="1:11" ht="14.5">
      <c r="A5622" s="20" t="s">
        <v>28257</v>
      </c>
      <c r="B5622" s="20">
        <v>65</v>
      </c>
      <c r="C5622" s="20">
        <v>53</v>
      </c>
      <c r="D5622" s="20">
        <v>96</v>
      </c>
      <c r="E5622" s="20">
        <v>3</v>
      </c>
      <c r="F5622" s="20" t="s">
        <v>28258</v>
      </c>
      <c r="G5622" s="24"/>
      <c r="H5622" s="24"/>
      <c r="I5622" s="24" t="str">
        <f ca="1">IFERROR(__xludf.DUMMYFUNCTION("GOOGLETRANSLATE(F5622,""en"",""pt"")"),"Parafuso de Arquimedes bombas")</f>
        <v>Parafuso de Arquimedes bombas</v>
      </c>
      <c r="J5622" t="e">
        <f>VLOOKUP(A5622,Pr_Base_LNEC!$A$4:$J$6971,6,FALSE)</f>
        <v>#N/A</v>
      </c>
      <c r="K5622" t="e">
        <f>VLOOKUP(A5622,Pr_Base_LNEC!$A$4:$J$6971,7,FALSE)</f>
        <v>#N/A</v>
      </c>
    </row>
    <row r="5623" spans="1:11" ht="14.5">
      <c r="A5623" s="20" t="s">
        <v>28259</v>
      </c>
      <c r="B5623" s="20">
        <v>65</v>
      </c>
      <c r="C5623" s="20">
        <v>53</v>
      </c>
      <c r="D5623" s="20">
        <v>96</v>
      </c>
      <c r="E5623" s="20">
        <v>4</v>
      </c>
      <c r="F5623" s="20" t="s">
        <v>28260</v>
      </c>
      <c r="G5623" s="24"/>
      <c r="H5623" s="24"/>
      <c r="I5623" s="24" t="str">
        <f ca="1">IFERROR(__xludf.DUMMYFUNCTION("GOOGLETRANSLATE(F5623,""en"",""pt"")"),"Bombas de escoamento axial")</f>
        <v>Bombas de escoamento axial</v>
      </c>
      <c r="J5623" t="e">
        <f>VLOOKUP(A5623,Pr_Base_LNEC!$A$4:$J$6971,6,FALSE)</f>
        <v>#N/A</v>
      </c>
      <c r="K5623" t="e">
        <f>VLOOKUP(A5623,Pr_Base_LNEC!$A$4:$J$6971,7,FALSE)</f>
        <v>#N/A</v>
      </c>
    </row>
    <row r="5624" spans="1:11" ht="14.5">
      <c r="A5624" s="20" t="s">
        <v>28261</v>
      </c>
      <c r="B5624" s="20">
        <v>65</v>
      </c>
      <c r="C5624" s="20">
        <v>53</v>
      </c>
      <c r="D5624" s="20">
        <v>96</v>
      </c>
      <c r="E5624" s="20">
        <v>5</v>
      </c>
      <c r="F5624" s="20" t="s">
        <v>28262</v>
      </c>
      <c r="G5624" s="20" t="s">
        <v>28263</v>
      </c>
      <c r="H5624" s="24"/>
      <c r="I5624" s="24" t="str">
        <f ca="1">IFERROR(__xludf.DUMMYFUNCTION("GOOGLETRANSLATE(F5624,""en"",""pt"")"),"Axialmente bombas invólucro dividido")</f>
        <v>Axialmente bombas invólucro dividido</v>
      </c>
      <c r="J5624">
        <f>VLOOKUP(A5624,Pr_Base_LNEC!$A$4:$J$6971,6,FALSE)</f>
        <v>0</v>
      </c>
      <c r="K5624">
        <f>VLOOKUP(A5624,Pr_Base_LNEC!$A$4:$J$6971,7,FALSE)</f>
        <v>0</v>
      </c>
    </row>
    <row r="5625" spans="1:11" ht="14.5">
      <c r="A5625" s="20" t="s">
        <v>28264</v>
      </c>
      <c r="B5625" s="20">
        <v>65</v>
      </c>
      <c r="C5625" s="20">
        <v>53</v>
      </c>
      <c r="D5625" s="20">
        <v>96</v>
      </c>
      <c r="E5625" s="20">
        <v>6</v>
      </c>
      <c r="F5625" s="20" t="s">
        <v>28265</v>
      </c>
      <c r="G5625" s="20" t="s">
        <v>28266</v>
      </c>
      <c r="H5625" s="24"/>
      <c r="I5625" s="24" t="str">
        <f ca="1">IFERROR(__xludf.DUMMYFUNCTION("GOOGLETRANSLATE(F5625,""en"",""pt"")"),"bombas de sucção final de puxar para trás")</f>
        <v>bombas de sucção final de puxar para trás</v>
      </c>
      <c r="J5625">
        <f>VLOOKUP(A5625,Pr_Base_LNEC!$A$4:$J$6971,6,FALSE)</f>
        <v>0</v>
      </c>
      <c r="K5625">
        <f>VLOOKUP(A5625,Pr_Base_LNEC!$A$4:$J$6971,7,FALSE)</f>
        <v>0</v>
      </c>
    </row>
    <row r="5626" spans="1:11" ht="14.5">
      <c r="A5626" s="20" t="s">
        <v>28267</v>
      </c>
      <c r="B5626" s="20">
        <v>65</v>
      </c>
      <c r="C5626" s="20">
        <v>53</v>
      </c>
      <c r="D5626" s="20">
        <v>96</v>
      </c>
      <c r="E5626" s="20">
        <v>21</v>
      </c>
      <c r="F5626" s="20" t="s">
        <v>28268</v>
      </c>
      <c r="G5626" s="24"/>
      <c r="H5626" s="24"/>
      <c r="I5626" s="24" t="str">
        <f ca="1">IFERROR(__xludf.DUMMYFUNCTION("GOOGLETRANSLATE(F5626,""en"",""pt"")"),"Bombas de membrana dupla")</f>
        <v>Bombas de membrana dupla</v>
      </c>
      <c r="J5626" t="e">
        <f>VLOOKUP(A5626,Pr_Base_LNEC!$A$4:$J$6971,6,FALSE)</f>
        <v>#N/A</v>
      </c>
      <c r="K5626" t="e">
        <f>VLOOKUP(A5626,Pr_Base_LNEC!$A$4:$J$6971,7,FALSE)</f>
        <v>#N/A</v>
      </c>
    </row>
    <row r="5627" spans="1:11" ht="14.5">
      <c r="A5627" s="20" t="s">
        <v>28269</v>
      </c>
      <c r="B5627" s="20">
        <v>65</v>
      </c>
      <c r="C5627" s="20">
        <v>53</v>
      </c>
      <c r="D5627" s="20">
        <v>96</v>
      </c>
      <c r="E5627" s="20">
        <v>23</v>
      </c>
      <c r="F5627" s="20" t="s">
        <v>28270</v>
      </c>
      <c r="G5627" s="20" t="s">
        <v>28271</v>
      </c>
      <c r="H5627" s="24"/>
      <c r="I5627" s="24" t="str">
        <f ca="1">IFERROR(__xludf.DUMMYFUNCTION("GOOGLETRANSLATE(F5627,""en"",""pt"")"),"Bombas disco duplo")</f>
        <v>Bombas disco duplo</v>
      </c>
      <c r="J5627">
        <f>VLOOKUP(A5627,Pr_Base_LNEC!$A$4:$J$6971,6,FALSE)</f>
        <v>0</v>
      </c>
      <c r="K5627">
        <f>VLOOKUP(A5627,Pr_Base_LNEC!$A$4:$J$6971,7,FALSE)</f>
        <v>0</v>
      </c>
    </row>
    <row r="5628" spans="1:11" ht="14.5">
      <c r="A5628" s="20" t="s">
        <v>28272</v>
      </c>
      <c r="B5628" s="20">
        <v>65</v>
      </c>
      <c r="C5628" s="20">
        <v>53</v>
      </c>
      <c r="D5628" s="20">
        <v>96</v>
      </c>
      <c r="E5628" s="20">
        <v>27</v>
      </c>
      <c r="F5628" s="20" t="s">
        <v>28273</v>
      </c>
      <c r="G5628" s="24"/>
      <c r="H5628" s="24"/>
      <c r="I5628" s="24" t="str">
        <f ca="1">IFERROR(__xludf.DUMMYFUNCTION("GOOGLETRANSLATE(F5628,""en"",""pt"")"),"bombas eletromagnéticas")</f>
        <v>bombas eletromagnéticas</v>
      </c>
      <c r="J5628" t="e">
        <f>VLOOKUP(A5628,Pr_Base_LNEC!$A$4:$J$6971,6,FALSE)</f>
        <v>#N/A</v>
      </c>
      <c r="K5628" t="e">
        <f>VLOOKUP(A5628,Pr_Base_LNEC!$A$4:$J$6971,7,FALSE)</f>
        <v>#N/A</v>
      </c>
    </row>
    <row r="5629" spans="1:11" ht="14.5">
      <c r="A5629" s="20" t="s">
        <v>28274</v>
      </c>
      <c r="B5629" s="20">
        <v>65</v>
      </c>
      <c r="C5629" s="20">
        <v>53</v>
      </c>
      <c r="D5629" s="20">
        <v>96</v>
      </c>
      <c r="E5629" s="20">
        <v>41</v>
      </c>
      <c r="F5629" s="20" t="s">
        <v>28275</v>
      </c>
      <c r="G5629" s="24"/>
      <c r="H5629" s="24"/>
      <c r="I5629" s="24" t="str">
        <f ca="1">IFERROR(__xludf.DUMMYFUNCTION("GOOGLETRANSLATE(F5629,""en"",""pt"")"),"bombas de vários estágios em linha")</f>
        <v>bombas de vários estágios em linha</v>
      </c>
      <c r="J5629" t="e">
        <f>VLOOKUP(A5629,Pr_Base_LNEC!$A$4:$J$6971,6,FALSE)</f>
        <v>#N/A</v>
      </c>
      <c r="K5629" t="e">
        <f>VLOOKUP(A5629,Pr_Base_LNEC!$A$4:$J$6971,7,FALSE)</f>
        <v>#N/A</v>
      </c>
    </row>
    <row r="5630" spans="1:11" ht="14.5">
      <c r="A5630" s="20" t="s">
        <v>28276</v>
      </c>
      <c r="B5630" s="20">
        <v>65</v>
      </c>
      <c r="C5630" s="20">
        <v>53</v>
      </c>
      <c r="D5630" s="20">
        <v>96</v>
      </c>
      <c r="E5630" s="20">
        <v>44</v>
      </c>
      <c r="F5630" s="20" t="s">
        <v>28277</v>
      </c>
      <c r="G5630" s="24"/>
      <c r="H5630" s="24"/>
      <c r="I5630" s="24" t="str">
        <f ca="1">IFERROR(__xludf.DUMMYFUNCTION("GOOGLETRANSLATE(F5630,""en"",""pt"")"),"bombas de jato")</f>
        <v>bombas de jato</v>
      </c>
      <c r="J5630" t="e">
        <f>VLOOKUP(A5630,Pr_Base_LNEC!$A$4:$J$6971,6,FALSE)</f>
        <v>#N/A</v>
      </c>
      <c r="K5630" t="e">
        <f>VLOOKUP(A5630,Pr_Base_LNEC!$A$4:$J$6971,7,FALSE)</f>
        <v>#N/A</v>
      </c>
    </row>
    <row r="5631" spans="1:11" ht="14.5">
      <c r="A5631" s="20" t="s">
        <v>28278</v>
      </c>
      <c r="B5631" s="20">
        <v>65</v>
      </c>
      <c r="C5631" s="20">
        <v>53</v>
      </c>
      <c r="D5631" s="20">
        <v>96</v>
      </c>
      <c r="E5631" s="20">
        <v>50</v>
      </c>
      <c r="F5631" s="20" t="s">
        <v>28279</v>
      </c>
      <c r="G5631" s="20" t="s">
        <v>28280</v>
      </c>
      <c r="H5631" s="24"/>
      <c r="I5631" s="24" t="str">
        <f ca="1">IFERROR(__xludf.DUMMYFUNCTION("GOOGLETRANSLATE(F5631,""en"",""pt"")"),"Macerators")</f>
        <v>Macerators</v>
      </c>
      <c r="J5631">
        <f>VLOOKUP(A5631,Pr_Base_LNEC!$A$4:$J$6971,6,FALSE)</f>
        <v>0</v>
      </c>
      <c r="K5631">
        <f>VLOOKUP(A5631,Pr_Base_LNEC!$A$4:$J$6971,7,FALSE)</f>
        <v>0</v>
      </c>
    </row>
    <row r="5632" spans="1:11" ht="14.5">
      <c r="A5632" s="20" t="s">
        <v>28281</v>
      </c>
      <c r="B5632" s="20">
        <v>65</v>
      </c>
      <c r="C5632" s="20">
        <v>53</v>
      </c>
      <c r="D5632" s="20">
        <v>96</v>
      </c>
      <c r="E5632" s="20">
        <v>51</v>
      </c>
      <c r="F5632" s="20" t="s">
        <v>28282</v>
      </c>
      <c r="G5632" s="24"/>
      <c r="H5632" s="24"/>
      <c r="I5632" s="24" t="str">
        <f ca="1">IFERROR(__xludf.DUMMYFUNCTION("GOOGLETRANSLATE(F5632,""en"",""pt"")"),"Bombas de acionamento magnético")</f>
        <v>Bombas de acionamento magnético</v>
      </c>
      <c r="J5632" t="e">
        <f>VLOOKUP(A5632,Pr_Base_LNEC!$A$4:$J$6971,6,FALSE)</f>
        <v>#N/A</v>
      </c>
      <c r="K5632" t="e">
        <f>VLOOKUP(A5632,Pr_Base_LNEC!$A$4:$J$6971,7,FALSE)</f>
        <v>#N/A</v>
      </c>
    </row>
    <row r="5633" spans="1:11" ht="14.5">
      <c r="A5633" s="20" t="s">
        <v>28283</v>
      </c>
      <c r="B5633" s="20">
        <v>65</v>
      </c>
      <c r="C5633" s="20">
        <v>53</v>
      </c>
      <c r="D5633" s="20">
        <v>96</v>
      </c>
      <c r="E5633" s="20">
        <v>55</v>
      </c>
      <c r="F5633" s="20" t="s">
        <v>28284</v>
      </c>
      <c r="G5633" s="24"/>
      <c r="H5633" s="24"/>
      <c r="I5633" s="24" t="str">
        <f ca="1">IFERROR(__xludf.DUMMYFUNCTION("GOOGLETRANSLATE(F5633,""en"",""pt"")"),"bombas centrífugas")</f>
        <v>bombas centrífugas</v>
      </c>
      <c r="J5633" t="e">
        <f>VLOOKUP(A5633,Pr_Base_LNEC!$A$4:$J$6971,6,FALSE)</f>
        <v>#N/A</v>
      </c>
      <c r="K5633" t="e">
        <f>VLOOKUP(A5633,Pr_Base_LNEC!$A$4:$J$6971,7,FALSE)</f>
        <v>#N/A</v>
      </c>
    </row>
    <row r="5634" spans="1:11" ht="14.5">
      <c r="A5634" s="20" t="s">
        <v>28285</v>
      </c>
      <c r="B5634" s="20">
        <v>65</v>
      </c>
      <c r="C5634" s="20">
        <v>53</v>
      </c>
      <c r="D5634" s="20">
        <v>96</v>
      </c>
      <c r="E5634" s="20">
        <v>63</v>
      </c>
      <c r="F5634" s="20" t="s">
        <v>28286</v>
      </c>
      <c r="G5634" s="20" t="s">
        <v>28287</v>
      </c>
      <c r="H5634" s="24"/>
      <c r="I5634" s="24" t="str">
        <f ca="1">IFERROR(__xludf.DUMMYFUNCTION("GOOGLETRANSLATE(F5634,""en"",""pt"")"),"bombas peristálticas")</f>
        <v>bombas peristálticas</v>
      </c>
      <c r="J5634">
        <f>VLOOKUP(A5634,Pr_Base_LNEC!$A$4:$J$6971,6,FALSE)</f>
        <v>0</v>
      </c>
      <c r="K5634">
        <f>VLOOKUP(A5634,Pr_Base_LNEC!$A$4:$J$6971,7,FALSE)</f>
        <v>0</v>
      </c>
    </row>
    <row r="5635" spans="1:11" ht="14.5">
      <c r="A5635" s="20" t="s">
        <v>28288</v>
      </c>
      <c r="B5635" s="20">
        <v>65</v>
      </c>
      <c r="C5635" s="20">
        <v>53</v>
      </c>
      <c r="D5635" s="20">
        <v>96</v>
      </c>
      <c r="E5635" s="20">
        <v>64</v>
      </c>
      <c r="F5635" s="20" t="s">
        <v>28289</v>
      </c>
      <c r="G5635" s="20" t="s">
        <v>28290</v>
      </c>
      <c r="H5635" s="24"/>
      <c r="I5635" s="24" t="str">
        <f ca="1">IFERROR(__xludf.DUMMYFUNCTION("GOOGLETRANSLATE(F5635,""en"",""pt"")"),"bombas de deslocamento positivo")</f>
        <v>bombas de deslocamento positivo</v>
      </c>
      <c r="J5635">
        <f>VLOOKUP(A5635,Pr_Base_LNEC!$A$4:$J$6971,6,FALSE)</f>
        <v>0</v>
      </c>
      <c r="K5635">
        <f>VLOOKUP(A5635,Pr_Base_LNEC!$A$4:$J$6971,7,FALSE)</f>
        <v>0</v>
      </c>
    </row>
    <row r="5636" spans="1:11" ht="14.5">
      <c r="A5636" s="20" t="s">
        <v>28291</v>
      </c>
      <c r="B5636" s="20">
        <v>65</v>
      </c>
      <c r="C5636" s="20">
        <v>53</v>
      </c>
      <c r="D5636" s="20">
        <v>96</v>
      </c>
      <c r="E5636" s="20">
        <v>65</v>
      </c>
      <c r="F5636" s="20" t="s">
        <v>28292</v>
      </c>
      <c r="G5636" s="20" t="s">
        <v>28293</v>
      </c>
      <c r="H5636" s="24"/>
      <c r="I5636" s="24" t="str">
        <f ca="1">IFERROR(__xludf.DUMMYFUNCTION("GOOGLETRANSLATE(F5636,""en"",""pt"")"),"conjuntos de reforço de pressão de entrada positivos")</f>
        <v>conjuntos de reforço de pressão de entrada positivos</v>
      </c>
      <c r="J5636">
        <f>VLOOKUP(A5636,Pr_Base_LNEC!$A$4:$J$6971,6,FALSE)</f>
        <v>0</v>
      </c>
      <c r="K5636">
        <f>VLOOKUP(A5636,Pr_Base_LNEC!$A$4:$J$6971,7,FALSE)</f>
        <v>0</v>
      </c>
    </row>
    <row r="5637" spans="1:11" ht="14.5">
      <c r="A5637" s="20" t="s">
        <v>28294</v>
      </c>
      <c r="B5637" s="20">
        <v>65</v>
      </c>
      <c r="C5637" s="20">
        <v>53</v>
      </c>
      <c r="D5637" s="20">
        <v>96</v>
      </c>
      <c r="E5637" s="20">
        <v>66</v>
      </c>
      <c r="F5637" s="20" t="s">
        <v>28295</v>
      </c>
      <c r="G5637" s="20" t="s">
        <v>28296</v>
      </c>
      <c r="H5637" s="24"/>
      <c r="I5637" s="24" t="str">
        <f ca="1">IFERROR(__xludf.DUMMYFUNCTION("GOOGLETRANSLATE(F5637,""en"",""pt"")"),"Progredindo bombas de cavidade")</f>
        <v>Progredindo bombas de cavidade</v>
      </c>
      <c r="J5637">
        <f>VLOOKUP(A5637,Pr_Base_LNEC!$A$4:$J$6971,6,FALSE)</f>
        <v>0</v>
      </c>
      <c r="K5637">
        <f>VLOOKUP(A5637,Pr_Base_LNEC!$A$4:$J$6971,7,FALSE)</f>
        <v>0</v>
      </c>
    </row>
    <row r="5638" spans="1:11" ht="14.5">
      <c r="A5638" s="20" t="s">
        <v>28297</v>
      </c>
      <c r="B5638" s="20">
        <v>65</v>
      </c>
      <c r="C5638" s="20">
        <v>53</v>
      </c>
      <c r="D5638" s="20">
        <v>96</v>
      </c>
      <c r="E5638" s="20">
        <v>70</v>
      </c>
      <c r="F5638" s="20" t="s">
        <v>28298</v>
      </c>
      <c r="G5638" s="20" t="s">
        <v>28299</v>
      </c>
      <c r="H5638" s="24"/>
      <c r="I5638" s="24" t="str">
        <f ca="1">IFERROR(__xludf.DUMMYFUNCTION("GOOGLETRANSLATE(F5638,""en"",""pt"")"),"bombas Ram")</f>
        <v>bombas Ram</v>
      </c>
      <c r="J5638">
        <f>VLOOKUP(A5638,Pr_Base_LNEC!$A$4:$J$6971,6,FALSE)</f>
        <v>0</v>
      </c>
      <c r="K5638">
        <f>VLOOKUP(A5638,Pr_Base_LNEC!$A$4:$J$6971,7,FALSE)</f>
        <v>0</v>
      </c>
    </row>
    <row r="5639" spans="1:11" ht="14.5">
      <c r="A5639" s="20" t="s">
        <v>28300</v>
      </c>
      <c r="B5639" s="20">
        <v>65</v>
      </c>
      <c r="C5639" s="20">
        <v>53</v>
      </c>
      <c r="D5639" s="20">
        <v>96</v>
      </c>
      <c r="E5639" s="20">
        <v>72</v>
      </c>
      <c r="F5639" s="20" t="s">
        <v>28301</v>
      </c>
      <c r="G5639" s="24"/>
      <c r="H5639" s="24"/>
      <c r="I5639" s="24" t="str">
        <f ca="1">IFERROR(__xludf.DUMMYFUNCTION("GOOGLETRANSLATE(F5639,""en"",""pt"")"),"Bombas de engrenagem rotativa")</f>
        <v>Bombas de engrenagem rotativa</v>
      </c>
      <c r="J5639" t="e">
        <f>VLOOKUP(A5639,Pr_Base_LNEC!$A$4:$J$6971,6,FALSE)</f>
        <v>#N/A</v>
      </c>
      <c r="K5639" t="e">
        <f>VLOOKUP(A5639,Pr_Base_LNEC!$A$4:$J$6971,7,FALSE)</f>
        <v>#N/A</v>
      </c>
    </row>
    <row r="5640" spans="1:11" ht="14.5">
      <c r="A5640" s="20" t="s">
        <v>28302</v>
      </c>
      <c r="B5640" s="20">
        <v>65</v>
      </c>
      <c r="C5640" s="20">
        <v>53</v>
      </c>
      <c r="D5640" s="20">
        <v>96</v>
      </c>
      <c r="E5640" s="20">
        <v>73</v>
      </c>
      <c r="F5640" s="20" t="s">
        <v>28303</v>
      </c>
      <c r="G5640" s="20" t="s">
        <v>28304</v>
      </c>
      <c r="H5640" s="24"/>
      <c r="I5640" s="24" t="str">
        <f ca="1">IFERROR(__xludf.DUMMYFUNCTION("GOOGLETRANSLATE(F5640,""en"",""pt"")"),"Bombas centrífugas lobo")</f>
        <v>Bombas centrífugas lobo</v>
      </c>
      <c r="J5640">
        <f>VLOOKUP(A5640,Pr_Base_LNEC!$A$4:$J$6971,6,FALSE)</f>
        <v>0</v>
      </c>
      <c r="K5640">
        <f>VLOOKUP(A5640,Pr_Base_LNEC!$A$4:$J$6971,7,FALSE)</f>
        <v>0</v>
      </c>
    </row>
    <row r="5641" spans="1:11" ht="14.5">
      <c r="A5641" s="20" t="s">
        <v>28305</v>
      </c>
      <c r="B5641" s="20">
        <v>65</v>
      </c>
      <c r="C5641" s="20">
        <v>53</v>
      </c>
      <c r="D5641" s="20">
        <v>96</v>
      </c>
      <c r="E5641" s="20">
        <v>74</v>
      </c>
      <c r="F5641" s="20" t="s">
        <v>28306</v>
      </c>
      <c r="G5641" s="24"/>
      <c r="H5641" s="24"/>
      <c r="I5641" s="24" t="str">
        <f ca="1">IFERROR(__xludf.DUMMYFUNCTION("GOOGLETRANSLATE(F5641,""en"",""pt"")"),"Bombas centrífugas de palhetas")</f>
        <v>Bombas centrífugas de palhetas</v>
      </c>
      <c r="J5641" t="e">
        <f>VLOOKUP(A5641,Pr_Base_LNEC!$A$4:$J$6971,6,FALSE)</f>
        <v>#N/A</v>
      </c>
      <c r="K5641" t="e">
        <f>VLOOKUP(A5641,Pr_Base_LNEC!$A$4:$J$6971,7,FALSE)</f>
        <v>#N/A</v>
      </c>
    </row>
    <row r="5642" spans="1:11" ht="14.5">
      <c r="A5642" s="20" t="s">
        <v>28307</v>
      </c>
      <c r="B5642" s="20">
        <v>65</v>
      </c>
      <c r="C5642" s="20">
        <v>53</v>
      </c>
      <c r="D5642" s="20">
        <v>96</v>
      </c>
      <c r="E5642" s="20">
        <v>75</v>
      </c>
      <c r="F5642" s="20" t="s">
        <v>28308</v>
      </c>
      <c r="G5642" s="20" t="s">
        <v>28309</v>
      </c>
      <c r="H5642" s="24"/>
      <c r="I5642" s="24" t="str">
        <f ca="1">IFERROR(__xludf.DUMMYFUNCTION("GOOGLETRANSLATE(F5642,""en"",""pt"")"),"bombas parafuso")</f>
        <v>bombas parafuso</v>
      </c>
      <c r="J5642">
        <f>VLOOKUP(A5642,Pr_Base_LNEC!$A$4:$J$6971,6,FALSE)</f>
        <v>0</v>
      </c>
      <c r="K5642">
        <f>VLOOKUP(A5642,Pr_Base_LNEC!$A$4:$J$6971,7,FALSE)</f>
        <v>0</v>
      </c>
    </row>
    <row r="5643" spans="1:11" ht="14.5">
      <c r="A5643" s="20" t="s">
        <v>28310</v>
      </c>
      <c r="B5643" s="20">
        <v>65</v>
      </c>
      <c r="C5643" s="20">
        <v>53</v>
      </c>
      <c r="D5643" s="20">
        <v>96</v>
      </c>
      <c r="E5643" s="20">
        <v>78</v>
      </c>
      <c r="F5643" s="20" t="s">
        <v>28311</v>
      </c>
      <c r="G5643" s="20" t="s">
        <v>28312</v>
      </c>
      <c r="H5643" s="24"/>
      <c r="I5643" s="24" t="str">
        <f ca="1">IFERROR(__xludf.DUMMYFUNCTION("GOOGLETRANSLATE(F5643,""en"",""pt"")"),"bombas única diafragma")</f>
        <v>bombas única diafragma</v>
      </c>
      <c r="J5643">
        <f>VLOOKUP(A5643,Pr_Base_LNEC!$A$4:$J$6971,6,FALSE)</f>
        <v>0</v>
      </c>
      <c r="K5643">
        <f>VLOOKUP(A5643,Pr_Base_LNEC!$A$4:$J$6971,7,FALSE)</f>
        <v>0</v>
      </c>
    </row>
    <row r="5644" spans="1:11" ht="14.5">
      <c r="A5644" s="20" t="s">
        <v>28313</v>
      </c>
      <c r="B5644" s="20">
        <v>65</v>
      </c>
      <c r="C5644" s="20">
        <v>53</v>
      </c>
      <c r="D5644" s="20">
        <v>96</v>
      </c>
      <c r="E5644" s="20">
        <v>79</v>
      </c>
      <c r="F5644" s="20" t="s">
        <v>28314</v>
      </c>
      <c r="G5644" s="24"/>
      <c r="H5644" s="24"/>
      <c r="I5644" s="24" t="str">
        <f ca="1">IFERROR(__xludf.DUMMYFUNCTION("GOOGLETRANSLATE(F5644,""en"",""pt"")"),"bombas centrífugas único estágio")</f>
        <v>bombas centrífugas único estágio</v>
      </c>
      <c r="J5644" t="e">
        <f>VLOOKUP(A5644,Pr_Base_LNEC!$A$4:$J$6971,6,FALSE)</f>
        <v>#N/A</v>
      </c>
      <c r="K5644" t="e">
        <f>VLOOKUP(A5644,Pr_Base_LNEC!$A$4:$J$6971,7,FALSE)</f>
        <v>#N/A</v>
      </c>
    </row>
    <row r="5645" spans="1:11" ht="14.5">
      <c r="A5645" s="20" t="s">
        <v>28315</v>
      </c>
      <c r="B5645" s="20">
        <v>65</v>
      </c>
      <c r="C5645" s="20">
        <v>53</v>
      </c>
      <c r="D5645" s="20">
        <v>96</v>
      </c>
      <c r="E5645" s="20">
        <v>80</v>
      </c>
      <c r="F5645" s="20" t="s">
        <v>28316</v>
      </c>
      <c r="G5645" s="20" t="s">
        <v>28317</v>
      </c>
      <c r="H5645" s="24"/>
      <c r="I5645" s="24" t="str">
        <f ca="1">IFERROR(__xludf.DUMMYFUNCTION("GOOGLETRANSLATE(F5645,""en"",""pt"")"),"Manuseio de sólidos bombas")</f>
        <v>Manuseio de sólidos bombas</v>
      </c>
      <c r="J5645">
        <f>VLOOKUP(A5645,Pr_Base_LNEC!$A$4:$J$6971,6,FALSE)</f>
        <v>0</v>
      </c>
      <c r="K5645">
        <f>VLOOKUP(A5645,Pr_Base_LNEC!$A$4:$J$6971,7,FALSE)</f>
        <v>0</v>
      </c>
    </row>
    <row r="5646" spans="1:11" ht="14.5">
      <c r="A5646" s="20" t="s">
        <v>28318</v>
      </c>
      <c r="B5646" s="20">
        <v>65</v>
      </c>
      <c r="C5646" s="20">
        <v>53</v>
      </c>
      <c r="D5646" s="20">
        <v>96</v>
      </c>
      <c r="E5646" s="20">
        <v>84</v>
      </c>
      <c r="F5646" s="20" t="s">
        <v>28319</v>
      </c>
      <c r="G5646" s="20" t="s">
        <v>28320</v>
      </c>
      <c r="H5646" s="24"/>
      <c r="I5646" s="24" t="str">
        <f ca="1">IFERROR(__xludf.DUMMYFUNCTION("GOOGLETRANSLATE(F5646,""en"",""pt"")"),"Bombas submersíveis poço")</f>
        <v>Bombas submersíveis poço</v>
      </c>
      <c r="J5646">
        <f>VLOOKUP(A5646,Pr_Base_LNEC!$A$4:$J$6971,6,FALSE)</f>
        <v>0</v>
      </c>
      <c r="K5646">
        <f>VLOOKUP(A5646,Pr_Base_LNEC!$A$4:$J$6971,7,FALSE)</f>
        <v>0</v>
      </c>
    </row>
    <row r="5647" spans="1:11" ht="14.5">
      <c r="A5647" s="20" t="s">
        <v>28321</v>
      </c>
      <c r="B5647" s="20">
        <v>65</v>
      </c>
      <c r="C5647" s="20">
        <v>53</v>
      </c>
      <c r="D5647" s="20">
        <v>96</v>
      </c>
      <c r="E5647" s="20">
        <v>85</v>
      </c>
      <c r="F5647" s="20" t="s">
        <v>28322</v>
      </c>
      <c r="G5647" s="20" t="s">
        <v>28323</v>
      </c>
      <c r="H5647" s="24"/>
      <c r="I5647" s="24" t="str">
        <f ca="1">IFERROR(__xludf.DUMMYFUNCTION("GOOGLETRANSLATE(F5647,""en"",""pt"")"),"Bombas axial submersível")</f>
        <v>Bombas axial submersível</v>
      </c>
      <c r="J5647">
        <f>VLOOKUP(A5647,Pr_Base_LNEC!$A$4:$J$6971,6,FALSE)</f>
        <v>0</v>
      </c>
      <c r="K5647">
        <f>VLOOKUP(A5647,Pr_Base_LNEC!$A$4:$J$6971,7,FALSE)</f>
        <v>0</v>
      </c>
    </row>
    <row r="5648" spans="1:11" ht="14.5">
      <c r="A5648" s="20" t="s">
        <v>28324</v>
      </c>
      <c r="B5648" s="20">
        <v>65</v>
      </c>
      <c r="C5648" s="20">
        <v>53</v>
      </c>
      <c r="D5648" s="20">
        <v>96</v>
      </c>
      <c r="E5648" s="20">
        <v>86</v>
      </c>
      <c r="F5648" s="20" t="s">
        <v>28325</v>
      </c>
      <c r="G5648" s="24"/>
      <c r="H5648" s="24"/>
      <c r="I5648" s="24" t="str">
        <f ca="1">IFERROR(__xludf.DUMMYFUNCTION("GOOGLETRANSLATE(F5648,""en"",""pt"")"),"bombas centrífugas submersíveis")</f>
        <v>bombas centrífugas submersíveis</v>
      </c>
      <c r="J5648" t="e">
        <f>VLOOKUP(A5648,Pr_Base_LNEC!$A$4:$J$6971,6,FALSE)</f>
        <v>#N/A</v>
      </c>
      <c r="K5648" t="e">
        <f>VLOOKUP(A5648,Pr_Base_LNEC!$A$4:$J$6971,7,FALSE)</f>
        <v>#N/A</v>
      </c>
    </row>
    <row r="5649" spans="1:11" ht="14.5">
      <c r="A5649" s="20" t="s">
        <v>28326</v>
      </c>
      <c r="B5649" s="20">
        <v>65</v>
      </c>
      <c r="C5649" s="20">
        <v>53</v>
      </c>
      <c r="D5649" s="20">
        <v>96</v>
      </c>
      <c r="E5649" s="20">
        <v>87</v>
      </c>
      <c r="F5649" s="20" t="s">
        <v>28327</v>
      </c>
      <c r="G5649" s="24"/>
      <c r="H5649" s="24"/>
      <c r="I5649" s="24" t="str">
        <f ca="1">IFERROR(__xludf.DUMMYFUNCTION("GOOGLETRANSLATE(F5649,""en"",""pt"")"),"Bombas de fluxo misto submersível")</f>
        <v>Bombas de fluxo misto submersível</v>
      </c>
      <c r="J5649" t="e">
        <f>VLOOKUP(A5649,Pr_Base_LNEC!$A$4:$J$6971,6,FALSE)</f>
        <v>#N/A</v>
      </c>
      <c r="K5649" t="e">
        <f>VLOOKUP(A5649,Pr_Base_LNEC!$A$4:$J$6971,7,FALSE)</f>
        <v>#N/A</v>
      </c>
    </row>
    <row r="5650" spans="1:11" ht="14.5">
      <c r="A5650" s="20" t="s">
        <v>28328</v>
      </c>
      <c r="B5650" s="20">
        <v>65</v>
      </c>
      <c r="C5650" s="20">
        <v>53</v>
      </c>
      <c r="D5650" s="20">
        <v>96</v>
      </c>
      <c r="E5650" s="20">
        <v>94</v>
      </c>
      <c r="F5650" s="20" t="s">
        <v>28329</v>
      </c>
      <c r="G5650" s="20" t="s">
        <v>28330</v>
      </c>
      <c r="H5650" s="24"/>
      <c r="I5650" s="24" t="str">
        <f ca="1">IFERROR(__xludf.DUMMYFUNCTION("GOOGLETRANSLATE(F5650,""en"",""pt"")"),"bombas verticalmente suspensa tipo tigela")</f>
        <v>bombas verticalmente suspensa tipo tigela</v>
      </c>
      <c r="J5650">
        <f>VLOOKUP(A5650,Pr_Base_LNEC!$A$4:$J$6971,6,FALSE)</f>
        <v>0</v>
      </c>
      <c r="K5650">
        <f>VLOOKUP(A5650,Pr_Base_LNEC!$A$4:$J$6971,7,FALSE)</f>
        <v>0</v>
      </c>
    </row>
    <row r="5651" spans="1:11" ht="14.5">
      <c r="A5651" s="20" t="s">
        <v>28331</v>
      </c>
      <c r="B5651" s="20">
        <v>65</v>
      </c>
      <c r="C5651" s="20">
        <v>53</v>
      </c>
      <c r="D5651" s="20">
        <v>96</v>
      </c>
      <c r="E5651" s="20">
        <v>95</v>
      </c>
      <c r="F5651" s="20" t="s">
        <v>28332</v>
      </c>
      <c r="G5651" s="20" t="s">
        <v>28333</v>
      </c>
      <c r="H5651" s="24"/>
      <c r="I5651" s="24" t="str">
        <f ca="1">IFERROR(__xludf.DUMMYFUNCTION("GOOGLETRANSLATE(F5651,""en"",""pt"")"),"Voluta caixa seca de esgoto bem centrífuga e as bombas de lama")</f>
        <v>Voluta caixa seca de esgoto bem centrífuga e as bombas de lama</v>
      </c>
      <c r="J5651">
        <f>VLOOKUP(A5651,Pr_Base_LNEC!$A$4:$J$6971,6,FALSE)</f>
        <v>0</v>
      </c>
      <c r="K5651">
        <f>VLOOKUP(A5651,Pr_Base_LNEC!$A$4:$J$6971,7,FALSE)</f>
        <v>0</v>
      </c>
    </row>
    <row r="5652" spans="1:11" ht="14.5">
      <c r="A5652" s="20" t="s">
        <v>28334</v>
      </c>
      <c r="B5652" s="20">
        <v>65</v>
      </c>
      <c r="C5652" s="20">
        <v>54</v>
      </c>
      <c r="D5652" s="24"/>
      <c r="E5652" s="24"/>
      <c r="F5652" s="20" t="s">
        <v>28335</v>
      </c>
      <c r="G5652" s="24"/>
      <c r="H5652" s="24"/>
      <c r="I5652" s="24" t="str">
        <f ca="1">IFERROR(__xludf.DUMMYFUNCTION("GOOGLETRANSLATE(F5652,""en"",""pt"")"),"produtos de válvula")</f>
        <v>produtos de válvula</v>
      </c>
      <c r="J5652" t="str">
        <f>VLOOKUP(A5652,Pr_Base_LNEC!$A$4:$J$6971,6,FALSE)</f>
        <v>Válvulas</v>
      </c>
      <c r="K5652">
        <f>VLOOKUP(A5652,Pr_Base_LNEC!$A$4:$J$6971,7,FALSE)</f>
        <v>0</v>
      </c>
    </row>
    <row r="5653" spans="1:11" ht="14.5">
      <c r="A5653" s="20" t="s">
        <v>28336</v>
      </c>
      <c r="B5653" s="20">
        <v>65</v>
      </c>
      <c r="C5653" s="20">
        <v>54</v>
      </c>
      <c r="D5653" s="20">
        <v>24</v>
      </c>
      <c r="E5653" s="24"/>
      <c r="F5653" s="20" t="s">
        <v>28337</v>
      </c>
      <c r="G5653" s="24"/>
      <c r="H5653" s="24"/>
      <c r="I5653" s="24" t="str">
        <f ca="1">IFERROR(__xludf.DUMMYFUNCTION("GOOGLETRANSLATE(F5653,""en"",""pt"")"),"válvulas de drenagem")</f>
        <v>válvulas de drenagem</v>
      </c>
      <c r="J5653">
        <f>VLOOKUP(A5653,Pr_Base_LNEC!$A$4:$J$6971,6,FALSE)</f>
        <v>0</v>
      </c>
      <c r="K5653">
        <f>VLOOKUP(A5653,Pr_Base_LNEC!$A$4:$J$6971,7,FALSE)</f>
        <v>0</v>
      </c>
    </row>
    <row r="5654" spans="1:11" ht="14.5">
      <c r="A5654" s="20" t="s">
        <v>28338</v>
      </c>
      <c r="B5654" s="20">
        <v>65</v>
      </c>
      <c r="C5654" s="20">
        <v>54</v>
      </c>
      <c r="D5654" s="20">
        <v>24</v>
      </c>
      <c r="E5654" s="20">
        <v>2</v>
      </c>
      <c r="F5654" s="20" t="s">
        <v>28339</v>
      </c>
      <c r="G5654" s="20" t="s">
        <v>28340</v>
      </c>
      <c r="H5654" s="24"/>
      <c r="I5654" s="24" t="str">
        <f ca="1">IFERROR(__xludf.DUMMYFUNCTION("GOOGLETRANSLATE(F5654,""en"",""pt"")"),"válvulas de admissão de ar")</f>
        <v>válvulas de admissão de ar</v>
      </c>
      <c r="J5654">
        <f>VLOOKUP(A5654,Pr_Base_LNEC!$A$4:$J$6971,6,FALSE)</f>
        <v>0</v>
      </c>
      <c r="K5654">
        <f>VLOOKUP(A5654,Pr_Base_LNEC!$A$4:$J$6971,7,FALSE)</f>
        <v>0</v>
      </c>
    </row>
    <row r="5655" spans="1:11" ht="14.5">
      <c r="A5655" s="20" t="s">
        <v>28341</v>
      </c>
      <c r="B5655" s="20">
        <v>65</v>
      </c>
      <c r="C5655" s="20">
        <v>54</v>
      </c>
      <c r="D5655" s="20">
        <v>24</v>
      </c>
      <c r="E5655" s="20">
        <v>4</v>
      </c>
      <c r="F5655" s="20" t="s">
        <v>28342</v>
      </c>
      <c r="G5655" s="20" t="s">
        <v>28343</v>
      </c>
      <c r="H5655" s="24"/>
      <c r="I5655" s="24" t="str">
        <f ca="1">IFERROR(__xludf.DUMMYFUNCTION("GOOGLETRANSLATE(F5655,""en"",""pt"")"),"válvulas anti-inundação")</f>
        <v>válvulas anti-inundação</v>
      </c>
      <c r="J5655">
        <f>VLOOKUP(A5655,Pr_Base_LNEC!$A$4:$J$6971,6,FALSE)</f>
        <v>0</v>
      </c>
      <c r="K5655">
        <f>VLOOKUP(A5655,Pr_Base_LNEC!$A$4:$J$6971,7,FALSE)</f>
        <v>0</v>
      </c>
    </row>
    <row r="5656" spans="1:11" ht="14.5">
      <c r="A5656" s="20" t="s">
        <v>28344</v>
      </c>
      <c r="B5656" s="20">
        <v>65</v>
      </c>
      <c r="C5656" s="20">
        <v>54</v>
      </c>
      <c r="D5656" s="20">
        <v>30</v>
      </c>
      <c r="E5656" s="24"/>
      <c r="F5656" s="20" t="s">
        <v>28345</v>
      </c>
      <c r="G5656" s="24"/>
      <c r="H5656" s="24"/>
      <c r="I5656" s="24" t="str">
        <f ca="1">IFERROR(__xludf.DUMMYFUNCTION("GOOGLETRANSLATE(F5656,""en"",""pt"")"),"Combate a incêndios válvulas e dispositivos")</f>
        <v>Combate a incêndios válvulas e dispositivos</v>
      </c>
      <c r="J5656">
        <f>VLOOKUP(A5656,Pr_Base_LNEC!$A$4:$J$6971,6,FALSE)</f>
        <v>0</v>
      </c>
      <c r="K5656">
        <f>VLOOKUP(A5656,Pr_Base_LNEC!$A$4:$J$6971,7,FALSE)</f>
        <v>0</v>
      </c>
    </row>
    <row r="5657" spans="1:11" ht="14.5">
      <c r="A5657" s="20" t="s">
        <v>28346</v>
      </c>
      <c r="B5657" s="20">
        <v>65</v>
      </c>
      <c r="C5657" s="20">
        <v>54</v>
      </c>
      <c r="D5657" s="20">
        <v>30</v>
      </c>
      <c r="E5657" s="20">
        <v>2</v>
      </c>
      <c r="F5657" s="20" t="s">
        <v>28347</v>
      </c>
      <c r="G5657" s="20" t="s">
        <v>28348</v>
      </c>
      <c r="H5657" s="24"/>
      <c r="I5657" s="24" t="str">
        <f ca="1">IFERROR(__xludf.DUMMYFUNCTION("GOOGLETRANSLATE(F5657,""en"",""pt"")"),"conjuntos de válvulas de teste de alarme")</f>
        <v>conjuntos de válvulas de teste de alarme</v>
      </c>
      <c r="J5657">
        <f>VLOOKUP(A5657,Pr_Base_LNEC!$A$4:$J$6971,6,FALSE)</f>
        <v>0</v>
      </c>
      <c r="K5657">
        <f>VLOOKUP(A5657,Pr_Base_LNEC!$A$4:$J$6971,7,FALSE)</f>
        <v>0</v>
      </c>
    </row>
    <row r="5658" spans="1:11" ht="14.5">
      <c r="A5658" s="20" t="s">
        <v>28349</v>
      </c>
      <c r="B5658" s="20">
        <v>65</v>
      </c>
      <c r="C5658" s="20">
        <v>54</v>
      </c>
      <c r="D5658" s="20">
        <v>30</v>
      </c>
      <c r="E5658" s="20">
        <v>9</v>
      </c>
      <c r="F5658" s="20" t="s">
        <v>28350</v>
      </c>
      <c r="G5658" s="20" t="s">
        <v>28351</v>
      </c>
      <c r="H5658" s="24"/>
      <c r="I5658" s="24" t="str">
        <f ca="1">IFERROR(__xludf.DUMMYFUNCTION("GOOGLETRANSLATE(F5658,""en"",""pt"")"),"conectores de dióxido de carbono")</f>
        <v>conectores de dióxido de carbono</v>
      </c>
      <c r="J5658">
        <f>VLOOKUP(A5658,Pr_Base_LNEC!$A$4:$J$6971,6,FALSE)</f>
        <v>0</v>
      </c>
      <c r="K5658">
        <f>VLOOKUP(A5658,Pr_Base_LNEC!$A$4:$J$6971,7,FALSE)</f>
        <v>0</v>
      </c>
    </row>
    <row r="5659" spans="1:11" ht="14.5">
      <c r="A5659" s="20" t="s">
        <v>28352</v>
      </c>
      <c r="B5659" s="20">
        <v>65</v>
      </c>
      <c r="C5659" s="20">
        <v>54</v>
      </c>
      <c r="D5659" s="20">
        <v>30</v>
      </c>
      <c r="E5659" s="20">
        <v>10</v>
      </c>
      <c r="F5659" s="20" t="s">
        <v>28353</v>
      </c>
      <c r="G5659" s="20" t="s">
        <v>28354</v>
      </c>
      <c r="H5659" s="24"/>
      <c r="I5659" s="24" t="str">
        <f ca="1">IFERROR(__xludf.DUMMYFUNCTION("GOOGLETRANSLATE(F5659,""en"",""pt"")"),"Caps e cadeias")</f>
        <v>Caps e cadeias</v>
      </c>
      <c r="J5659">
        <f>VLOOKUP(A5659,Pr_Base_LNEC!$A$4:$J$6971,6,FALSE)</f>
        <v>0</v>
      </c>
      <c r="K5659">
        <f>VLOOKUP(A5659,Pr_Base_LNEC!$A$4:$J$6971,7,FALSE)</f>
        <v>0</v>
      </c>
    </row>
    <row r="5660" spans="1:11" ht="14.5">
      <c r="A5660" s="20" t="s">
        <v>28355</v>
      </c>
      <c r="B5660" s="20">
        <v>65</v>
      </c>
      <c r="C5660" s="20">
        <v>54</v>
      </c>
      <c r="D5660" s="20">
        <v>30</v>
      </c>
      <c r="E5660" s="20">
        <v>11</v>
      </c>
      <c r="F5660" s="20" t="s">
        <v>28356</v>
      </c>
      <c r="G5660" s="20" t="s">
        <v>28357</v>
      </c>
      <c r="H5660" s="24"/>
      <c r="I5660" s="24" t="str">
        <f ca="1">IFERROR(__xludf.DUMMYFUNCTION("GOOGLETRANSLATE(F5660,""en"",""pt"")"),"dispositivos de dióxido de carbono odorizing")</f>
        <v>dispositivos de dióxido de carbono odorizing</v>
      </c>
      <c r="J5660">
        <f>VLOOKUP(A5660,Pr_Base_LNEC!$A$4:$J$6971,6,FALSE)</f>
        <v>0</v>
      </c>
      <c r="K5660">
        <f>VLOOKUP(A5660,Pr_Base_LNEC!$A$4:$J$6971,7,FALSE)</f>
        <v>0</v>
      </c>
    </row>
    <row r="5661" spans="1:11" ht="14.5">
      <c r="A5661" s="20" t="s">
        <v>28358</v>
      </c>
      <c r="B5661" s="20">
        <v>65</v>
      </c>
      <c r="C5661" s="20">
        <v>54</v>
      </c>
      <c r="D5661" s="20">
        <v>30</v>
      </c>
      <c r="E5661" s="20">
        <v>12</v>
      </c>
      <c r="F5661" s="20" t="s">
        <v>28359</v>
      </c>
      <c r="G5661" s="20" t="s">
        <v>28360</v>
      </c>
      <c r="H5661" s="24"/>
      <c r="I5661" s="24" t="str">
        <f ca="1">IFERROR(__xludf.DUMMYFUNCTION("GOOGLETRANSLATE(F5661,""en"",""pt"")"),"válvulas de retenção e anti-retorno")</f>
        <v>válvulas de retenção e anti-retorno</v>
      </c>
      <c r="J5661">
        <f>VLOOKUP(A5661,Pr_Base_LNEC!$A$4:$J$6971,6,FALSE)</f>
        <v>0</v>
      </c>
      <c r="K5661">
        <f>VLOOKUP(A5661,Pr_Base_LNEC!$A$4:$J$6971,7,FALSE)</f>
        <v>0</v>
      </c>
    </row>
    <row r="5662" spans="1:11" ht="14.5">
      <c r="A5662" s="20" t="s">
        <v>28361</v>
      </c>
      <c r="B5662" s="20">
        <v>65</v>
      </c>
      <c r="C5662" s="20">
        <v>54</v>
      </c>
      <c r="D5662" s="20">
        <v>30</v>
      </c>
      <c r="E5662" s="20">
        <v>15</v>
      </c>
      <c r="F5662" s="20" t="s">
        <v>28362</v>
      </c>
      <c r="G5662" s="20" t="s">
        <v>28363</v>
      </c>
      <c r="H5662" s="24"/>
      <c r="I5662" s="24" t="str">
        <f ca="1">IFERROR(__xludf.DUMMYFUNCTION("GOOGLETRANSLATE(F5662,""en"",""pt"")"),"fogo gás recipiente de extinção válvulas")</f>
        <v>fogo gás recipiente de extinção válvulas</v>
      </c>
      <c r="J5662">
        <f>VLOOKUP(A5662,Pr_Base_LNEC!$A$4:$J$6971,6,FALSE)</f>
        <v>0</v>
      </c>
      <c r="K5662">
        <f>VLOOKUP(A5662,Pr_Base_LNEC!$A$4:$J$6971,7,FALSE)</f>
        <v>0</v>
      </c>
    </row>
    <row r="5663" spans="1:11" ht="14.5">
      <c r="A5663" s="20" t="s">
        <v>28364</v>
      </c>
      <c r="B5663" s="20">
        <v>65</v>
      </c>
      <c r="C5663" s="20">
        <v>54</v>
      </c>
      <c r="D5663" s="20">
        <v>30</v>
      </c>
      <c r="E5663" s="20">
        <v>22</v>
      </c>
      <c r="F5663" s="20" t="s">
        <v>28365</v>
      </c>
      <c r="G5663" s="20" t="s">
        <v>28366</v>
      </c>
      <c r="H5663" s="24"/>
      <c r="I5663" s="24" t="str">
        <f ca="1">IFERROR(__xludf.DUMMYFUNCTION("GOOGLETRANSLATE(F5663,""en"",""pt"")"),"válvulas de dilúvio")</f>
        <v>válvulas de dilúvio</v>
      </c>
      <c r="J5663">
        <f>VLOOKUP(A5663,Pr_Base_LNEC!$A$4:$J$6971,6,FALSE)</f>
        <v>0</v>
      </c>
      <c r="K5663">
        <f>VLOOKUP(A5663,Pr_Base_LNEC!$A$4:$J$6971,7,FALSE)</f>
        <v>0</v>
      </c>
    </row>
    <row r="5664" spans="1:11" ht="14.5">
      <c r="A5664" s="20" t="s">
        <v>28367</v>
      </c>
      <c r="B5664" s="20">
        <v>65</v>
      </c>
      <c r="C5664" s="20">
        <v>54</v>
      </c>
      <c r="D5664" s="20">
        <v>30</v>
      </c>
      <c r="E5664" s="20">
        <v>23</v>
      </c>
      <c r="F5664" s="20" t="s">
        <v>28368</v>
      </c>
      <c r="G5664" s="20" t="s">
        <v>28369</v>
      </c>
      <c r="H5664" s="24"/>
      <c r="I5664" s="24" t="str">
        <f ca="1">IFERROR(__xludf.DUMMYFUNCTION("GOOGLETRANSLATE(F5664,""en"",""pt"")"),"As válvulas de drenagem e de teste")</f>
        <v>As válvulas de drenagem e de teste</v>
      </c>
      <c r="J5664">
        <f>VLOOKUP(A5664,Pr_Base_LNEC!$A$4:$J$6971,6,FALSE)</f>
        <v>0</v>
      </c>
      <c r="K5664">
        <f>VLOOKUP(A5664,Pr_Base_LNEC!$A$4:$J$6971,7,FALSE)</f>
        <v>0</v>
      </c>
    </row>
    <row r="5665" spans="1:11" ht="14.5">
      <c r="A5665" s="20" t="s">
        <v>28370</v>
      </c>
      <c r="B5665" s="20">
        <v>65</v>
      </c>
      <c r="C5665" s="20">
        <v>54</v>
      </c>
      <c r="D5665" s="20">
        <v>30</v>
      </c>
      <c r="E5665" s="20">
        <v>24</v>
      </c>
      <c r="F5665" s="20" t="s">
        <v>28371</v>
      </c>
      <c r="G5665" s="20" t="s">
        <v>28372</v>
      </c>
      <c r="H5665" s="24"/>
      <c r="I5665" s="24" t="str">
        <f ca="1">IFERROR(__xludf.DUMMYFUNCTION("GOOGLETRANSLATE(F5665,""en"",""pt"")"),"válvulas de pouso de riser seco")</f>
        <v>válvulas de pouso de riser seco</v>
      </c>
      <c r="J5665">
        <f>VLOOKUP(A5665,Pr_Base_LNEC!$A$4:$J$6971,6,FALSE)</f>
        <v>0</v>
      </c>
      <c r="K5665">
        <f>VLOOKUP(A5665,Pr_Base_LNEC!$A$4:$J$6971,7,FALSE)</f>
        <v>0</v>
      </c>
    </row>
    <row r="5666" spans="1:11" ht="14.5">
      <c r="A5666" s="20" t="s">
        <v>28373</v>
      </c>
      <c r="B5666" s="20">
        <v>65</v>
      </c>
      <c r="C5666" s="20">
        <v>54</v>
      </c>
      <c r="D5666" s="20">
        <v>30</v>
      </c>
      <c r="E5666" s="20">
        <v>25</v>
      </c>
      <c r="F5666" s="20" t="s">
        <v>28374</v>
      </c>
      <c r="G5666" s="24"/>
      <c r="H5666" s="24"/>
      <c r="I5666" s="24" t="str">
        <f ca="1">IFERROR(__xludf.DUMMYFUNCTION("GOOGLETRANSLATE(F5666,""en"",""pt"")"),"Secar conta-gotas saída válvulas")</f>
        <v>Secar conta-gotas saída válvulas</v>
      </c>
      <c r="J5666" t="e">
        <f>VLOOKUP(A5666,Pr_Base_LNEC!$A$4:$J$6971,6,FALSE)</f>
        <v>#N/A</v>
      </c>
      <c r="K5666" t="e">
        <f>VLOOKUP(A5666,Pr_Base_LNEC!$A$4:$J$6971,7,FALSE)</f>
        <v>#N/A</v>
      </c>
    </row>
    <row r="5667" spans="1:11" ht="14.5">
      <c r="A5667" s="20" t="s">
        <v>28375</v>
      </c>
      <c r="B5667" s="20">
        <v>65</v>
      </c>
      <c r="C5667" s="20">
        <v>54</v>
      </c>
      <c r="D5667" s="20">
        <v>30</v>
      </c>
      <c r="E5667" s="20">
        <v>30</v>
      </c>
      <c r="F5667" s="20" t="s">
        <v>28376</v>
      </c>
      <c r="G5667" s="20" t="s">
        <v>28377</v>
      </c>
      <c r="H5667" s="24"/>
      <c r="I5667" s="24" t="str">
        <f ca="1">IFERROR(__xludf.DUMMYFUNCTION("GOOGLETRANSLATE(F5667,""en"",""pt"")"),"dispositivos de alarme de combate a incêndio")</f>
        <v>dispositivos de alarme de combate a incêndio</v>
      </c>
      <c r="J5667">
        <f>VLOOKUP(A5667,Pr_Base_LNEC!$A$4:$J$6971,6,FALSE)</f>
        <v>0</v>
      </c>
      <c r="K5667">
        <f>VLOOKUP(A5667,Pr_Base_LNEC!$A$4:$J$6971,7,FALSE)</f>
        <v>0</v>
      </c>
    </row>
    <row r="5668" spans="1:11" ht="14.5">
      <c r="A5668" s="20" t="s">
        <v>28378</v>
      </c>
      <c r="B5668" s="20">
        <v>65</v>
      </c>
      <c r="C5668" s="20">
        <v>54</v>
      </c>
      <c r="D5668" s="20">
        <v>30</v>
      </c>
      <c r="E5668" s="20">
        <v>32</v>
      </c>
      <c r="F5668" s="20" t="s">
        <v>28379</v>
      </c>
      <c r="G5668" s="20" t="s">
        <v>28380</v>
      </c>
      <c r="H5668" s="24"/>
      <c r="I5668" s="24" t="str">
        <f ca="1">IFERROR(__xludf.DUMMYFUNCTION("GOOGLETRANSLATE(F5668,""en"",""pt"")"),"ligações de fusíveis")</f>
        <v>ligações de fusíveis</v>
      </c>
      <c r="J5668">
        <f>VLOOKUP(A5668,Pr_Base_LNEC!$A$4:$J$6971,6,FALSE)</f>
        <v>0</v>
      </c>
      <c r="K5668">
        <f>VLOOKUP(A5668,Pr_Base_LNEC!$A$4:$J$6971,7,FALSE)</f>
        <v>0</v>
      </c>
    </row>
    <row r="5669" spans="1:11" ht="14.5">
      <c r="A5669" s="20" t="s">
        <v>28381</v>
      </c>
      <c r="B5669" s="20">
        <v>65</v>
      </c>
      <c r="C5669" s="20">
        <v>54</v>
      </c>
      <c r="D5669" s="20">
        <v>30</v>
      </c>
      <c r="E5669" s="20">
        <v>37</v>
      </c>
      <c r="F5669" s="20" t="s">
        <v>28382</v>
      </c>
      <c r="G5669" s="20" t="s">
        <v>28383</v>
      </c>
      <c r="H5669" s="24"/>
      <c r="I5669" s="24" t="str">
        <f ca="1">IFERROR(__xludf.DUMMYFUNCTION("GOOGLETRANSLATE(F5669,""en"",""pt"")"),"fogo gás selector de alta e de baixa pressão de extinção válvulas")</f>
        <v>fogo gás selector de alta e de baixa pressão de extinção válvulas</v>
      </c>
      <c r="J5669">
        <f>VLOOKUP(A5669,Pr_Base_LNEC!$A$4:$J$6971,6,FALSE)</f>
        <v>0</v>
      </c>
      <c r="K5669">
        <f>VLOOKUP(A5669,Pr_Base_LNEC!$A$4:$J$6971,7,FALSE)</f>
        <v>0</v>
      </c>
    </row>
    <row r="5670" spans="1:11" ht="14.5">
      <c r="A5670" s="20" t="s">
        <v>28384</v>
      </c>
      <c r="B5670" s="20">
        <v>65</v>
      </c>
      <c r="C5670" s="20">
        <v>54</v>
      </c>
      <c r="D5670" s="20">
        <v>30</v>
      </c>
      <c r="E5670" s="20">
        <v>42</v>
      </c>
      <c r="F5670" s="20" t="s">
        <v>28385</v>
      </c>
      <c r="G5670" s="24"/>
      <c r="H5670" s="24"/>
      <c r="I5670" s="24" t="str">
        <f ca="1">IFERROR(__xludf.DUMMYFUNCTION("GOOGLETRANSLATE(F5670,""en"",""pt"")"),"breechings entrada")</f>
        <v>breechings entrada</v>
      </c>
      <c r="J5670">
        <f>VLOOKUP(A5670,Pr_Base_LNEC!$A$4:$J$6971,6,FALSE)</f>
        <v>0</v>
      </c>
      <c r="K5670">
        <f>VLOOKUP(A5670,Pr_Base_LNEC!$A$4:$J$6971,7,FALSE)</f>
        <v>0</v>
      </c>
    </row>
    <row r="5671" spans="1:11" ht="14.5">
      <c r="A5671" s="20" t="s">
        <v>28386</v>
      </c>
      <c r="B5671" s="20">
        <v>65</v>
      </c>
      <c r="C5671" s="20">
        <v>54</v>
      </c>
      <c r="D5671" s="20">
        <v>30</v>
      </c>
      <c r="E5671" s="20">
        <v>50</v>
      </c>
      <c r="F5671" s="20" t="s">
        <v>28387</v>
      </c>
      <c r="G5671" s="20" t="s">
        <v>28388</v>
      </c>
      <c r="H5671" s="24"/>
      <c r="I5671" s="24" t="str">
        <f ca="1">IFERROR(__xludf.DUMMYFUNCTION("GOOGLETRANSLATE(F5671,""en"",""pt"")"),"As válvulas de controlo de múltiplos")</f>
        <v>As válvulas de controlo de múltiplos</v>
      </c>
      <c r="J5671">
        <f>VLOOKUP(A5671,Pr_Base_LNEC!$A$4:$J$6971,6,FALSE)</f>
        <v>0</v>
      </c>
      <c r="K5671">
        <f>VLOOKUP(A5671,Pr_Base_LNEC!$A$4:$J$6971,7,FALSE)</f>
        <v>0</v>
      </c>
    </row>
    <row r="5672" spans="1:11" ht="14.5">
      <c r="A5672" s="20" t="s">
        <v>28389</v>
      </c>
      <c r="B5672" s="20">
        <v>65</v>
      </c>
      <c r="C5672" s="20">
        <v>54</v>
      </c>
      <c r="D5672" s="20">
        <v>30</v>
      </c>
      <c r="E5672" s="20">
        <v>63</v>
      </c>
      <c r="F5672" s="20" t="s">
        <v>28390</v>
      </c>
      <c r="G5672" s="20" t="s">
        <v>28391</v>
      </c>
      <c r="H5672" s="24"/>
      <c r="I5672" s="24" t="str">
        <f ca="1">IFERROR(__xludf.DUMMYFUNCTION("GOOGLETRANSLATE(F5672,""en"",""pt"")"),"dispositivos de alarme pneumáticos")</f>
        <v>dispositivos de alarme pneumáticos</v>
      </c>
      <c r="J5672">
        <f>VLOOKUP(A5672,Pr_Base_LNEC!$A$4:$J$6971,6,FALSE)</f>
        <v>0</v>
      </c>
      <c r="K5672">
        <f>VLOOKUP(A5672,Pr_Base_LNEC!$A$4:$J$6971,7,FALSE)</f>
        <v>0</v>
      </c>
    </row>
    <row r="5673" spans="1:11" ht="14.5">
      <c r="A5673" s="20" t="s">
        <v>28392</v>
      </c>
      <c r="B5673" s="20">
        <v>65</v>
      </c>
      <c r="C5673" s="20">
        <v>54</v>
      </c>
      <c r="D5673" s="20">
        <v>30</v>
      </c>
      <c r="E5673" s="20">
        <v>65</v>
      </c>
      <c r="F5673" s="20" t="s">
        <v>28393</v>
      </c>
      <c r="G5673" s="20" t="s">
        <v>28394</v>
      </c>
      <c r="H5673" s="24"/>
      <c r="I5673" s="24" t="str">
        <f ca="1">IFERROR(__xludf.DUMMYFUNCTION("GOOGLETRANSLATE(F5673,""en"",""pt"")"),"manómetros e comutadores de pressão")</f>
        <v>manómetros e comutadores de pressão</v>
      </c>
      <c r="J5673">
        <f>VLOOKUP(A5673,Pr_Base_LNEC!$A$4:$J$6971,6,FALSE)</f>
        <v>0</v>
      </c>
      <c r="K5673">
        <f>VLOOKUP(A5673,Pr_Base_LNEC!$A$4:$J$6971,7,FALSE)</f>
        <v>0</v>
      </c>
    </row>
    <row r="5674" spans="1:11" ht="14.5">
      <c r="A5674" s="20" t="s">
        <v>28395</v>
      </c>
      <c r="B5674" s="20">
        <v>65</v>
      </c>
      <c r="C5674" s="20">
        <v>54</v>
      </c>
      <c r="D5674" s="20">
        <v>30</v>
      </c>
      <c r="E5674" s="20">
        <v>85</v>
      </c>
      <c r="F5674" s="20" t="s">
        <v>28396</v>
      </c>
      <c r="G5674" s="20" t="s">
        <v>28397</v>
      </c>
      <c r="H5674" s="24"/>
      <c r="I5674" s="24" t="str">
        <f ca="1">IFERROR(__xludf.DUMMYFUNCTION("GOOGLETRANSLATE(F5674,""en"",""pt"")"),"válvulas de alarme sistema de aspersão")</f>
        <v>válvulas de alarme sistema de aspersão</v>
      </c>
      <c r="J5674">
        <f>VLOOKUP(A5674,Pr_Base_LNEC!$A$4:$J$6971,6,FALSE)</f>
        <v>0</v>
      </c>
      <c r="K5674">
        <f>VLOOKUP(A5674,Pr_Base_LNEC!$A$4:$J$6971,7,FALSE)</f>
        <v>0</v>
      </c>
    </row>
    <row r="5675" spans="1:11" ht="14.5">
      <c r="A5675" s="20" t="s">
        <v>28398</v>
      </c>
      <c r="B5675" s="20">
        <v>65</v>
      </c>
      <c r="C5675" s="20">
        <v>54</v>
      </c>
      <c r="D5675" s="20">
        <v>30</v>
      </c>
      <c r="E5675" s="20">
        <v>95</v>
      </c>
      <c r="F5675" s="20" t="s">
        <v>28399</v>
      </c>
      <c r="G5675" s="20" t="s">
        <v>28400</v>
      </c>
      <c r="H5675" s="24"/>
      <c r="I5675" s="24" t="str">
        <f ca="1">IFERROR(__xludf.DUMMYFUNCTION("GOOGLETRANSLATE(F5675,""en"",""pt"")"),"Água tiras de couro extintor de incêndio")</f>
        <v>Água tiras de couro extintor de incêndio</v>
      </c>
      <c r="J5675">
        <f>VLOOKUP(A5675,Pr_Base_LNEC!$A$4:$J$6971,6,FALSE)</f>
        <v>0</v>
      </c>
      <c r="K5675">
        <f>VLOOKUP(A5675,Pr_Base_LNEC!$A$4:$J$6971,7,FALSE)</f>
        <v>0</v>
      </c>
    </row>
    <row r="5676" spans="1:11" ht="14.5">
      <c r="A5676" s="20" t="s">
        <v>28401</v>
      </c>
      <c r="B5676" s="20">
        <v>65</v>
      </c>
      <c r="C5676" s="20">
        <v>54</v>
      </c>
      <c r="D5676" s="20">
        <v>30</v>
      </c>
      <c r="E5676" s="20">
        <v>96</v>
      </c>
      <c r="F5676" s="20" t="s">
        <v>28402</v>
      </c>
      <c r="G5676" s="20" t="s">
        <v>28403</v>
      </c>
      <c r="H5676" s="24"/>
      <c r="I5676" s="24" t="str">
        <f ca="1">IFERROR(__xludf.DUMMYFUNCTION("GOOGLETRANSLATE(F5676,""en"",""pt"")"),"As válvulas de controlo de névoa de água")</f>
        <v>As válvulas de controlo de névoa de água</v>
      </c>
      <c r="J5676">
        <f>VLOOKUP(A5676,Pr_Base_LNEC!$A$4:$J$6971,6,FALSE)</f>
        <v>0</v>
      </c>
      <c r="K5676">
        <f>VLOOKUP(A5676,Pr_Base_LNEC!$A$4:$J$6971,7,FALSE)</f>
        <v>0</v>
      </c>
    </row>
    <row r="5677" spans="1:11" ht="14.5">
      <c r="A5677" s="20" t="s">
        <v>28404</v>
      </c>
      <c r="B5677" s="20">
        <v>65</v>
      </c>
      <c r="C5677" s="20">
        <v>54</v>
      </c>
      <c r="D5677" s="20">
        <v>30</v>
      </c>
      <c r="E5677" s="20">
        <v>97</v>
      </c>
      <c r="F5677" s="20" t="s">
        <v>28405</v>
      </c>
      <c r="G5677" s="20" t="s">
        <v>28406</v>
      </c>
      <c r="H5677" s="24"/>
      <c r="I5677" s="24" t="str">
        <f ca="1">IFERROR(__xludf.DUMMYFUNCTION("GOOGLETRANSLATE(F5677,""en"",""pt"")"),"válvulas de desembarque molhado de riser")</f>
        <v>válvulas de desembarque molhado de riser</v>
      </c>
      <c r="J5677">
        <f>VLOOKUP(A5677,Pr_Base_LNEC!$A$4:$J$6971,6,FALSE)</f>
        <v>0</v>
      </c>
      <c r="K5677">
        <f>VLOOKUP(A5677,Pr_Base_LNEC!$A$4:$J$6971,7,FALSE)</f>
        <v>0</v>
      </c>
    </row>
    <row r="5678" spans="1:11" ht="14.5">
      <c r="A5678" s="20" t="s">
        <v>28407</v>
      </c>
      <c r="B5678" s="20">
        <v>65</v>
      </c>
      <c r="C5678" s="20">
        <v>54</v>
      </c>
      <c r="D5678" s="20">
        <v>33</v>
      </c>
      <c r="E5678" s="24"/>
      <c r="F5678" s="20" t="s">
        <v>28408</v>
      </c>
      <c r="G5678" s="24"/>
      <c r="H5678" s="24"/>
      <c r="I5678" s="24" t="str">
        <f ca="1">IFERROR(__xludf.DUMMYFUNCTION("GOOGLETRANSLATE(F5678,""en"",""pt"")"),"Gás e válvulas de combustível líquido")</f>
        <v>Gás e válvulas de combustível líquido</v>
      </c>
      <c r="J5678">
        <f>VLOOKUP(A5678,Pr_Base_LNEC!$A$4:$J$6971,6,FALSE)</f>
        <v>0</v>
      </c>
      <c r="K5678">
        <f>VLOOKUP(A5678,Pr_Base_LNEC!$A$4:$J$6971,7,FALSE)</f>
        <v>0</v>
      </c>
    </row>
    <row r="5679" spans="1:11" ht="14.5">
      <c r="A5679" s="20" t="s">
        <v>28409</v>
      </c>
      <c r="B5679" s="20">
        <v>65</v>
      </c>
      <c r="C5679" s="20">
        <v>54</v>
      </c>
      <c r="D5679" s="20">
        <v>33</v>
      </c>
      <c r="E5679" s="20">
        <v>3</v>
      </c>
      <c r="F5679" s="20" t="s">
        <v>28410</v>
      </c>
      <c r="G5679" s="20" t="s">
        <v>28411</v>
      </c>
      <c r="H5679" s="24"/>
      <c r="I5679" s="24" t="str">
        <f ca="1">IFERROR(__xludf.DUMMYFUNCTION("GOOGLETRANSLATE(F5679,""en"",""pt"")"),"válvulas de abastecimento de combustível líquido anti-sifão")</f>
        <v>válvulas de abastecimento de combustível líquido anti-sifão</v>
      </c>
      <c r="J5679">
        <f>VLOOKUP(A5679,Pr_Base_LNEC!$A$4:$J$6971,6,FALSE)</f>
        <v>0</v>
      </c>
      <c r="K5679">
        <f>VLOOKUP(A5679,Pr_Base_LNEC!$A$4:$J$6971,7,FALSE)</f>
        <v>0</v>
      </c>
    </row>
    <row r="5680" spans="1:11" ht="14.5">
      <c r="A5680" s="20" t="s">
        <v>28412</v>
      </c>
      <c r="B5680" s="20">
        <v>65</v>
      </c>
      <c r="C5680" s="20">
        <v>54</v>
      </c>
      <c r="D5680" s="20">
        <v>33</v>
      </c>
      <c r="E5680" s="20">
        <v>5</v>
      </c>
      <c r="F5680" s="20" t="s">
        <v>28413</v>
      </c>
      <c r="G5680" s="20" t="s">
        <v>28414</v>
      </c>
      <c r="H5680" s="24"/>
      <c r="I5680" s="24" t="str">
        <f ca="1">IFERROR(__xludf.DUMMYFUNCTION("GOOGLETRANSLATE(F5680,""en"",""pt"")"),"passagem de gás de petróleo liquefeito (GPL) automático válvulas")</f>
        <v>passagem de gás de petróleo liquefeito (GPL) automático válvulas</v>
      </c>
      <c r="J5680">
        <f>VLOOKUP(A5680,Pr_Base_LNEC!$A$4:$J$6971,6,FALSE)</f>
        <v>0</v>
      </c>
      <c r="K5680">
        <f>VLOOKUP(A5680,Pr_Base_LNEC!$A$4:$J$6971,7,FALSE)</f>
        <v>0</v>
      </c>
    </row>
    <row r="5681" spans="1:11" ht="14.5">
      <c r="A5681" s="20" t="s">
        <v>28415</v>
      </c>
      <c r="B5681" s="20">
        <v>65</v>
      </c>
      <c r="C5681" s="20">
        <v>54</v>
      </c>
      <c r="D5681" s="20">
        <v>33</v>
      </c>
      <c r="E5681" s="20">
        <v>10</v>
      </c>
      <c r="F5681" s="20" t="s">
        <v>28416</v>
      </c>
      <c r="G5681" s="24"/>
      <c r="H5681" s="24"/>
      <c r="I5681" s="24" t="str">
        <f ca="1">IFERROR(__xludf.DUMMYFUNCTION("GOOGLETRANSLATE(F5681,""en"",""pt"")"),"injetores de gás cloro")</f>
        <v>injetores de gás cloro</v>
      </c>
      <c r="J5681" t="e">
        <f>VLOOKUP(A5681,Pr_Base_LNEC!$A$4:$J$6971,6,FALSE)</f>
        <v>#N/A</v>
      </c>
      <c r="K5681" t="e">
        <f>VLOOKUP(A5681,Pr_Base_LNEC!$A$4:$J$6971,7,FALSE)</f>
        <v>#N/A</v>
      </c>
    </row>
    <row r="5682" spans="1:11" ht="14.5">
      <c r="A5682" s="20" t="s">
        <v>28417</v>
      </c>
      <c r="B5682" s="20">
        <v>65</v>
      </c>
      <c r="C5682" s="20">
        <v>54</v>
      </c>
      <c r="D5682" s="20">
        <v>33</v>
      </c>
      <c r="E5682" s="20">
        <v>11</v>
      </c>
      <c r="F5682" s="20" t="s">
        <v>28418</v>
      </c>
      <c r="G5682" s="20" t="s">
        <v>28419</v>
      </c>
      <c r="H5682" s="24"/>
      <c r="I5682" s="24" t="str">
        <f ca="1">IFERROR(__xludf.DUMMYFUNCTION("GOOGLETRANSLATE(F5682,""en"",""pt"")"),"válvulas macho ferro fundido")</f>
        <v>válvulas macho ferro fundido</v>
      </c>
      <c r="J5682">
        <f>VLOOKUP(A5682,Pr_Base_LNEC!$A$4:$J$6971,6,FALSE)</f>
        <v>0</v>
      </c>
      <c r="K5682">
        <f>VLOOKUP(A5682,Pr_Base_LNEC!$A$4:$J$6971,7,FALSE)</f>
        <v>0</v>
      </c>
    </row>
    <row r="5683" spans="1:11" ht="14.5">
      <c r="A5683" s="20" t="s">
        <v>28420</v>
      </c>
      <c r="B5683" s="20">
        <v>65</v>
      </c>
      <c r="C5683" s="20">
        <v>54</v>
      </c>
      <c r="D5683" s="20">
        <v>33</v>
      </c>
      <c r="E5683" s="20">
        <v>12</v>
      </c>
      <c r="F5683" s="20" t="s">
        <v>28421</v>
      </c>
      <c r="G5683" s="24"/>
      <c r="H5683" s="24"/>
      <c r="I5683" s="24" t="str">
        <f ca="1">IFERROR(__xludf.DUMMYFUNCTION("GOOGLETRANSLATE(F5683,""en"",""pt"")"),"colectores de gás cloro")</f>
        <v>colectores de gás cloro</v>
      </c>
      <c r="J5683" t="e">
        <f>VLOOKUP(A5683,Pr_Base_LNEC!$A$4:$J$6971,6,FALSE)</f>
        <v>#N/A</v>
      </c>
      <c r="K5683" t="e">
        <f>VLOOKUP(A5683,Pr_Base_LNEC!$A$4:$J$6971,7,FALSE)</f>
        <v>#N/A</v>
      </c>
    </row>
    <row r="5684" spans="1:11" ht="14.5">
      <c r="A5684" s="20" t="s">
        <v>28422</v>
      </c>
      <c r="B5684" s="20">
        <v>65</v>
      </c>
      <c r="C5684" s="20">
        <v>54</v>
      </c>
      <c r="D5684" s="20">
        <v>33</v>
      </c>
      <c r="E5684" s="20">
        <v>13</v>
      </c>
      <c r="F5684" s="20" t="s">
        <v>28423</v>
      </c>
      <c r="G5684" s="24"/>
      <c r="H5684" s="24"/>
      <c r="I5684" s="24" t="str">
        <f ca="1">IFERROR(__xludf.DUMMYFUNCTION("GOOGLETRANSLATE(F5684,""en"",""pt"")"),"tranças colector de gás de cloro")</f>
        <v>tranças colector de gás de cloro</v>
      </c>
      <c r="J5684" t="e">
        <f>VLOOKUP(A5684,Pr_Base_LNEC!$A$4:$J$6971,6,FALSE)</f>
        <v>#N/A</v>
      </c>
      <c r="K5684" t="e">
        <f>VLOOKUP(A5684,Pr_Base_LNEC!$A$4:$J$6971,7,FALSE)</f>
        <v>#N/A</v>
      </c>
    </row>
    <row r="5685" spans="1:11" ht="14.5">
      <c r="A5685" s="20" t="s">
        <v>28424</v>
      </c>
      <c r="B5685" s="20">
        <v>65</v>
      </c>
      <c r="C5685" s="20">
        <v>54</v>
      </c>
      <c r="D5685" s="20">
        <v>33</v>
      </c>
      <c r="E5685" s="20">
        <v>14</v>
      </c>
      <c r="F5685" s="20" t="s">
        <v>28425</v>
      </c>
      <c r="G5685" s="24"/>
      <c r="H5685" s="24"/>
      <c r="I5685" s="24" t="str">
        <f ca="1">IFERROR(__xludf.DUMMYFUNCTION("GOOGLETRANSLATE(F5685,""en"",""pt"")"),"colectores de ar comprimido")</f>
        <v>colectores de ar comprimido</v>
      </c>
      <c r="J5685">
        <f>VLOOKUP(A5685,Pr_Base_LNEC!$A$4:$J$6971,6,FALSE)</f>
        <v>0</v>
      </c>
      <c r="K5685">
        <f>VLOOKUP(A5685,Pr_Base_LNEC!$A$4:$J$6971,7,FALSE)</f>
        <v>0</v>
      </c>
    </row>
    <row r="5686" spans="1:11" ht="14.5">
      <c r="A5686" s="20" t="s">
        <v>28426</v>
      </c>
      <c r="B5686" s="20">
        <v>65</v>
      </c>
      <c r="C5686" s="20">
        <v>54</v>
      </c>
      <c r="D5686" s="20">
        <v>33</v>
      </c>
      <c r="E5686" s="20">
        <v>15</v>
      </c>
      <c r="F5686" s="20" t="s">
        <v>28427</v>
      </c>
      <c r="G5686" s="20" t="s">
        <v>28428</v>
      </c>
      <c r="H5686" s="24"/>
      <c r="I5686" s="24" t="str">
        <f ca="1">IFERROR(__xludf.DUMMYFUNCTION("GOOGLETRANSLATE(F5686,""en"",""pt"")"),"Pressão de ar comprimido reduzindo estações")</f>
        <v>Pressão de ar comprimido reduzindo estações</v>
      </c>
      <c r="J5686">
        <f>VLOOKUP(A5686,Pr_Base_LNEC!$A$4:$J$6971,6,FALSE)</f>
        <v>0</v>
      </c>
      <c r="K5686">
        <f>VLOOKUP(A5686,Pr_Base_LNEC!$A$4:$J$6971,7,FALSE)</f>
        <v>0</v>
      </c>
    </row>
    <row r="5687" spans="1:11" ht="14.5">
      <c r="A5687" s="20" t="s">
        <v>28429</v>
      </c>
      <c r="B5687" s="20">
        <v>65</v>
      </c>
      <c r="C5687" s="20">
        <v>54</v>
      </c>
      <c r="D5687" s="20">
        <v>33</v>
      </c>
      <c r="E5687" s="20">
        <v>17</v>
      </c>
      <c r="F5687" s="20" t="s">
        <v>28430</v>
      </c>
      <c r="G5687" s="24"/>
      <c r="H5687" s="24"/>
      <c r="I5687" s="24" t="str">
        <f ca="1">IFERROR(__xludf.DUMMYFUNCTION("GOOGLETRANSLATE(F5687,""en"",""pt"")"),"válvulas de segurança de ar comprimido")</f>
        <v>válvulas de segurança de ar comprimido</v>
      </c>
      <c r="J5687">
        <f>VLOOKUP(A5687,Pr_Base_LNEC!$A$4:$J$6971,6,FALSE)</f>
        <v>0</v>
      </c>
      <c r="K5687">
        <f>VLOOKUP(A5687,Pr_Base_LNEC!$A$4:$J$6971,7,FALSE)</f>
        <v>0</v>
      </c>
    </row>
    <row r="5688" spans="1:11" ht="14.5">
      <c r="A5688" s="20" t="s">
        <v>28431</v>
      </c>
      <c r="B5688" s="20">
        <v>65</v>
      </c>
      <c r="C5688" s="20">
        <v>54</v>
      </c>
      <c r="D5688" s="20">
        <v>33</v>
      </c>
      <c r="E5688" s="20">
        <v>31</v>
      </c>
      <c r="F5688" s="20" t="s">
        <v>28432</v>
      </c>
      <c r="G5688" s="24"/>
      <c r="H5688" s="24"/>
      <c r="I5688" s="24" t="str">
        <f ca="1">IFERROR(__xludf.DUMMYFUNCTION("GOOGLETRANSLATE(F5688,""en"",""pt"")"),"válvulas peso gota elo fusível")</f>
        <v>válvulas peso gota elo fusível</v>
      </c>
      <c r="J5688">
        <f>VLOOKUP(A5688,Pr_Base_LNEC!$A$4:$J$6971,6,FALSE)</f>
        <v>0</v>
      </c>
      <c r="K5688">
        <f>VLOOKUP(A5688,Pr_Base_LNEC!$A$4:$J$6971,7,FALSE)</f>
        <v>0</v>
      </c>
    </row>
    <row r="5689" spans="1:11" ht="14.5">
      <c r="A5689" s="20" t="s">
        <v>28433</v>
      </c>
      <c r="B5689" s="20">
        <v>65</v>
      </c>
      <c r="C5689" s="20">
        <v>54</v>
      </c>
      <c r="D5689" s="20">
        <v>33</v>
      </c>
      <c r="E5689" s="20">
        <v>33</v>
      </c>
      <c r="F5689" s="20" t="s">
        <v>28434</v>
      </c>
      <c r="G5689" s="20" t="s">
        <v>28435</v>
      </c>
      <c r="H5689" s="24"/>
      <c r="I5689" s="24" t="str">
        <f ca="1">IFERROR(__xludf.DUMMYFUNCTION("GOOGLETRANSLATE(F5689,""en"",""pt"")"),"As válvulas de esfera Gás")</f>
        <v>As válvulas de esfera Gás</v>
      </c>
      <c r="J5689">
        <f>VLOOKUP(A5689,Pr_Base_LNEC!$A$4:$J$6971,6,FALSE)</f>
        <v>0</v>
      </c>
      <c r="K5689">
        <f>VLOOKUP(A5689,Pr_Base_LNEC!$A$4:$J$6971,7,FALSE)</f>
        <v>0</v>
      </c>
    </row>
    <row r="5690" spans="1:11" ht="14.5">
      <c r="A5690" s="20" t="s">
        <v>28436</v>
      </c>
      <c r="B5690" s="20">
        <v>65</v>
      </c>
      <c r="C5690" s="20">
        <v>54</v>
      </c>
      <c r="D5690" s="20">
        <v>33</v>
      </c>
      <c r="E5690" s="20">
        <v>34</v>
      </c>
      <c r="F5690" s="20" t="s">
        <v>28437</v>
      </c>
      <c r="G5690" s="20" t="s">
        <v>28438</v>
      </c>
      <c r="H5690" s="24"/>
      <c r="I5690" s="24" t="str">
        <f ca="1">IFERROR(__xludf.DUMMYFUNCTION("GOOGLETRANSLATE(F5690,""en"",""pt"")"),"dispositivos de segurança de queimador de gás")</f>
        <v>dispositivos de segurança de queimador de gás</v>
      </c>
      <c r="J5690">
        <f>VLOOKUP(A5690,Pr_Base_LNEC!$A$4:$J$6971,6,FALSE)</f>
        <v>0</v>
      </c>
      <c r="K5690">
        <f>VLOOKUP(A5690,Pr_Base_LNEC!$A$4:$J$6971,7,FALSE)</f>
        <v>0</v>
      </c>
    </row>
    <row r="5691" spans="1:11" ht="14.5">
      <c r="A5691" s="20" t="s">
        <v>28439</v>
      </c>
      <c r="B5691" s="20">
        <v>65</v>
      </c>
      <c r="C5691" s="20">
        <v>54</v>
      </c>
      <c r="D5691" s="20">
        <v>33</v>
      </c>
      <c r="E5691" s="20">
        <v>35</v>
      </c>
      <c r="F5691" s="20" t="s">
        <v>28440</v>
      </c>
      <c r="G5691" s="20" t="s">
        <v>28441</v>
      </c>
      <c r="H5691" s="24"/>
      <c r="I5691" s="24" t="str">
        <f ca="1">IFERROR(__xludf.DUMMYFUNCTION("GOOGLETRANSLATE(F5691,""en"",""pt"")"),"válvulas de borboleta Gás")</f>
        <v>válvulas de borboleta Gás</v>
      </c>
      <c r="J5691">
        <f>VLOOKUP(A5691,Pr_Base_LNEC!$A$4:$J$6971,6,FALSE)</f>
        <v>0</v>
      </c>
      <c r="K5691">
        <f>VLOOKUP(A5691,Pr_Base_LNEC!$A$4:$J$6971,7,FALSE)</f>
        <v>0</v>
      </c>
    </row>
    <row r="5692" spans="1:11" ht="14.5">
      <c r="A5692" s="20" t="s">
        <v>28442</v>
      </c>
      <c r="B5692" s="20">
        <v>65</v>
      </c>
      <c r="C5692" s="20">
        <v>54</v>
      </c>
      <c r="D5692" s="20">
        <v>33</v>
      </c>
      <c r="E5692" s="20">
        <v>36</v>
      </c>
      <c r="F5692" s="20" t="s">
        <v>28443</v>
      </c>
      <c r="G5692" s="20" t="s">
        <v>28444</v>
      </c>
      <c r="H5692" s="24"/>
      <c r="I5692" s="24" t="str">
        <f ca="1">IFERROR(__xludf.DUMMYFUNCTION("GOOGLETRANSLATE(F5692,""en"",""pt"")"),"pressão de gás redutor estações")</f>
        <v>pressão de gás redutor estações</v>
      </c>
      <c r="J5692">
        <f>VLOOKUP(A5692,Pr_Base_LNEC!$A$4:$J$6971,6,FALSE)</f>
        <v>0</v>
      </c>
      <c r="K5692">
        <f>VLOOKUP(A5692,Pr_Base_LNEC!$A$4:$J$6971,7,FALSE)</f>
        <v>0</v>
      </c>
    </row>
    <row r="5693" spans="1:11" ht="14.5">
      <c r="A5693" s="20" t="s">
        <v>28445</v>
      </c>
      <c r="B5693" s="20">
        <v>65</v>
      </c>
      <c r="C5693" s="20">
        <v>54</v>
      </c>
      <c r="D5693" s="20">
        <v>33</v>
      </c>
      <c r="E5693" s="20">
        <v>37</v>
      </c>
      <c r="F5693" s="20" t="s">
        <v>28446</v>
      </c>
      <c r="G5693" s="20" t="s">
        <v>28447</v>
      </c>
      <c r="H5693" s="24"/>
      <c r="I5693" s="24" t="str">
        <f ca="1">IFERROR(__xludf.DUMMYFUNCTION("GOOGLETRANSLATE(F5693,""en"",""pt"")"),"interruptores de pressão de gás")</f>
        <v>interruptores de pressão de gás</v>
      </c>
      <c r="J5693">
        <f>VLOOKUP(A5693,Pr_Base_LNEC!$A$4:$J$6971,6,FALSE)</f>
        <v>0</v>
      </c>
      <c r="K5693">
        <f>VLOOKUP(A5693,Pr_Base_LNEC!$A$4:$J$6971,7,FALSE)</f>
        <v>0</v>
      </c>
    </row>
    <row r="5694" spans="1:11" ht="14.5">
      <c r="A5694" s="20" t="s">
        <v>28448</v>
      </c>
      <c r="B5694" s="20">
        <v>65</v>
      </c>
      <c r="C5694" s="20">
        <v>54</v>
      </c>
      <c r="D5694" s="20">
        <v>33</v>
      </c>
      <c r="E5694" s="20">
        <v>38</v>
      </c>
      <c r="F5694" s="20" t="s">
        <v>28449</v>
      </c>
      <c r="G5694" s="20" t="s">
        <v>28450</v>
      </c>
      <c r="H5694" s="24"/>
      <c r="I5694" s="24" t="str">
        <f ca="1">IFERROR(__xludf.DUMMYFUNCTION("GOOGLETRANSLATE(F5694,""en"",""pt"")"),"válvulas de gás solenóide")</f>
        <v>válvulas de gás solenóide</v>
      </c>
      <c r="J5694">
        <f>VLOOKUP(A5694,Pr_Base_LNEC!$A$4:$J$6971,6,FALSE)</f>
        <v>0</v>
      </c>
      <c r="K5694">
        <f>VLOOKUP(A5694,Pr_Base_LNEC!$A$4:$J$6971,7,FALSE)</f>
        <v>0</v>
      </c>
    </row>
    <row r="5695" spans="1:11" ht="14.5">
      <c r="A5695" s="20" t="s">
        <v>28451</v>
      </c>
      <c r="B5695" s="20">
        <v>65</v>
      </c>
      <c r="C5695" s="20">
        <v>54</v>
      </c>
      <c r="D5695" s="20">
        <v>33</v>
      </c>
      <c r="E5695" s="20">
        <v>40</v>
      </c>
      <c r="F5695" s="20" t="s">
        <v>28452</v>
      </c>
      <c r="G5695" s="24"/>
      <c r="H5695" s="24"/>
      <c r="I5695" s="24" t="str">
        <f ca="1">IFERROR(__xludf.DUMMYFUNCTION("GOOGLETRANSLATE(F5695,""en"",""pt"")"),"reguladores de vácuo Gás")</f>
        <v>reguladores de vácuo Gás</v>
      </c>
      <c r="J5695" t="e">
        <f>VLOOKUP(A5695,Pr_Base_LNEC!$A$4:$J$6971,6,FALSE)</f>
        <v>#N/A</v>
      </c>
      <c r="K5695" t="e">
        <f>VLOOKUP(A5695,Pr_Base_LNEC!$A$4:$J$6971,7,FALSE)</f>
        <v>#N/A</v>
      </c>
    </row>
    <row r="5696" spans="1:11" ht="14.5">
      <c r="A5696" s="20" t="s">
        <v>28453</v>
      </c>
      <c r="B5696" s="20">
        <v>65</v>
      </c>
      <c r="C5696" s="20">
        <v>54</v>
      </c>
      <c r="D5696" s="20">
        <v>33</v>
      </c>
      <c r="E5696" s="20">
        <v>43</v>
      </c>
      <c r="F5696" s="20" t="s">
        <v>28454</v>
      </c>
      <c r="G5696" s="24"/>
      <c r="H5696" s="24"/>
      <c r="I5696" s="24" t="str">
        <f ca="1">IFERROR(__xludf.DUMMYFUNCTION("GOOGLETRANSLATE(F5696,""en"",""pt"")"),"válvulas de regulação de fluxo de vácuo industrial")</f>
        <v>válvulas de regulação de fluxo de vácuo industrial</v>
      </c>
      <c r="J5696">
        <f>VLOOKUP(A5696,Pr_Base_LNEC!$A$4:$J$6971,6,FALSE)</f>
        <v>0</v>
      </c>
      <c r="K5696">
        <f>VLOOKUP(A5696,Pr_Base_LNEC!$A$4:$J$6971,7,FALSE)</f>
        <v>0</v>
      </c>
    </row>
    <row r="5697" spans="1:11" ht="14.5">
      <c r="A5697" s="20" t="s">
        <v>28455</v>
      </c>
      <c r="B5697" s="20">
        <v>65</v>
      </c>
      <c r="C5697" s="20">
        <v>54</v>
      </c>
      <c r="D5697" s="20">
        <v>33</v>
      </c>
      <c r="E5697" s="20">
        <v>44</v>
      </c>
      <c r="F5697" s="20" t="s">
        <v>28456</v>
      </c>
      <c r="G5697" s="24"/>
      <c r="H5697" s="24"/>
      <c r="I5697" s="24" t="str">
        <f ca="1">IFERROR(__xludf.DUMMYFUNCTION("GOOGLETRANSLATE(F5697,""en"",""pt"")"),"válvulas de segurança de gás de laboratório")</f>
        <v>válvulas de segurança de gás de laboratório</v>
      </c>
      <c r="J5697">
        <f>VLOOKUP(A5697,Pr_Base_LNEC!$A$4:$J$6971,6,FALSE)</f>
        <v>0</v>
      </c>
      <c r="K5697">
        <f>VLOOKUP(A5697,Pr_Base_LNEC!$A$4:$J$6971,7,FALSE)</f>
        <v>0</v>
      </c>
    </row>
    <row r="5698" spans="1:11" ht="14.5">
      <c r="A5698" s="20" t="s">
        <v>28457</v>
      </c>
      <c r="B5698" s="20">
        <v>65</v>
      </c>
      <c r="C5698" s="20">
        <v>54</v>
      </c>
      <c r="D5698" s="20">
        <v>33</v>
      </c>
      <c r="E5698" s="20">
        <v>45</v>
      </c>
      <c r="F5698" s="20" t="s">
        <v>28458</v>
      </c>
      <c r="G5698" s="20" t="s">
        <v>28459</v>
      </c>
      <c r="H5698" s="24"/>
      <c r="I5698" s="24" t="str">
        <f ca="1">IFERROR(__xludf.DUMMYFUNCTION("GOOGLETRANSLATE(F5698,""en"",""pt"")"),"torneiras de gás de laboratório")</f>
        <v>torneiras de gás de laboratório</v>
      </c>
      <c r="J5698">
        <f>VLOOKUP(A5698,Pr_Base_LNEC!$A$4:$J$6971,6,FALSE)</f>
        <v>0</v>
      </c>
      <c r="K5698">
        <f>VLOOKUP(A5698,Pr_Base_LNEC!$A$4:$J$6971,7,FALSE)</f>
        <v>0</v>
      </c>
    </row>
    <row r="5699" spans="1:11" ht="14.5">
      <c r="A5699" s="20" t="s">
        <v>28460</v>
      </c>
      <c r="B5699" s="20">
        <v>65</v>
      </c>
      <c r="C5699" s="20">
        <v>54</v>
      </c>
      <c r="D5699" s="20">
        <v>33</v>
      </c>
      <c r="E5699" s="20">
        <v>46</v>
      </c>
      <c r="F5699" s="20" t="s">
        <v>28461</v>
      </c>
      <c r="G5699" s="24"/>
      <c r="H5699" s="24"/>
      <c r="I5699" s="24" t="str">
        <f ca="1">IFERROR(__xludf.DUMMYFUNCTION("GOOGLETRANSLATE(F5699,""en"",""pt"")"),"colectores de fornecimento de gás de laboratório")</f>
        <v>colectores de fornecimento de gás de laboratório</v>
      </c>
      <c r="J5699">
        <f>VLOOKUP(A5699,Pr_Base_LNEC!$A$4:$J$6971,6,FALSE)</f>
        <v>0</v>
      </c>
      <c r="K5699">
        <f>VLOOKUP(A5699,Pr_Base_LNEC!$A$4:$J$6971,7,FALSE)</f>
        <v>0</v>
      </c>
    </row>
    <row r="5700" spans="1:11" ht="14.5">
      <c r="A5700" s="20" t="s">
        <v>28462</v>
      </c>
      <c r="B5700" s="20">
        <v>65</v>
      </c>
      <c r="C5700" s="20">
        <v>54</v>
      </c>
      <c r="D5700" s="20">
        <v>33</v>
      </c>
      <c r="E5700" s="20">
        <v>47</v>
      </c>
      <c r="F5700" s="20" t="s">
        <v>28463</v>
      </c>
      <c r="G5700" s="20" t="s">
        <v>28464</v>
      </c>
      <c r="H5700" s="24"/>
      <c r="I5700" s="24" t="str">
        <f ca="1">IFERROR(__xludf.DUMMYFUNCTION("GOOGLETRANSLATE(F5700,""en"",""pt"")"),"de gás de petróleo liquefeito (GPL) reguladores de pressão")</f>
        <v>de gás de petróleo liquefeito (GPL) reguladores de pressão</v>
      </c>
      <c r="J5700">
        <f>VLOOKUP(A5700,Pr_Base_LNEC!$A$4:$J$6971,6,FALSE)</f>
        <v>0</v>
      </c>
      <c r="K5700">
        <f>VLOOKUP(A5700,Pr_Base_LNEC!$A$4:$J$6971,7,FALSE)</f>
        <v>0</v>
      </c>
    </row>
    <row r="5701" spans="1:11" ht="14.5">
      <c r="A5701" s="20" t="s">
        <v>28465</v>
      </c>
      <c r="B5701" s="20">
        <v>65</v>
      </c>
      <c r="C5701" s="20">
        <v>54</v>
      </c>
      <c r="D5701" s="20">
        <v>33</v>
      </c>
      <c r="E5701" s="20">
        <v>48</v>
      </c>
      <c r="F5701" s="20" t="s">
        <v>28466</v>
      </c>
      <c r="G5701" s="20" t="s">
        <v>28467</v>
      </c>
      <c r="H5701" s="24"/>
      <c r="I5701" s="24" t="str">
        <f ca="1">IFERROR(__xludf.DUMMYFUNCTION("GOOGLETRANSLATE(F5701,""en"",""pt"")"),"de gás de petróleo liquefeito válvulas de alívio de pressão (GLP)")</f>
        <v>de gás de petróleo liquefeito válvulas de alívio de pressão (GLP)</v>
      </c>
      <c r="J5701">
        <f>VLOOKUP(A5701,Pr_Base_LNEC!$A$4:$J$6971,6,FALSE)</f>
        <v>0</v>
      </c>
      <c r="K5701">
        <f>VLOOKUP(A5701,Pr_Base_LNEC!$A$4:$J$6971,7,FALSE)</f>
        <v>0</v>
      </c>
    </row>
    <row r="5702" spans="1:11" ht="14.5">
      <c r="A5702" s="20" t="s">
        <v>28468</v>
      </c>
      <c r="B5702" s="20">
        <v>65</v>
      </c>
      <c r="C5702" s="20">
        <v>54</v>
      </c>
      <c r="D5702" s="20">
        <v>33</v>
      </c>
      <c r="E5702" s="20">
        <v>49</v>
      </c>
      <c r="F5702" s="20" t="s">
        <v>28469</v>
      </c>
      <c r="G5702" s="20" t="s">
        <v>28470</v>
      </c>
      <c r="H5702" s="24"/>
      <c r="I5702" s="24" t="str">
        <f ca="1">IFERROR(__xludf.DUMMYFUNCTION("GOOGLETRANSLATE(F5702,""en"",""pt"")"),"gás de petróleo liquefeito (GPL) desligar as válvulas e as válvulas de emergência")</f>
        <v>gás de petróleo liquefeito (GPL) desligar as válvulas e as válvulas de emergência</v>
      </c>
      <c r="J5702">
        <f>VLOOKUP(A5702,Pr_Base_LNEC!$A$4:$J$6971,6,FALSE)</f>
        <v>0</v>
      </c>
      <c r="K5702">
        <f>VLOOKUP(A5702,Pr_Base_LNEC!$A$4:$J$6971,7,FALSE)</f>
        <v>0</v>
      </c>
    </row>
    <row r="5703" spans="1:11" ht="14.5">
      <c r="A5703" s="20" t="s">
        <v>28471</v>
      </c>
      <c r="B5703" s="20">
        <v>65</v>
      </c>
      <c r="C5703" s="20">
        <v>54</v>
      </c>
      <c r="D5703" s="20">
        <v>33</v>
      </c>
      <c r="E5703" s="20">
        <v>50</v>
      </c>
      <c r="F5703" s="20" t="s">
        <v>28472</v>
      </c>
      <c r="G5703" s="20" t="s">
        <v>28473</v>
      </c>
      <c r="H5703" s="24"/>
      <c r="I5703" s="24" t="str">
        <f ca="1">IFERROR(__xludf.DUMMYFUNCTION("GOOGLETRANSLATE(F5703,""en"",""pt"")"),"válvulas de segurança de gás mecânica")</f>
        <v>válvulas de segurança de gás mecânica</v>
      </c>
      <c r="J5703">
        <f>VLOOKUP(A5703,Pr_Base_LNEC!$A$4:$J$6971,6,FALSE)</f>
        <v>0</v>
      </c>
      <c r="K5703">
        <f>VLOOKUP(A5703,Pr_Base_LNEC!$A$4:$J$6971,7,FALSE)</f>
        <v>0</v>
      </c>
    </row>
    <row r="5704" spans="1:11" ht="14.5">
      <c r="A5704" s="20" t="s">
        <v>28474</v>
      </c>
      <c r="B5704" s="20">
        <v>65</v>
      </c>
      <c r="C5704" s="20">
        <v>54</v>
      </c>
      <c r="D5704" s="20">
        <v>33</v>
      </c>
      <c r="E5704" s="20">
        <v>51</v>
      </c>
      <c r="F5704" s="20" t="s">
        <v>28475</v>
      </c>
      <c r="G5704" s="20" t="s">
        <v>28476</v>
      </c>
      <c r="H5704" s="24"/>
      <c r="I5704" s="24" t="str">
        <f ca="1">IFERROR(__xludf.DUMMYFUNCTION("GOOGLETRANSLATE(F5704,""en"",""pt"")"),"válvulas da linha de gás medicinal")</f>
        <v>válvulas da linha de gás medicinal</v>
      </c>
      <c r="J5704">
        <f>VLOOKUP(A5704,Pr_Base_LNEC!$A$4:$J$6971,6,FALSE)</f>
        <v>0</v>
      </c>
      <c r="K5704">
        <f>VLOOKUP(A5704,Pr_Base_LNEC!$A$4:$J$6971,7,FALSE)</f>
        <v>0</v>
      </c>
    </row>
    <row r="5705" spans="1:11" ht="14.5">
      <c r="A5705" s="20" t="s">
        <v>28477</v>
      </c>
      <c r="B5705" s="20">
        <v>65</v>
      </c>
      <c r="C5705" s="20">
        <v>54</v>
      </c>
      <c r="D5705" s="20">
        <v>33</v>
      </c>
      <c r="E5705" s="20">
        <v>52</v>
      </c>
      <c r="F5705" s="20" t="s">
        <v>28478</v>
      </c>
      <c r="G5705" s="20" t="s">
        <v>28479</v>
      </c>
      <c r="H5705" s="24"/>
      <c r="I5705" s="24" t="str">
        <f ca="1">IFERROR(__xludf.DUMMYFUNCTION("GOOGLETRANSLATE(F5705,""en"",""pt"")"),"pressão do gás Medical reduzindo estações")</f>
        <v>pressão do gás Medical reduzindo estações</v>
      </c>
      <c r="J5705">
        <f>VLOOKUP(A5705,Pr_Base_LNEC!$A$4:$J$6971,6,FALSE)</f>
        <v>0</v>
      </c>
      <c r="K5705">
        <f>VLOOKUP(A5705,Pr_Base_LNEC!$A$4:$J$6971,7,FALSE)</f>
        <v>0</v>
      </c>
    </row>
    <row r="5706" spans="1:11" ht="14.5">
      <c r="A5706" s="20" t="s">
        <v>28480</v>
      </c>
      <c r="B5706" s="20">
        <v>65</v>
      </c>
      <c r="C5706" s="20">
        <v>54</v>
      </c>
      <c r="D5706" s="20">
        <v>33</v>
      </c>
      <c r="E5706" s="20">
        <v>53</v>
      </c>
      <c r="F5706" s="20" t="s">
        <v>28481</v>
      </c>
      <c r="G5706" s="20" t="s">
        <v>28482</v>
      </c>
      <c r="H5706" s="24"/>
      <c r="I5706" s="24" t="str">
        <f ca="1">IFERROR(__xludf.DUMMYFUNCTION("GOOGLETRANSLATE(F5706,""en"",""pt"")"),"módulos de serviço de gás médica")</f>
        <v>módulos de serviço de gás médica</v>
      </c>
      <c r="J5706">
        <f>VLOOKUP(A5706,Pr_Base_LNEC!$A$4:$J$6971,6,FALSE)</f>
        <v>0</v>
      </c>
      <c r="K5706">
        <f>VLOOKUP(A5706,Pr_Base_LNEC!$A$4:$J$6971,7,FALSE)</f>
        <v>0</v>
      </c>
    </row>
    <row r="5707" spans="1:11" ht="14.5">
      <c r="A5707" s="20" t="s">
        <v>28483</v>
      </c>
      <c r="B5707" s="20">
        <v>65</v>
      </c>
      <c r="C5707" s="20">
        <v>54</v>
      </c>
      <c r="D5707" s="20">
        <v>33</v>
      </c>
      <c r="E5707" s="20">
        <v>54</v>
      </c>
      <c r="F5707" s="20" t="s">
        <v>28484</v>
      </c>
      <c r="G5707" s="20" t="s">
        <v>28485</v>
      </c>
      <c r="H5707" s="24"/>
      <c r="I5707" s="24" t="str">
        <f ca="1">IFERROR(__xludf.DUMMYFUNCTION("GOOGLETRANSLATE(F5707,""en"",""pt"")"),"colectores de fornecimento de gás médica")</f>
        <v>colectores de fornecimento de gás médica</v>
      </c>
      <c r="J5707">
        <f>VLOOKUP(A5707,Pr_Base_LNEC!$A$4:$J$6971,6,FALSE)</f>
        <v>0</v>
      </c>
      <c r="K5707">
        <f>VLOOKUP(A5707,Pr_Base_LNEC!$A$4:$J$6971,7,FALSE)</f>
        <v>0</v>
      </c>
    </row>
    <row r="5708" spans="1:11" ht="14.5">
      <c r="A5708" s="20" t="s">
        <v>28486</v>
      </c>
      <c r="B5708" s="20">
        <v>65</v>
      </c>
      <c r="C5708" s="20">
        <v>54</v>
      </c>
      <c r="D5708" s="20">
        <v>33</v>
      </c>
      <c r="E5708" s="20">
        <v>55</v>
      </c>
      <c r="F5708" s="20" t="s">
        <v>28487</v>
      </c>
      <c r="G5708" s="20" t="s">
        <v>28488</v>
      </c>
      <c r="H5708" s="24"/>
      <c r="I5708" s="24" t="str">
        <f ca="1">IFERROR(__xludf.DUMMYFUNCTION("GOOGLETRANSLATE(F5708,""en"",""pt"")"),"unidades de serviço da válvula de gás medicinal")</f>
        <v>unidades de serviço da válvula de gás medicinal</v>
      </c>
      <c r="J5708">
        <f>VLOOKUP(A5708,Pr_Base_LNEC!$A$4:$J$6971,6,FALSE)</f>
        <v>0</v>
      </c>
      <c r="K5708">
        <f>VLOOKUP(A5708,Pr_Base_LNEC!$A$4:$J$6971,7,FALSE)</f>
        <v>0</v>
      </c>
    </row>
    <row r="5709" spans="1:11" ht="14.5">
      <c r="A5709" s="20" t="s">
        <v>28489</v>
      </c>
      <c r="B5709" s="20">
        <v>65</v>
      </c>
      <c r="C5709" s="20">
        <v>54</v>
      </c>
      <c r="D5709" s="20">
        <v>33</v>
      </c>
      <c r="E5709" s="20">
        <v>57</v>
      </c>
      <c r="F5709" s="20" t="s">
        <v>28490</v>
      </c>
      <c r="G5709" s="20" t="s">
        <v>28491</v>
      </c>
      <c r="H5709" s="24"/>
      <c r="I5709" s="24" t="str">
        <f ca="1">IFERROR(__xludf.DUMMYFUNCTION("GOOGLETRANSLATE(F5709,""en"",""pt"")"),"válvulas de regulação de fluxo de vácuo médico")</f>
        <v>válvulas de regulação de fluxo de vácuo médico</v>
      </c>
      <c r="J5709">
        <f>VLOOKUP(A5709,Pr_Base_LNEC!$A$4:$J$6971,6,FALSE)</f>
        <v>0</v>
      </c>
      <c r="K5709">
        <f>VLOOKUP(A5709,Pr_Base_LNEC!$A$4:$J$6971,7,FALSE)</f>
        <v>0</v>
      </c>
    </row>
    <row r="5710" spans="1:11" ht="14.5">
      <c r="A5710" s="20" t="s">
        <v>28492</v>
      </c>
      <c r="B5710" s="20">
        <v>65</v>
      </c>
      <c r="C5710" s="20">
        <v>54</v>
      </c>
      <c r="D5710" s="20">
        <v>33</v>
      </c>
      <c r="E5710" s="20">
        <v>65</v>
      </c>
      <c r="F5710" s="20" t="s">
        <v>28493</v>
      </c>
      <c r="G5710" s="20" t="s">
        <v>28494</v>
      </c>
      <c r="H5710" s="24"/>
      <c r="I5710" s="24" t="str">
        <f ca="1">IFERROR(__xludf.DUMMYFUNCTION("GOOGLETRANSLATE(F5710,""en"",""pt"")"),"válvulas de vácuo")</f>
        <v>válvulas de vácuo</v>
      </c>
      <c r="J5710">
        <f>VLOOKUP(A5710,Pr_Base_LNEC!$A$4:$J$6971,6,FALSE)</f>
        <v>0</v>
      </c>
      <c r="K5710">
        <f>VLOOKUP(A5710,Pr_Base_LNEC!$A$4:$J$6971,7,FALSE)</f>
        <v>0</v>
      </c>
    </row>
    <row r="5711" spans="1:11" ht="14.5">
      <c r="A5711" s="20" t="s">
        <v>28495</v>
      </c>
      <c r="B5711" s="20">
        <v>65</v>
      </c>
      <c r="C5711" s="20">
        <v>54</v>
      </c>
      <c r="D5711" s="20">
        <v>33</v>
      </c>
      <c r="E5711" s="20">
        <v>70</v>
      </c>
      <c r="F5711" s="20" t="s">
        <v>28496</v>
      </c>
      <c r="G5711" s="24"/>
      <c r="H5711" s="24"/>
      <c r="I5711" s="24" t="str">
        <f ca="1">IFERROR(__xludf.DUMMYFUNCTION("GOOGLETRANSLATE(F5711,""en"",""pt"")"),"dispositivos de segurança de refrigerante")</f>
        <v>dispositivos de segurança de refrigerante</v>
      </c>
      <c r="J5711">
        <f>VLOOKUP(A5711,Pr_Base_LNEC!$A$4:$J$6971,6,FALSE)</f>
        <v>0</v>
      </c>
      <c r="K5711">
        <f>VLOOKUP(A5711,Pr_Base_LNEC!$A$4:$J$6971,7,FALSE)</f>
        <v>0</v>
      </c>
    </row>
    <row r="5712" spans="1:11" ht="14.5">
      <c r="A5712" s="20" t="s">
        <v>28497</v>
      </c>
      <c r="B5712" s="20">
        <v>65</v>
      </c>
      <c r="C5712" s="20">
        <v>54</v>
      </c>
      <c r="D5712" s="20">
        <v>33</v>
      </c>
      <c r="E5712" s="20">
        <v>71</v>
      </c>
      <c r="F5712" s="20" t="s">
        <v>28498</v>
      </c>
      <c r="G5712" s="20" t="s">
        <v>28499</v>
      </c>
      <c r="H5712" s="24"/>
      <c r="I5712" s="24" t="str">
        <f ca="1">IFERROR(__xludf.DUMMYFUNCTION("GOOGLETRANSLATE(F5712,""en"",""pt"")"),"Remoto agindo válvulas de abastecimento de combustível líquido de segurança contra incêndio")</f>
        <v>Remoto agindo válvulas de abastecimento de combustível líquido de segurança contra incêndio</v>
      </c>
      <c r="J5712">
        <f>VLOOKUP(A5712,Pr_Base_LNEC!$A$4:$J$6971,6,FALSE)</f>
        <v>0</v>
      </c>
      <c r="K5712">
        <f>VLOOKUP(A5712,Pr_Base_LNEC!$A$4:$J$6971,7,FALSE)</f>
        <v>0</v>
      </c>
    </row>
    <row r="5713" spans="1:11" ht="14.5">
      <c r="A5713" s="20" t="s">
        <v>28500</v>
      </c>
      <c r="B5713" s="20">
        <v>65</v>
      </c>
      <c r="C5713" s="20">
        <v>54</v>
      </c>
      <c r="D5713" s="20">
        <v>33</v>
      </c>
      <c r="E5713" s="20">
        <v>74</v>
      </c>
      <c r="F5713" s="20" t="s">
        <v>28501</v>
      </c>
      <c r="G5713" s="24"/>
      <c r="H5713" s="24"/>
      <c r="I5713" s="24" t="str">
        <f ca="1">IFERROR(__xludf.DUMMYFUNCTION("GOOGLETRANSLATE(F5713,""en"",""pt"")"),"discos de ruptura")</f>
        <v>discos de ruptura</v>
      </c>
      <c r="J5713">
        <f>VLOOKUP(A5713,Pr_Base_LNEC!$A$4:$J$6971,6,FALSE)</f>
        <v>0</v>
      </c>
      <c r="K5713">
        <f>VLOOKUP(A5713,Pr_Base_LNEC!$A$4:$J$6971,7,FALSE)</f>
        <v>0</v>
      </c>
    </row>
    <row r="5714" spans="1:11" ht="14.5">
      <c r="A5714" s="20" t="s">
        <v>28502</v>
      </c>
      <c r="B5714" s="20">
        <v>65</v>
      </c>
      <c r="C5714" s="20">
        <v>54</v>
      </c>
      <c r="D5714" s="20">
        <v>33</v>
      </c>
      <c r="E5714" s="20">
        <v>76</v>
      </c>
      <c r="F5714" s="20" t="s">
        <v>28503</v>
      </c>
      <c r="G5714" s="20" t="s">
        <v>28504</v>
      </c>
      <c r="H5714" s="24"/>
      <c r="I5714" s="24" t="str">
        <f ca="1">IFERROR(__xludf.DUMMYFUNCTION("GOOGLETRANSLATE(F5714,""en"",""pt"")"),"de gás de petróleo liquefeito (GPL) acopladores auto-vedante")</f>
        <v>de gás de petróleo liquefeito (GPL) acopladores auto-vedante</v>
      </c>
      <c r="J5714">
        <f>VLOOKUP(A5714,Pr_Base_LNEC!$A$4:$J$6971,6,FALSE)</f>
        <v>0</v>
      </c>
      <c r="K5714">
        <f>VLOOKUP(A5714,Pr_Base_LNEC!$A$4:$J$6971,7,FALSE)</f>
        <v>0</v>
      </c>
    </row>
    <row r="5715" spans="1:11" ht="14.5">
      <c r="A5715" s="20" t="s">
        <v>28505</v>
      </c>
      <c r="B5715" s="20">
        <v>65</v>
      </c>
      <c r="C5715" s="20">
        <v>54</v>
      </c>
      <c r="D5715" s="20">
        <v>33</v>
      </c>
      <c r="E5715" s="20">
        <v>78</v>
      </c>
      <c r="F5715" s="20" t="s">
        <v>28506</v>
      </c>
      <c r="G5715" s="20" t="s">
        <v>28507</v>
      </c>
      <c r="H5715" s="24"/>
      <c r="I5715" s="24" t="str">
        <f ca="1">IFERROR(__xludf.DUMMYFUNCTION("GOOGLETRANSLATE(F5715,""en"",""pt"")"),"válvulas de corte")</f>
        <v>válvulas de corte</v>
      </c>
      <c r="J5715">
        <f>VLOOKUP(A5715,Pr_Base_LNEC!$A$4:$J$6971,6,FALSE)</f>
        <v>0</v>
      </c>
      <c r="K5715">
        <f>VLOOKUP(A5715,Pr_Base_LNEC!$A$4:$J$6971,7,FALSE)</f>
        <v>0</v>
      </c>
    </row>
    <row r="5716" spans="1:11" ht="14.5">
      <c r="A5716" s="20" t="s">
        <v>28508</v>
      </c>
      <c r="B5716" s="20">
        <v>65</v>
      </c>
      <c r="C5716" s="20">
        <v>54</v>
      </c>
      <c r="D5716" s="20">
        <v>33</v>
      </c>
      <c r="E5716" s="20">
        <v>84</v>
      </c>
      <c r="F5716" s="20" t="s">
        <v>28509</v>
      </c>
      <c r="G5716" s="20" t="s">
        <v>28510</v>
      </c>
      <c r="H5716" s="24"/>
      <c r="I5716" s="24" t="str">
        <f ca="1">IFERROR(__xludf.DUMMYFUNCTION("GOOGLETRANSLATE(F5716,""en"",""pt"")"),"válvulas macho de aço")</f>
        <v>válvulas macho de aço</v>
      </c>
      <c r="J5716">
        <f>VLOOKUP(A5716,Pr_Base_LNEC!$A$4:$J$6971,6,FALSE)</f>
        <v>0</v>
      </c>
      <c r="K5716">
        <f>VLOOKUP(A5716,Pr_Base_LNEC!$A$4:$J$6971,7,FALSE)</f>
        <v>0</v>
      </c>
    </row>
    <row r="5717" spans="1:11" ht="14.5">
      <c r="A5717" s="20" t="s">
        <v>28511</v>
      </c>
      <c r="B5717" s="20">
        <v>65</v>
      </c>
      <c r="C5717" s="20">
        <v>54</v>
      </c>
      <c r="D5717" s="20">
        <v>33</v>
      </c>
      <c r="E5717" s="20">
        <v>87</v>
      </c>
      <c r="F5717" s="20" t="s">
        <v>28512</v>
      </c>
      <c r="G5717" s="20" t="s">
        <v>28513</v>
      </c>
      <c r="H5717" s="24"/>
      <c r="I5717" s="24" t="str">
        <f ca="1">IFERROR(__xludf.DUMMYFUNCTION("GOOGLETRANSLATE(F5717,""en"",""pt"")"),"válvulas macho Taper")</f>
        <v>válvulas macho Taper</v>
      </c>
      <c r="J5717">
        <f>VLOOKUP(A5717,Pr_Base_LNEC!$A$4:$J$6971,6,FALSE)</f>
        <v>0</v>
      </c>
      <c r="K5717">
        <f>VLOOKUP(A5717,Pr_Base_LNEC!$A$4:$J$6971,7,FALSE)</f>
        <v>0</v>
      </c>
    </row>
    <row r="5718" spans="1:11" ht="14.5">
      <c r="A5718" s="20" t="s">
        <v>28514</v>
      </c>
      <c r="B5718" s="20">
        <v>65</v>
      </c>
      <c r="C5718" s="20">
        <v>54</v>
      </c>
      <c r="D5718" s="20">
        <v>33</v>
      </c>
      <c r="E5718" s="20">
        <v>93</v>
      </c>
      <c r="F5718" s="20" t="s">
        <v>28515</v>
      </c>
      <c r="G5718" s="24"/>
      <c r="H5718" s="24"/>
      <c r="I5718" s="24" t="str">
        <f ca="1">IFERROR(__xludf.DUMMYFUNCTION("GOOGLETRANSLATE(F5718,""en"",""pt"")"),"interruptores de vácuo")</f>
        <v>interruptores de vácuo</v>
      </c>
      <c r="J5718" t="e">
        <f>VLOOKUP(A5718,Pr_Base_LNEC!$A$4:$J$6971,6,FALSE)</f>
        <v>#N/A</v>
      </c>
      <c r="K5718" t="e">
        <f>VLOOKUP(A5718,Pr_Base_LNEC!$A$4:$J$6971,7,FALSE)</f>
        <v>#N/A</v>
      </c>
    </row>
    <row r="5719" spans="1:11" ht="14.5">
      <c r="A5719" s="20" t="s">
        <v>28516</v>
      </c>
      <c r="B5719" s="20">
        <v>65</v>
      </c>
      <c r="C5719" s="20">
        <v>54</v>
      </c>
      <c r="D5719" s="20">
        <v>33</v>
      </c>
      <c r="E5719" s="20">
        <v>94</v>
      </c>
      <c r="F5719" s="20" t="s">
        <v>28517</v>
      </c>
      <c r="G5719" s="20" t="s">
        <v>28518</v>
      </c>
      <c r="H5719" s="24"/>
      <c r="I5719" s="24" t="str">
        <f ca="1">IFERROR(__xludf.DUMMYFUNCTION("GOOGLETRANSLATE(F5719,""en"",""pt"")"),"adaptadores de ligação de vapor")</f>
        <v>adaptadores de ligação de vapor</v>
      </c>
      <c r="J5719">
        <f>VLOOKUP(A5719,Pr_Base_LNEC!$A$4:$J$6971,6,FALSE)</f>
        <v>0</v>
      </c>
      <c r="K5719">
        <f>VLOOKUP(A5719,Pr_Base_LNEC!$A$4:$J$6971,7,FALSE)</f>
        <v>0</v>
      </c>
    </row>
    <row r="5720" spans="1:11" ht="14.5">
      <c r="A5720" s="20" t="s">
        <v>28519</v>
      </c>
      <c r="B5720" s="20">
        <v>65</v>
      </c>
      <c r="C5720" s="20">
        <v>54</v>
      </c>
      <c r="D5720" s="20">
        <v>40</v>
      </c>
      <c r="E5720" s="24"/>
      <c r="F5720" s="20" t="s">
        <v>28520</v>
      </c>
      <c r="G5720" s="24"/>
      <c r="H5720" s="24"/>
      <c r="I5720" s="24" t="str">
        <f ca="1">IFERROR(__xludf.DUMMYFUNCTION("GOOGLETRANSLATE(F5720,""en"",""pt"")"),"irrigação válvulas")</f>
        <v>irrigação válvulas</v>
      </c>
      <c r="J5720">
        <f>VLOOKUP(A5720,Pr_Base_LNEC!$A$4:$J$6971,6,FALSE)</f>
        <v>0</v>
      </c>
      <c r="K5720">
        <f>VLOOKUP(A5720,Pr_Base_LNEC!$A$4:$J$6971,7,FALSE)</f>
        <v>0</v>
      </c>
    </row>
    <row r="5721" spans="1:11" ht="14.5">
      <c r="A5721" s="20" t="s">
        <v>28521</v>
      </c>
      <c r="B5721" s="20">
        <v>65</v>
      </c>
      <c r="C5721" s="20">
        <v>54</v>
      </c>
      <c r="D5721" s="20">
        <v>40</v>
      </c>
      <c r="E5721" s="20">
        <v>2</v>
      </c>
      <c r="F5721" s="20" t="s">
        <v>28522</v>
      </c>
      <c r="G5721" s="20" t="s">
        <v>28523</v>
      </c>
      <c r="H5721" s="24"/>
      <c r="I5721" s="24" t="str">
        <f ca="1">IFERROR(__xludf.DUMMYFUNCTION("GOOGLETRANSLATE(F5721,""en"",""pt"")"),"válvulas de ar")</f>
        <v>válvulas de ar</v>
      </c>
      <c r="J5721">
        <f>VLOOKUP(A5721,Pr_Base_LNEC!$A$4:$J$6971,6,FALSE)</f>
        <v>0</v>
      </c>
      <c r="K5721">
        <f>VLOOKUP(A5721,Pr_Base_LNEC!$A$4:$J$6971,7,FALSE)</f>
        <v>0</v>
      </c>
    </row>
    <row r="5722" spans="1:11" ht="14.5">
      <c r="A5722" s="20" t="s">
        <v>28524</v>
      </c>
      <c r="B5722" s="20">
        <v>65</v>
      </c>
      <c r="C5722" s="20">
        <v>54</v>
      </c>
      <c r="D5722" s="20">
        <v>40</v>
      </c>
      <c r="E5722" s="20">
        <v>13</v>
      </c>
      <c r="F5722" s="20" t="s">
        <v>28525</v>
      </c>
      <c r="G5722" s="20" t="s">
        <v>28526</v>
      </c>
      <c r="H5722" s="24"/>
      <c r="I5722" s="24" t="str">
        <f ca="1">IFERROR(__xludf.DUMMYFUNCTION("GOOGLETRANSLATE(F5722,""en"",""pt"")"),"válvulas de retenção")</f>
        <v>válvulas de retenção</v>
      </c>
      <c r="J5722">
        <f>VLOOKUP(A5722,Pr_Base_LNEC!$A$4:$J$6971,6,FALSE)</f>
        <v>0</v>
      </c>
      <c r="K5722">
        <f>VLOOKUP(A5722,Pr_Base_LNEC!$A$4:$J$6971,7,FALSE)</f>
        <v>0</v>
      </c>
    </row>
    <row r="5723" spans="1:11" ht="14.5">
      <c r="A5723" s="20" t="s">
        <v>28527</v>
      </c>
      <c r="B5723" s="20">
        <v>65</v>
      </c>
      <c r="C5723" s="20">
        <v>54</v>
      </c>
      <c r="D5723" s="20">
        <v>40</v>
      </c>
      <c r="E5723" s="20">
        <v>16</v>
      </c>
      <c r="F5723" s="20" t="s">
        <v>28528</v>
      </c>
      <c r="G5723" s="20" t="s">
        <v>28529</v>
      </c>
      <c r="H5723" s="24"/>
      <c r="I5723" s="24" t="str">
        <f ca="1">IFERROR(__xludf.DUMMYFUNCTION("GOOGLETRANSLATE(F5723,""en"",""pt"")"),"As válvulas de controle")</f>
        <v>As válvulas de controle</v>
      </c>
      <c r="J5723">
        <f>VLOOKUP(A5723,Pr_Base_LNEC!$A$4:$J$6971,6,FALSE)</f>
        <v>0</v>
      </c>
      <c r="K5723">
        <f>VLOOKUP(A5723,Pr_Base_LNEC!$A$4:$J$6971,7,FALSE)</f>
        <v>0</v>
      </c>
    </row>
    <row r="5724" spans="1:11" ht="14.5">
      <c r="A5724" s="20" t="s">
        <v>28530</v>
      </c>
      <c r="B5724" s="20">
        <v>65</v>
      </c>
      <c r="C5724" s="20">
        <v>54</v>
      </c>
      <c r="D5724" s="20">
        <v>40</v>
      </c>
      <c r="E5724" s="20">
        <v>44</v>
      </c>
      <c r="F5724" s="20" t="s">
        <v>28531</v>
      </c>
      <c r="G5724" s="20" t="s">
        <v>28532</v>
      </c>
      <c r="H5724" s="24"/>
      <c r="I5724" s="24" t="str">
        <f ca="1">IFERROR(__xludf.DUMMYFUNCTION("GOOGLETRANSLATE(F5724,""en"",""pt"")"),"válvulas de isolamento")</f>
        <v>válvulas de isolamento</v>
      </c>
      <c r="J5724">
        <f>VLOOKUP(A5724,Pr_Base_LNEC!$A$4:$J$6971,6,FALSE)</f>
        <v>0</v>
      </c>
      <c r="K5724">
        <f>VLOOKUP(A5724,Pr_Base_LNEC!$A$4:$J$6971,7,FALSE)</f>
        <v>0</v>
      </c>
    </row>
    <row r="5725" spans="1:11" ht="14.5">
      <c r="A5725" s="20" t="s">
        <v>28533</v>
      </c>
      <c r="B5725" s="20">
        <v>65</v>
      </c>
      <c r="C5725" s="20">
        <v>54</v>
      </c>
      <c r="D5725" s="20">
        <v>40</v>
      </c>
      <c r="E5725" s="20">
        <v>62</v>
      </c>
      <c r="F5725" s="20" t="s">
        <v>28534</v>
      </c>
      <c r="G5725" s="20" t="s">
        <v>28535</v>
      </c>
      <c r="H5725" s="24"/>
      <c r="I5725" s="24" t="str">
        <f ca="1">IFERROR(__xludf.DUMMYFUNCTION("GOOGLETRANSLATE(F5725,""en"",""pt"")"),"Plásticos válvulas de isolamento")</f>
        <v>Plásticos válvulas de isolamento</v>
      </c>
      <c r="J5725">
        <f>VLOOKUP(A5725,Pr_Base_LNEC!$A$4:$J$6971,6,FALSE)</f>
        <v>0</v>
      </c>
      <c r="K5725">
        <f>VLOOKUP(A5725,Pr_Base_LNEC!$A$4:$J$6971,7,FALSE)</f>
        <v>0</v>
      </c>
    </row>
    <row r="5726" spans="1:11" ht="14.5">
      <c r="A5726" s="20" t="s">
        <v>28536</v>
      </c>
      <c r="B5726" s="20">
        <v>65</v>
      </c>
      <c r="C5726" s="20">
        <v>54</v>
      </c>
      <c r="D5726" s="20">
        <v>40</v>
      </c>
      <c r="E5726" s="20">
        <v>94</v>
      </c>
      <c r="F5726" s="20" t="s">
        <v>28537</v>
      </c>
      <c r="G5726" s="20" t="s">
        <v>28538</v>
      </c>
      <c r="H5726" s="24"/>
      <c r="I5726" s="24" t="str">
        <f ca="1">IFERROR(__xludf.DUMMYFUNCTION("GOOGLETRANSLATE(F5726,""en"",""pt"")"),"As válvulas de controlo volumrico")</f>
        <v>As válvulas de controlo volumrico</v>
      </c>
      <c r="J5726">
        <f>VLOOKUP(A5726,Pr_Base_LNEC!$A$4:$J$6971,6,FALSE)</f>
        <v>0</v>
      </c>
      <c r="K5726">
        <f>VLOOKUP(A5726,Pr_Base_LNEC!$A$4:$J$6971,7,FALSE)</f>
        <v>0</v>
      </c>
    </row>
    <row r="5727" spans="1:11" ht="14.5">
      <c r="A5727" s="20" t="s">
        <v>28539</v>
      </c>
      <c r="B5727" s="20">
        <v>65</v>
      </c>
      <c r="C5727" s="20">
        <v>54</v>
      </c>
      <c r="D5727" s="20">
        <v>85</v>
      </c>
      <c r="E5727" s="24"/>
      <c r="F5727" s="20" t="s">
        <v>28540</v>
      </c>
      <c r="G5727" s="24"/>
      <c r="H5727" s="24"/>
      <c r="I5727" s="24" t="str">
        <f ca="1">IFERROR(__xludf.DUMMYFUNCTION("GOOGLETRANSLATE(F5727,""en"",""pt"")"),"válvulas de vapor")</f>
        <v>válvulas de vapor</v>
      </c>
      <c r="J5727">
        <f>VLOOKUP(A5727,Pr_Base_LNEC!$A$4:$J$6971,6,FALSE)</f>
        <v>0</v>
      </c>
      <c r="K5727">
        <f>VLOOKUP(A5727,Pr_Base_LNEC!$A$4:$J$6971,7,FALSE)</f>
        <v>0</v>
      </c>
    </row>
    <row r="5728" spans="1:11" ht="14.5">
      <c r="A5728" s="20" t="s">
        <v>28541</v>
      </c>
      <c r="B5728" s="20">
        <v>65</v>
      </c>
      <c r="C5728" s="20">
        <v>54</v>
      </c>
      <c r="D5728" s="20">
        <v>85</v>
      </c>
      <c r="E5728" s="20">
        <v>6</v>
      </c>
      <c r="F5728" s="20" t="s">
        <v>28542</v>
      </c>
      <c r="G5728" s="20" t="s">
        <v>28543</v>
      </c>
      <c r="H5728" s="24"/>
      <c r="I5728" s="24" t="str">
        <f ca="1">IFERROR(__xludf.DUMMYFUNCTION("GOOGLETRANSLATE(F5728,""en"",""pt"")"),"aberturas de ventilação de pressão equilibrada")</f>
        <v>aberturas de ventilação de pressão equilibrada</v>
      </c>
      <c r="J5728">
        <f>VLOOKUP(A5728,Pr_Base_LNEC!$A$4:$J$6971,6,FALSE)</f>
        <v>0</v>
      </c>
      <c r="K5728">
        <f>VLOOKUP(A5728,Pr_Base_LNEC!$A$4:$J$6971,7,FALSE)</f>
        <v>0</v>
      </c>
    </row>
    <row r="5729" spans="1:11" ht="14.5">
      <c r="A5729" s="20" t="s">
        <v>28544</v>
      </c>
      <c r="B5729" s="20">
        <v>65</v>
      </c>
      <c r="C5729" s="20">
        <v>54</v>
      </c>
      <c r="D5729" s="20">
        <v>85</v>
      </c>
      <c r="E5729" s="20">
        <v>7</v>
      </c>
      <c r="F5729" s="20" t="s">
        <v>28545</v>
      </c>
      <c r="G5729" s="20" t="s">
        <v>28546</v>
      </c>
      <c r="H5729" s="24"/>
      <c r="I5729" s="24" t="str">
        <f ca="1">IFERROR(__xludf.DUMMYFUNCTION("GOOGLETRANSLATE(F5729,""en"",""pt"")"),"Foles de válvulas de bloqueio seladas")</f>
        <v>Foles de válvulas de bloqueio seladas</v>
      </c>
      <c r="J5729">
        <f>VLOOKUP(A5729,Pr_Base_LNEC!$A$4:$J$6971,6,FALSE)</f>
        <v>0</v>
      </c>
      <c r="K5729">
        <f>VLOOKUP(A5729,Pr_Base_LNEC!$A$4:$J$6971,7,FALSE)</f>
        <v>0</v>
      </c>
    </row>
    <row r="5730" spans="1:11" ht="14.5">
      <c r="A5730" s="20" t="s">
        <v>28547</v>
      </c>
      <c r="B5730" s="20">
        <v>65</v>
      </c>
      <c r="C5730" s="20">
        <v>54</v>
      </c>
      <c r="D5730" s="20">
        <v>85</v>
      </c>
      <c r="E5730" s="20">
        <v>8</v>
      </c>
      <c r="F5730" s="20" t="s">
        <v>28548</v>
      </c>
      <c r="G5730" s="20" t="s">
        <v>28549</v>
      </c>
      <c r="H5730" s="24"/>
      <c r="I5730" s="24" t="str">
        <f ca="1">IFERROR(__xludf.DUMMYFUNCTION("GOOGLETRANSLATE(F5730,""en"",""pt"")"),"válvulas de purga")</f>
        <v>válvulas de purga</v>
      </c>
      <c r="J5730">
        <f>VLOOKUP(A5730,Pr_Base_LNEC!$A$4:$J$6971,6,FALSE)</f>
        <v>0</v>
      </c>
      <c r="K5730">
        <f>VLOOKUP(A5730,Pr_Base_LNEC!$A$4:$J$6971,7,FALSE)</f>
        <v>0</v>
      </c>
    </row>
    <row r="5731" spans="1:11" ht="14.5">
      <c r="A5731" s="20" t="s">
        <v>28550</v>
      </c>
      <c r="B5731" s="20">
        <v>65</v>
      </c>
      <c r="C5731" s="20">
        <v>54</v>
      </c>
      <c r="D5731" s="20">
        <v>85</v>
      </c>
      <c r="E5731" s="20">
        <v>22</v>
      </c>
      <c r="F5731" s="20" t="s">
        <v>28551</v>
      </c>
      <c r="G5731" s="20" t="s">
        <v>28552</v>
      </c>
      <c r="H5731" s="24"/>
      <c r="I5731" s="24" t="str">
        <f ca="1">IFERROR(__xludf.DUMMYFUNCTION("GOOGLETRANSLATE(F5731,""en"",""pt"")"),"Por acção directa válvulas redutoras de pressão")</f>
        <v>Por acção directa válvulas redutoras de pressão</v>
      </c>
      <c r="J5731">
        <f>VLOOKUP(A5731,Pr_Base_LNEC!$A$4:$J$6971,6,FALSE)</f>
        <v>0</v>
      </c>
      <c r="K5731">
        <f>VLOOKUP(A5731,Pr_Base_LNEC!$A$4:$J$6971,7,FALSE)</f>
        <v>0</v>
      </c>
    </row>
    <row r="5732" spans="1:11" ht="14.5">
      <c r="A5732" s="20" t="s">
        <v>28553</v>
      </c>
      <c r="B5732" s="20">
        <v>65</v>
      </c>
      <c r="C5732" s="20">
        <v>54</v>
      </c>
      <c r="D5732" s="20">
        <v>85</v>
      </c>
      <c r="E5732" s="20">
        <v>26</v>
      </c>
      <c r="F5732" s="20" t="s">
        <v>28554</v>
      </c>
      <c r="G5732" s="20" t="s">
        <v>28555</v>
      </c>
      <c r="H5732" s="24"/>
      <c r="I5732" s="24" t="str">
        <f ca="1">IFERROR(__xludf.DUMMYFUNCTION("GOOGLETRANSLATE(F5732,""en"",""pt"")"),"válvulas de vapor de controlo electricamente accionado")</f>
        <v>válvulas de vapor de controlo electricamente accionado</v>
      </c>
      <c r="J5732">
        <f>VLOOKUP(A5732,Pr_Base_LNEC!$A$4:$J$6971,6,FALSE)</f>
        <v>0</v>
      </c>
      <c r="K5732">
        <f>VLOOKUP(A5732,Pr_Base_LNEC!$A$4:$J$6971,7,FALSE)</f>
        <v>0</v>
      </c>
    </row>
    <row r="5733" spans="1:11" ht="14.5">
      <c r="A5733" s="20" t="s">
        <v>28556</v>
      </c>
      <c r="B5733" s="20">
        <v>65</v>
      </c>
      <c r="C5733" s="20">
        <v>54</v>
      </c>
      <c r="D5733" s="20">
        <v>85</v>
      </c>
      <c r="E5733" s="20">
        <v>60</v>
      </c>
      <c r="F5733" s="20" t="s">
        <v>28557</v>
      </c>
      <c r="G5733" s="20" t="s">
        <v>28558</v>
      </c>
      <c r="H5733" s="24"/>
      <c r="I5733" s="24" t="str">
        <f ca="1">IFERROR(__xludf.DUMMYFUNCTION("GOOGLETRANSLATE(F5733,""en"",""pt"")"),"válvulas redutoras de pressão operada por piloto")</f>
        <v>válvulas redutoras de pressão operada por piloto</v>
      </c>
      <c r="J5733">
        <f>VLOOKUP(A5733,Pr_Base_LNEC!$A$4:$J$6971,6,FALSE)</f>
        <v>0</v>
      </c>
      <c r="K5733">
        <f>VLOOKUP(A5733,Pr_Base_LNEC!$A$4:$J$6971,7,FALSE)</f>
        <v>0</v>
      </c>
    </row>
    <row r="5734" spans="1:11" ht="14.5">
      <c r="A5734" s="20" t="s">
        <v>28559</v>
      </c>
      <c r="B5734" s="20">
        <v>65</v>
      </c>
      <c r="C5734" s="20">
        <v>54</v>
      </c>
      <c r="D5734" s="20">
        <v>85</v>
      </c>
      <c r="E5734" s="20">
        <v>62</v>
      </c>
      <c r="F5734" s="20" t="s">
        <v>28560</v>
      </c>
      <c r="G5734" s="20" t="s">
        <v>28561</v>
      </c>
      <c r="H5734" s="24"/>
      <c r="I5734" s="24" t="str">
        <f ca="1">IFERROR(__xludf.DUMMYFUNCTION("GOOGLETRANSLATE(F5734,""en"",""pt"")"),"válvulas de bloqueio de pistão")</f>
        <v>válvulas de bloqueio de pistão</v>
      </c>
      <c r="J5734">
        <f>VLOOKUP(A5734,Pr_Base_LNEC!$A$4:$J$6971,6,FALSE)</f>
        <v>0</v>
      </c>
      <c r="K5734">
        <f>VLOOKUP(A5734,Pr_Base_LNEC!$A$4:$J$6971,7,FALSE)</f>
        <v>0</v>
      </c>
    </row>
    <row r="5735" spans="1:11" ht="14.5">
      <c r="A5735" s="20" t="s">
        <v>28562</v>
      </c>
      <c r="B5735" s="20">
        <v>65</v>
      </c>
      <c r="C5735" s="20">
        <v>54</v>
      </c>
      <c r="D5735" s="20">
        <v>85</v>
      </c>
      <c r="E5735" s="20">
        <v>65</v>
      </c>
      <c r="F5735" s="20" t="s">
        <v>28563</v>
      </c>
      <c r="G5735" s="20" t="s">
        <v>28564</v>
      </c>
      <c r="H5735" s="24"/>
      <c r="I5735" s="24" t="str">
        <f ca="1">IFERROR(__xludf.DUMMYFUNCTION("GOOGLETRANSLATE(F5735,""en"",""pt"")"),"válvulas de vapor de controle pneumaticamente accionado")</f>
        <v>válvulas de vapor de controle pneumaticamente accionado</v>
      </c>
      <c r="J5735">
        <f>VLOOKUP(A5735,Pr_Base_LNEC!$A$4:$J$6971,6,FALSE)</f>
        <v>0</v>
      </c>
      <c r="K5735">
        <f>VLOOKUP(A5735,Pr_Base_LNEC!$A$4:$J$6971,7,FALSE)</f>
        <v>0</v>
      </c>
    </row>
    <row r="5736" spans="1:11" ht="14.5">
      <c r="A5736" s="20" t="s">
        <v>28565</v>
      </c>
      <c r="B5736" s="20">
        <v>65</v>
      </c>
      <c r="C5736" s="20">
        <v>54</v>
      </c>
      <c r="D5736" s="20">
        <v>85</v>
      </c>
      <c r="E5736" s="20">
        <v>77</v>
      </c>
      <c r="F5736" s="20" t="s">
        <v>28566</v>
      </c>
      <c r="G5736" s="20" t="s">
        <v>28567</v>
      </c>
      <c r="H5736" s="24"/>
      <c r="I5736" s="24" t="str">
        <f ca="1">IFERROR(__xludf.DUMMYFUNCTION("GOOGLETRANSLATE(F5736,""en"",""pt"")"),"válvulas de vapor de controlo de auto-acting")</f>
        <v>válvulas de vapor de controlo de auto-acting</v>
      </c>
      <c r="J5736">
        <f>VLOOKUP(A5736,Pr_Base_LNEC!$A$4:$J$6971,6,FALSE)</f>
        <v>0</v>
      </c>
      <c r="K5736">
        <f>VLOOKUP(A5736,Pr_Base_LNEC!$A$4:$J$6971,7,FALSE)</f>
        <v>0</v>
      </c>
    </row>
    <row r="5737" spans="1:11" ht="14.5">
      <c r="A5737" s="20" t="s">
        <v>28568</v>
      </c>
      <c r="B5737" s="20">
        <v>65</v>
      </c>
      <c r="C5737" s="20">
        <v>54</v>
      </c>
      <c r="D5737" s="20">
        <v>85</v>
      </c>
      <c r="E5737" s="20">
        <v>78</v>
      </c>
      <c r="F5737" s="20" t="s">
        <v>28569</v>
      </c>
      <c r="G5737" s="20" t="s">
        <v>28570</v>
      </c>
      <c r="H5737" s="24"/>
      <c r="I5737" s="24" t="str">
        <f ca="1">IFERROR(__xludf.DUMMYFUNCTION("GOOGLETRANSLATE(F5737,""en"",""pt"")"),"válvulas de vapor de temperatura auto-acting")</f>
        <v>válvulas de vapor de temperatura auto-acting</v>
      </c>
      <c r="J5737">
        <f>VLOOKUP(A5737,Pr_Base_LNEC!$A$4:$J$6971,6,FALSE)</f>
        <v>0</v>
      </c>
      <c r="K5737">
        <f>VLOOKUP(A5737,Pr_Base_LNEC!$A$4:$J$6971,7,FALSE)</f>
        <v>0</v>
      </c>
    </row>
    <row r="5738" spans="1:11" ht="14.5">
      <c r="A5738" s="20" t="s">
        <v>28571</v>
      </c>
      <c r="B5738" s="20">
        <v>65</v>
      </c>
      <c r="C5738" s="20">
        <v>54</v>
      </c>
      <c r="D5738" s="20">
        <v>85</v>
      </c>
      <c r="E5738" s="20">
        <v>79</v>
      </c>
      <c r="F5738" s="20" t="s">
        <v>28572</v>
      </c>
      <c r="G5738" s="20" t="s">
        <v>28573</v>
      </c>
      <c r="H5738" s="24"/>
      <c r="I5738" s="24" t="str">
        <f ca="1">IFERROR(__xludf.DUMMYFUNCTION("GOOGLETRANSLATE(F5738,""en"",""pt"")"),"válvulas de controle de auto-operacional")</f>
        <v>válvulas de controle de auto-operacional</v>
      </c>
      <c r="J5738">
        <f>VLOOKUP(A5738,Pr_Base_LNEC!$A$4:$J$6971,6,FALSE)</f>
        <v>0</v>
      </c>
      <c r="K5738">
        <f>VLOOKUP(A5738,Pr_Base_LNEC!$A$4:$J$6971,7,FALSE)</f>
        <v>0</v>
      </c>
    </row>
    <row r="5739" spans="1:11" ht="14.5">
      <c r="A5739" s="20" t="s">
        <v>28574</v>
      </c>
      <c r="B5739" s="20">
        <v>65</v>
      </c>
      <c r="C5739" s="20">
        <v>54</v>
      </c>
      <c r="D5739" s="20">
        <v>85</v>
      </c>
      <c r="E5739" s="20">
        <v>88</v>
      </c>
      <c r="F5739" s="20" t="s">
        <v>28575</v>
      </c>
      <c r="G5739" s="20" t="s">
        <v>28576</v>
      </c>
      <c r="H5739" s="24"/>
      <c r="I5739" s="24" t="str">
        <f ca="1">IFERROR(__xludf.DUMMYFUNCTION("GOOGLETRANSLATE(F5739,""en"",""pt"")"),"válvulas de vapor de regulação da pressão e de temperatura")</f>
        <v>válvulas de vapor de regulação da pressão e de temperatura</v>
      </c>
      <c r="J5739">
        <f>VLOOKUP(A5739,Pr_Base_LNEC!$A$4:$J$6971,6,FALSE)</f>
        <v>0</v>
      </c>
      <c r="K5739">
        <f>VLOOKUP(A5739,Pr_Base_LNEC!$A$4:$J$6971,7,FALSE)</f>
        <v>0</v>
      </c>
    </row>
    <row r="5740" spans="1:11" ht="14.5">
      <c r="A5740" s="20" t="s">
        <v>28577</v>
      </c>
      <c r="B5740" s="20">
        <v>65</v>
      </c>
      <c r="C5740" s="20">
        <v>54</v>
      </c>
      <c r="D5740" s="20">
        <v>93</v>
      </c>
      <c r="E5740" s="24"/>
      <c r="F5740" s="20" t="s">
        <v>28578</v>
      </c>
      <c r="G5740" s="24"/>
      <c r="H5740" s="24"/>
      <c r="I5740" s="24" t="str">
        <f ca="1">IFERROR(__xludf.DUMMYFUNCTION("GOOGLETRANSLATE(F5740,""en"",""pt"")"),"acessórios para válvulas")</f>
        <v>acessórios para válvulas</v>
      </c>
      <c r="J5740">
        <f>VLOOKUP(A5740,Pr_Base_LNEC!$A$4:$J$6971,6,FALSE)</f>
        <v>0</v>
      </c>
      <c r="K5740">
        <f>VLOOKUP(A5740,Pr_Base_LNEC!$A$4:$J$6971,7,FALSE)</f>
        <v>0</v>
      </c>
    </row>
    <row r="5741" spans="1:11" ht="14.5">
      <c r="A5741" s="20" t="s">
        <v>28579</v>
      </c>
      <c r="B5741" s="20">
        <v>65</v>
      </c>
      <c r="C5741" s="20">
        <v>54</v>
      </c>
      <c r="D5741" s="20">
        <v>93</v>
      </c>
      <c r="E5741" s="20">
        <v>5</v>
      </c>
      <c r="F5741" s="20" t="s">
        <v>28580</v>
      </c>
      <c r="G5741" s="20" t="s">
        <v>28581</v>
      </c>
      <c r="H5741" s="24"/>
      <c r="I5741" s="24" t="str">
        <f ca="1">IFERROR(__xludf.DUMMYFUNCTION("GOOGLETRANSLATE(F5741,""en"",""pt"")"),"saídas de ar automáticas")</f>
        <v>saídas de ar automáticas</v>
      </c>
      <c r="J5741">
        <f>VLOOKUP(A5741,Pr_Base_LNEC!$A$4:$J$6971,6,FALSE)</f>
        <v>0</v>
      </c>
      <c r="K5741">
        <f>VLOOKUP(A5741,Pr_Base_LNEC!$A$4:$J$6971,7,FALSE)</f>
        <v>0</v>
      </c>
    </row>
    <row r="5742" spans="1:11" ht="14.5">
      <c r="A5742" s="20" t="s">
        <v>28582</v>
      </c>
      <c r="B5742" s="20">
        <v>65</v>
      </c>
      <c r="C5742" s="20">
        <v>54</v>
      </c>
      <c r="D5742" s="20">
        <v>93</v>
      </c>
      <c r="E5742" s="20">
        <v>6</v>
      </c>
      <c r="F5742" s="20" t="s">
        <v>28583</v>
      </c>
      <c r="G5742" s="20" t="s">
        <v>28584</v>
      </c>
      <c r="H5742" s="24"/>
      <c r="I5742" s="24" t="str">
        <f ca="1">IFERROR(__xludf.DUMMYFUNCTION("GOOGLETRANSLATE(F5742,""en"",""pt"")"),"flutuadores válvula de esfera")</f>
        <v>flutuadores válvula de esfera</v>
      </c>
      <c r="J5742">
        <f>VLOOKUP(A5742,Pr_Base_LNEC!$A$4:$J$6971,6,FALSE)</f>
        <v>0</v>
      </c>
      <c r="K5742">
        <f>VLOOKUP(A5742,Pr_Base_LNEC!$A$4:$J$6971,7,FALSE)</f>
        <v>0</v>
      </c>
    </row>
    <row r="5743" spans="1:11" ht="14.5">
      <c r="A5743" s="20" t="s">
        <v>28585</v>
      </c>
      <c r="B5743" s="20">
        <v>65</v>
      </c>
      <c r="C5743" s="20">
        <v>54</v>
      </c>
      <c r="D5743" s="20">
        <v>93</v>
      </c>
      <c r="E5743" s="20">
        <v>50</v>
      </c>
      <c r="F5743" s="20" t="s">
        <v>28586</v>
      </c>
      <c r="G5743" s="24"/>
      <c r="H5743" s="24"/>
      <c r="I5743" s="24" t="str">
        <f ca="1">IFERROR(__xludf.DUMMYFUNCTION("GOOGLETRANSLATE(F5743,""en"",""pt"")"),"saídas de ar manuais")</f>
        <v>saídas de ar manuais</v>
      </c>
      <c r="J5743">
        <f>VLOOKUP(A5743,Pr_Base_LNEC!$A$4:$J$6971,6,FALSE)</f>
        <v>0</v>
      </c>
      <c r="K5743">
        <f>VLOOKUP(A5743,Pr_Base_LNEC!$A$4:$J$6971,7,FALSE)</f>
        <v>0</v>
      </c>
    </row>
    <row r="5744" spans="1:11" ht="14.5">
      <c r="A5744" s="20" t="s">
        <v>28587</v>
      </c>
      <c r="B5744" s="20">
        <v>65</v>
      </c>
      <c r="C5744" s="20">
        <v>54</v>
      </c>
      <c r="D5744" s="20">
        <v>93</v>
      </c>
      <c r="E5744" s="20">
        <v>87</v>
      </c>
      <c r="F5744" s="20" t="s">
        <v>28588</v>
      </c>
      <c r="G5744" s="20" t="s">
        <v>28589</v>
      </c>
      <c r="H5744" s="24"/>
      <c r="I5744" s="24" t="str">
        <f ca="1">IFERROR(__xludf.DUMMYFUNCTION("GOOGLETRANSLATE(F5744,""en"",""pt"")"),"pontos de teste")</f>
        <v>pontos de teste</v>
      </c>
      <c r="J5744">
        <f>VLOOKUP(A5744,Pr_Base_LNEC!$A$4:$J$6971,6,FALSE)</f>
        <v>0</v>
      </c>
      <c r="K5744">
        <f>VLOOKUP(A5744,Pr_Base_LNEC!$A$4:$J$6971,7,FALSE)</f>
        <v>0</v>
      </c>
    </row>
    <row r="5745" spans="1:11" ht="14.5">
      <c r="A5745" s="20" t="s">
        <v>28590</v>
      </c>
      <c r="B5745" s="20">
        <v>65</v>
      </c>
      <c r="C5745" s="20">
        <v>54</v>
      </c>
      <c r="D5745" s="20">
        <v>93</v>
      </c>
      <c r="E5745" s="20">
        <v>88</v>
      </c>
      <c r="F5745" s="20" t="s">
        <v>28591</v>
      </c>
      <c r="G5745" s="20" t="s">
        <v>28592</v>
      </c>
      <c r="H5745" s="24"/>
      <c r="I5745" s="24" t="str">
        <f ca="1">IFERROR(__xludf.DUMMYFUNCTION("GOOGLETRANSLATE(F5745,""en"",""pt"")"),"T-chaves")</f>
        <v>T-chaves</v>
      </c>
      <c r="J5745">
        <f>VLOOKUP(A5745,Pr_Base_LNEC!$A$4:$J$6971,6,FALSE)</f>
        <v>0</v>
      </c>
      <c r="K5745">
        <f>VLOOKUP(A5745,Pr_Base_LNEC!$A$4:$J$6971,7,FALSE)</f>
        <v>0</v>
      </c>
    </row>
    <row r="5746" spans="1:11" ht="14.5">
      <c r="A5746" s="20" t="s">
        <v>28593</v>
      </c>
      <c r="B5746" s="20">
        <v>65</v>
      </c>
      <c r="C5746" s="20">
        <v>54</v>
      </c>
      <c r="D5746" s="20">
        <v>93</v>
      </c>
      <c r="E5746" s="20">
        <v>94</v>
      </c>
      <c r="F5746" s="20" t="s">
        <v>28594</v>
      </c>
      <c r="G5746" s="20" t="s">
        <v>28595</v>
      </c>
      <c r="H5746" s="24"/>
      <c r="I5746" s="24" t="str">
        <f ca="1">IFERROR(__xludf.DUMMYFUNCTION("GOOGLETRANSLATE(F5746,""en"",""pt"")"),"chaves de válvulas")</f>
        <v>chaves de válvulas</v>
      </c>
      <c r="J5746">
        <f>VLOOKUP(A5746,Pr_Base_LNEC!$A$4:$J$6971,6,FALSE)</f>
        <v>0</v>
      </c>
      <c r="K5746">
        <f>VLOOKUP(A5746,Pr_Base_LNEC!$A$4:$J$6971,7,FALSE)</f>
        <v>0</v>
      </c>
    </row>
    <row r="5747" spans="1:11" ht="14.5">
      <c r="A5747" s="20" t="s">
        <v>28596</v>
      </c>
      <c r="B5747" s="20">
        <v>65</v>
      </c>
      <c r="C5747" s="20">
        <v>54</v>
      </c>
      <c r="D5747" s="20">
        <v>94</v>
      </c>
      <c r="E5747" s="24"/>
      <c r="F5747" s="20" t="s">
        <v>28597</v>
      </c>
      <c r="G5747" s="24"/>
      <c r="H5747" s="24"/>
      <c r="I5747" s="24" t="str">
        <f ca="1">IFERROR(__xludf.DUMMYFUNCTION("GOOGLETRANSLATE(F5747,""en"",""pt"")"),"válvulas de abastecimento de água")</f>
        <v>válvulas de abastecimento de água</v>
      </c>
      <c r="J5747">
        <f>VLOOKUP(A5747,Pr_Base_LNEC!$A$4:$J$6971,6,FALSE)</f>
        <v>0</v>
      </c>
      <c r="K5747">
        <f>VLOOKUP(A5747,Pr_Base_LNEC!$A$4:$J$6971,7,FALSE)</f>
        <v>0</v>
      </c>
    </row>
    <row r="5748" spans="1:11" ht="14.5">
      <c r="A5748" s="20" t="s">
        <v>28598</v>
      </c>
      <c r="B5748" s="20">
        <v>65</v>
      </c>
      <c r="C5748" s="20">
        <v>54</v>
      </c>
      <c r="D5748" s="20">
        <v>94</v>
      </c>
      <c r="E5748" s="20">
        <v>3</v>
      </c>
      <c r="F5748" s="20" t="s">
        <v>28599</v>
      </c>
      <c r="G5748" s="20" t="s">
        <v>28600</v>
      </c>
      <c r="H5748" s="24"/>
      <c r="I5748" s="24" t="str">
        <f ca="1">IFERROR(__xludf.DUMMYFUNCTION("GOOGLETRANSLATE(F5748,""en"",""pt"")"),"As válvulas de retenção anti-poluição")</f>
        <v>As válvulas de retenção anti-poluição</v>
      </c>
      <c r="J5748">
        <f>VLOOKUP(A5748,Pr_Base_LNEC!$A$4:$J$6971,6,FALSE)</f>
        <v>0</v>
      </c>
      <c r="K5748">
        <f>VLOOKUP(A5748,Pr_Base_LNEC!$A$4:$J$6971,7,FALSE)</f>
        <v>0</v>
      </c>
    </row>
    <row r="5749" spans="1:11" ht="14.5">
      <c r="A5749" s="20" t="s">
        <v>28601</v>
      </c>
      <c r="B5749" s="20">
        <v>65</v>
      </c>
      <c r="C5749" s="20">
        <v>54</v>
      </c>
      <c r="D5749" s="20">
        <v>94</v>
      </c>
      <c r="E5749" s="20">
        <v>11</v>
      </c>
      <c r="F5749" s="20" t="s">
        <v>28602</v>
      </c>
      <c r="G5749" s="20" t="s">
        <v>28603</v>
      </c>
      <c r="H5749" s="24"/>
      <c r="I5749" s="24" t="str">
        <f ca="1">IFERROR(__xludf.DUMMYFUNCTION("GOOGLETRANSLATE(F5749,""en"",""pt"")"),"válvulas de corrediça de cunha de ferro fundido")</f>
        <v>válvulas de corrediça de cunha de ferro fundido</v>
      </c>
      <c r="J5749">
        <f>VLOOKUP(A5749,Pr_Base_LNEC!$A$4:$J$6971,6,FALSE)</f>
        <v>0</v>
      </c>
      <c r="K5749">
        <f>VLOOKUP(A5749,Pr_Base_LNEC!$A$4:$J$6971,7,FALSE)</f>
        <v>0</v>
      </c>
    </row>
    <row r="5750" spans="1:11" ht="14.5">
      <c r="A5750" s="20" t="s">
        <v>28604</v>
      </c>
      <c r="B5750" s="20">
        <v>65</v>
      </c>
      <c r="C5750" s="20">
        <v>54</v>
      </c>
      <c r="D5750" s="20">
        <v>94</v>
      </c>
      <c r="E5750" s="20">
        <v>22</v>
      </c>
      <c r="F5750" s="20" t="s">
        <v>28605</v>
      </c>
      <c r="G5750" s="20" t="s">
        <v>28606</v>
      </c>
      <c r="H5750" s="24"/>
      <c r="I5750" s="24" t="str">
        <f ca="1">IFERROR(__xludf.DUMMYFUNCTION("GOOGLETRANSLATE(F5750,""en"",""pt"")"),"Directo flutuador agir accionado válvulas de controlo automático")</f>
        <v>Directo flutuador agir accionado válvulas de controlo automático</v>
      </c>
      <c r="J5750">
        <f>VLOOKUP(A5750,Pr_Base_LNEC!$A$4:$J$6971,6,FALSE)</f>
        <v>0</v>
      </c>
      <c r="K5750">
        <f>VLOOKUP(A5750,Pr_Base_LNEC!$A$4:$J$6971,7,FALSE)</f>
        <v>0</v>
      </c>
    </row>
    <row r="5751" spans="1:11" ht="14.5">
      <c r="A5751" s="20" t="s">
        <v>28607</v>
      </c>
      <c r="B5751" s="20">
        <v>65</v>
      </c>
      <c r="C5751" s="20">
        <v>54</v>
      </c>
      <c r="D5751" s="20">
        <v>94</v>
      </c>
      <c r="E5751" s="20">
        <v>23</v>
      </c>
      <c r="F5751" s="20" t="s">
        <v>28608</v>
      </c>
      <c r="G5751" s="20" t="s">
        <v>28609</v>
      </c>
      <c r="H5751" s="24"/>
      <c r="I5751" s="24" t="str">
        <f ca="1">IFERROR(__xludf.DUMMYFUNCTION("GOOGLETRANSLATE(F5751,""en"",""pt"")"),"válvulas de alívio de pressão da mola operado diretos")</f>
        <v>válvulas de alívio de pressão da mola operado diretos</v>
      </c>
      <c r="J5751">
        <f>VLOOKUP(A5751,Pr_Base_LNEC!$A$4:$J$6971,6,FALSE)</f>
        <v>0</v>
      </c>
      <c r="K5751">
        <f>VLOOKUP(A5751,Pr_Base_LNEC!$A$4:$J$6971,7,FALSE)</f>
        <v>0</v>
      </c>
    </row>
    <row r="5752" spans="1:11" ht="14.5">
      <c r="A5752" s="20" t="s">
        <v>28610</v>
      </c>
      <c r="B5752" s="20">
        <v>65</v>
      </c>
      <c r="C5752" s="20">
        <v>54</v>
      </c>
      <c r="D5752" s="20">
        <v>94</v>
      </c>
      <c r="E5752" s="20">
        <v>24</v>
      </c>
      <c r="F5752" s="20" t="s">
        <v>28611</v>
      </c>
      <c r="G5752" s="20" t="s">
        <v>28612</v>
      </c>
      <c r="H5752" s="24"/>
      <c r="I5752" s="24" t="str">
        <f ca="1">IFERROR(__xludf.DUMMYFUNCTION("GOOGLETRANSLATE(F5752,""en"",""pt"")"),"válvulas de ar de orifício duplo")</f>
        <v>válvulas de ar de orifício duplo</v>
      </c>
      <c r="J5752">
        <f>VLOOKUP(A5752,Pr_Base_LNEC!$A$4:$J$6971,6,FALSE)</f>
        <v>0</v>
      </c>
      <c r="K5752">
        <f>VLOOKUP(A5752,Pr_Base_LNEC!$A$4:$J$6971,7,FALSE)</f>
        <v>0</v>
      </c>
    </row>
    <row r="5753" spans="1:11" ht="14.5">
      <c r="A5753" s="20" t="s">
        <v>28613</v>
      </c>
      <c r="B5753" s="20">
        <v>65</v>
      </c>
      <c r="C5753" s="20">
        <v>54</v>
      </c>
      <c r="D5753" s="20">
        <v>94</v>
      </c>
      <c r="E5753" s="20">
        <v>26</v>
      </c>
      <c r="F5753" s="20" t="s">
        <v>28614</v>
      </c>
      <c r="G5753" s="20" t="s">
        <v>28615</v>
      </c>
      <c r="H5753" s="24"/>
      <c r="I5753" s="24" t="str">
        <f ca="1">IFERROR(__xludf.DUMMYFUNCTION("GOOGLETRANSLATE(F5753,""en"",""pt"")"),"As válvulas de obturador excêntrico")</f>
        <v>As válvulas de obturador excêntrico</v>
      </c>
      <c r="J5753">
        <f>VLOOKUP(A5753,Pr_Base_LNEC!$A$4:$J$6971,6,FALSE)</f>
        <v>0</v>
      </c>
      <c r="K5753">
        <f>VLOOKUP(A5753,Pr_Base_LNEC!$A$4:$J$6971,7,FALSE)</f>
        <v>0</v>
      </c>
    </row>
    <row r="5754" spans="1:11" ht="14.5">
      <c r="A5754" s="20" t="s">
        <v>28616</v>
      </c>
      <c r="B5754" s="20">
        <v>65</v>
      </c>
      <c r="C5754" s="20">
        <v>54</v>
      </c>
      <c r="D5754" s="20">
        <v>94</v>
      </c>
      <c r="E5754" s="20">
        <v>29</v>
      </c>
      <c r="F5754" s="20" t="s">
        <v>28617</v>
      </c>
      <c r="G5754" s="24"/>
      <c r="H5754" s="24"/>
      <c r="I5754" s="24" t="str">
        <f ca="1">IFERROR(__xludf.DUMMYFUNCTION("GOOGLETRANSLATE(F5754,""en"",""pt"")"),"válvulas de charneira")</f>
        <v>válvulas de charneira</v>
      </c>
      <c r="J5754" t="e">
        <f>VLOOKUP(A5754,Pr_Base_LNEC!$A$4:$J$6971,6,FALSE)</f>
        <v>#N/A</v>
      </c>
      <c r="K5754" t="e">
        <f>VLOOKUP(A5754,Pr_Base_LNEC!$A$4:$J$6971,7,FALSE)</f>
        <v>#N/A</v>
      </c>
    </row>
    <row r="5755" spans="1:11" ht="14.5">
      <c r="A5755" s="20" t="s">
        <v>28618</v>
      </c>
      <c r="B5755" s="20">
        <v>65</v>
      </c>
      <c r="C5755" s="20">
        <v>54</v>
      </c>
      <c r="D5755" s="20">
        <v>94</v>
      </c>
      <c r="E5755" s="20">
        <v>30</v>
      </c>
      <c r="F5755" s="20" t="s">
        <v>28619</v>
      </c>
      <c r="G5755" s="20" t="s">
        <v>28620</v>
      </c>
      <c r="H5755" s="24"/>
      <c r="I5755" s="24" t="str">
        <f ca="1">IFERROR(__xludf.DUMMYFUNCTION("GOOGLETRANSLATE(F5755,""en"",""pt"")"),"válvulas de retenção de borracha flexível")</f>
        <v>válvulas de retenção de borracha flexível</v>
      </c>
      <c r="J5755">
        <f>VLOOKUP(A5755,Pr_Base_LNEC!$A$4:$J$6971,6,FALSE)</f>
        <v>0</v>
      </c>
      <c r="K5755">
        <f>VLOOKUP(A5755,Pr_Base_LNEC!$A$4:$J$6971,7,FALSE)</f>
        <v>0</v>
      </c>
    </row>
    <row r="5756" spans="1:11" ht="14.5">
      <c r="A5756" s="20" t="s">
        <v>28621</v>
      </c>
      <c r="B5756" s="20">
        <v>65</v>
      </c>
      <c r="C5756" s="20">
        <v>54</v>
      </c>
      <c r="D5756" s="20">
        <v>94</v>
      </c>
      <c r="E5756" s="20">
        <v>31</v>
      </c>
      <c r="F5756" s="20" t="s">
        <v>28622</v>
      </c>
      <c r="G5756" s="20" t="s">
        <v>28623</v>
      </c>
      <c r="H5756" s="24"/>
      <c r="I5756" s="24" t="str">
        <f ca="1">IFERROR(__xludf.DUMMYFUNCTION("GOOGLETRANSLATE(F5756,""en"",""pt"")"),"válvulas de descarga gratuitos")</f>
        <v>válvulas de descarga gratuitos</v>
      </c>
      <c r="J5756">
        <f>VLOOKUP(A5756,Pr_Base_LNEC!$A$4:$J$6971,6,FALSE)</f>
        <v>0</v>
      </c>
      <c r="K5756">
        <f>VLOOKUP(A5756,Pr_Base_LNEC!$A$4:$J$6971,7,FALSE)</f>
        <v>0</v>
      </c>
    </row>
    <row r="5757" spans="1:11" ht="14.5">
      <c r="A5757" s="20" t="s">
        <v>28624</v>
      </c>
      <c r="B5757" s="20">
        <v>65</v>
      </c>
      <c r="C5757" s="20">
        <v>54</v>
      </c>
      <c r="D5757" s="20">
        <v>94</v>
      </c>
      <c r="E5757" s="20">
        <v>39</v>
      </c>
      <c r="F5757" s="20" t="s">
        <v>28625</v>
      </c>
      <c r="G5757" s="20" t="s">
        <v>28626</v>
      </c>
      <c r="H5757" s="24"/>
      <c r="I5757" s="24" t="str">
        <f ca="1">IFERROR(__xludf.DUMMYFUNCTION("GOOGLETRANSLATE(F5757,""en"",""pt"")"),"válvulas de boca de sino hidrostáticas")</f>
        <v>válvulas de boca de sino hidrostáticas</v>
      </c>
      <c r="J5757">
        <f>VLOOKUP(A5757,Pr_Base_LNEC!$A$4:$J$6971,6,FALSE)</f>
        <v>0</v>
      </c>
      <c r="K5757">
        <f>VLOOKUP(A5757,Pr_Base_LNEC!$A$4:$J$6971,7,FALSE)</f>
        <v>0</v>
      </c>
    </row>
    <row r="5758" spans="1:11" ht="14.5">
      <c r="A5758" s="20" t="s">
        <v>28627</v>
      </c>
      <c r="B5758" s="20">
        <v>65</v>
      </c>
      <c r="C5758" s="20">
        <v>54</v>
      </c>
      <c r="D5758" s="20">
        <v>94</v>
      </c>
      <c r="E5758" s="20">
        <v>45</v>
      </c>
      <c r="F5758" s="20" t="s">
        <v>28628</v>
      </c>
      <c r="G5758" s="20" t="s">
        <v>28629</v>
      </c>
      <c r="H5758" s="24"/>
      <c r="I5758" s="24" t="str">
        <f ca="1">IFERROR(__xludf.DUMMYFUNCTION("GOOGLETRANSLATE(F5758,""en"",""pt"")"),"válvulas de guilhotina")</f>
        <v>válvulas de guilhotina</v>
      </c>
      <c r="J5758">
        <f>VLOOKUP(A5758,Pr_Base_LNEC!$A$4:$J$6971,6,FALSE)</f>
        <v>0</v>
      </c>
      <c r="K5758">
        <f>VLOOKUP(A5758,Pr_Base_LNEC!$A$4:$J$6971,7,FALSE)</f>
        <v>0</v>
      </c>
    </row>
    <row r="5759" spans="1:11" ht="14.5">
      <c r="A5759" s="20" t="s">
        <v>28630</v>
      </c>
      <c r="B5759" s="20">
        <v>65</v>
      </c>
      <c r="C5759" s="20">
        <v>54</v>
      </c>
      <c r="D5759" s="20">
        <v>94</v>
      </c>
      <c r="E5759" s="20">
        <v>47</v>
      </c>
      <c r="F5759" s="20" t="s">
        <v>28631</v>
      </c>
      <c r="G5759" s="20" t="s">
        <v>28632</v>
      </c>
      <c r="H5759" s="24"/>
      <c r="I5759" s="24" t="str">
        <f ca="1">IFERROR(__xludf.DUMMYFUNCTION("GOOGLETRANSLATE(F5759,""en"",""pt"")"),"A pressão da linha accionado válvulas de controlo automático")</f>
        <v>A pressão da linha accionado válvulas de controlo automático</v>
      </c>
      <c r="J5759">
        <f>VLOOKUP(A5759,Pr_Base_LNEC!$A$4:$J$6971,6,FALSE)</f>
        <v>0</v>
      </c>
      <c r="K5759">
        <f>VLOOKUP(A5759,Pr_Base_LNEC!$A$4:$J$6971,7,FALSE)</f>
        <v>0</v>
      </c>
    </row>
    <row r="5760" spans="1:11" ht="14.5">
      <c r="A5760" s="20" t="s">
        <v>28633</v>
      </c>
      <c r="B5760" s="20">
        <v>65</v>
      </c>
      <c r="C5760" s="20">
        <v>54</v>
      </c>
      <c r="D5760" s="20">
        <v>94</v>
      </c>
      <c r="E5760" s="20">
        <v>50</v>
      </c>
      <c r="F5760" s="20" t="s">
        <v>28634</v>
      </c>
      <c r="G5760" s="24"/>
      <c r="H5760" s="24"/>
      <c r="I5760" s="24" t="str">
        <f ca="1">IFERROR(__xludf.DUMMYFUNCTION("GOOGLETRANSLATE(F5760,""en"",""pt"")"),"válvulas de borboleta metálicos")</f>
        <v>válvulas de borboleta metálicos</v>
      </c>
      <c r="J5760" t="e">
        <f>VLOOKUP(A5760,Pr_Base_LNEC!$A$4:$J$6971,6,FALSE)</f>
        <v>#N/A</v>
      </c>
      <c r="K5760" t="e">
        <f>VLOOKUP(A5760,Pr_Base_LNEC!$A$4:$J$6971,7,FALSE)</f>
        <v>#N/A</v>
      </c>
    </row>
    <row r="5761" spans="1:11" ht="14.5">
      <c r="A5761" s="20" t="s">
        <v>28635</v>
      </c>
      <c r="B5761" s="20">
        <v>65</v>
      </c>
      <c r="C5761" s="20">
        <v>54</v>
      </c>
      <c r="D5761" s="20">
        <v>94</v>
      </c>
      <c r="E5761" s="20">
        <v>55</v>
      </c>
      <c r="F5761" s="20" t="s">
        <v>28636</v>
      </c>
      <c r="G5761" s="24"/>
      <c r="H5761" s="24"/>
      <c r="I5761" s="24" t="str">
        <f ca="1">IFERROR(__xludf.DUMMYFUNCTION("GOOGLETRANSLATE(F5761,""en"",""pt"")"),"válvulas de agulha")</f>
        <v>válvulas de agulha</v>
      </c>
      <c r="J5761">
        <f>VLOOKUP(A5761,Pr_Base_LNEC!$A$4:$J$6971,6,FALSE)</f>
        <v>0</v>
      </c>
      <c r="K5761">
        <f>VLOOKUP(A5761,Pr_Base_LNEC!$A$4:$J$6971,7,FALSE)</f>
        <v>0</v>
      </c>
    </row>
    <row r="5762" spans="1:11" ht="14.5">
      <c r="A5762" s="20" t="s">
        <v>28637</v>
      </c>
      <c r="B5762" s="20">
        <v>65</v>
      </c>
      <c r="C5762" s="20">
        <v>54</v>
      </c>
      <c r="D5762" s="20">
        <v>94</v>
      </c>
      <c r="E5762" s="20">
        <v>56</v>
      </c>
      <c r="F5762" s="20" t="s">
        <v>28638</v>
      </c>
      <c r="G5762" s="20" t="s">
        <v>28639</v>
      </c>
      <c r="H5762" s="24"/>
      <c r="I5762" s="24" t="str">
        <f ca="1">IFERROR(__xludf.DUMMYFUNCTION("GOOGLETRANSLATE(F5762,""en"",""pt"")"),"As válvulas de retenção de bocal não batida")</f>
        <v>As válvulas de retenção de bocal não batida</v>
      </c>
      <c r="J5762">
        <f>VLOOKUP(A5762,Pr_Base_LNEC!$A$4:$J$6971,6,FALSE)</f>
        <v>0</v>
      </c>
      <c r="K5762">
        <f>VLOOKUP(A5762,Pr_Base_LNEC!$A$4:$J$6971,7,FALSE)</f>
        <v>0</v>
      </c>
    </row>
    <row r="5763" spans="1:11" ht="14.5">
      <c r="A5763" s="20" t="s">
        <v>28640</v>
      </c>
      <c r="B5763" s="20">
        <v>65</v>
      </c>
      <c r="C5763" s="20">
        <v>54</v>
      </c>
      <c r="D5763" s="20">
        <v>94</v>
      </c>
      <c r="E5763" s="20">
        <v>57</v>
      </c>
      <c r="F5763" s="20" t="s">
        <v>28641</v>
      </c>
      <c r="G5763" s="20" t="s">
        <v>28642</v>
      </c>
      <c r="H5763" s="24"/>
      <c r="I5763" s="24" t="str">
        <f ca="1">IFERROR(__xludf.DUMMYFUNCTION("GOOGLETRANSLATE(F5763,""en"",""pt"")"),"válvulas de retenção de placa dupla não batida")</f>
        <v>válvulas de retenção de placa dupla não batida</v>
      </c>
      <c r="J5763">
        <f>VLOOKUP(A5763,Pr_Base_LNEC!$A$4:$J$6971,6,FALSE)</f>
        <v>0</v>
      </c>
      <c r="K5763">
        <f>VLOOKUP(A5763,Pr_Base_LNEC!$A$4:$J$6971,7,FALSE)</f>
        <v>0</v>
      </c>
    </row>
    <row r="5764" spans="1:11" ht="14.5">
      <c r="A5764" s="20" t="s">
        <v>28643</v>
      </c>
      <c r="B5764" s="20">
        <v>65</v>
      </c>
      <c r="C5764" s="20">
        <v>54</v>
      </c>
      <c r="D5764" s="20">
        <v>94</v>
      </c>
      <c r="E5764" s="20">
        <v>60</v>
      </c>
      <c r="F5764" s="20" t="s">
        <v>28644</v>
      </c>
      <c r="G5764" s="20" t="s">
        <v>28645</v>
      </c>
      <c r="H5764" s="24"/>
      <c r="I5764" s="24" t="str">
        <f ca="1">IFERROR(__xludf.DUMMYFUNCTION("GOOGLETRANSLATE(F5764,""en"",""pt"")"),"As válvulas de alívio de pressão do tipo palete")</f>
        <v>As válvulas de alívio de pressão do tipo palete</v>
      </c>
      <c r="J5764">
        <f>VLOOKUP(A5764,Pr_Base_LNEC!$A$4:$J$6971,6,FALSE)</f>
        <v>0</v>
      </c>
      <c r="K5764">
        <f>VLOOKUP(A5764,Pr_Base_LNEC!$A$4:$J$6971,7,FALSE)</f>
        <v>0</v>
      </c>
    </row>
    <row r="5765" spans="1:11" ht="14.5">
      <c r="A5765" s="20" t="s">
        <v>28646</v>
      </c>
      <c r="B5765" s="20">
        <v>65</v>
      </c>
      <c r="C5765" s="20">
        <v>54</v>
      </c>
      <c r="D5765" s="20">
        <v>94</v>
      </c>
      <c r="E5765" s="20">
        <v>62</v>
      </c>
      <c r="F5765" s="20" t="s">
        <v>28647</v>
      </c>
      <c r="G5765" s="24"/>
      <c r="H5765" s="24"/>
      <c r="I5765" s="24" t="str">
        <f ca="1">IFERROR(__xludf.DUMMYFUNCTION("GOOGLETRANSLATE(F5765,""en"",""pt"")"),"Operada por piloto válvulas")</f>
        <v>Operada por piloto válvulas</v>
      </c>
      <c r="J5765">
        <f>VLOOKUP(A5765,Pr_Base_LNEC!$A$4:$J$6971,6,FALSE)</f>
        <v>0</v>
      </c>
      <c r="K5765">
        <f>VLOOKUP(A5765,Pr_Base_LNEC!$A$4:$J$6971,7,FALSE)</f>
        <v>0</v>
      </c>
    </row>
    <row r="5766" spans="1:11" ht="14.5">
      <c r="A5766" s="20" t="s">
        <v>28648</v>
      </c>
      <c r="B5766" s="20">
        <v>65</v>
      </c>
      <c r="C5766" s="20">
        <v>54</v>
      </c>
      <c r="D5766" s="20">
        <v>94</v>
      </c>
      <c r="E5766" s="20">
        <v>63</v>
      </c>
      <c r="F5766" s="20" t="s">
        <v>28649</v>
      </c>
      <c r="G5766" s="20" t="s">
        <v>28650</v>
      </c>
      <c r="H5766" s="24"/>
      <c r="I5766" s="24" t="str">
        <f ca="1">IFERROR(__xludf.DUMMYFUNCTION("GOOGLETRANSLATE(F5766,""en"",""pt"")"),"Comprima válvulas de alívio de pressão do tipo")</f>
        <v>Comprima válvulas de alívio de pressão do tipo</v>
      </c>
      <c r="J5766">
        <f>VLOOKUP(A5766,Pr_Base_LNEC!$A$4:$J$6971,6,FALSE)</f>
        <v>0</v>
      </c>
      <c r="K5766">
        <f>VLOOKUP(A5766,Pr_Base_LNEC!$A$4:$J$6971,7,FALSE)</f>
        <v>0</v>
      </c>
    </row>
    <row r="5767" spans="1:11" ht="14.5">
      <c r="A5767" s="20" t="s">
        <v>28651</v>
      </c>
      <c r="B5767" s="20">
        <v>65</v>
      </c>
      <c r="C5767" s="20">
        <v>54</v>
      </c>
      <c r="D5767" s="20">
        <v>94</v>
      </c>
      <c r="E5767" s="20">
        <v>65</v>
      </c>
      <c r="F5767" s="20" t="s">
        <v>28652</v>
      </c>
      <c r="G5767" s="20" t="s">
        <v>28653</v>
      </c>
      <c r="H5767" s="24"/>
      <c r="I5767" s="24" t="str">
        <f ca="1">IFERROR(__xludf.DUMMYFUNCTION("GOOGLETRANSLATE(F5767,""en"",""pt"")"),"válvulas de êmbolo")</f>
        <v>válvulas de êmbolo</v>
      </c>
      <c r="J5767">
        <f>VLOOKUP(A5767,Pr_Base_LNEC!$A$4:$J$6971,6,FALSE)</f>
        <v>0</v>
      </c>
      <c r="K5767">
        <f>VLOOKUP(A5767,Pr_Base_LNEC!$A$4:$J$6971,7,FALSE)</f>
        <v>0</v>
      </c>
    </row>
    <row r="5768" spans="1:11" ht="14.5">
      <c r="A5768" s="20" t="s">
        <v>28654</v>
      </c>
      <c r="B5768" s="20">
        <v>65</v>
      </c>
      <c r="C5768" s="20">
        <v>54</v>
      </c>
      <c r="D5768" s="20">
        <v>94</v>
      </c>
      <c r="E5768" s="20">
        <v>70</v>
      </c>
      <c r="F5768" s="20" t="s">
        <v>28655</v>
      </c>
      <c r="G5768" s="20" t="s">
        <v>28656</v>
      </c>
      <c r="H5768" s="24"/>
      <c r="I5768" s="24" t="str">
        <f ca="1">IFERROR(__xludf.DUMMYFUNCTION("GOOGLETRANSLATE(F5768,""en"",""pt"")"),"As válvulas de retenção do disco de articulação resiliente de recuo")</f>
        <v>As válvulas de retenção do disco de articulação resiliente de recuo</v>
      </c>
      <c r="J5768">
        <f>VLOOKUP(A5768,Pr_Base_LNEC!$A$4:$J$6971,6,FALSE)</f>
        <v>0</v>
      </c>
      <c r="K5768">
        <f>VLOOKUP(A5768,Pr_Base_LNEC!$A$4:$J$6971,7,FALSE)</f>
        <v>0</v>
      </c>
    </row>
    <row r="5769" spans="1:11" ht="14.5">
      <c r="A5769" s="20" t="s">
        <v>28657</v>
      </c>
      <c r="B5769" s="20">
        <v>65</v>
      </c>
      <c r="C5769" s="20">
        <v>54</v>
      </c>
      <c r="D5769" s="20">
        <v>94</v>
      </c>
      <c r="E5769" s="20">
        <v>71</v>
      </c>
      <c r="F5769" s="20" t="s">
        <v>28658</v>
      </c>
      <c r="G5769" s="20" t="s">
        <v>28659</v>
      </c>
      <c r="H5769" s="24"/>
      <c r="I5769" s="24" t="str">
        <f ca="1">IFERROR(__xludf.DUMMYFUNCTION("GOOGLETRANSLATE(F5769,""en"",""pt"")"),"válvulas de retenção de disco balanço Recoil")</f>
        <v>válvulas de retenção de disco balanço Recoil</v>
      </c>
      <c r="J5769">
        <f>VLOOKUP(A5769,Pr_Base_LNEC!$A$4:$J$6971,6,FALSE)</f>
        <v>0</v>
      </c>
      <c r="K5769">
        <f>VLOOKUP(A5769,Pr_Base_LNEC!$A$4:$J$6971,7,FALSE)</f>
        <v>0</v>
      </c>
    </row>
    <row r="5770" spans="1:11" ht="14.5">
      <c r="A5770" s="20" t="s">
        <v>28660</v>
      </c>
      <c r="B5770" s="20">
        <v>65</v>
      </c>
      <c r="C5770" s="20">
        <v>54</v>
      </c>
      <c r="D5770" s="20">
        <v>94</v>
      </c>
      <c r="E5770" s="20">
        <v>72</v>
      </c>
      <c r="F5770" s="20" t="s">
        <v>28661</v>
      </c>
      <c r="G5770" s="20" t="s">
        <v>28662</v>
      </c>
      <c r="H5770" s="24"/>
      <c r="I5770" s="24" t="str">
        <f ca="1">IFERROR(__xludf.DUMMYFUNCTION("GOOGLETRANSLATE(F5770,""en"",""pt"")"),"válvulas zona de pressão reduzida")</f>
        <v>válvulas zona de pressão reduzida</v>
      </c>
      <c r="J5770">
        <f>VLOOKUP(A5770,Pr_Base_LNEC!$A$4:$J$6971,6,FALSE)</f>
        <v>0</v>
      </c>
      <c r="K5770">
        <f>VLOOKUP(A5770,Pr_Base_LNEC!$A$4:$J$6971,7,FALSE)</f>
        <v>0</v>
      </c>
    </row>
    <row r="5771" spans="1:11" ht="14.5">
      <c r="A5771" s="20" t="s">
        <v>28663</v>
      </c>
      <c r="B5771" s="20">
        <v>65</v>
      </c>
      <c r="C5771" s="20">
        <v>54</v>
      </c>
      <c r="D5771" s="20">
        <v>94</v>
      </c>
      <c r="E5771" s="20">
        <v>73</v>
      </c>
      <c r="F5771" s="20" t="s">
        <v>28664</v>
      </c>
      <c r="G5771" s="20" t="s">
        <v>28665</v>
      </c>
      <c r="H5771" s="24"/>
      <c r="I5771" s="24" t="str">
        <f ca="1">IFERROR(__xludf.DUMMYFUNCTION("GOOGLETRANSLATE(F5771,""en"",""pt"")"),"As válvulas de retenção resilientes do disco dobradiça")</f>
        <v>As válvulas de retenção resilientes do disco dobradiça</v>
      </c>
      <c r="J5771">
        <f>VLOOKUP(A5771,Pr_Base_LNEC!$A$4:$J$6971,6,FALSE)</f>
        <v>0</v>
      </c>
      <c r="K5771">
        <f>VLOOKUP(A5771,Pr_Base_LNEC!$A$4:$J$6971,7,FALSE)</f>
        <v>0</v>
      </c>
    </row>
    <row r="5772" spans="1:11" ht="14.5">
      <c r="A5772" s="20" t="s">
        <v>28666</v>
      </c>
      <c r="B5772" s="20">
        <v>65</v>
      </c>
      <c r="C5772" s="20">
        <v>54</v>
      </c>
      <c r="D5772" s="20">
        <v>94</v>
      </c>
      <c r="E5772" s="20">
        <v>77</v>
      </c>
      <c r="F5772" s="20" t="s">
        <v>28667</v>
      </c>
      <c r="G5772" s="20" t="s">
        <v>28668</v>
      </c>
      <c r="H5772" s="24"/>
      <c r="I5772" s="24" t="str">
        <f ca="1">IFERROR(__xludf.DUMMYFUNCTION("GOOGLETRANSLATE(F5772,""en"",""pt"")"),"válvulas de ar individuais grande orifício")</f>
        <v>válvulas de ar individuais grande orifício</v>
      </c>
      <c r="J5772">
        <f>VLOOKUP(A5772,Pr_Base_LNEC!$A$4:$J$6971,6,FALSE)</f>
        <v>0</v>
      </c>
      <c r="K5772">
        <f>VLOOKUP(A5772,Pr_Base_LNEC!$A$4:$J$6971,7,FALSE)</f>
        <v>0</v>
      </c>
    </row>
    <row r="5773" spans="1:11" ht="14.5">
      <c r="A5773" s="20" t="s">
        <v>28669</v>
      </c>
      <c r="B5773" s="20">
        <v>65</v>
      </c>
      <c r="C5773" s="20">
        <v>54</v>
      </c>
      <c r="D5773" s="20">
        <v>94</v>
      </c>
      <c r="E5773" s="20">
        <v>78</v>
      </c>
      <c r="F5773" s="20" t="s">
        <v>28670</v>
      </c>
      <c r="G5773" s="20" t="s">
        <v>28671</v>
      </c>
      <c r="H5773" s="24"/>
      <c r="I5773" s="24" t="str">
        <f ca="1">IFERROR(__xludf.DUMMYFUNCTION("GOOGLETRANSLATE(F5773,""en"",""pt"")"),"válvulas de ar pequeno orifício individuais")</f>
        <v>válvulas de ar pequeno orifício individuais</v>
      </c>
      <c r="J5773">
        <f>VLOOKUP(A5773,Pr_Base_LNEC!$A$4:$J$6971,6,FALSE)</f>
        <v>0</v>
      </c>
      <c r="K5773">
        <f>VLOOKUP(A5773,Pr_Base_LNEC!$A$4:$J$6971,7,FALSE)</f>
        <v>0</v>
      </c>
    </row>
    <row r="5774" spans="1:11" ht="14.5">
      <c r="A5774" s="20" t="s">
        <v>28672</v>
      </c>
      <c r="B5774" s="20">
        <v>65</v>
      </c>
      <c r="C5774" s="20">
        <v>54</v>
      </c>
      <c r="D5774" s="20">
        <v>94</v>
      </c>
      <c r="E5774" s="20">
        <v>87</v>
      </c>
      <c r="F5774" s="20" t="s">
        <v>28673</v>
      </c>
      <c r="G5774" s="24"/>
      <c r="H5774" s="24"/>
      <c r="I5774" s="24" t="str">
        <f ca="1">IFERROR(__xludf.DUMMYFUNCTION("GOOGLETRANSLATE(F5774,""en"",""pt"")"),"válvulas de solenóide, operadas")</f>
        <v>válvulas de solenóide, operadas</v>
      </c>
      <c r="J5774">
        <f>VLOOKUP(A5774,Pr_Base_LNEC!$A$4:$J$6971,6,FALSE)</f>
        <v>0</v>
      </c>
      <c r="K5774">
        <f>VLOOKUP(A5774,Pr_Base_LNEC!$A$4:$J$6971,7,FALSE)</f>
        <v>0</v>
      </c>
    </row>
    <row r="5775" spans="1:11" ht="14.5">
      <c r="A5775" s="20" t="s">
        <v>28674</v>
      </c>
      <c r="B5775" s="20">
        <v>65</v>
      </c>
      <c r="C5775" s="20">
        <v>54</v>
      </c>
      <c r="D5775" s="20">
        <v>94</v>
      </c>
      <c r="E5775" s="20">
        <v>90</v>
      </c>
      <c r="F5775" s="20" t="s">
        <v>28675</v>
      </c>
      <c r="G5775" s="20" t="s">
        <v>28676</v>
      </c>
      <c r="H5775" s="24"/>
      <c r="I5775" s="24" t="str">
        <f ca="1">IFERROR(__xludf.DUMMYFUNCTION("GOOGLETRANSLATE(F5775,""en"",""pt"")"),"válvulas de ar de orifício triplo")</f>
        <v>válvulas de ar de orifício triplo</v>
      </c>
      <c r="J5775">
        <f>VLOOKUP(A5775,Pr_Base_LNEC!$A$4:$J$6971,6,FALSE)</f>
        <v>0</v>
      </c>
      <c r="K5775">
        <f>VLOOKUP(A5775,Pr_Base_LNEC!$A$4:$J$6971,7,FALSE)</f>
        <v>0</v>
      </c>
    </row>
    <row r="5776" spans="1:11" ht="14.5">
      <c r="A5776" s="20" t="s">
        <v>28677</v>
      </c>
      <c r="B5776" s="20">
        <v>65</v>
      </c>
      <c r="C5776" s="20">
        <v>54</v>
      </c>
      <c r="D5776" s="20">
        <v>94</v>
      </c>
      <c r="E5776" s="20">
        <v>94</v>
      </c>
      <c r="F5776" s="20" t="s">
        <v>28678</v>
      </c>
      <c r="G5776" s="20" t="s">
        <v>28679</v>
      </c>
      <c r="H5776" s="24"/>
      <c r="I5776" s="24" t="str">
        <f ca="1">IFERROR(__xludf.DUMMYFUNCTION("GOOGLETRANSLATE(F5776,""en"",""pt"")"),"válvulas de ar de vácuo disjuntor")</f>
        <v>válvulas de ar de vácuo disjuntor</v>
      </c>
      <c r="J5776">
        <f>VLOOKUP(A5776,Pr_Base_LNEC!$A$4:$J$6971,6,FALSE)</f>
        <v>0</v>
      </c>
      <c r="K5776">
        <f>VLOOKUP(A5776,Pr_Base_LNEC!$A$4:$J$6971,7,FALSE)</f>
        <v>0</v>
      </c>
    </row>
    <row r="5777" spans="1:11" ht="14.5">
      <c r="A5777" s="20" t="s">
        <v>28680</v>
      </c>
      <c r="B5777" s="20">
        <v>65</v>
      </c>
      <c r="C5777" s="20">
        <v>54</v>
      </c>
      <c r="D5777" s="20">
        <v>94</v>
      </c>
      <c r="E5777" s="20">
        <v>95</v>
      </c>
      <c r="F5777" s="20" t="s">
        <v>28681</v>
      </c>
      <c r="G5777" s="20" t="s">
        <v>28682</v>
      </c>
      <c r="H5777" s="24"/>
      <c r="I5777" s="24" t="str">
        <f ca="1">IFERROR(__xludf.DUMMYFUNCTION("GOOGLETRANSLATE(F5777,""en"",""pt"")"),"As válvulas de esfera em V de porta")</f>
        <v>As válvulas de esfera em V de porta</v>
      </c>
      <c r="J5777">
        <f>VLOOKUP(A5777,Pr_Base_LNEC!$A$4:$J$6971,6,FALSE)</f>
        <v>0</v>
      </c>
      <c r="K5777">
        <f>VLOOKUP(A5777,Pr_Base_LNEC!$A$4:$J$6971,7,FALSE)</f>
        <v>0</v>
      </c>
    </row>
    <row r="5778" spans="1:11" ht="14.5">
      <c r="A5778" s="20" t="s">
        <v>28683</v>
      </c>
      <c r="B5778" s="20">
        <v>65</v>
      </c>
      <c r="C5778" s="20">
        <v>54</v>
      </c>
      <c r="D5778" s="20">
        <v>95</v>
      </c>
      <c r="E5778" s="24"/>
      <c r="F5778" s="20" t="s">
        <v>28684</v>
      </c>
      <c r="G5778" s="24"/>
      <c r="H5778" s="24"/>
      <c r="I5778" s="24" t="str">
        <f ca="1">IFERROR(__xludf.DUMMYFUNCTION("GOOGLETRANSLATE(F5778,""en"",""pt"")"),"válvulas de serviços de água")</f>
        <v>válvulas de serviços de água</v>
      </c>
      <c r="J5778">
        <f>VLOOKUP(A5778,Pr_Base_LNEC!$A$4:$J$6971,6,FALSE)</f>
        <v>0</v>
      </c>
      <c r="K5778">
        <f>VLOOKUP(A5778,Pr_Base_LNEC!$A$4:$J$6971,7,FALSE)</f>
        <v>0</v>
      </c>
    </row>
    <row r="5779" spans="1:11" ht="14.5">
      <c r="A5779" s="20" t="s">
        <v>28685</v>
      </c>
      <c r="B5779" s="20">
        <v>65</v>
      </c>
      <c r="C5779" s="20">
        <v>54</v>
      </c>
      <c r="D5779" s="20">
        <v>95</v>
      </c>
      <c r="E5779" s="20">
        <v>5</v>
      </c>
      <c r="F5779" s="20" t="s">
        <v>28686</v>
      </c>
      <c r="G5779" s="20" t="s">
        <v>28687</v>
      </c>
      <c r="H5779" s="24"/>
      <c r="I5779" s="24" t="str">
        <f ca="1">IFERROR(__xludf.DUMMYFUNCTION("GOOGLETRANSLATE(F5779,""en"",""pt"")"),"válvulas de retenção para evitar o refluxo")</f>
        <v>válvulas de retenção para evitar o refluxo</v>
      </c>
      <c r="J5779">
        <f>VLOOKUP(A5779,Pr_Base_LNEC!$A$4:$J$6971,6,FALSE)</f>
        <v>0</v>
      </c>
      <c r="K5779">
        <f>VLOOKUP(A5779,Pr_Base_LNEC!$A$4:$J$6971,7,FALSE)</f>
        <v>0</v>
      </c>
    </row>
    <row r="5780" spans="1:11" ht="14.5">
      <c r="A5780" s="20" t="s">
        <v>28688</v>
      </c>
      <c r="B5780" s="20">
        <v>65</v>
      </c>
      <c r="C5780" s="20">
        <v>54</v>
      </c>
      <c r="D5780" s="20">
        <v>95</v>
      </c>
      <c r="E5780" s="20">
        <v>6</v>
      </c>
      <c r="F5780" s="20" t="s">
        <v>28689</v>
      </c>
      <c r="G5780" s="20" t="s">
        <v>28690</v>
      </c>
      <c r="H5780" s="24"/>
      <c r="I5780" s="24" t="str">
        <f ca="1">IFERROR(__xludf.DUMMYFUNCTION("GOOGLETRANSLATE(F5780,""en"",""pt"")"),"válvulas de esfera")</f>
        <v>válvulas de esfera</v>
      </c>
      <c r="J5780">
        <f>VLOOKUP(A5780,Pr_Base_LNEC!$A$4:$J$6971,6,FALSE)</f>
        <v>0</v>
      </c>
      <c r="K5780">
        <f>VLOOKUP(A5780,Pr_Base_LNEC!$A$4:$J$6971,7,FALSE)</f>
        <v>0</v>
      </c>
    </row>
    <row r="5781" spans="1:11" ht="14.5">
      <c r="A5781" s="20" t="s">
        <v>28691</v>
      </c>
      <c r="B5781" s="20">
        <v>65</v>
      </c>
      <c r="C5781" s="20">
        <v>54</v>
      </c>
      <c r="D5781" s="20">
        <v>95</v>
      </c>
      <c r="E5781" s="20">
        <v>8</v>
      </c>
      <c r="F5781" s="20" t="s">
        <v>28692</v>
      </c>
      <c r="G5781" s="20" t="s">
        <v>28441</v>
      </c>
      <c r="H5781" s="24"/>
      <c r="I5781" s="24" t="str">
        <f ca="1">IFERROR(__xludf.DUMMYFUNCTION("GOOGLETRANSLATE(F5781,""en"",""pt"")"),"válvulas de borboleta")</f>
        <v>válvulas de borboleta</v>
      </c>
      <c r="J5781">
        <f>VLOOKUP(A5781,Pr_Base_LNEC!$A$4:$J$6971,6,FALSE)</f>
        <v>0</v>
      </c>
      <c r="K5781">
        <f>VLOOKUP(A5781,Pr_Base_LNEC!$A$4:$J$6971,7,FALSE)</f>
        <v>0</v>
      </c>
    </row>
    <row r="5782" spans="1:11" ht="14.5">
      <c r="A5782" s="20" t="s">
        <v>28693</v>
      </c>
      <c r="B5782" s="20">
        <v>65</v>
      </c>
      <c r="C5782" s="20">
        <v>54</v>
      </c>
      <c r="D5782" s="20">
        <v>95</v>
      </c>
      <c r="E5782" s="20">
        <v>11</v>
      </c>
      <c r="F5782" s="20" t="s">
        <v>28694</v>
      </c>
      <c r="G5782" s="20" t="s">
        <v>28695</v>
      </c>
      <c r="H5782" s="24"/>
      <c r="I5782" s="24" t="str">
        <f ca="1">IFERROR(__xludf.DUMMYFUNCTION("GOOGLETRANSLATE(F5782,""en"",""pt"")"),"As válvulas de retenção de ferro fundido")</f>
        <v>As válvulas de retenção de ferro fundido</v>
      </c>
      <c r="J5782">
        <f>VLOOKUP(A5782,Pr_Base_LNEC!$A$4:$J$6971,6,FALSE)</f>
        <v>0</v>
      </c>
      <c r="K5782">
        <f>VLOOKUP(A5782,Pr_Base_LNEC!$A$4:$J$6971,7,FALSE)</f>
        <v>0</v>
      </c>
    </row>
    <row r="5783" spans="1:11" ht="14.5">
      <c r="A5783" s="20" t="s">
        <v>28696</v>
      </c>
      <c r="B5783" s="20">
        <v>65</v>
      </c>
      <c r="C5783" s="20">
        <v>54</v>
      </c>
      <c r="D5783" s="20">
        <v>95</v>
      </c>
      <c r="E5783" s="20">
        <v>12</v>
      </c>
      <c r="F5783" s="20" t="s">
        <v>28697</v>
      </c>
      <c r="G5783" s="20" t="s">
        <v>28698</v>
      </c>
      <c r="H5783" s="24"/>
      <c r="I5783" s="24" t="str">
        <f ca="1">IFERROR(__xludf.DUMMYFUNCTION("GOOGLETRANSLATE(F5783,""en"",""pt"")"),"válvulas de gaveta de ferro fundido")</f>
        <v>válvulas de gaveta de ferro fundido</v>
      </c>
      <c r="J5783">
        <f>VLOOKUP(A5783,Pr_Base_LNEC!$A$4:$J$6971,6,FALSE)</f>
        <v>0</v>
      </c>
      <c r="K5783">
        <f>VLOOKUP(A5783,Pr_Base_LNEC!$A$4:$J$6971,7,FALSE)</f>
        <v>0</v>
      </c>
    </row>
    <row r="5784" spans="1:11" ht="14.5">
      <c r="A5784" s="20" t="s">
        <v>28699</v>
      </c>
      <c r="B5784" s="20">
        <v>65</v>
      </c>
      <c r="C5784" s="20">
        <v>54</v>
      </c>
      <c r="D5784" s="20">
        <v>95</v>
      </c>
      <c r="E5784" s="20">
        <v>13</v>
      </c>
      <c r="F5784" s="20" t="s">
        <v>28700</v>
      </c>
      <c r="G5784" s="20" t="s">
        <v>28701</v>
      </c>
      <c r="H5784" s="24"/>
      <c r="I5784" s="24" t="str">
        <f ca="1">IFERROR(__xludf.DUMMYFUNCTION("GOOGLETRANSLATE(F5784,""en"",""pt"")"),"válvulas globo de ferro fundido")</f>
        <v>válvulas globo de ferro fundido</v>
      </c>
      <c r="J5784">
        <f>VLOOKUP(A5784,Pr_Base_LNEC!$A$4:$J$6971,6,FALSE)</f>
        <v>0</v>
      </c>
      <c r="K5784">
        <f>VLOOKUP(A5784,Pr_Base_LNEC!$A$4:$J$6971,7,FALSE)</f>
        <v>0</v>
      </c>
    </row>
    <row r="5785" spans="1:11" ht="14.5">
      <c r="A5785" s="20" t="s">
        <v>28702</v>
      </c>
      <c r="B5785" s="20">
        <v>65</v>
      </c>
      <c r="C5785" s="20">
        <v>54</v>
      </c>
      <c r="D5785" s="20">
        <v>95</v>
      </c>
      <c r="E5785" s="20">
        <v>14</v>
      </c>
      <c r="F5785" s="20" t="s">
        <v>28703</v>
      </c>
      <c r="G5785" s="20" t="s">
        <v>28704</v>
      </c>
      <c r="H5785" s="24"/>
      <c r="I5785" s="24" t="str">
        <f ca="1">IFERROR(__xludf.DUMMYFUNCTION("GOOGLETRANSLATE(F5785,""en"",""pt"")"),"As válvulas de retenção de liga de cobre")</f>
        <v>As válvulas de retenção de liga de cobre</v>
      </c>
      <c r="J5785">
        <f>VLOOKUP(A5785,Pr_Base_LNEC!$A$4:$J$6971,6,FALSE)</f>
        <v>0</v>
      </c>
      <c r="K5785">
        <f>VLOOKUP(A5785,Pr_Base_LNEC!$A$4:$J$6971,7,FALSE)</f>
        <v>0</v>
      </c>
    </row>
    <row r="5786" spans="1:11" ht="14.5">
      <c r="A5786" s="20" t="s">
        <v>28705</v>
      </c>
      <c r="B5786" s="20">
        <v>65</v>
      </c>
      <c r="C5786" s="20">
        <v>54</v>
      </c>
      <c r="D5786" s="20">
        <v>95</v>
      </c>
      <c r="E5786" s="20">
        <v>15</v>
      </c>
      <c r="F5786" s="20" t="s">
        <v>28706</v>
      </c>
      <c r="G5786" s="20" t="s">
        <v>28707</v>
      </c>
      <c r="H5786" s="24"/>
      <c r="I5786" s="24" t="str">
        <f ca="1">IFERROR(__xludf.DUMMYFUNCTION("GOOGLETRANSLATE(F5786,""en"",""pt"")"),"válvulas de gaveta de liga de cobre")</f>
        <v>válvulas de gaveta de liga de cobre</v>
      </c>
      <c r="J5786">
        <f>VLOOKUP(A5786,Pr_Base_LNEC!$A$4:$J$6971,6,FALSE)</f>
        <v>0</v>
      </c>
      <c r="K5786">
        <f>VLOOKUP(A5786,Pr_Base_LNEC!$A$4:$J$6971,7,FALSE)</f>
        <v>0</v>
      </c>
    </row>
    <row r="5787" spans="1:11" ht="14.5">
      <c r="A5787" s="20" t="s">
        <v>28708</v>
      </c>
      <c r="B5787" s="20">
        <v>65</v>
      </c>
      <c r="C5787" s="20">
        <v>54</v>
      </c>
      <c r="D5787" s="20">
        <v>95</v>
      </c>
      <c r="E5787" s="20">
        <v>16</v>
      </c>
      <c r="F5787" s="20" t="s">
        <v>28709</v>
      </c>
      <c r="G5787" s="20" t="s">
        <v>28710</v>
      </c>
      <c r="H5787" s="24"/>
      <c r="I5787" s="24" t="str">
        <f ca="1">IFERROR(__xludf.DUMMYFUNCTION("GOOGLETRANSLATE(F5787,""en"",""pt"")"),"válvulas de globo liga de cobre")</f>
        <v>válvulas de globo liga de cobre</v>
      </c>
      <c r="J5787">
        <f>VLOOKUP(A5787,Pr_Base_LNEC!$A$4:$J$6971,6,FALSE)</f>
        <v>0</v>
      </c>
      <c r="K5787">
        <f>VLOOKUP(A5787,Pr_Base_LNEC!$A$4:$J$6971,7,FALSE)</f>
        <v>0</v>
      </c>
    </row>
    <row r="5788" spans="1:11" ht="14.5">
      <c r="A5788" s="20" t="s">
        <v>28711</v>
      </c>
      <c r="B5788" s="20">
        <v>65</v>
      </c>
      <c r="C5788" s="20">
        <v>54</v>
      </c>
      <c r="D5788" s="20">
        <v>95</v>
      </c>
      <c r="E5788" s="20">
        <v>18</v>
      </c>
      <c r="F5788" s="20" t="s">
        <v>28712</v>
      </c>
      <c r="G5788" s="20" t="s">
        <v>28713</v>
      </c>
      <c r="H5788" s="24"/>
      <c r="I5788" s="24" t="str">
        <f ca="1">IFERROR(__xludf.DUMMYFUNCTION("GOOGLETRANSLATE(F5788,""en"",""pt"")"),"válvulas de serviço liga de cobre")</f>
        <v>válvulas de serviço liga de cobre</v>
      </c>
      <c r="J5788">
        <f>VLOOKUP(A5788,Pr_Base_LNEC!$A$4:$J$6971,6,FALSE)</f>
        <v>0</v>
      </c>
      <c r="K5788">
        <f>VLOOKUP(A5788,Pr_Base_LNEC!$A$4:$J$6971,7,FALSE)</f>
        <v>0</v>
      </c>
    </row>
    <row r="5789" spans="1:11" ht="14.5">
      <c r="A5789" s="20" t="s">
        <v>28714</v>
      </c>
      <c r="B5789" s="20">
        <v>65</v>
      </c>
      <c r="C5789" s="20">
        <v>54</v>
      </c>
      <c r="D5789" s="20">
        <v>95</v>
      </c>
      <c r="E5789" s="20">
        <v>19</v>
      </c>
      <c r="F5789" s="20" t="s">
        <v>28715</v>
      </c>
      <c r="G5789" s="20" t="s">
        <v>28716</v>
      </c>
      <c r="H5789" s="24"/>
      <c r="I5789" s="24" t="str">
        <f ca="1">IFERROR(__xludf.DUMMYFUNCTION("GOOGLETRANSLATE(F5789,""en"",""pt"")"),"válvulas de corte de liga de cobre")</f>
        <v>válvulas de corte de liga de cobre</v>
      </c>
      <c r="J5789">
        <f>VLOOKUP(A5789,Pr_Base_LNEC!$A$4:$J$6971,6,FALSE)</f>
        <v>0</v>
      </c>
      <c r="K5789">
        <f>VLOOKUP(A5789,Pr_Base_LNEC!$A$4:$J$6971,7,FALSE)</f>
        <v>0</v>
      </c>
    </row>
    <row r="5790" spans="1:11" ht="14.5">
      <c r="A5790" s="20" t="s">
        <v>28717</v>
      </c>
      <c r="B5790" s="20">
        <v>65</v>
      </c>
      <c r="C5790" s="20">
        <v>54</v>
      </c>
      <c r="D5790" s="20">
        <v>95</v>
      </c>
      <c r="E5790" s="20">
        <v>20</v>
      </c>
      <c r="F5790" s="20" t="s">
        <v>28718</v>
      </c>
      <c r="G5790" s="20" t="s">
        <v>28719</v>
      </c>
      <c r="H5790" s="24"/>
      <c r="I5790" s="24" t="str">
        <f ca="1">IFERROR(__xludf.DUMMYFUNCTION("GOOGLETRANSLATE(F5790,""en"",""pt"")"),"válvulas de bloqueio subterrâneo de liga de cobre")</f>
        <v>válvulas de bloqueio subterrâneo de liga de cobre</v>
      </c>
      <c r="J5790">
        <f>VLOOKUP(A5790,Pr_Base_LNEC!$A$4:$J$6971,6,FALSE)</f>
        <v>0</v>
      </c>
      <c r="K5790">
        <f>VLOOKUP(A5790,Pr_Base_LNEC!$A$4:$J$6971,7,FALSE)</f>
        <v>0</v>
      </c>
    </row>
    <row r="5791" spans="1:11" ht="14.5">
      <c r="A5791" s="20" t="s">
        <v>28720</v>
      </c>
      <c r="B5791" s="20">
        <v>65</v>
      </c>
      <c r="C5791" s="20">
        <v>54</v>
      </c>
      <c r="D5791" s="20">
        <v>95</v>
      </c>
      <c r="E5791" s="20">
        <v>21</v>
      </c>
      <c r="F5791" s="20" t="s">
        <v>28721</v>
      </c>
      <c r="G5791" s="20" t="s">
        <v>28722</v>
      </c>
      <c r="H5791" s="24"/>
      <c r="I5791" s="24" t="str">
        <f ca="1">IFERROR(__xludf.DUMMYFUNCTION("GOOGLETRANSLATE(F5791,""en"",""pt"")"),"comissionamento manifolds")</f>
        <v>comissionamento manifolds</v>
      </c>
      <c r="J5791" t="e">
        <f>VLOOKUP(A5791,Pr_Base_LNEC!$A$4:$J$6971,6,FALSE)</f>
        <v>#N/A</v>
      </c>
      <c r="K5791" t="e">
        <f>VLOOKUP(A5791,Pr_Base_LNEC!$A$4:$J$6971,7,FALSE)</f>
        <v>#N/A</v>
      </c>
    </row>
    <row r="5792" spans="1:11" ht="14.5">
      <c r="A5792" s="20" t="s">
        <v>28723</v>
      </c>
      <c r="B5792" s="20">
        <v>65</v>
      </c>
      <c r="C5792" s="20">
        <v>54</v>
      </c>
      <c r="D5792" s="20">
        <v>95</v>
      </c>
      <c r="E5792" s="20">
        <v>23</v>
      </c>
      <c r="F5792" s="20" t="s">
        <v>28724</v>
      </c>
      <c r="G5792" s="24"/>
      <c r="H5792" s="24"/>
      <c r="I5792" s="24" t="str">
        <f ca="1">IFERROR(__xludf.DUMMYFUNCTION("GOOGLETRANSLATE(F5792,""en"",""pt"")"),"Desenhar as torneiras")</f>
        <v>Desenhar as torneiras</v>
      </c>
      <c r="J5792">
        <f>VLOOKUP(A5792,Pr_Base_LNEC!$A$4:$J$6971,6,FALSE)</f>
        <v>0</v>
      </c>
      <c r="K5792">
        <f>VLOOKUP(A5792,Pr_Base_LNEC!$A$4:$J$6971,7,FALSE)</f>
        <v>0</v>
      </c>
    </row>
    <row r="5793" spans="1:11" ht="14.5">
      <c r="A5793" s="20" t="s">
        <v>28725</v>
      </c>
      <c r="B5793" s="20">
        <v>65</v>
      </c>
      <c r="C5793" s="20">
        <v>54</v>
      </c>
      <c r="D5793" s="20">
        <v>95</v>
      </c>
      <c r="E5793" s="20">
        <v>24</v>
      </c>
      <c r="F5793" s="20" t="s">
        <v>28726</v>
      </c>
      <c r="G5793" s="20" t="s">
        <v>28727</v>
      </c>
      <c r="H5793" s="24"/>
      <c r="I5793" s="24" t="str">
        <f ca="1">IFERROR(__xludf.DUMMYFUNCTION("GOOGLETRANSLATE(F5793,""en"",""pt"")"),"válvulas de diafragma")</f>
        <v>válvulas de diafragma</v>
      </c>
      <c r="J5793">
        <f>VLOOKUP(A5793,Pr_Base_LNEC!$A$4:$J$6971,6,FALSE)</f>
        <v>0</v>
      </c>
      <c r="K5793">
        <f>VLOOKUP(A5793,Pr_Base_LNEC!$A$4:$J$6971,7,FALSE)</f>
        <v>0</v>
      </c>
    </row>
    <row r="5794" spans="1:11" ht="14.5">
      <c r="A5794" s="20" t="s">
        <v>28728</v>
      </c>
      <c r="B5794" s="20">
        <v>65</v>
      </c>
      <c r="C5794" s="20">
        <v>54</v>
      </c>
      <c r="D5794" s="20">
        <v>95</v>
      </c>
      <c r="E5794" s="20">
        <v>25</v>
      </c>
      <c r="F5794" s="20" t="s">
        <v>28729</v>
      </c>
      <c r="G5794" s="20" t="s">
        <v>28730</v>
      </c>
      <c r="H5794" s="24"/>
      <c r="I5794" s="24" t="str">
        <f ca="1">IFERROR(__xludf.DUMMYFUNCTION("GOOGLETRANSLATE(F5794,""en"",""pt"")"),"As válvulas de controlo de pressão diferencial")</f>
        <v>As válvulas de controlo de pressão diferencial</v>
      </c>
      <c r="J5794" t="e">
        <f>VLOOKUP(A5794,Pr_Base_LNEC!$A$4:$J$6971,6,FALSE)</f>
        <v>#N/A</v>
      </c>
      <c r="K5794" t="e">
        <f>VLOOKUP(A5794,Pr_Base_LNEC!$A$4:$J$6971,7,FALSE)</f>
        <v>#N/A</v>
      </c>
    </row>
    <row r="5795" spans="1:11" ht="14.5">
      <c r="A5795" s="20" t="s">
        <v>28731</v>
      </c>
      <c r="B5795" s="20">
        <v>65</v>
      </c>
      <c r="C5795" s="20">
        <v>54</v>
      </c>
      <c r="D5795" s="20">
        <v>95</v>
      </c>
      <c r="E5795" s="20">
        <v>26</v>
      </c>
      <c r="F5795" s="20" t="s">
        <v>28732</v>
      </c>
      <c r="G5795" s="20" t="s">
        <v>28733</v>
      </c>
      <c r="H5795" s="24"/>
      <c r="I5795" s="24" t="str">
        <f ca="1">IFERROR(__xludf.DUMMYFUNCTION("GOOGLETRANSLATE(F5795,""en"",""pt"")"),"válvulas de regulação duplas")</f>
        <v>válvulas de regulação duplas</v>
      </c>
      <c r="J5795">
        <f>VLOOKUP(A5795,Pr_Base_LNEC!$A$4:$J$6971,6,FALSE)</f>
        <v>0</v>
      </c>
      <c r="K5795">
        <f>VLOOKUP(A5795,Pr_Base_LNEC!$A$4:$J$6971,7,FALSE)</f>
        <v>0</v>
      </c>
    </row>
    <row r="5796" spans="1:11" ht="14.5">
      <c r="A5796" s="20" t="s">
        <v>28734</v>
      </c>
      <c r="B5796" s="20">
        <v>65</v>
      </c>
      <c r="C5796" s="20">
        <v>54</v>
      </c>
      <c r="D5796" s="20">
        <v>95</v>
      </c>
      <c r="E5796" s="20">
        <v>27</v>
      </c>
      <c r="F5796" s="20" t="s">
        <v>28735</v>
      </c>
      <c r="G5796" s="20" t="s">
        <v>28736</v>
      </c>
      <c r="H5796" s="24"/>
      <c r="I5796" s="24" t="str">
        <f ca="1">IFERROR(__xludf.DUMMYFUNCTION("GOOGLETRANSLATE(F5796,""en"",""pt"")"),"drenagem torneiras")</f>
        <v>drenagem torneiras</v>
      </c>
      <c r="J5796">
        <f>VLOOKUP(A5796,Pr_Base_LNEC!$A$4:$J$6971,6,FALSE)</f>
        <v>0</v>
      </c>
      <c r="K5796">
        <f>VLOOKUP(A5796,Pr_Base_LNEC!$A$4:$J$6971,7,FALSE)</f>
        <v>0</v>
      </c>
    </row>
    <row r="5797" spans="1:11" ht="14.5">
      <c r="A5797" s="20" t="s">
        <v>28737</v>
      </c>
      <c r="B5797" s="20">
        <v>65</v>
      </c>
      <c r="C5797" s="20">
        <v>54</v>
      </c>
      <c r="D5797" s="20">
        <v>95</v>
      </c>
      <c r="E5797" s="20">
        <v>28</v>
      </c>
      <c r="F5797" s="20" t="s">
        <v>28738</v>
      </c>
      <c r="G5797" s="20" t="s">
        <v>28739</v>
      </c>
      <c r="H5797" s="24"/>
      <c r="I5797" s="24" t="str">
        <f ca="1">IFERROR(__xludf.DUMMYFUNCTION("GOOGLETRANSLATE(F5797,""en"",""pt"")"),"válvulas de sobrepressão")</f>
        <v>válvulas de sobrepressão</v>
      </c>
      <c r="J5797">
        <f>VLOOKUP(A5797,Pr_Base_LNEC!$A$4:$J$6971,6,FALSE)</f>
        <v>0</v>
      </c>
      <c r="K5797">
        <f>VLOOKUP(A5797,Pr_Base_LNEC!$A$4:$J$6971,7,FALSE)</f>
        <v>0</v>
      </c>
    </row>
    <row r="5798" spans="1:11" ht="14.5">
      <c r="A5798" s="20" t="s">
        <v>28740</v>
      </c>
      <c r="B5798" s="20">
        <v>65</v>
      </c>
      <c r="C5798" s="20">
        <v>54</v>
      </c>
      <c r="D5798" s="20">
        <v>95</v>
      </c>
      <c r="E5798" s="20">
        <v>29</v>
      </c>
      <c r="F5798" s="20" t="s">
        <v>28741</v>
      </c>
      <c r="G5798" s="20" t="s">
        <v>28742</v>
      </c>
      <c r="H5798" s="24"/>
      <c r="I5798" s="24" t="str">
        <f ca="1">IFERROR(__xludf.DUMMYFUNCTION("GOOGLETRANSLATE(F5798,""en"",""pt"")"),"válvulas operadas por flutuador")</f>
        <v>válvulas operadas por flutuador</v>
      </c>
      <c r="J5798">
        <f>VLOOKUP(A5798,Pr_Base_LNEC!$A$4:$J$6971,6,FALSE)</f>
        <v>0</v>
      </c>
      <c r="K5798">
        <f>VLOOKUP(A5798,Pr_Base_LNEC!$A$4:$J$6971,7,FALSE)</f>
        <v>0</v>
      </c>
    </row>
    <row r="5799" spans="1:11" ht="14.5">
      <c r="A5799" s="20" t="s">
        <v>28743</v>
      </c>
      <c r="B5799" s="20">
        <v>65</v>
      </c>
      <c r="C5799" s="20">
        <v>54</v>
      </c>
      <c r="D5799" s="20">
        <v>95</v>
      </c>
      <c r="E5799" s="20">
        <v>30</v>
      </c>
      <c r="F5799" s="20" t="s">
        <v>28744</v>
      </c>
      <c r="G5799" s="20" t="s">
        <v>28745</v>
      </c>
      <c r="H5799" s="24"/>
      <c r="I5799" s="24" t="str">
        <f ca="1">IFERROR(__xludf.DUMMYFUNCTION("GOOGLETRANSLATE(F5799,""en"",""pt"")"),"Fluxo de válvulas de medição")</f>
        <v>Fluxo de válvulas de medição</v>
      </c>
      <c r="J5799">
        <f>VLOOKUP(A5799,Pr_Base_LNEC!$A$4:$J$6971,6,FALSE)</f>
        <v>0</v>
      </c>
      <c r="K5799">
        <f>VLOOKUP(A5799,Pr_Base_LNEC!$A$4:$J$6971,7,FALSE)</f>
        <v>0</v>
      </c>
    </row>
    <row r="5800" spans="1:11" ht="14.5">
      <c r="A5800" s="20" t="s">
        <v>28746</v>
      </c>
      <c r="B5800" s="20">
        <v>65</v>
      </c>
      <c r="C5800" s="20">
        <v>54</v>
      </c>
      <c r="D5800" s="20">
        <v>95</v>
      </c>
      <c r="E5800" s="20">
        <v>31</v>
      </c>
      <c r="F5800" s="20" t="s">
        <v>28747</v>
      </c>
      <c r="G5800" s="24"/>
      <c r="H5800" s="24"/>
      <c r="I5800" s="24" t="str">
        <f ca="1">IFERROR(__xludf.DUMMYFUNCTION("GOOGLETRANSLATE(F5800,""en"",""pt"")"),"Fluxo de redução de válvulas de assistência")</f>
        <v>Fluxo de redução de válvulas de assistência</v>
      </c>
      <c r="J5800">
        <f>VLOOKUP(A5800,Pr_Base_LNEC!$A$4:$J$6971,6,FALSE)</f>
        <v>0</v>
      </c>
      <c r="K5800">
        <f>VLOOKUP(A5800,Pr_Base_LNEC!$A$4:$J$6971,7,FALSE)</f>
        <v>0</v>
      </c>
    </row>
    <row r="5801" spans="1:11" ht="14.5">
      <c r="A5801" s="20" t="s">
        <v>28748</v>
      </c>
      <c r="B5801" s="20">
        <v>65</v>
      </c>
      <c r="C5801" s="20">
        <v>54</v>
      </c>
      <c r="D5801" s="20">
        <v>95</v>
      </c>
      <c r="E5801" s="20">
        <v>33</v>
      </c>
      <c r="F5801" s="20" t="s">
        <v>28749</v>
      </c>
      <c r="G5801" s="24"/>
      <c r="H5801" s="24"/>
      <c r="I5801" s="24" t="str">
        <f ca="1">IFERROR(__xludf.DUMMYFUNCTION("GOOGLETRANSLATE(F5801,""en"",""pt"")"),"válvulas de pé")</f>
        <v>válvulas de pé</v>
      </c>
      <c r="J5801" t="e">
        <f>VLOOKUP(A5801,Pr_Base_LNEC!$A$4:$J$6971,6,FALSE)</f>
        <v>#N/A</v>
      </c>
      <c r="K5801" t="e">
        <f>VLOOKUP(A5801,Pr_Base_LNEC!$A$4:$J$6971,7,FALSE)</f>
        <v>#N/A</v>
      </c>
    </row>
    <row r="5802" spans="1:11" ht="14.5">
      <c r="A5802" s="20" t="s">
        <v>28750</v>
      </c>
      <c r="B5802" s="20">
        <v>65</v>
      </c>
      <c r="C5802" s="20">
        <v>54</v>
      </c>
      <c r="D5802" s="20">
        <v>95</v>
      </c>
      <c r="E5802" s="20">
        <v>38</v>
      </c>
      <c r="F5802" s="20" t="s">
        <v>28751</v>
      </c>
      <c r="G5802" s="20" t="s">
        <v>28752</v>
      </c>
      <c r="H5802" s="24"/>
      <c r="I5802" s="24" t="str">
        <f ca="1">IFERROR(__xludf.DUMMYFUNCTION("GOOGLETRANSLATE(F5802,""en"",""pt"")"),"dispositivos de prevenção de refluxo sindicais Mangueira")</f>
        <v>dispositivos de prevenção de refluxo sindicais Mangueira</v>
      </c>
      <c r="J5802" t="e">
        <f>VLOOKUP(A5802,Pr_Base_LNEC!$A$4:$J$6971,6,FALSE)</f>
        <v>#N/A</v>
      </c>
      <c r="K5802" t="e">
        <f>VLOOKUP(A5802,Pr_Base_LNEC!$A$4:$J$6971,7,FALSE)</f>
        <v>#N/A</v>
      </c>
    </row>
    <row r="5803" spans="1:11" ht="14.5">
      <c r="A5803" s="20" t="s">
        <v>28753</v>
      </c>
      <c r="B5803" s="20">
        <v>65</v>
      </c>
      <c r="C5803" s="20">
        <v>54</v>
      </c>
      <c r="D5803" s="20">
        <v>95</v>
      </c>
      <c r="E5803" s="20">
        <v>42</v>
      </c>
      <c r="F5803" s="20" t="s">
        <v>28754</v>
      </c>
      <c r="G5803" s="20" t="s">
        <v>28755</v>
      </c>
      <c r="H5803" s="24"/>
      <c r="I5803" s="24" t="str">
        <f ca="1">IFERROR(__xludf.DUMMYFUNCTION("GOOGLETRANSLATE(F5803,""en"",""pt"")"),"Dispositivos de prevenção de refluxo em-linha anti-vácuo")</f>
        <v>Dispositivos de prevenção de refluxo em-linha anti-vácuo</v>
      </c>
      <c r="J5803" t="e">
        <f>VLOOKUP(A5803,Pr_Base_LNEC!$A$4:$J$6971,6,FALSE)</f>
        <v>#N/A</v>
      </c>
      <c r="K5803" t="e">
        <f>VLOOKUP(A5803,Pr_Base_LNEC!$A$4:$J$6971,7,FALSE)</f>
        <v>#N/A</v>
      </c>
    </row>
    <row r="5804" spans="1:11" ht="14.5">
      <c r="A5804" s="20" t="s">
        <v>28756</v>
      </c>
      <c r="B5804" s="20">
        <v>65</v>
      </c>
      <c r="C5804" s="20">
        <v>54</v>
      </c>
      <c r="D5804" s="20">
        <v>95</v>
      </c>
      <c r="E5804" s="20">
        <v>47</v>
      </c>
      <c r="F5804" s="20" t="s">
        <v>28757</v>
      </c>
      <c r="G5804" s="20" t="s">
        <v>28758</v>
      </c>
      <c r="H5804" s="24"/>
      <c r="I5804" s="24" t="str">
        <f ca="1">IFERROR(__xludf.DUMMYFUNCTION("GOOGLETRANSLATE(F5804,""en"",""pt"")"),"misturador de baixa pressão")</f>
        <v>misturador de baixa pressão</v>
      </c>
      <c r="J5804">
        <f>VLOOKUP(A5804,Pr_Base_LNEC!$A$4:$J$6971,6,FALSE)</f>
        <v>0</v>
      </c>
      <c r="K5804">
        <f>VLOOKUP(A5804,Pr_Base_LNEC!$A$4:$J$6971,7,FALSE)</f>
        <v>0</v>
      </c>
    </row>
    <row r="5805" spans="1:11" ht="14.5">
      <c r="A5805" s="20" t="s">
        <v>28759</v>
      </c>
      <c r="B5805" s="20">
        <v>65</v>
      </c>
      <c r="C5805" s="20">
        <v>54</v>
      </c>
      <c r="D5805" s="20">
        <v>95</v>
      </c>
      <c r="E5805" s="20">
        <v>48</v>
      </c>
      <c r="F5805" s="20" t="s">
        <v>28760</v>
      </c>
      <c r="G5805" s="20" t="s">
        <v>28761</v>
      </c>
      <c r="H5805" s="24"/>
      <c r="I5805" s="24" t="str">
        <f ca="1">IFERROR(__xludf.DUMMYFUNCTION("GOOGLETRANSLATE(F5805,""en"",""pt"")"),"misturador de baixa temperatura")</f>
        <v>misturador de baixa temperatura</v>
      </c>
      <c r="J5805">
        <f>VLOOKUP(A5805,Pr_Base_LNEC!$A$4:$J$6971,6,FALSE)</f>
        <v>0</v>
      </c>
      <c r="K5805">
        <f>VLOOKUP(A5805,Pr_Base_LNEC!$A$4:$J$6971,7,FALSE)</f>
        <v>0</v>
      </c>
    </row>
    <row r="5806" spans="1:11" ht="14.5">
      <c r="A5806" s="20" t="s">
        <v>28762</v>
      </c>
      <c r="B5806" s="20">
        <v>65</v>
      </c>
      <c r="C5806" s="20">
        <v>54</v>
      </c>
      <c r="D5806" s="20">
        <v>95</v>
      </c>
      <c r="E5806" s="20">
        <v>50</v>
      </c>
      <c r="F5806" s="20" t="s">
        <v>28763</v>
      </c>
      <c r="G5806" s="24"/>
      <c r="H5806" s="24"/>
      <c r="I5806" s="24" t="str">
        <f ca="1">IFERROR(__xludf.DUMMYFUNCTION("GOOGLETRANSLATE(F5806,""en"",""pt"")"),"válvulas de medição")</f>
        <v>válvulas de medição</v>
      </c>
      <c r="J5806">
        <f>VLOOKUP(A5806,Pr_Base_LNEC!$A$4:$J$6971,6,FALSE)</f>
        <v>0</v>
      </c>
      <c r="K5806">
        <f>VLOOKUP(A5806,Pr_Base_LNEC!$A$4:$J$6971,7,FALSE)</f>
        <v>0</v>
      </c>
    </row>
    <row r="5807" spans="1:11" ht="14.5">
      <c r="A5807" s="20" t="s">
        <v>28764</v>
      </c>
      <c r="B5807" s="20">
        <v>65</v>
      </c>
      <c r="C5807" s="20">
        <v>54</v>
      </c>
      <c r="D5807" s="20">
        <v>95</v>
      </c>
      <c r="E5807" s="20">
        <v>53</v>
      </c>
      <c r="F5807" s="20" t="s">
        <v>28765</v>
      </c>
      <c r="G5807" s="20" t="s">
        <v>28766</v>
      </c>
      <c r="H5807" s="24"/>
      <c r="I5807" s="24" t="str">
        <f ca="1">IFERROR(__xludf.DUMMYFUNCTION("GOOGLETRANSLATE(F5807,""en"",""pt"")"),"válvulas motorizadas")</f>
        <v>válvulas motorizadas</v>
      </c>
      <c r="J5807">
        <f>VLOOKUP(A5807,Pr_Base_LNEC!$A$4:$J$6971,6,FALSE)</f>
        <v>0</v>
      </c>
      <c r="K5807">
        <f>VLOOKUP(A5807,Pr_Base_LNEC!$A$4:$J$6971,7,FALSE)</f>
        <v>0</v>
      </c>
    </row>
    <row r="5808" spans="1:11" ht="14.5">
      <c r="A5808" s="20" t="s">
        <v>28767</v>
      </c>
      <c r="B5808" s="20">
        <v>65</v>
      </c>
      <c r="C5808" s="20">
        <v>54</v>
      </c>
      <c r="D5808" s="20">
        <v>95</v>
      </c>
      <c r="E5808" s="20">
        <v>63</v>
      </c>
      <c r="F5808" s="20" t="s">
        <v>28768</v>
      </c>
      <c r="G5808" s="20" t="s">
        <v>28769</v>
      </c>
      <c r="H5808" s="24"/>
      <c r="I5808" s="24" t="str">
        <f ca="1">IFERROR(__xludf.DUMMYFUNCTION("GOOGLETRANSLATE(F5808,""en"",""pt"")"),"As válvulas de controle de pressão independentes")</f>
        <v>As válvulas de controle de pressão independentes</v>
      </c>
      <c r="J5808">
        <f>VLOOKUP(A5808,Pr_Base_LNEC!$A$4:$J$6971,6,FALSE)</f>
        <v>0</v>
      </c>
      <c r="K5808">
        <f>VLOOKUP(A5808,Pr_Base_LNEC!$A$4:$J$6971,7,FALSE)</f>
        <v>0</v>
      </c>
    </row>
    <row r="5809" spans="1:11" ht="14.5">
      <c r="A5809" s="20" t="s">
        <v>28770</v>
      </c>
      <c r="B5809" s="20">
        <v>65</v>
      </c>
      <c r="C5809" s="20">
        <v>54</v>
      </c>
      <c r="D5809" s="20">
        <v>95</v>
      </c>
      <c r="E5809" s="20">
        <v>64</v>
      </c>
      <c r="F5809" s="20" t="s">
        <v>28771</v>
      </c>
      <c r="G5809" s="24"/>
      <c r="H5809" s="24"/>
      <c r="I5809" s="24" t="str">
        <f ca="1">IFERROR(__xludf.DUMMYFUNCTION("GOOGLETRANSLATE(F5809,""en"",""pt"")"),"válvulas de regulação de pressão")</f>
        <v>válvulas de regulação de pressão</v>
      </c>
      <c r="J5809">
        <f>VLOOKUP(A5809,Pr_Base_LNEC!$A$4:$J$6971,6,FALSE)</f>
        <v>0</v>
      </c>
      <c r="K5809">
        <f>VLOOKUP(A5809,Pr_Base_LNEC!$A$4:$J$6971,7,FALSE)</f>
        <v>0</v>
      </c>
    </row>
    <row r="5810" spans="1:11" ht="14.5">
      <c r="A5810" s="20" t="s">
        <v>28772</v>
      </c>
      <c r="B5810" s="20">
        <v>65</v>
      </c>
      <c r="C5810" s="20">
        <v>54</v>
      </c>
      <c r="D5810" s="20">
        <v>95</v>
      </c>
      <c r="E5810" s="20">
        <v>65</v>
      </c>
      <c r="F5810" s="20" t="s">
        <v>28773</v>
      </c>
      <c r="G5810" s="20" t="s">
        <v>28774</v>
      </c>
      <c r="H5810" s="24"/>
      <c r="I5810" s="24" t="str">
        <f ca="1">IFERROR(__xludf.DUMMYFUNCTION("GOOGLETRANSLATE(F5810,""en"",""pt"")"),"válvulas de alívio de pressão")</f>
        <v>válvulas de alívio de pressão</v>
      </c>
      <c r="J5810">
        <f>VLOOKUP(A5810,Pr_Base_LNEC!$A$4:$J$6971,6,FALSE)</f>
        <v>0</v>
      </c>
      <c r="K5810">
        <f>VLOOKUP(A5810,Pr_Base_LNEC!$A$4:$J$6971,7,FALSE)</f>
        <v>0</v>
      </c>
    </row>
    <row r="5811" spans="1:11" ht="14.5">
      <c r="A5811" s="20" t="s">
        <v>28775</v>
      </c>
      <c r="B5811" s="20">
        <v>65</v>
      </c>
      <c r="C5811" s="20">
        <v>54</v>
      </c>
      <c r="D5811" s="20">
        <v>95</v>
      </c>
      <c r="E5811" s="20">
        <v>66</v>
      </c>
      <c r="F5811" s="20" t="s">
        <v>28776</v>
      </c>
      <c r="G5811" s="20" t="s">
        <v>28777</v>
      </c>
      <c r="H5811" s="24"/>
      <c r="I5811" s="24" t="str">
        <f ca="1">IFERROR(__xludf.DUMMYFUNCTION("GOOGLETRANSLATE(F5811,""en"",""pt"")"),"válvulas redutoras de pressão")</f>
        <v>válvulas redutoras de pressão</v>
      </c>
      <c r="J5811">
        <f>VLOOKUP(A5811,Pr_Base_LNEC!$A$4:$J$6971,6,FALSE)</f>
        <v>0</v>
      </c>
      <c r="K5811">
        <f>VLOOKUP(A5811,Pr_Base_LNEC!$A$4:$J$6971,7,FALSE)</f>
        <v>0</v>
      </c>
    </row>
    <row r="5812" spans="1:11" ht="14.5">
      <c r="A5812" s="20" t="s">
        <v>28778</v>
      </c>
      <c r="B5812" s="20">
        <v>65</v>
      </c>
      <c r="C5812" s="20">
        <v>54</v>
      </c>
      <c r="D5812" s="20">
        <v>95</v>
      </c>
      <c r="E5812" s="20">
        <v>67</v>
      </c>
      <c r="F5812" s="20" t="s">
        <v>28779</v>
      </c>
      <c r="G5812" s="20" t="s">
        <v>28780</v>
      </c>
      <c r="H5812" s="24"/>
      <c r="I5812" s="24" t="str">
        <f ca="1">IFERROR(__xludf.DUMMYFUNCTION("GOOGLETRANSLATE(F5812,""en"",""pt"")"),"válvulas surplussing pressão")</f>
        <v>válvulas surplussing pressão</v>
      </c>
      <c r="J5812">
        <f>VLOOKUP(A5812,Pr_Base_LNEC!$A$4:$J$6971,6,FALSE)</f>
        <v>0</v>
      </c>
      <c r="K5812">
        <f>VLOOKUP(A5812,Pr_Base_LNEC!$A$4:$J$6971,7,FALSE)</f>
        <v>0</v>
      </c>
    </row>
    <row r="5813" spans="1:11" ht="14.5">
      <c r="A5813" s="20" t="s">
        <v>28781</v>
      </c>
      <c r="B5813" s="20">
        <v>65</v>
      </c>
      <c r="C5813" s="20">
        <v>54</v>
      </c>
      <c r="D5813" s="20">
        <v>95</v>
      </c>
      <c r="E5813" s="20">
        <v>70</v>
      </c>
      <c r="F5813" s="20" t="s">
        <v>28782</v>
      </c>
      <c r="G5813" s="20" t="s">
        <v>28783</v>
      </c>
      <c r="H5813" s="24"/>
      <c r="I5813" s="24" t="str">
        <f ca="1">IFERROR(__xludf.DUMMYFUNCTION("GOOGLETRANSLATE(F5813,""en"",""pt"")"),"válvulas de radiador")</f>
        <v>válvulas de radiador</v>
      </c>
      <c r="J5813">
        <f>VLOOKUP(A5813,Pr_Base_LNEC!$A$4:$J$6971,6,FALSE)</f>
        <v>0</v>
      </c>
      <c r="K5813">
        <f>VLOOKUP(A5813,Pr_Base_LNEC!$A$4:$J$6971,7,FALSE)</f>
        <v>0</v>
      </c>
    </row>
    <row r="5814" spans="1:11" ht="14.5">
      <c r="A5814" s="20" t="s">
        <v>28784</v>
      </c>
      <c r="B5814" s="20">
        <v>65</v>
      </c>
      <c r="C5814" s="20">
        <v>54</v>
      </c>
      <c r="D5814" s="20">
        <v>95</v>
      </c>
      <c r="E5814" s="20">
        <v>75</v>
      </c>
      <c r="F5814" s="20" t="s">
        <v>28785</v>
      </c>
      <c r="G5814" s="20" t="s">
        <v>28786</v>
      </c>
      <c r="H5814" s="24"/>
      <c r="I5814" s="24" t="str">
        <f ca="1">IFERROR(__xludf.DUMMYFUNCTION("GOOGLETRANSLATE(F5814,""en"",""pt"")"),"Válvulas de segurança")</f>
        <v>Válvulas de segurança</v>
      </c>
      <c r="J5814">
        <f>VLOOKUP(A5814,Pr_Base_LNEC!$A$4:$J$6971,6,FALSE)</f>
        <v>0</v>
      </c>
      <c r="K5814">
        <f>VLOOKUP(A5814,Pr_Base_LNEC!$A$4:$J$6971,7,FALSE)</f>
        <v>0</v>
      </c>
    </row>
    <row r="5815" spans="1:11" ht="14.5">
      <c r="A5815" s="20" t="s">
        <v>28787</v>
      </c>
      <c r="B5815" s="20">
        <v>65</v>
      </c>
      <c r="C5815" s="20">
        <v>54</v>
      </c>
      <c r="D5815" s="20">
        <v>95</v>
      </c>
      <c r="E5815" s="20">
        <v>80</v>
      </c>
      <c r="F5815" s="20" t="s">
        <v>28788</v>
      </c>
      <c r="G5815" s="20" t="s">
        <v>28789</v>
      </c>
      <c r="H5815" s="24"/>
      <c r="I5815" s="24" t="str">
        <f ca="1">IFERROR(__xludf.DUMMYFUNCTION("GOOGLETRANSLATE(F5815,""en"",""pt"")"),"As válvulas de retenção de liga de aço")</f>
        <v>As válvulas de retenção de liga de aço</v>
      </c>
      <c r="J5815">
        <f>VLOOKUP(A5815,Pr_Base_LNEC!$A$4:$J$6971,6,FALSE)</f>
        <v>0</v>
      </c>
      <c r="K5815">
        <f>VLOOKUP(A5815,Pr_Base_LNEC!$A$4:$J$6971,7,FALSE)</f>
        <v>0</v>
      </c>
    </row>
    <row r="5816" spans="1:11" ht="14.5">
      <c r="A5816" s="20" t="s">
        <v>28790</v>
      </c>
      <c r="B5816" s="20">
        <v>65</v>
      </c>
      <c r="C5816" s="20">
        <v>54</v>
      </c>
      <c r="D5816" s="20">
        <v>95</v>
      </c>
      <c r="E5816" s="20">
        <v>81</v>
      </c>
      <c r="F5816" s="20" t="s">
        <v>28791</v>
      </c>
      <c r="G5816" s="20" t="s">
        <v>28792</v>
      </c>
      <c r="H5816" s="24"/>
      <c r="I5816" s="24" t="str">
        <f ca="1">IFERROR(__xludf.DUMMYFUNCTION("GOOGLETRANSLATE(F5816,""en"",""pt"")"),"válvulas de esfera de aço")</f>
        <v>válvulas de esfera de aço</v>
      </c>
      <c r="J5816">
        <f>VLOOKUP(A5816,Pr_Base_LNEC!$A$4:$J$6971,6,FALSE)</f>
        <v>0</v>
      </c>
      <c r="K5816">
        <f>VLOOKUP(A5816,Pr_Base_LNEC!$A$4:$J$6971,7,FALSE)</f>
        <v>0</v>
      </c>
    </row>
    <row r="5817" spans="1:11" ht="14.5">
      <c r="A5817" s="20" t="s">
        <v>28793</v>
      </c>
      <c r="B5817" s="20">
        <v>65</v>
      </c>
      <c r="C5817" s="20">
        <v>54</v>
      </c>
      <c r="D5817" s="20">
        <v>95</v>
      </c>
      <c r="E5817" s="20">
        <v>82</v>
      </c>
      <c r="F5817" s="20" t="s">
        <v>28794</v>
      </c>
      <c r="G5817" s="20" t="s">
        <v>28795</v>
      </c>
      <c r="H5817" s="24"/>
      <c r="I5817" s="24" t="str">
        <f ca="1">IFERROR(__xludf.DUMMYFUNCTION("GOOGLETRANSLATE(F5817,""en"",""pt"")"),"válvulas de globo de aço")</f>
        <v>válvulas de globo de aço</v>
      </c>
      <c r="J5817">
        <f>VLOOKUP(A5817,Pr_Base_LNEC!$A$4:$J$6971,6,FALSE)</f>
        <v>0</v>
      </c>
      <c r="K5817">
        <f>VLOOKUP(A5817,Pr_Base_LNEC!$A$4:$J$6971,7,FALSE)</f>
        <v>0</v>
      </c>
    </row>
    <row r="5818" spans="1:11" ht="14.5">
      <c r="A5818" s="20" t="s">
        <v>28796</v>
      </c>
      <c r="B5818" s="20">
        <v>65</v>
      </c>
      <c r="C5818" s="20">
        <v>54</v>
      </c>
      <c r="D5818" s="20">
        <v>95</v>
      </c>
      <c r="E5818" s="20">
        <v>83</v>
      </c>
      <c r="F5818" s="20" t="s">
        <v>28797</v>
      </c>
      <c r="G5818" s="20" t="s">
        <v>28798</v>
      </c>
      <c r="H5818" s="24"/>
      <c r="I5818" s="24" t="str">
        <f ca="1">IFERROR(__xludf.DUMMYFUNCTION("GOOGLETRANSLATE(F5818,""en"",""pt"")"),"válvulas globo de aço parar e verificar")</f>
        <v>válvulas globo de aço parar e verificar</v>
      </c>
      <c r="J5818">
        <f>VLOOKUP(A5818,Pr_Base_LNEC!$A$4:$J$6971,6,FALSE)</f>
        <v>0</v>
      </c>
      <c r="K5818">
        <f>VLOOKUP(A5818,Pr_Base_LNEC!$A$4:$J$6971,7,FALSE)</f>
        <v>0</v>
      </c>
    </row>
    <row r="5819" spans="1:11" ht="14.5">
      <c r="A5819" s="20" t="s">
        <v>28799</v>
      </c>
      <c r="B5819" s="20">
        <v>65</v>
      </c>
      <c r="C5819" s="20">
        <v>54</v>
      </c>
      <c r="D5819" s="20">
        <v>95</v>
      </c>
      <c r="E5819" s="20">
        <v>86</v>
      </c>
      <c r="F5819" s="20" t="s">
        <v>28800</v>
      </c>
      <c r="G5819" s="24"/>
      <c r="H5819" s="24"/>
      <c r="I5819" s="24" t="str">
        <f ca="1">IFERROR(__xludf.DUMMYFUNCTION("GOOGLETRANSLATE(F5819,""en"",""pt"")"),"As válvulas termostáticas de balanceamento")</f>
        <v>As válvulas termostáticas de balanceamento</v>
      </c>
      <c r="J5819" t="e">
        <f>VLOOKUP(A5819,Pr_Base_LNEC!$A$4:$J$6971,6,FALSE)</f>
        <v>#N/A</v>
      </c>
      <c r="K5819" t="e">
        <f>VLOOKUP(A5819,Pr_Base_LNEC!$A$4:$J$6971,7,FALSE)</f>
        <v>#N/A</v>
      </c>
    </row>
    <row r="5820" spans="1:11" ht="14.5">
      <c r="A5820" s="20" t="s">
        <v>28801</v>
      </c>
      <c r="B5820" s="20">
        <v>65</v>
      </c>
      <c r="C5820" s="20">
        <v>54</v>
      </c>
      <c r="D5820" s="20">
        <v>95</v>
      </c>
      <c r="E5820" s="20">
        <v>87</v>
      </c>
      <c r="F5820" s="20" t="s">
        <v>28802</v>
      </c>
      <c r="G5820" s="20" t="s">
        <v>28803</v>
      </c>
      <c r="H5820" s="24"/>
      <c r="I5820" s="24" t="str">
        <f ca="1">IFERROR(__xludf.DUMMYFUNCTION("GOOGLETRANSLATE(F5820,""en"",""pt"")"),"têmpera válvulas")</f>
        <v>têmpera válvulas</v>
      </c>
      <c r="J5820">
        <f>VLOOKUP(A5820,Pr_Base_LNEC!$A$4:$J$6971,6,FALSE)</f>
        <v>0</v>
      </c>
      <c r="K5820">
        <f>VLOOKUP(A5820,Pr_Base_LNEC!$A$4:$J$6971,7,FALSE)</f>
        <v>0</v>
      </c>
    </row>
    <row r="5821" spans="1:11" ht="14.5">
      <c r="A5821" s="20" t="s">
        <v>28804</v>
      </c>
      <c r="B5821" s="20">
        <v>65</v>
      </c>
      <c r="C5821" s="20">
        <v>54</v>
      </c>
      <c r="D5821" s="20">
        <v>95</v>
      </c>
      <c r="E5821" s="20">
        <v>88</v>
      </c>
      <c r="F5821" s="20" t="s">
        <v>28805</v>
      </c>
      <c r="G5821" s="20" t="s">
        <v>28806</v>
      </c>
      <c r="H5821" s="24"/>
      <c r="I5821" s="24" t="str">
        <f ca="1">IFERROR(__xludf.DUMMYFUNCTION("GOOGLETRANSLATE(F5821,""en"",""pt"")"),"misturador")</f>
        <v>misturador</v>
      </c>
      <c r="J5821">
        <f>VLOOKUP(A5821,Pr_Base_LNEC!$A$4:$J$6971,6,FALSE)</f>
        <v>0</v>
      </c>
      <c r="K5821">
        <f>VLOOKUP(A5821,Pr_Base_LNEC!$A$4:$J$6971,7,FALSE)</f>
        <v>0</v>
      </c>
    </row>
    <row r="5822" spans="1:11" ht="14.5">
      <c r="A5822" s="20" t="s">
        <v>28807</v>
      </c>
      <c r="B5822" s="20">
        <v>65</v>
      </c>
      <c r="C5822" s="20">
        <v>54</v>
      </c>
      <c r="D5822" s="20">
        <v>95</v>
      </c>
      <c r="E5822" s="20">
        <v>89</v>
      </c>
      <c r="F5822" s="20" t="s">
        <v>28808</v>
      </c>
      <c r="G5822" s="20" t="s">
        <v>28809</v>
      </c>
      <c r="H5822" s="24"/>
      <c r="I5822" s="24" t="str">
        <f ca="1">IFERROR(__xludf.DUMMYFUNCTION("GOOGLETRANSLATE(F5822,""en"",""pt"")"),"As válvulas termostáticas de radiadores")</f>
        <v>As válvulas termostáticas de radiadores</v>
      </c>
      <c r="J5822">
        <f>VLOOKUP(A5822,Pr_Base_LNEC!$A$4:$J$6971,6,FALSE)</f>
        <v>0</v>
      </c>
      <c r="K5822">
        <f>VLOOKUP(A5822,Pr_Base_LNEC!$A$4:$J$6971,7,FALSE)</f>
        <v>0</v>
      </c>
    </row>
    <row r="5823" spans="1:11" ht="14.5">
      <c r="A5823" s="20" t="s">
        <v>28810</v>
      </c>
      <c r="B5823" s="20">
        <v>65</v>
      </c>
      <c r="C5823" s="20">
        <v>54</v>
      </c>
      <c r="D5823" s="20">
        <v>95</v>
      </c>
      <c r="E5823" s="20">
        <v>90</v>
      </c>
      <c r="F5823" s="20" t="s">
        <v>28811</v>
      </c>
      <c r="G5823" s="20" t="s">
        <v>28812</v>
      </c>
      <c r="H5823" s="24"/>
      <c r="I5823" s="24" t="str">
        <f ca="1">IFERROR(__xludf.DUMMYFUNCTION("GOOGLETRANSLATE(F5823,""en"",""pt"")"),"Três vias galos de ventilação")</f>
        <v>Três vias galos de ventilação</v>
      </c>
      <c r="J5823">
        <f>VLOOKUP(A5823,Pr_Base_LNEC!$A$4:$J$6971,6,FALSE)</f>
        <v>0</v>
      </c>
      <c r="K5823">
        <f>VLOOKUP(A5823,Pr_Base_LNEC!$A$4:$J$6971,7,FALSE)</f>
        <v>0</v>
      </c>
    </row>
    <row r="5824" spans="1:11" ht="14.5">
      <c r="A5824" s="20" t="s">
        <v>28813</v>
      </c>
      <c r="B5824" s="20">
        <v>65</v>
      </c>
      <c r="C5824" s="20">
        <v>54</v>
      </c>
      <c r="D5824" s="20">
        <v>95</v>
      </c>
      <c r="E5824" s="20">
        <v>92</v>
      </c>
      <c r="F5824" s="20" t="s">
        <v>28814</v>
      </c>
      <c r="G5824" s="20" t="s">
        <v>28815</v>
      </c>
      <c r="H5824" s="24"/>
      <c r="I5824" s="24" t="str">
        <f ca="1">IFERROR(__xludf.DUMMYFUNCTION("GOOGLETRANSLATE(F5824,""en"",""pt"")"),"aquecimento radiante e colectores de refrigeração")</f>
        <v>aquecimento radiante e colectores de refrigeração</v>
      </c>
      <c r="J5824">
        <f>VLOOKUP(A5824,Pr_Base_LNEC!$A$4:$J$6971,6,FALSE)</f>
        <v>0</v>
      </c>
      <c r="K5824">
        <f>VLOOKUP(A5824,Pr_Base_LNEC!$A$4:$J$6971,7,FALSE)</f>
        <v>0</v>
      </c>
    </row>
    <row r="5825" spans="1:11" ht="14.5">
      <c r="A5825" s="20" t="s">
        <v>28816</v>
      </c>
      <c r="B5825" s="20">
        <v>65</v>
      </c>
      <c r="C5825" s="20">
        <v>54</v>
      </c>
      <c r="D5825" s="20">
        <v>95</v>
      </c>
      <c r="E5825" s="20">
        <v>94</v>
      </c>
      <c r="F5825" s="20" t="s">
        <v>28817</v>
      </c>
      <c r="G5825" s="20" t="s">
        <v>28818</v>
      </c>
      <c r="H5825" s="24"/>
      <c r="I5825" s="24" t="str">
        <f ca="1">IFERROR(__xludf.DUMMYFUNCTION("GOOGLETRANSLATE(F5825,""en"",""pt"")"),"dispositivos de prevenção verificáveis ​​refluxo")</f>
        <v>dispositivos de prevenção verificáveis ​​refluxo</v>
      </c>
      <c r="J5825" t="e">
        <f>VLOOKUP(A5825,Pr_Base_LNEC!$A$4:$J$6971,6,FALSE)</f>
        <v>#N/A</v>
      </c>
      <c r="K5825" t="e">
        <f>VLOOKUP(A5825,Pr_Base_LNEC!$A$4:$J$6971,7,FALSE)</f>
        <v>#N/A</v>
      </c>
    </row>
    <row r="5826" spans="1:11" ht="14.5">
      <c r="A5826" s="20" t="s">
        <v>28819</v>
      </c>
      <c r="B5826" s="20">
        <v>65</v>
      </c>
      <c r="C5826" s="20">
        <v>54</v>
      </c>
      <c r="D5826" s="20">
        <v>95</v>
      </c>
      <c r="E5826" s="20">
        <v>96</v>
      </c>
      <c r="F5826" s="20" t="s">
        <v>28820</v>
      </c>
      <c r="G5826" s="20" t="s">
        <v>28821</v>
      </c>
      <c r="H5826" s="24"/>
      <c r="I5826" s="24" t="str">
        <f ca="1">IFERROR(__xludf.DUMMYFUNCTION("GOOGLETRANSLATE(F5826,""en"",""pt"")"),"válvulas de gaveta hidráulicas")</f>
        <v>válvulas de gaveta hidráulicas</v>
      </c>
      <c r="J5826">
        <f>VLOOKUP(A5826,Pr_Base_LNEC!$A$4:$J$6971,6,FALSE)</f>
        <v>0</v>
      </c>
      <c r="K5826">
        <f>VLOOKUP(A5826,Pr_Base_LNEC!$A$4:$J$6971,7,FALSE)</f>
        <v>0</v>
      </c>
    </row>
    <row r="5827" spans="1:11" ht="14.5">
      <c r="A5827" s="20" t="s">
        <v>28822</v>
      </c>
      <c r="B5827" s="20">
        <v>65</v>
      </c>
      <c r="C5827" s="20">
        <v>55</v>
      </c>
      <c r="D5827" s="24"/>
      <c r="E5827" s="24"/>
      <c r="F5827" s="20" t="s">
        <v>28823</v>
      </c>
      <c r="G5827" s="24"/>
      <c r="H5827" s="24"/>
      <c r="I5827" s="24" t="str">
        <f ca="1">IFERROR(__xludf.DUMMYFUNCTION("GOOGLETRANSLATE(F5827,""en"",""pt"")"),"produtos de distribuição de líquidos e gases")</f>
        <v>produtos de distribuição de líquidos e gases</v>
      </c>
      <c r="J5827" t="str">
        <f>VLOOKUP(A5827,Pr_Base_LNEC!$A$4:$J$6971,6,FALSE)</f>
        <v>Produtos para distribuição de Gás e Fluídos</v>
      </c>
      <c r="K5827">
        <f>VLOOKUP(A5827,Pr_Base_LNEC!$A$4:$J$6971,7,FALSE)</f>
        <v>0</v>
      </c>
    </row>
    <row r="5828" spans="1:11" ht="14.5">
      <c r="A5828" s="20" t="s">
        <v>28824</v>
      </c>
      <c r="B5828" s="20">
        <v>65</v>
      </c>
      <c r="C5828" s="20">
        <v>55</v>
      </c>
      <c r="D5828" s="20">
        <v>62</v>
      </c>
      <c r="E5828" s="24"/>
      <c r="F5828" s="20" t="s">
        <v>28825</v>
      </c>
      <c r="G5828" s="24"/>
      <c r="H5828" s="24"/>
      <c r="I5828" s="24" t="str">
        <f ca="1">IFERROR(__xludf.DUMMYFUNCTION("GOOGLETRANSLATE(F5828,""en"",""pt"")"),"Fase produtos de distribuição de mudança")</f>
        <v>Fase produtos de distribuição de mudança</v>
      </c>
      <c r="J5828">
        <f>VLOOKUP(A5828,Pr_Base_LNEC!$A$4:$J$6971,6,FALSE)</f>
        <v>0</v>
      </c>
      <c r="K5828">
        <f>VLOOKUP(A5828,Pr_Base_LNEC!$A$4:$J$6971,7,FALSE)</f>
        <v>0</v>
      </c>
    </row>
    <row r="5829" spans="1:11" ht="14.5">
      <c r="A5829" s="20" t="s">
        <v>28826</v>
      </c>
      <c r="B5829" s="20">
        <v>65</v>
      </c>
      <c r="C5829" s="20">
        <v>55</v>
      </c>
      <c r="D5829" s="20">
        <v>62</v>
      </c>
      <c r="E5829" s="20">
        <v>12</v>
      </c>
      <c r="F5829" s="20" t="s">
        <v>28827</v>
      </c>
      <c r="G5829" s="24"/>
      <c r="H5829" s="24"/>
      <c r="I5829" s="24" t="str">
        <f ca="1">IFERROR(__xludf.DUMMYFUNCTION("GOOGLETRANSLATE(F5829,""en"",""pt"")"),"catchpots cloro")</f>
        <v>catchpots cloro</v>
      </c>
      <c r="J5829" t="e">
        <f>VLOOKUP(A5829,Pr_Base_LNEC!$A$4:$J$6971,6,FALSE)</f>
        <v>#N/A</v>
      </c>
      <c r="K5829" t="e">
        <f>VLOOKUP(A5829,Pr_Base_LNEC!$A$4:$J$6971,7,FALSE)</f>
        <v>#N/A</v>
      </c>
    </row>
    <row r="5830" spans="1:11" ht="14.5">
      <c r="A5830" s="20" t="s">
        <v>28828</v>
      </c>
      <c r="B5830" s="20">
        <v>65</v>
      </c>
      <c r="C5830" s="20">
        <v>55</v>
      </c>
      <c r="D5830" s="20">
        <v>62</v>
      </c>
      <c r="E5830" s="20">
        <v>47</v>
      </c>
      <c r="F5830" s="20" t="s">
        <v>28829</v>
      </c>
      <c r="G5830" s="20" t="s">
        <v>28830</v>
      </c>
      <c r="H5830" s="24"/>
      <c r="I5830" s="24" t="str">
        <f ca="1">IFERROR(__xludf.DUMMYFUNCTION("GOOGLETRANSLATE(F5830,""en"",""pt"")"),"de gás de petróleo liquefeito (GPL) vaporizadores")</f>
        <v>de gás de petróleo liquefeito (GPL) vaporizadores</v>
      </c>
      <c r="J5830">
        <f>VLOOKUP(A5830,Pr_Base_LNEC!$A$4:$J$6971,6,FALSE)</f>
        <v>0</v>
      </c>
      <c r="K5830">
        <f>VLOOKUP(A5830,Pr_Base_LNEC!$A$4:$J$6971,7,FALSE)</f>
        <v>0</v>
      </c>
    </row>
    <row r="5831" spans="1:11" ht="14.5">
      <c r="A5831" s="20" t="s">
        <v>28831</v>
      </c>
      <c r="B5831" s="20">
        <v>65</v>
      </c>
      <c r="C5831" s="20">
        <v>55</v>
      </c>
      <c r="D5831" s="20">
        <v>76</v>
      </c>
      <c r="E5831" s="24"/>
      <c r="F5831" s="20" t="s">
        <v>28832</v>
      </c>
      <c r="G5831" s="24"/>
      <c r="H5831" s="24"/>
      <c r="I5831" s="24" t="str">
        <f ca="1">IFERROR(__xludf.DUMMYFUNCTION("GOOGLETRANSLATE(F5831,""en"",""pt"")"),"separadores")</f>
        <v>separadores</v>
      </c>
      <c r="J5831">
        <f>VLOOKUP(A5831,Pr_Base_LNEC!$A$4:$J$6971,6,FALSE)</f>
        <v>0</v>
      </c>
      <c r="K5831">
        <f>VLOOKUP(A5831,Pr_Base_LNEC!$A$4:$J$6971,7,FALSE)</f>
        <v>0</v>
      </c>
    </row>
    <row r="5832" spans="1:11" ht="14.5">
      <c r="A5832" s="20" t="s">
        <v>28833</v>
      </c>
      <c r="B5832" s="20">
        <v>65</v>
      </c>
      <c r="C5832" s="20">
        <v>55</v>
      </c>
      <c r="D5832" s="20">
        <v>76</v>
      </c>
      <c r="E5832" s="20">
        <v>4</v>
      </c>
      <c r="F5832" s="20" t="s">
        <v>28834</v>
      </c>
      <c r="G5832" s="20" t="s">
        <v>28835</v>
      </c>
      <c r="H5832" s="24"/>
      <c r="I5832" s="24" t="str">
        <f ca="1">IFERROR(__xludf.DUMMYFUNCTION("GOOGLETRANSLATE(F5832,""en"",""pt"")"),"separadores de vapor de aço inoxidável austenítico")</f>
        <v>separadores de vapor de aço inoxidável austenítico</v>
      </c>
      <c r="J5832">
        <f>VLOOKUP(A5832,Pr_Base_LNEC!$A$4:$J$6971,6,FALSE)</f>
        <v>0</v>
      </c>
      <c r="K5832">
        <f>VLOOKUP(A5832,Pr_Base_LNEC!$A$4:$J$6971,7,FALSE)</f>
        <v>0</v>
      </c>
    </row>
    <row r="5833" spans="1:11" ht="14.5">
      <c r="A5833" s="20" t="s">
        <v>28836</v>
      </c>
      <c r="B5833" s="20">
        <v>65</v>
      </c>
      <c r="C5833" s="20">
        <v>55</v>
      </c>
      <c r="D5833" s="20">
        <v>76</v>
      </c>
      <c r="E5833" s="20">
        <v>11</v>
      </c>
      <c r="F5833" s="20" t="s">
        <v>28837</v>
      </c>
      <c r="G5833" s="20" t="s">
        <v>28838</v>
      </c>
      <c r="H5833" s="24"/>
      <c r="I5833" s="24" t="str">
        <f ca="1">IFERROR(__xludf.DUMMYFUNCTION("GOOGLETRANSLATE(F5833,""en"",""pt"")"),"separadores de vapor de aço carbono")</f>
        <v>separadores de vapor de aço carbono</v>
      </c>
      <c r="J5833">
        <f>VLOOKUP(A5833,Pr_Base_LNEC!$A$4:$J$6971,6,FALSE)</f>
        <v>0</v>
      </c>
      <c r="K5833">
        <f>VLOOKUP(A5833,Pr_Base_LNEC!$A$4:$J$6971,7,FALSE)</f>
        <v>0</v>
      </c>
    </row>
    <row r="5834" spans="1:11" ht="14.5">
      <c r="A5834" s="20" t="s">
        <v>28839</v>
      </c>
      <c r="B5834" s="20">
        <v>65</v>
      </c>
      <c r="C5834" s="20">
        <v>55</v>
      </c>
      <c r="D5834" s="20">
        <v>76</v>
      </c>
      <c r="E5834" s="20">
        <v>12</v>
      </c>
      <c r="F5834" s="20" t="s">
        <v>28840</v>
      </c>
      <c r="G5834" s="20" t="s">
        <v>28841</v>
      </c>
      <c r="H5834" s="24"/>
      <c r="I5834" s="24" t="str">
        <f ca="1">IFERROR(__xludf.DUMMYFUNCTION("GOOGLETRANSLATE(F5834,""en"",""pt"")"),"separadores de vapor de ferro fundido")</f>
        <v>separadores de vapor de ferro fundido</v>
      </c>
      <c r="J5834">
        <f>VLOOKUP(A5834,Pr_Base_LNEC!$A$4:$J$6971,6,FALSE)</f>
        <v>0</v>
      </c>
      <c r="K5834">
        <f>VLOOKUP(A5834,Pr_Base_LNEC!$A$4:$J$6971,7,FALSE)</f>
        <v>0</v>
      </c>
    </row>
    <row r="5835" spans="1:11" ht="14.5">
      <c r="A5835" s="20" t="s">
        <v>28842</v>
      </c>
      <c r="B5835" s="20">
        <v>65</v>
      </c>
      <c r="C5835" s="20">
        <v>55</v>
      </c>
      <c r="D5835" s="20">
        <v>76</v>
      </c>
      <c r="E5835" s="20">
        <v>13</v>
      </c>
      <c r="F5835" s="20" t="s">
        <v>28843</v>
      </c>
      <c r="G5835" s="20" t="s">
        <v>28844</v>
      </c>
      <c r="H5835" s="24"/>
      <c r="I5835" s="24" t="str">
        <f ca="1">IFERROR(__xludf.DUMMYFUNCTION("GOOGLETRANSLATE(F5835,""en"",""pt"")"),"separadores de ar centrífugo")</f>
        <v>separadores de ar centrífugo</v>
      </c>
      <c r="J5835">
        <f>VLOOKUP(A5835,Pr_Base_LNEC!$A$4:$J$6971,6,FALSE)</f>
        <v>0</v>
      </c>
      <c r="K5835">
        <f>VLOOKUP(A5835,Pr_Base_LNEC!$A$4:$J$6971,7,FALSE)</f>
        <v>0</v>
      </c>
    </row>
    <row r="5836" spans="1:11" ht="14.5">
      <c r="A5836" s="20" t="s">
        <v>28845</v>
      </c>
      <c r="B5836" s="20">
        <v>65</v>
      </c>
      <c r="C5836" s="20">
        <v>55</v>
      </c>
      <c r="D5836" s="20">
        <v>76</v>
      </c>
      <c r="E5836" s="20">
        <v>15</v>
      </c>
      <c r="F5836" s="20" t="s">
        <v>28846</v>
      </c>
      <c r="G5836" s="20" t="s">
        <v>28847</v>
      </c>
      <c r="H5836" s="24"/>
      <c r="I5836" s="24" t="str">
        <f ca="1">IFERROR(__xludf.DUMMYFUNCTION("GOOGLETRANSLATE(F5836,""en"",""pt"")"),"separadores de ar e de sujidade combinadas")</f>
        <v>separadores de ar e de sujidade combinadas</v>
      </c>
      <c r="J5836">
        <f>VLOOKUP(A5836,Pr_Base_LNEC!$A$4:$J$6971,6,FALSE)</f>
        <v>0</v>
      </c>
      <c r="K5836">
        <f>VLOOKUP(A5836,Pr_Base_LNEC!$A$4:$J$6971,7,FALSE)</f>
        <v>0</v>
      </c>
    </row>
    <row r="5837" spans="1:11" ht="14.5">
      <c r="A5837" s="20" t="s">
        <v>28848</v>
      </c>
      <c r="B5837" s="20">
        <v>65</v>
      </c>
      <c r="C5837" s="20">
        <v>55</v>
      </c>
      <c r="D5837" s="20">
        <v>76</v>
      </c>
      <c r="E5837" s="20">
        <v>22</v>
      </c>
      <c r="F5837" s="20" t="s">
        <v>28849</v>
      </c>
      <c r="G5837" s="20" t="s">
        <v>28850</v>
      </c>
      <c r="H5837" s="24"/>
      <c r="I5837" s="24" t="str">
        <f ca="1">IFERROR(__xludf.DUMMYFUNCTION("GOOGLETRANSLATE(F5837,""en"",""pt"")"),"separadores de terra")</f>
        <v>separadores de terra</v>
      </c>
      <c r="J5837">
        <f>VLOOKUP(A5837,Pr_Base_LNEC!$A$4:$J$6971,6,FALSE)</f>
        <v>0</v>
      </c>
      <c r="K5837">
        <f>VLOOKUP(A5837,Pr_Base_LNEC!$A$4:$J$6971,7,FALSE)</f>
        <v>0</v>
      </c>
    </row>
    <row r="5838" spans="1:11" ht="14.5">
      <c r="A5838" s="20" t="s">
        <v>28851</v>
      </c>
      <c r="B5838" s="20">
        <v>65</v>
      </c>
      <c r="C5838" s="20">
        <v>55</v>
      </c>
      <c r="D5838" s="20">
        <v>76</v>
      </c>
      <c r="E5838" s="20">
        <v>58</v>
      </c>
      <c r="F5838" s="20" t="s">
        <v>28852</v>
      </c>
      <c r="G5838" s="20" t="s">
        <v>28853</v>
      </c>
      <c r="H5838" s="24"/>
      <c r="I5838" s="24" t="str">
        <f ca="1">IFERROR(__xludf.DUMMYFUNCTION("GOOGLETRANSLATE(F5838,""en"",""pt"")"),"separadores de óleo e gasolina")</f>
        <v>separadores de óleo e gasolina</v>
      </c>
      <c r="J5838">
        <f>VLOOKUP(A5838,Pr_Base_LNEC!$A$4:$J$6971,6,FALSE)</f>
        <v>0</v>
      </c>
      <c r="K5838">
        <f>VLOOKUP(A5838,Pr_Base_LNEC!$A$4:$J$6971,7,FALSE)</f>
        <v>0</v>
      </c>
    </row>
    <row r="5839" spans="1:11" ht="14.5">
      <c r="A5839" s="20" t="s">
        <v>28854</v>
      </c>
      <c r="B5839" s="20">
        <v>65</v>
      </c>
      <c r="C5839" s="20">
        <v>55</v>
      </c>
      <c r="D5839" s="20">
        <v>76</v>
      </c>
      <c r="E5839" s="20">
        <v>59</v>
      </c>
      <c r="F5839" s="20" t="s">
        <v>28855</v>
      </c>
      <c r="G5839" s="20" t="s">
        <v>28856</v>
      </c>
      <c r="H5839" s="24"/>
      <c r="I5839" s="24" t="str">
        <f ca="1">IFERROR(__xludf.DUMMYFUNCTION("GOOGLETRANSLATE(F5839,""en"",""pt"")"),"separadores de óleo e água")</f>
        <v>separadores de óleo e água</v>
      </c>
      <c r="J5839">
        <f>VLOOKUP(A5839,Pr_Base_LNEC!$A$4:$J$6971,6,FALSE)</f>
        <v>0</v>
      </c>
      <c r="K5839">
        <f>VLOOKUP(A5839,Pr_Base_LNEC!$A$4:$J$6971,7,FALSE)</f>
        <v>0</v>
      </c>
    </row>
    <row r="5840" spans="1:11" ht="14.5">
      <c r="A5840" s="20" t="s">
        <v>28857</v>
      </c>
      <c r="B5840" s="20">
        <v>65</v>
      </c>
      <c r="C5840" s="20">
        <v>55</v>
      </c>
      <c r="D5840" s="20">
        <v>76</v>
      </c>
      <c r="E5840" s="20">
        <v>77</v>
      </c>
      <c r="F5840" s="20" t="s">
        <v>28858</v>
      </c>
      <c r="G5840" s="20" t="s">
        <v>28859</v>
      </c>
      <c r="H5840" s="24"/>
      <c r="I5840" s="24" t="str">
        <f ca="1">IFERROR(__xludf.DUMMYFUNCTION("GOOGLETRANSLATE(F5840,""en"",""pt"")"),"separadores de vapor de ferro SG")</f>
        <v>separadores de vapor de ferro SG</v>
      </c>
      <c r="J5840">
        <f>VLOOKUP(A5840,Pr_Base_LNEC!$A$4:$J$6971,6,FALSE)</f>
        <v>0</v>
      </c>
      <c r="K5840">
        <f>VLOOKUP(A5840,Pr_Base_LNEC!$A$4:$J$6971,7,FALSE)</f>
        <v>0</v>
      </c>
    </row>
    <row r="5841" spans="1:11" ht="14.5">
      <c r="A5841" s="20" t="s">
        <v>28860</v>
      </c>
      <c r="B5841" s="20">
        <v>65</v>
      </c>
      <c r="C5841" s="20">
        <v>55</v>
      </c>
      <c r="D5841" s="20">
        <v>76</v>
      </c>
      <c r="E5841" s="20">
        <v>84</v>
      </c>
      <c r="F5841" s="20" t="s">
        <v>28861</v>
      </c>
      <c r="G5841" s="20" t="s">
        <v>28862</v>
      </c>
      <c r="H5841" s="24"/>
      <c r="I5841" s="24" t="str">
        <f ca="1">IFERROR(__xludf.DUMMYFUNCTION("GOOGLETRANSLATE(F5841,""en"",""pt"")"),"separadores de vapor de aço inoxidável")</f>
        <v>separadores de vapor de aço inoxidável</v>
      </c>
      <c r="J5841">
        <f>VLOOKUP(A5841,Pr_Base_LNEC!$A$4:$J$6971,6,FALSE)</f>
        <v>0</v>
      </c>
      <c r="K5841">
        <f>VLOOKUP(A5841,Pr_Base_LNEC!$A$4:$J$6971,7,FALSE)</f>
        <v>0</v>
      </c>
    </row>
    <row r="5842" spans="1:11" ht="14.5">
      <c r="A5842" s="20" t="s">
        <v>28863</v>
      </c>
      <c r="B5842" s="20">
        <v>65</v>
      </c>
      <c r="C5842" s="20">
        <v>55</v>
      </c>
      <c r="D5842" s="20">
        <v>76</v>
      </c>
      <c r="E5842" s="20">
        <v>96</v>
      </c>
      <c r="F5842" s="20" t="s">
        <v>28864</v>
      </c>
      <c r="G5842" s="20" t="s">
        <v>28865</v>
      </c>
      <c r="H5842" s="24"/>
      <c r="I5842" s="24" t="str">
        <f ca="1">IFERROR(__xludf.DUMMYFUNCTION("GOOGLETRANSLATE(F5842,""en"",""pt"")"),"separadores de água")</f>
        <v>separadores de água</v>
      </c>
      <c r="J5842">
        <f>VLOOKUP(A5842,Pr_Base_LNEC!$A$4:$J$6971,6,FALSE)</f>
        <v>0</v>
      </c>
      <c r="K5842">
        <f>VLOOKUP(A5842,Pr_Base_LNEC!$A$4:$J$6971,7,FALSE)</f>
        <v>0</v>
      </c>
    </row>
    <row r="5843" spans="1:11" ht="14.5">
      <c r="A5843" s="20" t="s">
        <v>28866</v>
      </c>
      <c r="B5843" s="20">
        <v>65</v>
      </c>
      <c r="C5843" s="20">
        <v>55</v>
      </c>
      <c r="D5843" s="20">
        <v>84</v>
      </c>
      <c r="E5843" s="24"/>
      <c r="F5843" s="20" t="s">
        <v>28867</v>
      </c>
      <c r="G5843" s="24"/>
      <c r="H5843" s="24"/>
      <c r="I5843" s="24" t="str">
        <f ca="1">IFERROR(__xludf.DUMMYFUNCTION("GOOGLETRANSLATE(F5843,""en"",""pt"")"),"Vapor e produtos de distribuição de condensado")</f>
        <v>Vapor e produtos de distribuição de condensado</v>
      </c>
      <c r="J5843">
        <f>VLOOKUP(A5843,Pr_Base_LNEC!$A$4:$J$6971,6,FALSE)</f>
        <v>0</v>
      </c>
      <c r="K5843">
        <f>VLOOKUP(A5843,Pr_Base_LNEC!$A$4:$J$6971,7,FALSE)</f>
        <v>0</v>
      </c>
    </row>
    <row r="5844" spans="1:11" ht="14.5">
      <c r="A5844" s="20" t="s">
        <v>28868</v>
      </c>
      <c r="B5844" s="20">
        <v>65</v>
      </c>
      <c r="C5844" s="20">
        <v>55</v>
      </c>
      <c r="D5844" s="20">
        <v>84</v>
      </c>
      <c r="E5844" s="20">
        <v>50</v>
      </c>
      <c r="F5844" s="20" t="s">
        <v>28869</v>
      </c>
      <c r="G5844" s="24"/>
      <c r="H5844" s="24"/>
      <c r="I5844" s="24" t="str">
        <f ca="1">IFERROR(__xludf.DUMMYFUNCTION("GOOGLETRANSLATE(F5844,""en"",""pt"")"),"colectores de vapor")</f>
        <v>colectores de vapor</v>
      </c>
      <c r="J5844">
        <f>VLOOKUP(A5844,Pr_Base_LNEC!$A$4:$J$6971,6,FALSE)</f>
        <v>0</v>
      </c>
      <c r="K5844">
        <f>VLOOKUP(A5844,Pr_Base_LNEC!$A$4:$J$6971,7,FALSE)</f>
        <v>0</v>
      </c>
    </row>
    <row r="5845" spans="1:11" ht="14.5">
      <c r="A5845" s="20" t="s">
        <v>28870</v>
      </c>
      <c r="B5845" s="20">
        <v>65</v>
      </c>
      <c r="C5845" s="20">
        <v>55</v>
      </c>
      <c r="D5845" s="20">
        <v>84</v>
      </c>
      <c r="E5845" s="20">
        <v>75</v>
      </c>
      <c r="F5845" s="20" t="s">
        <v>28871</v>
      </c>
      <c r="G5845" s="20" t="s">
        <v>28872</v>
      </c>
      <c r="H5845" s="24"/>
      <c r="I5845" s="24" t="str">
        <f ca="1">IFERROR(__xludf.DUMMYFUNCTION("GOOGLETRANSLATE(F5845,""en"",""pt"")"),"resfriadores de amostras")</f>
        <v>resfriadores de amostras</v>
      </c>
      <c r="J5845">
        <f>VLOOKUP(A5845,Pr_Base_LNEC!$A$4:$J$6971,6,FALSE)</f>
        <v>0</v>
      </c>
      <c r="K5845">
        <f>VLOOKUP(A5845,Pr_Base_LNEC!$A$4:$J$6971,7,FALSE)</f>
        <v>0</v>
      </c>
    </row>
    <row r="5846" spans="1:11" ht="14.5">
      <c r="A5846" s="20" t="s">
        <v>28873</v>
      </c>
      <c r="B5846" s="20">
        <v>65</v>
      </c>
      <c r="C5846" s="20">
        <v>55</v>
      </c>
      <c r="D5846" s="20">
        <v>84</v>
      </c>
      <c r="E5846" s="20">
        <v>94</v>
      </c>
      <c r="F5846" s="20" t="s">
        <v>28874</v>
      </c>
      <c r="G5846" s="20" t="s">
        <v>28875</v>
      </c>
      <c r="H5846" s="24"/>
      <c r="I5846" s="24" t="str">
        <f ca="1">IFERROR(__xludf.DUMMYFUNCTION("GOOGLETRANSLATE(F5846,""en"",""pt"")"),"disjuntores a vácuo")</f>
        <v>disjuntores a vácuo</v>
      </c>
      <c r="J5846">
        <f>VLOOKUP(A5846,Pr_Base_LNEC!$A$4:$J$6971,6,FALSE)</f>
        <v>0</v>
      </c>
      <c r="K5846">
        <f>VLOOKUP(A5846,Pr_Base_LNEC!$A$4:$J$6971,7,FALSE)</f>
        <v>0</v>
      </c>
    </row>
    <row r="5847" spans="1:11" ht="14.5">
      <c r="A5847" s="20" t="s">
        <v>28876</v>
      </c>
      <c r="B5847" s="20">
        <v>65</v>
      </c>
      <c r="C5847" s="20">
        <v>55</v>
      </c>
      <c r="D5847" s="20">
        <v>85</v>
      </c>
      <c r="E5847" s="24"/>
      <c r="F5847" s="20" t="s">
        <v>28877</v>
      </c>
      <c r="G5847" s="24"/>
      <c r="H5847" s="24"/>
      <c r="I5847" s="24" t="str">
        <f ca="1">IFERROR(__xludf.DUMMYFUNCTION("GOOGLETRANSLATE(F5847,""en"",""pt"")"),"Vapor e navios de recuperação de condensado")</f>
        <v>Vapor e navios de recuperação de condensado</v>
      </c>
      <c r="J5847">
        <f>VLOOKUP(A5847,Pr_Base_LNEC!$A$4:$J$6971,6,FALSE)</f>
        <v>0</v>
      </c>
      <c r="K5847">
        <f>VLOOKUP(A5847,Pr_Base_LNEC!$A$4:$J$6971,7,FALSE)</f>
        <v>0</v>
      </c>
    </row>
    <row r="5848" spans="1:11" ht="14.5">
      <c r="A5848" s="20" t="s">
        <v>28878</v>
      </c>
      <c r="B5848" s="20">
        <v>65</v>
      </c>
      <c r="C5848" s="20">
        <v>55</v>
      </c>
      <c r="D5848" s="20">
        <v>85</v>
      </c>
      <c r="E5848" s="20">
        <v>8</v>
      </c>
      <c r="F5848" s="20" t="s">
        <v>28879</v>
      </c>
      <c r="G5848" s="20" t="s">
        <v>28880</v>
      </c>
      <c r="H5848" s="24"/>
      <c r="I5848" s="24" t="str">
        <f ca="1">IFERROR(__xludf.DUMMYFUNCTION("GOOGLETRANSLATE(F5848,""en"",""pt"")"),"vasos de purga")</f>
        <v>vasos de purga</v>
      </c>
      <c r="J5848">
        <f>VLOOKUP(A5848,Pr_Base_LNEC!$A$4:$J$6971,6,FALSE)</f>
        <v>0</v>
      </c>
      <c r="K5848">
        <f>VLOOKUP(A5848,Pr_Base_LNEC!$A$4:$J$6971,7,FALSE)</f>
        <v>0</v>
      </c>
    </row>
    <row r="5849" spans="1:11" ht="14.5">
      <c r="A5849" s="20" t="s">
        <v>28881</v>
      </c>
      <c r="B5849" s="20">
        <v>65</v>
      </c>
      <c r="C5849" s="20">
        <v>55</v>
      </c>
      <c r="D5849" s="20">
        <v>85</v>
      </c>
      <c r="E5849" s="20">
        <v>30</v>
      </c>
      <c r="F5849" s="20" t="s">
        <v>28882</v>
      </c>
      <c r="G5849" s="20" t="s">
        <v>28883</v>
      </c>
      <c r="H5849" s="24"/>
      <c r="I5849" s="24" t="str">
        <f ca="1">IFERROR(__xludf.DUMMYFUNCTION("GOOGLETRANSLATE(F5849,""en"",""pt"")"),"navios de recuperação de vapor de flash")</f>
        <v>navios de recuperação de vapor de flash</v>
      </c>
      <c r="J5849">
        <f>VLOOKUP(A5849,Pr_Base_LNEC!$A$4:$J$6971,6,FALSE)</f>
        <v>0</v>
      </c>
      <c r="K5849">
        <f>VLOOKUP(A5849,Pr_Base_LNEC!$A$4:$J$6971,7,FALSE)</f>
        <v>0</v>
      </c>
    </row>
    <row r="5850" spans="1:11" ht="14.5">
      <c r="A5850" s="20" t="s">
        <v>28884</v>
      </c>
      <c r="B5850" s="20">
        <v>65</v>
      </c>
      <c r="C5850" s="20">
        <v>55</v>
      </c>
      <c r="D5850" s="20">
        <v>85</v>
      </c>
      <c r="E5850" s="20">
        <v>85</v>
      </c>
      <c r="F5850" s="20" t="s">
        <v>28885</v>
      </c>
      <c r="G5850" s="20" t="s">
        <v>28886</v>
      </c>
      <c r="H5850" s="24"/>
      <c r="I5850" s="24" t="str">
        <f ca="1">IFERROR(__xludf.DUMMYFUNCTION("GOOGLETRANSLATE(F5850,""en"",""pt"")"),"feedtanks vapor")</f>
        <v>feedtanks vapor</v>
      </c>
      <c r="J5850">
        <f>VLOOKUP(A5850,Pr_Base_LNEC!$A$4:$J$6971,6,FALSE)</f>
        <v>0</v>
      </c>
      <c r="K5850">
        <f>VLOOKUP(A5850,Pr_Base_LNEC!$A$4:$J$6971,7,FALSE)</f>
        <v>0</v>
      </c>
    </row>
    <row r="5851" spans="1:11" ht="14.5">
      <c r="A5851" s="20" t="s">
        <v>28887</v>
      </c>
      <c r="B5851" s="20">
        <v>65</v>
      </c>
      <c r="C5851" s="20">
        <v>55</v>
      </c>
      <c r="D5851" s="20">
        <v>86</v>
      </c>
      <c r="E5851" s="24"/>
      <c r="F5851" s="20" t="s">
        <v>28888</v>
      </c>
      <c r="G5851" s="24"/>
      <c r="H5851" s="24"/>
      <c r="I5851" s="24" t="str">
        <f ca="1">IFERROR(__xludf.DUMMYFUNCTION("GOOGLETRANSLATE(F5851,""en"",""pt"")"),"purgadores e filtros")</f>
        <v>purgadores e filtros</v>
      </c>
      <c r="J5851">
        <f>VLOOKUP(A5851,Pr_Base_LNEC!$A$4:$J$6971,6,FALSE)</f>
        <v>0</v>
      </c>
      <c r="K5851">
        <f>VLOOKUP(A5851,Pr_Base_LNEC!$A$4:$J$6971,7,FALSE)</f>
        <v>0</v>
      </c>
    </row>
    <row r="5852" spans="1:11" ht="14.5">
      <c r="A5852" s="20" t="s">
        <v>28889</v>
      </c>
      <c r="B5852" s="20">
        <v>65</v>
      </c>
      <c r="C5852" s="20">
        <v>55</v>
      </c>
      <c r="D5852" s="20">
        <v>86</v>
      </c>
      <c r="E5852" s="20">
        <v>5</v>
      </c>
      <c r="F5852" s="20" t="s">
        <v>28890</v>
      </c>
      <c r="G5852" s="20" t="s">
        <v>28891</v>
      </c>
      <c r="H5852" s="24"/>
      <c r="I5852" s="24" t="str">
        <f ca="1">IFERROR(__xludf.DUMMYFUNCTION("GOOGLETRANSLATE(F5852,""en"",""pt"")"),"filtros de vapor ângulo")</f>
        <v>filtros de vapor ângulo</v>
      </c>
      <c r="J5852">
        <f>VLOOKUP(A5852,Pr_Base_LNEC!$A$4:$J$6971,6,FALSE)</f>
        <v>0</v>
      </c>
      <c r="K5852">
        <f>VLOOKUP(A5852,Pr_Base_LNEC!$A$4:$J$6971,7,FALSE)</f>
        <v>0</v>
      </c>
    </row>
    <row r="5853" spans="1:11" ht="14.5">
      <c r="A5853" s="20" t="s">
        <v>28892</v>
      </c>
      <c r="B5853" s="20">
        <v>65</v>
      </c>
      <c r="C5853" s="20">
        <v>55</v>
      </c>
      <c r="D5853" s="20">
        <v>86</v>
      </c>
      <c r="E5853" s="20">
        <v>6</v>
      </c>
      <c r="F5853" s="20" t="s">
        <v>28893</v>
      </c>
      <c r="G5853" s="20" t="s">
        <v>28894</v>
      </c>
      <c r="H5853" s="24"/>
      <c r="I5853" s="24" t="str">
        <f ca="1">IFERROR(__xludf.DUMMYFUNCTION("GOOGLETRANSLATE(F5853,""en"",""pt"")"),"purgadores de pressão equilibrada")</f>
        <v>purgadores de pressão equilibrada</v>
      </c>
      <c r="J5853">
        <f>VLOOKUP(A5853,Pr_Base_LNEC!$A$4:$J$6971,6,FALSE)</f>
        <v>0</v>
      </c>
      <c r="K5853">
        <f>VLOOKUP(A5853,Pr_Base_LNEC!$A$4:$J$6971,7,FALSE)</f>
        <v>0</v>
      </c>
    </row>
    <row r="5854" spans="1:11" ht="14.5">
      <c r="A5854" s="20" t="s">
        <v>28895</v>
      </c>
      <c r="B5854" s="20">
        <v>65</v>
      </c>
      <c r="C5854" s="20">
        <v>55</v>
      </c>
      <c r="D5854" s="20">
        <v>86</v>
      </c>
      <c r="E5854" s="20">
        <v>7</v>
      </c>
      <c r="F5854" s="20" t="s">
        <v>28896</v>
      </c>
      <c r="G5854" s="20" t="s">
        <v>28897</v>
      </c>
      <c r="H5854" s="24"/>
      <c r="I5854" s="24" t="str">
        <f ca="1">IFERROR(__xludf.DUMMYFUNCTION("GOOGLETRANSLATE(F5854,""en"",""pt"")"),"purgadores bola flutuador")</f>
        <v>purgadores bola flutuador</v>
      </c>
      <c r="J5854">
        <f>VLOOKUP(A5854,Pr_Base_LNEC!$A$4:$J$6971,6,FALSE)</f>
        <v>0</v>
      </c>
      <c r="K5854">
        <f>VLOOKUP(A5854,Pr_Base_LNEC!$A$4:$J$6971,7,FALSE)</f>
        <v>0</v>
      </c>
    </row>
    <row r="5855" spans="1:11" ht="14.5">
      <c r="A5855" s="20" t="s">
        <v>28898</v>
      </c>
      <c r="B5855" s="20">
        <v>65</v>
      </c>
      <c r="C5855" s="20">
        <v>55</v>
      </c>
      <c r="D5855" s="20">
        <v>86</v>
      </c>
      <c r="E5855" s="20">
        <v>8</v>
      </c>
      <c r="F5855" s="20" t="s">
        <v>28899</v>
      </c>
      <c r="G5855" s="20" t="s">
        <v>28900</v>
      </c>
      <c r="H5855" s="24"/>
      <c r="I5855" s="24" t="str">
        <f ca="1">IFERROR(__xludf.DUMMYFUNCTION("GOOGLETRANSLATE(F5855,""en"",""pt"")"),"purgadores bimetálicos")</f>
        <v>purgadores bimetálicos</v>
      </c>
      <c r="J5855">
        <f>VLOOKUP(A5855,Pr_Base_LNEC!$A$4:$J$6971,6,FALSE)</f>
        <v>0</v>
      </c>
      <c r="K5855">
        <f>VLOOKUP(A5855,Pr_Base_LNEC!$A$4:$J$6971,7,FALSE)</f>
        <v>0</v>
      </c>
    </row>
    <row r="5856" spans="1:11" ht="14.5">
      <c r="A5856" s="20" t="s">
        <v>28901</v>
      </c>
      <c r="B5856" s="20">
        <v>65</v>
      </c>
      <c r="C5856" s="20">
        <v>55</v>
      </c>
      <c r="D5856" s="20">
        <v>86</v>
      </c>
      <c r="E5856" s="20">
        <v>42</v>
      </c>
      <c r="F5856" s="20" t="s">
        <v>28902</v>
      </c>
      <c r="G5856" s="20" t="s">
        <v>28903</v>
      </c>
      <c r="H5856" s="24"/>
      <c r="I5856" s="24" t="str">
        <f ca="1">IFERROR(__xludf.DUMMYFUNCTION("GOOGLETRANSLATE(F5856,""en"",""pt"")"),"purgadores de balde invertidas")</f>
        <v>purgadores de balde invertidas</v>
      </c>
      <c r="J5856">
        <f>VLOOKUP(A5856,Pr_Base_LNEC!$A$4:$J$6971,6,FALSE)</f>
        <v>0</v>
      </c>
      <c r="K5856">
        <f>VLOOKUP(A5856,Pr_Base_LNEC!$A$4:$J$6971,7,FALSE)</f>
        <v>0</v>
      </c>
    </row>
    <row r="5857" spans="1:11" ht="14.5">
      <c r="A5857" s="20" t="s">
        <v>28904</v>
      </c>
      <c r="B5857" s="20">
        <v>65</v>
      </c>
      <c r="C5857" s="20">
        <v>55</v>
      </c>
      <c r="D5857" s="20">
        <v>86</v>
      </c>
      <c r="E5857" s="20">
        <v>88</v>
      </c>
      <c r="F5857" s="20" t="s">
        <v>28905</v>
      </c>
      <c r="G5857" s="20" t="s">
        <v>28906</v>
      </c>
      <c r="H5857" s="24"/>
      <c r="I5857" s="24" t="str">
        <f ca="1">IFERROR(__xludf.DUMMYFUNCTION("GOOGLETRANSLATE(F5857,""en"",""pt"")"),"purgadores termodinâmicos")</f>
        <v>purgadores termodinâmicos</v>
      </c>
      <c r="J5857">
        <f>VLOOKUP(A5857,Pr_Base_LNEC!$A$4:$J$6971,6,FALSE)</f>
        <v>0</v>
      </c>
      <c r="K5857">
        <f>VLOOKUP(A5857,Pr_Base_LNEC!$A$4:$J$6971,7,FALSE)</f>
        <v>0</v>
      </c>
    </row>
    <row r="5858" spans="1:11" ht="14.5">
      <c r="A5858" s="20" t="s">
        <v>28907</v>
      </c>
      <c r="B5858" s="20">
        <v>65</v>
      </c>
      <c r="C5858" s="20">
        <v>55</v>
      </c>
      <c r="D5858" s="20">
        <v>86</v>
      </c>
      <c r="E5858" s="20">
        <v>89</v>
      </c>
      <c r="F5858" s="20" t="s">
        <v>28908</v>
      </c>
      <c r="G5858" s="20" t="s">
        <v>28909</v>
      </c>
      <c r="H5858" s="24"/>
      <c r="I5858" s="24" t="str">
        <f ca="1">IFERROR(__xludf.DUMMYFUNCTION("GOOGLETRANSLATE(F5858,""en"",""pt"")"),"purgadores termostáticos")</f>
        <v>purgadores termostáticos</v>
      </c>
      <c r="J5858">
        <f>VLOOKUP(A5858,Pr_Base_LNEC!$A$4:$J$6971,6,FALSE)</f>
        <v>0</v>
      </c>
      <c r="K5858">
        <f>VLOOKUP(A5858,Pr_Base_LNEC!$A$4:$J$6971,7,FALSE)</f>
        <v>0</v>
      </c>
    </row>
    <row r="5859" spans="1:11" ht="14.5">
      <c r="A5859" s="20" t="s">
        <v>28910</v>
      </c>
      <c r="B5859" s="20">
        <v>65</v>
      </c>
      <c r="C5859" s="20">
        <v>55</v>
      </c>
      <c r="D5859" s="20">
        <v>86</v>
      </c>
      <c r="E5859" s="20">
        <v>99</v>
      </c>
      <c r="F5859" s="20" t="s">
        <v>28911</v>
      </c>
      <c r="G5859" s="20" t="s">
        <v>28912</v>
      </c>
      <c r="H5859" s="24"/>
      <c r="I5859" s="24" t="str">
        <f ca="1">IFERROR(__xludf.DUMMYFUNCTION("GOOGLETRANSLATE(F5859,""en"",""pt"")"),"coadores de vapor de tipo Y")</f>
        <v>coadores de vapor de tipo Y</v>
      </c>
      <c r="J5859">
        <f>VLOOKUP(A5859,Pr_Base_LNEC!$A$4:$J$6971,6,FALSE)</f>
        <v>0</v>
      </c>
      <c r="K5859">
        <f>VLOOKUP(A5859,Pr_Base_LNEC!$A$4:$J$6971,7,FALSE)</f>
        <v>0</v>
      </c>
    </row>
    <row r="5860" spans="1:11" ht="14.5">
      <c r="A5860" s="20" t="s">
        <v>28913</v>
      </c>
      <c r="B5860" s="20">
        <v>65</v>
      </c>
      <c r="C5860" s="20">
        <v>55</v>
      </c>
      <c r="D5860" s="20">
        <v>96</v>
      </c>
      <c r="E5860" s="24"/>
      <c r="F5860" s="20" t="s">
        <v>28914</v>
      </c>
      <c r="G5860" s="24"/>
      <c r="H5860" s="24"/>
      <c r="I5860" s="24" t="str">
        <f ca="1">IFERROR(__xludf.DUMMYFUNCTION("GOOGLETRANSLATE(F5860,""en"",""pt"")"),"produtos de lavagem")</f>
        <v>produtos de lavagem</v>
      </c>
      <c r="J5860">
        <f>VLOOKUP(A5860,Pr_Base_LNEC!$A$4:$J$6971,6,FALSE)</f>
        <v>0</v>
      </c>
      <c r="K5860">
        <f>VLOOKUP(A5860,Pr_Base_LNEC!$A$4:$J$6971,7,FALSE)</f>
        <v>0</v>
      </c>
    </row>
    <row r="5861" spans="1:11" ht="14.5">
      <c r="A5861" s="20" t="s">
        <v>28915</v>
      </c>
      <c r="B5861" s="20">
        <v>65</v>
      </c>
      <c r="C5861" s="20">
        <v>55</v>
      </c>
      <c r="D5861" s="20">
        <v>96</v>
      </c>
      <c r="E5861" s="20">
        <v>24</v>
      </c>
      <c r="F5861" s="20" t="s">
        <v>28916</v>
      </c>
      <c r="G5861" s="20" t="s">
        <v>28917</v>
      </c>
      <c r="H5861" s="24"/>
      <c r="I5861" s="24" t="str">
        <f ca="1">IFERROR(__xludf.DUMMYFUNCTION("GOOGLETRANSLATE(F5861,""en"",""pt"")"),"Conduzir-lavagem através roda")</f>
        <v>Conduzir-lavagem através roda</v>
      </c>
      <c r="J5861">
        <f>VLOOKUP(A5861,Pr_Base_LNEC!$A$4:$J$6971,6,FALSE)</f>
        <v>0</v>
      </c>
      <c r="K5861">
        <f>VLOOKUP(A5861,Pr_Base_LNEC!$A$4:$J$6971,7,FALSE)</f>
        <v>0</v>
      </c>
    </row>
    <row r="5862" spans="1:11" ht="14.5">
      <c r="A5862" s="20" t="s">
        <v>28918</v>
      </c>
      <c r="B5862" s="20">
        <v>65</v>
      </c>
      <c r="C5862" s="20">
        <v>55</v>
      </c>
      <c r="D5862" s="20">
        <v>96</v>
      </c>
      <c r="E5862" s="20">
        <v>72</v>
      </c>
      <c r="F5862" s="20" t="s">
        <v>28919</v>
      </c>
      <c r="G5862" s="20" t="s">
        <v>28920</v>
      </c>
      <c r="H5862" s="24"/>
      <c r="I5862" s="24" t="str">
        <f ca="1">IFERROR(__xludf.DUMMYFUNCTION("GOOGLETRANSLATE(F5862,""en"",""pt"")"),"lavagem roda de rolamento")</f>
        <v>lavagem roda de rolamento</v>
      </c>
      <c r="J5862">
        <f>VLOOKUP(A5862,Pr_Base_LNEC!$A$4:$J$6971,6,FALSE)</f>
        <v>0</v>
      </c>
      <c r="K5862">
        <f>VLOOKUP(A5862,Pr_Base_LNEC!$A$4:$J$6971,7,FALSE)</f>
        <v>0</v>
      </c>
    </row>
    <row r="5863" spans="1:11" ht="14.5">
      <c r="A5863" s="20" t="s">
        <v>28921</v>
      </c>
      <c r="B5863" s="20">
        <v>65</v>
      </c>
      <c r="C5863" s="20">
        <v>55</v>
      </c>
      <c r="D5863" s="20">
        <v>96</v>
      </c>
      <c r="E5863" s="20">
        <v>96</v>
      </c>
      <c r="F5863" s="20" t="s">
        <v>28922</v>
      </c>
      <c r="G5863" s="20" t="s">
        <v>28923</v>
      </c>
      <c r="H5863" s="24"/>
      <c r="I5863" s="24" t="str">
        <f ca="1">IFERROR(__xludf.DUMMYFUNCTION("GOOGLETRANSLATE(F5863,""en"",""pt"")"),"planta de lavagem")</f>
        <v>planta de lavagem</v>
      </c>
      <c r="J5863">
        <f>VLOOKUP(A5863,Pr_Base_LNEC!$A$4:$J$6971,6,FALSE)</f>
        <v>0</v>
      </c>
      <c r="K5863">
        <f>VLOOKUP(A5863,Pr_Base_LNEC!$A$4:$J$6971,7,FALSE)</f>
        <v>0</v>
      </c>
    </row>
    <row r="5864" spans="1:11" ht="14.5">
      <c r="A5864" s="20" t="s">
        <v>28924</v>
      </c>
      <c r="B5864" s="20">
        <v>65</v>
      </c>
      <c r="C5864" s="20">
        <v>57</v>
      </c>
      <c r="D5864" s="24"/>
      <c r="E5864" s="24"/>
      <c r="F5864" s="20" t="s">
        <v>28925</v>
      </c>
      <c r="G5864" s="24"/>
      <c r="H5864" s="24"/>
      <c r="I5864" s="24" t="str">
        <f ca="1">IFERROR(__xludf.DUMMYFUNCTION("GOOGLETRANSLATE(F5864,""en"",""pt"")"),"produtos de filtro")</f>
        <v>produtos de filtro</v>
      </c>
      <c r="J5864" t="str">
        <f>VLOOKUP(A5864,Pr_Base_LNEC!$A$4:$J$6971,6,FALSE)</f>
        <v>Produtos para Filtragem</v>
      </c>
      <c r="K5864">
        <f>VLOOKUP(A5864,Pr_Base_LNEC!$A$4:$J$6971,7,FALSE)</f>
        <v>0</v>
      </c>
    </row>
    <row r="5865" spans="1:11" ht="14.5">
      <c r="A5865" s="20" t="s">
        <v>28926</v>
      </c>
      <c r="B5865" s="20">
        <v>65</v>
      </c>
      <c r="C5865" s="20">
        <v>57</v>
      </c>
      <c r="D5865" s="20">
        <v>2</v>
      </c>
      <c r="E5865" s="24"/>
      <c r="F5865" s="20" t="s">
        <v>28927</v>
      </c>
      <c r="G5865" s="24"/>
      <c r="H5865" s="24"/>
      <c r="I5865" s="24" t="str">
        <f ca="1">IFERROR(__xludf.DUMMYFUNCTION("GOOGLETRANSLATE(F5865,""en"",""pt"")"),"Filtros de ar")</f>
        <v>Filtros de ar</v>
      </c>
      <c r="J5865">
        <f>VLOOKUP(A5865,Pr_Base_LNEC!$A$4:$J$6971,6,FALSE)</f>
        <v>0</v>
      </c>
      <c r="K5865">
        <f>VLOOKUP(A5865,Pr_Base_LNEC!$A$4:$J$6971,7,FALSE)</f>
        <v>0</v>
      </c>
    </row>
    <row r="5866" spans="1:11" ht="14.5">
      <c r="A5866" s="20" t="s">
        <v>28928</v>
      </c>
      <c r="B5866" s="20">
        <v>65</v>
      </c>
      <c r="C5866" s="20">
        <v>57</v>
      </c>
      <c r="D5866" s="20">
        <v>2</v>
      </c>
      <c r="E5866" s="20">
        <v>2</v>
      </c>
      <c r="F5866" s="20" t="s">
        <v>28929</v>
      </c>
      <c r="G5866" s="20" t="s">
        <v>28930</v>
      </c>
      <c r="H5866" s="24"/>
      <c r="I5866" s="24" t="str">
        <f ca="1">IFERROR(__xludf.DUMMYFUNCTION("GOOGLETRANSLATE(F5866,""en"",""pt"")"),"filtros de ar de carbono activados")</f>
        <v>filtros de ar de carbono activados</v>
      </c>
      <c r="J5866">
        <f>VLOOKUP(A5866,Pr_Base_LNEC!$A$4:$J$6971,6,FALSE)</f>
        <v>0</v>
      </c>
      <c r="K5866">
        <f>VLOOKUP(A5866,Pr_Base_LNEC!$A$4:$J$6971,7,FALSE)</f>
        <v>0</v>
      </c>
    </row>
    <row r="5867" spans="1:11" ht="14.5">
      <c r="A5867" s="20" t="s">
        <v>28931</v>
      </c>
      <c r="B5867" s="20">
        <v>65</v>
      </c>
      <c r="C5867" s="20">
        <v>57</v>
      </c>
      <c r="D5867" s="20">
        <v>2</v>
      </c>
      <c r="E5867" s="20">
        <v>3</v>
      </c>
      <c r="F5867" s="20" t="s">
        <v>28932</v>
      </c>
      <c r="G5867" s="24"/>
      <c r="H5867" s="24"/>
      <c r="I5867" s="24" t="str">
        <f ca="1">IFERROR(__xludf.DUMMYFUNCTION("GOOGLETRANSLATE(F5867,""en"",""pt"")"),"limpadores de gás e vapor ar")</f>
        <v>limpadores de gás e vapor ar</v>
      </c>
      <c r="J5867">
        <f>VLOOKUP(A5867,Pr_Base_LNEC!$A$4:$J$6971,6,FALSE)</f>
        <v>0</v>
      </c>
      <c r="K5867">
        <f>VLOOKUP(A5867,Pr_Base_LNEC!$A$4:$J$6971,7,FALSE)</f>
        <v>0</v>
      </c>
    </row>
    <row r="5868" spans="1:11" ht="14.5">
      <c r="A5868" s="20" t="s">
        <v>28933</v>
      </c>
      <c r="B5868" s="20">
        <v>65</v>
      </c>
      <c r="C5868" s="20">
        <v>57</v>
      </c>
      <c r="D5868" s="20">
        <v>2</v>
      </c>
      <c r="E5868" s="20">
        <v>4</v>
      </c>
      <c r="F5868" s="20" t="s">
        <v>28934</v>
      </c>
      <c r="G5868" s="24"/>
      <c r="H5868" s="24"/>
      <c r="I5868" s="24" t="str">
        <f ca="1">IFERROR(__xludf.DUMMYFUNCTION("GOOGLETRANSLATE(F5868,""en"",""pt"")"),"limpadores de partículas do ar")</f>
        <v>limpadores de partículas do ar</v>
      </c>
      <c r="J5868">
        <f>VLOOKUP(A5868,Pr_Base_LNEC!$A$4:$J$6971,6,FALSE)</f>
        <v>0</v>
      </c>
      <c r="K5868">
        <f>VLOOKUP(A5868,Pr_Base_LNEC!$A$4:$J$6971,7,FALSE)</f>
        <v>0</v>
      </c>
    </row>
    <row r="5869" spans="1:11" ht="14.5">
      <c r="A5869" s="20" t="s">
        <v>28935</v>
      </c>
      <c r="B5869" s="20">
        <v>65</v>
      </c>
      <c r="C5869" s="20">
        <v>57</v>
      </c>
      <c r="D5869" s="20">
        <v>2</v>
      </c>
      <c r="E5869" s="20">
        <v>6</v>
      </c>
      <c r="F5869" s="20" t="s">
        <v>28936</v>
      </c>
      <c r="G5869" s="20" t="s">
        <v>28937</v>
      </c>
      <c r="H5869" s="24"/>
      <c r="I5869" s="24" t="str">
        <f ca="1">IFERROR(__xludf.DUMMYFUNCTION("GOOGLETRANSLATE(F5869,""en"",""pt"")"),"filtros de ar de lubrificação deflector")</f>
        <v>filtros de ar de lubrificação deflector</v>
      </c>
      <c r="J5869">
        <f>VLOOKUP(A5869,Pr_Base_LNEC!$A$4:$J$6971,6,FALSE)</f>
        <v>0</v>
      </c>
      <c r="K5869">
        <f>VLOOKUP(A5869,Pr_Base_LNEC!$A$4:$J$6971,7,FALSE)</f>
        <v>0</v>
      </c>
    </row>
    <row r="5870" spans="1:11" ht="14.5">
      <c r="A5870" s="20" t="s">
        <v>28938</v>
      </c>
      <c r="B5870" s="20">
        <v>65</v>
      </c>
      <c r="C5870" s="20">
        <v>57</v>
      </c>
      <c r="D5870" s="20">
        <v>2</v>
      </c>
      <c r="E5870" s="20">
        <v>7</v>
      </c>
      <c r="F5870" s="20" t="s">
        <v>28939</v>
      </c>
      <c r="G5870" s="20" t="s">
        <v>28940</v>
      </c>
      <c r="H5870" s="24"/>
      <c r="I5870" s="24" t="str">
        <f ca="1">IFERROR(__xludf.DUMMYFUNCTION("GOOGLETRANSLATE(F5870,""en"",""pt"")"),"filtros de ar Mala")</f>
        <v>filtros de ar Mala</v>
      </c>
      <c r="J5870">
        <f>VLOOKUP(A5870,Pr_Base_LNEC!$A$4:$J$6971,6,FALSE)</f>
        <v>0</v>
      </c>
      <c r="K5870">
        <f>VLOOKUP(A5870,Pr_Base_LNEC!$A$4:$J$6971,7,FALSE)</f>
        <v>0</v>
      </c>
    </row>
    <row r="5871" spans="1:11" ht="14.5">
      <c r="A5871" s="20" t="s">
        <v>28941</v>
      </c>
      <c r="B5871" s="20">
        <v>65</v>
      </c>
      <c r="C5871" s="20">
        <v>57</v>
      </c>
      <c r="D5871" s="20">
        <v>2</v>
      </c>
      <c r="E5871" s="20">
        <v>11</v>
      </c>
      <c r="F5871" s="20" t="s">
        <v>28942</v>
      </c>
      <c r="G5871" s="20" t="s">
        <v>28937</v>
      </c>
      <c r="H5871" s="24"/>
      <c r="I5871" s="24" t="str">
        <f ca="1">IFERROR(__xludf.DUMMYFUNCTION("GOOGLETRANSLATE(F5871,""en"",""pt"")"),"filtros de ar graxa cartucho")</f>
        <v>filtros de ar graxa cartucho</v>
      </c>
      <c r="J5871">
        <f>VLOOKUP(A5871,Pr_Base_LNEC!$A$4:$J$6971,6,FALSE)</f>
        <v>0</v>
      </c>
      <c r="K5871">
        <f>VLOOKUP(A5871,Pr_Base_LNEC!$A$4:$J$6971,7,FALSE)</f>
        <v>0</v>
      </c>
    </row>
    <row r="5872" spans="1:11" ht="14.5">
      <c r="A5872" s="20" t="s">
        <v>28943</v>
      </c>
      <c r="B5872" s="20">
        <v>65</v>
      </c>
      <c r="C5872" s="20">
        <v>57</v>
      </c>
      <c r="D5872" s="20">
        <v>2</v>
      </c>
      <c r="E5872" s="20">
        <v>15</v>
      </c>
      <c r="F5872" s="20" t="s">
        <v>28944</v>
      </c>
      <c r="G5872" s="20" t="s">
        <v>28937</v>
      </c>
      <c r="H5872" s="24"/>
      <c r="I5872" s="24" t="str">
        <f ca="1">IFERROR(__xludf.DUMMYFUNCTION("GOOGLETRANSLATE(F5872,""en"",""pt"")"),"filtros de ar névoa graxa água fria")</f>
        <v>filtros de ar névoa graxa água fria</v>
      </c>
      <c r="J5872">
        <f>VLOOKUP(A5872,Pr_Base_LNEC!$A$4:$J$6971,6,FALSE)</f>
        <v>0</v>
      </c>
      <c r="K5872">
        <f>VLOOKUP(A5872,Pr_Base_LNEC!$A$4:$J$6971,7,FALSE)</f>
        <v>0</v>
      </c>
    </row>
    <row r="5873" spans="1:11" ht="14.5">
      <c r="A5873" s="20" t="s">
        <v>28945</v>
      </c>
      <c r="B5873" s="20">
        <v>65</v>
      </c>
      <c r="C5873" s="20">
        <v>57</v>
      </c>
      <c r="D5873" s="20">
        <v>2</v>
      </c>
      <c r="E5873" s="20">
        <v>20</v>
      </c>
      <c r="F5873" s="20" t="s">
        <v>28946</v>
      </c>
      <c r="G5873" s="20" t="s">
        <v>28947</v>
      </c>
      <c r="H5873" s="24"/>
      <c r="I5873" s="24" t="str">
        <f ca="1">IFERROR(__xludf.DUMMYFUNCTION("GOOGLETRANSLATE(F5873,""en"",""pt"")"),"filtros ciclone")</f>
        <v>filtros ciclone</v>
      </c>
      <c r="J5873">
        <f>VLOOKUP(A5873,Pr_Base_LNEC!$A$4:$J$6971,6,FALSE)</f>
        <v>0</v>
      </c>
      <c r="K5873">
        <f>VLOOKUP(A5873,Pr_Base_LNEC!$A$4:$J$6971,7,FALSE)</f>
        <v>0</v>
      </c>
    </row>
    <row r="5874" spans="1:11" ht="14.5">
      <c r="A5874" s="20" t="s">
        <v>28948</v>
      </c>
      <c r="B5874" s="20">
        <v>65</v>
      </c>
      <c r="C5874" s="20">
        <v>57</v>
      </c>
      <c r="D5874" s="20">
        <v>2</v>
      </c>
      <c r="E5874" s="20">
        <v>25</v>
      </c>
      <c r="F5874" s="20" t="s">
        <v>28949</v>
      </c>
      <c r="G5874" s="24"/>
      <c r="H5874" s="24"/>
      <c r="I5874" s="24" t="str">
        <f ca="1">IFERROR(__xludf.DUMMYFUNCTION("GOOGLETRANSLATE(F5874,""en"",""pt"")"),"Duto-montados filtros de ar electrostáticas modulares")</f>
        <v>Duto-montados filtros de ar electrostáticas modulares</v>
      </c>
      <c r="J5874">
        <f>VLOOKUP(A5874,Pr_Base_LNEC!$A$4:$J$6971,6,FALSE)</f>
        <v>0</v>
      </c>
      <c r="K5874">
        <f>VLOOKUP(A5874,Pr_Base_LNEC!$A$4:$J$6971,7,FALSE)</f>
        <v>0</v>
      </c>
    </row>
    <row r="5875" spans="1:11" ht="14.5">
      <c r="A5875" s="20" t="s">
        <v>28950</v>
      </c>
      <c r="B5875" s="20">
        <v>65</v>
      </c>
      <c r="C5875" s="20">
        <v>57</v>
      </c>
      <c r="D5875" s="20">
        <v>2</v>
      </c>
      <c r="E5875" s="20">
        <v>26</v>
      </c>
      <c r="F5875" s="20" t="s">
        <v>28951</v>
      </c>
      <c r="G5875" s="20" t="s">
        <v>28952</v>
      </c>
      <c r="H5875" s="24"/>
      <c r="I5875" s="24" t="str">
        <f ca="1">IFERROR(__xludf.DUMMYFUNCTION("GOOGLETRANSLATE(F5875,""en"",""pt"")"),"Eficiente pára-partículas (EPA) filtros de ar")</f>
        <v>Eficiente pára-partículas (EPA) filtros de ar</v>
      </c>
      <c r="J5875">
        <f>VLOOKUP(A5875,Pr_Base_LNEC!$A$4:$J$6971,6,FALSE)</f>
        <v>0</v>
      </c>
      <c r="K5875">
        <f>VLOOKUP(A5875,Pr_Base_LNEC!$A$4:$J$6971,7,FALSE)</f>
        <v>0</v>
      </c>
    </row>
    <row r="5876" spans="1:11" ht="14.5">
      <c r="A5876" s="20" t="s">
        <v>28953</v>
      </c>
      <c r="B5876" s="20">
        <v>65</v>
      </c>
      <c r="C5876" s="20">
        <v>57</v>
      </c>
      <c r="D5876" s="20">
        <v>2</v>
      </c>
      <c r="E5876" s="20">
        <v>28</v>
      </c>
      <c r="F5876" s="20" t="s">
        <v>28954</v>
      </c>
      <c r="G5876" s="20" t="s">
        <v>28955</v>
      </c>
      <c r="H5876" s="24"/>
      <c r="I5876" s="24" t="str">
        <f ca="1">IFERROR(__xludf.DUMMYFUNCTION("GOOGLETRANSLATE(F5876,""en"",""pt"")"),"precipitadores eletrostáticos")</f>
        <v>precipitadores eletrostáticos</v>
      </c>
      <c r="J5876">
        <f>VLOOKUP(A5876,Pr_Base_LNEC!$A$4:$J$6971,6,FALSE)</f>
        <v>0</v>
      </c>
      <c r="K5876">
        <f>VLOOKUP(A5876,Pr_Base_LNEC!$A$4:$J$6971,7,FALSE)</f>
        <v>0</v>
      </c>
    </row>
    <row r="5877" spans="1:11" ht="14.5">
      <c r="A5877" s="20" t="s">
        <v>28956</v>
      </c>
      <c r="B5877" s="20">
        <v>65</v>
      </c>
      <c r="C5877" s="20">
        <v>57</v>
      </c>
      <c r="D5877" s="20">
        <v>2</v>
      </c>
      <c r="E5877" s="20">
        <v>29</v>
      </c>
      <c r="F5877" s="20" t="s">
        <v>28957</v>
      </c>
      <c r="G5877" s="20" t="s">
        <v>28958</v>
      </c>
      <c r="H5877" s="24"/>
      <c r="I5877" s="24" t="str">
        <f ca="1">IFERROR(__xludf.DUMMYFUNCTION("GOOGLETRANSLATE(F5877,""en"",""pt"")"),"filtros de tecido")</f>
        <v>filtros de tecido</v>
      </c>
      <c r="J5877">
        <f>VLOOKUP(A5877,Pr_Base_LNEC!$A$4:$J$6971,6,FALSE)</f>
        <v>0</v>
      </c>
      <c r="K5877">
        <f>VLOOKUP(A5877,Pr_Base_LNEC!$A$4:$J$6971,7,FALSE)</f>
        <v>0</v>
      </c>
    </row>
    <row r="5878" spans="1:11" ht="14.5">
      <c r="A5878" s="20" t="s">
        <v>28959</v>
      </c>
      <c r="B5878" s="20">
        <v>65</v>
      </c>
      <c r="C5878" s="20">
        <v>57</v>
      </c>
      <c r="D5878" s="20">
        <v>2</v>
      </c>
      <c r="E5878" s="20">
        <v>37</v>
      </c>
      <c r="F5878" s="20" t="s">
        <v>28960</v>
      </c>
      <c r="G5878" s="20" t="s">
        <v>28961</v>
      </c>
      <c r="H5878" s="24"/>
      <c r="I5878" s="24" t="str">
        <f ca="1">IFERROR(__xludf.DUMMYFUNCTION("GOOGLETRANSLATE(F5878,""en"",""pt"")"),"Alta eficiência pára-partícula (HEPA) filtros de ar")</f>
        <v>Alta eficiência pára-partícula (HEPA) filtros de ar</v>
      </c>
      <c r="J5878">
        <f>VLOOKUP(A5878,Pr_Base_LNEC!$A$4:$J$6971,6,FALSE)</f>
        <v>0</v>
      </c>
      <c r="K5878">
        <f>VLOOKUP(A5878,Pr_Base_LNEC!$A$4:$J$6971,7,FALSE)</f>
        <v>0</v>
      </c>
    </row>
    <row r="5879" spans="1:11" ht="14.5">
      <c r="A5879" s="20" t="s">
        <v>28962</v>
      </c>
      <c r="B5879" s="20">
        <v>65</v>
      </c>
      <c r="C5879" s="20">
        <v>57</v>
      </c>
      <c r="D5879" s="20">
        <v>2</v>
      </c>
      <c r="E5879" s="20">
        <v>52</v>
      </c>
      <c r="F5879" s="20" t="s">
        <v>28963</v>
      </c>
      <c r="G5879" s="20" t="s">
        <v>28964</v>
      </c>
      <c r="H5879" s="24"/>
      <c r="I5879" s="24" t="str">
        <f ca="1">IFERROR(__xludf.DUMMYFUNCTION("GOOGLETRANSLATE(F5879,""en"",""pt"")"),"Malha filtros de ar")</f>
        <v>Malha filtros de ar</v>
      </c>
      <c r="J5879">
        <f>VLOOKUP(A5879,Pr_Base_LNEC!$A$4:$J$6971,6,FALSE)</f>
        <v>0</v>
      </c>
      <c r="K5879">
        <f>VLOOKUP(A5879,Pr_Base_LNEC!$A$4:$J$6971,7,FALSE)</f>
        <v>0</v>
      </c>
    </row>
    <row r="5880" spans="1:11" ht="14.5">
      <c r="A5880" s="20" t="s">
        <v>28965</v>
      </c>
      <c r="B5880" s="20">
        <v>65</v>
      </c>
      <c r="C5880" s="20">
        <v>57</v>
      </c>
      <c r="D5880" s="20">
        <v>2</v>
      </c>
      <c r="E5880" s="20">
        <v>66</v>
      </c>
      <c r="F5880" s="20" t="s">
        <v>28966</v>
      </c>
      <c r="G5880" s="20" t="s">
        <v>28967</v>
      </c>
      <c r="H5880" s="24"/>
      <c r="I5880" s="24" t="str">
        <f ca="1">IFERROR(__xludf.DUMMYFUNCTION("GOOGLETRANSLATE(F5880,""en"",""pt"")"),"filtros de ar do painel")</f>
        <v>filtros de ar do painel</v>
      </c>
      <c r="J5880">
        <f>VLOOKUP(A5880,Pr_Base_LNEC!$A$4:$J$6971,6,FALSE)</f>
        <v>0</v>
      </c>
      <c r="K5880">
        <f>VLOOKUP(A5880,Pr_Base_LNEC!$A$4:$J$6971,7,FALSE)</f>
        <v>0</v>
      </c>
    </row>
    <row r="5881" spans="1:11" ht="14.5">
      <c r="A5881" s="20" t="s">
        <v>28968</v>
      </c>
      <c r="B5881" s="20">
        <v>65</v>
      </c>
      <c r="C5881" s="20">
        <v>57</v>
      </c>
      <c r="D5881" s="20">
        <v>2</v>
      </c>
      <c r="E5881" s="20">
        <v>70</v>
      </c>
      <c r="F5881" s="20" t="s">
        <v>28969</v>
      </c>
      <c r="G5881" s="20" t="s">
        <v>28970</v>
      </c>
      <c r="H5881" s="24"/>
      <c r="I5881" s="24" t="str">
        <f ca="1">IFERROR(__xludf.DUMMYFUNCTION("GOOGLETRANSLATE(F5881,""en"",""pt"")"),"Seguro Alterar filtro unidades de mudança")</f>
        <v>Seguro Alterar filtro unidades de mudança</v>
      </c>
      <c r="J5881">
        <f>VLOOKUP(A5881,Pr_Base_LNEC!$A$4:$J$6971,6,FALSE)</f>
        <v>0</v>
      </c>
      <c r="K5881">
        <f>VLOOKUP(A5881,Pr_Base_LNEC!$A$4:$J$6971,7,FALSE)</f>
        <v>0</v>
      </c>
    </row>
    <row r="5882" spans="1:11" ht="14.5">
      <c r="A5882" s="20" t="s">
        <v>28971</v>
      </c>
      <c r="B5882" s="20">
        <v>65</v>
      </c>
      <c r="C5882" s="20">
        <v>57</v>
      </c>
      <c r="D5882" s="20">
        <v>2</v>
      </c>
      <c r="E5882" s="20">
        <v>92</v>
      </c>
      <c r="F5882" s="20" t="s">
        <v>28972</v>
      </c>
      <c r="G5882" s="20" t="s">
        <v>28973</v>
      </c>
      <c r="H5882" s="24"/>
      <c r="I5882" s="24" t="str">
        <f ca="1">IFERROR(__xludf.DUMMYFUNCTION("GOOGLETRANSLATE(F5882,""en"",""pt"")"),"Ultra pára-baixo de partículas (ULPA) filtros de ar")</f>
        <v>Ultra pára-baixo de partículas (ULPA) filtros de ar</v>
      </c>
      <c r="J5882">
        <f>VLOOKUP(A5882,Pr_Base_LNEC!$A$4:$J$6971,6,FALSE)</f>
        <v>0</v>
      </c>
      <c r="K5882">
        <f>VLOOKUP(A5882,Pr_Base_LNEC!$A$4:$J$6971,7,FALSE)</f>
        <v>0</v>
      </c>
    </row>
    <row r="5883" spans="1:11" ht="14.5">
      <c r="A5883" s="20" t="s">
        <v>28974</v>
      </c>
      <c r="B5883" s="20">
        <v>65</v>
      </c>
      <c r="C5883" s="20">
        <v>57</v>
      </c>
      <c r="D5883" s="20">
        <v>2</v>
      </c>
      <c r="E5883" s="20">
        <v>93</v>
      </c>
      <c r="F5883" s="20" t="s">
        <v>28975</v>
      </c>
      <c r="G5883" s="20" t="s">
        <v>28976</v>
      </c>
      <c r="H5883" s="24"/>
      <c r="I5883" s="24" t="str">
        <f ca="1">IFERROR(__xludf.DUMMYFUNCTION("GOOGLETRANSLATE(F5883,""en"",""pt"")"),"Ultravioletas filtros de luz graxa")</f>
        <v>Ultravioletas filtros de luz graxa</v>
      </c>
      <c r="J5883">
        <f>VLOOKUP(A5883,Pr_Base_LNEC!$A$4:$J$6971,6,FALSE)</f>
        <v>0</v>
      </c>
      <c r="K5883">
        <f>VLOOKUP(A5883,Pr_Base_LNEC!$A$4:$J$6971,7,FALSE)</f>
        <v>0</v>
      </c>
    </row>
    <row r="5884" spans="1:11" ht="14.5">
      <c r="A5884" s="20" t="s">
        <v>28977</v>
      </c>
      <c r="B5884" s="20">
        <v>65</v>
      </c>
      <c r="C5884" s="20">
        <v>57</v>
      </c>
      <c r="D5884" s="20">
        <v>2</v>
      </c>
      <c r="E5884" s="20">
        <v>96</v>
      </c>
      <c r="F5884" s="20" t="s">
        <v>28978</v>
      </c>
      <c r="G5884" s="20" t="s">
        <v>28937</v>
      </c>
      <c r="H5884" s="24"/>
      <c r="I5884" s="24" t="str">
        <f ca="1">IFERROR(__xludf.DUMMYFUNCTION("GOOGLETRANSLATE(F5884,""en"",""pt"")"),"Água filtros de ar de lavagem de gorduras")</f>
        <v>Água filtros de ar de lavagem de gorduras</v>
      </c>
      <c r="J5884">
        <f>VLOOKUP(A5884,Pr_Base_LNEC!$A$4:$J$6971,6,FALSE)</f>
        <v>0</v>
      </c>
      <c r="K5884">
        <f>VLOOKUP(A5884,Pr_Base_LNEC!$A$4:$J$6971,7,FALSE)</f>
        <v>0</v>
      </c>
    </row>
    <row r="5885" spans="1:11" ht="14.5">
      <c r="A5885" s="20" t="s">
        <v>28979</v>
      </c>
      <c r="B5885" s="20">
        <v>65</v>
      </c>
      <c r="C5885" s="20">
        <v>57</v>
      </c>
      <c r="D5885" s="20">
        <v>2</v>
      </c>
      <c r="E5885" s="20">
        <v>97</v>
      </c>
      <c r="F5885" s="20" t="s">
        <v>28980</v>
      </c>
      <c r="G5885" s="20" t="s">
        <v>28981</v>
      </c>
      <c r="H5885" s="24"/>
      <c r="I5885" s="24" t="str">
        <f ca="1">IFERROR(__xludf.DUMMYFUNCTION("GOOGLETRANSLATE(F5885,""en"",""pt"")"),"filtros de purificação por via húmida")</f>
        <v>filtros de purificação por via húmida</v>
      </c>
      <c r="J5885">
        <f>VLOOKUP(A5885,Pr_Base_LNEC!$A$4:$J$6971,6,FALSE)</f>
        <v>0</v>
      </c>
      <c r="K5885">
        <f>VLOOKUP(A5885,Pr_Base_LNEC!$A$4:$J$6971,7,FALSE)</f>
        <v>0</v>
      </c>
    </row>
    <row r="5886" spans="1:11" ht="14.5">
      <c r="A5886" s="20" t="s">
        <v>28982</v>
      </c>
      <c r="B5886" s="20">
        <v>65</v>
      </c>
      <c r="C5886" s="20">
        <v>57</v>
      </c>
      <c r="D5886" s="20">
        <v>33</v>
      </c>
      <c r="E5886" s="24"/>
      <c r="F5886" s="20" t="s">
        <v>28983</v>
      </c>
      <c r="G5886" s="24"/>
      <c r="H5886" s="24"/>
      <c r="I5886" s="24" t="str">
        <f ca="1">IFERROR(__xludf.DUMMYFUNCTION("GOOGLETRANSLATE(F5886,""en"",""pt"")"),"Filtros de gás e de ar")</f>
        <v>Filtros de gás e de ar</v>
      </c>
      <c r="J5886">
        <f>VLOOKUP(A5886,Pr_Base_LNEC!$A$4:$J$6971,6,FALSE)</f>
        <v>0</v>
      </c>
      <c r="K5886">
        <f>VLOOKUP(A5886,Pr_Base_LNEC!$A$4:$J$6971,7,FALSE)</f>
        <v>0</v>
      </c>
    </row>
    <row r="5887" spans="1:11" ht="14.5">
      <c r="A5887" s="20" t="s">
        <v>28984</v>
      </c>
      <c r="B5887" s="20">
        <v>65</v>
      </c>
      <c r="C5887" s="20">
        <v>57</v>
      </c>
      <c r="D5887" s="20">
        <v>33</v>
      </c>
      <c r="E5887" s="20">
        <v>2</v>
      </c>
      <c r="F5887" s="20" t="s">
        <v>28985</v>
      </c>
      <c r="G5887" s="20" t="s">
        <v>28986</v>
      </c>
      <c r="H5887" s="24"/>
      <c r="I5887" s="24" t="str">
        <f ca="1">IFERROR(__xludf.DUMMYFUNCTION("GOOGLETRANSLATE(F5887,""en"",""pt"")"),"filtros de ar comprimido de carbono activados")</f>
        <v>filtros de ar comprimido de carbono activados</v>
      </c>
      <c r="J5887">
        <f>VLOOKUP(A5887,Pr_Base_LNEC!$A$4:$J$6971,6,FALSE)</f>
        <v>0</v>
      </c>
      <c r="K5887">
        <f>VLOOKUP(A5887,Pr_Base_LNEC!$A$4:$J$6971,7,FALSE)</f>
        <v>0</v>
      </c>
    </row>
    <row r="5888" spans="1:11" ht="14.5">
      <c r="A5888" s="20" t="s">
        <v>28987</v>
      </c>
      <c r="B5888" s="20">
        <v>65</v>
      </c>
      <c r="C5888" s="20">
        <v>57</v>
      </c>
      <c r="D5888" s="20">
        <v>33</v>
      </c>
      <c r="E5888" s="20">
        <v>15</v>
      </c>
      <c r="F5888" s="20" t="s">
        <v>28988</v>
      </c>
      <c r="G5888" s="20" t="s">
        <v>28986</v>
      </c>
      <c r="H5888" s="24"/>
      <c r="I5888" s="24" t="str">
        <f ca="1">IFERROR(__xludf.DUMMYFUNCTION("GOOGLETRANSLATE(F5888,""en"",""pt"")"),"Coalescente filtros de ar comprimido")</f>
        <v>Coalescente filtros de ar comprimido</v>
      </c>
      <c r="J5888">
        <f>VLOOKUP(A5888,Pr_Base_LNEC!$A$4:$J$6971,6,FALSE)</f>
        <v>0</v>
      </c>
      <c r="K5888">
        <f>VLOOKUP(A5888,Pr_Base_LNEC!$A$4:$J$6971,7,FALSE)</f>
        <v>0</v>
      </c>
    </row>
    <row r="5889" spans="1:11" ht="14.5">
      <c r="A5889" s="20" t="s">
        <v>28989</v>
      </c>
      <c r="B5889" s="20">
        <v>65</v>
      </c>
      <c r="C5889" s="20">
        <v>57</v>
      </c>
      <c r="D5889" s="20">
        <v>33</v>
      </c>
      <c r="E5889" s="20">
        <v>25</v>
      </c>
      <c r="F5889" s="20" t="s">
        <v>28990</v>
      </c>
      <c r="G5889" s="20" t="s">
        <v>28986</v>
      </c>
      <c r="H5889" s="24"/>
      <c r="I5889" s="24" t="str">
        <f ca="1">IFERROR(__xludf.DUMMYFUNCTION("GOOGLETRANSLATE(F5889,""en"",""pt"")"),"filtros de ar comprimido de pó")</f>
        <v>filtros de ar comprimido de pó</v>
      </c>
      <c r="J5889">
        <f>VLOOKUP(A5889,Pr_Base_LNEC!$A$4:$J$6971,6,FALSE)</f>
        <v>0</v>
      </c>
      <c r="K5889">
        <f>VLOOKUP(A5889,Pr_Base_LNEC!$A$4:$J$6971,7,FALSE)</f>
        <v>0</v>
      </c>
    </row>
    <row r="5890" spans="1:11" ht="14.5">
      <c r="A5890" s="20" t="s">
        <v>28991</v>
      </c>
      <c r="B5890" s="20">
        <v>65</v>
      </c>
      <c r="C5890" s="20">
        <v>57</v>
      </c>
      <c r="D5890" s="20">
        <v>33</v>
      </c>
      <c r="E5890" s="20">
        <v>33</v>
      </c>
      <c r="F5890" s="20" t="s">
        <v>28992</v>
      </c>
      <c r="G5890" s="20" t="s">
        <v>28993</v>
      </c>
      <c r="H5890" s="24"/>
      <c r="I5890" s="24" t="str">
        <f ca="1">IFERROR(__xludf.DUMMYFUNCTION("GOOGLETRANSLATE(F5890,""en"",""pt"")"),"filtros de gás")</f>
        <v>filtros de gás</v>
      </c>
      <c r="J5890">
        <f>VLOOKUP(A5890,Pr_Base_LNEC!$A$4:$J$6971,6,FALSE)</f>
        <v>0</v>
      </c>
      <c r="K5890">
        <f>VLOOKUP(A5890,Pr_Base_LNEC!$A$4:$J$6971,7,FALSE)</f>
        <v>0</v>
      </c>
    </row>
    <row r="5891" spans="1:11" ht="14.5">
      <c r="A5891" s="20" t="s">
        <v>28994</v>
      </c>
      <c r="B5891" s="20">
        <v>65</v>
      </c>
      <c r="C5891" s="20">
        <v>57</v>
      </c>
      <c r="D5891" s="20">
        <v>58</v>
      </c>
      <c r="E5891" s="24"/>
      <c r="F5891" s="20" t="s">
        <v>28995</v>
      </c>
      <c r="G5891" s="24"/>
      <c r="H5891" s="24"/>
      <c r="I5891" s="24" t="str">
        <f ca="1">IFERROR(__xludf.DUMMYFUNCTION("GOOGLETRANSLATE(F5891,""en"",""pt"")"),"filtros de óleo e filtros")</f>
        <v>filtros de óleo e filtros</v>
      </c>
      <c r="J5891">
        <f>VLOOKUP(A5891,Pr_Base_LNEC!$A$4:$J$6971,6,FALSE)</f>
        <v>0</v>
      </c>
      <c r="K5891">
        <f>VLOOKUP(A5891,Pr_Base_LNEC!$A$4:$J$6971,7,FALSE)</f>
        <v>0</v>
      </c>
    </row>
    <row r="5892" spans="1:11" ht="14.5">
      <c r="A5892" s="20" t="s">
        <v>28996</v>
      </c>
      <c r="B5892" s="20">
        <v>65</v>
      </c>
      <c r="C5892" s="20">
        <v>57</v>
      </c>
      <c r="D5892" s="20">
        <v>58</v>
      </c>
      <c r="E5892" s="20">
        <v>58</v>
      </c>
      <c r="F5892" s="20" t="s">
        <v>28997</v>
      </c>
      <c r="G5892" s="20" t="s">
        <v>28998</v>
      </c>
      <c r="H5892" s="24"/>
      <c r="I5892" s="24" t="str">
        <f ca="1">IFERROR(__xludf.DUMMYFUNCTION("GOOGLETRANSLATE(F5892,""en"",""pt"")"),"filtros de óleo")</f>
        <v>filtros de óleo</v>
      </c>
      <c r="J5892">
        <f>VLOOKUP(A5892,Pr_Base_LNEC!$A$4:$J$6971,6,FALSE)</f>
        <v>0</v>
      </c>
      <c r="K5892">
        <f>VLOOKUP(A5892,Pr_Base_LNEC!$A$4:$J$6971,7,FALSE)</f>
        <v>0</v>
      </c>
    </row>
    <row r="5893" spans="1:11" ht="14.5">
      <c r="A5893" s="20" t="s">
        <v>28999</v>
      </c>
      <c r="B5893" s="20">
        <v>65</v>
      </c>
      <c r="C5893" s="20">
        <v>57</v>
      </c>
      <c r="D5893" s="20">
        <v>58</v>
      </c>
      <c r="E5893" s="20">
        <v>59</v>
      </c>
      <c r="F5893" s="20" t="s">
        <v>29000</v>
      </c>
      <c r="G5893" s="20" t="s">
        <v>29001</v>
      </c>
      <c r="H5893" s="24"/>
      <c r="I5893" s="24" t="str">
        <f ca="1">IFERROR(__xludf.DUMMYFUNCTION("GOOGLETRANSLATE(F5893,""en"",""pt"")"),"filtros de óleo")</f>
        <v>filtros de óleo</v>
      </c>
      <c r="J5893">
        <f>VLOOKUP(A5893,Pr_Base_LNEC!$A$4:$J$6971,6,FALSE)</f>
        <v>0</v>
      </c>
      <c r="K5893">
        <f>VLOOKUP(A5893,Pr_Base_LNEC!$A$4:$J$6971,7,FALSE)</f>
        <v>0</v>
      </c>
    </row>
    <row r="5894" spans="1:11" ht="14.5">
      <c r="A5894" s="20" t="s">
        <v>29002</v>
      </c>
      <c r="B5894" s="20">
        <v>65</v>
      </c>
      <c r="C5894" s="20">
        <v>57</v>
      </c>
      <c r="D5894" s="20">
        <v>85</v>
      </c>
      <c r="E5894" s="24"/>
      <c r="F5894" s="20" t="s">
        <v>29003</v>
      </c>
      <c r="G5894" s="24"/>
      <c r="H5894" s="24"/>
      <c r="I5894" s="24" t="str">
        <f ca="1">IFERROR(__xludf.DUMMYFUNCTION("GOOGLETRANSLATE(F5894,""en"",""pt"")"),"Natação filtros piscina de água e filtros")</f>
        <v>Natação filtros piscina de água e filtros</v>
      </c>
      <c r="J5894">
        <f>VLOOKUP(A5894,Pr_Base_LNEC!$A$4:$J$6971,6,FALSE)</f>
        <v>0</v>
      </c>
      <c r="K5894">
        <f>VLOOKUP(A5894,Pr_Base_LNEC!$A$4:$J$6971,7,FALSE)</f>
        <v>0</v>
      </c>
    </row>
    <row r="5895" spans="1:11" ht="14.5">
      <c r="A5895" s="20" t="s">
        <v>29004</v>
      </c>
      <c r="B5895" s="20">
        <v>65</v>
      </c>
      <c r="C5895" s="20">
        <v>57</v>
      </c>
      <c r="D5895" s="20">
        <v>85</v>
      </c>
      <c r="E5895" s="20">
        <v>6</v>
      </c>
      <c r="F5895" s="20" t="s">
        <v>29005</v>
      </c>
      <c r="G5895" s="20" t="s">
        <v>29006</v>
      </c>
      <c r="H5895" s="24"/>
      <c r="I5895" s="24" t="str">
        <f ca="1">IFERROR(__xludf.DUMMYFUNCTION("GOOGLETRANSLATE(F5895,""en"",""pt"")"),"cesta filtros")</f>
        <v>cesta filtros</v>
      </c>
      <c r="J5895">
        <f>VLOOKUP(A5895,Pr_Base_LNEC!$A$4:$J$6971,6,FALSE)</f>
        <v>0</v>
      </c>
      <c r="K5895">
        <f>VLOOKUP(A5895,Pr_Base_LNEC!$A$4:$J$6971,7,FALSE)</f>
        <v>0</v>
      </c>
    </row>
    <row r="5896" spans="1:11" ht="14.5">
      <c r="A5896" s="20" t="s">
        <v>29007</v>
      </c>
      <c r="B5896" s="20">
        <v>65</v>
      </c>
      <c r="C5896" s="20">
        <v>57</v>
      </c>
      <c r="D5896" s="20">
        <v>85</v>
      </c>
      <c r="E5896" s="20">
        <v>7</v>
      </c>
      <c r="F5896" s="20" t="s">
        <v>29008</v>
      </c>
      <c r="G5896" s="20" t="s">
        <v>29009</v>
      </c>
      <c r="H5896" s="24"/>
      <c r="I5896" s="24" t="str">
        <f ca="1">IFERROR(__xludf.DUMMYFUNCTION("GOOGLETRANSLATE(F5896,""en"",""pt"")"),"filtro cesto")</f>
        <v>filtro cesto</v>
      </c>
      <c r="J5896">
        <f>VLOOKUP(A5896,Pr_Base_LNEC!$A$4:$J$6971,6,FALSE)</f>
        <v>0</v>
      </c>
      <c r="K5896">
        <f>VLOOKUP(A5896,Pr_Base_LNEC!$A$4:$J$6971,7,FALSE)</f>
        <v>0</v>
      </c>
    </row>
    <row r="5897" spans="1:11" ht="14.5">
      <c r="A5897" s="20" t="s">
        <v>29010</v>
      </c>
      <c r="B5897" s="20">
        <v>65</v>
      </c>
      <c r="C5897" s="20">
        <v>57</v>
      </c>
      <c r="D5897" s="20">
        <v>85</v>
      </c>
      <c r="E5897" s="20">
        <v>12</v>
      </c>
      <c r="F5897" s="20" t="s">
        <v>29011</v>
      </c>
      <c r="G5897" s="20" t="s">
        <v>29012</v>
      </c>
      <c r="H5897" s="24"/>
      <c r="I5897" s="24" t="str">
        <f ca="1">IFERROR(__xludf.DUMMYFUNCTION("GOOGLETRANSLATE(F5897,""en"",""pt"")"),"filtros piscina de água do cartucho")</f>
        <v>filtros piscina de água do cartucho</v>
      </c>
      <c r="J5897">
        <f>VLOOKUP(A5897,Pr_Base_LNEC!$A$4:$J$6971,6,FALSE)</f>
        <v>0</v>
      </c>
      <c r="K5897">
        <f>VLOOKUP(A5897,Pr_Base_LNEC!$A$4:$J$6971,7,FALSE)</f>
        <v>0</v>
      </c>
    </row>
    <row r="5898" spans="1:11" ht="14.5">
      <c r="A5898" s="20" t="s">
        <v>29013</v>
      </c>
      <c r="B5898" s="20">
        <v>65</v>
      </c>
      <c r="C5898" s="20">
        <v>57</v>
      </c>
      <c r="D5898" s="20">
        <v>85</v>
      </c>
      <c r="E5898" s="20">
        <v>22</v>
      </c>
      <c r="F5898" s="20" t="s">
        <v>29014</v>
      </c>
      <c r="G5898" s="20" t="s">
        <v>29015</v>
      </c>
      <c r="H5898" s="24"/>
      <c r="I5898" s="24" t="str">
        <f ca="1">IFERROR(__xludf.DUMMYFUNCTION("GOOGLETRANSLATE(F5898,""en"",""pt"")"),"filtros de água de terra diatomácea")</f>
        <v>filtros de água de terra diatomácea</v>
      </c>
      <c r="J5898">
        <f>VLOOKUP(A5898,Pr_Base_LNEC!$A$4:$J$6971,6,FALSE)</f>
        <v>0</v>
      </c>
      <c r="K5898">
        <f>VLOOKUP(A5898,Pr_Base_LNEC!$A$4:$J$6971,7,FALSE)</f>
        <v>0</v>
      </c>
    </row>
    <row r="5899" spans="1:11" ht="14.5">
      <c r="A5899" s="20" t="s">
        <v>29016</v>
      </c>
      <c r="B5899" s="20">
        <v>65</v>
      </c>
      <c r="C5899" s="20">
        <v>57</v>
      </c>
      <c r="D5899" s="20">
        <v>85</v>
      </c>
      <c r="E5899" s="20">
        <v>33</v>
      </c>
      <c r="F5899" s="20" t="s">
        <v>29017</v>
      </c>
      <c r="G5899" s="20" t="s">
        <v>29018</v>
      </c>
      <c r="H5899" s="24"/>
      <c r="I5899" s="24" t="str">
        <f ca="1">IFERROR(__xludf.DUMMYFUNCTION("GOOGLETRANSLATE(F5899,""en"",""pt"")"),"filtros de água de mídia de vidro")</f>
        <v>filtros de água de mídia de vidro</v>
      </c>
      <c r="J5899">
        <f>VLOOKUP(A5899,Pr_Base_LNEC!$A$4:$J$6971,6,FALSE)</f>
        <v>0</v>
      </c>
      <c r="K5899">
        <f>VLOOKUP(A5899,Pr_Base_LNEC!$A$4:$J$6971,7,FALSE)</f>
        <v>0</v>
      </c>
    </row>
    <row r="5900" spans="1:11" ht="14.5">
      <c r="A5900" s="20" t="s">
        <v>29019</v>
      </c>
      <c r="B5900" s="20">
        <v>65</v>
      </c>
      <c r="C5900" s="20">
        <v>57</v>
      </c>
      <c r="D5900" s="20">
        <v>85</v>
      </c>
      <c r="E5900" s="20">
        <v>65</v>
      </c>
      <c r="F5900" s="20" t="s">
        <v>29020</v>
      </c>
      <c r="G5900" s="20" t="s">
        <v>29021</v>
      </c>
      <c r="H5900" s="24"/>
      <c r="I5900" s="24" t="str">
        <f ca="1">IFERROR(__xludf.DUMMYFUNCTION("GOOGLETRANSLATE(F5900,""en"",""pt"")"),"filtros de água pressão")</f>
        <v>filtros de água pressão</v>
      </c>
      <c r="J5900" t="e">
        <f>VLOOKUP(A5900,Pr_Base_LNEC!$A$4:$J$6971,6,FALSE)</f>
        <v>#N/A</v>
      </c>
      <c r="K5900" t="e">
        <f>VLOOKUP(A5900,Pr_Base_LNEC!$A$4:$J$6971,7,FALSE)</f>
        <v>#N/A</v>
      </c>
    </row>
    <row r="5901" spans="1:11" ht="14.5">
      <c r="A5901" s="20" t="s">
        <v>29022</v>
      </c>
      <c r="B5901" s="20">
        <v>65</v>
      </c>
      <c r="C5901" s="20">
        <v>57</v>
      </c>
      <c r="D5901" s="20">
        <v>85</v>
      </c>
      <c r="E5901" s="20">
        <v>70</v>
      </c>
      <c r="F5901" s="20" t="s">
        <v>29023</v>
      </c>
      <c r="G5901" s="20" t="s">
        <v>29024</v>
      </c>
      <c r="H5901" s="24"/>
      <c r="I5901" s="24" t="str">
        <f ca="1">IFERROR(__xludf.DUMMYFUNCTION("GOOGLETRANSLATE(F5901,""en"",""pt"")"),"filtros de água regenerativas")</f>
        <v>filtros de água regenerativas</v>
      </c>
      <c r="J5901" t="e">
        <f>VLOOKUP(A5901,Pr_Base_LNEC!$A$4:$J$6971,6,FALSE)</f>
        <v>#N/A</v>
      </c>
      <c r="K5901" t="e">
        <f>VLOOKUP(A5901,Pr_Base_LNEC!$A$4:$J$6971,7,FALSE)</f>
        <v>#N/A</v>
      </c>
    </row>
    <row r="5902" spans="1:11" ht="14.5">
      <c r="A5902" s="20" t="s">
        <v>29025</v>
      </c>
      <c r="B5902" s="20">
        <v>65</v>
      </c>
      <c r="C5902" s="20">
        <v>57</v>
      </c>
      <c r="D5902" s="20">
        <v>85</v>
      </c>
      <c r="E5902" s="20">
        <v>75</v>
      </c>
      <c r="F5902" s="20" t="s">
        <v>29026</v>
      </c>
      <c r="G5902" s="20" t="s">
        <v>29027</v>
      </c>
      <c r="H5902" s="24"/>
      <c r="I5902" s="24" t="str">
        <f ca="1">IFERROR(__xludf.DUMMYFUNCTION("GOOGLETRANSLATE(F5902,""en"",""pt"")"),"filtros de água areia")</f>
        <v>filtros de água areia</v>
      </c>
      <c r="J5902">
        <f>VLOOKUP(A5902,Pr_Base_LNEC!$A$4:$J$6971,6,FALSE)</f>
        <v>0</v>
      </c>
      <c r="K5902">
        <f>VLOOKUP(A5902,Pr_Base_LNEC!$A$4:$J$6971,7,FALSE)</f>
        <v>0</v>
      </c>
    </row>
    <row r="5903" spans="1:11" ht="14.5">
      <c r="A5903" s="20" t="s">
        <v>29028</v>
      </c>
      <c r="B5903" s="20">
        <v>65</v>
      </c>
      <c r="C5903" s="20">
        <v>57</v>
      </c>
      <c r="D5903" s="20">
        <v>95</v>
      </c>
      <c r="E5903" s="24"/>
      <c r="F5903" s="20" t="s">
        <v>29029</v>
      </c>
      <c r="G5903" s="24"/>
      <c r="H5903" s="24"/>
      <c r="I5903" s="24" t="str">
        <f ca="1">IFERROR(__xludf.DUMMYFUNCTION("GOOGLETRANSLATE(F5903,""en"",""pt"")"),"filtros característica da água e filtros")</f>
        <v>filtros característica da água e filtros</v>
      </c>
      <c r="J5903">
        <f>VLOOKUP(A5903,Pr_Base_LNEC!$A$4:$J$6971,6,FALSE)</f>
        <v>0</v>
      </c>
      <c r="K5903">
        <f>VLOOKUP(A5903,Pr_Base_LNEC!$A$4:$J$6971,7,FALSE)</f>
        <v>0</v>
      </c>
    </row>
    <row r="5904" spans="1:11" ht="14.5">
      <c r="A5904" s="20" t="s">
        <v>29030</v>
      </c>
      <c r="B5904" s="20">
        <v>65</v>
      </c>
      <c r="C5904" s="20">
        <v>57</v>
      </c>
      <c r="D5904" s="20">
        <v>95</v>
      </c>
      <c r="E5904" s="20">
        <v>7</v>
      </c>
      <c r="F5904" s="20" t="s">
        <v>29031</v>
      </c>
      <c r="G5904" s="20" t="s">
        <v>29032</v>
      </c>
      <c r="H5904" s="24"/>
      <c r="I5904" s="24" t="str">
        <f ca="1">IFERROR(__xludf.DUMMYFUNCTION("GOOGLETRANSLATE(F5904,""en"",""pt"")"),"filtros biológicos")</f>
        <v>filtros biológicos</v>
      </c>
      <c r="J5904">
        <f>VLOOKUP(A5904,Pr_Base_LNEC!$A$4:$J$6971,6,FALSE)</f>
        <v>0</v>
      </c>
      <c r="K5904">
        <f>VLOOKUP(A5904,Pr_Base_LNEC!$A$4:$J$6971,7,FALSE)</f>
        <v>0</v>
      </c>
    </row>
    <row r="5905" spans="1:11" ht="14.5">
      <c r="A5905" s="20" t="s">
        <v>29033</v>
      </c>
      <c r="B5905" s="20">
        <v>65</v>
      </c>
      <c r="C5905" s="20">
        <v>57</v>
      </c>
      <c r="D5905" s="20">
        <v>95</v>
      </c>
      <c r="E5905" s="20">
        <v>11</v>
      </c>
      <c r="F5905" s="20" t="s">
        <v>29034</v>
      </c>
      <c r="G5905" s="20" t="s">
        <v>29035</v>
      </c>
      <c r="H5905" s="24"/>
      <c r="I5905" s="24" t="str">
        <f ca="1">IFERROR(__xludf.DUMMYFUNCTION("GOOGLETRANSLATE(F5905,""en"",""pt"")"),"filtros de água cartucho")</f>
        <v>filtros de água cartucho</v>
      </c>
      <c r="J5905">
        <f>VLOOKUP(A5905,Pr_Base_LNEC!$A$4:$J$6971,6,FALSE)</f>
        <v>0</v>
      </c>
      <c r="K5905">
        <f>VLOOKUP(A5905,Pr_Base_LNEC!$A$4:$J$6971,7,FALSE)</f>
        <v>0</v>
      </c>
    </row>
    <row r="5906" spans="1:11" ht="14.5">
      <c r="A5906" s="20" t="s">
        <v>29036</v>
      </c>
      <c r="B5906" s="20">
        <v>65</v>
      </c>
      <c r="C5906" s="20">
        <v>57</v>
      </c>
      <c r="D5906" s="20">
        <v>95</v>
      </c>
      <c r="E5906" s="20">
        <v>13</v>
      </c>
      <c r="F5906" s="20" t="s">
        <v>29037</v>
      </c>
      <c r="G5906" s="20" t="s">
        <v>29038</v>
      </c>
      <c r="H5906" s="24"/>
      <c r="I5906" s="24" t="str">
        <f ca="1">IFERROR(__xludf.DUMMYFUNCTION("GOOGLETRANSLATE(F5906,""en"",""pt"")"),"separadores de partículas centrífugos")</f>
        <v>separadores de partículas centrífugos</v>
      </c>
      <c r="J5906">
        <f>VLOOKUP(A5906,Pr_Base_LNEC!$A$4:$J$6971,6,FALSE)</f>
        <v>0</v>
      </c>
      <c r="K5906">
        <f>VLOOKUP(A5906,Pr_Base_LNEC!$A$4:$J$6971,7,FALSE)</f>
        <v>0</v>
      </c>
    </row>
    <row r="5907" spans="1:11" ht="14.5">
      <c r="A5907" s="20" t="s">
        <v>29039</v>
      </c>
      <c r="B5907" s="20">
        <v>65</v>
      </c>
      <c r="C5907" s="20">
        <v>57</v>
      </c>
      <c r="D5907" s="20">
        <v>95</v>
      </c>
      <c r="E5907" s="20">
        <v>22</v>
      </c>
      <c r="F5907" s="20" t="s">
        <v>29040</v>
      </c>
      <c r="G5907" s="20" t="s">
        <v>29041</v>
      </c>
      <c r="H5907" s="24"/>
      <c r="I5907" s="24" t="str">
        <f ca="1">IFERROR(__xludf.DUMMYFUNCTION("GOOGLETRANSLATE(F5907,""en"",""pt"")"),"filtros de discos")</f>
        <v>filtros de discos</v>
      </c>
      <c r="J5907">
        <f>VLOOKUP(A5907,Pr_Base_LNEC!$A$4:$J$6971,6,FALSE)</f>
        <v>0</v>
      </c>
      <c r="K5907">
        <f>VLOOKUP(A5907,Pr_Base_LNEC!$A$4:$J$6971,7,FALSE)</f>
        <v>0</v>
      </c>
    </row>
    <row r="5908" spans="1:11" ht="14.5">
      <c r="A5908" s="20" t="s">
        <v>29042</v>
      </c>
      <c r="B5908" s="20">
        <v>65</v>
      </c>
      <c r="C5908" s="20">
        <v>57</v>
      </c>
      <c r="D5908" s="20">
        <v>95</v>
      </c>
      <c r="E5908" s="20">
        <v>42</v>
      </c>
      <c r="F5908" s="20" t="s">
        <v>29043</v>
      </c>
      <c r="G5908" s="20" t="s">
        <v>29044</v>
      </c>
      <c r="H5908" s="24"/>
      <c r="I5908" s="24" t="str">
        <f ca="1">IFERROR(__xludf.DUMMYFUNCTION("GOOGLETRANSLATE(F5908,""en"",""pt"")"),"filtros de água em linha")</f>
        <v>filtros de água em linha</v>
      </c>
      <c r="J5908">
        <f>VLOOKUP(A5908,Pr_Base_LNEC!$A$4:$J$6971,6,FALSE)</f>
        <v>0</v>
      </c>
      <c r="K5908">
        <f>VLOOKUP(A5908,Pr_Base_LNEC!$A$4:$J$6971,7,FALSE)</f>
        <v>0</v>
      </c>
    </row>
    <row r="5909" spans="1:11" ht="14.5">
      <c r="A5909" s="20" t="s">
        <v>29045</v>
      </c>
      <c r="B5909" s="20">
        <v>65</v>
      </c>
      <c r="C5909" s="20">
        <v>57</v>
      </c>
      <c r="D5909" s="20">
        <v>95</v>
      </c>
      <c r="E5909" s="20">
        <v>51</v>
      </c>
      <c r="F5909" s="20" t="s">
        <v>29046</v>
      </c>
      <c r="G5909" s="20" t="s">
        <v>29047</v>
      </c>
      <c r="H5909" s="24"/>
      <c r="I5909" s="24" t="str">
        <f ca="1">IFERROR(__xludf.DUMMYFUNCTION("GOOGLETRANSLATE(F5909,""en"",""pt"")"),"filtros de água de mídia")</f>
        <v>filtros de água de mídia</v>
      </c>
      <c r="J5909">
        <f>VLOOKUP(A5909,Pr_Base_LNEC!$A$4:$J$6971,6,FALSE)</f>
        <v>0</v>
      </c>
      <c r="K5909">
        <f>VLOOKUP(A5909,Pr_Base_LNEC!$A$4:$J$6971,7,FALSE)</f>
        <v>0</v>
      </c>
    </row>
    <row r="5910" spans="1:11" ht="14.5">
      <c r="A5910" s="20" t="s">
        <v>29048</v>
      </c>
      <c r="B5910" s="20">
        <v>65</v>
      </c>
      <c r="C5910" s="20">
        <v>57</v>
      </c>
      <c r="D5910" s="20">
        <v>95</v>
      </c>
      <c r="E5910" s="20">
        <v>76</v>
      </c>
      <c r="F5910" s="20" t="s">
        <v>29049</v>
      </c>
      <c r="G5910" s="20" t="s">
        <v>29050</v>
      </c>
      <c r="H5910" s="24"/>
      <c r="I5910" s="24" t="str">
        <f ca="1">IFERROR(__xludf.DUMMYFUNCTION("GOOGLETRANSLATE(F5910,""en"",""pt"")"),"filtros de rede")</f>
        <v>filtros de rede</v>
      </c>
      <c r="J5910">
        <f>VLOOKUP(A5910,Pr_Base_LNEC!$A$4:$J$6971,6,FALSE)</f>
        <v>0</v>
      </c>
      <c r="K5910">
        <f>VLOOKUP(A5910,Pr_Base_LNEC!$A$4:$J$6971,7,FALSE)</f>
        <v>0</v>
      </c>
    </row>
    <row r="5911" spans="1:11" ht="14.5">
      <c r="A5911" s="20" t="s">
        <v>29051</v>
      </c>
      <c r="B5911" s="20">
        <v>65</v>
      </c>
      <c r="C5911" s="20">
        <v>57</v>
      </c>
      <c r="D5911" s="20">
        <v>95</v>
      </c>
      <c r="E5911" s="20">
        <v>96</v>
      </c>
      <c r="F5911" s="20" t="s">
        <v>29052</v>
      </c>
      <c r="G5911" s="20" t="s">
        <v>29053</v>
      </c>
      <c r="H5911" s="24"/>
      <c r="I5911" s="24" t="str">
        <f ca="1">IFERROR(__xludf.DUMMYFUNCTION("GOOGLETRANSLATE(F5911,""en"",""pt"")"),"filtros de água")</f>
        <v>filtros de água</v>
      </c>
      <c r="J5911">
        <f>VLOOKUP(A5911,Pr_Base_LNEC!$A$4:$J$6971,6,FALSE)</f>
        <v>0</v>
      </c>
      <c r="K5911">
        <f>VLOOKUP(A5911,Pr_Base_LNEC!$A$4:$J$6971,7,FALSE)</f>
        <v>0</v>
      </c>
    </row>
    <row r="5912" spans="1:11" ht="14.5">
      <c r="A5912" s="20" t="s">
        <v>29054</v>
      </c>
      <c r="B5912" s="20">
        <v>65</v>
      </c>
      <c r="C5912" s="20">
        <v>57</v>
      </c>
      <c r="D5912" s="20">
        <v>96</v>
      </c>
      <c r="E5912" s="24"/>
      <c r="F5912" s="20" t="s">
        <v>29055</v>
      </c>
      <c r="G5912" s="24"/>
      <c r="H5912" s="24"/>
      <c r="I5912" s="24" t="str">
        <f ca="1">IFERROR(__xludf.DUMMYFUNCTION("GOOGLETRANSLATE(F5912,""en"",""pt"")"),"filtros de água e filtros")</f>
        <v>filtros de água e filtros</v>
      </c>
      <c r="J5912">
        <f>VLOOKUP(A5912,Pr_Base_LNEC!$A$4:$J$6971,6,FALSE)</f>
        <v>0</v>
      </c>
      <c r="K5912">
        <f>VLOOKUP(A5912,Pr_Base_LNEC!$A$4:$J$6971,7,FALSE)</f>
        <v>0</v>
      </c>
    </row>
    <row r="5913" spans="1:11" ht="14.5">
      <c r="A5913" s="20" t="s">
        <v>29056</v>
      </c>
      <c r="B5913" s="20">
        <v>65</v>
      </c>
      <c r="C5913" s="20">
        <v>57</v>
      </c>
      <c r="D5913" s="20">
        <v>96</v>
      </c>
      <c r="E5913" s="20">
        <v>2</v>
      </c>
      <c r="F5913" s="20" t="s">
        <v>29057</v>
      </c>
      <c r="G5913" s="24"/>
      <c r="H5913" s="24"/>
      <c r="I5913" s="24" t="str">
        <f ca="1">IFERROR(__xludf.DUMMYFUNCTION("GOOGLETRANSLATE(F5913,""en"",""pt"")"),"filtros de água de carbono activados")</f>
        <v>filtros de água de carbono activados</v>
      </c>
      <c r="J5913" t="e">
        <f>VLOOKUP(A5913,Pr_Base_LNEC!$A$4:$J$6971,6,FALSE)</f>
        <v>#N/A</v>
      </c>
      <c r="K5913" t="e">
        <f>VLOOKUP(A5913,Pr_Base_LNEC!$A$4:$J$6971,7,FALSE)</f>
        <v>#N/A</v>
      </c>
    </row>
    <row r="5914" spans="1:11" ht="14.5">
      <c r="A5914" s="20" t="s">
        <v>29058</v>
      </c>
      <c r="B5914" s="20">
        <v>65</v>
      </c>
      <c r="C5914" s="20">
        <v>57</v>
      </c>
      <c r="D5914" s="20">
        <v>96</v>
      </c>
      <c r="E5914" s="20">
        <v>3</v>
      </c>
      <c r="F5914" s="20" t="s">
        <v>29059</v>
      </c>
      <c r="G5914" s="20" t="s">
        <v>29060</v>
      </c>
      <c r="H5914" s="24"/>
      <c r="I5914" s="24" t="str">
        <f ca="1">IFERROR(__xludf.DUMMYFUNCTION("GOOGLETRANSLATE(F5914,""en"",""pt"")"),"filtros de água biológicos ativos")</f>
        <v>filtros de água biológicos ativos</v>
      </c>
      <c r="J5914">
        <f>VLOOKUP(A5914,Pr_Base_LNEC!$A$4:$J$6971,6,FALSE)</f>
        <v>0</v>
      </c>
      <c r="K5914">
        <f>VLOOKUP(A5914,Pr_Base_LNEC!$A$4:$J$6971,7,FALSE)</f>
        <v>0</v>
      </c>
    </row>
    <row r="5915" spans="1:11" ht="14.5">
      <c r="A5915" s="20" t="s">
        <v>29061</v>
      </c>
      <c r="B5915" s="20">
        <v>65</v>
      </c>
      <c r="C5915" s="20">
        <v>57</v>
      </c>
      <c r="D5915" s="20">
        <v>96</v>
      </c>
      <c r="E5915" s="20">
        <v>4</v>
      </c>
      <c r="F5915" s="20" t="s">
        <v>29062</v>
      </c>
      <c r="G5915" s="20" t="s">
        <v>29063</v>
      </c>
      <c r="H5915" s="24"/>
      <c r="I5915" s="24" t="str">
        <f ca="1">IFERROR(__xludf.DUMMYFUNCTION("GOOGLETRANSLATE(F5915,""en"",""pt"")"),"filtros de água angulares")</f>
        <v>filtros de água angulares</v>
      </c>
      <c r="J5915">
        <f>VLOOKUP(A5915,Pr_Base_LNEC!$A$4:$J$6971,6,FALSE)</f>
        <v>0</v>
      </c>
      <c r="K5915">
        <f>VLOOKUP(A5915,Pr_Base_LNEC!$A$4:$J$6971,7,FALSE)</f>
        <v>0</v>
      </c>
    </row>
    <row r="5916" spans="1:11" ht="14.5">
      <c r="A5916" s="20" t="s">
        <v>29064</v>
      </c>
      <c r="B5916" s="20">
        <v>65</v>
      </c>
      <c r="C5916" s="20">
        <v>57</v>
      </c>
      <c r="D5916" s="20">
        <v>96</v>
      </c>
      <c r="E5916" s="20">
        <v>8</v>
      </c>
      <c r="F5916" s="20" t="s">
        <v>29065</v>
      </c>
      <c r="G5916" s="20" t="s">
        <v>29063</v>
      </c>
      <c r="H5916" s="24"/>
      <c r="I5916" s="24" t="str">
        <f ca="1">IFERROR(__xludf.DUMMYFUNCTION("GOOGLETRANSLATE(F5916,""en"",""pt"")"),"filtros de água cesta")</f>
        <v>filtros de água cesta</v>
      </c>
      <c r="J5916">
        <f>VLOOKUP(A5916,Pr_Base_LNEC!$A$4:$J$6971,6,FALSE)</f>
        <v>0</v>
      </c>
      <c r="K5916">
        <f>VLOOKUP(A5916,Pr_Base_LNEC!$A$4:$J$6971,7,FALSE)</f>
        <v>0</v>
      </c>
    </row>
    <row r="5917" spans="1:11" ht="14.5">
      <c r="A5917" s="20" t="s">
        <v>29066</v>
      </c>
      <c r="B5917" s="20">
        <v>65</v>
      </c>
      <c r="C5917" s="20">
        <v>57</v>
      </c>
      <c r="D5917" s="20">
        <v>96</v>
      </c>
      <c r="E5917" s="20">
        <v>9</v>
      </c>
      <c r="F5917" s="20" t="s">
        <v>29067</v>
      </c>
      <c r="G5917" s="20" t="s">
        <v>29068</v>
      </c>
      <c r="H5917" s="24"/>
      <c r="I5917" s="24" t="str">
        <f ca="1">IFERROR(__xludf.DUMMYFUNCTION("GOOGLETRANSLATE(F5917,""en"",""pt"")"),"filtros de água escova de garrafa")</f>
        <v>filtros de água escova de garrafa</v>
      </c>
      <c r="J5917">
        <f>VLOOKUP(A5917,Pr_Base_LNEC!$A$4:$J$6971,6,FALSE)</f>
        <v>0</v>
      </c>
      <c r="K5917">
        <f>VLOOKUP(A5917,Pr_Base_LNEC!$A$4:$J$6971,7,FALSE)</f>
        <v>0</v>
      </c>
    </row>
    <row r="5918" spans="1:11" ht="14.5">
      <c r="A5918" s="20" t="s">
        <v>29069</v>
      </c>
      <c r="B5918" s="20">
        <v>65</v>
      </c>
      <c r="C5918" s="20">
        <v>57</v>
      </c>
      <c r="D5918" s="20">
        <v>96</v>
      </c>
      <c r="E5918" s="20">
        <v>11</v>
      </c>
      <c r="F5918" s="20" t="s">
        <v>29070</v>
      </c>
      <c r="G5918" s="24"/>
      <c r="H5918" s="24"/>
      <c r="I5918" s="24" t="str">
        <f ca="1">IFERROR(__xludf.DUMMYFUNCTION("GOOGLETRANSLATE(F5918,""en"",""pt"")"),"filtros de água da vasilha")</f>
        <v>filtros de água da vasilha</v>
      </c>
      <c r="J5918">
        <f>VLOOKUP(A5918,Pr_Base_LNEC!$A$4:$J$6971,6,FALSE)</f>
        <v>0</v>
      </c>
      <c r="K5918">
        <f>VLOOKUP(A5918,Pr_Base_LNEC!$A$4:$J$6971,7,FALSE)</f>
        <v>0</v>
      </c>
    </row>
    <row r="5919" spans="1:11" ht="14.5">
      <c r="A5919" s="20" t="s">
        <v>29071</v>
      </c>
      <c r="B5919" s="20">
        <v>65</v>
      </c>
      <c r="C5919" s="20">
        <v>57</v>
      </c>
      <c r="D5919" s="20">
        <v>96</v>
      </c>
      <c r="E5919" s="20">
        <v>13</v>
      </c>
      <c r="F5919" s="20" t="s">
        <v>29072</v>
      </c>
      <c r="G5919" s="20" t="s">
        <v>29060</v>
      </c>
      <c r="H5919" s="24"/>
      <c r="I5919" s="24" t="str">
        <f ca="1">IFERROR(__xludf.DUMMYFUNCTION("GOOGLETRANSLATE(F5919,""en"",""pt"")"),"filtros de água biológica de dióxido de cloro")</f>
        <v>filtros de água biológica de dióxido de cloro</v>
      </c>
      <c r="J5919">
        <f>VLOOKUP(A5919,Pr_Base_LNEC!$A$4:$J$6971,6,FALSE)</f>
        <v>0</v>
      </c>
      <c r="K5919">
        <f>VLOOKUP(A5919,Pr_Base_LNEC!$A$4:$J$6971,7,FALSE)</f>
        <v>0</v>
      </c>
    </row>
    <row r="5920" spans="1:11" ht="14.5">
      <c r="A5920" s="20" t="s">
        <v>29073</v>
      </c>
      <c r="B5920" s="20">
        <v>65</v>
      </c>
      <c r="C5920" s="20">
        <v>57</v>
      </c>
      <c r="D5920" s="20">
        <v>96</v>
      </c>
      <c r="E5920" s="20">
        <v>16</v>
      </c>
      <c r="F5920" s="20" t="s">
        <v>29074</v>
      </c>
      <c r="G5920" s="24"/>
      <c r="H5920" s="24"/>
      <c r="I5920" s="24" t="str">
        <f ca="1">IFERROR(__xludf.DUMMYFUNCTION("GOOGLETRANSLATE(F5920,""en"",""pt"")"),"filtros de água cônicos")</f>
        <v>filtros de água cônicos</v>
      </c>
      <c r="J5920">
        <f>VLOOKUP(A5920,Pr_Base_LNEC!$A$4:$J$6971,6,FALSE)</f>
        <v>0</v>
      </c>
      <c r="K5920">
        <f>VLOOKUP(A5920,Pr_Base_LNEC!$A$4:$J$6971,7,FALSE)</f>
        <v>0</v>
      </c>
    </row>
    <row r="5921" spans="1:11" ht="14.5">
      <c r="A5921" s="20" t="s">
        <v>29075</v>
      </c>
      <c r="B5921" s="20">
        <v>65</v>
      </c>
      <c r="C5921" s="20">
        <v>57</v>
      </c>
      <c r="D5921" s="20">
        <v>96</v>
      </c>
      <c r="E5921" s="20">
        <v>29</v>
      </c>
      <c r="F5921" s="20" t="s">
        <v>29076</v>
      </c>
      <c r="G5921" s="20" t="s">
        <v>29060</v>
      </c>
      <c r="H5921" s="24"/>
      <c r="I5921" s="24" t="str">
        <f ca="1">IFERROR(__xludf.DUMMYFUNCTION("GOOGLETRANSLATE(F5921,""en"",""pt"")"),"filtros de água de areia rápida cama rápido")</f>
        <v>filtros de água de areia rápida cama rápido</v>
      </c>
      <c r="J5921">
        <f>VLOOKUP(A5921,Pr_Base_LNEC!$A$4:$J$6971,6,FALSE)</f>
        <v>0</v>
      </c>
      <c r="K5921">
        <f>VLOOKUP(A5921,Pr_Base_LNEC!$A$4:$J$6971,7,FALSE)</f>
        <v>0</v>
      </c>
    </row>
    <row r="5922" spans="1:11" ht="14.5">
      <c r="A5922" s="20" t="s">
        <v>29077</v>
      </c>
      <c r="B5922" s="20">
        <v>65</v>
      </c>
      <c r="C5922" s="20">
        <v>57</v>
      </c>
      <c r="D5922" s="20">
        <v>96</v>
      </c>
      <c r="E5922" s="20">
        <v>30</v>
      </c>
      <c r="F5922" s="20" t="s">
        <v>29078</v>
      </c>
      <c r="G5922" s="20" t="s">
        <v>29068</v>
      </c>
      <c r="H5922" s="24"/>
      <c r="I5922" s="24" t="str">
        <f ca="1">IFERROR(__xludf.DUMMYFUNCTION("GOOGLETRANSLATE(F5922,""en"",""pt"")"),"Flutuante filtros de água do tanque")</f>
        <v>Flutuante filtros de água do tanque</v>
      </c>
      <c r="J5922">
        <f>VLOOKUP(A5922,Pr_Base_LNEC!$A$4:$J$6971,6,FALSE)</f>
        <v>0</v>
      </c>
      <c r="K5922">
        <f>VLOOKUP(A5922,Pr_Base_LNEC!$A$4:$J$6971,7,FALSE)</f>
        <v>0</v>
      </c>
    </row>
    <row r="5923" spans="1:11" ht="14.5">
      <c r="A5923" s="20" t="s">
        <v>29079</v>
      </c>
      <c r="B5923" s="20">
        <v>65</v>
      </c>
      <c r="C5923" s="20">
        <v>57</v>
      </c>
      <c r="D5923" s="20">
        <v>96</v>
      </c>
      <c r="E5923" s="20">
        <v>34</v>
      </c>
      <c r="F5923" s="20" t="s">
        <v>29080</v>
      </c>
      <c r="G5923" s="20" t="s">
        <v>29060</v>
      </c>
      <c r="H5923" s="24"/>
      <c r="I5923" s="24" t="str">
        <f ca="1">IFERROR(__xludf.DUMMYFUNCTION("GOOGLETRANSLATE(F5923,""en"",""pt"")"),"filtros de água de carvão activado granular")</f>
        <v>filtros de água de carvão activado granular</v>
      </c>
      <c r="J5923">
        <f>VLOOKUP(A5923,Pr_Base_LNEC!$A$4:$J$6971,6,FALSE)</f>
        <v>0</v>
      </c>
      <c r="K5923">
        <f>VLOOKUP(A5923,Pr_Base_LNEC!$A$4:$J$6971,7,FALSE)</f>
        <v>0</v>
      </c>
    </row>
    <row r="5924" spans="1:11" ht="14.5">
      <c r="A5924" s="20" t="s">
        <v>29081</v>
      </c>
      <c r="B5924" s="20">
        <v>65</v>
      </c>
      <c r="C5924" s="20">
        <v>57</v>
      </c>
      <c r="D5924" s="20">
        <v>96</v>
      </c>
      <c r="E5924" s="20">
        <v>35</v>
      </c>
      <c r="F5924" s="20" t="s">
        <v>29082</v>
      </c>
      <c r="G5924" s="20" t="s">
        <v>29068</v>
      </c>
      <c r="H5924" s="24"/>
      <c r="I5924" s="24" t="str">
        <f ca="1">IFERROR(__xludf.DUMMYFUNCTION("GOOGLETRANSLATE(F5924,""en"",""pt"")"),"filtros de água cascalho")</f>
        <v>filtros de água cascalho</v>
      </c>
      <c r="J5924">
        <f>VLOOKUP(A5924,Pr_Base_LNEC!$A$4:$J$6971,6,FALSE)</f>
        <v>0</v>
      </c>
      <c r="K5924">
        <f>VLOOKUP(A5924,Pr_Base_LNEC!$A$4:$J$6971,7,FALSE)</f>
        <v>0</v>
      </c>
    </row>
    <row r="5925" spans="1:11" ht="14.5">
      <c r="A5925" s="20" t="s">
        <v>29083</v>
      </c>
      <c r="B5925" s="20">
        <v>65</v>
      </c>
      <c r="C5925" s="20">
        <v>57</v>
      </c>
      <c r="D5925" s="20">
        <v>96</v>
      </c>
      <c r="E5925" s="20">
        <v>52</v>
      </c>
      <c r="F5925" s="20" t="s">
        <v>29084</v>
      </c>
      <c r="G5925" s="20" t="s">
        <v>29060</v>
      </c>
      <c r="H5925" s="24"/>
      <c r="I5925" s="24" t="str">
        <f ca="1">IFERROR(__xludf.DUMMYFUNCTION("GOOGLETRANSLATE(F5925,""en"",""pt"")"),"filtros de água da membrana")</f>
        <v>filtros de água da membrana</v>
      </c>
      <c r="J5925">
        <f>VLOOKUP(A5925,Pr_Base_LNEC!$A$4:$J$6971,6,FALSE)</f>
        <v>0</v>
      </c>
      <c r="K5925">
        <f>VLOOKUP(A5925,Pr_Base_LNEC!$A$4:$J$6971,7,FALSE)</f>
        <v>0</v>
      </c>
    </row>
    <row r="5926" spans="1:11" ht="14.5">
      <c r="A5926" s="20" t="s">
        <v>29085</v>
      </c>
      <c r="B5926" s="20">
        <v>65</v>
      </c>
      <c r="C5926" s="20">
        <v>57</v>
      </c>
      <c r="D5926" s="20">
        <v>96</v>
      </c>
      <c r="E5926" s="20">
        <v>53</v>
      </c>
      <c r="F5926" s="20" t="s">
        <v>29086</v>
      </c>
      <c r="G5926" s="20" t="s">
        <v>29068</v>
      </c>
      <c r="H5926" s="24"/>
      <c r="I5926" s="24" t="str">
        <f ca="1">IFERROR(__xludf.DUMMYFUNCTION("GOOGLETRANSLATE(F5926,""en"",""pt"")"),"Malha filtros de água")</f>
        <v>Malha filtros de água</v>
      </c>
      <c r="J5926">
        <f>VLOOKUP(A5926,Pr_Base_LNEC!$A$4:$J$6971,6,FALSE)</f>
        <v>0</v>
      </c>
      <c r="K5926">
        <f>VLOOKUP(A5926,Pr_Base_LNEC!$A$4:$J$6971,7,FALSE)</f>
        <v>0</v>
      </c>
    </row>
    <row r="5927" spans="1:11" ht="14.5">
      <c r="A5927" s="20" t="s">
        <v>29087</v>
      </c>
      <c r="B5927" s="20">
        <v>65</v>
      </c>
      <c r="C5927" s="20">
        <v>57</v>
      </c>
      <c r="D5927" s="20">
        <v>96</v>
      </c>
      <c r="E5927" s="20">
        <v>62</v>
      </c>
      <c r="F5927" s="20" t="s">
        <v>29088</v>
      </c>
      <c r="G5927" s="24"/>
      <c r="H5927" s="24"/>
      <c r="I5927" s="24" t="str">
        <f ca="1">IFERROR(__xludf.DUMMYFUNCTION("GOOGLETRANSLATE(F5927,""en"",""pt"")"),"filtros de água-piloto")</f>
        <v>filtros de água-piloto</v>
      </c>
      <c r="J5927">
        <f>VLOOKUP(A5927,Pr_Base_LNEC!$A$4:$J$6971,6,FALSE)</f>
        <v>0</v>
      </c>
      <c r="K5927">
        <f>VLOOKUP(A5927,Pr_Base_LNEC!$A$4:$J$6971,7,FALSE)</f>
        <v>0</v>
      </c>
    </row>
    <row r="5928" spans="1:11" ht="14.5">
      <c r="A5928" s="20" t="s">
        <v>29089</v>
      </c>
      <c r="B5928" s="20">
        <v>65</v>
      </c>
      <c r="C5928" s="20">
        <v>57</v>
      </c>
      <c r="D5928" s="20">
        <v>96</v>
      </c>
      <c r="E5928" s="20">
        <v>70</v>
      </c>
      <c r="F5928" s="20" t="s">
        <v>29090</v>
      </c>
      <c r="G5928" s="20" t="s">
        <v>29068</v>
      </c>
      <c r="H5928" s="24"/>
      <c r="I5928" s="24" t="str">
        <f ca="1">IFERROR(__xludf.DUMMYFUNCTION("GOOGLETRANSLATE(F5928,""en"",""pt"")"),"filtros de água de gravidade rápido")</f>
        <v>filtros de água de gravidade rápido</v>
      </c>
      <c r="J5928">
        <f>VLOOKUP(A5928,Pr_Base_LNEC!$A$4:$J$6971,6,FALSE)</f>
        <v>0</v>
      </c>
      <c r="K5928">
        <f>VLOOKUP(A5928,Pr_Base_LNEC!$A$4:$J$6971,7,FALSE)</f>
        <v>0</v>
      </c>
    </row>
    <row r="5929" spans="1:11" ht="14.5">
      <c r="A5929" s="20" t="s">
        <v>29091</v>
      </c>
      <c r="B5929" s="20">
        <v>65</v>
      </c>
      <c r="C5929" s="20">
        <v>57</v>
      </c>
      <c r="D5929" s="20">
        <v>96</v>
      </c>
      <c r="E5929" s="20">
        <v>72</v>
      </c>
      <c r="F5929" s="20" t="s">
        <v>29092</v>
      </c>
      <c r="G5929" s="20" t="s">
        <v>29060</v>
      </c>
      <c r="H5929" s="24"/>
      <c r="I5929" s="24" t="str">
        <f ca="1">IFERROR(__xludf.DUMMYFUNCTION("GOOGLETRANSLATE(F5929,""en"",""pt"")"),"filtros de água cama Reed")</f>
        <v>filtros de água cama Reed</v>
      </c>
      <c r="J5929">
        <f>VLOOKUP(A5929,Pr_Base_LNEC!$A$4:$J$6971,6,FALSE)</f>
        <v>0</v>
      </c>
      <c r="K5929">
        <f>VLOOKUP(A5929,Pr_Base_LNEC!$A$4:$J$6971,7,FALSE)</f>
        <v>0</v>
      </c>
    </row>
    <row r="5930" spans="1:11" ht="14.5">
      <c r="A5930" s="20" t="s">
        <v>29093</v>
      </c>
      <c r="B5930" s="20">
        <v>65</v>
      </c>
      <c r="C5930" s="20">
        <v>57</v>
      </c>
      <c r="D5930" s="20">
        <v>96</v>
      </c>
      <c r="E5930" s="20">
        <v>77</v>
      </c>
      <c r="F5930" s="20" t="s">
        <v>29094</v>
      </c>
      <c r="G5930" s="20" t="s">
        <v>29095</v>
      </c>
      <c r="H5930" s="24"/>
      <c r="I5930" s="24" t="str">
        <f ca="1">IFERROR(__xludf.DUMMYFUNCTION("GOOGLETRANSLATE(F5930,""en"",""pt"")"),"filtros de água corrente secundária")</f>
        <v>filtros de água corrente secundária</v>
      </c>
      <c r="J5930">
        <f>VLOOKUP(A5930,Pr_Base_LNEC!$A$4:$J$6971,6,FALSE)</f>
        <v>0</v>
      </c>
      <c r="K5930">
        <f>VLOOKUP(A5930,Pr_Base_LNEC!$A$4:$J$6971,7,FALSE)</f>
        <v>0</v>
      </c>
    </row>
    <row r="5931" spans="1:11" ht="14.5">
      <c r="A5931" s="20" t="s">
        <v>29096</v>
      </c>
      <c r="B5931" s="20">
        <v>65</v>
      </c>
      <c r="C5931" s="20">
        <v>57</v>
      </c>
      <c r="D5931" s="20">
        <v>96</v>
      </c>
      <c r="E5931" s="20">
        <v>79</v>
      </c>
      <c r="F5931" s="20" t="s">
        <v>29097</v>
      </c>
      <c r="G5931" s="20" t="s">
        <v>29060</v>
      </c>
      <c r="H5931" s="24"/>
      <c r="I5931" s="24" t="str">
        <f ca="1">IFERROR(__xludf.DUMMYFUNCTION("GOOGLETRANSLATE(F5931,""en"",""pt"")"),"filtros de água areia de cama lenta")</f>
        <v>filtros de água areia de cama lenta</v>
      </c>
      <c r="J5931">
        <f>VLOOKUP(A5931,Pr_Base_LNEC!$A$4:$J$6971,6,FALSE)</f>
        <v>0</v>
      </c>
      <c r="K5931">
        <f>VLOOKUP(A5931,Pr_Base_LNEC!$A$4:$J$6971,7,FALSE)</f>
        <v>0</v>
      </c>
    </row>
    <row r="5932" spans="1:11" ht="14.5">
      <c r="A5932" s="20" t="s">
        <v>29098</v>
      </c>
      <c r="B5932" s="20">
        <v>65</v>
      </c>
      <c r="C5932" s="20">
        <v>57</v>
      </c>
      <c r="D5932" s="20">
        <v>96</v>
      </c>
      <c r="E5932" s="20">
        <v>86</v>
      </c>
      <c r="F5932" s="20" t="s">
        <v>29099</v>
      </c>
      <c r="G5932" s="20" t="s">
        <v>29068</v>
      </c>
      <c r="H5932" s="24"/>
      <c r="I5932" s="24" t="str">
        <f ca="1">IFERROR(__xludf.DUMMYFUNCTION("GOOGLETRANSLATE(F5932,""en"",""pt"")"),"filtros de água vórtice subsuperficiais")</f>
        <v>filtros de água vórtice subsuperficiais</v>
      </c>
      <c r="J5932">
        <f>VLOOKUP(A5932,Pr_Base_LNEC!$A$4:$J$6971,6,FALSE)</f>
        <v>0</v>
      </c>
      <c r="K5932">
        <f>VLOOKUP(A5932,Pr_Base_LNEC!$A$4:$J$6971,7,FALSE)</f>
        <v>0</v>
      </c>
    </row>
    <row r="5933" spans="1:11" ht="14.5">
      <c r="A5933" s="20" t="s">
        <v>29100</v>
      </c>
      <c r="B5933" s="20">
        <v>65</v>
      </c>
      <c r="C5933" s="20">
        <v>57</v>
      </c>
      <c r="D5933" s="20">
        <v>96</v>
      </c>
      <c r="E5933" s="20">
        <v>99</v>
      </c>
      <c r="F5933" s="20" t="s">
        <v>29101</v>
      </c>
      <c r="G5933" s="20" t="s">
        <v>29063</v>
      </c>
      <c r="H5933" s="24"/>
      <c r="I5933" s="24" t="str">
        <f ca="1">IFERROR(__xludf.DUMMYFUNCTION("GOOGLETRANSLATE(F5933,""en"",""pt"")"),"filtros de água de tipo Y")</f>
        <v>filtros de água de tipo Y</v>
      </c>
      <c r="J5933">
        <f>VLOOKUP(A5933,Pr_Base_LNEC!$A$4:$J$6971,6,FALSE)</f>
        <v>0</v>
      </c>
      <c r="K5933">
        <f>VLOOKUP(A5933,Pr_Base_LNEC!$A$4:$J$6971,7,FALSE)</f>
        <v>0</v>
      </c>
    </row>
    <row r="5934" spans="1:11" ht="14.5">
      <c r="A5934" s="20" t="s">
        <v>29102</v>
      </c>
      <c r="B5934" s="20">
        <v>65</v>
      </c>
      <c r="C5934" s="20">
        <v>65</v>
      </c>
      <c r="D5934" s="24"/>
      <c r="E5934" s="24"/>
      <c r="F5934" s="20" t="s">
        <v>29103</v>
      </c>
      <c r="G5934" s="24"/>
      <c r="H5934" s="24"/>
      <c r="I5934" s="24" t="str">
        <f ca="1">IFERROR(__xludf.DUMMYFUNCTION("GOOGLETRANSLATE(F5934,""en"",""pt"")"),"produtos de canalização")</f>
        <v>produtos de canalização</v>
      </c>
      <c r="J5934" t="str">
        <f>VLOOKUP(A5934,Pr_Base_LNEC!$A$4:$J$6971,6,FALSE)</f>
        <v>Produtos para Canalizações</v>
      </c>
      <c r="K5934">
        <f>VLOOKUP(A5934,Pr_Base_LNEC!$A$4:$J$6971,7,FALSE)</f>
        <v>0</v>
      </c>
    </row>
    <row r="5935" spans="1:11" ht="14.5">
      <c r="A5935" s="20" t="s">
        <v>29104</v>
      </c>
      <c r="B5935" s="20">
        <v>65</v>
      </c>
      <c r="C5935" s="20">
        <v>65</v>
      </c>
      <c r="D5935" s="20">
        <v>23</v>
      </c>
      <c r="E5935" s="24"/>
      <c r="F5935" s="20" t="s">
        <v>29105</v>
      </c>
      <c r="G5935" s="24"/>
      <c r="H5935" s="24"/>
      <c r="I5935" s="24" t="str">
        <f ca="1">IFERROR(__xludf.DUMMYFUNCTION("GOOGLETRANSLATE(F5935,""en"",""pt"")"),"acessórios canalização")</f>
        <v>acessórios canalização</v>
      </c>
      <c r="J5935">
        <f>VLOOKUP(A5935,Pr_Base_LNEC!$A$4:$J$6971,6,FALSE)</f>
        <v>0</v>
      </c>
      <c r="K5935">
        <f>VLOOKUP(A5935,Pr_Base_LNEC!$A$4:$J$6971,7,FALSE)</f>
        <v>0</v>
      </c>
    </row>
    <row r="5936" spans="1:11" ht="14.5">
      <c r="A5936" s="20" t="s">
        <v>29106</v>
      </c>
      <c r="B5936" s="20">
        <v>65</v>
      </c>
      <c r="C5936" s="20">
        <v>65</v>
      </c>
      <c r="D5936" s="20">
        <v>23</v>
      </c>
      <c r="E5936" s="20">
        <v>20</v>
      </c>
      <c r="F5936" s="20" t="s">
        <v>29107</v>
      </c>
      <c r="G5936" s="20" t="s">
        <v>29108</v>
      </c>
      <c r="H5936" s="24"/>
      <c r="I5936" s="24" t="str">
        <f ca="1">IFERROR(__xludf.DUMMYFUNCTION("GOOGLETRANSLATE(F5936,""en"",""pt"")"),"painéis de acesso a condutas")</f>
        <v>painéis de acesso a condutas</v>
      </c>
      <c r="J5936">
        <f>VLOOKUP(A5936,Pr_Base_LNEC!$A$4:$J$6971,6,FALSE)</f>
        <v>0</v>
      </c>
      <c r="K5936">
        <f>VLOOKUP(A5936,Pr_Base_LNEC!$A$4:$J$6971,7,FALSE)</f>
        <v>0</v>
      </c>
    </row>
    <row r="5937" spans="1:11" ht="14.5">
      <c r="A5937" s="20" t="s">
        <v>29109</v>
      </c>
      <c r="B5937" s="20">
        <v>65</v>
      </c>
      <c r="C5937" s="20">
        <v>65</v>
      </c>
      <c r="D5937" s="20">
        <v>23</v>
      </c>
      <c r="E5937" s="20">
        <v>25</v>
      </c>
      <c r="F5937" s="20" t="s">
        <v>29110</v>
      </c>
      <c r="G5937" s="24"/>
      <c r="H5937" s="24"/>
      <c r="I5937" s="24" t="str">
        <f ca="1">IFERROR(__xludf.DUMMYFUNCTION("GOOGLETRANSLATE(F5937,""en"",""pt"")"),"doorsets acesso canalização")</f>
        <v>doorsets acesso canalização</v>
      </c>
      <c r="J5937">
        <f>VLOOKUP(A5937,Pr_Base_LNEC!$A$4:$J$6971,6,FALSE)</f>
        <v>0</v>
      </c>
      <c r="K5937">
        <f>VLOOKUP(A5937,Pr_Base_LNEC!$A$4:$J$6971,7,FALSE)</f>
        <v>0</v>
      </c>
    </row>
    <row r="5938" spans="1:11" ht="14.5">
      <c r="A5938" s="20" t="s">
        <v>29111</v>
      </c>
      <c r="B5938" s="20">
        <v>65</v>
      </c>
      <c r="C5938" s="20">
        <v>65</v>
      </c>
      <c r="D5938" s="20">
        <v>24</v>
      </c>
      <c r="E5938" s="24"/>
      <c r="F5938" s="20" t="s">
        <v>29112</v>
      </c>
      <c r="G5938" s="24"/>
      <c r="H5938" s="24"/>
      <c r="I5938" s="24" t="str">
        <f ca="1">IFERROR(__xludf.DUMMYFUNCTION("GOOGLETRANSLATE(F5938,""en"",""pt"")"),"amortecedores duto")</f>
        <v>amortecedores duto</v>
      </c>
      <c r="J5938">
        <f>VLOOKUP(A5938,Pr_Base_LNEC!$A$4:$J$6971,6,FALSE)</f>
        <v>0</v>
      </c>
      <c r="K5938">
        <f>VLOOKUP(A5938,Pr_Base_LNEC!$A$4:$J$6971,7,FALSE)</f>
        <v>0</v>
      </c>
    </row>
    <row r="5939" spans="1:11" ht="14.5">
      <c r="A5939" s="20" t="s">
        <v>29113</v>
      </c>
      <c r="B5939" s="20">
        <v>65</v>
      </c>
      <c r="C5939" s="20">
        <v>65</v>
      </c>
      <c r="D5939" s="20">
        <v>24</v>
      </c>
      <c r="E5939" s="20">
        <v>16</v>
      </c>
      <c r="F5939" s="20" t="s">
        <v>29114</v>
      </c>
      <c r="G5939" s="24"/>
      <c r="H5939" s="24"/>
      <c r="I5939" s="24" t="str">
        <f ca="1">IFERROR(__xludf.DUMMYFUNCTION("GOOGLETRANSLATE(F5939,""en"",""pt"")"),"caixas de volume constante")</f>
        <v>caixas de volume constante</v>
      </c>
      <c r="J5939">
        <f>VLOOKUP(A5939,Pr_Base_LNEC!$A$4:$J$6971,6,FALSE)</f>
        <v>0</v>
      </c>
      <c r="K5939">
        <f>VLOOKUP(A5939,Pr_Base_LNEC!$A$4:$J$6971,7,FALSE)</f>
        <v>0</v>
      </c>
    </row>
    <row r="5940" spans="1:11" ht="14.5">
      <c r="A5940" s="20" t="s">
        <v>29115</v>
      </c>
      <c r="B5940" s="20">
        <v>65</v>
      </c>
      <c r="C5940" s="20">
        <v>65</v>
      </c>
      <c r="D5940" s="20">
        <v>24</v>
      </c>
      <c r="E5940" s="20">
        <v>29</v>
      </c>
      <c r="F5940" s="20" t="s">
        <v>29116</v>
      </c>
      <c r="G5940" s="20" t="s">
        <v>29117</v>
      </c>
      <c r="H5940" s="24"/>
      <c r="I5940" s="24" t="str">
        <f ca="1">IFERROR(__xludf.DUMMYFUNCTION("GOOGLETRANSLATE(F5940,""en"",""pt"")"),"abafadores de chamas e fumaça")</f>
        <v>abafadores de chamas e fumaça</v>
      </c>
      <c r="J5940">
        <f>VLOOKUP(A5940,Pr_Base_LNEC!$A$4:$J$6971,6,FALSE)</f>
        <v>0</v>
      </c>
      <c r="K5940">
        <f>VLOOKUP(A5940,Pr_Base_LNEC!$A$4:$J$6971,7,FALSE)</f>
        <v>0</v>
      </c>
    </row>
    <row r="5941" spans="1:11" ht="14.5">
      <c r="A5941" s="20" t="s">
        <v>29118</v>
      </c>
      <c r="B5941" s="20">
        <v>65</v>
      </c>
      <c r="C5941" s="20">
        <v>65</v>
      </c>
      <c r="D5941" s="20">
        <v>24</v>
      </c>
      <c r="E5941" s="20">
        <v>30</v>
      </c>
      <c r="F5941" s="20" t="s">
        <v>29119</v>
      </c>
      <c r="G5941" s="24"/>
      <c r="H5941" s="24"/>
      <c r="I5941" s="24" t="str">
        <f ca="1">IFERROR(__xludf.DUMMYFUNCTION("GOOGLETRANSLATE(F5941,""en"",""pt"")"),"portinholas de incêndio")</f>
        <v>portinholas de incêndio</v>
      </c>
      <c r="J5941">
        <f>VLOOKUP(A5941,Pr_Base_LNEC!$A$4:$J$6971,6,FALSE)</f>
        <v>0</v>
      </c>
      <c r="K5941">
        <f>VLOOKUP(A5941,Pr_Base_LNEC!$A$4:$J$6971,7,FALSE)</f>
        <v>0</v>
      </c>
    </row>
    <row r="5942" spans="1:11" ht="14.5">
      <c r="A5942" s="20" t="s">
        <v>29120</v>
      </c>
      <c r="B5942" s="20">
        <v>65</v>
      </c>
      <c r="C5942" s="20">
        <v>65</v>
      </c>
      <c r="D5942" s="20">
        <v>24</v>
      </c>
      <c r="E5942" s="20">
        <v>42</v>
      </c>
      <c r="F5942" s="20" t="s">
        <v>29121</v>
      </c>
      <c r="G5942" s="20" t="s">
        <v>29122</v>
      </c>
      <c r="H5942" s="24"/>
      <c r="I5942" s="24" t="str">
        <f ca="1">IFERROR(__xludf.DUMMYFUNCTION("GOOGLETRANSLATE(F5942,""en"",""pt"")"),"abafadores de chamas e fumaça intumescentes")</f>
        <v>abafadores de chamas e fumaça intumescentes</v>
      </c>
      <c r="J5942">
        <f>VLOOKUP(A5942,Pr_Base_LNEC!$A$4:$J$6971,6,FALSE)</f>
        <v>0</v>
      </c>
      <c r="K5942">
        <f>VLOOKUP(A5942,Pr_Base_LNEC!$A$4:$J$6971,7,FALSE)</f>
        <v>0</v>
      </c>
    </row>
    <row r="5943" spans="1:11" ht="14.5">
      <c r="A5943" s="20" t="s">
        <v>29123</v>
      </c>
      <c r="B5943" s="20">
        <v>65</v>
      </c>
      <c r="C5943" s="20">
        <v>65</v>
      </c>
      <c r="D5943" s="20">
        <v>24</v>
      </c>
      <c r="E5943" s="20">
        <v>56</v>
      </c>
      <c r="F5943" s="20" t="s">
        <v>29124</v>
      </c>
      <c r="G5943" s="20" t="s">
        <v>29125</v>
      </c>
      <c r="H5943" s="24"/>
      <c r="I5943" s="24" t="str">
        <f ca="1">IFERROR(__xludf.DUMMYFUNCTION("GOOGLETRANSLATE(F5943,""en"",""pt"")"),"amortecedores anti-retorno")</f>
        <v>amortecedores anti-retorno</v>
      </c>
      <c r="J5943">
        <f>VLOOKUP(A5943,Pr_Base_LNEC!$A$4:$J$6971,6,FALSE)</f>
        <v>0</v>
      </c>
      <c r="K5943">
        <f>VLOOKUP(A5943,Pr_Base_LNEC!$A$4:$J$6971,7,FALSE)</f>
        <v>0</v>
      </c>
    </row>
    <row r="5944" spans="1:11" ht="14.5">
      <c r="A5944" s="20" t="s">
        <v>29126</v>
      </c>
      <c r="B5944" s="20">
        <v>65</v>
      </c>
      <c r="C5944" s="20">
        <v>65</v>
      </c>
      <c r="D5944" s="20">
        <v>24</v>
      </c>
      <c r="E5944" s="20">
        <v>66</v>
      </c>
      <c r="F5944" s="20" t="s">
        <v>29127</v>
      </c>
      <c r="G5944" s="20" t="s">
        <v>29128</v>
      </c>
      <c r="H5944" s="24"/>
      <c r="I5944" s="24" t="str">
        <f ca="1">IFERROR(__xludf.DUMMYFUNCTION("GOOGLETRANSLATE(F5944,""en"",""pt"")"),"abas de controlo de pressão")</f>
        <v>abas de controlo de pressão</v>
      </c>
      <c r="J5944">
        <f>VLOOKUP(A5944,Pr_Base_LNEC!$A$4:$J$6971,6,FALSE)</f>
        <v>0</v>
      </c>
      <c r="K5944">
        <f>VLOOKUP(A5944,Pr_Base_LNEC!$A$4:$J$6971,7,FALSE)</f>
        <v>0</v>
      </c>
    </row>
    <row r="5945" spans="1:11" ht="14.5">
      <c r="A5945" s="20" t="s">
        <v>29129</v>
      </c>
      <c r="B5945" s="20">
        <v>65</v>
      </c>
      <c r="C5945" s="20">
        <v>65</v>
      </c>
      <c r="D5945" s="20">
        <v>24</v>
      </c>
      <c r="E5945" s="20">
        <v>68</v>
      </c>
      <c r="F5945" s="20" t="s">
        <v>29130</v>
      </c>
      <c r="G5945" s="20" t="s">
        <v>29131</v>
      </c>
      <c r="H5945" s="24"/>
      <c r="I5945" s="24" t="str">
        <f ca="1">IFERROR(__xludf.DUMMYFUNCTION("GOOGLETRANSLATE(F5945,""en"",""pt"")"),"dampers de alívio de pressão")</f>
        <v>dampers de alívio de pressão</v>
      </c>
      <c r="J5945">
        <f>VLOOKUP(A5945,Pr_Base_LNEC!$A$4:$J$6971,6,FALSE)</f>
        <v>0</v>
      </c>
      <c r="K5945">
        <f>VLOOKUP(A5945,Pr_Base_LNEC!$A$4:$J$6971,7,FALSE)</f>
        <v>0</v>
      </c>
    </row>
    <row r="5946" spans="1:11" ht="14.5">
      <c r="A5946" s="20" t="s">
        <v>29132</v>
      </c>
      <c r="B5946" s="20">
        <v>65</v>
      </c>
      <c r="C5946" s="20">
        <v>65</v>
      </c>
      <c r="D5946" s="20">
        <v>24</v>
      </c>
      <c r="E5946" s="20">
        <v>78</v>
      </c>
      <c r="F5946" s="20" t="s">
        <v>29133</v>
      </c>
      <c r="G5946" s="20" t="s">
        <v>29134</v>
      </c>
      <c r="H5946" s="24"/>
      <c r="I5946" s="24" t="str">
        <f ca="1">IFERROR(__xludf.DUMMYFUNCTION("GOOGLETRANSLATE(F5946,""en"",""pt"")"),"Desligue amortecedores")</f>
        <v>Desligue amortecedores</v>
      </c>
      <c r="J5946">
        <f>VLOOKUP(A5946,Pr_Base_LNEC!$A$4:$J$6971,6,FALSE)</f>
        <v>0</v>
      </c>
      <c r="K5946">
        <f>VLOOKUP(A5946,Pr_Base_LNEC!$A$4:$J$6971,7,FALSE)</f>
        <v>0</v>
      </c>
    </row>
    <row r="5947" spans="1:11" ht="14.5">
      <c r="A5947" s="20" t="s">
        <v>29135</v>
      </c>
      <c r="B5947" s="20">
        <v>65</v>
      </c>
      <c r="C5947" s="20">
        <v>65</v>
      </c>
      <c r="D5947" s="20">
        <v>24</v>
      </c>
      <c r="E5947" s="20">
        <v>80</v>
      </c>
      <c r="F5947" s="20" t="s">
        <v>29136</v>
      </c>
      <c r="G5947" s="20" t="s">
        <v>29137</v>
      </c>
      <c r="H5947" s="24"/>
      <c r="I5947" s="24" t="str">
        <f ca="1">IFERROR(__xludf.DUMMYFUNCTION("GOOGLETRANSLATE(F5947,""en"",""pt"")"),"amortecedores de fumaça")</f>
        <v>amortecedores de fumaça</v>
      </c>
      <c r="J5947">
        <f>VLOOKUP(A5947,Pr_Base_LNEC!$A$4:$J$6971,6,FALSE)</f>
        <v>0</v>
      </c>
      <c r="K5947">
        <f>VLOOKUP(A5947,Pr_Base_LNEC!$A$4:$J$6971,7,FALSE)</f>
        <v>0</v>
      </c>
    </row>
    <row r="5948" spans="1:11" ht="14.5">
      <c r="A5948" s="20" t="s">
        <v>29138</v>
      </c>
      <c r="B5948" s="20">
        <v>65</v>
      </c>
      <c r="C5948" s="20">
        <v>65</v>
      </c>
      <c r="D5948" s="20">
        <v>24</v>
      </c>
      <c r="E5948" s="20">
        <v>93</v>
      </c>
      <c r="F5948" s="20" t="s">
        <v>29139</v>
      </c>
      <c r="G5948" s="20" t="s">
        <v>29140</v>
      </c>
      <c r="H5948" s="24"/>
      <c r="I5948" s="24" t="str">
        <f ca="1">IFERROR(__xludf.DUMMYFUNCTION("GOOGLETRANSLATE(F5948,""en"",""pt"")"),"caixas de volume de ar variável")</f>
        <v>caixas de volume de ar variável</v>
      </c>
      <c r="J5948">
        <f>VLOOKUP(A5948,Pr_Base_LNEC!$A$4:$J$6971,6,FALSE)</f>
        <v>0</v>
      </c>
      <c r="K5948">
        <f>VLOOKUP(A5948,Pr_Base_LNEC!$A$4:$J$6971,7,FALSE)</f>
        <v>0</v>
      </c>
    </row>
    <row r="5949" spans="1:11" ht="14.5">
      <c r="A5949" s="20" t="s">
        <v>29141</v>
      </c>
      <c r="B5949" s="20">
        <v>65</v>
      </c>
      <c r="C5949" s="20">
        <v>65</v>
      </c>
      <c r="D5949" s="20">
        <v>24</v>
      </c>
      <c r="E5949" s="20">
        <v>95</v>
      </c>
      <c r="F5949" s="20" t="s">
        <v>29142</v>
      </c>
      <c r="G5949" s="24"/>
      <c r="H5949" s="24"/>
      <c r="I5949" s="24" t="str">
        <f ca="1">IFERROR(__xludf.DUMMYFUNCTION("GOOGLETRANSLATE(F5949,""en"",""pt"")"),"amortecedores de controlo de volume")</f>
        <v>amortecedores de controlo de volume</v>
      </c>
      <c r="J5949">
        <f>VLOOKUP(A5949,Pr_Base_LNEC!$A$4:$J$6971,6,FALSE)</f>
        <v>0</v>
      </c>
      <c r="K5949">
        <f>VLOOKUP(A5949,Pr_Base_LNEC!$A$4:$J$6971,7,FALSE)</f>
        <v>0</v>
      </c>
    </row>
    <row r="5950" spans="1:11" ht="14.5">
      <c r="A5950" s="20" t="s">
        <v>29143</v>
      </c>
      <c r="B5950" s="20">
        <v>65</v>
      </c>
      <c r="C5950" s="20">
        <v>65</v>
      </c>
      <c r="D5950" s="20">
        <v>25</v>
      </c>
      <c r="E5950" s="24"/>
      <c r="F5950" s="20" t="s">
        <v>29144</v>
      </c>
      <c r="G5950" s="24"/>
      <c r="H5950" s="24"/>
      <c r="I5950" s="24" t="str">
        <f ca="1">IFERROR(__xludf.DUMMYFUNCTION("GOOGLETRANSLATE(F5950,""en"",""pt"")"),"Dutos e acessórios")</f>
        <v>Dutos e acessórios</v>
      </c>
      <c r="J5950">
        <f>VLOOKUP(A5950,Pr_Base_LNEC!$A$4:$J$6971,6,FALSE)</f>
        <v>0</v>
      </c>
      <c r="K5950">
        <f>VLOOKUP(A5950,Pr_Base_LNEC!$A$4:$J$6971,7,FALSE)</f>
        <v>0</v>
      </c>
    </row>
    <row r="5951" spans="1:11" ht="14.5">
      <c r="A5951" s="20" t="s">
        <v>29145</v>
      </c>
      <c r="B5951" s="20">
        <v>65</v>
      </c>
      <c r="C5951" s="20">
        <v>65</v>
      </c>
      <c r="D5951" s="20">
        <v>25</v>
      </c>
      <c r="E5951" s="20">
        <v>13</v>
      </c>
      <c r="F5951" s="20" t="s">
        <v>29146</v>
      </c>
      <c r="G5951" s="20" t="s">
        <v>29147</v>
      </c>
      <c r="H5951" s="24"/>
      <c r="I5951" s="24" t="str">
        <f ca="1">IFERROR(__xludf.DUMMYFUNCTION("GOOGLETRANSLATE(F5951,""en"",""pt"")"),"Circular canalização plásticos e acessórios")</f>
        <v>Circular canalização plásticos e acessórios</v>
      </c>
      <c r="J5951">
        <f>VLOOKUP(A5951,Pr_Base_LNEC!$A$4:$J$6971,6,FALSE)</f>
        <v>0</v>
      </c>
      <c r="K5951">
        <f>VLOOKUP(A5951,Pr_Base_LNEC!$A$4:$J$6971,7,FALSE)</f>
        <v>0</v>
      </c>
    </row>
    <row r="5952" spans="1:11" ht="14.5">
      <c r="A5952" s="20" t="s">
        <v>29148</v>
      </c>
      <c r="B5952" s="20">
        <v>65</v>
      </c>
      <c r="C5952" s="20">
        <v>65</v>
      </c>
      <c r="D5952" s="20">
        <v>25</v>
      </c>
      <c r="E5952" s="20">
        <v>14</v>
      </c>
      <c r="F5952" s="20" t="s">
        <v>29149</v>
      </c>
      <c r="G5952" s="20" t="s">
        <v>29150</v>
      </c>
      <c r="H5952" s="24"/>
      <c r="I5952" s="24" t="str">
        <f ca="1">IFERROR(__xludf.DUMMYFUNCTION("GOOGLETRANSLATE(F5952,""en"",""pt"")"),"dutos de chapa circular e acessórios")</f>
        <v>dutos de chapa circular e acessórios</v>
      </c>
      <c r="J5952">
        <f>VLOOKUP(A5952,Pr_Base_LNEC!$A$4:$J$6971,6,FALSE)</f>
        <v>0</v>
      </c>
      <c r="K5952">
        <f>VLOOKUP(A5952,Pr_Base_LNEC!$A$4:$J$6971,7,FALSE)</f>
        <v>0</v>
      </c>
    </row>
    <row r="5953" spans="1:11" ht="14.5">
      <c r="A5953" s="20" t="s">
        <v>29151</v>
      </c>
      <c r="B5953" s="20">
        <v>65</v>
      </c>
      <c r="C5953" s="20">
        <v>65</v>
      </c>
      <c r="D5953" s="20">
        <v>25</v>
      </c>
      <c r="E5953" s="20">
        <v>23</v>
      </c>
      <c r="F5953" s="20" t="s">
        <v>29152</v>
      </c>
      <c r="G5953" s="20" t="s">
        <v>29153</v>
      </c>
      <c r="H5953" s="24"/>
      <c r="I5953" s="24" t="str">
        <f ca="1">IFERROR(__xludf.DUMMYFUNCTION("GOOGLETRANSLATE(F5953,""en"",""pt"")"),"dutos rígida doméstica e acessórios")</f>
        <v>dutos rígida doméstica e acessórios</v>
      </c>
      <c r="J5953">
        <f>VLOOKUP(A5953,Pr_Base_LNEC!$A$4:$J$6971,6,FALSE)</f>
        <v>0</v>
      </c>
      <c r="K5953">
        <f>VLOOKUP(A5953,Pr_Base_LNEC!$A$4:$J$6971,7,FALSE)</f>
        <v>0</v>
      </c>
    </row>
    <row r="5954" spans="1:11" ht="14.5">
      <c r="A5954" s="20" t="s">
        <v>29154</v>
      </c>
      <c r="B5954" s="20">
        <v>65</v>
      </c>
      <c r="C5954" s="20">
        <v>65</v>
      </c>
      <c r="D5954" s="20">
        <v>25</v>
      </c>
      <c r="E5954" s="20">
        <v>28</v>
      </c>
      <c r="F5954" s="20" t="s">
        <v>29155</v>
      </c>
      <c r="G5954" s="20" t="s">
        <v>29156</v>
      </c>
      <c r="H5954" s="24"/>
      <c r="I5954" s="24" t="str">
        <f ca="1">IFERROR(__xludf.DUMMYFUNCTION("GOOGLETRANSLATE(F5954,""en"",""pt"")"),"dutos tecido e acessórios")</f>
        <v>dutos tecido e acessórios</v>
      </c>
      <c r="J5954" t="e">
        <f>VLOOKUP(A5954,Pr_Base_LNEC!$A$4:$J$6971,6,FALSE)</f>
        <v>#N/A</v>
      </c>
      <c r="K5954" t="e">
        <f>VLOOKUP(A5954,Pr_Base_LNEC!$A$4:$J$6971,7,FALSE)</f>
        <v>#N/A</v>
      </c>
    </row>
    <row r="5955" spans="1:11" ht="14.5">
      <c r="A5955" s="20" t="s">
        <v>29157</v>
      </c>
      <c r="B5955" s="20">
        <v>65</v>
      </c>
      <c r="C5955" s="20">
        <v>65</v>
      </c>
      <c r="D5955" s="20">
        <v>25</v>
      </c>
      <c r="E5955" s="20">
        <v>30</v>
      </c>
      <c r="F5955" s="20" t="s">
        <v>29158</v>
      </c>
      <c r="G5955" s="20" t="s">
        <v>29159</v>
      </c>
      <c r="H5955" s="24"/>
      <c r="I5955" s="24" t="str">
        <f ca="1">IFERROR(__xludf.DUMMYFUNCTION("GOOGLETRANSLATE(F5955,""en"",""pt"")"),"Resistentes ao fogo canalização e acessórios")</f>
        <v>Resistentes ao fogo canalização e acessórios</v>
      </c>
      <c r="J5955">
        <f>VLOOKUP(A5955,Pr_Base_LNEC!$A$4:$J$6971,6,FALSE)</f>
        <v>0</v>
      </c>
      <c r="K5955">
        <f>VLOOKUP(A5955,Pr_Base_LNEC!$A$4:$J$6971,7,FALSE)</f>
        <v>0</v>
      </c>
    </row>
    <row r="5956" spans="1:11" ht="14.5">
      <c r="A5956" s="20" t="s">
        <v>29160</v>
      </c>
      <c r="B5956" s="20">
        <v>65</v>
      </c>
      <c r="C5956" s="20">
        <v>65</v>
      </c>
      <c r="D5956" s="20">
        <v>25</v>
      </c>
      <c r="E5956" s="20">
        <v>31</v>
      </c>
      <c r="F5956" s="20" t="s">
        <v>29161</v>
      </c>
      <c r="G5956" s="20" t="s">
        <v>29162</v>
      </c>
      <c r="H5956" s="24"/>
      <c r="I5956" s="24" t="str">
        <f ca="1">IFERROR(__xludf.DUMMYFUNCTION("GOOGLETRANSLATE(F5956,""en"",""pt"")"),"dutos plano oval folha de metal e encaixes")</f>
        <v>dutos plano oval folha de metal e encaixes</v>
      </c>
      <c r="J5956">
        <f>VLOOKUP(A5956,Pr_Base_LNEC!$A$4:$J$6971,6,FALSE)</f>
        <v>0</v>
      </c>
      <c r="K5956">
        <f>VLOOKUP(A5956,Pr_Base_LNEC!$A$4:$J$6971,7,FALSE)</f>
        <v>0</v>
      </c>
    </row>
    <row r="5957" spans="1:11" ht="14.5">
      <c r="A5957" s="20" t="s">
        <v>29163</v>
      </c>
      <c r="B5957" s="20">
        <v>65</v>
      </c>
      <c r="C5957" s="20">
        <v>65</v>
      </c>
      <c r="D5957" s="20">
        <v>25</v>
      </c>
      <c r="E5957" s="20">
        <v>32</v>
      </c>
      <c r="F5957" s="20" t="s">
        <v>29164</v>
      </c>
      <c r="G5957" s="20" t="s">
        <v>29165</v>
      </c>
      <c r="H5957" s="24"/>
      <c r="I5957" s="24" t="str">
        <f ca="1">IFERROR(__xludf.DUMMYFUNCTION("GOOGLETRANSLATE(F5957,""en"",""pt"")"),"dutos flexíveis")</f>
        <v>dutos flexíveis</v>
      </c>
      <c r="J5957">
        <f>VLOOKUP(A5957,Pr_Base_LNEC!$A$4:$J$6971,6,FALSE)</f>
        <v>0</v>
      </c>
      <c r="K5957">
        <f>VLOOKUP(A5957,Pr_Base_LNEC!$A$4:$J$6971,7,FALSE)</f>
        <v>0</v>
      </c>
    </row>
    <row r="5958" spans="1:11" ht="14.5">
      <c r="A5958" s="20" t="s">
        <v>29166</v>
      </c>
      <c r="B5958" s="20">
        <v>65</v>
      </c>
      <c r="C5958" s="20">
        <v>65</v>
      </c>
      <c r="D5958" s="20">
        <v>25</v>
      </c>
      <c r="E5958" s="20">
        <v>34</v>
      </c>
      <c r="F5958" s="20" t="s">
        <v>29167</v>
      </c>
      <c r="G5958" s="20" t="s">
        <v>29168</v>
      </c>
      <c r="H5958" s="24"/>
      <c r="I5958" s="24" t="str">
        <f ca="1">IFERROR(__xludf.DUMMYFUNCTION("GOOGLETRANSLATE(F5958,""en"",""pt"")"),"dutos de fibra de vidro e acessórios")</f>
        <v>dutos de fibra de vidro e acessórios</v>
      </c>
      <c r="J5958">
        <f>VLOOKUP(A5958,Pr_Base_LNEC!$A$4:$J$6971,6,FALSE)</f>
        <v>0</v>
      </c>
      <c r="K5958">
        <f>VLOOKUP(A5958,Pr_Base_LNEC!$A$4:$J$6971,7,FALSE)</f>
        <v>0</v>
      </c>
    </row>
    <row r="5959" spans="1:11" ht="14.5">
      <c r="A5959" s="20" t="s">
        <v>29169</v>
      </c>
      <c r="B5959" s="20">
        <v>65</v>
      </c>
      <c r="C5959" s="20">
        <v>65</v>
      </c>
      <c r="D5959" s="20">
        <v>25</v>
      </c>
      <c r="E5959" s="20">
        <v>64</v>
      </c>
      <c r="F5959" s="20" t="s">
        <v>29170</v>
      </c>
      <c r="G5959" s="20" t="s">
        <v>29171</v>
      </c>
      <c r="H5959" s="24"/>
      <c r="I5959" s="24" t="str">
        <f ca="1">IFERROR(__xludf.DUMMYFUNCTION("GOOGLETRANSLATE(F5959,""en"",""pt"")"),"dutos e acessórios pré-isolados")</f>
        <v>dutos e acessórios pré-isolados</v>
      </c>
      <c r="J5959">
        <f>VLOOKUP(A5959,Pr_Base_LNEC!$A$4:$J$6971,6,FALSE)</f>
        <v>0</v>
      </c>
      <c r="K5959">
        <f>VLOOKUP(A5959,Pr_Base_LNEC!$A$4:$J$6971,7,FALSE)</f>
        <v>0</v>
      </c>
    </row>
    <row r="5960" spans="1:11" ht="14.5">
      <c r="A5960" s="20" t="s">
        <v>29172</v>
      </c>
      <c r="B5960" s="20">
        <v>65</v>
      </c>
      <c r="C5960" s="20">
        <v>65</v>
      </c>
      <c r="D5960" s="20">
        <v>25</v>
      </c>
      <c r="E5960" s="20">
        <v>71</v>
      </c>
      <c r="F5960" s="20" t="s">
        <v>29173</v>
      </c>
      <c r="G5960" s="20" t="s">
        <v>29174</v>
      </c>
      <c r="H5960" s="24"/>
      <c r="I5960" s="24" t="str">
        <f ca="1">IFERROR(__xludf.DUMMYFUNCTION("GOOGLETRANSLATE(F5960,""en"",""pt"")"),"Retangular dutos plásticos e acessórios")</f>
        <v>Retangular dutos plásticos e acessórios</v>
      </c>
      <c r="J5960">
        <f>VLOOKUP(A5960,Pr_Base_LNEC!$A$4:$J$6971,6,FALSE)</f>
        <v>0</v>
      </c>
      <c r="K5960">
        <f>VLOOKUP(A5960,Pr_Base_LNEC!$A$4:$J$6971,7,FALSE)</f>
        <v>0</v>
      </c>
    </row>
    <row r="5961" spans="1:11" ht="14.5">
      <c r="A5961" s="20" t="s">
        <v>29175</v>
      </c>
      <c r="B5961" s="20">
        <v>65</v>
      </c>
      <c r="C5961" s="20">
        <v>65</v>
      </c>
      <c r="D5961" s="20">
        <v>25</v>
      </c>
      <c r="E5961" s="20">
        <v>72</v>
      </c>
      <c r="F5961" s="20" t="s">
        <v>29176</v>
      </c>
      <c r="G5961" s="20" t="s">
        <v>29177</v>
      </c>
      <c r="H5961" s="24"/>
      <c r="I5961" s="24" t="str">
        <f ca="1">IFERROR(__xludf.DUMMYFUNCTION("GOOGLETRANSLATE(F5961,""en"",""pt"")"),"dutos de chapa rectangular e acessórios")</f>
        <v>dutos de chapa rectangular e acessórios</v>
      </c>
      <c r="J5961">
        <f>VLOOKUP(A5961,Pr_Base_LNEC!$A$4:$J$6971,6,FALSE)</f>
        <v>0</v>
      </c>
      <c r="K5961">
        <f>VLOOKUP(A5961,Pr_Base_LNEC!$A$4:$J$6971,7,FALSE)</f>
        <v>0</v>
      </c>
    </row>
    <row r="5962" spans="1:11" ht="14.5">
      <c r="A5962" s="20" t="s">
        <v>29178</v>
      </c>
      <c r="B5962" s="20">
        <v>65</v>
      </c>
      <c r="C5962" s="20">
        <v>65</v>
      </c>
      <c r="D5962" s="20">
        <v>25</v>
      </c>
      <c r="E5962" s="20">
        <v>77</v>
      </c>
      <c r="F5962" s="20" t="s">
        <v>29179</v>
      </c>
      <c r="G5962" s="20" t="s">
        <v>29180</v>
      </c>
      <c r="H5962" s="24"/>
      <c r="I5962" s="24" t="str">
        <f ca="1">IFERROR(__xludf.DUMMYFUNCTION("GOOGLETRANSLATE(F5962,""en"",""pt"")"),"Smoke extrato de canalização")</f>
        <v>Smoke extrato de canalização</v>
      </c>
      <c r="J5962">
        <f>VLOOKUP(A5962,Pr_Base_LNEC!$A$4:$J$6971,6,FALSE)</f>
        <v>0</v>
      </c>
      <c r="K5962">
        <f>VLOOKUP(A5962,Pr_Base_LNEC!$A$4:$J$6971,7,FALSE)</f>
        <v>0</v>
      </c>
    </row>
    <row r="5963" spans="1:11" ht="14.5">
      <c r="A5963" s="20" t="s">
        <v>29181</v>
      </c>
      <c r="B5963" s="20">
        <v>65</v>
      </c>
      <c r="C5963" s="20">
        <v>67</v>
      </c>
      <c r="D5963" s="24"/>
      <c r="E5963" s="24"/>
      <c r="F5963" s="20" t="s">
        <v>29182</v>
      </c>
      <c r="G5963" s="24"/>
      <c r="H5963" s="24"/>
      <c r="I5963" s="24" t="str">
        <f ca="1">IFERROR(__xludf.DUMMYFUNCTION("GOOGLETRANSLATE(F5963,""en"",""pt"")"),"Ar e produtos de distribuição de fumos")</f>
        <v>Ar e produtos de distribuição de fumos</v>
      </c>
      <c r="J5963" t="str">
        <f>VLOOKUP(A5963,Pr_Base_LNEC!$A$4:$J$6971,6,FALSE)</f>
        <v>Produtos para sistema de AVAC e Exaustão de Fumo</v>
      </c>
      <c r="K5963">
        <f>VLOOKUP(A5963,Pr_Base_LNEC!$A$4:$J$6971,7,FALSE)</f>
        <v>0</v>
      </c>
    </row>
    <row r="5964" spans="1:11" ht="14.5">
      <c r="A5964" s="20" t="s">
        <v>29183</v>
      </c>
      <c r="B5964" s="20">
        <v>65</v>
      </c>
      <c r="C5964" s="20">
        <v>67</v>
      </c>
      <c r="D5964" s="20">
        <v>16</v>
      </c>
      <c r="E5964" s="24"/>
      <c r="F5964" s="20" t="s">
        <v>29184</v>
      </c>
      <c r="G5964" s="24"/>
      <c r="H5964" s="24"/>
      <c r="I5964" s="24" t="str">
        <f ca="1">IFERROR(__xludf.DUMMYFUNCTION("GOOGLETRANSLATE(F5964,""en"",""pt"")"),"produtos de ar comprimido")</f>
        <v>produtos de ar comprimido</v>
      </c>
      <c r="J5964">
        <f>VLOOKUP(A5964,Pr_Base_LNEC!$A$4:$J$6971,6,FALSE)</f>
        <v>0</v>
      </c>
      <c r="K5964">
        <f>VLOOKUP(A5964,Pr_Base_LNEC!$A$4:$J$6971,7,FALSE)</f>
        <v>0</v>
      </c>
    </row>
    <row r="5965" spans="1:11" ht="14.5">
      <c r="A5965" s="20" t="s">
        <v>29185</v>
      </c>
      <c r="B5965" s="20">
        <v>65</v>
      </c>
      <c r="C5965" s="20">
        <v>67</v>
      </c>
      <c r="D5965" s="20">
        <v>16</v>
      </c>
      <c r="E5965" s="20">
        <v>2</v>
      </c>
      <c r="F5965" s="20" t="s">
        <v>29186</v>
      </c>
      <c r="G5965" s="20" t="s">
        <v>29187</v>
      </c>
      <c r="H5965" s="24"/>
      <c r="I5965" s="24" t="str">
        <f ca="1">IFERROR(__xludf.DUMMYFUNCTION("GOOGLETRANSLATE(F5965,""en"",""pt"")"),"compressores de ar")</f>
        <v>compressores de ar</v>
      </c>
      <c r="J5965">
        <f>VLOOKUP(A5965,Pr_Base_LNEC!$A$4:$J$6971,6,FALSE)</f>
        <v>0</v>
      </c>
      <c r="K5965">
        <f>VLOOKUP(A5965,Pr_Base_LNEC!$A$4:$J$6971,7,FALSE)</f>
        <v>0</v>
      </c>
    </row>
    <row r="5966" spans="1:11" ht="14.5">
      <c r="A5966" s="20" t="s">
        <v>29188</v>
      </c>
      <c r="B5966" s="20">
        <v>65</v>
      </c>
      <c r="C5966" s="20">
        <v>67</v>
      </c>
      <c r="D5966" s="20">
        <v>16</v>
      </c>
      <c r="E5966" s="20">
        <v>3</v>
      </c>
      <c r="F5966" s="20" t="s">
        <v>29189</v>
      </c>
      <c r="G5966" s="20" t="s">
        <v>29190</v>
      </c>
      <c r="H5966" s="24"/>
      <c r="I5966" s="24" t="str">
        <f ca="1">IFERROR(__xludf.DUMMYFUNCTION("GOOGLETRANSLATE(F5966,""en"",""pt"")"),"aftercoolers arrefecidos a ar")</f>
        <v>aftercoolers arrefecidos a ar</v>
      </c>
      <c r="J5966">
        <f>VLOOKUP(A5966,Pr_Base_LNEC!$A$4:$J$6971,6,FALSE)</f>
        <v>0</v>
      </c>
      <c r="K5966">
        <f>VLOOKUP(A5966,Pr_Base_LNEC!$A$4:$J$6971,7,FALSE)</f>
        <v>0</v>
      </c>
    </row>
    <row r="5967" spans="1:11" ht="14.5">
      <c r="A5967" s="20" t="s">
        <v>29191</v>
      </c>
      <c r="B5967" s="20">
        <v>65</v>
      </c>
      <c r="C5967" s="20">
        <v>67</v>
      </c>
      <c r="D5967" s="20">
        <v>16</v>
      </c>
      <c r="E5967" s="20">
        <v>4</v>
      </c>
      <c r="F5967" s="20" t="s">
        <v>29192</v>
      </c>
      <c r="G5967" s="20" t="s">
        <v>29193</v>
      </c>
      <c r="H5967" s="24"/>
      <c r="I5967" s="24" t="str">
        <f ca="1">IFERROR(__xludf.DUMMYFUNCTION("GOOGLETRANSLATE(F5967,""en"",""pt"")"),"unidades de preparação de ar")</f>
        <v>unidades de preparação de ar</v>
      </c>
      <c r="J5967">
        <f>VLOOKUP(A5967,Pr_Base_LNEC!$A$4:$J$6971,6,FALSE)</f>
        <v>0</v>
      </c>
      <c r="K5967">
        <f>VLOOKUP(A5967,Pr_Base_LNEC!$A$4:$J$6971,7,FALSE)</f>
        <v>0</v>
      </c>
    </row>
    <row r="5968" spans="1:11" ht="14.5">
      <c r="A5968" s="20" t="s">
        <v>29194</v>
      </c>
      <c r="B5968" s="20">
        <v>65</v>
      </c>
      <c r="C5968" s="20">
        <v>67</v>
      </c>
      <c r="D5968" s="20">
        <v>16</v>
      </c>
      <c r="E5968" s="20">
        <v>5</v>
      </c>
      <c r="F5968" s="20" t="s">
        <v>29195</v>
      </c>
      <c r="G5968" s="20" t="s">
        <v>29196</v>
      </c>
      <c r="H5968" s="24"/>
      <c r="I5968" s="24" t="str">
        <f ca="1">IFERROR(__xludf.DUMMYFUNCTION("GOOGLETRANSLATE(F5968,""en"",""pt"")"),"receptores de ar")</f>
        <v>receptores de ar</v>
      </c>
      <c r="J5968">
        <f>VLOOKUP(A5968,Pr_Base_LNEC!$A$4:$J$6971,6,FALSE)</f>
        <v>0</v>
      </c>
      <c r="K5968">
        <f>VLOOKUP(A5968,Pr_Base_LNEC!$A$4:$J$6971,7,FALSE)</f>
        <v>0</v>
      </c>
    </row>
    <row r="5969" spans="1:11" ht="14.5">
      <c r="A5969" s="20" t="s">
        <v>29197</v>
      </c>
      <c r="B5969" s="20">
        <v>65</v>
      </c>
      <c r="C5969" s="20">
        <v>67</v>
      </c>
      <c r="D5969" s="20">
        <v>16</v>
      </c>
      <c r="E5969" s="20">
        <v>8</v>
      </c>
      <c r="F5969" s="20" t="s">
        <v>29198</v>
      </c>
      <c r="G5969" s="20" t="s">
        <v>29199</v>
      </c>
      <c r="H5969" s="24"/>
      <c r="I5969" s="24" t="str">
        <f ca="1">IFERROR(__xludf.DUMMYFUNCTION("GOOGLETRANSLATE(F5969,""en"",""pt"")"),"protetores de sopro")</f>
        <v>protetores de sopro</v>
      </c>
      <c r="J5969">
        <f>VLOOKUP(A5969,Pr_Base_LNEC!$A$4:$J$6971,6,FALSE)</f>
        <v>0</v>
      </c>
      <c r="K5969">
        <f>VLOOKUP(A5969,Pr_Base_LNEC!$A$4:$J$6971,7,FALSE)</f>
        <v>0</v>
      </c>
    </row>
    <row r="5970" spans="1:11" ht="14.5">
      <c r="A5970" s="20" t="s">
        <v>29200</v>
      </c>
      <c r="B5970" s="20">
        <v>65</v>
      </c>
      <c r="C5970" s="20">
        <v>67</v>
      </c>
      <c r="D5970" s="20">
        <v>16</v>
      </c>
      <c r="E5970" s="20">
        <v>22</v>
      </c>
      <c r="F5970" s="20" t="s">
        <v>29201</v>
      </c>
      <c r="G5970" s="20" t="s">
        <v>29202</v>
      </c>
      <c r="H5970" s="24"/>
      <c r="I5970" s="24" t="str">
        <f ca="1">IFERROR(__xludf.DUMMYFUNCTION("GOOGLETRANSLATE(F5970,""en"",""pt"")"),"secadores de ar dessecantes")</f>
        <v>secadores de ar dessecantes</v>
      </c>
      <c r="J5970">
        <f>VLOOKUP(A5970,Pr_Base_LNEC!$A$4:$J$6971,6,FALSE)</f>
        <v>0</v>
      </c>
      <c r="K5970">
        <f>VLOOKUP(A5970,Pr_Base_LNEC!$A$4:$J$6971,7,FALSE)</f>
        <v>0</v>
      </c>
    </row>
    <row r="5971" spans="1:11" ht="14.5">
      <c r="A5971" s="20" t="s">
        <v>29203</v>
      </c>
      <c r="B5971" s="20">
        <v>65</v>
      </c>
      <c r="C5971" s="20">
        <v>67</v>
      </c>
      <c r="D5971" s="20">
        <v>16</v>
      </c>
      <c r="E5971" s="20">
        <v>50</v>
      </c>
      <c r="F5971" s="20" t="s">
        <v>29204</v>
      </c>
      <c r="G5971" s="20" t="s">
        <v>29205</v>
      </c>
      <c r="H5971" s="24"/>
      <c r="I5971" s="24" t="str">
        <f ca="1">IFERROR(__xludf.DUMMYFUNCTION("GOOGLETRANSLATE(F5971,""en"",""pt"")"),"compressores de gás medicinal")</f>
        <v>compressores de gás medicinal</v>
      </c>
      <c r="J5971">
        <f>VLOOKUP(A5971,Pr_Base_LNEC!$A$4:$J$6971,6,FALSE)</f>
        <v>0</v>
      </c>
      <c r="K5971">
        <f>VLOOKUP(A5971,Pr_Base_LNEC!$A$4:$J$6971,7,FALSE)</f>
        <v>0</v>
      </c>
    </row>
    <row r="5972" spans="1:11" ht="14.5">
      <c r="A5972" s="20" t="s">
        <v>29206</v>
      </c>
      <c r="B5972" s="20">
        <v>65</v>
      </c>
      <c r="C5972" s="20">
        <v>67</v>
      </c>
      <c r="D5972" s="20">
        <v>16</v>
      </c>
      <c r="E5972" s="20">
        <v>71</v>
      </c>
      <c r="F5972" s="20" t="s">
        <v>29207</v>
      </c>
      <c r="G5972" s="20" t="s">
        <v>29208</v>
      </c>
      <c r="H5972" s="24"/>
      <c r="I5972" s="24" t="str">
        <f ca="1">IFERROR(__xludf.DUMMYFUNCTION("GOOGLETRANSLATE(F5972,""en"",""pt"")"),"secadores de ar de refrigeração")</f>
        <v>secadores de ar de refrigeração</v>
      </c>
      <c r="J5972">
        <f>VLOOKUP(A5972,Pr_Base_LNEC!$A$4:$J$6971,6,FALSE)</f>
        <v>0</v>
      </c>
      <c r="K5972">
        <f>VLOOKUP(A5972,Pr_Base_LNEC!$A$4:$J$6971,7,FALSE)</f>
        <v>0</v>
      </c>
    </row>
    <row r="5973" spans="1:11" ht="14.5">
      <c r="A5973" s="20" t="s">
        <v>29209</v>
      </c>
      <c r="B5973" s="20">
        <v>65</v>
      </c>
      <c r="C5973" s="20">
        <v>67</v>
      </c>
      <c r="D5973" s="20">
        <v>16</v>
      </c>
      <c r="E5973" s="20">
        <v>96</v>
      </c>
      <c r="F5973" s="20" t="s">
        <v>29210</v>
      </c>
      <c r="G5973" s="20" t="s">
        <v>29211</v>
      </c>
      <c r="H5973" s="24"/>
      <c r="I5973" s="24" t="str">
        <f ca="1">IFERROR(__xludf.DUMMYFUNCTION("GOOGLETRANSLATE(F5973,""en"",""pt"")"),"aftercoolers de refrigeração de água")</f>
        <v>aftercoolers de refrigeração de água</v>
      </c>
      <c r="J5973">
        <f>VLOOKUP(A5973,Pr_Base_LNEC!$A$4:$J$6971,6,FALSE)</f>
        <v>0</v>
      </c>
      <c r="K5973">
        <f>VLOOKUP(A5973,Pr_Base_LNEC!$A$4:$J$6971,7,FALSE)</f>
        <v>0</v>
      </c>
    </row>
    <row r="5974" spans="1:11" ht="14.5">
      <c r="A5974" s="20" t="s">
        <v>29212</v>
      </c>
      <c r="B5974" s="20">
        <v>65</v>
      </c>
      <c r="C5974" s="20">
        <v>67</v>
      </c>
      <c r="D5974" s="20">
        <v>22</v>
      </c>
      <c r="E5974" s="24"/>
      <c r="F5974" s="20" t="s">
        <v>29213</v>
      </c>
      <c r="G5974" s="24"/>
      <c r="H5974" s="24"/>
      <c r="I5974" s="24" t="str">
        <f ca="1">IFERROR(__xludf.DUMMYFUNCTION("GOOGLETRANSLATE(F5974,""en"",""pt"")"),"De-arejadores")</f>
        <v>De-arejadores</v>
      </c>
      <c r="J5974">
        <f>VLOOKUP(A5974,Pr_Base_LNEC!$A$4:$J$6971,6,FALSE)</f>
        <v>0</v>
      </c>
      <c r="K5974">
        <f>VLOOKUP(A5974,Pr_Base_LNEC!$A$4:$J$6971,7,FALSE)</f>
        <v>0</v>
      </c>
    </row>
    <row r="5975" spans="1:11" ht="14.5">
      <c r="A5975" s="20" t="s">
        <v>29214</v>
      </c>
      <c r="B5975" s="20">
        <v>65</v>
      </c>
      <c r="C5975" s="20">
        <v>67</v>
      </c>
      <c r="D5975" s="20">
        <v>22</v>
      </c>
      <c r="E5975" s="20">
        <v>47</v>
      </c>
      <c r="F5975" s="20" t="s">
        <v>29215</v>
      </c>
      <c r="G5975" s="20" t="s">
        <v>29216</v>
      </c>
      <c r="H5975" s="24"/>
      <c r="I5975" s="24" t="str">
        <f ca="1">IFERROR(__xludf.DUMMYFUNCTION("GOOGLETRANSLATE(F5975,""en"",""pt"")"),"combustível líquido de-aeradores")</f>
        <v>combustível líquido de-aeradores</v>
      </c>
      <c r="J5975">
        <f>VLOOKUP(A5975,Pr_Base_LNEC!$A$4:$J$6971,6,FALSE)</f>
        <v>0</v>
      </c>
      <c r="K5975">
        <f>VLOOKUP(A5975,Pr_Base_LNEC!$A$4:$J$6971,7,FALSE)</f>
        <v>0</v>
      </c>
    </row>
    <row r="5976" spans="1:11" ht="14.5">
      <c r="A5976" s="20" t="s">
        <v>29217</v>
      </c>
      <c r="B5976" s="20">
        <v>65</v>
      </c>
      <c r="C5976" s="20">
        <v>67</v>
      </c>
      <c r="D5976" s="20">
        <v>22</v>
      </c>
      <c r="E5976" s="20">
        <v>66</v>
      </c>
      <c r="F5976" s="20" t="s">
        <v>29218</v>
      </c>
      <c r="G5976" s="20" t="s">
        <v>29219</v>
      </c>
      <c r="H5976" s="24"/>
      <c r="I5976" s="24" t="str">
        <f ca="1">IFERROR(__xludf.DUMMYFUNCTION("GOOGLETRANSLATE(F5976,""en"",""pt"")"),"diferencial de pressão de-aeradores")</f>
        <v>diferencial de pressão de-aeradores</v>
      </c>
      <c r="J5976">
        <f>VLOOKUP(A5976,Pr_Base_LNEC!$A$4:$J$6971,6,FALSE)</f>
        <v>0</v>
      </c>
      <c r="K5976">
        <f>VLOOKUP(A5976,Pr_Base_LNEC!$A$4:$J$6971,7,FALSE)</f>
        <v>0</v>
      </c>
    </row>
    <row r="5977" spans="1:11" ht="14.5">
      <c r="A5977" s="20" t="s">
        <v>29220</v>
      </c>
      <c r="B5977" s="20">
        <v>65</v>
      </c>
      <c r="C5977" s="20">
        <v>67</v>
      </c>
      <c r="D5977" s="20">
        <v>22</v>
      </c>
      <c r="E5977" s="20">
        <v>88</v>
      </c>
      <c r="F5977" s="20" t="s">
        <v>29221</v>
      </c>
      <c r="G5977" s="20" t="s">
        <v>29222</v>
      </c>
      <c r="H5977" s="24"/>
      <c r="I5977" s="24" t="str">
        <f ca="1">IFERROR(__xludf.DUMMYFUNCTION("GOOGLETRANSLATE(F5977,""en"",""pt"")"),"Temperatura diferencial de-arejadores")</f>
        <v>Temperatura diferencial de-arejadores</v>
      </c>
      <c r="J5977">
        <f>VLOOKUP(A5977,Pr_Base_LNEC!$A$4:$J$6971,6,FALSE)</f>
        <v>0</v>
      </c>
      <c r="K5977">
        <f>VLOOKUP(A5977,Pr_Base_LNEC!$A$4:$J$6971,7,FALSE)</f>
        <v>0</v>
      </c>
    </row>
    <row r="5978" spans="1:11" ht="14.5">
      <c r="A5978" s="20" t="s">
        <v>29223</v>
      </c>
      <c r="B5978" s="20">
        <v>65</v>
      </c>
      <c r="C5978" s="20">
        <v>67</v>
      </c>
      <c r="D5978" s="20">
        <v>28</v>
      </c>
      <c r="E5978" s="24"/>
      <c r="F5978" s="20" t="s">
        <v>29224</v>
      </c>
      <c r="G5978" s="24"/>
      <c r="H5978" s="24"/>
      <c r="I5978" s="24" t="str">
        <f ca="1">IFERROR(__xludf.DUMMYFUNCTION("GOOGLETRANSLATE(F5978,""en"",""pt"")"),"compensadores de dilatação")</f>
        <v>compensadores de dilatação</v>
      </c>
      <c r="J5978">
        <f>VLOOKUP(A5978,Pr_Base_LNEC!$A$4:$J$6971,6,FALSE)</f>
        <v>0</v>
      </c>
      <c r="K5978">
        <f>VLOOKUP(A5978,Pr_Base_LNEC!$A$4:$J$6971,7,FALSE)</f>
        <v>0</v>
      </c>
    </row>
    <row r="5979" spans="1:11" ht="14.5">
      <c r="A5979" s="20" t="s">
        <v>29225</v>
      </c>
      <c r="B5979" s="20">
        <v>65</v>
      </c>
      <c r="C5979" s="20">
        <v>67</v>
      </c>
      <c r="D5979" s="20">
        <v>28</v>
      </c>
      <c r="E5979" s="20">
        <v>3</v>
      </c>
      <c r="F5979" s="20" t="s">
        <v>29226</v>
      </c>
      <c r="G5979" s="20" t="s">
        <v>29227</v>
      </c>
      <c r="H5979" s="24"/>
      <c r="I5979" s="24" t="str">
        <f ca="1">IFERROR(__xludf.DUMMYFUNCTION("GOOGLETRANSLATE(F5979,""en"",""pt"")"),"compensadores de dilatação angulares")</f>
        <v>compensadores de dilatação angulares</v>
      </c>
      <c r="J5979">
        <f>VLOOKUP(A5979,Pr_Base_LNEC!$A$4:$J$6971,6,FALSE)</f>
        <v>0</v>
      </c>
      <c r="K5979">
        <f>VLOOKUP(A5979,Pr_Base_LNEC!$A$4:$J$6971,7,FALSE)</f>
        <v>0</v>
      </c>
    </row>
    <row r="5980" spans="1:11" ht="14.5">
      <c r="A5980" s="20" t="s">
        <v>29228</v>
      </c>
      <c r="B5980" s="20">
        <v>65</v>
      </c>
      <c r="C5980" s="20">
        <v>67</v>
      </c>
      <c r="D5980" s="20">
        <v>28</v>
      </c>
      <c r="E5980" s="20">
        <v>5</v>
      </c>
      <c r="F5980" s="20" t="s">
        <v>29229</v>
      </c>
      <c r="G5980" s="20" t="s">
        <v>29230</v>
      </c>
      <c r="H5980" s="24"/>
      <c r="I5980" s="24" t="str">
        <f ca="1">IFERROR(__xludf.DUMMYFUNCTION("GOOGLETRANSLATE(F5980,""en"",""pt"")"),"compensadores de dilatação axiais")</f>
        <v>compensadores de dilatação axiais</v>
      </c>
      <c r="J5980">
        <f>VLOOKUP(A5980,Pr_Base_LNEC!$A$4:$J$6971,6,FALSE)</f>
        <v>0</v>
      </c>
      <c r="K5980">
        <f>VLOOKUP(A5980,Pr_Base_LNEC!$A$4:$J$6971,7,FALSE)</f>
        <v>0</v>
      </c>
    </row>
    <row r="5981" spans="1:11" ht="14.5">
      <c r="A5981" s="20" t="s">
        <v>29231</v>
      </c>
      <c r="B5981" s="20">
        <v>65</v>
      </c>
      <c r="C5981" s="20">
        <v>67</v>
      </c>
      <c r="D5981" s="20">
        <v>28</v>
      </c>
      <c r="E5981" s="20">
        <v>46</v>
      </c>
      <c r="F5981" s="20" t="s">
        <v>29232</v>
      </c>
      <c r="G5981" s="20" t="s">
        <v>29233</v>
      </c>
      <c r="H5981" s="24"/>
      <c r="I5981" s="24" t="str">
        <f ca="1">IFERROR(__xludf.DUMMYFUNCTION("GOOGLETRANSLATE(F5981,""en"",""pt"")"),"compensadores de expansão lateral")</f>
        <v>compensadores de expansão lateral</v>
      </c>
      <c r="J5981">
        <f>VLOOKUP(A5981,Pr_Base_LNEC!$A$4:$J$6971,6,FALSE)</f>
        <v>0</v>
      </c>
      <c r="K5981">
        <f>VLOOKUP(A5981,Pr_Base_LNEC!$A$4:$J$6971,7,FALSE)</f>
        <v>0</v>
      </c>
    </row>
    <row r="5982" spans="1:11" ht="14.5">
      <c r="A5982" s="20" t="s">
        <v>29234</v>
      </c>
      <c r="B5982" s="20">
        <v>65</v>
      </c>
      <c r="C5982" s="20">
        <v>67</v>
      </c>
      <c r="D5982" s="20">
        <v>29</v>
      </c>
      <c r="E5982" s="24"/>
      <c r="F5982" s="20" t="s">
        <v>29235</v>
      </c>
      <c r="G5982" s="24"/>
      <c r="H5982" s="24"/>
      <c r="I5982" s="24" t="str">
        <f ca="1">IFERROR(__xludf.DUMMYFUNCTION("GOOGLETRANSLATE(F5982,""en"",""pt"")"),"fãs")</f>
        <v>fãs</v>
      </c>
      <c r="J5982">
        <f>VLOOKUP(A5982,Pr_Base_LNEC!$A$4:$J$6971,6,FALSE)</f>
        <v>0</v>
      </c>
      <c r="K5982">
        <f>VLOOKUP(A5982,Pr_Base_LNEC!$A$4:$J$6971,7,FALSE)</f>
        <v>0</v>
      </c>
    </row>
    <row r="5983" spans="1:11" ht="14.5">
      <c r="A5983" s="20" t="s">
        <v>29236</v>
      </c>
      <c r="B5983" s="20">
        <v>65</v>
      </c>
      <c r="C5983" s="20">
        <v>67</v>
      </c>
      <c r="D5983" s="20">
        <v>29</v>
      </c>
      <c r="E5983" s="20">
        <v>5</v>
      </c>
      <c r="F5983" s="20" t="s">
        <v>29237</v>
      </c>
      <c r="G5983" s="20" t="s">
        <v>29238</v>
      </c>
      <c r="H5983" s="24"/>
      <c r="I5983" s="24" t="str">
        <f ca="1">IFERROR(__xludf.DUMMYFUNCTION("GOOGLETRANSLATE(F5983,""en"",""pt"")"),"ventiladores axiais")</f>
        <v>ventiladores axiais</v>
      </c>
      <c r="J5983">
        <f>VLOOKUP(A5983,Pr_Base_LNEC!$A$4:$J$6971,6,FALSE)</f>
        <v>0</v>
      </c>
      <c r="K5983">
        <f>VLOOKUP(A5983,Pr_Base_LNEC!$A$4:$J$6971,7,FALSE)</f>
        <v>0</v>
      </c>
    </row>
    <row r="5984" spans="1:11" ht="14.5">
      <c r="A5984" s="20" t="s">
        <v>29239</v>
      </c>
      <c r="B5984" s="20">
        <v>65</v>
      </c>
      <c r="C5984" s="20">
        <v>67</v>
      </c>
      <c r="D5984" s="20">
        <v>29</v>
      </c>
      <c r="E5984" s="20">
        <v>9</v>
      </c>
      <c r="F5984" s="20" t="s">
        <v>29240</v>
      </c>
      <c r="G5984" s="24"/>
      <c r="H5984" s="24"/>
      <c r="I5984" s="24" t="str">
        <f ca="1">IFERROR(__xludf.DUMMYFUNCTION("GOOGLETRANSLATE(F5984,""en"",""pt"")"),"fãs bifurcada")</f>
        <v>fãs bifurcada</v>
      </c>
      <c r="J5984">
        <f>VLOOKUP(A5984,Pr_Base_LNEC!$A$4:$J$6971,6,FALSE)</f>
        <v>0</v>
      </c>
      <c r="K5984">
        <f>VLOOKUP(A5984,Pr_Base_LNEC!$A$4:$J$6971,7,FALSE)</f>
        <v>0</v>
      </c>
    </row>
    <row r="5985" spans="1:11" ht="14.5">
      <c r="A5985" s="20" t="s">
        <v>29241</v>
      </c>
      <c r="B5985" s="20">
        <v>65</v>
      </c>
      <c r="C5985" s="20">
        <v>67</v>
      </c>
      <c r="D5985" s="20">
        <v>29</v>
      </c>
      <c r="E5985" s="20">
        <v>12</v>
      </c>
      <c r="F5985" s="20" t="s">
        <v>29242</v>
      </c>
      <c r="G5985" s="20" t="s">
        <v>29243</v>
      </c>
      <c r="H5985" s="24"/>
      <c r="I5985" s="24" t="str">
        <f ca="1">IFERROR(__xludf.DUMMYFUNCTION("GOOGLETRANSLATE(F5985,""en"",""pt"")"),"ventiladores centrífugos")</f>
        <v>ventiladores centrífugos</v>
      </c>
      <c r="J5985">
        <f>VLOOKUP(A5985,Pr_Base_LNEC!$A$4:$J$6971,6,FALSE)</f>
        <v>0</v>
      </c>
      <c r="K5985">
        <f>VLOOKUP(A5985,Pr_Base_LNEC!$A$4:$J$6971,7,FALSE)</f>
        <v>0</v>
      </c>
    </row>
    <row r="5986" spans="1:11" ht="14.5">
      <c r="A5986" s="20" t="s">
        <v>29244</v>
      </c>
      <c r="B5986" s="20">
        <v>65</v>
      </c>
      <c r="C5986" s="20">
        <v>67</v>
      </c>
      <c r="D5986" s="20">
        <v>29</v>
      </c>
      <c r="E5986" s="20">
        <v>23</v>
      </c>
      <c r="F5986" s="20" t="s">
        <v>29245</v>
      </c>
      <c r="G5986" s="20" t="s">
        <v>29246</v>
      </c>
      <c r="H5986" s="24"/>
      <c r="I5986" s="24" t="str">
        <f ca="1">IFERROR(__xludf.DUMMYFUNCTION("GOOGLETRANSLATE(F5986,""en"",""pt"")"),"unidades de ventiladores domésticos")</f>
        <v>unidades de ventiladores domésticos</v>
      </c>
      <c r="J5986">
        <f>VLOOKUP(A5986,Pr_Base_LNEC!$A$4:$J$6971,6,FALSE)</f>
        <v>0</v>
      </c>
      <c r="K5986">
        <f>VLOOKUP(A5986,Pr_Base_LNEC!$A$4:$J$6971,7,FALSE)</f>
        <v>0</v>
      </c>
    </row>
    <row r="5987" spans="1:11" ht="14.5">
      <c r="A5987" s="20" t="s">
        <v>29247</v>
      </c>
      <c r="B5987" s="20">
        <v>65</v>
      </c>
      <c r="C5987" s="20">
        <v>67</v>
      </c>
      <c r="D5987" s="20">
        <v>29</v>
      </c>
      <c r="E5987" s="20">
        <v>24</v>
      </c>
      <c r="F5987" s="20" t="s">
        <v>29248</v>
      </c>
      <c r="G5987" s="20" t="s">
        <v>29249</v>
      </c>
      <c r="H5987" s="24"/>
      <c r="I5987" s="24" t="str">
        <f ca="1">IFERROR(__xludf.DUMMYFUNCTION("GOOGLETRANSLATE(F5987,""en"",""pt"")"),"unidades de ventilação multiponto domésticos")</f>
        <v>unidades de ventilação multiponto domésticos</v>
      </c>
      <c r="J5987">
        <f>VLOOKUP(A5987,Pr_Base_LNEC!$A$4:$J$6971,6,FALSE)</f>
        <v>0</v>
      </c>
      <c r="K5987">
        <f>VLOOKUP(A5987,Pr_Base_LNEC!$A$4:$J$6971,7,FALSE)</f>
        <v>0</v>
      </c>
    </row>
    <row r="5988" spans="1:11" ht="14.5">
      <c r="A5988" s="20" t="s">
        <v>29250</v>
      </c>
      <c r="B5988" s="20">
        <v>65</v>
      </c>
      <c r="C5988" s="20">
        <v>67</v>
      </c>
      <c r="D5988" s="20">
        <v>29</v>
      </c>
      <c r="E5988" s="20">
        <v>44</v>
      </c>
      <c r="F5988" s="20" t="s">
        <v>29251</v>
      </c>
      <c r="G5988" s="20" t="s">
        <v>29252</v>
      </c>
      <c r="H5988" s="24"/>
      <c r="I5988" s="24" t="str">
        <f ca="1">IFERROR(__xludf.DUMMYFUNCTION("GOOGLETRANSLATE(F5988,""en"",""pt"")"),"fãs Jet")</f>
        <v>fãs Jet</v>
      </c>
      <c r="J5988">
        <f>VLOOKUP(A5988,Pr_Base_LNEC!$A$4:$J$6971,6,FALSE)</f>
        <v>0</v>
      </c>
      <c r="K5988">
        <f>VLOOKUP(A5988,Pr_Base_LNEC!$A$4:$J$6971,7,FALSE)</f>
        <v>0</v>
      </c>
    </row>
    <row r="5989" spans="1:11" ht="14.5">
      <c r="A5989" s="20" t="s">
        <v>29253</v>
      </c>
      <c r="B5989" s="20">
        <v>65</v>
      </c>
      <c r="C5989" s="20">
        <v>67</v>
      </c>
      <c r="D5989" s="20">
        <v>29</v>
      </c>
      <c r="E5989" s="20">
        <v>52</v>
      </c>
      <c r="F5989" s="20" t="s">
        <v>29254</v>
      </c>
      <c r="G5989" s="20" t="s">
        <v>29255</v>
      </c>
      <c r="H5989" s="24"/>
      <c r="I5989" s="24" t="str">
        <f ca="1">IFERROR(__xludf.DUMMYFUNCTION("GOOGLETRANSLATE(F5989,""en"",""pt"")"),"ventiladores de fluxo misto")</f>
        <v>ventiladores de fluxo misto</v>
      </c>
      <c r="J5989">
        <f>VLOOKUP(A5989,Pr_Base_LNEC!$A$4:$J$6971,6,FALSE)</f>
        <v>0</v>
      </c>
      <c r="K5989">
        <f>VLOOKUP(A5989,Pr_Base_LNEC!$A$4:$J$6971,7,FALSE)</f>
        <v>0</v>
      </c>
    </row>
    <row r="5990" spans="1:11" ht="14.5">
      <c r="A5990" s="20" t="s">
        <v>29256</v>
      </c>
      <c r="B5990" s="20">
        <v>65</v>
      </c>
      <c r="C5990" s="20">
        <v>67</v>
      </c>
      <c r="D5990" s="20">
        <v>29</v>
      </c>
      <c r="E5990" s="20">
        <v>62</v>
      </c>
      <c r="F5990" s="20" t="s">
        <v>29257</v>
      </c>
      <c r="G5990" s="20" t="s">
        <v>29258</v>
      </c>
      <c r="H5990" s="24"/>
      <c r="I5990" s="24" t="str">
        <f ca="1">IFERROR(__xludf.DUMMYFUNCTION("GOOGLETRANSLATE(F5990,""en"",""pt"")"),"fãs de plug")</f>
        <v>fãs de plug</v>
      </c>
      <c r="J5990" t="e">
        <f>VLOOKUP(A5990,Pr_Base_LNEC!$A$4:$J$6971,6,FALSE)</f>
        <v>#N/A</v>
      </c>
      <c r="K5990" t="e">
        <f>VLOOKUP(A5990,Pr_Base_LNEC!$A$4:$J$6971,7,FALSE)</f>
        <v>#N/A</v>
      </c>
    </row>
    <row r="5991" spans="1:11" ht="14.5">
      <c r="A5991" s="20" t="s">
        <v>29259</v>
      </c>
      <c r="B5991" s="20">
        <v>65</v>
      </c>
      <c r="C5991" s="20">
        <v>67</v>
      </c>
      <c r="D5991" s="20">
        <v>29</v>
      </c>
      <c r="E5991" s="20">
        <v>64</v>
      </c>
      <c r="F5991" s="20" t="s">
        <v>29260</v>
      </c>
      <c r="G5991" s="20" t="s">
        <v>29261</v>
      </c>
      <c r="H5991" s="24"/>
      <c r="I5991" s="24" t="str">
        <f ca="1">IFERROR(__xludf.DUMMYFUNCTION("GOOGLETRANSLATE(F5991,""en"",""pt"")"),"fumaça potência e calor ventiladores de escape")</f>
        <v>fumaça potência e calor ventiladores de escape</v>
      </c>
      <c r="J5991">
        <f>VLOOKUP(A5991,Pr_Base_LNEC!$A$4:$J$6971,6,FALSE)</f>
        <v>0</v>
      </c>
      <c r="K5991">
        <f>VLOOKUP(A5991,Pr_Base_LNEC!$A$4:$J$6971,7,FALSE)</f>
        <v>0</v>
      </c>
    </row>
    <row r="5992" spans="1:11" ht="14.5">
      <c r="A5992" s="20" t="s">
        <v>29262</v>
      </c>
      <c r="B5992" s="20">
        <v>65</v>
      </c>
      <c r="C5992" s="20">
        <v>67</v>
      </c>
      <c r="D5992" s="20">
        <v>29</v>
      </c>
      <c r="E5992" s="20">
        <v>67</v>
      </c>
      <c r="F5992" s="20" t="s">
        <v>29263</v>
      </c>
      <c r="G5992" s="20" t="s">
        <v>29264</v>
      </c>
      <c r="H5992" s="24"/>
      <c r="I5992" s="24" t="str">
        <f ca="1">IFERROR(__xludf.DUMMYFUNCTION("GOOGLETRANSLATE(F5992,""en"",""pt"")"),"fãs hélice")</f>
        <v>fãs hélice</v>
      </c>
      <c r="J5992">
        <f>VLOOKUP(A5992,Pr_Base_LNEC!$A$4:$J$6971,6,FALSE)</f>
        <v>0</v>
      </c>
      <c r="K5992">
        <f>VLOOKUP(A5992,Pr_Base_LNEC!$A$4:$J$6971,7,FALSE)</f>
        <v>0</v>
      </c>
    </row>
    <row r="5993" spans="1:11" ht="14.5">
      <c r="A5993" s="20" t="s">
        <v>29265</v>
      </c>
      <c r="B5993" s="20">
        <v>65</v>
      </c>
      <c r="C5993" s="20">
        <v>67</v>
      </c>
      <c r="D5993" s="20">
        <v>29</v>
      </c>
      <c r="E5993" s="20">
        <v>72</v>
      </c>
      <c r="F5993" s="20" t="s">
        <v>29266</v>
      </c>
      <c r="G5993" s="20" t="s">
        <v>29267</v>
      </c>
      <c r="H5993" s="24"/>
      <c r="I5993" s="24" t="str">
        <f ca="1">IFERROR(__xludf.DUMMYFUNCTION("GOOGLETRANSLATE(F5993,""en"",""pt"")"),"Montadas no teto fãs")</f>
        <v>Montadas no teto fãs</v>
      </c>
      <c r="J5993">
        <f>VLOOKUP(A5993,Pr_Base_LNEC!$A$4:$J$6971,6,FALSE)</f>
        <v>0</v>
      </c>
      <c r="K5993">
        <f>VLOOKUP(A5993,Pr_Base_LNEC!$A$4:$J$6971,7,FALSE)</f>
        <v>0</v>
      </c>
    </row>
    <row r="5994" spans="1:11" ht="14.5">
      <c r="A5994" s="20" t="s">
        <v>29268</v>
      </c>
      <c r="B5994" s="20">
        <v>65</v>
      </c>
      <c r="C5994" s="20">
        <v>67</v>
      </c>
      <c r="D5994" s="20">
        <v>29</v>
      </c>
      <c r="E5994" s="20">
        <v>80</v>
      </c>
      <c r="F5994" s="20" t="s">
        <v>29269</v>
      </c>
      <c r="G5994" s="24"/>
      <c r="H5994" s="24"/>
      <c r="I5994" s="24" t="str">
        <f ca="1">IFERROR(__xludf.DUMMYFUNCTION("GOOGLETRANSLATE(F5994,""en"",""pt"")"),"fãs extrato de fumaça")</f>
        <v>fãs extrato de fumaça</v>
      </c>
      <c r="J5994">
        <f>VLOOKUP(A5994,Pr_Base_LNEC!$A$4:$J$6971,6,FALSE)</f>
        <v>0</v>
      </c>
      <c r="K5994">
        <f>VLOOKUP(A5994,Pr_Base_LNEC!$A$4:$J$6971,7,FALSE)</f>
        <v>0</v>
      </c>
    </row>
    <row r="5995" spans="1:11" ht="14.5">
      <c r="A5995" s="20" t="s">
        <v>29270</v>
      </c>
      <c r="B5995" s="20">
        <v>65</v>
      </c>
      <c r="C5995" s="20">
        <v>67</v>
      </c>
      <c r="D5995" s="20">
        <v>29</v>
      </c>
      <c r="E5995" s="20">
        <v>88</v>
      </c>
      <c r="F5995" s="20" t="s">
        <v>29271</v>
      </c>
      <c r="G5995" s="24"/>
      <c r="H5995" s="24"/>
      <c r="I5995" s="24" t="str">
        <f ca="1">IFERROR(__xludf.DUMMYFUNCTION("GOOGLETRANSLATE(F5995,""en"",""pt"")"),"ventiladores axiais gêmeas")</f>
        <v>ventiladores axiais gêmeas</v>
      </c>
      <c r="J5995">
        <f>VLOOKUP(A5995,Pr_Base_LNEC!$A$4:$J$6971,6,FALSE)</f>
        <v>0</v>
      </c>
      <c r="K5995">
        <f>VLOOKUP(A5995,Pr_Base_LNEC!$A$4:$J$6971,7,FALSE)</f>
        <v>0</v>
      </c>
    </row>
    <row r="5996" spans="1:11" ht="14.5">
      <c r="A5996" s="20" t="s">
        <v>29272</v>
      </c>
      <c r="B5996" s="20">
        <v>65</v>
      </c>
      <c r="C5996" s="20">
        <v>67</v>
      </c>
      <c r="D5996" s="20">
        <v>29</v>
      </c>
      <c r="E5996" s="20">
        <v>89</v>
      </c>
      <c r="F5996" s="20" t="s">
        <v>29273</v>
      </c>
      <c r="G5996" s="20" t="s">
        <v>29274</v>
      </c>
      <c r="H5996" s="24"/>
      <c r="I5996" s="24" t="str">
        <f ca="1">IFERROR(__xludf.DUMMYFUNCTION("GOOGLETRANSLATE(F5996,""en"",""pt"")"),"ventiladores centrífugos gêmeas")</f>
        <v>ventiladores centrífugos gêmeas</v>
      </c>
      <c r="J5996">
        <f>VLOOKUP(A5996,Pr_Base_LNEC!$A$4:$J$6971,6,FALSE)</f>
        <v>0</v>
      </c>
      <c r="K5996">
        <f>VLOOKUP(A5996,Pr_Base_LNEC!$A$4:$J$6971,7,FALSE)</f>
        <v>0</v>
      </c>
    </row>
    <row r="5997" spans="1:11" ht="14.5">
      <c r="A5997" s="20" t="s">
        <v>29275</v>
      </c>
      <c r="B5997" s="20">
        <v>65</v>
      </c>
      <c r="C5997" s="20">
        <v>67</v>
      </c>
      <c r="D5997" s="20">
        <v>29</v>
      </c>
      <c r="E5997" s="20">
        <v>96</v>
      </c>
      <c r="F5997" s="20" t="s">
        <v>29276</v>
      </c>
      <c r="G5997" s="20" t="s">
        <v>29277</v>
      </c>
      <c r="H5997" s="24"/>
      <c r="I5997" s="24" t="str">
        <f ca="1">IFERROR(__xludf.DUMMYFUNCTION("GOOGLETRANSLATE(F5997,""en"",""pt"")"),"unidades de ventilação toda habitação")</f>
        <v>unidades de ventilação toda habitação</v>
      </c>
      <c r="J5997">
        <f>VLOOKUP(A5997,Pr_Base_LNEC!$A$4:$J$6971,6,FALSE)</f>
        <v>0</v>
      </c>
      <c r="K5997">
        <f>VLOOKUP(A5997,Pr_Base_LNEC!$A$4:$J$6971,7,FALSE)</f>
        <v>0</v>
      </c>
    </row>
    <row r="5998" spans="1:11" ht="14.5">
      <c r="A5998" s="20" t="s">
        <v>29278</v>
      </c>
      <c r="B5998" s="20">
        <v>65</v>
      </c>
      <c r="C5998" s="20">
        <v>67</v>
      </c>
      <c r="D5998" s="20">
        <v>39</v>
      </c>
      <c r="E5998" s="24"/>
      <c r="F5998" s="20" t="s">
        <v>29279</v>
      </c>
      <c r="G5998" s="24"/>
      <c r="H5998" s="24"/>
      <c r="I5998" s="24" t="str">
        <f ca="1">IFERROR(__xludf.DUMMYFUNCTION("GOOGLETRANSLATE(F5998,""en"",""pt"")"),"Umidificadores e desumidificadores")</f>
        <v>Umidificadores e desumidificadores</v>
      </c>
      <c r="J5998">
        <f>VLOOKUP(A5998,Pr_Base_LNEC!$A$4:$J$6971,6,FALSE)</f>
        <v>0</v>
      </c>
      <c r="K5998">
        <f>VLOOKUP(A5998,Pr_Base_LNEC!$A$4:$J$6971,7,FALSE)</f>
        <v>0</v>
      </c>
    </row>
    <row r="5999" spans="1:11" ht="14.5">
      <c r="A5999" s="20" t="s">
        <v>29280</v>
      </c>
      <c r="B5999" s="20">
        <v>65</v>
      </c>
      <c r="C5999" s="20">
        <v>67</v>
      </c>
      <c r="D5999" s="20">
        <v>39</v>
      </c>
      <c r="E5999" s="20">
        <v>22</v>
      </c>
      <c r="F5999" s="20" t="s">
        <v>29281</v>
      </c>
      <c r="G5999" s="20" t="s">
        <v>29282</v>
      </c>
      <c r="H5999" s="24"/>
      <c r="I5999" s="24" t="str">
        <f ca="1">IFERROR(__xludf.DUMMYFUNCTION("GOOGLETRANSLATE(F5999,""en"",""pt"")"),"desumidificadores dessecantes")</f>
        <v>desumidificadores dessecantes</v>
      </c>
      <c r="J5999">
        <f>VLOOKUP(A5999,Pr_Base_LNEC!$A$4:$J$6971,6,FALSE)</f>
        <v>0</v>
      </c>
      <c r="K5999">
        <f>VLOOKUP(A5999,Pr_Base_LNEC!$A$4:$J$6971,7,FALSE)</f>
        <v>0</v>
      </c>
    </row>
    <row r="6000" spans="1:11" ht="14.5">
      <c r="A6000" s="20" t="s">
        <v>29283</v>
      </c>
      <c r="B6000" s="20">
        <v>65</v>
      </c>
      <c r="C6000" s="20">
        <v>67</v>
      </c>
      <c r="D6000" s="20">
        <v>39</v>
      </c>
      <c r="E6000" s="20">
        <v>28</v>
      </c>
      <c r="F6000" s="20" t="s">
        <v>29284</v>
      </c>
      <c r="G6000" s="20" t="s">
        <v>29285</v>
      </c>
      <c r="H6000" s="24"/>
      <c r="I6000" s="24" t="str">
        <f ca="1">IFERROR(__xludf.DUMMYFUNCTION("GOOGLETRANSLATE(F6000,""en"",""pt"")"),"umidificadores evaporativos")</f>
        <v>umidificadores evaporativos</v>
      </c>
      <c r="J6000">
        <f>VLOOKUP(A6000,Pr_Base_LNEC!$A$4:$J$6971,6,FALSE)</f>
        <v>0</v>
      </c>
      <c r="K6000">
        <f>VLOOKUP(A6000,Pr_Base_LNEC!$A$4:$J$6971,7,FALSE)</f>
        <v>0</v>
      </c>
    </row>
    <row r="6001" spans="1:11" ht="14.5">
      <c r="A6001" s="20" t="s">
        <v>29286</v>
      </c>
      <c r="B6001" s="20">
        <v>65</v>
      </c>
      <c r="C6001" s="20">
        <v>67</v>
      </c>
      <c r="D6001" s="20">
        <v>39</v>
      </c>
      <c r="E6001" s="20">
        <v>84</v>
      </c>
      <c r="F6001" s="20" t="s">
        <v>29287</v>
      </c>
      <c r="G6001" s="20" t="s">
        <v>29288</v>
      </c>
      <c r="H6001" s="24"/>
      <c r="I6001" s="24" t="str">
        <f ca="1">IFERROR(__xludf.DUMMYFUNCTION("GOOGLETRANSLATE(F6001,""en"",""pt"")"),"umidificadores de vapor")</f>
        <v>umidificadores de vapor</v>
      </c>
      <c r="J6001">
        <f>VLOOKUP(A6001,Pr_Base_LNEC!$A$4:$J$6971,6,FALSE)</f>
        <v>0</v>
      </c>
      <c r="K6001">
        <f>VLOOKUP(A6001,Pr_Base_LNEC!$A$4:$J$6971,7,FALSE)</f>
        <v>0</v>
      </c>
    </row>
    <row r="6002" spans="1:11" ht="14.5">
      <c r="A6002" s="20" t="s">
        <v>29289</v>
      </c>
      <c r="B6002" s="20">
        <v>65</v>
      </c>
      <c r="C6002" s="20">
        <v>67</v>
      </c>
      <c r="D6002" s="20">
        <v>39</v>
      </c>
      <c r="E6002" s="20">
        <v>96</v>
      </c>
      <c r="F6002" s="20" t="s">
        <v>29290</v>
      </c>
      <c r="G6002" s="20" t="s">
        <v>29291</v>
      </c>
      <c r="H6002" s="24"/>
      <c r="I6002" s="24" t="str">
        <f ca="1">IFERROR(__xludf.DUMMYFUNCTION("GOOGLETRANSLATE(F6002,""en"",""pt"")"),"umidificadores de atomização de água")</f>
        <v>umidificadores de atomização de água</v>
      </c>
      <c r="J6002">
        <f>VLOOKUP(A6002,Pr_Base_LNEC!$A$4:$J$6971,6,FALSE)</f>
        <v>0</v>
      </c>
      <c r="K6002">
        <f>VLOOKUP(A6002,Pr_Base_LNEC!$A$4:$J$6971,7,FALSE)</f>
        <v>0</v>
      </c>
    </row>
    <row r="6003" spans="1:11" ht="14.5">
      <c r="A6003" s="20" t="s">
        <v>29292</v>
      </c>
      <c r="B6003" s="20">
        <v>65</v>
      </c>
      <c r="C6003" s="20">
        <v>67</v>
      </c>
      <c r="D6003" s="20">
        <v>46</v>
      </c>
      <c r="E6003" s="24"/>
      <c r="F6003" s="20" t="s">
        <v>29293</v>
      </c>
      <c r="G6003" s="24"/>
      <c r="H6003" s="24"/>
      <c r="I6003" s="24" t="str">
        <f ca="1">IFERROR(__xludf.DUMMYFUNCTION("GOOGLETRANSLATE(F6003,""en"",""pt"")"),"produtos de gás de laboratório")</f>
        <v>produtos de gás de laboratório</v>
      </c>
      <c r="J6003">
        <f>VLOOKUP(A6003,Pr_Base_LNEC!$A$4:$J$6971,6,FALSE)</f>
        <v>0</v>
      </c>
      <c r="K6003">
        <f>VLOOKUP(A6003,Pr_Base_LNEC!$A$4:$J$6971,7,FALSE)</f>
        <v>0</v>
      </c>
    </row>
    <row r="6004" spans="1:11" ht="14.5">
      <c r="A6004" s="20" t="s">
        <v>29294</v>
      </c>
      <c r="B6004" s="20">
        <v>65</v>
      </c>
      <c r="C6004" s="20">
        <v>67</v>
      </c>
      <c r="D6004" s="20">
        <v>46</v>
      </c>
      <c r="E6004" s="20">
        <v>56</v>
      </c>
      <c r="F6004" s="20" t="s">
        <v>29295</v>
      </c>
      <c r="G6004" s="24"/>
      <c r="H6004" s="24"/>
      <c r="I6004" s="24" t="str">
        <f ca="1">IFERROR(__xludf.DUMMYFUNCTION("GOOGLETRANSLATE(F6004,""en"",""pt"")"),"receptores de nitrogênio")</f>
        <v>receptores de nitrogênio</v>
      </c>
      <c r="J6004">
        <f>VLOOKUP(A6004,Pr_Base_LNEC!$A$4:$J$6971,6,FALSE)</f>
        <v>0</v>
      </c>
      <c r="K6004">
        <f>VLOOKUP(A6004,Pr_Base_LNEC!$A$4:$J$6971,7,FALSE)</f>
        <v>0</v>
      </c>
    </row>
    <row r="6005" spans="1:11" ht="14.5">
      <c r="A6005" s="20" t="s">
        <v>29296</v>
      </c>
      <c r="B6005" s="20">
        <v>65</v>
      </c>
      <c r="C6005" s="20">
        <v>67</v>
      </c>
      <c r="D6005" s="20">
        <v>78</v>
      </c>
      <c r="E6005" s="24"/>
      <c r="F6005" s="20" t="s">
        <v>29297</v>
      </c>
      <c r="G6005" s="24"/>
      <c r="H6005" s="24"/>
      <c r="I6005" s="24" t="str">
        <f ca="1">IFERROR(__xludf.DUMMYFUNCTION("GOOGLETRANSLATE(F6005,""en"",""pt"")"),"atenuadores de som")</f>
        <v>atenuadores de som</v>
      </c>
      <c r="J6005">
        <f>VLOOKUP(A6005,Pr_Base_LNEC!$A$4:$J$6971,6,FALSE)</f>
        <v>0</v>
      </c>
      <c r="K6005">
        <f>VLOOKUP(A6005,Pr_Base_LNEC!$A$4:$J$6971,7,FALSE)</f>
        <v>0</v>
      </c>
    </row>
    <row r="6006" spans="1:11" ht="14.5">
      <c r="A6006" s="20" t="s">
        <v>29298</v>
      </c>
      <c r="B6006" s="20">
        <v>65</v>
      </c>
      <c r="C6006" s="20">
        <v>67</v>
      </c>
      <c r="D6006" s="20">
        <v>78</v>
      </c>
      <c r="E6006" s="20">
        <v>2</v>
      </c>
      <c r="F6006" s="20" t="s">
        <v>29299</v>
      </c>
      <c r="G6006" s="20" t="s">
        <v>29300</v>
      </c>
      <c r="H6006" s="24"/>
      <c r="I6006" s="24" t="str">
        <f ca="1">IFERROR(__xludf.DUMMYFUNCTION("GOOGLETRANSLATE(F6006,""en"",""pt"")"),"revestimentos de dutos acústicos")</f>
        <v>revestimentos de dutos acústicos</v>
      </c>
      <c r="J6006">
        <f>VLOOKUP(A6006,Pr_Base_LNEC!$A$4:$J$6971,6,FALSE)</f>
        <v>0</v>
      </c>
      <c r="K6006">
        <f>VLOOKUP(A6006,Pr_Base_LNEC!$A$4:$J$6971,7,FALSE)</f>
        <v>0</v>
      </c>
    </row>
    <row r="6007" spans="1:11" ht="14.5">
      <c r="A6007" s="20" t="s">
        <v>29301</v>
      </c>
      <c r="B6007" s="20">
        <v>65</v>
      </c>
      <c r="C6007" s="20">
        <v>67</v>
      </c>
      <c r="D6007" s="20">
        <v>78</v>
      </c>
      <c r="E6007" s="20">
        <v>5</v>
      </c>
      <c r="F6007" s="20" t="s">
        <v>29302</v>
      </c>
      <c r="G6007" s="20" t="s">
        <v>29303</v>
      </c>
      <c r="H6007" s="24"/>
      <c r="I6007" s="24" t="str">
        <f ca="1">IFERROR(__xludf.DUMMYFUNCTION("GOOGLETRANSLATE(F6007,""en"",""pt"")"),"transferência de ar e atenuadores conversas cruzadas")</f>
        <v>transferência de ar e atenuadores conversas cruzadas</v>
      </c>
      <c r="J6007">
        <f>VLOOKUP(A6007,Pr_Base_LNEC!$A$4:$J$6971,6,FALSE)</f>
        <v>0</v>
      </c>
      <c r="K6007">
        <f>VLOOKUP(A6007,Pr_Base_LNEC!$A$4:$J$6971,7,FALSE)</f>
        <v>0</v>
      </c>
    </row>
    <row r="6008" spans="1:11" ht="14.5">
      <c r="A6008" s="20" t="s">
        <v>29304</v>
      </c>
      <c r="B6008" s="20">
        <v>65</v>
      </c>
      <c r="C6008" s="20">
        <v>67</v>
      </c>
      <c r="D6008" s="20">
        <v>78</v>
      </c>
      <c r="E6008" s="20">
        <v>7</v>
      </c>
      <c r="F6008" s="20" t="s">
        <v>29305</v>
      </c>
      <c r="G6008" s="24"/>
      <c r="H6008" s="24"/>
      <c r="I6008" s="24" t="str">
        <f ca="1">IFERROR(__xludf.DUMMYFUNCTION("GOOGLETRANSLATE(F6008,""en"",""pt"")"),"aberturas atenuados")</f>
        <v>aberturas atenuados</v>
      </c>
      <c r="J6008">
        <f>VLOOKUP(A6008,Pr_Base_LNEC!$A$4:$J$6971,6,FALSE)</f>
        <v>0</v>
      </c>
      <c r="K6008">
        <f>VLOOKUP(A6008,Pr_Base_LNEC!$A$4:$J$6971,7,FALSE)</f>
        <v>0</v>
      </c>
    </row>
    <row r="6009" spans="1:11" ht="14.5">
      <c r="A6009" s="20" t="s">
        <v>29306</v>
      </c>
      <c r="B6009" s="20">
        <v>65</v>
      </c>
      <c r="C6009" s="20">
        <v>67</v>
      </c>
      <c r="D6009" s="20">
        <v>78</v>
      </c>
      <c r="E6009" s="20">
        <v>12</v>
      </c>
      <c r="F6009" s="20" t="s">
        <v>29307</v>
      </c>
      <c r="G6009" s="20" t="s">
        <v>29308</v>
      </c>
      <c r="H6009" s="24"/>
      <c r="I6009" s="24" t="str">
        <f ca="1">IFERROR(__xludf.DUMMYFUNCTION("GOOGLETRANSLATE(F6009,""en"",""pt"")"),"atenuadores circulares")</f>
        <v>atenuadores circulares</v>
      </c>
      <c r="J6009">
        <f>VLOOKUP(A6009,Pr_Base_LNEC!$A$4:$J$6971,6,FALSE)</f>
        <v>0</v>
      </c>
      <c r="K6009">
        <f>VLOOKUP(A6009,Pr_Base_LNEC!$A$4:$J$6971,7,FALSE)</f>
        <v>0</v>
      </c>
    </row>
    <row r="6010" spans="1:11" ht="14.5">
      <c r="A6010" s="20" t="s">
        <v>29309</v>
      </c>
      <c r="B6010" s="20">
        <v>65</v>
      </c>
      <c r="C6010" s="20">
        <v>67</v>
      </c>
      <c r="D6010" s="20">
        <v>78</v>
      </c>
      <c r="E6010" s="20">
        <v>72</v>
      </c>
      <c r="F6010" s="20" t="s">
        <v>29310</v>
      </c>
      <c r="G6010" s="20" t="s">
        <v>29311</v>
      </c>
      <c r="H6010" s="24"/>
      <c r="I6010" s="24" t="str">
        <f ca="1">IFERROR(__xludf.DUMMYFUNCTION("GOOGLETRANSLATE(F6010,""en"",""pt"")"),"atenuadores retangulares")</f>
        <v>atenuadores retangulares</v>
      </c>
      <c r="J6010">
        <f>VLOOKUP(A6010,Pr_Base_LNEC!$A$4:$J$6971,6,FALSE)</f>
        <v>0</v>
      </c>
      <c r="K6010">
        <f>VLOOKUP(A6010,Pr_Base_LNEC!$A$4:$J$6971,7,FALSE)</f>
        <v>0</v>
      </c>
    </row>
    <row r="6011" spans="1:11" ht="14.5">
      <c r="A6011" s="20" t="s">
        <v>29312</v>
      </c>
      <c r="B6011" s="20">
        <v>65</v>
      </c>
      <c r="C6011" s="20">
        <v>67</v>
      </c>
      <c r="D6011" s="20">
        <v>94</v>
      </c>
      <c r="E6011" s="24"/>
      <c r="F6011" s="20" t="s">
        <v>29313</v>
      </c>
      <c r="G6011" s="24"/>
      <c r="H6011" s="24"/>
      <c r="I6011" s="24" t="str">
        <f ca="1">IFERROR(__xludf.DUMMYFUNCTION("GOOGLETRANSLATE(F6011,""en"",""pt"")"),"produtos de distribuição de gases de escape de veículos")</f>
        <v>produtos de distribuição de gases de escape de veículos</v>
      </c>
      <c r="J6011">
        <f>VLOOKUP(A6011,Pr_Base_LNEC!$A$4:$J$6971,6,FALSE)</f>
        <v>0</v>
      </c>
      <c r="K6011">
        <f>VLOOKUP(A6011,Pr_Base_LNEC!$A$4:$J$6971,7,FALSE)</f>
        <v>0</v>
      </c>
    </row>
    <row r="6012" spans="1:11" ht="14.5">
      <c r="A6012" s="20" t="s">
        <v>29314</v>
      </c>
      <c r="B6012" s="20">
        <v>65</v>
      </c>
      <c r="C6012" s="20">
        <v>67</v>
      </c>
      <c r="D6012" s="20">
        <v>94</v>
      </c>
      <c r="E6012" s="20">
        <v>25</v>
      </c>
      <c r="F6012" s="20" t="s">
        <v>29315</v>
      </c>
      <c r="G6012" s="20" t="s">
        <v>29316</v>
      </c>
      <c r="H6012" s="24"/>
      <c r="I6012" s="24" t="str">
        <f ca="1">IFERROR(__xludf.DUMMYFUNCTION("GOOGLETRANSLATE(F6012,""en"",""pt"")"),"Dutos trilhos")</f>
        <v>Dutos trilhos</v>
      </c>
      <c r="J6012">
        <f>VLOOKUP(A6012,Pr_Base_LNEC!$A$4:$J$6971,6,FALSE)</f>
        <v>0</v>
      </c>
      <c r="K6012">
        <f>VLOOKUP(A6012,Pr_Base_LNEC!$A$4:$J$6971,7,FALSE)</f>
        <v>0</v>
      </c>
    </row>
    <row r="6013" spans="1:11" ht="14.5">
      <c r="A6013" s="20" t="s">
        <v>29317</v>
      </c>
      <c r="B6013" s="20">
        <v>65</v>
      </c>
      <c r="C6013" s="20">
        <v>67</v>
      </c>
      <c r="D6013" s="20">
        <v>94</v>
      </c>
      <c r="E6013" s="20">
        <v>76</v>
      </c>
      <c r="F6013" s="20" t="s">
        <v>29318</v>
      </c>
      <c r="G6013" s="20" t="s">
        <v>29319</v>
      </c>
      <c r="H6013" s="24"/>
      <c r="I6013" s="24" t="str">
        <f ca="1">IFERROR(__xludf.DUMMYFUNCTION("GOOGLETRANSLATE(F6013,""en"",""pt"")"),"placas para pavimentos auto-vedante")</f>
        <v>placas para pavimentos auto-vedante</v>
      </c>
      <c r="J6013">
        <f>VLOOKUP(A6013,Pr_Base_LNEC!$A$4:$J$6971,6,FALSE)</f>
        <v>0</v>
      </c>
      <c r="K6013">
        <f>VLOOKUP(A6013,Pr_Base_LNEC!$A$4:$J$6971,7,FALSE)</f>
        <v>0</v>
      </c>
    </row>
    <row r="6014" spans="1:11" ht="14.5">
      <c r="A6014" s="20" t="s">
        <v>29320</v>
      </c>
      <c r="B6014" s="20">
        <v>65</v>
      </c>
      <c r="C6014" s="20">
        <v>70</v>
      </c>
      <c r="D6014" s="24"/>
      <c r="E6014" s="24"/>
      <c r="F6014" s="20" t="s">
        <v>29321</v>
      </c>
      <c r="G6014" s="24"/>
      <c r="H6014" s="24"/>
      <c r="I6014" s="24" t="str">
        <f ca="1">IFERROR(__xludf.DUMMYFUNCTION("GOOGLETRANSLATE(F6014,""en"",""pt"")"),"Cabos condutores, e produtos acessórios")</f>
        <v>Cabos condutores, e produtos acessórios</v>
      </c>
      <c r="J6014" t="str">
        <f>VLOOKUP(A6014,Pr_Base_LNEC!$A$4:$J$6971,6,FALSE)</f>
        <v>Cabos, Condutores e Componentes</v>
      </c>
      <c r="K6014">
        <f>VLOOKUP(A6014,Pr_Base_LNEC!$A$4:$J$6971,7,FALSE)</f>
        <v>0</v>
      </c>
    </row>
    <row r="6015" spans="1:11" ht="14.5">
      <c r="A6015" s="20" t="s">
        <v>29322</v>
      </c>
      <c r="B6015" s="20">
        <v>65</v>
      </c>
      <c r="C6015" s="20">
        <v>70</v>
      </c>
      <c r="D6015" s="20">
        <v>11</v>
      </c>
      <c r="E6015" s="24"/>
      <c r="F6015" s="20" t="s">
        <v>29323</v>
      </c>
      <c r="G6015" s="24"/>
      <c r="H6015" s="24"/>
      <c r="I6015" s="24" t="str">
        <f ca="1">IFERROR(__xludf.DUMMYFUNCTION("GOOGLETRANSLATE(F6015,""en"",""pt"")"),"gestão de cabos e acessórios")</f>
        <v>gestão de cabos e acessórios</v>
      </c>
      <c r="J6015">
        <f>VLOOKUP(A6015,Pr_Base_LNEC!$A$4:$J$6971,6,FALSE)</f>
        <v>0</v>
      </c>
      <c r="K6015">
        <f>VLOOKUP(A6015,Pr_Base_LNEC!$A$4:$J$6971,7,FALSE)</f>
        <v>0</v>
      </c>
    </row>
    <row r="6016" spans="1:11" ht="14.5">
      <c r="A6016" s="20" t="s">
        <v>29324</v>
      </c>
      <c r="B6016" s="20">
        <v>65</v>
      </c>
      <c r="C6016" s="20">
        <v>70</v>
      </c>
      <c r="D6016" s="20">
        <v>11</v>
      </c>
      <c r="E6016" s="20">
        <v>2</v>
      </c>
      <c r="F6016" s="20" t="s">
        <v>29325</v>
      </c>
      <c r="G6016" s="24"/>
      <c r="H6016" s="24"/>
      <c r="I6016" s="24" t="str">
        <f ca="1">IFERROR(__xludf.DUMMYFUNCTION("GOOGLETRANSLATE(F6016,""en"",""pt"")"),"conjuntos de cabos")</f>
        <v>conjuntos de cabos</v>
      </c>
      <c r="J6016" t="e">
        <f>VLOOKUP(A6016,Pr_Base_LNEC!$A$4:$J$6971,6,FALSE)</f>
        <v>#N/A</v>
      </c>
      <c r="K6016" t="e">
        <f>VLOOKUP(A6016,Pr_Base_LNEC!$A$4:$J$6971,7,FALSE)</f>
        <v>#N/A</v>
      </c>
    </row>
    <row r="6017" spans="1:11" ht="14.5">
      <c r="A6017" s="20" t="s">
        <v>29326</v>
      </c>
      <c r="B6017" s="20">
        <v>65</v>
      </c>
      <c r="C6017" s="20">
        <v>70</v>
      </c>
      <c r="D6017" s="20">
        <v>11</v>
      </c>
      <c r="E6017" s="20">
        <v>9</v>
      </c>
      <c r="F6017" s="20" t="s">
        <v>29327</v>
      </c>
      <c r="G6017" s="20" t="s">
        <v>29328</v>
      </c>
      <c r="H6017" s="24"/>
      <c r="I6017" s="24" t="str">
        <f ca="1">IFERROR(__xludf.DUMMYFUNCTION("GOOGLETRANSLATE(F6017,""en"",""pt"")"),"conduta enterrada")</f>
        <v>conduta enterrada</v>
      </c>
      <c r="J6017">
        <f>VLOOKUP(A6017,Pr_Base_LNEC!$A$4:$J$6971,6,FALSE)</f>
        <v>0</v>
      </c>
      <c r="K6017">
        <f>VLOOKUP(A6017,Pr_Base_LNEC!$A$4:$J$6971,7,FALSE)</f>
        <v>0</v>
      </c>
    </row>
    <row r="6018" spans="1:11" ht="14.5">
      <c r="A6018" s="20" t="s">
        <v>29329</v>
      </c>
      <c r="B6018" s="20">
        <v>65</v>
      </c>
      <c r="C6018" s="20">
        <v>70</v>
      </c>
      <c r="D6018" s="20">
        <v>11</v>
      </c>
      <c r="E6018" s="20">
        <v>10</v>
      </c>
      <c r="F6018" s="20" t="s">
        <v>29330</v>
      </c>
      <c r="G6018" s="24"/>
      <c r="H6018" s="24"/>
      <c r="I6018" s="24" t="str">
        <f ca="1">IFERROR(__xludf.DUMMYFUNCTION("GOOGLETRANSLATE(F6018,""en"",""pt"")"),"braçadeiras")</f>
        <v>braçadeiras</v>
      </c>
      <c r="J6018">
        <f>VLOOKUP(A6018,Pr_Base_LNEC!$A$4:$J$6971,6,FALSE)</f>
        <v>0</v>
      </c>
      <c r="K6018">
        <f>VLOOKUP(A6018,Pr_Base_LNEC!$A$4:$J$6971,7,FALSE)</f>
        <v>0</v>
      </c>
    </row>
    <row r="6019" spans="1:11" ht="14.5">
      <c r="A6019" s="20" t="s">
        <v>29331</v>
      </c>
      <c r="B6019" s="20">
        <v>65</v>
      </c>
      <c r="C6019" s="20">
        <v>70</v>
      </c>
      <c r="D6019" s="20">
        <v>11</v>
      </c>
      <c r="E6019" s="20">
        <v>11</v>
      </c>
      <c r="F6019" s="20" t="s">
        <v>29332</v>
      </c>
      <c r="G6019" s="20" t="s">
        <v>29333</v>
      </c>
      <c r="H6019" s="24"/>
      <c r="I6019" s="24" t="str">
        <f ca="1">IFERROR(__xludf.DUMMYFUNCTION("GOOGLETRANSLATE(F6019,""en"",""pt"")"),"bandas de cabo")</f>
        <v>bandas de cabo</v>
      </c>
      <c r="J6019">
        <f>VLOOKUP(A6019,Pr_Base_LNEC!$A$4:$J$6971,6,FALSE)</f>
        <v>0</v>
      </c>
      <c r="K6019">
        <f>VLOOKUP(A6019,Pr_Base_LNEC!$A$4:$J$6971,7,FALSE)</f>
        <v>0</v>
      </c>
    </row>
    <row r="6020" spans="1:11" ht="14.5">
      <c r="A6020" s="20" t="s">
        <v>29334</v>
      </c>
      <c r="B6020" s="20">
        <v>65</v>
      </c>
      <c r="C6020" s="20">
        <v>70</v>
      </c>
      <c r="D6020" s="20">
        <v>11</v>
      </c>
      <c r="E6020" s="20">
        <v>12</v>
      </c>
      <c r="F6020" s="20" t="s">
        <v>29335</v>
      </c>
      <c r="G6020" s="20" t="s">
        <v>29336</v>
      </c>
      <c r="H6020" s="24"/>
      <c r="I6020" s="24" t="str">
        <f ca="1">IFERROR(__xludf.DUMMYFUNCTION("GOOGLETRANSLATE(F6020,""en"",""pt"")"),"cestas de cabo")</f>
        <v>cestas de cabo</v>
      </c>
      <c r="J6020">
        <f>VLOOKUP(A6020,Pr_Base_LNEC!$A$4:$J$6971,6,FALSE)</f>
        <v>0</v>
      </c>
      <c r="K6020">
        <f>VLOOKUP(A6020,Pr_Base_LNEC!$A$4:$J$6971,7,FALSE)</f>
        <v>0</v>
      </c>
    </row>
    <row r="6021" spans="1:11" ht="14.5">
      <c r="A6021" s="20" t="s">
        <v>29337</v>
      </c>
      <c r="B6021" s="20">
        <v>65</v>
      </c>
      <c r="C6021" s="20">
        <v>70</v>
      </c>
      <c r="D6021" s="20">
        <v>11</v>
      </c>
      <c r="E6021" s="20">
        <v>13</v>
      </c>
      <c r="F6021" s="20" t="s">
        <v>29338</v>
      </c>
      <c r="G6021" s="20" t="s">
        <v>29339</v>
      </c>
      <c r="H6021" s="24"/>
      <c r="I6021" s="24" t="str">
        <f ca="1">IFERROR(__xludf.DUMMYFUNCTION("GOOGLETRANSLATE(F6021,""en"",""pt"")"),"presilhas de cabo")</f>
        <v>presilhas de cabo</v>
      </c>
      <c r="J6021">
        <f>VLOOKUP(A6021,Pr_Base_LNEC!$A$4:$J$6971,6,FALSE)</f>
        <v>0</v>
      </c>
      <c r="K6021">
        <f>VLOOKUP(A6021,Pr_Base_LNEC!$A$4:$J$6971,7,FALSE)</f>
        <v>0</v>
      </c>
    </row>
    <row r="6022" spans="1:11" ht="14.5">
      <c r="A6022" s="20" t="s">
        <v>29340</v>
      </c>
      <c r="B6022" s="20">
        <v>65</v>
      </c>
      <c r="C6022" s="20">
        <v>70</v>
      </c>
      <c r="D6022" s="20">
        <v>11</v>
      </c>
      <c r="E6022" s="20">
        <v>14</v>
      </c>
      <c r="F6022" s="20" t="s">
        <v>29341</v>
      </c>
      <c r="G6022" s="20" t="s">
        <v>29342</v>
      </c>
      <c r="H6022" s="24"/>
      <c r="I6022" s="24" t="str">
        <f ca="1">IFERROR(__xludf.DUMMYFUNCTION("GOOGLETRANSLATE(F6022,""en"",""pt"")"),"escadas Cable")</f>
        <v>escadas Cable</v>
      </c>
      <c r="J6022">
        <f>VLOOKUP(A6022,Pr_Base_LNEC!$A$4:$J$6971,6,FALSE)</f>
        <v>0</v>
      </c>
      <c r="K6022">
        <f>VLOOKUP(A6022,Pr_Base_LNEC!$A$4:$J$6971,7,FALSE)</f>
        <v>0</v>
      </c>
    </row>
    <row r="6023" spans="1:11" ht="14.5">
      <c r="A6023" s="20" t="s">
        <v>29343</v>
      </c>
      <c r="B6023" s="20">
        <v>65</v>
      </c>
      <c r="C6023" s="20">
        <v>70</v>
      </c>
      <c r="D6023" s="20">
        <v>11</v>
      </c>
      <c r="E6023" s="20">
        <v>15</v>
      </c>
      <c r="F6023" s="20" t="s">
        <v>29344</v>
      </c>
      <c r="G6023" s="20" t="s">
        <v>29345</v>
      </c>
      <c r="H6023" s="24"/>
      <c r="I6023" s="24" t="str">
        <f ca="1">IFERROR(__xludf.DUMMYFUNCTION("GOOGLETRANSLATE(F6023,""en"",""pt"")"),"Abraçadeiras")</f>
        <v>Abraçadeiras</v>
      </c>
      <c r="J6023">
        <f>VLOOKUP(A6023,Pr_Base_LNEC!$A$4:$J$6971,6,FALSE)</f>
        <v>0</v>
      </c>
      <c r="K6023">
        <f>VLOOKUP(A6023,Pr_Base_LNEC!$A$4:$J$6971,7,FALSE)</f>
        <v>0</v>
      </c>
    </row>
    <row r="6024" spans="1:11" ht="14.5">
      <c r="A6024" s="20" t="s">
        <v>29346</v>
      </c>
      <c r="B6024" s="20">
        <v>65</v>
      </c>
      <c r="C6024" s="20">
        <v>70</v>
      </c>
      <c r="D6024" s="20">
        <v>11</v>
      </c>
      <c r="E6024" s="20">
        <v>16</v>
      </c>
      <c r="F6024" s="20" t="s">
        <v>29347</v>
      </c>
      <c r="G6024" s="20" t="s">
        <v>29348</v>
      </c>
      <c r="H6024" s="24"/>
      <c r="I6024" s="24" t="str">
        <f ca="1">IFERROR(__xludf.DUMMYFUNCTION("GOOGLETRANSLATE(F6024,""en"",""pt"")"),"calhas")</f>
        <v>calhas</v>
      </c>
      <c r="J6024">
        <f>VLOOKUP(A6024,Pr_Base_LNEC!$A$4:$J$6971,6,FALSE)</f>
        <v>0</v>
      </c>
      <c r="K6024">
        <f>VLOOKUP(A6024,Pr_Base_LNEC!$A$4:$J$6971,7,FALSE)</f>
        <v>0</v>
      </c>
    </row>
    <row r="6025" spans="1:11" ht="14.5">
      <c r="A6025" s="20" t="s">
        <v>29349</v>
      </c>
      <c r="B6025" s="20">
        <v>65</v>
      </c>
      <c r="C6025" s="20">
        <v>70</v>
      </c>
      <c r="D6025" s="20">
        <v>11</v>
      </c>
      <c r="E6025" s="20">
        <v>17</v>
      </c>
      <c r="F6025" s="20" t="s">
        <v>29350</v>
      </c>
      <c r="G6025" s="20" t="s">
        <v>29351</v>
      </c>
      <c r="H6025" s="24"/>
      <c r="I6025" s="24" t="str">
        <f ca="1">IFERROR(__xludf.DUMMYFUNCTION("GOOGLETRANSLATE(F6025,""en"",""pt"")"),"bandejas de cabos")</f>
        <v>bandejas de cabos</v>
      </c>
      <c r="J6025">
        <f>VLOOKUP(A6025,Pr_Base_LNEC!$A$4:$J$6971,6,FALSE)</f>
        <v>0</v>
      </c>
      <c r="K6025">
        <f>VLOOKUP(A6025,Pr_Base_LNEC!$A$4:$J$6971,7,FALSE)</f>
        <v>0</v>
      </c>
    </row>
    <row r="6026" spans="1:11" ht="14.5">
      <c r="A6026" s="20" t="s">
        <v>29352</v>
      </c>
      <c r="B6026" s="20">
        <v>65</v>
      </c>
      <c r="C6026" s="20">
        <v>70</v>
      </c>
      <c r="D6026" s="20">
        <v>11</v>
      </c>
      <c r="E6026" s="20">
        <v>18</v>
      </c>
      <c r="F6026" s="20" t="s">
        <v>29353</v>
      </c>
      <c r="G6026" s="20" t="s">
        <v>29354</v>
      </c>
      <c r="H6026" s="24"/>
      <c r="I6026" s="24" t="str">
        <f ca="1">IFERROR(__xludf.DUMMYFUNCTION("GOOGLETRANSLATE(F6026,""en"",""pt"")"),"trunking cabo")</f>
        <v>trunking cabo</v>
      </c>
      <c r="J6026">
        <f>VLOOKUP(A6026,Pr_Base_LNEC!$A$4:$J$6971,6,FALSE)</f>
        <v>0</v>
      </c>
      <c r="K6026">
        <f>VLOOKUP(A6026,Pr_Base_LNEC!$A$4:$J$6971,7,FALSE)</f>
        <v>0</v>
      </c>
    </row>
    <row r="6027" spans="1:11" ht="14.5">
      <c r="A6027" s="20" t="s">
        <v>29355</v>
      </c>
      <c r="B6027" s="20">
        <v>65</v>
      </c>
      <c r="C6027" s="20">
        <v>70</v>
      </c>
      <c r="D6027" s="20">
        <v>11</v>
      </c>
      <c r="E6027" s="20">
        <v>19</v>
      </c>
      <c r="F6027" s="20" t="s">
        <v>29356</v>
      </c>
      <c r="G6027" s="20" t="s">
        <v>29357</v>
      </c>
      <c r="H6027" s="24"/>
      <c r="I6027" s="24" t="str">
        <f ca="1">IFERROR(__xludf.DUMMYFUNCTION("GOOGLETRANSLATE(F6027,""en"",""pt"")"),"suportes de cabo Canal")</f>
        <v>suportes de cabo Canal</v>
      </c>
      <c r="J6027">
        <f>VLOOKUP(A6027,Pr_Base_LNEC!$A$4:$J$6971,6,FALSE)</f>
        <v>0</v>
      </c>
      <c r="K6027">
        <f>VLOOKUP(A6027,Pr_Base_LNEC!$A$4:$J$6971,7,FALSE)</f>
        <v>0</v>
      </c>
    </row>
    <row r="6028" spans="1:11" ht="14.5">
      <c r="A6028" s="20" t="s">
        <v>29358</v>
      </c>
      <c r="B6028" s="20">
        <v>65</v>
      </c>
      <c r="C6028" s="20">
        <v>70</v>
      </c>
      <c r="D6028" s="20">
        <v>11</v>
      </c>
      <c r="E6028" s="20">
        <v>20</v>
      </c>
      <c r="F6028" s="20" t="s">
        <v>29359</v>
      </c>
      <c r="G6028" s="20" t="s">
        <v>29360</v>
      </c>
      <c r="H6028" s="24"/>
      <c r="I6028" s="24" t="str">
        <f ca="1">IFERROR(__xludf.DUMMYFUNCTION("GOOGLETRANSLATE(F6028,""en"",""pt"")"),"encaixes de conduíte")</f>
        <v>encaixes de conduíte</v>
      </c>
      <c r="J6028">
        <f>VLOOKUP(A6028,Pr_Base_LNEC!$A$4:$J$6971,6,FALSE)</f>
        <v>0</v>
      </c>
      <c r="K6028">
        <f>VLOOKUP(A6028,Pr_Base_LNEC!$A$4:$J$6971,7,FALSE)</f>
        <v>0</v>
      </c>
    </row>
    <row r="6029" spans="1:11" ht="14.5">
      <c r="A6029" s="20" t="s">
        <v>29361</v>
      </c>
      <c r="B6029" s="20">
        <v>65</v>
      </c>
      <c r="C6029" s="20">
        <v>70</v>
      </c>
      <c r="D6029" s="20">
        <v>11</v>
      </c>
      <c r="E6029" s="20">
        <v>25</v>
      </c>
      <c r="F6029" s="20" t="s">
        <v>29362</v>
      </c>
      <c r="G6029" s="20" t="s">
        <v>29363</v>
      </c>
      <c r="H6029" s="24"/>
      <c r="I6029" s="24" t="str">
        <f ca="1">IFERROR(__xludf.DUMMYFUNCTION("GOOGLETRANSLATE(F6029,""en"",""pt"")"),"bancos de dutos")</f>
        <v>bancos de dutos</v>
      </c>
      <c r="J6029">
        <f>VLOOKUP(A6029,Pr_Base_LNEC!$A$4:$J$6971,6,FALSE)</f>
        <v>0</v>
      </c>
      <c r="K6029">
        <f>VLOOKUP(A6029,Pr_Base_LNEC!$A$4:$J$6971,7,FALSE)</f>
        <v>0</v>
      </c>
    </row>
    <row r="6030" spans="1:11" ht="14.5">
      <c r="A6030" s="20" t="s">
        <v>29364</v>
      </c>
      <c r="B6030" s="20">
        <v>65</v>
      </c>
      <c r="C6030" s="20">
        <v>70</v>
      </c>
      <c r="D6030" s="20">
        <v>11</v>
      </c>
      <c r="E6030" s="20">
        <v>29</v>
      </c>
      <c r="F6030" s="20" t="s">
        <v>29365</v>
      </c>
      <c r="G6030" s="24"/>
      <c r="H6030" s="24"/>
      <c r="I6030" s="24" t="str">
        <f ca="1">IFERROR(__xludf.DUMMYFUNCTION("GOOGLETRANSLATE(F6030,""en"",""pt"")"),"portadores de cabos eléctricos flexíveis")</f>
        <v>portadores de cabos eléctricos flexíveis</v>
      </c>
      <c r="J6030" t="e">
        <f>VLOOKUP(A6030,Pr_Base_LNEC!$A$4:$J$6971,6,FALSE)</f>
        <v>#N/A</v>
      </c>
      <c r="K6030" t="e">
        <f>VLOOKUP(A6030,Pr_Base_LNEC!$A$4:$J$6971,7,FALSE)</f>
        <v>#N/A</v>
      </c>
    </row>
    <row r="6031" spans="1:11" ht="14.5">
      <c r="A6031" s="20" t="s">
        <v>29366</v>
      </c>
      <c r="B6031" s="20">
        <v>65</v>
      </c>
      <c r="C6031" s="20">
        <v>70</v>
      </c>
      <c r="D6031" s="20">
        <v>11</v>
      </c>
      <c r="E6031" s="20">
        <v>30</v>
      </c>
      <c r="F6031" s="20" t="s">
        <v>29367</v>
      </c>
      <c r="G6031" s="20" t="s">
        <v>29368</v>
      </c>
      <c r="H6031" s="24"/>
      <c r="I6031" s="24" t="str">
        <f ca="1">IFERROR(__xludf.DUMMYFUNCTION("GOOGLETRANSLATE(F6031,""en"",""pt"")"),"Conduíte flexivel")</f>
        <v>Conduíte flexivel</v>
      </c>
      <c r="J6031">
        <f>VLOOKUP(A6031,Pr_Base_LNEC!$A$4:$J$6971,6,FALSE)</f>
        <v>0</v>
      </c>
      <c r="K6031">
        <f>VLOOKUP(A6031,Pr_Base_LNEC!$A$4:$J$6971,7,FALSE)</f>
        <v>0</v>
      </c>
    </row>
    <row r="6032" spans="1:11" ht="14.5">
      <c r="A6032" s="20" t="s">
        <v>29369</v>
      </c>
      <c r="B6032" s="20">
        <v>65</v>
      </c>
      <c r="C6032" s="20">
        <v>70</v>
      </c>
      <c r="D6032" s="20">
        <v>11</v>
      </c>
      <c r="E6032" s="20">
        <v>31</v>
      </c>
      <c r="F6032" s="20" t="s">
        <v>29370</v>
      </c>
      <c r="G6032" s="20" t="s">
        <v>29371</v>
      </c>
      <c r="H6032" s="24"/>
      <c r="I6032" s="24" t="str">
        <f ca="1">IFERROR(__xludf.DUMMYFUNCTION("GOOGLETRANSLATE(F6032,""en"",""pt"")"),"Piso calhas técnicas e condutas")</f>
        <v>Piso calhas técnicas e condutas</v>
      </c>
      <c r="J6032">
        <f>VLOOKUP(A6032,Pr_Base_LNEC!$A$4:$J$6971,6,FALSE)</f>
        <v>0</v>
      </c>
      <c r="K6032">
        <f>VLOOKUP(A6032,Pr_Base_LNEC!$A$4:$J$6971,7,FALSE)</f>
        <v>0</v>
      </c>
    </row>
    <row r="6033" spans="1:11" ht="14.5">
      <c r="A6033" s="20" t="s">
        <v>29372</v>
      </c>
      <c r="B6033" s="20">
        <v>65</v>
      </c>
      <c r="C6033" s="20">
        <v>70</v>
      </c>
      <c r="D6033" s="20">
        <v>11</v>
      </c>
      <c r="E6033" s="20">
        <v>34</v>
      </c>
      <c r="F6033" s="20" t="s">
        <v>29373</v>
      </c>
      <c r="G6033" s="24"/>
      <c r="H6033" s="24"/>
      <c r="I6033" s="24" t="str">
        <f ca="1">IFERROR(__xludf.DUMMYFUNCTION("GOOGLETRANSLATE(F6033,""en"",""pt"")"),"Prensa-cabos")</f>
        <v>Prensa-cabos</v>
      </c>
      <c r="J6033" t="e">
        <f>VLOOKUP(A6033,Pr_Base_LNEC!$A$4:$J$6971,6,FALSE)</f>
        <v>#N/A</v>
      </c>
      <c r="K6033" t="e">
        <f>VLOOKUP(A6033,Pr_Base_LNEC!$A$4:$J$6971,7,FALSE)</f>
        <v>#N/A</v>
      </c>
    </row>
    <row r="6034" spans="1:11" ht="14.5">
      <c r="A6034" s="20" t="s">
        <v>29374</v>
      </c>
      <c r="B6034" s="20">
        <v>65</v>
      </c>
      <c r="C6034" s="20">
        <v>70</v>
      </c>
      <c r="D6034" s="20">
        <v>11</v>
      </c>
      <c r="E6034" s="20">
        <v>41</v>
      </c>
      <c r="F6034" s="20" t="s">
        <v>29375</v>
      </c>
      <c r="G6034" s="24"/>
      <c r="H6034" s="24"/>
      <c r="I6034" s="24" t="str">
        <f ca="1">IFERROR(__xludf.DUMMYFUNCTION("GOOGLETRANSLATE(F6034,""en"",""pt"")"),"Isolante bandejas de cabos")</f>
        <v>Isolante bandejas de cabos</v>
      </c>
      <c r="J6034">
        <f>VLOOKUP(A6034,Pr_Base_LNEC!$A$4:$J$6971,6,FALSE)</f>
        <v>0</v>
      </c>
      <c r="K6034">
        <f>VLOOKUP(A6034,Pr_Base_LNEC!$A$4:$J$6971,7,FALSE)</f>
        <v>0</v>
      </c>
    </row>
    <row r="6035" spans="1:11" ht="14.5">
      <c r="A6035" s="20" t="s">
        <v>29376</v>
      </c>
      <c r="B6035" s="20">
        <v>65</v>
      </c>
      <c r="C6035" s="20">
        <v>70</v>
      </c>
      <c r="D6035" s="20">
        <v>11</v>
      </c>
      <c r="E6035" s="20">
        <v>47</v>
      </c>
      <c r="F6035" s="20" t="s">
        <v>29377</v>
      </c>
      <c r="G6035" s="20" t="s">
        <v>29378</v>
      </c>
      <c r="H6035" s="24"/>
      <c r="I6035" s="24" t="str">
        <f ca="1">IFERROR(__xludf.DUMMYFUNCTION("GOOGLETRANSLATE(F6035,""en"",""pt"")"),"Iluminação canalizações eléctricas")</f>
        <v>Iluminação canalizações eléctricas</v>
      </c>
      <c r="J6035">
        <f>VLOOKUP(A6035,Pr_Base_LNEC!$A$4:$J$6971,6,FALSE)</f>
        <v>0</v>
      </c>
      <c r="K6035">
        <f>VLOOKUP(A6035,Pr_Base_LNEC!$A$4:$J$6971,7,FALSE)</f>
        <v>0</v>
      </c>
    </row>
    <row r="6036" spans="1:11" ht="14.5">
      <c r="A6036" s="20" t="s">
        <v>29379</v>
      </c>
      <c r="B6036" s="20">
        <v>65</v>
      </c>
      <c r="C6036" s="20">
        <v>70</v>
      </c>
      <c r="D6036" s="20">
        <v>11</v>
      </c>
      <c r="E6036" s="20">
        <v>61</v>
      </c>
      <c r="F6036" s="20" t="s">
        <v>29380</v>
      </c>
      <c r="G6036" s="20" t="s">
        <v>29381</v>
      </c>
      <c r="H6036" s="24"/>
      <c r="I6036" s="24" t="str">
        <f ca="1">IFERROR(__xludf.DUMMYFUNCTION("GOOGLETRANSLATE(F6036,""en"",""pt"")"),"perímetro trunking")</f>
        <v>perímetro trunking</v>
      </c>
      <c r="J6036">
        <f>VLOOKUP(A6036,Pr_Base_LNEC!$A$4:$J$6971,6,FALSE)</f>
        <v>0</v>
      </c>
      <c r="K6036">
        <f>VLOOKUP(A6036,Pr_Base_LNEC!$A$4:$J$6971,7,FALSE)</f>
        <v>0</v>
      </c>
    </row>
    <row r="6037" spans="1:11" ht="14.5">
      <c r="A6037" s="20" t="s">
        <v>29382</v>
      </c>
      <c r="B6037" s="20">
        <v>65</v>
      </c>
      <c r="C6037" s="20">
        <v>70</v>
      </c>
      <c r="D6037" s="20">
        <v>11</v>
      </c>
      <c r="E6037" s="20">
        <v>62</v>
      </c>
      <c r="F6037" s="20" t="s">
        <v>29383</v>
      </c>
      <c r="G6037" s="20" t="s">
        <v>27962</v>
      </c>
      <c r="H6037" s="24"/>
      <c r="I6037" s="24" t="str">
        <f ca="1">IFERROR(__xludf.DUMMYFUNCTION("GOOGLETRANSLATE(F6037,""en"",""pt"")"),"condutas de plástico para cabos eléctricos enterrado")</f>
        <v>condutas de plástico para cabos eléctricos enterrado</v>
      </c>
      <c r="J6037">
        <f>VLOOKUP(A6037,Pr_Base_LNEC!$A$4:$J$6971,6,FALSE)</f>
        <v>0</v>
      </c>
      <c r="K6037">
        <f>VLOOKUP(A6037,Pr_Base_LNEC!$A$4:$J$6971,7,FALSE)</f>
        <v>0</v>
      </c>
    </row>
    <row r="6038" spans="1:11" ht="14.5">
      <c r="A6038" s="20" t="s">
        <v>29384</v>
      </c>
      <c r="B6038" s="20">
        <v>65</v>
      </c>
      <c r="C6038" s="20">
        <v>70</v>
      </c>
      <c r="D6038" s="20">
        <v>11</v>
      </c>
      <c r="E6038" s="20">
        <v>63</v>
      </c>
      <c r="F6038" s="20" t="s">
        <v>29385</v>
      </c>
      <c r="G6038" s="20" t="s">
        <v>29386</v>
      </c>
      <c r="H6038" s="24"/>
      <c r="I6038" s="24" t="str">
        <f ca="1">IFERROR(__xludf.DUMMYFUNCTION("GOOGLETRANSLATE(F6038,""en"",""pt"")"),"conduta flexível")</f>
        <v>conduta flexível</v>
      </c>
      <c r="J6038">
        <f>VLOOKUP(A6038,Pr_Base_LNEC!$A$4:$J$6971,6,FALSE)</f>
        <v>0</v>
      </c>
      <c r="K6038">
        <f>VLOOKUP(A6038,Pr_Base_LNEC!$A$4:$J$6971,7,FALSE)</f>
        <v>0</v>
      </c>
    </row>
    <row r="6039" spans="1:11" ht="14.5">
      <c r="A6039" s="20" t="s">
        <v>29387</v>
      </c>
      <c r="B6039" s="20">
        <v>65</v>
      </c>
      <c r="C6039" s="20">
        <v>70</v>
      </c>
      <c r="D6039" s="20">
        <v>11</v>
      </c>
      <c r="E6039" s="20">
        <v>64</v>
      </c>
      <c r="F6039" s="20" t="s">
        <v>29388</v>
      </c>
      <c r="G6039" s="24"/>
      <c r="H6039" s="24"/>
      <c r="I6039" s="24" t="str">
        <f ca="1">IFERROR(__xludf.DUMMYFUNCTION("GOOGLETRANSLATE(F6039,""en"",""pt"")"),"Pontos aquecimento arreios")</f>
        <v>Pontos aquecimento arreios</v>
      </c>
      <c r="J6039" t="e">
        <f>VLOOKUP(A6039,Pr_Base_LNEC!$A$4:$J$6971,6,FALSE)</f>
        <v>#N/A</v>
      </c>
      <c r="K6039" t="e">
        <f>VLOOKUP(A6039,Pr_Base_LNEC!$A$4:$J$6971,7,FALSE)</f>
        <v>#N/A</v>
      </c>
    </row>
    <row r="6040" spans="1:11" ht="14.5">
      <c r="A6040" s="20" t="s">
        <v>29389</v>
      </c>
      <c r="B6040" s="20">
        <v>65</v>
      </c>
      <c r="C6040" s="20">
        <v>70</v>
      </c>
      <c r="D6040" s="20">
        <v>11</v>
      </c>
      <c r="E6040" s="20">
        <v>65</v>
      </c>
      <c r="F6040" s="20" t="s">
        <v>29390</v>
      </c>
      <c r="G6040" s="20" t="s">
        <v>29391</v>
      </c>
      <c r="H6040" s="24"/>
      <c r="I6040" s="24" t="str">
        <f ca="1">IFERROR(__xludf.DUMMYFUNCTION("GOOGLETRANSLATE(F6040,""en"",""pt"")"),"cloreto de polivinilo (PVC) de trunking")</f>
        <v>cloreto de polivinilo (PVC) de trunking</v>
      </c>
      <c r="J6040">
        <f>VLOOKUP(A6040,Pr_Base_LNEC!$A$4:$J$6971,6,FALSE)</f>
        <v>0</v>
      </c>
      <c r="K6040">
        <f>VLOOKUP(A6040,Pr_Base_LNEC!$A$4:$J$6971,7,FALSE)</f>
        <v>0</v>
      </c>
    </row>
    <row r="6041" spans="1:11" ht="14.5">
      <c r="A6041" s="20" t="s">
        <v>29392</v>
      </c>
      <c r="B6041" s="20">
        <v>65</v>
      </c>
      <c r="C6041" s="20">
        <v>70</v>
      </c>
      <c r="D6041" s="20">
        <v>11</v>
      </c>
      <c r="E6041" s="20">
        <v>70</v>
      </c>
      <c r="F6041" s="20" t="s">
        <v>29393</v>
      </c>
      <c r="G6041" s="24"/>
      <c r="H6041" s="24"/>
      <c r="I6041" s="24" t="str">
        <f ca="1">IFERROR(__xludf.DUMMYFUNCTION("GOOGLETRANSLATE(F6041,""en"",""pt"")"),"pontos de atendimento piso elevado")</f>
        <v>pontos de atendimento piso elevado</v>
      </c>
      <c r="J6041">
        <f>VLOOKUP(A6041,Pr_Base_LNEC!$A$4:$J$6971,6,FALSE)</f>
        <v>0</v>
      </c>
      <c r="K6041">
        <f>VLOOKUP(A6041,Pr_Base_LNEC!$A$4:$J$6971,7,FALSE)</f>
        <v>0</v>
      </c>
    </row>
    <row r="6042" spans="1:11" ht="14.5">
      <c r="A6042" s="20" t="s">
        <v>29394</v>
      </c>
      <c r="B6042" s="20">
        <v>65</v>
      </c>
      <c r="C6042" s="20">
        <v>70</v>
      </c>
      <c r="D6042" s="20">
        <v>11</v>
      </c>
      <c r="E6042" s="20">
        <v>71</v>
      </c>
      <c r="F6042" s="20" t="s">
        <v>29395</v>
      </c>
      <c r="G6042" s="20" t="s">
        <v>29396</v>
      </c>
      <c r="H6042" s="24"/>
      <c r="I6042" s="24" t="str">
        <f ca="1">IFERROR(__xludf.DUMMYFUNCTION("GOOGLETRANSLATE(F6042,""en"",""pt"")"),"conduta rígida")</f>
        <v>conduta rígida</v>
      </c>
      <c r="J6042">
        <f>VLOOKUP(A6042,Pr_Base_LNEC!$A$4:$J$6971,6,FALSE)</f>
        <v>0</v>
      </c>
      <c r="K6042">
        <f>VLOOKUP(A6042,Pr_Base_LNEC!$A$4:$J$6971,7,FALSE)</f>
        <v>0</v>
      </c>
    </row>
    <row r="6043" spans="1:11" ht="14.5">
      <c r="A6043" s="20" t="s">
        <v>29397</v>
      </c>
      <c r="B6043" s="20">
        <v>65</v>
      </c>
      <c r="C6043" s="20">
        <v>70</v>
      </c>
      <c r="D6043" s="20">
        <v>11</v>
      </c>
      <c r="E6043" s="20">
        <v>75</v>
      </c>
      <c r="F6043" s="20" t="s">
        <v>29398</v>
      </c>
      <c r="G6043" s="20" t="s">
        <v>29399</v>
      </c>
      <c r="H6043" s="24"/>
      <c r="I6043" s="24" t="str">
        <f ca="1">IFERROR(__xludf.DUMMYFUNCTION("GOOGLETRANSLATE(F6043,""en"",""pt"")"),"caixas de saída de serviço")</f>
        <v>caixas de saída de serviço</v>
      </c>
      <c r="J6043">
        <f>VLOOKUP(A6043,Pr_Base_LNEC!$A$4:$J$6971,6,FALSE)</f>
        <v>0</v>
      </c>
      <c r="K6043">
        <f>VLOOKUP(A6043,Pr_Base_LNEC!$A$4:$J$6971,7,FALSE)</f>
        <v>0</v>
      </c>
    </row>
    <row r="6044" spans="1:11" ht="14.5">
      <c r="A6044" s="20" t="s">
        <v>29400</v>
      </c>
      <c r="B6044" s="20">
        <v>65</v>
      </c>
      <c r="C6044" s="20">
        <v>70</v>
      </c>
      <c r="D6044" s="20">
        <v>11</v>
      </c>
      <c r="E6044" s="20">
        <v>76</v>
      </c>
      <c r="F6044" s="20" t="s">
        <v>29401</v>
      </c>
      <c r="G6044" s="20" t="s">
        <v>29402</v>
      </c>
      <c r="H6044" s="24"/>
      <c r="I6044" s="24" t="str">
        <f ca="1">IFERROR(__xludf.DUMMYFUNCTION("GOOGLETRANSLATE(F6044,""en"",""pt"")"),"pólos de saída serviço")</f>
        <v>pólos de saída serviço</v>
      </c>
      <c r="J6044">
        <f>VLOOKUP(A6044,Pr_Base_LNEC!$A$4:$J$6971,6,FALSE)</f>
        <v>0</v>
      </c>
      <c r="K6044">
        <f>VLOOKUP(A6044,Pr_Base_LNEC!$A$4:$J$6971,7,FALSE)</f>
        <v>0</v>
      </c>
    </row>
    <row r="6045" spans="1:11" ht="14.5">
      <c r="A6045" s="20" t="s">
        <v>29403</v>
      </c>
      <c r="B6045" s="20">
        <v>65</v>
      </c>
      <c r="C6045" s="20">
        <v>70</v>
      </c>
      <c r="D6045" s="20">
        <v>11</v>
      </c>
      <c r="E6045" s="20">
        <v>79</v>
      </c>
      <c r="F6045" s="20" t="s">
        <v>29404</v>
      </c>
      <c r="G6045" s="20" t="s">
        <v>29405</v>
      </c>
      <c r="H6045" s="24"/>
      <c r="I6045" s="24" t="str">
        <f ca="1">IFERROR(__xludf.DUMMYFUNCTION("GOOGLETRANSLATE(F6045,""en"",""pt"")"),"Slotted calhas técnicas")</f>
        <v>Slotted calhas técnicas</v>
      </c>
      <c r="J6045">
        <f>VLOOKUP(A6045,Pr_Base_LNEC!$A$4:$J$6971,6,FALSE)</f>
        <v>0</v>
      </c>
      <c r="K6045">
        <f>VLOOKUP(A6045,Pr_Base_LNEC!$A$4:$J$6971,7,FALSE)</f>
        <v>0</v>
      </c>
    </row>
    <row r="6046" spans="1:11" ht="14.5">
      <c r="A6046" s="20" t="s">
        <v>29406</v>
      </c>
      <c r="B6046" s="20">
        <v>65</v>
      </c>
      <c r="C6046" s="20">
        <v>70</v>
      </c>
      <c r="D6046" s="20">
        <v>11</v>
      </c>
      <c r="E6046" s="20">
        <v>80</v>
      </c>
      <c r="F6046" s="20" t="s">
        <v>29407</v>
      </c>
      <c r="G6046" s="24"/>
      <c r="H6046" s="24"/>
      <c r="I6046" s="24" t="str">
        <f ca="1">IFERROR(__xludf.DUMMYFUNCTION("GOOGLETRANSLATE(F6046,""en"",""pt"")"),"caminhos de cabos isolantes ranhuradas")</f>
        <v>caminhos de cabos isolantes ranhuradas</v>
      </c>
      <c r="J6046">
        <f>VLOOKUP(A6046,Pr_Base_LNEC!$A$4:$J$6971,6,FALSE)</f>
        <v>0</v>
      </c>
      <c r="K6046">
        <f>VLOOKUP(A6046,Pr_Base_LNEC!$A$4:$J$6971,7,FALSE)</f>
        <v>0</v>
      </c>
    </row>
    <row r="6047" spans="1:11" ht="14.5">
      <c r="A6047" s="20" t="s">
        <v>29408</v>
      </c>
      <c r="B6047" s="20">
        <v>65</v>
      </c>
      <c r="C6047" s="20">
        <v>70</v>
      </c>
      <c r="D6047" s="20">
        <v>12</v>
      </c>
      <c r="E6047" s="24"/>
      <c r="F6047" s="20" t="s">
        <v>29409</v>
      </c>
      <c r="G6047" s="24"/>
      <c r="H6047" s="24"/>
      <c r="I6047" s="24" t="str">
        <f ca="1">IFERROR(__xludf.DUMMYFUNCTION("GOOGLETRANSLATE(F6047,""en"",""pt"")"),"produtos de protecção de cabos")</f>
        <v>produtos de protecção de cabos</v>
      </c>
      <c r="J6047">
        <f>VLOOKUP(A6047,Pr_Base_LNEC!$A$4:$J$6971,6,FALSE)</f>
        <v>0</v>
      </c>
      <c r="K6047">
        <f>VLOOKUP(A6047,Pr_Base_LNEC!$A$4:$J$6971,7,FALSE)</f>
        <v>0</v>
      </c>
    </row>
    <row r="6048" spans="1:11" ht="14.5">
      <c r="A6048" s="20" t="s">
        <v>29410</v>
      </c>
      <c r="B6048" s="20">
        <v>65</v>
      </c>
      <c r="C6048" s="20">
        <v>70</v>
      </c>
      <c r="D6048" s="20">
        <v>12</v>
      </c>
      <c r="E6048" s="20">
        <v>4</v>
      </c>
      <c r="F6048" s="20" t="s">
        <v>29411</v>
      </c>
      <c r="G6048" s="20" t="s">
        <v>29412</v>
      </c>
      <c r="H6048" s="24"/>
      <c r="I6048" s="24" t="str">
        <f ca="1">IFERROR(__xludf.DUMMYFUNCTION("GOOGLETRANSLATE(F6048,""en"",""pt"")"),"guardas de cabo anti-vandalismo")</f>
        <v>guardas de cabo anti-vandalismo</v>
      </c>
      <c r="J6048">
        <f>VLOOKUP(A6048,Pr_Base_LNEC!$A$4:$J$6971,6,FALSE)</f>
        <v>0</v>
      </c>
      <c r="K6048">
        <f>VLOOKUP(A6048,Pr_Base_LNEC!$A$4:$J$6971,7,FALSE)</f>
        <v>0</v>
      </c>
    </row>
    <row r="6049" spans="1:11" ht="14.5">
      <c r="A6049" s="20" t="s">
        <v>29413</v>
      </c>
      <c r="B6049" s="20">
        <v>65</v>
      </c>
      <c r="C6049" s="20">
        <v>70</v>
      </c>
      <c r="D6049" s="20">
        <v>12</v>
      </c>
      <c r="E6049" s="20">
        <v>11</v>
      </c>
      <c r="F6049" s="20" t="s">
        <v>29414</v>
      </c>
      <c r="G6049" s="20" t="s">
        <v>29415</v>
      </c>
      <c r="H6049" s="24"/>
      <c r="I6049" s="24" t="str">
        <f ca="1">IFERROR(__xludf.DUMMYFUNCTION("GOOGLETRANSLATE(F6049,""en"",""pt"")"),"capping cabo")</f>
        <v>capping cabo</v>
      </c>
      <c r="J6049">
        <f>VLOOKUP(A6049,Pr_Base_LNEC!$A$4:$J$6971,6,FALSE)</f>
        <v>0</v>
      </c>
      <c r="K6049">
        <f>VLOOKUP(A6049,Pr_Base_LNEC!$A$4:$J$6971,7,FALSE)</f>
        <v>0</v>
      </c>
    </row>
    <row r="6050" spans="1:11" ht="14.5">
      <c r="A6050" s="20" t="s">
        <v>29416</v>
      </c>
      <c r="B6050" s="20">
        <v>65</v>
      </c>
      <c r="C6050" s="20">
        <v>70</v>
      </c>
      <c r="D6050" s="20">
        <v>12</v>
      </c>
      <c r="E6050" s="20">
        <v>92</v>
      </c>
      <c r="F6050" s="20" t="s">
        <v>29417</v>
      </c>
      <c r="G6050" s="20" t="s">
        <v>29418</v>
      </c>
      <c r="H6050" s="24"/>
      <c r="I6050" s="24" t="str">
        <f ca="1">IFERROR(__xludf.DUMMYFUNCTION("GOOGLETRANSLATE(F6050,""en"",""pt"")"),"tampas de proteção do cabo de concreto subterrâneos")</f>
        <v>tampas de proteção do cabo de concreto subterrâneos</v>
      </c>
      <c r="J6050">
        <f>VLOOKUP(A6050,Pr_Base_LNEC!$A$4:$J$6971,6,FALSE)</f>
        <v>0</v>
      </c>
      <c r="K6050">
        <f>VLOOKUP(A6050,Pr_Base_LNEC!$A$4:$J$6971,7,FALSE)</f>
        <v>0</v>
      </c>
    </row>
    <row r="6051" spans="1:11" ht="14.5">
      <c r="A6051" s="20" t="s">
        <v>29419</v>
      </c>
      <c r="B6051" s="20">
        <v>65</v>
      </c>
      <c r="C6051" s="20">
        <v>70</v>
      </c>
      <c r="D6051" s="20">
        <v>12</v>
      </c>
      <c r="E6051" s="20">
        <v>94</v>
      </c>
      <c r="F6051" s="20" t="s">
        <v>29420</v>
      </c>
      <c r="G6051" s="24"/>
      <c r="H6051" s="24"/>
      <c r="I6051" s="24" t="str">
        <f ca="1">IFERROR(__xludf.DUMMYFUNCTION("GOOGLETRANSLATE(F6051,""en"",""pt"")"),"plásticos subterrâneos abrange a protecção de cabo")</f>
        <v>plásticos subterrâneos abrange a protecção de cabo</v>
      </c>
      <c r="J6051">
        <f>VLOOKUP(A6051,Pr_Base_LNEC!$A$4:$J$6971,6,FALSE)</f>
        <v>0</v>
      </c>
      <c r="K6051">
        <f>VLOOKUP(A6051,Pr_Base_LNEC!$A$4:$J$6971,7,FALSE)</f>
        <v>0</v>
      </c>
    </row>
    <row r="6052" spans="1:11" ht="14.5">
      <c r="A6052" s="20" t="s">
        <v>29421</v>
      </c>
      <c r="B6052" s="20">
        <v>65</v>
      </c>
      <c r="C6052" s="20">
        <v>70</v>
      </c>
      <c r="D6052" s="20">
        <v>13</v>
      </c>
      <c r="E6052" s="24"/>
      <c r="F6052" s="20" t="s">
        <v>29422</v>
      </c>
      <c r="G6052" s="24"/>
      <c r="H6052" s="24"/>
      <c r="I6052" s="24" t="str">
        <f ca="1">IFERROR(__xludf.DUMMYFUNCTION("GOOGLETRANSLATE(F6052,""en"",""pt"")"),"produtos de proteção catódica")</f>
        <v>produtos de proteção catódica</v>
      </c>
      <c r="J6052">
        <f>VLOOKUP(A6052,Pr_Base_LNEC!$A$4:$J$6971,6,FALSE)</f>
        <v>0</v>
      </c>
      <c r="K6052">
        <f>VLOOKUP(A6052,Pr_Base_LNEC!$A$4:$J$6971,7,FALSE)</f>
        <v>0</v>
      </c>
    </row>
    <row r="6053" spans="1:11" ht="14.5">
      <c r="A6053" s="20" t="s">
        <v>29423</v>
      </c>
      <c r="B6053" s="20">
        <v>65</v>
      </c>
      <c r="C6053" s="20">
        <v>70</v>
      </c>
      <c r="D6053" s="20">
        <v>13</v>
      </c>
      <c r="E6053" s="20">
        <v>8</v>
      </c>
      <c r="F6053" s="20" t="s">
        <v>29424</v>
      </c>
      <c r="G6053" s="20" t="s">
        <v>29425</v>
      </c>
      <c r="H6053" s="24"/>
      <c r="I6053" s="24" t="str">
        <f ca="1">IFERROR(__xludf.DUMMYFUNCTION("GOOGLETRANSLATE(F6053,""en"",""pt"")"),"ânodos granel")</f>
        <v>ânodos granel</v>
      </c>
      <c r="J6053">
        <f>VLOOKUP(A6053,Pr_Base_LNEC!$A$4:$J$6971,6,FALSE)</f>
        <v>0</v>
      </c>
      <c r="K6053">
        <f>VLOOKUP(A6053,Pr_Base_LNEC!$A$4:$J$6971,7,FALSE)</f>
        <v>0</v>
      </c>
    </row>
    <row r="6054" spans="1:11" ht="14.5">
      <c r="A6054" s="20" t="s">
        <v>29426</v>
      </c>
      <c r="B6054" s="20">
        <v>65</v>
      </c>
      <c r="C6054" s="20">
        <v>70</v>
      </c>
      <c r="D6054" s="20">
        <v>13</v>
      </c>
      <c r="E6054" s="20">
        <v>50</v>
      </c>
      <c r="F6054" s="20" t="s">
        <v>29427</v>
      </c>
      <c r="G6054" s="20" t="s">
        <v>29428</v>
      </c>
      <c r="H6054" s="24"/>
      <c r="I6054" s="24" t="str">
        <f ca="1">IFERROR(__xludf.DUMMYFUNCTION("GOOGLETRANSLATE(F6054,""en"",""pt"")"),"malha ânodos")</f>
        <v>malha ânodos</v>
      </c>
      <c r="J6054">
        <f>VLOOKUP(A6054,Pr_Base_LNEC!$A$4:$J$6971,6,FALSE)</f>
        <v>0</v>
      </c>
      <c r="K6054">
        <f>VLOOKUP(A6054,Pr_Base_LNEC!$A$4:$J$6971,7,FALSE)</f>
        <v>0</v>
      </c>
    </row>
    <row r="6055" spans="1:11" ht="14.5">
      <c r="A6055" s="20" t="s">
        <v>29429</v>
      </c>
      <c r="B6055" s="20">
        <v>65</v>
      </c>
      <c r="C6055" s="20">
        <v>70</v>
      </c>
      <c r="D6055" s="20">
        <v>13</v>
      </c>
      <c r="E6055" s="20">
        <v>72</v>
      </c>
      <c r="F6055" s="20" t="s">
        <v>29430</v>
      </c>
      <c r="G6055" s="20" t="s">
        <v>29431</v>
      </c>
      <c r="H6055" s="24"/>
      <c r="I6055" s="24" t="str">
        <f ca="1">IFERROR(__xludf.DUMMYFUNCTION("GOOGLETRANSLATE(F6055,""en"",""pt"")"),"ânodos rod")</f>
        <v>ânodos rod</v>
      </c>
      <c r="J6055">
        <f>VLOOKUP(A6055,Pr_Base_LNEC!$A$4:$J$6971,6,FALSE)</f>
        <v>0</v>
      </c>
      <c r="K6055">
        <f>VLOOKUP(A6055,Pr_Base_LNEC!$A$4:$J$6971,7,FALSE)</f>
        <v>0</v>
      </c>
    </row>
    <row r="6056" spans="1:11" ht="14.5">
      <c r="A6056" s="20" t="s">
        <v>29432</v>
      </c>
      <c r="B6056" s="20">
        <v>65</v>
      </c>
      <c r="C6056" s="20">
        <v>70</v>
      </c>
      <c r="D6056" s="20">
        <v>13</v>
      </c>
      <c r="E6056" s="20">
        <v>85</v>
      </c>
      <c r="F6056" s="20" t="s">
        <v>29433</v>
      </c>
      <c r="G6056" s="20" t="s">
        <v>29434</v>
      </c>
      <c r="H6056" s="24"/>
      <c r="I6056" s="24" t="str">
        <f ca="1">IFERROR(__xludf.DUMMYFUNCTION("GOOGLETRANSLATE(F6056,""en"",""pt"")"),"ânodos folha")</f>
        <v>ânodos folha</v>
      </c>
      <c r="J6056">
        <f>VLOOKUP(A6056,Pr_Base_LNEC!$A$4:$J$6971,6,FALSE)</f>
        <v>0</v>
      </c>
      <c r="K6056">
        <f>VLOOKUP(A6056,Pr_Base_LNEC!$A$4:$J$6971,7,FALSE)</f>
        <v>0</v>
      </c>
    </row>
    <row r="6057" spans="1:11" ht="14.5">
      <c r="A6057" s="20" t="s">
        <v>29435</v>
      </c>
      <c r="B6057" s="20">
        <v>65</v>
      </c>
      <c r="C6057" s="20">
        <v>70</v>
      </c>
      <c r="D6057" s="20">
        <v>15</v>
      </c>
      <c r="E6057" s="24"/>
      <c r="F6057" s="20" t="s">
        <v>29436</v>
      </c>
      <c r="G6057" s="24"/>
      <c r="H6057" s="24"/>
      <c r="I6057" s="24" t="str">
        <f ca="1">IFERROR(__xludf.DUMMYFUNCTION("GOOGLETRANSLATE(F6057,""en"",""pt"")"),"cabos de comunicação e acessórios")</f>
        <v>cabos de comunicação e acessórios</v>
      </c>
      <c r="J6057">
        <f>VLOOKUP(A6057,Pr_Base_LNEC!$A$4:$J$6971,6,FALSE)</f>
        <v>0</v>
      </c>
      <c r="K6057">
        <f>VLOOKUP(A6057,Pr_Base_LNEC!$A$4:$J$6971,7,FALSE)</f>
        <v>0</v>
      </c>
    </row>
    <row r="6058" spans="1:11" ht="14.5">
      <c r="A6058" s="20" t="s">
        <v>29437</v>
      </c>
      <c r="B6058" s="20">
        <v>65</v>
      </c>
      <c r="C6058" s="20">
        <v>70</v>
      </c>
      <c r="D6058" s="20">
        <v>15</v>
      </c>
      <c r="E6058" s="20">
        <v>3</v>
      </c>
      <c r="F6058" s="20" t="s">
        <v>29438</v>
      </c>
      <c r="G6058" s="24"/>
      <c r="H6058" s="24"/>
      <c r="I6058" s="24" t="str">
        <f ca="1">IFERROR(__xludf.DUMMYFUNCTION("GOOGLETRANSLATE(F6058,""en"",""pt"")"),"comunicações cabos coaxiais blindados")</f>
        <v>comunicações cabos coaxiais blindados</v>
      </c>
      <c r="J6058">
        <f>VLOOKUP(A6058,Pr_Base_LNEC!$A$4:$J$6971,6,FALSE)</f>
        <v>0</v>
      </c>
      <c r="K6058">
        <f>VLOOKUP(A6058,Pr_Base_LNEC!$A$4:$J$6971,7,FALSE)</f>
        <v>0</v>
      </c>
    </row>
    <row r="6059" spans="1:11" ht="14.5">
      <c r="A6059" s="20" t="s">
        <v>29439</v>
      </c>
      <c r="B6059" s="20">
        <v>65</v>
      </c>
      <c r="C6059" s="20">
        <v>70</v>
      </c>
      <c r="D6059" s="20">
        <v>15</v>
      </c>
      <c r="E6059" s="20">
        <v>4</v>
      </c>
      <c r="F6059" s="20" t="s">
        <v>29440</v>
      </c>
      <c r="G6059" s="20" t="s">
        <v>29441</v>
      </c>
      <c r="H6059" s="24"/>
      <c r="I6059" s="24" t="str">
        <f ca="1">IFERROR(__xludf.DUMMYFUNCTION("GOOGLETRANSLATE(F6059,""en"",""pt"")"),"cabos de comunicação blindados")</f>
        <v>cabos de comunicação blindados</v>
      </c>
      <c r="J6059">
        <f>VLOOKUP(A6059,Pr_Base_LNEC!$A$4:$J$6971,6,FALSE)</f>
        <v>0</v>
      </c>
      <c r="K6059">
        <f>VLOOKUP(A6059,Pr_Base_LNEC!$A$4:$J$6971,7,FALSE)</f>
        <v>0</v>
      </c>
    </row>
    <row r="6060" spans="1:11" ht="14.5">
      <c r="A6060" s="20" t="s">
        <v>29442</v>
      </c>
      <c r="B6060" s="20">
        <v>65</v>
      </c>
      <c r="C6060" s="20">
        <v>70</v>
      </c>
      <c r="D6060" s="20">
        <v>15</v>
      </c>
      <c r="E6060" s="20">
        <v>6</v>
      </c>
      <c r="F6060" s="20" t="s">
        <v>29443</v>
      </c>
      <c r="G6060" s="20" t="s">
        <v>29444</v>
      </c>
      <c r="H6060" s="24"/>
      <c r="I6060" s="24" t="str">
        <f ca="1">IFERROR(__xludf.DUMMYFUNCTION("GOOGLETRANSLATE(F6060,""en"",""pt"")"),"cabos de par torcido equilibradas")</f>
        <v>cabos de par torcido equilibradas</v>
      </c>
      <c r="J6060">
        <f>VLOOKUP(A6060,Pr_Base_LNEC!$A$4:$J$6971,6,FALSE)</f>
        <v>0</v>
      </c>
      <c r="K6060">
        <f>VLOOKUP(A6060,Pr_Base_LNEC!$A$4:$J$6971,7,FALSE)</f>
        <v>0</v>
      </c>
    </row>
    <row r="6061" spans="1:11" ht="14.5">
      <c r="A6061" s="20" t="s">
        <v>29445</v>
      </c>
      <c r="B6061" s="20">
        <v>65</v>
      </c>
      <c r="C6061" s="20">
        <v>70</v>
      </c>
      <c r="D6061" s="20">
        <v>15</v>
      </c>
      <c r="E6061" s="20">
        <v>13</v>
      </c>
      <c r="F6061" s="20" t="s">
        <v>29446</v>
      </c>
      <c r="G6061" s="20" t="s">
        <v>29447</v>
      </c>
      <c r="H6061" s="24"/>
      <c r="I6061" s="24" t="str">
        <f ca="1">IFERROR(__xludf.DUMMYFUNCTION("GOOGLETRANSLATE(F6061,""en"",""pt"")"),"cabos coaxiais")</f>
        <v>cabos coaxiais</v>
      </c>
      <c r="J6061">
        <f>VLOOKUP(A6061,Pr_Base_LNEC!$A$4:$J$6971,6,FALSE)</f>
        <v>0</v>
      </c>
      <c r="K6061">
        <f>VLOOKUP(A6061,Pr_Base_LNEC!$A$4:$J$6971,7,FALSE)</f>
        <v>0</v>
      </c>
    </row>
    <row r="6062" spans="1:11" ht="14.5">
      <c r="A6062" s="20" t="s">
        <v>29448</v>
      </c>
      <c r="B6062" s="20">
        <v>65</v>
      </c>
      <c r="C6062" s="20">
        <v>70</v>
      </c>
      <c r="D6062" s="20">
        <v>15</v>
      </c>
      <c r="E6062" s="20">
        <v>15</v>
      </c>
      <c r="F6062" s="20" t="s">
        <v>29449</v>
      </c>
      <c r="G6062" s="24"/>
      <c r="H6062" s="24"/>
      <c r="I6062" s="24" t="str">
        <f ca="1">IFERROR(__xludf.DUMMYFUNCTION("GOOGLETRANSLATE(F6062,""en"",""pt"")"),"conectores de cabo de cobre")</f>
        <v>conectores de cabo de cobre</v>
      </c>
      <c r="J6062" t="e">
        <f>VLOOKUP(A6062,Pr_Base_LNEC!$A$4:$J$6971,6,FALSE)</f>
        <v>#N/A</v>
      </c>
      <c r="K6062" t="e">
        <f>VLOOKUP(A6062,Pr_Base_LNEC!$A$4:$J$6971,7,FALSE)</f>
        <v>#N/A</v>
      </c>
    </row>
    <row r="6063" spans="1:11" ht="14.5">
      <c r="A6063" s="20" t="s">
        <v>29450</v>
      </c>
      <c r="B6063" s="20">
        <v>65</v>
      </c>
      <c r="C6063" s="20">
        <v>70</v>
      </c>
      <c r="D6063" s="20">
        <v>15</v>
      </c>
      <c r="E6063" s="20">
        <v>16</v>
      </c>
      <c r="F6063" s="20" t="s">
        <v>29451</v>
      </c>
      <c r="G6063" s="24"/>
      <c r="H6063" s="24"/>
      <c r="I6063" s="24" t="str">
        <f ca="1">IFERROR(__xludf.DUMMYFUNCTION("GOOGLETRANSLATE(F6063,""en"",""pt"")"),"terminações de cabos de cobre")</f>
        <v>terminações de cabos de cobre</v>
      </c>
      <c r="J6063" t="e">
        <f>VLOOKUP(A6063,Pr_Base_LNEC!$A$4:$J$6971,6,FALSE)</f>
        <v>#N/A</v>
      </c>
      <c r="K6063" t="e">
        <f>VLOOKUP(A6063,Pr_Base_LNEC!$A$4:$J$6971,7,FALSE)</f>
        <v>#N/A</v>
      </c>
    </row>
    <row r="6064" spans="1:11" ht="14.5">
      <c r="A6064" s="20" t="s">
        <v>29452</v>
      </c>
      <c r="B6064" s="20">
        <v>65</v>
      </c>
      <c r="C6064" s="20">
        <v>70</v>
      </c>
      <c r="D6064" s="20">
        <v>15</v>
      </c>
      <c r="E6064" s="20">
        <v>17</v>
      </c>
      <c r="F6064" s="20" t="s">
        <v>29453</v>
      </c>
      <c r="G6064" s="20" t="s">
        <v>29454</v>
      </c>
      <c r="H6064" s="24"/>
      <c r="I6064" s="24" t="str">
        <f ca="1">IFERROR(__xludf.DUMMYFUNCTION("GOOGLETRANSLATE(F6064,""en"",""pt"")"),"cabos de voz de cobre")</f>
        <v>cabos de voz de cobre</v>
      </c>
      <c r="J6064">
        <f>VLOOKUP(A6064,Pr_Base_LNEC!$A$4:$J$6971,6,FALSE)</f>
        <v>0</v>
      </c>
      <c r="K6064">
        <f>VLOOKUP(A6064,Pr_Base_LNEC!$A$4:$J$6971,7,FALSE)</f>
        <v>0</v>
      </c>
    </row>
    <row r="6065" spans="1:11" ht="14.5">
      <c r="A6065" s="20" t="s">
        <v>29455</v>
      </c>
      <c r="B6065" s="20">
        <v>65</v>
      </c>
      <c r="C6065" s="20">
        <v>70</v>
      </c>
      <c r="D6065" s="20">
        <v>15</v>
      </c>
      <c r="E6065" s="20">
        <v>18</v>
      </c>
      <c r="F6065" s="20" t="s">
        <v>29456</v>
      </c>
      <c r="G6065" s="24"/>
      <c r="H6065" s="24"/>
      <c r="I6065" s="24" t="str">
        <f ca="1">IFERROR(__xludf.DUMMYFUNCTION("GOOGLETRANSLATE(F6065,""en"",""pt"")"),"voz de cobre (LSF) Cabos")</f>
        <v>voz de cobre (LSF) Cabos</v>
      </c>
      <c r="J6065" t="e">
        <f>VLOOKUP(A6065,Pr_Base_LNEC!$A$4:$J$6971,6,FALSE)</f>
        <v>#N/A</v>
      </c>
      <c r="K6065" t="e">
        <f>VLOOKUP(A6065,Pr_Base_LNEC!$A$4:$J$6971,7,FALSE)</f>
        <v>#N/A</v>
      </c>
    </row>
    <row r="6066" spans="1:11" ht="14.5">
      <c r="A6066" s="20" t="s">
        <v>29457</v>
      </c>
      <c r="B6066" s="20">
        <v>65</v>
      </c>
      <c r="C6066" s="20">
        <v>70</v>
      </c>
      <c r="D6066" s="20">
        <v>15</v>
      </c>
      <c r="E6066" s="20">
        <v>32</v>
      </c>
      <c r="F6066" s="20" t="s">
        <v>29458</v>
      </c>
      <c r="G6066" s="24"/>
      <c r="H6066" s="24"/>
      <c r="I6066" s="24" t="str">
        <f ca="1">IFERROR(__xludf.DUMMYFUNCTION("GOOGLETRANSLATE(F6066,""en"",""pt"")"),"cabos de terra funcional")</f>
        <v>cabos de terra funcional</v>
      </c>
      <c r="J6066">
        <f>VLOOKUP(A6066,Pr_Base_LNEC!$A$4:$J$6971,6,FALSE)</f>
        <v>0</v>
      </c>
      <c r="K6066">
        <f>VLOOKUP(A6066,Pr_Base_LNEC!$A$4:$J$6971,7,FALSE)</f>
        <v>0</v>
      </c>
    </row>
    <row r="6067" spans="1:11" ht="14.5">
      <c r="A6067" s="20" t="s">
        <v>29459</v>
      </c>
      <c r="B6067" s="20">
        <v>65</v>
      </c>
      <c r="C6067" s="20">
        <v>70</v>
      </c>
      <c r="D6067" s="20">
        <v>15</v>
      </c>
      <c r="E6067" s="20">
        <v>50</v>
      </c>
      <c r="F6067" s="20" t="s">
        <v>29460</v>
      </c>
      <c r="G6067" s="20" t="s">
        <v>29461</v>
      </c>
      <c r="H6067" s="24"/>
      <c r="I6067" s="24" t="str">
        <f ca="1">IFERROR(__xludf.DUMMYFUNCTION("GOOGLETRANSLATE(F6067,""en"",""pt"")"),"cabos de microfone")</f>
        <v>cabos de microfone</v>
      </c>
      <c r="J6067">
        <f>VLOOKUP(A6067,Pr_Base_LNEC!$A$4:$J$6971,6,FALSE)</f>
        <v>0</v>
      </c>
      <c r="K6067">
        <f>VLOOKUP(A6067,Pr_Base_LNEC!$A$4:$J$6971,7,FALSE)</f>
        <v>0</v>
      </c>
    </row>
    <row r="6068" spans="1:11" ht="14.5">
      <c r="A6068" s="20" t="s">
        <v>29462</v>
      </c>
      <c r="B6068" s="20">
        <v>65</v>
      </c>
      <c r="C6068" s="20">
        <v>70</v>
      </c>
      <c r="D6068" s="20">
        <v>15</v>
      </c>
      <c r="E6068" s="20">
        <v>53</v>
      </c>
      <c r="F6068" s="20" t="s">
        <v>29463</v>
      </c>
      <c r="G6068" s="20" t="s">
        <v>29464</v>
      </c>
      <c r="H6068" s="24"/>
      <c r="I6068" s="24" t="str">
        <f ca="1">IFERROR(__xludf.DUMMYFUNCTION("GOOGLETRANSLATE(F6068,""en"",""pt"")"),"cabos de alarme de múltiplos núcleos")</f>
        <v>cabos de alarme de múltiplos núcleos</v>
      </c>
      <c r="J6068">
        <f>VLOOKUP(A6068,Pr_Base_LNEC!$A$4:$J$6971,6,FALSE)</f>
        <v>0</v>
      </c>
      <c r="K6068">
        <f>VLOOKUP(A6068,Pr_Base_LNEC!$A$4:$J$6971,7,FALSE)</f>
        <v>0</v>
      </c>
    </row>
    <row r="6069" spans="1:11" ht="14.5">
      <c r="A6069" s="20" t="s">
        <v>29465</v>
      </c>
      <c r="B6069" s="20">
        <v>65</v>
      </c>
      <c r="C6069" s="20">
        <v>70</v>
      </c>
      <c r="D6069" s="20">
        <v>15</v>
      </c>
      <c r="E6069" s="20">
        <v>58</v>
      </c>
      <c r="F6069" s="20" t="s">
        <v>29466</v>
      </c>
      <c r="G6069" s="20" t="s">
        <v>29467</v>
      </c>
      <c r="H6069" s="24"/>
      <c r="I6069" s="24" t="str">
        <f ca="1">IFERROR(__xludf.DUMMYFUNCTION("GOOGLETRANSLATE(F6069,""en"",""pt"")"),"Cabos de fibras ópticas")</f>
        <v>Cabos de fibras ópticas</v>
      </c>
      <c r="J6069">
        <f>VLOOKUP(A6069,Pr_Base_LNEC!$A$4:$J$6971,6,FALSE)</f>
        <v>0</v>
      </c>
      <c r="K6069">
        <f>VLOOKUP(A6069,Pr_Base_LNEC!$A$4:$J$6971,7,FALSE)</f>
        <v>0</v>
      </c>
    </row>
    <row r="6070" spans="1:11" ht="14.5">
      <c r="A6070" s="20" t="s">
        <v>29468</v>
      </c>
      <c r="B6070" s="20">
        <v>65</v>
      </c>
      <c r="C6070" s="20">
        <v>70</v>
      </c>
      <c r="D6070" s="20">
        <v>15</v>
      </c>
      <c r="E6070" s="20">
        <v>59</v>
      </c>
      <c r="F6070" s="20" t="s">
        <v>29469</v>
      </c>
      <c r="G6070" s="24"/>
      <c r="H6070" s="24"/>
      <c r="I6070" s="24" t="str">
        <f ca="1">IFERROR(__xludf.DUMMYFUNCTION("GOOGLETRANSLATE(F6070,""en"",""pt"")"),"conectores de cabos de fibra óptica")</f>
        <v>conectores de cabos de fibra óptica</v>
      </c>
      <c r="J6070" t="e">
        <f>VLOOKUP(A6070,Pr_Base_LNEC!$A$4:$J$6971,6,FALSE)</f>
        <v>#N/A</v>
      </c>
      <c r="K6070" t="e">
        <f>VLOOKUP(A6070,Pr_Base_LNEC!$A$4:$J$6971,7,FALSE)</f>
        <v>#N/A</v>
      </c>
    </row>
    <row r="6071" spans="1:11" ht="14.5">
      <c r="A6071" s="20" t="s">
        <v>29470</v>
      </c>
      <c r="B6071" s="20">
        <v>65</v>
      </c>
      <c r="C6071" s="20">
        <v>70</v>
      </c>
      <c r="D6071" s="20">
        <v>15</v>
      </c>
      <c r="E6071" s="20">
        <v>60</v>
      </c>
      <c r="F6071" s="20" t="s">
        <v>29471</v>
      </c>
      <c r="G6071" s="20" t="s">
        <v>29472</v>
      </c>
      <c r="H6071" s="24"/>
      <c r="I6071" s="24" t="str">
        <f ca="1">IFERROR(__xludf.DUMMYFUNCTION("GOOGLETRANSLATE(F6071,""en"",""pt"")"),"patch cords de fibra óptica")</f>
        <v>patch cords de fibra óptica</v>
      </c>
      <c r="J6071">
        <f>VLOOKUP(A6071,Pr_Base_LNEC!$A$4:$J$6971,6,FALSE)</f>
        <v>0</v>
      </c>
      <c r="K6071">
        <f>VLOOKUP(A6071,Pr_Base_LNEC!$A$4:$J$6971,7,FALSE)</f>
        <v>0</v>
      </c>
    </row>
    <row r="6072" spans="1:11" ht="14.5">
      <c r="A6072" s="20" t="s">
        <v>29473</v>
      </c>
      <c r="B6072" s="20">
        <v>65</v>
      </c>
      <c r="C6072" s="20">
        <v>70</v>
      </c>
      <c r="D6072" s="20">
        <v>15</v>
      </c>
      <c r="E6072" s="20">
        <v>62</v>
      </c>
      <c r="F6072" s="20" t="s">
        <v>29474</v>
      </c>
      <c r="G6072" s="24"/>
      <c r="H6072" s="24"/>
      <c r="I6072" s="24" t="str">
        <f ca="1">IFERROR(__xludf.DUMMYFUNCTION("GOOGLETRANSLATE(F6072,""en"",""pt"")"),"caixas de junção de fibras ópticas")</f>
        <v>caixas de junção de fibras ópticas</v>
      </c>
      <c r="J6072">
        <f>VLOOKUP(A6072,Pr_Base_LNEC!$A$4:$J$6971,6,FALSE)</f>
        <v>0</v>
      </c>
      <c r="K6072">
        <f>VLOOKUP(A6072,Pr_Base_LNEC!$A$4:$J$6971,7,FALSE)</f>
        <v>0</v>
      </c>
    </row>
    <row r="6073" spans="1:11" ht="14.5">
      <c r="A6073" s="20" t="s">
        <v>29475</v>
      </c>
      <c r="B6073" s="20">
        <v>65</v>
      </c>
      <c r="C6073" s="20">
        <v>70</v>
      </c>
      <c r="D6073" s="20">
        <v>15</v>
      </c>
      <c r="E6073" s="20">
        <v>63</v>
      </c>
      <c r="F6073" s="20" t="s">
        <v>29476</v>
      </c>
      <c r="G6073" s="24"/>
      <c r="H6073" s="24"/>
      <c r="I6073" s="24" t="str">
        <f ca="1">IFERROR(__xludf.DUMMYFUNCTION("GOOGLETRANSLATE(F6073,""en"",""pt"")"),"terminações de cabos de fibras ópticas")</f>
        <v>terminações de cabos de fibras ópticas</v>
      </c>
      <c r="J6073" t="e">
        <f>VLOOKUP(A6073,Pr_Base_LNEC!$A$4:$J$6971,6,FALSE)</f>
        <v>#N/A</v>
      </c>
      <c r="K6073" t="e">
        <f>VLOOKUP(A6073,Pr_Base_LNEC!$A$4:$J$6971,7,FALSE)</f>
        <v>#N/A</v>
      </c>
    </row>
    <row r="6074" spans="1:11" ht="14.5">
      <c r="A6074" s="20" t="s">
        <v>29477</v>
      </c>
      <c r="B6074" s="20">
        <v>65</v>
      </c>
      <c r="C6074" s="20">
        <v>70</v>
      </c>
      <c r="D6074" s="20">
        <v>15</v>
      </c>
      <c r="E6074" s="20">
        <v>70</v>
      </c>
      <c r="F6074" s="20" t="s">
        <v>29478</v>
      </c>
      <c r="G6074" s="24"/>
      <c r="H6074" s="24"/>
      <c r="I6074" s="24" t="str">
        <f ca="1">IFERROR(__xludf.DUMMYFUNCTION("GOOGLETRANSLATE(F6074,""en"",""pt"")"),"de radiofrequência (RF) cabos de transmissão")</f>
        <v>de radiofrequência (RF) cabos de transmissão</v>
      </c>
      <c r="J6074">
        <f>VLOOKUP(A6074,Pr_Base_LNEC!$A$4:$J$6971,6,FALSE)</f>
        <v>0</v>
      </c>
      <c r="K6074">
        <f>VLOOKUP(A6074,Pr_Base_LNEC!$A$4:$J$6971,7,FALSE)</f>
        <v>0</v>
      </c>
    </row>
    <row r="6075" spans="1:11" ht="14.5">
      <c r="A6075" s="20" t="s">
        <v>29479</v>
      </c>
      <c r="B6075" s="20">
        <v>65</v>
      </c>
      <c r="C6075" s="20">
        <v>70</v>
      </c>
      <c r="D6075" s="20">
        <v>15</v>
      </c>
      <c r="E6075" s="20">
        <v>80</v>
      </c>
      <c r="F6075" s="20" t="s">
        <v>29480</v>
      </c>
      <c r="G6075" s="20" t="s">
        <v>29481</v>
      </c>
      <c r="H6075" s="24"/>
      <c r="I6075" s="24" t="str">
        <f ca="1">IFERROR(__xludf.DUMMYFUNCTION("GOOGLETRANSLATE(F6075,""en"",""pt"")"),"cabos de alto-falante")</f>
        <v>cabos de alto-falante</v>
      </c>
      <c r="J6075">
        <f>VLOOKUP(A6075,Pr_Base_LNEC!$A$4:$J$6971,6,FALSE)</f>
        <v>0</v>
      </c>
      <c r="K6075">
        <f>VLOOKUP(A6075,Pr_Base_LNEC!$A$4:$J$6971,7,FALSE)</f>
        <v>0</v>
      </c>
    </row>
    <row r="6076" spans="1:11" ht="14.5">
      <c r="A6076" s="20" t="s">
        <v>29482</v>
      </c>
      <c r="B6076" s="20">
        <v>65</v>
      </c>
      <c r="C6076" s="20">
        <v>70</v>
      </c>
      <c r="D6076" s="20">
        <v>15</v>
      </c>
      <c r="E6076" s="20">
        <v>96</v>
      </c>
      <c r="F6076" s="20" t="s">
        <v>29483</v>
      </c>
      <c r="G6076" s="20" t="s">
        <v>29484</v>
      </c>
      <c r="H6076" s="24"/>
      <c r="I6076" s="24" t="str">
        <f ca="1">IFERROR(__xludf.DUMMYFUNCTION("GOOGLETRANSLATE(F6076,""en"",""pt"")"),"cabos cordão da área de trabalho e de patch")</f>
        <v>cabos cordão da área de trabalho e de patch</v>
      </c>
      <c r="J6076">
        <f>VLOOKUP(A6076,Pr_Base_LNEC!$A$4:$J$6971,6,FALSE)</f>
        <v>0</v>
      </c>
      <c r="K6076">
        <f>VLOOKUP(A6076,Pr_Base_LNEC!$A$4:$J$6971,7,FALSE)</f>
        <v>0</v>
      </c>
    </row>
    <row r="6077" spans="1:11" ht="14.5">
      <c r="A6077" s="20" t="s">
        <v>29485</v>
      </c>
      <c r="B6077" s="20">
        <v>65</v>
      </c>
      <c r="C6077" s="20">
        <v>70</v>
      </c>
      <c r="D6077" s="20">
        <v>16</v>
      </c>
      <c r="E6077" s="24"/>
      <c r="F6077" s="20" t="s">
        <v>29486</v>
      </c>
      <c r="G6077" s="24"/>
      <c r="H6077" s="24"/>
      <c r="I6077" s="24" t="str">
        <f ca="1">IFERROR(__xludf.DUMMYFUNCTION("GOOGLETRANSLATE(F6077,""en"",""pt"")"),"auxiliares carril condutor")</f>
        <v>auxiliares carril condutor</v>
      </c>
      <c r="J6077">
        <f>VLOOKUP(A6077,Pr_Base_LNEC!$A$4:$J$6971,6,FALSE)</f>
        <v>0</v>
      </c>
      <c r="K6077">
        <f>VLOOKUP(A6077,Pr_Base_LNEC!$A$4:$J$6971,7,FALSE)</f>
        <v>0</v>
      </c>
    </row>
    <row r="6078" spans="1:11" ht="14.5">
      <c r="A6078" s="20" t="s">
        <v>29487</v>
      </c>
      <c r="B6078" s="20">
        <v>65</v>
      </c>
      <c r="C6078" s="20">
        <v>70</v>
      </c>
      <c r="D6078" s="20">
        <v>16</v>
      </c>
      <c r="E6078" s="20">
        <v>3</v>
      </c>
      <c r="F6078" s="20" t="s">
        <v>29488</v>
      </c>
      <c r="G6078" s="24"/>
      <c r="H6078" s="24"/>
      <c r="I6078" s="24" t="str">
        <f ca="1">IFERROR(__xludf.DUMMYFUNCTION("GOOGLETRANSLATE(F6078,""en"",""pt"")"),"suportes de ancoragem")</f>
        <v>suportes de ancoragem</v>
      </c>
      <c r="J6078">
        <f>VLOOKUP(A6078,Pr_Base_LNEC!$A$4:$J$6971,6,FALSE)</f>
        <v>0</v>
      </c>
      <c r="K6078">
        <f>VLOOKUP(A6078,Pr_Base_LNEC!$A$4:$J$6971,7,FALSE)</f>
        <v>0</v>
      </c>
    </row>
    <row r="6079" spans="1:11" ht="14.5">
      <c r="A6079" s="20" t="s">
        <v>29489</v>
      </c>
      <c r="B6079" s="20">
        <v>65</v>
      </c>
      <c r="C6079" s="20">
        <v>70</v>
      </c>
      <c r="D6079" s="20">
        <v>16</v>
      </c>
      <c r="E6079" s="20">
        <v>8</v>
      </c>
      <c r="F6079" s="20" t="s">
        <v>29490</v>
      </c>
      <c r="G6079" s="20" t="s">
        <v>29491</v>
      </c>
      <c r="H6079" s="24"/>
      <c r="I6079" s="24" t="str">
        <f ca="1">IFERROR(__xludf.DUMMYFUNCTION("GOOGLETRANSLATE(F6079,""en"",""pt"")"),"isoladores compostos")</f>
        <v>isoladores compostos</v>
      </c>
      <c r="J6079">
        <f>VLOOKUP(A6079,Pr_Base_LNEC!$A$4:$J$6971,6,FALSE)</f>
        <v>0</v>
      </c>
      <c r="K6079">
        <f>VLOOKUP(A6079,Pr_Base_LNEC!$A$4:$J$6971,7,FALSE)</f>
        <v>0</v>
      </c>
    </row>
    <row r="6080" spans="1:11" ht="14.5">
      <c r="A6080" s="20" t="s">
        <v>29492</v>
      </c>
      <c r="B6080" s="20">
        <v>65</v>
      </c>
      <c r="C6080" s="20">
        <v>70</v>
      </c>
      <c r="D6080" s="20">
        <v>16</v>
      </c>
      <c r="E6080" s="20">
        <v>10</v>
      </c>
      <c r="F6080" s="20" t="s">
        <v>29493</v>
      </c>
      <c r="G6080" s="24"/>
      <c r="H6080" s="24"/>
      <c r="I6080" s="24" t="str">
        <f ca="1">IFERROR(__xludf.DUMMYFUNCTION("GOOGLETRANSLATE(F6080,""en"",""pt"")"),"âncoras carril condutor")</f>
        <v>âncoras carril condutor</v>
      </c>
      <c r="J6080">
        <f>VLOOKUP(A6080,Pr_Base_LNEC!$A$4:$J$6971,6,FALSE)</f>
        <v>0</v>
      </c>
      <c r="K6080">
        <f>VLOOKUP(A6080,Pr_Base_LNEC!$A$4:$J$6971,7,FALSE)</f>
        <v>0</v>
      </c>
    </row>
    <row r="6081" spans="1:11" ht="14.5">
      <c r="A6081" s="20" t="s">
        <v>29494</v>
      </c>
      <c r="B6081" s="20">
        <v>65</v>
      </c>
      <c r="C6081" s="20">
        <v>70</v>
      </c>
      <c r="D6081" s="20">
        <v>16</v>
      </c>
      <c r="E6081" s="20">
        <v>12</v>
      </c>
      <c r="F6081" s="20" t="s">
        <v>29495</v>
      </c>
      <c r="G6081" s="20" t="s">
        <v>29496</v>
      </c>
      <c r="H6081" s="24"/>
      <c r="I6081" s="24" t="str">
        <f ca="1">IFERROR(__xludf.DUMMYFUNCTION("GOOGLETRANSLATE(F6081,""en"",""pt"")"),"placas de cobertura condutor ferroviário")</f>
        <v>placas de cobertura condutor ferroviário</v>
      </c>
      <c r="J6081">
        <f>VLOOKUP(A6081,Pr_Base_LNEC!$A$4:$J$6971,6,FALSE)</f>
        <v>0</v>
      </c>
      <c r="K6081">
        <f>VLOOKUP(A6081,Pr_Base_LNEC!$A$4:$J$6971,7,FALSE)</f>
        <v>0</v>
      </c>
    </row>
    <row r="6082" spans="1:11" ht="14.5">
      <c r="A6082" s="20" t="s">
        <v>29497</v>
      </c>
      <c r="B6082" s="20">
        <v>65</v>
      </c>
      <c r="C6082" s="20">
        <v>70</v>
      </c>
      <c r="D6082" s="20">
        <v>16</v>
      </c>
      <c r="E6082" s="20">
        <v>15</v>
      </c>
      <c r="F6082" s="20" t="s">
        <v>29498</v>
      </c>
      <c r="G6082" s="24"/>
      <c r="H6082" s="24"/>
      <c r="I6082" s="24" t="str">
        <f ca="1">IFERROR(__xludf.DUMMYFUNCTION("GOOGLETRANSLATE(F6082,""en"",""pt"")"),"Condutor placas de guarda ferroviário")</f>
        <v>Condutor placas de guarda ferroviário</v>
      </c>
      <c r="J6082">
        <f>VLOOKUP(A6082,Pr_Base_LNEC!$A$4:$J$6971,6,FALSE)</f>
        <v>0</v>
      </c>
      <c r="K6082">
        <f>VLOOKUP(A6082,Pr_Base_LNEC!$A$4:$J$6971,7,FALSE)</f>
        <v>0</v>
      </c>
    </row>
    <row r="6083" spans="1:11" ht="14.5">
      <c r="A6083" s="20" t="s">
        <v>29499</v>
      </c>
      <c r="B6083" s="20">
        <v>65</v>
      </c>
      <c r="C6083" s="20">
        <v>70</v>
      </c>
      <c r="D6083" s="20">
        <v>16</v>
      </c>
      <c r="E6083" s="20">
        <v>16</v>
      </c>
      <c r="F6083" s="20" t="s">
        <v>29500</v>
      </c>
      <c r="G6083" s="24"/>
      <c r="H6083" s="24"/>
      <c r="I6083" s="24" t="str">
        <f ca="1">IFERROR(__xludf.DUMMYFUNCTION("GOOGLETRANSLATE(F6083,""en"",""pt"")"),"isoladores carril condutor")</f>
        <v>isoladores carril condutor</v>
      </c>
      <c r="J6083">
        <f>VLOOKUP(A6083,Pr_Base_LNEC!$A$4:$J$6971,6,FALSE)</f>
        <v>0</v>
      </c>
      <c r="K6083">
        <f>VLOOKUP(A6083,Pr_Base_LNEC!$A$4:$J$6971,7,FALSE)</f>
        <v>0</v>
      </c>
    </row>
    <row r="6084" spans="1:11" ht="14.5">
      <c r="A6084" s="20" t="s">
        <v>29501</v>
      </c>
      <c r="B6084" s="20">
        <v>65</v>
      </c>
      <c r="C6084" s="20">
        <v>70</v>
      </c>
      <c r="D6084" s="20">
        <v>16</v>
      </c>
      <c r="E6084" s="20">
        <v>17</v>
      </c>
      <c r="F6084" s="20" t="s">
        <v>29502</v>
      </c>
      <c r="G6084" s="24"/>
      <c r="H6084" s="24"/>
      <c r="I6084" s="24" t="str">
        <f ca="1">IFERROR(__xludf.DUMMYFUNCTION("GOOGLETRANSLATE(F6084,""en"",""pt"")"),"Condutor rampas laterais ferroviário")</f>
        <v>Condutor rampas laterais ferroviário</v>
      </c>
      <c r="J6084">
        <f>VLOOKUP(A6084,Pr_Base_LNEC!$A$4:$J$6971,6,FALSE)</f>
        <v>0</v>
      </c>
      <c r="K6084">
        <f>VLOOKUP(A6084,Pr_Base_LNEC!$A$4:$J$6971,7,FALSE)</f>
        <v>0</v>
      </c>
    </row>
    <row r="6085" spans="1:11" ht="14.5">
      <c r="A6085" s="20" t="s">
        <v>29503</v>
      </c>
      <c r="B6085" s="20">
        <v>65</v>
      </c>
      <c r="C6085" s="20">
        <v>70</v>
      </c>
      <c r="D6085" s="20">
        <v>16</v>
      </c>
      <c r="E6085" s="20">
        <v>20</v>
      </c>
      <c r="F6085" s="20" t="s">
        <v>29504</v>
      </c>
      <c r="G6085" s="20" t="s">
        <v>29505</v>
      </c>
      <c r="H6085" s="24"/>
      <c r="I6085" s="24" t="str">
        <f ca="1">IFERROR(__xludf.DUMMYFUNCTION("GOOGLETRANSLATE(F6085,""en"",""pt"")"),"suportes carril condutor")</f>
        <v>suportes carril condutor</v>
      </c>
      <c r="J6085">
        <f>VLOOKUP(A6085,Pr_Base_LNEC!$A$4:$J$6971,6,FALSE)</f>
        <v>0</v>
      </c>
      <c r="K6085">
        <f>VLOOKUP(A6085,Pr_Base_LNEC!$A$4:$J$6971,7,FALSE)</f>
        <v>0</v>
      </c>
    </row>
    <row r="6086" spans="1:11" ht="14.5">
      <c r="A6086" s="20" t="s">
        <v>29506</v>
      </c>
      <c r="B6086" s="20">
        <v>65</v>
      </c>
      <c r="C6086" s="20">
        <v>70</v>
      </c>
      <c r="D6086" s="20">
        <v>16</v>
      </c>
      <c r="E6086" s="20">
        <v>28</v>
      </c>
      <c r="F6086" s="20" t="s">
        <v>29507</v>
      </c>
      <c r="G6086" s="24"/>
      <c r="H6086" s="24"/>
      <c r="I6086" s="24" t="str">
        <f ca="1">IFERROR(__xludf.DUMMYFUNCTION("GOOGLETRANSLATE(F6086,""en"",""pt"")"),"tiras eutectic")</f>
        <v>tiras eutectic</v>
      </c>
      <c r="J6086">
        <f>VLOOKUP(A6086,Pr_Base_LNEC!$A$4:$J$6971,6,FALSE)</f>
        <v>0</v>
      </c>
      <c r="K6086">
        <f>VLOOKUP(A6086,Pr_Base_LNEC!$A$4:$J$6971,7,FALSE)</f>
        <v>0</v>
      </c>
    </row>
    <row r="6087" spans="1:11" ht="14.5">
      <c r="A6087" s="20" t="s">
        <v>29508</v>
      </c>
      <c r="B6087" s="20">
        <v>65</v>
      </c>
      <c r="C6087" s="20">
        <v>70</v>
      </c>
      <c r="D6087" s="20">
        <v>16</v>
      </c>
      <c r="E6087" s="20">
        <v>34</v>
      </c>
      <c r="F6087" s="20" t="s">
        <v>29509</v>
      </c>
      <c r="G6087" s="20" t="s">
        <v>29510</v>
      </c>
      <c r="H6087" s="24"/>
      <c r="I6087" s="24" t="str">
        <f ca="1">IFERROR(__xludf.DUMMYFUNCTION("GOOGLETRANSLATE(F6087,""en"",""pt"")"),"Vidro reforçado isoladores de nylon")</f>
        <v>Vidro reforçado isoladores de nylon</v>
      </c>
      <c r="J6087">
        <f>VLOOKUP(A6087,Pr_Base_LNEC!$A$4:$J$6971,6,FALSE)</f>
        <v>0</v>
      </c>
      <c r="K6087">
        <f>VLOOKUP(A6087,Pr_Base_LNEC!$A$4:$J$6971,7,FALSE)</f>
        <v>0</v>
      </c>
    </row>
    <row r="6088" spans="1:11" ht="14.5">
      <c r="A6088" s="20" t="s">
        <v>29511</v>
      </c>
      <c r="B6088" s="20">
        <v>65</v>
      </c>
      <c r="C6088" s="20">
        <v>70</v>
      </c>
      <c r="D6088" s="20">
        <v>16</v>
      </c>
      <c r="E6088" s="20">
        <v>57</v>
      </c>
      <c r="F6088" s="20" t="s">
        <v>29512</v>
      </c>
      <c r="G6088" s="20" t="s">
        <v>29513</v>
      </c>
      <c r="H6088" s="24"/>
      <c r="I6088" s="24" t="str">
        <f ca="1">IFERROR(__xludf.DUMMYFUNCTION("GOOGLETRANSLATE(F6088,""en"",""pt"")"),"isoladores de nylon")</f>
        <v>isoladores de nylon</v>
      </c>
      <c r="J6088">
        <f>VLOOKUP(A6088,Pr_Base_LNEC!$A$4:$J$6971,6,FALSE)</f>
        <v>0</v>
      </c>
      <c r="K6088">
        <f>VLOOKUP(A6088,Pr_Base_LNEC!$A$4:$J$6971,7,FALSE)</f>
        <v>0</v>
      </c>
    </row>
    <row r="6089" spans="1:11" ht="14.5">
      <c r="A6089" s="20" t="s">
        <v>29514</v>
      </c>
      <c r="B6089" s="20">
        <v>65</v>
      </c>
      <c r="C6089" s="20">
        <v>70</v>
      </c>
      <c r="D6089" s="20">
        <v>36</v>
      </c>
      <c r="E6089" s="24"/>
      <c r="F6089" s="20" t="s">
        <v>29515</v>
      </c>
      <c r="G6089" s="24"/>
      <c r="H6089" s="24"/>
      <c r="I6089" s="24" t="str">
        <f ca="1">IFERROR(__xludf.DUMMYFUNCTION("GOOGLETRANSLATE(F6089,""en"",""pt"")"),"Cabos de alta tensão")</f>
        <v>Cabos de alta tensão</v>
      </c>
      <c r="J6089">
        <f>VLOOKUP(A6089,Pr_Base_LNEC!$A$4:$J$6971,6,FALSE)</f>
        <v>0</v>
      </c>
      <c r="K6089">
        <f>VLOOKUP(A6089,Pr_Base_LNEC!$A$4:$J$6971,7,FALSE)</f>
        <v>0</v>
      </c>
    </row>
    <row r="6090" spans="1:11" ht="14.5">
      <c r="A6090" s="20" t="s">
        <v>29516</v>
      </c>
      <c r="B6090" s="20">
        <v>65</v>
      </c>
      <c r="C6090" s="20">
        <v>70</v>
      </c>
      <c r="D6090" s="20">
        <v>36</v>
      </c>
      <c r="E6090" s="20">
        <v>34</v>
      </c>
      <c r="F6090" s="20" t="s">
        <v>29517</v>
      </c>
      <c r="G6090" s="20" t="s">
        <v>29518</v>
      </c>
      <c r="H6090" s="24"/>
      <c r="I6090" s="24" t="str">
        <f ca="1">IFERROR(__xludf.DUMMYFUNCTION("GOOGLETRANSLATE(F6090,""en"",""pt"")"),"junções de cabos de alta tensão de retracção a frio")</f>
        <v>junções de cabos de alta tensão de retracção a frio</v>
      </c>
      <c r="J6090">
        <f>VLOOKUP(A6090,Pr_Base_LNEC!$A$4:$J$6971,6,FALSE)</f>
        <v>0</v>
      </c>
      <c r="K6090">
        <f>VLOOKUP(A6090,Pr_Base_LNEC!$A$4:$J$6971,7,FALSE)</f>
        <v>0</v>
      </c>
    </row>
    <row r="6091" spans="1:11" ht="14.5">
      <c r="A6091" s="20" t="s">
        <v>29519</v>
      </c>
      <c r="B6091" s="20">
        <v>65</v>
      </c>
      <c r="C6091" s="20">
        <v>70</v>
      </c>
      <c r="D6091" s="20">
        <v>36</v>
      </c>
      <c r="E6091" s="20">
        <v>35</v>
      </c>
      <c r="F6091" s="20" t="s">
        <v>29520</v>
      </c>
      <c r="G6091" s="20" t="s">
        <v>29521</v>
      </c>
      <c r="H6091" s="24"/>
      <c r="I6091" s="24" t="str">
        <f ca="1">IFERROR(__xludf.DUMMYFUNCTION("GOOGLETRANSLATE(F6091,""en"",""pt"")"),"Alta tensão terminações de cabos de isolamento extrudido")</f>
        <v>Alta tensão terminações de cabos de isolamento extrudido</v>
      </c>
      <c r="J6091">
        <f>VLOOKUP(A6091,Pr_Base_LNEC!$A$4:$J$6971,6,FALSE)</f>
        <v>0</v>
      </c>
      <c r="K6091">
        <f>VLOOKUP(A6091,Pr_Base_LNEC!$A$4:$J$6971,7,FALSE)</f>
        <v>0</v>
      </c>
    </row>
    <row r="6092" spans="1:11" ht="14.5">
      <c r="A6092" s="20" t="s">
        <v>29522</v>
      </c>
      <c r="B6092" s="20">
        <v>65</v>
      </c>
      <c r="C6092" s="20">
        <v>70</v>
      </c>
      <c r="D6092" s="20">
        <v>36</v>
      </c>
      <c r="E6092" s="20">
        <v>36</v>
      </c>
      <c r="F6092" s="20" t="s">
        <v>29523</v>
      </c>
      <c r="G6092" s="20" t="s">
        <v>29524</v>
      </c>
      <c r="H6092" s="24"/>
      <c r="I6092" s="24" t="str">
        <f ca="1">IFERROR(__xludf.DUMMYFUNCTION("GOOGLETRANSLATE(F6092,""en"",""pt"")"),"papel de alta tensão isolada terminações de cabos")</f>
        <v>papel de alta tensão isolada terminações de cabos</v>
      </c>
      <c r="J6092">
        <f>VLOOKUP(A6092,Pr_Base_LNEC!$A$4:$J$6971,6,FALSE)</f>
        <v>0</v>
      </c>
      <c r="K6092">
        <f>VLOOKUP(A6092,Pr_Base_LNEC!$A$4:$J$6971,7,FALSE)</f>
        <v>0</v>
      </c>
    </row>
    <row r="6093" spans="1:11" ht="14.5">
      <c r="A6093" s="20" t="s">
        <v>29525</v>
      </c>
      <c r="B6093" s="20">
        <v>65</v>
      </c>
      <c r="C6093" s="20">
        <v>70</v>
      </c>
      <c r="D6093" s="20">
        <v>36</v>
      </c>
      <c r="E6093" s="20">
        <v>37</v>
      </c>
      <c r="F6093" s="20" t="s">
        <v>29526</v>
      </c>
      <c r="G6093" s="20" t="s">
        <v>29527</v>
      </c>
      <c r="H6093" s="24"/>
      <c r="I6093" s="24" t="str">
        <f ca="1">IFERROR(__xludf.DUMMYFUNCTION("GOOGLETRANSLATE(F6093,""en"",""pt"")"),"os cabos de alimentação de alta tensão com isolamento extrudido")</f>
        <v>os cabos de alimentação de alta tensão com isolamento extrudido</v>
      </c>
      <c r="J6093">
        <f>VLOOKUP(A6093,Pr_Base_LNEC!$A$4:$J$6971,6,FALSE)</f>
        <v>0</v>
      </c>
      <c r="K6093">
        <f>VLOOKUP(A6093,Pr_Base_LNEC!$A$4:$J$6971,7,FALSE)</f>
        <v>0</v>
      </c>
    </row>
    <row r="6094" spans="1:11" ht="14.5">
      <c r="A6094" s="20" t="s">
        <v>29528</v>
      </c>
      <c r="B6094" s="20">
        <v>65</v>
      </c>
      <c r="C6094" s="20">
        <v>70</v>
      </c>
      <c r="D6094" s="20">
        <v>36</v>
      </c>
      <c r="E6094" s="20">
        <v>38</v>
      </c>
      <c r="F6094" s="20" t="s">
        <v>29529</v>
      </c>
      <c r="G6094" s="20" t="s">
        <v>29530</v>
      </c>
      <c r="H6094" s="24"/>
      <c r="I6094" s="24" t="str">
        <f ca="1">IFERROR(__xludf.DUMMYFUNCTION("GOOGLETRANSLATE(F6094,""en"",""pt"")"),"os cabos de alimentação de alta tensão com baixo fumo isolamento termoendurecível")</f>
        <v>os cabos de alimentação de alta tensão com baixo fumo isolamento termoendurecível</v>
      </c>
      <c r="J6094">
        <f>VLOOKUP(A6094,Pr_Base_LNEC!$A$4:$J$6971,6,FALSE)</f>
        <v>0</v>
      </c>
      <c r="K6094">
        <f>VLOOKUP(A6094,Pr_Base_LNEC!$A$4:$J$6971,7,FALSE)</f>
        <v>0</v>
      </c>
    </row>
    <row r="6095" spans="1:11" ht="14.5">
      <c r="A6095" s="20" t="s">
        <v>29531</v>
      </c>
      <c r="B6095" s="20">
        <v>65</v>
      </c>
      <c r="C6095" s="20">
        <v>70</v>
      </c>
      <c r="D6095" s="20">
        <v>36</v>
      </c>
      <c r="E6095" s="20">
        <v>39</v>
      </c>
      <c r="F6095" s="20" t="s">
        <v>29532</v>
      </c>
      <c r="G6095" s="20" t="s">
        <v>29533</v>
      </c>
      <c r="H6095" s="24"/>
      <c r="I6095" s="24" t="str">
        <f ca="1">IFERROR(__xludf.DUMMYFUNCTION("GOOGLETRANSLATE(F6095,""en"",""pt"")"),"os cabos de alimentação de alta tensão com isolamento de papel impregnado bainha liga de chumbo")</f>
        <v>os cabos de alimentação de alta tensão com isolamento de papel impregnado bainha liga de chumbo</v>
      </c>
      <c r="J6095">
        <f>VLOOKUP(A6095,Pr_Base_LNEC!$A$4:$J$6971,6,FALSE)</f>
        <v>0</v>
      </c>
      <c r="K6095">
        <f>VLOOKUP(A6095,Pr_Base_LNEC!$A$4:$J$6971,7,FALSE)</f>
        <v>0</v>
      </c>
    </row>
    <row r="6096" spans="1:11" ht="14.5">
      <c r="A6096" s="20" t="s">
        <v>29534</v>
      </c>
      <c r="B6096" s="20">
        <v>65</v>
      </c>
      <c r="C6096" s="20">
        <v>70</v>
      </c>
      <c r="D6096" s="20">
        <v>36</v>
      </c>
      <c r="E6096" s="20">
        <v>40</v>
      </c>
      <c r="F6096" s="20" t="s">
        <v>29535</v>
      </c>
      <c r="G6096" s="20" t="s">
        <v>29536</v>
      </c>
      <c r="H6096" s="24"/>
      <c r="I6096" s="24" t="str">
        <f ca="1">IFERROR(__xludf.DUMMYFUNCTION("GOOGLETRANSLATE(F6096,""en"",""pt"")"),"os cabos de alimentação de alta tensão com isolamento de termocura")</f>
        <v>os cabos de alimentação de alta tensão com isolamento de termocura</v>
      </c>
      <c r="J6096">
        <f>VLOOKUP(A6096,Pr_Base_LNEC!$A$4:$J$6971,6,FALSE)</f>
        <v>0</v>
      </c>
      <c r="K6096">
        <f>VLOOKUP(A6096,Pr_Base_LNEC!$A$4:$J$6971,7,FALSE)</f>
        <v>0</v>
      </c>
    </row>
    <row r="6097" spans="1:11" ht="14.5">
      <c r="A6097" s="20" t="s">
        <v>29537</v>
      </c>
      <c r="B6097" s="20">
        <v>65</v>
      </c>
      <c r="C6097" s="20">
        <v>70</v>
      </c>
      <c r="D6097" s="20">
        <v>42</v>
      </c>
      <c r="E6097" s="24"/>
      <c r="F6097" s="20" t="s">
        <v>29538</v>
      </c>
      <c r="G6097" s="24"/>
      <c r="H6097" s="24"/>
      <c r="I6097" s="24" t="str">
        <f ca="1">IFERROR(__xludf.DUMMYFUNCTION("GOOGLETRANSLATE(F6097,""en"",""pt"")"),"isoladores")</f>
        <v>isoladores</v>
      </c>
      <c r="J6097">
        <f>VLOOKUP(A6097,Pr_Base_LNEC!$A$4:$J$6971,6,FALSE)</f>
        <v>0</v>
      </c>
      <c r="K6097">
        <f>VLOOKUP(A6097,Pr_Base_LNEC!$A$4:$J$6971,7,FALSE)</f>
        <v>0</v>
      </c>
    </row>
    <row r="6098" spans="1:11" ht="14.5">
      <c r="A6098" s="20" t="s">
        <v>29539</v>
      </c>
      <c r="B6098" s="20">
        <v>65</v>
      </c>
      <c r="C6098" s="20">
        <v>70</v>
      </c>
      <c r="D6098" s="20">
        <v>42</v>
      </c>
      <c r="E6098" s="20">
        <v>26</v>
      </c>
      <c r="F6098" s="20" t="s">
        <v>29540</v>
      </c>
      <c r="G6098" s="24"/>
      <c r="H6098" s="24"/>
      <c r="I6098" s="24" t="str">
        <f ca="1">IFERROR(__xludf.DUMMYFUNCTION("GOOGLETRANSLATE(F6098,""en"",""pt"")"),"isoladores deadend")</f>
        <v>isoladores deadend</v>
      </c>
      <c r="J6098">
        <f>VLOOKUP(A6098,Pr_Base_LNEC!$A$4:$J$6971,6,FALSE)</f>
        <v>0</v>
      </c>
      <c r="K6098">
        <f>VLOOKUP(A6098,Pr_Base_LNEC!$A$4:$J$6971,7,FALSE)</f>
        <v>0</v>
      </c>
    </row>
    <row r="6099" spans="1:11" ht="14.5">
      <c r="A6099" s="20" t="s">
        <v>29541</v>
      </c>
      <c r="B6099" s="20">
        <v>65</v>
      </c>
      <c r="C6099" s="20">
        <v>70</v>
      </c>
      <c r="D6099" s="20">
        <v>42</v>
      </c>
      <c r="E6099" s="20">
        <v>36</v>
      </c>
      <c r="F6099" s="20" t="s">
        <v>29542</v>
      </c>
      <c r="G6099" s="24"/>
      <c r="H6099" s="24"/>
      <c r="I6099" s="24" t="str">
        <f ca="1">IFERROR(__xludf.DUMMYFUNCTION("GOOGLETRANSLATE(F6099,""en"",""pt"")"),"pinos isoladores de alta tensão")</f>
        <v>pinos isoladores de alta tensão</v>
      </c>
      <c r="J6099">
        <f>VLOOKUP(A6099,Pr_Base_LNEC!$A$4:$J$6971,6,FALSE)</f>
        <v>0</v>
      </c>
      <c r="K6099">
        <f>VLOOKUP(A6099,Pr_Base_LNEC!$A$4:$J$6971,7,FALSE)</f>
        <v>0</v>
      </c>
    </row>
    <row r="6100" spans="1:11" ht="14.5">
      <c r="A6100" s="20" t="s">
        <v>29543</v>
      </c>
      <c r="B6100" s="20">
        <v>65</v>
      </c>
      <c r="C6100" s="20">
        <v>70</v>
      </c>
      <c r="D6100" s="20">
        <v>42</v>
      </c>
      <c r="E6100" s="20">
        <v>46</v>
      </c>
      <c r="F6100" s="20" t="s">
        <v>29544</v>
      </c>
      <c r="G6100" s="24"/>
      <c r="H6100" s="24"/>
      <c r="I6100" s="24" t="str">
        <f ca="1">IFERROR(__xludf.DUMMYFUNCTION("GOOGLETRANSLATE(F6100,""en"",""pt"")"),"isoladores pós linha")</f>
        <v>isoladores pós linha</v>
      </c>
      <c r="J6100">
        <f>VLOOKUP(A6100,Pr_Base_LNEC!$A$4:$J$6971,6,FALSE)</f>
        <v>0</v>
      </c>
      <c r="K6100">
        <f>VLOOKUP(A6100,Pr_Base_LNEC!$A$4:$J$6971,7,FALSE)</f>
        <v>0</v>
      </c>
    </row>
    <row r="6101" spans="1:11" ht="14.5">
      <c r="A6101" s="20" t="s">
        <v>29545</v>
      </c>
      <c r="B6101" s="20">
        <v>65</v>
      </c>
      <c r="C6101" s="20">
        <v>70</v>
      </c>
      <c r="D6101" s="20">
        <v>42</v>
      </c>
      <c r="E6101" s="20">
        <v>47</v>
      </c>
      <c r="F6101" s="20" t="s">
        <v>29546</v>
      </c>
      <c r="G6101" s="24"/>
      <c r="H6101" s="24"/>
      <c r="I6101" s="24" t="str">
        <f ca="1">IFERROR(__xludf.DUMMYFUNCTION("GOOGLETRANSLATE(F6101,""en"",""pt"")"),"isoladores Longrod")</f>
        <v>isoladores Longrod</v>
      </c>
      <c r="J6101">
        <f>VLOOKUP(A6101,Pr_Base_LNEC!$A$4:$J$6971,6,FALSE)</f>
        <v>0</v>
      </c>
      <c r="K6101">
        <f>VLOOKUP(A6101,Pr_Base_LNEC!$A$4:$J$6971,7,FALSE)</f>
        <v>0</v>
      </c>
    </row>
    <row r="6102" spans="1:11" ht="14.5">
      <c r="A6102" s="20" t="s">
        <v>29547</v>
      </c>
      <c r="B6102" s="20">
        <v>65</v>
      </c>
      <c r="C6102" s="20">
        <v>70</v>
      </c>
      <c r="D6102" s="20">
        <v>42</v>
      </c>
      <c r="E6102" s="20">
        <v>48</v>
      </c>
      <c r="F6102" s="20" t="s">
        <v>29548</v>
      </c>
      <c r="G6102" s="24"/>
      <c r="H6102" s="24"/>
      <c r="I6102" s="24" t="str">
        <f ca="1">IFERROR(__xludf.DUMMYFUNCTION("GOOGLETRANSLATE(F6102,""en"",""pt"")"),"pinos isoladores de baixa tensão")</f>
        <v>pinos isoladores de baixa tensão</v>
      </c>
      <c r="J6102">
        <f>VLOOKUP(A6102,Pr_Base_LNEC!$A$4:$J$6971,6,FALSE)</f>
        <v>0</v>
      </c>
      <c r="K6102">
        <f>VLOOKUP(A6102,Pr_Base_LNEC!$A$4:$J$6971,7,FALSE)</f>
        <v>0</v>
      </c>
    </row>
    <row r="6103" spans="1:11" ht="14.5">
      <c r="A6103" s="20" t="s">
        <v>29549</v>
      </c>
      <c r="B6103" s="20">
        <v>65</v>
      </c>
      <c r="C6103" s="20">
        <v>70</v>
      </c>
      <c r="D6103" s="20">
        <v>42</v>
      </c>
      <c r="E6103" s="20">
        <v>77</v>
      </c>
      <c r="F6103" s="20" t="s">
        <v>29550</v>
      </c>
      <c r="G6103" s="24"/>
      <c r="H6103" s="24"/>
      <c r="I6103" s="24" t="str">
        <f ca="1">IFERROR(__xludf.DUMMYFUNCTION("GOOGLETRANSLATE(F6103,""en"",""pt"")"),"isoladores manilha")</f>
        <v>isoladores manilha</v>
      </c>
      <c r="J6103">
        <f>VLOOKUP(A6103,Pr_Base_LNEC!$A$4:$J$6971,6,FALSE)</f>
        <v>0</v>
      </c>
      <c r="K6103">
        <f>VLOOKUP(A6103,Pr_Base_LNEC!$A$4:$J$6971,7,FALSE)</f>
        <v>0</v>
      </c>
    </row>
    <row r="6104" spans="1:11" ht="14.5">
      <c r="A6104" s="20" t="s">
        <v>29551</v>
      </c>
      <c r="B6104" s="20">
        <v>65</v>
      </c>
      <c r="C6104" s="20">
        <v>70</v>
      </c>
      <c r="D6104" s="20">
        <v>42</v>
      </c>
      <c r="E6104" s="20">
        <v>82</v>
      </c>
      <c r="F6104" s="20" t="s">
        <v>29552</v>
      </c>
      <c r="G6104" s="24"/>
      <c r="H6104" s="24"/>
      <c r="I6104" s="24" t="str">
        <f ca="1">IFERROR(__xludf.DUMMYFUNCTION("GOOGLETRANSLATE(F6104,""en"",""pt"")"),"isoladores spool")</f>
        <v>isoladores spool</v>
      </c>
      <c r="J6104">
        <f>VLOOKUP(A6104,Pr_Base_LNEC!$A$4:$J$6971,6,FALSE)</f>
        <v>0</v>
      </c>
      <c r="K6104">
        <f>VLOOKUP(A6104,Pr_Base_LNEC!$A$4:$J$6971,7,FALSE)</f>
        <v>0</v>
      </c>
    </row>
    <row r="6105" spans="1:11" ht="14.5">
      <c r="A6105" s="20" t="s">
        <v>29553</v>
      </c>
      <c r="B6105" s="20">
        <v>65</v>
      </c>
      <c r="C6105" s="20">
        <v>70</v>
      </c>
      <c r="D6105" s="20">
        <v>42</v>
      </c>
      <c r="E6105" s="20">
        <v>83</v>
      </c>
      <c r="F6105" s="20" t="s">
        <v>29554</v>
      </c>
      <c r="G6105" s="24"/>
      <c r="H6105" s="24"/>
      <c r="I6105" s="24" t="str">
        <f ca="1">IFERROR(__xludf.DUMMYFUNCTION("GOOGLETRANSLATE(F6105,""en"",""pt"")"),"pós isoladores Station")</f>
        <v>pós isoladores Station</v>
      </c>
      <c r="J6105">
        <f>VLOOKUP(A6105,Pr_Base_LNEC!$A$4:$J$6971,6,FALSE)</f>
        <v>0</v>
      </c>
      <c r="K6105">
        <f>VLOOKUP(A6105,Pr_Base_LNEC!$A$4:$J$6971,7,FALSE)</f>
        <v>0</v>
      </c>
    </row>
    <row r="6106" spans="1:11" ht="14.5">
      <c r="A6106" s="20" t="s">
        <v>29555</v>
      </c>
      <c r="B6106" s="20">
        <v>65</v>
      </c>
      <c r="C6106" s="20">
        <v>70</v>
      </c>
      <c r="D6106" s="20">
        <v>42</v>
      </c>
      <c r="E6106" s="20">
        <v>84</v>
      </c>
      <c r="F6106" s="20" t="s">
        <v>29556</v>
      </c>
      <c r="G6106" s="24"/>
      <c r="H6106" s="24"/>
      <c r="I6106" s="24" t="str">
        <f ca="1">IFERROR(__xludf.DUMMYFUNCTION("GOOGLETRANSLATE(F6106,""en"",""pt"")"),"isoladores estadia")</f>
        <v>isoladores estadia</v>
      </c>
      <c r="J6106">
        <f>VLOOKUP(A6106,Pr_Base_LNEC!$A$4:$J$6971,6,FALSE)</f>
        <v>0</v>
      </c>
      <c r="K6106">
        <f>VLOOKUP(A6106,Pr_Base_LNEC!$A$4:$J$6971,7,FALSE)</f>
        <v>0</v>
      </c>
    </row>
    <row r="6107" spans="1:11" ht="14.5">
      <c r="A6107" s="20" t="s">
        <v>29557</v>
      </c>
      <c r="B6107" s="20">
        <v>65</v>
      </c>
      <c r="C6107" s="20">
        <v>70</v>
      </c>
      <c r="D6107" s="20">
        <v>42</v>
      </c>
      <c r="E6107" s="20">
        <v>85</v>
      </c>
      <c r="F6107" s="20" t="s">
        <v>29558</v>
      </c>
      <c r="G6107" s="24"/>
      <c r="H6107" s="24"/>
      <c r="I6107" s="24" t="str">
        <f ca="1">IFERROR(__xludf.DUMMYFUNCTION("GOOGLETRANSLATE(F6107,""en"",""pt"")"),"isoladores de tensão")</f>
        <v>isoladores de tensão</v>
      </c>
      <c r="J6107">
        <f>VLOOKUP(A6107,Pr_Base_LNEC!$A$4:$J$6971,6,FALSE)</f>
        <v>0</v>
      </c>
      <c r="K6107">
        <f>VLOOKUP(A6107,Pr_Base_LNEC!$A$4:$J$6971,7,FALSE)</f>
        <v>0</v>
      </c>
    </row>
    <row r="6108" spans="1:11" ht="14.5">
      <c r="A6108" s="20" t="s">
        <v>29559</v>
      </c>
      <c r="B6108" s="20">
        <v>65</v>
      </c>
      <c r="C6108" s="20">
        <v>70</v>
      </c>
      <c r="D6108" s="20">
        <v>42</v>
      </c>
      <c r="E6108" s="20">
        <v>86</v>
      </c>
      <c r="F6108" s="20" t="s">
        <v>29560</v>
      </c>
      <c r="G6108" s="24"/>
      <c r="H6108" s="24"/>
      <c r="I6108" s="24" t="str">
        <f ca="1">IFERROR(__xludf.DUMMYFUNCTION("GOOGLETRANSLATE(F6108,""en"",""pt"")"),"isoladores de suspensão")</f>
        <v>isoladores de suspensão</v>
      </c>
      <c r="J6108">
        <f>VLOOKUP(A6108,Pr_Base_LNEC!$A$4:$J$6971,6,FALSE)</f>
        <v>0</v>
      </c>
      <c r="K6108">
        <f>VLOOKUP(A6108,Pr_Base_LNEC!$A$4:$J$6971,7,FALSE)</f>
        <v>0</v>
      </c>
    </row>
    <row r="6109" spans="1:11" ht="14.5">
      <c r="A6109" s="20" t="s">
        <v>29561</v>
      </c>
      <c r="B6109" s="20">
        <v>65</v>
      </c>
      <c r="C6109" s="20">
        <v>70</v>
      </c>
      <c r="D6109" s="20">
        <v>46</v>
      </c>
      <c r="E6109" s="24"/>
      <c r="F6109" s="20" t="s">
        <v>29562</v>
      </c>
      <c r="G6109" s="24"/>
      <c r="H6109" s="24"/>
      <c r="I6109" s="24" t="str">
        <f ca="1">IFERROR(__xludf.DUMMYFUNCTION("GOOGLETRANSLATE(F6109,""en"",""pt"")"),"proteção contra raios e componentes de ligação à terra")</f>
        <v>proteção contra raios e componentes de ligação à terra</v>
      </c>
      <c r="J6109">
        <f>VLOOKUP(A6109,Pr_Base_LNEC!$A$4:$J$6971,6,FALSE)</f>
        <v>0</v>
      </c>
      <c r="K6109">
        <f>VLOOKUP(A6109,Pr_Base_LNEC!$A$4:$J$6971,7,FALSE)</f>
        <v>0</v>
      </c>
    </row>
    <row r="6110" spans="1:11" ht="14.5">
      <c r="A6110" s="20" t="s">
        <v>29563</v>
      </c>
      <c r="B6110" s="20">
        <v>65</v>
      </c>
      <c r="C6110" s="20">
        <v>70</v>
      </c>
      <c r="D6110" s="20">
        <v>46</v>
      </c>
      <c r="E6110" s="20">
        <v>1</v>
      </c>
      <c r="F6110" s="20" t="s">
        <v>29564</v>
      </c>
      <c r="G6110" s="20" t="s">
        <v>29565</v>
      </c>
      <c r="H6110" s="24"/>
      <c r="I6110" s="24" t="str">
        <f ca="1">IFERROR(__xludf.DUMMYFUNCTION("GOOGLETRANSLATE(F6110,""en"",""pt"")"),"terminais aéreos")</f>
        <v>terminais aéreos</v>
      </c>
      <c r="J6110">
        <f>VLOOKUP(A6110,Pr_Base_LNEC!$A$4:$J$6971,6,FALSE)</f>
        <v>0</v>
      </c>
      <c r="K6110">
        <f>VLOOKUP(A6110,Pr_Base_LNEC!$A$4:$J$6971,7,FALSE)</f>
        <v>0</v>
      </c>
    </row>
    <row r="6111" spans="1:11" ht="14.5">
      <c r="A6111" s="20" t="s">
        <v>29566</v>
      </c>
      <c r="B6111" s="20">
        <v>65</v>
      </c>
      <c r="C6111" s="20">
        <v>70</v>
      </c>
      <c r="D6111" s="20">
        <v>46</v>
      </c>
      <c r="E6111" s="20">
        <v>3</v>
      </c>
      <c r="F6111" s="20" t="s">
        <v>29567</v>
      </c>
      <c r="G6111" s="20" t="s">
        <v>29568</v>
      </c>
      <c r="H6111" s="24"/>
      <c r="I6111" s="24" t="str">
        <f ca="1">IFERROR(__xludf.DUMMYFUNCTION("GOOGLETRANSLATE(F6111,""en"",""pt"")"),"fitas de terra de alumínio")</f>
        <v>fitas de terra de alumínio</v>
      </c>
      <c r="J6111">
        <f>VLOOKUP(A6111,Pr_Base_LNEC!$A$4:$J$6971,6,FALSE)</f>
        <v>0</v>
      </c>
      <c r="K6111">
        <f>VLOOKUP(A6111,Pr_Base_LNEC!$A$4:$J$6971,7,FALSE)</f>
        <v>0</v>
      </c>
    </row>
    <row r="6112" spans="1:11" ht="14.5">
      <c r="A6112" s="20" t="s">
        <v>29569</v>
      </c>
      <c r="B6112" s="20">
        <v>65</v>
      </c>
      <c r="C6112" s="20">
        <v>70</v>
      </c>
      <c r="D6112" s="20">
        <v>46</v>
      </c>
      <c r="E6112" s="20">
        <v>4</v>
      </c>
      <c r="F6112" s="20" t="s">
        <v>29570</v>
      </c>
      <c r="G6112" s="20" t="s">
        <v>29571</v>
      </c>
      <c r="H6112" s="24"/>
      <c r="I6112" s="24" t="str">
        <f ca="1">IFERROR(__xludf.DUMMYFUNCTION("GOOGLETRANSLATE(F6112,""en"",""pt"")"),"Alumínio condutores de pára-raios")</f>
        <v>Alumínio condutores de pára-raios</v>
      </c>
      <c r="J6112">
        <f>VLOOKUP(A6112,Pr_Base_LNEC!$A$4:$J$6971,6,FALSE)</f>
        <v>0</v>
      </c>
      <c r="K6112">
        <f>VLOOKUP(A6112,Pr_Base_LNEC!$A$4:$J$6971,7,FALSE)</f>
        <v>0</v>
      </c>
    </row>
    <row r="6113" spans="1:11" ht="14.5">
      <c r="A6113" s="20" t="s">
        <v>29572</v>
      </c>
      <c r="B6113" s="20">
        <v>65</v>
      </c>
      <c r="C6113" s="20">
        <v>70</v>
      </c>
      <c r="D6113" s="20">
        <v>46</v>
      </c>
      <c r="E6113" s="20">
        <v>14</v>
      </c>
      <c r="F6113" s="20" t="s">
        <v>29573</v>
      </c>
      <c r="G6113" s="20" t="s">
        <v>29574</v>
      </c>
      <c r="H6113" s="24"/>
      <c r="I6113" s="24" t="str">
        <f ca="1">IFERROR(__xludf.DUMMYFUNCTION("GOOGLETRANSLATE(F6113,""en"",""pt"")"),"fitas de cobre de terra")</f>
        <v>fitas de cobre de terra</v>
      </c>
      <c r="J6113">
        <f>VLOOKUP(A6113,Pr_Base_LNEC!$A$4:$J$6971,6,FALSE)</f>
        <v>0</v>
      </c>
      <c r="K6113">
        <f>VLOOKUP(A6113,Pr_Base_LNEC!$A$4:$J$6971,7,FALSE)</f>
        <v>0</v>
      </c>
    </row>
    <row r="6114" spans="1:11" ht="14.5">
      <c r="A6114" s="20" t="s">
        <v>29575</v>
      </c>
      <c r="B6114" s="20">
        <v>65</v>
      </c>
      <c r="C6114" s="20">
        <v>70</v>
      </c>
      <c r="D6114" s="20">
        <v>46</v>
      </c>
      <c r="E6114" s="20">
        <v>15</v>
      </c>
      <c r="F6114" s="20" t="s">
        <v>29576</v>
      </c>
      <c r="G6114" s="20" t="s">
        <v>29577</v>
      </c>
      <c r="H6114" s="24"/>
      <c r="I6114" s="24" t="str">
        <f ca="1">IFERROR(__xludf.DUMMYFUNCTION("GOOGLETRANSLATE(F6114,""en"",""pt"")"),"Cobre sólido pára-raios circulares")</f>
        <v>Cobre sólido pára-raios circulares</v>
      </c>
      <c r="J6114">
        <f>VLOOKUP(A6114,Pr_Base_LNEC!$A$4:$J$6971,6,FALSE)</f>
        <v>0</v>
      </c>
      <c r="K6114">
        <f>VLOOKUP(A6114,Pr_Base_LNEC!$A$4:$J$6971,7,FALSE)</f>
        <v>0</v>
      </c>
    </row>
    <row r="6115" spans="1:11" ht="14.5">
      <c r="A6115" s="20" t="s">
        <v>29578</v>
      </c>
      <c r="B6115" s="20">
        <v>65</v>
      </c>
      <c r="C6115" s="20">
        <v>70</v>
      </c>
      <c r="D6115" s="20">
        <v>46</v>
      </c>
      <c r="E6115" s="20">
        <v>24</v>
      </c>
      <c r="F6115" s="20" t="s">
        <v>29579</v>
      </c>
      <c r="G6115" s="20" t="s">
        <v>29580</v>
      </c>
      <c r="H6115" s="24"/>
      <c r="I6115" s="24" t="str">
        <f ca="1">IFERROR(__xludf.DUMMYFUNCTION("GOOGLETRANSLATE(F6115,""en"",""pt"")"),"bares Terra")</f>
        <v>bares Terra</v>
      </c>
      <c r="J6115">
        <f>VLOOKUP(A6115,Pr_Base_LNEC!$A$4:$J$6971,6,FALSE)</f>
        <v>0</v>
      </c>
      <c r="K6115">
        <f>VLOOKUP(A6115,Pr_Base_LNEC!$A$4:$J$6971,7,FALSE)</f>
        <v>0</v>
      </c>
    </row>
    <row r="6116" spans="1:11" ht="14.5">
      <c r="A6116" s="20" t="s">
        <v>29581</v>
      </c>
      <c r="B6116" s="20">
        <v>65</v>
      </c>
      <c r="C6116" s="20">
        <v>70</v>
      </c>
      <c r="D6116" s="20">
        <v>46</v>
      </c>
      <c r="E6116" s="20">
        <v>25</v>
      </c>
      <c r="F6116" s="20" t="s">
        <v>29582</v>
      </c>
      <c r="G6116" s="20" t="s">
        <v>29583</v>
      </c>
      <c r="H6116" s="24"/>
      <c r="I6116" s="24" t="str">
        <f ca="1">IFERROR(__xludf.DUMMYFUNCTION("GOOGLETRANSLATE(F6116,""en"",""pt"")"),"placas da Terra")</f>
        <v>placas da Terra</v>
      </c>
      <c r="J6116">
        <f>VLOOKUP(A6116,Pr_Base_LNEC!$A$4:$J$6971,6,FALSE)</f>
        <v>0</v>
      </c>
      <c r="K6116">
        <f>VLOOKUP(A6116,Pr_Base_LNEC!$A$4:$J$6971,7,FALSE)</f>
        <v>0</v>
      </c>
    </row>
    <row r="6117" spans="1:11" ht="14.5">
      <c r="A6117" s="20" t="s">
        <v>29584</v>
      </c>
      <c r="B6117" s="20">
        <v>65</v>
      </c>
      <c r="C6117" s="20">
        <v>70</v>
      </c>
      <c r="D6117" s="20">
        <v>46</v>
      </c>
      <c r="E6117" s="20">
        <v>26</v>
      </c>
      <c r="F6117" s="20" t="s">
        <v>29585</v>
      </c>
      <c r="G6117" s="20" t="s">
        <v>29586</v>
      </c>
      <c r="H6117" s="24"/>
      <c r="I6117" s="24" t="str">
        <f ca="1">IFERROR(__xludf.DUMMYFUNCTION("GOOGLETRANSLATE(F6117,""en"",""pt"")"),"poços de inspecção haste Terra")</f>
        <v>poços de inspecção haste Terra</v>
      </c>
      <c r="J6117">
        <f>VLOOKUP(A6117,Pr_Base_LNEC!$A$4:$J$6971,6,FALSE)</f>
        <v>0</v>
      </c>
      <c r="K6117">
        <f>VLOOKUP(A6117,Pr_Base_LNEC!$A$4:$J$6971,7,FALSE)</f>
        <v>0</v>
      </c>
    </row>
    <row r="6118" spans="1:11" ht="14.5">
      <c r="A6118" s="20" t="s">
        <v>29587</v>
      </c>
      <c r="B6118" s="20">
        <v>65</v>
      </c>
      <c r="C6118" s="20">
        <v>70</v>
      </c>
      <c r="D6118" s="20">
        <v>46</v>
      </c>
      <c r="E6118" s="20">
        <v>27</v>
      </c>
      <c r="F6118" s="20" t="s">
        <v>29588</v>
      </c>
      <c r="G6118" s="20" t="s">
        <v>29589</v>
      </c>
      <c r="H6118" s="24"/>
      <c r="I6118" s="24" t="str">
        <f ca="1">IFERROR(__xludf.DUMMYFUNCTION("GOOGLETRANSLATE(F6118,""en"",""pt"")"),"barras de terra")</f>
        <v>barras de terra</v>
      </c>
      <c r="J6118">
        <f>VLOOKUP(A6118,Pr_Base_LNEC!$A$4:$J$6971,6,FALSE)</f>
        <v>0</v>
      </c>
      <c r="K6118">
        <f>VLOOKUP(A6118,Pr_Base_LNEC!$A$4:$J$6971,7,FALSE)</f>
        <v>0</v>
      </c>
    </row>
    <row r="6119" spans="1:11" ht="14.5">
      <c r="A6119" s="20" t="s">
        <v>29590</v>
      </c>
      <c r="B6119" s="20">
        <v>65</v>
      </c>
      <c r="C6119" s="20">
        <v>70</v>
      </c>
      <c r="D6119" s="20">
        <v>46</v>
      </c>
      <c r="E6119" s="20">
        <v>29</v>
      </c>
      <c r="F6119" s="20" t="s">
        <v>29591</v>
      </c>
      <c r="G6119" s="20" t="s">
        <v>29592</v>
      </c>
      <c r="H6119" s="24"/>
      <c r="I6119" s="24" t="str">
        <f ca="1">IFERROR(__xludf.DUMMYFUNCTION("GOOGLETRANSLATE(F6119,""en"",""pt"")"),"aterramento grampos")</f>
        <v>aterramento grampos</v>
      </c>
      <c r="J6119">
        <f>VLOOKUP(A6119,Pr_Base_LNEC!$A$4:$J$6971,6,FALSE)</f>
        <v>0</v>
      </c>
      <c r="K6119">
        <f>VLOOKUP(A6119,Pr_Base_LNEC!$A$4:$J$6971,7,FALSE)</f>
        <v>0</v>
      </c>
    </row>
    <row r="6120" spans="1:11" ht="14.5">
      <c r="A6120" s="20" t="s">
        <v>29593</v>
      </c>
      <c r="B6120" s="20">
        <v>65</v>
      </c>
      <c r="C6120" s="20">
        <v>70</v>
      </c>
      <c r="D6120" s="20">
        <v>46</v>
      </c>
      <c r="E6120" s="20">
        <v>30</v>
      </c>
      <c r="F6120" s="20" t="s">
        <v>29594</v>
      </c>
      <c r="G6120" s="24"/>
      <c r="H6120" s="24"/>
      <c r="I6120" s="24" t="str">
        <f ca="1">IFERROR(__xludf.DUMMYFUNCTION("GOOGLETRANSLATE(F6120,""en"",""pt"")"),"Ligação à terra condutores")</f>
        <v>Ligação à terra condutores</v>
      </c>
      <c r="J6120">
        <f>VLOOKUP(A6120,Pr_Base_LNEC!$A$4:$J$6971,6,FALSE)</f>
        <v>0</v>
      </c>
      <c r="K6120">
        <f>VLOOKUP(A6120,Pr_Base_LNEC!$A$4:$J$6971,7,FALSE)</f>
        <v>0</v>
      </c>
    </row>
    <row r="6121" spans="1:11" ht="14.5">
      <c r="A6121" s="20" t="s">
        <v>29595</v>
      </c>
      <c r="B6121" s="20">
        <v>65</v>
      </c>
      <c r="C6121" s="20">
        <v>70</v>
      </c>
      <c r="D6121" s="20">
        <v>46</v>
      </c>
      <c r="E6121" s="20">
        <v>32</v>
      </c>
      <c r="F6121" s="20" t="s">
        <v>29596</v>
      </c>
      <c r="G6121" s="20" t="s">
        <v>29597</v>
      </c>
      <c r="H6121" s="24"/>
      <c r="I6121" s="24" t="str">
        <f ca="1">IFERROR(__xludf.DUMMYFUNCTION("GOOGLETRANSLATE(F6121,""en"",""pt"")"),"tranças flexíveis")</f>
        <v>tranças flexíveis</v>
      </c>
      <c r="J6121" t="e">
        <f>VLOOKUP(A6121,Pr_Base_LNEC!$A$4:$J$6971,6,FALSE)</f>
        <v>#N/A</v>
      </c>
      <c r="K6121" t="e">
        <f>VLOOKUP(A6121,Pr_Base_LNEC!$A$4:$J$6971,7,FALSE)</f>
        <v>#N/A</v>
      </c>
    </row>
    <row r="6122" spans="1:11" ht="14.5">
      <c r="A6122" s="20" t="s">
        <v>29598</v>
      </c>
      <c r="B6122" s="20">
        <v>65</v>
      </c>
      <c r="C6122" s="20">
        <v>70</v>
      </c>
      <c r="D6122" s="20">
        <v>46</v>
      </c>
      <c r="E6122" s="20">
        <v>46</v>
      </c>
      <c r="F6122" s="20" t="s">
        <v>29599</v>
      </c>
      <c r="G6122" s="20" t="s">
        <v>29600</v>
      </c>
      <c r="H6122" s="24"/>
      <c r="I6122" s="24" t="str">
        <f ca="1">IFERROR(__xludf.DUMMYFUNCTION("GOOGLETRANSLATE(F6122,""en"",""pt"")"),"braçadeiras do condutor de proteção contra raios")</f>
        <v>braçadeiras do condutor de proteção contra raios</v>
      </c>
      <c r="J6122">
        <f>VLOOKUP(A6122,Pr_Base_LNEC!$A$4:$J$6971,6,FALSE)</f>
        <v>0</v>
      </c>
      <c r="K6122">
        <f>VLOOKUP(A6122,Pr_Base_LNEC!$A$4:$J$6971,7,FALSE)</f>
        <v>0</v>
      </c>
    </row>
    <row r="6123" spans="1:11" ht="14.5">
      <c r="A6123" s="20" t="s">
        <v>29601</v>
      </c>
      <c r="B6123" s="20">
        <v>65</v>
      </c>
      <c r="C6123" s="20">
        <v>70</v>
      </c>
      <c r="D6123" s="20">
        <v>46</v>
      </c>
      <c r="E6123" s="20">
        <v>47</v>
      </c>
      <c r="F6123" s="20" t="s">
        <v>29602</v>
      </c>
      <c r="G6123" s="20" t="s">
        <v>29603</v>
      </c>
      <c r="H6123" s="24"/>
      <c r="I6123" s="24" t="str">
        <f ca="1">IFERROR(__xludf.DUMMYFUNCTION("GOOGLETRANSLATE(F6123,""en"",""pt"")"),"condutor de proteção contra raios metálicos clips de contato direto")</f>
        <v>condutor de proteção contra raios metálicos clips de contato direto</v>
      </c>
      <c r="J6123">
        <f>VLOOKUP(A6123,Pr_Base_LNEC!$A$4:$J$6971,6,FALSE)</f>
        <v>0</v>
      </c>
      <c r="K6123">
        <f>VLOOKUP(A6123,Pr_Base_LNEC!$A$4:$J$6971,7,FALSE)</f>
        <v>0</v>
      </c>
    </row>
    <row r="6124" spans="1:11" ht="14.5">
      <c r="A6124" s="20" t="s">
        <v>29604</v>
      </c>
      <c r="B6124" s="20">
        <v>65</v>
      </c>
      <c r="C6124" s="20">
        <v>70</v>
      </c>
      <c r="D6124" s="20">
        <v>46</v>
      </c>
      <c r="E6124" s="20">
        <v>48</v>
      </c>
      <c r="F6124" s="20" t="s">
        <v>29605</v>
      </c>
      <c r="G6124" s="20" t="s">
        <v>29606</v>
      </c>
      <c r="H6124" s="24"/>
      <c r="I6124" s="24" t="str">
        <f ca="1">IFERROR(__xludf.DUMMYFUNCTION("GOOGLETRANSLATE(F6124,""en"",""pt"")"),"condutor de proteção contra raios não-metálicos clips contato direto")</f>
        <v>condutor de proteção contra raios não-metálicos clips contato direto</v>
      </c>
      <c r="J6124">
        <f>VLOOKUP(A6124,Pr_Base_LNEC!$A$4:$J$6971,6,FALSE)</f>
        <v>0</v>
      </c>
      <c r="K6124">
        <f>VLOOKUP(A6124,Pr_Base_LNEC!$A$4:$J$6971,7,FALSE)</f>
        <v>0</v>
      </c>
    </row>
    <row r="6125" spans="1:11" ht="14.5">
      <c r="A6125" s="20" t="s">
        <v>29607</v>
      </c>
      <c r="B6125" s="20">
        <v>65</v>
      </c>
      <c r="C6125" s="20">
        <v>70</v>
      </c>
      <c r="D6125" s="20">
        <v>46</v>
      </c>
      <c r="E6125" s="20">
        <v>80</v>
      </c>
      <c r="F6125" s="20" t="s">
        <v>29608</v>
      </c>
      <c r="G6125" s="20" t="s">
        <v>29609</v>
      </c>
      <c r="H6125" s="24"/>
      <c r="I6125" s="24" t="str">
        <f ca="1">IFERROR(__xludf.DUMMYFUNCTION("GOOGLETRANSLATE(F6125,""en"",""pt"")"),"agentes condutores solo condicionado")</f>
        <v>agentes condutores solo condicionado</v>
      </c>
      <c r="J6125">
        <f>VLOOKUP(A6125,Pr_Base_LNEC!$A$4:$J$6971,6,FALSE)</f>
        <v>0</v>
      </c>
      <c r="K6125">
        <f>VLOOKUP(A6125,Pr_Base_LNEC!$A$4:$J$6971,7,FALSE)</f>
        <v>0</v>
      </c>
    </row>
    <row r="6126" spans="1:11" ht="14.5">
      <c r="A6126" s="20" t="s">
        <v>29610</v>
      </c>
      <c r="B6126" s="20">
        <v>65</v>
      </c>
      <c r="C6126" s="20">
        <v>70</v>
      </c>
      <c r="D6126" s="20">
        <v>48</v>
      </c>
      <c r="E6126" s="24"/>
      <c r="F6126" s="20" t="s">
        <v>29611</v>
      </c>
      <c r="G6126" s="24"/>
      <c r="H6126" s="24"/>
      <c r="I6126" s="24" t="str">
        <f ca="1">IFERROR(__xludf.DUMMYFUNCTION("GOOGLETRANSLATE(F6126,""en"",""pt"")"),"cabos de baixa tensão")</f>
        <v>cabos de baixa tensão</v>
      </c>
      <c r="J6126">
        <f>VLOOKUP(A6126,Pr_Base_LNEC!$A$4:$J$6971,6,FALSE)</f>
        <v>0</v>
      </c>
      <c r="K6126">
        <f>VLOOKUP(A6126,Pr_Base_LNEC!$A$4:$J$6971,7,FALSE)</f>
        <v>0</v>
      </c>
    </row>
    <row r="6127" spans="1:11" ht="14.5">
      <c r="A6127" s="20" t="s">
        <v>29612</v>
      </c>
      <c r="B6127" s="20">
        <v>65</v>
      </c>
      <c r="C6127" s="20">
        <v>70</v>
      </c>
      <c r="D6127" s="20">
        <v>48</v>
      </c>
      <c r="E6127" s="20">
        <v>13</v>
      </c>
      <c r="F6127" s="20" t="s">
        <v>29613</v>
      </c>
      <c r="G6127" s="20" t="s">
        <v>29614</v>
      </c>
      <c r="H6127" s="24"/>
      <c r="I6127" s="24" t="str">
        <f ca="1">IFERROR(__xludf.DUMMYFUNCTION("GOOGLETRANSLATE(F6127,""en"",""pt"")"),"Reticulado EVA cabos isolados não-revestido único núcleo")</f>
        <v>Reticulado EVA cabos isolados não-revestido único núcleo</v>
      </c>
      <c r="J6127">
        <f>VLOOKUP(A6127,Pr_Base_LNEC!$A$4:$J$6971,6,FALSE)</f>
        <v>0</v>
      </c>
      <c r="K6127">
        <f>VLOOKUP(A6127,Pr_Base_LNEC!$A$4:$J$6971,7,FALSE)</f>
        <v>0</v>
      </c>
    </row>
    <row r="6128" spans="1:11" ht="14.5">
      <c r="A6128" s="20" t="s">
        <v>29615</v>
      </c>
      <c r="B6128" s="20">
        <v>65</v>
      </c>
      <c r="C6128" s="20">
        <v>70</v>
      </c>
      <c r="D6128" s="20">
        <v>48</v>
      </c>
      <c r="E6128" s="20">
        <v>14</v>
      </c>
      <c r="F6128" s="20" t="s">
        <v>29616</v>
      </c>
      <c r="G6128" s="24"/>
      <c r="H6128" s="24"/>
      <c r="I6128" s="24" t="str">
        <f ca="1">IFERROR(__xludf.DUMMYFUNCTION("GOOGLETRANSLATE(F6128,""en"",""pt"")"),"borracha de silicone reticulado cabos isolados de núcleo simples")</f>
        <v>borracha de silicone reticulado cabos isolados de núcleo simples</v>
      </c>
      <c r="J6128">
        <f>VLOOKUP(A6128,Pr_Base_LNEC!$A$4:$J$6971,6,FALSE)</f>
        <v>0</v>
      </c>
      <c r="K6128">
        <f>VLOOKUP(A6128,Pr_Base_LNEC!$A$4:$J$6971,7,FALSE)</f>
        <v>0</v>
      </c>
    </row>
    <row r="6129" spans="1:11" ht="14.5">
      <c r="A6129" s="20" t="s">
        <v>29617</v>
      </c>
      <c r="B6129" s="20">
        <v>65</v>
      </c>
      <c r="C6129" s="20">
        <v>70</v>
      </c>
      <c r="D6129" s="20">
        <v>48</v>
      </c>
      <c r="E6129" s="20">
        <v>29</v>
      </c>
      <c r="F6129" s="20" t="s">
        <v>29618</v>
      </c>
      <c r="G6129" s="20" t="s">
        <v>29619</v>
      </c>
      <c r="H6129" s="24"/>
      <c r="I6129" s="24" t="str">
        <f ca="1">IFERROR(__xludf.DUMMYFUNCTION("GOOGLETRANSLATE(F6129,""en"",""pt"")"),"Disparar cabos resistentes triadas (LSHF)")</f>
        <v>Disparar cabos resistentes triadas (LSHF)</v>
      </c>
      <c r="J6129">
        <f>VLOOKUP(A6129,Pr_Base_LNEC!$A$4:$J$6971,6,FALSE)</f>
        <v>0</v>
      </c>
      <c r="K6129">
        <f>VLOOKUP(A6129,Pr_Base_LNEC!$A$4:$J$6971,7,FALSE)</f>
        <v>0</v>
      </c>
    </row>
    <row r="6130" spans="1:11" ht="14.5">
      <c r="A6130" s="20" t="s">
        <v>29620</v>
      </c>
      <c r="B6130" s="20">
        <v>65</v>
      </c>
      <c r="C6130" s="20">
        <v>70</v>
      </c>
      <c r="D6130" s="20">
        <v>48</v>
      </c>
      <c r="E6130" s="20">
        <v>31</v>
      </c>
      <c r="F6130" s="20" t="s">
        <v>29621</v>
      </c>
      <c r="G6130" s="24"/>
      <c r="H6130" s="24"/>
      <c r="I6130" s="24" t="str">
        <f ca="1">IFERROR(__xludf.DUMMYFUNCTION("GOOGLETRANSLATE(F6130,""en"",""pt"")"),"Os cabos flexíveis com isolamento elastomérico reticulado")</f>
        <v>Os cabos flexíveis com isolamento elastomérico reticulado</v>
      </c>
      <c r="J6130">
        <f>VLOOKUP(A6130,Pr_Base_LNEC!$A$4:$J$6971,6,FALSE)</f>
        <v>0</v>
      </c>
      <c r="K6130">
        <f>VLOOKUP(A6130,Pr_Base_LNEC!$A$4:$J$6971,7,FALSE)</f>
        <v>0</v>
      </c>
    </row>
    <row r="6131" spans="1:11" ht="14.5">
      <c r="A6131" s="20" t="s">
        <v>29622</v>
      </c>
      <c r="B6131" s="20">
        <v>65</v>
      </c>
      <c r="C6131" s="20">
        <v>70</v>
      </c>
      <c r="D6131" s="20">
        <v>48</v>
      </c>
      <c r="E6131" s="20">
        <v>32</v>
      </c>
      <c r="F6131" s="20" t="s">
        <v>29623</v>
      </c>
      <c r="G6131" s="24"/>
      <c r="H6131" s="24"/>
      <c r="I6131" s="24" t="str">
        <f ca="1">IFERROR(__xludf.DUMMYFUNCTION("GOOGLETRANSLATE(F6131,""en"",""pt"")"),"Os cabos flexíveis com isolamento de PVC termoplástico")</f>
        <v>Os cabos flexíveis com isolamento de PVC termoplástico</v>
      </c>
      <c r="J6131">
        <f>VLOOKUP(A6131,Pr_Base_LNEC!$A$4:$J$6971,6,FALSE)</f>
        <v>0</v>
      </c>
      <c r="K6131">
        <f>VLOOKUP(A6131,Pr_Base_LNEC!$A$4:$J$6971,7,FALSE)</f>
        <v>0</v>
      </c>
    </row>
    <row r="6132" spans="1:11" ht="14.5">
      <c r="A6132" s="20" t="s">
        <v>29624</v>
      </c>
      <c r="B6132" s="20">
        <v>65</v>
      </c>
      <c r="C6132" s="20">
        <v>70</v>
      </c>
      <c r="D6132" s="20">
        <v>48</v>
      </c>
      <c r="E6132" s="20">
        <v>37</v>
      </c>
      <c r="F6132" s="20" t="s">
        <v>29625</v>
      </c>
      <c r="G6132" s="24"/>
      <c r="H6132" s="24"/>
      <c r="I6132" s="24" t="str">
        <f ca="1">IFERROR(__xludf.DUMMYFUNCTION("GOOGLETRANSLATE(F6132,""en"",""pt"")"),"Aquecer os cabos de ligação cruzada de um único núcleo não-embainhadas resistentes elastoméricos isolados")</f>
        <v>Aquecer os cabos de ligação cruzada de um único núcleo não-embainhadas resistentes elastoméricos isolados</v>
      </c>
      <c r="J6132">
        <f>VLOOKUP(A6132,Pr_Base_LNEC!$A$4:$J$6971,6,FALSE)</f>
        <v>0</v>
      </c>
      <c r="K6132">
        <f>VLOOKUP(A6132,Pr_Base_LNEC!$A$4:$J$6971,7,FALSE)</f>
        <v>0</v>
      </c>
    </row>
    <row r="6133" spans="1:11" ht="14.5">
      <c r="A6133" s="20" t="s">
        <v>29626</v>
      </c>
      <c r="B6133" s="20">
        <v>65</v>
      </c>
      <c r="C6133" s="20">
        <v>70</v>
      </c>
      <c r="D6133" s="20">
        <v>48</v>
      </c>
      <c r="E6133" s="20">
        <v>38</v>
      </c>
      <c r="F6133" s="20" t="s">
        <v>29627</v>
      </c>
      <c r="G6133" s="20" t="s">
        <v>29628</v>
      </c>
      <c r="H6133" s="24"/>
      <c r="I6133" s="24" t="str">
        <f ca="1">IFERROR(__xludf.DUMMYFUNCTION("GOOGLETRANSLATE(F6133,""en"",""pt"")"),"cabos flexíveis isolados e embainhadas elastoméricos pesados ​​reticulados")</f>
        <v>cabos flexíveis isolados e embainhadas elastoméricos pesados ​​reticulados</v>
      </c>
      <c r="J6133">
        <f>VLOOKUP(A6133,Pr_Base_LNEC!$A$4:$J$6971,6,FALSE)</f>
        <v>0</v>
      </c>
      <c r="K6133">
        <f>VLOOKUP(A6133,Pr_Base_LNEC!$A$4:$J$6971,7,FALSE)</f>
        <v>0</v>
      </c>
    </row>
    <row r="6134" spans="1:11" ht="14.5">
      <c r="A6134" s="20" t="s">
        <v>29629</v>
      </c>
      <c r="B6134" s="20">
        <v>65</v>
      </c>
      <c r="C6134" s="20">
        <v>70</v>
      </c>
      <c r="D6134" s="20">
        <v>48</v>
      </c>
      <c r="E6134" s="20">
        <v>39</v>
      </c>
      <c r="F6134" s="20" t="s">
        <v>29630</v>
      </c>
      <c r="G6134" s="20" t="s">
        <v>29631</v>
      </c>
      <c r="H6134" s="24"/>
      <c r="I6134" s="24" t="str">
        <f ca="1">IFERROR(__xludf.DUMMYFUNCTION("GOOGLETRANSLATE(F6134,""en"",""pt"")"),"cabos flexíveis isolados e embainhadas elastoméricos pesados ​​calor reticulados resistente")</f>
        <v>cabos flexíveis isolados e embainhadas elastoméricos pesados ​​calor reticulados resistente</v>
      </c>
      <c r="J6134">
        <f>VLOOKUP(A6134,Pr_Base_LNEC!$A$4:$J$6971,6,FALSE)</f>
        <v>0</v>
      </c>
      <c r="K6134">
        <f>VLOOKUP(A6134,Pr_Base_LNEC!$A$4:$J$6971,7,FALSE)</f>
        <v>0</v>
      </c>
    </row>
    <row r="6135" spans="1:11" ht="14.5">
      <c r="A6135" s="20" t="s">
        <v>29632</v>
      </c>
      <c r="B6135" s="20">
        <v>65</v>
      </c>
      <c r="C6135" s="20">
        <v>70</v>
      </c>
      <c r="D6135" s="20">
        <v>48</v>
      </c>
      <c r="E6135" s="20">
        <v>40</v>
      </c>
      <c r="F6135" s="20" t="s">
        <v>29633</v>
      </c>
      <c r="G6135" s="20" t="s">
        <v>29634</v>
      </c>
      <c r="H6135" s="24"/>
      <c r="I6135" s="24" t="str">
        <f ca="1">IFERROR(__xludf.DUMMYFUNCTION("GOOGLETRANSLATE(F6135,""en"",""pt"")"),"LSHF resistente ao calor pesados ​​isolados e cabos revestidos flexíveis")</f>
        <v>LSHF resistente ao calor pesados ​​isolados e cabos revestidos flexíveis</v>
      </c>
      <c r="J6135">
        <f>VLOOKUP(A6135,Pr_Base_LNEC!$A$4:$J$6971,6,FALSE)</f>
        <v>0</v>
      </c>
      <c r="K6135">
        <f>VLOOKUP(A6135,Pr_Base_LNEC!$A$4:$J$6971,7,FALSE)</f>
        <v>0</v>
      </c>
    </row>
    <row r="6136" spans="1:11" ht="14.5">
      <c r="A6136" s="20" t="s">
        <v>29635</v>
      </c>
      <c r="B6136" s="20">
        <v>65</v>
      </c>
      <c r="C6136" s="20">
        <v>70</v>
      </c>
      <c r="D6136" s="20">
        <v>48</v>
      </c>
      <c r="E6136" s="20">
        <v>41</v>
      </c>
      <c r="F6136" s="20" t="s">
        <v>29636</v>
      </c>
      <c r="G6136" s="20" t="s">
        <v>29637</v>
      </c>
      <c r="H6136" s="24"/>
      <c r="I6136" s="24" t="str">
        <f ca="1">IFERROR(__xludf.DUMMYFUNCTION("GOOGLETRANSLATE(F6136,""en"",""pt"")"),"cabos pesados ​​mineral isolados")</f>
        <v>cabos pesados ​​mineral isolados</v>
      </c>
      <c r="J6136">
        <f>VLOOKUP(A6136,Pr_Base_LNEC!$A$4:$J$6971,6,FALSE)</f>
        <v>0</v>
      </c>
      <c r="K6136">
        <f>VLOOKUP(A6136,Pr_Base_LNEC!$A$4:$J$6971,7,FALSE)</f>
        <v>0</v>
      </c>
    </row>
    <row r="6137" spans="1:11" ht="14.5">
      <c r="A6137" s="20" t="s">
        <v>29638</v>
      </c>
      <c r="B6137" s="20">
        <v>65</v>
      </c>
      <c r="C6137" s="20">
        <v>70</v>
      </c>
      <c r="D6137" s="20">
        <v>48</v>
      </c>
      <c r="E6137" s="20">
        <v>46</v>
      </c>
      <c r="F6137" s="20" t="s">
        <v>29639</v>
      </c>
      <c r="G6137" s="20" t="s">
        <v>29640</v>
      </c>
      <c r="H6137" s="24"/>
      <c r="I6137" s="24" t="str">
        <f ca="1">IFERROR(__xludf.DUMMYFUNCTION("GOOGLETRANSLATE(F6137,""en"",""pt"")"),"PVC resistente ao calor dever luz isolados e cabos revestidos flexíveis")</f>
        <v>PVC resistente ao calor dever luz isolados e cabos revestidos flexíveis</v>
      </c>
      <c r="J6137">
        <f>VLOOKUP(A6137,Pr_Base_LNEC!$A$4:$J$6971,6,FALSE)</f>
        <v>0</v>
      </c>
      <c r="K6137">
        <f>VLOOKUP(A6137,Pr_Base_LNEC!$A$4:$J$6971,7,FALSE)</f>
        <v>0</v>
      </c>
    </row>
    <row r="6138" spans="1:11" ht="14.5">
      <c r="A6138" s="20" t="s">
        <v>29641</v>
      </c>
      <c r="B6138" s="20">
        <v>65</v>
      </c>
      <c r="C6138" s="20">
        <v>70</v>
      </c>
      <c r="D6138" s="20">
        <v>48</v>
      </c>
      <c r="E6138" s="20">
        <v>48</v>
      </c>
      <c r="F6138" s="20" t="s">
        <v>29642</v>
      </c>
      <c r="G6138" s="24"/>
      <c r="H6138" s="24"/>
      <c r="I6138" s="24" t="str">
        <f ca="1">IFERROR(__xludf.DUMMYFUNCTION("GOOGLETRANSLATE(F6138,""en"",""pt"")"),"cabos de luz dever mineral isolados")</f>
        <v>cabos de luz dever mineral isolados</v>
      </c>
      <c r="J6138">
        <f>VLOOKUP(A6138,Pr_Base_LNEC!$A$4:$J$6971,6,FALSE)</f>
        <v>0</v>
      </c>
      <c r="K6138">
        <f>VLOOKUP(A6138,Pr_Base_LNEC!$A$4:$J$6971,7,FALSE)</f>
        <v>0</v>
      </c>
    </row>
    <row r="6139" spans="1:11" ht="14.5">
      <c r="A6139" s="20" t="s">
        <v>29643</v>
      </c>
      <c r="B6139" s="20">
        <v>65</v>
      </c>
      <c r="C6139" s="20">
        <v>70</v>
      </c>
      <c r="D6139" s="20">
        <v>48</v>
      </c>
      <c r="E6139" s="20">
        <v>49</v>
      </c>
      <c r="F6139" s="20" t="s">
        <v>29644</v>
      </c>
      <c r="G6139" s="20" t="s">
        <v>29645</v>
      </c>
      <c r="H6139" s="24"/>
      <c r="I6139" s="24" t="str">
        <f ca="1">IFERROR(__xludf.DUMMYFUNCTION("GOOGLETRANSLATE(F6139,""en"",""pt"")"),"ligeiros PVC isolado e com bainha cabos flexíveis")</f>
        <v>ligeiros PVC isolado e com bainha cabos flexíveis</v>
      </c>
      <c r="J6139">
        <f>VLOOKUP(A6139,Pr_Base_LNEC!$A$4:$J$6971,6,FALSE)</f>
        <v>0</v>
      </c>
      <c r="K6139">
        <f>VLOOKUP(A6139,Pr_Base_LNEC!$A$4:$J$6971,7,FALSE)</f>
        <v>0</v>
      </c>
    </row>
    <row r="6140" spans="1:11" ht="14.5">
      <c r="A6140" s="20" t="s">
        <v>29646</v>
      </c>
      <c r="B6140" s="20">
        <v>65</v>
      </c>
      <c r="C6140" s="20">
        <v>70</v>
      </c>
      <c r="D6140" s="20">
        <v>48</v>
      </c>
      <c r="E6140" s="20">
        <v>50</v>
      </c>
      <c r="F6140" s="20" t="s">
        <v>29647</v>
      </c>
      <c r="G6140" s="24"/>
      <c r="H6140" s="24"/>
      <c r="I6140" s="24" t="str">
        <f ca="1">IFERROR(__xludf.DUMMYFUNCTION("GOOGLETRANSLATE(F6140,""en"",""pt"")"),"junções de cabos de baixa tensão de retracção a frio")</f>
        <v>junções de cabos de baixa tensão de retracção a frio</v>
      </c>
      <c r="J6140" t="e">
        <f>VLOOKUP(A6140,Pr_Base_LNEC!$A$4:$J$6971,6,FALSE)</f>
        <v>#N/A</v>
      </c>
      <c r="K6140" t="e">
        <f>VLOOKUP(A6140,Pr_Base_LNEC!$A$4:$J$6971,7,FALSE)</f>
        <v>#N/A</v>
      </c>
    </row>
    <row r="6141" spans="1:11" ht="14.5">
      <c r="A6141" s="20" t="s">
        <v>29648</v>
      </c>
      <c r="B6141" s="20">
        <v>65</v>
      </c>
      <c r="C6141" s="20">
        <v>70</v>
      </c>
      <c r="D6141" s="20">
        <v>48</v>
      </c>
      <c r="E6141" s="20">
        <v>51</v>
      </c>
      <c r="F6141" s="20" t="s">
        <v>29649</v>
      </c>
      <c r="G6141" s="20" t="s">
        <v>29650</v>
      </c>
      <c r="H6141" s="24"/>
      <c r="I6141" s="24" t="str">
        <f ca="1">IFERROR(__xludf.DUMMYFUNCTION("GOOGLETRANSLATE(F6141,""en"",""pt"")"),"cabos de isolamento minerais")</f>
        <v>cabos de isolamento minerais</v>
      </c>
      <c r="J6141">
        <f>VLOOKUP(A6141,Pr_Base_LNEC!$A$4:$J$6971,6,FALSE)</f>
        <v>0</v>
      </c>
      <c r="K6141">
        <f>VLOOKUP(A6141,Pr_Base_LNEC!$A$4:$J$6971,7,FALSE)</f>
        <v>0</v>
      </c>
    </row>
    <row r="6142" spans="1:11" ht="14.5">
      <c r="A6142" s="20" t="s">
        <v>29651</v>
      </c>
      <c r="B6142" s="20">
        <v>65</v>
      </c>
      <c r="C6142" s="20">
        <v>70</v>
      </c>
      <c r="D6142" s="20">
        <v>48</v>
      </c>
      <c r="E6142" s="20">
        <v>55</v>
      </c>
      <c r="F6142" s="20" t="s">
        <v>29652</v>
      </c>
      <c r="G6142" s="20" t="s">
        <v>29653</v>
      </c>
      <c r="H6142" s="24"/>
      <c r="I6142" s="24" t="str">
        <f ca="1">IFERROR(__xludf.DUMMYFUNCTION("GOOGLETRANSLATE(F6142,""en"",""pt"")"),"Multicore rastreados termoendurecível isolados (LSHF) cabos revestidos")</f>
        <v>Multicore rastreados termoendurecível isolados (LSHF) cabos revestidos</v>
      </c>
      <c r="J6142">
        <f>VLOOKUP(A6142,Pr_Base_LNEC!$A$4:$J$6971,6,FALSE)</f>
        <v>0</v>
      </c>
      <c r="K6142">
        <f>VLOOKUP(A6142,Pr_Base_LNEC!$A$4:$J$6971,7,FALSE)</f>
        <v>0</v>
      </c>
    </row>
    <row r="6143" spans="1:11" ht="14.5">
      <c r="A6143" s="20" t="s">
        <v>29654</v>
      </c>
      <c r="B6143" s="20">
        <v>65</v>
      </c>
      <c r="C6143" s="20">
        <v>70</v>
      </c>
      <c r="D6143" s="20">
        <v>48</v>
      </c>
      <c r="E6143" s="20">
        <v>56</v>
      </c>
      <c r="F6143" s="20" t="s">
        <v>29655</v>
      </c>
      <c r="G6143" s="20" t="s">
        <v>29656</v>
      </c>
      <c r="H6143" s="24"/>
      <c r="I6143" s="24" t="str">
        <f ca="1">IFERROR(__xludf.DUMMYFUNCTION("GOOGLETRANSLATE(F6143,""en"",""pt"")"),"cabos flexíveis isolado e com bainha elastoméricos dever comum reticulados")</f>
        <v>cabos flexíveis isolado e com bainha elastoméricos dever comum reticulados</v>
      </c>
      <c r="J6143">
        <f>VLOOKUP(A6143,Pr_Base_LNEC!$A$4:$J$6971,6,FALSE)</f>
        <v>0</v>
      </c>
      <c r="K6143">
        <f>VLOOKUP(A6143,Pr_Base_LNEC!$A$4:$J$6971,7,FALSE)</f>
        <v>0</v>
      </c>
    </row>
    <row r="6144" spans="1:11" ht="14.5">
      <c r="A6144" s="20" t="s">
        <v>29657</v>
      </c>
      <c r="B6144" s="20">
        <v>65</v>
      </c>
      <c r="C6144" s="20">
        <v>70</v>
      </c>
      <c r="D6144" s="20">
        <v>48</v>
      </c>
      <c r="E6144" s="20">
        <v>57</v>
      </c>
      <c r="F6144" s="20" t="s">
        <v>29658</v>
      </c>
      <c r="G6144" s="20" t="s">
        <v>29659</v>
      </c>
      <c r="H6144" s="24"/>
      <c r="I6144" s="24" t="str">
        <f ca="1">IFERROR(__xludf.DUMMYFUNCTION("GOOGLETRANSLATE(F6144,""en"",""pt"")"),"cabos flexíveis isolados e embainhadas elastoméricos calor dever comum reticulados resistente")</f>
        <v>cabos flexíveis isolados e embainhadas elastoméricos calor dever comum reticulados resistente</v>
      </c>
      <c r="J6144">
        <f>VLOOKUP(A6144,Pr_Base_LNEC!$A$4:$J$6971,6,FALSE)</f>
        <v>0</v>
      </c>
      <c r="K6144">
        <f>VLOOKUP(A6144,Pr_Base_LNEC!$A$4:$J$6971,7,FALSE)</f>
        <v>0</v>
      </c>
    </row>
    <row r="6145" spans="1:11" ht="14.5">
      <c r="A6145" s="20" t="s">
        <v>29660</v>
      </c>
      <c r="B6145" s="20">
        <v>65</v>
      </c>
      <c r="C6145" s="20">
        <v>70</v>
      </c>
      <c r="D6145" s="20">
        <v>48</v>
      </c>
      <c r="E6145" s="20">
        <v>58</v>
      </c>
      <c r="F6145" s="20" t="s">
        <v>29661</v>
      </c>
      <c r="G6145" s="20" t="s">
        <v>29662</v>
      </c>
      <c r="H6145" s="24"/>
      <c r="I6145" s="24" t="str">
        <f ca="1">IFERROR(__xludf.DUMMYFUNCTION("GOOGLETRANSLATE(F6145,""en"",""pt"")"),"PVC resistente ao calor dever comum isolado e cabos revestidos flexíveis")</f>
        <v>PVC resistente ao calor dever comum isolado e cabos revestidos flexíveis</v>
      </c>
      <c r="J6145">
        <f>VLOOKUP(A6145,Pr_Base_LNEC!$A$4:$J$6971,6,FALSE)</f>
        <v>0</v>
      </c>
      <c r="K6145">
        <f>VLOOKUP(A6145,Pr_Base_LNEC!$A$4:$J$6971,7,FALSE)</f>
        <v>0</v>
      </c>
    </row>
    <row r="6146" spans="1:11" ht="14.5">
      <c r="A6146" s="20" t="s">
        <v>29663</v>
      </c>
      <c r="B6146" s="20">
        <v>65</v>
      </c>
      <c r="C6146" s="20">
        <v>70</v>
      </c>
      <c r="D6146" s="20">
        <v>48</v>
      </c>
      <c r="E6146" s="20">
        <v>59</v>
      </c>
      <c r="F6146" s="20" t="s">
        <v>29664</v>
      </c>
      <c r="G6146" s="20" t="s">
        <v>29665</v>
      </c>
      <c r="H6146" s="24"/>
      <c r="I6146" s="24" t="str">
        <f ca="1">IFERROR(__xludf.DUMMYFUNCTION("GOOGLETRANSLATE(F6146,""en"",""pt"")"),"Comum dever temperatura baixa PVC isolado e cabos revestidos flexíveis")</f>
        <v>Comum dever temperatura baixa PVC isolado e cabos revestidos flexíveis</v>
      </c>
      <c r="J6146">
        <f>VLOOKUP(A6146,Pr_Base_LNEC!$A$4:$J$6971,6,FALSE)</f>
        <v>0</v>
      </c>
      <c r="K6146">
        <f>VLOOKUP(A6146,Pr_Base_LNEC!$A$4:$J$6971,7,FALSE)</f>
        <v>0</v>
      </c>
    </row>
    <row r="6147" spans="1:11" ht="14.5">
      <c r="A6147" s="20" t="s">
        <v>29666</v>
      </c>
      <c r="B6147" s="20">
        <v>65</v>
      </c>
      <c r="C6147" s="20">
        <v>70</v>
      </c>
      <c r="D6147" s="20">
        <v>48</v>
      </c>
      <c r="E6147" s="20">
        <v>60</v>
      </c>
      <c r="F6147" s="20" t="s">
        <v>29667</v>
      </c>
      <c r="G6147" s="20" t="s">
        <v>29668</v>
      </c>
      <c r="H6147" s="24"/>
      <c r="I6147" s="24" t="str">
        <f ca="1">IFERROR(__xludf.DUMMYFUNCTION("GOOGLETRANSLATE(F6147,""en"",""pt"")"),"dever ordinária PVC isolado e com bainha cabos flexíveis")</f>
        <v>dever ordinária PVC isolado e com bainha cabos flexíveis</v>
      </c>
      <c r="J6147">
        <f>VLOOKUP(A6147,Pr_Base_LNEC!$A$4:$J$6971,6,FALSE)</f>
        <v>0</v>
      </c>
      <c r="K6147">
        <f>VLOOKUP(A6147,Pr_Base_LNEC!$A$4:$J$6971,7,FALSE)</f>
        <v>0</v>
      </c>
    </row>
    <row r="6148" spans="1:11" ht="14.5">
      <c r="A6148" s="20" t="s">
        <v>29669</v>
      </c>
      <c r="B6148" s="20">
        <v>65</v>
      </c>
      <c r="C6148" s="20">
        <v>70</v>
      </c>
      <c r="D6148" s="20">
        <v>48</v>
      </c>
      <c r="E6148" s="20">
        <v>61</v>
      </c>
      <c r="F6148" s="20" t="s">
        <v>29670</v>
      </c>
      <c r="G6148" s="20" t="s">
        <v>29671</v>
      </c>
      <c r="H6148" s="24"/>
      <c r="I6148" s="24" t="str">
        <f ca="1">IFERROR(__xludf.DUMMYFUNCTION("GOOGLETRANSLATE(F6148,""en"",""pt"")"),"PVC isolado e cabos revestidos")</f>
        <v>PVC isolado e cabos revestidos</v>
      </c>
      <c r="J6148">
        <f>VLOOKUP(A6148,Pr_Base_LNEC!$A$4:$J$6971,6,FALSE)</f>
        <v>0</v>
      </c>
      <c r="K6148">
        <f>VLOOKUP(A6148,Pr_Base_LNEC!$A$4:$J$6971,7,FALSE)</f>
        <v>0</v>
      </c>
    </row>
    <row r="6149" spans="1:11" ht="14.5">
      <c r="A6149" s="20" t="s">
        <v>29672</v>
      </c>
      <c r="B6149" s="20">
        <v>65</v>
      </c>
      <c r="C6149" s="20">
        <v>70</v>
      </c>
      <c r="D6149" s="20">
        <v>48</v>
      </c>
      <c r="E6149" s="20">
        <v>62</v>
      </c>
      <c r="F6149" s="20" t="s">
        <v>29673</v>
      </c>
      <c r="G6149" s="20" t="s">
        <v>29674</v>
      </c>
      <c r="H6149" s="24"/>
      <c r="I6149" s="24" t="str">
        <f ca="1">IFERROR(__xludf.DUMMYFUNCTION("GOOGLETRANSLATE(F6149,""en"",""pt"")"),"PVC cabos isolados de núcleo único flexíveis para a fiação de aparelhagem")</f>
        <v>PVC cabos isolados de núcleo único flexíveis para a fiação de aparelhagem</v>
      </c>
      <c r="J6149">
        <f>VLOOKUP(A6149,Pr_Base_LNEC!$A$4:$J$6971,6,FALSE)</f>
        <v>0</v>
      </c>
      <c r="K6149">
        <f>VLOOKUP(A6149,Pr_Base_LNEC!$A$4:$J$6971,7,FALSE)</f>
        <v>0</v>
      </c>
    </row>
    <row r="6150" spans="1:11" ht="14.5">
      <c r="A6150" s="20" t="s">
        <v>29675</v>
      </c>
      <c r="B6150" s="20">
        <v>65</v>
      </c>
      <c r="C6150" s="20">
        <v>70</v>
      </c>
      <c r="D6150" s="20">
        <v>48</v>
      </c>
      <c r="E6150" s="20">
        <v>63</v>
      </c>
      <c r="F6150" s="20" t="s">
        <v>29676</v>
      </c>
      <c r="G6150" s="20" t="s">
        <v>29677</v>
      </c>
      <c r="H6150" s="24"/>
      <c r="I6150" s="24" t="str">
        <f ca="1">IFERROR(__xludf.DUMMYFUNCTION("GOOGLETRANSLATE(F6150,""en"",""pt"")"),"PVC cabos isolados não-revestido único núcleo")</f>
        <v>PVC cabos isolados não-revestido único núcleo</v>
      </c>
      <c r="J6150">
        <f>VLOOKUP(A6150,Pr_Base_LNEC!$A$4:$J$6971,6,FALSE)</f>
        <v>0</v>
      </c>
      <c r="K6150">
        <f>VLOOKUP(A6150,Pr_Base_LNEC!$A$4:$J$6971,7,FALSE)</f>
        <v>0</v>
      </c>
    </row>
    <row r="6151" spans="1:11" ht="14.5">
      <c r="A6151" s="20" t="s">
        <v>29678</v>
      </c>
      <c r="B6151" s="20">
        <v>65</v>
      </c>
      <c r="C6151" s="20">
        <v>70</v>
      </c>
      <c r="D6151" s="20">
        <v>48</v>
      </c>
      <c r="E6151" s="20">
        <v>73</v>
      </c>
      <c r="F6151" s="20" t="s">
        <v>29679</v>
      </c>
      <c r="G6151" s="20" t="s">
        <v>29680</v>
      </c>
      <c r="H6151" s="24"/>
      <c r="I6151" s="24" t="str">
        <f ca="1">IFERROR(__xludf.DUMMYFUNCTION("GOOGLETRANSLATE(F6151,""en"",""pt"")"),"Núcleo único pesados ​​reticulada isolada e cabos revestidos flexíveis (LSHF)")</f>
        <v>Núcleo único pesados ​​reticulada isolada e cabos revestidos flexíveis (LSHF)</v>
      </c>
      <c r="J6151" t="e">
        <f>VLOOKUP(A6151,Pr_Base_LNEC!$A$4:$J$6971,6,FALSE)</f>
        <v>#N/A</v>
      </c>
      <c r="K6151" t="e">
        <f>VLOOKUP(A6151,Pr_Base_LNEC!$A$4:$J$6971,7,FALSE)</f>
        <v>#N/A</v>
      </c>
    </row>
    <row r="6152" spans="1:11" ht="14.5">
      <c r="A6152" s="20" t="s">
        <v>29681</v>
      </c>
      <c r="B6152" s="20">
        <v>65</v>
      </c>
      <c r="C6152" s="20">
        <v>70</v>
      </c>
      <c r="D6152" s="20">
        <v>48</v>
      </c>
      <c r="E6152" s="20">
        <v>74</v>
      </c>
      <c r="F6152" s="20" t="s">
        <v>29682</v>
      </c>
      <c r="G6152" s="20" t="s">
        <v>29683</v>
      </c>
      <c r="H6152" s="24"/>
      <c r="I6152" s="24" t="str">
        <f ca="1">IFERROR(__xludf.DUMMYFUNCTION("GOOGLETRANSLATE(F6152,""en"",""pt"")"),"núcleo único de calor não bainha resistente termoplástica de PVC cabos isolados")</f>
        <v>núcleo único de calor não bainha resistente termoplástica de PVC cabos isolados</v>
      </c>
      <c r="J6152">
        <f>VLOOKUP(A6152,Pr_Base_LNEC!$A$4:$J$6971,6,FALSE)</f>
        <v>0</v>
      </c>
      <c r="K6152">
        <f>VLOOKUP(A6152,Pr_Base_LNEC!$A$4:$J$6971,7,FALSE)</f>
        <v>0</v>
      </c>
    </row>
    <row r="6153" spans="1:11" ht="14.5">
      <c r="A6153" s="20" t="s">
        <v>29684</v>
      </c>
      <c r="B6153" s="20">
        <v>65</v>
      </c>
      <c r="C6153" s="20">
        <v>70</v>
      </c>
      <c r="D6153" s="20">
        <v>48</v>
      </c>
      <c r="E6153" s="20">
        <v>75</v>
      </c>
      <c r="F6153" s="20" t="s">
        <v>29685</v>
      </c>
      <c r="G6153" s="20" t="s">
        <v>29686</v>
      </c>
      <c r="H6153" s="24"/>
      <c r="I6153" s="24" t="str">
        <f ca="1">IFERROR(__xludf.DUMMYFUNCTION("GOOGLETRANSLATE(F6153,""en"",""pt"")"),"núcleo único não-revestido (LHSF) cabos isolados")</f>
        <v>núcleo único não-revestido (LHSF) cabos isolados</v>
      </c>
      <c r="J6153">
        <f>VLOOKUP(A6153,Pr_Base_LNEC!$A$4:$J$6971,6,FALSE)</f>
        <v>0</v>
      </c>
      <c r="K6153">
        <f>VLOOKUP(A6153,Pr_Base_LNEC!$A$4:$J$6971,7,FALSE)</f>
        <v>0</v>
      </c>
    </row>
    <row r="6154" spans="1:11" ht="14.5">
      <c r="A6154" s="20" t="s">
        <v>29687</v>
      </c>
      <c r="B6154" s="20">
        <v>65</v>
      </c>
      <c r="C6154" s="20">
        <v>70</v>
      </c>
      <c r="D6154" s="20">
        <v>48</v>
      </c>
      <c r="E6154" s="20">
        <v>77</v>
      </c>
      <c r="F6154" s="20" t="s">
        <v>29688</v>
      </c>
      <c r="G6154" s="24"/>
      <c r="H6154" s="24"/>
      <c r="I6154" s="24" t="str">
        <f ca="1">IFERROR(__xludf.DUMMYFUNCTION("GOOGLETRANSLATE(F6154,""en"",""pt"")"),"Um único núcleo de PVC cabos isolados")</f>
        <v>Um único núcleo de PVC cabos isolados</v>
      </c>
      <c r="J6154">
        <f>VLOOKUP(A6154,Pr_Base_LNEC!$A$4:$J$6971,6,FALSE)</f>
        <v>0</v>
      </c>
      <c r="K6154">
        <f>VLOOKUP(A6154,Pr_Base_LNEC!$A$4:$J$6971,7,FALSE)</f>
        <v>0</v>
      </c>
    </row>
    <row r="6155" spans="1:11" ht="14.5">
      <c r="A6155" s="20" t="s">
        <v>29689</v>
      </c>
      <c r="B6155" s="20">
        <v>65</v>
      </c>
      <c r="C6155" s="20">
        <v>70</v>
      </c>
      <c r="D6155" s="20">
        <v>48</v>
      </c>
      <c r="E6155" s="20">
        <v>79</v>
      </c>
      <c r="F6155" s="20" t="s">
        <v>29690</v>
      </c>
      <c r="G6155" s="20" t="s">
        <v>29691</v>
      </c>
      <c r="H6155" s="24"/>
      <c r="I6155" s="24" t="str">
        <f ca="1">IFERROR(__xludf.DUMMYFUNCTION("GOOGLETRANSLATE(F6155,""en"",""pt"")"),"Dividir concêntrico isolado PVC e cabos revestidos")</f>
        <v>Dividir concêntrico isolado PVC e cabos revestidos</v>
      </c>
      <c r="J6155">
        <f>VLOOKUP(A6155,Pr_Base_LNEC!$A$4:$J$6971,6,FALSE)</f>
        <v>0</v>
      </c>
      <c r="K6155">
        <f>VLOOKUP(A6155,Pr_Base_LNEC!$A$4:$J$6971,7,FALSE)</f>
        <v>0</v>
      </c>
    </row>
    <row r="6156" spans="1:11" ht="14.5">
      <c r="A6156" s="20" t="s">
        <v>29692</v>
      </c>
      <c r="B6156" s="20">
        <v>65</v>
      </c>
      <c r="C6156" s="20">
        <v>70</v>
      </c>
      <c r="D6156" s="20">
        <v>48</v>
      </c>
      <c r="E6156" s="20">
        <v>88</v>
      </c>
      <c r="F6156" s="20" t="s">
        <v>29693</v>
      </c>
      <c r="G6156" s="20" t="s">
        <v>29694</v>
      </c>
      <c r="H6156" s="24"/>
      <c r="I6156" s="24" t="str">
        <f ca="1">IFERROR(__xludf.DUMMYFUNCTION("GOOGLETRANSLATE(F6156,""en"",""pt"")"),"Termoendurecível cabos isolados de fogo blindado resistentes (LSHF)")</f>
        <v>Termoendurecível cabos isolados de fogo blindado resistentes (LSHF)</v>
      </c>
      <c r="J6156">
        <f>VLOOKUP(A6156,Pr_Base_LNEC!$A$4:$J$6971,6,FALSE)</f>
        <v>0</v>
      </c>
      <c r="K6156">
        <f>VLOOKUP(A6156,Pr_Base_LNEC!$A$4:$J$6971,7,FALSE)</f>
        <v>0</v>
      </c>
    </row>
    <row r="6157" spans="1:11" ht="14.5">
      <c r="A6157" s="20" t="s">
        <v>29695</v>
      </c>
      <c r="B6157" s="20">
        <v>65</v>
      </c>
      <c r="C6157" s="20">
        <v>70</v>
      </c>
      <c r="D6157" s="20">
        <v>48</v>
      </c>
      <c r="E6157" s="20">
        <v>89</v>
      </c>
      <c r="F6157" s="20" t="s">
        <v>29696</v>
      </c>
      <c r="G6157" s="20" t="s">
        <v>29697</v>
      </c>
      <c r="H6157" s="24"/>
      <c r="I6157" s="24" t="str">
        <f ca="1">IFERROR(__xludf.DUMMYFUNCTION("GOOGLETRANSLATE(F6157,""en"",""pt"")"),"Termoendurecível isolados e bainha de PVC cabos blindados")</f>
        <v>Termoendurecível isolados e bainha de PVC cabos blindados</v>
      </c>
      <c r="J6157">
        <f>VLOOKUP(A6157,Pr_Base_LNEC!$A$4:$J$6971,6,FALSE)</f>
        <v>0</v>
      </c>
      <c r="K6157">
        <f>VLOOKUP(A6157,Pr_Base_LNEC!$A$4:$J$6971,7,FALSE)</f>
        <v>0</v>
      </c>
    </row>
    <row r="6158" spans="1:11" ht="14.5">
      <c r="A6158" s="20" t="s">
        <v>29698</v>
      </c>
      <c r="B6158" s="20">
        <v>65</v>
      </c>
      <c r="C6158" s="20">
        <v>70</v>
      </c>
      <c r="D6158" s="20">
        <v>48</v>
      </c>
      <c r="E6158" s="20">
        <v>90</v>
      </c>
      <c r="F6158" s="20" t="s">
        <v>29699</v>
      </c>
      <c r="G6158" s="20" t="s">
        <v>29700</v>
      </c>
      <c r="H6158" s="24"/>
      <c r="I6158" s="24" t="str">
        <f ca="1">IFERROR(__xludf.DUMMYFUNCTION("GOOGLETRANSLATE(F6158,""en"",""pt"")"),"Termoendurecíveis isolados e (LSHF) cabos revestidos termoplástico blindados")</f>
        <v>Termoendurecíveis isolados e (LSHF) cabos revestidos termoplástico blindados</v>
      </c>
      <c r="J6158">
        <f>VLOOKUP(A6158,Pr_Base_LNEC!$A$4:$J$6971,6,FALSE)</f>
        <v>0</v>
      </c>
      <c r="K6158">
        <f>VLOOKUP(A6158,Pr_Base_LNEC!$A$4:$J$6971,7,FALSE)</f>
        <v>0</v>
      </c>
    </row>
    <row r="6159" spans="1:11" ht="14.5">
      <c r="A6159" s="20" t="s">
        <v>29701</v>
      </c>
      <c r="B6159" s="20">
        <v>65</v>
      </c>
      <c r="C6159" s="20">
        <v>70</v>
      </c>
      <c r="D6159" s="20">
        <v>48</v>
      </c>
      <c r="E6159" s="20">
        <v>91</v>
      </c>
      <c r="F6159" s="20" t="s">
        <v>29702</v>
      </c>
      <c r="G6159" s="20" t="s">
        <v>29703</v>
      </c>
      <c r="H6159" s="24"/>
      <c r="I6159" s="24" t="str">
        <f ca="1">IFERROR(__xludf.DUMMYFUNCTION("GOOGLETRANSLATE(F6159,""en"",""pt"")"),"Termoendurecíveis isolados e termoplástico com bainha (LSHF) cabos")</f>
        <v>Termoendurecíveis isolados e termoplástico com bainha (LSHF) cabos</v>
      </c>
      <c r="J6159">
        <f>VLOOKUP(A6159,Pr_Base_LNEC!$A$4:$J$6971,6,FALSE)</f>
        <v>0</v>
      </c>
      <c r="K6159">
        <f>VLOOKUP(A6159,Pr_Base_LNEC!$A$4:$J$6971,7,FALSE)</f>
        <v>0</v>
      </c>
    </row>
    <row r="6160" spans="1:11" ht="14.5">
      <c r="A6160" s="20" t="s">
        <v>29704</v>
      </c>
      <c r="B6160" s="20">
        <v>65</v>
      </c>
      <c r="C6160" s="20">
        <v>70</v>
      </c>
      <c r="D6160" s="20">
        <v>48</v>
      </c>
      <c r="E6160" s="20">
        <v>92</v>
      </c>
      <c r="F6160" s="20" t="s">
        <v>29705</v>
      </c>
      <c r="G6160" s="20" t="s">
        <v>29706</v>
      </c>
      <c r="H6160" s="24"/>
      <c r="I6160" s="24" t="str">
        <f ca="1">IFERROR(__xludf.DUMMYFUNCTION("GOOGLETRANSLATE(F6160,""en"",""pt"")"),"Termoendurecível isolada não blindado bainha de PVC cabos")</f>
        <v>Termoendurecível isolada não blindado bainha de PVC cabos</v>
      </c>
      <c r="J6160">
        <f>VLOOKUP(A6160,Pr_Base_LNEC!$A$4:$J$6971,6,FALSE)</f>
        <v>0</v>
      </c>
      <c r="K6160">
        <f>VLOOKUP(A6160,Pr_Base_LNEC!$A$4:$J$6971,7,FALSE)</f>
        <v>0</v>
      </c>
    </row>
    <row r="6161" spans="1:11" ht="14.5">
      <c r="A6161" s="20" t="s">
        <v>29707</v>
      </c>
      <c r="B6161" s="20">
        <v>65</v>
      </c>
      <c r="C6161" s="20">
        <v>70</v>
      </c>
      <c r="D6161" s="20">
        <v>48</v>
      </c>
      <c r="E6161" s="20">
        <v>93</v>
      </c>
      <c r="F6161" s="20" t="s">
        <v>29708</v>
      </c>
      <c r="G6161" s="24"/>
      <c r="H6161" s="24"/>
      <c r="I6161" s="24" t="str">
        <f ca="1">IFERROR(__xludf.DUMMYFUNCTION("GOOGLETRANSLATE(F6161,""en"",""pt"")"),"cabos isolados termoendurecível (XLPE), fumo termoplástico baixo de zero de halogéneo (LSZH) embainhados")</f>
        <v>cabos isolados termoendurecível (XLPE), fumo termoplástico baixo de zero de halogéneo (LSZH) embainhados</v>
      </c>
      <c r="J6161">
        <f>VLOOKUP(A6161,Pr_Base_LNEC!$A$4:$J$6971,6,FALSE)</f>
        <v>0</v>
      </c>
      <c r="K6161">
        <f>VLOOKUP(A6161,Pr_Base_LNEC!$A$4:$J$6971,7,FALSE)</f>
        <v>0</v>
      </c>
    </row>
    <row r="6162" spans="1:11" ht="14.5">
      <c r="A6162" s="20" t="s">
        <v>29709</v>
      </c>
      <c r="B6162" s="20">
        <v>65</v>
      </c>
      <c r="C6162" s="20">
        <v>70</v>
      </c>
      <c r="D6162" s="20">
        <v>48</v>
      </c>
      <c r="E6162" s="20">
        <v>94</v>
      </c>
      <c r="F6162" s="20" t="s">
        <v>29710</v>
      </c>
      <c r="G6162" s="24"/>
      <c r="H6162" s="24"/>
      <c r="I6162" s="24" t="str">
        <f ca="1">IFERROR(__xludf.DUMMYFUNCTION("GOOGLETRANSLATE(F6162,""en"",""pt"")"),"Termoendurecível isolados, único núcleo cabos resistentes ao fogo, não blindado, não-revestidos")</f>
        <v>Termoendurecível isolados, único núcleo cabos resistentes ao fogo, não blindado, não-revestidos</v>
      </c>
      <c r="J6162">
        <f>VLOOKUP(A6162,Pr_Base_LNEC!$A$4:$J$6971,6,FALSE)</f>
        <v>0</v>
      </c>
      <c r="K6162">
        <f>VLOOKUP(A6162,Pr_Base_LNEC!$A$4:$J$6971,7,FALSE)</f>
        <v>0</v>
      </c>
    </row>
    <row r="6163" spans="1:11" ht="14.5">
      <c r="A6163" s="20" t="s">
        <v>29711</v>
      </c>
      <c r="B6163" s="20">
        <v>65</v>
      </c>
      <c r="C6163" s="20">
        <v>70</v>
      </c>
      <c r="D6163" s="20">
        <v>48</v>
      </c>
      <c r="E6163" s="20">
        <v>95</v>
      </c>
      <c r="F6163" s="20" t="s">
        <v>29712</v>
      </c>
      <c r="G6163" s="20" t="s">
        <v>29713</v>
      </c>
      <c r="H6163" s="24"/>
      <c r="I6163" s="24" t="str">
        <f ca="1">IFERROR(__xludf.DUMMYFUNCTION("GOOGLETRANSLATE(F6163,""en"",""pt"")"),"Termoendurecível cabos não-revestidos não blindado resistentes isolados único núcleo de incêndio")</f>
        <v>Termoendurecível cabos não-revestidos não blindado resistentes isolados único núcleo de incêndio</v>
      </c>
      <c r="J6163" t="e">
        <f>VLOOKUP(A6163,Pr_Base_LNEC!$A$4:$J$6971,6,FALSE)</f>
        <v>#N/A</v>
      </c>
      <c r="K6163" t="e">
        <f>VLOOKUP(A6163,Pr_Base_LNEC!$A$4:$J$6971,7,FALSE)</f>
        <v>#N/A</v>
      </c>
    </row>
    <row r="6164" spans="1:11" ht="14.5">
      <c r="A6164" s="20" t="s">
        <v>29714</v>
      </c>
      <c r="B6164" s="20">
        <v>65</v>
      </c>
      <c r="C6164" s="20">
        <v>70</v>
      </c>
      <c r="D6164" s="20">
        <v>50</v>
      </c>
      <c r="E6164" s="24"/>
      <c r="F6164" s="20" t="s">
        <v>29715</v>
      </c>
      <c r="G6164" s="24"/>
      <c r="H6164" s="24"/>
      <c r="I6164" s="24" t="str">
        <f ca="1">IFERROR(__xludf.DUMMYFUNCTION("GOOGLETRANSLATE(F6164,""en"",""pt"")"),"Baixa tensão pré-fabricados cabos")</f>
        <v>Baixa tensão pré-fabricados cabos</v>
      </c>
      <c r="J6164">
        <f>VLOOKUP(A6164,Pr_Base_LNEC!$A$4:$J$6971,6,FALSE)</f>
        <v>0</v>
      </c>
      <c r="K6164">
        <f>VLOOKUP(A6164,Pr_Base_LNEC!$A$4:$J$6971,7,FALSE)</f>
        <v>0</v>
      </c>
    </row>
    <row r="6165" spans="1:11" ht="14.5">
      <c r="A6165" s="20" t="s">
        <v>29716</v>
      </c>
      <c r="B6165" s="20">
        <v>65</v>
      </c>
      <c r="C6165" s="20">
        <v>70</v>
      </c>
      <c r="D6165" s="20">
        <v>50</v>
      </c>
      <c r="E6165" s="20">
        <v>15</v>
      </c>
      <c r="F6165" s="20" t="s">
        <v>29717</v>
      </c>
      <c r="G6165" s="20" t="s">
        <v>29718</v>
      </c>
      <c r="H6165" s="24"/>
      <c r="I6165" s="24" t="str">
        <f ca="1">IFERROR(__xludf.DUMMYFUNCTION("GOOGLETRANSLATE(F6165,""en"",""pt"")"),"cabos de conexão")</f>
        <v>cabos de conexão</v>
      </c>
      <c r="J6165">
        <f>VLOOKUP(A6165,Pr_Base_LNEC!$A$4:$J$6971,6,FALSE)</f>
        <v>0</v>
      </c>
      <c r="K6165">
        <f>VLOOKUP(A6165,Pr_Base_LNEC!$A$4:$J$6971,7,FALSE)</f>
        <v>0</v>
      </c>
    </row>
    <row r="6166" spans="1:11" ht="14.5">
      <c r="A6166" s="20" t="s">
        <v>29719</v>
      </c>
      <c r="B6166" s="20">
        <v>65</v>
      </c>
      <c r="C6166" s="20">
        <v>70</v>
      </c>
      <c r="D6166" s="20">
        <v>50</v>
      </c>
      <c r="E6166" s="20">
        <v>22</v>
      </c>
      <c r="F6166" s="20" t="s">
        <v>29720</v>
      </c>
      <c r="G6166" s="24"/>
      <c r="H6166" s="24"/>
      <c r="I6166" s="24" t="str">
        <f ca="1">IFERROR(__xludf.DUMMYFUNCTION("GOOGLETRANSLATE(F6166,""en"",""pt"")"),"conectores de distribuição")</f>
        <v>conectores de distribuição</v>
      </c>
      <c r="J6166">
        <f>VLOOKUP(A6166,Pr_Base_LNEC!$A$4:$J$6971,6,FALSE)</f>
        <v>0</v>
      </c>
      <c r="K6166">
        <f>VLOOKUP(A6166,Pr_Base_LNEC!$A$4:$J$6971,7,FALSE)</f>
        <v>0</v>
      </c>
    </row>
    <row r="6167" spans="1:11" ht="14.5">
      <c r="A6167" s="20" t="s">
        <v>29721</v>
      </c>
      <c r="B6167" s="20">
        <v>65</v>
      </c>
      <c r="C6167" s="20">
        <v>70</v>
      </c>
      <c r="D6167" s="20">
        <v>50</v>
      </c>
      <c r="E6167" s="20">
        <v>28</v>
      </c>
      <c r="F6167" s="20" t="s">
        <v>29722</v>
      </c>
      <c r="G6167" s="20" t="s">
        <v>29723</v>
      </c>
      <c r="H6167" s="24"/>
      <c r="I6167" s="24" t="str">
        <f ca="1">IFERROR(__xludf.DUMMYFUNCTION("GOOGLETRANSLATE(F6167,""en"",""pt"")"),"cabos extensores")</f>
        <v>cabos extensores</v>
      </c>
      <c r="J6167">
        <f>VLOOKUP(A6167,Pr_Base_LNEC!$A$4:$J$6971,6,FALSE)</f>
        <v>0</v>
      </c>
      <c r="K6167">
        <f>VLOOKUP(A6167,Pr_Base_LNEC!$A$4:$J$6971,7,FALSE)</f>
        <v>0</v>
      </c>
    </row>
    <row r="6168" spans="1:11" ht="14.5">
      <c r="A6168" s="20" t="s">
        <v>29724</v>
      </c>
      <c r="B6168" s="20">
        <v>65</v>
      </c>
      <c r="C6168" s="20">
        <v>70</v>
      </c>
      <c r="D6168" s="20">
        <v>50</v>
      </c>
      <c r="E6168" s="20">
        <v>37</v>
      </c>
      <c r="F6168" s="20" t="s">
        <v>29725</v>
      </c>
      <c r="G6168" s="20" t="s">
        <v>29726</v>
      </c>
      <c r="H6168" s="24"/>
      <c r="I6168" s="24" t="str">
        <f ca="1">IFERROR(__xludf.DUMMYFUNCTION("GOOGLETRANSLATE(F6168,""en"",""pt"")"),"cabos home run")</f>
        <v>cabos home run</v>
      </c>
      <c r="J6168">
        <f>VLOOKUP(A6168,Pr_Base_LNEC!$A$4:$J$6971,6,FALSE)</f>
        <v>0</v>
      </c>
      <c r="K6168">
        <f>VLOOKUP(A6168,Pr_Base_LNEC!$A$4:$J$6971,7,FALSE)</f>
        <v>0</v>
      </c>
    </row>
    <row r="6169" spans="1:11" ht="14.5">
      <c r="A6169" s="20" t="s">
        <v>29727</v>
      </c>
      <c r="B6169" s="20">
        <v>65</v>
      </c>
      <c r="C6169" s="20">
        <v>70</v>
      </c>
      <c r="D6169" s="20">
        <v>50</v>
      </c>
      <c r="E6169" s="20">
        <v>47</v>
      </c>
      <c r="F6169" s="20" t="s">
        <v>29728</v>
      </c>
      <c r="G6169" s="20" t="s">
        <v>29729</v>
      </c>
      <c r="H6169" s="24"/>
      <c r="I6169" s="24" t="str">
        <f ca="1">IFERROR(__xludf.DUMMYFUNCTION("GOOGLETRANSLATE(F6169,""en"",""pt"")"),"Iluminação leads extensor")</f>
        <v>Iluminação leads extensor</v>
      </c>
      <c r="J6169">
        <f>VLOOKUP(A6169,Pr_Base_LNEC!$A$4:$J$6971,6,FALSE)</f>
        <v>0</v>
      </c>
      <c r="K6169">
        <f>VLOOKUP(A6169,Pr_Base_LNEC!$A$4:$J$6971,7,FALSE)</f>
        <v>0</v>
      </c>
    </row>
    <row r="6170" spans="1:11" ht="14.5">
      <c r="A6170" s="20" t="s">
        <v>29730</v>
      </c>
      <c r="B6170" s="20">
        <v>65</v>
      </c>
      <c r="C6170" s="20">
        <v>70</v>
      </c>
      <c r="D6170" s="20">
        <v>50</v>
      </c>
      <c r="E6170" s="20">
        <v>49</v>
      </c>
      <c r="F6170" s="20" t="s">
        <v>29731</v>
      </c>
      <c r="G6170" s="20" t="s">
        <v>29732</v>
      </c>
      <c r="H6170" s="24"/>
      <c r="I6170" s="24" t="str">
        <f ca="1">IFERROR(__xludf.DUMMYFUNCTION("GOOGLETRANSLATE(F6170,""en"",""pt"")"),"os cabos de ligação de luminárias")</f>
        <v>os cabos de ligação de luminárias</v>
      </c>
      <c r="J6170">
        <f>VLOOKUP(A6170,Pr_Base_LNEC!$A$4:$J$6971,6,FALSE)</f>
        <v>0</v>
      </c>
      <c r="K6170">
        <f>VLOOKUP(A6170,Pr_Base_LNEC!$A$4:$J$6971,7,FALSE)</f>
        <v>0</v>
      </c>
    </row>
    <row r="6171" spans="1:11" ht="14.5">
      <c r="A6171" s="20" t="s">
        <v>29733</v>
      </c>
      <c r="B6171" s="20">
        <v>65</v>
      </c>
      <c r="C6171" s="20">
        <v>70</v>
      </c>
      <c r="D6171" s="20">
        <v>50</v>
      </c>
      <c r="E6171" s="20">
        <v>64</v>
      </c>
      <c r="F6171" s="20" t="s">
        <v>29734</v>
      </c>
      <c r="G6171" s="24"/>
      <c r="H6171" s="24"/>
      <c r="I6171" s="24" t="str">
        <f ca="1">IFERROR(__xludf.DUMMYFUNCTION("GOOGLETRANSLATE(F6171,""en"",""pt"")"),"Prefabricados baixo fumo zero, halogéneo (LSZH) isolado e cabos revestidos de vários núcleos")</f>
        <v>Prefabricados baixo fumo zero, halogéneo (LSZH) isolado e cabos revestidos de vários núcleos</v>
      </c>
      <c r="J6171">
        <f>VLOOKUP(A6171,Pr_Base_LNEC!$A$4:$J$6971,6,FALSE)</f>
        <v>0</v>
      </c>
      <c r="K6171">
        <f>VLOOKUP(A6171,Pr_Base_LNEC!$A$4:$J$6971,7,FALSE)</f>
        <v>0</v>
      </c>
    </row>
    <row r="6172" spans="1:11" ht="14.5">
      <c r="A6172" s="20" t="s">
        <v>29735</v>
      </c>
      <c r="B6172" s="20">
        <v>65</v>
      </c>
      <c r="C6172" s="20">
        <v>70</v>
      </c>
      <c r="D6172" s="20">
        <v>50</v>
      </c>
      <c r="E6172" s="20">
        <v>66</v>
      </c>
      <c r="F6172" s="20" t="s">
        <v>29736</v>
      </c>
      <c r="G6172" s="24"/>
      <c r="H6172" s="24"/>
      <c r="I6172" s="24" t="str">
        <f ca="1">IFERROR(__xludf.DUMMYFUNCTION("GOOGLETRANSLATE(F6172,""en"",""pt"")"),"Prefabricados baixo fumo zero, halogéneo (LSZH) e cabos isolados individuais na conduta flexível")</f>
        <v>Prefabricados baixo fumo zero, halogéneo (LSZH) e cabos isolados individuais na conduta flexível</v>
      </c>
      <c r="J6172">
        <f>VLOOKUP(A6172,Pr_Base_LNEC!$A$4:$J$6971,6,FALSE)</f>
        <v>0</v>
      </c>
      <c r="K6172">
        <f>VLOOKUP(A6172,Pr_Base_LNEC!$A$4:$J$6971,7,FALSE)</f>
        <v>0</v>
      </c>
    </row>
    <row r="6173" spans="1:11" ht="14.5">
      <c r="A6173" s="20" t="s">
        <v>29737</v>
      </c>
      <c r="B6173" s="20">
        <v>65</v>
      </c>
      <c r="C6173" s="20">
        <v>70</v>
      </c>
      <c r="D6173" s="20">
        <v>50</v>
      </c>
      <c r="E6173" s="20">
        <v>72</v>
      </c>
      <c r="F6173" s="20" t="s">
        <v>29738</v>
      </c>
      <c r="G6173" s="24"/>
      <c r="H6173" s="24"/>
      <c r="I6173" s="24" t="str">
        <f ca="1">IFERROR(__xludf.DUMMYFUNCTION("GOOGLETRANSLATE(F6173,""en"",""pt"")"),"cabos RJ45")</f>
        <v>cabos RJ45</v>
      </c>
      <c r="J6173">
        <f>VLOOKUP(A6173,Pr_Base_LNEC!$A$4:$J$6971,6,FALSE)</f>
        <v>0</v>
      </c>
      <c r="K6173">
        <f>VLOOKUP(A6173,Pr_Base_LNEC!$A$4:$J$6971,7,FALSE)</f>
        <v>0</v>
      </c>
    </row>
    <row r="6174" spans="1:11" ht="14.5">
      <c r="A6174" s="20" t="s">
        <v>29739</v>
      </c>
      <c r="B6174" s="20">
        <v>65</v>
      </c>
      <c r="C6174" s="20">
        <v>70</v>
      </c>
      <c r="D6174" s="20">
        <v>50</v>
      </c>
      <c r="E6174" s="20">
        <v>84</v>
      </c>
      <c r="F6174" s="20" t="s">
        <v>29740</v>
      </c>
      <c r="G6174" s="20" t="s">
        <v>29741</v>
      </c>
      <c r="H6174" s="24"/>
      <c r="I6174" s="24" t="str">
        <f ca="1">IFERROR(__xludf.DUMMYFUNCTION("GOOGLETRANSLATE(F6174,""en"",""pt"")"),"leads arranque")</f>
        <v>leads arranque</v>
      </c>
      <c r="J6174">
        <f>VLOOKUP(A6174,Pr_Base_LNEC!$A$4:$J$6971,6,FALSE)</f>
        <v>0</v>
      </c>
      <c r="K6174">
        <f>VLOOKUP(A6174,Pr_Base_LNEC!$A$4:$J$6971,7,FALSE)</f>
        <v>0</v>
      </c>
    </row>
    <row r="6175" spans="1:11" ht="14.5">
      <c r="A6175" s="20" t="s">
        <v>29742</v>
      </c>
      <c r="B6175" s="20">
        <v>65</v>
      </c>
      <c r="C6175" s="20">
        <v>70</v>
      </c>
      <c r="D6175" s="20">
        <v>50</v>
      </c>
      <c r="E6175" s="20">
        <v>86</v>
      </c>
      <c r="F6175" s="20" t="s">
        <v>29743</v>
      </c>
      <c r="G6175" s="20" t="s">
        <v>29744</v>
      </c>
      <c r="H6175" s="24"/>
      <c r="I6175" s="24" t="str">
        <f ca="1">IFERROR(__xludf.DUMMYFUNCTION("GOOGLETRANSLATE(F6175,""en"",""pt"")"),"cabos de ligação interruptor")</f>
        <v>cabos de ligação interruptor</v>
      </c>
      <c r="J6175">
        <f>VLOOKUP(A6175,Pr_Base_LNEC!$A$4:$J$6971,6,FALSE)</f>
        <v>0</v>
      </c>
      <c r="K6175">
        <f>VLOOKUP(A6175,Pr_Base_LNEC!$A$4:$J$6971,7,FALSE)</f>
        <v>0</v>
      </c>
    </row>
    <row r="6176" spans="1:11" ht="14.5">
      <c r="A6176" s="20" t="s">
        <v>29745</v>
      </c>
      <c r="B6176" s="20">
        <v>65</v>
      </c>
      <c r="C6176" s="20">
        <v>70</v>
      </c>
      <c r="D6176" s="20">
        <v>50</v>
      </c>
      <c r="E6176" s="20">
        <v>88</v>
      </c>
      <c r="F6176" s="20" t="s">
        <v>29746</v>
      </c>
      <c r="G6176" s="20" t="s">
        <v>29747</v>
      </c>
      <c r="H6176" s="24"/>
      <c r="I6176" s="24" t="str">
        <f ca="1">IFERROR(__xludf.DUMMYFUNCTION("GOOGLETRANSLATE(F6176,""en"",""pt"")"),"conectores T")</f>
        <v>conectores T</v>
      </c>
      <c r="J6176">
        <f>VLOOKUP(A6176,Pr_Base_LNEC!$A$4:$J$6971,6,FALSE)</f>
        <v>0</v>
      </c>
      <c r="K6176">
        <f>VLOOKUP(A6176,Pr_Base_LNEC!$A$4:$J$6971,7,FALSE)</f>
        <v>0</v>
      </c>
    </row>
    <row r="6177" spans="1:11" ht="14.5">
      <c r="A6177" s="20" t="s">
        <v>29748</v>
      </c>
      <c r="B6177" s="20">
        <v>65</v>
      </c>
      <c r="C6177" s="20">
        <v>70</v>
      </c>
      <c r="D6177" s="20">
        <v>70</v>
      </c>
      <c r="E6177" s="24"/>
      <c r="F6177" s="20" t="s">
        <v>29749</v>
      </c>
      <c r="G6177" s="24"/>
      <c r="H6177" s="24"/>
      <c r="I6177" s="24" t="str">
        <f ca="1">IFERROR(__xludf.DUMMYFUNCTION("GOOGLETRANSLATE(F6177,""en"",""pt"")"),"cabos de material circulante ferroviário")</f>
        <v>cabos de material circulante ferroviário</v>
      </c>
      <c r="J6177" t="e">
        <f>VLOOKUP(A6177,Pr_Base_LNEC!$A$4:$J$6971,6,FALSE)</f>
        <v>#N/A</v>
      </c>
      <c r="K6177" t="e">
        <f>VLOOKUP(A6177,Pr_Base_LNEC!$A$4:$J$6971,7,FALSE)</f>
        <v>#N/A</v>
      </c>
    </row>
    <row r="6178" spans="1:11" ht="14.5">
      <c r="A6178" s="20" t="s">
        <v>29750</v>
      </c>
      <c r="B6178" s="20">
        <v>65</v>
      </c>
      <c r="C6178" s="20">
        <v>70</v>
      </c>
      <c r="D6178" s="20">
        <v>70</v>
      </c>
      <c r="E6178" s="20">
        <v>53</v>
      </c>
      <c r="F6178" s="20" t="s">
        <v>29751</v>
      </c>
      <c r="G6178" s="24"/>
      <c r="H6178" s="24"/>
      <c r="I6178" s="24" t="str">
        <f ca="1">IFERROR(__xludf.DUMMYFUNCTION("GOOGLETRANSLATE(F6178,""en"",""pt"")"),"Multicore,, dimensões reduzidas, cabos isolados elastoméricos-reticulados desempenho ao fogo especial")</f>
        <v>Multicore,, dimensões reduzidas, cabos isolados elastoméricos-reticulados desempenho ao fogo especial</v>
      </c>
      <c r="J6178" t="e">
        <f>VLOOKUP(A6178,Pr_Base_LNEC!$A$4:$J$6971,6,FALSE)</f>
        <v>#N/A</v>
      </c>
      <c r="K6178" t="e">
        <f>VLOOKUP(A6178,Pr_Base_LNEC!$A$4:$J$6971,7,FALSE)</f>
        <v>#N/A</v>
      </c>
    </row>
    <row r="6179" spans="1:11" ht="14.5">
      <c r="A6179" s="20" t="s">
        <v>29752</v>
      </c>
      <c r="B6179" s="20">
        <v>65</v>
      </c>
      <c r="C6179" s="20">
        <v>70</v>
      </c>
      <c r="D6179" s="20">
        <v>70</v>
      </c>
      <c r="E6179" s="20">
        <v>55</v>
      </c>
      <c r="F6179" s="20" t="s">
        <v>29753</v>
      </c>
      <c r="G6179" s="24"/>
      <c r="H6179" s="24"/>
      <c r="I6179" s="24" t="str">
        <f ca="1">IFERROR(__xludf.DUMMYFUNCTION("GOOGLETRANSLATE(F6179,""en"",""pt"")"),"Multicore,, cabos elásticos isolados com ligações cruzadas de desempenho de fogo especial")</f>
        <v>Multicore,, cabos elásticos isolados com ligações cruzadas de desempenho de fogo especial</v>
      </c>
      <c r="J6179" t="e">
        <f>VLOOKUP(A6179,Pr_Base_LNEC!$A$4:$J$6971,6,FALSE)</f>
        <v>#N/A</v>
      </c>
      <c r="K6179" t="e">
        <f>VLOOKUP(A6179,Pr_Base_LNEC!$A$4:$J$6971,7,FALSE)</f>
        <v>#N/A</v>
      </c>
    </row>
    <row r="6180" spans="1:11" ht="14.5">
      <c r="A6180" s="20" t="s">
        <v>29754</v>
      </c>
      <c r="B6180" s="20">
        <v>65</v>
      </c>
      <c r="C6180" s="20">
        <v>70</v>
      </c>
      <c r="D6180" s="20">
        <v>70</v>
      </c>
      <c r="E6180" s="20">
        <v>57</v>
      </c>
      <c r="F6180" s="20" t="s">
        <v>29755</v>
      </c>
      <c r="G6180" s="24"/>
      <c r="H6180" s="24"/>
      <c r="I6180" s="24" t="str">
        <f ca="1">IFERROR(__xludf.DUMMYFUNCTION("GOOGLETRANSLATE(F6180,""en"",""pt"")"),"Multicore e multi-par, cabos, desempenho ao fogo especial com isolamento de paredes finas")</f>
        <v>Multicore e multi-par, cabos, desempenho ao fogo especial com isolamento de paredes finas</v>
      </c>
      <c r="J6180" t="e">
        <f>VLOOKUP(A6180,Pr_Base_LNEC!$A$4:$J$6971,6,FALSE)</f>
        <v>#N/A</v>
      </c>
      <c r="K6180" t="e">
        <f>VLOOKUP(A6180,Pr_Base_LNEC!$A$4:$J$6971,7,FALSE)</f>
        <v>#N/A</v>
      </c>
    </row>
    <row r="6181" spans="1:11" ht="14.5">
      <c r="A6181" s="20" t="s">
        <v>29756</v>
      </c>
      <c r="B6181" s="20">
        <v>65</v>
      </c>
      <c r="C6181" s="20">
        <v>70</v>
      </c>
      <c r="D6181" s="20">
        <v>70</v>
      </c>
      <c r="E6181" s="20">
        <v>83</v>
      </c>
      <c r="F6181" s="20" t="s">
        <v>29757</v>
      </c>
      <c r="G6181" s="24"/>
      <c r="H6181" s="24"/>
      <c r="I6181" s="24" t="str">
        <f ca="1">IFERROR(__xludf.DUMMYFUNCTION("GOOGLETRANSLATE(F6181,""en"",""pt"")"),"Rastreada, com vários núcleos, reticulado, de dimensões reduzidas, cabos de segurança contra incêndio especial elastoméricos-isolados")</f>
        <v>Rastreada, com vários núcleos, reticulado, de dimensões reduzidas, cabos de segurança contra incêndio especial elastoméricos-isolados</v>
      </c>
      <c r="J6181" t="e">
        <f>VLOOKUP(A6181,Pr_Base_LNEC!$A$4:$J$6971,6,FALSE)</f>
        <v>#N/A</v>
      </c>
      <c r="K6181" t="e">
        <f>VLOOKUP(A6181,Pr_Base_LNEC!$A$4:$J$6971,7,FALSE)</f>
        <v>#N/A</v>
      </c>
    </row>
    <row r="6182" spans="1:11" ht="14.5">
      <c r="A6182" s="20" t="s">
        <v>29758</v>
      </c>
      <c r="B6182" s="20">
        <v>65</v>
      </c>
      <c r="C6182" s="20">
        <v>70</v>
      </c>
      <c r="D6182" s="20">
        <v>70</v>
      </c>
      <c r="E6182" s="20">
        <v>85</v>
      </c>
      <c r="F6182" s="20" t="s">
        <v>29759</v>
      </c>
      <c r="G6182" s="24"/>
      <c r="H6182" s="24"/>
      <c r="I6182" s="24" t="str">
        <f ca="1">IFERROR(__xludf.DUMMYFUNCTION("GOOGLETRANSLATE(F6182,""en"",""pt"")"),"núcleo único, dimensões reduzidas, elastoméricos isolamento reticuladas, cabos especiais de segurança contra incêndio")</f>
        <v>núcleo único, dimensões reduzidas, elastoméricos isolamento reticuladas, cabos especiais de segurança contra incêndio</v>
      </c>
      <c r="J6182" t="e">
        <f>VLOOKUP(A6182,Pr_Base_LNEC!$A$4:$J$6971,6,FALSE)</f>
        <v>#N/A</v>
      </c>
      <c r="K6182" t="e">
        <f>VLOOKUP(A6182,Pr_Base_LNEC!$A$4:$J$6971,7,FALSE)</f>
        <v>#N/A</v>
      </c>
    </row>
    <row r="6183" spans="1:11" ht="14.5">
      <c r="A6183" s="20" t="s">
        <v>29760</v>
      </c>
      <c r="B6183" s="20">
        <v>65</v>
      </c>
      <c r="C6183" s="20">
        <v>70</v>
      </c>
      <c r="D6183" s="20">
        <v>70</v>
      </c>
      <c r="E6183" s="20">
        <v>87</v>
      </c>
      <c r="F6183" s="20" t="s">
        <v>29761</v>
      </c>
      <c r="G6183" s="24"/>
      <c r="H6183" s="24"/>
      <c r="I6183" s="24" t="str">
        <f ca="1">IFERROR(__xludf.DUMMYFUNCTION("GOOGLETRANSLATE(F6183,""en"",""pt"")"),"núcleo único, 600/1000, V, cabos isolados elastoméricos-reticulados desempenho ao fogo especial")</f>
        <v>núcleo único, 600/1000, V, cabos isolados elastoméricos-reticulados desempenho ao fogo especial</v>
      </c>
      <c r="J6183" t="e">
        <f>VLOOKUP(A6183,Pr_Base_LNEC!$A$4:$J$6971,6,FALSE)</f>
        <v>#N/A</v>
      </c>
      <c r="K6183" t="e">
        <f>VLOOKUP(A6183,Pr_Base_LNEC!$A$4:$J$6971,7,FALSE)</f>
        <v>#N/A</v>
      </c>
    </row>
    <row r="6184" spans="1:11" ht="14.5">
      <c r="A6184" s="20" t="s">
        <v>29762</v>
      </c>
      <c r="B6184" s="20">
        <v>65</v>
      </c>
      <c r="C6184" s="20">
        <v>70</v>
      </c>
      <c r="D6184" s="20">
        <v>70</v>
      </c>
      <c r="E6184" s="20">
        <v>88</v>
      </c>
      <c r="F6184" s="20" t="s">
        <v>29763</v>
      </c>
      <c r="G6184" s="24"/>
      <c r="H6184" s="24"/>
      <c r="I6184" s="24" t="str">
        <f ca="1">IFERROR(__xludf.DUMMYFUNCTION("GOOGLETRANSLATE(F6184,""en"",""pt"")"),"núcleo único,, 1,8 / 3 kV, cabos isolados elastoméricos-reticulados desempenho ao fogo especial")</f>
        <v>núcleo único,, 1,8 / 3 kV, cabos isolados elastoméricos-reticulados desempenho ao fogo especial</v>
      </c>
      <c r="J6184" t="e">
        <f>VLOOKUP(A6184,Pr_Base_LNEC!$A$4:$J$6971,6,FALSE)</f>
        <v>#N/A</v>
      </c>
      <c r="K6184" t="e">
        <f>VLOOKUP(A6184,Pr_Base_LNEC!$A$4:$J$6971,7,FALSE)</f>
        <v>#N/A</v>
      </c>
    </row>
    <row r="6185" spans="1:11" ht="14.5">
      <c r="A6185" s="20" t="s">
        <v>29764</v>
      </c>
      <c r="B6185" s="20">
        <v>65</v>
      </c>
      <c r="C6185" s="20">
        <v>70</v>
      </c>
      <c r="D6185" s="20">
        <v>70</v>
      </c>
      <c r="E6185" s="20">
        <v>89</v>
      </c>
      <c r="F6185" s="20" t="s">
        <v>29765</v>
      </c>
      <c r="G6185" s="24"/>
      <c r="H6185" s="24"/>
      <c r="I6185" s="24" t="str">
        <f ca="1">IFERROR(__xludf.DUMMYFUNCTION("GOOGLETRANSLATE(F6185,""en"",""pt"")"),"núcleo único, de silicone com isolamento de borracha de alta temperatura, cabos especiais de segurança contra incêndio")</f>
        <v>núcleo único, de silicone com isolamento de borracha de alta temperatura, cabos especiais de segurança contra incêndio</v>
      </c>
      <c r="J6185" t="e">
        <f>VLOOKUP(A6185,Pr_Base_LNEC!$A$4:$J$6971,6,FALSE)</f>
        <v>#N/A</v>
      </c>
      <c r="K6185" t="e">
        <f>VLOOKUP(A6185,Pr_Base_LNEC!$A$4:$J$6971,7,FALSE)</f>
        <v>#N/A</v>
      </c>
    </row>
    <row r="6186" spans="1:11" ht="14.5">
      <c r="A6186" s="20" t="s">
        <v>29766</v>
      </c>
      <c r="B6186" s="20">
        <v>65</v>
      </c>
      <c r="C6186" s="20">
        <v>70</v>
      </c>
      <c r="D6186" s="20">
        <v>70</v>
      </c>
      <c r="E6186" s="20">
        <v>91</v>
      </c>
      <c r="F6186" s="20" t="s">
        <v>29767</v>
      </c>
      <c r="G6186" s="24"/>
      <c r="H6186" s="24"/>
      <c r="I6186" s="24" t="str">
        <f ca="1">IFERROR(__xludf.DUMMYFUNCTION("GOOGLETRANSLATE(F6186,""en"",""pt"")"),"de núcleo único,, cabos de segurança contra incêndio especial com isolamento de parede fina")</f>
        <v>de núcleo único,, cabos de segurança contra incêndio especial com isolamento de parede fina</v>
      </c>
      <c r="J6186" t="e">
        <f>VLOOKUP(A6186,Pr_Base_LNEC!$A$4:$J$6971,6,FALSE)</f>
        <v>#N/A</v>
      </c>
      <c r="K6186" t="e">
        <f>VLOOKUP(A6186,Pr_Base_LNEC!$A$4:$J$6971,7,FALSE)</f>
        <v>#N/A</v>
      </c>
    </row>
    <row r="6187" spans="1:11" ht="14.5">
      <c r="A6187" s="20" t="s">
        <v>29768</v>
      </c>
      <c r="B6187" s="20">
        <v>65</v>
      </c>
      <c r="C6187" s="20">
        <v>70</v>
      </c>
      <c r="D6187" s="20">
        <v>80</v>
      </c>
      <c r="E6187" s="24"/>
      <c r="F6187" s="20" t="s">
        <v>29769</v>
      </c>
      <c r="G6187" s="24"/>
      <c r="H6187" s="24"/>
      <c r="I6187" s="24" t="str">
        <f ca="1">IFERROR(__xludf.DUMMYFUNCTION("GOOGLETRANSLATE(F6187,""en"",""pt"")"),"cabos de sinalização")</f>
        <v>cabos de sinalização</v>
      </c>
      <c r="J6187" t="e">
        <f>VLOOKUP(A6187,Pr_Base_LNEC!$A$4:$J$6971,6,FALSE)</f>
        <v>#N/A</v>
      </c>
      <c r="K6187" t="e">
        <f>VLOOKUP(A6187,Pr_Base_LNEC!$A$4:$J$6971,7,FALSE)</f>
        <v>#N/A</v>
      </c>
    </row>
    <row r="6188" spans="1:11" ht="14.5">
      <c r="A6188" s="20" t="s">
        <v>29770</v>
      </c>
      <c r="B6188" s="20">
        <v>65</v>
      </c>
      <c r="C6188" s="20">
        <v>70</v>
      </c>
      <c r="D6188" s="20">
        <v>80</v>
      </c>
      <c r="E6188" s="20">
        <v>1</v>
      </c>
      <c r="F6188" s="20" t="s">
        <v>29771</v>
      </c>
      <c r="G6188" s="24"/>
      <c r="H6188" s="24"/>
      <c r="I6188" s="24" t="str">
        <f ca="1">IFERROR(__xludf.DUMMYFUNCTION("GOOGLETRANSLATE(F6188,""en"",""pt"")"),"2 unscreened V (LSF) cabos principais 1000")</f>
        <v>2 unscreened V (LSF) cabos principais 1000</v>
      </c>
      <c r="J6188" t="e">
        <f>VLOOKUP(A6188,Pr_Base_LNEC!$A$4:$J$6971,6,FALSE)</f>
        <v>#N/A</v>
      </c>
      <c r="K6188" t="e">
        <f>VLOOKUP(A6188,Pr_Base_LNEC!$A$4:$J$6971,7,FALSE)</f>
        <v>#N/A</v>
      </c>
    </row>
    <row r="6189" spans="1:11" ht="14.5">
      <c r="A6189" s="20" t="s">
        <v>29772</v>
      </c>
      <c r="B6189" s="20">
        <v>65</v>
      </c>
      <c r="C6189" s="20">
        <v>70</v>
      </c>
      <c r="D6189" s="20">
        <v>80</v>
      </c>
      <c r="E6189" s="20">
        <v>3</v>
      </c>
      <c r="F6189" s="20" t="s">
        <v>29773</v>
      </c>
      <c r="G6189" s="24"/>
      <c r="H6189" s="24"/>
      <c r="I6189" s="24" t="str">
        <f ca="1">IFERROR(__xludf.DUMMYFUNCTION("GOOGLETRANSLATE(F6189,""en"",""pt"")"),"Abrasão de um só núcleo resistente tripla isolada (LSF) de sinalização para cabos de apartamentos")</f>
        <v>Abrasão de um só núcleo resistente tripla isolada (LSF) de sinalização para cabos de apartamentos</v>
      </c>
      <c r="J6189" t="e">
        <f>VLOOKUP(A6189,Pr_Base_LNEC!$A$4:$J$6971,6,FALSE)</f>
        <v>#N/A</v>
      </c>
      <c r="K6189" t="e">
        <f>VLOOKUP(A6189,Pr_Base_LNEC!$A$4:$J$6971,7,FALSE)</f>
        <v>#N/A</v>
      </c>
    </row>
    <row r="6190" spans="1:11" ht="14.5">
      <c r="A6190" s="20" t="s">
        <v>29774</v>
      </c>
      <c r="B6190" s="20">
        <v>65</v>
      </c>
      <c r="C6190" s="20">
        <v>70</v>
      </c>
      <c r="D6190" s="20">
        <v>80</v>
      </c>
      <c r="E6190" s="20">
        <v>14</v>
      </c>
      <c r="F6190" s="20" t="s">
        <v>29775</v>
      </c>
      <c r="G6190" s="24"/>
      <c r="H6190" s="24"/>
      <c r="I6190" s="24" t="str">
        <f ca="1">IFERROR(__xludf.DUMMYFUNCTION("GOOGLETRANSLATE(F6190,""en"",""pt"")"),"Concêntrico cabos blindados com telas separar")</f>
        <v>Concêntrico cabos blindados com telas separar</v>
      </c>
      <c r="J6190" t="e">
        <f>VLOOKUP(A6190,Pr_Base_LNEC!$A$4:$J$6971,6,FALSE)</f>
        <v>#N/A</v>
      </c>
      <c r="K6190" t="e">
        <f>VLOOKUP(A6190,Pr_Base_LNEC!$A$4:$J$6971,7,FALSE)</f>
        <v>#N/A</v>
      </c>
    </row>
    <row r="6191" spans="1:11" ht="14.5">
      <c r="A6191" s="20" t="s">
        <v>29776</v>
      </c>
      <c r="B6191" s="20">
        <v>65</v>
      </c>
      <c r="C6191" s="20">
        <v>70</v>
      </c>
      <c r="D6191" s="20">
        <v>80</v>
      </c>
      <c r="E6191" s="20">
        <v>16</v>
      </c>
      <c r="F6191" s="20" t="s">
        <v>29777</v>
      </c>
      <c r="G6191" s="24"/>
      <c r="H6191" s="24"/>
      <c r="I6191" s="24" t="str">
        <f ca="1">IFERROR(__xludf.DUMMYFUNCTION("GOOGLETRANSLATE(F6191,""en"",""pt"")"),"triadas (LSF) cabos concêntricos com telas separar")</f>
        <v>triadas (LSF) cabos concêntricos com telas separar</v>
      </c>
      <c r="J6191" t="e">
        <f>VLOOKUP(A6191,Pr_Base_LNEC!$A$4:$J$6971,6,FALSE)</f>
        <v>#N/A</v>
      </c>
      <c r="K6191" t="e">
        <f>VLOOKUP(A6191,Pr_Base_LNEC!$A$4:$J$6971,7,FALSE)</f>
        <v>#N/A</v>
      </c>
    </row>
    <row r="6192" spans="1:11" ht="14.5">
      <c r="A6192" s="20" t="s">
        <v>29778</v>
      </c>
      <c r="B6192" s="20">
        <v>65</v>
      </c>
      <c r="C6192" s="20">
        <v>70</v>
      </c>
      <c r="D6192" s="20">
        <v>80</v>
      </c>
      <c r="E6192" s="20">
        <v>46</v>
      </c>
      <c r="F6192" s="20" t="s">
        <v>29779</v>
      </c>
      <c r="G6192" s="24"/>
      <c r="H6192" s="24"/>
      <c r="I6192" s="24" t="str">
        <f ca="1">IFERROR(__xludf.DUMMYFUNCTION("GOOGLETRANSLATE(F6192,""en"",""pt"")"),"Multicore concêntrico blindada (LSF) de faixa de passagem de cabos com telas em contacto")</f>
        <v>Multicore concêntrico blindada (LSF) de faixa de passagem de cabos com telas em contacto</v>
      </c>
      <c r="J6192" t="e">
        <f>VLOOKUP(A6192,Pr_Base_LNEC!$A$4:$J$6971,6,FALSE)</f>
        <v>#N/A</v>
      </c>
      <c r="K6192" t="e">
        <f>VLOOKUP(A6192,Pr_Base_LNEC!$A$4:$J$6971,7,FALSE)</f>
        <v>#N/A</v>
      </c>
    </row>
    <row r="6193" spans="1:11" ht="14.5">
      <c r="A6193" s="20" t="s">
        <v>29780</v>
      </c>
      <c r="B6193" s="20">
        <v>65</v>
      </c>
      <c r="C6193" s="20">
        <v>70</v>
      </c>
      <c r="D6193" s="20">
        <v>80</v>
      </c>
      <c r="E6193" s="20">
        <v>47</v>
      </c>
      <c r="F6193" s="20" t="s">
        <v>29781</v>
      </c>
      <c r="G6193" s="24"/>
      <c r="H6193" s="24"/>
      <c r="I6193" s="24" t="str">
        <f ca="1">IFERROR(__xludf.DUMMYFUNCTION("GOOGLETRANSLATE(F6193,""en"",""pt"")"),"Multicore concêntrico filtradas rastrear cabos cruzar com telas em contacto")</f>
        <v>Multicore concêntrico filtradas rastrear cabos cruzar com telas em contacto</v>
      </c>
      <c r="J6193" t="e">
        <f>VLOOKUP(A6193,Pr_Base_LNEC!$A$4:$J$6971,6,FALSE)</f>
        <v>#N/A</v>
      </c>
      <c r="K6193" t="e">
        <f>VLOOKUP(A6193,Pr_Base_LNEC!$A$4:$J$6971,7,FALSE)</f>
        <v>#N/A</v>
      </c>
    </row>
    <row r="6194" spans="1:11" ht="14.5">
      <c r="A6194" s="20" t="s">
        <v>29782</v>
      </c>
      <c r="B6194" s="20">
        <v>65</v>
      </c>
      <c r="C6194" s="20">
        <v>70</v>
      </c>
      <c r="D6194" s="20">
        <v>80</v>
      </c>
      <c r="E6194" s="20">
        <v>49</v>
      </c>
      <c r="F6194" s="20" t="s">
        <v>29783</v>
      </c>
      <c r="G6194" s="24"/>
      <c r="H6194" s="24"/>
      <c r="I6194" s="24" t="str">
        <f ca="1">IFERROR(__xludf.DUMMYFUNCTION("GOOGLETRANSLATE(F6194,""en"",""pt"")"),"Multicore concêntrico filtradas rastrear cabos cruzar com telas separar")</f>
        <v>Multicore concêntrico filtradas rastrear cabos cruzar com telas separar</v>
      </c>
      <c r="J6194" t="e">
        <f>VLOOKUP(A6194,Pr_Base_LNEC!$A$4:$J$6971,6,FALSE)</f>
        <v>#N/A</v>
      </c>
      <c r="K6194" t="e">
        <f>VLOOKUP(A6194,Pr_Base_LNEC!$A$4:$J$6971,7,FALSE)</f>
        <v>#N/A</v>
      </c>
    </row>
    <row r="6195" spans="1:11" ht="14.5">
      <c r="A6195" s="20" t="s">
        <v>29784</v>
      </c>
      <c r="B6195" s="20">
        <v>65</v>
      </c>
      <c r="C6195" s="20">
        <v>70</v>
      </c>
      <c r="D6195" s="20">
        <v>80</v>
      </c>
      <c r="E6195" s="20">
        <v>51</v>
      </c>
      <c r="F6195" s="20" t="s">
        <v>29785</v>
      </c>
      <c r="G6195" s="24"/>
      <c r="H6195" s="24"/>
      <c r="I6195" s="24" t="str">
        <f ca="1">IFERROR(__xludf.DUMMYFUNCTION("GOOGLETRANSLATE(F6195,""en"",""pt"")"),"Multicore rastreados (LSF) cabos cabo de execução")</f>
        <v>Multicore rastreados (LSF) cabos cabo de execução</v>
      </c>
      <c r="J6195" t="e">
        <f>VLOOKUP(A6195,Pr_Base_LNEC!$A$4:$J$6971,6,FALSE)</f>
        <v>#N/A</v>
      </c>
      <c r="K6195" t="e">
        <f>VLOOKUP(A6195,Pr_Base_LNEC!$A$4:$J$6971,7,FALSE)</f>
        <v>#N/A</v>
      </c>
    </row>
    <row r="6196" spans="1:11" ht="14.5">
      <c r="A6196" s="20" t="s">
        <v>29786</v>
      </c>
      <c r="B6196" s="20">
        <v>65</v>
      </c>
      <c r="C6196" s="20">
        <v>70</v>
      </c>
      <c r="D6196" s="20">
        <v>80</v>
      </c>
      <c r="E6196" s="20">
        <v>52</v>
      </c>
      <c r="F6196" s="20" t="s">
        <v>29787</v>
      </c>
      <c r="G6196" s="24"/>
      <c r="H6196" s="24"/>
      <c r="I6196" s="24" t="str">
        <f ca="1">IFERROR(__xludf.DUMMYFUNCTION("GOOGLETRANSLATE(F6196,""en"",""pt"")"),"Multicore rastreados (LSF) Cabos de cruzamento de pista")</f>
        <v>Multicore rastreados (LSF) Cabos de cruzamento de pista</v>
      </c>
      <c r="J6196" t="e">
        <f>VLOOKUP(A6196,Pr_Base_LNEC!$A$4:$J$6971,6,FALSE)</f>
        <v>#N/A</v>
      </c>
      <c r="K6196" t="e">
        <f>VLOOKUP(A6196,Pr_Base_LNEC!$A$4:$J$6971,7,FALSE)</f>
        <v>#N/A</v>
      </c>
    </row>
    <row r="6197" spans="1:11" ht="14.5">
      <c r="A6197" s="20" t="s">
        <v>29788</v>
      </c>
      <c r="B6197" s="20">
        <v>65</v>
      </c>
      <c r="C6197" s="20">
        <v>70</v>
      </c>
      <c r="D6197" s="20">
        <v>80</v>
      </c>
      <c r="E6197" s="20">
        <v>53</v>
      </c>
      <c r="F6197" s="20" t="s">
        <v>29789</v>
      </c>
      <c r="G6197" s="24"/>
      <c r="H6197" s="24"/>
      <c r="I6197" s="24" t="str">
        <f ca="1">IFERROR(__xludf.DUMMYFUNCTION("GOOGLETRANSLATE(F6197,""en"",""pt"")"),"Multicore rastreados par (LSF) cabos contador de eixos")</f>
        <v>Multicore rastreados par (LSF) cabos contador de eixos</v>
      </c>
      <c r="J6197" t="e">
        <f>VLOOKUP(A6197,Pr_Base_LNEC!$A$4:$J$6971,6,FALSE)</f>
        <v>#N/A</v>
      </c>
      <c r="K6197" t="e">
        <f>VLOOKUP(A6197,Pr_Base_LNEC!$A$4:$J$6971,7,FALSE)</f>
        <v>#N/A</v>
      </c>
    </row>
    <row r="6198" spans="1:11" ht="14.5">
      <c r="A6198" s="20" t="s">
        <v>29790</v>
      </c>
      <c r="B6198" s="20">
        <v>65</v>
      </c>
      <c r="C6198" s="20">
        <v>70</v>
      </c>
      <c r="D6198" s="20">
        <v>80</v>
      </c>
      <c r="E6198" s="20">
        <v>55</v>
      </c>
      <c r="F6198" s="20" t="s">
        <v>29791</v>
      </c>
      <c r="G6198" s="24"/>
      <c r="H6198" s="24"/>
      <c r="I6198" s="24" t="str">
        <f ca="1">IFERROR(__xludf.DUMMYFUNCTION("GOOGLETRANSLATE(F6198,""en"",""pt"")"),"Multi-par cabos blindados (LSF) com cada par rastreados")</f>
        <v>Multi-par cabos blindados (LSF) com cada par rastreados</v>
      </c>
      <c r="J6198" t="e">
        <f>VLOOKUP(A6198,Pr_Base_LNEC!$A$4:$J$6971,6,FALSE)</f>
        <v>#N/A</v>
      </c>
      <c r="K6198" t="e">
        <f>VLOOKUP(A6198,Pr_Base_LNEC!$A$4:$J$6971,7,FALSE)</f>
        <v>#N/A</v>
      </c>
    </row>
    <row r="6199" spans="1:11" ht="14.5">
      <c r="A6199" s="20" t="s">
        <v>29792</v>
      </c>
      <c r="B6199" s="20">
        <v>65</v>
      </c>
      <c r="C6199" s="20">
        <v>70</v>
      </c>
      <c r="D6199" s="20">
        <v>80</v>
      </c>
      <c r="E6199" s="20">
        <v>74</v>
      </c>
      <c r="F6199" s="20" t="s">
        <v>29793</v>
      </c>
      <c r="G6199" s="24"/>
      <c r="H6199" s="24"/>
      <c r="I6199" s="24" t="str">
        <f ca="1">IFERROR(__xludf.DUMMYFUNCTION("GOOGLETRANSLATE(F6199,""en"",""pt"")"),"Um único núcleo duplo isolamento de cabos de via sistemas indutivos")</f>
        <v>Um único núcleo duplo isolamento de cabos de via sistemas indutivos</v>
      </c>
      <c r="J6199" t="e">
        <f>VLOOKUP(A6199,Pr_Base_LNEC!$A$4:$J$6971,6,FALSE)</f>
        <v>#N/A</v>
      </c>
      <c r="K6199" t="e">
        <f>VLOOKUP(A6199,Pr_Base_LNEC!$A$4:$J$6971,7,FALSE)</f>
        <v>#N/A</v>
      </c>
    </row>
    <row r="6200" spans="1:11" ht="14.5">
      <c r="A6200" s="20" t="s">
        <v>29794</v>
      </c>
      <c r="B6200" s="20">
        <v>65</v>
      </c>
      <c r="C6200" s="20">
        <v>70</v>
      </c>
      <c r="D6200" s="20">
        <v>80</v>
      </c>
      <c r="E6200" s="20">
        <v>75</v>
      </c>
      <c r="F6200" s="20" t="s">
        <v>29795</v>
      </c>
      <c r="G6200" s="24"/>
      <c r="H6200" s="24"/>
      <c r="I6200" s="24" t="str">
        <f ca="1">IFERROR(__xludf.DUMMYFUNCTION("GOOGLETRANSLATE(F6200,""en"",""pt"")"),"Um único núcleo duplo isolamento (LSF) 600 V cabos")</f>
        <v>Um único núcleo duplo isolamento (LSF) 600 V cabos</v>
      </c>
      <c r="J6200" t="e">
        <f>VLOOKUP(A6200,Pr_Base_LNEC!$A$4:$J$6971,6,FALSE)</f>
        <v>#N/A</v>
      </c>
      <c r="K6200" t="e">
        <f>VLOOKUP(A6200,Pr_Base_LNEC!$A$4:$J$6971,7,FALSE)</f>
        <v>#N/A</v>
      </c>
    </row>
    <row r="6201" spans="1:11" ht="14.5">
      <c r="A6201" s="20" t="s">
        <v>29796</v>
      </c>
      <c r="B6201" s="20">
        <v>65</v>
      </c>
      <c r="C6201" s="20">
        <v>70</v>
      </c>
      <c r="D6201" s="20">
        <v>80</v>
      </c>
      <c r="E6201" s="20">
        <v>76</v>
      </c>
      <c r="F6201" s="20" t="s">
        <v>29797</v>
      </c>
      <c r="G6201" s="24"/>
      <c r="H6201" s="24"/>
      <c r="I6201" s="24" t="str">
        <f ca="1">IFERROR(__xludf.DUMMYFUNCTION("GOOGLETRANSLATE(F6201,""en"",""pt"")"),"Um único núcleo duplo isolamento (LSF) 600 cabos de cruzamento de pista V")</f>
        <v>Um único núcleo duplo isolamento (LSF) 600 cabos de cruzamento de pista V</v>
      </c>
      <c r="J6201" t="e">
        <f>VLOOKUP(A6201,Pr_Base_LNEC!$A$4:$J$6971,6,FALSE)</f>
        <v>#N/A</v>
      </c>
      <c r="K6201" t="e">
        <f>VLOOKUP(A6201,Pr_Base_LNEC!$A$4:$J$6971,7,FALSE)</f>
        <v>#N/A</v>
      </c>
    </row>
    <row r="6202" spans="1:11" ht="14.5">
      <c r="A6202" s="20" t="s">
        <v>29798</v>
      </c>
      <c r="B6202" s="20">
        <v>65</v>
      </c>
      <c r="C6202" s="20">
        <v>70</v>
      </c>
      <c r="D6202" s="20">
        <v>80</v>
      </c>
      <c r="E6202" s="20">
        <v>78</v>
      </c>
      <c r="F6202" s="20" t="s">
        <v>29799</v>
      </c>
      <c r="G6202" s="24"/>
      <c r="H6202" s="24"/>
      <c r="I6202" s="24" t="str">
        <f ca="1">IFERROR(__xludf.DUMMYFUNCTION("GOOGLETRANSLATE(F6202,""en"",""pt"")"),"Núcleo único duplo isolamento (LSF) cabos sala de equipamentos de sinalização")</f>
        <v>Núcleo único duplo isolamento (LSF) cabos sala de equipamentos de sinalização</v>
      </c>
      <c r="J6202" t="e">
        <f>VLOOKUP(A6202,Pr_Base_LNEC!$A$4:$J$6971,6,FALSE)</f>
        <v>#N/A</v>
      </c>
      <c r="K6202" t="e">
        <f>VLOOKUP(A6202,Pr_Base_LNEC!$A$4:$J$6971,7,FALSE)</f>
        <v>#N/A</v>
      </c>
    </row>
    <row r="6203" spans="1:11" ht="14.5">
      <c r="A6203" s="20" t="s">
        <v>29800</v>
      </c>
      <c r="B6203" s="20">
        <v>65</v>
      </c>
      <c r="C6203" s="20">
        <v>70</v>
      </c>
      <c r="D6203" s="20">
        <v>80</v>
      </c>
      <c r="E6203" s="20">
        <v>79</v>
      </c>
      <c r="F6203" s="20" t="s">
        <v>29801</v>
      </c>
      <c r="G6203" s="24"/>
      <c r="H6203" s="24"/>
      <c r="I6203" s="24" t="str">
        <f ca="1">IFERROR(__xludf.DUMMYFUNCTION("GOOGLETRANSLATE(F6203,""en"",""pt"")"),"Núcleo único duplo isolamento (LSF) Cabos de cruzamento de pista")</f>
        <v>Núcleo único duplo isolamento (LSF) Cabos de cruzamento de pista</v>
      </c>
      <c r="J6203" t="e">
        <f>VLOOKUP(A6203,Pr_Base_LNEC!$A$4:$J$6971,6,FALSE)</f>
        <v>#N/A</v>
      </c>
      <c r="K6203" t="e">
        <f>VLOOKUP(A6203,Pr_Base_LNEC!$A$4:$J$6971,7,FALSE)</f>
        <v>#N/A</v>
      </c>
    </row>
    <row r="6204" spans="1:11" ht="14.5">
      <c r="A6204" s="20" t="s">
        <v>29802</v>
      </c>
      <c r="B6204" s="20">
        <v>65</v>
      </c>
      <c r="C6204" s="20">
        <v>70</v>
      </c>
      <c r="D6204" s="20">
        <v>80</v>
      </c>
      <c r="E6204" s="20">
        <v>81</v>
      </c>
      <c r="F6204" s="20" t="s">
        <v>29803</v>
      </c>
      <c r="G6204" s="24"/>
      <c r="H6204" s="24"/>
      <c r="I6204" s="24" t="str">
        <f ca="1">IFERROR(__xludf.DUMMYFUNCTION("GOOGLETRANSLATE(F6204,""en"",""pt"")"),"Núcleo único (LSF) cabos")</f>
        <v>Núcleo único (LSF) cabos</v>
      </c>
      <c r="J6204" t="e">
        <f>VLOOKUP(A6204,Pr_Base_LNEC!$A$4:$J$6971,6,FALSE)</f>
        <v>#N/A</v>
      </c>
      <c r="K6204" t="e">
        <f>VLOOKUP(A6204,Pr_Base_LNEC!$A$4:$J$6971,7,FALSE)</f>
        <v>#N/A</v>
      </c>
    </row>
    <row r="6205" spans="1:11" ht="14.5">
      <c r="A6205" s="20" t="s">
        <v>29804</v>
      </c>
      <c r="B6205" s="20">
        <v>65</v>
      </c>
      <c r="C6205" s="20">
        <v>70</v>
      </c>
      <c r="D6205" s="20">
        <v>80</v>
      </c>
      <c r="E6205" s="20">
        <v>83</v>
      </c>
      <c r="F6205" s="20" t="s">
        <v>29805</v>
      </c>
      <c r="G6205" s="24"/>
      <c r="H6205" s="24"/>
      <c r="I6205" s="24" t="str">
        <f ca="1">IFERROR(__xludf.DUMMYFUNCTION("GOOGLETRANSLATE(F6205,""en"",""pt"")"),"cabos contador par de eixo único núcleo filtradas")</f>
        <v>cabos contador par de eixo único núcleo filtradas</v>
      </c>
      <c r="J6205" t="e">
        <f>VLOOKUP(A6205,Pr_Base_LNEC!$A$4:$J$6971,6,FALSE)</f>
        <v>#N/A</v>
      </c>
      <c r="K6205" t="e">
        <f>VLOOKUP(A6205,Pr_Base_LNEC!$A$4:$J$6971,7,FALSE)</f>
        <v>#N/A</v>
      </c>
    </row>
    <row r="6206" spans="1:11" ht="14.5">
      <c r="A6206" s="20" t="s">
        <v>29806</v>
      </c>
      <c r="B6206" s="20">
        <v>65</v>
      </c>
      <c r="C6206" s="20">
        <v>70</v>
      </c>
      <c r="D6206" s="20">
        <v>80</v>
      </c>
      <c r="E6206" s="20">
        <v>87</v>
      </c>
      <c r="F6206" s="20" t="s">
        <v>29807</v>
      </c>
      <c r="G6206" s="24"/>
      <c r="H6206" s="24"/>
      <c r="I6206" s="24" t="str">
        <f ca="1">IFERROR(__xludf.DUMMYFUNCTION("GOOGLETRANSLATE(F6206,""en"",""pt"")"),"cabos concêntricos triaxiais")</f>
        <v>cabos concêntricos triaxiais</v>
      </c>
      <c r="J6206" t="e">
        <f>VLOOKUP(A6206,Pr_Base_LNEC!$A$4:$J$6971,6,FALSE)</f>
        <v>#N/A</v>
      </c>
      <c r="K6206" t="e">
        <f>VLOOKUP(A6206,Pr_Base_LNEC!$A$4:$J$6971,7,FALSE)</f>
        <v>#N/A</v>
      </c>
    </row>
    <row r="6207" spans="1:11" ht="14.5">
      <c r="A6207" s="20" t="s">
        <v>29808</v>
      </c>
      <c r="B6207" s="20">
        <v>65</v>
      </c>
      <c r="C6207" s="20">
        <v>70</v>
      </c>
      <c r="D6207" s="20">
        <v>80</v>
      </c>
      <c r="E6207" s="20">
        <v>88</v>
      </c>
      <c r="F6207" s="20" t="s">
        <v>29809</v>
      </c>
      <c r="G6207" s="24"/>
      <c r="H6207" s="24"/>
      <c r="I6207" s="24" t="str">
        <f ca="1">IFERROR(__xludf.DUMMYFUNCTION("GOOGLETRANSLATE(F6207,""en"",""pt"")"),"concêntricos (LSF) cabos triaxiais")</f>
        <v>concêntricos (LSF) cabos triaxiais</v>
      </c>
      <c r="J6207" t="e">
        <f>VLOOKUP(A6207,Pr_Base_LNEC!$A$4:$J$6971,6,FALSE)</f>
        <v>#N/A</v>
      </c>
      <c r="K6207" t="e">
        <f>VLOOKUP(A6207,Pr_Base_LNEC!$A$4:$J$6971,7,FALSE)</f>
        <v>#N/A</v>
      </c>
    </row>
    <row r="6208" spans="1:11" ht="14.5">
      <c r="A6208" s="20" t="s">
        <v>29810</v>
      </c>
      <c r="B6208" s="20">
        <v>65</v>
      </c>
      <c r="C6208" s="20">
        <v>70</v>
      </c>
      <c r="D6208" s="20">
        <v>80</v>
      </c>
      <c r="E6208" s="20">
        <v>90</v>
      </c>
      <c r="F6208" s="20" t="s">
        <v>29811</v>
      </c>
      <c r="G6208" s="24"/>
      <c r="H6208" s="24"/>
      <c r="I6208" s="24" t="str">
        <f ca="1">IFERROR(__xludf.DUMMYFUNCTION("GOOGLETRANSLATE(F6208,""en"",""pt"")"),"par entrançado blindado (LSF) cabos cabo de execução")</f>
        <v>par entrançado blindado (LSF) cabos cabo de execução</v>
      </c>
      <c r="J6208" t="e">
        <f>VLOOKUP(A6208,Pr_Base_LNEC!$A$4:$J$6971,6,FALSE)</f>
        <v>#N/A</v>
      </c>
      <c r="K6208" t="e">
        <f>VLOOKUP(A6208,Pr_Base_LNEC!$A$4:$J$6971,7,FALSE)</f>
        <v>#N/A</v>
      </c>
    </row>
    <row r="6209" spans="1:11" ht="14.5">
      <c r="A6209" s="20" t="s">
        <v>29812</v>
      </c>
      <c r="B6209" s="20">
        <v>65</v>
      </c>
      <c r="C6209" s="20">
        <v>70</v>
      </c>
      <c r="D6209" s="20">
        <v>80</v>
      </c>
      <c r="E6209" s="20">
        <v>91</v>
      </c>
      <c r="F6209" s="20" t="s">
        <v>29813</v>
      </c>
      <c r="G6209" s="24"/>
      <c r="H6209" s="24"/>
      <c r="I6209" s="24" t="str">
        <f ca="1">IFERROR(__xludf.DUMMYFUNCTION("GOOGLETRANSLATE(F6209,""en"",""pt"")"),"par entrançado blindado (LSF) de sinalização para cabos de apartamentos")</f>
        <v>par entrançado blindado (LSF) de sinalização para cabos de apartamentos</v>
      </c>
      <c r="J6209" t="e">
        <f>VLOOKUP(A6209,Pr_Base_LNEC!$A$4:$J$6971,6,FALSE)</f>
        <v>#N/A</v>
      </c>
      <c r="K6209" t="e">
        <f>VLOOKUP(A6209,Pr_Base_LNEC!$A$4:$J$6971,7,FALSE)</f>
        <v>#N/A</v>
      </c>
    </row>
    <row r="6210" spans="1:11" ht="14.5">
      <c r="A6210" s="20" t="s">
        <v>29814</v>
      </c>
      <c r="B6210" s="20">
        <v>65</v>
      </c>
      <c r="C6210" s="20">
        <v>70</v>
      </c>
      <c r="D6210" s="20">
        <v>80</v>
      </c>
      <c r="E6210" s="20">
        <v>92</v>
      </c>
      <c r="F6210" s="20" t="s">
        <v>29815</v>
      </c>
      <c r="G6210" s="24"/>
      <c r="H6210" s="24"/>
      <c r="I6210" s="24" t="str">
        <f ca="1">IFERROR(__xludf.DUMMYFUNCTION("GOOGLETRANSLATE(F6210,""en"",""pt"")"),"par entrançado blindado (LSF) Cabos de cruzamento de pista")</f>
        <v>par entrançado blindado (LSF) Cabos de cruzamento de pista</v>
      </c>
      <c r="J6210" t="e">
        <f>VLOOKUP(A6210,Pr_Base_LNEC!$A$4:$J$6971,6,FALSE)</f>
        <v>#N/A</v>
      </c>
      <c r="K6210" t="e">
        <f>VLOOKUP(A6210,Pr_Base_LNEC!$A$4:$J$6971,7,FALSE)</f>
        <v>#N/A</v>
      </c>
    </row>
    <row r="6211" spans="1:11" ht="14.5">
      <c r="A6211" s="20" t="s">
        <v>29816</v>
      </c>
      <c r="B6211" s="20">
        <v>65</v>
      </c>
      <c r="C6211" s="20">
        <v>72</v>
      </c>
      <c r="D6211" s="24"/>
      <c r="E6211" s="24"/>
      <c r="F6211" s="20" t="s">
        <v>29817</v>
      </c>
      <c r="G6211" s="24"/>
      <c r="H6211" s="24"/>
      <c r="I6211" s="24" t="str">
        <f ca="1">IFERROR(__xludf.DUMMYFUNCTION("GOOGLETRANSLATE(F6211,""en"",""pt"")"),"Electrical produtos de energia e acessórios de fiação")</f>
        <v>Electrical produtos de energia e acessórios de fiação</v>
      </c>
      <c r="J6211" t="str">
        <f>VLOOKUP(A6211,Pr_Base_LNEC!$A$4:$J$6971,6,FALSE)</f>
        <v>Produtos para Fornecimento de Energia e Cabelagem e Acessórios para Rede Elétrica, Comunicações e outras</v>
      </c>
      <c r="K6211">
        <f>VLOOKUP(A6211,Pr_Base_LNEC!$A$4:$J$6971,7,FALSE)</f>
        <v>0</v>
      </c>
    </row>
    <row r="6212" spans="1:11" ht="14.5">
      <c r="A6212" s="20" t="s">
        <v>29818</v>
      </c>
      <c r="B6212" s="20">
        <v>65</v>
      </c>
      <c r="C6212" s="20">
        <v>72</v>
      </c>
      <c r="D6212" s="20">
        <v>27</v>
      </c>
      <c r="E6212" s="24"/>
      <c r="F6212" s="20" t="s">
        <v>29819</v>
      </c>
      <c r="G6212" s="24"/>
      <c r="H6212" s="24"/>
      <c r="I6212" s="24" t="str">
        <f ca="1">IFERROR(__xludf.DUMMYFUNCTION("GOOGLETRANSLATE(F6212,""en"",""pt"")"),"dispositivos de protecção eléctricos")</f>
        <v>dispositivos de protecção eléctricos</v>
      </c>
      <c r="J6212">
        <f>VLOOKUP(A6212,Pr_Base_LNEC!$A$4:$J$6971,6,FALSE)</f>
        <v>0</v>
      </c>
      <c r="K6212">
        <f>VLOOKUP(A6212,Pr_Base_LNEC!$A$4:$J$6971,7,FALSE)</f>
        <v>0</v>
      </c>
    </row>
    <row r="6213" spans="1:11" ht="14.5">
      <c r="A6213" s="20" t="s">
        <v>29820</v>
      </c>
      <c r="B6213" s="20">
        <v>65</v>
      </c>
      <c r="C6213" s="20">
        <v>72</v>
      </c>
      <c r="D6213" s="20">
        <v>27</v>
      </c>
      <c r="E6213" s="20">
        <v>2</v>
      </c>
      <c r="F6213" s="20" t="s">
        <v>29821</v>
      </c>
      <c r="G6213" s="20" t="s">
        <v>29822</v>
      </c>
      <c r="H6213" s="24"/>
      <c r="I6213" s="24" t="str">
        <f ca="1">IFERROR(__xludf.DUMMYFUNCTION("GOOGLETRANSLATE(F6213,""en"",""pt"")"),"disjuntores de ar")</f>
        <v>disjuntores de ar</v>
      </c>
      <c r="J6213">
        <f>VLOOKUP(A6213,Pr_Base_LNEC!$A$4:$J$6971,6,FALSE)</f>
        <v>0</v>
      </c>
      <c r="K6213">
        <f>VLOOKUP(A6213,Pr_Base_LNEC!$A$4:$J$6971,7,FALSE)</f>
        <v>0</v>
      </c>
    </row>
    <row r="6214" spans="1:11" ht="14.5">
      <c r="A6214" s="20" t="s">
        <v>29823</v>
      </c>
      <c r="B6214" s="20">
        <v>65</v>
      </c>
      <c r="C6214" s="20">
        <v>72</v>
      </c>
      <c r="D6214" s="20">
        <v>27</v>
      </c>
      <c r="E6214" s="20">
        <v>11</v>
      </c>
      <c r="F6214" s="20" t="s">
        <v>29824</v>
      </c>
      <c r="G6214" s="20" t="s">
        <v>29825</v>
      </c>
      <c r="H6214" s="24"/>
      <c r="I6214" s="24" t="str">
        <f ca="1">IFERROR(__xludf.DUMMYFUNCTION("GOOGLETRANSLATE(F6214,""en"",""pt"")"),"fusíveis de cartucho")</f>
        <v>fusíveis de cartucho</v>
      </c>
      <c r="J6214">
        <f>VLOOKUP(A6214,Pr_Base_LNEC!$A$4:$J$6971,6,FALSE)</f>
        <v>0</v>
      </c>
      <c r="K6214">
        <f>VLOOKUP(A6214,Pr_Base_LNEC!$A$4:$J$6971,7,FALSE)</f>
        <v>0</v>
      </c>
    </row>
    <row r="6215" spans="1:11" ht="14.5">
      <c r="A6215" s="20" t="s">
        <v>29826</v>
      </c>
      <c r="B6215" s="20">
        <v>65</v>
      </c>
      <c r="C6215" s="20">
        <v>72</v>
      </c>
      <c r="D6215" s="20">
        <v>27</v>
      </c>
      <c r="E6215" s="20">
        <v>23</v>
      </c>
      <c r="F6215" s="20" t="s">
        <v>29827</v>
      </c>
      <c r="G6215" s="20" t="s">
        <v>29828</v>
      </c>
      <c r="H6215" s="24"/>
      <c r="I6215" s="24" t="str">
        <f ca="1">IFERROR(__xludf.DUMMYFUNCTION("GOOGLETRANSLATE(F6215,""en"",""pt"")"),"corrente contínua de dispositivos de proteção contra surtos (D.C.)")</f>
        <v>corrente contínua de dispositivos de proteção contra surtos (D.C.)</v>
      </c>
      <c r="J6215">
        <f>VLOOKUP(A6215,Pr_Base_LNEC!$A$4:$J$6971,6,FALSE)</f>
        <v>0</v>
      </c>
      <c r="K6215">
        <f>VLOOKUP(A6215,Pr_Base_LNEC!$A$4:$J$6971,7,FALSE)</f>
        <v>0</v>
      </c>
    </row>
    <row r="6216" spans="1:11" ht="14.5">
      <c r="A6216" s="20" t="s">
        <v>29829</v>
      </c>
      <c r="B6216" s="20">
        <v>65</v>
      </c>
      <c r="C6216" s="20">
        <v>72</v>
      </c>
      <c r="D6216" s="20">
        <v>27</v>
      </c>
      <c r="E6216" s="20">
        <v>26</v>
      </c>
      <c r="F6216" s="20" t="s">
        <v>29830</v>
      </c>
      <c r="G6216" s="20" t="s">
        <v>29831</v>
      </c>
      <c r="H6216" s="24"/>
      <c r="I6216" s="24" t="str">
        <f ca="1">IFERROR(__xludf.DUMMYFUNCTION("GOOGLETRANSLATE(F6216,""en"",""pt"")"),"monitores de continuidade de terra")</f>
        <v>monitores de continuidade de terra</v>
      </c>
      <c r="J6216">
        <f>VLOOKUP(A6216,Pr_Base_LNEC!$A$4:$J$6971,6,FALSE)</f>
        <v>0</v>
      </c>
      <c r="K6216">
        <f>VLOOKUP(A6216,Pr_Base_LNEC!$A$4:$J$6971,7,FALSE)</f>
        <v>0</v>
      </c>
    </row>
    <row r="6217" spans="1:11" ht="14.5">
      <c r="A6217" s="20" t="s">
        <v>29832</v>
      </c>
      <c r="B6217" s="20">
        <v>65</v>
      </c>
      <c r="C6217" s="20">
        <v>72</v>
      </c>
      <c r="D6217" s="20">
        <v>27</v>
      </c>
      <c r="E6217" s="20">
        <v>32</v>
      </c>
      <c r="F6217" s="20" t="s">
        <v>29833</v>
      </c>
      <c r="G6217" s="20" t="s">
        <v>29834</v>
      </c>
      <c r="H6217" s="24"/>
      <c r="I6217" s="24" t="str">
        <f ca="1">IFERROR(__xludf.DUMMYFUNCTION("GOOGLETRANSLATE(F6217,""en"",""pt"")"),"elos fusíveis")</f>
        <v>elos fusíveis</v>
      </c>
      <c r="J6217">
        <f>VLOOKUP(A6217,Pr_Base_LNEC!$A$4:$J$6971,6,FALSE)</f>
        <v>0</v>
      </c>
      <c r="K6217">
        <f>VLOOKUP(A6217,Pr_Base_LNEC!$A$4:$J$6971,7,FALSE)</f>
        <v>0</v>
      </c>
    </row>
    <row r="6218" spans="1:11" ht="14.5">
      <c r="A6218" s="20" t="s">
        <v>29835</v>
      </c>
      <c r="B6218" s="20">
        <v>65</v>
      </c>
      <c r="C6218" s="20">
        <v>72</v>
      </c>
      <c r="D6218" s="20">
        <v>27</v>
      </c>
      <c r="E6218" s="20">
        <v>34</v>
      </c>
      <c r="F6218" s="20" t="s">
        <v>29836</v>
      </c>
      <c r="G6218" s="24"/>
      <c r="H6218" s="24"/>
      <c r="I6218" s="24" t="str">
        <f ca="1">IFERROR(__xludf.DUMMYFUNCTION("GOOGLETRANSLATE(F6218,""en"",""pt"")"),"dispositivos de travamento de fusíveis")</f>
        <v>dispositivos de travamento de fusíveis</v>
      </c>
      <c r="J6218">
        <f>VLOOKUP(A6218,Pr_Base_LNEC!$A$4:$J$6971,6,FALSE)</f>
        <v>0</v>
      </c>
      <c r="K6218">
        <f>VLOOKUP(A6218,Pr_Base_LNEC!$A$4:$J$6971,7,FALSE)</f>
        <v>0</v>
      </c>
    </row>
    <row r="6219" spans="1:11" ht="14.5">
      <c r="A6219" s="20" t="s">
        <v>29837</v>
      </c>
      <c r="B6219" s="20">
        <v>65</v>
      </c>
      <c r="C6219" s="20">
        <v>72</v>
      </c>
      <c r="D6219" s="20">
        <v>27</v>
      </c>
      <c r="E6219" s="20">
        <v>42</v>
      </c>
      <c r="F6219" s="20" t="s">
        <v>29838</v>
      </c>
      <c r="G6219" s="24"/>
      <c r="H6219" s="24"/>
      <c r="I6219" s="24" t="str">
        <f ca="1">IFERROR(__xludf.DUMMYFUNCTION("GOOGLETRANSLATE(F6219,""en"",""pt"")"),"transformadores de isolamento")</f>
        <v>transformadores de isolamento</v>
      </c>
      <c r="J6219">
        <f>VLOOKUP(A6219,Pr_Base_LNEC!$A$4:$J$6971,6,FALSE)</f>
        <v>0</v>
      </c>
      <c r="K6219">
        <f>VLOOKUP(A6219,Pr_Base_LNEC!$A$4:$J$6971,7,FALSE)</f>
        <v>0</v>
      </c>
    </row>
    <row r="6220" spans="1:11" ht="14.5">
      <c r="A6220" s="20" t="s">
        <v>29839</v>
      </c>
      <c r="B6220" s="20">
        <v>65</v>
      </c>
      <c r="C6220" s="20">
        <v>72</v>
      </c>
      <c r="D6220" s="20">
        <v>27</v>
      </c>
      <c r="E6220" s="20">
        <v>44</v>
      </c>
      <c r="F6220" s="20" t="s">
        <v>29840</v>
      </c>
      <c r="G6220" s="20" t="s">
        <v>29841</v>
      </c>
      <c r="H6220" s="24"/>
      <c r="I6220" s="24" t="str">
        <f ca="1">IFERROR(__xludf.DUMMYFUNCTION("GOOGLETRANSLATE(F6220,""en"",""pt"")"),"J-fusíveis tipo alimentador pilar")</f>
        <v>J-fusíveis tipo alimentador pilar</v>
      </c>
      <c r="J6220">
        <f>VLOOKUP(A6220,Pr_Base_LNEC!$A$4:$J$6971,6,FALSE)</f>
        <v>0</v>
      </c>
      <c r="K6220">
        <f>VLOOKUP(A6220,Pr_Base_LNEC!$A$4:$J$6971,7,FALSE)</f>
        <v>0</v>
      </c>
    </row>
    <row r="6221" spans="1:11" ht="14.5">
      <c r="A6221" s="20" t="s">
        <v>29842</v>
      </c>
      <c r="B6221" s="20">
        <v>65</v>
      </c>
      <c r="C6221" s="20">
        <v>72</v>
      </c>
      <c r="D6221" s="20">
        <v>27</v>
      </c>
      <c r="E6221" s="20">
        <v>47</v>
      </c>
      <c r="F6221" s="20" t="s">
        <v>29843</v>
      </c>
      <c r="G6221" s="20" t="s">
        <v>29844</v>
      </c>
      <c r="H6221" s="24"/>
      <c r="I6221" s="24" t="str">
        <f ca="1">IFERROR(__xludf.DUMMYFUNCTION("GOOGLETRANSLATE(F6221,""en"",""pt"")"),"elos fusíveis de baixa tensão")</f>
        <v>elos fusíveis de baixa tensão</v>
      </c>
      <c r="J6221">
        <f>VLOOKUP(A6221,Pr_Base_LNEC!$A$4:$J$6971,6,FALSE)</f>
        <v>0</v>
      </c>
      <c r="K6221">
        <f>VLOOKUP(A6221,Pr_Base_LNEC!$A$4:$J$6971,7,FALSE)</f>
        <v>0</v>
      </c>
    </row>
    <row r="6222" spans="1:11" ht="14.5">
      <c r="A6222" s="20" t="s">
        <v>29845</v>
      </c>
      <c r="B6222" s="20">
        <v>65</v>
      </c>
      <c r="C6222" s="20">
        <v>72</v>
      </c>
      <c r="D6222" s="20">
        <v>27</v>
      </c>
      <c r="E6222" s="20">
        <v>48</v>
      </c>
      <c r="F6222" s="20" t="s">
        <v>29846</v>
      </c>
      <c r="G6222" s="24"/>
      <c r="H6222" s="24"/>
      <c r="I6222" s="24" t="str">
        <f ca="1">IFERROR(__xludf.DUMMYFUNCTION("GOOGLETRANSLATE(F6222,""en"",""pt"")"),"dispositivos de proteção de alimentação onda de baixa tensão")</f>
        <v>dispositivos de proteção de alimentação onda de baixa tensão</v>
      </c>
      <c r="J6222">
        <f>VLOOKUP(A6222,Pr_Base_LNEC!$A$4:$J$6971,6,FALSE)</f>
        <v>0</v>
      </c>
      <c r="K6222">
        <f>VLOOKUP(A6222,Pr_Base_LNEC!$A$4:$J$6971,7,FALSE)</f>
        <v>0</v>
      </c>
    </row>
    <row r="6223" spans="1:11" ht="14.5">
      <c r="A6223" s="20" t="s">
        <v>29847</v>
      </c>
      <c r="B6223" s="20">
        <v>65</v>
      </c>
      <c r="C6223" s="20">
        <v>72</v>
      </c>
      <c r="D6223" s="20">
        <v>27</v>
      </c>
      <c r="E6223" s="20">
        <v>50</v>
      </c>
      <c r="F6223" s="20" t="s">
        <v>29848</v>
      </c>
      <c r="G6223" s="20" t="s">
        <v>29849</v>
      </c>
      <c r="H6223" s="24"/>
      <c r="I6223" s="24" t="str">
        <f ca="1">IFERROR(__xludf.DUMMYFUNCTION("GOOGLETRANSLATE(F6223,""en"",""pt"")"),"dispositivos de supressão transiente de sobretensão rede de alimentação")</f>
        <v>dispositivos de supressão transiente de sobretensão rede de alimentação</v>
      </c>
      <c r="J6223">
        <f>VLOOKUP(A6223,Pr_Base_LNEC!$A$4:$J$6971,6,FALSE)</f>
        <v>0</v>
      </c>
      <c r="K6223">
        <f>VLOOKUP(A6223,Pr_Base_LNEC!$A$4:$J$6971,7,FALSE)</f>
        <v>0</v>
      </c>
    </row>
    <row r="6224" spans="1:11" ht="14.5">
      <c r="A6224" s="20" t="s">
        <v>29850</v>
      </c>
      <c r="B6224" s="20">
        <v>65</v>
      </c>
      <c r="C6224" s="20">
        <v>72</v>
      </c>
      <c r="D6224" s="20">
        <v>27</v>
      </c>
      <c r="E6224" s="20">
        <v>52</v>
      </c>
      <c r="F6224" s="20" t="s">
        <v>29851</v>
      </c>
      <c r="G6224" s="20" t="s">
        <v>29852</v>
      </c>
      <c r="H6224" s="24"/>
      <c r="I6224" s="24" t="str">
        <f ca="1">IFERROR(__xludf.DUMMYFUNCTION("GOOGLETRANSLATE(F6224,""en"",""pt"")"),"disjuntores miniatura")</f>
        <v>disjuntores miniatura</v>
      </c>
      <c r="J6224">
        <f>VLOOKUP(A6224,Pr_Base_LNEC!$A$4:$J$6971,6,FALSE)</f>
        <v>0</v>
      </c>
      <c r="K6224">
        <f>VLOOKUP(A6224,Pr_Base_LNEC!$A$4:$J$6971,7,FALSE)</f>
        <v>0</v>
      </c>
    </row>
    <row r="6225" spans="1:11" ht="14.5">
      <c r="A6225" s="20" t="s">
        <v>29853</v>
      </c>
      <c r="B6225" s="20">
        <v>65</v>
      </c>
      <c r="C6225" s="20">
        <v>72</v>
      </c>
      <c r="D6225" s="20">
        <v>27</v>
      </c>
      <c r="E6225" s="20">
        <v>53</v>
      </c>
      <c r="F6225" s="20" t="s">
        <v>29854</v>
      </c>
      <c r="G6225" s="20" t="s">
        <v>29855</v>
      </c>
      <c r="H6225" s="24"/>
      <c r="I6225" s="24" t="str">
        <f ca="1">IFERROR(__xludf.DUMMYFUNCTION("GOOGLETRANSLATE(F6225,""en"",""pt"")"),"disjuntores de caixa moldada")</f>
        <v>disjuntores de caixa moldada</v>
      </c>
      <c r="J6225">
        <f>VLOOKUP(A6225,Pr_Base_LNEC!$A$4:$J$6971,6,FALSE)</f>
        <v>0</v>
      </c>
      <c r="K6225">
        <f>VLOOKUP(A6225,Pr_Base_LNEC!$A$4:$J$6971,7,FALSE)</f>
        <v>0</v>
      </c>
    </row>
    <row r="6226" spans="1:11" ht="14.5">
      <c r="A6226" s="20" t="s">
        <v>29856</v>
      </c>
      <c r="B6226" s="20">
        <v>65</v>
      </c>
      <c r="C6226" s="20">
        <v>72</v>
      </c>
      <c r="D6226" s="20">
        <v>27</v>
      </c>
      <c r="E6226" s="20">
        <v>72</v>
      </c>
      <c r="F6226" s="20" t="s">
        <v>29857</v>
      </c>
      <c r="G6226" s="20" t="s">
        <v>29858</v>
      </c>
      <c r="H6226" s="24"/>
      <c r="I6226" s="24" t="str">
        <f ca="1">IFERROR(__xludf.DUMMYFUNCTION("GOOGLETRANSLATE(F6226,""en"",""pt"")"),"disjuntores de corrente residual")</f>
        <v>disjuntores de corrente residual</v>
      </c>
      <c r="J6226">
        <f>VLOOKUP(A6226,Pr_Base_LNEC!$A$4:$J$6971,6,FALSE)</f>
        <v>0</v>
      </c>
      <c r="K6226">
        <f>VLOOKUP(A6226,Pr_Base_LNEC!$A$4:$J$6971,7,FALSE)</f>
        <v>0</v>
      </c>
    </row>
    <row r="6227" spans="1:11" ht="14.5">
      <c r="A6227" s="20" t="s">
        <v>29859</v>
      </c>
      <c r="B6227" s="20">
        <v>65</v>
      </c>
      <c r="C6227" s="20">
        <v>72</v>
      </c>
      <c r="D6227" s="20">
        <v>27</v>
      </c>
      <c r="E6227" s="20">
        <v>73</v>
      </c>
      <c r="F6227" s="20" t="s">
        <v>29860</v>
      </c>
      <c r="G6227" s="20" t="s">
        <v>29861</v>
      </c>
      <c r="H6227" s="24"/>
      <c r="I6227" s="24" t="str">
        <f ca="1">IFERROR(__xludf.DUMMYFUNCTION("GOOGLETRANSLATE(F6227,""en"",""pt"")"),"disjuntores de corrente residual com proteção de sobrecorrente integrante")</f>
        <v>disjuntores de corrente residual com proteção de sobrecorrente integrante</v>
      </c>
      <c r="J6227">
        <f>VLOOKUP(A6227,Pr_Base_LNEC!$A$4:$J$6971,6,FALSE)</f>
        <v>0</v>
      </c>
      <c r="K6227">
        <f>VLOOKUP(A6227,Pr_Base_LNEC!$A$4:$J$6971,7,FALSE)</f>
        <v>0</v>
      </c>
    </row>
    <row r="6228" spans="1:11" ht="14.5">
      <c r="A6228" s="20" t="s">
        <v>29862</v>
      </c>
      <c r="B6228" s="20">
        <v>65</v>
      </c>
      <c r="C6228" s="20">
        <v>72</v>
      </c>
      <c r="D6228" s="20">
        <v>27</v>
      </c>
      <c r="E6228" s="20">
        <v>74</v>
      </c>
      <c r="F6228" s="20" t="s">
        <v>29863</v>
      </c>
      <c r="G6228" s="20" t="s">
        <v>29864</v>
      </c>
      <c r="H6228" s="24"/>
      <c r="I6228" s="24" t="str">
        <f ca="1">IFERROR(__xludf.DUMMYFUNCTION("GOOGLETRANSLATE(F6228,""en"",""pt"")"),"monitores de corrente residual")</f>
        <v>monitores de corrente residual</v>
      </c>
      <c r="J6228">
        <f>VLOOKUP(A6228,Pr_Base_LNEC!$A$4:$J$6971,6,FALSE)</f>
        <v>0</v>
      </c>
      <c r="K6228">
        <f>VLOOKUP(A6228,Pr_Base_LNEC!$A$4:$J$6971,7,FALSE)</f>
        <v>0</v>
      </c>
    </row>
    <row r="6229" spans="1:11" ht="14.5">
      <c r="A6229" s="20" t="s">
        <v>29865</v>
      </c>
      <c r="B6229" s="20">
        <v>65</v>
      </c>
      <c r="C6229" s="20">
        <v>72</v>
      </c>
      <c r="D6229" s="20">
        <v>27</v>
      </c>
      <c r="E6229" s="20">
        <v>88</v>
      </c>
      <c r="F6229" s="20" t="s">
        <v>29866</v>
      </c>
      <c r="G6229" s="20" t="s">
        <v>29867</v>
      </c>
      <c r="H6229" s="24"/>
      <c r="I6229" s="24" t="str">
        <f ca="1">IFERROR(__xludf.DUMMYFUNCTION("GOOGLETRANSLATE(F6229,""en"",""pt"")"),"dispositivos de supressão de sobretensão transientes de onda")</f>
        <v>dispositivos de supressão de sobretensão transientes de onda</v>
      </c>
      <c r="J6229">
        <f>VLOOKUP(A6229,Pr_Base_LNEC!$A$4:$J$6971,6,FALSE)</f>
        <v>0</v>
      </c>
      <c r="K6229">
        <f>VLOOKUP(A6229,Pr_Base_LNEC!$A$4:$J$6971,7,FALSE)</f>
        <v>0</v>
      </c>
    </row>
    <row r="6230" spans="1:11" ht="14.5">
      <c r="A6230" s="20" t="s">
        <v>29868</v>
      </c>
      <c r="B6230" s="20">
        <v>65</v>
      </c>
      <c r="C6230" s="20">
        <v>72</v>
      </c>
      <c r="D6230" s="20">
        <v>43</v>
      </c>
      <c r="E6230" s="24"/>
      <c r="F6230" s="20" t="s">
        <v>29869</v>
      </c>
      <c r="G6230" s="24"/>
      <c r="H6230" s="24"/>
      <c r="I6230" s="24" t="str">
        <f ca="1">IFERROR(__xludf.DUMMYFUNCTION("GOOGLETRANSLATE(F6230,""en"",""pt"")"),"condicionado, equipamento de energia")</f>
        <v>condicionado, equipamento de energia</v>
      </c>
      <c r="J6230">
        <f>VLOOKUP(A6230,Pr_Base_LNEC!$A$4:$J$6971,6,FALSE)</f>
        <v>0</v>
      </c>
      <c r="K6230">
        <f>VLOOKUP(A6230,Pr_Base_LNEC!$A$4:$J$6971,7,FALSE)</f>
        <v>0</v>
      </c>
    </row>
    <row r="6231" spans="1:11" ht="14.5">
      <c r="A6231" s="20" t="s">
        <v>29870</v>
      </c>
      <c r="B6231" s="20">
        <v>65</v>
      </c>
      <c r="C6231" s="20">
        <v>72</v>
      </c>
      <c r="D6231" s="20">
        <v>43</v>
      </c>
      <c r="E6231" s="20">
        <v>1</v>
      </c>
      <c r="F6231" s="20" t="s">
        <v>29871</v>
      </c>
      <c r="G6231" s="20" t="s">
        <v>29872</v>
      </c>
      <c r="H6231" s="24"/>
      <c r="I6231" s="24" t="str">
        <f ca="1">IFERROR(__xludf.DUMMYFUNCTION("GOOGLETRANSLATE(F6231,""en"",""pt"")"),"filtros eléctrica activa")</f>
        <v>filtros eléctrica activa</v>
      </c>
      <c r="J6231">
        <f>VLOOKUP(A6231,Pr_Base_LNEC!$A$4:$J$6971,6,FALSE)</f>
        <v>0</v>
      </c>
      <c r="K6231">
        <f>VLOOKUP(A6231,Pr_Base_LNEC!$A$4:$J$6971,7,FALSE)</f>
        <v>0</v>
      </c>
    </row>
    <row r="6232" spans="1:11" ht="14.5">
      <c r="A6232" s="20" t="s">
        <v>29873</v>
      </c>
      <c r="B6232" s="20">
        <v>65</v>
      </c>
      <c r="C6232" s="20">
        <v>72</v>
      </c>
      <c r="D6232" s="20">
        <v>43</v>
      </c>
      <c r="E6232" s="20">
        <v>5</v>
      </c>
      <c r="F6232" s="20" t="s">
        <v>29874</v>
      </c>
      <c r="G6232" s="20" t="s">
        <v>29875</v>
      </c>
      <c r="H6232" s="24"/>
      <c r="I6232" s="24" t="str">
        <f ca="1">IFERROR(__xludf.DUMMYFUNCTION("GOOGLETRANSLATE(F6232,""en"",""pt"")"),"equipamento de correção de fator de potência automático")</f>
        <v>equipamento de correção de fator de potência automático</v>
      </c>
      <c r="J6232">
        <f>VLOOKUP(A6232,Pr_Base_LNEC!$A$4:$J$6971,6,FALSE)</f>
        <v>0</v>
      </c>
      <c r="K6232">
        <f>VLOOKUP(A6232,Pr_Base_LNEC!$A$4:$J$6971,7,FALSE)</f>
        <v>0</v>
      </c>
    </row>
    <row r="6233" spans="1:11" ht="14.5">
      <c r="A6233" s="20" t="s">
        <v>29876</v>
      </c>
      <c r="B6233" s="20">
        <v>65</v>
      </c>
      <c r="C6233" s="20">
        <v>72</v>
      </c>
      <c r="D6233" s="20">
        <v>43</v>
      </c>
      <c r="E6233" s="20">
        <v>7</v>
      </c>
      <c r="F6233" s="20" t="s">
        <v>29877</v>
      </c>
      <c r="G6233" s="20" t="s">
        <v>29878</v>
      </c>
      <c r="H6233" s="24"/>
      <c r="I6233" s="24" t="str">
        <f ca="1">IFERROR(__xludf.DUMMYFUNCTION("GOOGLETRANSLATE(F6233,""en"",""pt"")"),"Bloqueio de diodos")</f>
        <v>Bloqueio de diodos</v>
      </c>
      <c r="J6233">
        <f>VLOOKUP(A6233,Pr_Base_LNEC!$A$4:$J$6971,6,FALSE)</f>
        <v>0</v>
      </c>
      <c r="K6233">
        <f>VLOOKUP(A6233,Pr_Base_LNEC!$A$4:$J$6971,7,FALSE)</f>
        <v>0</v>
      </c>
    </row>
    <row r="6234" spans="1:11" ht="14.5">
      <c r="A6234" s="20" t="s">
        <v>29879</v>
      </c>
      <c r="B6234" s="20">
        <v>65</v>
      </c>
      <c r="C6234" s="20">
        <v>72</v>
      </c>
      <c r="D6234" s="20">
        <v>43</v>
      </c>
      <c r="E6234" s="20">
        <v>39</v>
      </c>
      <c r="F6234" s="20" t="s">
        <v>29880</v>
      </c>
      <c r="G6234" s="20" t="s">
        <v>29881</v>
      </c>
      <c r="H6234" s="24"/>
      <c r="I6234" s="24" t="str">
        <f ca="1">IFERROR(__xludf.DUMMYFUNCTION("GOOGLETRANSLATE(F6234,""en"",""pt"")"),"filtros elétricos híbridos")</f>
        <v>filtros elétricos híbridos</v>
      </c>
      <c r="J6234">
        <f>VLOOKUP(A6234,Pr_Base_LNEC!$A$4:$J$6971,6,FALSE)</f>
        <v>0</v>
      </c>
      <c r="K6234">
        <f>VLOOKUP(A6234,Pr_Base_LNEC!$A$4:$J$6971,7,FALSE)</f>
        <v>0</v>
      </c>
    </row>
    <row r="6235" spans="1:11" ht="14.5">
      <c r="A6235" s="20" t="s">
        <v>29882</v>
      </c>
      <c r="B6235" s="20">
        <v>65</v>
      </c>
      <c r="C6235" s="20">
        <v>72</v>
      </c>
      <c r="D6235" s="20">
        <v>43</v>
      </c>
      <c r="E6235" s="20">
        <v>42</v>
      </c>
      <c r="F6235" s="20" t="s">
        <v>29883</v>
      </c>
      <c r="G6235" s="20" t="s">
        <v>29884</v>
      </c>
      <c r="H6235" s="24"/>
      <c r="I6235" s="24" t="str">
        <f ca="1">IFERROR(__xludf.DUMMYFUNCTION("GOOGLETRANSLATE(F6235,""en"",""pt"")"),"inversores")</f>
        <v>inversores</v>
      </c>
      <c r="J6235">
        <f>VLOOKUP(A6235,Pr_Base_LNEC!$A$4:$J$6971,6,FALSE)</f>
        <v>0</v>
      </c>
      <c r="K6235">
        <f>VLOOKUP(A6235,Pr_Base_LNEC!$A$4:$J$6971,7,FALSE)</f>
        <v>0</v>
      </c>
    </row>
    <row r="6236" spans="1:11" ht="14.5">
      <c r="A6236" s="20" t="s">
        <v>29885</v>
      </c>
      <c r="B6236" s="20">
        <v>65</v>
      </c>
      <c r="C6236" s="20">
        <v>72</v>
      </c>
      <c r="D6236" s="20">
        <v>43</v>
      </c>
      <c r="E6236" s="20">
        <v>60</v>
      </c>
      <c r="F6236" s="20" t="s">
        <v>29886</v>
      </c>
      <c r="G6236" s="20" t="s">
        <v>29887</v>
      </c>
      <c r="H6236" s="24"/>
      <c r="I6236" s="24" t="str">
        <f ca="1">IFERROR(__xludf.DUMMYFUNCTION("GOOGLETRANSLATE(F6236,""en"",""pt"")"),"filtros elétricos passivos")</f>
        <v>filtros elétricos passivos</v>
      </c>
      <c r="J6236">
        <f>VLOOKUP(A6236,Pr_Base_LNEC!$A$4:$J$6971,6,FALSE)</f>
        <v>0</v>
      </c>
      <c r="K6236">
        <f>VLOOKUP(A6236,Pr_Base_LNEC!$A$4:$J$6971,7,FALSE)</f>
        <v>0</v>
      </c>
    </row>
    <row r="6237" spans="1:11" ht="14.5">
      <c r="A6237" s="20" t="s">
        <v>29888</v>
      </c>
      <c r="B6237" s="20">
        <v>65</v>
      </c>
      <c r="C6237" s="20">
        <v>72</v>
      </c>
      <c r="D6237" s="20">
        <v>43</v>
      </c>
      <c r="E6237" s="20">
        <v>64</v>
      </c>
      <c r="F6237" s="20" t="s">
        <v>29889</v>
      </c>
      <c r="G6237" s="20" t="s">
        <v>29890</v>
      </c>
      <c r="H6237" s="24"/>
      <c r="I6237" s="24" t="str">
        <f ca="1">IFERROR(__xludf.DUMMYFUNCTION("GOOGLETRANSLATE(F6237,""en"",""pt"")"),"unidades de condicionamento de energia")</f>
        <v>unidades de condicionamento de energia</v>
      </c>
      <c r="J6237">
        <f>VLOOKUP(A6237,Pr_Base_LNEC!$A$4:$J$6971,6,FALSE)</f>
        <v>0</v>
      </c>
      <c r="K6237">
        <f>VLOOKUP(A6237,Pr_Base_LNEC!$A$4:$J$6971,7,FALSE)</f>
        <v>0</v>
      </c>
    </row>
    <row r="6238" spans="1:11" ht="14.5">
      <c r="A6238" s="20" t="s">
        <v>29891</v>
      </c>
      <c r="B6238" s="20">
        <v>65</v>
      </c>
      <c r="C6238" s="20">
        <v>72</v>
      </c>
      <c r="D6238" s="20">
        <v>43</v>
      </c>
      <c r="E6238" s="20">
        <v>71</v>
      </c>
      <c r="F6238" s="20" t="s">
        <v>29892</v>
      </c>
      <c r="G6238" s="24"/>
      <c r="H6238" s="24"/>
      <c r="I6238" s="24" t="str">
        <f ca="1">IFERROR(__xludf.DUMMYFUNCTION("GOOGLETRANSLATE(F6238,""en"",""pt"")"),"retificadores")</f>
        <v>retificadores</v>
      </c>
      <c r="J6238" t="e">
        <f>VLOOKUP(A6238,Pr_Base_LNEC!$A$4:$J$6971,6,FALSE)</f>
        <v>#N/A</v>
      </c>
      <c r="K6238" t="e">
        <f>VLOOKUP(A6238,Pr_Base_LNEC!$A$4:$J$6971,7,FALSE)</f>
        <v>#N/A</v>
      </c>
    </row>
    <row r="6239" spans="1:11" ht="14.5">
      <c r="A6239" s="20" t="s">
        <v>29893</v>
      </c>
      <c r="B6239" s="20">
        <v>65</v>
      </c>
      <c r="C6239" s="20">
        <v>72</v>
      </c>
      <c r="D6239" s="20">
        <v>43</v>
      </c>
      <c r="E6239" s="20">
        <v>95</v>
      </c>
      <c r="F6239" s="20" t="s">
        <v>29894</v>
      </c>
      <c r="G6239" s="24"/>
      <c r="H6239" s="24"/>
      <c r="I6239" s="24" t="str">
        <f ca="1">IFERROR(__xludf.DUMMYFUNCTION("GOOGLETRANSLATE(F6239,""en"",""pt"")"),"otimizadores de tensão")</f>
        <v>otimizadores de tensão</v>
      </c>
      <c r="J6239">
        <f>VLOOKUP(A6239,Pr_Base_LNEC!$A$4:$J$6971,6,FALSE)</f>
        <v>0</v>
      </c>
      <c r="K6239">
        <f>VLOOKUP(A6239,Pr_Base_LNEC!$A$4:$J$6971,7,FALSE)</f>
        <v>0</v>
      </c>
    </row>
    <row r="6240" spans="1:11" ht="14.5">
      <c r="A6240" s="20" t="s">
        <v>29895</v>
      </c>
      <c r="B6240" s="20">
        <v>65</v>
      </c>
      <c r="C6240" s="20">
        <v>72</v>
      </c>
      <c r="D6240" s="20">
        <v>43</v>
      </c>
      <c r="E6240" s="20">
        <v>96</v>
      </c>
      <c r="F6240" s="20" t="s">
        <v>29896</v>
      </c>
      <c r="G6240" s="20" t="s">
        <v>29897</v>
      </c>
      <c r="H6240" s="24"/>
      <c r="I6240" s="24" t="str">
        <f ca="1">IFERROR(__xludf.DUMMYFUNCTION("GOOGLETRANSLATE(F6240,""en"",""pt"")"),"transformadores de tensão")</f>
        <v>transformadores de tensão</v>
      </c>
      <c r="J6240">
        <f>VLOOKUP(A6240,Pr_Base_LNEC!$A$4:$J$6971,6,FALSE)</f>
        <v>0</v>
      </c>
      <c r="K6240">
        <f>VLOOKUP(A6240,Pr_Base_LNEC!$A$4:$J$6971,7,FALSE)</f>
        <v>0</v>
      </c>
    </row>
    <row r="6241" spans="1:11" ht="14.5">
      <c r="A6241" s="20" t="s">
        <v>29898</v>
      </c>
      <c r="B6241" s="20">
        <v>65</v>
      </c>
      <c r="C6241" s="20">
        <v>72</v>
      </c>
      <c r="D6241" s="20">
        <v>59</v>
      </c>
      <c r="E6241" s="24"/>
      <c r="F6241" s="20" t="s">
        <v>29899</v>
      </c>
      <c r="G6241" s="24"/>
      <c r="H6241" s="24"/>
      <c r="I6241" s="24" t="str">
        <f ca="1">IFERROR(__xludf.DUMMYFUNCTION("GOOGLETRANSLATE(F6241,""en"",""pt"")"),"produtos de cabeça linha de alimentação")</f>
        <v>produtos de cabeça linha de alimentação</v>
      </c>
      <c r="J6241">
        <f>VLOOKUP(A6241,Pr_Base_LNEC!$A$4:$J$6971,6,FALSE)</f>
        <v>0</v>
      </c>
      <c r="K6241">
        <f>VLOOKUP(A6241,Pr_Base_LNEC!$A$4:$J$6971,7,FALSE)</f>
        <v>0</v>
      </c>
    </row>
    <row r="6242" spans="1:11" ht="14.5">
      <c r="A6242" s="20" t="s">
        <v>29900</v>
      </c>
      <c r="B6242" s="20">
        <v>65</v>
      </c>
      <c r="C6242" s="20">
        <v>72</v>
      </c>
      <c r="D6242" s="20">
        <v>59</v>
      </c>
      <c r="E6242" s="20">
        <v>6</v>
      </c>
      <c r="F6242" s="20" t="s">
        <v>29901</v>
      </c>
      <c r="G6242" s="20" t="s">
        <v>29902</v>
      </c>
      <c r="H6242" s="24"/>
      <c r="I6242" s="24" t="str">
        <f ca="1">IFERROR(__xludf.DUMMYFUNCTION("GOOGLETRANSLATE(F6242,""en"",""pt"")"),"dispositivos de âncora de tensionamento de pesagem da balança")</f>
        <v>dispositivos de âncora de tensionamento de pesagem da balança</v>
      </c>
      <c r="J6242">
        <f>VLOOKUP(A6242,Pr_Base_LNEC!$A$4:$J$6971,6,FALSE)</f>
        <v>0</v>
      </c>
      <c r="K6242">
        <f>VLOOKUP(A6242,Pr_Base_LNEC!$A$4:$J$6971,7,FALSE)</f>
        <v>0</v>
      </c>
    </row>
    <row r="6243" spans="1:11" ht="14.5">
      <c r="A6243" s="20" t="s">
        <v>29903</v>
      </c>
      <c r="B6243" s="20">
        <v>65</v>
      </c>
      <c r="C6243" s="20">
        <v>72</v>
      </c>
      <c r="D6243" s="20">
        <v>59</v>
      </c>
      <c r="E6243" s="20">
        <v>80</v>
      </c>
      <c r="F6243" s="20" t="s">
        <v>29904</v>
      </c>
      <c r="G6243" s="20" t="s">
        <v>29905</v>
      </c>
      <c r="H6243" s="24"/>
      <c r="I6243" s="24" t="str">
        <f ca="1">IFERROR(__xludf.DUMMYFUNCTION("GOOGLETRANSLATE(F6243,""en"",""pt"")"),"dispositivos de tensionamento da mola")</f>
        <v>dispositivos de tensionamento da mola</v>
      </c>
      <c r="J6243">
        <f>VLOOKUP(A6243,Pr_Base_LNEC!$A$4:$J$6971,6,FALSE)</f>
        <v>0</v>
      </c>
      <c r="K6243">
        <f>VLOOKUP(A6243,Pr_Base_LNEC!$A$4:$J$6971,7,FALSE)</f>
        <v>0</v>
      </c>
    </row>
    <row r="6244" spans="1:11" ht="14.5">
      <c r="A6244" s="20" t="s">
        <v>29906</v>
      </c>
      <c r="B6244" s="20">
        <v>65</v>
      </c>
      <c r="C6244" s="20">
        <v>72</v>
      </c>
      <c r="D6244" s="20">
        <v>59</v>
      </c>
      <c r="E6244" s="20">
        <v>90</v>
      </c>
      <c r="F6244" s="20" t="s">
        <v>29907</v>
      </c>
      <c r="G6244" s="20" t="s">
        <v>29908</v>
      </c>
      <c r="H6244" s="24"/>
      <c r="I6244" s="24" t="str">
        <f ca="1">IFERROR(__xludf.DUMMYFUNCTION("GOOGLETRANSLATE(F6244,""en"",""pt"")"),"dispositivos tensores Tensor")</f>
        <v>dispositivos tensores Tensor</v>
      </c>
      <c r="J6244">
        <f>VLOOKUP(A6244,Pr_Base_LNEC!$A$4:$J$6971,6,FALSE)</f>
        <v>0</v>
      </c>
      <c r="K6244">
        <f>VLOOKUP(A6244,Pr_Base_LNEC!$A$4:$J$6971,7,FALSE)</f>
        <v>0</v>
      </c>
    </row>
    <row r="6245" spans="1:11" ht="14.5">
      <c r="A6245" s="20" t="s">
        <v>29909</v>
      </c>
      <c r="B6245" s="20">
        <v>65</v>
      </c>
      <c r="C6245" s="20">
        <v>72</v>
      </c>
      <c r="D6245" s="20">
        <v>60</v>
      </c>
      <c r="E6245" s="24"/>
      <c r="F6245" s="20" t="s">
        <v>29910</v>
      </c>
      <c r="G6245" s="24"/>
      <c r="H6245" s="24"/>
      <c r="I6245" s="24" t="str">
        <f ca="1">IFERROR(__xludf.DUMMYFUNCTION("GOOGLETRANSLATE(F6245,""en"",""pt"")"),"produtos de cabeça de apoio linha de alimentação")</f>
        <v>produtos de cabeça de apoio linha de alimentação</v>
      </c>
      <c r="J6245">
        <f>VLOOKUP(A6245,Pr_Base_LNEC!$A$4:$J$6971,6,FALSE)</f>
        <v>0</v>
      </c>
      <c r="K6245">
        <f>VLOOKUP(A6245,Pr_Base_LNEC!$A$4:$J$6971,7,FALSE)</f>
        <v>0</v>
      </c>
    </row>
    <row r="6246" spans="1:11" ht="14.5">
      <c r="A6246" s="20" t="s">
        <v>29911</v>
      </c>
      <c r="B6246" s="20">
        <v>65</v>
      </c>
      <c r="C6246" s="20">
        <v>72</v>
      </c>
      <c r="D6246" s="20">
        <v>60</v>
      </c>
      <c r="E6246" s="20">
        <v>23</v>
      </c>
      <c r="F6246" s="20" t="s">
        <v>29912</v>
      </c>
      <c r="G6246" s="20" t="s">
        <v>29913</v>
      </c>
      <c r="H6246" s="24"/>
      <c r="I6246" s="24" t="str">
        <f ca="1">IFERROR(__xludf.DUMMYFUNCTION("GOOGLETRANSLATE(F6246,""en"",""pt"")"),"montagens catenária cantilever isolador duplo")</f>
        <v>montagens catenária cantilever isolador duplo</v>
      </c>
      <c r="J6246">
        <f>VLOOKUP(A6246,Pr_Base_LNEC!$A$4:$J$6971,6,FALSE)</f>
        <v>0</v>
      </c>
      <c r="K6246">
        <f>VLOOKUP(A6246,Pr_Base_LNEC!$A$4:$J$6971,7,FALSE)</f>
        <v>0</v>
      </c>
    </row>
    <row r="6247" spans="1:11" ht="14.5">
      <c r="A6247" s="20" t="s">
        <v>29914</v>
      </c>
      <c r="B6247" s="20">
        <v>65</v>
      </c>
      <c r="C6247" s="20">
        <v>72</v>
      </c>
      <c r="D6247" s="20">
        <v>60</v>
      </c>
      <c r="E6247" s="20">
        <v>24</v>
      </c>
      <c r="F6247" s="20" t="s">
        <v>29915</v>
      </c>
      <c r="G6247" s="20" t="s">
        <v>29916</v>
      </c>
      <c r="H6247" s="24"/>
      <c r="I6247" s="24" t="str">
        <f ca="1">IFERROR(__xludf.DUMMYFUNCTION("GOOGLETRANSLATE(F6247,""en"",""pt"")"),"conjuntos de fios trole cantilever isolador duplo")</f>
        <v>conjuntos de fios trole cantilever isolador duplo</v>
      </c>
      <c r="J6247">
        <f>VLOOKUP(A6247,Pr_Base_LNEC!$A$4:$J$6971,6,FALSE)</f>
        <v>0</v>
      </c>
      <c r="K6247">
        <f>VLOOKUP(A6247,Pr_Base_LNEC!$A$4:$J$6971,7,FALSE)</f>
        <v>0</v>
      </c>
    </row>
    <row r="6248" spans="1:11" ht="14.5">
      <c r="A6248" s="20" t="s">
        <v>29917</v>
      </c>
      <c r="B6248" s="20">
        <v>65</v>
      </c>
      <c r="C6248" s="20">
        <v>72</v>
      </c>
      <c r="D6248" s="20">
        <v>60</v>
      </c>
      <c r="E6248" s="20">
        <v>55</v>
      </c>
      <c r="F6248" s="20" t="s">
        <v>29918</v>
      </c>
      <c r="G6248" s="20" t="s">
        <v>29919</v>
      </c>
      <c r="H6248" s="24"/>
      <c r="I6248" s="24" t="str">
        <f ca="1">IFERROR(__xludf.DUMMYFUNCTION("GOOGLETRANSLATE(F6248,""en"",""pt"")"),"suportes de cabo de linha Overhead")</f>
        <v>suportes de cabo de linha Overhead</v>
      </c>
      <c r="J6248">
        <f>VLOOKUP(A6248,Pr_Base_LNEC!$A$4:$J$6971,6,FALSE)</f>
        <v>0</v>
      </c>
      <c r="K6248">
        <f>VLOOKUP(A6248,Pr_Base_LNEC!$A$4:$J$6971,7,FALSE)</f>
        <v>0</v>
      </c>
    </row>
    <row r="6249" spans="1:11" ht="14.5">
      <c r="A6249" s="20" t="s">
        <v>29920</v>
      </c>
      <c r="B6249" s="20">
        <v>65</v>
      </c>
      <c r="C6249" s="20">
        <v>72</v>
      </c>
      <c r="D6249" s="20">
        <v>60</v>
      </c>
      <c r="E6249" s="20">
        <v>56</v>
      </c>
      <c r="F6249" s="20" t="s">
        <v>29921</v>
      </c>
      <c r="G6249" s="20" t="s">
        <v>29922</v>
      </c>
      <c r="H6249" s="24"/>
      <c r="I6249" s="24" t="str">
        <f ca="1">IFERROR(__xludf.DUMMYFUNCTION("GOOGLETRANSLATE(F6249,""en"",""pt"")"),"catenárias linha Overhead")</f>
        <v>catenárias linha Overhead</v>
      </c>
      <c r="J6249">
        <f>VLOOKUP(A6249,Pr_Base_LNEC!$A$4:$J$6971,6,FALSE)</f>
        <v>0</v>
      </c>
      <c r="K6249">
        <f>VLOOKUP(A6249,Pr_Base_LNEC!$A$4:$J$6971,7,FALSE)</f>
        <v>0</v>
      </c>
    </row>
    <row r="6250" spans="1:11" ht="14.5">
      <c r="A6250" s="20" t="s">
        <v>29923</v>
      </c>
      <c r="B6250" s="20">
        <v>65</v>
      </c>
      <c r="C6250" s="20">
        <v>72</v>
      </c>
      <c r="D6250" s="20">
        <v>60</v>
      </c>
      <c r="E6250" s="20">
        <v>57</v>
      </c>
      <c r="F6250" s="20" t="s">
        <v>29924</v>
      </c>
      <c r="G6250" s="20" t="s">
        <v>29925</v>
      </c>
      <c r="H6250" s="24"/>
      <c r="I6250" s="24" t="str">
        <f ca="1">IFERROR(__xludf.DUMMYFUNCTION("GOOGLETRANSLATE(F6250,""en"",""pt"")"),"fios de contacto de linha Overhead")</f>
        <v>fios de contacto de linha Overhead</v>
      </c>
      <c r="J6250">
        <f>VLOOKUP(A6250,Pr_Base_LNEC!$A$4:$J$6971,6,FALSE)</f>
        <v>0</v>
      </c>
      <c r="K6250">
        <f>VLOOKUP(A6250,Pr_Base_LNEC!$A$4:$J$6971,7,FALSE)</f>
        <v>0</v>
      </c>
    </row>
    <row r="6251" spans="1:11" ht="14.5">
      <c r="A6251" s="20" t="s">
        <v>29926</v>
      </c>
      <c r="B6251" s="20">
        <v>65</v>
      </c>
      <c r="C6251" s="20">
        <v>72</v>
      </c>
      <c r="D6251" s="20">
        <v>60</v>
      </c>
      <c r="E6251" s="20">
        <v>58</v>
      </c>
      <c r="F6251" s="20" t="s">
        <v>29927</v>
      </c>
      <c r="G6251" s="20" t="s">
        <v>29928</v>
      </c>
      <c r="H6251" s="24"/>
      <c r="I6251" s="24" t="str">
        <f ca="1">IFERROR(__xludf.DUMMYFUNCTION("GOOGLETRANSLATE(F6251,""en"",""pt"")"),"droppers de linhas aéreas")</f>
        <v>droppers de linhas aéreas</v>
      </c>
      <c r="J6251">
        <f>VLOOKUP(A6251,Pr_Base_LNEC!$A$4:$J$6971,6,FALSE)</f>
        <v>0</v>
      </c>
      <c r="K6251">
        <f>VLOOKUP(A6251,Pr_Base_LNEC!$A$4:$J$6971,7,FALSE)</f>
        <v>0</v>
      </c>
    </row>
    <row r="6252" spans="1:11" ht="14.5">
      <c r="A6252" s="20" t="s">
        <v>29929</v>
      </c>
      <c r="B6252" s="20">
        <v>65</v>
      </c>
      <c r="C6252" s="20">
        <v>72</v>
      </c>
      <c r="D6252" s="20">
        <v>60</v>
      </c>
      <c r="E6252" s="20">
        <v>59</v>
      </c>
      <c r="F6252" s="20" t="s">
        <v>29930</v>
      </c>
      <c r="G6252" s="20" t="s">
        <v>29931</v>
      </c>
      <c r="H6252" s="24"/>
      <c r="I6252" s="24" t="str">
        <f ca="1">IFERROR(__xludf.DUMMYFUNCTION("GOOGLETRANSLATE(F6252,""en"",""pt"")"),"fixações de linhas aéreas")</f>
        <v>fixações de linhas aéreas</v>
      </c>
      <c r="J6252">
        <f>VLOOKUP(A6252,Pr_Base_LNEC!$A$4:$J$6971,6,FALSE)</f>
        <v>0</v>
      </c>
      <c r="K6252">
        <f>VLOOKUP(A6252,Pr_Base_LNEC!$A$4:$J$6971,7,FALSE)</f>
        <v>0</v>
      </c>
    </row>
    <row r="6253" spans="1:11" ht="14.5">
      <c r="A6253" s="20" t="s">
        <v>29932</v>
      </c>
      <c r="B6253" s="20">
        <v>65</v>
      </c>
      <c r="C6253" s="20">
        <v>72</v>
      </c>
      <c r="D6253" s="20">
        <v>60</v>
      </c>
      <c r="E6253" s="20">
        <v>60</v>
      </c>
      <c r="F6253" s="20" t="s">
        <v>29933</v>
      </c>
      <c r="G6253" s="20" t="s">
        <v>29934</v>
      </c>
      <c r="H6253" s="24"/>
      <c r="I6253" s="24" t="str">
        <f ca="1">IFERROR(__xludf.DUMMYFUNCTION("GOOGLETRANSLATE(F6253,""en"",""pt"")"),"estruturas de montagem da catenária")</f>
        <v>estruturas de montagem da catenária</v>
      </c>
      <c r="J6253">
        <f>VLOOKUP(A6253,Pr_Base_LNEC!$A$4:$J$6971,6,FALSE)</f>
        <v>0</v>
      </c>
      <c r="K6253">
        <f>VLOOKUP(A6253,Pr_Base_LNEC!$A$4:$J$6971,7,FALSE)</f>
        <v>0</v>
      </c>
    </row>
    <row r="6254" spans="1:11" ht="14.5">
      <c r="A6254" s="20" t="s">
        <v>29935</v>
      </c>
      <c r="B6254" s="20">
        <v>65</v>
      </c>
      <c r="C6254" s="20">
        <v>72</v>
      </c>
      <c r="D6254" s="20">
        <v>60</v>
      </c>
      <c r="E6254" s="20">
        <v>61</v>
      </c>
      <c r="F6254" s="20" t="s">
        <v>29936</v>
      </c>
      <c r="G6254" s="20" t="s">
        <v>29937</v>
      </c>
      <c r="H6254" s="24"/>
      <c r="I6254" s="24" t="str">
        <f ca="1">IFERROR(__xludf.DUMMYFUNCTION("GOOGLETRANSLATE(F6254,""en"",""pt"")"),"fios extensão de linha Overhead")</f>
        <v>fios extensão de linha Overhead</v>
      </c>
      <c r="J6254">
        <f>VLOOKUP(A6254,Pr_Base_LNEC!$A$4:$J$6971,6,FALSE)</f>
        <v>0</v>
      </c>
      <c r="K6254">
        <f>VLOOKUP(A6254,Pr_Base_LNEC!$A$4:$J$6971,7,FALSE)</f>
        <v>0</v>
      </c>
    </row>
    <row r="6255" spans="1:11" ht="14.5">
      <c r="A6255" s="20" t="s">
        <v>29938</v>
      </c>
      <c r="B6255" s="20">
        <v>65</v>
      </c>
      <c r="C6255" s="20">
        <v>72</v>
      </c>
      <c r="D6255" s="20">
        <v>60</v>
      </c>
      <c r="E6255" s="20">
        <v>63</v>
      </c>
      <c r="F6255" s="20" t="s">
        <v>29939</v>
      </c>
      <c r="G6255" s="24"/>
      <c r="H6255" s="24"/>
      <c r="I6255" s="24" t="str">
        <f ca="1">IFERROR(__xludf.DUMMYFUNCTION("GOOGLETRANSLATE(F6255,""en"",""pt"")"),"emendas de fiação gerais")</f>
        <v>emendas de fiação gerais</v>
      </c>
      <c r="J6255" t="e">
        <f>VLOOKUP(A6255,Pr_Base_LNEC!$A$4:$J$6971,6,FALSE)</f>
        <v>#N/A</v>
      </c>
      <c r="K6255" t="e">
        <f>VLOOKUP(A6255,Pr_Base_LNEC!$A$4:$J$6971,7,FALSE)</f>
        <v>#N/A</v>
      </c>
    </row>
    <row r="6256" spans="1:11" ht="14.5">
      <c r="A6256" s="20" t="s">
        <v>29940</v>
      </c>
      <c r="B6256" s="20">
        <v>65</v>
      </c>
      <c r="C6256" s="20">
        <v>72</v>
      </c>
      <c r="D6256" s="20">
        <v>60</v>
      </c>
      <c r="E6256" s="20">
        <v>77</v>
      </c>
      <c r="F6256" s="20" t="s">
        <v>29941</v>
      </c>
      <c r="G6256" s="20" t="s">
        <v>29942</v>
      </c>
      <c r="H6256" s="24"/>
      <c r="I6256" s="24" t="str">
        <f ca="1">IFERROR(__xludf.DUMMYFUNCTION("GOOGLETRANSLATE(F6256,""en"",""pt"")"),"montagens catenária cantilever único isolador")</f>
        <v>montagens catenária cantilever único isolador</v>
      </c>
      <c r="J6256">
        <f>VLOOKUP(A6256,Pr_Base_LNEC!$A$4:$J$6971,6,FALSE)</f>
        <v>0</v>
      </c>
      <c r="K6256">
        <f>VLOOKUP(A6256,Pr_Base_LNEC!$A$4:$J$6971,7,FALSE)</f>
        <v>0</v>
      </c>
    </row>
    <row r="6257" spans="1:11" ht="14.5">
      <c r="A6257" s="20" t="s">
        <v>29943</v>
      </c>
      <c r="B6257" s="20">
        <v>65</v>
      </c>
      <c r="C6257" s="20">
        <v>72</v>
      </c>
      <c r="D6257" s="20">
        <v>60</v>
      </c>
      <c r="E6257" s="20">
        <v>78</v>
      </c>
      <c r="F6257" s="20" t="s">
        <v>29944</v>
      </c>
      <c r="G6257" s="20" t="s">
        <v>29945</v>
      </c>
      <c r="H6257" s="24"/>
      <c r="I6257" s="24" t="str">
        <f ca="1">IFERROR(__xludf.DUMMYFUNCTION("GOOGLETRANSLATE(F6257,""en"",""pt"")"),"conjuntos de fios trole cantilever único isolador")</f>
        <v>conjuntos de fios trole cantilever único isolador</v>
      </c>
      <c r="J6257">
        <f>VLOOKUP(A6257,Pr_Base_LNEC!$A$4:$J$6971,6,FALSE)</f>
        <v>0</v>
      </c>
      <c r="K6257">
        <f>VLOOKUP(A6257,Pr_Base_LNEC!$A$4:$J$6971,7,FALSE)</f>
        <v>0</v>
      </c>
    </row>
    <row r="6258" spans="1:11" ht="14.5">
      <c r="A6258" s="20" t="s">
        <v>29946</v>
      </c>
      <c r="B6258" s="20">
        <v>65</v>
      </c>
      <c r="C6258" s="20">
        <v>72</v>
      </c>
      <c r="D6258" s="20">
        <v>97</v>
      </c>
      <c r="E6258" s="24"/>
      <c r="F6258" s="20" t="s">
        <v>29947</v>
      </c>
      <c r="G6258" s="24"/>
      <c r="H6258" s="24"/>
      <c r="I6258" s="24" t="str">
        <f ca="1">IFERROR(__xludf.DUMMYFUNCTION("GOOGLETRANSLATE(F6258,""en"",""pt"")"),"acessórios de fiação")</f>
        <v>acessórios de fiação</v>
      </c>
      <c r="J6258">
        <f>VLOOKUP(A6258,Pr_Base_LNEC!$A$4:$J$6971,6,FALSE)</f>
        <v>0</v>
      </c>
      <c r="K6258">
        <f>VLOOKUP(A6258,Pr_Base_LNEC!$A$4:$J$6971,7,FALSE)</f>
        <v>0</v>
      </c>
    </row>
    <row r="6259" spans="1:11" ht="14.5">
      <c r="A6259" s="20" t="s">
        <v>29948</v>
      </c>
      <c r="B6259" s="20">
        <v>65</v>
      </c>
      <c r="C6259" s="20">
        <v>72</v>
      </c>
      <c r="D6259" s="20">
        <v>97</v>
      </c>
      <c r="E6259" s="20">
        <v>3</v>
      </c>
      <c r="F6259" s="20" t="s">
        <v>29949</v>
      </c>
      <c r="G6259" s="20" t="s">
        <v>29950</v>
      </c>
      <c r="H6259" s="24"/>
      <c r="I6259" s="24" t="str">
        <f ca="1">IFERROR(__xludf.DUMMYFUNCTION("GOOGLETRANSLATE(F6259,""en"",""pt"")"),"interruptores arquitrave")</f>
        <v>interruptores arquitrave</v>
      </c>
      <c r="J6259">
        <f>VLOOKUP(A6259,Pr_Base_LNEC!$A$4:$J$6971,6,FALSE)</f>
        <v>0</v>
      </c>
      <c r="K6259">
        <f>VLOOKUP(A6259,Pr_Base_LNEC!$A$4:$J$6971,7,FALSE)</f>
        <v>0</v>
      </c>
    </row>
    <row r="6260" spans="1:11" ht="14.5">
      <c r="A6260" s="20" t="s">
        <v>29951</v>
      </c>
      <c r="B6260" s="20">
        <v>65</v>
      </c>
      <c r="C6260" s="20">
        <v>72</v>
      </c>
      <c r="D6260" s="20">
        <v>97</v>
      </c>
      <c r="E6260" s="20">
        <v>6</v>
      </c>
      <c r="F6260" s="20" t="s">
        <v>29952</v>
      </c>
      <c r="G6260" s="20" t="s">
        <v>29953</v>
      </c>
      <c r="H6260" s="24"/>
      <c r="I6260" s="24" t="str">
        <f ca="1">IFERROR(__xludf.DUMMYFUNCTION("GOOGLETRANSLATE(F6260,""en"",""pt"")"),"suportes para lâmpadas baioneta")</f>
        <v>suportes para lâmpadas baioneta</v>
      </c>
      <c r="J6260">
        <f>VLOOKUP(A6260,Pr_Base_LNEC!$A$4:$J$6971,6,FALSE)</f>
        <v>0</v>
      </c>
      <c r="K6260">
        <f>VLOOKUP(A6260,Pr_Base_LNEC!$A$4:$J$6971,7,FALSE)</f>
        <v>0</v>
      </c>
    </row>
    <row r="6261" spans="1:11" ht="14.5">
      <c r="A6261" s="20" t="s">
        <v>29954</v>
      </c>
      <c r="B6261" s="20">
        <v>65</v>
      </c>
      <c r="C6261" s="20">
        <v>72</v>
      </c>
      <c r="D6261" s="20">
        <v>97</v>
      </c>
      <c r="E6261" s="20">
        <v>11</v>
      </c>
      <c r="F6261" s="20" t="s">
        <v>29955</v>
      </c>
      <c r="G6261" s="20" t="s">
        <v>29956</v>
      </c>
      <c r="H6261" s="24"/>
      <c r="I6261" s="24" t="str">
        <f ca="1">IFERROR(__xludf.DUMMYFUNCTION("GOOGLETRANSLATE(F6261,""en"",""pt"")"),"acopladores de cabo")</f>
        <v>acopladores de cabo</v>
      </c>
      <c r="J6261">
        <f>VLOOKUP(A6261,Pr_Base_LNEC!$A$4:$J$6971,6,FALSE)</f>
        <v>0</v>
      </c>
      <c r="K6261">
        <f>VLOOKUP(A6261,Pr_Base_LNEC!$A$4:$J$6971,7,FALSE)</f>
        <v>0</v>
      </c>
    </row>
    <row r="6262" spans="1:11" ht="14.5">
      <c r="A6262" s="20" t="s">
        <v>29957</v>
      </c>
      <c r="B6262" s="20">
        <v>65</v>
      </c>
      <c r="C6262" s="20">
        <v>72</v>
      </c>
      <c r="D6262" s="20">
        <v>97</v>
      </c>
      <c r="E6262" s="20">
        <v>12</v>
      </c>
      <c r="F6262" s="20" t="s">
        <v>29958</v>
      </c>
      <c r="G6262" s="20" t="s">
        <v>29959</v>
      </c>
      <c r="H6262" s="24"/>
      <c r="I6262" s="24" t="str">
        <f ca="1">IFERROR(__xludf.DUMMYFUNCTION("GOOGLETRANSLATE(F6262,""en"",""pt"")"),"placas de saída do cabo")</f>
        <v>placas de saída do cabo</v>
      </c>
      <c r="J6262">
        <f>VLOOKUP(A6262,Pr_Base_LNEC!$A$4:$J$6971,6,FALSE)</f>
        <v>0</v>
      </c>
      <c r="K6262">
        <f>VLOOKUP(A6262,Pr_Base_LNEC!$A$4:$J$6971,7,FALSE)</f>
        <v>0</v>
      </c>
    </row>
    <row r="6263" spans="1:11" ht="14.5">
      <c r="A6263" s="20" t="s">
        <v>29960</v>
      </c>
      <c r="B6263" s="20">
        <v>65</v>
      </c>
      <c r="C6263" s="20">
        <v>72</v>
      </c>
      <c r="D6263" s="20">
        <v>97</v>
      </c>
      <c r="E6263" s="20">
        <v>16</v>
      </c>
      <c r="F6263" s="20" t="s">
        <v>29961</v>
      </c>
      <c r="G6263" s="20" t="s">
        <v>29962</v>
      </c>
      <c r="H6263" s="24"/>
      <c r="I6263" s="24" t="str">
        <f ca="1">IFERROR(__xludf.DUMMYFUNCTION("GOOGLETRANSLATE(F6263,""en"",""pt"")"),"interruptores de luz tecto")</f>
        <v>interruptores de luz tecto</v>
      </c>
      <c r="J6263">
        <f>VLOOKUP(A6263,Pr_Base_LNEC!$A$4:$J$6971,6,FALSE)</f>
        <v>0</v>
      </c>
      <c r="K6263">
        <f>VLOOKUP(A6263,Pr_Base_LNEC!$A$4:$J$6971,7,FALSE)</f>
        <v>0</v>
      </c>
    </row>
    <row r="6264" spans="1:11" ht="14.5">
      <c r="A6264" s="20" t="s">
        <v>29963</v>
      </c>
      <c r="B6264" s="20">
        <v>65</v>
      </c>
      <c r="C6264" s="20">
        <v>72</v>
      </c>
      <c r="D6264" s="20">
        <v>97</v>
      </c>
      <c r="E6264" s="20">
        <v>17</v>
      </c>
      <c r="F6264" s="20" t="s">
        <v>29964</v>
      </c>
      <c r="G6264" s="20" t="s">
        <v>29965</v>
      </c>
      <c r="H6264" s="24"/>
      <c r="I6264" s="24" t="str">
        <f ca="1">IFERROR(__xludf.DUMMYFUNCTION("GOOGLETRANSLATE(F6264,""en"",""pt"")"),"interruptores de teto")</f>
        <v>interruptores de teto</v>
      </c>
      <c r="J6264">
        <f>VLOOKUP(A6264,Pr_Base_LNEC!$A$4:$J$6971,6,FALSE)</f>
        <v>0</v>
      </c>
      <c r="K6264">
        <f>VLOOKUP(A6264,Pr_Base_LNEC!$A$4:$J$6971,7,FALSE)</f>
        <v>0</v>
      </c>
    </row>
    <row r="6265" spans="1:11" ht="14.5">
      <c r="A6265" s="20" t="s">
        <v>29966</v>
      </c>
      <c r="B6265" s="20">
        <v>65</v>
      </c>
      <c r="C6265" s="20">
        <v>72</v>
      </c>
      <c r="D6265" s="20">
        <v>97</v>
      </c>
      <c r="E6265" s="20">
        <v>18</v>
      </c>
      <c r="F6265" s="20" t="s">
        <v>29967</v>
      </c>
      <c r="G6265" s="20" t="s">
        <v>29968</v>
      </c>
      <c r="H6265" s="24"/>
      <c r="I6265" s="24" t="str">
        <f ca="1">IFERROR(__xludf.DUMMYFUNCTION("GOOGLETRANSLATE(F6265,""en"",""pt"")"),"rosas teto")</f>
        <v>rosas teto</v>
      </c>
      <c r="J6265">
        <f>VLOOKUP(A6265,Pr_Base_LNEC!$A$4:$J$6971,6,FALSE)</f>
        <v>0</v>
      </c>
      <c r="K6265">
        <f>VLOOKUP(A6265,Pr_Base_LNEC!$A$4:$J$6971,7,FALSE)</f>
        <v>0</v>
      </c>
    </row>
    <row r="6266" spans="1:11" ht="14.5">
      <c r="A6266" s="20" t="s">
        <v>29969</v>
      </c>
      <c r="B6266" s="20">
        <v>65</v>
      </c>
      <c r="C6266" s="20">
        <v>72</v>
      </c>
      <c r="D6266" s="20">
        <v>97</v>
      </c>
      <c r="E6266" s="20">
        <v>20</v>
      </c>
      <c r="F6266" s="20" t="s">
        <v>29970</v>
      </c>
      <c r="G6266" s="20" t="s">
        <v>29971</v>
      </c>
      <c r="H6266" s="24"/>
      <c r="I6266" s="24" t="str">
        <f ca="1">IFERROR(__xludf.DUMMYFUNCTION("GOOGLETRANSLATE(F6266,""en"",""pt"")"),"unidades de controlo do fogão")</f>
        <v>unidades de controlo do fogão</v>
      </c>
      <c r="J6266">
        <f>VLOOKUP(A6266,Pr_Base_LNEC!$A$4:$J$6971,6,FALSE)</f>
        <v>0</v>
      </c>
      <c r="K6266">
        <f>VLOOKUP(A6266,Pr_Base_LNEC!$A$4:$J$6971,7,FALSE)</f>
        <v>0</v>
      </c>
    </row>
    <row r="6267" spans="1:11" ht="14.5">
      <c r="A6267" s="20" t="s">
        <v>29972</v>
      </c>
      <c r="B6267" s="20">
        <v>65</v>
      </c>
      <c r="C6267" s="20">
        <v>72</v>
      </c>
      <c r="D6267" s="20">
        <v>97</v>
      </c>
      <c r="E6267" s="20">
        <v>21</v>
      </c>
      <c r="F6267" s="20" t="s">
        <v>29973</v>
      </c>
      <c r="G6267" s="20" t="s">
        <v>29974</v>
      </c>
      <c r="H6267" s="24"/>
      <c r="I6267" s="24" t="str">
        <f ca="1">IFERROR(__xludf.DUMMYFUNCTION("GOOGLETRANSLATE(F6267,""en"",""pt"")"),"unidades de conexão do fogão")</f>
        <v>unidades de conexão do fogão</v>
      </c>
      <c r="J6267">
        <f>VLOOKUP(A6267,Pr_Base_LNEC!$A$4:$J$6971,6,FALSE)</f>
        <v>0</v>
      </c>
      <c r="K6267">
        <f>VLOOKUP(A6267,Pr_Base_LNEC!$A$4:$J$6971,7,FALSE)</f>
        <v>0</v>
      </c>
    </row>
    <row r="6268" spans="1:11" ht="14.5">
      <c r="A6268" s="20" t="s">
        <v>29975</v>
      </c>
      <c r="B6268" s="20">
        <v>65</v>
      </c>
      <c r="C6268" s="20">
        <v>72</v>
      </c>
      <c r="D6268" s="20">
        <v>97</v>
      </c>
      <c r="E6268" s="20">
        <v>22</v>
      </c>
      <c r="F6268" s="20" t="s">
        <v>29976</v>
      </c>
      <c r="G6268" s="20" t="s">
        <v>29977</v>
      </c>
      <c r="H6268" s="24"/>
      <c r="I6268" s="24" t="str">
        <f ca="1">IFERROR(__xludf.DUMMYFUNCTION("GOOGLETRANSLATE(F6268,""en"",""pt"")"),"interruptores e controles dimmer")</f>
        <v>interruptores e controles dimmer</v>
      </c>
      <c r="J6268">
        <f>VLOOKUP(A6268,Pr_Base_LNEC!$A$4:$J$6971,6,FALSE)</f>
        <v>0</v>
      </c>
      <c r="K6268">
        <f>VLOOKUP(A6268,Pr_Base_LNEC!$A$4:$J$6971,7,FALSE)</f>
        <v>0</v>
      </c>
    </row>
    <row r="6269" spans="1:11" ht="14.5">
      <c r="A6269" s="20" t="s">
        <v>29978</v>
      </c>
      <c r="B6269" s="20">
        <v>65</v>
      </c>
      <c r="C6269" s="20">
        <v>72</v>
      </c>
      <c r="D6269" s="20">
        <v>97</v>
      </c>
      <c r="E6269" s="20">
        <v>23</v>
      </c>
      <c r="F6269" s="20" t="s">
        <v>29979</v>
      </c>
      <c r="G6269" s="20" t="s">
        <v>29980</v>
      </c>
      <c r="H6269" s="24"/>
      <c r="I6269" s="24" t="str">
        <f ca="1">IFERROR(__xludf.DUMMYFUNCTION("GOOGLETRANSLATE(F6269,""en"",""pt"")"),"Duplo interruptores pólo")</f>
        <v>Duplo interruptores pólo</v>
      </c>
      <c r="J6269">
        <f>VLOOKUP(A6269,Pr_Base_LNEC!$A$4:$J$6971,6,FALSE)</f>
        <v>0</v>
      </c>
      <c r="K6269">
        <f>VLOOKUP(A6269,Pr_Base_LNEC!$A$4:$J$6971,7,FALSE)</f>
        <v>0</v>
      </c>
    </row>
    <row r="6270" spans="1:11" ht="14.5">
      <c r="A6270" s="20" t="s">
        <v>29981</v>
      </c>
      <c r="B6270" s="20">
        <v>65</v>
      </c>
      <c r="C6270" s="20">
        <v>72</v>
      </c>
      <c r="D6270" s="20">
        <v>97</v>
      </c>
      <c r="E6270" s="20">
        <v>26</v>
      </c>
      <c r="F6270" s="20" t="s">
        <v>29982</v>
      </c>
      <c r="G6270" s="20" t="s">
        <v>29983</v>
      </c>
      <c r="H6270" s="24"/>
      <c r="I6270" s="24" t="str">
        <f ca="1">IFERROR(__xludf.DUMMYFUNCTION("GOOGLETRANSLATE(F6270,""en"",""pt"")"),"Edison parafuso suportes para lâmpadas")</f>
        <v>Edison parafuso suportes para lâmpadas</v>
      </c>
      <c r="J6270">
        <f>VLOOKUP(A6270,Pr_Base_LNEC!$A$4:$J$6971,6,FALSE)</f>
        <v>0</v>
      </c>
      <c r="K6270">
        <f>VLOOKUP(A6270,Pr_Base_LNEC!$A$4:$J$6971,7,FALSE)</f>
        <v>0</v>
      </c>
    </row>
    <row r="6271" spans="1:11" ht="14.5">
      <c r="A6271" s="20" t="s">
        <v>29984</v>
      </c>
      <c r="B6271" s="20">
        <v>65</v>
      </c>
      <c r="C6271" s="20">
        <v>72</v>
      </c>
      <c r="D6271" s="20">
        <v>97</v>
      </c>
      <c r="E6271" s="20">
        <v>27</v>
      </c>
      <c r="F6271" s="20" t="s">
        <v>29985</v>
      </c>
      <c r="G6271" s="20" t="s">
        <v>29986</v>
      </c>
      <c r="H6271" s="24"/>
      <c r="I6271" s="24" t="str">
        <f ca="1">IFERROR(__xludf.DUMMYFUNCTION("GOOGLETRANSLATE(F6271,""en"",""pt"")"),"caixas de ligação eléctrica")</f>
        <v>caixas de ligação eléctrica</v>
      </c>
      <c r="J6271">
        <f>VLOOKUP(A6271,Pr_Base_LNEC!$A$4:$J$6971,6,FALSE)</f>
        <v>0</v>
      </c>
      <c r="K6271">
        <f>VLOOKUP(A6271,Pr_Base_LNEC!$A$4:$J$6971,7,FALSE)</f>
        <v>0</v>
      </c>
    </row>
    <row r="6272" spans="1:11" ht="14.5">
      <c r="A6272" s="20" t="s">
        <v>29987</v>
      </c>
      <c r="B6272" s="20">
        <v>65</v>
      </c>
      <c r="C6272" s="20">
        <v>72</v>
      </c>
      <c r="D6272" s="20">
        <v>97</v>
      </c>
      <c r="E6272" s="20">
        <v>28</v>
      </c>
      <c r="F6272" s="20" t="s">
        <v>29988</v>
      </c>
      <c r="G6272" s="24"/>
      <c r="H6272" s="24"/>
      <c r="I6272" s="24" t="str">
        <f ca="1">IFERROR(__xludf.DUMMYFUNCTION("GOOGLETRANSLATE(F6272,""en"",""pt"")"),"colchetes finais")</f>
        <v>colchetes finais</v>
      </c>
      <c r="J6272" t="e">
        <f>VLOOKUP(A6272,Pr_Base_LNEC!$A$4:$J$6971,6,FALSE)</f>
        <v>#N/A</v>
      </c>
      <c r="K6272" t="e">
        <f>VLOOKUP(A6272,Pr_Base_LNEC!$A$4:$J$6971,7,FALSE)</f>
        <v>#N/A</v>
      </c>
    </row>
    <row r="6273" spans="1:11" ht="14.5">
      <c r="A6273" s="20" t="s">
        <v>29989</v>
      </c>
      <c r="B6273" s="20">
        <v>65</v>
      </c>
      <c r="C6273" s="20">
        <v>72</v>
      </c>
      <c r="D6273" s="20">
        <v>97</v>
      </c>
      <c r="E6273" s="20">
        <v>29</v>
      </c>
      <c r="F6273" s="20" t="s">
        <v>29990</v>
      </c>
      <c r="G6273" s="20" t="s">
        <v>29991</v>
      </c>
      <c r="H6273" s="24"/>
      <c r="I6273" s="24" t="str">
        <f ca="1">IFERROR(__xludf.DUMMYFUNCTION("GOOGLETRANSLATE(F6273,""en"",""pt"")"),"carregamento de veículos eléctricos pontos")</f>
        <v>carregamento de veículos eléctricos pontos</v>
      </c>
      <c r="J6273" t="e">
        <f>VLOOKUP(A6273,Pr_Base_LNEC!$A$4:$J$6971,6,FALSE)</f>
        <v>#N/A</v>
      </c>
      <c r="K6273" t="e">
        <f>VLOOKUP(A6273,Pr_Base_LNEC!$A$4:$J$6971,7,FALSE)</f>
        <v>#N/A</v>
      </c>
    </row>
    <row r="6274" spans="1:11" ht="14.5">
      <c r="A6274" s="20" t="s">
        <v>29992</v>
      </c>
      <c r="B6274" s="20">
        <v>65</v>
      </c>
      <c r="C6274" s="20">
        <v>72</v>
      </c>
      <c r="D6274" s="20">
        <v>97</v>
      </c>
      <c r="E6274" s="20">
        <v>30</v>
      </c>
      <c r="F6274" s="20" t="s">
        <v>29993</v>
      </c>
      <c r="G6274" s="20" t="s">
        <v>29994</v>
      </c>
      <c r="H6274" s="24"/>
      <c r="I6274" s="24" t="str">
        <f ca="1">IFERROR(__xludf.DUMMYFUNCTION("GOOGLETRANSLATE(F6274,""en"",""pt"")"),"isoladores de fãs")</f>
        <v>isoladores de fãs</v>
      </c>
      <c r="J6274">
        <f>VLOOKUP(A6274,Pr_Base_LNEC!$A$4:$J$6971,6,FALSE)</f>
        <v>0</v>
      </c>
      <c r="K6274">
        <f>VLOOKUP(A6274,Pr_Base_LNEC!$A$4:$J$6971,7,FALSE)</f>
        <v>0</v>
      </c>
    </row>
    <row r="6275" spans="1:11" ht="14.5">
      <c r="A6275" s="20" t="s">
        <v>29995</v>
      </c>
      <c r="B6275" s="20">
        <v>65</v>
      </c>
      <c r="C6275" s="20">
        <v>72</v>
      </c>
      <c r="D6275" s="20">
        <v>97</v>
      </c>
      <c r="E6275" s="20">
        <v>31</v>
      </c>
      <c r="F6275" s="20" t="s">
        <v>29996</v>
      </c>
      <c r="G6275" s="20" t="s">
        <v>29997</v>
      </c>
      <c r="H6275" s="24"/>
      <c r="I6275" s="24" t="str">
        <f ca="1">IFERROR(__xludf.DUMMYFUNCTION("GOOGLETRANSLATE(F6275,""en"",""pt"")"),"unidades de conexão fundidos")</f>
        <v>unidades de conexão fundidos</v>
      </c>
      <c r="J6275">
        <f>VLOOKUP(A6275,Pr_Base_LNEC!$A$4:$J$6971,6,FALSE)</f>
        <v>0</v>
      </c>
      <c r="K6275">
        <f>VLOOKUP(A6275,Pr_Base_LNEC!$A$4:$J$6971,7,FALSE)</f>
        <v>0</v>
      </c>
    </row>
    <row r="6276" spans="1:11" ht="14.5">
      <c r="A6276" s="20" t="s">
        <v>29998</v>
      </c>
      <c r="B6276" s="20">
        <v>65</v>
      </c>
      <c r="C6276" s="20">
        <v>72</v>
      </c>
      <c r="D6276" s="20">
        <v>97</v>
      </c>
      <c r="E6276" s="20">
        <v>34</v>
      </c>
      <c r="F6276" s="20" t="s">
        <v>29999</v>
      </c>
      <c r="G6276" s="20" t="s">
        <v>29950</v>
      </c>
      <c r="H6276" s="24"/>
      <c r="I6276" s="24" t="str">
        <f ca="1">IFERROR(__xludf.DUMMYFUNCTION("GOOGLETRANSLATE(F6276,""en"",""pt"")"),"interruptores de grade")</f>
        <v>interruptores de grade</v>
      </c>
      <c r="J6276">
        <f>VLOOKUP(A6276,Pr_Base_LNEC!$A$4:$J$6971,6,FALSE)</f>
        <v>0</v>
      </c>
      <c r="K6276">
        <f>VLOOKUP(A6276,Pr_Base_LNEC!$A$4:$J$6971,7,FALSE)</f>
        <v>0</v>
      </c>
    </row>
    <row r="6277" spans="1:11" ht="14.5">
      <c r="A6277" s="20" t="s">
        <v>30000</v>
      </c>
      <c r="B6277" s="20">
        <v>65</v>
      </c>
      <c r="C6277" s="20">
        <v>72</v>
      </c>
      <c r="D6277" s="20">
        <v>97</v>
      </c>
      <c r="E6277" s="20">
        <v>40</v>
      </c>
      <c r="F6277" s="20" t="s">
        <v>30001</v>
      </c>
      <c r="G6277" s="20" t="s">
        <v>30002</v>
      </c>
      <c r="H6277" s="24"/>
      <c r="I6277" s="24" t="str">
        <f ca="1">IFERROR(__xludf.DUMMYFUNCTION("GOOGLETRANSLATE(F6277,""en"",""pt"")"),"plugues industriais")</f>
        <v>plugues industriais</v>
      </c>
      <c r="J6277">
        <f>VLOOKUP(A6277,Pr_Base_LNEC!$A$4:$J$6971,6,FALSE)</f>
        <v>0</v>
      </c>
      <c r="K6277">
        <f>VLOOKUP(A6277,Pr_Base_LNEC!$A$4:$J$6971,7,FALSE)</f>
        <v>0</v>
      </c>
    </row>
    <row r="6278" spans="1:11" ht="14.5">
      <c r="A6278" s="20" t="s">
        <v>30003</v>
      </c>
      <c r="B6278" s="20">
        <v>65</v>
      </c>
      <c r="C6278" s="20">
        <v>72</v>
      </c>
      <c r="D6278" s="20">
        <v>97</v>
      </c>
      <c r="E6278" s="20">
        <v>41</v>
      </c>
      <c r="F6278" s="20" t="s">
        <v>30004</v>
      </c>
      <c r="G6278" s="20" t="s">
        <v>30005</v>
      </c>
      <c r="H6278" s="24"/>
      <c r="I6278" s="24" t="str">
        <f ca="1">IFERROR(__xludf.DUMMYFUNCTION("GOOGLETRANSLATE(F6278,""en"",""pt"")"),"Tomadas Industriais")</f>
        <v>Tomadas Industriais</v>
      </c>
      <c r="J6278">
        <f>VLOOKUP(A6278,Pr_Base_LNEC!$A$4:$J$6971,6,FALSE)</f>
        <v>0</v>
      </c>
      <c r="K6278">
        <f>VLOOKUP(A6278,Pr_Base_LNEC!$A$4:$J$6971,7,FALSE)</f>
        <v>0</v>
      </c>
    </row>
    <row r="6279" spans="1:11" ht="14.5">
      <c r="A6279" s="20" t="s">
        <v>30006</v>
      </c>
      <c r="B6279" s="20">
        <v>65</v>
      </c>
      <c r="C6279" s="20">
        <v>72</v>
      </c>
      <c r="D6279" s="20">
        <v>97</v>
      </c>
      <c r="E6279" s="20">
        <v>47</v>
      </c>
      <c r="F6279" s="20" t="s">
        <v>30007</v>
      </c>
      <c r="G6279" s="20" t="s">
        <v>30008</v>
      </c>
      <c r="H6279" s="24"/>
      <c r="I6279" s="24" t="str">
        <f ca="1">IFERROR(__xludf.DUMMYFUNCTION("GOOGLETRANSLATE(F6279,""en"",""pt"")"),"Luminária de suporte acopladores")</f>
        <v>Luminária de suporte acopladores</v>
      </c>
      <c r="J6279">
        <f>VLOOKUP(A6279,Pr_Base_LNEC!$A$4:$J$6971,6,FALSE)</f>
        <v>0</v>
      </c>
      <c r="K6279">
        <f>VLOOKUP(A6279,Pr_Base_LNEC!$A$4:$J$6971,7,FALSE)</f>
        <v>0</v>
      </c>
    </row>
    <row r="6280" spans="1:11" ht="14.5">
      <c r="A6280" s="20" t="s">
        <v>30009</v>
      </c>
      <c r="B6280" s="20">
        <v>65</v>
      </c>
      <c r="C6280" s="20">
        <v>72</v>
      </c>
      <c r="D6280" s="20">
        <v>97</v>
      </c>
      <c r="E6280" s="20">
        <v>52</v>
      </c>
      <c r="F6280" s="20" t="s">
        <v>30010</v>
      </c>
      <c r="G6280" s="20" t="s">
        <v>30011</v>
      </c>
      <c r="H6280" s="24"/>
      <c r="I6280" s="24" t="str">
        <f ca="1">IFERROR(__xludf.DUMMYFUNCTION("GOOGLETRANSLATE(F6280,""en"",""pt"")"),"tomadas de energia Multi-gangues")</f>
        <v>tomadas de energia Multi-gangues</v>
      </c>
      <c r="J6280">
        <f>VLOOKUP(A6280,Pr_Base_LNEC!$A$4:$J$6971,6,FALSE)</f>
        <v>0</v>
      </c>
      <c r="K6280">
        <f>VLOOKUP(A6280,Pr_Base_LNEC!$A$4:$J$6971,7,FALSE)</f>
        <v>0</v>
      </c>
    </row>
    <row r="6281" spans="1:11" ht="14.5">
      <c r="A6281" s="20" t="s">
        <v>30012</v>
      </c>
      <c r="B6281" s="20">
        <v>65</v>
      </c>
      <c r="C6281" s="20">
        <v>72</v>
      </c>
      <c r="D6281" s="20">
        <v>97</v>
      </c>
      <c r="E6281" s="20">
        <v>63</v>
      </c>
      <c r="F6281" s="20" t="s">
        <v>30013</v>
      </c>
      <c r="G6281" s="20" t="s">
        <v>29950</v>
      </c>
      <c r="H6281" s="24"/>
      <c r="I6281" s="24" t="str">
        <f ca="1">IFERROR(__xludf.DUMMYFUNCTION("GOOGLETRANSLATE(F6281,""en"",""pt"")"),"interruptores placa")</f>
        <v>interruptores placa</v>
      </c>
      <c r="J6281">
        <f>VLOOKUP(A6281,Pr_Base_LNEC!$A$4:$J$6971,6,FALSE)</f>
        <v>0</v>
      </c>
      <c r="K6281">
        <f>VLOOKUP(A6281,Pr_Base_LNEC!$A$4:$J$6971,7,FALSE)</f>
        <v>0</v>
      </c>
    </row>
    <row r="6282" spans="1:11" ht="14.5">
      <c r="A6282" s="20" t="s">
        <v>30014</v>
      </c>
      <c r="B6282" s="20">
        <v>65</v>
      </c>
      <c r="C6282" s="20">
        <v>72</v>
      </c>
      <c r="D6282" s="20">
        <v>97</v>
      </c>
      <c r="E6282" s="20">
        <v>66</v>
      </c>
      <c r="F6282" s="20" t="s">
        <v>30015</v>
      </c>
      <c r="G6282" s="20" t="s">
        <v>30016</v>
      </c>
      <c r="H6282" s="24"/>
      <c r="I6282" s="24" t="str">
        <f ca="1">IFERROR(__xludf.DUMMYFUNCTION("GOOGLETRANSLATE(F6282,""en"",""pt"")"),"interruptores de cablagem pré-fabricadas")</f>
        <v>interruptores de cablagem pré-fabricadas</v>
      </c>
      <c r="J6282">
        <f>VLOOKUP(A6282,Pr_Base_LNEC!$A$4:$J$6971,6,FALSE)</f>
        <v>0</v>
      </c>
      <c r="K6282">
        <f>VLOOKUP(A6282,Pr_Base_LNEC!$A$4:$J$6971,7,FALSE)</f>
        <v>0</v>
      </c>
    </row>
    <row r="6283" spans="1:11" ht="14.5">
      <c r="A6283" s="20" t="s">
        <v>30017</v>
      </c>
      <c r="B6283" s="20">
        <v>65</v>
      </c>
      <c r="C6283" s="20">
        <v>72</v>
      </c>
      <c r="D6283" s="20">
        <v>97</v>
      </c>
      <c r="E6283" s="20">
        <v>72</v>
      </c>
      <c r="F6283" s="20" t="s">
        <v>30018</v>
      </c>
      <c r="G6283" s="20" t="s">
        <v>30019</v>
      </c>
      <c r="H6283" s="24"/>
      <c r="I6283" s="24" t="str">
        <f ca="1">IFERROR(__xludf.DUMMYFUNCTION("GOOGLETRANSLATE(F6283,""en"",""pt"")"),"Tomadas pino redondo")</f>
        <v>Tomadas pino redondo</v>
      </c>
      <c r="J6283">
        <f>VLOOKUP(A6283,Pr_Base_LNEC!$A$4:$J$6971,6,FALSE)</f>
        <v>0</v>
      </c>
      <c r="K6283">
        <f>VLOOKUP(A6283,Pr_Base_LNEC!$A$4:$J$6971,7,FALSE)</f>
        <v>0</v>
      </c>
    </row>
    <row r="6284" spans="1:11" ht="14.5">
      <c r="A6284" s="20" t="s">
        <v>30020</v>
      </c>
      <c r="B6284" s="20">
        <v>65</v>
      </c>
      <c r="C6284" s="20">
        <v>72</v>
      </c>
      <c r="D6284" s="20">
        <v>97</v>
      </c>
      <c r="E6284" s="20">
        <v>75</v>
      </c>
      <c r="F6284" s="20" t="s">
        <v>30021</v>
      </c>
      <c r="G6284" s="20" t="s">
        <v>30022</v>
      </c>
      <c r="H6284" s="24"/>
      <c r="I6284" s="24" t="str">
        <f ca="1">IFERROR(__xludf.DUMMYFUNCTION("GOOGLETRANSLATE(F6284,""en"",""pt"")"),"suportes para lâmpadas pingente de segurança")</f>
        <v>suportes para lâmpadas pingente de segurança</v>
      </c>
      <c r="J6284">
        <f>VLOOKUP(A6284,Pr_Base_LNEC!$A$4:$J$6971,6,FALSE)</f>
        <v>0</v>
      </c>
      <c r="K6284">
        <f>VLOOKUP(A6284,Pr_Base_LNEC!$A$4:$J$6971,7,FALSE)</f>
        <v>0</v>
      </c>
    </row>
    <row r="6285" spans="1:11" ht="14.5">
      <c r="A6285" s="20" t="s">
        <v>30023</v>
      </c>
      <c r="B6285" s="20">
        <v>65</v>
      </c>
      <c r="C6285" s="20">
        <v>72</v>
      </c>
      <c r="D6285" s="20">
        <v>97</v>
      </c>
      <c r="E6285" s="20">
        <v>76</v>
      </c>
      <c r="F6285" s="20" t="s">
        <v>30024</v>
      </c>
      <c r="G6285" s="20" t="s">
        <v>30025</v>
      </c>
      <c r="H6285" s="24"/>
      <c r="I6285" s="24" t="str">
        <f ca="1">IFERROR(__xludf.DUMMYFUNCTION("GOOGLETRANSLATE(F6285,""en"",""pt"")"),"conjuntos pingente de segurança")</f>
        <v>conjuntos pingente de segurança</v>
      </c>
      <c r="J6285">
        <f>VLOOKUP(A6285,Pr_Base_LNEC!$A$4:$J$6971,6,FALSE)</f>
        <v>0</v>
      </c>
      <c r="K6285">
        <f>VLOOKUP(A6285,Pr_Base_LNEC!$A$4:$J$6971,7,FALSE)</f>
        <v>0</v>
      </c>
    </row>
    <row r="6286" spans="1:11" ht="14.5">
      <c r="A6286" s="20" t="s">
        <v>30026</v>
      </c>
      <c r="B6286" s="20">
        <v>65</v>
      </c>
      <c r="C6286" s="20">
        <v>72</v>
      </c>
      <c r="D6286" s="20">
        <v>97</v>
      </c>
      <c r="E6286" s="20">
        <v>78</v>
      </c>
      <c r="F6286" s="20" t="s">
        <v>30027</v>
      </c>
      <c r="G6286" s="20" t="s">
        <v>30028</v>
      </c>
      <c r="H6286" s="24"/>
      <c r="I6286" s="24" t="str">
        <f ca="1">IFERROR(__xludf.DUMMYFUNCTION("GOOGLETRANSLATE(F6286,""en"",""pt"")"),"unidades de fornecimento de Shaver")</f>
        <v>unidades de fornecimento de Shaver</v>
      </c>
      <c r="J6286">
        <f>VLOOKUP(A6286,Pr_Base_LNEC!$A$4:$J$6971,6,FALSE)</f>
        <v>0</v>
      </c>
      <c r="K6286">
        <f>VLOOKUP(A6286,Pr_Base_LNEC!$A$4:$J$6971,7,FALSE)</f>
        <v>0</v>
      </c>
    </row>
    <row r="6287" spans="1:11" ht="14.5">
      <c r="A6287" s="20" t="s">
        <v>30029</v>
      </c>
      <c r="B6287" s="20">
        <v>65</v>
      </c>
      <c r="C6287" s="20">
        <v>72</v>
      </c>
      <c r="D6287" s="20">
        <v>97</v>
      </c>
      <c r="E6287" s="20">
        <v>79</v>
      </c>
      <c r="F6287" s="20" t="s">
        <v>30030</v>
      </c>
      <c r="G6287" s="20" t="s">
        <v>30031</v>
      </c>
      <c r="H6287" s="24"/>
      <c r="I6287" s="24" t="str">
        <f ca="1">IFERROR(__xludf.DUMMYFUNCTION("GOOGLETRANSLATE(F6287,""en"",""pt"")"),"tomadas de barbear única tensão")</f>
        <v>tomadas de barbear única tensão</v>
      </c>
      <c r="J6287">
        <f>VLOOKUP(A6287,Pr_Base_LNEC!$A$4:$J$6971,6,FALSE)</f>
        <v>0</v>
      </c>
      <c r="K6287">
        <f>VLOOKUP(A6287,Pr_Base_LNEC!$A$4:$J$6971,7,FALSE)</f>
        <v>0</v>
      </c>
    </row>
    <row r="6288" spans="1:11" ht="14.5">
      <c r="A6288" s="20" t="s">
        <v>30032</v>
      </c>
      <c r="B6288" s="20">
        <v>65</v>
      </c>
      <c r="C6288" s="20">
        <v>72</v>
      </c>
      <c r="D6288" s="20">
        <v>97</v>
      </c>
      <c r="E6288" s="20">
        <v>81</v>
      </c>
      <c r="F6288" s="20" t="s">
        <v>30033</v>
      </c>
      <c r="G6288" s="20" t="s">
        <v>30034</v>
      </c>
      <c r="H6288" s="24"/>
      <c r="I6288" s="24" t="str">
        <f ca="1">IFERROR(__xludf.DUMMYFUNCTION("GOOGLETRANSLATE(F6288,""en"",""pt"")"),"tomada dispositivos de corrente residual (SRCD)")</f>
        <v>tomada dispositivos de corrente residual (SRCD)</v>
      </c>
      <c r="J6288" t="e">
        <f>VLOOKUP(A6288,Pr_Base_LNEC!$A$4:$J$6971,6,FALSE)</f>
        <v>#N/A</v>
      </c>
      <c r="K6288" t="e">
        <f>VLOOKUP(A6288,Pr_Base_LNEC!$A$4:$J$6971,7,FALSE)</f>
        <v>#N/A</v>
      </c>
    </row>
    <row r="6289" spans="1:11" ht="14.5">
      <c r="A6289" s="20" t="s">
        <v>30035</v>
      </c>
      <c r="B6289" s="20">
        <v>65</v>
      </c>
      <c r="C6289" s="20">
        <v>72</v>
      </c>
      <c r="D6289" s="20">
        <v>97</v>
      </c>
      <c r="E6289" s="20">
        <v>82</v>
      </c>
      <c r="F6289" s="20" t="s">
        <v>30036</v>
      </c>
      <c r="G6289" s="20" t="s">
        <v>30037</v>
      </c>
      <c r="H6289" s="24"/>
      <c r="I6289" s="24" t="str">
        <f ca="1">IFERROR(__xludf.DUMMYFUNCTION("GOOGLETRANSLATE(F6289,""en"",""pt"")"),"Tomadas especialista")</f>
        <v>Tomadas especialista</v>
      </c>
      <c r="J6289">
        <f>VLOOKUP(A6289,Pr_Base_LNEC!$A$4:$J$6971,6,FALSE)</f>
        <v>0</v>
      </c>
      <c r="K6289">
        <f>VLOOKUP(A6289,Pr_Base_LNEC!$A$4:$J$6971,7,FALSE)</f>
        <v>0</v>
      </c>
    </row>
    <row r="6290" spans="1:11" ht="14.5">
      <c r="A6290" s="20" t="s">
        <v>30038</v>
      </c>
      <c r="B6290" s="20">
        <v>65</v>
      </c>
      <c r="C6290" s="20">
        <v>72</v>
      </c>
      <c r="D6290" s="20">
        <v>97</v>
      </c>
      <c r="E6290" s="20">
        <v>83</v>
      </c>
      <c r="F6290" s="20" t="s">
        <v>30039</v>
      </c>
      <c r="G6290" s="20" t="s">
        <v>30040</v>
      </c>
      <c r="H6290" s="24"/>
      <c r="I6290" s="24" t="str">
        <f ca="1">IFERROR(__xludf.DUMMYFUNCTION("GOOGLETRANSLATE(F6290,""en"",""pt"")"),"Superfície e recintos de fiação escondidas")</f>
        <v>Superfície e recintos de fiação escondidas</v>
      </c>
      <c r="J6290">
        <f>VLOOKUP(A6290,Pr_Base_LNEC!$A$4:$J$6971,6,FALSE)</f>
        <v>0</v>
      </c>
      <c r="K6290">
        <f>VLOOKUP(A6290,Pr_Base_LNEC!$A$4:$J$6971,7,FALSE)</f>
        <v>0</v>
      </c>
    </row>
    <row r="6291" spans="1:11" ht="14.5">
      <c r="A6291" s="20" t="s">
        <v>30041</v>
      </c>
      <c r="B6291" s="20">
        <v>65</v>
      </c>
      <c r="C6291" s="20">
        <v>72</v>
      </c>
      <c r="D6291" s="20">
        <v>97</v>
      </c>
      <c r="E6291" s="20">
        <v>84</v>
      </c>
      <c r="F6291" s="20" t="s">
        <v>30042</v>
      </c>
      <c r="G6291" s="20" t="s">
        <v>30043</v>
      </c>
      <c r="H6291" s="24"/>
      <c r="I6291" s="24" t="str">
        <f ca="1">IFERROR(__xludf.DUMMYFUNCTION("GOOGLETRANSLATE(F6291,""en"",""pt"")"),"Tomadas padrão")</f>
        <v>Tomadas padrão</v>
      </c>
      <c r="J6291">
        <f>VLOOKUP(A6291,Pr_Base_LNEC!$A$4:$J$6971,6,FALSE)</f>
        <v>0</v>
      </c>
      <c r="K6291">
        <f>VLOOKUP(A6291,Pr_Base_LNEC!$A$4:$J$6971,7,FALSE)</f>
        <v>0</v>
      </c>
    </row>
    <row r="6292" spans="1:11" ht="14.5">
      <c r="A6292" s="20" t="s">
        <v>30044</v>
      </c>
      <c r="B6292" s="20">
        <v>65</v>
      </c>
      <c r="C6292" s="20">
        <v>72</v>
      </c>
      <c r="D6292" s="20">
        <v>97</v>
      </c>
      <c r="E6292" s="20">
        <v>85</v>
      </c>
      <c r="F6292" s="20" t="s">
        <v>30045</v>
      </c>
      <c r="G6292" s="24"/>
      <c r="H6292" s="24"/>
      <c r="I6292" s="24" t="str">
        <f ca="1">IFERROR(__xludf.DUMMYFUNCTION("GOOGLETRANSLATE(F6292,""en"",""pt"")"),"tampas terminais Stud")</f>
        <v>tampas terminais Stud</v>
      </c>
      <c r="J6292" t="e">
        <f>VLOOKUP(A6292,Pr_Base_LNEC!$A$4:$J$6971,6,FALSE)</f>
        <v>#N/A</v>
      </c>
      <c r="K6292" t="e">
        <f>VLOOKUP(A6292,Pr_Base_LNEC!$A$4:$J$6971,7,FALSE)</f>
        <v>#N/A</v>
      </c>
    </row>
    <row r="6293" spans="1:11" ht="14.5">
      <c r="A6293" s="20" t="s">
        <v>30046</v>
      </c>
      <c r="B6293" s="20">
        <v>65</v>
      </c>
      <c r="C6293" s="20">
        <v>72</v>
      </c>
      <c r="D6293" s="20">
        <v>97</v>
      </c>
      <c r="E6293" s="20">
        <v>86</v>
      </c>
      <c r="F6293" s="20" t="s">
        <v>30047</v>
      </c>
      <c r="G6293" s="24"/>
      <c r="H6293" s="24"/>
      <c r="I6293" s="24" t="str">
        <f ca="1">IFERROR(__xludf.DUMMYFUNCTION("GOOGLETRANSLATE(F6293,""en"",""pt"")"),"terminais Stud")</f>
        <v>terminais Stud</v>
      </c>
      <c r="J6293" t="e">
        <f>VLOOKUP(A6293,Pr_Base_LNEC!$A$4:$J$6971,6,FALSE)</f>
        <v>#N/A</v>
      </c>
      <c r="K6293" t="e">
        <f>VLOOKUP(A6293,Pr_Base_LNEC!$A$4:$J$6971,7,FALSE)</f>
        <v>#N/A</v>
      </c>
    </row>
    <row r="6294" spans="1:11" ht="14.5">
      <c r="A6294" s="20" t="s">
        <v>30048</v>
      </c>
      <c r="B6294" s="20">
        <v>65</v>
      </c>
      <c r="C6294" s="20">
        <v>80</v>
      </c>
      <c r="D6294" s="24"/>
      <c r="E6294" s="24"/>
      <c r="F6294" s="20" t="s">
        <v>30049</v>
      </c>
      <c r="G6294" s="24"/>
      <c r="H6294" s="24"/>
      <c r="I6294" s="24" t="str">
        <f ca="1">IFERROR(__xludf.DUMMYFUNCTION("GOOGLETRANSLATE(F6294,""en"",""pt"")"),"produtos de distribuição de transporte")</f>
        <v>produtos de distribuição de transporte</v>
      </c>
      <c r="J6294" t="str">
        <f>VLOOKUP(A6294,Pr_Base_LNEC!$A$4:$J$6971,6,FALSE)</f>
        <v>Produtos para Distribuição de Transportes</v>
      </c>
      <c r="K6294">
        <f>VLOOKUP(A6294,Pr_Base_LNEC!$A$4:$J$6971,7,FALSE)</f>
        <v>0</v>
      </c>
    </row>
    <row r="6295" spans="1:11" ht="14.5">
      <c r="A6295" s="20" t="s">
        <v>30050</v>
      </c>
      <c r="B6295" s="20">
        <v>65</v>
      </c>
      <c r="C6295" s="20">
        <v>80</v>
      </c>
      <c r="D6295" s="20">
        <v>6</v>
      </c>
      <c r="E6295" s="24"/>
      <c r="F6295" s="20" t="s">
        <v>30051</v>
      </c>
      <c r="G6295" s="24"/>
      <c r="H6295" s="24"/>
      <c r="I6295" s="24" t="str">
        <f ca="1">IFERROR(__xludf.DUMMYFUNCTION("GOOGLETRANSLATE(F6295,""en"",""pt"")"),"transportadores de transporte de bagagens")</f>
        <v>transportadores de transporte de bagagens</v>
      </c>
      <c r="J6295">
        <f>VLOOKUP(A6295,Pr_Base_LNEC!$A$4:$J$6971,6,FALSE)</f>
        <v>0</v>
      </c>
      <c r="K6295">
        <f>VLOOKUP(A6295,Pr_Base_LNEC!$A$4:$J$6971,7,FALSE)</f>
        <v>0</v>
      </c>
    </row>
    <row r="6296" spans="1:11" ht="14.5">
      <c r="A6296" s="20" t="s">
        <v>30052</v>
      </c>
      <c r="B6296" s="20">
        <v>65</v>
      </c>
      <c r="C6296" s="20">
        <v>80</v>
      </c>
      <c r="D6296" s="20">
        <v>15</v>
      </c>
      <c r="E6296" s="24"/>
      <c r="F6296" s="20" t="s">
        <v>30053</v>
      </c>
      <c r="G6296" s="24"/>
      <c r="H6296" s="24"/>
      <c r="I6296" s="24" t="str">
        <f ca="1">IFERROR(__xludf.DUMMYFUNCTION("GOOGLETRANSLATE(F6296,""en"",""pt"")"),"Guindastes e produtos de elevação")</f>
        <v>Guindastes e produtos de elevação</v>
      </c>
      <c r="J6296">
        <f>VLOOKUP(A6296,Pr_Base_LNEC!$A$4:$J$6971,6,FALSE)</f>
        <v>0</v>
      </c>
      <c r="K6296">
        <f>VLOOKUP(A6296,Pr_Base_LNEC!$A$4:$J$6971,7,FALSE)</f>
        <v>0</v>
      </c>
    </row>
    <row r="6297" spans="1:11" ht="14.5">
      <c r="A6297" s="20" t="s">
        <v>30054</v>
      </c>
      <c r="B6297" s="20">
        <v>65</v>
      </c>
      <c r="C6297" s="20">
        <v>80</v>
      </c>
      <c r="D6297" s="20">
        <v>15</v>
      </c>
      <c r="E6297" s="20">
        <v>9</v>
      </c>
      <c r="F6297" s="20" t="s">
        <v>30055</v>
      </c>
      <c r="G6297" s="24"/>
      <c r="H6297" s="24"/>
      <c r="I6297" s="24" t="str">
        <f ca="1">IFERROR(__xludf.DUMMYFUNCTION("GOOGLETRANSLATE(F6297,""en"",""pt"")"),"canais de encaixe do cabo")</f>
        <v>canais de encaixe do cabo</v>
      </c>
      <c r="J6297" t="e">
        <f>VLOOKUP(A6297,Pr_Base_LNEC!$A$4:$J$6971,6,FALSE)</f>
        <v>#N/A</v>
      </c>
      <c r="K6297" t="e">
        <f>VLOOKUP(A6297,Pr_Base_LNEC!$A$4:$J$6971,7,FALSE)</f>
        <v>#N/A</v>
      </c>
    </row>
    <row r="6298" spans="1:11" ht="14.5">
      <c r="A6298" s="20" t="s">
        <v>30056</v>
      </c>
      <c r="B6298" s="20">
        <v>65</v>
      </c>
      <c r="C6298" s="20">
        <v>80</v>
      </c>
      <c r="D6298" s="20">
        <v>15</v>
      </c>
      <c r="E6298" s="20">
        <v>11</v>
      </c>
      <c r="F6298" s="20" t="s">
        <v>30057</v>
      </c>
      <c r="G6298" s="24"/>
      <c r="H6298" s="24"/>
      <c r="I6298" s="24" t="str">
        <f ca="1">IFERROR(__xludf.DUMMYFUNCTION("GOOGLETRANSLATE(F6298,""en"",""pt"")"),"tampas dos slots cabo")</f>
        <v>tampas dos slots cabo</v>
      </c>
      <c r="J6298" t="e">
        <f>VLOOKUP(A6298,Pr_Base_LNEC!$A$4:$J$6971,6,FALSE)</f>
        <v>#N/A</v>
      </c>
      <c r="K6298" t="e">
        <f>VLOOKUP(A6298,Pr_Base_LNEC!$A$4:$J$6971,7,FALSE)</f>
        <v>#N/A</v>
      </c>
    </row>
    <row r="6299" spans="1:11" ht="14.5">
      <c r="A6299" s="20" t="s">
        <v>30058</v>
      </c>
      <c r="B6299" s="20">
        <v>65</v>
      </c>
      <c r="C6299" s="20">
        <v>80</v>
      </c>
      <c r="D6299" s="20">
        <v>15</v>
      </c>
      <c r="E6299" s="20">
        <v>13</v>
      </c>
      <c r="F6299" s="20" t="s">
        <v>30059</v>
      </c>
      <c r="G6299" s="24"/>
      <c r="H6299" s="24"/>
      <c r="I6299" s="24" t="str">
        <f ca="1">IFERROR(__xludf.DUMMYFUNCTION("GOOGLETRANSLATE(F6299,""en"",""pt"")"),"poços volume de negócios de cabo")</f>
        <v>poços volume de negócios de cabo</v>
      </c>
      <c r="J6299" t="e">
        <f>VLOOKUP(A6299,Pr_Base_LNEC!$A$4:$J$6971,6,FALSE)</f>
        <v>#N/A</v>
      </c>
      <c r="K6299" t="e">
        <f>VLOOKUP(A6299,Pr_Base_LNEC!$A$4:$J$6971,7,FALSE)</f>
        <v>#N/A</v>
      </c>
    </row>
    <row r="6300" spans="1:11" ht="14.5">
      <c r="A6300" s="20" t="s">
        <v>30060</v>
      </c>
      <c r="B6300" s="20">
        <v>65</v>
      </c>
      <c r="C6300" s="20">
        <v>80</v>
      </c>
      <c r="D6300" s="20">
        <v>15</v>
      </c>
      <c r="E6300" s="20">
        <v>16</v>
      </c>
      <c r="F6300" s="20" t="s">
        <v>30061</v>
      </c>
      <c r="G6300" s="24"/>
      <c r="H6300" s="24"/>
      <c r="I6300" s="24" t="str">
        <f ca="1">IFERROR(__xludf.DUMMYFUNCTION("GOOGLETRANSLATE(F6300,""en"",""pt"")"),"pára-guindaste")</f>
        <v>pára-guindaste</v>
      </c>
      <c r="J6300" t="e">
        <f>VLOOKUP(A6300,Pr_Base_LNEC!$A$4:$J$6971,6,FALSE)</f>
        <v>#N/A</v>
      </c>
      <c r="K6300" t="e">
        <f>VLOOKUP(A6300,Pr_Base_LNEC!$A$4:$J$6971,7,FALSE)</f>
        <v>#N/A</v>
      </c>
    </row>
    <row r="6301" spans="1:11" ht="14.5">
      <c r="A6301" s="20" t="s">
        <v>30062</v>
      </c>
      <c r="B6301" s="20">
        <v>65</v>
      </c>
      <c r="C6301" s="20">
        <v>80</v>
      </c>
      <c r="D6301" s="20">
        <v>15</v>
      </c>
      <c r="E6301" s="20">
        <v>18</v>
      </c>
      <c r="F6301" s="20" t="s">
        <v>30063</v>
      </c>
      <c r="G6301" s="24"/>
      <c r="H6301" s="24"/>
      <c r="I6301" s="24" t="str">
        <f ca="1">IFERROR(__xludf.DUMMYFUNCTION("GOOGLETRANSLATE(F6301,""en"",""pt"")"),"Guindaste de estivar terminais de pinos")</f>
        <v>Guindaste de estivar terminais de pinos</v>
      </c>
      <c r="J6301" t="e">
        <f>VLOOKUP(A6301,Pr_Base_LNEC!$A$4:$J$6971,6,FALSE)</f>
        <v>#N/A</v>
      </c>
      <c r="K6301" t="e">
        <f>VLOOKUP(A6301,Pr_Base_LNEC!$A$4:$J$6971,7,FALSE)</f>
        <v>#N/A</v>
      </c>
    </row>
    <row r="6302" spans="1:11" ht="14.5">
      <c r="A6302" s="20" t="s">
        <v>30064</v>
      </c>
      <c r="B6302" s="20">
        <v>65</v>
      </c>
      <c r="C6302" s="20">
        <v>80</v>
      </c>
      <c r="D6302" s="20">
        <v>15</v>
      </c>
      <c r="E6302" s="20">
        <v>22</v>
      </c>
      <c r="F6302" s="20" t="s">
        <v>30065</v>
      </c>
      <c r="G6302" s="24"/>
      <c r="H6302" s="24"/>
      <c r="I6302" s="24" t="str">
        <f ca="1">IFERROR(__xludf.DUMMYFUNCTION("GOOGLETRANSLATE(F6302,""en"",""pt"")"),"ganchos destacáveis")</f>
        <v>ganchos destacáveis</v>
      </c>
      <c r="J6302">
        <f>VLOOKUP(A6302,Pr_Base_LNEC!$A$4:$J$6971,6,FALSE)</f>
        <v>0</v>
      </c>
      <c r="K6302">
        <f>VLOOKUP(A6302,Pr_Base_LNEC!$A$4:$J$6971,7,FALSE)</f>
        <v>0</v>
      </c>
    </row>
    <row r="6303" spans="1:11" ht="14.5">
      <c r="A6303" s="20" t="s">
        <v>30066</v>
      </c>
      <c r="B6303" s="20">
        <v>65</v>
      </c>
      <c r="C6303" s="20">
        <v>80</v>
      </c>
      <c r="D6303" s="20">
        <v>15</v>
      </c>
      <c r="E6303" s="20">
        <v>47</v>
      </c>
      <c r="F6303" s="20" t="s">
        <v>30067</v>
      </c>
      <c r="G6303" s="24"/>
      <c r="H6303" s="24"/>
      <c r="I6303" s="24" t="str">
        <f ca="1">IFERROR(__xludf.DUMMYFUNCTION("GOOGLETRANSLATE(F6303,""en"",""pt"")"),"anéis de elevação")</f>
        <v>anéis de elevação</v>
      </c>
      <c r="J6303">
        <f>VLOOKUP(A6303,Pr_Base_LNEC!$A$4:$J$6971,6,FALSE)</f>
        <v>0</v>
      </c>
      <c r="K6303">
        <f>VLOOKUP(A6303,Pr_Base_LNEC!$A$4:$J$6971,7,FALSE)</f>
        <v>0</v>
      </c>
    </row>
    <row r="6304" spans="1:11" ht="14.5">
      <c r="A6304" s="20" t="s">
        <v>30068</v>
      </c>
      <c r="B6304" s="20">
        <v>65</v>
      </c>
      <c r="C6304" s="20">
        <v>80</v>
      </c>
      <c r="D6304" s="20">
        <v>15</v>
      </c>
      <c r="E6304" s="20">
        <v>48</v>
      </c>
      <c r="F6304" s="20" t="s">
        <v>30069</v>
      </c>
      <c r="G6304" s="24"/>
      <c r="H6304" s="24"/>
      <c r="I6304" s="24" t="str">
        <f ca="1">IFERROR(__xludf.DUMMYFUNCTION("GOOGLETRANSLATE(F6304,""en"",""pt"")"),"munhões de elevação")</f>
        <v>munhões de elevação</v>
      </c>
      <c r="J6304">
        <f>VLOOKUP(A6304,Pr_Base_LNEC!$A$4:$J$6971,6,FALSE)</f>
        <v>0</v>
      </c>
      <c r="K6304">
        <f>VLOOKUP(A6304,Pr_Base_LNEC!$A$4:$J$6971,7,FALSE)</f>
        <v>0</v>
      </c>
    </row>
    <row r="6305" spans="1:11" ht="14.5">
      <c r="A6305" s="20" t="s">
        <v>30070</v>
      </c>
      <c r="B6305" s="20">
        <v>65</v>
      </c>
      <c r="C6305" s="20">
        <v>80</v>
      </c>
      <c r="D6305" s="20">
        <v>15</v>
      </c>
      <c r="E6305" s="20">
        <v>59</v>
      </c>
      <c r="F6305" s="20" t="s">
        <v>30071</v>
      </c>
      <c r="G6305" s="20" t="s">
        <v>30072</v>
      </c>
      <c r="H6305" s="24"/>
      <c r="I6305" s="24" t="str">
        <f ca="1">IFERROR(__xludf.DUMMYFUNCTION("GOOGLETRANSLATE(F6305,""en"",""pt"")"),"guindastes rolantes")</f>
        <v>guindastes rolantes</v>
      </c>
      <c r="J6305">
        <f>VLOOKUP(A6305,Pr_Base_LNEC!$A$4:$J$6971,6,FALSE)</f>
        <v>0</v>
      </c>
      <c r="K6305">
        <f>VLOOKUP(A6305,Pr_Base_LNEC!$A$4:$J$6971,7,FALSE)</f>
        <v>0</v>
      </c>
    </row>
    <row r="6306" spans="1:11" ht="14.5">
      <c r="A6306" s="20" t="s">
        <v>30073</v>
      </c>
      <c r="B6306" s="20">
        <v>65</v>
      </c>
      <c r="C6306" s="20">
        <v>80</v>
      </c>
      <c r="D6306" s="20">
        <v>15</v>
      </c>
      <c r="E6306" s="20">
        <v>71</v>
      </c>
      <c r="F6306" s="20" t="s">
        <v>30074</v>
      </c>
      <c r="G6306" s="24"/>
      <c r="H6306" s="24"/>
      <c r="I6306" s="24" t="str">
        <f ca="1">IFERROR(__xludf.DUMMYFUNCTION("GOOGLETRANSLATE(F6306,""en"",""pt"")"),"carrinhos de telhado")</f>
        <v>carrinhos de telhado</v>
      </c>
      <c r="J6306">
        <f>VLOOKUP(A6306,Pr_Base_LNEC!$A$4:$J$6971,6,FALSE)</f>
        <v>0</v>
      </c>
      <c r="K6306">
        <f>VLOOKUP(A6306,Pr_Base_LNEC!$A$4:$J$6971,7,FALSE)</f>
        <v>0</v>
      </c>
    </row>
    <row r="6307" spans="1:11" ht="14.5">
      <c r="A6307" s="20" t="s">
        <v>30075</v>
      </c>
      <c r="B6307" s="20">
        <v>65</v>
      </c>
      <c r="C6307" s="20">
        <v>80</v>
      </c>
      <c r="D6307" s="20">
        <v>15</v>
      </c>
      <c r="E6307" s="20">
        <v>73</v>
      </c>
      <c r="F6307" s="20" t="s">
        <v>30076</v>
      </c>
      <c r="G6307" s="24"/>
      <c r="H6307" s="24"/>
      <c r="I6307" s="24" t="str">
        <f ca="1">IFERROR(__xludf.DUMMYFUNCTION("GOOGLETRANSLATE(F6307,""en"",""pt"")"),"faixas de pista")</f>
        <v>faixas de pista</v>
      </c>
      <c r="J6307">
        <f>VLOOKUP(A6307,Pr_Base_LNEC!$A$4:$J$6971,6,FALSE)</f>
        <v>0</v>
      </c>
      <c r="K6307">
        <f>VLOOKUP(A6307,Pr_Base_LNEC!$A$4:$J$6971,7,FALSE)</f>
        <v>0</v>
      </c>
    </row>
    <row r="6308" spans="1:11" ht="14.5">
      <c r="A6308" s="20" t="s">
        <v>30077</v>
      </c>
      <c r="B6308" s="20">
        <v>65</v>
      </c>
      <c r="C6308" s="20">
        <v>80</v>
      </c>
      <c r="D6308" s="20">
        <v>15</v>
      </c>
      <c r="E6308" s="20">
        <v>74</v>
      </c>
      <c r="F6308" s="20" t="s">
        <v>30078</v>
      </c>
      <c r="G6308" s="24"/>
      <c r="H6308" s="24"/>
      <c r="I6308" s="24" t="str">
        <f ca="1">IFERROR(__xludf.DUMMYFUNCTION("GOOGLETRANSLATE(F6308,""en"",""pt"")"),"carrinhos de pista")</f>
        <v>carrinhos de pista</v>
      </c>
      <c r="J6308">
        <f>VLOOKUP(A6308,Pr_Base_LNEC!$A$4:$J$6971,6,FALSE)</f>
        <v>0</v>
      </c>
      <c r="K6308">
        <f>VLOOKUP(A6308,Pr_Base_LNEC!$A$4:$J$6971,7,FALSE)</f>
        <v>0</v>
      </c>
    </row>
    <row r="6309" spans="1:11" ht="14.5">
      <c r="A6309" s="20" t="s">
        <v>30079</v>
      </c>
      <c r="B6309" s="20">
        <v>65</v>
      </c>
      <c r="C6309" s="20">
        <v>80</v>
      </c>
      <c r="D6309" s="20">
        <v>15</v>
      </c>
      <c r="E6309" s="20">
        <v>88</v>
      </c>
      <c r="F6309" s="20" t="s">
        <v>30080</v>
      </c>
      <c r="G6309" s="24"/>
      <c r="H6309" s="24"/>
      <c r="I6309" s="24" t="str">
        <f ca="1">IFERROR(__xludf.DUMMYFUNCTION("GOOGLETRANSLATE(F6309,""en"",""pt"")"),"Amarrar ranhuras")</f>
        <v>Amarrar ranhuras</v>
      </c>
      <c r="J6309" t="e">
        <f>VLOOKUP(A6309,Pr_Base_LNEC!$A$4:$J$6971,6,FALSE)</f>
        <v>#N/A</v>
      </c>
      <c r="K6309" t="e">
        <f>VLOOKUP(A6309,Pr_Base_LNEC!$A$4:$J$6971,7,FALSE)</f>
        <v>#N/A</v>
      </c>
    </row>
    <row r="6310" spans="1:11" ht="14.5">
      <c r="A6310" s="20" t="s">
        <v>30081</v>
      </c>
      <c r="B6310" s="20">
        <v>65</v>
      </c>
      <c r="C6310" s="20">
        <v>80</v>
      </c>
      <c r="D6310" s="20">
        <v>23</v>
      </c>
      <c r="E6310" s="24"/>
      <c r="F6310" s="20" t="s">
        <v>30082</v>
      </c>
      <c r="G6310" s="24"/>
      <c r="H6310" s="24"/>
      <c r="I6310" s="24" t="str">
        <f ca="1">IFERROR(__xludf.DUMMYFUNCTION("GOOGLETRANSLATE(F6310,""en"",""pt"")"),"niveladores de cais")</f>
        <v>niveladores de cais</v>
      </c>
      <c r="J6310">
        <f>VLOOKUP(A6310,Pr_Base_LNEC!$A$4:$J$6971,6,FALSE)</f>
        <v>0</v>
      </c>
      <c r="K6310">
        <f>VLOOKUP(A6310,Pr_Base_LNEC!$A$4:$J$6971,7,FALSE)</f>
        <v>0</v>
      </c>
    </row>
    <row r="6311" spans="1:11" ht="14.5">
      <c r="A6311" s="20" t="s">
        <v>30083</v>
      </c>
      <c r="B6311" s="20">
        <v>65</v>
      </c>
      <c r="C6311" s="20">
        <v>80</v>
      </c>
      <c r="D6311" s="20">
        <v>23</v>
      </c>
      <c r="E6311" s="20">
        <v>6</v>
      </c>
      <c r="F6311" s="20" t="s">
        <v>30084</v>
      </c>
      <c r="G6311" s="20" t="s">
        <v>30085</v>
      </c>
      <c r="H6311" s="24"/>
      <c r="I6311" s="24" t="str">
        <f ca="1">IFERROR(__xludf.DUMMYFUNCTION("GOOGLETRANSLATE(F6311,""en"",""pt"")"),"pontes doca bascule")</f>
        <v>pontes doca bascule</v>
      </c>
      <c r="J6311">
        <f>VLOOKUP(A6311,Pr_Base_LNEC!$A$4:$J$6971,6,FALSE)</f>
        <v>0</v>
      </c>
      <c r="K6311">
        <f>VLOOKUP(A6311,Pr_Base_LNEC!$A$4:$J$6971,7,FALSE)</f>
        <v>0</v>
      </c>
    </row>
    <row r="6312" spans="1:11" ht="14.5">
      <c r="A6312" s="20" t="s">
        <v>30086</v>
      </c>
      <c r="B6312" s="20">
        <v>65</v>
      </c>
      <c r="C6312" s="20">
        <v>80</v>
      </c>
      <c r="D6312" s="20">
        <v>23</v>
      </c>
      <c r="E6312" s="20">
        <v>38</v>
      </c>
      <c r="F6312" s="20" t="s">
        <v>30087</v>
      </c>
      <c r="G6312" s="20" t="s">
        <v>30085</v>
      </c>
      <c r="H6312" s="24"/>
      <c r="I6312" s="24" t="str">
        <f ca="1">IFERROR(__xludf.DUMMYFUNCTION("GOOGLETRANSLATE(F6312,""en"",""pt"")"),"niveladores de cais hidráulico com dobradiças lábio")</f>
        <v>niveladores de cais hidráulico com dobradiças lábio</v>
      </c>
      <c r="J6312">
        <f>VLOOKUP(A6312,Pr_Base_LNEC!$A$4:$J$6971,6,FALSE)</f>
        <v>0</v>
      </c>
      <c r="K6312">
        <f>VLOOKUP(A6312,Pr_Base_LNEC!$A$4:$J$6971,7,FALSE)</f>
        <v>0</v>
      </c>
    </row>
    <row r="6313" spans="1:11" ht="14.5">
      <c r="A6313" s="20" t="s">
        <v>30088</v>
      </c>
      <c r="B6313" s="20">
        <v>65</v>
      </c>
      <c r="C6313" s="20">
        <v>80</v>
      </c>
      <c r="D6313" s="20">
        <v>23</v>
      </c>
      <c r="E6313" s="20">
        <v>39</v>
      </c>
      <c r="F6313" s="20" t="s">
        <v>30089</v>
      </c>
      <c r="G6313" s="20" t="s">
        <v>30085</v>
      </c>
      <c r="H6313" s="24"/>
      <c r="I6313" s="24" t="str">
        <f ca="1">IFERROR(__xludf.DUMMYFUNCTION("GOOGLETRANSLATE(F6313,""en"",""pt"")"),"niveladores de cais telescópicos lábio-hidráulicos")</f>
        <v>niveladores de cais telescópicos lábio-hidráulicos</v>
      </c>
      <c r="J6313">
        <f>VLOOKUP(A6313,Pr_Base_LNEC!$A$4:$J$6971,6,FALSE)</f>
        <v>0</v>
      </c>
      <c r="K6313">
        <f>VLOOKUP(A6313,Pr_Base_LNEC!$A$4:$J$6971,7,FALSE)</f>
        <v>0</v>
      </c>
    </row>
    <row r="6314" spans="1:11" ht="14.5">
      <c r="A6314" s="20" t="s">
        <v>30090</v>
      </c>
      <c r="B6314" s="20">
        <v>65</v>
      </c>
      <c r="C6314" s="20">
        <v>80</v>
      </c>
      <c r="D6314" s="20">
        <v>23</v>
      </c>
      <c r="E6314" s="20">
        <v>51</v>
      </c>
      <c r="F6314" s="20" t="s">
        <v>30091</v>
      </c>
      <c r="G6314" s="20" t="s">
        <v>30085</v>
      </c>
      <c r="H6314" s="24"/>
      <c r="I6314" s="24" t="str">
        <f ca="1">IFERROR(__xludf.DUMMYFUNCTION("GOOGLETRANSLATE(F6314,""en"",""pt"")"),"niveladores de cais mecânicos")</f>
        <v>niveladores de cais mecânicos</v>
      </c>
      <c r="J6314">
        <f>VLOOKUP(A6314,Pr_Base_LNEC!$A$4:$J$6971,6,FALSE)</f>
        <v>0</v>
      </c>
      <c r="K6314">
        <f>VLOOKUP(A6314,Pr_Base_LNEC!$A$4:$J$6971,7,FALSE)</f>
        <v>0</v>
      </c>
    </row>
    <row r="6315" spans="1:11" ht="14.5">
      <c r="A6315" s="20" t="s">
        <v>30092</v>
      </c>
      <c r="B6315" s="20">
        <v>65</v>
      </c>
      <c r="C6315" s="20">
        <v>80</v>
      </c>
      <c r="D6315" s="20">
        <v>28</v>
      </c>
      <c r="E6315" s="24"/>
      <c r="F6315" s="20" t="s">
        <v>30093</v>
      </c>
      <c r="G6315" s="24"/>
      <c r="H6315" s="24"/>
      <c r="I6315" s="24" t="str">
        <f ca="1">IFERROR(__xludf.DUMMYFUNCTION("GOOGLETRANSLATE(F6315,""en"",""pt"")"),"Escada rolante e movimentação de produtos a pé")</f>
        <v>Escada rolante e movimentação de produtos a pé</v>
      </c>
      <c r="J6315">
        <f>VLOOKUP(A6315,Pr_Base_LNEC!$A$4:$J$6971,6,FALSE)</f>
        <v>0</v>
      </c>
      <c r="K6315">
        <f>VLOOKUP(A6315,Pr_Base_LNEC!$A$4:$J$6971,7,FALSE)</f>
        <v>0</v>
      </c>
    </row>
    <row r="6316" spans="1:11" ht="14.5">
      <c r="A6316" s="20" t="s">
        <v>30094</v>
      </c>
      <c r="B6316" s="20">
        <v>65</v>
      </c>
      <c r="C6316" s="20">
        <v>80</v>
      </c>
      <c r="D6316" s="20">
        <v>28</v>
      </c>
      <c r="E6316" s="20">
        <v>4</v>
      </c>
      <c r="F6316" s="20" t="s">
        <v>30095</v>
      </c>
      <c r="G6316" s="24"/>
      <c r="H6316" s="24"/>
      <c r="I6316" s="24" t="str">
        <f ca="1">IFERROR(__xludf.DUMMYFUNCTION("GOOGLETRANSLATE(F6316,""en"",""pt"")"),"Escada rolante e movimento freios auxiliares pé")</f>
        <v>Escada rolante e movimento freios auxiliares pé</v>
      </c>
      <c r="J6316" t="e">
        <f>VLOOKUP(A6316,Pr_Base_LNEC!$A$4:$J$6971,6,FALSE)</f>
        <v>#N/A</v>
      </c>
      <c r="K6316" t="e">
        <f>VLOOKUP(A6316,Pr_Base_LNEC!$A$4:$J$6971,7,FALSE)</f>
        <v>#N/A</v>
      </c>
    </row>
    <row r="6317" spans="1:11" ht="14.5">
      <c r="A6317" s="20" t="s">
        <v>30096</v>
      </c>
      <c r="B6317" s="20">
        <v>65</v>
      </c>
      <c r="C6317" s="20">
        <v>80</v>
      </c>
      <c r="D6317" s="20">
        <v>28</v>
      </c>
      <c r="E6317" s="20">
        <v>6</v>
      </c>
      <c r="F6317" s="20" t="s">
        <v>30097</v>
      </c>
      <c r="G6317" s="24"/>
      <c r="H6317" s="24"/>
      <c r="I6317" s="24" t="str">
        <f ca="1">IFERROR(__xludf.DUMMYFUNCTION("GOOGLETRANSLATE(F6317,""en"",""pt"")"),"Escada rolante e movimento balaustradas pé")</f>
        <v>Escada rolante e movimento balaustradas pé</v>
      </c>
      <c r="J6317" t="e">
        <f>VLOOKUP(A6317,Pr_Base_LNEC!$A$4:$J$6971,6,FALSE)</f>
        <v>#N/A</v>
      </c>
      <c r="K6317" t="e">
        <f>VLOOKUP(A6317,Pr_Base_LNEC!$A$4:$J$6971,7,FALSE)</f>
        <v>#N/A</v>
      </c>
    </row>
    <row r="6318" spans="1:11" ht="14.5">
      <c r="A6318" s="20" t="s">
        <v>30098</v>
      </c>
      <c r="B6318" s="20">
        <v>65</v>
      </c>
      <c r="C6318" s="20">
        <v>80</v>
      </c>
      <c r="D6318" s="20">
        <v>28</v>
      </c>
      <c r="E6318" s="20">
        <v>7</v>
      </c>
      <c r="F6318" s="20" t="s">
        <v>30099</v>
      </c>
      <c r="G6318" s="24"/>
      <c r="H6318" s="24"/>
      <c r="I6318" s="24" t="str">
        <f ca="1">IFERROR(__xludf.DUMMYFUNCTION("GOOGLETRANSLATE(F6318,""en"",""pt"")"),"Escada rolante e movimento newels balaustrada pé")</f>
        <v>Escada rolante e movimento newels balaustrada pé</v>
      </c>
      <c r="J6318" t="e">
        <f>VLOOKUP(A6318,Pr_Base_LNEC!$A$4:$J$6971,6,FALSE)</f>
        <v>#N/A</v>
      </c>
      <c r="K6318" t="e">
        <f>VLOOKUP(A6318,Pr_Base_LNEC!$A$4:$J$6971,7,FALSE)</f>
        <v>#N/A</v>
      </c>
    </row>
    <row r="6319" spans="1:11" ht="14.5">
      <c r="A6319" s="20" t="s">
        <v>30100</v>
      </c>
      <c r="B6319" s="20">
        <v>65</v>
      </c>
      <c r="C6319" s="20">
        <v>80</v>
      </c>
      <c r="D6319" s="20">
        <v>28</v>
      </c>
      <c r="E6319" s="20">
        <v>9</v>
      </c>
      <c r="F6319" s="20" t="s">
        <v>30101</v>
      </c>
      <c r="G6319" s="24"/>
      <c r="H6319" s="24"/>
      <c r="I6319" s="24" t="str">
        <f ca="1">IFERROR(__xludf.DUMMYFUNCTION("GOOGLETRANSLATE(F6319,""en"",""pt"")"),"Escada rolante e movimento cintos pé")</f>
        <v>Escada rolante e movimento cintos pé</v>
      </c>
      <c r="J6319" t="e">
        <f>VLOOKUP(A6319,Pr_Base_LNEC!$A$4:$J$6971,6,FALSE)</f>
        <v>#N/A</v>
      </c>
      <c r="K6319" t="e">
        <f>VLOOKUP(A6319,Pr_Base_LNEC!$A$4:$J$6971,7,FALSE)</f>
        <v>#N/A</v>
      </c>
    </row>
    <row r="6320" spans="1:11" ht="14.5">
      <c r="A6320" s="20" t="s">
        <v>30102</v>
      </c>
      <c r="B6320" s="20">
        <v>65</v>
      </c>
      <c r="C6320" s="20">
        <v>80</v>
      </c>
      <c r="D6320" s="20">
        <v>28</v>
      </c>
      <c r="E6320" s="20">
        <v>12</v>
      </c>
      <c r="F6320" s="20" t="s">
        <v>30103</v>
      </c>
      <c r="G6320" s="24"/>
      <c r="H6320" s="24"/>
      <c r="I6320" s="24" t="str">
        <f ca="1">IFERROR(__xludf.DUMMYFUNCTION("GOOGLETRANSLATE(F6320,""en"",""pt"")"),"Escada rolante e movimento revestimento caminhada")</f>
        <v>Escada rolante e movimento revestimento caminhada</v>
      </c>
      <c r="J6320" t="e">
        <f>VLOOKUP(A6320,Pr_Base_LNEC!$A$4:$J$6971,6,FALSE)</f>
        <v>#N/A</v>
      </c>
      <c r="K6320" t="e">
        <f>VLOOKUP(A6320,Pr_Base_LNEC!$A$4:$J$6971,7,FALSE)</f>
        <v>#N/A</v>
      </c>
    </row>
    <row r="6321" spans="1:11" ht="14.5">
      <c r="A6321" s="20" t="s">
        <v>30104</v>
      </c>
      <c r="B6321" s="20">
        <v>65</v>
      </c>
      <c r="C6321" s="20">
        <v>80</v>
      </c>
      <c r="D6321" s="20">
        <v>28</v>
      </c>
      <c r="E6321" s="20">
        <v>14</v>
      </c>
      <c r="F6321" s="20" t="s">
        <v>30105</v>
      </c>
      <c r="G6321" s="24"/>
      <c r="H6321" s="24"/>
      <c r="I6321" s="24" t="str">
        <f ca="1">IFERROR(__xludf.DUMMYFUNCTION("GOOGLETRANSLATE(F6321,""en"",""pt"")"),"pentes escada rolante")</f>
        <v>pentes escada rolante</v>
      </c>
      <c r="J6321" t="e">
        <f>VLOOKUP(A6321,Pr_Base_LNEC!$A$4:$J$6971,6,FALSE)</f>
        <v>#N/A</v>
      </c>
      <c r="K6321" t="e">
        <f>VLOOKUP(A6321,Pr_Base_LNEC!$A$4:$J$6971,7,FALSE)</f>
        <v>#N/A</v>
      </c>
    </row>
    <row r="6322" spans="1:11" ht="14.5">
      <c r="A6322" s="20" t="s">
        <v>30106</v>
      </c>
      <c r="B6322" s="20">
        <v>65</v>
      </c>
      <c r="C6322" s="20">
        <v>80</v>
      </c>
      <c r="D6322" s="20">
        <v>28</v>
      </c>
      <c r="E6322" s="20">
        <v>16</v>
      </c>
      <c r="F6322" s="20" t="s">
        <v>30107</v>
      </c>
      <c r="G6322" s="24"/>
      <c r="H6322" s="24"/>
      <c r="I6322" s="24" t="str">
        <f ca="1">IFERROR(__xludf.DUMMYFUNCTION("GOOGLETRANSLATE(F6322,""en"",""pt"")"),"placas de pente escada rolante")</f>
        <v>placas de pente escada rolante</v>
      </c>
      <c r="J6322" t="e">
        <f>VLOOKUP(A6322,Pr_Base_LNEC!$A$4:$J$6971,6,FALSE)</f>
        <v>#N/A</v>
      </c>
      <c r="K6322" t="e">
        <f>VLOOKUP(A6322,Pr_Base_LNEC!$A$4:$J$6971,7,FALSE)</f>
        <v>#N/A</v>
      </c>
    </row>
    <row r="6323" spans="1:11" ht="14.5">
      <c r="A6323" s="20" t="s">
        <v>30108</v>
      </c>
      <c r="B6323" s="20">
        <v>65</v>
      </c>
      <c r="C6323" s="20">
        <v>80</v>
      </c>
      <c r="D6323" s="20">
        <v>28</v>
      </c>
      <c r="E6323" s="20">
        <v>21</v>
      </c>
      <c r="F6323" s="20" t="s">
        <v>30109</v>
      </c>
      <c r="G6323" s="20" t="s">
        <v>30110</v>
      </c>
      <c r="H6323" s="24"/>
      <c r="I6323" s="24" t="str">
        <f ca="1">IFERROR(__xludf.DUMMYFUNCTION("GOOGLETRANSLATE(F6323,""en"",""pt"")"),"Escadas rolantes")</f>
        <v>Escadas rolantes</v>
      </c>
      <c r="J6323">
        <f>VLOOKUP(A6323,Pr_Base_LNEC!$A$4:$J$6971,6,FALSE)</f>
        <v>0</v>
      </c>
      <c r="K6323">
        <f>VLOOKUP(A6323,Pr_Base_LNEC!$A$4:$J$6971,7,FALSE)</f>
        <v>0</v>
      </c>
    </row>
    <row r="6324" spans="1:11" ht="14.5">
      <c r="A6324" s="20" t="s">
        <v>30111</v>
      </c>
      <c r="B6324" s="20">
        <v>65</v>
      </c>
      <c r="C6324" s="20">
        <v>80</v>
      </c>
      <c r="D6324" s="20">
        <v>28</v>
      </c>
      <c r="E6324" s="20">
        <v>22</v>
      </c>
      <c r="F6324" s="20" t="s">
        <v>30112</v>
      </c>
      <c r="G6324" s="24"/>
      <c r="H6324" s="24"/>
      <c r="I6324" s="24" t="str">
        <f ca="1">IFERROR(__xludf.DUMMYFUNCTION("GOOGLETRANSLATE(F6324,""en"",""pt"")"),"Escada rolante e movimento decks caminhada")</f>
        <v>Escada rolante e movimento decks caminhada</v>
      </c>
      <c r="J6324" t="e">
        <f>VLOOKUP(A6324,Pr_Base_LNEC!$A$4:$J$6971,6,FALSE)</f>
        <v>#N/A</v>
      </c>
      <c r="K6324" t="e">
        <f>VLOOKUP(A6324,Pr_Base_LNEC!$A$4:$J$6971,7,FALSE)</f>
        <v>#N/A</v>
      </c>
    </row>
    <row r="6325" spans="1:11" ht="14.5">
      <c r="A6325" s="20" t="s">
        <v>30113</v>
      </c>
      <c r="B6325" s="20">
        <v>65</v>
      </c>
      <c r="C6325" s="20">
        <v>80</v>
      </c>
      <c r="D6325" s="20">
        <v>28</v>
      </c>
      <c r="E6325" s="20">
        <v>24</v>
      </c>
      <c r="F6325" s="20" t="s">
        <v>30114</v>
      </c>
      <c r="G6325" s="24"/>
      <c r="H6325" s="24"/>
      <c r="I6325" s="24" t="str">
        <f ca="1">IFERROR(__xludf.DUMMYFUNCTION("GOOGLETRANSLATE(F6325,""en"",""pt"")"),"Escada rolante e movimento unidades caminhada de acionamento")</f>
        <v>Escada rolante e movimento unidades caminhada de acionamento</v>
      </c>
      <c r="J6325" t="e">
        <f>VLOOKUP(A6325,Pr_Base_LNEC!$A$4:$J$6971,6,FALSE)</f>
        <v>#N/A</v>
      </c>
      <c r="K6325" t="e">
        <f>VLOOKUP(A6325,Pr_Base_LNEC!$A$4:$J$6971,7,FALSE)</f>
        <v>#N/A</v>
      </c>
    </row>
    <row r="6326" spans="1:11" ht="14.5">
      <c r="A6326" s="20" t="s">
        <v>30115</v>
      </c>
      <c r="B6326" s="20">
        <v>65</v>
      </c>
      <c r="C6326" s="20">
        <v>80</v>
      </c>
      <c r="D6326" s="20">
        <v>28</v>
      </c>
      <c r="E6326" s="20">
        <v>36</v>
      </c>
      <c r="F6326" s="20" t="s">
        <v>30116</v>
      </c>
      <c r="G6326" s="24"/>
      <c r="H6326" s="24"/>
      <c r="I6326" s="24" t="str">
        <f ca="1">IFERROR(__xludf.DUMMYFUNCTION("GOOGLETRANSLATE(F6326,""en"",""pt"")"),"Escada rolante e movimento corrimãos pé")</f>
        <v>Escada rolante e movimento corrimãos pé</v>
      </c>
      <c r="J6326" t="e">
        <f>VLOOKUP(A6326,Pr_Base_LNEC!$A$4:$J$6971,6,FALSE)</f>
        <v>#N/A</v>
      </c>
      <c r="K6326" t="e">
        <f>VLOOKUP(A6326,Pr_Base_LNEC!$A$4:$J$6971,7,FALSE)</f>
        <v>#N/A</v>
      </c>
    </row>
    <row r="6327" spans="1:11" ht="14.5">
      <c r="A6327" s="20" t="s">
        <v>30117</v>
      </c>
      <c r="B6327" s="20">
        <v>65</v>
      </c>
      <c r="C6327" s="20">
        <v>80</v>
      </c>
      <c r="D6327" s="20">
        <v>28</v>
      </c>
      <c r="E6327" s="20">
        <v>38</v>
      </c>
      <c r="F6327" s="20" t="s">
        <v>30118</v>
      </c>
      <c r="G6327" s="24"/>
      <c r="H6327" s="24"/>
      <c r="I6327" s="24" t="str">
        <f ca="1">IFERROR(__xludf.DUMMYFUNCTION("GOOGLETRANSLATE(F6327,""en"",""pt"")"),"dispositivos manuais enrolamento escada rolante")</f>
        <v>dispositivos manuais enrolamento escada rolante</v>
      </c>
      <c r="J6327" t="e">
        <f>VLOOKUP(A6327,Pr_Base_LNEC!$A$4:$J$6971,6,FALSE)</f>
        <v>#N/A</v>
      </c>
      <c r="K6327" t="e">
        <f>VLOOKUP(A6327,Pr_Base_LNEC!$A$4:$J$6971,7,FALSE)</f>
        <v>#N/A</v>
      </c>
    </row>
    <row r="6328" spans="1:11" ht="14.5">
      <c r="A6328" s="20" t="s">
        <v>30119</v>
      </c>
      <c r="B6328" s="20">
        <v>65</v>
      </c>
      <c r="C6328" s="20">
        <v>80</v>
      </c>
      <c r="D6328" s="20">
        <v>28</v>
      </c>
      <c r="E6328" s="20">
        <v>41</v>
      </c>
      <c r="F6328" s="20" t="s">
        <v>30120</v>
      </c>
      <c r="G6328" s="24"/>
      <c r="H6328" s="24"/>
      <c r="I6328" s="24" t="str">
        <f ca="1">IFERROR(__xludf.DUMMYFUNCTION("GOOGLETRANSLATE(F6328,""en"",""pt"")"),"Escada rolante e movimento tampas de inspeção caminhada")</f>
        <v>Escada rolante e movimento tampas de inspeção caminhada</v>
      </c>
      <c r="J6328" t="e">
        <f>VLOOKUP(A6328,Pr_Base_LNEC!$A$4:$J$6971,6,FALSE)</f>
        <v>#N/A</v>
      </c>
      <c r="K6328" t="e">
        <f>VLOOKUP(A6328,Pr_Base_LNEC!$A$4:$J$6971,7,FALSE)</f>
        <v>#N/A</v>
      </c>
    </row>
    <row r="6329" spans="1:11" ht="14.5">
      <c r="A6329" s="20" t="s">
        <v>30121</v>
      </c>
      <c r="B6329" s="20">
        <v>65</v>
      </c>
      <c r="C6329" s="20">
        <v>80</v>
      </c>
      <c r="D6329" s="20">
        <v>28</v>
      </c>
      <c r="E6329" s="20">
        <v>46</v>
      </c>
      <c r="F6329" s="20" t="s">
        <v>30122</v>
      </c>
      <c r="G6329" s="24"/>
      <c r="H6329" s="24"/>
      <c r="I6329" s="24" t="str">
        <f ca="1">IFERROR(__xludf.DUMMYFUNCTION("GOOGLETRANSLATE(F6329,""en"",""pt"")"),"Escada rolante e movimento placas de piso caminhada de pouso")</f>
        <v>Escada rolante e movimento placas de piso caminhada de pouso</v>
      </c>
      <c r="J6329" t="e">
        <f>VLOOKUP(A6329,Pr_Base_LNEC!$A$4:$J$6971,6,FALSE)</f>
        <v>#N/A</v>
      </c>
      <c r="K6329" t="e">
        <f>VLOOKUP(A6329,Pr_Base_LNEC!$A$4:$J$6971,7,FALSE)</f>
        <v>#N/A</v>
      </c>
    </row>
    <row r="6330" spans="1:11" ht="14.5">
      <c r="A6330" s="20" t="s">
        <v>30123</v>
      </c>
      <c r="B6330" s="20">
        <v>65</v>
      </c>
      <c r="C6330" s="20">
        <v>80</v>
      </c>
      <c r="D6330" s="20">
        <v>28</v>
      </c>
      <c r="E6330" s="20">
        <v>52</v>
      </c>
      <c r="F6330" s="20" t="s">
        <v>30124</v>
      </c>
      <c r="G6330" s="20" t="s">
        <v>30125</v>
      </c>
      <c r="H6330" s="24"/>
      <c r="I6330" s="24" t="str">
        <f ca="1">IFERROR(__xludf.DUMMYFUNCTION("GOOGLETRANSLATE(F6330,""en"",""pt"")"),"rolantes")</f>
        <v>rolantes</v>
      </c>
      <c r="J6330">
        <f>VLOOKUP(A6330,Pr_Base_LNEC!$A$4:$J$6971,6,FALSE)</f>
        <v>0</v>
      </c>
      <c r="K6330">
        <f>VLOOKUP(A6330,Pr_Base_LNEC!$A$4:$J$6971,7,FALSE)</f>
        <v>0</v>
      </c>
    </row>
    <row r="6331" spans="1:11" ht="14.5">
      <c r="A6331" s="20" t="s">
        <v>30126</v>
      </c>
      <c r="B6331" s="20">
        <v>65</v>
      </c>
      <c r="C6331" s="20">
        <v>80</v>
      </c>
      <c r="D6331" s="20">
        <v>28</v>
      </c>
      <c r="E6331" s="20">
        <v>58</v>
      </c>
      <c r="F6331" s="20" t="s">
        <v>30127</v>
      </c>
      <c r="G6331" s="24"/>
      <c r="H6331" s="24"/>
      <c r="I6331" s="24" t="str">
        <f ca="1">IFERROR(__xludf.DUMMYFUNCTION("GOOGLETRANSLATE(F6331,""en"",""pt"")"),"Escada rolante e movimento freios operacionais pé")</f>
        <v>Escada rolante e movimento freios operacionais pé</v>
      </c>
      <c r="J6331" t="e">
        <f>VLOOKUP(A6331,Pr_Base_LNEC!$A$4:$J$6971,6,FALSE)</f>
        <v>#N/A</v>
      </c>
      <c r="K6331" t="e">
        <f>VLOOKUP(A6331,Pr_Base_LNEC!$A$4:$J$6971,7,FALSE)</f>
        <v>#N/A</v>
      </c>
    </row>
    <row r="6332" spans="1:11" ht="14.5">
      <c r="A6332" s="20" t="s">
        <v>30128</v>
      </c>
      <c r="B6332" s="20">
        <v>65</v>
      </c>
      <c r="C6332" s="20">
        <v>80</v>
      </c>
      <c r="D6332" s="20">
        <v>28</v>
      </c>
      <c r="E6332" s="20">
        <v>60</v>
      </c>
      <c r="F6332" s="20" t="s">
        <v>30129</v>
      </c>
      <c r="G6332" s="24"/>
      <c r="H6332" s="24"/>
      <c r="I6332" s="24" t="str">
        <f ca="1">IFERROR(__xludf.DUMMYFUNCTION("GOOGLETRANSLATE(F6332,""en"",""pt"")"),"pallets escada rolante")</f>
        <v>pallets escada rolante</v>
      </c>
      <c r="J6332" t="e">
        <f>VLOOKUP(A6332,Pr_Base_LNEC!$A$4:$J$6971,6,FALSE)</f>
        <v>#N/A</v>
      </c>
      <c r="K6332" t="e">
        <f>VLOOKUP(A6332,Pr_Base_LNEC!$A$4:$J$6971,7,FALSE)</f>
        <v>#N/A</v>
      </c>
    </row>
    <row r="6333" spans="1:11" ht="14.5">
      <c r="A6333" s="20" t="s">
        <v>30130</v>
      </c>
      <c r="B6333" s="20">
        <v>65</v>
      </c>
      <c r="C6333" s="20">
        <v>80</v>
      </c>
      <c r="D6333" s="20">
        <v>28</v>
      </c>
      <c r="E6333" s="20">
        <v>78</v>
      </c>
      <c r="F6333" s="20" t="s">
        <v>30131</v>
      </c>
      <c r="G6333" s="24"/>
      <c r="H6333" s="24"/>
      <c r="I6333" s="24" t="str">
        <f ca="1">IFERROR(__xludf.DUMMYFUNCTION("GOOGLETRANSLATE(F6333,""en"",""pt"")"),"Escada rolante e movimento skirtings pé")</f>
        <v>Escada rolante e movimento skirtings pé</v>
      </c>
      <c r="J6333" t="e">
        <f>VLOOKUP(A6333,Pr_Base_LNEC!$A$4:$J$6971,6,FALSE)</f>
        <v>#N/A</v>
      </c>
      <c r="K6333" t="e">
        <f>VLOOKUP(A6333,Pr_Base_LNEC!$A$4:$J$6971,7,FALSE)</f>
        <v>#N/A</v>
      </c>
    </row>
    <row r="6334" spans="1:11" ht="14.5">
      <c r="A6334" s="20" t="s">
        <v>30132</v>
      </c>
      <c r="B6334" s="20">
        <v>65</v>
      </c>
      <c r="C6334" s="20">
        <v>80</v>
      </c>
      <c r="D6334" s="20">
        <v>28</v>
      </c>
      <c r="E6334" s="20">
        <v>80</v>
      </c>
      <c r="F6334" s="20" t="s">
        <v>30133</v>
      </c>
      <c r="G6334" s="24"/>
      <c r="H6334" s="24"/>
      <c r="I6334" s="24" t="str">
        <f ca="1">IFERROR(__xludf.DUMMYFUNCTION("GOOGLETRANSLATE(F6334,""en"",""pt"")"),"Escada rolante e movimento defletores saia a pé")</f>
        <v>Escada rolante e movimento defletores saia a pé</v>
      </c>
      <c r="J6334" t="e">
        <f>VLOOKUP(A6334,Pr_Base_LNEC!$A$4:$J$6971,6,FALSE)</f>
        <v>#N/A</v>
      </c>
      <c r="K6334" t="e">
        <f>VLOOKUP(A6334,Pr_Base_LNEC!$A$4:$J$6971,7,FALSE)</f>
        <v>#N/A</v>
      </c>
    </row>
    <row r="6335" spans="1:11" ht="14.5">
      <c r="A6335" s="20" t="s">
        <v>30134</v>
      </c>
      <c r="B6335" s="20">
        <v>65</v>
      </c>
      <c r="C6335" s="20">
        <v>80</v>
      </c>
      <c r="D6335" s="20">
        <v>28</v>
      </c>
      <c r="E6335" s="20">
        <v>84</v>
      </c>
      <c r="F6335" s="20" t="s">
        <v>30135</v>
      </c>
      <c r="G6335" s="24"/>
      <c r="H6335" s="24"/>
      <c r="I6335" s="24" t="str">
        <f ca="1">IFERROR(__xludf.DUMMYFUNCTION("GOOGLETRANSLATE(F6335,""en"",""pt"")"),"Escada rolante degraus passo")</f>
        <v>Escada rolante degraus passo</v>
      </c>
      <c r="J6335" t="e">
        <f>VLOOKUP(A6335,Pr_Base_LNEC!$A$4:$J$6971,6,FALSE)</f>
        <v>#N/A</v>
      </c>
      <c r="K6335" t="e">
        <f>VLOOKUP(A6335,Pr_Base_LNEC!$A$4:$J$6971,7,FALSE)</f>
        <v>#N/A</v>
      </c>
    </row>
    <row r="6336" spans="1:11" ht="14.5">
      <c r="A6336" s="20" t="s">
        <v>30136</v>
      </c>
      <c r="B6336" s="20">
        <v>65</v>
      </c>
      <c r="C6336" s="20">
        <v>80</v>
      </c>
      <c r="D6336" s="20">
        <v>28</v>
      </c>
      <c r="E6336" s="20">
        <v>89</v>
      </c>
      <c r="F6336" s="20" t="s">
        <v>30137</v>
      </c>
      <c r="G6336" s="24"/>
      <c r="H6336" s="24"/>
      <c r="I6336" s="24" t="str">
        <f ca="1">IFERROR(__xludf.DUMMYFUNCTION("GOOGLETRANSLATE(F6336,""en"",""pt"")"),"Movendo cintos caminhada Treadway")</f>
        <v>Movendo cintos caminhada Treadway</v>
      </c>
      <c r="J6336" t="e">
        <f>VLOOKUP(A6336,Pr_Base_LNEC!$A$4:$J$6971,6,FALSE)</f>
        <v>#N/A</v>
      </c>
      <c r="K6336" t="e">
        <f>VLOOKUP(A6336,Pr_Base_LNEC!$A$4:$J$6971,7,FALSE)</f>
        <v>#N/A</v>
      </c>
    </row>
    <row r="6337" spans="1:11" ht="14.5">
      <c r="A6337" s="20" t="s">
        <v>30138</v>
      </c>
      <c r="B6337" s="20">
        <v>65</v>
      </c>
      <c r="C6337" s="20">
        <v>80</v>
      </c>
      <c r="D6337" s="20">
        <v>28</v>
      </c>
      <c r="E6337" s="20">
        <v>90</v>
      </c>
      <c r="F6337" s="20" t="s">
        <v>30139</v>
      </c>
      <c r="G6337" s="24"/>
      <c r="H6337" s="24"/>
      <c r="I6337" s="24" t="str">
        <f ca="1">IFERROR(__xludf.DUMMYFUNCTION("GOOGLETRANSLATE(F6337,""en"",""pt"")"),"Movendo paletes Treadway pé")</f>
        <v>Movendo paletes Treadway pé</v>
      </c>
      <c r="J6337" t="e">
        <f>VLOOKUP(A6337,Pr_Base_LNEC!$A$4:$J$6971,6,FALSE)</f>
        <v>#N/A</v>
      </c>
      <c r="K6337" t="e">
        <f>VLOOKUP(A6337,Pr_Base_LNEC!$A$4:$J$6971,7,FALSE)</f>
        <v>#N/A</v>
      </c>
    </row>
    <row r="6338" spans="1:11" ht="14.5">
      <c r="A6338" s="20" t="s">
        <v>30140</v>
      </c>
      <c r="B6338" s="20">
        <v>65</v>
      </c>
      <c r="C6338" s="20">
        <v>80</v>
      </c>
      <c r="D6338" s="20">
        <v>42</v>
      </c>
      <c r="E6338" s="24"/>
      <c r="F6338" s="20" t="s">
        <v>30141</v>
      </c>
      <c r="G6338" s="24"/>
      <c r="H6338" s="24"/>
      <c r="I6338" s="24" t="str">
        <f ca="1">IFERROR(__xludf.DUMMYFUNCTION("GOOGLETRANSLATE(F6338,""en"",""pt"")"),"Inclinados transportes carros, plataformas e cadeiras")</f>
        <v>Inclinados transportes carros, plataformas e cadeiras</v>
      </c>
      <c r="J6338">
        <f>VLOOKUP(A6338,Pr_Base_LNEC!$A$4:$J$6971,6,FALSE)</f>
        <v>0</v>
      </c>
      <c r="K6338">
        <f>VLOOKUP(A6338,Pr_Base_LNEC!$A$4:$J$6971,7,FALSE)</f>
        <v>0</v>
      </c>
    </row>
    <row r="6339" spans="1:11" ht="14.5">
      <c r="A6339" s="20" t="s">
        <v>30142</v>
      </c>
      <c r="B6339" s="20">
        <v>65</v>
      </c>
      <c r="C6339" s="20">
        <v>80</v>
      </c>
      <c r="D6339" s="20">
        <v>42</v>
      </c>
      <c r="E6339" s="20">
        <v>11</v>
      </c>
      <c r="F6339" s="20" t="s">
        <v>30143</v>
      </c>
      <c r="G6339" s="24"/>
      <c r="H6339" s="24"/>
      <c r="I6339" s="24" t="str">
        <f ca="1">IFERROR(__xludf.DUMMYFUNCTION("GOOGLETRANSLATE(F6339,""en"",""pt"")"),"Teleféricos")</f>
        <v>Teleféricos</v>
      </c>
      <c r="J6339">
        <f>VLOOKUP(A6339,Pr_Base_LNEC!$A$4:$J$6971,6,FALSE)</f>
        <v>0</v>
      </c>
      <c r="K6339">
        <f>VLOOKUP(A6339,Pr_Base_LNEC!$A$4:$J$6971,7,FALSE)</f>
        <v>0</v>
      </c>
    </row>
    <row r="6340" spans="1:11" ht="14.5">
      <c r="A6340" s="20" t="s">
        <v>30144</v>
      </c>
      <c r="B6340" s="20">
        <v>65</v>
      </c>
      <c r="C6340" s="20">
        <v>80</v>
      </c>
      <c r="D6340" s="20">
        <v>42</v>
      </c>
      <c r="E6340" s="20">
        <v>37</v>
      </c>
      <c r="F6340" s="20" t="s">
        <v>30145</v>
      </c>
      <c r="G6340" s="20" t="s">
        <v>30146</v>
      </c>
      <c r="H6340" s="24"/>
      <c r="I6340" s="24" t="str">
        <f ca="1">IFERROR(__xludf.DUMMYFUNCTION("GOOGLETRANSLATE(F6340,""en"",""pt"")"),"Homelifts")</f>
        <v>Homelifts</v>
      </c>
      <c r="J6340">
        <f>VLOOKUP(A6340,Pr_Base_LNEC!$A$4:$J$6971,6,FALSE)</f>
        <v>0</v>
      </c>
      <c r="K6340">
        <f>VLOOKUP(A6340,Pr_Base_LNEC!$A$4:$J$6971,7,FALSE)</f>
        <v>0</v>
      </c>
    </row>
    <row r="6341" spans="1:11" ht="14.5">
      <c r="A6341" s="20" t="s">
        <v>30147</v>
      </c>
      <c r="B6341" s="20">
        <v>65</v>
      </c>
      <c r="C6341" s="20">
        <v>80</v>
      </c>
      <c r="D6341" s="20">
        <v>42</v>
      </c>
      <c r="E6341" s="20">
        <v>39</v>
      </c>
      <c r="F6341" s="20" t="s">
        <v>30148</v>
      </c>
      <c r="G6341" s="20" t="s">
        <v>30149</v>
      </c>
      <c r="H6341" s="24"/>
      <c r="I6341" s="24" t="str">
        <f ca="1">IFERROR(__xludf.DUMMYFUNCTION("GOOGLETRANSLATE(F6341,""en"",""pt"")"),"cadeiras inclinadas")</f>
        <v>cadeiras inclinadas</v>
      </c>
      <c r="J6341">
        <f>VLOOKUP(A6341,Pr_Base_LNEC!$A$4:$J$6971,6,FALSE)</f>
        <v>0</v>
      </c>
      <c r="K6341">
        <f>VLOOKUP(A6341,Pr_Base_LNEC!$A$4:$J$6971,7,FALSE)</f>
        <v>0</v>
      </c>
    </row>
    <row r="6342" spans="1:11" ht="14.5">
      <c r="A6342" s="20" t="s">
        <v>30150</v>
      </c>
      <c r="B6342" s="20">
        <v>65</v>
      </c>
      <c r="C6342" s="20">
        <v>80</v>
      </c>
      <c r="D6342" s="20">
        <v>42</v>
      </c>
      <c r="E6342" s="20">
        <v>42</v>
      </c>
      <c r="F6342" s="20" t="s">
        <v>30151</v>
      </c>
      <c r="G6342" s="20" t="s">
        <v>30152</v>
      </c>
      <c r="H6342" s="24"/>
      <c r="I6342" s="24" t="str">
        <f ca="1">IFERROR(__xludf.DUMMYFUNCTION("GOOGLETRANSLATE(F6342,""en"",""pt"")"),"plataformas de pé-inclinado")</f>
        <v>plataformas de pé-inclinado</v>
      </c>
      <c r="J6342">
        <f>VLOOKUP(A6342,Pr_Base_LNEC!$A$4:$J$6971,6,FALSE)</f>
        <v>0</v>
      </c>
      <c r="K6342">
        <f>VLOOKUP(A6342,Pr_Base_LNEC!$A$4:$J$6971,7,FALSE)</f>
        <v>0</v>
      </c>
    </row>
    <row r="6343" spans="1:11" ht="14.5">
      <c r="A6343" s="20" t="s">
        <v>30153</v>
      </c>
      <c r="B6343" s="20">
        <v>65</v>
      </c>
      <c r="C6343" s="20">
        <v>80</v>
      </c>
      <c r="D6343" s="20">
        <v>42</v>
      </c>
      <c r="E6343" s="20">
        <v>43</v>
      </c>
      <c r="F6343" s="20" t="s">
        <v>30154</v>
      </c>
      <c r="G6343" s="20" t="s">
        <v>30155</v>
      </c>
      <c r="H6343" s="24"/>
      <c r="I6343" s="24" t="str">
        <f ca="1">IFERROR(__xludf.DUMMYFUNCTION("GOOGLETRANSLATE(F6343,""en"",""pt"")"),"plataformas para cadeiras de rodas inclinadas")</f>
        <v>plataformas para cadeiras de rodas inclinadas</v>
      </c>
      <c r="J6343">
        <f>VLOOKUP(A6343,Pr_Base_LNEC!$A$4:$J$6971,6,FALSE)</f>
        <v>0</v>
      </c>
      <c r="K6343">
        <f>VLOOKUP(A6343,Pr_Base_LNEC!$A$4:$J$6971,7,FALSE)</f>
        <v>0</v>
      </c>
    </row>
    <row r="6344" spans="1:11" ht="14.5">
      <c r="A6344" s="20" t="s">
        <v>30156</v>
      </c>
      <c r="B6344" s="20">
        <v>65</v>
      </c>
      <c r="C6344" s="20">
        <v>80</v>
      </c>
      <c r="D6344" s="20">
        <v>42</v>
      </c>
      <c r="E6344" s="20">
        <v>77</v>
      </c>
      <c r="F6344" s="20" t="s">
        <v>30157</v>
      </c>
      <c r="G6344" s="24"/>
      <c r="H6344" s="24"/>
      <c r="I6344" s="24" t="str">
        <f ca="1">IFERROR(__xludf.DUMMYFUNCTION("GOOGLETRANSLATE(F6344,""en"",""pt"")"),"Cadeiras do elevador de esqui")</f>
        <v>Cadeiras do elevador de esqui</v>
      </c>
      <c r="J6344">
        <f>VLOOKUP(A6344,Pr_Base_LNEC!$A$4:$J$6971,6,FALSE)</f>
        <v>0</v>
      </c>
      <c r="K6344">
        <f>VLOOKUP(A6344,Pr_Base_LNEC!$A$4:$J$6971,7,FALSE)</f>
        <v>0</v>
      </c>
    </row>
    <row r="6345" spans="1:11" ht="14.5">
      <c r="A6345" s="20" t="s">
        <v>30158</v>
      </c>
      <c r="B6345" s="20">
        <v>65</v>
      </c>
      <c r="C6345" s="20">
        <v>80</v>
      </c>
      <c r="D6345" s="20">
        <v>42</v>
      </c>
      <c r="E6345" s="20">
        <v>84</v>
      </c>
      <c r="F6345" s="20" t="s">
        <v>30159</v>
      </c>
      <c r="G6345" s="24"/>
      <c r="H6345" s="24"/>
      <c r="I6345" s="24" t="str">
        <f ca="1">IFERROR(__xludf.DUMMYFUNCTION("GOOGLETRANSLATE(F6345,""en"",""pt"")"),"carrinhos Stairlift")</f>
        <v>carrinhos Stairlift</v>
      </c>
      <c r="J6345">
        <f>VLOOKUP(A6345,Pr_Base_LNEC!$A$4:$J$6971,6,FALSE)</f>
        <v>0</v>
      </c>
      <c r="K6345">
        <f>VLOOKUP(A6345,Pr_Base_LNEC!$A$4:$J$6971,7,FALSE)</f>
        <v>0</v>
      </c>
    </row>
    <row r="6346" spans="1:11" ht="14.5">
      <c r="A6346" s="20" t="s">
        <v>30160</v>
      </c>
      <c r="B6346" s="20">
        <v>65</v>
      </c>
      <c r="C6346" s="20">
        <v>80</v>
      </c>
      <c r="D6346" s="20">
        <v>46</v>
      </c>
      <c r="E6346" s="24"/>
      <c r="F6346" s="20" t="s">
        <v>30161</v>
      </c>
      <c r="G6346" s="24"/>
      <c r="H6346" s="24"/>
      <c r="I6346" s="24" t="str">
        <f ca="1">IFERROR(__xludf.DUMMYFUNCTION("GOOGLETRANSLATE(F6346,""en"",""pt"")"),"transportadores de lavandaria")</f>
        <v>transportadores de lavandaria</v>
      </c>
      <c r="J6346">
        <f>VLOOKUP(A6346,Pr_Base_LNEC!$A$4:$J$6971,6,FALSE)</f>
        <v>0</v>
      </c>
      <c r="K6346">
        <f>VLOOKUP(A6346,Pr_Base_LNEC!$A$4:$J$6971,7,FALSE)</f>
        <v>0</v>
      </c>
    </row>
    <row r="6347" spans="1:11" ht="14.5">
      <c r="A6347" s="20" t="s">
        <v>30162</v>
      </c>
      <c r="B6347" s="20">
        <v>65</v>
      </c>
      <c r="C6347" s="20">
        <v>80</v>
      </c>
      <c r="D6347" s="20">
        <v>46</v>
      </c>
      <c r="E6347" s="20">
        <v>15</v>
      </c>
      <c r="F6347" s="20" t="s">
        <v>30163</v>
      </c>
      <c r="G6347" s="20" t="s">
        <v>30164</v>
      </c>
      <c r="H6347" s="24"/>
      <c r="I6347" s="24" t="str">
        <f ca="1">IFERROR(__xludf.DUMMYFUNCTION("GOOGLETRANSLATE(F6347,""en"",""pt"")"),"Lavandaria e transportadores de vestuário")</f>
        <v>Lavandaria e transportadores de vestuário</v>
      </c>
      <c r="J6347">
        <f>VLOOKUP(A6347,Pr_Base_LNEC!$A$4:$J$6971,6,FALSE)</f>
        <v>0</v>
      </c>
      <c r="K6347">
        <f>VLOOKUP(A6347,Pr_Base_LNEC!$A$4:$J$6971,7,FALSE)</f>
        <v>0</v>
      </c>
    </row>
    <row r="6348" spans="1:11" ht="14.5">
      <c r="A6348" s="20" t="s">
        <v>30165</v>
      </c>
      <c r="B6348" s="20">
        <v>65</v>
      </c>
      <c r="C6348" s="20">
        <v>80</v>
      </c>
      <c r="D6348" s="20">
        <v>46</v>
      </c>
      <c r="E6348" s="20">
        <v>42</v>
      </c>
      <c r="F6348" s="20" t="s">
        <v>30166</v>
      </c>
      <c r="G6348" s="20" t="s">
        <v>30167</v>
      </c>
      <c r="H6348" s="24"/>
      <c r="I6348" s="24" t="str">
        <f ca="1">IFERROR(__xludf.DUMMYFUNCTION("GOOGLETRANSLATE(F6348,""en"",""pt"")"),"lavandaria transportadores de carga inclinadas")</f>
        <v>lavandaria transportadores de carga inclinadas</v>
      </c>
      <c r="J6348">
        <f>VLOOKUP(A6348,Pr_Base_LNEC!$A$4:$J$6971,6,FALSE)</f>
        <v>0</v>
      </c>
      <c r="K6348">
        <f>VLOOKUP(A6348,Pr_Base_LNEC!$A$4:$J$6971,7,FALSE)</f>
        <v>0</v>
      </c>
    </row>
    <row r="6349" spans="1:11" ht="14.5">
      <c r="A6349" s="20" t="s">
        <v>30168</v>
      </c>
      <c r="B6349" s="20">
        <v>65</v>
      </c>
      <c r="C6349" s="20">
        <v>80</v>
      </c>
      <c r="D6349" s="20">
        <v>46</v>
      </c>
      <c r="E6349" s="20">
        <v>77</v>
      </c>
      <c r="F6349" s="20" t="s">
        <v>30169</v>
      </c>
      <c r="G6349" s="20" t="s">
        <v>30170</v>
      </c>
      <c r="H6349" s="24"/>
      <c r="I6349" s="24" t="str">
        <f ca="1">IFERROR(__xludf.DUMMYFUNCTION("GOOGLETRANSLATE(F6349,""en"",""pt"")"),"Transportadores de elevação de lavandaria Shuttle")</f>
        <v>Transportadores de elevação de lavandaria Shuttle</v>
      </c>
      <c r="J6349">
        <f>VLOOKUP(A6349,Pr_Base_LNEC!$A$4:$J$6971,6,FALSE)</f>
        <v>0</v>
      </c>
      <c r="K6349">
        <f>VLOOKUP(A6349,Pr_Base_LNEC!$A$4:$J$6971,7,FALSE)</f>
        <v>0</v>
      </c>
    </row>
    <row r="6350" spans="1:11" ht="14.5">
      <c r="A6350" s="20" t="s">
        <v>30171</v>
      </c>
      <c r="B6350" s="20">
        <v>65</v>
      </c>
      <c r="C6350" s="20">
        <v>80</v>
      </c>
      <c r="D6350" s="20">
        <v>47</v>
      </c>
      <c r="E6350" s="24"/>
      <c r="F6350" s="20" t="s">
        <v>30172</v>
      </c>
      <c r="G6350" s="24"/>
      <c r="H6350" s="24"/>
      <c r="I6350" s="24" t="str">
        <f ca="1">IFERROR(__xludf.DUMMYFUNCTION("GOOGLETRANSLATE(F6350,""en"",""pt"")"),"Plataformas de elevação e guinchos")</f>
        <v>Plataformas de elevação e guinchos</v>
      </c>
      <c r="J6350">
        <f>VLOOKUP(A6350,Pr_Base_LNEC!$A$4:$J$6971,6,FALSE)</f>
        <v>0</v>
      </c>
      <c r="K6350">
        <f>VLOOKUP(A6350,Pr_Base_LNEC!$A$4:$J$6971,7,FALSE)</f>
        <v>0</v>
      </c>
    </row>
    <row r="6351" spans="1:11" ht="14.5">
      <c r="A6351" s="20" t="s">
        <v>30173</v>
      </c>
      <c r="B6351" s="20">
        <v>65</v>
      </c>
      <c r="C6351" s="20">
        <v>80</v>
      </c>
      <c r="D6351" s="20">
        <v>47</v>
      </c>
      <c r="E6351" s="20">
        <v>4</v>
      </c>
      <c r="F6351" s="20" t="s">
        <v>30174</v>
      </c>
      <c r="G6351" s="20" t="s">
        <v>30175</v>
      </c>
      <c r="H6351" s="24"/>
      <c r="I6351" s="24" t="str">
        <f ca="1">IFERROR(__xludf.DUMMYFUNCTION("GOOGLETRANSLATE(F6351,""en"",""pt"")"),"guinchos de transferência assistida")</f>
        <v>guinchos de transferência assistida</v>
      </c>
      <c r="J6351">
        <f>VLOOKUP(A6351,Pr_Base_LNEC!$A$4:$J$6971,6,FALSE)</f>
        <v>0</v>
      </c>
      <c r="K6351">
        <f>VLOOKUP(A6351,Pr_Base_LNEC!$A$4:$J$6971,7,FALSE)</f>
        <v>0</v>
      </c>
    </row>
    <row r="6352" spans="1:11" ht="14.5">
      <c r="A6352" s="20" t="s">
        <v>30176</v>
      </c>
      <c r="B6352" s="20">
        <v>65</v>
      </c>
      <c r="C6352" s="20">
        <v>80</v>
      </c>
      <c r="D6352" s="20">
        <v>47</v>
      </c>
      <c r="E6352" s="20">
        <v>12</v>
      </c>
      <c r="F6352" s="20" t="s">
        <v>30177</v>
      </c>
      <c r="G6352" s="24"/>
      <c r="H6352" s="24"/>
      <c r="I6352" s="24" t="str">
        <f ca="1">IFERROR(__xludf.DUMMYFUNCTION("GOOGLETRANSLATE(F6352,""en"",""pt"")"),"guinchos pista teto")</f>
        <v>guinchos pista teto</v>
      </c>
      <c r="J6352">
        <f>VLOOKUP(A6352,Pr_Base_LNEC!$A$4:$J$6971,6,FALSE)</f>
        <v>0</v>
      </c>
      <c r="K6352">
        <f>VLOOKUP(A6352,Pr_Base_LNEC!$A$4:$J$6971,7,FALSE)</f>
        <v>0</v>
      </c>
    </row>
    <row r="6353" spans="1:11" ht="14.5">
      <c r="A6353" s="20" t="s">
        <v>30178</v>
      </c>
      <c r="B6353" s="20">
        <v>65</v>
      </c>
      <c r="C6353" s="20">
        <v>80</v>
      </c>
      <c r="D6353" s="20">
        <v>47</v>
      </c>
      <c r="E6353" s="20">
        <v>31</v>
      </c>
      <c r="F6353" s="20" t="s">
        <v>30179</v>
      </c>
      <c r="G6353" s="20" t="s">
        <v>30180</v>
      </c>
      <c r="H6353" s="24"/>
      <c r="I6353" s="24" t="str">
        <f ca="1">IFERROR(__xludf.DUMMYFUNCTION("GOOGLETRANSLATE(F6353,""en"",""pt"")"),"guindastes fixos")</f>
        <v>guindastes fixos</v>
      </c>
      <c r="J6353">
        <f>VLOOKUP(A6353,Pr_Base_LNEC!$A$4:$J$6971,6,FALSE)</f>
        <v>0</v>
      </c>
      <c r="K6353">
        <f>VLOOKUP(A6353,Pr_Base_LNEC!$A$4:$J$6971,7,FALSE)</f>
        <v>0</v>
      </c>
    </row>
    <row r="6354" spans="1:11" ht="14.5">
      <c r="A6354" s="20" t="s">
        <v>30181</v>
      </c>
      <c r="B6354" s="20">
        <v>65</v>
      </c>
      <c r="C6354" s="20">
        <v>80</v>
      </c>
      <c r="D6354" s="20">
        <v>47</v>
      </c>
      <c r="E6354" s="20">
        <v>47</v>
      </c>
      <c r="F6354" s="20" t="s">
        <v>30182</v>
      </c>
      <c r="G6354" s="24"/>
      <c r="H6354" s="24"/>
      <c r="I6354" s="24" t="str">
        <f ca="1">IFERROR(__xludf.DUMMYFUNCTION("GOOGLETRANSLATE(F6354,""en"",""pt"")"),"gruas móveis")</f>
        <v>gruas móveis</v>
      </c>
      <c r="J6354">
        <f>VLOOKUP(A6354,Pr_Base_LNEC!$A$4:$J$6971,6,FALSE)</f>
        <v>0</v>
      </c>
      <c r="K6354">
        <f>VLOOKUP(A6354,Pr_Base_LNEC!$A$4:$J$6971,7,FALSE)</f>
        <v>0</v>
      </c>
    </row>
    <row r="6355" spans="1:11" ht="14.5">
      <c r="A6355" s="20" t="s">
        <v>30183</v>
      </c>
      <c r="B6355" s="20">
        <v>65</v>
      </c>
      <c r="C6355" s="20">
        <v>80</v>
      </c>
      <c r="D6355" s="20">
        <v>47</v>
      </c>
      <c r="E6355" s="20">
        <v>64</v>
      </c>
      <c r="F6355" s="20" t="s">
        <v>30184</v>
      </c>
      <c r="G6355" s="20" t="s">
        <v>30185</v>
      </c>
      <c r="H6355" s="24"/>
      <c r="I6355" s="24" t="str">
        <f ca="1">IFERROR(__xludf.DUMMYFUNCTION("GOOGLETRANSLATE(F6355,""en"",""pt"")"),"guinchos à beira da piscina")</f>
        <v>guinchos à beira da piscina</v>
      </c>
      <c r="J6355">
        <f>VLOOKUP(A6355,Pr_Base_LNEC!$A$4:$J$6971,6,FALSE)</f>
        <v>0</v>
      </c>
      <c r="K6355">
        <f>VLOOKUP(A6355,Pr_Base_LNEC!$A$4:$J$6971,7,FALSE)</f>
        <v>0</v>
      </c>
    </row>
    <row r="6356" spans="1:11" ht="14.5">
      <c r="A6356" s="20" t="s">
        <v>30186</v>
      </c>
      <c r="B6356" s="20">
        <v>65</v>
      </c>
      <c r="C6356" s="20">
        <v>80</v>
      </c>
      <c r="D6356" s="20">
        <v>47</v>
      </c>
      <c r="E6356" s="20">
        <v>76</v>
      </c>
      <c r="F6356" s="20" t="s">
        <v>30187</v>
      </c>
      <c r="G6356" s="24"/>
      <c r="H6356" s="24"/>
      <c r="I6356" s="24" t="str">
        <f ca="1">IFERROR(__xludf.DUMMYFUNCTION("GOOGLETRANSLATE(F6356,""en"",""pt"")"),"talhas de serviços")</f>
        <v>talhas de serviços</v>
      </c>
      <c r="J6356">
        <f>VLOOKUP(A6356,Pr_Base_LNEC!$A$4:$J$6971,6,FALSE)</f>
        <v>0</v>
      </c>
      <c r="K6356">
        <f>VLOOKUP(A6356,Pr_Base_LNEC!$A$4:$J$6971,7,FALSE)</f>
        <v>0</v>
      </c>
    </row>
    <row r="6357" spans="1:11" ht="14.5">
      <c r="A6357" s="20" t="s">
        <v>30188</v>
      </c>
      <c r="B6357" s="20">
        <v>65</v>
      </c>
      <c r="C6357" s="20">
        <v>80</v>
      </c>
      <c r="D6357" s="20">
        <v>47</v>
      </c>
      <c r="E6357" s="20">
        <v>84</v>
      </c>
      <c r="F6357" s="20" t="s">
        <v>30189</v>
      </c>
      <c r="G6357" s="20" t="s">
        <v>30190</v>
      </c>
      <c r="H6357" s="24"/>
      <c r="I6357" s="24" t="str">
        <f ca="1">IFERROR(__xludf.DUMMYFUNCTION("GOOGLETRANSLATE(F6357,""en"",""pt"")"),"elevadores passo")</f>
        <v>elevadores passo</v>
      </c>
      <c r="J6357">
        <f>VLOOKUP(A6357,Pr_Base_LNEC!$A$4:$J$6971,6,FALSE)</f>
        <v>0</v>
      </c>
      <c r="K6357">
        <f>VLOOKUP(A6357,Pr_Base_LNEC!$A$4:$J$6971,7,FALSE)</f>
        <v>0</v>
      </c>
    </row>
    <row r="6358" spans="1:11" ht="14.5">
      <c r="A6358" s="20" t="s">
        <v>30191</v>
      </c>
      <c r="B6358" s="20">
        <v>65</v>
      </c>
      <c r="C6358" s="20">
        <v>80</v>
      </c>
      <c r="D6358" s="20">
        <v>47</v>
      </c>
      <c r="E6358" s="20">
        <v>94</v>
      </c>
      <c r="F6358" s="20" t="s">
        <v>30192</v>
      </c>
      <c r="G6358" s="24"/>
      <c r="H6358" s="24"/>
      <c r="I6358" s="24" t="str">
        <f ca="1">IFERROR(__xludf.DUMMYFUNCTION("GOOGLETRANSLATE(F6358,""en"",""pt"")"),"guinchos de veículos")</f>
        <v>guinchos de veículos</v>
      </c>
      <c r="J6358">
        <f>VLOOKUP(A6358,Pr_Base_LNEC!$A$4:$J$6971,6,FALSE)</f>
        <v>0</v>
      </c>
      <c r="K6358">
        <f>VLOOKUP(A6358,Pr_Base_LNEC!$A$4:$J$6971,7,FALSE)</f>
        <v>0</v>
      </c>
    </row>
    <row r="6359" spans="1:11" ht="14.5">
      <c r="A6359" s="20" t="s">
        <v>30193</v>
      </c>
      <c r="B6359" s="20">
        <v>65</v>
      </c>
      <c r="C6359" s="20">
        <v>80</v>
      </c>
      <c r="D6359" s="20">
        <v>47</v>
      </c>
      <c r="E6359" s="20">
        <v>95</v>
      </c>
      <c r="F6359" s="20" t="s">
        <v>30194</v>
      </c>
      <c r="G6359" s="20" t="s">
        <v>30195</v>
      </c>
      <c r="H6359" s="24"/>
      <c r="I6359" s="24" t="str">
        <f ca="1">IFERROR(__xludf.DUMMYFUNCTION("GOOGLETRANSLATE(F6359,""en"",""pt"")"),"plataformas elevatórias verticais")</f>
        <v>plataformas elevatórias verticais</v>
      </c>
      <c r="J6359">
        <f>VLOOKUP(A6359,Pr_Base_LNEC!$A$4:$J$6971,6,FALSE)</f>
        <v>0</v>
      </c>
      <c r="K6359">
        <f>VLOOKUP(A6359,Pr_Base_LNEC!$A$4:$J$6971,7,FALSE)</f>
        <v>0</v>
      </c>
    </row>
    <row r="6360" spans="1:11" ht="14.5">
      <c r="A6360" s="20" t="s">
        <v>30196</v>
      </c>
      <c r="B6360" s="20">
        <v>65</v>
      </c>
      <c r="C6360" s="20">
        <v>80</v>
      </c>
      <c r="D6360" s="20">
        <v>47</v>
      </c>
      <c r="E6360" s="20">
        <v>96</v>
      </c>
      <c r="F6360" s="20" t="s">
        <v>30197</v>
      </c>
      <c r="G6360" s="24"/>
      <c r="H6360" s="24"/>
      <c r="I6360" s="24" t="str">
        <f ca="1">IFERROR(__xludf.DUMMYFUNCTION("GOOGLETRANSLATE(F6360,""en"",""pt"")"),"elevadores verticais de armazenamento")</f>
        <v>elevadores verticais de armazenamento</v>
      </c>
      <c r="J6360">
        <f>VLOOKUP(A6360,Pr_Base_LNEC!$A$4:$J$6971,6,FALSE)</f>
        <v>0</v>
      </c>
      <c r="K6360">
        <f>VLOOKUP(A6360,Pr_Base_LNEC!$A$4:$J$6971,7,FALSE)</f>
        <v>0</v>
      </c>
    </row>
    <row r="6361" spans="1:11" ht="14.5">
      <c r="A6361" s="20" t="s">
        <v>30198</v>
      </c>
      <c r="B6361" s="20">
        <v>65</v>
      </c>
      <c r="C6361" s="20">
        <v>80</v>
      </c>
      <c r="D6361" s="20">
        <v>65</v>
      </c>
      <c r="E6361" s="24"/>
      <c r="F6361" s="20" t="s">
        <v>30199</v>
      </c>
      <c r="G6361" s="24"/>
      <c r="H6361" s="24"/>
      <c r="I6361" s="24" t="str">
        <f ca="1">IFERROR(__xludf.DUMMYFUNCTION("GOOGLETRANSLATE(F6361,""en"",""pt"")"),"documento transporte dos produtos pneumáticos")</f>
        <v>documento transporte dos produtos pneumáticos</v>
      </c>
      <c r="J6361">
        <f>VLOOKUP(A6361,Pr_Base_LNEC!$A$4:$J$6971,6,FALSE)</f>
        <v>0</v>
      </c>
      <c r="K6361">
        <f>VLOOKUP(A6361,Pr_Base_LNEC!$A$4:$J$6971,7,FALSE)</f>
        <v>0</v>
      </c>
    </row>
    <row r="6362" spans="1:11" ht="14.5">
      <c r="A6362" s="20" t="s">
        <v>30200</v>
      </c>
      <c r="B6362" s="20">
        <v>65</v>
      </c>
      <c r="C6362" s="20">
        <v>80</v>
      </c>
      <c r="D6362" s="20">
        <v>65</v>
      </c>
      <c r="E6362" s="20">
        <v>63</v>
      </c>
      <c r="F6362" s="20" t="s">
        <v>30201</v>
      </c>
      <c r="G6362" s="20" t="s">
        <v>30202</v>
      </c>
      <c r="H6362" s="24"/>
      <c r="I6362" s="24" t="str">
        <f ca="1">IFERROR(__xludf.DUMMYFUNCTION("GOOGLETRANSLATE(F6362,""en"",""pt"")"),"documentos transmitir sopradores pneumáticos")</f>
        <v>documentos transmitir sopradores pneumáticos</v>
      </c>
      <c r="J6362">
        <f>VLOOKUP(A6362,Pr_Base_LNEC!$A$4:$J$6971,6,FALSE)</f>
        <v>0</v>
      </c>
      <c r="K6362">
        <f>VLOOKUP(A6362,Pr_Base_LNEC!$A$4:$J$6971,7,FALSE)</f>
        <v>0</v>
      </c>
    </row>
    <row r="6363" spans="1:11" ht="14.5">
      <c r="A6363" s="20" t="s">
        <v>30203</v>
      </c>
      <c r="B6363" s="20">
        <v>65</v>
      </c>
      <c r="C6363" s="20">
        <v>80</v>
      </c>
      <c r="D6363" s="20">
        <v>65</v>
      </c>
      <c r="E6363" s="20">
        <v>64</v>
      </c>
      <c r="F6363" s="20" t="s">
        <v>30204</v>
      </c>
      <c r="G6363" s="20" t="s">
        <v>30205</v>
      </c>
      <c r="H6363" s="24"/>
      <c r="I6363" s="24" t="str">
        <f ca="1">IFERROR(__xludf.DUMMYFUNCTION("GOOGLETRANSLATE(F6363,""en"",""pt"")"),"portadores de documentos de transporte pneumático")</f>
        <v>portadores de documentos de transporte pneumático</v>
      </c>
      <c r="J6363">
        <f>VLOOKUP(A6363,Pr_Base_LNEC!$A$4:$J$6971,6,FALSE)</f>
        <v>0</v>
      </c>
      <c r="K6363">
        <f>VLOOKUP(A6363,Pr_Base_LNEC!$A$4:$J$6971,7,FALSE)</f>
        <v>0</v>
      </c>
    </row>
    <row r="6364" spans="1:11" ht="14.5">
      <c r="A6364" s="20" t="s">
        <v>30206</v>
      </c>
      <c r="B6364" s="20">
        <v>65</v>
      </c>
      <c r="C6364" s="20">
        <v>80</v>
      </c>
      <c r="D6364" s="20">
        <v>65</v>
      </c>
      <c r="E6364" s="20">
        <v>65</v>
      </c>
      <c r="F6364" s="20" t="s">
        <v>30207</v>
      </c>
      <c r="G6364" s="20" t="s">
        <v>30208</v>
      </c>
      <c r="H6364" s="24"/>
      <c r="I6364" s="24" t="str">
        <f ca="1">IFERROR(__xludf.DUMMYFUNCTION("GOOGLETRANSLATE(F6364,""en"",""pt"")"),"documentos transmitir desviadores de pneumáticos")</f>
        <v>documentos transmitir desviadores de pneumáticos</v>
      </c>
      <c r="J6364">
        <f>VLOOKUP(A6364,Pr_Base_LNEC!$A$4:$J$6971,6,FALSE)</f>
        <v>0</v>
      </c>
      <c r="K6364">
        <f>VLOOKUP(A6364,Pr_Base_LNEC!$A$4:$J$6971,7,FALSE)</f>
        <v>0</v>
      </c>
    </row>
    <row r="6365" spans="1:11" ht="14.5">
      <c r="A6365" s="20" t="s">
        <v>30209</v>
      </c>
      <c r="B6365" s="20">
        <v>65</v>
      </c>
      <c r="C6365" s="20">
        <v>80</v>
      </c>
      <c r="D6365" s="20">
        <v>65</v>
      </c>
      <c r="E6365" s="20">
        <v>66</v>
      </c>
      <c r="F6365" s="20" t="s">
        <v>30210</v>
      </c>
      <c r="G6365" s="20" t="s">
        <v>30211</v>
      </c>
      <c r="H6365" s="24"/>
      <c r="I6365" s="24" t="str">
        <f ca="1">IFERROR(__xludf.DUMMYFUNCTION("GOOGLETRANSLATE(F6365,""en"",""pt"")"),"tubos e acessórios pneumáticos de transporte de documentos")</f>
        <v>tubos e acessórios pneumáticos de transporte de documentos</v>
      </c>
      <c r="J6365">
        <f>VLOOKUP(A6365,Pr_Base_LNEC!$A$4:$J$6971,6,FALSE)</f>
        <v>0</v>
      </c>
      <c r="K6365">
        <f>VLOOKUP(A6365,Pr_Base_LNEC!$A$4:$J$6971,7,FALSE)</f>
        <v>0</v>
      </c>
    </row>
    <row r="6366" spans="1:11" ht="14.5">
      <c r="A6366" s="20" t="s">
        <v>30212</v>
      </c>
      <c r="B6366" s="20">
        <v>65</v>
      </c>
      <c r="C6366" s="20">
        <v>80</v>
      </c>
      <c r="D6366" s="20">
        <v>65</v>
      </c>
      <c r="E6366" s="20">
        <v>67</v>
      </c>
      <c r="F6366" s="20" t="s">
        <v>30213</v>
      </c>
      <c r="G6366" s="20" t="s">
        <v>30214</v>
      </c>
      <c r="H6366" s="24"/>
      <c r="I6366" s="24" t="str">
        <f ca="1">IFERROR(__xludf.DUMMYFUNCTION("GOOGLETRANSLATE(F6366,""en"",""pt"")"),"estações de documentos de transporte pneumático")</f>
        <v>estações de documentos de transporte pneumático</v>
      </c>
      <c r="J6366">
        <f>VLOOKUP(A6366,Pr_Base_LNEC!$A$4:$J$6971,6,FALSE)</f>
        <v>0</v>
      </c>
      <c r="K6366">
        <f>VLOOKUP(A6366,Pr_Base_LNEC!$A$4:$J$6971,7,FALSE)</f>
        <v>0</v>
      </c>
    </row>
    <row r="6367" spans="1:11" ht="14.5">
      <c r="A6367" s="20" t="s">
        <v>30215</v>
      </c>
      <c r="B6367" s="20">
        <v>65</v>
      </c>
      <c r="C6367" s="20">
        <v>80</v>
      </c>
      <c r="D6367" s="20">
        <v>89</v>
      </c>
      <c r="E6367" s="24"/>
      <c r="F6367" s="20" t="s">
        <v>30216</v>
      </c>
      <c r="G6367" s="24"/>
      <c r="H6367" s="24"/>
      <c r="I6367" s="24" t="str">
        <f ca="1">IFERROR(__xludf.DUMMYFUNCTION("GOOGLETRANSLATE(F6367,""en"",""pt"")"),"cabos de transporte")</f>
        <v>cabos de transporte</v>
      </c>
      <c r="J6367">
        <f>VLOOKUP(A6367,Pr_Base_LNEC!$A$4:$J$6971,6,FALSE)</f>
        <v>0</v>
      </c>
      <c r="K6367">
        <f>VLOOKUP(A6367,Pr_Base_LNEC!$A$4:$J$6971,7,FALSE)</f>
        <v>0</v>
      </c>
    </row>
    <row r="6368" spans="1:11" ht="14.5">
      <c r="A6368" s="20" t="s">
        <v>30217</v>
      </c>
      <c r="B6368" s="20">
        <v>65</v>
      </c>
      <c r="C6368" s="20">
        <v>80</v>
      </c>
      <c r="D6368" s="20">
        <v>89</v>
      </c>
      <c r="E6368" s="20">
        <v>11</v>
      </c>
      <c r="F6368" s="20" t="s">
        <v>30218</v>
      </c>
      <c r="G6368" s="24"/>
      <c r="H6368" s="24"/>
      <c r="I6368" s="24" t="str">
        <f ca="1">IFERROR(__xludf.DUMMYFUNCTION("GOOGLETRANSLATE(F6368,""en"",""pt"")"),"cabos de teleférico")</f>
        <v>cabos de teleférico</v>
      </c>
      <c r="J6368">
        <f>VLOOKUP(A6368,Pr_Base_LNEC!$A$4:$J$6971,6,FALSE)</f>
        <v>0</v>
      </c>
      <c r="K6368">
        <f>VLOOKUP(A6368,Pr_Base_LNEC!$A$4:$J$6971,7,FALSE)</f>
        <v>0</v>
      </c>
    </row>
    <row r="6369" spans="1:11" ht="14.5">
      <c r="A6369" s="20" t="s">
        <v>30219</v>
      </c>
      <c r="B6369" s="20">
        <v>65</v>
      </c>
      <c r="C6369" s="20">
        <v>80</v>
      </c>
      <c r="D6369" s="20">
        <v>89</v>
      </c>
      <c r="E6369" s="20">
        <v>46</v>
      </c>
      <c r="F6369" s="20" t="s">
        <v>30220</v>
      </c>
      <c r="G6369" s="24"/>
      <c r="H6369" s="24"/>
      <c r="I6369" s="24" t="str">
        <f ca="1">IFERROR(__xludf.DUMMYFUNCTION("GOOGLETRANSLATE(F6369,""en"",""pt"")"),"cabos do elevador")</f>
        <v>cabos do elevador</v>
      </c>
      <c r="J6369">
        <f>VLOOKUP(A6369,Pr_Base_LNEC!$A$4:$J$6971,6,FALSE)</f>
        <v>0</v>
      </c>
      <c r="K6369">
        <f>VLOOKUP(A6369,Pr_Base_LNEC!$A$4:$J$6971,7,FALSE)</f>
        <v>0</v>
      </c>
    </row>
    <row r="6370" spans="1:11" ht="14.5">
      <c r="A6370" s="20" t="s">
        <v>30221</v>
      </c>
      <c r="B6370" s="20">
        <v>65</v>
      </c>
      <c r="C6370" s="20">
        <v>80</v>
      </c>
      <c r="D6370" s="20">
        <v>89</v>
      </c>
      <c r="E6370" s="20">
        <v>85</v>
      </c>
      <c r="F6370" s="20" t="s">
        <v>30222</v>
      </c>
      <c r="G6370" s="24"/>
      <c r="H6370" s="24"/>
      <c r="I6370" s="24" t="str">
        <f ca="1">IFERROR(__xludf.DUMMYFUNCTION("GOOGLETRANSLATE(F6370,""en"",""pt"")"),"cabos do elevador de esqui")</f>
        <v>cabos do elevador de esqui</v>
      </c>
      <c r="J6370">
        <f>VLOOKUP(A6370,Pr_Base_LNEC!$A$4:$J$6971,6,FALSE)</f>
        <v>0</v>
      </c>
      <c r="K6370">
        <f>VLOOKUP(A6370,Pr_Base_LNEC!$A$4:$J$6971,7,FALSE)</f>
        <v>0</v>
      </c>
    </row>
    <row r="6371" spans="1:11" ht="14.5">
      <c r="A6371" s="20" t="s">
        <v>30223</v>
      </c>
      <c r="B6371" s="20">
        <v>65</v>
      </c>
      <c r="C6371" s="20">
        <v>80</v>
      </c>
      <c r="D6371" s="20">
        <v>96</v>
      </c>
      <c r="E6371" s="24"/>
      <c r="F6371" s="20" t="s">
        <v>30224</v>
      </c>
      <c r="G6371" s="24"/>
      <c r="H6371" s="24"/>
      <c r="I6371" s="24" t="str">
        <f ca="1">IFERROR(__xludf.DUMMYFUNCTION("GOOGLETRANSLATE(F6371,""en"",""pt"")"),"produtos de transporte de águas residuais")</f>
        <v>produtos de transporte de águas residuais</v>
      </c>
      <c r="J6371">
        <f>VLOOKUP(A6371,Pr_Base_LNEC!$A$4:$J$6971,6,FALSE)</f>
        <v>0</v>
      </c>
      <c r="K6371">
        <f>VLOOKUP(A6371,Pr_Base_LNEC!$A$4:$J$6971,7,FALSE)</f>
        <v>0</v>
      </c>
    </row>
    <row r="6372" spans="1:11" ht="14.5">
      <c r="A6372" s="20" t="s">
        <v>30225</v>
      </c>
      <c r="B6372" s="20">
        <v>65</v>
      </c>
      <c r="C6372" s="20">
        <v>80</v>
      </c>
      <c r="D6372" s="20">
        <v>96</v>
      </c>
      <c r="E6372" s="20">
        <v>7</v>
      </c>
      <c r="F6372" s="20" t="s">
        <v>30226</v>
      </c>
      <c r="G6372" s="20" t="s">
        <v>30227</v>
      </c>
      <c r="H6372" s="24"/>
      <c r="I6372" s="24" t="str">
        <f ca="1">IFERROR(__xludf.DUMMYFUNCTION("GOOGLETRANSLATE(F6372,""en"",""pt"")"),"Correia transportadora")</f>
        <v>Correia transportadora</v>
      </c>
      <c r="J6372">
        <f>VLOOKUP(A6372,Pr_Base_LNEC!$A$4:$J$6971,6,FALSE)</f>
        <v>0</v>
      </c>
      <c r="K6372">
        <f>VLOOKUP(A6372,Pr_Base_LNEC!$A$4:$J$6971,7,FALSE)</f>
        <v>0</v>
      </c>
    </row>
    <row r="6373" spans="1:11" ht="14.5">
      <c r="A6373" s="20" t="s">
        <v>30228</v>
      </c>
      <c r="B6373" s="20">
        <v>65</v>
      </c>
      <c r="C6373" s="20">
        <v>80</v>
      </c>
      <c r="D6373" s="20">
        <v>96</v>
      </c>
      <c r="E6373" s="20">
        <v>24</v>
      </c>
      <c r="F6373" s="20" t="s">
        <v>30229</v>
      </c>
      <c r="G6373" s="20" t="s">
        <v>30230</v>
      </c>
      <c r="H6373" s="24"/>
      <c r="I6373" s="24" t="str">
        <f ca="1">IFERROR(__xludf.DUMMYFUNCTION("GOOGLETRANSLATE(F6373,""en"",""pt"")"),"Arrastar ou transportadores de corrente de ligação")</f>
        <v>Arrastar ou transportadores de corrente de ligação</v>
      </c>
      <c r="J6373">
        <f>VLOOKUP(A6373,Pr_Base_LNEC!$A$4:$J$6971,6,FALSE)</f>
        <v>0</v>
      </c>
      <c r="K6373">
        <f>VLOOKUP(A6373,Pr_Base_LNEC!$A$4:$J$6971,7,FALSE)</f>
        <v>0</v>
      </c>
    </row>
    <row r="6374" spans="1:11" ht="14.5">
      <c r="A6374" s="20" t="s">
        <v>30231</v>
      </c>
      <c r="B6374" s="20">
        <v>65</v>
      </c>
      <c r="C6374" s="20">
        <v>80</v>
      </c>
      <c r="D6374" s="20">
        <v>96</v>
      </c>
      <c r="E6374" s="20">
        <v>76</v>
      </c>
      <c r="F6374" s="20" t="s">
        <v>30232</v>
      </c>
      <c r="G6374" s="20" t="s">
        <v>30233</v>
      </c>
      <c r="H6374" s="24"/>
      <c r="I6374" s="24" t="str">
        <f ca="1">IFERROR(__xludf.DUMMYFUNCTION("GOOGLETRANSLATE(F6374,""en"",""pt"")"),"transportadores helicoidais")</f>
        <v>transportadores helicoidais</v>
      </c>
      <c r="J6374">
        <f>VLOOKUP(A6374,Pr_Base_LNEC!$A$4:$J$6971,6,FALSE)</f>
        <v>0</v>
      </c>
      <c r="K6374">
        <f>VLOOKUP(A6374,Pr_Base_LNEC!$A$4:$J$6971,7,FALSE)</f>
        <v>0</v>
      </c>
    </row>
    <row r="6375" spans="1:11" ht="14.5">
      <c r="A6375" s="20" t="s">
        <v>30234</v>
      </c>
      <c r="B6375" s="20">
        <v>65</v>
      </c>
      <c r="C6375" s="20">
        <v>80</v>
      </c>
      <c r="D6375" s="20">
        <v>96</v>
      </c>
      <c r="E6375" s="20">
        <v>79</v>
      </c>
      <c r="F6375" s="20" t="s">
        <v>30235</v>
      </c>
      <c r="G6375" s="20" t="s">
        <v>30236</v>
      </c>
      <c r="H6375" s="24"/>
      <c r="I6375" s="24" t="str">
        <f ca="1">IFERROR(__xludf.DUMMYFUNCTION("GOOGLETRANSLATE(F6375,""en"",""pt"")"),"Transportadores de parafuso Shafted")</f>
        <v>Transportadores de parafuso Shafted</v>
      </c>
      <c r="J6375">
        <f>VLOOKUP(A6375,Pr_Base_LNEC!$A$4:$J$6971,6,FALSE)</f>
        <v>0</v>
      </c>
      <c r="K6375">
        <f>VLOOKUP(A6375,Pr_Base_LNEC!$A$4:$J$6971,7,FALSE)</f>
        <v>0</v>
      </c>
    </row>
    <row r="6376" spans="1:11" ht="14.5">
      <c r="A6376" s="20" t="s">
        <v>30237</v>
      </c>
      <c r="B6376" s="20">
        <v>65</v>
      </c>
      <c r="C6376" s="20">
        <v>80</v>
      </c>
      <c r="D6376" s="20">
        <v>96</v>
      </c>
      <c r="E6376" s="20">
        <v>80</v>
      </c>
      <c r="F6376" s="20" t="s">
        <v>30238</v>
      </c>
      <c r="G6376" s="20" t="s">
        <v>30239</v>
      </c>
      <c r="H6376" s="24"/>
      <c r="I6376" s="24" t="str">
        <f ca="1">IFERROR(__xludf.DUMMYFUNCTION("GOOGLETRANSLATE(F6376,""en"",""pt"")"),"transportadores em espiral sem eixo")</f>
        <v>transportadores em espiral sem eixo</v>
      </c>
      <c r="J6376">
        <f>VLOOKUP(A6376,Pr_Base_LNEC!$A$4:$J$6971,6,FALSE)</f>
        <v>0</v>
      </c>
      <c r="K6376">
        <f>VLOOKUP(A6376,Pr_Base_LNEC!$A$4:$J$6971,7,FALSE)</f>
        <v>0</v>
      </c>
    </row>
    <row r="6377" spans="1:11" ht="14.5">
      <c r="A6377" s="20" t="s">
        <v>30240</v>
      </c>
      <c r="B6377" s="20">
        <v>70</v>
      </c>
      <c r="C6377" s="24"/>
      <c r="D6377" s="24"/>
      <c r="E6377" s="24"/>
      <c r="F6377" s="20" t="s">
        <v>30241</v>
      </c>
      <c r="G6377" s="24"/>
      <c r="H6377" s="24"/>
      <c r="I6377" s="24" t="str">
        <f ca="1">IFERROR(__xludf.DUMMYFUNCTION("GOOGLETRANSLATE(F6377,""en"",""pt"")"),"Serviços de saída produtos")</f>
        <v>Serviços de saída produtos</v>
      </c>
      <c r="J6377" t="str">
        <f>VLOOKUP(A6377,Pr_Base_LNEC!$A$4:$J$6971,6,FALSE)</f>
        <v>Produtos para Saída de Serviços</v>
      </c>
      <c r="K6377">
        <f>VLOOKUP(A6377,Pr_Base_LNEC!$A$4:$J$6971,7,FALSE)</f>
        <v>0</v>
      </c>
    </row>
    <row r="6378" spans="1:11" ht="14.5">
      <c r="A6378" s="20" t="s">
        <v>30242</v>
      </c>
      <c r="B6378" s="20">
        <v>70</v>
      </c>
      <c r="C6378" s="20">
        <v>50</v>
      </c>
      <c r="D6378" s="24"/>
      <c r="E6378" s="24"/>
      <c r="F6378" s="20" t="s">
        <v>30243</v>
      </c>
      <c r="G6378" s="24"/>
      <c r="H6378" s="24"/>
      <c r="I6378" s="24" t="str">
        <f ca="1">IFERROR(__xludf.DUMMYFUNCTION("GOOGLETRANSLATE(F6378,""en"",""pt"")"),"produtos de disposição de resíduos sólidos")</f>
        <v>produtos de disposição de resíduos sólidos</v>
      </c>
      <c r="J6378" t="str">
        <f>VLOOKUP(A6378,Pr_Base_LNEC!$A$4:$J$6971,6,FALSE)</f>
        <v>Produtos para desperdicios de residiuos sólidos</v>
      </c>
      <c r="K6378">
        <f>VLOOKUP(A6378,Pr_Base_LNEC!$A$4:$J$6971,7,FALSE)</f>
        <v>0</v>
      </c>
    </row>
    <row r="6379" spans="1:11" ht="14.5">
      <c r="A6379" s="20" t="s">
        <v>30244</v>
      </c>
      <c r="B6379" s="20">
        <v>70</v>
      </c>
      <c r="C6379" s="20">
        <v>50</v>
      </c>
      <c r="D6379" s="20">
        <v>71</v>
      </c>
      <c r="E6379" s="24"/>
      <c r="F6379" s="20" t="s">
        <v>30245</v>
      </c>
      <c r="G6379" s="24"/>
      <c r="H6379" s="24"/>
      <c r="I6379" s="24" t="str">
        <f ca="1">IFERROR(__xludf.DUMMYFUNCTION("GOOGLETRANSLATE(F6379,""en"",""pt"")"),"equipamentos de disposição de refugo")</f>
        <v>equipamentos de disposição de refugo</v>
      </c>
      <c r="J6379">
        <f>VLOOKUP(A6379,Pr_Base_LNEC!$A$4:$J$6971,6,FALSE)</f>
        <v>0</v>
      </c>
      <c r="K6379">
        <f>VLOOKUP(A6379,Pr_Base_LNEC!$A$4:$J$6971,7,FALSE)</f>
        <v>0</v>
      </c>
    </row>
    <row r="6380" spans="1:11" ht="14.5">
      <c r="A6380" s="20" t="s">
        <v>30246</v>
      </c>
      <c r="B6380" s="20">
        <v>70</v>
      </c>
      <c r="C6380" s="20">
        <v>50</v>
      </c>
      <c r="D6380" s="20">
        <v>71</v>
      </c>
      <c r="E6380" s="20">
        <v>18</v>
      </c>
      <c r="F6380" s="20" t="s">
        <v>30247</v>
      </c>
      <c r="G6380" s="24"/>
      <c r="H6380" s="24"/>
      <c r="I6380" s="24" t="str">
        <f ca="1">IFERROR(__xludf.DUMMYFUNCTION("GOOGLETRANSLATE(F6380,""en"",""pt"")"),"trituradores")</f>
        <v>trituradores</v>
      </c>
      <c r="J6380">
        <f>VLOOKUP(A6380,Pr_Base_LNEC!$A$4:$J$6971,6,FALSE)</f>
        <v>0</v>
      </c>
      <c r="K6380">
        <f>VLOOKUP(A6380,Pr_Base_LNEC!$A$4:$J$6971,7,FALSE)</f>
        <v>0</v>
      </c>
    </row>
    <row r="6381" spans="1:11" ht="14.5">
      <c r="A6381" s="20" t="s">
        <v>30248</v>
      </c>
      <c r="B6381" s="20">
        <v>70</v>
      </c>
      <c r="C6381" s="20">
        <v>50</v>
      </c>
      <c r="D6381" s="20">
        <v>71</v>
      </c>
      <c r="E6381" s="20">
        <v>42</v>
      </c>
      <c r="F6381" s="20" t="s">
        <v>30249</v>
      </c>
      <c r="G6381" s="24"/>
      <c r="H6381" s="24"/>
      <c r="I6381" s="24" t="str">
        <f ca="1">IFERROR(__xludf.DUMMYFUNCTION("GOOGLETRANSLATE(F6381,""en"",""pt"")"),"incineradores")</f>
        <v>incineradores</v>
      </c>
      <c r="J6381">
        <f>VLOOKUP(A6381,Pr_Base_LNEC!$A$4:$J$6971,6,FALSE)</f>
        <v>0</v>
      </c>
      <c r="K6381">
        <f>VLOOKUP(A6381,Pr_Base_LNEC!$A$4:$J$6971,7,FALSE)</f>
        <v>0</v>
      </c>
    </row>
    <row r="6382" spans="1:11" ht="14.5">
      <c r="A6382" s="20" t="s">
        <v>30250</v>
      </c>
      <c r="B6382" s="20">
        <v>70</v>
      </c>
      <c r="C6382" s="20">
        <v>50</v>
      </c>
      <c r="D6382" s="20">
        <v>71</v>
      </c>
      <c r="E6382" s="20">
        <v>60</v>
      </c>
      <c r="F6382" s="20" t="s">
        <v>30251</v>
      </c>
      <c r="G6382" s="24"/>
      <c r="H6382" s="24"/>
      <c r="I6382" s="24" t="str">
        <f ca="1">IFERROR(__xludf.DUMMYFUNCTION("GOOGLETRANSLATE(F6382,""en"",""pt"")"),"empacotadores")</f>
        <v>empacotadores</v>
      </c>
      <c r="J6382">
        <f>VLOOKUP(A6382,Pr_Base_LNEC!$A$4:$J$6971,6,FALSE)</f>
        <v>0</v>
      </c>
      <c r="K6382">
        <f>VLOOKUP(A6382,Pr_Base_LNEC!$A$4:$J$6971,7,FALSE)</f>
        <v>0</v>
      </c>
    </row>
    <row r="6383" spans="1:11" ht="14.5">
      <c r="A6383" s="20" t="s">
        <v>30252</v>
      </c>
      <c r="B6383" s="20">
        <v>70</v>
      </c>
      <c r="C6383" s="20">
        <v>50</v>
      </c>
      <c r="D6383" s="20">
        <v>80</v>
      </c>
      <c r="E6383" s="24"/>
      <c r="F6383" s="20" t="s">
        <v>30253</v>
      </c>
      <c r="G6383" s="24"/>
      <c r="H6383" s="24"/>
      <c r="I6383" s="24" t="str">
        <f ca="1">IFERROR(__xludf.DUMMYFUNCTION("GOOGLETRANSLATE(F6383,""en"",""pt"")"),"enfardadeiras de resíduos sólidos")</f>
        <v>enfardadeiras de resíduos sólidos</v>
      </c>
      <c r="J6383">
        <f>VLOOKUP(A6383,Pr_Base_LNEC!$A$4:$J$6971,6,FALSE)</f>
        <v>0</v>
      </c>
      <c r="K6383">
        <f>VLOOKUP(A6383,Pr_Base_LNEC!$A$4:$J$6971,7,FALSE)</f>
        <v>0</v>
      </c>
    </row>
    <row r="6384" spans="1:11" ht="14.5">
      <c r="A6384" s="20" t="s">
        <v>30254</v>
      </c>
      <c r="B6384" s="20">
        <v>70</v>
      </c>
      <c r="C6384" s="20">
        <v>50</v>
      </c>
      <c r="D6384" s="20">
        <v>80</v>
      </c>
      <c r="E6384" s="20">
        <v>37</v>
      </c>
      <c r="F6384" s="20" t="s">
        <v>30255</v>
      </c>
      <c r="G6384" s="20" t="s">
        <v>30256</v>
      </c>
      <c r="H6384" s="24"/>
      <c r="I6384" s="24" t="str">
        <f ca="1">IFERROR(__xludf.DUMMYFUNCTION("GOOGLETRANSLATE(F6384,""en"",""pt"")"),"enfardadeiras horizontais")</f>
        <v>enfardadeiras horizontais</v>
      </c>
      <c r="J6384">
        <f>VLOOKUP(A6384,Pr_Base_LNEC!$A$4:$J$6971,6,FALSE)</f>
        <v>0</v>
      </c>
      <c r="K6384">
        <f>VLOOKUP(A6384,Pr_Base_LNEC!$A$4:$J$6971,7,FALSE)</f>
        <v>0</v>
      </c>
    </row>
    <row r="6385" spans="1:11" ht="14.5">
      <c r="A6385" s="20" t="s">
        <v>30257</v>
      </c>
      <c r="B6385" s="20">
        <v>70</v>
      </c>
      <c r="C6385" s="20">
        <v>50</v>
      </c>
      <c r="D6385" s="20">
        <v>80</v>
      </c>
      <c r="E6385" s="20">
        <v>94</v>
      </c>
      <c r="F6385" s="20" t="s">
        <v>30258</v>
      </c>
      <c r="G6385" s="20" t="s">
        <v>30259</v>
      </c>
      <c r="H6385" s="24"/>
      <c r="I6385" s="24" t="str">
        <f ca="1">IFERROR(__xludf.DUMMYFUNCTION("GOOGLETRANSLATE(F6385,""en"",""pt"")"),"prensas verticais")</f>
        <v>prensas verticais</v>
      </c>
      <c r="J6385">
        <f>VLOOKUP(A6385,Pr_Base_LNEC!$A$4:$J$6971,6,FALSE)</f>
        <v>0</v>
      </c>
      <c r="K6385">
        <f>VLOOKUP(A6385,Pr_Base_LNEC!$A$4:$J$6971,7,FALSE)</f>
        <v>0</v>
      </c>
    </row>
    <row r="6386" spans="1:11" ht="14.5">
      <c r="A6386" s="20" t="s">
        <v>30260</v>
      </c>
      <c r="B6386" s="20">
        <v>70</v>
      </c>
      <c r="C6386" s="20">
        <v>50</v>
      </c>
      <c r="D6386" s="20">
        <v>85</v>
      </c>
      <c r="E6386" s="24"/>
      <c r="F6386" s="20" t="s">
        <v>30261</v>
      </c>
      <c r="G6386" s="24"/>
      <c r="H6386" s="24"/>
      <c r="I6386" s="24" t="str">
        <f ca="1">IFERROR(__xludf.DUMMYFUNCTION("GOOGLETRANSLATE(F6386,""en"",""pt"")"),"produtos compactador de resíduos sólidos")</f>
        <v>produtos compactador de resíduos sólidos</v>
      </c>
      <c r="J6386">
        <f>VLOOKUP(A6386,Pr_Base_LNEC!$A$4:$J$6971,6,FALSE)</f>
        <v>0</v>
      </c>
      <c r="K6386">
        <f>VLOOKUP(A6386,Pr_Base_LNEC!$A$4:$J$6971,7,FALSE)</f>
        <v>0</v>
      </c>
    </row>
    <row r="6387" spans="1:11" ht="14.5">
      <c r="A6387" s="20" t="s">
        <v>30262</v>
      </c>
      <c r="B6387" s="20">
        <v>70</v>
      </c>
      <c r="C6387" s="20">
        <v>50</v>
      </c>
      <c r="D6387" s="20">
        <v>85</v>
      </c>
      <c r="E6387" s="20">
        <v>24</v>
      </c>
      <c r="F6387" s="20" t="s">
        <v>30263</v>
      </c>
      <c r="G6387" s="20" t="s">
        <v>30264</v>
      </c>
      <c r="H6387" s="24"/>
      <c r="I6387" s="24" t="str">
        <f ca="1">IFERROR(__xludf.DUMMYFUNCTION("GOOGLETRANSLATE(F6387,""en"",""pt"")"),"compactadores de resíduos secos")</f>
        <v>compactadores de resíduos secos</v>
      </c>
      <c r="J6387">
        <f>VLOOKUP(A6387,Pr_Base_LNEC!$A$4:$J$6971,6,FALSE)</f>
        <v>0</v>
      </c>
      <c r="K6387">
        <f>VLOOKUP(A6387,Pr_Base_LNEC!$A$4:$J$6971,7,FALSE)</f>
        <v>0</v>
      </c>
    </row>
    <row r="6388" spans="1:11" ht="14.5">
      <c r="A6388" s="20" t="s">
        <v>30265</v>
      </c>
      <c r="B6388" s="20">
        <v>70</v>
      </c>
      <c r="C6388" s="20">
        <v>50</v>
      </c>
      <c r="D6388" s="20">
        <v>85</v>
      </c>
      <c r="E6388" s="20">
        <v>37</v>
      </c>
      <c r="F6388" s="20" t="s">
        <v>30266</v>
      </c>
      <c r="G6388" s="20" t="s">
        <v>30267</v>
      </c>
      <c r="H6388" s="24"/>
      <c r="I6388" s="24" t="str">
        <f ca="1">IFERROR(__xludf.DUMMYFUNCTION("GOOGLETRANSLATE(F6388,""en"",""pt"")"),"extrusoras de compactação de alta densidade")</f>
        <v>extrusoras de compactação de alta densidade</v>
      </c>
      <c r="J6388">
        <f>VLOOKUP(A6388,Pr_Base_LNEC!$A$4:$J$6971,6,FALSE)</f>
        <v>0</v>
      </c>
      <c r="K6388">
        <f>VLOOKUP(A6388,Pr_Base_LNEC!$A$4:$J$6971,7,FALSE)</f>
        <v>0</v>
      </c>
    </row>
    <row r="6389" spans="1:11" ht="14.5">
      <c r="A6389" s="20" t="s">
        <v>30268</v>
      </c>
      <c r="B6389" s="20">
        <v>70</v>
      </c>
      <c r="C6389" s="20">
        <v>50</v>
      </c>
      <c r="D6389" s="20">
        <v>85</v>
      </c>
      <c r="E6389" s="20">
        <v>65</v>
      </c>
      <c r="F6389" s="20" t="s">
        <v>30269</v>
      </c>
      <c r="G6389" s="20" t="s">
        <v>30270</v>
      </c>
      <c r="H6389" s="24"/>
      <c r="I6389" s="24" t="str">
        <f ca="1">IFERROR(__xludf.DUMMYFUNCTION("GOOGLETRANSLATE(F6389,""en"",""pt"")"),"compactadores de resíduos portáteis")</f>
        <v>compactadores de resíduos portáteis</v>
      </c>
      <c r="J6389">
        <f>VLOOKUP(A6389,Pr_Base_LNEC!$A$4:$J$6971,6,FALSE)</f>
        <v>0</v>
      </c>
      <c r="K6389">
        <f>VLOOKUP(A6389,Pr_Base_LNEC!$A$4:$J$6971,7,FALSE)</f>
        <v>0</v>
      </c>
    </row>
    <row r="6390" spans="1:11" ht="14.5">
      <c r="A6390" s="20" t="s">
        <v>30271</v>
      </c>
      <c r="B6390" s="20">
        <v>70</v>
      </c>
      <c r="C6390" s="20">
        <v>50</v>
      </c>
      <c r="D6390" s="20">
        <v>85</v>
      </c>
      <c r="E6390" s="20">
        <v>66</v>
      </c>
      <c r="F6390" s="20" t="s">
        <v>30272</v>
      </c>
      <c r="G6390" s="20" t="s">
        <v>30273</v>
      </c>
      <c r="H6390" s="24"/>
      <c r="I6390" s="24" t="str">
        <f ca="1">IFERROR(__xludf.DUMMYFUNCTION("GOOGLETRANSLATE(F6390,""en"",""pt"")"),"compactador de resíduos portátil e elevadores bin")</f>
        <v>compactador de resíduos portátil e elevadores bin</v>
      </c>
      <c r="J6390">
        <f>VLOOKUP(A6390,Pr_Base_LNEC!$A$4:$J$6971,6,FALSE)</f>
        <v>0</v>
      </c>
      <c r="K6390">
        <f>VLOOKUP(A6390,Pr_Base_LNEC!$A$4:$J$6971,7,FALSE)</f>
        <v>0</v>
      </c>
    </row>
    <row r="6391" spans="1:11" ht="14.5">
      <c r="A6391" s="20" t="s">
        <v>30274</v>
      </c>
      <c r="B6391" s="20">
        <v>70</v>
      </c>
      <c r="C6391" s="20">
        <v>50</v>
      </c>
      <c r="D6391" s="20">
        <v>85</v>
      </c>
      <c r="E6391" s="20">
        <v>78</v>
      </c>
      <c r="F6391" s="20" t="s">
        <v>30275</v>
      </c>
      <c r="G6391" s="20" t="s">
        <v>30276</v>
      </c>
      <c r="H6391" s="24"/>
      <c r="I6391" s="24" t="str">
        <f ca="1">IFERROR(__xludf.DUMMYFUNCTION("GOOGLETRANSLATE(F6391,""en"",""pt"")"),"Ir compactadores de resíduos portáteis")</f>
        <v>Ir compactadores de resíduos portáteis</v>
      </c>
      <c r="J6391">
        <f>VLOOKUP(A6391,Pr_Base_LNEC!$A$4:$J$6971,6,FALSE)</f>
        <v>0</v>
      </c>
      <c r="K6391">
        <f>VLOOKUP(A6391,Pr_Base_LNEC!$A$4:$J$6971,7,FALSE)</f>
        <v>0</v>
      </c>
    </row>
    <row r="6392" spans="1:11" ht="14.5">
      <c r="A6392" s="20" t="s">
        <v>30277</v>
      </c>
      <c r="B6392" s="20">
        <v>70</v>
      </c>
      <c r="C6392" s="20">
        <v>50</v>
      </c>
      <c r="D6392" s="20">
        <v>85</v>
      </c>
      <c r="E6392" s="20">
        <v>96</v>
      </c>
      <c r="F6392" s="20" t="s">
        <v>30278</v>
      </c>
      <c r="G6392" s="20" t="s">
        <v>30279</v>
      </c>
      <c r="H6392" s="24"/>
      <c r="I6392" s="24" t="str">
        <f ca="1">IFERROR(__xludf.DUMMYFUNCTION("GOOGLETRANSLATE(F6392,""en"",""pt"")"),"compactadores de resíduos húmidos")</f>
        <v>compactadores de resíduos húmidos</v>
      </c>
      <c r="J6392">
        <f>VLOOKUP(A6392,Pr_Base_LNEC!$A$4:$J$6971,6,FALSE)</f>
        <v>0</v>
      </c>
      <c r="K6392">
        <f>VLOOKUP(A6392,Pr_Base_LNEC!$A$4:$J$6971,7,FALSE)</f>
        <v>0</v>
      </c>
    </row>
    <row r="6393" spans="1:11" ht="14.5">
      <c r="A6393" s="20" t="s">
        <v>30280</v>
      </c>
      <c r="B6393" s="20">
        <v>70</v>
      </c>
      <c r="C6393" s="20">
        <v>55</v>
      </c>
      <c r="D6393" s="24"/>
      <c r="E6393" s="24"/>
      <c r="F6393" s="20" t="s">
        <v>30281</v>
      </c>
      <c r="G6393" s="24"/>
      <c r="H6393" s="24"/>
      <c r="I6393" s="24" t="str">
        <f ca="1">IFERROR(__xludf.DUMMYFUNCTION("GOOGLETRANSLATE(F6393,""en"",""pt"")"),"produtos saída de líquido e gás")</f>
        <v>produtos saída de líquido e gás</v>
      </c>
      <c r="J6393" t="str">
        <f>VLOOKUP(A6393,Pr_Base_LNEC!$A$4:$J$6971,6,FALSE)</f>
        <v>Produtos para Saída de Gás e Fluídos</v>
      </c>
      <c r="K6393">
        <f>VLOOKUP(A6393,Pr_Base_LNEC!$A$4:$J$6971,7,FALSE)</f>
        <v>0</v>
      </c>
    </row>
    <row r="6394" spans="1:11" ht="14.5">
      <c r="A6394" s="20" t="s">
        <v>30282</v>
      </c>
      <c r="B6394" s="20">
        <v>70</v>
      </c>
      <c r="C6394" s="20">
        <v>55</v>
      </c>
      <c r="D6394" s="20">
        <v>33</v>
      </c>
      <c r="E6394" s="24"/>
      <c r="F6394" s="20" t="s">
        <v>30283</v>
      </c>
      <c r="G6394" s="24"/>
      <c r="H6394" s="24"/>
      <c r="I6394" s="24" t="str">
        <f ca="1">IFERROR(__xludf.DUMMYFUNCTION("GOOGLETRANSLATE(F6394,""en"",""pt"")"),"bicos e aspersores de gás e espuma")</f>
        <v>bicos e aspersores de gás e espuma</v>
      </c>
      <c r="J6394">
        <f>VLOOKUP(A6394,Pr_Base_LNEC!$A$4:$J$6971,6,FALSE)</f>
        <v>0</v>
      </c>
      <c r="K6394">
        <f>VLOOKUP(A6394,Pr_Base_LNEC!$A$4:$J$6971,7,FALSE)</f>
        <v>0</v>
      </c>
    </row>
    <row r="6395" spans="1:11" ht="14.5">
      <c r="A6395" s="20" t="s">
        <v>30284</v>
      </c>
      <c r="B6395" s="20">
        <v>70</v>
      </c>
      <c r="C6395" s="20">
        <v>55</v>
      </c>
      <c r="D6395" s="20">
        <v>33</v>
      </c>
      <c r="E6395" s="20">
        <v>11</v>
      </c>
      <c r="F6395" s="20" t="s">
        <v>30285</v>
      </c>
      <c r="G6395" s="20" t="s">
        <v>30286</v>
      </c>
      <c r="H6395" s="24"/>
      <c r="I6395" s="24" t="str">
        <f ca="1">IFERROR(__xludf.DUMMYFUNCTION("GOOGLETRANSLATE(F6395,""en"",""pt"")"),"incêndio de dióxido de carbono de extinção bicos")</f>
        <v>incêndio de dióxido de carbono de extinção bicos</v>
      </c>
      <c r="J6395">
        <f>VLOOKUP(A6395,Pr_Base_LNEC!$A$4:$J$6971,6,FALSE)</f>
        <v>0</v>
      </c>
      <c r="K6395">
        <f>VLOOKUP(A6395,Pr_Base_LNEC!$A$4:$J$6971,7,FALSE)</f>
        <v>0</v>
      </c>
    </row>
    <row r="6396" spans="1:11" ht="14.5">
      <c r="A6396" s="20" t="s">
        <v>30287</v>
      </c>
      <c r="B6396" s="20">
        <v>70</v>
      </c>
      <c r="C6396" s="20">
        <v>55</v>
      </c>
      <c r="D6396" s="20">
        <v>33</v>
      </c>
      <c r="E6396" s="20">
        <v>30</v>
      </c>
      <c r="F6396" s="20" t="s">
        <v>30288</v>
      </c>
      <c r="G6396" s="20" t="s">
        <v>30289</v>
      </c>
      <c r="H6396" s="24"/>
      <c r="I6396" s="24" t="str">
        <f ca="1">IFERROR(__xludf.DUMMYFUNCTION("GOOGLETRANSLATE(F6396,""en"",""pt"")"),"sprinklers de espuma")</f>
        <v>sprinklers de espuma</v>
      </c>
      <c r="J6396">
        <f>VLOOKUP(A6396,Pr_Base_LNEC!$A$4:$J$6971,6,FALSE)</f>
        <v>0</v>
      </c>
      <c r="K6396">
        <f>VLOOKUP(A6396,Pr_Base_LNEC!$A$4:$J$6971,7,FALSE)</f>
        <v>0</v>
      </c>
    </row>
    <row r="6397" spans="1:11" ht="14.5">
      <c r="A6397" s="20" t="s">
        <v>30290</v>
      </c>
      <c r="B6397" s="20">
        <v>70</v>
      </c>
      <c r="C6397" s="20">
        <v>55</v>
      </c>
      <c r="D6397" s="20">
        <v>33</v>
      </c>
      <c r="E6397" s="20">
        <v>36</v>
      </c>
      <c r="F6397" s="20" t="s">
        <v>30291</v>
      </c>
      <c r="G6397" s="20" t="s">
        <v>30292</v>
      </c>
      <c r="H6397" s="24"/>
      <c r="I6397" s="24" t="str">
        <f ca="1">IFERROR(__xludf.DUMMYFUNCTION("GOOGLETRANSLATE(F6397,""en"",""pt"")"),"Hidrocarbonetos halogenados e bicos de fogo de gás inerte de extinção")</f>
        <v>Hidrocarbonetos halogenados e bicos de fogo de gás inerte de extinção</v>
      </c>
      <c r="J6397">
        <f>VLOOKUP(A6397,Pr_Base_LNEC!$A$4:$J$6971,6,FALSE)</f>
        <v>0</v>
      </c>
      <c r="K6397">
        <f>VLOOKUP(A6397,Pr_Base_LNEC!$A$4:$J$6971,7,FALSE)</f>
        <v>0</v>
      </c>
    </row>
    <row r="6398" spans="1:11" ht="14.5">
      <c r="A6398" s="20" t="s">
        <v>30293</v>
      </c>
      <c r="B6398" s="20">
        <v>70</v>
      </c>
      <c r="C6398" s="20">
        <v>55</v>
      </c>
      <c r="D6398" s="20">
        <v>42</v>
      </c>
      <c r="E6398" s="24"/>
      <c r="F6398" s="20" t="s">
        <v>30294</v>
      </c>
      <c r="G6398" s="24"/>
      <c r="H6398" s="24"/>
      <c r="I6398" s="24" t="str">
        <f ca="1">IFERROR(__xludf.DUMMYFUNCTION("GOOGLETRANSLATE(F6398,""en"",""pt"")"),"Saídas de água de irrigação")</f>
        <v>Saídas de água de irrigação</v>
      </c>
      <c r="J6398">
        <f>VLOOKUP(A6398,Pr_Base_LNEC!$A$4:$J$6971,6,FALSE)</f>
        <v>0</v>
      </c>
      <c r="K6398">
        <f>VLOOKUP(A6398,Pr_Base_LNEC!$A$4:$J$6971,7,FALSE)</f>
        <v>0</v>
      </c>
    </row>
    <row r="6399" spans="1:11" ht="14.5">
      <c r="A6399" s="20" t="s">
        <v>30295</v>
      </c>
      <c r="B6399" s="20">
        <v>70</v>
      </c>
      <c r="C6399" s="20">
        <v>55</v>
      </c>
      <c r="D6399" s="20">
        <v>42</v>
      </c>
      <c r="E6399" s="20">
        <v>9</v>
      </c>
      <c r="F6399" s="20" t="s">
        <v>30296</v>
      </c>
      <c r="G6399" s="20" t="s">
        <v>30297</v>
      </c>
      <c r="H6399" s="24"/>
      <c r="I6399" s="24" t="str">
        <f ca="1">IFERROR(__xludf.DUMMYFUNCTION("GOOGLETRANSLATE(F6399,""en"",""pt"")"),"Bubblers")</f>
        <v>Bubblers</v>
      </c>
      <c r="J6399">
        <f>VLOOKUP(A6399,Pr_Base_LNEC!$A$4:$J$6971,6,FALSE)</f>
        <v>0</v>
      </c>
      <c r="K6399">
        <f>VLOOKUP(A6399,Pr_Base_LNEC!$A$4:$J$6971,7,FALSE)</f>
        <v>0</v>
      </c>
    </row>
    <row r="6400" spans="1:11" ht="14.5">
      <c r="A6400" s="20" t="s">
        <v>30298</v>
      </c>
      <c r="B6400" s="20">
        <v>70</v>
      </c>
      <c r="C6400" s="20">
        <v>55</v>
      </c>
      <c r="D6400" s="20">
        <v>42</v>
      </c>
      <c r="E6400" s="20">
        <v>11</v>
      </c>
      <c r="F6400" s="20" t="s">
        <v>30299</v>
      </c>
      <c r="G6400" s="20" t="s">
        <v>30300</v>
      </c>
      <c r="H6400" s="24"/>
      <c r="I6400" s="24" t="str">
        <f ca="1">IFERROR(__xludf.DUMMYFUNCTION("GOOGLETRANSLATE(F6400,""en"",""pt"")"),"matting capilar")</f>
        <v>matting capilar</v>
      </c>
      <c r="J6400">
        <f>VLOOKUP(A6400,Pr_Base_LNEC!$A$4:$J$6971,6,FALSE)</f>
        <v>0</v>
      </c>
      <c r="K6400">
        <f>VLOOKUP(A6400,Pr_Base_LNEC!$A$4:$J$6971,7,FALSE)</f>
        <v>0</v>
      </c>
    </row>
    <row r="6401" spans="1:11" ht="14.5">
      <c r="A6401" s="20" t="s">
        <v>30301</v>
      </c>
      <c r="B6401" s="20">
        <v>70</v>
      </c>
      <c r="C6401" s="20">
        <v>55</v>
      </c>
      <c r="D6401" s="20">
        <v>42</v>
      </c>
      <c r="E6401" s="20">
        <v>22</v>
      </c>
      <c r="F6401" s="20" t="s">
        <v>30302</v>
      </c>
      <c r="G6401" s="20" t="s">
        <v>30303</v>
      </c>
      <c r="H6401" s="24"/>
      <c r="I6401" s="24" t="str">
        <f ca="1">IFERROR(__xludf.DUMMYFUNCTION("GOOGLETRANSLATE(F6401,""en"",""pt"")"),"gotejadores")</f>
        <v>gotejadores</v>
      </c>
      <c r="J6401">
        <f>VLOOKUP(A6401,Pr_Base_LNEC!$A$4:$J$6971,6,FALSE)</f>
        <v>0</v>
      </c>
      <c r="K6401">
        <f>VLOOKUP(A6401,Pr_Base_LNEC!$A$4:$J$6971,7,FALSE)</f>
        <v>0</v>
      </c>
    </row>
    <row r="6402" spans="1:11" ht="14.5">
      <c r="A6402" s="20" t="s">
        <v>30304</v>
      </c>
      <c r="B6402" s="20">
        <v>70</v>
      </c>
      <c r="C6402" s="20">
        <v>55</v>
      </c>
      <c r="D6402" s="20">
        <v>42</v>
      </c>
      <c r="E6402" s="20">
        <v>46</v>
      </c>
      <c r="F6402" s="20" t="s">
        <v>30305</v>
      </c>
      <c r="G6402" s="20" t="s">
        <v>30306</v>
      </c>
      <c r="H6402" s="24"/>
      <c r="I6402" s="24" t="str">
        <f ca="1">IFERROR(__xludf.DUMMYFUNCTION("GOOGLETRANSLATE(F6402,""en"",""pt"")"),"dutos laterais")</f>
        <v>dutos laterais</v>
      </c>
      <c r="J6402">
        <f>VLOOKUP(A6402,Pr_Base_LNEC!$A$4:$J$6971,6,FALSE)</f>
        <v>0</v>
      </c>
      <c r="K6402">
        <f>VLOOKUP(A6402,Pr_Base_LNEC!$A$4:$J$6971,7,FALSE)</f>
        <v>0</v>
      </c>
    </row>
    <row r="6403" spans="1:11" ht="14.5">
      <c r="A6403" s="20" t="s">
        <v>30307</v>
      </c>
      <c r="B6403" s="20">
        <v>70</v>
      </c>
      <c r="C6403" s="20">
        <v>55</v>
      </c>
      <c r="D6403" s="20">
        <v>42</v>
      </c>
      <c r="E6403" s="20">
        <v>47</v>
      </c>
      <c r="F6403" s="20" t="s">
        <v>30308</v>
      </c>
      <c r="G6403" s="20" t="s">
        <v>30309</v>
      </c>
      <c r="H6403" s="24"/>
      <c r="I6403" s="24" t="str">
        <f ca="1">IFERROR(__xludf.DUMMYFUNCTION("GOOGLETRANSLATE(F6403,""en"",""pt"")"),"esteiras de irrigação em camadas")</f>
        <v>esteiras de irrigação em camadas</v>
      </c>
      <c r="J6403">
        <f>VLOOKUP(A6403,Pr_Base_LNEC!$A$4:$J$6971,6,FALSE)</f>
        <v>0</v>
      </c>
      <c r="K6403">
        <f>VLOOKUP(A6403,Pr_Base_LNEC!$A$4:$J$6971,7,FALSE)</f>
        <v>0</v>
      </c>
    </row>
    <row r="6404" spans="1:11" ht="14.5">
      <c r="A6404" s="20" t="s">
        <v>30310</v>
      </c>
      <c r="B6404" s="20">
        <v>70</v>
      </c>
      <c r="C6404" s="20">
        <v>55</v>
      </c>
      <c r="D6404" s="20">
        <v>42</v>
      </c>
      <c r="E6404" s="20">
        <v>52</v>
      </c>
      <c r="F6404" s="20" t="s">
        <v>30311</v>
      </c>
      <c r="G6404" s="20" t="s">
        <v>30312</v>
      </c>
      <c r="H6404" s="24"/>
      <c r="I6404" s="24" t="str">
        <f ca="1">IFERROR(__xludf.DUMMYFUNCTION("GOOGLETRANSLATE(F6404,""en"",""pt"")"),"dutos micro-distribuição")</f>
        <v>dutos micro-distribuição</v>
      </c>
      <c r="J6404">
        <f>VLOOKUP(A6404,Pr_Base_LNEC!$A$4:$J$6971,6,FALSE)</f>
        <v>0</v>
      </c>
      <c r="K6404">
        <f>VLOOKUP(A6404,Pr_Base_LNEC!$A$4:$J$6971,7,FALSE)</f>
        <v>0</v>
      </c>
    </row>
    <row r="6405" spans="1:11" ht="14.5">
      <c r="A6405" s="20" t="s">
        <v>30313</v>
      </c>
      <c r="B6405" s="20">
        <v>70</v>
      </c>
      <c r="C6405" s="20">
        <v>55</v>
      </c>
      <c r="D6405" s="20">
        <v>42</v>
      </c>
      <c r="E6405" s="20">
        <v>53</v>
      </c>
      <c r="F6405" s="20" t="s">
        <v>30314</v>
      </c>
      <c r="G6405" s="20" t="s">
        <v>30315</v>
      </c>
      <c r="H6405" s="24"/>
      <c r="I6405" s="24" t="str">
        <f ca="1">IFERROR(__xludf.DUMMYFUNCTION("GOOGLETRANSLATE(F6405,""en"",""pt"")"),"folha de polietileno micro-perfurada")</f>
        <v>folha de polietileno micro-perfurada</v>
      </c>
      <c r="J6405">
        <f>VLOOKUP(A6405,Pr_Base_LNEC!$A$4:$J$6971,6,FALSE)</f>
        <v>0</v>
      </c>
      <c r="K6405">
        <f>VLOOKUP(A6405,Pr_Base_LNEC!$A$4:$J$6971,7,FALSE)</f>
        <v>0</v>
      </c>
    </row>
    <row r="6406" spans="1:11" ht="14.5">
      <c r="A6406" s="20" t="s">
        <v>30316</v>
      </c>
      <c r="B6406" s="20">
        <v>70</v>
      </c>
      <c r="C6406" s="20">
        <v>55</v>
      </c>
      <c r="D6406" s="20">
        <v>42</v>
      </c>
      <c r="E6406" s="20">
        <v>54</v>
      </c>
      <c r="F6406" s="20" t="s">
        <v>30317</v>
      </c>
      <c r="G6406" s="20" t="s">
        <v>30318</v>
      </c>
      <c r="H6406" s="24"/>
      <c r="I6406" s="24" t="str">
        <f ca="1">IFERROR(__xludf.DUMMYFUNCTION("GOOGLETRANSLATE(F6406,""en"",""pt"")"),"misters")</f>
        <v>misters</v>
      </c>
      <c r="J6406">
        <f>VLOOKUP(A6406,Pr_Base_LNEC!$A$4:$J$6971,6,FALSE)</f>
        <v>0</v>
      </c>
      <c r="K6406">
        <f>VLOOKUP(A6406,Pr_Base_LNEC!$A$4:$J$6971,7,FALSE)</f>
        <v>0</v>
      </c>
    </row>
    <row r="6407" spans="1:11" ht="14.5">
      <c r="A6407" s="20" t="s">
        <v>30319</v>
      </c>
      <c r="B6407" s="20">
        <v>70</v>
      </c>
      <c r="C6407" s="20">
        <v>55</v>
      </c>
      <c r="D6407" s="20">
        <v>42</v>
      </c>
      <c r="E6407" s="20">
        <v>58</v>
      </c>
      <c r="F6407" s="20" t="s">
        <v>30320</v>
      </c>
      <c r="G6407" s="24"/>
      <c r="H6407" s="24"/>
      <c r="I6407" s="24" t="str">
        <f ca="1">IFERROR(__xludf.DUMMYFUNCTION("GOOGLETRANSLATE(F6407,""en"",""pt"")"),"oscilante sprinklers")</f>
        <v>oscilante sprinklers</v>
      </c>
      <c r="J6407">
        <f>VLOOKUP(A6407,Pr_Base_LNEC!$A$4:$J$6971,6,FALSE)</f>
        <v>0</v>
      </c>
      <c r="K6407">
        <f>VLOOKUP(A6407,Pr_Base_LNEC!$A$4:$J$6971,7,FALSE)</f>
        <v>0</v>
      </c>
    </row>
    <row r="6408" spans="1:11" ht="14.5">
      <c r="A6408" s="20" t="s">
        <v>30321</v>
      </c>
      <c r="B6408" s="20">
        <v>70</v>
      </c>
      <c r="C6408" s="20">
        <v>55</v>
      </c>
      <c r="D6408" s="20">
        <v>42</v>
      </c>
      <c r="E6408" s="20">
        <v>64</v>
      </c>
      <c r="F6408" s="20" t="s">
        <v>30322</v>
      </c>
      <c r="G6408" s="20" t="s">
        <v>30323</v>
      </c>
      <c r="H6408" s="24"/>
      <c r="I6408" s="24" t="str">
        <f ca="1">IFERROR(__xludf.DUMMYFUNCTION("GOOGLETRANSLATE(F6408,""en"",""pt"")"),"pipelines porosas")</f>
        <v>pipelines porosas</v>
      </c>
      <c r="J6408">
        <f>VLOOKUP(A6408,Pr_Base_LNEC!$A$4:$J$6971,6,FALSE)</f>
        <v>0</v>
      </c>
      <c r="K6408">
        <f>VLOOKUP(A6408,Pr_Base_LNEC!$A$4:$J$6971,7,FALSE)</f>
        <v>0</v>
      </c>
    </row>
    <row r="6409" spans="1:11" ht="14.5">
      <c r="A6409" s="20" t="s">
        <v>30324</v>
      </c>
      <c r="B6409" s="20">
        <v>70</v>
      </c>
      <c r="C6409" s="20">
        <v>55</v>
      </c>
      <c r="D6409" s="20">
        <v>42</v>
      </c>
      <c r="E6409" s="20">
        <v>70</v>
      </c>
      <c r="F6409" s="20" t="s">
        <v>30325</v>
      </c>
      <c r="G6409" s="20" t="s">
        <v>30326</v>
      </c>
      <c r="H6409" s="24"/>
      <c r="I6409" s="24" t="str">
        <f ca="1">IFERROR(__xludf.DUMMYFUNCTION("GOOGLETRANSLATE(F6409,""en"",""pt"")"),"armas de chuva")</f>
        <v>armas de chuva</v>
      </c>
      <c r="J6409">
        <f>VLOOKUP(A6409,Pr_Base_LNEC!$A$4:$J$6971,6,FALSE)</f>
        <v>0</v>
      </c>
      <c r="K6409">
        <f>VLOOKUP(A6409,Pr_Base_LNEC!$A$4:$J$6971,7,FALSE)</f>
        <v>0</v>
      </c>
    </row>
    <row r="6410" spans="1:11" ht="14.5">
      <c r="A6410" s="20" t="s">
        <v>30327</v>
      </c>
      <c r="B6410" s="20">
        <v>70</v>
      </c>
      <c r="C6410" s="20">
        <v>55</v>
      </c>
      <c r="D6410" s="20">
        <v>42</v>
      </c>
      <c r="E6410" s="20">
        <v>73</v>
      </c>
      <c r="F6410" s="20" t="s">
        <v>30328</v>
      </c>
      <c r="G6410" s="20" t="s">
        <v>30329</v>
      </c>
      <c r="H6410" s="24"/>
      <c r="I6410" s="24" t="str">
        <f ca="1">IFERROR(__xludf.DUMMYFUNCTION("GOOGLETRANSLATE(F6410,""en"",""pt"")"),"aspersores de impacto Rotary")</f>
        <v>aspersores de impacto Rotary</v>
      </c>
      <c r="J6410">
        <f>VLOOKUP(A6410,Pr_Base_LNEC!$A$4:$J$6971,6,FALSE)</f>
        <v>0</v>
      </c>
      <c r="K6410">
        <f>VLOOKUP(A6410,Pr_Base_LNEC!$A$4:$J$6971,7,FALSE)</f>
        <v>0</v>
      </c>
    </row>
    <row r="6411" spans="1:11" ht="14.5">
      <c r="A6411" s="20" t="s">
        <v>30330</v>
      </c>
      <c r="B6411" s="20">
        <v>70</v>
      </c>
      <c r="C6411" s="20">
        <v>55</v>
      </c>
      <c r="D6411" s="20">
        <v>42</v>
      </c>
      <c r="E6411" s="20">
        <v>80</v>
      </c>
      <c r="F6411" s="20" t="s">
        <v>30331</v>
      </c>
      <c r="G6411" s="20" t="s">
        <v>30332</v>
      </c>
      <c r="H6411" s="24"/>
      <c r="I6411" s="24" t="str">
        <f ca="1">IFERROR(__xludf.DUMMYFUNCTION("GOOGLETRANSLATE(F6411,""en"",""pt"")"),"jatos de spray")</f>
        <v>jatos de spray</v>
      </c>
      <c r="J6411">
        <f>VLOOKUP(A6411,Pr_Base_LNEC!$A$4:$J$6971,6,FALSE)</f>
        <v>0</v>
      </c>
      <c r="K6411">
        <f>VLOOKUP(A6411,Pr_Base_LNEC!$A$4:$J$6971,7,FALSE)</f>
        <v>0</v>
      </c>
    </row>
    <row r="6412" spans="1:11" ht="14.5">
      <c r="A6412" s="20" t="s">
        <v>30333</v>
      </c>
      <c r="B6412" s="20">
        <v>70</v>
      </c>
      <c r="C6412" s="20">
        <v>55</v>
      </c>
      <c r="D6412" s="20">
        <v>42</v>
      </c>
      <c r="E6412" s="20">
        <v>90</v>
      </c>
      <c r="F6412" s="20" t="s">
        <v>30334</v>
      </c>
      <c r="G6412" s="20" t="s">
        <v>30335</v>
      </c>
      <c r="H6412" s="24"/>
      <c r="I6412" s="24" t="str">
        <f ca="1">IFERROR(__xludf.DUMMYFUNCTION("GOOGLETRANSLATE(F6412,""en"",""pt"")"),"anéis de irrigação de árvores")</f>
        <v>anéis de irrigação de árvores</v>
      </c>
      <c r="J6412">
        <f>VLOOKUP(A6412,Pr_Base_LNEC!$A$4:$J$6971,6,FALSE)</f>
        <v>0</v>
      </c>
      <c r="K6412">
        <f>VLOOKUP(A6412,Pr_Base_LNEC!$A$4:$J$6971,7,FALSE)</f>
        <v>0</v>
      </c>
    </row>
    <row r="6413" spans="1:11" ht="14.5">
      <c r="A6413" s="20" t="s">
        <v>30336</v>
      </c>
      <c r="B6413" s="20">
        <v>70</v>
      </c>
      <c r="C6413" s="20">
        <v>55</v>
      </c>
      <c r="D6413" s="20">
        <v>51</v>
      </c>
      <c r="E6413" s="24"/>
      <c r="F6413" s="20" t="s">
        <v>30337</v>
      </c>
      <c r="G6413" s="24"/>
      <c r="H6413" s="24"/>
      <c r="I6413" s="24" t="str">
        <f ca="1">IFERROR(__xludf.DUMMYFUNCTION("GOOGLETRANSLATE(F6413,""en"",""pt"")"),"tomadas de gases medicinais")</f>
        <v>tomadas de gases medicinais</v>
      </c>
      <c r="J6413">
        <f>VLOOKUP(A6413,Pr_Base_LNEC!$A$4:$J$6971,6,FALSE)</f>
        <v>0</v>
      </c>
      <c r="K6413">
        <f>VLOOKUP(A6413,Pr_Base_LNEC!$A$4:$J$6971,7,FALSE)</f>
        <v>0</v>
      </c>
    </row>
    <row r="6414" spans="1:11" ht="14.5">
      <c r="A6414" s="20" t="s">
        <v>30338</v>
      </c>
      <c r="B6414" s="20">
        <v>70</v>
      </c>
      <c r="C6414" s="20">
        <v>55</v>
      </c>
      <c r="D6414" s="20">
        <v>51</v>
      </c>
      <c r="E6414" s="20">
        <v>30</v>
      </c>
      <c r="F6414" s="20" t="s">
        <v>30339</v>
      </c>
      <c r="G6414" s="20" t="s">
        <v>30340</v>
      </c>
      <c r="H6414" s="24"/>
      <c r="I6414" s="24" t="str">
        <f ca="1">IFERROR(__xludf.DUMMYFUNCTION("GOOGLETRANSLATE(F6414,""en"",""pt"")"),"pingentes flexíveis")</f>
        <v>pingentes flexíveis</v>
      </c>
      <c r="J6414">
        <f>VLOOKUP(A6414,Pr_Base_LNEC!$A$4:$J$6971,6,FALSE)</f>
        <v>0</v>
      </c>
      <c r="K6414">
        <f>VLOOKUP(A6414,Pr_Base_LNEC!$A$4:$J$6971,7,FALSE)</f>
        <v>0</v>
      </c>
    </row>
    <row r="6415" spans="1:11" ht="14.5">
      <c r="A6415" s="20" t="s">
        <v>30341</v>
      </c>
      <c r="B6415" s="20">
        <v>70</v>
      </c>
      <c r="C6415" s="20">
        <v>55</v>
      </c>
      <c r="D6415" s="20">
        <v>51</v>
      </c>
      <c r="E6415" s="20">
        <v>37</v>
      </c>
      <c r="F6415" s="20" t="s">
        <v>30342</v>
      </c>
      <c r="G6415" s="20" t="s">
        <v>30343</v>
      </c>
      <c r="H6415" s="24"/>
      <c r="I6415" s="24" t="str">
        <f ca="1">IFERROR(__xludf.DUMMYFUNCTION("GOOGLETRANSLATE(F6415,""en"",""pt"")"),"unidades bedhead headwall")</f>
        <v>unidades bedhead headwall</v>
      </c>
      <c r="J6415">
        <f>VLOOKUP(A6415,Pr_Base_LNEC!$A$4:$J$6971,6,FALSE)</f>
        <v>0</v>
      </c>
      <c r="K6415">
        <f>VLOOKUP(A6415,Pr_Base_LNEC!$A$4:$J$6971,7,FALSE)</f>
        <v>0</v>
      </c>
    </row>
    <row r="6416" spans="1:11" ht="14.5">
      <c r="A6416" s="20" t="s">
        <v>30344</v>
      </c>
      <c r="B6416" s="20">
        <v>70</v>
      </c>
      <c r="C6416" s="20">
        <v>55</v>
      </c>
      <c r="D6416" s="20">
        <v>51</v>
      </c>
      <c r="E6416" s="20">
        <v>52</v>
      </c>
      <c r="F6416" s="20" t="s">
        <v>30345</v>
      </c>
      <c r="G6416" s="20" t="s">
        <v>30346</v>
      </c>
      <c r="H6416" s="24"/>
      <c r="I6416" s="24" t="str">
        <f ca="1">IFERROR(__xludf.DUMMYFUNCTION("GOOGLETRANSLATE(F6416,""en"",""pt"")"),"unidades de terminal")</f>
        <v>unidades de terminal</v>
      </c>
      <c r="J6416">
        <f>VLOOKUP(A6416,Pr_Base_LNEC!$A$4:$J$6971,6,FALSE)</f>
        <v>0</v>
      </c>
      <c r="K6416">
        <f>VLOOKUP(A6416,Pr_Base_LNEC!$A$4:$J$6971,7,FALSE)</f>
        <v>0</v>
      </c>
    </row>
    <row r="6417" spans="1:11" ht="14.5">
      <c r="A6417" s="20" t="s">
        <v>30347</v>
      </c>
      <c r="B6417" s="20">
        <v>70</v>
      </c>
      <c r="C6417" s="20">
        <v>55</v>
      </c>
      <c r="D6417" s="20">
        <v>51</v>
      </c>
      <c r="E6417" s="20">
        <v>53</v>
      </c>
      <c r="F6417" s="20" t="s">
        <v>30348</v>
      </c>
      <c r="G6417" s="20" t="s">
        <v>30349</v>
      </c>
      <c r="H6417" s="24"/>
      <c r="I6417" s="24" t="str">
        <f ca="1">IFERROR(__xludf.DUMMYFUNCTION("GOOGLETRANSLATE(F6417,""en"",""pt"")"),"unidades bedhead trunking médica")</f>
        <v>unidades bedhead trunking médica</v>
      </c>
      <c r="J6417">
        <f>VLOOKUP(A6417,Pr_Base_LNEC!$A$4:$J$6971,6,FALSE)</f>
        <v>0</v>
      </c>
      <c r="K6417">
        <f>VLOOKUP(A6417,Pr_Base_LNEC!$A$4:$J$6971,7,FALSE)</f>
        <v>0</v>
      </c>
    </row>
    <row r="6418" spans="1:11" ht="14.5">
      <c r="A6418" s="20" t="s">
        <v>30350</v>
      </c>
      <c r="B6418" s="20">
        <v>70</v>
      </c>
      <c r="C6418" s="20">
        <v>55</v>
      </c>
      <c r="D6418" s="20">
        <v>51</v>
      </c>
      <c r="E6418" s="20">
        <v>55</v>
      </c>
      <c r="F6418" s="20" t="s">
        <v>30351</v>
      </c>
      <c r="G6418" s="20" t="s">
        <v>30352</v>
      </c>
      <c r="H6418" s="24"/>
      <c r="I6418" s="24" t="str">
        <f ca="1">IFERROR(__xludf.DUMMYFUNCTION("GOOGLETRANSLATE(F6418,""en"",""pt"")"),"pingentes de movimento multi-")</f>
        <v>pingentes de movimento multi-</v>
      </c>
      <c r="J6418">
        <f>VLOOKUP(A6418,Pr_Base_LNEC!$A$4:$J$6971,6,FALSE)</f>
        <v>0</v>
      </c>
      <c r="K6418">
        <f>VLOOKUP(A6418,Pr_Base_LNEC!$A$4:$J$6971,7,FALSE)</f>
        <v>0</v>
      </c>
    </row>
    <row r="6419" spans="1:11" ht="14.5">
      <c r="A6419" s="20" t="s">
        <v>30353</v>
      </c>
      <c r="B6419" s="20">
        <v>70</v>
      </c>
      <c r="C6419" s="20">
        <v>55</v>
      </c>
      <c r="D6419" s="20">
        <v>51</v>
      </c>
      <c r="E6419" s="20">
        <v>73</v>
      </c>
      <c r="F6419" s="20" t="s">
        <v>30354</v>
      </c>
      <c r="G6419" s="20" t="s">
        <v>30355</v>
      </c>
      <c r="H6419" s="24"/>
      <c r="I6419" s="24" t="str">
        <f ca="1">IFERROR(__xludf.DUMMYFUNCTION("GOOGLETRANSLATE(F6419,""en"",""pt"")"),"pingentes retráteis")</f>
        <v>pingentes retráteis</v>
      </c>
      <c r="J6419">
        <f>VLOOKUP(A6419,Pr_Base_LNEC!$A$4:$J$6971,6,FALSE)</f>
        <v>0</v>
      </c>
      <c r="K6419">
        <f>VLOOKUP(A6419,Pr_Base_LNEC!$A$4:$J$6971,7,FALSE)</f>
        <v>0</v>
      </c>
    </row>
    <row r="6420" spans="1:11" ht="14.5">
      <c r="A6420" s="20" t="s">
        <v>30356</v>
      </c>
      <c r="B6420" s="20">
        <v>70</v>
      </c>
      <c r="C6420" s="20">
        <v>55</v>
      </c>
      <c r="D6420" s="20">
        <v>51</v>
      </c>
      <c r="E6420" s="20">
        <v>74</v>
      </c>
      <c r="F6420" s="20" t="s">
        <v>30357</v>
      </c>
      <c r="G6420" s="20" t="s">
        <v>30358</v>
      </c>
      <c r="H6420" s="24"/>
      <c r="I6420" s="24" t="str">
        <f ca="1">IFERROR(__xludf.DUMMYFUNCTION("GOOGLETRANSLATE(F6420,""en"",""pt"")"),"pingentes rígidas")</f>
        <v>pingentes rígidas</v>
      </c>
      <c r="J6420">
        <f>VLOOKUP(A6420,Pr_Base_LNEC!$A$4:$J$6971,6,FALSE)</f>
        <v>0</v>
      </c>
      <c r="K6420">
        <f>VLOOKUP(A6420,Pr_Base_LNEC!$A$4:$J$6971,7,FALSE)</f>
        <v>0</v>
      </c>
    </row>
    <row r="6421" spans="1:11" ht="14.5">
      <c r="A6421" s="20" t="s">
        <v>30359</v>
      </c>
      <c r="B6421" s="20">
        <v>70</v>
      </c>
      <c r="C6421" s="20">
        <v>55</v>
      </c>
      <c r="D6421" s="20">
        <v>58</v>
      </c>
      <c r="E6421" s="24"/>
      <c r="F6421" s="20" t="s">
        <v>30360</v>
      </c>
      <c r="G6421" s="24"/>
      <c r="H6421" s="24"/>
      <c r="I6421" s="24" t="str">
        <f ca="1">IFERROR(__xludf.DUMMYFUNCTION("GOOGLETRANSLATE(F6421,""en"",""pt"")"),"produtos de abastecimento de lubrificante de óleo e graxa")</f>
        <v>produtos de abastecimento de lubrificante de óleo e graxa</v>
      </c>
      <c r="J6421">
        <f>VLOOKUP(A6421,Pr_Base_LNEC!$A$4:$J$6971,6,FALSE)</f>
        <v>0</v>
      </c>
      <c r="K6421">
        <f>VLOOKUP(A6421,Pr_Base_LNEC!$A$4:$J$6971,7,FALSE)</f>
        <v>0</v>
      </c>
    </row>
    <row r="6422" spans="1:11" ht="14.5">
      <c r="A6422" s="20" t="s">
        <v>30361</v>
      </c>
      <c r="B6422" s="20">
        <v>70</v>
      </c>
      <c r="C6422" s="20">
        <v>55</v>
      </c>
      <c r="D6422" s="20">
        <v>58</v>
      </c>
      <c r="E6422" s="20">
        <v>34</v>
      </c>
      <c r="F6422" s="20" t="s">
        <v>30362</v>
      </c>
      <c r="G6422" s="24"/>
      <c r="H6422" s="24"/>
      <c r="I6422" s="24" t="str">
        <f ca="1">IFERROR(__xludf.DUMMYFUNCTION("GOOGLETRANSLATE(F6422,""en"",""pt"")"),"graxas")</f>
        <v>graxas</v>
      </c>
      <c r="J6422">
        <f>VLOOKUP(A6422,Pr_Base_LNEC!$A$4:$J$6971,6,FALSE)</f>
        <v>0</v>
      </c>
      <c r="K6422">
        <f>VLOOKUP(A6422,Pr_Base_LNEC!$A$4:$J$6971,7,FALSE)</f>
        <v>0</v>
      </c>
    </row>
    <row r="6423" spans="1:11" ht="14.5">
      <c r="A6423" s="20" t="s">
        <v>30363</v>
      </c>
      <c r="B6423" s="20">
        <v>70</v>
      </c>
      <c r="C6423" s="20">
        <v>55</v>
      </c>
      <c r="D6423" s="20">
        <v>58</v>
      </c>
      <c r="E6423" s="20">
        <v>48</v>
      </c>
      <c r="F6423" s="20" t="s">
        <v>30364</v>
      </c>
      <c r="G6423" s="24"/>
      <c r="H6423" s="24"/>
      <c r="I6423" s="24" t="str">
        <f ca="1">IFERROR(__xludf.DUMMYFUNCTION("GOOGLETRANSLATE(F6423,""en"",""pt"")"),"ajustadores de altura lubrificador")</f>
        <v>ajustadores de altura lubrificador</v>
      </c>
      <c r="J6423">
        <f>VLOOKUP(A6423,Pr_Base_LNEC!$A$4:$J$6971,6,FALSE)</f>
        <v>0</v>
      </c>
      <c r="K6423">
        <f>VLOOKUP(A6423,Pr_Base_LNEC!$A$4:$J$6971,7,FALSE)</f>
        <v>0</v>
      </c>
    </row>
    <row r="6424" spans="1:11" ht="14.5">
      <c r="A6424" s="20" t="s">
        <v>30365</v>
      </c>
      <c r="B6424" s="20">
        <v>70</v>
      </c>
      <c r="C6424" s="20">
        <v>55</v>
      </c>
      <c r="D6424" s="20">
        <v>58</v>
      </c>
      <c r="E6424" s="20">
        <v>58</v>
      </c>
      <c r="F6424" s="20" t="s">
        <v>30366</v>
      </c>
      <c r="G6424" s="24"/>
      <c r="H6424" s="24"/>
      <c r="I6424" s="24" t="str">
        <f ca="1">IFERROR(__xludf.DUMMYFUNCTION("GOOGLETRANSLATE(F6424,""en"",""pt"")"),"óleos")</f>
        <v>óleos</v>
      </c>
      <c r="J6424">
        <f>VLOOKUP(A6424,Pr_Base_LNEC!$A$4:$J$6971,6,FALSE)</f>
        <v>0</v>
      </c>
      <c r="K6424">
        <f>VLOOKUP(A6424,Pr_Base_LNEC!$A$4:$J$6971,7,FALSE)</f>
        <v>0</v>
      </c>
    </row>
    <row r="6425" spans="1:11" ht="14.5">
      <c r="A6425" s="20" t="s">
        <v>30367</v>
      </c>
      <c r="B6425" s="20">
        <v>70</v>
      </c>
      <c r="C6425" s="20">
        <v>55</v>
      </c>
      <c r="D6425" s="20">
        <v>58</v>
      </c>
      <c r="E6425" s="20">
        <v>68</v>
      </c>
      <c r="F6425" s="20" t="s">
        <v>30368</v>
      </c>
      <c r="G6425" s="24"/>
      <c r="H6425" s="24"/>
      <c r="I6425" s="24" t="str">
        <f ca="1">IFERROR(__xludf.DUMMYFUNCTION("GOOGLETRANSLATE(F6425,""en"",""pt"")"),"modificador de atrito ferroviário")</f>
        <v>modificador de atrito ferroviário</v>
      </c>
      <c r="J6425">
        <f>VLOOKUP(A6425,Pr_Base_LNEC!$A$4:$J$6971,6,FALSE)</f>
        <v>0</v>
      </c>
      <c r="K6425">
        <f>VLOOKUP(A6425,Pr_Base_LNEC!$A$4:$J$6971,7,FALSE)</f>
        <v>0</v>
      </c>
    </row>
    <row r="6426" spans="1:11" ht="14.5">
      <c r="A6426" s="20" t="s">
        <v>30369</v>
      </c>
      <c r="B6426" s="20">
        <v>70</v>
      </c>
      <c r="C6426" s="20">
        <v>55</v>
      </c>
      <c r="D6426" s="20">
        <v>58</v>
      </c>
      <c r="E6426" s="20">
        <v>70</v>
      </c>
      <c r="F6426" s="20" t="s">
        <v>30370</v>
      </c>
      <c r="G6426" s="20" t="s">
        <v>30371</v>
      </c>
      <c r="H6426" s="24"/>
      <c r="I6426" s="24" t="str">
        <f ca="1">IFERROR(__xludf.DUMMYFUNCTION("GOOGLETRANSLATE(F6426,""en"",""pt"")"),"lubrificadores ferroviárias")</f>
        <v>lubrificadores ferroviárias</v>
      </c>
      <c r="J6426">
        <f>VLOOKUP(A6426,Pr_Base_LNEC!$A$4:$J$6971,6,FALSE)</f>
        <v>0</v>
      </c>
      <c r="K6426">
        <f>VLOOKUP(A6426,Pr_Base_LNEC!$A$4:$J$6971,7,FALSE)</f>
        <v>0</v>
      </c>
    </row>
    <row r="6427" spans="1:11" ht="14.5">
      <c r="A6427" s="20" t="s">
        <v>30372</v>
      </c>
      <c r="B6427" s="20">
        <v>70</v>
      </c>
      <c r="C6427" s="20">
        <v>55</v>
      </c>
      <c r="D6427" s="20">
        <v>58</v>
      </c>
      <c r="E6427" s="20">
        <v>72</v>
      </c>
      <c r="F6427" s="20" t="s">
        <v>30373</v>
      </c>
      <c r="G6427" s="24"/>
      <c r="H6427" s="24"/>
      <c r="I6427" s="24" t="str">
        <f ca="1">IFERROR(__xludf.DUMMYFUNCTION("GOOGLETRANSLATE(F6427,""en"",""pt"")"),"géis de tracção ferroviária")</f>
        <v>géis de tracção ferroviária</v>
      </c>
      <c r="J6427" t="e">
        <f>VLOOKUP(A6427,Pr_Base_LNEC!$A$4:$J$6971,6,FALSE)</f>
        <v>#N/A</v>
      </c>
      <c r="K6427" t="e">
        <f>VLOOKUP(A6427,Pr_Base_LNEC!$A$4:$J$6971,7,FALSE)</f>
        <v>#N/A</v>
      </c>
    </row>
    <row r="6428" spans="1:11" ht="14.5">
      <c r="A6428" s="20" t="s">
        <v>30374</v>
      </c>
      <c r="B6428" s="20">
        <v>70</v>
      </c>
      <c r="C6428" s="20">
        <v>55</v>
      </c>
      <c r="D6428" s="20">
        <v>58</v>
      </c>
      <c r="E6428" s="20">
        <v>80</v>
      </c>
      <c r="F6428" s="20" t="s">
        <v>30375</v>
      </c>
      <c r="G6428" s="24"/>
      <c r="H6428" s="24"/>
      <c r="I6428" s="24" t="str">
        <f ca="1">IFERROR(__xludf.DUMMYFUNCTION("GOOGLETRANSLATE(F6428,""en"",""pt"")"),"lubrificantes sólidos")</f>
        <v>lubrificantes sólidos</v>
      </c>
      <c r="J6428">
        <f>VLOOKUP(A6428,Pr_Base_LNEC!$A$4:$J$6971,6,FALSE)</f>
        <v>0</v>
      </c>
      <c r="K6428">
        <f>VLOOKUP(A6428,Pr_Base_LNEC!$A$4:$J$6971,7,FALSE)</f>
        <v>0</v>
      </c>
    </row>
    <row r="6429" spans="1:11" ht="14.5">
      <c r="A6429" s="20" t="s">
        <v>30376</v>
      </c>
      <c r="B6429" s="20">
        <v>70</v>
      </c>
      <c r="C6429" s="20">
        <v>55</v>
      </c>
      <c r="D6429" s="20">
        <v>62</v>
      </c>
      <c r="E6429" s="24"/>
      <c r="F6429" s="20" t="s">
        <v>30377</v>
      </c>
      <c r="G6429" s="24"/>
      <c r="H6429" s="24"/>
      <c r="I6429" s="24" t="str">
        <f ca="1">IFERROR(__xludf.DUMMYFUNCTION("GOOGLETRANSLATE(F6429,""en"",""pt"")"),"Fase produtos mudança de saída")</f>
        <v>Fase produtos mudança de saída</v>
      </c>
      <c r="J6429">
        <f>VLOOKUP(A6429,Pr_Base_LNEC!$A$4:$J$6971,6,FALSE)</f>
        <v>0</v>
      </c>
      <c r="K6429">
        <f>VLOOKUP(A6429,Pr_Base_LNEC!$A$4:$J$6971,7,FALSE)</f>
        <v>0</v>
      </c>
    </row>
    <row r="6430" spans="1:11" ht="14.5">
      <c r="A6430" s="20" t="s">
        <v>30378</v>
      </c>
      <c r="B6430" s="20">
        <v>70</v>
      </c>
      <c r="C6430" s="20">
        <v>55</v>
      </c>
      <c r="D6430" s="20">
        <v>62</v>
      </c>
      <c r="E6430" s="20">
        <v>31</v>
      </c>
      <c r="F6430" s="20" t="s">
        <v>30379</v>
      </c>
      <c r="G6430" s="20" t="s">
        <v>30380</v>
      </c>
      <c r="H6430" s="24"/>
      <c r="I6430" s="24" t="str">
        <f ca="1">IFERROR(__xludf.DUMMYFUNCTION("GOOGLETRANSLATE(F6430,""en"",""pt"")"),"dosadores de espuma")</f>
        <v>dosadores de espuma</v>
      </c>
      <c r="J6430">
        <f>VLOOKUP(A6430,Pr_Base_LNEC!$A$4:$J$6971,6,FALSE)</f>
        <v>0</v>
      </c>
      <c r="K6430">
        <f>VLOOKUP(A6430,Pr_Base_LNEC!$A$4:$J$6971,7,FALSE)</f>
        <v>0</v>
      </c>
    </row>
    <row r="6431" spans="1:11" ht="14.5">
      <c r="A6431" s="20" t="s">
        <v>30381</v>
      </c>
      <c r="B6431" s="20">
        <v>70</v>
      </c>
      <c r="C6431" s="20">
        <v>55</v>
      </c>
      <c r="D6431" s="20">
        <v>76</v>
      </c>
      <c r="E6431" s="24"/>
      <c r="F6431" s="20" t="s">
        <v>30382</v>
      </c>
      <c r="G6431" s="24"/>
      <c r="H6431" s="24"/>
      <c r="I6431" s="24" t="str">
        <f ca="1">IFERROR(__xludf.DUMMYFUNCTION("GOOGLETRANSLATE(F6431,""en"",""pt"")"),"estação de tratamento de esgoto")</f>
        <v>estação de tratamento de esgoto</v>
      </c>
      <c r="J6431">
        <f>VLOOKUP(A6431,Pr_Base_LNEC!$A$4:$J$6971,6,FALSE)</f>
        <v>0</v>
      </c>
      <c r="K6431">
        <f>VLOOKUP(A6431,Pr_Base_LNEC!$A$4:$J$6971,7,FALSE)</f>
        <v>0</v>
      </c>
    </row>
    <row r="6432" spans="1:11" ht="14.5">
      <c r="A6432" s="20" t="s">
        <v>30383</v>
      </c>
      <c r="B6432" s="20">
        <v>70</v>
      </c>
      <c r="C6432" s="20">
        <v>55</v>
      </c>
      <c r="D6432" s="20">
        <v>76</v>
      </c>
      <c r="E6432" s="20">
        <v>34</v>
      </c>
      <c r="F6432" s="20" t="s">
        <v>30384</v>
      </c>
      <c r="G6432" s="20" t="s">
        <v>30385</v>
      </c>
      <c r="H6432" s="24"/>
      <c r="I6432" s="24" t="str">
        <f ca="1">IFERROR(__xludf.DUMMYFUNCTION("GOOGLETRANSLATE(F6432,""en"",""pt"")"),"unidades de armazenamento plásticos modulares Geocellular")</f>
        <v>unidades de armazenamento plásticos modulares Geocellular</v>
      </c>
      <c r="J6432">
        <f>VLOOKUP(A6432,Pr_Base_LNEC!$A$4:$J$6971,6,FALSE)</f>
        <v>0</v>
      </c>
      <c r="K6432">
        <f>VLOOKUP(A6432,Pr_Base_LNEC!$A$4:$J$6971,7,FALSE)</f>
        <v>0</v>
      </c>
    </row>
    <row r="6433" spans="1:11" ht="14.5">
      <c r="A6433" s="20" t="s">
        <v>30386</v>
      </c>
      <c r="B6433" s="20">
        <v>70</v>
      </c>
      <c r="C6433" s="20">
        <v>55</v>
      </c>
      <c r="D6433" s="20">
        <v>76</v>
      </c>
      <c r="E6433" s="20">
        <v>62</v>
      </c>
      <c r="F6433" s="20" t="s">
        <v>30387</v>
      </c>
      <c r="G6433" s="20" t="s">
        <v>30388</v>
      </c>
      <c r="H6433" s="24"/>
      <c r="I6433" s="24" t="str">
        <f ca="1">IFERROR(__xludf.DUMMYFUNCTION("GOOGLETRANSLATE(F6433,""en"",""pt"")"),"estações de bombeamento embalados privadas")</f>
        <v>estações de bombeamento embalados privadas</v>
      </c>
      <c r="J6433">
        <f>VLOOKUP(A6433,Pr_Base_LNEC!$A$4:$J$6971,6,FALSE)</f>
        <v>0</v>
      </c>
      <c r="K6433">
        <f>VLOOKUP(A6433,Pr_Base_LNEC!$A$4:$J$6971,7,FALSE)</f>
        <v>0</v>
      </c>
    </row>
    <row r="6434" spans="1:11" ht="14.5">
      <c r="A6434" s="20" t="s">
        <v>30389</v>
      </c>
      <c r="B6434" s="20">
        <v>70</v>
      </c>
      <c r="C6434" s="20">
        <v>55</v>
      </c>
      <c r="D6434" s="20">
        <v>76</v>
      </c>
      <c r="E6434" s="20">
        <v>64</v>
      </c>
      <c r="F6434" s="20" t="s">
        <v>30390</v>
      </c>
      <c r="G6434" s="20" t="s">
        <v>30391</v>
      </c>
      <c r="H6434" s="24"/>
      <c r="I6434" s="24" t="str">
        <f ca="1">IFERROR(__xludf.DUMMYFUNCTION("GOOGLETRANSLATE(F6434,""en"",""pt"")"),"unidades de tanques sépticos embalados privadas")</f>
        <v>unidades de tanques sépticos embalados privadas</v>
      </c>
      <c r="J6434">
        <f>VLOOKUP(A6434,Pr_Base_LNEC!$A$4:$J$6971,6,FALSE)</f>
        <v>0</v>
      </c>
      <c r="K6434">
        <f>VLOOKUP(A6434,Pr_Base_LNEC!$A$4:$J$6971,7,FALSE)</f>
        <v>0</v>
      </c>
    </row>
    <row r="6435" spans="1:11" ht="14.5">
      <c r="A6435" s="20" t="s">
        <v>30392</v>
      </c>
      <c r="B6435" s="20">
        <v>70</v>
      </c>
      <c r="C6435" s="20">
        <v>55</v>
      </c>
      <c r="D6435" s="20">
        <v>76</v>
      </c>
      <c r="E6435" s="20">
        <v>66</v>
      </c>
      <c r="F6435" s="20" t="s">
        <v>30393</v>
      </c>
      <c r="G6435" s="20" t="s">
        <v>30394</v>
      </c>
      <c r="H6435" s="24"/>
      <c r="I6435" s="24" t="str">
        <f ca="1">IFERROR(__xludf.DUMMYFUNCTION("GOOGLETRANSLATE(F6435,""en"",""pt"")"),"unidades de tratamento de esgotos embalados privados")</f>
        <v>unidades de tratamento de esgotos embalados privados</v>
      </c>
      <c r="J6435">
        <f>VLOOKUP(A6435,Pr_Base_LNEC!$A$4:$J$6971,6,FALSE)</f>
        <v>0</v>
      </c>
      <c r="K6435">
        <f>VLOOKUP(A6435,Pr_Base_LNEC!$A$4:$J$6971,7,FALSE)</f>
        <v>0</v>
      </c>
    </row>
    <row r="6436" spans="1:11" ht="14.5">
      <c r="A6436" s="20" t="s">
        <v>30395</v>
      </c>
      <c r="B6436" s="20">
        <v>70</v>
      </c>
      <c r="C6436" s="20">
        <v>55</v>
      </c>
      <c r="D6436" s="20">
        <v>76</v>
      </c>
      <c r="E6436" s="20">
        <v>72</v>
      </c>
      <c r="F6436" s="20" t="s">
        <v>30396</v>
      </c>
      <c r="G6436" s="20" t="s">
        <v>30397</v>
      </c>
      <c r="H6436" s="24"/>
      <c r="I6436" s="24" t="str">
        <f ca="1">IFERROR(__xludf.DUMMYFUNCTION("GOOGLETRANSLATE(F6436,""en"",""pt"")"),"unidades canavial")</f>
        <v>unidades canavial</v>
      </c>
      <c r="J6436">
        <f>VLOOKUP(A6436,Pr_Base_LNEC!$A$4:$J$6971,6,FALSE)</f>
        <v>0</v>
      </c>
      <c r="K6436">
        <f>VLOOKUP(A6436,Pr_Base_LNEC!$A$4:$J$6971,7,FALSE)</f>
        <v>0</v>
      </c>
    </row>
    <row r="6437" spans="1:11" ht="14.5">
      <c r="A6437" s="20" t="s">
        <v>30398</v>
      </c>
      <c r="B6437" s="20">
        <v>70</v>
      </c>
      <c r="C6437" s="20">
        <v>55</v>
      </c>
      <c r="D6437" s="20">
        <v>76</v>
      </c>
      <c r="E6437" s="20">
        <v>76</v>
      </c>
      <c r="F6437" s="20" t="s">
        <v>30399</v>
      </c>
      <c r="G6437" s="20" t="s">
        <v>30400</v>
      </c>
      <c r="H6437" s="24"/>
      <c r="I6437" s="24" t="str">
        <f ca="1">IFERROR(__xludf.DUMMYFUNCTION("GOOGLETRANSLATE(F6437,""en"",""pt"")"),"Esgoto abaixo do solo tanques de armazenamento (fossas)")</f>
        <v>Esgoto abaixo do solo tanques de armazenamento (fossas)</v>
      </c>
      <c r="J6437">
        <f>VLOOKUP(A6437,Pr_Base_LNEC!$A$4:$J$6971,6,FALSE)</f>
        <v>0</v>
      </c>
      <c r="K6437">
        <f>VLOOKUP(A6437,Pr_Base_LNEC!$A$4:$J$6971,7,FALSE)</f>
        <v>0</v>
      </c>
    </row>
    <row r="6438" spans="1:11" ht="14.5">
      <c r="A6438" s="20" t="s">
        <v>30401</v>
      </c>
      <c r="B6438" s="20">
        <v>70</v>
      </c>
      <c r="C6438" s="20">
        <v>55</v>
      </c>
      <c r="D6438" s="20">
        <v>96</v>
      </c>
      <c r="E6438" s="24"/>
      <c r="F6438" s="20" t="s">
        <v>30402</v>
      </c>
      <c r="G6438" s="24"/>
      <c r="H6438" s="24"/>
      <c r="I6438" s="24" t="str">
        <f ca="1">IFERROR(__xludf.DUMMYFUNCTION("GOOGLETRANSLATE(F6438,""en"",""pt"")"),"Resíduos de saídas de água e tampões")</f>
        <v>Resíduos de saídas de água e tampões</v>
      </c>
      <c r="J6438">
        <f>VLOOKUP(A6438,Pr_Base_LNEC!$A$4:$J$6971,6,FALSE)</f>
        <v>0</v>
      </c>
      <c r="K6438">
        <f>VLOOKUP(A6438,Pr_Base_LNEC!$A$4:$J$6971,7,FALSE)</f>
        <v>0</v>
      </c>
    </row>
    <row r="6439" spans="1:11" ht="14.5">
      <c r="A6439" s="20" t="s">
        <v>30403</v>
      </c>
      <c r="B6439" s="20">
        <v>70</v>
      </c>
      <c r="C6439" s="20">
        <v>55</v>
      </c>
      <c r="D6439" s="20">
        <v>96</v>
      </c>
      <c r="E6439" s="20">
        <v>6</v>
      </c>
      <c r="F6439" s="20" t="s">
        <v>30404</v>
      </c>
      <c r="G6439" s="20" t="s">
        <v>30405</v>
      </c>
      <c r="H6439" s="24"/>
      <c r="I6439" s="24" t="str">
        <f ca="1">IFERROR(__xludf.DUMMYFUNCTION("GOOGLETRANSLATE(F6439,""en"",""pt"")"),"resíduos de banho")</f>
        <v>resíduos de banho</v>
      </c>
      <c r="J6439">
        <f>VLOOKUP(A6439,Pr_Base_LNEC!$A$4:$J$6971,6,FALSE)</f>
        <v>0</v>
      </c>
      <c r="K6439">
        <f>VLOOKUP(A6439,Pr_Base_LNEC!$A$4:$J$6971,7,FALSE)</f>
        <v>0</v>
      </c>
    </row>
    <row r="6440" spans="1:11" ht="14.5">
      <c r="A6440" s="20" t="s">
        <v>30406</v>
      </c>
      <c r="B6440" s="20">
        <v>70</v>
      </c>
      <c r="C6440" s="20">
        <v>55</v>
      </c>
      <c r="D6440" s="20">
        <v>96</v>
      </c>
      <c r="E6440" s="20">
        <v>9</v>
      </c>
      <c r="F6440" s="20" t="s">
        <v>30407</v>
      </c>
      <c r="G6440" s="20" t="s">
        <v>30408</v>
      </c>
      <c r="H6440" s="24"/>
      <c r="I6440" s="24" t="str">
        <f ca="1">IFERROR(__xludf.DUMMYFUNCTION("GOOGLETRANSLATE(F6440,""en"",""pt"")"),"resíduos Bidê")</f>
        <v>resíduos Bidê</v>
      </c>
      <c r="J6440">
        <f>VLOOKUP(A6440,Pr_Base_LNEC!$A$4:$J$6971,6,FALSE)</f>
        <v>0</v>
      </c>
      <c r="K6440">
        <f>VLOOKUP(A6440,Pr_Base_LNEC!$A$4:$J$6971,7,FALSE)</f>
        <v>0</v>
      </c>
    </row>
    <row r="6441" spans="1:11" ht="14.5">
      <c r="A6441" s="20" t="s">
        <v>30409</v>
      </c>
      <c r="B6441" s="20">
        <v>70</v>
      </c>
      <c r="C6441" s="20">
        <v>55</v>
      </c>
      <c r="D6441" s="20">
        <v>96</v>
      </c>
      <c r="E6441" s="20">
        <v>76</v>
      </c>
      <c r="F6441" s="20" t="s">
        <v>30410</v>
      </c>
      <c r="G6441" s="20" t="s">
        <v>30411</v>
      </c>
      <c r="H6441" s="24"/>
      <c r="I6441" s="24" t="str">
        <f ca="1">IFERROR(__xludf.DUMMYFUNCTION("GOOGLETRANSLATE(F6441,""en"",""pt"")"),"Esfrega-se calha e lavar os resíduos da calha")</f>
        <v>Esfrega-se calha e lavar os resíduos da calha</v>
      </c>
      <c r="J6441">
        <f>VLOOKUP(A6441,Pr_Base_LNEC!$A$4:$J$6971,6,FALSE)</f>
        <v>0</v>
      </c>
      <c r="K6441">
        <f>VLOOKUP(A6441,Pr_Base_LNEC!$A$4:$J$6971,7,FALSE)</f>
        <v>0</v>
      </c>
    </row>
    <row r="6442" spans="1:11" ht="14.5">
      <c r="A6442" s="20" t="s">
        <v>30412</v>
      </c>
      <c r="B6442" s="20">
        <v>70</v>
      </c>
      <c r="C6442" s="20">
        <v>55</v>
      </c>
      <c r="D6442" s="20">
        <v>96</v>
      </c>
      <c r="E6442" s="20">
        <v>83</v>
      </c>
      <c r="F6442" s="20" t="s">
        <v>30413</v>
      </c>
      <c r="G6442" s="20" t="s">
        <v>30414</v>
      </c>
      <c r="H6442" s="24"/>
      <c r="I6442" s="24" t="str">
        <f ca="1">IFERROR(__xludf.DUMMYFUNCTION("GOOGLETRANSLATE(F6442,""en"",""pt"")"),"resíduos base de duche")</f>
        <v>resíduos base de duche</v>
      </c>
      <c r="J6442">
        <f>VLOOKUP(A6442,Pr_Base_LNEC!$A$4:$J$6971,6,FALSE)</f>
        <v>0</v>
      </c>
      <c r="K6442">
        <f>VLOOKUP(A6442,Pr_Base_LNEC!$A$4:$J$6971,7,FALSE)</f>
        <v>0</v>
      </c>
    </row>
    <row r="6443" spans="1:11" ht="14.5">
      <c r="A6443" s="20" t="s">
        <v>30415</v>
      </c>
      <c r="B6443" s="20">
        <v>70</v>
      </c>
      <c r="C6443" s="20">
        <v>55</v>
      </c>
      <c r="D6443" s="20">
        <v>96</v>
      </c>
      <c r="E6443" s="20">
        <v>84</v>
      </c>
      <c r="F6443" s="20" t="s">
        <v>30416</v>
      </c>
      <c r="G6443" s="20" t="s">
        <v>30417</v>
      </c>
      <c r="H6443" s="24"/>
      <c r="I6443" s="24" t="str">
        <f ca="1">IFERROR(__xludf.DUMMYFUNCTION("GOOGLETRANSLATE(F6443,""en"",""pt"")"),"resíduos de pia")</f>
        <v>resíduos de pia</v>
      </c>
      <c r="J6443">
        <f>VLOOKUP(A6443,Pr_Base_LNEC!$A$4:$J$6971,6,FALSE)</f>
        <v>0</v>
      </c>
      <c r="K6443">
        <f>VLOOKUP(A6443,Pr_Base_LNEC!$A$4:$J$6971,7,FALSE)</f>
        <v>0</v>
      </c>
    </row>
    <row r="6444" spans="1:11" ht="14.5">
      <c r="A6444" s="20" t="s">
        <v>30418</v>
      </c>
      <c r="B6444" s="20">
        <v>70</v>
      </c>
      <c r="C6444" s="20">
        <v>55</v>
      </c>
      <c r="D6444" s="20">
        <v>96</v>
      </c>
      <c r="E6444" s="20">
        <v>93</v>
      </c>
      <c r="F6444" s="20" t="s">
        <v>30419</v>
      </c>
      <c r="G6444" s="20" t="s">
        <v>30420</v>
      </c>
      <c r="H6444" s="24"/>
      <c r="I6444" s="24" t="str">
        <f ca="1">IFERROR(__xludf.DUMMYFUNCTION("GOOGLETRANSLATE(F6444,""en"",""pt"")"),"resíduos mictório")</f>
        <v>resíduos mictório</v>
      </c>
      <c r="J6444">
        <f>VLOOKUP(A6444,Pr_Base_LNEC!$A$4:$J$6971,6,FALSE)</f>
        <v>0</v>
      </c>
      <c r="K6444">
        <f>VLOOKUP(A6444,Pr_Base_LNEC!$A$4:$J$6971,7,FALSE)</f>
        <v>0</v>
      </c>
    </row>
    <row r="6445" spans="1:11" ht="14.5">
      <c r="A6445" s="20" t="s">
        <v>30421</v>
      </c>
      <c r="B6445" s="20">
        <v>70</v>
      </c>
      <c r="C6445" s="20">
        <v>55</v>
      </c>
      <c r="D6445" s="20">
        <v>96</v>
      </c>
      <c r="E6445" s="20">
        <v>97</v>
      </c>
      <c r="F6445" s="20" t="s">
        <v>30422</v>
      </c>
      <c r="G6445" s="20" t="s">
        <v>30423</v>
      </c>
      <c r="H6445" s="24"/>
      <c r="I6445" s="24" t="str">
        <f ca="1">IFERROR(__xludf.DUMMYFUNCTION("GOOGLETRANSLATE(F6445,""en"",""pt"")"),"Lavatórios resíduos")</f>
        <v>Lavatórios resíduos</v>
      </c>
      <c r="J6445">
        <f>VLOOKUP(A6445,Pr_Base_LNEC!$A$4:$J$6971,6,FALSE)</f>
        <v>0</v>
      </c>
      <c r="K6445">
        <f>VLOOKUP(A6445,Pr_Base_LNEC!$A$4:$J$6971,7,FALSE)</f>
        <v>0</v>
      </c>
    </row>
    <row r="6446" spans="1:11" ht="14.5">
      <c r="A6446" s="20" t="s">
        <v>30424</v>
      </c>
      <c r="B6446" s="20">
        <v>70</v>
      </c>
      <c r="C6446" s="20">
        <v>55</v>
      </c>
      <c r="D6446" s="20">
        <v>96</v>
      </c>
      <c r="E6446" s="20">
        <v>98</v>
      </c>
      <c r="F6446" s="20" t="s">
        <v>30425</v>
      </c>
      <c r="G6446" s="24"/>
      <c r="H6446" s="24"/>
      <c r="I6446" s="24" t="str">
        <f ca="1">IFERROR(__xludf.DUMMYFUNCTION("GOOGLETRANSLATE(F6446,""en"",""pt"")"),"Resíduos de tampões de água e as cadeias")</f>
        <v>Resíduos de tampões de água e as cadeias</v>
      </c>
      <c r="J6446">
        <f>VLOOKUP(A6446,Pr_Base_LNEC!$A$4:$J$6971,6,FALSE)</f>
        <v>0</v>
      </c>
      <c r="K6446">
        <f>VLOOKUP(A6446,Pr_Base_LNEC!$A$4:$J$6971,7,FALSE)</f>
        <v>0</v>
      </c>
    </row>
    <row r="6447" spans="1:11" ht="14.5">
      <c r="A6447" s="20" t="s">
        <v>30426</v>
      </c>
      <c r="B6447" s="20">
        <v>70</v>
      </c>
      <c r="C6447" s="20">
        <v>55</v>
      </c>
      <c r="D6447" s="20">
        <v>97</v>
      </c>
      <c r="E6447" s="24"/>
      <c r="F6447" s="20" t="s">
        <v>30427</v>
      </c>
      <c r="G6447" s="24"/>
      <c r="H6447" s="24"/>
      <c r="I6447" s="24" t="str">
        <f ca="1">IFERROR(__xludf.DUMMYFUNCTION("GOOGLETRANSLATE(F6447,""en"",""pt"")"),"água de extinção tomadas")</f>
        <v>água de extinção tomadas</v>
      </c>
      <c r="J6447">
        <f>VLOOKUP(A6447,Pr_Base_LNEC!$A$4:$J$6971,6,FALSE)</f>
        <v>0</v>
      </c>
      <c r="K6447">
        <f>VLOOKUP(A6447,Pr_Base_LNEC!$A$4:$J$6971,7,FALSE)</f>
        <v>0</v>
      </c>
    </row>
    <row r="6448" spans="1:11" ht="14.5">
      <c r="A6448" s="20" t="s">
        <v>30428</v>
      </c>
      <c r="B6448" s="20">
        <v>70</v>
      </c>
      <c r="C6448" s="20">
        <v>55</v>
      </c>
      <c r="D6448" s="20">
        <v>97</v>
      </c>
      <c r="E6448" s="20">
        <v>1</v>
      </c>
      <c r="F6448" s="20" t="s">
        <v>30429</v>
      </c>
      <c r="G6448" s="24"/>
      <c r="H6448" s="24"/>
      <c r="I6448" s="24" t="str">
        <f ca="1">IFERROR(__xludf.DUMMYFUNCTION("GOOGLETRANSLATE(F6448,""en"",""pt"")"),"hidrantes acima do solo")</f>
        <v>hidrantes acima do solo</v>
      </c>
      <c r="J6448">
        <f>VLOOKUP(A6448,Pr_Base_LNEC!$A$4:$J$6971,6,FALSE)</f>
        <v>0</v>
      </c>
      <c r="K6448">
        <f>VLOOKUP(A6448,Pr_Base_LNEC!$A$4:$J$6971,7,FALSE)</f>
        <v>0</v>
      </c>
    </row>
    <row r="6449" spans="1:11" ht="14.5">
      <c r="A6449" s="20" t="s">
        <v>30430</v>
      </c>
      <c r="B6449" s="20">
        <v>70</v>
      </c>
      <c r="C6449" s="20">
        <v>55</v>
      </c>
      <c r="D6449" s="20">
        <v>97</v>
      </c>
      <c r="E6449" s="20">
        <v>23</v>
      </c>
      <c r="F6449" s="20" t="s">
        <v>30431</v>
      </c>
      <c r="G6449" s="20" t="s">
        <v>30432</v>
      </c>
      <c r="H6449" s="24"/>
      <c r="I6449" s="24" t="str">
        <f ca="1">IFERROR(__xludf.DUMMYFUNCTION("GOOGLETRANSLATE(F6449,""en"",""pt"")"),"pulverizadores domésticos")</f>
        <v>pulverizadores domésticos</v>
      </c>
      <c r="J6449">
        <f>VLOOKUP(A6449,Pr_Base_LNEC!$A$4:$J$6971,6,FALSE)</f>
        <v>0</v>
      </c>
      <c r="K6449">
        <f>VLOOKUP(A6449,Pr_Base_LNEC!$A$4:$J$6971,7,FALSE)</f>
        <v>0</v>
      </c>
    </row>
    <row r="6450" spans="1:11" ht="14.5">
      <c r="A6450" s="20" t="s">
        <v>30433</v>
      </c>
      <c r="B6450" s="20">
        <v>70</v>
      </c>
      <c r="C6450" s="20">
        <v>55</v>
      </c>
      <c r="D6450" s="20">
        <v>97</v>
      </c>
      <c r="E6450" s="20">
        <v>37</v>
      </c>
      <c r="F6450" s="20" t="s">
        <v>30434</v>
      </c>
      <c r="G6450" s="20" t="s">
        <v>30435</v>
      </c>
      <c r="H6450" s="24"/>
      <c r="I6450" s="24" t="str">
        <f ca="1">IFERROR(__xludf.DUMMYFUNCTION("GOOGLETRANSLATE(F6450,""en"",""pt"")"),"bicos de alta velocidade")</f>
        <v>bicos de alta velocidade</v>
      </c>
      <c r="J6450">
        <f>VLOOKUP(A6450,Pr_Base_LNEC!$A$4:$J$6971,6,FALSE)</f>
        <v>0</v>
      </c>
      <c r="K6450">
        <f>VLOOKUP(A6450,Pr_Base_LNEC!$A$4:$J$6971,7,FALSE)</f>
        <v>0</v>
      </c>
    </row>
    <row r="6451" spans="1:11" ht="14.5">
      <c r="A6451" s="20" t="s">
        <v>30436</v>
      </c>
      <c r="B6451" s="20">
        <v>70</v>
      </c>
      <c r="C6451" s="20">
        <v>55</v>
      </c>
      <c r="D6451" s="20">
        <v>97</v>
      </c>
      <c r="E6451" s="20">
        <v>51</v>
      </c>
      <c r="F6451" s="20" t="s">
        <v>30437</v>
      </c>
      <c r="G6451" s="20" t="s">
        <v>30438</v>
      </c>
      <c r="H6451" s="24"/>
      <c r="I6451" s="24" t="str">
        <f ca="1">IFERROR(__xludf.DUMMYFUNCTION("GOOGLETRANSLATE(F6451,""en"",""pt"")"),"bocais velocidade média")</f>
        <v>bocais velocidade média</v>
      </c>
      <c r="J6451">
        <f>VLOOKUP(A6451,Pr_Base_LNEC!$A$4:$J$6971,6,FALSE)</f>
        <v>0</v>
      </c>
      <c r="K6451">
        <f>VLOOKUP(A6451,Pr_Base_LNEC!$A$4:$J$6971,7,FALSE)</f>
        <v>0</v>
      </c>
    </row>
    <row r="6452" spans="1:11" ht="14.5">
      <c r="A6452" s="20" t="s">
        <v>30439</v>
      </c>
      <c r="B6452" s="20">
        <v>70</v>
      </c>
      <c r="C6452" s="20">
        <v>55</v>
      </c>
      <c r="D6452" s="20">
        <v>97</v>
      </c>
      <c r="E6452" s="20">
        <v>57</v>
      </c>
      <c r="F6452" s="20" t="s">
        <v>30440</v>
      </c>
      <c r="G6452" s="20" t="s">
        <v>30441</v>
      </c>
      <c r="H6452" s="24"/>
      <c r="I6452" s="24" t="str">
        <f ca="1">IFERROR(__xludf.DUMMYFUNCTION("GOOGLETRANSLATE(F6452,""en"",""pt"")"),"bicos")</f>
        <v>bicos</v>
      </c>
      <c r="J6452">
        <f>VLOOKUP(A6452,Pr_Base_LNEC!$A$4:$J$6971,6,FALSE)</f>
        <v>0</v>
      </c>
      <c r="K6452">
        <f>VLOOKUP(A6452,Pr_Base_LNEC!$A$4:$J$6971,7,FALSE)</f>
        <v>0</v>
      </c>
    </row>
    <row r="6453" spans="1:11" ht="14.5">
      <c r="A6453" s="20" t="s">
        <v>30442</v>
      </c>
      <c r="B6453" s="20">
        <v>70</v>
      </c>
      <c r="C6453" s="20">
        <v>55</v>
      </c>
      <c r="D6453" s="20">
        <v>97</v>
      </c>
      <c r="E6453" s="20">
        <v>84</v>
      </c>
      <c r="F6453" s="20" t="s">
        <v>30443</v>
      </c>
      <c r="G6453" s="20" t="s">
        <v>30444</v>
      </c>
      <c r="H6453" s="24"/>
      <c r="I6453" s="24" t="str">
        <f ca="1">IFERROR(__xludf.DUMMYFUNCTION("GOOGLETRANSLATE(F6453,""en"",""pt"")"),"pulverizadores")</f>
        <v>pulverizadores</v>
      </c>
      <c r="J6453">
        <f>VLOOKUP(A6453,Pr_Base_LNEC!$A$4:$J$6971,6,FALSE)</f>
        <v>0</v>
      </c>
      <c r="K6453">
        <f>VLOOKUP(A6453,Pr_Base_LNEC!$A$4:$J$6971,7,FALSE)</f>
        <v>0</v>
      </c>
    </row>
    <row r="6454" spans="1:11" ht="14.5">
      <c r="A6454" s="20" t="s">
        <v>30445</v>
      </c>
      <c r="B6454" s="20">
        <v>70</v>
      </c>
      <c r="C6454" s="20">
        <v>55</v>
      </c>
      <c r="D6454" s="20">
        <v>97</v>
      </c>
      <c r="E6454" s="20">
        <v>93</v>
      </c>
      <c r="F6454" s="20" t="s">
        <v>30446</v>
      </c>
      <c r="G6454" s="20" t="s">
        <v>30447</v>
      </c>
      <c r="H6454" s="24"/>
      <c r="I6454" s="24" t="str">
        <f ca="1">IFERROR(__xludf.DUMMYFUNCTION("GOOGLETRANSLATE(F6454,""en"",""pt"")"),"hidrantes subterrâneos")</f>
        <v>hidrantes subterrâneos</v>
      </c>
      <c r="J6454">
        <f>VLOOKUP(A6454,Pr_Base_LNEC!$A$4:$J$6971,6,FALSE)</f>
        <v>0</v>
      </c>
      <c r="K6454">
        <f>VLOOKUP(A6454,Pr_Base_LNEC!$A$4:$J$6971,7,FALSE)</f>
        <v>0</v>
      </c>
    </row>
    <row r="6455" spans="1:11" ht="14.5">
      <c r="A6455" s="20" t="s">
        <v>30448</v>
      </c>
      <c r="B6455" s="20">
        <v>70</v>
      </c>
      <c r="C6455" s="20">
        <v>55</v>
      </c>
      <c r="D6455" s="20">
        <v>98</v>
      </c>
      <c r="E6455" s="24"/>
      <c r="F6455" s="20" t="s">
        <v>30449</v>
      </c>
      <c r="G6455" s="24"/>
      <c r="H6455" s="24"/>
      <c r="I6455" s="24" t="str">
        <f ca="1">IFERROR(__xludf.DUMMYFUNCTION("GOOGLETRANSLATE(F6455,""en"",""pt"")"),"entradas de água e saídas")</f>
        <v>entradas de água e saídas</v>
      </c>
      <c r="J6455">
        <f>VLOOKUP(A6455,Pr_Base_LNEC!$A$4:$J$6971,6,FALSE)</f>
        <v>0</v>
      </c>
      <c r="K6455">
        <f>VLOOKUP(A6455,Pr_Base_LNEC!$A$4:$J$6971,7,FALSE)</f>
        <v>0</v>
      </c>
    </row>
    <row r="6456" spans="1:11" ht="14.5">
      <c r="A6456" s="20" t="s">
        <v>30450</v>
      </c>
      <c r="B6456" s="20">
        <v>70</v>
      </c>
      <c r="C6456" s="20">
        <v>55</v>
      </c>
      <c r="D6456" s="20">
        <v>98</v>
      </c>
      <c r="E6456" s="20">
        <v>28</v>
      </c>
      <c r="F6456" s="20" t="s">
        <v>30451</v>
      </c>
      <c r="G6456" s="24"/>
      <c r="H6456" s="24"/>
      <c r="I6456" s="24" t="str">
        <f ca="1">IFERROR(__xludf.DUMMYFUNCTION("GOOGLETRANSLATE(F6456,""en"",""pt"")"),"bebedouros externos")</f>
        <v>bebedouros externos</v>
      </c>
      <c r="J6456">
        <f>VLOOKUP(A6456,Pr_Base_LNEC!$A$4:$J$6971,6,FALSE)</f>
        <v>0</v>
      </c>
      <c r="K6456">
        <f>VLOOKUP(A6456,Pr_Base_LNEC!$A$4:$J$6971,7,FALSE)</f>
        <v>0</v>
      </c>
    </row>
    <row r="6457" spans="1:11" ht="14.5">
      <c r="A6457" s="20" t="s">
        <v>30452</v>
      </c>
      <c r="B6457" s="20">
        <v>70</v>
      </c>
      <c r="C6457" s="20">
        <v>55</v>
      </c>
      <c r="D6457" s="20">
        <v>98</v>
      </c>
      <c r="E6457" s="20">
        <v>30</v>
      </c>
      <c r="F6457" s="20" t="s">
        <v>30453</v>
      </c>
      <c r="G6457" s="20" t="s">
        <v>30454</v>
      </c>
      <c r="H6457" s="24"/>
      <c r="I6457" s="24" t="str">
        <f ca="1">IFERROR(__xludf.DUMMYFUNCTION("GOOGLETRANSLATE(F6457,""en"",""pt"")"),"fontes")</f>
        <v>fontes</v>
      </c>
      <c r="J6457">
        <f>VLOOKUP(A6457,Pr_Base_LNEC!$A$4:$J$6971,6,FALSE)</f>
        <v>0</v>
      </c>
      <c r="K6457">
        <f>VLOOKUP(A6457,Pr_Base_LNEC!$A$4:$J$6971,7,FALSE)</f>
        <v>0</v>
      </c>
    </row>
    <row r="6458" spans="1:11" ht="14.5">
      <c r="A6458" s="20" t="s">
        <v>30455</v>
      </c>
      <c r="B6458" s="20">
        <v>70</v>
      </c>
      <c r="C6458" s="20">
        <v>55</v>
      </c>
      <c r="D6458" s="20">
        <v>98</v>
      </c>
      <c r="E6458" s="20">
        <v>35</v>
      </c>
      <c r="F6458" s="20" t="s">
        <v>30456</v>
      </c>
      <c r="G6458" s="24"/>
      <c r="H6458" s="24"/>
      <c r="I6458" s="24" t="str">
        <f ca="1">IFERROR(__xludf.DUMMYFUNCTION("GOOGLETRANSLATE(F6458,""en"",""pt"")"),"saída de drenagem telhado verde")</f>
        <v>saída de drenagem telhado verde</v>
      </c>
      <c r="J6458">
        <f>VLOOKUP(A6458,Pr_Base_LNEC!$A$4:$J$6971,6,FALSE)</f>
        <v>0</v>
      </c>
      <c r="K6458">
        <f>VLOOKUP(A6458,Pr_Base_LNEC!$A$4:$J$6971,7,FALSE)</f>
        <v>0</v>
      </c>
    </row>
    <row r="6459" spans="1:11" ht="14.5">
      <c r="A6459" s="20" t="s">
        <v>30457</v>
      </c>
      <c r="B6459" s="20">
        <v>70</v>
      </c>
      <c r="C6459" s="20">
        <v>55</v>
      </c>
      <c r="D6459" s="20">
        <v>98</v>
      </c>
      <c r="E6459" s="20">
        <v>37</v>
      </c>
      <c r="F6459" s="20" t="s">
        <v>30458</v>
      </c>
      <c r="G6459" s="24"/>
      <c r="H6459" s="24"/>
      <c r="I6459" s="24" t="str">
        <f ca="1">IFERROR(__xludf.DUMMYFUNCTION("GOOGLETRANSLATE(F6459,""en"",""pt"")"),"conectores de mangueira de água de alta pressão")</f>
        <v>conectores de mangueira de água de alta pressão</v>
      </c>
      <c r="J6459" t="e">
        <f>VLOOKUP(A6459,Pr_Base_LNEC!$A$4:$J$6971,6,FALSE)</f>
        <v>#N/A</v>
      </c>
      <c r="K6459" t="e">
        <f>VLOOKUP(A6459,Pr_Base_LNEC!$A$4:$J$6971,7,FALSE)</f>
        <v>#N/A</v>
      </c>
    </row>
    <row r="6460" spans="1:11" ht="14.5">
      <c r="A6460" s="20" t="s">
        <v>30459</v>
      </c>
      <c r="B6460" s="20">
        <v>70</v>
      </c>
      <c r="C6460" s="20">
        <v>55</v>
      </c>
      <c r="D6460" s="20">
        <v>98</v>
      </c>
      <c r="E6460" s="20">
        <v>46</v>
      </c>
      <c r="F6460" s="20" t="s">
        <v>30460</v>
      </c>
      <c r="G6460" s="20" t="s">
        <v>30461</v>
      </c>
      <c r="H6460" s="24"/>
      <c r="I6460" s="24" t="str">
        <f ca="1">IFERROR(__xludf.DUMMYFUNCTION("GOOGLETRANSLATE(F6460,""en"",""pt"")"),"jatos laminares")</f>
        <v>jatos laminares</v>
      </c>
      <c r="J6460">
        <f>VLOOKUP(A6460,Pr_Base_LNEC!$A$4:$J$6971,6,FALSE)</f>
        <v>0</v>
      </c>
      <c r="K6460">
        <f>VLOOKUP(A6460,Pr_Base_LNEC!$A$4:$J$6971,7,FALSE)</f>
        <v>0</v>
      </c>
    </row>
    <row r="6461" spans="1:11" ht="14.5">
      <c r="A6461" s="20" t="s">
        <v>30462</v>
      </c>
      <c r="B6461" s="20">
        <v>70</v>
      </c>
      <c r="C6461" s="20">
        <v>55</v>
      </c>
      <c r="D6461" s="20">
        <v>98</v>
      </c>
      <c r="E6461" s="20">
        <v>59</v>
      </c>
      <c r="F6461" s="20" t="s">
        <v>30463</v>
      </c>
      <c r="G6461" s="24"/>
      <c r="H6461" s="24"/>
      <c r="I6461" s="24" t="str">
        <f ca="1">IFERROR(__xludf.DUMMYFUNCTION("GOOGLETRANSLATE(F6461,""en"",""pt"")"),"overflows")</f>
        <v>overflows</v>
      </c>
      <c r="J6461">
        <f>VLOOKUP(A6461,Pr_Base_LNEC!$A$4:$J$6971,6,FALSE)</f>
        <v>0</v>
      </c>
      <c r="K6461">
        <f>VLOOKUP(A6461,Pr_Base_LNEC!$A$4:$J$6971,7,FALSE)</f>
        <v>0</v>
      </c>
    </row>
    <row r="6462" spans="1:11" ht="14.5">
      <c r="A6462" s="20" t="s">
        <v>30464</v>
      </c>
      <c r="B6462" s="20">
        <v>70</v>
      </c>
      <c r="C6462" s="20">
        <v>55</v>
      </c>
      <c r="D6462" s="20">
        <v>98</v>
      </c>
      <c r="E6462" s="20">
        <v>60</v>
      </c>
      <c r="F6462" s="20" t="s">
        <v>30465</v>
      </c>
      <c r="G6462" s="24"/>
      <c r="H6462" s="24"/>
      <c r="I6462" s="24" t="str">
        <f ca="1">IFERROR(__xludf.DUMMYFUNCTION("GOOGLETRANSLATE(F6462,""en"",""pt"")"),"saída dos reservatórios passivos")</f>
        <v>saída dos reservatórios passivos</v>
      </c>
      <c r="J6462">
        <f>VLOOKUP(A6462,Pr_Base_LNEC!$A$4:$J$6971,6,FALSE)</f>
        <v>0</v>
      </c>
      <c r="K6462">
        <f>VLOOKUP(A6462,Pr_Base_LNEC!$A$4:$J$6971,7,FALSE)</f>
        <v>0</v>
      </c>
    </row>
    <row r="6463" spans="1:11" ht="14.5">
      <c r="A6463" s="20" t="s">
        <v>30466</v>
      </c>
      <c r="B6463" s="20">
        <v>70</v>
      </c>
      <c r="C6463" s="20">
        <v>55</v>
      </c>
      <c r="D6463" s="20">
        <v>98</v>
      </c>
      <c r="E6463" s="20">
        <v>65</v>
      </c>
      <c r="F6463" s="20" t="s">
        <v>30467</v>
      </c>
      <c r="G6463" s="20" t="s">
        <v>30468</v>
      </c>
      <c r="H6463" s="24"/>
      <c r="I6463" s="24" t="str">
        <f ca="1">IFERROR(__xludf.DUMMYFUNCTION("GOOGLETRANSLATE(F6463,""en"",""pt"")"),"Piscina entradas de água")</f>
        <v>Piscina entradas de água</v>
      </c>
      <c r="J6463">
        <f>VLOOKUP(A6463,Pr_Base_LNEC!$A$4:$J$6971,6,FALSE)</f>
        <v>0</v>
      </c>
      <c r="K6463">
        <f>VLOOKUP(A6463,Pr_Base_LNEC!$A$4:$J$6971,7,FALSE)</f>
        <v>0</v>
      </c>
    </row>
    <row r="6464" spans="1:11" ht="14.5">
      <c r="A6464" s="20" t="s">
        <v>30469</v>
      </c>
      <c r="B6464" s="20">
        <v>70</v>
      </c>
      <c r="C6464" s="20">
        <v>55</v>
      </c>
      <c r="D6464" s="20">
        <v>98</v>
      </c>
      <c r="E6464" s="20">
        <v>66</v>
      </c>
      <c r="F6464" s="20" t="s">
        <v>30470</v>
      </c>
      <c r="G6464" s="20" t="s">
        <v>30471</v>
      </c>
      <c r="H6464" s="24"/>
      <c r="I6464" s="24" t="str">
        <f ca="1">IFERROR(__xludf.DUMMYFUNCTION("GOOGLETRANSLATE(F6464,""en"",""pt"")"),"saídas de água de piscina")</f>
        <v>saídas de água de piscina</v>
      </c>
      <c r="J6464" t="e">
        <f>VLOOKUP(A6464,Pr_Base_LNEC!$A$4:$J$6971,6,FALSE)</f>
        <v>#N/A</v>
      </c>
      <c r="K6464" t="e">
        <f>VLOOKUP(A6464,Pr_Base_LNEC!$A$4:$J$6971,7,FALSE)</f>
        <v>#N/A</v>
      </c>
    </row>
    <row r="6465" spans="1:11" ht="14.5">
      <c r="A6465" s="20" t="s">
        <v>30472</v>
      </c>
      <c r="B6465" s="20">
        <v>70</v>
      </c>
      <c r="C6465" s="20">
        <v>55</v>
      </c>
      <c r="D6465" s="20">
        <v>98</v>
      </c>
      <c r="E6465" s="20">
        <v>84</v>
      </c>
      <c r="F6465" s="20" t="s">
        <v>30473</v>
      </c>
      <c r="G6465" s="24"/>
      <c r="H6465" s="24"/>
      <c r="I6465" s="24" t="str">
        <f ca="1">IFERROR(__xludf.DUMMYFUNCTION("GOOGLETRANSLATE(F6465,""en"",""pt"")"),"sprinklers")</f>
        <v>sprinklers</v>
      </c>
      <c r="J6465">
        <f>VLOOKUP(A6465,Pr_Base_LNEC!$A$4:$J$6971,6,FALSE)</f>
        <v>0</v>
      </c>
      <c r="K6465">
        <f>VLOOKUP(A6465,Pr_Base_LNEC!$A$4:$J$6971,7,FALSE)</f>
        <v>0</v>
      </c>
    </row>
    <row r="6466" spans="1:11" ht="14.5">
      <c r="A6466" s="20" t="s">
        <v>30474</v>
      </c>
      <c r="B6466" s="20">
        <v>70</v>
      </c>
      <c r="C6466" s="20">
        <v>55</v>
      </c>
      <c r="D6466" s="20">
        <v>98</v>
      </c>
      <c r="E6466" s="20">
        <v>87</v>
      </c>
      <c r="F6466" s="20" t="s">
        <v>30475</v>
      </c>
      <c r="G6466" s="24"/>
      <c r="H6466" s="24"/>
      <c r="I6466" s="24" t="str">
        <f ca="1">IFERROR(__xludf.DUMMYFUNCTION("GOOGLETRANSLATE(F6466,""en"",""pt"")"),"linhas de fita e gotejadores")</f>
        <v>linhas de fita e gotejadores</v>
      </c>
      <c r="J6466">
        <f>VLOOKUP(A6466,Pr_Base_LNEC!$A$4:$J$6971,6,FALSE)</f>
        <v>0</v>
      </c>
      <c r="K6466">
        <f>VLOOKUP(A6466,Pr_Base_LNEC!$A$4:$J$6971,7,FALSE)</f>
        <v>0</v>
      </c>
    </row>
    <row r="6467" spans="1:11" ht="14.5">
      <c r="A6467" s="20" t="s">
        <v>30476</v>
      </c>
      <c r="B6467" s="20">
        <v>70</v>
      </c>
      <c r="C6467" s="20">
        <v>55</v>
      </c>
      <c r="D6467" s="20">
        <v>98</v>
      </c>
      <c r="E6467" s="20">
        <v>92</v>
      </c>
      <c r="F6467" s="20" t="s">
        <v>30477</v>
      </c>
      <c r="G6467" s="20" t="s">
        <v>30478</v>
      </c>
      <c r="H6467" s="24"/>
      <c r="I6467" s="24" t="str">
        <f ca="1">IFERROR(__xludf.DUMMYFUNCTION("GOOGLETRANSLATE(F6467,""en"",""pt"")"),"fabricantes de névoa ultra-som")</f>
        <v>fabricantes de névoa ultra-som</v>
      </c>
      <c r="J6467">
        <f>VLOOKUP(A6467,Pr_Base_LNEC!$A$4:$J$6971,6,FALSE)</f>
        <v>0</v>
      </c>
      <c r="K6467">
        <f>VLOOKUP(A6467,Pr_Base_LNEC!$A$4:$J$6971,7,FALSE)</f>
        <v>0</v>
      </c>
    </row>
    <row r="6468" spans="1:11" ht="14.5">
      <c r="A6468" s="20" t="s">
        <v>30479</v>
      </c>
      <c r="B6468" s="20">
        <v>70</v>
      </c>
      <c r="C6468" s="20">
        <v>55</v>
      </c>
      <c r="D6468" s="20">
        <v>98</v>
      </c>
      <c r="E6468" s="20">
        <v>94</v>
      </c>
      <c r="F6468" s="20" t="s">
        <v>30480</v>
      </c>
      <c r="G6468" s="24"/>
      <c r="H6468" s="24"/>
      <c r="I6468" s="24" t="str">
        <f ca="1">IFERROR(__xludf.DUMMYFUNCTION("GOOGLETRANSLATE(F6468,""en"",""pt"")"),"hidrantes de washout")</f>
        <v>hidrantes de washout</v>
      </c>
      <c r="J6468" t="e">
        <f>VLOOKUP(A6468,Pr_Base_LNEC!$A$4:$J$6971,6,FALSE)</f>
        <v>#N/A</v>
      </c>
      <c r="K6468" t="e">
        <f>VLOOKUP(A6468,Pr_Base_LNEC!$A$4:$J$6971,7,FALSE)</f>
        <v>#N/A</v>
      </c>
    </row>
    <row r="6469" spans="1:11" ht="14.5">
      <c r="A6469" s="20" t="s">
        <v>30481</v>
      </c>
      <c r="B6469" s="20">
        <v>70</v>
      </c>
      <c r="C6469" s="20">
        <v>55</v>
      </c>
      <c r="D6469" s="20">
        <v>98</v>
      </c>
      <c r="E6469" s="20">
        <v>95</v>
      </c>
      <c r="F6469" s="20" t="s">
        <v>30482</v>
      </c>
      <c r="G6469" s="20" t="s">
        <v>30483</v>
      </c>
      <c r="H6469" s="24"/>
      <c r="I6469" s="24" t="str">
        <f ca="1">IFERROR(__xludf.DUMMYFUNCTION("GOOGLETRANSLATE(F6469,""en"",""pt"")"),"Cachoeiras e cascatas")</f>
        <v>Cachoeiras e cascatas</v>
      </c>
      <c r="J6469">
        <f>VLOOKUP(A6469,Pr_Base_LNEC!$A$4:$J$6971,6,FALSE)</f>
        <v>0</v>
      </c>
      <c r="K6469">
        <f>VLOOKUP(A6469,Pr_Base_LNEC!$A$4:$J$6971,7,FALSE)</f>
        <v>0</v>
      </c>
    </row>
    <row r="6470" spans="1:11" ht="14.5">
      <c r="A6470" s="20" t="s">
        <v>30484</v>
      </c>
      <c r="B6470" s="20">
        <v>70</v>
      </c>
      <c r="C6470" s="20">
        <v>55</v>
      </c>
      <c r="D6470" s="20">
        <v>98</v>
      </c>
      <c r="E6470" s="20">
        <v>96</v>
      </c>
      <c r="F6470" s="20" t="s">
        <v>30485</v>
      </c>
      <c r="G6470" s="20" t="s">
        <v>30486</v>
      </c>
      <c r="H6470" s="24"/>
      <c r="I6470" s="24" t="str">
        <f ca="1">IFERROR(__xludf.DUMMYFUNCTION("GOOGLETRANSLATE(F6470,""en"",""pt"")"),"bocais apresentam Água")</f>
        <v>bocais apresentam Água</v>
      </c>
      <c r="J6470">
        <f>VLOOKUP(A6470,Pr_Base_LNEC!$A$4:$J$6971,6,FALSE)</f>
        <v>0</v>
      </c>
      <c r="K6470">
        <f>VLOOKUP(A6470,Pr_Base_LNEC!$A$4:$J$6971,7,FALSE)</f>
        <v>0</v>
      </c>
    </row>
    <row r="6471" spans="1:11" ht="14.5">
      <c r="A6471" s="20" t="s">
        <v>30487</v>
      </c>
      <c r="B6471" s="20">
        <v>70</v>
      </c>
      <c r="C6471" s="20">
        <v>60</v>
      </c>
      <c r="D6471" s="24"/>
      <c r="E6471" s="24"/>
      <c r="F6471" s="20" t="s">
        <v>30488</v>
      </c>
      <c r="G6471" s="24"/>
      <c r="H6471" s="24"/>
      <c r="I6471" s="24" t="str">
        <f ca="1">IFERROR(__xludf.DUMMYFUNCTION("GOOGLETRANSLATE(F6471,""en"",""pt"")"),"aquecimento e arrefecimento produtos")</f>
        <v>aquecimento e arrefecimento produtos</v>
      </c>
      <c r="J6471" t="str">
        <f>VLOOKUP(A6471,Pr_Base_LNEC!$A$4:$J$6971,6,FALSE)</f>
        <v>Produtos para zonas de Aquecimento e Arrefecimento</v>
      </c>
      <c r="K6471">
        <f>VLOOKUP(A6471,Pr_Base_LNEC!$A$4:$J$6971,7,FALSE)</f>
        <v>0</v>
      </c>
    </row>
    <row r="6472" spans="1:11" ht="14.5">
      <c r="A6472" s="20" t="s">
        <v>30489</v>
      </c>
      <c r="B6472" s="20">
        <v>70</v>
      </c>
      <c r="C6472" s="20">
        <v>60</v>
      </c>
      <c r="D6472" s="20">
        <v>14</v>
      </c>
      <c r="E6472" s="24"/>
      <c r="F6472" s="20" t="s">
        <v>30490</v>
      </c>
      <c r="G6472" s="24"/>
      <c r="H6472" s="24"/>
      <c r="I6472" s="24" t="str">
        <f ca="1">IFERROR(__xludf.DUMMYFUNCTION("GOOGLETRANSLATE(F6472,""en"",""pt"")"),"vigas e tectos climáticas")</f>
        <v>vigas e tectos climáticas</v>
      </c>
      <c r="J6472">
        <f>VLOOKUP(A6472,Pr_Base_LNEC!$A$4:$J$6971,6,FALSE)</f>
        <v>0</v>
      </c>
      <c r="K6472">
        <f>VLOOKUP(A6472,Pr_Base_LNEC!$A$4:$J$6971,7,FALSE)</f>
        <v>0</v>
      </c>
    </row>
    <row r="6473" spans="1:11" ht="14.5">
      <c r="A6473" s="20" t="s">
        <v>30491</v>
      </c>
      <c r="B6473" s="20">
        <v>70</v>
      </c>
      <c r="C6473" s="20">
        <v>60</v>
      </c>
      <c r="D6473" s="20">
        <v>14</v>
      </c>
      <c r="E6473" s="20">
        <v>2</v>
      </c>
      <c r="F6473" s="20" t="s">
        <v>30492</v>
      </c>
      <c r="G6473" s="20" t="s">
        <v>30493</v>
      </c>
      <c r="H6473" s="24"/>
      <c r="I6473" s="24" t="str">
        <f ca="1">IFERROR(__xludf.DUMMYFUNCTION("GOOGLETRANSLATE(F6473,""en"",""pt"")"),"vigas climáticas ativos")</f>
        <v>vigas climáticas ativos</v>
      </c>
      <c r="J6473">
        <f>VLOOKUP(A6473,Pr_Base_LNEC!$A$4:$J$6971,6,FALSE)</f>
        <v>0</v>
      </c>
      <c r="K6473">
        <f>VLOOKUP(A6473,Pr_Base_LNEC!$A$4:$J$6971,7,FALSE)</f>
        <v>0</v>
      </c>
    </row>
    <row r="6474" spans="1:11" ht="14.5">
      <c r="A6474" s="20" t="s">
        <v>30494</v>
      </c>
      <c r="B6474" s="20">
        <v>70</v>
      </c>
      <c r="C6474" s="20">
        <v>60</v>
      </c>
      <c r="D6474" s="20">
        <v>14</v>
      </c>
      <c r="E6474" s="20">
        <v>14</v>
      </c>
      <c r="F6474" s="20" t="s">
        <v>30495</v>
      </c>
      <c r="G6474" s="20" t="s">
        <v>30496</v>
      </c>
      <c r="H6474" s="24"/>
      <c r="I6474" s="24" t="str">
        <f ca="1">IFERROR(__xludf.DUMMYFUNCTION("GOOGLETRANSLATE(F6474,""en"",""pt"")"),"painéis de teto climáticas")</f>
        <v>painéis de teto climáticas</v>
      </c>
      <c r="J6474">
        <f>VLOOKUP(A6474,Pr_Base_LNEC!$A$4:$J$6971,6,FALSE)</f>
        <v>0</v>
      </c>
      <c r="K6474">
        <f>VLOOKUP(A6474,Pr_Base_LNEC!$A$4:$J$6971,7,FALSE)</f>
        <v>0</v>
      </c>
    </row>
    <row r="6475" spans="1:11" ht="14.5">
      <c r="A6475" s="20" t="s">
        <v>30497</v>
      </c>
      <c r="B6475" s="20">
        <v>70</v>
      </c>
      <c r="C6475" s="20">
        <v>60</v>
      </c>
      <c r="D6475" s="20">
        <v>14</v>
      </c>
      <c r="E6475" s="20">
        <v>55</v>
      </c>
      <c r="F6475" s="20" t="s">
        <v>30498</v>
      </c>
      <c r="G6475" s="20" t="s">
        <v>30499</v>
      </c>
      <c r="H6475" s="24"/>
      <c r="I6475" s="24" t="str">
        <f ca="1">IFERROR(__xludf.DUMMYFUNCTION("GOOGLETRANSLATE(F6475,""en"",""pt"")"),"vigas climáticas multi-serviços")</f>
        <v>vigas climáticas multi-serviços</v>
      </c>
      <c r="J6475">
        <f>VLOOKUP(A6475,Pr_Base_LNEC!$A$4:$J$6971,6,FALSE)</f>
        <v>0</v>
      </c>
      <c r="K6475">
        <f>VLOOKUP(A6475,Pr_Base_LNEC!$A$4:$J$6971,7,FALSE)</f>
        <v>0</v>
      </c>
    </row>
    <row r="6476" spans="1:11" ht="14.5">
      <c r="A6476" s="20" t="s">
        <v>30500</v>
      </c>
      <c r="B6476" s="20">
        <v>70</v>
      </c>
      <c r="C6476" s="20">
        <v>60</v>
      </c>
      <c r="D6476" s="20">
        <v>14</v>
      </c>
      <c r="E6476" s="20">
        <v>60</v>
      </c>
      <c r="F6476" s="20" t="s">
        <v>30501</v>
      </c>
      <c r="G6476" s="20" t="s">
        <v>30502</v>
      </c>
      <c r="H6476" s="24"/>
      <c r="I6476" s="24" t="str">
        <f ca="1">IFERROR(__xludf.DUMMYFUNCTION("GOOGLETRANSLATE(F6476,""en"",""pt"")"),"vigas climáticas passivos")</f>
        <v>vigas climáticas passivos</v>
      </c>
      <c r="J6476">
        <f>VLOOKUP(A6476,Pr_Base_LNEC!$A$4:$J$6971,6,FALSE)</f>
        <v>0</v>
      </c>
      <c r="K6476">
        <f>VLOOKUP(A6476,Pr_Base_LNEC!$A$4:$J$6971,7,FALSE)</f>
        <v>0</v>
      </c>
    </row>
    <row r="6477" spans="1:11" ht="14.5">
      <c r="A6477" s="20" t="s">
        <v>30503</v>
      </c>
      <c r="B6477" s="20">
        <v>70</v>
      </c>
      <c r="C6477" s="20">
        <v>60</v>
      </c>
      <c r="D6477" s="20">
        <v>36</v>
      </c>
      <c r="E6477" s="24"/>
      <c r="F6477" s="20" t="s">
        <v>30504</v>
      </c>
      <c r="G6477" s="24"/>
      <c r="H6477" s="24"/>
      <c r="I6477" s="24" t="str">
        <f ca="1">IFERROR(__xludf.DUMMYFUNCTION("GOOGLETRANSLATE(F6477,""en"",""pt"")"),"emissores de calor")</f>
        <v>emissores de calor</v>
      </c>
      <c r="J6477">
        <f>VLOOKUP(A6477,Pr_Base_LNEC!$A$4:$J$6971,6,FALSE)</f>
        <v>0</v>
      </c>
      <c r="K6477">
        <f>VLOOKUP(A6477,Pr_Base_LNEC!$A$4:$J$6971,7,FALSE)</f>
        <v>0</v>
      </c>
    </row>
    <row r="6478" spans="1:11" ht="14.5">
      <c r="A6478" s="20" t="s">
        <v>30505</v>
      </c>
      <c r="B6478" s="20">
        <v>70</v>
      </c>
      <c r="C6478" s="20">
        <v>60</v>
      </c>
      <c r="D6478" s="20">
        <v>36</v>
      </c>
      <c r="E6478" s="20">
        <v>2</v>
      </c>
      <c r="F6478" s="20" t="s">
        <v>30506</v>
      </c>
      <c r="G6478" s="20" t="s">
        <v>30507</v>
      </c>
      <c r="H6478" s="24"/>
      <c r="I6478" s="24" t="str">
        <f ca="1">IFERROR(__xludf.DUMMYFUNCTION("GOOGLETRANSLATE(F6478,""en"",""pt"")"),"cortinas de ar")</f>
        <v>cortinas de ar</v>
      </c>
      <c r="J6478">
        <f>VLOOKUP(A6478,Pr_Base_LNEC!$A$4:$J$6971,6,FALSE)</f>
        <v>0</v>
      </c>
      <c r="K6478">
        <f>VLOOKUP(A6478,Pr_Base_LNEC!$A$4:$J$6971,7,FALSE)</f>
        <v>0</v>
      </c>
    </row>
    <row r="6479" spans="1:11" ht="14.5">
      <c r="A6479" s="20" t="s">
        <v>30508</v>
      </c>
      <c r="B6479" s="20">
        <v>70</v>
      </c>
      <c r="C6479" s="20">
        <v>60</v>
      </c>
      <c r="D6479" s="20">
        <v>36</v>
      </c>
      <c r="E6479" s="20">
        <v>6</v>
      </c>
      <c r="F6479" s="20" t="s">
        <v>30509</v>
      </c>
      <c r="G6479" s="24"/>
      <c r="H6479" s="24"/>
      <c r="I6479" s="24" t="str">
        <f ca="1">IFERROR(__xludf.DUMMYFUNCTION("GOOGLETRANSLATE(F6479,""en"",""pt"")"),"Gabinete aquecedores diretos")</f>
        <v>Gabinete aquecedores diretos</v>
      </c>
      <c r="J6479">
        <f>VLOOKUP(A6479,Pr_Base_LNEC!$A$4:$J$6971,6,FALSE)</f>
        <v>0</v>
      </c>
      <c r="K6479">
        <f>VLOOKUP(A6479,Pr_Base_LNEC!$A$4:$J$6971,7,FALSE)</f>
        <v>0</v>
      </c>
    </row>
    <row r="6480" spans="1:11" ht="14.5">
      <c r="A6480" s="20" t="s">
        <v>30510</v>
      </c>
      <c r="B6480" s="20">
        <v>70</v>
      </c>
      <c r="C6480" s="20">
        <v>60</v>
      </c>
      <c r="D6480" s="20">
        <v>36</v>
      </c>
      <c r="E6480" s="20">
        <v>8</v>
      </c>
      <c r="F6480" s="20" t="s">
        <v>30511</v>
      </c>
      <c r="G6480" s="20" t="s">
        <v>30512</v>
      </c>
      <c r="H6480" s="24"/>
      <c r="I6480" s="24" t="str">
        <f ca="1">IFERROR(__xludf.DUMMYFUNCTION("GOOGLETRANSLATE(F6480,""en"",""pt"")"),"Gabinete aquecedores indiretos")</f>
        <v>Gabinete aquecedores indiretos</v>
      </c>
      <c r="J6480">
        <f>VLOOKUP(A6480,Pr_Base_LNEC!$A$4:$J$6971,6,FALSE)</f>
        <v>0</v>
      </c>
      <c r="K6480">
        <f>VLOOKUP(A6480,Pr_Base_LNEC!$A$4:$J$6971,7,FALSE)</f>
        <v>0</v>
      </c>
    </row>
    <row r="6481" spans="1:11" ht="14.5">
      <c r="A6481" s="20" t="s">
        <v>30513</v>
      </c>
      <c r="B6481" s="20">
        <v>70</v>
      </c>
      <c r="C6481" s="20">
        <v>60</v>
      </c>
      <c r="D6481" s="20">
        <v>36</v>
      </c>
      <c r="E6481" s="20">
        <v>15</v>
      </c>
      <c r="F6481" s="20" t="s">
        <v>30514</v>
      </c>
      <c r="G6481" s="20" t="s">
        <v>30515</v>
      </c>
      <c r="H6481" s="24"/>
      <c r="I6481" s="24" t="str">
        <f ca="1">IFERROR(__xludf.DUMMYFUNCTION("GOOGLETRANSLATE(F6481,""en"",""pt"")"),"cabos de aquecimento de rastreio de potência constante")</f>
        <v>cabos de aquecimento de rastreio de potência constante</v>
      </c>
      <c r="J6481" t="e">
        <f>VLOOKUP(A6481,Pr_Base_LNEC!$A$4:$J$6971,6,FALSE)</f>
        <v>#N/A</v>
      </c>
      <c r="K6481" t="e">
        <f>VLOOKUP(A6481,Pr_Base_LNEC!$A$4:$J$6971,7,FALSE)</f>
        <v>#N/A</v>
      </c>
    </row>
    <row r="6482" spans="1:11" ht="14.5">
      <c r="A6482" s="20" t="s">
        <v>30516</v>
      </c>
      <c r="B6482" s="20">
        <v>70</v>
      </c>
      <c r="C6482" s="20">
        <v>60</v>
      </c>
      <c r="D6482" s="20">
        <v>36</v>
      </c>
      <c r="E6482" s="20">
        <v>22</v>
      </c>
      <c r="F6482" s="20" t="s">
        <v>30517</v>
      </c>
      <c r="G6482" s="20" t="s">
        <v>30518</v>
      </c>
      <c r="H6482" s="24"/>
      <c r="I6482" s="24" t="str">
        <f ca="1">IFERROR(__xludf.DUMMYFUNCTION("GOOGLETRANSLATE(F6482,""en"",""pt"")"),"fogos de gases de efeito de combustível decorativos")</f>
        <v>fogos de gases de efeito de combustível decorativos</v>
      </c>
      <c r="J6482">
        <f>VLOOKUP(A6482,Pr_Base_LNEC!$A$4:$J$6971,6,FALSE)</f>
        <v>0</v>
      </c>
      <c r="K6482">
        <f>VLOOKUP(A6482,Pr_Base_LNEC!$A$4:$J$6971,7,FALSE)</f>
        <v>0</v>
      </c>
    </row>
    <row r="6483" spans="1:11" ht="14.5">
      <c r="A6483" s="20" t="s">
        <v>30519</v>
      </c>
      <c r="B6483" s="20">
        <v>70</v>
      </c>
      <c r="C6483" s="20">
        <v>60</v>
      </c>
      <c r="D6483" s="20">
        <v>36</v>
      </c>
      <c r="E6483" s="20">
        <v>26</v>
      </c>
      <c r="F6483" s="20" t="s">
        <v>30520</v>
      </c>
      <c r="G6483" s="20" t="s">
        <v>30521</v>
      </c>
      <c r="H6483" s="24"/>
      <c r="I6483" s="24" t="str">
        <f ca="1">IFERROR(__xludf.DUMMYFUNCTION("GOOGLETRANSLATE(F6483,""en"",""pt"")"),"toalheiros aquecidos elétricos")</f>
        <v>toalheiros aquecidos elétricos</v>
      </c>
      <c r="J6483">
        <f>VLOOKUP(A6483,Pr_Base_LNEC!$A$4:$J$6971,6,FALSE)</f>
        <v>0</v>
      </c>
      <c r="K6483">
        <f>VLOOKUP(A6483,Pr_Base_LNEC!$A$4:$J$6971,7,FALSE)</f>
        <v>0</v>
      </c>
    </row>
    <row r="6484" spans="1:11" ht="14.5">
      <c r="A6484" s="20" t="s">
        <v>30522</v>
      </c>
      <c r="B6484" s="20">
        <v>70</v>
      </c>
      <c r="C6484" s="20">
        <v>60</v>
      </c>
      <c r="D6484" s="20">
        <v>36</v>
      </c>
      <c r="E6484" s="20">
        <v>27</v>
      </c>
      <c r="F6484" s="20" t="s">
        <v>30523</v>
      </c>
      <c r="G6484" s="20" t="s">
        <v>30524</v>
      </c>
      <c r="H6484" s="24"/>
      <c r="I6484" s="24" t="str">
        <f ca="1">IFERROR(__xludf.DUMMYFUNCTION("GOOGLETRANSLATE(F6484,""en"",""pt"")"),"Cabo elétrico radiante elementos de aquecimento")</f>
        <v>Cabo elétrico radiante elementos de aquecimento</v>
      </c>
      <c r="J6484">
        <f>VLOOKUP(A6484,Pr_Base_LNEC!$A$4:$J$6971,6,FALSE)</f>
        <v>0</v>
      </c>
      <c r="K6484">
        <f>VLOOKUP(A6484,Pr_Base_LNEC!$A$4:$J$6971,7,FALSE)</f>
        <v>0</v>
      </c>
    </row>
    <row r="6485" spans="1:11" ht="14.5">
      <c r="A6485" s="20" t="s">
        <v>30525</v>
      </c>
      <c r="B6485" s="20">
        <v>70</v>
      </c>
      <c r="C6485" s="20">
        <v>60</v>
      </c>
      <c r="D6485" s="20">
        <v>36</v>
      </c>
      <c r="E6485" s="20">
        <v>28</v>
      </c>
      <c r="F6485" s="20" t="s">
        <v>30526</v>
      </c>
      <c r="G6485" s="20" t="s">
        <v>30527</v>
      </c>
      <c r="H6485" s="24"/>
      <c r="I6485" s="24" t="str">
        <f ca="1">IFERROR(__xludf.DUMMYFUNCTION("GOOGLETRANSLATE(F6485,""en"",""pt"")"),"folha eléctrico radiante elementos de aquecimento")</f>
        <v>folha eléctrico radiante elementos de aquecimento</v>
      </c>
      <c r="J6485">
        <f>VLOOKUP(A6485,Pr_Base_LNEC!$A$4:$J$6971,6,FALSE)</f>
        <v>0</v>
      </c>
      <c r="K6485">
        <f>VLOOKUP(A6485,Pr_Base_LNEC!$A$4:$J$6971,7,FALSE)</f>
        <v>0</v>
      </c>
    </row>
    <row r="6486" spans="1:11" ht="14.5">
      <c r="A6486" s="20" t="s">
        <v>30528</v>
      </c>
      <c r="B6486" s="20">
        <v>70</v>
      </c>
      <c r="C6486" s="20">
        <v>60</v>
      </c>
      <c r="D6486" s="20">
        <v>36</v>
      </c>
      <c r="E6486" s="20">
        <v>29</v>
      </c>
      <c r="F6486" s="20" t="s">
        <v>30529</v>
      </c>
      <c r="G6486" s="24"/>
      <c r="H6486" s="24"/>
      <c r="I6486" s="24" t="str">
        <f ca="1">IFERROR(__xludf.DUMMYFUNCTION("GOOGLETRANSLATE(F6486,""en"",""pt"")"),"aquecedores de equipamentos")</f>
        <v>aquecedores de equipamentos</v>
      </c>
      <c r="J6486">
        <f>VLOOKUP(A6486,Pr_Base_LNEC!$A$4:$J$6971,6,FALSE)</f>
        <v>0</v>
      </c>
      <c r="K6486">
        <f>VLOOKUP(A6486,Pr_Base_LNEC!$A$4:$J$6971,7,FALSE)</f>
        <v>0</v>
      </c>
    </row>
    <row r="6487" spans="1:11" ht="14.5">
      <c r="A6487" s="20" t="s">
        <v>30530</v>
      </c>
      <c r="B6487" s="20">
        <v>70</v>
      </c>
      <c r="C6487" s="20">
        <v>60</v>
      </c>
      <c r="D6487" s="20">
        <v>36</v>
      </c>
      <c r="E6487" s="20">
        <v>30</v>
      </c>
      <c r="F6487" s="20" t="s">
        <v>30531</v>
      </c>
      <c r="G6487" s="20" t="s">
        <v>30532</v>
      </c>
      <c r="H6487" s="24"/>
      <c r="I6487" s="24" t="str">
        <f ca="1">IFERROR(__xludf.DUMMYFUNCTION("GOOGLETRANSLATE(F6487,""en"",""pt"")"),"convectores de ventilador")</f>
        <v>convectores de ventilador</v>
      </c>
      <c r="J6487">
        <f>VLOOKUP(A6487,Pr_Base_LNEC!$A$4:$J$6971,6,FALSE)</f>
        <v>0</v>
      </c>
      <c r="K6487">
        <f>VLOOKUP(A6487,Pr_Base_LNEC!$A$4:$J$6971,7,FALSE)</f>
        <v>0</v>
      </c>
    </row>
    <row r="6488" spans="1:11" ht="14.5">
      <c r="A6488" s="20" t="s">
        <v>30533</v>
      </c>
      <c r="B6488" s="20">
        <v>70</v>
      </c>
      <c r="C6488" s="20">
        <v>60</v>
      </c>
      <c r="D6488" s="20">
        <v>36</v>
      </c>
      <c r="E6488" s="20">
        <v>33</v>
      </c>
      <c r="F6488" s="20" t="s">
        <v>30534</v>
      </c>
      <c r="G6488" s="20" t="s">
        <v>30535</v>
      </c>
      <c r="H6488" s="24"/>
      <c r="I6488" s="24" t="str">
        <f ca="1">IFERROR(__xludf.DUMMYFUNCTION("GOOGLETRANSLATE(F6488,""en"",""pt"")"),"Gás aquecedores de unidade")</f>
        <v>Gás aquecedores de unidade</v>
      </c>
      <c r="J6488">
        <f>VLOOKUP(A6488,Pr_Base_LNEC!$A$4:$J$6971,6,FALSE)</f>
        <v>0</v>
      </c>
      <c r="K6488">
        <f>VLOOKUP(A6488,Pr_Base_LNEC!$A$4:$J$6971,7,FALSE)</f>
        <v>0</v>
      </c>
    </row>
    <row r="6489" spans="1:11" ht="14.5">
      <c r="A6489" s="20" t="s">
        <v>30536</v>
      </c>
      <c r="B6489" s="20">
        <v>70</v>
      </c>
      <c r="C6489" s="20">
        <v>60</v>
      </c>
      <c r="D6489" s="20">
        <v>36</v>
      </c>
      <c r="E6489" s="20">
        <v>35</v>
      </c>
      <c r="F6489" s="20" t="s">
        <v>30537</v>
      </c>
      <c r="G6489" s="20" t="s">
        <v>30538</v>
      </c>
      <c r="H6489" s="24"/>
      <c r="I6489" s="24" t="str">
        <f ca="1">IFERROR(__xludf.DUMMYFUNCTION("GOOGLETRANSLATE(F6489,""en"",""pt"")"),"incêndios de gás")</f>
        <v>incêndios de gás</v>
      </c>
      <c r="J6489">
        <f>VLOOKUP(A6489,Pr_Base_LNEC!$A$4:$J$6971,6,FALSE)</f>
        <v>0</v>
      </c>
      <c r="K6489">
        <f>VLOOKUP(A6489,Pr_Base_LNEC!$A$4:$J$6971,7,FALSE)</f>
        <v>0</v>
      </c>
    </row>
    <row r="6490" spans="1:11" ht="14.5">
      <c r="A6490" s="20" t="s">
        <v>30539</v>
      </c>
      <c r="B6490" s="20">
        <v>70</v>
      </c>
      <c r="C6490" s="20">
        <v>60</v>
      </c>
      <c r="D6490" s="20">
        <v>36</v>
      </c>
      <c r="E6490" s="20">
        <v>42</v>
      </c>
      <c r="F6490" s="20" t="s">
        <v>30540</v>
      </c>
      <c r="G6490" s="20" t="s">
        <v>30541</v>
      </c>
      <c r="H6490" s="24"/>
      <c r="I6490" s="24" t="str">
        <f ca="1">IFERROR(__xludf.DUMMYFUNCTION("GOOGLETRANSLATE(F6490,""en"",""pt"")"),"Inset fogos de gases de efeito de combustível ao vivo")</f>
        <v>Inset fogos de gases de efeito de combustível ao vivo</v>
      </c>
      <c r="J6490">
        <f>VLOOKUP(A6490,Pr_Base_LNEC!$A$4:$J$6971,6,FALSE)</f>
        <v>0</v>
      </c>
      <c r="K6490">
        <f>VLOOKUP(A6490,Pr_Base_LNEC!$A$4:$J$6971,7,FALSE)</f>
        <v>0</v>
      </c>
    </row>
    <row r="6491" spans="1:11" ht="14.5">
      <c r="A6491" s="20" t="s">
        <v>30542</v>
      </c>
      <c r="B6491" s="20">
        <v>70</v>
      </c>
      <c r="C6491" s="20">
        <v>60</v>
      </c>
      <c r="D6491" s="20">
        <v>36</v>
      </c>
      <c r="E6491" s="20">
        <v>48</v>
      </c>
      <c r="F6491" s="20" t="s">
        <v>30543</v>
      </c>
      <c r="G6491" s="20" t="s">
        <v>30544</v>
      </c>
      <c r="H6491" s="24"/>
      <c r="I6491" s="24" t="str">
        <f ca="1">IFERROR(__xludf.DUMMYFUNCTION("GOOGLETRANSLATE(F6491,""en"",""pt"")"),"Baixa temperatura de água quente (LTHW) toalheiros")</f>
        <v>Baixa temperatura de água quente (LTHW) toalheiros</v>
      </c>
      <c r="J6491">
        <f>VLOOKUP(A6491,Pr_Base_LNEC!$A$4:$J$6971,6,FALSE)</f>
        <v>0</v>
      </c>
      <c r="K6491">
        <f>VLOOKUP(A6491,Pr_Base_LNEC!$A$4:$J$6971,7,FALSE)</f>
        <v>0</v>
      </c>
    </row>
    <row r="6492" spans="1:11" ht="14.5">
      <c r="A6492" s="20" t="s">
        <v>30545</v>
      </c>
      <c r="B6492" s="20">
        <v>70</v>
      </c>
      <c r="C6492" s="20">
        <v>60</v>
      </c>
      <c r="D6492" s="20">
        <v>36</v>
      </c>
      <c r="E6492" s="20">
        <v>49</v>
      </c>
      <c r="F6492" s="20" t="s">
        <v>30546</v>
      </c>
      <c r="G6492" s="24"/>
      <c r="H6492" s="24"/>
      <c r="I6492" s="24" t="str">
        <f ca="1">IFERROR(__xludf.DUMMYFUNCTION("GOOGLETRANSLATE(F6492,""en"",""pt"")"),"Baixa temperatura da água quente (LTHW) aquecimento radiante")</f>
        <v>Baixa temperatura da água quente (LTHW) aquecimento radiante</v>
      </c>
      <c r="J6492">
        <f>VLOOKUP(A6492,Pr_Base_LNEC!$A$4:$J$6971,6,FALSE)</f>
        <v>0</v>
      </c>
      <c r="K6492">
        <f>VLOOKUP(A6492,Pr_Base_LNEC!$A$4:$J$6971,7,FALSE)</f>
        <v>0</v>
      </c>
    </row>
    <row r="6493" spans="1:11" ht="14.5">
      <c r="A6493" s="20" t="s">
        <v>30547</v>
      </c>
      <c r="B6493" s="20">
        <v>70</v>
      </c>
      <c r="C6493" s="20">
        <v>60</v>
      </c>
      <c r="D6493" s="20">
        <v>36</v>
      </c>
      <c r="E6493" s="20">
        <v>52</v>
      </c>
      <c r="F6493" s="20" t="s">
        <v>30548</v>
      </c>
      <c r="G6493" s="24"/>
      <c r="H6493" s="24"/>
      <c r="I6493" s="24" t="str">
        <f ca="1">IFERROR(__xludf.DUMMYFUNCTION("GOOGLETRANSLATE(F6493,""en"",""pt"")"),"aquecedores espelho")</f>
        <v>aquecedores espelho</v>
      </c>
      <c r="J6493">
        <f>VLOOKUP(A6493,Pr_Base_LNEC!$A$4:$J$6971,6,FALSE)</f>
        <v>0</v>
      </c>
      <c r="K6493">
        <f>VLOOKUP(A6493,Pr_Base_LNEC!$A$4:$J$6971,7,FALSE)</f>
        <v>0</v>
      </c>
    </row>
    <row r="6494" spans="1:11" ht="14.5">
      <c r="A6494" s="20" t="s">
        <v>30549</v>
      </c>
      <c r="B6494" s="20">
        <v>70</v>
      </c>
      <c r="C6494" s="20">
        <v>60</v>
      </c>
      <c r="D6494" s="20">
        <v>36</v>
      </c>
      <c r="E6494" s="20">
        <v>56</v>
      </c>
      <c r="F6494" s="20" t="s">
        <v>30550</v>
      </c>
      <c r="G6494" s="20" t="s">
        <v>30551</v>
      </c>
      <c r="H6494" s="24"/>
      <c r="I6494" s="24" t="str">
        <f ca="1">IFERROR(__xludf.DUMMYFUNCTION("GOOGLETRANSLATE(F6494,""en"",""pt"")"),"convectores naturais")</f>
        <v>convectores naturais</v>
      </c>
      <c r="J6494">
        <f>VLOOKUP(A6494,Pr_Base_LNEC!$A$4:$J$6971,6,FALSE)</f>
        <v>0</v>
      </c>
      <c r="K6494">
        <f>VLOOKUP(A6494,Pr_Base_LNEC!$A$4:$J$6971,7,FALSE)</f>
        <v>0</v>
      </c>
    </row>
    <row r="6495" spans="1:11" ht="14.5">
      <c r="A6495" s="20" t="s">
        <v>30552</v>
      </c>
      <c r="B6495" s="20">
        <v>70</v>
      </c>
      <c r="C6495" s="20">
        <v>60</v>
      </c>
      <c r="D6495" s="20">
        <v>36</v>
      </c>
      <c r="E6495" s="20">
        <v>60</v>
      </c>
      <c r="F6495" s="20" t="s">
        <v>30553</v>
      </c>
      <c r="G6495" s="24"/>
      <c r="H6495" s="24"/>
      <c r="I6495" s="24" t="str">
        <f ca="1">IFERROR(__xludf.DUMMYFUNCTION("GOOGLETRANSLATE(F6495,""en"",""pt"")"),"Pontos aquecedor cabos")</f>
        <v>Pontos aquecedor cabos</v>
      </c>
      <c r="J6495" t="e">
        <f>VLOOKUP(A6495,Pr_Base_LNEC!$A$4:$J$6971,6,FALSE)</f>
        <v>#N/A</v>
      </c>
      <c r="K6495" t="e">
        <f>VLOOKUP(A6495,Pr_Base_LNEC!$A$4:$J$6971,7,FALSE)</f>
        <v>#N/A</v>
      </c>
    </row>
    <row r="6496" spans="1:11" ht="14.5">
      <c r="A6496" s="20" t="s">
        <v>30554</v>
      </c>
      <c r="B6496" s="20">
        <v>70</v>
      </c>
      <c r="C6496" s="20">
        <v>60</v>
      </c>
      <c r="D6496" s="20">
        <v>36</v>
      </c>
      <c r="E6496" s="20">
        <v>62</v>
      </c>
      <c r="F6496" s="20" t="s">
        <v>30555</v>
      </c>
      <c r="G6496" s="24"/>
      <c r="H6496" s="24"/>
      <c r="I6496" s="24" t="str">
        <f ca="1">IFERROR(__xludf.DUMMYFUNCTION("GOOGLETRANSLATE(F6496,""en"",""pt"")"),"Pontos aquecimento kits")</f>
        <v>Pontos aquecimento kits</v>
      </c>
      <c r="J6496" t="e">
        <f>VLOOKUP(A6496,Pr_Base_LNEC!$A$4:$J$6971,6,FALSE)</f>
        <v>#N/A</v>
      </c>
      <c r="K6496" t="e">
        <f>VLOOKUP(A6496,Pr_Base_LNEC!$A$4:$J$6971,7,FALSE)</f>
        <v>#N/A</v>
      </c>
    </row>
    <row r="6497" spans="1:11" ht="14.5">
      <c r="A6497" s="20" t="s">
        <v>30556</v>
      </c>
      <c r="B6497" s="20">
        <v>70</v>
      </c>
      <c r="C6497" s="20">
        <v>60</v>
      </c>
      <c r="D6497" s="20">
        <v>36</v>
      </c>
      <c r="E6497" s="20">
        <v>64</v>
      </c>
      <c r="F6497" s="20" t="s">
        <v>30557</v>
      </c>
      <c r="G6497" s="20" t="s">
        <v>30558</v>
      </c>
      <c r="H6497" s="24"/>
      <c r="I6497" s="24" t="str">
        <f ca="1">IFERROR(__xludf.DUMMYFUNCTION("GOOGLETRANSLATE(F6497,""en"",""pt"")"),"cabos de aquecimento traço-a limitar a potência")</f>
        <v>cabos de aquecimento traço-a limitar a potência</v>
      </c>
      <c r="J6497" t="e">
        <f>VLOOKUP(A6497,Pr_Base_LNEC!$A$4:$J$6971,6,FALSE)</f>
        <v>#N/A</v>
      </c>
      <c r="K6497" t="e">
        <f>VLOOKUP(A6497,Pr_Base_LNEC!$A$4:$J$6971,7,FALSE)</f>
        <v>#N/A</v>
      </c>
    </row>
    <row r="6498" spans="1:11" ht="14.5">
      <c r="A6498" s="20" t="s">
        <v>30559</v>
      </c>
      <c r="B6498" s="20">
        <v>70</v>
      </c>
      <c r="C6498" s="20">
        <v>60</v>
      </c>
      <c r="D6498" s="20">
        <v>36</v>
      </c>
      <c r="E6498" s="20">
        <v>70</v>
      </c>
      <c r="F6498" s="20" t="s">
        <v>30560</v>
      </c>
      <c r="G6498" s="20" t="s">
        <v>30561</v>
      </c>
      <c r="H6498" s="24"/>
      <c r="I6498" s="24" t="str">
        <f ca="1">IFERROR(__xludf.DUMMYFUNCTION("GOOGLETRANSLATE(F6498,""en"",""pt"")"),"aquecedores luminosos radiantes")</f>
        <v>aquecedores luminosos radiantes</v>
      </c>
      <c r="J6498">
        <f>VLOOKUP(A6498,Pr_Base_LNEC!$A$4:$J$6971,6,FALSE)</f>
        <v>0</v>
      </c>
      <c r="K6498">
        <f>VLOOKUP(A6498,Pr_Base_LNEC!$A$4:$J$6971,7,FALSE)</f>
        <v>0</v>
      </c>
    </row>
    <row r="6499" spans="1:11" ht="14.5">
      <c r="A6499" s="20" t="s">
        <v>30562</v>
      </c>
      <c r="B6499" s="20">
        <v>70</v>
      </c>
      <c r="C6499" s="20">
        <v>60</v>
      </c>
      <c r="D6499" s="20">
        <v>36</v>
      </c>
      <c r="E6499" s="20">
        <v>71</v>
      </c>
      <c r="F6499" s="20" t="s">
        <v>30563</v>
      </c>
      <c r="G6499" s="20" t="s">
        <v>30564</v>
      </c>
      <c r="H6499" s="24"/>
      <c r="I6499" s="24" t="str">
        <f ca="1">IFERROR(__xludf.DUMMYFUNCTION("GOOGLETRANSLATE(F6499,""en"",""pt"")"),"painéis radiantes")</f>
        <v>painéis radiantes</v>
      </c>
      <c r="J6499">
        <f>VLOOKUP(A6499,Pr_Base_LNEC!$A$4:$J$6971,6,FALSE)</f>
        <v>0</v>
      </c>
      <c r="K6499">
        <f>VLOOKUP(A6499,Pr_Base_LNEC!$A$4:$J$6971,7,FALSE)</f>
        <v>0</v>
      </c>
    </row>
    <row r="6500" spans="1:11" ht="14.5">
      <c r="A6500" s="20" t="s">
        <v>30565</v>
      </c>
      <c r="B6500" s="20">
        <v>70</v>
      </c>
      <c r="C6500" s="20">
        <v>60</v>
      </c>
      <c r="D6500" s="20">
        <v>36</v>
      </c>
      <c r="E6500" s="20">
        <v>72</v>
      </c>
      <c r="F6500" s="20" t="s">
        <v>30566</v>
      </c>
      <c r="G6500" s="20" t="s">
        <v>30567</v>
      </c>
      <c r="H6500" s="24"/>
      <c r="I6500" s="24" t="str">
        <f ca="1">IFERROR(__xludf.DUMMYFUNCTION("GOOGLETRANSLATE(F6500,""en"",""pt"")"),"aquecedores de tubos radiantes")</f>
        <v>aquecedores de tubos radiantes</v>
      </c>
      <c r="J6500">
        <f>VLOOKUP(A6500,Pr_Base_LNEC!$A$4:$J$6971,6,FALSE)</f>
        <v>0</v>
      </c>
      <c r="K6500">
        <f>VLOOKUP(A6500,Pr_Base_LNEC!$A$4:$J$6971,7,FALSE)</f>
        <v>0</v>
      </c>
    </row>
    <row r="6501" spans="1:11" ht="14.5">
      <c r="A6501" s="20" t="s">
        <v>30568</v>
      </c>
      <c r="B6501" s="20">
        <v>70</v>
      </c>
      <c r="C6501" s="20">
        <v>60</v>
      </c>
      <c r="D6501" s="20">
        <v>36</v>
      </c>
      <c r="E6501" s="20">
        <v>73</v>
      </c>
      <c r="F6501" s="20" t="s">
        <v>30569</v>
      </c>
      <c r="G6501" s="20" t="s">
        <v>30570</v>
      </c>
      <c r="H6501" s="24"/>
      <c r="I6501" s="24" t="str">
        <f ca="1">IFERROR(__xludf.DUMMYFUNCTION("GOOGLETRANSLATE(F6501,""en"",""pt"")"),"radiadores")</f>
        <v>radiadores</v>
      </c>
      <c r="J6501">
        <f>VLOOKUP(A6501,Pr_Base_LNEC!$A$4:$J$6971,6,FALSE)</f>
        <v>0</v>
      </c>
      <c r="K6501">
        <f>VLOOKUP(A6501,Pr_Base_LNEC!$A$4:$J$6971,7,FALSE)</f>
        <v>0</v>
      </c>
    </row>
    <row r="6502" spans="1:11" ht="14.5">
      <c r="A6502" s="20" t="s">
        <v>30571</v>
      </c>
      <c r="B6502" s="20">
        <v>70</v>
      </c>
      <c r="C6502" s="20">
        <v>60</v>
      </c>
      <c r="D6502" s="20">
        <v>36</v>
      </c>
      <c r="E6502" s="20">
        <v>74</v>
      </c>
      <c r="F6502" s="20" t="s">
        <v>30572</v>
      </c>
      <c r="G6502" s="20" t="s">
        <v>30573</v>
      </c>
      <c r="H6502" s="24"/>
      <c r="I6502" s="24" t="str">
        <f ca="1">IFERROR(__xludf.DUMMYFUNCTION("GOOGLETRANSLATE(F6502,""en"",""pt"")"),"aquecedores de espaço")</f>
        <v>aquecedores de espaço</v>
      </c>
      <c r="J6502">
        <f>VLOOKUP(A6502,Pr_Base_LNEC!$A$4:$J$6971,6,FALSE)</f>
        <v>0</v>
      </c>
      <c r="K6502">
        <f>VLOOKUP(A6502,Pr_Base_LNEC!$A$4:$J$6971,7,FALSE)</f>
        <v>0</v>
      </c>
    </row>
    <row r="6503" spans="1:11" ht="14.5">
      <c r="A6503" s="20" t="s">
        <v>30574</v>
      </c>
      <c r="B6503" s="20">
        <v>70</v>
      </c>
      <c r="C6503" s="20">
        <v>60</v>
      </c>
      <c r="D6503" s="20">
        <v>36</v>
      </c>
      <c r="E6503" s="20">
        <v>76</v>
      </c>
      <c r="F6503" s="20" t="s">
        <v>30575</v>
      </c>
      <c r="G6503" s="20" t="s">
        <v>30576</v>
      </c>
      <c r="H6503" s="24"/>
      <c r="I6503" s="24" t="str">
        <f ca="1">IFERROR(__xludf.DUMMYFUNCTION("GOOGLETRANSLATE(F6503,""en"",""pt"")"),"cabos de aquecimento traço de auto-regulação")</f>
        <v>cabos de aquecimento traço de auto-regulação</v>
      </c>
      <c r="J6503" t="e">
        <f>VLOOKUP(A6503,Pr_Base_LNEC!$A$4:$J$6971,6,FALSE)</f>
        <v>#N/A</v>
      </c>
      <c r="K6503" t="e">
        <f>VLOOKUP(A6503,Pr_Base_LNEC!$A$4:$J$6971,7,FALSE)</f>
        <v>#N/A</v>
      </c>
    </row>
    <row r="6504" spans="1:11" ht="14.5">
      <c r="A6504" s="20" t="s">
        <v>30577</v>
      </c>
      <c r="B6504" s="20">
        <v>70</v>
      </c>
      <c r="C6504" s="20">
        <v>60</v>
      </c>
      <c r="D6504" s="20">
        <v>36</v>
      </c>
      <c r="E6504" s="20">
        <v>77</v>
      </c>
      <c r="F6504" s="20" t="s">
        <v>30578</v>
      </c>
      <c r="G6504" s="20" t="s">
        <v>30579</v>
      </c>
      <c r="H6504" s="24"/>
      <c r="I6504" s="24" t="str">
        <f ca="1">IFERROR(__xludf.DUMMYFUNCTION("GOOGLETRANSLATE(F6504,""en"",""pt"")"),"Série traço aquecimento por resistência cabos e fitas")</f>
        <v>Série traço aquecimento por resistência cabos e fitas</v>
      </c>
      <c r="J6504" t="e">
        <f>VLOOKUP(A6504,Pr_Base_LNEC!$A$4:$J$6971,6,FALSE)</f>
        <v>#N/A</v>
      </c>
      <c r="K6504" t="e">
        <f>VLOOKUP(A6504,Pr_Base_LNEC!$A$4:$J$6971,7,FALSE)</f>
        <v>#N/A</v>
      </c>
    </row>
    <row r="6505" spans="1:11" ht="14.5">
      <c r="A6505" s="20" t="s">
        <v>30580</v>
      </c>
      <c r="B6505" s="20">
        <v>70</v>
      </c>
      <c r="C6505" s="20">
        <v>60</v>
      </c>
      <c r="D6505" s="20">
        <v>36</v>
      </c>
      <c r="E6505" s="20">
        <v>80</v>
      </c>
      <c r="F6505" s="20" t="s">
        <v>30581</v>
      </c>
      <c r="G6505" s="20" t="s">
        <v>30582</v>
      </c>
      <c r="H6505" s="24"/>
      <c r="I6505" s="24" t="str">
        <f ca="1">IFERROR(__xludf.DUMMYFUNCTION("GOOGLETRANSLATE(F6505,""en"",""pt"")"),"Sólidas aquecedores de combustível")</f>
        <v>Sólidas aquecedores de combustível</v>
      </c>
      <c r="J6505">
        <f>VLOOKUP(A6505,Pr_Base_LNEC!$A$4:$J$6971,6,FALSE)</f>
        <v>0</v>
      </c>
      <c r="K6505">
        <f>VLOOKUP(A6505,Pr_Base_LNEC!$A$4:$J$6971,7,FALSE)</f>
        <v>0</v>
      </c>
    </row>
    <row r="6506" spans="1:11" ht="14.5">
      <c r="A6506" s="20" t="s">
        <v>30583</v>
      </c>
      <c r="B6506" s="20">
        <v>70</v>
      </c>
      <c r="C6506" s="20">
        <v>60</v>
      </c>
      <c r="D6506" s="20">
        <v>36</v>
      </c>
      <c r="E6506" s="20">
        <v>88</v>
      </c>
      <c r="F6506" s="20" t="s">
        <v>30584</v>
      </c>
      <c r="G6506" s="20" t="s">
        <v>30585</v>
      </c>
      <c r="H6506" s="24"/>
      <c r="I6506" s="24" t="str">
        <f ca="1">IFERROR(__xludf.DUMMYFUNCTION("GOOGLETRANSLATE(F6506,""en"",""pt"")"),"termoacumuladores térmicas")</f>
        <v>termoacumuladores térmicas</v>
      </c>
      <c r="J6506">
        <f>VLOOKUP(A6506,Pr_Base_LNEC!$A$4:$J$6971,6,FALSE)</f>
        <v>0</v>
      </c>
      <c r="K6506">
        <f>VLOOKUP(A6506,Pr_Base_LNEC!$A$4:$J$6971,7,FALSE)</f>
        <v>0</v>
      </c>
    </row>
    <row r="6507" spans="1:11" ht="14.5">
      <c r="A6507" s="20" t="s">
        <v>30586</v>
      </c>
      <c r="B6507" s="20">
        <v>70</v>
      </c>
      <c r="C6507" s="20">
        <v>60</v>
      </c>
      <c r="D6507" s="20">
        <v>36</v>
      </c>
      <c r="E6507" s="20">
        <v>90</v>
      </c>
      <c r="F6507" s="20" t="s">
        <v>30587</v>
      </c>
      <c r="G6507" s="20" t="s">
        <v>30588</v>
      </c>
      <c r="H6507" s="24"/>
      <c r="I6507" s="24" t="str">
        <f ca="1">IFERROR(__xludf.DUMMYFUNCTION("GOOGLETRANSLATE(F6507,""en"",""pt"")"),"convectores trincheira")</f>
        <v>convectores trincheira</v>
      </c>
      <c r="J6507">
        <f>VLOOKUP(A6507,Pr_Base_LNEC!$A$4:$J$6971,6,FALSE)</f>
        <v>0</v>
      </c>
      <c r="K6507">
        <f>VLOOKUP(A6507,Pr_Base_LNEC!$A$4:$J$6971,7,FALSE)</f>
        <v>0</v>
      </c>
    </row>
    <row r="6508" spans="1:11" ht="14.5">
      <c r="A6508" s="20" t="s">
        <v>30589</v>
      </c>
      <c r="B6508" s="20">
        <v>70</v>
      </c>
      <c r="C6508" s="20">
        <v>60</v>
      </c>
      <c r="D6508" s="20">
        <v>36</v>
      </c>
      <c r="E6508" s="20">
        <v>93</v>
      </c>
      <c r="F6508" s="20" t="s">
        <v>30590</v>
      </c>
      <c r="G6508" s="20" t="s">
        <v>30591</v>
      </c>
      <c r="H6508" s="24"/>
      <c r="I6508" s="24" t="str">
        <f ca="1">IFERROR(__xludf.DUMMYFUNCTION("GOOGLETRANSLATE(F6508,""en"",""pt"")"),"Aerotermos")</f>
        <v>Aerotermos</v>
      </c>
      <c r="J6508">
        <f>VLOOKUP(A6508,Pr_Base_LNEC!$A$4:$J$6971,6,FALSE)</f>
        <v>0</v>
      </c>
      <c r="K6508">
        <f>VLOOKUP(A6508,Pr_Base_LNEC!$A$4:$J$6971,7,FALSE)</f>
        <v>0</v>
      </c>
    </row>
    <row r="6509" spans="1:11" ht="14.5">
      <c r="A6509" s="20" t="s">
        <v>30592</v>
      </c>
      <c r="B6509" s="20">
        <v>70</v>
      </c>
      <c r="C6509" s="20">
        <v>60</v>
      </c>
      <c r="D6509" s="20">
        <v>36</v>
      </c>
      <c r="E6509" s="20">
        <v>97</v>
      </c>
      <c r="F6509" s="20" t="s">
        <v>30593</v>
      </c>
      <c r="G6509" s="20" t="s">
        <v>30594</v>
      </c>
      <c r="H6509" s="24"/>
      <c r="I6509" s="24" t="str">
        <f ca="1">IFERROR(__xludf.DUMMYFUNCTION("GOOGLETRANSLATE(F6509,""en"",""pt"")"),"fogões a lenha")</f>
        <v>fogões a lenha</v>
      </c>
      <c r="J6509">
        <f>VLOOKUP(A6509,Pr_Base_LNEC!$A$4:$J$6971,6,FALSE)</f>
        <v>0</v>
      </c>
      <c r="K6509">
        <f>VLOOKUP(A6509,Pr_Base_LNEC!$A$4:$J$6971,7,FALSE)</f>
        <v>0</v>
      </c>
    </row>
    <row r="6510" spans="1:11" ht="14.5">
      <c r="A6510" s="20" t="s">
        <v>30595</v>
      </c>
      <c r="B6510" s="20">
        <v>70</v>
      </c>
      <c r="C6510" s="20">
        <v>60</v>
      </c>
      <c r="D6510" s="20">
        <v>37</v>
      </c>
      <c r="E6510" s="24"/>
      <c r="F6510" s="20" t="s">
        <v>30596</v>
      </c>
      <c r="G6510" s="24"/>
      <c r="H6510" s="24"/>
      <c r="I6510" s="24" t="str">
        <f ca="1">IFERROR(__xludf.DUMMYFUNCTION("GOOGLETRANSLATE(F6510,""en"",""pt"")"),"bombas de calor")</f>
        <v>bombas de calor</v>
      </c>
      <c r="J6510">
        <f>VLOOKUP(A6510,Pr_Base_LNEC!$A$4:$J$6971,6,FALSE)</f>
        <v>0</v>
      </c>
      <c r="K6510">
        <f>VLOOKUP(A6510,Pr_Base_LNEC!$A$4:$J$6971,7,FALSE)</f>
        <v>0</v>
      </c>
    </row>
    <row r="6511" spans="1:11" ht="14.5">
      <c r="A6511" s="20" t="s">
        <v>30597</v>
      </c>
      <c r="B6511" s="20">
        <v>70</v>
      </c>
      <c r="C6511" s="20">
        <v>60</v>
      </c>
      <c r="D6511" s="20">
        <v>37</v>
      </c>
      <c r="E6511" s="20">
        <v>2</v>
      </c>
      <c r="F6511" s="20" t="s">
        <v>30598</v>
      </c>
      <c r="G6511" s="20" t="s">
        <v>30599</v>
      </c>
      <c r="H6511" s="24"/>
      <c r="I6511" s="24" t="str">
        <f ca="1">IFERROR(__xludf.DUMMYFUNCTION("GOOGLETRANSLATE(F6511,""en"",""pt"")"),"Ar para bombas de calor do ar")</f>
        <v>Ar para bombas de calor do ar</v>
      </c>
      <c r="J6511">
        <f>VLOOKUP(A6511,Pr_Base_LNEC!$A$4:$J$6971,6,FALSE)</f>
        <v>0</v>
      </c>
      <c r="K6511">
        <f>VLOOKUP(A6511,Pr_Base_LNEC!$A$4:$J$6971,7,FALSE)</f>
        <v>0</v>
      </c>
    </row>
    <row r="6512" spans="1:11" ht="14.5">
      <c r="A6512" s="20" t="s">
        <v>30600</v>
      </c>
      <c r="B6512" s="20">
        <v>70</v>
      </c>
      <c r="C6512" s="20">
        <v>60</v>
      </c>
      <c r="D6512" s="20">
        <v>37</v>
      </c>
      <c r="E6512" s="20">
        <v>4</v>
      </c>
      <c r="F6512" s="20" t="s">
        <v>30601</v>
      </c>
      <c r="G6512" s="20" t="s">
        <v>30602</v>
      </c>
      <c r="H6512" s="24"/>
      <c r="I6512" s="24" t="str">
        <f ca="1">IFERROR(__xludf.DUMMYFUNCTION("GOOGLETRANSLATE(F6512,""en"",""pt"")"),"Ar para bombas de calor de água")</f>
        <v>Ar para bombas de calor de água</v>
      </c>
      <c r="J6512">
        <f>VLOOKUP(A6512,Pr_Base_LNEC!$A$4:$J$6971,6,FALSE)</f>
        <v>0</v>
      </c>
      <c r="K6512">
        <f>VLOOKUP(A6512,Pr_Base_LNEC!$A$4:$J$6971,7,FALSE)</f>
        <v>0</v>
      </c>
    </row>
    <row r="6513" spans="1:11" ht="14.5">
      <c r="A6513" s="20" t="s">
        <v>30603</v>
      </c>
      <c r="B6513" s="20">
        <v>70</v>
      </c>
      <c r="C6513" s="20">
        <v>60</v>
      </c>
      <c r="D6513" s="20">
        <v>37</v>
      </c>
      <c r="E6513" s="20">
        <v>33</v>
      </c>
      <c r="F6513" s="20" t="s">
        <v>30604</v>
      </c>
      <c r="G6513" s="20" t="s">
        <v>30605</v>
      </c>
      <c r="H6513" s="24"/>
      <c r="I6513" s="24" t="str">
        <f ca="1">IFERROR(__xludf.DUMMYFUNCTION("GOOGLETRANSLATE(F6513,""en"",""pt"")"),"bombas de calor do motor a gás impulsionado")</f>
        <v>bombas de calor do motor a gás impulsionado</v>
      </c>
      <c r="J6513">
        <f>VLOOKUP(A6513,Pr_Base_LNEC!$A$4:$J$6971,6,FALSE)</f>
        <v>0</v>
      </c>
      <c r="K6513">
        <f>VLOOKUP(A6513,Pr_Base_LNEC!$A$4:$J$6971,7,FALSE)</f>
        <v>0</v>
      </c>
    </row>
    <row r="6514" spans="1:11" ht="14.5">
      <c r="A6514" s="20" t="s">
        <v>30606</v>
      </c>
      <c r="B6514" s="20">
        <v>70</v>
      </c>
      <c r="C6514" s="20">
        <v>60</v>
      </c>
      <c r="D6514" s="20">
        <v>37</v>
      </c>
      <c r="E6514" s="20">
        <v>34</v>
      </c>
      <c r="F6514" s="20" t="s">
        <v>30607</v>
      </c>
      <c r="G6514" s="20" t="s">
        <v>30608</v>
      </c>
      <c r="H6514" s="24"/>
      <c r="I6514" s="24" t="str">
        <f ca="1">IFERROR(__xludf.DUMMYFUNCTION("GOOGLETRANSLATE(F6514,""en"",""pt"")"),"Gás bombas de calor de absorção")</f>
        <v>Gás bombas de calor de absorção</v>
      </c>
      <c r="J6514">
        <f>VLOOKUP(A6514,Pr_Base_LNEC!$A$4:$J$6971,6,FALSE)</f>
        <v>0</v>
      </c>
      <c r="K6514">
        <f>VLOOKUP(A6514,Pr_Base_LNEC!$A$4:$J$6971,7,FALSE)</f>
        <v>0</v>
      </c>
    </row>
    <row r="6515" spans="1:11" ht="14.5">
      <c r="A6515" s="20" t="s">
        <v>30609</v>
      </c>
      <c r="B6515" s="20">
        <v>70</v>
      </c>
      <c r="C6515" s="20">
        <v>60</v>
      </c>
      <c r="D6515" s="20">
        <v>37</v>
      </c>
      <c r="E6515" s="20">
        <v>36</v>
      </c>
      <c r="F6515" s="20" t="s">
        <v>30610</v>
      </c>
      <c r="G6515" s="20" t="s">
        <v>30611</v>
      </c>
      <c r="H6515" s="24"/>
      <c r="I6515" s="24" t="str">
        <f ca="1">IFERROR(__xludf.DUMMYFUNCTION("GOOGLETRANSLATE(F6515,""en"",""pt"")"),"Bombas de calor geotérmica")</f>
        <v>Bombas de calor geotérmica</v>
      </c>
      <c r="J6515">
        <f>VLOOKUP(A6515,Pr_Base_LNEC!$A$4:$J$6971,6,FALSE)</f>
        <v>0</v>
      </c>
      <c r="K6515">
        <f>VLOOKUP(A6515,Pr_Base_LNEC!$A$4:$J$6971,7,FALSE)</f>
        <v>0</v>
      </c>
    </row>
    <row r="6516" spans="1:11" ht="14.5">
      <c r="A6516" s="20" t="s">
        <v>30612</v>
      </c>
      <c r="B6516" s="20">
        <v>70</v>
      </c>
      <c r="C6516" s="20">
        <v>60</v>
      </c>
      <c r="D6516" s="20">
        <v>37</v>
      </c>
      <c r="E6516" s="20">
        <v>96</v>
      </c>
      <c r="F6516" s="20" t="s">
        <v>30613</v>
      </c>
      <c r="G6516" s="20" t="s">
        <v>30614</v>
      </c>
      <c r="H6516" s="24"/>
      <c r="I6516" s="24" t="str">
        <f ca="1">IFERROR(__xludf.DUMMYFUNCTION("GOOGLETRANSLATE(F6516,""en"",""pt"")"),"Água para as bombas de calor de ar")</f>
        <v>Água para as bombas de calor de ar</v>
      </c>
      <c r="J6516">
        <f>VLOOKUP(A6516,Pr_Base_LNEC!$A$4:$J$6971,6,FALSE)</f>
        <v>0</v>
      </c>
      <c r="K6516">
        <f>VLOOKUP(A6516,Pr_Base_LNEC!$A$4:$J$6971,7,FALSE)</f>
        <v>0</v>
      </c>
    </row>
    <row r="6517" spans="1:11" ht="14.5">
      <c r="A6517" s="20" t="s">
        <v>30615</v>
      </c>
      <c r="B6517" s="20">
        <v>70</v>
      </c>
      <c r="C6517" s="20">
        <v>60</v>
      </c>
      <c r="D6517" s="20">
        <v>37</v>
      </c>
      <c r="E6517" s="20">
        <v>98</v>
      </c>
      <c r="F6517" s="20" t="s">
        <v>30616</v>
      </c>
      <c r="G6517" s="20" t="s">
        <v>30617</v>
      </c>
      <c r="H6517" s="24"/>
      <c r="I6517" s="24" t="str">
        <f ca="1">IFERROR(__xludf.DUMMYFUNCTION("GOOGLETRANSLATE(F6517,""en"",""pt"")"),"Água para as bombas de calor de água")</f>
        <v>Água para as bombas de calor de água</v>
      </c>
      <c r="J6517">
        <f>VLOOKUP(A6517,Pr_Base_LNEC!$A$4:$J$6971,6,FALSE)</f>
        <v>0</v>
      </c>
      <c r="K6517">
        <f>VLOOKUP(A6517,Pr_Base_LNEC!$A$4:$J$6971,7,FALSE)</f>
        <v>0</v>
      </c>
    </row>
    <row r="6518" spans="1:11" ht="14.5">
      <c r="A6518" s="20" t="s">
        <v>30618</v>
      </c>
      <c r="B6518" s="20">
        <v>70</v>
      </c>
      <c r="C6518" s="20">
        <v>60</v>
      </c>
      <c r="D6518" s="20">
        <v>60</v>
      </c>
      <c r="E6518" s="24"/>
      <c r="F6518" s="20" t="s">
        <v>30619</v>
      </c>
      <c r="G6518" s="24"/>
      <c r="H6518" s="24"/>
      <c r="I6518" s="24" t="str">
        <f ca="1">IFERROR(__xludf.DUMMYFUNCTION("GOOGLETRANSLATE(F6518,""en"",""pt"")"),"produtos de aquecimento do pavimento")</f>
        <v>produtos de aquecimento do pavimento</v>
      </c>
      <c r="J6518">
        <f>VLOOKUP(A6518,Pr_Base_LNEC!$A$4:$J$6971,6,FALSE)</f>
        <v>0</v>
      </c>
      <c r="K6518">
        <f>VLOOKUP(A6518,Pr_Base_LNEC!$A$4:$J$6971,7,FALSE)</f>
        <v>0</v>
      </c>
    </row>
    <row r="6519" spans="1:11" ht="14.5">
      <c r="A6519" s="20" t="s">
        <v>30620</v>
      </c>
      <c r="B6519" s="20">
        <v>70</v>
      </c>
      <c r="C6519" s="20">
        <v>60</v>
      </c>
      <c r="D6519" s="20">
        <v>60</v>
      </c>
      <c r="E6519" s="20">
        <v>37</v>
      </c>
      <c r="F6519" s="20" t="s">
        <v>30621</v>
      </c>
      <c r="G6519" s="20" t="s">
        <v>30622</v>
      </c>
      <c r="H6519" s="24"/>
      <c r="I6519" s="24" t="str">
        <f ca="1">IFERROR(__xludf.DUMMYFUNCTION("GOOGLETRANSLATE(F6519,""en"",""pt"")"),"cabos de aquecimento do pavimento")</f>
        <v>cabos de aquecimento do pavimento</v>
      </c>
      <c r="J6519">
        <f>VLOOKUP(A6519,Pr_Base_LNEC!$A$4:$J$6971,6,FALSE)</f>
        <v>0</v>
      </c>
      <c r="K6519">
        <f>VLOOKUP(A6519,Pr_Base_LNEC!$A$4:$J$6971,7,FALSE)</f>
        <v>0</v>
      </c>
    </row>
    <row r="6520" spans="1:11" ht="14.5">
      <c r="A6520" s="20" t="s">
        <v>30623</v>
      </c>
      <c r="B6520" s="20">
        <v>70</v>
      </c>
      <c r="C6520" s="20">
        <v>60</v>
      </c>
      <c r="D6520" s="20">
        <v>60</v>
      </c>
      <c r="E6520" s="20">
        <v>38</v>
      </c>
      <c r="F6520" s="20" t="s">
        <v>30624</v>
      </c>
      <c r="G6520" s="20" t="s">
        <v>30625</v>
      </c>
      <c r="H6520" s="24"/>
      <c r="I6520" s="24" t="str">
        <f ca="1">IFERROR(__xludf.DUMMYFUNCTION("GOOGLETRANSLATE(F6520,""en"",""pt"")"),"esteiras de aquecimento do pavimento")</f>
        <v>esteiras de aquecimento do pavimento</v>
      </c>
      <c r="J6520">
        <f>VLOOKUP(A6520,Pr_Base_LNEC!$A$4:$J$6971,6,FALSE)</f>
        <v>0</v>
      </c>
      <c r="K6520">
        <f>VLOOKUP(A6520,Pr_Base_LNEC!$A$4:$J$6971,7,FALSE)</f>
        <v>0</v>
      </c>
    </row>
    <row r="6521" spans="1:11" ht="14.5">
      <c r="A6521" s="20" t="s">
        <v>30626</v>
      </c>
      <c r="B6521" s="20">
        <v>70</v>
      </c>
      <c r="C6521" s="20">
        <v>60</v>
      </c>
      <c r="D6521" s="20">
        <v>82</v>
      </c>
      <c r="E6521" s="24"/>
      <c r="F6521" s="20" t="s">
        <v>30627</v>
      </c>
      <c r="G6521" s="24"/>
      <c r="H6521" s="24"/>
      <c r="I6521" s="24" t="str">
        <f ca="1">IFERROR(__xludf.DUMMYFUNCTION("GOOGLETRANSLATE(F6521,""en"",""pt"")"),"acessórios e equipamentos para aquecimento ambiente")</f>
        <v>acessórios e equipamentos para aquecimento ambiente</v>
      </c>
      <c r="J6521">
        <f>VLOOKUP(A6521,Pr_Base_LNEC!$A$4:$J$6971,6,FALSE)</f>
        <v>0</v>
      </c>
      <c r="K6521">
        <f>VLOOKUP(A6521,Pr_Base_LNEC!$A$4:$J$6971,7,FALSE)</f>
        <v>0</v>
      </c>
    </row>
    <row r="6522" spans="1:11" ht="14.5">
      <c r="A6522" s="20" t="s">
        <v>30628</v>
      </c>
      <c r="B6522" s="20">
        <v>70</v>
      </c>
      <c r="C6522" s="20">
        <v>60</v>
      </c>
      <c r="D6522" s="20">
        <v>82</v>
      </c>
      <c r="E6522" s="20">
        <v>29</v>
      </c>
      <c r="F6522" s="20" t="s">
        <v>30629</v>
      </c>
      <c r="G6522" s="24"/>
      <c r="H6522" s="24"/>
      <c r="I6522" s="24" t="str">
        <f ca="1">IFERROR(__xludf.DUMMYFUNCTION("GOOGLETRANSLATE(F6522,""en"",""pt"")"),"fenders")</f>
        <v>fenders</v>
      </c>
      <c r="J6522">
        <f>VLOOKUP(A6522,Pr_Base_LNEC!$A$4:$J$6971,6,FALSE)</f>
        <v>0</v>
      </c>
      <c r="K6522">
        <f>VLOOKUP(A6522,Pr_Base_LNEC!$A$4:$J$6971,7,FALSE)</f>
        <v>0</v>
      </c>
    </row>
    <row r="6523" spans="1:11" ht="14.5">
      <c r="A6523" s="20" t="s">
        <v>30630</v>
      </c>
      <c r="B6523" s="20">
        <v>70</v>
      </c>
      <c r="C6523" s="20">
        <v>60</v>
      </c>
      <c r="D6523" s="20">
        <v>82</v>
      </c>
      <c r="E6523" s="20">
        <v>30</v>
      </c>
      <c r="F6523" s="20" t="s">
        <v>30631</v>
      </c>
      <c r="G6523" s="20" t="s">
        <v>30632</v>
      </c>
      <c r="H6523" s="24"/>
      <c r="I6523" s="24" t="str">
        <f ca="1">IFERROR(__xludf.DUMMYFUNCTION("GOOGLETRANSLATE(F6523,""en"",""pt"")"),"lareira lareiras")</f>
        <v>lareira lareiras</v>
      </c>
      <c r="J6523">
        <f>VLOOKUP(A6523,Pr_Base_LNEC!$A$4:$J$6971,6,FALSE)</f>
        <v>0</v>
      </c>
      <c r="K6523">
        <f>VLOOKUP(A6523,Pr_Base_LNEC!$A$4:$J$6971,7,FALSE)</f>
        <v>0</v>
      </c>
    </row>
    <row r="6524" spans="1:11" ht="14.5">
      <c r="A6524" s="20" t="s">
        <v>30633</v>
      </c>
      <c r="B6524" s="20">
        <v>70</v>
      </c>
      <c r="C6524" s="20">
        <v>60</v>
      </c>
      <c r="D6524" s="20">
        <v>82</v>
      </c>
      <c r="E6524" s="20">
        <v>31</v>
      </c>
      <c r="F6524" s="20" t="s">
        <v>30634</v>
      </c>
      <c r="G6524" s="24"/>
      <c r="H6524" s="24"/>
      <c r="I6524" s="24" t="str">
        <f ca="1">IFERROR(__xludf.DUMMYFUNCTION("GOOGLETRANSLATE(F6524,""en"",""pt"")"),"lareira capuzes")</f>
        <v>lareira capuzes</v>
      </c>
      <c r="J6524">
        <f>VLOOKUP(A6524,Pr_Base_LNEC!$A$4:$J$6971,6,FALSE)</f>
        <v>0</v>
      </c>
      <c r="K6524">
        <f>VLOOKUP(A6524,Pr_Base_LNEC!$A$4:$J$6971,7,FALSE)</f>
        <v>0</v>
      </c>
    </row>
    <row r="6525" spans="1:11" ht="14.5">
      <c r="A6525" s="20" t="s">
        <v>30635</v>
      </c>
      <c r="B6525" s="20">
        <v>70</v>
      </c>
      <c r="C6525" s="20">
        <v>60</v>
      </c>
      <c r="D6525" s="20">
        <v>82</v>
      </c>
      <c r="E6525" s="20">
        <v>32</v>
      </c>
      <c r="F6525" s="20" t="s">
        <v>30636</v>
      </c>
      <c r="G6525" s="20" t="s">
        <v>30637</v>
      </c>
      <c r="H6525" s="24"/>
      <c r="I6525" s="24" t="str">
        <f ca="1">IFERROR(__xludf.DUMMYFUNCTION("GOOGLETRANSLATE(F6525,""en"",""pt"")"),"lareira rodeia")</f>
        <v>lareira rodeia</v>
      </c>
      <c r="J6525">
        <f>VLOOKUP(A6525,Pr_Base_LNEC!$A$4:$J$6971,6,FALSE)</f>
        <v>0</v>
      </c>
      <c r="K6525">
        <f>VLOOKUP(A6525,Pr_Base_LNEC!$A$4:$J$6971,7,FALSE)</f>
        <v>0</v>
      </c>
    </row>
    <row r="6526" spans="1:11" ht="14.5">
      <c r="A6526" s="20" t="s">
        <v>30638</v>
      </c>
      <c r="B6526" s="20">
        <v>70</v>
      </c>
      <c r="C6526" s="20">
        <v>60</v>
      </c>
      <c r="D6526" s="20">
        <v>82</v>
      </c>
      <c r="E6526" s="20">
        <v>41</v>
      </c>
      <c r="F6526" s="20" t="s">
        <v>30639</v>
      </c>
      <c r="G6526" s="20" t="s">
        <v>30640</v>
      </c>
      <c r="H6526" s="24"/>
      <c r="I6526" s="24" t="str">
        <f ca="1">IFERROR(__xludf.DUMMYFUNCTION("GOOGLETRANSLATE(F6526,""en"",""pt"")"),"Inset firebacks Lareira")</f>
        <v>Inset firebacks Lareira</v>
      </c>
      <c r="J6526">
        <f>VLOOKUP(A6526,Pr_Base_LNEC!$A$4:$J$6971,6,FALSE)</f>
        <v>0</v>
      </c>
      <c r="K6526">
        <f>VLOOKUP(A6526,Pr_Base_LNEC!$A$4:$J$6971,7,FALSE)</f>
        <v>0</v>
      </c>
    </row>
    <row r="6527" spans="1:11" ht="14.5">
      <c r="A6527" s="20" t="s">
        <v>30641</v>
      </c>
      <c r="B6527" s="20">
        <v>70</v>
      </c>
      <c r="C6527" s="20">
        <v>60</v>
      </c>
      <c r="D6527" s="20">
        <v>82</v>
      </c>
      <c r="E6527" s="20">
        <v>42</v>
      </c>
      <c r="F6527" s="20" t="s">
        <v>30642</v>
      </c>
      <c r="G6527" s="20" t="s">
        <v>30643</v>
      </c>
      <c r="H6527" s="24"/>
      <c r="I6527" s="24" t="str">
        <f ca="1">IFERROR(__xludf.DUMMYFUNCTION("GOOGLETRANSLATE(F6527,""en"",""pt"")"),"Inset lareira rodeia e lareiras")</f>
        <v>Inset lareira rodeia e lareiras</v>
      </c>
      <c r="J6527">
        <f>VLOOKUP(A6527,Pr_Base_LNEC!$A$4:$J$6971,6,FALSE)</f>
        <v>0</v>
      </c>
      <c r="K6527">
        <f>VLOOKUP(A6527,Pr_Base_LNEC!$A$4:$J$6971,7,FALSE)</f>
        <v>0</v>
      </c>
    </row>
    <row r="6528" spans="1:11" ht="14.5">
      <c r="A6528" s="20" t="s">
        <v>30644</v>
      </c>
      <c r="B6528" s="20">
        <v>70</v>
      </c>
      <c r="C6528" s="20">
        <v>60</v>
      </c>
      <c r="D6528" s="20">
        <v>82</v>
      </c>
      <c r="E6528" s="20">
        <v>43</v>
      </c>
      <c r="F6528" s="20" t="s">
        <v>30645</v>
      </c>
      <c r="G6528" s="20" t="s">
        <v>30646</v>
      </c>
      <c r="H6528" s="24"/>
      <c r="I6528" s="24" t="str">
        <f ca="1">IFERROR(__xludf.DUMMYFUNCTION("GOOGLETRANSLATE(F6528,""en"",""pt"")"),"Inset lareiras")</f>
        <v>Inset lareiras</v>
      </c>
      <c r="J6528">
        <f>VLOOKUP(A6528,Pr_Base_LNEC!$A$4:$J$6971,6,FALSE)</f>
        <v>0</v>
      </c>
      <c r="K6528">
        <f>VLOOKUP(A6528,Pr_Base_LNEC!$A$4:$J$6971,7,FALSE)</f>
        <v>0</v>
      </c>
    </row>
    <row r="6529" spans="1:11" ht="14.5">
      <c r="A6529" s="20" t="s">
        <v>30647</v>
      </c>
      <c r="B6529" s="20">
        <v>70</v>
      </c>
      <c r="C6529" s="20">
        <v>65</v>
      </c>
      <c r="D6529" s="24"/>
      <c r="E6529" s="24"/>
      <c r="F6529" s="20" t="s">
        <v>30648</v>
      </c>
      <c r="G6529" s="24"/>
      <c r="H6529" s="24"/>
      <c r="I6529" s="24" t="str">
        <f ca="1">IFERROR(__xludf.DUMMYFUNCTION("GOOGLETRANSLATE(F6529,""en"",""pt"")"),"Ar e produtos de saída de fumos")</f>
        <v>Ar e produtos de saída de fumos</v>
      </c>
      <c r="J6529" t="str">
        <f>VLOOKUP(A6529,Pr_Base_LNEC!$A$4:$J$6971,6,FALSE)</f>
        <v>Produtos para saída de AVAC e Exaustao de Fumo</v>
      </c>
      <c r="K6529">
        <f>VLOOKUP(A6529,Pr_Base_LNEC!$A$4:$J$6971,7,FALSE)</f>
        <v>0</v>
      </c>
    </row>
    <row r="6530" spans="1:11" ht="14.5">
      <c r="A6530" s="20" t="s">
        <v>30649</v>
      </c>
      <c r="B6530" s="20">
        <v>70</v>
      </c>
      <c r="C6530" s="20">
        <v>65</v>
      </c>
      <c r="D6530" s="20">
        <v>3</v>
      </c>
      <c r="E6530" s="24"/>
      <c r="F6530" s="20" t="s">
        <v>30650</v>
      </c>
      <c r="G6530" s="24"/>
      <c r="H6530" s="24"/>
      <c r="I6530" s="24" t="str">
        <f ca="1">IFERROR(__xludf.DUMMYFUNCTION("GOOGLETRANSLATE(F6530,""en"",""pt"")"),"aparelhos de ar condicionado")</f>
        <v>aparelhos de ar condicionado</v>
      </c>
      <c r="J6530">
        <f>VLOOKUP(A6530,Pr_Base_LNEC!$A$4:$J$6971,6,FALSE)</f>
        <v>0</v>
      </c>
      <c r="K6530">
        <f>VLOOKUP(A6530,Pr_Base_LNEC!$A$4:$J$6971,7,FALSE)</f>
        <v>0</v>
      </c>
    </row>
    <row r="6531" spans="1:11" ht="14.5">
      <c r="A6531" s="20" t="s">
        <v>30651</v>
      </c>
      <c r="B6531" s="20">
        <v>70</v>
      </c>
      <c r="C6531" s="20">
        <v>65</v>
      </c>
      <c r="D6531" s="20">
        <v>3</v>
      </c>
      <c r="E6531" s="20">
        <v>1</v>
      </c>
      <c r="F6531" s="20" t="s">
        <v>30652</v>
      </c>
      <c r="G6531" s="24"/>
      <c r="H6531" s="24"/>
      <c r="I6531" s="24" t="str">
        <f ca="1">IFERROR(__xludf.DUMMYFUNCTION("GOOGLETRANSLATE(F6531,""en"",""pt"")"),"resfriadores adiabáticos")</f>
        <v>resfriadores adiabáticos</v>
      </c>
      <c r="J6531" t="e">
        <f>VLOOKUP(A6531,Pr_Base_LNEC!$A$4:$J$6971,6,FALSE)</f>
        <v>#N/A</v>
      </c>
      <c r="K6531" t="e">
        <f>VLOOKUP(A6531,Pr_Base_LNEC!$A$4:$J$6971,7,FALSE)</f>
        <v>#N/A</v>
      </c>
    </row>
    <row r="6532" spans="1:11" ht="14.5">
      <c r="A6532" s="20" t="s">
        <v>30653</v>
      </c>
      <c r="B6532" s="20">
        <v>70</v>
      </c>
      <c r="C6532" s="20">
        <v>65</v>
      </c>
      <c r="D6532" s="20">
        <v>3</v>
      </c>
      <c r="E6532" s="20">
        <v>2</v>
      </c>
      <c r="F6532" s="20" t="s">
        <v>30654</v>
      </c>
      <c r="G6532" s="20" t="s">
        <v>30655</v>
      </c>
      <c r="H6532" s="24"/>
      <c r="I6532" s="24" t="str">
        <f ca="1">IFERROR(__xludf.DUMMYFUNCTION("GOOGLETRANSLATE(F6532,""en"",""pt"")"),"Ar arrefecida unidades de condensação")</f>
        <v>Ar arrefecida unidades de condensação</v>
      </c>
      <c r="J6532">
        <f>VLOOKUP(A6532,Pr_Base_LNEC!$A$4:$J$6971,6,FALSE)</f>
        <v>0</v>
      </c>
      <c r="K6532">
        <f>VLOOKUP(A6532,Pr_Base_LNEC!$A$4:$J$6971,7,FALSE)</f>
        <v>0</v>
      </c>
    </row>
    <row r="6533" spans="1:11" ht="14.5">
      <c r="A6533" s="20" t="s">
        <v>30656</v>
      </c>
      <c r="B6533" s="20">
        <v>70</v>
      </c>
      <c r="C6533" s="20">
        <v>65</v>
      </c>
      <c r="D6533" s="20">
        <v>3</v>
      </c>
      <c r="E6533" s="20">
        <v>25</v>
      </c>
      <c r="F6533" s="20" t="s">
        <v>30657</v>
      </c>
      <c r="G6533" s="20" t="s">
        <v>30658</v>
      </c>
      <c r="H6533" s="24"/>
      <c r="I6533" s="24" t="str">
        <f ca="1">IFERROR(__xludf.DUMMYFUNCTION("GOOGLETRANSLATE(F6533,""en"",""pt"")"),"refrigeradores de ar seco")</f>
        <v>refrigeradores de ar seco</v>
      </c>
      <c r="J6533">
        <f>VLOOKUP(A6533,Pr_Base_LNEC!$A$4:$J$6971,6,FALSE)</f>
        <v>0</v>
      </c>
      <c r="K6533">
        <f>VLOOKUP(A6533,Pr_Base_LNEC!$A$4:$J$6971,7,FALSE)</f>
        <v>0</v>
      </c>
    </row>
    <row r="6534" spans="1:11" ht="14.5">
      <c r="A6534" s="20" t="s">
        <v>30659</v>
      </c>
      <c r="B6534" s="20">
        <v>70</v>
      </c>
      <c r="C6534" s="20">
        <v>65</v>
      </c>
      <c r="D6534" s="20">
        <v>3</v>
      </c>
      <c r="E6534" s="20">
        <v>27</v>
      </c>
      <c r="F6534" s="20" t="s">
        <v>30660</v>
      </c>
      <c r="G6534" s="20" t="s">
        <v>30661</v>
      </c>
      <c r="H6534" s="24"/>
      <c r="I6534" s="24" t="str">
        <f ca="1">IFERROR(__xludf.DUMMYFUNCTION("GOOGLETRANSLATE(F6534,""en"",""pt"")"),"Evaporativo unidades de refrigeração")</f>
        <v>Evaporativo unidades de refrigeração</v>
      </c>
      <c r="J6534">
        <f>VLOOKUP(A6534,Pr_Base_LNEC!$A$4:$J$6971,6,FALSE)</f>
        <v>0</v>
      </c>
      <c r="K6534">
        <f>VLOOKUP(A6534,Pr_Base_LNEC!$A$4:$J$6971,7,FALSE)</f>
        <v>0</v>
      </c>
    </row>
    <row r="6535" spans="1:11" ht="14.5">
      <c r="A6535" s="20" t="s">
        <v>30662</v>
      </c>
      <c r="B6535" s="20">
        <v>70</v>
      </c>
      <c r="C6535" s="20">
        <v>65</v>
      </c>
      <c r="D6535" s="20">
        <v>3</v>
      </c>
      <c r="E6535" s="20">
        <v>29</v>
      </c>
      <c r="F6535" s="20" t="s">
        <v>30663</v>
      </c>
      <c r="G6535" s="20" t="s">
        <v>30664</v>
      </c>
      <c r="H6535" s="24"/>
      <c r="I6535" s="24" t="str">
        <f ca="1">IFERROR(__xludf.DUMMYFUNCTION("GOOGLETRANSLATE(F6535,""en"",""pt"")"),"ventiloconvectores")</f>
        <v>ventiloconvectores</v>
      </c>
      <c r="J6535">
        <f>VLOOKUP(A6535,Pr_Base_LNEC!$A$4:$J$6971,6,FALSE)</f>
        <v>0</v>
      </c>
      <c r="K6535">
        <f>VLOOKUP(A6535,Pr_Base_LNEC!$A$4:$J$6971,7,FALSE)</f>
        <v>0</v>
      </c>
    </row>
    <row r="6536" spans="1:11" ht="14.5">
      <c r="A6536" s="20" t="s">
        <v>30665</v>
      </c>
      <c r="B6536" s="20">
        <v>70</v>
      </c>
      <c r="C6536" s="20">
        <v>65</v>
      </c>
      <c r="D6536" s="20">
        <v>3</v>
      </c>
      <c r="E6536" s="20">
        <v>42</v>
      </c>
      <c r="F6536" s="20" t="s">
        <v>30666</v>
      </c>
      <c r="G6536" s="20" t="s">
        <v>30667</v>
      </c>
      <c r="H6536" s="24"/>
      <c r="I6536" s="24" t="str">
        <f ca="1">IFERROR(__xludf.DUMMYFUNCTION("GOOGLETRANSLATE(F6536,""en"",""pt"")"),"unidades de refrigeração interiores")</f>
        <v>unidades de refrigeração interiores</v>
      </c>
      <c r="J6536">
        <f>VLOOKUP(A6536,Pr_Base_LNEC!$A$4:$J$6971,6,FALSE)</f>
        <v>0</v>
      </c>
      <c r="K6536">
        <f>VLOOKUP(A6536,Pr_Base_LNEC!$A$4:$J$6971,7,FALSE)</f>
        <v>0</v>
      </c>
    </row>
    <row r="6537" spans="1:11" ht="14.5">
      <c r="A6537" s="20" t="s">
        <v>30668</v>
      </c>
      <c r="B6537" s="20">
        <v>70</v>
      </c>
      <c r="C6537" s="20">
        <v>65</v>
      </c>
      <c r="D6537" s="20">
        <v>3</v>
      </c>
      <c r="E6537" s="20">
        <v>43</v>
      </c>
      <c r="F6537" s="20" t="s">
        <v>30669</v>
      </c>
      <c r="G6537" s="20" t="s">
        <v>30670</v>
      </c>
      <c r="H6537" s="24"/>
      <c r="I6537" s="24" t="str">
        <f ca="1">IFERROR(__xludf.DUMMYFUNCTION("GOOGLETRANSLATE(F6537,""en"",""pt"")"),"unidades de indução")</f>
        <v>unidades de indução</v>
      </c>
      <c r="J6537">
        <f>VLOOKUP(A6537,Pr_Base_LNEC!$A$4:$J$6971,6,FALSE)</f>
        <v>0</v>
      </c>
      <c r="K6537">
        <f>VLOOKUP(A6537,Pr_Base_LNEC!$A$4:$J$6971,7,FALSE)</f>
        <v>0</v>
      </c>
    </row>
    <row r="6538" spans="1:11" ht="14.5">
      <c r="A6538" s="20" t="s">
        <v>30671</v>
      </c>
      <c r="B6538" s="20">
        <v>70</v>
      </c>
      <c r="C6538" s="20">
        <v>65</v>
      </c>
      <c r="D6538" s="20">
        <v>3</v>
      </c>
      <c r="E6538" s="20">
        <v>47</v>
      </c>
      <c r="F6538" s="20" t="s">
        <v>30672</v>
      </c>
      <c r="G6538" s="20" t="s">
        <v>30673</v>
      </c>
      <c r="H6538" s="24"/>
      <c r="I6538" s="24" t="str">
        <f ca="1">IFERROR(__xludf.DUMMYFUNCTION("GOOGLETRANSLATE(F6538,""en"",""pt"")"),"unidades de ar condicionado locais")</f>
        <v>unidades de ar condicionado locais</v>
      </c>
      <c r="J6538">
        <f>VLOOKUP(A6538,Pr_Base_LNEC!$A$4:$J$6971,6,FALSE)</f>
        <v>0</v>
      </c>
      <c r="K6538">
        <f>VLOOKUP(A6538,Pr_Base_LNEC!$A$4:$J$6971,7,FALSE)</f>
        <v>0</v>
      </c>
    </row>
    <row r="6539" spans="1:11" ht="14.5">
      <c r="A6539" s="20" t="s">
        <v>30674</v>
      </c>
      <c r="B6539" s="20">
        <v>70</v>
      </c>
      <c r="C6539" s="20">
        <v>65</v>
      </c>
      <c r="D6539" s="20">
        <v>3</v>
      </c>
      <c r="E6539" s="20">
        <v>72</v>
      </c>
      <c r="F6539" s="20" t="s">
        <v>30675</v>
      </c>
      <c r="G6539" s="20" t="s">
        <v>30676</v>
      </c>
      <c r="H6539" s="24"/>
      <c r="I6539" s="24" t="str">
        <f ca="1">IFERROR(__xludf.DUMMYFUNCTION("GOOGLETRANSLATE(F6539,""en"",""pt"")"),"unidades do quarto Ar condicionado")</f>
        <v>unidades do quarto Ar condicionado</v>
      </c>
      <c r="J6539">
        <f>VLOOKUP(A6539,Pr_Base_LNEC!$A$4:$J$6971,6,FALSE)</f>
        <v>0</v>
      </c>
      <c r="K6539">
        <f>VLOOKUP(A6539,Pr_Base_LNEC!$A$4:$J$6971,7,FALSE)</f>
        <v>0</v>
      </c>
    </row>
    <row r="6540" spans="1:11" ht="14.5">
      <c r="A6540" s="20" t="s">
        <v>30677</v>
      </c>
      <c r="B6540" s="20">
        <v>70</v>
      </c>
      <c r="C6540" s="20">
        <v>65</v>
      </c>
      <c r="D6540" s="20">
        <v>3</v>
      </c>
      <c r="E6540" s="20">
        <v>84</v>
      </c>
      <c r="F6540" s="20" t="s">
        <v>30678</v>
      </c>
      <c r="G6540" s="20" t="s">
        <v>30679</v>
      </c>
      <c r="H6540" s="24"/>
      <c r="I6540" s="24" t="str">
        <f ca="1">IFERROR(__xludf.DUMMYFUNCTION("GOOGLETRANSLATE(F6540,""en"",""pt"")"),"Dividir bobina ar remoto arrefecida unidades de condensação")</f>
        <v>Dividir bobina ar remoto arrefecida unidades de condensação</v>
      </c>
      <c r="J6540">
        <f>VLOOKUP(A6540,Pr_Base_LNEC!$A$4:$J$6971,6,FALSE)</f>
        <v>0</v>
      </c>
      <c r="K6540">
        <f>VLOOKUP(A6540,Pr_Base_LNEC!$A$4:$J$6971,7,FALSE)</f>
        <v>0</v>
      </c>
    </row>
    <row r="6541" spans="1:11" ht="14.5">
      <c r="A6541" s="20" t="s">
        <v>30680</v>
      </c>
      <c r="B6541" s="20">
        <v>70</v>
      </c>
      <c r="C6541" s="20">
        <v>65</v>
      </c>
      <c r="D6541" s="20">
        <v>3</v>
      </c>
      <c r="E6541" s="20">
        <v>86</v>
      </c>
      <c r="F6541" s="20" t="s">
        <v>30681</v>
      </c>
      <c r="G6541" s="20" t="s">
        <v>30682</v>
      </c>
      <c r="H6541" s="24"/>
      <c r="I6541" s="24" t="str">
        <f ca="1">IFERROR(__xludf.DUMMYFUNCTION("GOOGLETRANSLATE(F6541,""en"",""pt"")"),"unidades de ar condicionado de divisão de apartamentos bobina")</f>
        <v>unidades de ar condicionado de divisão de apartamentos bobina</v>
      </c>
      <c r="J6541">
        <f>VLOOKUP(A6541,Pr_Base_LNEC!$A$4:$J$6971,6,FALSE)</f>
        <v>0</v>
      </c>
      <c r="K6541">
        <f>VLOOKUP(A6541,Pr_Base_LNEC!$A$4:$J$6971,7,FALSE)</f>
        <v>0</v>
      </c>
    </row>
    <row r="6542" spans="1:11" ht="14.5">
      <c r="A6542" s="20" t="s">
        <v>30683</v>
      </c>
      <c r="B6542" s="20">
        <v>70</v>
      </c>
      <c r="C6542" s="20">
        <v>65</v>
      </c>
      <c r="D6542" s="20">
        <v>3</v>
      </c>
      <c r="E6542" s="20">
        <v>94</v>
      </c>
      <c r="F6542" s="20" t="s">
        <v>30684</v>
      </c>
      <c r="G6542" s="20" t="s">
        <v>30685</v>
      </c>
      <c r="H6542" s="24"/>
      <c r="I6542" s="24" t="str">
        <f ca="1">IFERROR(__xludf.DUMMYFUNCTION("GOOGLETRANSLATE(F6542,""en"",""pt"")"),"unidades VRV")</f>
        <v>unidades VRV</v>
      </c>
      <c r="J6542">
        <f>VLOOKUP(A6542,Pr_Base_LNEC!$A$4:$J$6971,6,FALSE)</f>
        <v>0</v>
      </c>
      <c r="K6542">
        <f>VLOOKUP(A6542,Pr_Base_LNEC!$A$4:$J$6971,7,FALSE)</f>
        <v>0</v>
      </c>
    </row>
    <row r="6543" spans="1:11" ht="14.5">
      <c r="A6543" s="20" t="s">
        <v>30686</v>
      </c>
      <c r="B6543" s="20">
        <v>70</v>
      </c>
      <c r="C6543" s="20">
        <v>65</v>
      </c>
      <c r="D6543" s="20">
        <v>4</v>
      </c>
      <c r="E6543" s="24"/>
      <c r="F6543" s="20" t="s">
        <v>30687</v>
      </c>
      <c r="G6543" s="24"/>
      <c r="H6543" s="24"/>
      <c r="I6543" s="24" t="str">
        <f ca="1">IFERROR(__xludf.DUMMYFUNCTION("GOOGLETRANSLATE(F6543,""en"",""pt"")"),"terminais de ar e difusores")</f>
        <v>terminais de ar e difusores</v>
      </c>
      <c r="J6543">
        <f>VLOOKUP(A6543,Pr_Base_LNEC!$A$4:$J$6971,6,FALSE)</f>
        <v>0</v>
      </c>
      <c r="K6543">
        <f>VLOOKUP(A6543,Pr_Base_LNEC!$A$4:$J$6971,7,FALSE)</f>
        <v>0</v>
      </c>
    </row>
    <row r="6544" spans="1:11" ht="14.5">
      <c r="A6544" s="20" t="s">
        <v>30688</v>
      </c>
      <c r="B6544" s="20">
        <v>70</v>
      </c>
      <c r="C6544" s="20">
        <v>65</v>
      </c>
      <c r="D6544" s="20">
        <v>4</v>
      </c>
      <c r="E6544" s="20">
        <v>2</v>
      </c>
      <c r="F6544" s="20" t="s">
        <v>30689</v>
      </c>
      <c r="G6544" s="20" t="s">
        <v>30690</v>
      </c>
      <c r="H6544" s="24"/>
      <c r="I6544" s="24" t="str">
        <f ca="1">IFERROR(__xludf.DUMMYFUNCTION("GOOGLETRANSLATE(F6544,""en"",""pt"")"),"difusores de ar")</f>
        <v>difusores de ar</v>
      </c>
      <c r="J6544">
        <f>VLOOKUP(A6544,Pr_Base_LNEC!$A$4:$J$6971,6,FALSE)</f>
        <v>0</v>
      </c>
      <c r="K6544">
        <f>VLOOKUP(A6544,Pr_Base_LNEC!$A$4:$J$6971,7,FALSE)</f>
        <v>0</v>
      </c>
    </row>
    <row r="6545" spans="1:11" ht="14.5">
      <c r="A6545" s="20" t="s">
        <v>30691</v>
      </c>
      <c r="B6545" s="20">
        <v>70</v>
      </c>
      <c r="C6545" s="20">
        <v>65</v>
      </c>
      <c r="D6545" s="20">
        <v>4</v>
      </c>
      <c r="E6545" s="20">
        <v>3</v>
      </c>
      <c r="F6545" s="20" t="s">
        <v>30692</v>
      </c>
      <c r="G6545" s="20" t="s">
        <v>30693</v>
      </c>
      <c r="H6545" s="24"/>
      <c r="I6545" s="24" t="str">
        <f ca="1">IFERROR(__xludf.DUMMYFUNCTION("GOOGLETRANSLATE(F6545,""en"",""pt"")"),"grelhas de ventilação")</f>
        <v>grelhas de ventilação</v>
      </c>
      <c r="J6545">
        <f>VLOOKUP(A6545,Pr_Base_LNEC!$A$4:$J$6971,6,FALSE)</f>
        <v>0</v>
      </c>
      <c r="K6545">
        <f>VLOOKUP(A6545,Pr_Base_LNEC!$A$4:$J$6971,7,FALSE)</f>
        <v>0</v>
      </c>
    </row>
    <row r="6546" spans="1:11" ht="14.5">
      <c r="A6546" s="20" t="s">
        <v>30694</v>
      </c>
      <c r="B6546" s="20">
        <v>70</v>
      </c>
      <c r="C6546" s="20">
        <v>65</v>
      </c>
      <c r="D6546" s="20">
        <v>4</v>
      </c>
      <c r="E6546" s="20">
        <v>4</v>
      </c>
      <c r="F6546" s="20" t="s">
        <v>30695</v>
      </c>
      <c r="G6546" s="20" t="s">
        <v>30696</v>
      </c>
      <c r="H6546" s="24"/>
      <c r="I6546" s="24" t="str">
        <f ca="1">IFERROR(__xludf.DUMMYFUNCTION("GOOGLETRANSLATE(F6546,""en"",""pt"")"),"caixas de câmara de ar")</f>
        <v>caixas de câmara de ar</v>
      </c>
      <c r="J6546">
        <f>VLOOKUP(A6546,Pr_Base_LNEC!$A$4:$J$6971,6,FALSE)</f>
        <v>0</v>
      </c>
      <c r="K6546">
        <f>VLOOKUP(A6546,Pr_Base_LNEC!$A$4:$J$6971,7,FALSE)</f>
        <v>0</v>
      </c>
    </row>
    <row r="6547" spans="1:11" ht="14.5">
      <c r="A6547" s="20" t="s">
        <v>30697</v>
      </c>
      <c r="B6547" s="20">
        <v>70</v>
      </c>
      <c r="C6547" s="20">
        <v>65</v>
      </c>
      <c r="D6547" s="20">
        <v>4</v>
      </c>
      <c r="E6547" s="20">
        <v>22</v>
      </c>
      <c r="F6547" s="20" t="s">
        <v>30698</v>
      </c>
      <c r="G6547" s="20" t="s">
        <v>30699</v>
      </c>
      <c r="H6547" s="24"/>
      <c r="I6547" s="24" t="str">
        <f ca="1">IFERROR(__xludf.DUMMYFUNCTION("GOOGLETRANSLATE(F6547,""en"",""pt"")"),"difusores de ventilação de deslocamento")</f>
        <v>difusores de ventilação de deslocamento</v>
      </c>
      <c r="J6547">
        <f>VLOOKUP(A6547,Pr_Base_LNEC!$A$4:$J$6971,6,FALSE)</f>
        <v>0</v>
      </c>
      <c r="K6547">
        <f>VLOOKUP(A6547,Pr_Base_LNEC!$A$4:$J$6971,7,FALSE)</f>
        <v>0</v>
      </c>
    </row>
    <row r="6548" spans="1:11" ht="14.5">
      <c r="A6548" s="20" t="s">
        <v>30700</v>
      </c>
      <c r="B6548" s="20">
        <v>70</v>
      </c>
      <c r="C6548" s="20">
        <v>65</v>
      </c>
      <c r="D6548" s="20">
        <v>4</v>
      </c>
      <c r="E6548" s="20">
        <v>24</v>
      </c>
      <c r="F6548" s="20" t="s">
        <v>30701</v>
      </c>
      <c r="G6548" s="20" t="s">
        <v>30702</v>
      </c>
      <c r="H6548" s="24"/>
      <c r="I6548" s="24" t="str">
        <f ca="1">IFERROR(__xludf.DUMMYFUNCTION("GOOGLETRANSLATE(F6548,""en"",""pt"")"),"difusores de ar domésticos e grelhas")</f>
        <v>difusores de ar domésticos e grelhas</v>
      </c>
      <c r="J6548">
        <f>VLOOKUP(A6548,Pr_Base_LNEC!$A$4:$J$6971,6,FALSE)</f>
        <v>0</v>
      </c>
      <c r="K6548">
        <f>VLOOKUP(A6548,Pr_Base_LNEC!$A$4:$J$6971,7,FALSE)</f>
        <v>0</v>
      </c>
    </row>
    <row r="6549" spans="1:11" ht="14.5">
      <c r="A6549" s="20" t="s">
        <v>30703</v>
      </c>
      <c r="B6549" s="20">
        <v>70</v>
      </c>
      <c r="C6549" s="20">
        <v>65</v>
      </c>
      <c r="D6549" s="20">
        <v>4</v>
      </c>
      <c r="E6549" s="20">
        <v>25</v>
      </c>
      <c r="F6549" s="20" t="s">
        <v>30704</v>
      </c>
      <c r="G6549" s="24"/>
      <c r="H6549" s="24"/>
      <c r="I6549" s="24" t="str">
        <f ca="1">IFERROR(__xludf.DUMMYFUNCTION("GOOGLETRANSLATE(F6549,""en"",""pt"")"),"volume de ar variável dupla conduta (VAV) unidades terminais")</f>
        <v>volume de ar variável dupla conduta (VAV) unidades terminais</v>
      </c>
      <c r="J6549" t="e">
        <f>VLOOKUP(A6549,Pr_Base_LNEC!$A$4:$J$6971,6,FALSE)</f>
        <v>#N/A</v>
      </c>
      <c r="K6549" t="e">
        <f>VLOOKUP(A6549,Pr_Base_LNEC!$A$4:$J$6971,7,FALSE)</f>
        <v>#N/A</v>
      </c>
    </row>
    <row r="6550" spans="1:11" ht="14.5">
      <c r="A6550" s="20" t="s">
        <v>30705</v>
      </c>
      <c r="B6550" s="20">
        <v>70</v>
      </c>
      <c r="C6550" s="20">
        <v>65</v>
      </c>
      <c r="D6550" s="20">
        <v>4</v>
      </c>
      <c r="E6550" s="20">
        <v>28</v>
      </c>
      <c r="F6550" s="20" t="s">
        <v>30706</v>
      </c>
      <c r="G6550" s="20" t="s">
        <v>30707</v>
      </c>
      <c r="H6550" s="24"/>
      <c r="I6550" s="24" t="str">
        <f ca="1">IFERROR(__xludf.DUMMYFUNCTION("GOOGLETRANSLATE(F6550,""en"",""pt"")"),"grelhas de parede externa")</f>
        <v>grelhas de parede externa</v>
      </c>
      <c r="J6550">
        <f>VLOOKUP(A6550,Pr_Base_LNEC!$A$4:$J$6971,6,FALSE)</f>
        <v>0</v>
      </c>
      <c r="K6550">
        <f>VLOOKUP(A6550,Pr_Base_LNEC!$A$4:$J$6971,7,FALSE)</f>
        <v>0</v>
      </c>
    </row>
    <row r="6551" spans="1:11" ht="14.5">
      <c r="A6551" s="20" t="s">
        <v>30708</v>
      </c>
      <c r="B6551" s="20">
        <v>70</v>
      </c>
      <c r="C6551" s="20">
        <v>65</v>
      </c>
      <c r="D6551" s="20">
        <v>4</v>
      </c>
      <c r="E6551" s="20">
        <v>30</v>
      </c>
      <c r="F6551" s="20" t="s">
        <v>30709</v>
      </c>
      <c r="G6551" s="20" t="s">
        <v>30710</v>
      </c>
      <c r="H6551" s="24"/>
      <c r="I6551" s="24" t="str">
        <f ca="1">IFERROR(__xludf.DUMMYFUNCTION("GOOGLETRANSLATE(F6551,""en"",""pt"")"),"Piso linear difusores de ar")</f>
        <v>Piso linear difusores de ar</v>
      </c>
      <c r="J6551">
        <f>VLOOKUP(A6551,Pr_Base_LNEC!$A$4:$J$6971,6,FALSE)</f>
        <v>0</v>
      </c>
      <c r="K6551">
        <f>VLOOKUP(A6551,Pr_Base_LNEC!$A$4:$J$6971,7,FALSE)</f>
        <v>0</v>
      </c>
    </row>
    <row r="6552" spans="1:11" ht="14.5">
      <c r="A6552" s="20" t="s">
        <v>30711</v>
      </c>
      <c r="B6552" s="20">
        <v>70</v>
      </c>
      <c r="C6552" s="20">
        <v>65</v>
      </c>
      <c r="D6552" s="20">
        <v>4</v>
      </c>
      <c r="E6552" s="20">
        <v>32</v>
      </c>
      <c r="F6552" s="20" t="s">
        <v>30712</v>
      </c>
      <c r="G6552" s="20" t="s">
        <v>30713</v>
      </c>
      <c r="H6552" s="24"/>
      <c r="I6552" s="24" t="str">
        <f ca="1">IFERROR(__xludf.DUMMYFUNCTION("GOOGLETRANSLATE(F6552,""en"",""pt"")"),"caixas cheias de ar montado no piso")</f>
        <v>caixas cheias de ar montado no piso</v>
      </c>
      <c r="J6552">
        <f>VLOOKUP(A6552,Pr_Base_LNEC!$A$4:$J$6971,6,FALSE)</f>
        <v>0</v>
      </c>
      <c r="K6552">
        <f>VLOOKUP(A6552,Pr_Base_LNEC!$A$4:$J$6971,7,FALSE)</f>
        <v>0</v>
      </c>
    </row>
    <row r="6553" spans="1:11" ht="14.5">
      <c r="A6553" s="20" t="s">
        <v>30714</v>
      </c>
      <c r="B6553" s="20">
        <v>70</v>
      </c>
      <c r="C6553" s="20">
        <v>65</v>
      </c>
      <c r="D6553" s="20">
        <v>4</v>
      </c>
      <c r="E6553" s="20">
        <v>44</v>
      </c>
      <c r="F6553" s="20" t="s">
        <v>30715</v>
      </c>
      <c r="G6553" s="24"/>
      <c r="H6553" s="24"/>
      <c r="I6553" s="24" t="str">
        <f ca="1">IFERROR(__xludf.DUMMYFUNCTION("GOOGLETRANSLATE(F6553,""en"",""pt"")"),"difusores de jato")</f>
        <v>difusores de jato</v>
      </c>
      <c r="J6553">
        <f>VLOOKUP(A6553,Pr_Base_LNEC!$A$4:$J$6971,6,FALSE)</f>
        <v>0</v>
      </c>
      <c r="K6553">
        <f>VLOOKUP(A6553,Pr_Base_LNEC!$A$4:$J$6971,7,FALSE)</f>
        <v>0</v>
      </c>
    </row>
    <row r="6554" spans="1:11" ht="14.5">
      <c r="A6554" s="20" t="s">
        <v>30716</v>
      </c>
      <c r="B6554" s="20">
        <v>70</v>
      </c>
      <c r="C6554" s="20">
        <v>65</v>
      </c>
      <c r="D6554" s="20">
        <v>4</v>
      </c>
      <c r="E6554" s="20">
        <v>46</v>
      </c>
      <c r="F6554" s="20" t="s">
        <v>30717</v>
      </c>
      <c r="G6554" s="20" t="s">
        <v>30718</v>
      </c>
      <c r="H6554" s="24"/>
      <c r="I6554" s="24" t="str">
        <f ca="1">IFERROR(__xludf.DUMMYFUNCTION("GOOGLETRANSLATE(F6554,""en"",""pt"")"),"Fluxo laminar painéis")</f>
        <v>Fluxo laminar painéis</v>
      </c>
      <c r="J6554">
        <f>VLOOKUP(A6554,Pr_Base_LNEC!$A$4:$J$6971,6,FALSE)</f>
        <v>0</v>
      </c>
      <c r="K6554">
        <f>VLOOKUP(A6554,Pr_Base_LNEC!$A$4:$J$6971,7,FALSE)</f>
        <v>0</v>
      </c>
    </row>
    <row r="6555" spans="1:11" ht="14.5">
      <c r="A6555" s="20" t="s">
        <v>30719</v>
      </c>
      <c r="B6555" s="20">
        <v>70</v>
      </c>
      <c r="C6555" s="20">
        <v>65</v>
      </c>
      <c r="D6555" s="20">
        <v>4</v>
      </c>
      <c r="E6555" s="20">
        <v>48</v>
      </c>
      <c r="F6555" s="20" t="s">
        <v>30720</v>
      </c>
      <c r="G6555" s="20" t="s">
        <v>30721</v>
      </c>
      <c r="H6555" s="24"/>
      <c r="I6555" s="24" t="str">
        <f ca="1">IFERROR(__xludf.DUMMYFUNCTION("GOOGLETRANSLATE(F6555,""en"",""pt"")"),"difusores de ar lineares")</f>
        <v>difusores de ar lineares</v>
      </c>
      <c r="J6555">
        <f>VLOOKUP(A6555,Pr_Base_LNEC!$A$4:$J$6971,6,FALSE)</f>
        <v>0</v>
      </c>
      <c r="K6555">
        <f>VLOOKUP(A6555,Pr_Base_LNEC!$A$4:$J$6971,7,FALSE)</f>
        <v>0</v>
      </c>
    </row>
    <row r="6556" spans="1:11" ht="14.5">
      <c r="A6556" s="20" t="s">
        <v>30722</v>
      </c>
      <c r="B6556" s="20">
        <v>70</v>
      </c>
      <c r="C6556" s="20">
        <v>65</v>
      </c>
      <c r="D6556" s="20">
        <v>4</v>
      </c>
      <c r="E6556" s="20">
        <v>53</v>
      </c>
      <c r="F6556" s="20" t="s">
        <v>30723</v>
      </c>
      <c r="G6556" s="20" t="s">
        <v>30724</v>
      </c>
      <c r="H6556" s="24"/>
      <c r="I6556" s="24" t="str">
        <f ca="1">IFERROR(__xludf.DUMMYFUNCTION("GOOGLETRANSLATE(F6556,""en"",""pt"")"),"cassete modular ventilado tectos")</f>
        <v>cassete modular ventilado tectos</v>
      </c>
      <c r="J6556">
        <f>VLOOKUP(A6556,Pr_Base_LNEC!$A$4:$J$6971,6,FALSE)</f>
        <v>0</v>
      </c>
      <c r="K6556">
        <f>VLOOKUP(A6556,Pr_Base_LNEC!$A$4:$J$6971,7,FALSE)</f>
        <v>0</v>
      </c>
    </row>
    <row r="6557" spans="1:11" ht="14.5">
      <c r="A6557" s="20" t="s">
        <v>30725</v>
      </c>
      <c r="B6557" s="20">
        <v>70</v>
      </c>
      <c r="C6557" s="20">
        <v>65</v>
      </c>
      <c r="D6557" s="20">
        <v>4</v>
      </c>
      <c r="E6557" s="20">
        <v>56</v>
      </c>
      <c r="F6557" s="20" t="s">
        <v>30726</v>
      </c>
      <c r="G6557" s="20" t="s">
        <v>30727</v>
      </c>
      <c r="H6557" s="24"/>
      <c r="I6557" s="24" t="str">
        <f ca="1">IFERROR(__xludf.DUMMYFUNCTION("GOOGLETRANSLATE(F6557,""en"",""pt"")"),"natural de fumaça e calor ventiladores de escape")</f>
        <v>natural de fumaça e calor ventiladores de escape</v>
      </c>
      <c r="J6557">
        <f>VLOOKUP(A6557,Pr_Base_LNEC!$A$4:$J$6971,6,FALSE)</f>
        <v>0</v>
      </c>
      <c r="K6557">
        <f>VLOOKUP(A6557,Pr_Base_LNEC!$A$4:$J$6971,7,FALSE)</f>
        <v>0</v>
      </c>
    </row>
    <row r="6558" spans="1:11" ht="14.5">
      <c r="A6558" s="20" t="s">
        <v>30728</v>
      </c>
      <c r="B6558" s="20">
        <v>70</v>
      </c>
      <c r="C6558" s="20">
        <v>65</v>
      </c>
      <c r="D6558" s="20">
        <v>4</v>
      </c>
      <c r="E6558" s="20">
        <v>73</v>
      </c>
      <c r="F6558" s="20" t="s">
        <v>30729</v>
      </c>
      <c r="G6558" s="20" t="s">
        <v>30730</v>
      </c>
      <c r="H6558" s="24"/>
      <c r="I6558" s="24" t="str">
        <f ca="1">IFERROR(__xludf.DUMMYFUNCTION("GOOGLETRANSLATE(F6558,""en"",""pt"")"),"terminais aéreos cumeeira")</f>
        <v>terminais aéreos cumeeira</v>
      </c>
      <c r="J6558">
        <f>VLOOKUP(A6558,Pr_Base_LNEC!$A$4:$J$6971,6,FALSE)</f>
        <v>0</v>
      </c>
      <c r="K6558">
        <f>VLOOKUP(A6558,Pr_Base_LNEC!$A$4:$J$6971,7,FALSE)</f>
        <v>0</v>
      </c>
    </row>
    <row r="6559" spans="1:11" ht="14.5">
      <c r="A6559" s="20" t="s">
        <v>30731</v>
      </c>
      <c r="B6559" s="20">
        <v>70</v>
      </c>
      <c r="C6559" s="20">
        <v>65</v>
      </c>
      <c r="D6559" s="20">
        <v>4</v>
      </c>
      <c r="E6559" s="20">
        <v>75</v>
      </c>
      <c r="F6559" s="20" t="s">
        <v>30732</v>
      </c>
      <c r="G6559" s="20" t="s">
        <v>30733</v>
      </c>
      <c r="H6559" s="24"/>
      <c r="I6559" s="24" t="str">
        <f ca="1">IFERROR(__xludf.DUMMYFUNCTION("GOOGLETRANSLATE(F6559,""en"",""pt"")"),"terminais aéreos inclinação do telhado")</f>
        <v>terminais aéreos inclinação do telhado</v>
      </c>
      <c r="J6559">
        <f>VLOOKUP(A6559,Pr_Base_LNEC!$A$4:$J$6971,6,FALSE)</f>
        <v>0</v>
      </c>
      <c r="K6559">
        <f>VLOOKUP(A6559,Pr_Base_LNEC!$A$4:$J$6971,7,FALSE)</f>
        <v>0</v>
      </c>
    </row>
    <row r="6560" spans="1:11" ht="14.5">
      <c r="A6560" s="20" t="s">
        <v>30734</v>
      </c>
      <c r="B6560" s="20">
        <v>70</v>
      </c>
      <c r="C6560" s="20">
        <v>65</v>
      </c>
      <c r="D6560" s="20">
        <v>4</v>
      </c>
      <c r="E6560" s="20">
        <v>76</v>
      </c>
      <c r="F6560" s="20" t="s">
        <v>30735</v>
      </c>
      <c r="G6560" s="20" t="s">
        <v>30736</v>
      </c>
      <c r="H6560" s="24"/>
      <c r="I6560" s="24" t="str">
        <f ca="1">IFERROR(__xludf.DUMMYFUNCTION("GOOGLETRANSLATE(F6560,""en"",""pt"")"),"terminais de ar telhado pilha")</f>
        <v>terminais de ar telhado pilha</v>
      </c>
      <c r="J6560">
        <f>VLOOKUP(A6560,Pr_Base_LNEC!$A$4:$J$6971,6,FALSE)</f>
        <v>0</v>
      </c>
      <c r="K6560">
        <f>VLOOKUP(A6560,Pr_Base_LNEC!$A$4:$J$6971,7,FALSE)</f>
        <v>0</v>
      </c>
    </row>
    <row r="6561" spans="1:11" ht="14.5">
      <c r="A6561" s="20" t="s">
        <v>30737</v>
      </c>
      <c r="B6561" s="20">
        <v>70</v>
      </c>
      <c r="C6561" s="20">
        <v>65</v>
      </c>
      <c r="D6561" s="20">
        <v>4</v>
      </c>
      <c r="E6561" s="20">
        <v>77</v>
      </c>
      <c r="F6561" s="20" t="s">
        <v>30738</v>
      </c>
      <c r="G6561" s="24"/>
      <c r="H6561" s="24"/>
      <c r="I6561" s="24" t="str">
        <f ca="1">IFERROR(__xludf.DUMMYFUNCTION("GOOGLETRANSLATE(F6561,""en"",""pt"")"),"capuzes ventilador de telhado")</f>
        <v>capuzes ventilador de telhado</v>
      </c>
      <c r="J6561">
        <f>VLOOKUP(A6561,Pr_Base_LNEC!$A$4:$J$6971,6,FALSE)</f>
        <v>0</v>
      </c>
      <c r="K6561">
        <f>VLOOKUP(A6561,Pr_Base_LNEC!$A$4:$J$6971,7,FALSE)</f>
        <v>0</v>
      </c>
    </row>
    <row r="6562" spans="1:11" ht="14.5">
      <c r="A6562" s="20" t="s">
        <v>30739</v>
      </c>
      <c r="B6562" s="20">
        <v>70</v>
      </c>
      <c r="C6562" s="20">
        <v>65</v>
      </c>
      <c r="D6562" s="20">
        <v>4</v>
      </c>
      <c r="E6562" s="20">
        <v>84</v>
      </c>
      <c r="F6562" s="20" t="s">
        <v>30740</v>
      </c>
      <c r="G6562" s="20" t="s">
        <v>30741</v>
      </c>
      <c r="H6562" s="24"/>
      <c r="I6562" s="24" t="str">
        <f ca="1">IFERROR(__xludf.DUMMYFUNCTION("GOOGLETRANSLATE(F6562,""en"",""pt"")"),"terminais de ar especialista")</f>
        <v>terminais de ar especialista</v>
      </c>
      <c r="J6562">
        <f>VLOOKUP(A6562,Pr_Base_LNEC!$A$4:$J$6971,6,FALSE)</f>
        <v>0</v>
      </c>
      <c r="K6562">
        <f>VLOOKUP(A6562,Pr_Base_LNEC!$A$4:$J$6971,7,FALSE)</f>
        <v>0</v>
      </c>
    </row>
    <row r="6563" spans="1:11" ht="14.5">
      <c r="A6563" s="20" t="s">
        <v>30742</v>
      </c>
      <c r="B6563" s="20">
        <v>70</v>
      </c>
      <c r="C6563" s="20">
        <v>65</v>
      </c>
      <c r="D6563" s="20">
        <v>4</v>
      </c>
      <c r="E6563" s="20">
        <v>86</v>
      </c>
      <c r="F6563" s="20" t="s">
        <v>30743</v>
      </c>
      <c r="G6563" s="20" t="s">
        <v>30744</v>
      </c>
      <c r="H6563" s="24"/>
      <c r="I6563" s="24" t="str">
        <f ca="1">IFERROR(__xludf.DUMMYFUNCTION("GOOGLETRANSLATE(F6563,""en"",""pt"")"),"difusores de ar redemoinho")</f>
        <v>difusores de ar redemoinho</v>
      </c>
      <c r="J6563">
        <f>VLOOKUP(A6563,Pr_Base_LNEC!$A$4:$J$6971,6,FALSE)</f>
        <v>0</v>
      </c>
      <c r="K6563">
        <f>VLOOKUP(A6563,Pr_Base_LNEC!$A$4:$J$6971,7,FALSE)</f>
        <v>0</v>
      </c>
    </row>
    <row r="6564" spans="1:11" ht="14.5">
      <c r="A6564" s="20" t="s">
        <v>30745</v>
      </c>
      <c r="B6564" s="20">
        <v>70</v>
      </c>
      <c r="C6564" s="20">
        <v>65</v>
      </c>
      <c r="D6564" s="20">
        <v>4</v>
      </c>
      <c r="E6564" s="20">
        <v>88</v>
      </c>
      <c r="F6564" s="20" t="s">
        <v>30746</v>
      </c>
      <c r="G6564" s="20" t="s">
        <v>30747</v>
      </c>
      <c r="H6564" s="24"/>
      <c r="I6564" s="24" t="str">
        <f ca="1">IFERROR(__xludf.DUMMYFUNCTION("GOOGLETRANSLATE(F6564,""en"",""pt"")"),"unidades de ventilação do terminal")</f>
        <v>unidades de ventilação do terminal</v>
      </c>
      <c r="J6564">
        <f>VLOOKUP(A6564,Pr_Base_LNEC!$A$4:$J$6971,6,FALSE)</f>
        <v>0</v>
      </c>
      <c r="K6564">
        <f>VLOOKUP(A6564,Pr_Base_LNEC!$A$4:$J$6971,7,FALSE)</f>
        <v>0</v>
      </c>
    </row>
    <row r="6565" spans="1:11" ht="14.5">
      <c r="A6565" s="20" t="s">
        <v>30748</v>
      </c>
      <c r="B6565" s="20">
        <v>70</v>
      </c>
      <c r="C6565" s="20">
        <v>65</v>
      </c>
      <c r="D6565" s="20">
        <v>4</v>
      </c>
      <c r="E6565" s="20">
        <v>91</v>
      </c>
      <c r="F6565" s="20" t="s">
        <v>30749</v>
      </c>
      <c r="G6565" s="24"/>
      <c r="H6565" s="24"/>
      <c r="I6565" s="24" t="str">
        <f ca="1">IFERROR(__xludf.DUMMYFUNCTION("GOOGLETRANSLATE(F6565,""en"",""pt"")"),"volume de ar variável (VAV) do ventilador assistida e aquecidos unidades terminais")</f>
        <v>volume de ar variável (VAV) do ventilador assistida e aquecidos unidades terminais</v>
      </c>
      <c r="J6565" t="e">
        <f>VLOOKUP(A6565,Pr_Base_LNEC!$A$4:$J$6971,6,FALSE)</f>
        <v>#N/A</v>
      </c>
      <c r="K6565" t="e">
        <f>VLOOKUP(A6565,Pr_Base_LNEC!$A$4:$J$6971,7,FALSE)</f>
        <v>#N/A</v>
      </c>
    </row>
    <row r="6566" spans="1:11" ht="14.5">
      <c r="A6566" s="20" t="s">
        <v>30750</v>
      </c>
      <c r="B6566" s="20">
        <v>70</v>
      </c>
      <c r="C6566" s="20">
        <v>65</v>
      </c>
      <c r="D6566" s="20">
        <v>4</v>
      </c>
      <c r="E6566" s="20">
        <v>92</v>
      </c>
      <c r="F6566" s="20" t="s">
        <v>30751</v>
      </c>
      <c r="G6566" s="24"/>
      <c r="H6566" s="24"/>
      <c r="I6566" s="24" t="str">
        <f ca="1">IFERROR(__xludf.DUMMYFUNCTION("GOOGLETRANSLATE(F6566,""en"",""pt"")"),"volume de ar variável (VAV) aquecida unidades terminais")</f>
        <v>volume de ar variável (VAV) aquecida unidades terminais</v>
      </c>
      <c r="J6566" t="e">
        <f>VLOOKUP(A6566,Pr_Base_LNEC!$A$4:$J$6971,6,FALSE)</f>
        <v>#N/A</v>
      </c>
      <c r="K6566" t="e">
        <f>VLOOKUP(A6566,Pr_Base_LNEC!$A$4:$J$6971,7,FALSE)</f>
        <v>#N/A</v>
      </c>
    </row>
    <row r="6567" spans="1:11" ht="14.5">
      <c r="A6567" s="20" t="s">
        <v>30752</v>
      </c>
      <c r="B6567" s="20">
        <v>70</v>
      </c>
      <c r="C6567" s="20">
        <v>65</v>
      </c>
      <c r="D6567" s="20">
        <v>4</v>
      </c>
      <c r="E6567" s="20">
        <v>93</v>
      </c>
      <c r="F6567" s="20" t="s">
        <v>30753</v>
      </c>
      <c r="G6567" s="24"/>
      <c r="H6567" s="24"/>
      <c r="I6567" s="24" t="str">
        <f ca="1">IFERROR(__xludf.DUMMYFUNCTION("GOOGLETRANSLATE(F6567,""en"",""pt"")"),"volume de ar variável (VAV) unidades terminais de ventilador assistida")</f>
        <v>volume de ar variável (VAV) unidades terminais de ventilador assistida</v>
      </c>
      <c r="J6567">
        <f>VLOOKUP(A6567,Pr_Base_LNEC!$A$4:$J$6971,6,FALSE)</f>
        <v>0</v>
      </c>
      <c r="K6567">
        <f>VLOOKUP(A6567,Pr_Base_LNEC!$A$4:$J$6971,7,FALSE)</f>
        <v>0</v>
      </c>
    </row>
    <row r="6568" spans="1:11" ht="14.5">
      <c r="A6568" s="20" t="s">
        <v>30754</v>
      </c>
      <c r="B6568" s="20">
        <v>70</v>
      </c>
      <c r="C6568" s="20">
        <v>65</v>
      </c>
      <c r="D6568" s="20">
        <v>4</v>
      </c>
      <c r="E6568" s="20">
        <v>94</v>
      </c>
      <c r="F6568" s="20" t="s">
        <v>30755</v>
      </c>
      <c r="G6568" s="24"/>
      <c r="H6568" s="24"/>
      <c r="I6568" s="24" t="str">
        <f ca="1">IFERROR(__xludf.DUMMYFUNCTION("GOOGLETRANSLATE(F6568,""en"",""pt"")"),"volume de ar variável (VAV) unidades terminais")</f>
        <v>volume de ar variável (VAV) unidades terminais</v>
      </c>
      <c r="J6568">
        <f>VLOOKUP(A6568,Pr_Base_LNEC!$A$4:$J$6971,6,FALSE)</f>
        <v>0</v>
      </c>
      <c r="K6568">
        <f>VLOOKUP(A6568,Pr_Base_LNEC!$A$4:$J$6971,7,FALSE)</f>
        <v>0</v>
      </c>
    </row>
    <row r="6569" spans="1:11" ht="14.5">
      <c r="A6569" s="20" t="s">
        <v>30756</v>
      </c>
      <c r="B6569" s="20">
        <v>70</v>
      </c>
      <c r="C6569" s="20">
        <v>65</v>
      </c>
      <c r="D6569" s="20">
        <v>4</v>
      </c>
      <c r="E6569" s="20">
        <v>95</v>
      </c>
      <c r="F6569" s="20" t="s">
        <v>30757</v>
      </c>
      <c r="G6569" s="20" t="s">
        <v>30758</v>
      </c>
      <c r="H6569" s="24"/>
      <c r="I6569" s="24" t="str">
        <f ca="1">IFERROR(__xludf.DUMMYFUNCTION("GOOGLETRANSLATE(F6569,""en"",""pt"")"),"tectos ventilados")</f>
        <v>tectos ventilados</v>
      </c>
      <c r="J6569">
        <f>VLOOKUP(A6569,Pr_Base_LNEC!$A$4:$J$6971,6,FALSE)</f>
        <v>0</v>
      </c>
      <c r="K6569">
        <f>VLOOKUP(A6569,Pr_Base_LNEC!$A$4:$J$6971,7,FALSE)</f>
        <v>0</v>
      </c>
    </row>
    <row r="6570" spans="1:11" ht="14.5">
      <c r="A6570" s="20" t="s">
        <v>30759</v>
      </c>
      <c r="B6570" s="20">
        <v>70</v>
      </c>
      <c r="C6570" s="20">
        <v>65</v>
      </c>
      <c r="D6570" s="20">
        <v>30</v>
      </c>
      <c r="E6570" s="24"/>
      <c r="F6570" s="20" t="s">
        <v>30760</v>
      </c>
      <c r="G6570" s="24"/>
      <c r="H6570" s="24"/>
      <c r="I6570" s="24" t="str">
        <f ca="1">IFERROR(__xludf.DUMMYFUNCTION("GOOGLETRANSLATE(F6570,""en"",""pt"")"),"Condutos e chaminés")</f>
        <v>Condutos e chaminés</v>
      </c>
      <c r="J6570">
        <f>VLOOKUP(A6570,Pr_Base_LNEC!$A$4:$J$6971,6,FALSE)</f>
        <v>0</v>
      </c>
      <c r="K6570">
        <f>VLOOKUP(A6570,Pr_Base_LNEC!$A$4:$J$6971,7,FALSE)</f>
        <v>0</v>
      </c>
    </row>
    <row r="6571" spans="1:11" ht="14.5">
      <c r="A6571" s="20" t="s">
        <v>30761</v>
      </c>
      <c r="B6571" s="20">
        <v>70</v>
      </c>
      <c r="C6571" s="20">
        <v>65</v>
      </c>
      <c r="D6571" s="20">
        <v>30</v>
      </c>
      <c r="E6571" s="20">
        <v>14</v>
      </c>
      <c r="F6571" s="20" t="s">
        <v>30762</v>
      </c>
      <c r="G6571" s="20" t="s">
        <v>30763</v>
      </c>
      <c r="H6571" s="24"/>
      <c r="I6571" s="24" t="str">
        <f ca="1">IFERROR(__xludf.DUMMYFUNCTION("GOOGLETRANSLATE(F6571,""en"",""pt"")"),"chaminés de barro")</f>
        <v>chaminés de barro</v>
      </c>
      <c r="J6571">
        <f>VLOOKUP(A6571,Pr_Base_LNEC!$A$4:$J$6971,6,FALSE)</f>
        <v>0</v>
      </c>
      <c r="K6571">
        <f>VLOOKUP(A6571,Pr_Base_LNEC!$A$4:$J$6971,7,FALSE)</f>
        <v>0</v>
      </c>
    </row>
    <row r="6572" spans="1:11" ht="14.5">
      <c r="A6572" s="20" t="s">
        <v>30764</v>
      </c>
      <c r="B6572" s="20">
        <v>70</v>
      </c>
      <c r="C6572" s="20">
        <v>65</v>
      </c>
      <c r="D6572" s="20">
        <v>30</v>
      </c>
      <c r="E6572" s="20">
        <v>15</v>
      </c>
      <c r="F6572" s="20" t="s">
        <v>30765</v>
      </c>
      <c r="G6572" s="20" t="s">
        <v>30766</v>
      </c>
      <c r="H6572" s="24"/>
      <c r="I6572" s="24" t="str">
        <f ca="1">IFERROR(__xludf.DUMMYFUNCTION("GOOGLETRANSLATE(F6572,""en"",""pt"")"),"terminais forro chaminé de barro")</f>
        <v>terminais forro chaminé de barro</v>
      </c>
      <c r="J6572">
        <f>VLOOKUP(A6572,Pr_Base_LNEC!$A$4:$J$6971,6,FALSE)</f>
        <v>0</v>
      </c>
      <c r="K6572">
        <f>VLOOKUP(A6572,Pr_Base_LNEC!$A$4:$J$6971,7,FALSE)</f>
        <v>0</v>
      </c>
    </row>
    <row r="6573" spans="1:11" ht="14.5">
      <c r="A6573" s="20" t="s">
        <v>30767</v>
      </c>
      <c r="B6573" s="20">
        <v>70</v>
      </c>
      <c r="C6573" s="20">
        <v>65</v>
      </c>
      <c r="D6573" s="20">
        <v>30</v>
      </c>
      <c r="E6573" s="20">
        <v>16</v>
      </c>
      <c r="F6573" s="20" t="s">
        <v>30768</v>
      </c>
      <c r="G6573" s="24"/>
      <c r="H6573" s="24"/>
      <c r="I6573" s="24" t="str">
        <f ca="1">IFERROR(__xludf.DUMMYFUNCTION("GOOGLETRANSLATE(F6573,""en"",""pt"")"),"Concretas chaminés")</f>
        <v>Concretas chaminés</v>
      </c>
      <c r="J6573">
        <f>VLOOKUP(A6573,Pr_Base_LNEC!$A$4:$J$6971,6,FALSE)</f>
        <v>0</v>
      </c>
      <c r="K6573">
        <f>VLOOKUP(A6573,Pr_Base_LNEC!$A$4:$J$6971,7,FALSE)</f>
        <v>0</v>
      </c>
    </row>
    <row r="6574" spans="1:11" ht="14.5">
      <c r="A6574" s="20" t="s">
        <v>30769</v>
      </c>
      <c r="B6574" s="20">
        <v>70</v>
      </c>
      <c r="C6574" s="20">
        <v>65</v>
      </c>
      <c r="D6574" s="20">
        <v>30</v>
      </c>
      <c r="E6574" s="20">
        <v>30</v>
      </c>
      <c r="F6574" s="20" t="s">
        <v>30770</v>
      </c>
      <c r="G6574" s="20" t="s">
        <v>30771</v>
      </c>
      <c r="H6574" s="24"/>
      <c r="I6574" s="24" t="str">
        <f ca="1">IFERROR(__xludf.DUMMYFUNCTION("GOOGLETRANSLATE(F6574,""en"",""pt"")"),"forros de combustão")</f>
        <v>forros de combustão</v>
      </c>
      <c r="J6574">
        <f>VLOOKUP(A6574,Pr_Base_LNEC!$A$4:$J$6971,6,FALSE)</f>
        <v>0</v>
      </c>
      <c r="K6574">
        <f>VLOOKUP(A6574,Pr_Base_LNEC!$A$4:$J$6971,7,FALSE)</f>
        <v>0</v>
      </c>
    </row>
    <row r="6575" spans="1:11" ht="14.5">
      <c r="A6575" s="20" t="s">
        <v>30772</v>
      </c>
      <c r="B6575" s="20">
        <v>70</v>
      </c>
      <c r="C6575" s="20">
        <v>65</v>
      </c>
      <c r="D6575" s="20">
        <v>30</v>
      </c>
      <c r="E6575" s="20">
        <v>32</v>
      </c>
      <c r="F6575" s="20" t="s">
        <v>30773</v>
      </c>
      <c r="G6575" s="20" t="s">
        <v>30774</v>
      </c>
      <c r="H6575" s="24"/>
      <c r="I6575" s="24" t="str">
        <f ca="1">IFERROR(__xludf.DUMMYFUNCTION("GOOGLETRANSLATE(F6575,""en"",""pt"")"),"pilhas de descarga extrato de fumos")</f>
        <v>pilhas de descarga extrato de fumos</v>
      </c>
      <c r="J6575">
        <f>VLOOKUP(A6575,Pr_Base_LNEC!$A$4:$J$6971,6,FALSE)</f>
        <v>0</v>
      </c>
      <c r="K6575">
        <f>VLOOKUP(A6575,Pr_Base_LNEC!$A$4:$J$6971,7,FALSE)</f>
        <v>0</v>
      </c>
    </row>
    <row r="6576" spans="1:11" ht="14.5">
      <c r="A6576" s="20" t="s">
        <v>30775</v>
      </c>
      <c r="B6576" s="20">
        <v>70</v>
      </c>
      <c r="C6576" s="20">
        <v>65</v>
      </c>
      <c r="D6576" s="20">
        <v>30</v>
      </c>
      <c r="E6576" s="20">
        <v>51</v>
      </c>
      <c r="F6576" s="20" t="s">
        <v>30776</v>
      </c>
      <c r="G6576" s="20" t="s">
        <v>30777</v>
      </c>
      <c r="H6576" s="24"/>
      <c r="I6576" s="24" t="str">
        <f ca="1">IFERROR(__xludf.DUMMYFUNCTION("GOOGLETRANSLATE(F6576,""en"",""pt"")"),"condutas de metal e chaminés")</f>
        <v>condutas de metal e chaminés</v>
      </c>
      <c r="J6576">
        <f>VLOOKUP(A6576,Pr_Base_LNEC!$A$4:$J$6971,6,FALSE)</f>
        <v>0</v>
      </c>
      <c r="K6576">
        <f>VLOOKUP(A6576,Pr_Base_LNEC!$A$4:$J$6971,7,FALSE)</f>
        <v>0</v>
      </c>
    </row>
    <row r="6577" spans="1:11" ht="14.5">
      <c r="A6577" s="20" t="s">
        <v>30778</v>
      </c>
      <c r="B6577" s="20">
        <v>70</v>
      </c>
      <c r="C6577" s="20">
        <v>65</v>
      </c>
      <c r="D6577" s="20">
        <v>30</v>
      </c>
      <c r="E6577" s="20">
        <v>84</v>
      </c>
      <c r="F6577" s="20" t="s">
        <v>30779</v>
      </c>
      <c r="G6577" s="24"/>
      <c r="H6577" s="24"/>
      <c r="I6577" s="24" t="str">
        <f ca="1">IFERROR(__xludf.DUMMYFUNCTION("GOOGLETRANSLATE(F6577,""en"",""pt"")"),"chaminés de aço inoxidável")</f>
        <v>chaminés de aço inoxidável</v>
      </c>
      <c r="J6577">
        <f>VLOOKUP(A6577,Pr_Base_LNEC!$A$4:$J$6971,6,FALSE)</f>
        <v>0</v>
      </c>
      <c r="K6577">
        <f>VLOOKUP(A6577,Pr_Base_LNEC!$A$4:$J$6971,7,FALSE)</f>
        <v>0</v>
      </c>
    </row>
    <row r="6578" spans="1:11" ht="14.5">
      <c r="A6578" s="20" t="s">
        <v>30780</v>
      </c>
      <c r="B6578" s="20">
        <v>70</v>
      </c>
      <c r="C6578" s="20">
        <v>70</v>
      </c>
      <c r="D6578" s="24"/>
      <c r="E6578" s="24"/>
      <c r="F6578" s="20" t="s">
        <v>30781</v>
      </c>
      <c r="G6578" s="24"/>
      <c r="H6578" s="24"/>
      <c r="I6578" s="24" t="str">
        <f ca="1">IFERROR(__xludf.DUMMYFUNCTION("GOOGLETRANSLATE(F6578,""en"",""pt"")"),"Energia e iluminação produtos de saída")</f>
        <v>Energia e iluminação produtos de saída</v>
      </c>
      <c r="J6578" t="str">
        <f>VLOOKUP(A6578,Pr_Base_LNEC!$A$4:$J$6971,6,FALSE)</f>
        <v>Produtos para saída de Iluminação e Energia</v>
      </c>
      <c r="K6578">
        <f>VLOOKUP(A6578,Pr_Base_LNEC!$A$4:$J$6971,7,FALSE)</f>
        <v>0</v>
      </c>
    </row>
    <row r="6579" spans="1:11" ht="14.5">
      <c r="A6579" s="20" t="s">
        <v>30782</v>
      </c>
      <c r="B6579" s="20">
        <v>70</v>
      </c>
      <c r="C6579" s="20">
        <v>70</v>
      </c>
      <c r="D6579" s="20">
        <v>46</v>
      </c>
      <c r="E6579" s="24"/>
      <c r="F6579" s="20" t="s">
        <v>30783</v>
      </c>
      <c r="G6579" s="24"/>
      <c r="H6579" s="24"/>
      <c r="I6579" s="24" t="str">
        <f ca="1">IFERROR(__xludf.DUMMYFUNCTION("GOOGLETRANSLATE(F6579,""en"",""pt"")"),"Lâmpadas")</f>
        <v>Lâmpadas</v>
      </c>
      <c r="J6579">
        <f>VLOOKUP(A6579,Pr_Base_LNEC!$A$4:$J$6971,6,FALSE)</f>
        <v>0</v>
      </c>
      <c r="K6579">
        <f>VLOOKUP(A6579,Pr_Base_LNEC!$A$4:$J$6971,7,FALSE)</f>
        <v>0</v>
      </c>
    </row>
    <row r="6580" spans="1:11" ht="14.5">
      <c r="A6580" s="20" t="s">
        <v>30784</v>
      </c>
      <c r="B6580" s="20">
        <v>70</v>
      </c>
      <c r="C6580" s="20">
        <v>70</v>
      </c>
      <c r="D6580" s="20">
        <v>46</v>
      </c>
      <c r="E6580" s="20">
        <v>15</v>
      </c>
      <c r="F6580" s="20" t="s">
        <v>30785</v>
      </c>
      <c r="G6580" s="20" t="s">
        <v>30786</v>
      </c>
      <c r="H6580" s="24"/>
      <c r="I6580" s="24" t="str">
        <f ca="1">IFERROR(__xludf.DUMMYFUNCTION("GOOGLETRANSLATE(F6580,""en"",""pt"")"),"lâmpadas fluorescentes compactas")</f>
        <v>lâmpadas fluorescentes compactas</v>
      </c>
      <c r="J6580">
        <f>VLOOKUP(A6580,Pr_Base_LNEC!$A$4:$J$6971,6,FALSE)</f>
        <v>0</v>
      </c>
      <c r="K6580">
        <f>VLOOKUP(A6580,Pr_Base_LNEC!$A$4:$J$6971,7,FALSE)</f>
        <v>0</v>
      </c>
    </row>
    <row r="6581" spans="1:11" ht="14.5">
      <c r="A6581" s="20" t="s">
        <v>30787</v>
      </c>
      <c r="B6581" s="20">
        <v>70</v>
      </c>
      <c r="C6581" s="20">
        <v>70</v>
      </c>
      <c r="D6581" s="20">
        <v>46</v>
      </c>
      <c r="E6581" s="20">
        <v>24</v>
      </c>
      <c r="F6581" s="20" t="s">
        <v>30788</v>
      </c>
      <c r="G6581" s="20" t="s">
        <v>30789</v>
      </c>
      <c r="H6581" s="24"/>
      <c r="I6581" s="24" t="str">
        <f ca="1">IFERROR(__xludf.DUMMYFUNCTION("GOOGLETRANSLATE(F6581,""en"",""pt"")"),"Dobrar lâmpadas tubulares LED tampadas")</f>
        <v>Dobrar lâmpadas tubulares LED tampadas</v>
      </c>
      <c r="J6581">
        <f>VLOOKUP(A6581,Pr_Base_LNEC!$A$4:$J$6971,6,FALSE)</f>
        <v>0</v>
      </c>
      <c r="K6581">
        <f>VLOOKUP(A6581,Pr_Base_LNEC!$A$4:$J$6971,7,FALSE)</f>
        <v>0</v>
      </c>
    </row>
    <row r="6582" spans="1:11" ht="14.5">
      <c r="A6582" s="20" t="s">
        <v>30790</v>
      </c>
      <c r="B6582" s="20">
        <v>70</v>
      </c>
      <c r="C6582" s="20">
        <v>70</v>
      </c>
      <c r="D6582" s="20">
        <v>46</v>
      </c>
      <c r="E6582" s="20">
        <v>30</v>
      </c>
      <c r="F6582" s="20" t="s">
        <v>30791</v>
      </c>
      <c r="G6582" s="20" t="s">
        <v>30792</v>
      </c>
      <c r="H6582" s="24"/>
      <c r="I6582" s="24" t="str">
        <f ca="1">IFERROR(__xludf.DUMMYFUNCTION("GOOGLETRANSLATE(F6582,""en"",""pt"")"),"Lâmpadas fluorescentes")</f>
        <v>Lâmpadas fluorescentes</v>
      </c>
      <c r="J6582">
        <f>VLOOKUP(A6582,Pr_Base_LNEC!$A$4:$J$6971,6,FALSE)</f>
        <v>0</v>
      </c>
      <c r="K6582">
        <f>VLOOKUP(A6582,Pr_Base_LNEC!$A$4:$J$6971,7,FALSE)</f>
        <v>0</v>
      </c>
    </row>
    <row r="6583" spans="1:11" ht="14.5">
      <c r="A6583" s="20" t="s">
        <v>30793</v>
      </c>
      <c r="B6583" s="20">
        <v>70</v>
      </c>
      <c r="C6583" s="20">
        <v>70</v>
      </c>
      <c r="D6583" s="20">
        <v>46</v>
      </c>
      <c r="E6583" s="20">
        <v>36</v>
      </c>
      <c r="F6583" s="20" t="s">
        <v>30794</v>
      </c>
      <c r="G6583" s="24"/>
      <c r="H6583" s="24"/>
      <c r="I6583" s="24" t="str">
        <f ca="1">IFERROR(__xludf.DUMMYFUNCTION("GOOGLETRANSLATE(F6583,""en"",""pt"")"),"lâmpadas de vapor de mercúrio de alta pressão")</f>
        <v>lâmpadas de vapor de mercúrio de alta pressão</v>
      </c>
      <c r="J6583">
        <f>VLOOKUP(A6583,Pr_Base_LNEC!$A$4:$J$6971,6,FALSE)</f>
        <v>0</v>
      </c>
      <c r="K6583">
        <f>VLOOKUP(A6583,Pr_Base_LNEC!$A$4:$J$6971,7,FALSE)</f>
        <v>0</v>
      </c>
    </row>
    <row r="6584" spans="1:11" ht="14.5">
      <c r="A6584" s="20" t="s">
        <v>30795</v>
      </c>
      <c r="B6584" s="20">
        <v>70</v>
      </c>
      <c r="C6584" s="20">
        <v>70</v>
      </c>
      <c r="D6584" s="20">
        <v>46</v>
      </c>
      <c r="E6584" s="20">
        <v>37</v>
      </c>
      <c r="F6584" s="20" t="s">
        <v>30796</v>
      </c>
      <c r="G6584" s="20" t="s">
        <v>30797</v>
      </c>
      <c r="H6584" s="24"/>
      <c r="I6584" s="24" t="str">
        <f ca="1">IFERROR(__xludf.DUMMYFUNCTION("GOOGLETRANSLATE(F6584,""en"",""pt"")"),"lâmpadas de vapor de sódio de alta pressão")</f>
        <v>lâmpadas de vapor de sódio de alta pressão</v>
      </c>
      <c r="J6584">
        <f>VLOOKUP(A6584,Pr_Base_LNEC!$A$4:$J$6971,6,FALSE)</f>
        <v>0</v>
      </c>
      <c r="K6584">
        <f>VLOOKUP(A6584,Pr_Base_LNEC!$A$4:$J$6971,7,FALSE)</f>
        <v>0</v>
      </c>
    </row>
    <row r="6585" spans="1:11" ht="14.5">
      <c r="A6585" s="20" t="s">
        <v>30798</v>
      </c>
      <c r="B6585" s="20">
        <v>70</v>
      </c>
      <c r="C6585" s="20">
        <v>70</v>
      </c>
      <c r="D6585" s="20">
        <v>46</v>
      </c>
      <c r="E6585" s="20">
        <v>41</v>
      </c>
      <c r="F6585" s="20" t="s">
        <v>30799</v>
      </c>
      <c r="G6585" s="20" t="s">
        <v>30800</v>
      </c>
      <c r="H6585" s="24"/>
      <c r="I6585" s="24" t="str">
        <f ca="1">IFERROR(__xludf.DUMMYFUNCTION("GOOGLETRANSLATE(F6585,""en"",""pt"")"),"lâmpadas de indução")</f>
        <v>lâmpadas de indução</v>
      </c>
      <c r="J6585">
        <f>VLOOKUP(A6585,Pr_Base_LNEC!$A$4:$J$6971,6,FALSE)</f>
        <v>0</v>
      </c>
      <c r="K6585">
        <f>VLOOKUP(A6585,Pr_Base_LNEC!$A$4:$J$6971,7,FALSE)</f>
        <v>0</v>
      </c>
    </row>
    <row r="6586" spans="1:11" ht="14.5">
      <c r="A6586" s="20" t="s">
        <v>30801</v>
      </c>
      <c r="B6586" s="20">
        <v>70</v>
      </c>
      <c r="C6586" s="20">
        <v>70</v>
      </c>
      <c r="D6586" s="20">
        <v>46</v>
      </c>
      <c r="E6586" s="20">
        <v>42</v>
      </c>
      <c r="F6586" s="20" t="s">
        <v>30802</v>
      </c>
      <c r="G6586" s="24"/>
      <c r="H6586" s="24"/>
      <c r="I6586" s="24" t="str">
        <f ca="1">IFERROR(__xludf.DUMMYFUNCTION("GOOGLETRANSLATE(F6586,""en"",""pt"")"),"lâmpadas infravermelhas")</f>
        <v>lâmpadas infravermelhas</v>
      </c>
      <c r="J6586">
        <f>VLOOKUP(A6586,Pr_Base_LNEC!$A$4:$J$6971,6,FALSE)</f>
        <v>0</v>
      </c>
      <c r="K6586">
        <f>VLOOKUP(A6586,Pr_Base_LNEC!$A$4:$J$6971,7,FALSE)</f>
        <v>0</v>
      </c>
    </row>
    <row r="6587" spans="1:11" ht="14.5">
      <c r="A6587" s="20" t="s">
        <v>30803</v>
      </c>
      <c r="B6587" s="20">
        <v>70</v>
      </c>
      <c r="C6587" s="20">
        <v>70</v>
      </c>
      <c r="D6587" s="20">
        <v>46</v>
      </c>
      <c r="E6587" s="20">
        <v>44</v>
      </c>
      <c r="F6587" s="20" t="s">
        <v>30804</v>
      </c>
      <c r="G6587" s="24"/>
      <c r="H6587" s="24"/>
      <c r="I6587" s="24" t="str">
        <f ca="1">IFERROR(__xludf.DUMMYFUNCTION("GOOGLETRANSLATE(F6587,""en"",""pt"")"),"Lâmpadas de emissão de luz (LED)")</f>
        <v>Lâmpadas de emissão de luz (LED)</v>
      </c>
      <c r="J6587">
        <f>VLOOKUP(A6587,Pr_Base_LNEC!$A$4:$J$6971,6,FALSE)</f>
        <v>0</v>
      </c>
      <c r="K6587">
        <f>VLOOKUP(A6587,Pr_Base_LNEC!$A$4:$J$6971,7,FALSE)</f>
        <v>0</v>
      </c>
    </row>
    <row r="6588" spans="1:11" ht="14.5">
      <c r="A6588" s="20" t="s">
        <v>30805</v>
      </c>
      <c r="B6588" s="20">
        <v>70</v>
      </c>
      <c r="C6588" s="20">
        <v>70</v>
      </c>
      <c r="D6588" s="20">
        <v>46</v>
      </c>
      <c r="E6588" s="20">
        <v>45</v>
      </c>
      <c r="F6588" s="20" t="s">
        <v>30806</v>
      </c>
      <c r="G6588" s="24"/>
      <c r="H6588" s="24"/>
      <c r="I6588" s="24" t="str">
        <f ca="1">IFERROR(__xludf.DUMMYFUNCTION("GOOGLETRANSLATE(F6588,""en"",""pt"")"),"lâmpadas de vapor de sódio de baixa pressão")</f>
        <v>lâmpadas de vapor de sódio de baixa pressão</v>
      </c>
      <c r="J6588">
        <f>VLOOKUP(A6588,Pr_Base_LNEC!$A$4:$J$6971,6,FALSE)</f>
        <v>0</v>
      </c>
      <c r="K6588">
        <f>VLOOKUP(A6588,Pr_Base_LNEC!$A$4:$J$6971,7,FALSE)</f>
        <v>0</v>
      </c>
    </row>
    <row r="6589" spans="1:11" ht="14.5">
      <c r="A6589" s="20" t="s">
        <v>30807</v>
      </c>
      <c r="B6589" s="20">
        <v>70</v>
      </c>
      <c r="C6589" s="20">
        <v>70</v>
      </c>
      <c r="D6589" s="20">
        <v>46</v>
      </c>
      <c r="E6589" s="20">
        <v>52</v>
      </c>
      <c r="F6589" s="20" t="s">
        <v>30808</v>
      </c>
      <c r="G6589" s="20" t="s">
        <v>30809</v>
      </c>
      <c r="H6589" s="24"/>
      <c r="I6589" s="24" t="str">
        <f ca="1">IFERROR(__xludf.DUMMYFUNCTION("GOOGLETRANSLATE(F6589,""en"",""pt"")"),"Iodetos metálicos lâmpadas")</f>
        <v>Iodetos metálicos lâmpadas</v>
      </c>
      <c r="J6589">
        <f>VLOOKUP(A6589,Pr_Base_LNEC!$A$4:$J$6971,6,FALSE)</f>
        <v>0</v>
      </c>
      <c r="K6589">
        <f>VLOOKUP(A6589,Pr_Base_LNEC!$A$4:$J$6971,7,FALSE)</f>
        <v>0</v>
      </c>
    </row>
    <row r="6590" spans="1:11" ht="14.5">
      <c r="A6590" s="20" t="s">
        <v>30810</v>
      </c>
      <c r="B6590" s="20">
        <v>70</v>
      </c>
      <c r="C6590" s="20">
        <v>70</v>
      </c>
      <c r="D6590" s="20">
        <v>46</v>
      </c>
      <c r="E6590" s="20">
        <v>77</v>
      </c>
      <c r="F6590" s="20" t="s">
        <v>30811</v>
      </c>
      <c r="G6590" s="24"/>
      <c r="H6590" s="24"/>
      <c r="I6590" s="24" t="str">
        <f ca="1">IFERROR(__xludf.DUMMYFUNCTION("GOOGLETRANSLATE(F6590,""en"",""pt"")"),"Auto lastro lâmpadas fluorescentes compactas")</f>
        <v>Auto lastro lâmpadas fluorescentes compactas</v>
      </c>
      <c r="J6590">
        <f>VLOOKUP(A6590,Pr_Base_LNEC!$A$4:$J$6971,6,FALSE)</f>
        <v>0</v>
      </c>
      <c r="K6590">
        <f>VLOOKUP(A6590,Pr_Base_LNEC!$A$4:$J$6971,7,FALSE)</f>
        <v>0</v>
      </c>
    </row>
    <row r="6591" spans="1:11" ht="14.5">
      <c r="A6591" s="20" t="s">
        <v>30812</v>
      </c>
      <c r="B6591" s="20">
        <v>70</v>
      </c>
      <c r="C6591" s="20">
        <v>70</v>
      </c>
      <c r="D6591" s="20">
        <v>46</v>
      </c>
      <c r="E6591" s="20">
        <v>78</v>
      </c>
      <c r="F6591" s="20" t="s">
        <v>30813</v>
      </c>
      <c r="G6591" s="20" t="s">
        <v>30814</v>
      </c>
      <c r="H6591" s="24"/>
      <c r="I6591" s="24" t="str">
        <f ca="1">IFERROR(__xludf.DUMMYFUNCTION("GOOGLETRANSLATE(F6591,""en"",""pt"")"),"Auto lastro lâmpadas LED")</f>
        <v>Auto lastro lâmpadas LED</v>
      </c>
      <c r="J6591">
        <f>VLOOKUP(A6591,Pr_Base_LNEC!$A$4:$J$6971,6,FALSE)</f>
        <v>0</v>
      </c>
      <c r="K6591">
        <f>VLOOKUP(A6591,Pr_Base_LNEC!$A$4:$J$6971,7,FALSE)</f>
        <v>0</v>
      </c>
    </row>
    <row r="6592" spans="1:11" ht="14.5">
      <c r="A6592" s="20" t="s">
        <v>30815</v>
      </c>
      <c r="B6592" s="20">
        <v>70</v>
      </c>
      <c r="C6592" s="20">
        <v>70</v>
      </c>
      <c r="D6592" s="20">
        <v>46</v>
      </c>
      <c r="E6592" s="20">
        <v>80</v>
      </c>
      <c r="F6592" s="20" t="s">
        <v>30816</v>
      </c>
      <c r="G6592" s="24"/>
      <c r="H6592" s="24"/>
      <c r="I6592" s="24" t="str">
        <f ca="1">IFERROR(__xludf.DUMMYFUNCTION("GOOGLETRANSLATE(F6592,""en"",""pt"")"),"lâmpadas especiais")</f>
        <v>lâmpadas especiais</v>
      </c>
      <c r="J6592">
        <f>VLOOKUP(A6592,Pr_Base_LNEC!$A$4:$J$6971,6,FALSE)</f>
        <v>0</v>
      </c>
      <c r="K6592">
        <f>VLOOKUP(A6592,Pr_Base_LNEC!$A$4:$J$6971,7,FALSE)</f>
        <v>0</v>
      </c>
    </row>
    <row r="6593" spans="1:11" ht="14.5">
      <c r="A6593" s="20" t="s">
        <v>30817</v>
      </c>
      <c r="B6593" s="20">
        <v>70</v>
      </c>
      <c r="C6593" s="20">
        <v>70</v>
      </c>
      <c r="D6593" s="20">
        <v>46</v>
      </c>
      <c r="E6593" s="20">
        <v>89</v>
      </c>
      <c r="F6593" s="20" t="s">
        <v>30818</v>
      </c>
      <c r="G6593" s="24"/>
      <c r="H6593" s="24"/>
      <c r="I6593" s="24" t="str">
        <f ca="1">IFERROR(__xludf.DUMMYFUNCTION("GOOGLETRANSLATE(F6593,""en"",""pt"")"),"Filamento de tungsténio de lâmpadas")</f>
        <v>Filamento de tungsténio de lâmpadas</v>
      </c>
      <c r="J6593">
        <f>VLOOKUP(A6593,Pr_Base_LNEC!$A$4:$J$6971,6,FALSE)</f>
        <v>0</v>
      </c>
      <c r="K6593">
        <f>VLOOKUP(A6593,Pr_Base_LNEC!$A$4:$J$6971,7,FALSE)</f>
        <v>0</v>
      </c>
    </row>
    <row r="6594" spans="1:11" ht="14.5">
      <c r="A6594" s="20" t="s">
        <v>30819</v>
      </c>
      <c r="B6594" s="20">
        <v>70</v>
      </c>
      <c r="C6594" s="20">
        <v>70</v>
      </c>
      <c r="D6594" s="20">
        <v>46</v>
      </c>
      <c r="E6594" s="20">
        <v>90</v>
      </c>
      <c r="F6594" s="20" t="s">
        <v>30820</v>
      </c>
      <c r="G6594" s="24"/>
      <c r="H6594" s="24"/>
      <c r="I6594" s="24" t="str">
        <f ca="1">IFERROR(__xludf.DUMMYFUNCTION("GOOGLETRANSLATE(F6594,""en"",""pt"")"),"Halogéneo tungsténio lâmpadas")</f>
        <v>Halogéneo tungsténio lâmpadas</v>
      </c>
      <c r="J6594">
        <f>VLOOKUP(A6594,Pr_Base_LNEC!$A$4:$J$6971,6,FALSE)</f>
        <v>0</v>
      </c>
      <c r="K6594">
        <f>VLOOKUP(A6594,Pr_Base_LNEC!$A$4:$J$6971,7,FALSE)</f>
        <v>0</v>
      </c>
    </row>
    <row r="6595" spans="1:11" ht="14.5">
      <c r="A6595" s="20" t="s">
        <v>30821</v>
      </c>
      <c r="B6595" s="20">
        <v>70</v>
      </c>
      <c r="C6595" s="20">
        <v>70</v>
      </c>
      <c r="D6595" s="20">
        <v>47</v>
      </c>
      <c r="E6595" s="24"/>
      <c r="F6595" s="20" t="s">
        <v>30822</v>
      </c>
      <c r="G6595" s="24"/>
      <c r="H6595" s="24"/>
      <c r="I6595" s="24" t="str">
        <f ca="1">IFERROR(__xludf.DUMMYFUNCTION("GOOGLETRANSLATE(F6595,""en"",""pt"")"),"Controles de iluminação e produtos de iluminação de distribuição")</f>
        <v>Controles de iluminação e produtos de iluminação de distribuição</v>
      </c>
      <c r="J6595">
        <f>VLOOKUP(A6595,Pr_Base_LNEC!$A$4:$J$6971,6,FALSE)</f>
        <v>0</v>
      </c>
      <c r="K6595">
        <f>VLOOKUP(A6595,Pr_Base_LNEC!$A$4:$J$6971,7,FALSE)</f>
        <v>0</v>
      </c>
    </row>
    <row r="6596" spans="1:11" ht="14.5">
      <c r="A6596" s="20" t="s">
        <v>30823</v>
      </c>
      <c r="B6596" s="20">
        <v>70</v>
      </c>
      <c r="C6596" s="20">
        <v>70</v>
      </c>
      <c r="D6596" s="20">
        <v>47</v>
      </c>
      <c r="E6596" s="20">
        <v>2</v>
      </c>
      <c r="F6596" s="20" t="s">
        <v>30824</v>
      </c>
      <c r="G6596" s="20" t="s">
        <v>30825</v>
      </c>
      <c r="H6596" s="24"/>
      <c r="I6596" s="24" t="str">
        <f ca="1">IFERROR(__xludf.DUMMYFUNCTION("GOOGLETRANSLATE(F6596,""en"",""pt"")"),"painéis de teste de iluminação de emergência automática")</f>
        <v>painéis de teste de iluminação de emergência automática</v>
      </c>
      <c r="J6596">
        <f>VLOOKUP(A6596,Pr_Base_LNEC!$A$4:$J$6971,6,FALSE)</f>
        <v>0</v>
      </c>
      <c r="K6596">
        <f>VLOOKUP(A6596,Pr_Base_LNEC!$A$4:$J$6971,7,FALSE)</f>
        <v>0</v>
      </c>
    </row>
    <row r="6597" spans="1:11" ht="14.5">
      <c r="A6597" s="20" t="s">
        <v>30826</v>
      </c>
      <c r="B6597" s="20">
        <v>70</v>
      </c>
      <c r="C6597" s="20">
        <v>70</v>
      </c>
      <c r="D6597" s="20">
        <v>47</v>
      </c>
      <c r="E6597" s="20">
        <v>12</v>
      </c>
      <c r="F6597" s="20" t="s">
        <v>30827</v>
      </c>
      <c r="G6597" s="20" t="s">
        <v>30828</v>
      </c>
      <c r="H6597" s="24"/>
      <c r="I6597" s="24" t="str">
        <f ca="1">IFERROR(__xludf.DUMMYFUNCTION("GOOGLETRANSLATE(F6597,""en"",""pt"")"),"controladores de iluminação centralizados")</f>
        <v>controladores de iluminação centralizados</v>
      </c>
      <c r="J6597">
        <f>VLOOKUP(A6597,Pr_Base_LNEC!$A$4:$J$6971,6,FALSE)</f>
        <v>0</v>
      </c>
      <c r="K6597">
        <f>VLOOKUP(A6597,Pr_Base_LNEC!$A$4:$J$6971,7,FALSE)</f>
        <v>0</v>
      </c>
    </row>
    <row r="6598" spans="1:11" ht="14.5">
      <c r="A6598" s="20" t="s">
        <v>30829</v>
      </c>
      <c r="B6598" s="20">
        <v>70</v>
      </c>
      <c r="C6598" s="20">
        <v>70</v>
      </c>
      <c r="D6598" s="20">
        <v>47</v>
      </c>
      <c r="E6598" s="20">
        <v>16</v>
      </c>
      <c r="F6598" s="20" t="s">
        <v>30830</v>
      </c>
      <c r="G6598" s="20" t="s">
        <v>30831</v>
      </c>
      <c r="H6598" s="24"/>
      <c r="I6598" s="24" t="str">
        <f ca="1">IFERROR(__xludf.DUMMYFUNCTION("GOOGLETRANSLATE(F6598,""en"",""pt"")"),"detectores de luz do dia e de ocupação combinados")</f>
        <v>detectores de luz do dia e de ocupação combinados</v>
      </c>
      <c r="J6598">
        <f>VLOOKUP(A6598,Pr_Base_LNEC!$A$4:$J$6971,6,FALSE)</f>
        <v>0</v>
      </c>
      <c r="K6598">
        <f>VLOOKUP(A6598,Pr_Base_LNEC!$A$4:$J$6971,7,FALSE)</f>
        <v>0</v>
      </c>
    </row>
    <row r="6599" spans="1:11" ht="14.5">
      <c r="A6599" s="20" t="s">
        <v>30832</v>
      </c>
      <c r="B6599" s="20">
        <v>70</v>
      </c>
      <c r="C6599" s="20">
        <v>70</v>
      </c>
      <c r="D6599" s="20">
        <v>47</v>
      </c>
      <c r="E6599" s="20">
        <v>21</v>
      </c>
      <c r="F6599" s="20" t="s">
        <v>30833</v>
      </c>
      <c r="G6599" s="20" t="s">
        <v>30834</v>
      </c>
      <c r="H6599" s="24"/>
      <c r="I6599" s="24" t="str">
        <f ca="1">IFERROR(__xludf.DUMMYFUNCTION("GOOGLETRANSLATE(F6599,""en"",""pt"")"),"sensores de luz natural")</f>
        <v>sensores de luz natural</v>
      </c>
      <c r="J6599">
        <f>VLOOKUP(A6599,Pr_Base_LNEC!$A$4:$J$6971,6,FALSE)</f>
        <v>0</v>
      </c>
      <c r="K6599">
        <f>VLOOKUP(A6599,Pr_Base_LNEC!$A$4:$J$6971,7,FALSE)</f>
        <v>0</v>
      </c>
    </row>
    <row r="6600" spans="1:11" ht="14.5">
      <c r="A6600" s="20" t="s">
        <v>30835</v>
      </c>
      <c r="B6600" s="20">
        <v>70</v>
      </c>
      <c r="C6600" s="20">
        <v>70</v>
      </c>
      <c r="D6600" s="20">
        <v>47</v>
      </c>
      <c r="E6600" s="20">
        <v>27</v>
      </c>
      <c r="F6600" s="20" t="s">
        <v>30836</v>
      </c>
      <c r="G6600" s="20" t="s">
        <v>30837</v>
      </c>
      <c r="H6600" s="24"/>
      <c r="I6600" s="24" t="str">
        <f ca="1">IFERROR(__xludf.DUMMYFUNCTION("GOOGLETRANSLATE(F6600,""en"",""pt"")"),"transformadores de iluminação baixa tensão extra")</f>
        <v>transformadores de iluminação baixa tensão extra</v>
      </c>
      <c r="J6600">
        <f>VLOOKUP(A6600,Pr_Base_LNEC!$A$4:$J$6971,6,FALSE)</f>
        <v>0</v>
      </c>
      <c r="K6600">
        <f>VLOOKUP(A6600,Pr_Base_LNEC!$A$4:$J$6971,7,FALSE)</f>
        <v>0</v>
      </c>
    </row>
    <row r="6601" spans="1:11" ht="14.5">
      <c r="A6601" s="20" t="s">
        <v>30838</v>
      </c>
      <c r="B6601" s="20">
        <v>70</v>
      </c>
      <c r="C6601" s="20">
        <v>70</v>
      </c>
      <c r="D6601" s="20">
        <v>47</v>
      </c>
      <c r="E6601" s="20">
        <v>28</v>
      </c>
      <c r="F6601" s="20" t="s">
        <v>30839</v>
      </c>
      <c r="G6601" s="20" t="s">
        <v>30840</v>
      </c>
      <c r="H6601" s="24"/>
      <c r="I6601" s="24" t="str">
        <f ca="1">IFERROR(__xludf.DUMMYFUNCTION("GOOGLETRANSLATE(F6601,""en"",""pt"")"),"detectores de ocupação de baixa tensão extra")</f>
        <v>detectores de ocupação de baixa tensão extra</v>
      </c>
      <c r="J6601">
        <f>VLOOKUP(A6601,Pr_Base_LNEC!$A$4:$J$6971,6,FALSE)</f>
        <v>0</v>
      </c>
      <c r="K6601">
        <f>VLOOKUP(A6601,Pr_Base_LNEC!$A$4:$J$6971,7,FALSE)</f>
        <v>0</v>
      </c>
    </row>
    <row r="6602" spans="1:11" ht="14.5">
      <c r="A6602" s="20" t="s">
        <v>30841</v>
      </c>
      <c r="B6602" s="20">
        <v>70</v>
      </c>
      <c r="C6602" s="20">
        <v>70</v>
      </c>
      <c r="D6602" s="20">
        <v>47</v>
      </c>
      <c r="E6602" s="20">
        <v>47</v>
      </c>
      <c r="F6602" s="20" t="s">
        <v>30842</v>
      </c>
      <c r="G6602" s="20" t="s">
        <v>30843</v>
      </c>
      <c r="H6602" s="24"/>
      <c r="I6602" s="24" t="str">
        <f ca="1">IFERROR(__xludf.DUMMYFUNCTION("GOOGLETRANSLATE(F6602,""en"",""pt"")"),"relés de troca de luminárias")</f>
        <v>relés de troca de luminárias</v>
      </c>
      <c r="J6602">
        <f>VLOOKUP(A6602,Pr_Base_LNEC!$A$4:$J$6971,6,FALSE)</f>
        <v>0</v>
      </c>
      <c r="K6602">
        <f>VLOOKUP(A6602,Pr_Base_LNEC!$A$4:$J$6971,7,FALSE)</f>
        <v>0</v>
      </c>
    </row>
    <row r="6603" spans="1:11" ht="14.5">
      <c r="A6603" s="20" t="s">
        <v>30844</v>
      </c>
      <c r="B6603" s="20">
        <v>70</v>
      </c>
      <c r="C6603" s="20">
        <v>70</v>
      </c>
      <c r="D6603" s="20">
        <v>47</v>
      </c>
      <c r="E6603" s="20">
        <v>48</v>
      </c>
      <c r="F6603" s="20" t="s">
        <v>30845</v>
      </c>
      <c r="G6603" s="20" t="s">
        <v>30846</v>
      </c>
      <c r="H6603" s="24"/>
      <c r="I6603" s="24" t="str">
        <f ca="1">IFERROR(__xludf.DUMMYFUNCTION("GOOGLETRANSLATE(F6603,""en"",""pt"")"),"relés hold-off de luminárias")</f>
        <v>relés hold-off de luminárias</v>
      </c>
      <c r="J6603">
        <f>VLOOKUP(A6603,Pr_Base_LNEC!$A$4:$J$6971,6,FALSE)</f>
        <v>0</v>
      </c>
      <c r="K6603">
        <f>VLOOKUP(A6603,Pr_Base_LNEC!$A$4:$J$6971,7,FALSE)</f>
        <v>0</v>
      </c>
    </row>
    <row r="6604" spans="1:11" ht="14.5">
      <c r="A6604" s="20" t="s">
        <v>30847</v>
      </c>
      <c r="B6604" s="20">
        <v>70</v>
      </c>
      <c r="C6604" s="20">
        <v>70</v>
      </c>
      <c r="D6604" s="20">
        <v>47</v>
      </c>
      <c r="E6604" s="20">
        <v>49</v>
      </c>
      <c r="F6604" s="20" t="s">
        <v>30848</v>
      </c>
      <c r="G6604" s="20" t="s">
        <v>30849</v>
      </c>
      <c r="H6604" s="24"/>
      <c r="I6604" s="24" t="str">
        <f ca="1">IFERROR(__xludf.DUMMYFUNCTION("GOOGLETRANSLATE(F6604,""en"",""pt"")"),"módulos inversores de luminárias")</f>
        <v>módulos inversores de luminárias</v>
      </c>
      <c r="J6604">
        <f>VLOOKUP(A6604,Pr_Base_LNEC!$A$4:$J$6971,6,FALSE)</f>
        <v>0</v>
      </c>
      <c r="K6604">
        <f>VLOOKUP(A6604,Pr_Base_LNEC!$A$4:$J$6971,7,FALSE)</f>
        <v>0</v>
      </c>
    </row>
    <row r="6605" spans="1:11" ht="14.5">
      <c r="A6605" s="20" t="s">
        <v>30850</v>
      </c>
      <c r="B6605" s="20">
        <v>70</v>
      </c>
      <c r="C6605" s="20">
        <v>70</v>
      </c>
      <c r="D6605" s="20">
        <v>47</v>
      </c>
      <c r="E6605" s="20">
        <v>50</v>
      </c>
      <c r="F6605" s="20" t="s">
        <v>30851</v>
      </c>
      <c r="G6605" s="20" t="s">
        <v>30852</v>
      </c>
      <c r="H6605" s="24"/>
      <c r="I6605" s="24" t="str">
        <f ca="1">IFERROR(__xludf.DUMMYFUNCTION("GOOGLETRANSLATE(F6605,""en"",""pt"")"),"relés sub-circuito de luminárias")</f>
        <v>relés sub-circuito de luminárias</v>
      </c>
      <c r="J6605">
        <f>VLOOKUP(A6605,Pr_Base_LNEC!$A$4:$J$6971,6,FALSE)</f>
        <v>0</v>
      </c>
      <c r="K6605">
        <f>VLOOKUP(A6605,Pr_Base_LNEC!$A$4:$J$6971,7,FALSE)</f>
        <v>0</v>
      </c>
    </row>
    <row r="6606" spans="1:11" ht="14.5">
      <c r="A6606" s="20" t="s">
        <v>30853</v>
      </c>
      <c r="B6606" s="20">
        <v>70</v>
      </c>
      <c r="C6606" s="20">
        <v>70</v>
      </c>
      <c r="D6606" s="20">
        <v>47</v>
      </c>
      <c r="E6606" s="20">
        <v>51</v>
      </c>
      <c r="F6606" s="20" t="s">
        <v>30854</v>
      </c>
      <c r="G6606" s="20" t="s">
        <v>30855</v>
      </c>
      <c r="H6606" s="24"/>
      <c r="I6606" s="24" t="str">
        <f ca="1">IFERROR(__xludf.DUMMYFUNCTION("GOOGLETRANSLATE(F6606,""en"",""pt"")"),"Os detectores de ocupação tensão de rede")</f>
        <v>Os detectores de ocupação tensão de rede</v>
      </c>
      <c r="J6606">
        <f>VLOOKUP(A6606,Pr_Base_LNEC!$A$4:$J$6971,6,FALSE)</f>
        <v>0</v>
      </c>
      <c r="K6606">
        <f>VLOOKUP(A6606,Pr_Base_LNEC!$A$4:$J$6971,7,FALSE)</f>
        <v>0</v>
      </c>
    </row>
    <row r="6607" spans="1:11" ht="14.5">
      <c r="A6607" s="20" t="s">
        <v>30856</v>
      </c>
      <c r="B6607" s="20">
        <v>70</v>
      </c>
      <c r="C6607" s="20">
        <v>70</v>
      </c>
      <c r="D6607" s="20">
        <v>47</v>
      </c>
      <c r="E6607" s="20">
        <v>62</v>
      </c>
      <c r="F6607" s="20" t="s">
        <v>30857</v>
      </c>
      <c r="G6607" s="20" t="s">
        <v>30858</v>
      </c>
      <c r="H6607" s="24"/>
      <c r="I6607" s="24" t="str">
        <f ca="1">IFERROR(__xludf.DUMMYFUNCTION("GOOGLETRANSLATE(F6607,""en"",""pt"")"),"unidades de controlo fotoeléctricas")</f>
        <v>unidades de controlo fotoeléctricas</v>
      </c>
      <c r="J6607">
        <f>VLOOKUP(A6607,Pr_Base_LNEC!$A$4:$J$6971,6,FALSE)</f>
        <v>0</v>
      </c>
      <c r="K6607">
        <f>VLOOKUP(A6607,Pr_Base_LNEC!$A$4:$J$6971,7,FALSE)</f>
        <v>0</v>
      </c>
    </row>
    <row r="6608" spans="1:11" ht="14.5">
      <c r="A6608" s="20" t="s">
        <v>30859</v>
      </c>
      <c r="B6608" s="20">
        <v>70</v>
      </c>
      <c r="C6608" s="20">
        <v>70</v>
      </c>
      <c r="D6608" s="20">
        <v>47</v>
      </c>
      <c r="E6608" s="20">
        <v>71</v>
      </c>
      <c r="F6608" s="20" t="s">
        <v>30860</v>
      </c>
      <c r="G6608" s="24"/>
      <c r="H6608" s="24"/>
      <c r="I6608" s="24" t="str">
        <f ca="1">IFERROR(__xludf.DUMMYFUNCTION("GOOGLETRANSLATE(F6608,""en"",""pt"")"),"infravermelhos controladores remotos de iluminação comissionamento")</f>
        <v>infravermelhos controladores remotos de iluminação comissionamento</v>
      </c>
      <c r="J6608">
        <f>VLOOKUP(A6608,Pr_Base_LNEC!$A$4:$J$6971,6,FALSE)</f>
        <v>0</v>
      </c>
      <c r="K6608">
        <f>VLOOKUP(A6608,Pr_Base_LNEC!$A$4:$J$6971,7,FALSE)</f>
        <v>0</v>
      </c>
    </row>
    <row r="6609" spans="1:11" ht="14.5">
      <c r="A6609" s="20" t="s">
        <v>30861</v>
      </c>
      <c r="B6609" s="20">
        <v>70</v>
      </c>
      <c r="C6609" s="20">
        <v>70</v>
      </c>
      <c r="D6609" s="20">
        <v>47</v>
      </c>
      <c r="E6609" s="20">
        <v>72</v>
      </c>
      <c r="F6609" s="20" t="s">
        <v>30862</v>
      </c>
      <c r="G6609" s="20" t="s">
        <v>30863</v>
      </c>
      <c r="H6609" s="24"/>
      <c r="I6609" s="24" t="str">
        <f ca="1">IFERROR(__xludf.DUMMYFUNCTION("GOOGLETRANSLATE(F6609,""en"",""pt"")"),"Remotas controladores de usuários de iluminação infravermelho")</f>
        <v>Remotas controladores de usuários de iluminação infravermelho</v>
      </c>
      <c r="J6609">
        <f>VLOOKUP(A6609,Pr_Base_LNEC!$A$4:$J$6971,6,FALSE)</f>
        <v>0</v>
      </c>
      <c r="K6609">
        <f>VLOOKUP(A6609,Pr_Base_LNEC!$A$4:$J$6971,7,FALSE)</f>
        <v>0</v>
      </c>
    </row>
    <row r="6610" spans="1:11" ht="14.5">
      <c r="A6610" s="20" t="s">
        <v>30864</v>
      </c>
      <c r="B6610" s="20">
        <v>70</v>
      </c>
      <c r="C6610" s="20">
        <v>70</v>
      </c>
      <c r="D6610" s="20">
        <v>48</v>
      </c>
      <c r="E6610" s="24"/>
      <c r="F6610" s="20" t="s">
        <v>30865</v>
      </c>
      <c r="G6610" s="24"/>
      <c r="H6610" s="24"/>
      <c r="I6610" s="24" t="str">
        <f ca="1">IFERROR(__xludf.DUMMYFUNCTION("GOOGLETRANSLATE(F6610,""en"",""pt"")"),"Luminárias, pista de iluminação e acessórios de iluminação")</f>
        <v>Luminárias, pista de iluminação e acessórios de iluminação</v>
      </c>
      <c r="J6610">
        <f>VLOOKUP(A6610,Pr_Base_LNEC!$A$4:$J$6971,6,FALSE)</f>
        <v>0</v>
      </c>
      <c r="K6610">
        <f>VLOOKUP(A6610,Pr_Base_LNEC!$A$4:$J$6971,7,FALSE)</f>
        <v>0</v>
      </c>
    </row>
    <row r="6611" spans="1:11" ht="14.5">
      <c r="A6611" s="20" t="s">
        <v>30866</v>
      </c>
      <c r="B6611" s="20">
        <v>70</v>
      </c>
      <c r="C6611" s="20">
        <v>70</v>
      </c>
      <c r="D6611" s="20">
        <v>48</v>
      </c>
      <c r="E6611" s="20">
        <v>2</v>
      </c>
      <c r="F6611" s="20" t="s">
        <v>30867</v>
      </c>
      <c r="G6611" s="20" t="s">
        <v>30868</v>
      </c>
      <c r="H6611" s="24"/>
      <c r="I6611" s="24" t="str">
        <f ca="1">IFERROR(__xludf.DUMMYFUNCTION("GOOGLETRANSLATE(F6611,""en"",""pt"")"),"holofotes da área")</f>
        <v>holofotes da área</v>
      </c>
      <c r="J6611">
        <f>VLOOKUP(A6611,Pr_Base_LNEC!$A$4:$J$6971,6,FALSE)</f>
        <v>0</v>
      </c>
      <c r="K6611">
        <f>VLOOKUP(A6611,Pr_Base_LNEC!$A$4:$J$6971,7,FALSE)</f>
        <v>0</v>
      </c>
    </row>
    <row r="6612" spans="1:11" ht="14.5">
      <c r="A6612" s="20" t="s">
        <v>30869</v>
      </c>
      <c r="B6612" s="20">
        <v>70</v>
      </c>
      <c r="C6612" s="20">
        <v>70</v>
      </c>
      <c r="D6612" s="20">
        <v>48</v>
      </c>
      <c r="E6612" s="20">
        <v>13</v>
      </c>
      <c r="F6612" s="20" t="s">
        <v>30870</v>
      </c>
      <c r="G6612" s="24"/>
      <c r="H6612" s="24"/>
      <c r="I6612" s="24" t="str">
        <f ca="1">IFERROR(__xludf.DUMMYFUNCTION("GOOGLETRANSLATE(F6612,""en"",""pt"")"),"lustres")</f>
        <v>lustres</v>
      </c>
      <c r="J6612">
        <f>VLOOKUP(A6612,Pr_Base_LNEC!$A$4:$J$6971,6,FALSE)</f>
        <v>0</v>
      </c>
      <c r="K6612">
        <f>VLOOKUP(A6612,Pr_Base_LNEC!$A$4:$J$6971,7,FALSE)</f>
        <v>0</v>
      </c>
    </row>
    <row r="6613" spans="1:11" ht="14.5">
      <c r="A6613" s="20" t="s">
        <v>30871</v>
      </c>
      <c r="B6613" s="20">
        <v>70</v>
      </c>
      <c r="C6613" s="20">
        <v>70</v>
      </c>
      <c r="D6613" s="20">
        <v>48</v>
      </c>
      <c r="E6613" s="20">
        <v>16</v>
      </c>
      <c r="F6613" s="20" t="s">
        <v>30872</v>
      </c>
      <c r="G6613" s="20" t="s">
        <v>30873</v>
      </c>
      <c r="H6613" s="24"/>
      <c r="I6613" s="24" t="str">
        <f ca="1">IFERROR(__xludf.DUMMYFUNCTION("GOOGLETRANSLATE(F6613,""en"",""pt"")"),"luminárias de emergência combinados")</f>
        <v>luminárias de emergência combinados</v>
      </c>
      <c r="J6613">
        <f>VLOOKUP(A6613,Pr_Base_LNEC!$A$4:$J$6971,6,FALSE)</f>
        <v>0</v>
      </c>
      <c r="K6613">
        <f>VLOOKUP(A6613,Pr_Base_LNEC!$A$4:$J$6971,7,FALSE)</f>
        <v>0</v>
      </c>
    </row>
    <row r="6614" spans="1:11" ht="14.5">
      <c r="A6614" s="20" t="s">
        <v>30874</v>
      </c>
      <c r="B6614" s="20">
        <v>70</v>
      </c>
      <c r="C6614" s="20">
        <v>70</v>
      </c>
      <c r="D6614" s="20">
        <v>48</v>
      </c>
      <c r="E6614" s="20">
        <v>23</v>
      </c>
      <c r="F6614" s="20" t="s">
        <v>30875</v>
      </c>
      <c r="G6614" s="24"/>
      <c r="H6614" s="24"/>
      <c r="I6614" s="24" t="str">
        <f ca="1">IFERROR(__xludf.DUMMYFUNCTION("GOOGLETRANSLATE(F6614,""en"",""pt"")"),"luminárias de emergência escravos Dedicado")</f>
        <v>luminárias de emergência escravos Dedicado</v>
      </c>
      <c r="J6614">
        <f>VLOOKUP(A6614,Pr_Base_LNEC!$A$4:$J$6971,6,FALSE)</f>
        <v>0</v>
      </c>
      <c r="K6614">
        <f>VLOOKUP(A6614,Pr_Base_LNEC!$A$4:$J$6971,7,FALSE)</f>
        <v>0</v>
      </c>
    </row>
    <row r="6615" spans="1:11" ht="14.5">
      <c r="A6615" s="20" t="s">
        <v>30876</v>
      </c>
      <c r="B6615" s="20">
        <v>70</v>
      </c>
      <c r="C6615" s="20">
        <v>70</v>
      </c>
      <c r="D6615" s="20">
        <v>48</v>
      </c>
      <c r="E6615" s="20">
        <v>24</v>
      </c>
      <c r="F6615" s="20" t="s">
        <v>30877</v>
      </c>
      <c r="G6615" s="24"/>
      <c r="H6615" s="24"/>
      <c r="I6615" s="24" t="str">
        <f ca="1">IFERROR(__xludf.DUMMYFUNCTION("GOOGLETRANSLATE(F6615,""en"",""pt"")"),"downlights")</f>
        <v>downlights</v>
      </c>
      <c r="J6615">
        <f>VLOOKUP(A6615,Pr_Base_LNEC!$A$4:$J$6971,6,FALSE)</f>
        <v>0</v>
      </c>
      <c r="K6615">
        <f>VLOOKUP(A6615,Pr_Base_LNEC!$A$4:$J$6971,7,FALSE)</f>
        <v>0</v>
      </c>
    </row>
    <row r="6616" spans="1:11" ht="14.5">
      <c r="A6616" s="20" t="s">
        <v>30878</v>
      </c>
      <c r="B6616" s="20">
        <v>70</v>
      </c>
      <c r="C6616" s="20">
        <v>70</v>
      </c>
      <c r="D6616" s="20">
        <v>48</v>
      </c>
      <c r="E6616" s="20">
        <v>26</v>
      </c>
      <c r="F6616" s="20" t="s">
        <v>30879</v>
      </c>
      <c r="G6616" s="20" t="s">
        <v>30880</v>
      </c>
      <c r="H6616" s="24"/>
      <c r="I6616" s="24" t="str">
        <f ca="1">IFERROR(__xludf.DUMMYFUNCTION("GOOGLETRANSLATE(F6616,""en"",""pt"")"),"baixo elétrico montado caminho de orientação módulo de iluminação caixas")</f>
        <v>baixo elétrico montado caminho de orientação módulo de iluminação caixas</v>
      </c>
      <c r="J6616">
        <f>VLOOKUP(A6616,Pr_Base_LNEC!$A$4:$J$6971,6,FALSE)</f>
        <v>0</v>
      </c>
      <c r="K6616">
        <f>VLOOKUP(A6616,Pr_Base_LNEC!$A$4:$J$6971,7,FALSE)</f>
        <v>0</v>
      </c>
    </row>
    <row r="6617" spans="1:11" ht="14.5">
      <c r="A6617" s="20" t="s">
        <v>30881</v>
      </c>
      <c r="B6617" s="20">
        <v>70</v>
      </c>
      <c r="C6617" s="20">
        <v>70</v>
      </c>
      <c r="D6617" s="20">
        <v>48</v>
      </c>
      <c r="E6617" s="20">
        <v>27</v>
      </c>
      <c r="F6617" s="20" t="s">
        <v>30882</v>
      </c>
      <c r="G6617" s="20" t="s">
        <v>30883</v>
      </c>
      <c r="H6617" s="24"/>
      <c r="I6617" s="24" t="str">
        <f ca="1">IFERROR(__xludf.DUMMYFUNCTION("GOOGLETRANSLATE(F6617,""en"",""pt"")"),"baixo eléctrico montado mulos de iluminao forma de orientação")</f>
        <v>baixo eléctrico montado mulos de iluminao forma de orientação</v>
      </c>
      <c r="J6617">
        <f>VLOOKUP(A6617,Pr_Base_LNEC!$A$4:$J$6971,6,FALSE)</f>
        <v>0</v>
      </c>
      <c r="K6617">
        <f>VLOOKUP(A6617,Pr_Base_LNEC!$A$4:$J$6971,7,FALSE)</f>
        <v>0</v>
      </c>
    </row>
    <row r="6618" spans="1:11" ht="14.5">
      <c r="A6618" s="20" t="s">
        <v>30884</v>
      </c>
      <c r="B6618" s="20">
        <v>70</v>
      </c>
      <c r="C6618" s="20">
        <v>70</v>
      </c>
      <c r="D6618" s="20">
        <v>48</v>
      </c>
      <c r="E6618" s="20">
        <v>28</v>
      </c>
      <c r="F6618" s="20" t="s">
        <v>30885</v>
      </c>
      <c r="G6618" s="20" t="s">
        <v>30886</v>
      </c>
      <c r="H6618" s="24"/>
      <c r="I6618" s="24" t="str">
        <f ca="1">IFERROR(__xludf.DUMMYFUNCTION("GOOGLETRANSLATE(F6618,""en"",""pt"")"),"baixo elétrico montado caminho de orientação unidades de fornecimento de iluminação")</f>
        <v>baixo elétrico montado caminho de orientação unidades de fornecimento de iluminação</v>
      </c>
      <c r="J6618">
        <f>VLOOKUP(A6618,Pr_Base_LNEC!$A$4:$J$6971,6,FALSE)</f>
        <v>0</v>
      </c>
      <c r="K6618">
        <f>VLOOKUP(A6618,Pr_Base_LNEC!$A$4:$J$6971,7,FALSE)</f>
        <v>0</v>
      </c>
    </row>
    <row r="6619" spans="1:11" ht="14.5">
      <c r="A6619" s="20" t="s">
        <v>30887</v>
      </c>
      <c r="B6619" s="20">
        <v>70</v>
      </c>
      <c r="C6619" s="20">
        <v>70</v>
      </c>
      <c r="D6619" s="20">
        <v>48</v>
      </c>
      <c r="E6619" s="20">
        <v>29</v>
      </c>
      <c r="F6619" s="20" t="s">
        <v>30888</v>
      </c>
      <c r="G6619" s="24"/>
      <c r="H6619" s="24"/>
      <c r="I6619" s="24" t="str">
        <f ca="1">IFERROR(__xludf.DUMMYFUNCTION("GOOGLETRANSLATE(F6619,""en"",""pt"")"),"balastros electrónicos")</f>
        <v>balastros electrónicos</v>
      </c>
      <c r="J6619">
        <f>VLOOKUP(A6619,Pr_Base_LNEC!$A$4:$J$6971,6,FALSE)</f>
        <v>0</v>
      </c>
      <c r="K6619">
        <f>VLOOKUP(A6619,Pr_Base_LNEC!$A$4:$J$6971,7,FALSE)</f>
        <v>0</v>
      </c>
    </row>
    <row r="6620" spans="1:11" ht="14.5">
      <c r="A6620" s="20" t="s">
        <v>30889</v>
      </c>
      <c r="B6620" s="20">
        <v>70</v>
      </c>
      <c r="C6620" s="20">
        <v>70</v>
      </c>
      <c r="D6620" s="20">
        <v>48</v>
      </c>
      <c r="E6620" s="20">
        <v>30</v>
      </c>
      <c r="F6620" s="20" t="s">
        <v>30890</v>
      </c>
      <c r="G6620" s="24"/>
      <c r="H6620" s="24"/>
      <c r="I6620" s="24" t="str">
        <f ca="1">IFERROR(__xludf.DUMMYFUNCTION("GOOGLETRANSLATE(F6620,""en"",""pt"")"),"starters eletrônicos")</f>
        <v>starters eletrônicos</v>
      </c>
      <c r="J6620">
        <f>VLOOKUP(A6620,Pr_Base_LNEC!$A$4:$J$6971,6,FALSE)</f>
        <v>0</v>
      </c>
      <c r="K6620">
        <f>VLOOKUP(A6620,Pr_Base_LNEC!$A$4:$J$6971,7,FALSE)</f>
        <v>0</v>
      </c>
    </row>
    <row r="6621" spans="1:11" ht="14.5">
      <c r="A6621" s="20" t="s">
        <v>30891</v>
      </c>
      <c r="B6621" s="20">
        <v>70</v>
      </c>
      <c r="C6621" s="20">
        <v>70</v>
      </c>
      <c r="D6621" s="20">
        <v>48</v>
      </c>
      <c r="E6621" s="20">
        <v>32</v>
      </c>
      <c r="F6621" s="20" t="s">
        <v>30892</v>
      </c>
      <c r="G6621" s="24"/>
      <c r="H6621" s="24"/>
      <c r="I6621" s="24" t="str">
        <f ca="1">IFERROR(__xludf.DUMMYFUNCTION("GOOGLETRANSLATE(F6621,""en"",""pt"")"),"luminárias de pé livre")</f>
        <v>luminárias de pé livre</v>
      </c>
      <c r="J6621">
        <f>VLOOKUP(A6621,Pr_Base_LNEC!$A$4:$J$6971,6,FALSE)</f>
        <v>0</v>
      </c>
      <c r="K6621">
        <f>VLOOKUP(A6621,Pr_Base_LNEC!$A$4:$J$6971,7,FALSE)</f>
        <v>0</v>
      </c>
    </row>
    <row r="6622" spans="1:11" ht="14.5">
      <c r="A6622" s="20" t="s">
        <v>30893</v>
      </c>
      <c r="B6622" s="20">
        <v>70</v>
      </c>
      <c r="C6622" s="20">
        <v>70</v>
      </c>
      <c r="D6622" s="20">
        <v>48</v>
      </c>
      <c r="E6622" s="20">
        <v>35</v>
      </c>
      <c r="F6622" s="20" t="s">
        <v>30894</v>
      </c>
      <c r="G6622" s="20" t="s">
        <v>30895</v>
      </c>
      <c r="H6622" s="24"/>
      <c r="I6622" s="24" t="str">
        <f ca="1">IFERROR(__xludf.DUMMYFUNCTION("GOOGLETRANSLATE(F6622,""en"",""pt"")"),"Chão montado luminárias")</f>
        <v>Chão montado luminárias</v>
      </c>
      <c r="J6622">
        <f>VLOOKUP(A6622,Pr_Base_LNEC!$A$4:$J$6971,6,FALSE)</f>
        <v>0</v>
      </c>
      <c r="K6622">
        <f>VLOOKUP(A6622,Pr_Base_LNEC!$A$4:$J$6971,7,FALSE)</f>
        <v>0</v>
      </c>
    </row>
    <row r="6623" spans="1:11" ht="14.5">
      <c r="A6623" s="20" t="s">
        <v>30896</v>
      </c>
      <c r="B6623" s="20">
        <v>70</v>
      </c>
      <c r="C6623" s="20">
        <v>70</v>
      </c>
      <c r="D6623" s="20">
        <v>48</v>
      </c>
      <c r="E6623" s="20">
        <v>36</v>
      </c>
      <c r="F6623" s="20" t="s">
        <v>30897</v>
      </c>
      <c r="G6623" s="24"/>
      <c r="H6623" s="24"/>
      <c r="I6623" s="24" t="str">
        <f ca="1">IFERROR(__xludf.DUMMYFUNCTION("GOOGLETRANSLATE(F6623,""en"",""pt"")"),"luminárias de áreas perigosas")</f>
        <v>luminárias de áreas perigosas</v>
      </c>
      <c r="J6623">
        <f>VLOOKUP(A6623,Pr_Base_LNEC!$A$4:$J$6971,6,FALSE)</f>
        <v>0</v>
      </c>
      <c r="K6623">
        <f>VLOOKUP(A6623,Pr_Base_LNEC!$A$4:$J$6971,7,FALSE)</f>
        <v>0</v>
      </c>
    </row>
    <row r="6624" spans="1:11" ht="14.5">
      <c r="A6624" s="20" t="s">
        <v>30898</v>
      </c>
      <c r="B6624" s="20">
        <v>70</v>
      </c>
      <c r="C6624" s="20">
        <v>70</v>
      </c>
      <c r="D6624" s="20">
        <v>48</v>
      </c>
      <c r="E6624" s="20">
        <v>45</v>
      </c>
      <c r="F6624" s="20" t="s">
        <v>30899</v>
      </c>
      <c r="G6624" s="24"/>
      <c r="H6624" s="24"/>
      <c r="I6624" s="24" t="str">
        <f ca="1">IFERROR(__xludf.DUMMYFUNCTION("GOOGLETRANSLATE(F6624,""en"",""pt"")"),"painéis de luz LED")</f>
        <v>painéis de luz LED</v>
      </c>
      <c r="J6624">
        <f>VLOOKUP(A6624,Pr_Base_LNEC!$A$4:$J$6971,6,FALSE)</f>
        <v>0</v>
      </c>
      <c r="K6624">
        <f>VLOOKUP(A6624,Pr_Base_LNEC!$A$4:$J$6971,7,FALSE)</f>
        <v>0</v>
      </c>
    </row>
    <row r="6625" spans="1:11" ht="14.5">
      <c r="A6625" s="20" t="s">
        <v>30900</v>
      </c>
      <c r="B6625" s="20">
        <v>70</v>
      </c>
      <c r="C6625" s="20">
        <v>70</v>
      </c>
      <c r="D6625" s="20">
        <v>48</v>
      </c>
      <c r="E6625" s="20">
        <v>46</v>
      </c>
      <c r="F6625" s="20" t="s">
        <v>30901</v>
      </c>
      <c r="G6625" s="24"/>
      <c r="H6625" s="24"/>
      <c r="I6625" s="24" t="str">
        <f ca="1">IFERROR(__xludf.DUMMYFUNCTION("GOOGLETRANSLATE(F6625,""en"",""pt"")"),"Light-Emitting Diode (LED) luminárias")</f>
        <v>Light-Emitting Diode (LED) luminárias</v>
      </c>
      <c r="J6625">
        <f>VLOOKUP(A6625,Pr_Base_LNEC!$A$4:$J$6971,6,FALSE)</f>
        <v>0</v>
      </c>
      <c r="K6625">
        <f>VLOOKUP(A6625,Pr_Base_LNEC!$A$4:$J$6971,7,FALSE)</f>
        <v>0</v>
      </c>
    </row>
    <row r="6626" spans="1:11" ht="14.5">
      <c r="A6626" s="20" t="s">
        <v>30902</v>
      </c>
      <c r="B6626" s="20">
        <v>70</v>
      </c>
      <c r="C6626" s="20">
        <v>70</v>
      </c>
      <c r="D6626" s="20">
        <v>48</v>
      </c>
      <c r="E6626" s="20">
        <v>47</v>
      </c>
      <c r="F6626" s="20" t="s">
        <v>30903</v>
      </c>
      <c r="G6626" s="20" t="s">
        <v>30904</v>
      </c>
      <c r="H6626" s="24"/>
      <c r="I6626" s="24" t="str">
        <f ca="1">IFERROR(__xludf.DUMMYFUNCTION("GOOGLETRANSLATE(F6626,""en"",""pt"")"),"faixas de iluminação")</f>
        <v>faixas de iluminação</v>
      </c>
      <c r="J6626">
        <f>VLOOKUP(A6626,Pr_Base_LNEC!$A$4:$J$6971,6,FALSE)</f>
        <v>0</v>
      </c>
      <c r="K6626">
        <f>VLOOKUP(A6626,Pr_Base_LNEC!$A$4:$J$6971,7,FALSE)</f>
        <v>0</v>
      </c>
    </row>
    <row r="6627" spans="1:11" ht="14.5">
      <c r="A6627" s="20" t="s">
        <v>30905</v>
      </c>
      <c r="B6627" s="20">
        <v>70</v>
      </c>
      <c r="C6627" s="20">
        <v>70</v>
      </c>
      <c r="D6627" s="20">
        <v>48</v>
      </c>
      <c r="E6627" s="20">
        <v>48</v>
      </c>
      <c r="F6627" s="20" t="s">
        <v>30906</v>
      </c>
      <c r="G6627" s="20" t="s">
        <v>30907</v>
      </c>
      <c r="H6627" s="24"/>
      <c r="I6627" s="24" t="str">
        <f ca="1">IFERROR(__xludf.DUMMYFUNCTION("GOOGLETRANSLATE(F6627,""en"",""pt"")"),"máscaras anti-fumo de luminárias")</f>
        <v>máscaras anti-fumo de luminárias</v>
      </c>
      <c r="J6627">
        <f>VLOOKUP(A6627,Pr_Base_LNEC!$A$4:$J$6971,6,FALSE)</f>
        <v>0</v>
      </c>
      <c r="K6627">
        <f>VLOOKUP(A6627,Pr_Base_LNEC!$A$4:$J$6971,7,FALSE)</f>
        <v>0</v>
      </c>
    </row>
    <row r="6628" spans="1:11" ht="14.5">
      <c r="A6628" s="20" t="s">
        <v>30908</v>
      </c>
      <c r="B6628" s="20">
        <v>70</v>
      </c>
      <c r="C6628" s="20">
        <v>70</v>
      </c>
      <c r="D6628" s="20">
        <v>48</v>
      </c>
      <c r="E6628" s="20">
        <v>59</v>
      </c>
      <c r="F6628" s="20" t="s">
        <v>30909</v>
      </c>
      <c r="G6628" s="20" t="s">
        <v>30910</v>
      </c>
      <c r="H6628" s="24"/>
      <c r="I6628" s="24" t="str">
        <f ca="1">IFERROR(__xludf.DUMMYFUNCTION("GOOGLETRANSLATE(F6628,""en"",""pt"")"),"luminárias de emergência de fibras ópticas")</f>
        <v>luminárias de emergência de fibras ópticas</v>
      </c>
      <c r="J6628">
        <f>VLOOKUP(A6628,Pr_Base_LNEC!$A$4:$J$6971,6,FALSE)</f>
        <v>0</v>
      </c>
      <c r="K6628">
        <f>VLOOKUP(A6628,Pr_Base_LNEC!$A$4:$J$6971,7,FALSE)</f>
        <v>0</v>
      </c>
    </row>
    <row r="6629" spans="1:11" ht="14.5">
      <c r="A6629" s="20" t="s">
        <v>30911</v>
      </c>
      <c r="B6629" s="20">
        <v>70</v>
      </c>
      <c r="C6629" s="20">
        <v>70</v>
      </c>
      <c r="D6629" s="20">
        <v>48</v>
      </c>
      <c r="E6629" s="20">
        <v>62</v>
      </c>
      <c r="F6629" s="20" t="s">
        <v>30912</v>
      </c>
      <c r="G6629" s="24"/>
      <c r="H6629" s="24"/>
      <c r="I6629" s="24" t="str">
        <f ca="1">IFERROR(__xludf.DUMMYFUNCTION("GOOGLETRANSLATE(F6629,""en"",""pt"")"),"luminárias pendentes")</f>
        <v>luminárias pendentes</v>
      </c>
      <c r="J6629">
        <f>VLOOKUP(A6629,Pr_Base_LNEC!$A$4:$J$6971,6,FALSE)</f>
        <v>0</v>
      </c>
      <c r="K6629">
        <f>VLOOKUP(A6629,Pr_Base_LNEC!$A$4:$J$6971,7,FALSE)</f>
        <v>0</v>
      </c>
    </row>
    <row r="6630" spans="1:11" ht="14.5">
      <c r="A6630" s="20" t="s">
        <v>30913</v>
      </c>
      <c r="B6630" s="20">
        <v>70</v>
      </c>
      <c r="C6630" s="20">
        <v>70</v>
      </c>
      <c r="D6630" s="20">
        <v>48</v>
      </c>
      <c r="E6630" s="20">
        <v>65</v>
      </c>
      <c r="F6630" s="20" t="s">
        <v>30914</v>
      </c>
      <c r="G6630" s="24"/>
      <c r="H6630" s="24"/>
      <c r="I6630" s="24" t="str">
        <f ca="1">IFERROR(__xludf.DUMMYFUNCTION("GOOGLETRANSLATE(F6630,""en"",""pt"")"),"top lanternas pós")</f>
        <v>top lanternas pós</v>
      </c>
      <c r="J6630">
        <f>VLOOKUP(A6630,Pr_Base_LNEC!$A$4:$J$6971,6,FALSE)</f>
        <v>0</v>
      </c>
      <c r="K6630">
        <f>VLOOKUP(A6630,Pr_Base_LNEC!$A$4:$J$6971,7,FALSE)</f>
        <v>0</v>
      </c>
    </row>
    <row r="6631" spans="1:11" ht="14.5">
      <c r="A6631" s="20" t="s">
        <v>30915</v>
      </c>
      <c r="B6631" s="20">
        <v>70</v>
      </c>
      <c r="C6631" s="20">
        <v>70</v>
      </c>
      <c r="D6631" s="20">
        <v>48</v>
      </c>
      <c r="E6631" s="20">
        <v>71</v>
      </c>
      <c r="F6631" s="20" t="s">
        <v>30916</v>
      </c>
      <c r="G6631" s="20" t="s">
        <v>30917</v>
      </c>
      <c r="H6631" s="24"/>
      <c r="I6631" s="24" t="str">
        <f ca="1">IFERROR(__xludf.DUMMYFUNCTION("GOOGLETRANSLATE(F6631,""en"",""pt"")"),"luminárias embutidas")</f>
        <v>luminárias embutidas</v>
      </c>
      <c r="J6631">
        <f>VLOOKUP(A6631,Pr_Base_LNEC!$A$4:$J$6971,6,FALSE)</f>
        <v>0</v>
      </c>
      <c r="K6631">
        <f>VLOOKUP(A6631,Pr_Base_LNEC!$A$4:$J$6971,7,FALSE)</f>
        <v>0</v>
      </c>
    </row>
    <row r="6632" spans="1:11" ht="14.5">
      <c r="A6632" s="20" t="s">
        <v>30918</v>
      </c>
      <c r="B6632" s="20">
        <v>70</v>
      </c>
      <c r="C6632" s="20">
        <v>70</v>
      </c>
      <c r="D6632" s="20">
        <v>48</v>
      </c>
      <c r="E6632" s="20">
        <v>73</v>
      </c>
      <c r="F6632" s="20" t="s">
        <v>30919</v>
      </c>
      <c r="G6632" s="20" t="s">
        <v>30920</v>
      </c>
      <c r="H6632" s="24"/>
      <c r="I6632" s="24" t="str">
        <f ca="1">IFERROR(__xludf.DUMMYFUNCTION("GOOGLETRANSLATE(F6632,""en"",""pt"")"),"Estrada luminárias de iluminação")</f>
        <v>Estrada luminárias de iluminação</v>
      </c>
      <c r="J6632" t="e">
        <f>VLOOKUP(A6632,Pr_Base_LNEC!$A$4:$J$6971,6,FALSE)</f>
        <v>#N/A</v>
      </c>
      <c r="K6632" t="e">
        <f>VLOOKUP(A6632,Pr_Base_LNEC!$A$4:$J$6971,7,FALSE)</f>
        <v>#N/A</v>
      </c>
    </row>
    <row r="6633" spans="1:11" ht="14.5">
      <c r="A6633" s="20" t="s">
        <v>30921</v>
      </c>
      <c r="B6633" s="20">
        <v>70</v>
      </c>
      <c r="C6633" s="20">
        <v>70</v>
      </c>
      <c r="D6633" s="20">
        <v>48</v>
      </c>
      <c r="E6633" s="20">
        <v>77</v>
      </c>
      <c r="F6633" s="20" t="s">
        <v>30922</v>
      </c>
      <c r="G6633" s="24"/>
      <c r="H6633" s="24"/>
      <c r="I6633" s="24" t="str">
        <f ca="1">IFERROR(__xludf.DUMMYFUNCTION("GOOGLETRANSLATE(F6633,""en"",""pt"")"),"luminárias de emergência autónomas")</f>
        <v>luminárias de emergência autónomas</v>
      </c>
      <c r="J6633">
        <f>VLOOKUP(A6633,Pr_Base_LNEC!$A$4:$J$6971,6,FALSE)</f>
        <v>0</v>
      </c>
      <c r="K6633">
        <f>VLOOKUP(A6633,Pr_Base_LNEC!$A$4:$J$6971,7,FALSE)</f>
        <v>0</v>
      </c>
    </row>
    <row r="6634" spans="1:11" ht="14.5">
      <c r="A6634" s="20" t="s">
        <v>30923</v>
      </c>
      <c r="B6634" s="20">
        <v>70</v>
      </c>
      <c r="C6634" s="20">
        <v>70</v>
      </c>
      <c r="D6634" s="20">
        <v>48</v>
      </c>
      <c r="E6634" s="20">
        <v>80</v>
      </c>
      <c r="F6634" s="20" t="s">
        <v>30924</v>
      </c>
      <c r="G6634" s="24"/>
      <c r="H6634" s="24"/>
      <c r="I6634" s="24" t="str">
        <f ca="1">IFERROR(__xludf.DUMMYFUNCTION("GOOGLETRANSLATE(F6634,""en"",""pt"")"),"Sockets para iluminação demountable")</f>
        <v>Sockets para iluminação demountable</v>
      </c>
      <c r="J6634">
        <f>VLOOKUP(A6634,Pr_Base_LNEC!$A$4:$J$6971,6,FALSE)</f>
        <v>0</v>
      </c>
      <c r="K6634">
        <f>VLOOKUP(A6634,Pr_Base_LNEC!$A$4:$J$6971,7,FALSE)</f>
        <v>0</v>
      </c>
    </row>
    <row r="6635" spans="1:11" ht="14.5">
      <c r="A6635" s="20" t="s">
        <v>30925</v>
      </c>
      <c r="B6635" s="20">
        <v>70</v>
      </c>
      <c r="C6635" s="20">
        <v>70</v>
      </c>
      <c r="D6635" s="20">
        <v>48</v>
      </c>
      <c r="E6635" s="20">
        <v>82</v>
      </c>
      <c r="F6635" s="20" t="s">
        <v>30926</v>
      </c>
      <c r="G6635" s="24"/>
      <c r="H6635" s="24"/>
      <c r="I6635" s="24" t="str">
        <f ca="1">IFERROR(__xludf.DUMMYFUNCTION("GOOGLETRANSLATE(F6635,""en"",""pt"")"),"luzes do ponto")</f>
        <v>luzes do ponto</v>
      </c>
      <c r="J6635">
        <f>VLOOKUP(A6635,Pr_Base_LNEC!$A$4:$J$6971,6,FALSE)</f>
        <v>0</v>
      </c>
      <c r="K6635">
        <f>VLOOKUP(A6635,Pr_Base_LNEC!$A$4:$J$6971,7,FALSE)</f>
        <v>0</v>
      </c>
    </row>
    <row r="6636" spans="1:11" ht="14.5">
      <c r="A6636" s="20" t="s">
        <v>30927</v>
      </c>
      <c r="B6636" s="20">
        <v>70</v>
      </c>
      <c r="C6636" s="20">
        <v>70</v>
      </c>
      <c r="D6636" s="20">
        <v>48</v>
      </c>
      <c r="E6636" s="20">
        <v>85</v>
      </c>
      <c r="F6636" s="20" t="s">
        <v>30928</v>
      </c>
      <c r="G6636" s="20" t="s">
        <v>30929</v>
      </c>
      <c r="H6636" s="24"/>
      <c r="I6636" s="24" t="str">
        <f ca="1">IFERROR(__xludf.DUMMYFUNCTION("GOOGLETRANSLATE(F6636,""en"",""pt"")"),"luminárias de superfície")</f>
        <v>luminárias de superfície</v>
      </c>
      <c r="J6636">
        <f>VLOOKUP(A6636,Pr_Base_LNEC!$A$4:$J$6971,6,FALSE)</f>
        <v>0</v>
      </c>
      <c r="K6636">
        <f>VLOOKUP(A6636,Pr_Base_LNEC!$A$4:$J$6971,7,FALSE)</f>
        <v>0</v>
      </c>
    </row>
    <row r="6637" spans="1:11" ht="14.5">
      <c r="A6637" s="20" t="s">
        <v>30930</v>
      </c>
      <c r="B6637" s="20">
        <v>70</v>
      </c>
      <c r="C6637" s="20">
        <v>70</v>
      </c>
      <c r="D6637" s="20">
        <v>48</v>
      </c>
      <c r="E6637" s="20">
        <v>86</v>
      </c>
      <c r="F6637" s="20" t="s">
        <v>30931</v>
      </c>
      <c r="G6637" s="20" t="s">
        <v>30932</v>
      </c>
      <c r="H6637" s="24"/>
      <c r="I6637" s="24" t="str">
        <f ca="1">IFERROR(__xludf.DUMMYFUNCTION("GOOGLETRANSLATE(F6637,""en"",""pt"")"),"luminárias suspensas")</f>
        <v>luminárias suspensas</v>
      </c>
      <c r="J6637">
        <f>VLOOKUP(A6637,Pr_Base_LNEC!$A$4:$J$6971,6,FALSE)</f>
        <v>0</v>
      </c>
      <c r="K6637">
        <f>VLOOKUP(A6637,Pr_Base_LNEC!$A$4:$J$6971,7,FALSE)</f>
        <v>0</v>
      </c>
    </row>
    <row r="6638" spans="1:11" ht="14.5">
      <c r="A6638" s="20" t="s">
        <v>30933</v>
      </c>
      <c r="B6638" s="20">
        <v>70</v>
      </c>
      <c r="C6638" s="20">
        <v>70</v>
      </c>
      <c r="D6638" s="20">
        <v>48</v>
      </c>
      <c r="E6638" s="20">
        <v>92</v>
      </c>
      <c r="F6638" s="20" t="s">
        <v>30934</v>
      </c>
      <c r="G6638" s="20" t="s">
        <v>30935</v>
      </c>
      <c r="H6638" s="24"/>
      <c r="I6638" s="24" t="str">
        <f ca="1">IFERROR(__xludf.DUMMYFUNCTION("GOOGLETRANSLATE(F6638,""en"",""pt"")"),"luminárias subaquáticas")</f>
        <v>luminárias subaquáticas</v>
      </c>
      <c r="J6638">
        <f>VLOOKUP(A6638,Pr_Base_LNEC!$A$4:$J$6971,6,FALSE)</f>
        <v>0</v>
      </c>
      <c r="K6638">
        <f>VLOOKUP(A6638,Pr_Base_LNEC!$A$4:$J$6971,7,FALSE)</f>
        <v>0</v>
      </c>
    </row>
    <row r="6639" spans="1:11" ht="14.5">
      <c r="A6639" s="20" t="s">
        <v>30936</v>
      </c>
      <c r="B6639" s="20">
        <v>70</v>
      </c>
      <c r="C6639" s="20">
        <v>70</v>
      </c>
      <c r="D6639" s="20">
        <v>48</v>
      </c>
      <c r="E6639" s="20">
        <v>93</v>
      </c>
      <c r="F6639" s="20" t="s">
        <v>30937</v>
      </c>
      <c r="G6639" s="24"/>
      <c r="H6639" s="24"/>
      <c r="I6639" s="24" t="str">
        <f ca="1">IFERROR(__xludf.DUMMYFUNCTION("GOOGLETRANSLATE(F6639,""en"",""pt"")"),"uplights")</f>
        <v>uplights</v>
      </c>
      <c r="J6639">
        <f>VLOOKUP(A6639,Pr_Base_LNEC!$A$4:$J$6971,6,FALSE)</f>
        <v>0</v>
      </c>
      <c r="K6639">
        <f>VLOOKUP(A6639,Pr_Base_LNEC!$A$4:$J$6971,7,FALSE)</f>
        <v>0</v>
      </c>
    </row>
    <row r="6640" spans="1:11" ht="14.5">
      <c r="A6640" s="20" t="s">
        <v>30938</v>
      </c>
      <c r="B6640" s="20">
        <v>70</v>
      </c>
      <c r="C6640" s="20">
        <v>70</v>
      </c>
      <c r="D6640" s="20">
        <v>70</v>
      </c>
      <c r="E6640" s="24"/>
      <c r="F6640" s="20" t="s">
        <v>30939</v>
      </c>
      <c r="G6640" s="24"/>
      <c r="H6640" s="24"/>
      <c r="I6640" s="24" t="str">
        <f ca="1">IFERROR(__xludf.DUMMYFUNCTION("GOOGLETRANSLATE(F6640,""en"",""pt"")"),"produtos de alimentação do trilho")</f>
        <v>produtos de alimentação do trilho</v>
      </c>
      <c r="J6640">
        <f>VLOOKUP(A6640,Pr_Base_LNEC!$A$4:$J$6971,6,FALSE)</f>
        <v>0</v>
      </c>
      <c r="K6640">
        <f>VLOOKUP(A6640,Pr_Base_LNEC!$A$4:$J$6971,7,FALSE)</f>
        <v>0</v>
      </c>
    </row>
    <row r="6641" spans="1:11" ht="14.5">
      <c r="A6641" s="20" t="s">
        <v>30940</v>
      </c>
      <c r="B6641" s="20">
        <v>70</v>
      </c>
      <c r="C6641" s="20">
        <v>70</v>
      </c>
      <c r="D6641" s="20">
        <v>70</v>
      </c>
      <c r="E6641" s="20">
        <v>15</v>
      </c>
      <c r="F6641" s="20" t="s">
        <v>30941</v>
      </c>
      <c r="G6641" s="24"/>
      <c r="H6641" s="24"/>
      <c r="I6641" s="24" t="str">
        <f ca="1">IFERROR(__xludf.DUMMYFUNCTION("GOOGLETRANSLATE(F6641,""en"",""pt"")"),"conectores de alimentação condutor ferroviário")</f>
        <v>conectores de alimentação condutor ferroviário</v>
      </c>
      <c r="J6641">
        <f>VLOOKUP(A6641,Pr_Base_LNEC!$A$4:$J$6971,6,FALSE)</f>
        <v>0</v>
      </c>
      <c r="K6641">
        <f>VLOOKUP(A6641,Pr_Base_LNEC!$A$4:$J$6971,7,FALSE)</f>
        <v>0</v>
      </c>
    </row>
    <row r="6642" spans="1:11" ht="14.5">
      <c r="A6642" s="20" t="s">
        <v>30942</v>
      </c>
      <c r="B6642" s="20">
        <v>70</v>
      </c>
      <c r="C6642" s="20">
        <v>75</v>
      </c>
      <c r="D6642" s="24"/>
      <c r="E6642" s="24"/>
      <c r="F6642" s="20" t="s">
        <v>30943</v>
      </c>
      <c r="G6642" s="24"/>
      <c r="H6642" s="24"/>
      <c r="I6642" s="24" t="str">
        <f ca="1">IFERROR(__xludf.DUMMYFUNCTION("GOOGLETRANSLATE(F6642,""en"",""pt"")"),"comunicações produtos")</f>
        <v>comunicações produtos</v>
      </c>
      <c r="J6642" t="str">
        <f>VLOOKUP(A6642,Pr_Base_LNEC!$A$4:$J$6971,6,FALSE)</f>
        <v>Produtos para Comunicações</v>
      </c>
      <c r="K6642">
        <f>VLOOKUP(A6642,Pr_Base_LNEC!$A$4:$J$6971,7,FALSE)</f>
        <v>0</v>
      </c>
    </row>
    <row r="6643" spans="1:11" ht="14.5">
      <c r="A6643" s="20" t="s">
        <v>30944</v>
      </c>
      <c r="B6643" s="20">
        <v>70</v>
      </c>
      <c r="C6643" s="20">
        <v>75</v>
      </c>
      <c r="D6643" s="20">
        <v>1</v>
      </c>
      <c r="E6643" s="24"/>
      <c r="F6643" s="20" t="s">
        <v>30945</v>
      </c>
      <c r="G6643" s="24"/>
      <c r="H6643" s="24"/>
      <c r="I6643" s="24" t="str">
        <f ca="1">IFERROR(__xludf.DUMMYFUNCTION("GOOGLETRANSLATE(F6643,""en"",""pt"")"),"produtos de iluminação aeronáuticas")</f>
        <v>produtos de iluminação aeronáuticas</v>
      </c>
      <c r="J6643">
        <f>VLOOKUP(A6643,Pr_Base_LNEC!$A$4:$J$6971,6,FALSE)</f>
        <v>0</v>
      </c>
      <c r="K6643">
        <f>VLOOKUP(A6643,Pr_Base_LNEC!$A$4:$J$6971,7,FALSE)</f>
        <v>0</v>
      </c>
    </row>
    <row r="6644" spans="1:11" ht="14.5">
      <c r="A6644" s="20" t="s">
        <v>30946</v>
      </c>
      <c r="B6644" s="20">
        <v>70</v>
      </c>
      <c r="C6644" s="20">
        <v>75</v>
      </c>
      <c r="D6644" s="20">
        <v>1</v>
      </c>
      <c r="E6644" s="20">
        <v>1</v>
      </c>
      <c r="F6644" s="20" t="s">
        <v>30947</v>
      </c>
      <c r="G6644" s="20" t="s">
        <v>30948</v>
      </c>
      <c r="H6644" s="24"/>
      <c r="I6644" s="24" t="str">
        <f ca="1">IFERROR(__xludf.DUMMYFUNCTION("GOOGLETRANSLATE(F6644,""en"",""pt"")"),"iluminação do solo Aeronáutica")</f>
        <v>iluminação do solo Aeronáutica</v>
      </c>
      <c r="J6644">
        <f>VLOOKUP(A6644,Pr_Base_LNEC!$A$4:$J$6971,6,FALSE)</f>
        <v>0</v>
      </c>
      <c r="K6644">
        <f>VLOOKUP(A6644,Pr_Base_LNEC!$A$4:$J$6971,7,FALSE)</f>
        <v>0</v>
      </c>
    </row>
    <row r="6645" spans="1:11" ht="14.5">
      <c r="A6645" s="20" t="s">
        <v>30949</v>
      </c>
      <c r="B6645" s="20">
        <v>70</v>
      </c>
      <c r="C6645" s="20">
        <v>75</v>
      </c>
      <c r="D6645" s="20">
        <v>1</v>
      </c>
      <c r="E6645" s="20">
        <v>2</v>
      </c>
      <c r="F6645" s="20" t="s">
        <v>30950</v>
      </c>
      <c r="G6645" s="24"/>
      <c r="H6645" s="24"/>
      <c r="I6645" s="24" t="str">
        <f ca="1">IFERROR(__xludf.DUMMYFUNCTION("GOOGLETRANSLATE(F6645,""en"",""pt"")"),"sinais de orientação Airfield")</f>
        <v>sinais de orientação Airfield</v>
      </c>
      <c r="J6645">
        <f>VLOOKUP(A6645,Pr_Base_LNEC!$A$4:$J$6971,6,FALSE)</f>
        <v>0</v>
      </c>
      <c r="K6645">
        <f>VLOOKUP(A6645,Pr_Base_LNEC!$A$4:$J$6971,7,FALSE)</f>
        <v>0</v>
      </c>
    </row>
    <row r="6646" spans="1:11" ht="14.5">
      <c r="A6646" s="20" t="s">
        <v>30951</v>
      </c>
      <c r="B6646" s="20">
        <v>70</v>
      </c>
      <c r="C6646" s="20">
        <v>75</v>
      </c>
      <c r="D6646" s="20">
        <v>1</v>
      </c>
      <c r="E6646" s="20">
        <v>3</v>
      </c>
      <c r="F6646" s="20" t="s">
        <v>30952</v>
      </c>
      <c r="G6646" s="24"/>
      <c r="H6646" s="24"/>
      <c r="I6646" s="24" t="str">
        <f ca="1">IFERROR(__xludf.DUMMYFUNCTION("GOOGLETRANSLATE(F6646,""en"",""pt"")"),"Azimuth orientação para nariz em posição (Agnis) luzes")</f>
        <v>Azimuth orientação para nariz em posição (Agnis) luzes</v>
      </c>
      <c r="J6646">
        <f>VLOOKUP(A6646,Pr_Base_LNEC!$A$4:$J$6971,6,FALSE)</f>
        <v>0</v>
      </c>
      <c r="K6646">
        <f>VLOOKUP(A6646,Pr_Base_LNEC!$A$4:$J$6971,7,FALSE)</f>
        <v>0</v>
      </c>
    </row>
    <row r="6647" spans="1:11" ht="14.5">
      <c r="A6647" s="20" t="s">
        <v>30953</v>
      </c>
      <c r="B6647" s="20">
        <v>70</v>
      </c>
      <c r="C6647" s="20">
        <v>75</v>
      </c>
      <c r="D6647" s="20">
        <v>1</v>
      </c>
      <c r="E6647" s="20">
        <v>13</v>
      </c>
      <c r="F6647" s="20" t="s">
        <v>30954</v>
      </c>
      <c r="G6647" s="24"/>
      <c r="H6647" s="24"/>
      <c r="I6647" s="24" t="str">
        <f ca="1">IFERROR(__xludf.DUMMYFUNCTION("GOOGLETRANSLATE(F6647,""en"",""pt"")"),"reguladores de corrente constante")</f>
        <v>reguladores de corrente constante</v>
      </c>
      <c r="J6647">
        <f>VLOOKUP(A6647,Pr_Base_LNEC!$A$4:$J$6971,6,FALSE)</f>
        <v>0</v>
      </c>
      <c r="K6647">
        <f>VLOOKUP(A6647,Pr_Base_LNEC!$A$4:$J$6971,7,FALSE)</f>
        <v>0</v>
      </c>
    </row>
    <row r="6648" spans="1:11" ht="14.5">
      <c r="A6648" s="20" t="s">
        <v>30955</v>
      </c>
      <c r="B6648" s="20">
        <v>70</v>
      </c>
      <c r="C6648" s="20">
        <v>75</v>
      </c>
      <c r="D6648" s="20">
        <v>1</v>
      </c>
      <c r="E6648" s="20">
        <v>47</v>
      </c>
      <c r="F6648" s="20" t="s">
        <v>30956</v>
      </c>
      <c r="G6648" s="20" t="s">
        <v>30957</v>
      </c>
      <c r="H6648" s="24"/>
      <c r="I6648" s="24" t="str">
        <f ca="1">IFERROR(__xludf.DUMMYFUNCTION("GOOGLETRANSLATE(F6648,""en"",""pt"")"),"balizas de iluminação")</f>
        <v>balizas de iluminação</v>
      </c>
      <c r="J6648">
        <f>VLOOKUP(A6648,Pr_Base_LNEC!$A$4:$J$6971,6,FALSE)</f>
        <v>0</v>
      </c>
      <c r="K6648">
        <f>VLOOKUP(A6648,Pr_Base_LNEC!$A$4:$J$6971,7,FALSE)</f>
        <v>0</v>
      </c>
    </row>
    <row r="6649" spans="1:11" ht="14.5">
      <c r="A6649" s="20" t="s">
        <v>30958</v>
      </c>
      <c r="B6649" s="20">
        <v>70</v>
      </c>
      <c r="C6649" s="20">
        <v>75</v>
      </c>
      <c r="D6649" s="20">
        <v>1</v>
      </c>
      <c r="E6649" s="20">
        <v>65</v>
      </c>
      <c r="F6649" s="20" t="s">
        <v>30959</v>
      </c>
      <c r="G6649" s="20" t="s">
        <v>30960</v>
      </c>
      <c r="H6649" s="24"/>
      <c r="I6649" s="24" t="str">
        <f ca="1">IFERROR(__xludf.DUMMYFUNCTION("GOOGLETRANSLATE(F6649,""en"",""pt"")"),"Precision Approach Path Indicator (PAPI)")</f>
        <v>Precision Approach Path Indicator (PAPI)</v>
      </c>
      <c r="J6649">
        <f>VLOOKUP(A6649,Pr_Base_LNEC!$A$4:$J$6971,6,FALSE)</f>
        <v>0</v>
      </c>
      <c r="K6649">
        <f>VLOOKUP(A6649,Pr_Base_LNEC!$A$4:$J$6971,7,FALSE)</f>
        <v>0</v>
      </c>
    </row>
    <row r="6650" spans="1:11" ht="14.5">
      <c r="A6650" s="20" t="s">
        <v>30961</v>
      </c>
      <c r="B6650" s="20">
        <v>70</v>
      </c>
      <c r="C6650" s="20">
        <v>75</v>
      </c>
      <c r="D6650" s="20">
        <v>1</v>
      </c>
      <c r="E6650" s="20">
        <v>70</v>
      </c>
      <c r="F6650" s="20" t="s">
        <v>30962</v>
      </c>
      <c r="G6650" s="24"/>
      <c r="H6650" s="24"/>
      <c r="I6650" s="24" t="str">
        <f ca="1">IFERROR(__xludf.DUMMYFUNCTION("GOOGLETRANSLATE(F6650,""en"",""pt"")"),"Pista e taxiway elevado luzes")</f>
        <v>Pista e taxiway elevado luzes</v>
      </c>
      <c r="J6650">
        <f>VLOOKUP(A6650,Pr_Base_LNEC!$A$4:$J$6971,6,FALSE)</f>
        <v>0</v>
      </c>
      <c r="K6650">
        <f>VLOOKUP(A6650,Pr_Base_LNEC!$A$4:$J$6971,7,FALSE)</f>
        <v>0</v>
      </c>
    </row>
    <row r="6651" spans="1:11" ht="14.5">
      <c r="A6651" s="20" t="s">
        <v>30963</v>
      </c>
      <c r="B6651" s="20">
        <v>70</v>
      </c>
      <c r="C6651" s="20">
        <v>75</v>
      </c>
      <c r="D6651" s="20">
        <v>1</v>
      </c>
      <c r="E6651" s="20">
        <v>71</v>
      </c>
      <c r="F6651" s="20" t="s">
        <v>30964</v>
      </c>
      <c r="G6651" s="24"/>
      <c r="H6651" s="24"/>
      <c r="I6651" s="24" t="str">
        <f ca="1">IFERROR(__xludf.DUMMYFUNCTION("GOOGLETRANSLATE(F6651,""en"",""pt"")"),"Pista e taxiway luzes embutidas")</f>
        <v>Pista e taxiway luzes embutidas</v>
      </c>
      <c r="J6651">
        <f>VLOOKUP(A6651,Pr_Base_LNEC!$A$4:$J$6971,6,FALSE)</f>
        <v>0</v>
      </c>
      <c r="K6651">
        <f>VLOOKUP(A6651,Pr_Base_LNEC!$A$4:$J$6971,7,FALSE)</f>
        <v>0</v>
      </c>
    </row>
    <row r="6652" spans="1:11" ht="14.5">
      <c r="A6652" s="20" t="s">
        <v>30965</v>
      </c>
      <c r="B6652" s="20">
        <v>70</v>
      </c>
      <c r="C6652" s="20">
        <v>75</v>
      </c>
      <c r="D6652" s="20">
        <v>4</v>
      </c>
      <c r="E6652" s="24"/>
      <c r="F6652" s="20" t="s">
        <v>30966</v>
      </c>
      <c r="G6652" s="24"/>
      <c r="H6652" s="24"/>
      <c r="I6652" s="24" t="str">
        <f ca="1">IFERROR(__xludf.DUMMYFUNCTION("GOOGLETRANSLATE(F6652,""en"",""pt"")"),"De áudio, dados e placas de saída visuais e controladores")</f>
        <v>De áudio, dados e placas de saída visuais e controladores</v>
      </c>
      <c r="J6652">
        <f>VLOOKUP(A6652,Pr_Base_LNEC!$A$4:$J$6971,6,FALSE)</f>
        <v>0</v>
      </c>
      <c r="K6652">
        <f>VLOOKUP(A6652,Pr_Base_LNEC!$A$4:$J$6971,7,FALSE)</f>
        <v>0</v>
      </c>
    </row>
    <row r="6653" spans="1:11" ht="14.5">
      <c r="A6653" s="20" t="s">
        <v>30967</v>
      </c>
      <c r="B6653" s="20">
        <v>70</v>
      </c>
      <c r="C6653" s="20">
        <v>75</v>
      </c>
      <c r="D6653" s="20">
        <v>4</v>
      </c>
      <c r="E6653" s="20">
        <v>3</v>
      </c>
      <c r="F6653" s="20" t="s">
        <v>30968</v>
      </c>
      <c r="G6653" s="24"/>
      <c r="H6653" s="24"/>
      <c r="I6653" s="24" t="str">
        <f ca="1">IFERROR(__xludf.DUMMYFUNCTION("GOOGLETRANSLATE(F6653,""en"",""pt"")"),"adaptadores de interface de áudio")</f>
        <v>adaptadores de interface de áudio</v>
      </c>
      <c r="J6653">
        <f>VLOOKUP(A6653,Pr_Base_LNEC!$A$4:$J$6971,6,FALSE)</f>
        <v>0</v>
      </c>
      <c r="K6653">
        <f>VLOOKUP(A6653,Pr_Base_LNEC!$A$4:$J$6971,7,FALSE)</f>
        <v>0</v>
      </c>
    </row>
    <row r="6654" spans="1:11" ht="14.5">
      <c r="A6654" s="20" t="s">
        <v>30969</v>
      </c>
      <c r="B6654" s="20">
        <v>70</v>
      </c>
      <c r="C6654" s="20">
        <v>75</v>
      </c>
      <c r="D6654" s="20">
        <v>4</v>
      </c>
      <c r="E6654" s="20">
        <v>6</v>
      </c>
      <c r="F6654" s="20" t="s">
        <v>30970</v>
      </c>
      <c r="G6654" s="20" t="s">
        <v>30971</v>
      </c>
      <c r="H6654" s="24"/>
      <c r="I6654" s="24" t="str">
        <f ca="1">IFERROR(__xludf.DUMMYFUNCTION("GOOGLETRANSLATE(F6654,""en"",""pt"")"),"placas de saída do cabo de par entrançado equilibradas")</f>
        <v>placas de saída do cabo de par entrançado equilibradas</v>
      </c>
      <c r="J6654">
        <f>VLOOKUP(A6654,Pr_Base_LNEC!$A$4:$J$6971,6,FALSE)</f>
        <v>0</v>
      </c>
      <c r="K6654">
        <f>VLOOKUP(A6654,Pr_Base_LNEC!$A$4:$J$6971,7,FALSE)</f>
        <v>0</v>
      </c>
    </row>
    <row r="6655" spans="1:11" ht="14.5">
      <c r="A6655" s="20" t="s">
        <v>30972</v>
      </c>
      <c r="B6655" s="20">
        <v>70</v>
      </c>
      <c r="C6655" s="20">
        <v>75</v>
      </c>
      <c r="D6655" s="20">
        <v>4</v>
      </c>
      <c r="E6655" s="20">
        <v>25</v>
      </c>
      <c r="F6655" s="20" t="s">
        <v>30973</v>
      </c>
      <c r="G6655" s="24"/>
      <c r="H6655" s="24"/>
      <c r="I6655" s="24" t="str">
        <f ca="1">IFERROR(__xludf.DUMMYFUNCTION("GOOGLETRANSLATE(F6655,""en"",""pt"")"),"placas de saída DVI")</f>
        <v>placas de saída DVI</v>
      </c>
      <c r="J6655">
        <f>VLOOKUP(A6655,Pr_Base_LNEC!$A$4:$J$6971,6,FALSE)</f>
        <v>0</v>
      </c>
      <c r="K6655">
        <f>VLOOKUP(A6655,Pr_Base_LNEC!$A$4:$J$6971,7,FALSE)</f>
        <v>0</v>
      </c>
    </row>
    <row r="6656" spans="1:11" ht="14.5">
      <c r="A6656" s="20" t="s">
        <v>30974</v>
      </c>
      <c r="B6656" s="20">
        <v>70</v>
      </c>
      <c r="C6656" s="20">
        <v>75</v>
      </c>
      <c r="D6656" s="20">
        <v>4</v>
      </c>
      <c r="E6656" s="20">
        <v>29</v>
      </c>
      <c r="F6656" s="20" t="s">
        <v>30975</v>
      </c>
      <c r="G6656" s="20" t="s">
        <v>30976</v>
      </c>
      <c r="H6656" s="24"/>
      <c r="I6656" s="24" t="str">
        <f ca="1">IFERROR(__xludf.DUMMYFUNCTION("GOOGLETRANSLATE(F6656,""en"",""pt"")"),"Fibra placas de saída do cabo óptico")</f>
        <v>Fibra placas de saída do cabo óptico</v>
      </c>
      <c r="J6656">
        <f>VLOOKUP(A6656,Pr_Base_LNEC!$A$4:$J$6971,6,FALSE)</f>
        <v>0</v>
      </c>
      <c r="K6656">
        <f>VLOOKUP(A6656,Pr_Base_LNEC!$A$4:$J$6971,7,FALSE)</f>
        <v>0</v>
      </c>
    </row>
    <row r="6657" spans="1:11" ht="14.5">
      <c r="A6657" s="20" t="s">
        <v>30977</v>
      </c>
      <c r="B6657" s="20">
        <v>70</v>
      </c>
      <c r="C6657" s="20">
        <v>75</v>
      </c>
      <c r="D6657" s="20">
        <v>4</v>
      </c>
      <c r="E6657" s="20">
        <v>37</v>
      </c>
      <c r="F6657" s="20" t="s">
        <v>30978</v>
      </c>
      <c r="G6657" s="24"/>
      <c r="H6657" s="24"/>
      <c r="I6657" s="24" t="str">
        <f ca="1">IFERROR(__xludf.DUMMYFUNCTION("GOOGLETRANSLATE(F6657,""en"",""pt"")"),"placas de saída HDMI")</f>
        <v>placas de saída HDMI</v>
      </c>
      <c r="J6657">
        <f>VLOOKUP(A6657,Pr_Base_LNEC!$A$4:$J$6971,6,FALSE)</f>
        <v>0</v>
      </c>
      <c r="K6657">
        <f>VLOOKUP(A6657,Pr_Base_LNEC!$A$4:$J$6971,7,FALSE)</f>
        <v>0</v>
      </c>
    </row>
    <row r="6658" spans="1:11" ht="14.5">
      <c r="A6658" s="20" t="s">
        <v>30979</v>
      </c>
      <c r="B6658" s="20">
        <v>70</v>
      </c>
      <c r="C6658" s="20">
        <v>75</v>
      </c>
      <c r="D6658" s="20">
        <v>4</v>
      </c>
      <c r="E6658" s="20">
        <v>42</v>
      </c>
      <c r="F6658" s="20" t="s">
        <v>30980</v>
      </c>
      <c r="G6658" s="24"/>
      <c r="H6658" s="24"/>
      <c r="I6658" s="24" t="str">
        <f ca="1">IFERROR(__xludf.DUMMYFUNCTION("GOOGLETRANSLATE(F6658,""en"",""pt"")"),"expansores de portas de entrada e de saída de controle")</f>
        <v>expansores de portas de entrada e de saída de controle</v>
      </c>
      <c r="J6658">
        <f>VLOOKUP(A6658,Pr_Base_LNEC!$A$4:$J$6971,6,FALSE)</f>
        <v>0</v>
      </c>
      <c r="K6658">
        <f>VLOOKUP(A6658,Pr_Base_LNEC!$A$4:$J$6971,7,FALSE)</f>
        <v>0</v>
      </c>
    </row>
    <row r="6659" spans="1:11" ht="14.5">
      <c r="A6659" s="20" t="s">
        <v>30981</v>
      </c>
      <c r="B6659" s="20">
        <v>70</v>
      </c>
      <c r="C6659" s="20">
        <v>75</v>
      </c>
      <c r="D6659" s="20">
        <v>4</v>
      </c>
      <c r="E6659" s="20">
        <v>52</v>
      </c>
      <c r="F6659" s="20" t="s">
        <v>30982</v>
      </c>
      <c r="G6659" s="20" t="s">
        <v>30983</v>
      </c>
      <c r="H6659" s="24"/>
      <c r="I6659" s="24" t="str">
        <f ca="1">IFERROR(__xludf.DUMMYFUNCTION("GOOGLETRANSLATE(F6659,""en"",""pt"")"),"jacks modulares")</f>
        <v>jacks modulares</v>
      </c>
      <c r="J6659">
        <f>VLOOKUP(A6659,Pr_Base_LNEC!$A$4:$J$6971,6,FALSE)</f>
        <v>0</v>
      </c>
      <c r="K6659">
        <f>VLOOKUP(A6659,Pr_Base_LNEC!$A$4:$J$6971,7,FALSE)</f>
        <v>0</v>
      </c>
    </row>
    <row r="6660" spans="1:11" ht="14.5">
      <c r="A6660" s="20" t="s">
        <v>30984</v>
      </c>
      <c r="B6660" s="20">
        <v>70</v>
      </c>
      <c r="C6660" s="20">
        <v>75</v>
      </c>
      <c r="D6660" s="20">
        <v>4</v>
      </c>
      <c r="E6660" s="20">
        <v>70</v>
      </c>
      <c r="F6660" s="20" t="s">
        <v>30985</v>
      </c>
      <c r="G6660" s="24"/>
      <c r="H6660" s="24"/>
      <c r="I6660" s="24" t="str">
        <f ca="1">IFERROR(__xludf.DUMMYFUNCTION("GOOGLETRANSLATE(F6660,""en"",""pt"")"),"placas de saída RCA")</f>
        <v>placas de saída RCA</v>
      </c>
      <c r="J6660">
        <f>VLOOKUP(A6660,Pr_Base_LNEC!$A$4:$J$6971,6,FALSE)</f>
        <v>0</v>
      </c>
      <c r="K6660">
        <f>VLOOKUP(A6660,Pr_Base_LNEC!$A$4:$J$6971,7,FALSE)</f>
        <v>0</v>
      </c>
    </row>
    <row r="6661" spans="1:11" ht="14.5">
      <c r="A6661" s="20" t="s">
        <v>30986</v>
      </c>
      <c r="B6661" s="20">
        <v>70</v>
      </c>
      <c r="C6661" s="20">
        <v>75</v>
      </c>
      <c r="D6661" s="20">
        <v>4</v>
      </c>
      <c r="E6661" s="20">
        <v>71</v>
      </c>
      <c r="F6661" s="20" t="s">
        <v>30987</v>
      </c>
      <c r="G6661" s="20" t="s">
        <v>30988</v>
      </c>
      <c r="H6661" s="24"/>
      <c r="I6661" s="24" t="str">
        <f ca="1">IFERROR(__xludf.DUMMYFUNCTION("GOOGLETRANSLATE(F6661,""en"",""pt"")"),"RJ-45 a adaptadores BT")</f>
        <v>RJ-45 a adaptadores BT</v>
      </c>
      <c r="J6661">
        <f>VLOOKUP(A6661,Pr_Base_LNEC!$A$4:$J$6971,6,FALSE)</f>
        <v>0</v>
      </c>
      <c r="K6661">
        <f>VLOOKUP(A6661,Pr_Base_LNEC!$A$4:$J$6971,7,FALSE)</f>
        <v>0</v>
      </c>
    </row>
    <row r="6662" spans="1:11" ht="14.5">
      <c r="A6662" s="20" t="s">
        <v>30989</v>
      </c>
      <c r="B6662" s="20">
        <v>70</v>
      </c>
      <c r="C6662" s="20">
        <v>75</v>
      </c>
      <c r="D6662" s="20">
        <v>4</v>
      </c>
      <c r="E6662" s="20">
        <v>85</v>
      </c>
      <c r="F6662" s="20" t="s">
        <v>30990</v>
      </c>
      <c r="G6662" s="24"/>
      <c r="H6662" s="24"/>
      <c r="I6662" s="24" t="str">
        <f ca="1">IFERROR(__xludf.DUMMYFUNCTION("GOOGLETRANSLATE(F6662,""en"",""pt"")"),"placas de saída SVGA")</f>
        <v>placas de saída SVGA</v>
      </c>
      <c r="J6662">
        <f>VLOOKUP(A6662,Pr_Base_LNEC!$A$4:$J$6971,6,FALSE)</f>
        <v>0</v>
      </c>
      <c r="K6662">
        <f>VLOOKUP(A6662,Pr_Base_LNEC!$A$4:$J$6971,7,FALSE)</f>
        <v>0</v>
      </c>
    </row>
    <row r="6663" spans="1:11" ht="14.5">
      <c r="A6663" s="20" t="s">
        <v>30991</v>
      </c>
      <c r="B6663" s="20">
        <v>70</v>
      </c>
      <c r="C6663" s="20">
        <v>75</v>
      </c>
      <c r="D6663" s="20">
        <v>4</v>
      </c>
      <c r="E6663" s="20">
        <v>88</v>
      </c>
      <c r="F6663" s="20" t="s">
        <v>30992</v>
      </c>
      <c r="G6663" s="20" t="s">
        <v>30993</v>
      </c>
      <c r="H6663" s="24"/>
      <c r="I6663" s="24" t="str">
        <f ca="1">IFERROR(__xludf.DUMMYFUNCTION("GOOGLETRANSLATE(F6663,""en"",""pt"")"),"placas de tomada de telecomunicações")</f>
        <v>placas de tomada de telecomunicações</v>
      </c>
      <c r="J6663">
        <f>VLOOKUP(A6663,Pr_Base_LNEC!$A$4:$J$6971,6,FALSE)</f>
        <v>0</v>
      </c>
      <c r="K6663">
        <f>VLOOKUP(A6663,Pr_Base_LNEC!$A$4:$J$6971,7,FALSE)</f>
        <v>0</v>
      </c>
    </row>
    <row r="6664" spans="1:11" ht="14.5">
      <c r="A6664" s="20" t="s">
        <v>30994</v>
      </c>
      <c r="B6664" s="20">
        <v>70</v>
      </c>
      <c r="C6664" s="20">
        <v>75</v>
      </c>
      <c r="D6664" s="20">
        <v>4</v>
      </c>
      <c r="E6664" s="20">
        <v>90</v>
      </c>
      <c r="F6664" s="20" t="s">
        <v>30995</v>
      </c>
      <c r="G6664" s="20" t="s">
        <v>30996</v>
      </c>
      <c r="H6664" s="24"/>
      <c r="I6664" s="24" t="str">
        <f ca="1">IFERROR(__xludf.DUMMYFUNCTION("GOOGLETRANSLATE(F6664,""en"",""pt"")"),"placas de saída de televisão")</f>
        <v>placas de saída de televisão</v>
      </c>
      <c r="J6664">
        <f>VLOOKUP(A6664,Pr_Base_LNEC!$A$4:$J$6971,6,FALSE)</f>
        <v>0</v>
      </c>
      <c r="K6664">
        <f>VLOOKUP(A6664,Pr_Base_LNEC!$A$4:$J$6971,7,FALSE)</f>
        <v>0</v>
      </c>
    </row>
    <row r="6665" spans="1:11" ht="14.5">
      <c r="A6665" s="20" t="s">
        <v>30997</v>
      </c>
      <c r="B6665" s="20">
        <v>70</v>
      </c>
      <c r="C6665" s="20">
        <v>75</v>
      </c>
      <c r="D6665" s="20">
        <v>4</v>
      </c>
      <c r="E6665" s="20">
        <v>94</v>
      </c>
      <c r="F6665" s="20" t="s">
        <v>30998</v>
      </c>
      <c r="G6665" s="24"/>
      <c r="H6665" s="24"/>
      <c r="I6665" s="24" t="str">
        <f ca="1">IFERROR(__xludf.DUMMYFUNCTION("GOOGLETRANSLATE(F6665,""en"",""pt"")"),"controladores de volume")</f>
        <v>controladores de volume</v>
      </c>
      <c r="J6665">
        <f>VLOOKUP(A6665,Pr_Base_LNEC!$A$4:$J$6971,6,FALSE)</f>
        <v>0</v>
      </c>
      <c r="K6665">
        <f>VLOOKUP(A6665,Pr_Base_LNEC!$A$4:$J$6971,7,FALSE)</f>
        <v>0</v>
      </c>
    </row>
    <row r="6666" spans="1:11" ht="14.5">
      <c r="A6666" s="20" t="s">
        <v>30999</v>
      </c>
      <c r="B6666" s="20">
        <v>70</v>
      </c>
      <c r="C6666" s="20">
        <v>75</v>
      </c>
      <c r="D6666" s="20">
        <v>4</v>
      </c>
      <c r="E6666" s="20">
        <v>99</v>
      </c>
      <c r="F6666" s="20" t="s">
        <v>31000</v>
      </c>
      <c r="G6666" s="24"/>
      <c r="H6666" s="24"/>
      <c r="I6666" s="24" t="str">
        <f ca="1">IFERROR(__xludf.DUMMYFUNCTION("GOOGLETRANSLATE(F6666,""en"",""pt"")"),"placas de saída XLR")</f>
        <v>placas de saída XLR</v>
      </c>
      <c r="J6666">
        <f>VLOOKUP(A6666,Pr_Base_LNEC!$A$4:$J$6971,6,FALSE)</f>
        <v>0</v>
      </c>
      <c r="K6666">
        <f>VLOOKUP(A6666,Pr_Base_LNEC!$A$4:$J$6971,7,FALSE)</f>
        <v>0</v>
      </c>
    </row>
    <row r="6667" spans="1:11" ht="14.5">
      <c r="A6667" s="20" t="s">
        <v>31001</v>
      </c>
      <c r="B6667" s="20">
        <v>70</v>
      </c>
      <c r="C6667" s="20">
        <v>75</v>
      </c>
      <c r="D6667" s="20">
        <v>36</v>
      </c>
      <c r="E6667" s="24"/>
      <c r="F6667" s="20" t="s">
        <v>31002</v>
      </c>
      <c r="G6667" s="24"/>
      <c r="H6667" s="24"/>
      <c r="I6667" s="24" t="str">
        <f ca="1">IFERROR(__xludf.DUMMYFUNCTION("GOOGLETRANSLATE(F6667,""en"",""pt"")"),"Audição e assistida produtos de escuta")</f>
        <v>Audição e assistida produtos de escuta</v>
      </c>
      <c r="J6667">
        <f>VLOOKUP(A6667,Pr_Base_LNEC!$A$4:$J$6971,6,FALSE)</f>
        <v>0</v>
      </c>
      <c r="K6667">
        <f>VLOOKUP(A6667,Pr_Base_LNEC!$A$4:$J$6971,7,FALSE)</f>
        <v>0</v>
      </c>
    </row>
    <row r="6668" spans="1:11" ht="14.5">
      <c r="A6668" s="20" t="s">
        <v>31003</v>
      </c>
      <c r="B6668" s="20">
        <v>70</v>
      </c>
      <c r="C6668" s="20">
        <v>75</v>
      </c>
      <c r="D6668" s="20">
        <v>36</v>
      </c>
      <c r="E6668" s="20">
        <v>8</v>
      </c>
      <c r="F6668" s="20" t="s">
        <v>31004</v>
      </c>
      <c r="G6668" s="20" t="s">
        <v>31005</v>
      </c>
      <c r="H6668" s="24"/>
      <c r="I6668" s="24" t="str">
        <f ca="1">IFERROR(__xludf.DUMMYFUNCTION("GOOGLETRANSLATE(F6668,""en"",""pt"")"),"receptores bodypack")</f>
        <v>receptores bodypack</v>
      </c>
      <c r="J6668">
        <f>VLOOKUP(A6668,Pr_Base_LNEC!$A$4:$J$6971,6,FALSE)</f>
        <v>0</v>
      </c>
      <c r="K6668">
        <f>VLOOKUP(A6668,Pr_Base_LNEC!$A$4:$J$6971,7,FALSE)</f>
        <v>0</v>
      </c>
    </row>
    <row r="6669" spans="1:11" ht="14.5">
      <c r="A6669" s="20" t="s">
        <v>31006</v>
      </c>
      <c r="B6669" s="20">
        <v>70</v>
      </c>
      <c r="C6669" s="20">
        <v>75</v>
      </c>
      <c r="D6669" s="20">
        <v>36</v>
      </c>
      <c r="E6669" s="20">
        <v>36</v>
      </c>
      <c r="F6669" s="20" t="s">
        <v>31007</v>
      </c>
      <c r="G6669" s="20" t="s">
        <v>31008</v>
      </c>
      <c r="H6669" s="24"/>
      <c r="I6669" s="24" t="str">
        <f ca="1">IFERROR(__xludf.DUMMYFUNCTION("GOOGLETRANSLATE(F6669,""en"",""pt"")"),"Fones de ouvido")</f>
        <v>Fones de ouvido</v>
      </c>
      <c r="J6669">
        <f>VLOOKUP(A6669,Pr_Base_LNEC!$A$4:$J$6971,6,FALSE)</f>
        <v>0</v>
      </c>
      <c r="K6669">
        <f>VLOOKUP(A6669,Pr_Base_LNEC!$A$4:$J$6971,7,FALSE)</f>
        <v>0</v>
      </c>
    </row>
    <row r="6670" spans="1:11" ht="14.5">
      <c r="A6670" s="20" t="s">
        <v>31009</v>
      </c>
      <c r="B6670" s="20">
        <v>70</v>
      </c>
      <c r="C6670" s="20">
        <v>75</v>
      </c>
      <c r="D6670" s="20">
        <v>36</v>
      </c>
      <c r="E6670" s="20">
        <v>37</v>
      </c>
      <c r="F6670" s="20" t="s">
        <v>31010</v>
      </c>
      <c r="G6670" s="20" t="s">
        <v>31008</v>
      </c>
      <c r="H6670" s="24"/>
      <c r="I6670" s="24" t="str">
        <f ca="1">IFERROR(__xludf.DUMMYFUNCTION("GOOGLETRANSLATE(F6670,""en"",""pt"")"),"headsets")</f>
        <v>headsets</v>
      </c>
      <c r="J6670">
        <f>VLOOKUP(A6670,Pr_Base_LNEC!$A$4:$J$6971,6,FALSE)</f>
        <v>0</v>
      </c>
      <c r="K6670">
        <f>VLOOKUP(A6670,Pr_Base_LNEC!$A$4:$J$6971,7,FALSE)</f>
        <v>0</v>
      </c>
    </row>
    <row r="6671" spans="1:11" ht="14.5">
      <c r="A6671" s="20" t="s">
        <v>31011</v>
      </c>
      <c r="B6671" s="20">
        <v>70</v>
      </c>
      <c r="C6671" s="20">
        <v>75</v>
      </c>
      <c r="D6671" s="20">
        <v>36</v>
      </c>
      <c r="E6671" s="20">
        <v>40</v>
      </c>
      <c r="F6671" s="20" t="s">
        <v>31012</v>
      </c>
      <c r="G6671" s="20" t="s">
        <v>31013</v>
      </c>
      <c r="H6671" s="24"/>
      <c r="I6671" s="24" t="str">
        <f ca="1">IFERROR(__xludf.DUMMYFUNCTION("GOOGLETRANSLATE(F6671,""en"",""pt"")"),"amplificadores laço de indução")</f>
        <v>amplificadores laço de indução</v>
      </c>
      <c r="J6671">
        <f>VLOOKUP(A6671,Pr_Base_LNEC!$A$4:$J$6971,6,FALSE)</f>
        <v>0</v>
      </c>
      <c r="K6671">
        <f>VLOOKUP(A6671,Pr_Base_LNEC!$A$4:$J$6971,7,FALSE)</f>
        <v>0</v>
      </c>
    </row>
    <row r="6672" spans="1:11" ht="14.5">
      <c r="A6672" s="20" t="s">
        <v>31014</v>
      </c>
      <c r="B6672" s="20">
        <v>70</v>
      </c>
      <c r="C6672" s="20">
        <v>75</v>
      </c>
      <c r="D6672" s="20">
        <v>36</v>
      </c>
      <c r="E6672" s="20">
        <v>41</v>
      </c>
      <c r="F6672" s="20" t="s">
        <v>31015</v>
      </c>
      <c r="G6672" s="20" t="s">
        <v>31016</v>
      </c>
      <c r="H6672" s="24"/>
      <c r="I6672" s="24" t="str">
        <f ca="1">IFERROR(__xludf.DUMMYFUNCTION("GOOGLETRANSLATE(F6672,""en"",""pt"")"),"pastilhas de circuito de indução")</f>
        <v>pastilhas de circuito de indução</v>
      </c>
      <c r="J6672">
        <f>VLOOKUP(A6672,Pr_Base_LNEC!$A$4:$J$6971,6,FALSE)</f>
        <v>0</v>
      </c>
      <c r="K6672">
        <f>VLOOKUP(A6672,Pr_Base_LNEC!$A$4:$J$6971,7,FALSE)</f>
        <v>0</v>
      </c>
    </row>
    <row r="6673" spans="1:11" ht="14.5">
      <c r="A6673" s="20" t="s">
        <v>31017</v>
      </c>
      <c r="B6673" s="20">
        <v>70</v>
      </c>
      <c r="C6673" s="20">
        <v>75</v>
      </c>
      <c r="D6673" s="20">
        <v>36</v>
      </c>
      <c r="E6673" s="20">
        <v>42</v>
      </c>
      <c r="F6673" s="20" t="s">
        <v>31018</v>
      </c>
      <c r="G6673" s="20" t="s">
        <v>31019</v>
      </c>
      <c r="H6673" s="24"/>
      <c r="I6673" s="24" t="str">
        <f ca="1">IFERROR(__xludf.DUMMYFUNCTION("GOOGLETRANSLATE(F6673,""en"",""pt"")"),"geradores de sinais de circuito de indução")</f>
        <v>geradores de sinais de circuito de indução</v>
      </c>
      <c r="J6673">
        <f>VLOOKUP(A6673,Pr_Base_LNEC!$A$4:$J$6971,6,FALSE)</f>
        <v>0</v>
      </c>
      <c r="K6673">
        <f>VLOOKUP(A6673,Pr_Base_LNEC!$A$4:$J$6971,7,FALSE)</f>
        <v>0</v>
      </c>
    </row>
    <row r="6674" spans="1:11" ht="14.5">
      <c r="A6674" s="20" t="s">
        <v>31020</v>
      </c>
      <c r="B6674" s="20">
        <v>70</v>
      </c>
      <c r="C6674" s="20">
        <v>75</v>
      </c>
      <c r="D6674" s="20">
        <v>36</v>
      </c>
      <c r="E6674" s="20">
        <v>43</v>
      </c>
      <c r="F6674" s="20" t="s">
        <v>31021</v>
      </c>
      <c r="G6674" s="20" t="s">
        <v>31022</v>
      </c>
      <c r="H6674" s="24"/>
      <c r="I6674" s="24" t="str">
        <f ca="1">IFERROR(__xludf.DUMMYFUNCTION("GOOGLETRANSLATE(F6674,""en"",""pt"")"),"transformadores laço de indução")</f>
        <v>transformadores laço de indução</v>
      </c>
      <c r="J6674">
        <f>VLOOKUP(A6674,Pr_Base_LNEC!$A$4:$J$6971,6,FALSE)</f>
        <v>0</v>
      </c>
      <c r="K6674">
        <f>VLOOKUP(A6674,Pr_Base_LNEC!$A$4:$J$6971,7,FALSE)</f>
        <v>0</v>
      </c>
    </row>
    <row r="6675" spans="1:11" ht="14.5">
      <c r="A6675" s="20" t="s">
        <v>31023</v>
      </c>
      <c r="B6675" s="20">
        <v>70</v>
      </c>
      <c r="C6675" s="20">
        <v>75</v>
      </c>
      <c r="D6675" s="20">
        <v>36</v>
      </c>
      <c r="E6675" s="20">
        <v>44</v>
      </c>
      <c r="F6675" s="20" t="s">
        <v>31024</v>
      </c>
      <c r="G6675" s="20" t="s">
        <v>31025</v>
      </c>
      <c r="H6675" s="24"/>
      <c r="I6675" s="24" t="str">
        <f ca="1">IFERROR(__xludf.DUMMYFUNCTION("GOOGLETRANSLATE(F6675,""en"",""pt"")"),"lacetes de indução pescoço")</f>
        <v>lacetes de indução pescoço</v>
      </c>
      <c r="J6675">
        <f>VLOOKUP(A6675,Pr_Base_LNEC!$A$4:$J$6971,6,FALSE)</f>
        <v>0</v>
      </c>
      <c r="K6675">
        <f>VLOOKUP(A6675,Pr_Base_LNEC!$A$4:$J$6971,7,FALSE)</f>
        <v>0</v>
      </c>
    </row>
    <row r="6676" spans="1:11" ht="14.5">
      <c r="A6676" s="20" t="s">
        <v>31026</v>
      </c>
      <c r="B6676" s="20">
        <v>70</v>
      </c>
      <c r="C6676" s="20">
        <v>75</v>
      </c>
      <c r="D6676" s="20">
        <v>36</v>
      </c>
      <c r="E6676" s="20">
        <v>45</v>
      </c>
      <c r="F6676" s="20" t="s">
        <v>31027</v>
      </c>
      <c r="G6676" s="20" t="s">
        <v>31028</v>
      </c>
      <c r="H6676" s="24"/>
      <c r="I6676" s="24" t="str">
        <f ca="1">IFERROR(__xludf.DUMMYFUNCTION("GOOGLETRANSLATE(F6676,""en"",""pt"")"),"receptores de monitor indução de circuito")</f>
        <v>receptores de monitor indução de circuito</v>
      </c>
      <c r="J6676">
        <f>VLOOKUP(A6676,Pr_Base_LNEC!$A$4:$J$6971,6,FALSE)</f>
        <v>0</v>
      </c>
      <c r="K6676">
        <f>VLOOKUP(A6676,Pr_Base_LNEC!$A$4:$J$6971,7,FALSE)</f>
        <v>0</v>
      </c>
    </row>
    <row r="6677" spans="1:11" ht="14.5">
      <c r="A6677" s="20" t="s">
        <v>31029</v>
      </c>
      <c r="B6677" s="20">
        <v>70</v>
      </c>
      <c r="C6677" s="20">
        <v>75</v>
      </c>
      <c r="D6677" s="20">
        <v>36</v>
      </c>
      <c r="E6677" s="20">
        <v>46</v>
      </c>
      <c r="F6677" s="20" t="s">
        <v>31030</v>
      </c>
      <c r="G6677" s="20" t="s">
        <v>31031</v>
      </c>
      <c r="H6677" s="24"/>
      <c r="I6677" s="24" t="str">
        <f ca="1">IFERROR(__xludf.DUMMYFUNCTION("GOOGLETRANSLATE(F6677,""en"",""pt"")"),"indicadores de resseguro laço de indução")</f>
        <v>indicadores de resseguro laço de indução</v>
      </c>
      <c r="J6677">
        <f>VLOOKUP(A6677,Pr_Base_LNEC!$A$4:$J$6971,6,FALSE)</f>
        <v>0</v>
      </c>
      <c r="K6677">
        <f>VLOOKUP(A6677,Pr_Base_LNEC!$A$4:$J$6971,7,FALSE)</f>
        <v>0</v>
      </c>
    </row>
    <row r="6678" spans="1:11" ht="14.5">
      <c r="A6678" s="20" t="s">
        <v>31032</v>
      </c>
      <c r="B6678" s="20">
        <v>70</v>
      </c>
      <c r="C6678" s="20">
        <v>75</v>
      </c>
      <c r="D6678" s="20">
        <v>36</v>
      </c>
      <c r="E6678" s="20">
        <v>47</v>
      </c>
      <c r="F6678" s="20" t="s">
        <v>31033</v>
      </c>
      <c r="G6678" s="20" t="s">
        <v>31034</v>
      </c>
      <c r="H6678" s="24"/>
      <c r="I6678" s="24" t="str">
        <f ca="1">IFERROR(__xludf.DUMMYFUNCTION("GOOGLETRANSLATE(F6678,""en"",""pt"")"),"audição infravermelho e moduladores de escuta assistida")</f>
        <v>audição infravermelho e moduladores de escuta assistida</v>
      </c>
      <c r="J6678">
        <f>VLOOKUP(A6678,Pr_Base_LNEC!$A$4:$J$6971,6,FALSE)</f>
        <v>0</v>
      </c>
      <c r="K6678">
        <f>VLOOKUP(A6678,Pr_Base_LNEC!$A$4:$J$6971,7,FALSE)</f>
        <v>0</v>
      </c>
    </row>
    <row r="6679" spans="1:11" ht="14.5">
      <c r="A6679" s="20" t="s">
        <v>31035</v>
      </c>
      <c r="B6679" s="20">
        <v>70</v>
      </c>
      <c r="C6679" s="20">
        <v>75</v>
      </c>
      <c r="D6679" s="20">
        <v>36</v>
      </c>
      <c r="E6679" s="20">
        <v>48</v>
      </c>
      <c r="F6679" s="20" t="s">
        <v>31036</v>
      </c>
      <c r="G6679" s="20" t="s">
        <v>31037</v>
      </c>
      <c r="H6679" s="24"/>
      <c r="I6679" s="24" t="str">
        <f ca="1">IFERROR(__xludf.DUMMYFUNCTION("GOOGLETRANSLATE(F6679,""en"",""pt"")"),"audição infravermelho e radiadores de escuta assistida")</f>
        <v>audição infravermelho e radiadores de escuta assistida</v>
      </c>
      <c r="J6679">
        <f>VLOOKUP(A6679,Pr_Base_LNEC!$A$4:$J$6971,6,FALSE)</f>
        <v>0</v>
      </c>
      <c r="K6679">
        <f>VLOOKUP(A6679,Pr_Base_LNEC!$A$4:$J$6971,7,FALSE)</f>
        <v>0</v>
      </c>
    </row>
    <row r="6680" spans="1:11" ht="14.5">
      <c r="A6680" s="20" t="s">
        <v>31038</v>
      </c>
      <c r="B6680" s="20">
        <v>70</v>
      </c>
      <c r="C6680" s="20">
        <v>75</v>
      </c>
      <c r="D6680" s="20">
        <v>36</v>
      </c>
      <c r="E6680" s="20">
        <v>50</v>
      </c>
      <c r="F6680" s="20" t="s">
        <v>31039</v>
      </c>
      <c r="G6680" s="20" t="s">
        <v>31040</v>
      </c>
      <c r="H6680" s="24"/>
      <c r="I6680" s="24" t="str">
        <f ca="1">IFERROR(__xludf.DUMMYFUNCTION("GOOGLETRANSLATE(F6680,""en"",""pt"")"),"altifalantes")</f>
        <v>altifalantes</v>
      </c>
      <c r="J6680">
        <f>VLOOKUP(A6680,Pr_Base_LNEC!$A$4:$J$6971,6,FALSE)</f>
        <v>0</v>
      </c>
      <c r="K6680">
        <f>VLOOKUP(A6680,Pr_Base_LNEC!$A$4:$J$6971,7,FALSE)</f>
        <v>0</v>
      </c>
    </row>
    <row r="6681" spans="1:11" ht="14.5">
      <c r="A6681" s="20" t="s">
        <v>31041</v>
      </c>
      <c r="B6681" s="20">
        <v>70</v>
      </c>
      <c r="C6681" s="20">
        <v>75</v>
      </c>
      <c r="D6681" s="20">
        <v>36</v>
      </c>
      <c r="E6681" s="20">
        <v>51</v>
      </c>
      <c r="F6681" s="20" t="s">
        <v>31042</v>
      </c>
      <c r="G6681" s="24"/>
      <c r="H6681" s="24"/>
      <c r="I6681" s="24" t="str">
        <f ca="1">IFERROR(__xludf.DUMMYFUNCTION("GOOGLETRANSLATE(F6681,""en"",""pt"")"),"final altifalante de unidades de linha")</f>
        <v>final altifalante de unidades de linha</v>
      </c>
      <c r="J6681">
        <f>VLOOKUP(A6681,Pr_Base_LNEC!$A$4:$J$6971,6,FALSE)</f>
        <v>0</v>
      </c>
      <c r="K6681">
        <f>VLOOKUP(A6681,Pr_Base_LNEC!$A$4:$J$6971,7,FALSE)</f>
        <v>0</v>
      </c>
    </row>
    <row r="6682" spans="1:11" ht="14.5">
      <c r="A6682" s="20" t="s">
        <v>31043</v>
      </c>
      <c r="B6682" s="20">
        <v>70</v>
      </c>
      <c r="C6682" s="20">
        <v>75</v>
      </c>
      <c r="D6682" s="20">
        <v>36</v>
      </c>
      <c r="E6682" s="20">
        <v>64</v>
      </c>
      <c r="F6682" s="20" t="s">
        <v>31044</v>
      </c>
      <c r="G6682" s="20" t="s">
        <v>31045</v>
      </c>
      <c r="H6682" s="24"/>
      <c r="I6682" s="24" t="str">
        <f ca="1">IFERROR(__xludf.DUMMYFUNCTION("GOOGLETRANSLATE(F6682,""en"",""pt"")"),"comunicadores portáteis")</f>
        <v>comunicadores portáteis</v>
      </c>
      <c r="J6682">
        <f>VLOOKUP(A6682,Pr_Base_LNEC!$A$4:$J$6971,6,FALSE)</f>
        <v>0</v>
      </c>
      <c r="K6682">
        <f>VLOOKUP(A6682,Pr_Base_LNEC!$A$4:$J$6971,7,FALSE)</f>
        <v>0</v>
      </c>
    </row>
    <row r="6683" spans="1:11" ht="14.5">
      <c r="A6683" s="20" t="s">
        <v>31046</v>
      </c>
      <c r="B6683" s="20">
        <v>70</v>
      </c>
      <c r="C6683" s="20">
        <v>75</v>
      </c>
      <c r="D6683" s="20">
        <v>36</v>
      </c>
      <c r="E6683" s="20">
        <v>84</v>
      </c>
      <c r="F6683" s="20" t="s">
        <v>31047</v>
      </c>
      <c r="G6683" s="20" t="s">
        <v>31048</v>
      </c>
      <c r="H6683" s="24"/>
      <c r="I6683" s="24" t="str">
        <f ca="1">IFERROR(__xludf.DUMMYFUNCTION("GOOGLETRANSLATE(F6683,""en"",""pt"")"),"Stethosets")</f>
        <v>Stethosets</v>
      </c>
      <c r="J6683">
        <f>VLOOKUP(A6683,Pr_Base_LNEC!$A$4:$J$6971,6,FALSE)</f>
        <v>0</v>
      </c>
      <c r="K6683">
        <f>VLOOKUP(A6683,Pr_Base_LNEC!$A$4:$J$6971,7,FALSE)</f>
        <v>0</v>
      </c>
    </row>
    <row r="6684" spans="1:11" ht="14.5">
      <c r="A6684" s="20" t="s">
        <v>31049</v>
      </c>
      <c r="B6684" s="20">
        <v>70</v>
      </c>
      <c r="C6684" s="20">
        <v>75</v>
      </c>
      <c r="D6684" s="20">
        <v>50</v>
      </c>
      <c r="E6684" s="24"/>
      <c r="F6684" s="20" t="s">
        <v>31050</v>
      </c>
      <c r="G6684" s="24"/>
      <c r="H6684" s="24"/>
      <c r="I6684" s="24" t="str">
        <f ca="1">IFERROR(__xludf.DUMMYFUNCTION("GOOGLETRANSLATE(F6684,""en"",""pt"")"),"sinais e indicadores marinhos")</f>
        <v>sinais e indicadores marinhos</v>
      </c>
      <c r="J6684">
        <f>VLOOKUP(A6684,Pr_Base_LNEC!$A$4:$J$6971,6,FALSE)</f>
        <v>0</v>
      </c>
      <c r="K6684">
        <f>VLOOKUP(A6684,Pr_Base_LNEC!$A$4:$J$6971,7,FALSE)</f>
        <v>0</v>
      </c>
    </row>
    <row r="6685" spans="1:11" ht="14.5">
      <c r="A6685" s="20" t="s">
        <v>31051</v>
      </c>
      <c r="B6685" s="20">
        <v>70</v>
      </c>
      <c r="C6685" s="20">
        <v>75</v>
      </c>
      <c r="D6685" s="20">
        <v>50</v>
      </c>
      <c r="E6685" s="20">
        <v>56</v>
      </c>
      <c r="F6685" s="20" t="s">
        <v>31052</v>
      </c>
      <c r="G6685" s="24"/>
      <c r="H6685" s="24"/>
      <c r="I6685" s="24" t="str">
        <f ca="1">IFERROR(__xludf.DUMMYFUNCTION("GOOGLETRANSLATE(F6685,""en"",""pt"")"),"bóias de sinalização de navegação")</f>
        <v>bóias de sinalização de navegação</v>
      </c>
      <c r="J6685">
        <f>VLOOKUP(A6685,Pr_Base_LNEC!$A$4:$J$6971,6,FALSE)</f>
        <v>0</v>
      </c>
      <c r="K6685">
        <f>VLOOKUP(A6685,Pr_Base_LNEC!$A$4:$J$6971,7,FALSE)</f>
        <v>0</v>
      </c>
    </row>
    <row r="6686" spans="1:11" ht="14.5">
      <c r="A6686" s="20" t="s">
        <v>31053</v>
      </c>
      <c r="B6686" s="20">
        <v>70</v>
      </c>
      <c r="C6686" s="20">
        <v>75</v>
      </c>
      <c r="D6686" s="20">
        <v>52</v>
      </c>
      <c r="E6686" s="24"/>
      <c r="F6686" s="20" t="s">
        <v>31054</v>
      </c>
      <c r="G6686" s="24"/>
      <c r="H6686" s="24"/>
      <c r="I6686" s="24" t="str">
        <f ca="1">IFERROR(__xludf.DUMMYFUNCTION("GOOGLETRANSLATE(F6686,""en"",""pt"")"),"Malha produtos de rede")</f>
        <v>Malha produtos de rede</v>
      </c>
      <c r="J6686">
        <f>VLOOKUP(A6686,Pr_Base_LNEC!$A$4:$J$6971,6,FALSE)</f>
        <v>0</v>
      </c>
      <c r="K6686">
        <f>VLOOKUP(A6686,Pr_Base_LNEC!$A$4:$J$6971,7,FALSE)</f>
        <v>0</v>
      </c>
    </row>
    <row r="6687" spans="1:11" ht="14.5">
      <c r="A6687" s="20" t="s">
        <v>31055</v>
      </c>
      <c r="B6687" s="20">
        <v>70</v>
      </c>
      <c r="C6687" s="20">
        <v>75</v>
      </c>
      <c r="D6687" s="20">
        <v>52</v>
      </c>
      <c r="E6687" s="20">
        <v>1</v>
      </c>
      <c r="F6687" s="20" t="s">
        <v>31056</v>
      </c>
      <c r="G6687" s="24"/>
      <c r="H6687" s="24"/>
      <c r="I6687" s="24" t="str">
        <f ca="1">IFERROR(__xludf.DUMMYFUNCTION("GOOGLETRANSLATE(F6687,""en"",""pt"")"),"modems 3G de gateway")</f>
        <v>modems 3G de gateway</v>
      </c>
      <c r="J6687">
        <f>VLOOKUP(A6687,Pr_Base_LNEC!$A$4:$J$6971,6,FALSE)</f>
        <v>0</v>
      </c>
      <c r="K6687">
        <f>VLOOKUP(A6687,Pr_Base_LNEC!$A$4:$J$6971,7,FALSE)</f>
        <v>0</v>
      </c>
    </row>
    <row r="6688" spans="1:11" ht="14.5">
      <c r="A6688" s="20" t="s">
        <v>31057</v>
      </c>
      <c r="B6688" s="20">
        <v>70</v>
      </c>
      <c r="C6688" s="20">
        <v>75</v>
      </c>
      <c r="D6688" s="20">
        <v>52</v>
      </c>
      <c r="E6688" s="20">
        <v>42</v>
      </c>
      <c r="F6688" s="20" t="s">
        <v>31058</v>
      </c>
      <c r="G6688" s="20" t="s">
        <v>31059</v>
      </c>
      <c r="H6688" s="24"/>
      <c r="I6688" s="24" t="str">
        <f ca="1">IFERROR(__xludf.DUMMYFUNCTION("GOOGLETRANSLATE(F6688,""en"",""pt"")"),"pontos de acesso inteligentes (IAPs)")</f>
        <v>pontos de acesso inteligentes (IAPs)</v>
      </c>
      <c r="J6688">
        <f>VLOOKUP(A6688,Pr_Base_LNEC!$A$4:$J$6971,6,FALSE)</f>
        <v>0</v>
      </c>
      <c r="K6688">
        <f>VLOOKUP(A6688,Pr_Base_LNEC!$A$4:$J$6971,7,FALSE)</f>
        <v>0</v>
      </c>
    </row>
    <row r="6689" spans="1:11" ht="14.5">
      <c r="A6689" s="20" t="s">
        <v>31060</v>
      </c>
      <c r="B6689" s="20">
        <v>70</v>
      </c>
      <c r="C6689" s="20">
        <v>75</v>
      </c>
      <c r="D6689" s="20">
        <v>52</v>
      </c>
      <c r="E6689" s="20">
        <v>50</v>
      </c>
      <c r="F6689" s="20" t="s">
        <v>31061</v>
      </c>
      <c r="G6689" s="20" t="s">
        <v>31062</v>
      </c>
      <c r="H6689" s="24"/>
      <c r="I6689" s="24" t="str">
        <f ca="1">IFERROR(__xludf.DUMMYFUNCTION("GOOGLETRANSLATE(F6689,""en"",""pt"")"),"Malha roteadores sem fio")</f>
        <v>Malha roteadores sem fio</v>
      </c>
      <c r="J6689">
        <f>VLOOKUP(A6689,Pr_Base_LNEC!$A$4:$J$6971,6,FALSE)</f>
        <v>0</v>
      </c>
      <c r="K6689">
        <f>VLOOKUP(A6689,Pr_Base_LNEC!$A$4:$J$6971,7,FALSE)</f>
        <v>0</v>
      </c>
    </row>
    <row r="6690" spans="1:11" ht="14.5">
      <c r="A6690" s="20" t="s">
        <v>31063</v>
      </c>
      <c r="B6690" s="20">
        <v>70</v>
      </c>
      <c r="C6690" s="20">
        <v>75</v>
      </c>
      <c r="D6690" s="20">
        <v>52</v>
      </c>
      <c r="E6690" s="20">
        <v>56</v>
      </c>
      <c r="F6690" s="20" t="s">
        <v>31064</v>
      </c>
      <c r="G6690" s="24"/>
      <c r="H6690" s="24"/>
      <c r="I6690" s="24" t="str">
        <f ca="1">IFERROR(__xludf.DUMMYFUNCTION("GOOGLETRANSLATE(F6690,""en"",""pt"")"),"switches de rede")</f>
        <v>switches de rede</v>
      </c>
      <c r="J6690">
        <f>VLOOKUP(A6690,Pr_Base_LNEC!$A$4:$J$6971,6,FALSE)</f>
        <v>0</v>
      </c>
      <c r="K6690">
        <f>VLOOKUP(A6690,Pr_Base_LNEC!$A$4:$J$6971,7,FALSE)</f>
        <v>0</v>
      </c>
    </row>
    <row r="6691" spans="1:11" ht="14.5">
      <c r="A6691" s="20" t="s">
        <v>31065</v>
      </c>
      <c r="B6691" s="20">
        <v>70</v>
      </c>
      <c r="C6691" s="20">
        <v>75</v>
      </c>
      <c r="D6691" s="20">
        <v>52</v>
      </c>
      <c r="E6691" s="20">
        <v>64</v>
      </c>
      <c r="F6691" s="20" t="s">
        <v>31066</v>
      </c>
      <c r="G6691" s="24"/>
      <c r="H6691" s="24"/>
      <c r="I6691" s="24" t="str">
        <f ca="1">IFERROR(__xludf.DUMMYFUNCTION("GOOGLETRANSLATE(F6691,""en"",""pt"")"),"interruptores de Power over Ethernet (PoE) de rede")</f>
        <v>interruptores de Power over Ethernet (PoE) de rede</v>
      </c>
      <c r="J6691">
        <f>VLOOKUP(A6691,Pr_Base_LNEC!$A$4:$J$6971,6,FALSE)</f>
        <v>0</v>
      </c>
      <c r="K6691">
        <f>VLOOKUP(A6691,Pr_Base_LNEC!$A$4:$J$6971,7,FALSE)</f>
        <v>0</v>
      </c>
    </row>
    <row r="6692" spans="1:11" ht="14.5">
      <c r="A6692" s="20" t="s">
        <v>31067</v>
      </c>
      <c r="B6692" s="20">
        <v>70</v>
      </c>
      <c r="C6692" s="20">
        <v>75</v>
      </c>
      <c r="D6692" s="20">
        <v>52</v>
      </c>
      <c r="E6692" s="20">
        <v>88</v>
      </c>
      <c r="F6692" s="20" t="s">
        <v>31068</v>
      </c>
      <c r="G6692" s="24"/>
      <c r="H6692" s="24"/>
      <c r="I6692" s="24" t="str">
        <f ca="1">IFERROR(__xludf.DUMMYFUNCTION("GOOGLETRANSLATE(F6692,""en"",""pt"")"),"Sensor de inclinação nodos")</f>
        <v>Sensor de inclinação nodos</v>
      </c>
      <c r="J6692">
        <f>VLOOKUP(A6692,Pr_Base_LNEC!$A$4:$J$6971,6,FALSE)</f>
        <v>0</v>
      </c>
      <c r="K6692">
        <f>VLOOKUP(A6692,Pr_Base_LNEC!$A$4:$J$6971,7,FALSE)</f>
        <v>0</v>
      </c>
    </row>
    <row r="6693" spans="1:11" ht="14.5">
      <c r="A6693" s="20" t="s">
        <v>31069</v>
      </c>
      <c r="B6693" s="20">
        <v>70</v>
      </c>
      <c r="C6693" s="20">
        <v>75</v>
      </c>
      <c r="D6693" s="20">
        <v>52</v>
      </c>
      <c r="E6693" s="20">
        <v>92</v>
      </c>
      <c r="F6693" s="20" t="s">
        <v>31070</v>
      </c>
      <c r="G6693" s="24"/>
      <c r="H6693" s="24"/>
      <c r="I6693" s="24" t="str">
        <f ca="1">IFERROR(__xludf.DUMMYFUNCTION("GOOGLETRANSLATE(F6693,""en"",""pt"")"),"modems de gateway USB")</f>
        <v>modems de gateway USB</v>
      </c>
      <c r="J6693">
        <f>VLOOKUP(A6693,Pr_Base_LNEC!$A$4:$J$6971,6,FALSE)</f>
        <v>0</v>
      </c>
      <c r="K6693">
        <f>VLOOKUP(A6693,Pr_Base_LNEC!$A$4:$J$6971,7,FALSE)</f>
        <v>0</v>
      </c>
    </row>
    <row r="6694" spans="1:11" ht="14.5">
      <c r="A6694" s="20" t="s">
        <v>31071</v>
      </c>
      <c r="B6694" s="20">
        <v>70</v>
      </c>
      <c r="C6694" s="20">
        <v>75</v>
      </c>
      <c r="D6694" s="20">
        <v>52</v>
      </c>
      <c r="E6694" s="20">
        <v>96</v>
      </c>
      <c r="F6694" s="20" t="s">
        <v>31072</v>
      </c>
      <c r="G6694" s="24"/>
      <c r="H6694" s="24"/>
      <c r="I6694" s="24" t="str">
        <f ca="1">IFERROR(__xludf.DUMMYFUNCTION("GOOGLETRANSLATE(F6694,""en"",""pt"")"),"nós sensores sem fio")</f>
        <v>nós sensores sem fio</v>
      </c>
      <c r="J6694">
        <f>VLOOKUP(A6694,Pr_Base_LNEC!$A$4:$J$6971,6,FALSE)</f>
        <v>0</v>
      </c>
      <c r="K6694">
        <f>VLOOKUP(A6694,Pr_Base_LNEC!$A$4:$J$6971,7,FALSE)</f>
        <v>0</v>
      </c>
    </row>
    <row r="6695" spans="1:11" ht="14.5">
      <c r="A6695" s="20" t="s">
        <v>31073</v>
      </c>
      <c r="B6695" s="20">
        <v>70</v>
      </c>
      <c r="C6695" s="20">
        <v>75</v>
      </c>
      <c r="D6695" s="20">
        <v>69</v>
      </c>
      <c r="E6695" s="24"/>
      <c r="F6695" s="20" t="s">
        <v>31074</v>
      </c>
      <c r="G6695" s="24"/>
      <c r="H6695" s="24"/>
      <c r="I6695" s="24" t="str">
        <f ca="1">IFERROR(__xludf.DUMMYFUNCTION("GOOGLETRANSLATE(F6695,""en"",""pt"")"),"produtos de comunicação de rádio")</f>
        <v>produtos de comunicação de rádio</v>
      </c>
      <c r="J6695">
        <f>VLOOKUP(A6695,Pr_Base_LNEC!$A$4:$J$6971,6,FALSE)</f>
        <v>0</v>
      </c>
      <c r="K6695">
        <f>VLOOKUP(A6695,Pr_Base_LNEC!$A$4:$J$6971,7,FALSE)</f>
        <v>0</v>
      </c>
    </row>
    <row r="6696" spans="1:11" ht="14.5">
      <c r="A6696" s="20" t="s">
        <v>31075</v>
      </c>
      <c r="B6696" s="20">
        <v>70</v>
      </c>
      <c r="C6696" s="20">
        <v>75</v>
      </c>
      <c r="D6696" s="20">
        <v>69</v>
      </c>
      <c r="E6696" s="20">
        <v>70</v>
      </c>
      <c r="F6696" s="20" t="s">
        <v>31076</v>
      </c>
      <c r="G6696" s="20" t="s">
        <v>31077</v>
      </c>
      <c r="H6696" s="24"/>
      <c r="I6696" s="24" t="str">
        <f ca="1">IFERROR(__xludf.DUMMYFUNCTION("GOOGLETRANSLATE(F6696,""en"",""pt"")"),"estações base de rádio")</f>
        <v>estações base de rádio</v>
      </c>
      <c r="J6696">
        <f>VLOOKUP(A6696,Pr_Base_LNEC!$A$4:$J$6971,6,FALSE)</f>
        <v>0</v>
      </c>
      <c r="K6696">
        <f>VLOOKUP(A6696,Pr_Base_LNEC!$A$4:$J$6971,7,FALSE)</f>
        <v>0</v>
      </c>
    </row>
    <row r="6697" spans="1:11" ht="14.5">
      <c r="A6697" s="20" t="s">
        <v>31078</v>
      </c>
      <c r="B6697" s="20">
        <v>70</v>
      </c>
      <c r="C6697" s="20">
        <v>75</v>
      </c>
      <c r="D6697" s="20">
        <v>70</v>
      </c>
      <c r="E6697" s="24"/>
      <c r="F6697" s="20" t="s">
        <v>31079</v>
      </c>
      <c r="G6697" s="24"/>
      <c r="H6697" s="24"/>
      <c r="I6697" s="24" t="str">
        <f ca="1">IFERROR(__xludf.DUMMYFUNCTION("GOOGLETRANSLATE(F6697,""en"",""pt"")"),"Rail sinais, indicadores e controles")</f>
        <v>Rail sinais, indicadores e controles</v>
      </c>
      <c r="J6697">
        <f>VLOOKUP(A6697,Pr_Base_LNEC!$A$4:$J$6971,6,FALSE)</f>
        <v>0</v>
      </c>
      <c r="K6697">
        <f>VLOOKUP(A6697,Pr_Base_LNEC!$A$4:$J$6971,7,FALSE)</f>
        <v>0</v>
      </c>
    </row>
    <row r="6698" spans="1:11" ht="14.5">
      <c r="A6698" s="20" t="s">
        <v>31080</v>
      </c>
      <c r="B6698" s="20">
        <v>70</v>
      </c>
      <c r="C6698" s="20">
        <v>75</v>
      </c>
      <c r="D6698" s="20">
        <v>70</v>
      </c>
      <c r="E6698" s="20">
        <v>3</v>
      </c>
      <c r="F6698" s="20" t="s">
        <v>31081</v>
      </c>
      <c r="G6698" s="20" t="s">
        <v>31082</v>
      </c>
      <c r="H6698" s="24"/>
      <c r="I6698" s="24" t="str">
        <f ca="1">IFERROR(__xludf.DUMMYFUNCTION("GOOGLETRANSLATE(F6698,""en"",""pt"")"),"sinais de alerta automáticos")</f>
        <v>sinais de alerta automáticos</v>
      </c>
      <c r="J6698">
        <f>VLOOKUP(A6698,Pr_Base_LNEC!$A$4:$J$6971,6,FALSE)</f>
        <v>0</v>
      </c>
      <c r="K6698">
        <f>VLOOKUP(A6698,Pr_Base_LNEC!$A$4:$J$6971,7,FALSE)</f>
        <v>0</v>
      </c>
    </row>
    <row r="6699" spans="1:11" ht="14.5">
      <c r="A6699" s="20" t="s">
        <v>31083</v>
      </c>
      <c r="B6699" s="20">
        <v>70</v>
      </c>
      <c r="C6699" s="20">
        <v>75</v>
      </c>
      <c r="D6699" s="20">
        <v>70</v>
      </c>
      <c r="E6699" s="20">
        <v>5</v>
      </c>
      <c r="F6699" s="20" t="s">
        <v>31084</v>
      </c>
      <c r="G6699" s="20" t="s">
        <v>31085</v>
      </c>
      <c r="H6699" s="24"/>
      <c r="I6699" s="24" t="str">
        <f ca="1">IFERROR(__xludf.DUMMYFUNCTION("GOOGLETRANSLATE(F6699,""en"",""pt"")"),"contadores de eixos")</f>
        <v>contadores de eixos</v>
      </c>
      <c r="J6699">
        <f>VLOOKUP(A6699,Pr_Base_LNEC!$A$4:$J$6971,6,FALSE)</f>
        <v>0</v>
      </c>
      <c r="K6699">
        <f>VLOOKUP(A6699,Pr_Base_LNEC!$A$4:$J$6971,7,FALSE)</f>
        <v>0</v>
      </c>
    </row>
    <row r="6700" spans="1:11" ht="14.5">
      <c r="A6700" s="20" t="s">
        <v>31086</v>
      </c>
      <c r="B6700" s="20">
        <v>70</v>
      </c>
      <c r="C6700" s="20">
        <v>75</v>
      </c>
      <c r="D6700" s="20">
        <v>70</v>
      </c>
      <c r="E6700" s="20">
        <v>6</v>
      </c>
      <c r="F6700" s="20" t="s">
        <v>31087</v>
      </c>
      <c r="G6700" s="20" t="s">
        <v>31088</v>
      </c>
      <c r="H6700" s="24"/>
      <c r="I6700" s="24" t="str">
        <f ca="1">IFERROR(__xludf.DUMMYFUNCTION("GOOGLETRANSLATE(F6700,""en"",""pt"")"),"sinais repetidores bandeira")</f>
        <v>sinais repetidores bandeira</v>
      </c>
      <c r="J6700">
        <f>VLOOKUP(A6700,Pr_Base_LNEC!$A$4:$J$6971,6,FALSE)</f>
        <v>0</v>
      </c>
      <c r="K6700">
        <f>VLOOKUP(A6700,Pr_Base_LNEC!$A$4:$J$6971,7,FALSE)</f>
        <v>0</v>
      </c>
    </row>
    <row r="6701" spans="1:11" ht="14.5">
      <c r="A6701" s="20" t="s">
        <v>31089</v>
      </c>
      <c r="B6701" s="20">
        <v>70</v>
      </c>
      <c r="C6701" s="20">
        <v>75</v>
      </c>
      <c r="D6701" s="20">
        <v>70</v>
      </c>
      <c r="E6701" s="20">
        <v>7</v>
      </c>
      <c r="F6701" s="20" t="s">
        <v>31090</v>
      </c>
      <c r="G6701" s="24"/>
      <c r="H6701" s="24"/>
      <c r="I6701" s="24" t="str">
        <f ca="1">IFERROR(__xludf.DUMMYFUNCTION("GOOGLETRANSLATE(F6701,""en"",""pt"")"),"balizas")</f>
        <v>balizas</v>
      </c>
      <c r="J6701" t="e">
        <f>VLOOKUP(A6701,Pr_Base_LNEC!$A$4:$J$6971,6,FALSE)</f>
        <v>#N/A</v>
      </c>
      <c r="K6701" t="e">
        <f>VLOOKUP(A6701,Pr_Base_LNEC!$A$4:$J$6971,7,FALSE)</f>
        <v>#N/A</v>
      </c>
    </row>
    <row r="6702" spans="1:11" ht="14.5">
      <c r="A6702" s="20" t="s">
        <v>31091</v>
      </c>
      <c r="B6702" s="20">
        <v>70</v>
      </c>
      <c r="C6702" s="20">
        <v>75</v>
      </c>
      <c r="D6702" s="20">
        <v>70</v>
      </c>
      <c r="E6702" s="20">
        <v>14</v>
      </c>
      <c r="F6702" s="20" t="s">
        <v>31092</v>
      </c>
      <c r="G6702" s="20" t="s">
        <v>31093</v>
      </c>
      <c r="H6702" s="24"/>
      <c r="I6702" s="24" t="str">
        <f ca="1">IFERROR(__xludf.DUMMYFUNCTION("GOOGLETRANSLATE(F6702,""en"",""pt"")"),"Cor sinais de luz")</f>
        <v>Cor sinais de luz</v>
      </c>
      <c r="J6702">
        <f>VLOOKUP(A6702,Pr_Base_LNEC!$A$4:$J$6971,6,FALSE)</f>
        <v>0</v>
      </c>
      <c r="K6702">
        <f>VLOOKUP(A6702,Pr_Base_LNEC!$A$4:$J$6971,7,FALSE)</f>
        <v>0</v>
      </c>
    </row>
    <row r="6703" spans="1:11" ht="14.5">
      <c r="A6703" s="20" t="s">
        <v>31094</v>
      </c>
      <c r="B6703" s="20">
        <v>70</v>
      </c>
      <c r="C6703" s="20">
        <v>75</v>
      </c>
      <c r="D6703" s="20">
        <v>70</v>
      </c>
      <c r="E6703" s="20">
        <v>41</v>
      </c>
      <c r="F6703" s="20" t="s">
        <v>31095</v>
      </c>
      <c r="G6703" s="24"/>
      <c r="H6703" s="24"/>
      <c r="I6703" s="24" t="str">
        <f ca="1">IFERROR(__xludf.DUMMYFUNCTION("GOOGLETRANSLATE(F6703,""en"",""pt"")"),"Na cabine sinalização exibe")</f>
        <v>Na cabine sinalização exibe</v>
      </c>
      <c r="J6703" t="e">
        <f>VLOOKUP(A6703,Pr_Base_LNEC!$A$4:$J$6971,6,FALSE)</f>
        <v>#N/A</v>
      </c>
      <c r="K6703" t="e">
        <f>VLOOKUP(A6703,Pr_Base_LNEC!$A$4:$J$6971,7,FALSE)</f>
        <v>#N/A</v>
      </c>
    </row>
    <row r="6704" spans="1:11" ht="14.5">
      <c r="A6704" s="20" t="s">
        <v>31096</v>
      </c>
      <c r="B6704" s="20">
        <v>70</v>
      </c>
      <c r="C6704" s="20">
        <v>75</v>
      </c>
      <c r="D6704" s="20">
        <v>70</v>
      </c>
      <c r="E6704" s="20">
        <v>44</v>
      </c>
      <c r="F6704" s="20" t="s">
        <v>31097</v>
      </c>
      <c r="G6704" s="20" t="s">
        <v>31098</v>
      </c>
      <c r="H6704" s="24"/>
      <c r="I6704" s="24" t="str">
        <f ca="1">IFERROR(__xludf.DUMMYFUNCTION("GOOGLETRANSLATE(F6704,""en"",""pt"")"),"indicadores de junção")</f>
        <v>indicadores de junção</v>
      </c>
      <c r="J6704">
        <f>VLOOKUP(A6704,Pr_Base_LNEC!$A$4:$J$6971,6,FALSE)</f>
        <v>0</v>
      </c>
      <c r="K6704">
        <f>VLOOKUP(A6704,Pr_Base_LNEC!$A$4:$J$6971,7,FALSE)</f>
        <v>0</v>
      </c>
    </row>
    <row r="6705" spans="1:11" ht="14.5">
      <c r="A6705" s="20" t="s">
        <v>31099</v>
      </c>
      <c r="B6705" s="20">
        <v>70</v>
      </c>
      <c r="C6705" s="20">
        <v>75</v>
      </c>
      <c r="D6705" s="20">
        <v>70</v>
      </c>
      <c r="E6705" s="20">
        <v>47</v>
      </c>
      <c r="F6705" s="20" t="s">
        <v>31100</v>
      </c>
      <c r="G6705" s="20" t="s">
        <v>31101</v>
      </c>
      <c r="H6705" s="24"/>
      <c r="I6705" s="24" t="str">
        <f ca="1">IFERROR(__xludf.DUMMYFUNCTION("GOOGLETRANSLATE(F6705,""en"",""pt"")"),"Limite de sinais de derivação")</f>
        <v>Limite de sinais de derivação</v>
      </c>
      <c r="J6705">
        <f>VLOOKUP(A6705,Pr_Base_LNEC!$A$4:$J$6971,6,FALSE)</f>
        <v>0</v>
      </c>
      <c r="K6705">
        <f>VLOOKUP(A6705,Pr_Base_LNEC!$A$4:$J$6971,7,FALSE)</f>
        <v>0</v>
      </c>
    </row>
    <row r="6706" spans="1:11" ht="14.5">
      <c r="A6706" s="20" t="s">
        <v>31102</v>
      </c>
      <c r="B6706" s="20">
        <v>70</v>
      </c>
      <c r="C6706" s="20">
        <v>75</v>
      </c>
      <c r="D6706" s="20">
        <v>70</v>
      </c>
      <c r="E6706" s="20">
        <v>60</v>
      </c>
      <c r="F6706" s="20" t="s">
        <v>31103</v>
      </c>
      <c r="G6706" s="24"/>
      <c r="H6706" s="24"/>
      <c r="I6706" s="24" t="str">
        <f ca="1">IFERROR(__xludf.DUMMYFUNCTION("GOOGLETRANSLATE(F6706,""en"",""pt"")"),"repetidores de plataforma")</f>
        <v>repetidores de plataforma</v>
      </c>
      <c r="J6706" t="e">
        <f>VLOOKUP(A6706,Pr_Base_LNEC!$A$4:$J$6971,6,FALSE)</f>
        <v>#N/A</v>
      </c>
      <c r="K6706" t="e">
        <f>VLOOKUP(A6706,Pr_Base_LNEC!$A$4:$J$6971,7,FALSE)</f>
        <v>#N/A</v>
      </c>
    </row>
    <row r="6707" spans="1:11" ht="14.5">
      <c r="A6707" s="20" t="s">
        <v>31104</v>
      </c>
      <c r="B6707" s="20">
        <v>70</v>
      </c>
      <c r="C6707" s="20">
        <v>75</v>
      </c>
      <c r="D6707" s="20">
        <v>70</v>
      </c>
      <c r="E6707" s="20">
        <v>61</v>
      </c>
      <c r="F6707" s="20" t="s">
        <v>31105</v>
      </c>
      <c r="G6707" s="24"/>
      <c r="H6707" s="24"/>
      <c r="I6707" s="24" t="str">
        <f ca="1">IFERROR(__xludf.DUMMYFUNCTION("GOOGLETRANSLATE(F6707,""en"",""pt"")"),"equipamento de detecção de pontos")</f>
        <v>equipamento de detecção de pontos</v>
      </c>
      <c r="J6707" t="e">
        <f>VLOOKUP(A6707,Pr_Base_LNEC!$A$4:$J$6971,6,FALSE)</f>
        <v>#N/A</v>
      </c>
      <c r="K6707" t="e">
        <f>VLOOKUP(A6707,Pr_Base_LNEC!$A$4:$J$6971,7,FALSE)</f>
        <v>#N/A</v>
      </c>
    </row>
    <row r="6708" spans="1:11" ht="14.5">
      <c r="A6708" s="20" t="s">
        <v>31106</v>
      </c>
      <c r="B6708" s="20">
        <v>70</v>
      </c>
      <c r="C6708" s="20">
        <v>75</v>
      </c>
      <c r="D6708" s="20">
        <v>70</v>
      </c>
      <c r="E6708" s="20">
        <v>62</v>
      </c>
      <c r="F6708" s="20" t="s">
        <v>31107</v>
      </c>
      <c r="G6708" s="24"/>
      <c r="H6708" s="24"/>
      <c r="I6708" s="24" t="str">
        <f ca="1">IFERROR(__xludf.DUMMYFUNCTION("GOOGLETRANSLATE(F6708,""en"",""pt"")"),"Pontos conversor dispositivos")</f>
        <v>Pontos conversor dispositivos</v>
      </c>
      <c r="J6708">
        <f>VLOOKUP(A6708,Pr_Base_LNEC!$A$4:$J$6971,6,FALSE)</f>
        <v>0</v>
      </c>
      <c r="K6708">
        <f>VLOOKUP(A6708,Pr_Base_LNEC!$A$4:$J$6971,7,FALSE)</f>
        <v>0</v>
      </c>
    </row>
    <row r="6709" spans="1:11" ht="14.5">
      <c r="A6709" s="20" t="s">
        <v>31108</v>
      </c>
      <c r="B6709" s="20">
        <v>70</v>
      </c>
      <c r="C6709" s="20">
        <v>75</v>
      </c>
      <c r="D6709" s="20">
        <v>70</v>
      </c>
      <c r="E6709" s="20">
        <v>63</v>
      </c>
      <c r="F6709" s="20" t="s">
        <v>31109</v>
      </c>
      <c r="G6709" s="20" t="s">
        <v>31110</v>
      </c>
      <c r="H6709" s="24"/>
      <c r="I6709" s="24" t="str">
        <f ca="1">IFERROR(__xludf.DUMMYFUNCTION("GOOGLETRANSLATE(F6709,""en"",""pt"")"),"Pontos equipamentos operacionais")</f>
        <v>Pontos equipamentos operacionais</v>
      </c>
      <c r="J6709">
        <f>VLOOKUP(A6709,Pr_Base_LNEC!$A$4:$J$6971,6,FALSE)</f>
        <v>0</v>
      </c>
      <c r="K6709">
        <f>VLOOKUP(A6709,Pr_Base_LNEC!$A$4:$J$6971,7,FALSE)</f>
        <v>0</v>
      </c>
    </row>
    <row r="6710" spans="1:11" ht="14.5">
      <c r="A6710" s="20" t="s">
        <v>31111</v>
      </c>
      <c r="B6710" s="20">
        <v>70</v>
      </c>
      <c r="C6710" s="20">
        <v>75</v>
      </c>
      <c r="D6710" s="20">
        <v>70</v>
      </c>
      <c r="E6710" s="20">
        <v>64</v>
      </c>
      <c r="F6710" s="20" t="s">
        <v>31112</v>
      </c>
      <c r="G6710" s="20" t="s">
        <v>31113</v>
      </c>
      <c r="H6710" s="24"/>
      <c r="I6710" s="24" t="str">
        <f ca="1">IFERROR(__xludf.DUMMYFUNCTION("GOOGLETRANSLATE(F6710,""en"",""pt"")"),"sinais de luz posição")</f>
        <v>sinais de luz posição</v>
      </c>
      <c r="J6710">
        <f>VLOOKUP(A6710,Pr_Base_LNEC!$A$4:$J$6971,6,FALSE)</f>
        <v>0</v>
      </c>
      <c r="K6710">
        <f>VLOOKUP(A6710,Pr_Base_LNEC!$A$4:$J$6971,7,FALSE)</f>
        <v>0</v>
      </c>
    </row>
    <row r="6711" spans="1:11" ht="14.5">
      <c r="A6711" s="20" t="s">
        <v>31114</v>
      </c>
      <c r="B6711" s="20">
        <v>70</v>
      </c>
      <c r="C6711" s="20">
        <v>75</v>
      </c>
      <c r="D6711" s="20">
        <v>70</v>
      </c>
      <c r="E6711" s="20">
        <v>65</v>
      </c>
      <c r="F6711" s="20" t="s">
        <v>31115</v>
      </c>
      <c r="G6711" s="20" t="s">
        <v>31116</v>
      </c>
      <c r="H6711" s="24"/>
      <c r="I6711" s="24" t="str">
        <f ca="1">IFERROR(__xludf.DUMMYFUNCTION("GOOGLETRANSLATE(F6711,""en"",""pt"")"),"placas de limite de posse")</f>
        <v>placas de limite de posse</v>
      </c>
      <c r="J6711">
        <f>VLOOKUP(A6711,Pr_Base_LNEC!$A$4:$J$6971,6,FALSE)</f>
        <v>0</v>
      </c>
      <c r="K6711">
        <f>VLOOKUP(A6711,Pr_Base_LNEC!$A$4:$J$6971,7,FALSE)</f>
        <v>0</v>
      </c>
    </row>
    <row r="6712" spans="1:11" ht="14.5">
      <c r="A6712" s="20" t="s">
        <v>31117</v>
      </c>
      <c r="B6712" s="20">
        <v>70</v>
      </c>
      <c r="C6712" s="20">
        <v>75</v>
      </c>
      <c r="D6712" s="20">
        <v>70</v>
      </c>
      <c r="E6712" s="20">
        <v>70</v>
      </c>
      <c r="F6712" s="20" t="s">
        <v>31118</v>
      </c>
      <c r="G6712" s="24"/>
      <c r="H6712" s="24"/>
      <c r="I6712" s="24" t="str">
        <f ca="1">IFERROR(__xludf.DUMMYFUNCTION("GOOGLETRANSLATE(F6712,""en"",""pt"")"),"sinais indicador gap Rail")</f>
        <v>sinais indicador gap Rail</v>
      </c>
      <c r="J6712">
        <f>VLOOKUP(A6712,Pr_Base_LNEC!$A$4:$J$6971,6,FALSE)</f>
        <v>0</v>
      </c>
      <c r="K6712">
        <f>VLOOKUP(A6712,Pr_Base_LNEC!$A$4:$J$6971,7,FALSE)</f>
        <v>0</v>
      </c>
    </row>
    <row r="6713" spans="1:11" ht="14.5">
      <c r="A6713" s="20" t="s">
        <v>31119</v>
      </c>
      <c r="B6713" s="20">
        <v>70</v>
      </c>
      <c r="C6713" s="20">
        <v>75</v>
      </c>
      <c r="D6713" s="20">
        <v>70</v>
      </c>
      <c r="E6713" s="20">
        <v>72</v>
      </c>
      <c r="F6713" s="20" t="s">
        <v>31120</v>
      </c>
      <c r="G6713" s="20" t="s">
        <v>31121</v>
      </c>
      <c r="H6713" s="24"/>
      <c r="I6713" s="24" t="str">
        <f ca="1">IFERROR(__xludf.DUMMYFUNCTION("GOOGLETRANSLATE(F6713,""en"",""pt"")"),"indicadores de rota")</f>
        <v>indicadores de rota</v>
      </c>
      <c r="J6713">
        <f>VLOOKUP(A6713,Pr_Base_LNEC!$A$4:$J$6971,6,FALSE)</f>
        <v>0</v>
      </c>
      <c r="K6713">
        <f>VLOOKUP(A6713,Pr_Base_LNEC!$A$4:$J$6971,7,FALSE)</f>
        <v>0</v>
      </c>
    </row>
    <row r="6714" spans="1:11" ht="14.5">
      <c r="A6714" s="20" t="s">
        <v>31122</v>
      </c>
      <c r="B6714" s="20">
        <v>70</v>
      </c>
      <c r="C6714" s="20">
        <v>75</v>
      </c>
      <c r="D6714" s="20">
        <v>70</v>
      </c>
      <c r="E6714" s="20">
        <v>76</v>
      </c>
      <c r="F6714" s="20" t="s">
        <v>31123</v>
      </c>
      <c r="G6714" s="20" t="s">
        <v>31124</v>
      </c>
      <c r="H6714" s="24"/>
      <c r="I6714" s="24" t="str">
        <f ca="1">IFERROR(__xludf.DUMMYFUNCTION("GOOGLETRANSLATE(F6714,""en"",""pt"")"),"sinais de disco de semáforo")</f>
        <v>sinais de disco de semáforo</v>
      </c>
      <c r="J6714">
        <f>VLOOKUP(A6714,Pr_Base_LNEC!$A$4:$J$6971,6,FALSE)</f>
        <v>0</v>
      </c>
      <c r="K6714">
        <f>VLOOKUP(A6714,Pr_Base_LNEC!$A$4:$J$6971,7,FALSE)</f>
        <v>0</v>
      </c>
    </row>
    <row r="6715" spans="1:11" ht="14.5">
      <c r="A6715" s="20" t="s">
        <v>31125</v>
      </c>
      <c r="B6715" s="20">
        <v>70</v>
      </c>
      <c r="C6715" s="20">
        <v>75</v>
      </c>
      <c r="D6715" s="20">
        <v>70</v>
      </c>
      <c r="E6715" s="20">
        <v>77</v>
      </c>
      <c r="F6715" s="20" t="s">
        <v>31126</v>
      </c>
      <c r="G6715" s="20" t="s">
        <v>31127</v>
      </c>
      <c r="H6715" s="24"/>
      <c r="I6715" s="24" t="str">
        <f ca="1">IFERROR(__xludf.DUMMYFUNCTION("GOOGLETRANSLATE(F6715,""en"",""pt"")"),"sinais de semáforo")</f>
        <v>sinais de semáforo</v>
      </c>
      <c r="J6715">
        <f>VLOOKUP(A6715,Pr_Base_LNEC!$A$4:$J$6971,6,FALSE)</f>
        <v>0</v>
      </c>
      <c r="K6715">
        <f>VLOOKUP(A6715,Pr_Base_LNEC!$A$4:$J$6971,7,FALSE)</f>
        <v>0</v>
      </c>
    </row>
    <row r="6716" spans="1:11" ht="14.5">
      <c r="A6716" s="20" t="s">
        <v>31128</v>
      </c>
      <c r="B6716" s="20">
        <v>70</v>
      </c>
      <c r="C6716" s="20">
        <v>75</v>
      </c>
      <c r="D6716" s="20">
        <v>70</v>
      </c>
      <c r="E6716" s="20">
        <v>78</v>
      </c>
      <c r="F6716" s="20" t="s">
        <v>31129</v>
      </c>
      <c r="G6716" s="20" t="s">
        <v>31130</v>
      </c>
      <c r="H6716" s="24"/>
      <c r="I6716" s="24" t="str">
        <f ca="1">IFERROR(__xludf.DUMMYFUNCTION("GOOGLETRANSLATE(F6716,""en"",""pt"")"),"sinais subsidiários Semaphore")</f>
        <v>sinais subsidiários Semaphore</v>
      </c>
      <c r="J6716">
        <f>VLOOKUP(A6716,Pr_Base_LNEC!$A$4:$J$6971,6,FALSE)</f>
        <v>0</v>
      </c>
      <c r="K6716">
        <f>VLOOKUP(A6716,Pr_Base_LNEC!$A$4:$J$6971,7,FALSE)</f>
        <v>0</v>
      </c>
    </row>
    <row r="6717" spans="1:11" ht="14.5">
      <c r="A6717" s="20" t="s">
        <v>31131</v>
      </c>
      <c r="B6717" s="20">
        <v>70</v>
      </c>
      <c r="C6717" s="20">
        <v>75</v>
      </c>
      <c r="D6717" s="20">
        <v>70</v>
      </c>
      <c r="E6717" s="20">
        <v>80</v>
      </c>
      <c r="F6717" s="20" t="s">
        <v>31132</v>
      </c>
      <c r="G6717" s="24"/>
      <c r="H6717" s="24"/>
      <c r="I6717" s="24" t="str">
        <f ca="1">IFERROR(__xludf.DUMMYFUNCTION("GOOGLETRANSLATE(F6717,""en"",""pt"")"),"sinalização relés")</f>
        <v>sinalização relés</v>
      </c>
      <c r="J6717" t="e">
        <f>VLOOKUP(A6717,Pr_Base_LNEC!$A$4:$J$6971,6,FALSE)</f>
        <v>#N/A</v>
      </c>
      <c r="K6717" t="e">
        <f>VLOOKUP(A6717,Pr_Base_LNEC!$A$4:$J$6971,7,FALSE)</f>
        <v>#N/A</v>
      </c>
    </row>
    <row r="6718" spans="1:11" ht="14.5">
      <c r="A6718" s="20" t="s">
        <v>31133</v>
      </c>
      <c r="B6718" s="20">
        <v>70</v>
      </c>
      <c r="C6718" s="20">
        <v>75</v>
      </c>
      <c r="D6718" s="20">
        <v>70</v>
      </c>
      <c r="E6718" s="20">
        <v>89</v>
      </c>
      <c r="F6718" s="20" t="s">
        <v>31134</v>
      </c>
      <c r="G6718" s="20" t="s">
        <v>31135</v>
      </c>
      <c r="H6718" s="24"/>
      <c r="I6718" s="24" t="str">
        <f ca="1">IFERROR(__xludf.DUMMYFUNCTION("GOOGLETRANSLATE(F6718,""en"",""pt"")"),"circuitos de via")</f>
        <v>circuitos de via</v>
      </c>
      <c r="J6718">
        <f>VLOOKUP(A6718,Pr_Base_LNEC!$A$4:$J$6971,6,FALSE)</f>
        <v>0</v>
      </c>
      <c r="K6718">
        <f>VLOOKUP(A6718,Pr_Base_LNEC!$A$4:$J$6971,7,FALSE)</f>
        <v>0</v>
      </c>
    </row>
    <row r="6719" spans="1:11" ht="14.5">
      <c r="A6719" s="20" t="s">
        <v>31136</v>
      </c>
      <c r="B6719" s="20">
        <v>70</v>
      </c>
      <c r="C6719" s="20">
        <v>75</v>
      </c>
      <c r="D6719" s="20">
        <v>70</v>
      </c>
      <c r="E6719" s="20">
        <v>90</v>
      </c>
      <c r="F6719" s="20" t="s">
        <v>31137</v>
      </c>
      <c r="G6719" s="20" t="s">
        <v>31138</v>
      </c>
      <c r="H6719" s="24"/>
      <c r="I6719" s="24" t="str">
        <f ca="1">IFERROR(__xludf.DUMMYFUNCTION("GOOGLETRANSLATE(F6719,""en"",""pt"")"),"sinais de alerta de protecção de comboios")</f>
        <v>sinais de alerta de protecção de comboios</v>
      </c>
      <c r="J6719">
        <f>VLOOKUP(A6719,Pr_Base_LNEC!$A$4:$J$6971,6,FALSE)</f>
        <v>0</v>
      </c>
      <c r="K6719">
        <f>VLOOKUP(A6719,Pr_Base_LNEC!$A$4:$J$6971,7,FALSE)</f>
        <v>0</v>
      </c>
    </row>
    <row r="6720" spans="1:11" ht="14.5">
      <c r="A6720" s="20" t="s">
        <v>31139</v>
      </c>
      <c r="B6720" s="20">
        <v>70</v>
      </c>
      <c r="C6720" s="20">
        <v>75</v>
      </c>
      <c r="D6720" s="20">
        <v>70</v>
      </c>
      <c r="E6720" s="20">
        <v>91</v>
      </c>
      <c r="F6720" s="20" t="s">
        <v>31140</v>
      </c>
      <c r="G6720" s="24"/>
      <c r="H6720" s="24"/>
      <c r="I6720" s="24" t="str">
        <f ca="1">IFERROR(__xludf.DUMMYFUNCTION("GOOGLETRANSLATE(F6720,""en"",""pt"")"),"treadles")</f>
        <v>treadles</v>
      </c>
      <c r="J6720" t="e">
        <f>VLOOKUP(A6720,Pr_Base_LNEC!$A$4:$J$6971,6,FALSE)</f>
        <v>#N/A</v>
      </c>
      <c r="K6720" t="e">
        <f>VLOOKUP(A6720,Pr_Base_LNEC!$A$4:$J$6971,7,FALSE)</f>
        <v>#N/A</v>
      </c>
    </row>
    <row r="6721" spans="1:11" ht="14.5">
      <c r="A6721" s="20" t="s">
        <v>31141</v>
      </c>
      <c r="B6721" s="20">
        <v>70</v>
      </c>
      <c r="C6721" s="20">
        <v>75</v>
      </c>
      <c r="D6721" s="20">
        <v>72</v>
      </c>
      <c r="E6721" s="24"/>
      <c r="F6721" s="20" t="s">
        <v>31142</v>
      </c>
      <c r="G6721" s="24"/>
      <c r="H6721" s="24"/>
      <c r="I6721" s="24" t="str">
        <f ca="1">IFERROR(__xludf.DUMMYFUNCTION("GOOGLETRANSLATE(F6721,""en"",""pt"")"),"sinais de controle de tráfego rodoviário e pedestres")</f>
        <v>sinais de controle de tráfego rodoviário e pedestres</v>
      </c>
      <c r="J6721">
        <f>VLOOKUP(A6721,Pr_Base_LNEC!$A$4:$J$6971,6,FALSE)</f>
        <v>0</v>
      </c>
      <c r="K6721">
        <f>VLOOKUP(A6721,Pr_Base_LNEC!$A$4:$J$6971,7,FALSE)</f>
        <v>0</v>
      </c>
    </row>
    <row r="6722" spans="1:11" ht="14.5">
      <c r="A6722" s="20" t="s">
        <v>31143</v>
      </c>
      <c r="B6722" s="20">
        <v>70</v>
      </c>
      <c r="C6722" s="20">
        <v>75</v>
      </c>
      <c r="D6722" s="20">
        <v>72</v>
      </c>
      <c r="E6722" s="20">
        <v>1</v>
      </c>
      <c r="F6722" s="20" t="s">
        <v>31144</v>
      </c>
      <c r="G6722" s="20" t="s">
        <v>31145</v>
      </c>
      <c r="H6722" s="24"/>
      <c r="I6722" s="24" t="str">
        <f ca="1">IFERROR(__xludf.DUMMYFUNCTION("GOOGLETRANSLATE(F6722,""en"",""pt"")"),"produtos de detecção de veículo acima do solo")</f>
        <v>produtos de detecção de veículo acima do solo</v>
      </c>
      <c r="J6722">
        <f>VLOOKUP(A6722,Pr_Base_LNEC!$A$4:$J$6971,6,FALSE)</f>
        <v>0</v>
      </c>
      <c r="K6722">
        <f>VLOOKUP(A6722,Pr_Base_LNEC!$A$4:$J$6971,7,FALSE)</f>
        <v>0</v>
      </c>
    </row>
    <row r="6723" spans="1:11" ht="14.5">
      <c r="A6723" s="20" t="s">
        <v>31146</v>
      </c>
      <c r="B6723" s="20">
        <v>70</v>
      </c>
      <c r="C6723" s="20">
        <v>75</v>
      </c>
      <c r="D6723" s="20">
        <v>72</v>
      </c>
      <c r="E6723" s="20">
        <v>7</v>
      </c>
      <c r="F6723" s="20" t="s">
        <v>31147</v>
      </c>
      <c r="G6723" s="24"/>
      <c r="H6723" s="24"/>
      <c r="I6723" s="24" t="str">
        <f ca="1">IFERROR(__xludf.DUMMYFUNCTION("GOOGLETRANSLATE(F6723,""en"",""pt"")"),"Belisha beacons")</f>
        <v>Belisha beacons</v>
      </c>
      <c r="J6723">
        <f>VLOOKUP(A6723,Pr_Base_LNEC!$A$4:$J$6971,6,FALSE)</f>
        <v>0</v>
      </c>
      <c r="K6723">
        <f>VLOOKUP(A6723,Pr_Base_LNEC!$A$4:$J$6971,7,FALSE)</f>
        <v>0</v>
      </c>
    </row>
    <row r="6724" spans="1:11" ht="14.5">
      <c r="A6724" s="20" t="s">
        <v>31148</v>
      </c>
      <c r="B6724" s="20">
        <v>70</v>
      </c>
      <c r="C6724" s="20">
        <v>75</v>
      </c>
      <c r="D6724" s="20">
        <v>72</v>
      </c>
      <c r="E6724" s="20">
        <v>22</v>
      </c>
      <c r="F6724" s="20" t="s">
        <v>31149</v>
      </c>
      <c r="G6724" s="20" t="s">
        <v>31150</v>
      </c>
      <c r="H6724" s="24"/>
      <c r="I6724" s="24" t="str">
        <f ca="1">IFERROR(__xludf.DUMMYFUNCTION("GOOGLETRANSLATE(F6724,""en"",""pt"")"),"laços detectores")</f>
        <v>laços detectores</v>
      </c>
      <c r="J6724">
        <f>VLOOKUP(A6724,Pr_Base_LNEC!$A$4:$J$6971,6,FALSE)</f>
        <v>0</v>
      </c>
      <c r="K6724">
        <f>VLOOKUP(A6724,Pr_Base_LNEC!$A$4:$J$6971,7,FALSE)</f>
        <v>0</v>
      </c>
    </row>
    <row r="6725" spans="1:11" ht="14.5">
      <c r="A6725" s="20" t="s">
        <v>31151</v>
      </c>
      <c r="B6725" s="20">
        <v>70</v>
      </c>
      <c r="C6725" s="20">
        <v>75</v>
      </c>
      <c r="D6725" s="20">
        <v>72</v>
      </c>
      <c r="E6725" s="20">
        <v>30</v>
      </c>
      <c r="F6725" s="20" t="s">
        <v>31152</v>
      </c>
      <c r="G6725" s="24"/>
      <c r="H6725" s="24"/>
      <c r="I6725" s="24" t="str">
        <f ca="1">IFERROR(__xludf.DUMMYFUNCTION("GOOGLETRANSLATE(F6725,""en"",""pt"")"),"sinais de trânsito verticais fixos estrada")</f>
        <v>sinais de trânsito verticais fixos estrada</v>
      </c>
      <c r="J6725">
        <f>VLOOKUP(A6725,Pr_Base_LNEC!$A$4:$J$6971,6,FALSE)</f>
        <v>0</v>
      </c>
      <c r="K6725">
        <f>VLOOKUP(A6725,Pr_Base_LNEC!$A$4:$J$6971,7,FALSE)</f>
        <v>0</v>
      </c>
    </row>
    <row r="6726" spans="1:11" ht="14.5">
      <c r="A6726" s="20" t="s">
        <v>31153</v>
      </c>
      <c r="B6726" s="20">
        <v>70</v>
      </c>
      <c r="C6726" s="20">
        <v>75</v>
      </c>
      <c r="D6726" s="20">
        <v>72</v>
      </c>
      <c r="E6726" s="20">
        <v>48</v>
      </c>
      <c r="F6726" s="20" t="s">
        <v>31154</v>
      </c>
      <c r="G6726" s="24"/>
      <c r="H6726" s="24"/>
      <c r="I6726" s="24" t="str">
        <f ca="1">IFERROR(__xludf.DUMMYFUNCTION("GOOGLETRANSLATE(F6726,""en"",""pt"")"),"sinais de passagem de nível")</f>
        <v>sinais de passagem de nível</v>
      </c>
      <c r="J6726">
        <f>VLOOKUP(A6726,Pr_Base_LNEC!$A$4:$J$6971,6,FALSE)</f>
        <v>0</v>
      </c>
      <c r="K6726">
        <f>VLOOKUP(A6726,Pr_Base_LNEC!$A$4:$J$6971,7,FALSE)</f>
        <v>0</v>
      </c>
    </row>
    <row r="6727" spans="1:11" ht="14.5">
      <c r="A6727" s="20" t="s">
        <v>31155</v>
      </c>
      <c r="B6727" s="20">
        <v>70</v>
      </c>
      <c r="C6727" s="20">
        <v>75</v>
      </c>
      <c r="D6727" s="20">
        <v>72</v>
      </c>
      <c r="E6727" s="20">
        <v>49</v>
      </c>
      <c r="F6727" s="20" t="s">
        <v>31156</v>
      </c>
      <c r="G6727" s="20" t="s">
        <v>31157</v>
      </c>
      <c r="H6727" s="24"/>
      <c r="I6727" s="24" t="str">
        <f ca="1">IFERROR(__xludf.DUMMYFUNCTION("GOOGLETRANSLATE(F6727,""en"",""pt"")"),"detectores de massa")</f>
        <v>detectores de massa</v>
      </c>
      <c r="J6727">
        <f>VLOOKUP(A6727,Pr_Base_LNEC!$A$4:$J$6971,6,FALSE)</f>
        <v>0</v>
      </c>
      <c r="K6727">
        <f>VLOOKUP(A6727,Pr_Base_LNEC!$A$4:$J$6971,7,FALSE)</f>
        <v>0</v>
      </c>
    </row>
    <row r="6728" spans="1:11" ht="14.5">
      <c r="A6728" s="20" t="s">
        <v>31158</v>
      </c>
      <c r="B6728" s="20">
        <v>70</v>
      </c>
      <c r="C6728" s="20">
        <v>75</v>
      </c>
      <c r="D6728" s="20">
        <v>72</v>
      </c>
      <c r="E6728" s="20">
        <v>50</v>
      </c>
      <c r="F6728" s="20" t="s">
        <v>31159</v>
      </c>
      <c r="G6728" s="20" t="s">
        <v>31160</v>
      </c>
      <c r="H6728" s="24"/>
      <c r="I6728" s="24" t="str">
        <f ca="1">IFERROR(__xludf.DUMMYFUNCTION("GOOGLETRANSLATE(F6728,""en"",""pt"")"),"sinais de pista Rodovia")</f>
        <v>sinais de pista Rodovia</v>
      </c>
      <c r="J6728">
        <f>VLOOKUP(A6728,Pr_Base_LNEC!$A$4:$J$6971,6,FALSE)</f>
        <v>0</v>
      </c>
      <c r="K6728">
        <f>VLOOKUP(A6728,Pr_Base_LNEC!$A$4:$J$6971,7,FALSE)</f>
        <v>0</v>
      </c>
    </row>
    <row r="6729" spans="1:11" ht="14.5">
      <c r="A6729" s="20" t="s">
        <v>31161</v>
      </c>
      <c r="B6729" s="20">
        <v>70</v>
      </c>
      <c r="C6729" s="20">
        <v>75</v>
      </c>
      <c r="D6729" s="20">
        <v>72</v>
      </c>
      <c r="E6729" s="20">
        <v>51</v>
      </c>
      <c r="F6729" s="20" t="s">
        <v>31162</v>
      </c>
      <c r="G6729" s="20" t="s">
        <v>31163</v>
      </c>
      <c r="H6729" s="24"/>
      <c r="I6729" s="24" t="str">
        <f ca="1">IFERROR(__xludf.DUMMYFUNCTION("GOOGLETRANSLATE(F6729,""en"",""pt"")"),"marca sinal de auto-estrada 1")</f>
        <v>marca sinal de auto-estrada 1</v>
      </c>
      <c r="J6729">
        <f>VLOOKUP(A6729,Pr_Base_LNEC!$A$4:$J$6971,6,FALSE)</f>
        <v>0</v>
      </c>
      <c r="K6729">
        <f>VLOOKUP(A6729,Pr_Base_LNEC!$A$4:$J$6971,7,FALSE)</f>
        <v>0</v>
      </c>
    </row>
    <row r="6730" spans="1:11" ht="14.5">
      <c r="A6730" s="20" t="s">
        <v>31164</v>
      </c>
      <c r="B6730" s="20">
        <v>70</v>
      </c>
      <c r="C6730" s="20">
        <v>75</v>
      </c>
      <c r="D6730" s="20">
        <v>72</v>
      </c>
      <c r="E6730" s="20">
        <v>53</v>
      </c>
      <c r="F6730" s="20" t="s">
        <v>31165</v>
      </c>
      <c r="G6730" s="20" t="s">
        <v>31166</v>
      </c>
      <c r="H6730" s="24"/>
      <c r="I6730" s="24" t="str">
        <f ca="1">IFERROR(__xludf.DUMMYFUNCTION("GOOGLETRANSLATE(F6730,""en"",""pt"")"),"Auto-estrada marca de sinal de três")</f>
        <v>Auto-estrada marca de sinal de três</v>
      </c>
      <c r="J6730">
        <f>VLOOKUP(A6730,Pr_Base_LNEC!$A$4:$J$6971,6,FALSE)</f>
        <v>0</v>
      </c>
      <c r="K6730">
        <f>VLOOKUP(A6730,Pr_Base_LNEC!$A$4:$J$6971,7,FALSE)</f>
        <v>0</v>
      </c>
    </row>
    <row r="6731" spans="1:11" ht="14.5">
      <c r="A6731" s="20" t="s">
        <v>31167</v>
      </c>
      <c r="B6731" s="20">
        <v>70</v>
      </c>
      <c r="C6731" s="20">
        <v>75</v>
      </c>
      <c r="D6731" s="20">
        <v>72</v>
      </c>
      <c r="E6731" s="20">
        <v>54</v>
      </c>
      <c r="F6731" s="20" t="s">
        <v>31168</v>
      </c>
      <c r="G6731" s="20" t="s">
        <v>31169</v>
      </c>
      <c r="H6731" s="24"/>
      <c r="I6731" s="24" t="str">
        <f ca="1">IFERROR(__xludf.DUMMYFUNCTION("GOOGLETRANSLATE(F6731,""en"",""pt"")"),"Auto-estrada marca de sinal de quatro")</f>
        <v>Auto-estrada marca de sinal de quatro</v>
      </c>
      <c r="J6731">
        <f>VLOOKUP(A6731,Pr_Base_LNEC!$A$4:$J$6971,6,FALSE)</f>
        <v>0</v>
      </c>
      <c r="K6731">
        <f>VLOOKUP(A6731,Pr_Base_LNEC!$A$4:$J$6971,7,FALSE)</f>
        <v>0</v>
      </c>
    </row>
    <row r="6732" spans="1:11" ht="14.5">
      <c r="A6732" s="20" t="s">
        <v>31170</v>
      </c>
      <c r="B6732" s="20">
        <v>70</v>
      </c>
      <c r="C6732" s="20">
        <v>75</v>
      </c>
      <c r="D6732" s="20">
        <v>72</v>
      </c>
      <c r="E6732" s="20">
        <v>60</v>
      </c>
      <c r="F6732" s="20" t="s">
        <v>31171</v>
      </c>
      <c r="G6732" s="24"/>
      <c r="H6732" s="24"/>
      <c r="I6732" s="24" t="str">
        <f ca="1">IFERROR(__xludf.DUMMYFUNCTION("GOOGLETRANSLATE(F6732,""en"",""pt"")"),"controladores de sinais de pedestres")</f>
        <v>controladores de sinais de pedestres</v>
      </c>
      <c r="J6732">
        <f>VLOOKUP(A6732,Pr_Base_LNEC!$A$4:$J$6971,6,FALSE)</f>
        <v>0</v>
      </c>
      <c r="K6732">
        <f>VLOOKUP(A6732,Pr_Base_LNEC!$A$4:$J$6971,7,FALSE)</f>
        <v>0</v>
      </c>
    </row>
    <row r="6733" spans="1:11" ht="14.5">
      <c r="A6733" s="20" t="s">
        <v>31172</v>
      </c>
      <c r="B6733" s="20">
        <v>70</v>
      </c>
      <c r="C6733" s="20">
        <v>75</v>
      </c>
      <c r="D6733" s="20">
        <v>72</v>
      </c>
      <c r="E6733" s="20">
        <v>61</v>
      </c>
      <c r="F6733" s="20" t="s">
        <v>31173</v>
      </c>
      <c r="G6733" s="20" t="s">
        <v>31174</v>
      </c>
      <c r="H6733" s="24"/>
      <c r="I6733" s="24" t="str">
        <f ca="1">IFERROR(__xludf.DUMMYFUNCTION("GOOGLETRANSLATE(F6733,""en"",""pt"")"),"sinais de travessia de pedestres")</f>
        <v>sinais de travessia de pedestres</v>
      </c>
      <c r="J6733">
        <f>VLOOKUP(A6733,Pr_Base_LNEC!$A$4:$J$6971,6,FALSE)</f>
        <v>0</v>
      </c>
      <c r="K6733">
        <f>VLOOKUP(A6733,Pr_Base_LNEC!$A$4:$J$6971,7,FALSE)</f>
        <v>0</v>
      </c>
    </row>
    <row r="6734" spans="1:11" ht="14.5">
      <c r="A6734" s="20" t="s">
        <v>31175</v>
      </c>
      <c r="B6734" s="20">
        <v>70</v>
      </c>
      <c r="C6734" s="20">
        <v>75</v>
      </c>
      <c r="D6734" s="20">
        <v>72</v>
      </c>
      <c r="E6734" s="20">
        <v>80</v>
      </c>
      <c r="F6734" s="20" t="s">
        <v>31176</v>
      </c>
      <c r="G6734" s="24"/>
      <c r="H6734" s="24"/>
      <c r="I6734" s="24" t="str">
        <f ca="1">IFERROR(__xludf.DUMMYFUNCTION("GOOGLETRANSLATE(F6734,""en"",""pt"")"),"cabeços iluminados movido a energia solar")</f>
        <v>cabeços iluminados movido a energia solar</v>
      </c>
      <c r="J6734">
        <f>VLOOKUP(A6734,Pr_Base_LNEC!$A$4:$J$6971,6,FALSE)</f>
        <v>0</v>
      </c>
      <c r="K6734">
        <f>VLOOKUP(A6734,Pr_Base_LNEC!$A$4:$J$6971,7,FALSE)</f>
        <v>0</v>
      </c>
    </row>
    <row r="6735" spans="1:11" ht="14.5">
      <c r="A6735" s="20" t="s">
        <v>31177</v>
      </c>
      <c r="B6735" s="20">
        <v>70</v>
      </c>
      <c r="C6735" s="20">
        <v>75</v>
      </c>
      <c r="D6735" s="20">
        <v>72</v>
      </c>
      <c r="E6735" s="20">
        <v>87</v>
      </c>
      <c r="F6735" s="20" t="s">
        <v>31178</v>
      </c>
      <c r="G6735" s="20" t="s">
        <v>31179</v>
      </c>
      <c r="H6735" s="24"/>
      <c r="I6735" s="24" t="str">
        <f ca="1">IFERROR(__xludf.DUMMYFUNCTION("GOOGLETRANSLATE(F6735,""en"",""pt"")"),"unidades de controlo do sinal de tráfego")</f>
        <v>unidades de controlo do sinal de tráfego</v>
      </c>
      <c r="J6735">
        <f>VLOOKUP(A6735,Pr_Base_LNEC!$A$4:$J$6971,6,FALSE)</f>
        <v>0</v>
      </c>
      <c r="K6735">
        <f>VLOOKUP(A6735,Pr_Base_LNEC!$A$4:$J$6971,7,FALSE)</f>
        <v>0</v>
      </c>
    </row>
    <row r="6736" spans="1:11" ht="14.5">
      <c r="A6736" s="20" t="s">
        <v>31180</v>
      </c>
      <c r="B6736" s="20">
        <v>70</v>
      </c>
      <c r="C6736" s="20">
        <v>75</v>
      </c>
      <c r="D6736" s="20">
        <v>72</v>
      </c>
      <c r="E6736" s="20">
        <v>89</v>
      </c>
      <c r="F6736" s="20" t="s">
        <v>31181</v>
      </c>
      <c r="G6736" s="24"/>
      <c r="H6736" s="24"/>
      <c r="I6736" s="24" t="str">
        <f ca="1">IFERROR(__xludf.DUMMYFUNCTION("GOOGLETRANSLATE(F6736,""en"",""pt"")"),"cabeços de tráfego transiluminou")</f>
        <v>cabeços de tráfego transiluminou</v>
      </c>
      <c r="J6736">
        <f>VLOOKUP(A6736,Pr_Base_LNEC!$A$4:$J$6971,6,FALSE)</f>
        <v>0</v>
      </c>
      <c r="K6736">
        <f>VLOOKUP(A6736,Pr_Base_LNEC!$A$4:$J$6971,7,FALSE)</f>
        <v>0</v>
      </c>
    </row>
    <row r="6737" spans="1:11" ht="14.5">
      <c r="A6737" s="20" t="s">
        <v>31182</v>
      </c>
      <c r="B6737" s="20">
        <v>70</v>
      </c>
      <c r="C6737" s="20">
        <v>75</v>
      </c>
      <c r="D6737" s="20">
        <v>72</v>
      </c>
      <c r="E6737" s="20">
        <v>92</v>
      </c>
      <c r="F6737" s="20" t="s">
        <v>31183</v>
      </c>
      <c r="G6737" s="24"/>
      <c r="H6737" s="24"/>
      <c r="I6737" s="24" t="str">
        <f ca="1">IFERROR(__xludf.DUMMYFUNCTION("GOOGLETRANSLATE(F6737,""en"",""pt"")"),"sinais de gestão do tráfego urbano")</f>
        <v>sinais de gestão do tráfego urbano</v>
      </c>
      <c r="J6737">
        <f>VLOOKUP(A6737,Pr_Base_LNEC!$A$4:$J$6971,6,FALSE)</f>
        <v>0</v>
      </c>
      <c r="K6737">
        <f>VLOOKUP(A6737,Pr_Base_LNEC!$A$4:$J$6971,7,FALSE)</f>
        <v>0</v>
      </c>
    </row>
    <row r="6738" spans="1:11" ht="14.5">
      <c r="A6738" s="20" t="s">
        <v>31184</v>
      </c>
      <c r="B6738" s="20">
        <v>70</v>
      </c>
      <c r="C6738" s="20">
        <v>75</v>
      </c>
      <c r="D6738" s="20">
        <v>72</v>
      </c>
      <c r="E6738" s="20">
        <v>94</v>
      </c>
      <c r="F6738" s="20" t="s">
        <v>31185</v>
      </c>
      <c r="G6738" s="24"/>
      <c r="H6738" s="24"/>
      <c r="I6738" s="24" t="str">
        <f ca="1">IFERROR(__xludf.DUMMYFUNCTION("GOOGLETRANSLATE(F6738,""en"",""pt"")"),"sinais de trânsito de mensagem variável")</f>
        <v>sinais de trânsito de mensagem variável</v>
      </c>
      <c r="J6738">
        <f>VLOOKUP(A6738,Pr_Base_LNEC!$A$4:$J$6971,6,FALSE)</f>
        <v>0</v>
      </c>
      <c r="K6738">
        <f>VLOOKUP(A6738,Pr_Base_LNEC!$A$4:$J$6971,7,FALSE)</f>
        <v>0</v>
      </c>
    </row>
    <row r="6739" spans="1:11" ht="14.5">
      <c r="A6739" s="20" t="s">
        <v>31186</v>
      </c>
      <c r="B6739" s="20">
        <v>70</v>
      </c>
      <c r="C6739" s="20">
        <v>75</v>
      </c>
      <c r="D6739" s="20">
        <v>72</v>
      </c>
      <c r="E6739" s="20">
        <v>95</v>
      </c>
      <c r="F6739" s="20" t="s">
        <v>31187</v>
      </c>
      <c r="G6739" s="24"/>
      <c r="H6739" s="24"/>
      <c r="I6739" s="24" t="str">
        <f ca="1">IFERROR(__xludf.DUMMYFUNCTION("GOOGLETRANSLATE(F6739,""en"",""pt"")"),"sinais do veículo activado")</f>
        <v>sinais do veículo activado</v>
      </c>
      <c r="J6739">
        <f>VLOOKUP(A6739,Pr_Base_LNEC!$A$4:$J$6971,6,FALSE)</f>
        <v>0</v>
      </c>
      <c r="K6739">
        <f>VLOOKUP(A6739,Pr_Base_LNEC!$A$4:$J$6971,7,FALSE)</f>
        <v>0</v>
      </c>
    </row>
    <row r="6740" spans="1:11" ht="14.5">
      <c r="A6740" s="20" t="s">
        <v>31188</v>
      </c>
      <c r="B6740" s="20">
        <v>70</v>
      </c>
      <c r="C6740" s="20">
        <v>75</v>
      </c>
      <c r="D6740" s="20">
        <v>72</v>
      </c>
      <c r="E6740" s="20">
        <v>96</v>
      </c>
      <c r="F6740" s="20" t="s">
        <v>31189</v>
      </c>
      <c r="G6740" s="20" t="s">
        <v>31190</v>
      </c>
      <c r="H6740" s="24"/>
      <c r="I6740" s="24" t="str">
        <f ca="1">IFERROR(__xludf.DUMMYFUNCTION("GOOGLETRANSLATE(F6740,""en"",""pt"")"),"sinais de tráfego de veículos")</f>
        <v>sinais de tráfego de veículos</v>
      </c>
      <c r="J6740">
        <f>VLOOKUP(A6740,Pr_Base_LNEC!$A$4:$J$6971,6,FALSE)</f>
        <v>0</v>
      </c>
      <c r="K6740">
        <f>VLOOKUP(A6740,Pr_Base_LNEC!$A$4:$J$6971,7,FALSE)</f>
        <v>0</v>
      </c>
    </row>
    <row r="6741" spans="1:11" ht="14.5">
      <c r="A6741" s="20" t="s">
        <v>31191</v>
      </c>
      <c r="B6741" s="20">
        <v>70</v>
      </c>
      <c r="C6741" s="20">
        <v>75</v>
      </c>
      <c r="D6741" s="20">
        <v>72</v>
      </c>
      <c r="E6741" s="20">
        <v>98</v>
      </c>
      <c r="F6741" s="20" t="s">
        <v>31192</v>
      </c>
      <c r="G6741" s="20" t="s">
        <v>31193</v>
      </c>
      <c r="H6741" s="24"/>
      <c r="I6741" s="24" t="str">
        <f ca="1">IFERROR(__xludf.DUMMYFUNCTION("GOOGLETRANSLATE(F6741,""en"",""pt"")"),"sinais peruca wag")</f>
        <v>sinais peruca wag</v>
      </c>
      <c r="J6741">
        <f>VLOOKUP(A6741,Pr_Base_LNEC!$A$4:$J$6971,6,FALSE)</f>
        <v>0</v>
      </c>
      <c r="K6741">
        <f>VLOOKUP(A6741,Pr_Base_LNEC!$A$4:$J$6971,7,FALSE)</f>
        <v>0</v>
      </c>
    </row>
    <row r="6742" spans="1:11" ht="14.5">
      <c r="A6742" s="20" t="s">
        <v>31194</v>
      </c>
      <c r="B6742" s="20">
        <v>70</v>
      </c>
      <c r="C6742" s="20">
        <v>75</v>
      </c>
      <c r="D6742" s="20">
        <v>72</v>
      </c>
      <c r="E6742" s="20">
        <v>99</v>
      </c>
      <c r="F6742" s="20" t="s">
        <v>31195</v>
      </c>
      <c r="G6742" s="20" t="s">
        <v>31196</v>
      </c>
      <c r="H6742" s="24"/>
      <c r="I6742" s="24" t="str">
        <f ca="1">IFERROR(__xludf.DUMMYFUNCTION("GOOGLETRANSLATE(F6742,""en"",""pt"")"),"unidades de controlo de sinal Wig gaiato")</f>
        <v>unidades de controlo de sinal Wig gaiato</v>
      </c>
      <c r="J6742">
        <f>VLOOKUP(A6742,Pr_Base_LNEC!$A$4:$J$6971,6,FALSE)</f>
        <v>0</v>
      </c>
      <c r="K6742">
        <f>VLOOKUP(A6742,Pr_Base_LNEC!$A$4:$J$6971,7,FALSE)</f>
        <v>0</v>
      </c>
    </row>
    <row r="6743" spans="1:11" ht="14.5">
      <c r="A6743" s="20" t="s">
        <v>31197</v>
      </c>
      <c r="B6743" s="20">
        <v>70</v>
      </c>
      <c r="C6743" s="20">
        <v>75</v>
      </c>
      <c r="D6743" s="20">
        <v>80</v>
      </c>
      <c r="E6743" s="24"/>
      <c r="F6743" s="20" t="s">
        <v>31198</v>
      </c>
      <c r="G6743" s="24"/>
      <c r="H6743" s="24"/>
      <c r="I6743" s="24" t="str">
        <f ca="1">IFERROR(__xludf.DUMMYFUNCTION("GOOGLETRANSLATE(F6743,""en"",""pt"")"),"sincronismo Sports e equipamentos de pontuação")</f>
        <v>sincronismo Sports e equipamentos de pontuação</v>
      </c>
      <c r="J6743">
        <f>VLOOKUP(A6743,Pr_Base_LNEC!$A$4:$J$6971,6,FALSE)</f>
        <v>0</v>
      </c>
      <c r="K6743">
        <f>VLOOKUP(A6743,Pr_Base_LNEC!$A$4:$J$6971,7,FALSE)</f>
        <v>0</v>
      </c>
    </row>
    <row r="6744" spans="1:11" ht="14.5">
      <c r="A6744" s="20" t="s">
        <v>31199</v>
      </c>
      <c r="B6744" s="20">
        <v>70</v>
      </c>
      <c r="C6744" s="20">
        <v>75</v>
      </c>
      <c r="D6744" s="20">
        <v>80</v>
      </c>
      <c r="E6744" s="20">
        <v>27</v>
      </c>
      <c r="F6744" s="20" t="s">
        <v>31200</v>
      </c>
      <c r="G6744" s="20" t="s">
        <v>31201</v>
      </c>
      <c r="H6744" s="24"/>
      <c r="I6744" s="24" t="str">
        <f ca="1">IFERROR(__xludf.DUMMYFUNCTION("GOOGLETRANSLATE(F6744,""en"",""pt"")"),"placares eletrônicos")</f>
        <v>placares eletrônicos</v>
      </c>
      <c r="J6744">
        <f>VLOOKUP(A6744,Pr_Base_LNEC!$A$4:$J$6971,6,FALSE)</f>
        <v>0</v>
      </c>
      <c r="K6744">
        <f>VLOOKUP(A6744,Pr_Base_LNEC!$A$4:$J$6971,7,FALSE)</f>
        <v>0</v>
      </c>
    </row>
    <row r="6745" spans="1:11" ht="14.5">
      <c r="A6745" s="20" t="s">
        <v>31202</v>
      </c>
      <c r="B6745" s="20">
        <v>70</v>
      </c>
      <c r="C6745" s="20">
        <v>75</v>
      </c>
      <c r="D6745" s="20">
        <v>80</v>
      </c>
      <c r="E6745" s="20">
        <v>46</v>
      </c>
      <c r="F6745" s="20" t="s">
        <v>31203</v>
      </c>
      <c r="G6745" s="20" t="s">
        <v>31204</v>
      </c>
      <c r="H6745" s="24"/>
      <c r="I6745" s="24" t="str">
        <f ca="1">IFERROR(__xludf.DUMMYFUNCTION("GOOGLETRANSLATE(F6745,""en"",""pt"")"),"caixas de pista")</f>
        <v>caixas de pista</v>
      </c>
      <c r="J6745">
        <f>VLOOKUP(A6745,Pr_Base_LNEC!$A$4:$J$6971,6,FALSE)</f>
        <v>0</v>
      </c>
      <c r="K6745">
        <f>VLOOKUP(A6745,Pr_Base_LNEC!$A$4:$J$6971,7,FALSE)</f>
        <v>0</v>
      </c>
    </row>
    <row r="6746" spans="1:11" ht="14.5">
      <c r="A6746" s="20" t="s">
        <v>31205</v>
      </c>
      <c r="B6746" s="20">
        <v>70</v>
      </c>
      <c r="C6746" s="20">
        <v>75</v>
      </c>
      <c r="D6746" s="20">
        <v>80</v>
      </c>
      <c r="E6746" s="20">
        <v>48</v>
      </c>
      <c r="F6746" s="20" t="s">
        <v>31206</v>
      </c>
      <c r="G6746" s="20" t="s">
        <v>31207</v>
      </c>
      <c r="H6746" s="24"/>
      <c r="I6746" s="24" t="str">
        <f ca="1">IFERROR(__xludf.DUMMYFUNCTION("GOOGLETRANSLATE(F6746,""en"",""pt"")"),"Pista botões manual do impulso")</f>
        <v>Pista botões manual do impulso</v>
      </c>
      <c r="J6746">
        <f>VLOOKUP(A6746,Pr_Base_LNEC!$A$4:$J$6971,6,FALSE)</f>
        <v>0</v>
      </c>
      <c r="K6746">
        <f>VLOOKUP(A6746,Pr_Base_LNEC!$A$4:$J$6971,7,FALSE)</f>
        <v>0</v>
      </c>
    </row>
    <row r="6747" spans="1:11" ht="14.5">
      <c r="A6747" s="20" t="s">
        <v>31208</v>
      </c>
      <c r="B6747" s="20">
        <v>70</v>
      </c>
      <c r="C6747" s="20">
        <v>75</v>
      </c>
      <c r="D6747" s="20">
        <v>80</v>
      </c>
      <c r="E6747" s="20">
        <v>50</v>
      </c>
      <c r="F6747" s="20" t="s">
        <v>31209</v>
      </c>
      <c r="G6747" s="24"/>
      <c r="H6747" s="24"/>
      <c r="I6747" s="24" t="str">
        <f ca="1">IFERROR(__xludf.DUMMYFUNCTION("GOOGLETRANSLATE(F6747,""en"",""pt"")"),"placares manuais")</f>
        <v>placares manuais</v>
      </c>
      <c r="J6747">
        <f>VLOOKUP(A6747,Pr_Base_LNEC!$A$4:$J$6971,6,FALSE)</f>
        <v>0</v>
      </c>
      <c r="K6747">
        <f>VLOOKUP(A6747,Pr_Base_LNEC!$A$4:$J$6971,7,FALSE)</f>
        <v>0</v>
      </c>
    </row>
    <row r="6748" spans="1:11" ht="14.5">
      <c r="A6748" s="20" t="s">
        <v>31210</v>
      </c>
      <c r="B6748" s="20">
        <v>70</v>
      </c>
      <c r="C6748" s="20">
        <v>75</v>
      </c>
      <c r="D6748" s="20">
        <v>80</v>
      </c>
      <c r="E6748" s="20">
        <v>72</v>
      </c>
      <c r="F6748" s="20" t="s">
        <v>31211</v>
      </c>
      <c r="G6748" s="20" t="s">
        <v>31212</v>
      </c>
      <c r="H6748" s="24"/>
      <c r="I6748" s="24" t="str">
        <f ca="1">IFERROR(__xludf.DUMMYFUNCTION("GOOGLETRANSLATE(F6748,""en"",""pt"")"),"Retransmitir sensores de quebra de corrida")</f>
        <v>Retransmitir sensores de quebra de corrida</v>
      </c>
      <c r="J6748">
        <f>VLOOKUP(A6748,Pr_Base_LNEC!$A$4:$J$6971,6,FALSE)</f>
        <v>0</v>
      </c>
      <c r="K6748">
        <f>VLOOKUP(A6748,Pr_Base_LNEC!$A$4:$J$6971,7,FALSE)</f>
        <v>0</v>
      </c>
    </row>
    <row r="6749" spans="1:11" ht="14.5">
      <c r="A6749" s="20" t="s">
        <v>31213</v>
      </c>
      <c r="B6749" s="20">
        <v>70</v>
      </c>
      <c r="C6749" s="20">
        <v>75</v>
      </c>
      <c r="D6749" s="20">
        <v>80</v>
      </c>
      <c r="E6749" s="20">
        <v>82</v>
      </c>
      <c r="F6749" s="20" t="s">
        <v>31214</v>
      </c>
      <c r="G6749" s="20" t="s">
        <v>31215</v>
      </c>
      <c r="H6749" s="24"/>
      <c r="I6749" s="24" t="str">
        <f ca="1">IFERROR(__xludf.DUMMYFUNCTION("GOOGLETRANSLATE(F6749,""en"",""pt"")"),"Nadadores que começam blocos")</f>
        <v>Nadadores que começam blocos</v>
      </c>
      <c r="J6749">
        <f>VLOOKUP(A6749,Pr_Base_LNEC!$A$4:$J$6971,6,FALSE)</f>
        <v>0</v>
      </c>
      <c r="K6749">
        <f>VLOOKUP(A6749,Pr_Base_LNEC!$A$4:$J$6971,7,FALSE)</f>
        <v>0</v>
      </c>
    </row>
    <row r="6750" spans="1:11" ht="14.5">
      <c r="A6750" s="20" t="s">
        <v>31216</v>
      </c>
      <c r="B6750" s="20">
        <v>70</v>
      </c>
      <c r="C6750" s="20">
        <v>75</v>
      </c>
      <c r="D6750" s="20">
        <v>80</v>
      </c>
      <c r="E6750" s="20">
        <v>83</v>
      </c>
      <c r="F6750" s="20" t="s">
        <v>31217</v>
      </c>
      <c r="G6750" s="20" t="s">
        <v>31218</v>
      </c>
      <c r="H6750" s="24"/>
      <c r="I6750" s="24" t="str">
        <f ca="1">IFERROR(__xludf.DUMMYFUNCTION("GOOGLETRANSLATE(F6750,""en"",""pt"")"),"Nadadores almofadas de toque")</f>
        <v>Nadadores almofadas de toque</v>
      </c>
      <c r="J6750">
        <f>VLOOKUP(A6750,Pr_Base_LNEC!$A$4:$J$6971,6,FALSE)</f>
        <v>0</v>
      </c>
      <c r="K6750">
        <f>VLOOKUP(A6750,Pr_Base_LNEC!$A$4:$J$6971,7,FALSE)</f>
        <v>0</v>
      </c>
    </row>
    <row r="6751" spans="1:11" ht="14.5">
      <c r="A6751" s="20" t="s">
        <v>31219</v>
      </c>
      <c r="B6751" s="20">
        <v>70</v>
      </c>
      <c r="C6751" s="20">
        <v>75</v>
      </c>
      <c r="D6751" s="20">
        <v>80</v>
      </c>
      <c r="E6751" s="20">
        <v>84</v>
      </c>
      <c r="F6751" s="20" t="s">
        <v>31220</v>
      </c>
      <c r="G6751" s="20" t="s">
        <v>31221</v>
      </c>
      <c r="H6751" s="24"/>
      <c r="I6751" s="24" t="str">
        <f ca="1">IFERROR(__xludf.DUMMYFUNCTION("GOOGLETRANSLATE(F6751,""en"",""pt"")"),"Natação geradores de som começar a corrida")</f>
        <v>Natação geradores de som começar a corrida</v>
      </c>
      <c r="J6751">
        <f>VLOOKUP(A6751,Pr_Base_LNEC!$A$4:$J$6971,6,FALSE)</f>
        <v>0</v>
      </c>
      <c r="K6751">
        <f>VLOOKUP(A6751,Pr_Base_LNEC!$A$4:$J$6971,7,FALSE)</f>
        <v>0</v>
      </c>
    </row>
    <row r="6752" spans="1:11" ht="14.5">
      <c r="A6752" s="20" t="s">
        <v>31222</v>
      </c>
      <c r="B6752" s="20">
        <v>70</v>
      </c>
      <c r="C6752" s="20">
        <v>75</v>
      </c>
      <c r="D6752" s="20">
        <v>80</v>
      </c>
      <c r="E6752" s="20">
        <v>85</v>
      </c>
      <c r="F6752" s="20" t="s">
        <v>31223</v>
      </c>
      <c r="G6752" s="20" t="s">
        <v>31224</v>
      </c>
      <c r="H6752" s="24"/>
      <c r="I6752" s="24" t="str">
        <f ca="1">IFERROR(__xludf.DUMMYFUNCTION("GOOGLETRANSLATE(F6752,""en"",""pt"")"),"Natação controladores de temporização")</f>
        <v>Natação controladores de temporização</v>
      </c>
      <c r="J6752">
        <f>VLOOKUP(A6752,Pr_Base_LNEC!$A$4:$J$6971,6,FALSE)</f>
        <v>0</v>
      </c>
      <c r="K6752">
        <f>VLOOKUP(A6752,Pr_Base_LNEC!$A$4:$J$6971,7,FALSE)</f>
        <v>0</v>
      </c>
    </row>
    <row r="6753" spans="1:11" ht="14.5">
      <c r="A6753" s="20" t="s">
        <v>31225</v>
      </c>
      <c r="B6753" s="20">
        <v>70</v>
      </c>
      <c r="C6753" s="20">
        <v>75</v>
      </c>
      <c r="D6753" s="20">
        <v>88</v>
      </c>
      <c r="E6753" s="24"/>
      <c r="F6753" s="20" t="s">
        <v>31226</v>
      </c>
      <c r="G6753" s="24"/>
      <c r="H6753" s="24"/>
      <c r="I6753" s="24" t="str">
        <f ca="1">IFERROR(__xludf.DUMMYFUNCTION("GOOGLETRANSLATE(F6753,""en"",""pt"")"),"equipamentos de telecomunicações")</f>
        <v>equipamentos de telecomunicações</v>
      </c>
      <c r="J6753">
        <f>VLOOKUP(A6753,Pr_Base_LNEC!$A$4:$J$6971,6,FALSE)</f>
        <v>0</v>
      </c>
      <c r="K6753">
        <f>VLOOKUP(A6753,Pr_Base_LNEC!$A$4:$J$6971,7,FALSE)</f>
        <v>0</v>
      </c>
    </row>
    <row r="6754" spans="1:11" ht="14.5">
      <c r="A6754" s="20" t="s">
        <v>31227</v>
      </c>
      <c r="B6754" s="20">
        <v>70</v>
      </c>
      <c r="C6754" s="20">
        <v>75</v>
      </c>
      <c r="D6754" s="20">
        <v>88</v>
      </c>
      <c r="E6754" s="20">
        <v>1</v>
      </c>
      <c r="F6754" s="20" t="s">
        <v>31228</v>
      </c>
      <c r="G6754" s="20" t="s">
        <v>31229</v>
      </c>
      <c r="H6754" s="24"/>
      <c r="I6754" s="24" t="str">
        <f ca="1">IFERROR(__xludf.DUMMYFUNCTION("GOOGLETRANSLATE(F6754,""en"",""pt"")"),"cabines acústicas")</f>
        <v>cabines acústicas</v>
      </c>
      <c r="J6754">
        <f>VLOOKUP(A6754,Pr_Base_LNEC!$A$4:$J$6971,6,FALSE)</f>
        <v>0</v>
      </c>
      <c r="K6754">
        <f>VLOOKUP(A6754,Pr_Base_LNEC!$A$4:$J$6971,7,FALSE)</f>
        <v>0</v>
      </c>
    </row>
    <row r="6755" spans="1:11" ht="14.5">
      <c r="A6755" s="20" t="s">
        <v>31230</v>
      </c>
      <c r="B6755" s="20">
        <v>70</v>
      </c>
      <c r="C6755" s="20">
        <v>75</v>
      </c>
      <c r="D6755" s="20">
        <v>88</v>
      </c>
      <c r="E6755" s="20">
        <v>3</v>
      </c>
      <c r="F6755" s="20" t="s">
        <v>31231</v>
      </c>
      <c r="G6755" s="20" t="s">
        <v>31232</v>
      </c>
      <c r="H6755" s="24"/>
      <c r="I6755" s="24" t="str">
        <f ca="1">IFERROR(__xludf.DUMMYFUNCTION("GOOGLETRANSLATE(F6755,""en"",""pt"")"),"aparelhos de telefone analógicos")</f>
        <v>aparelhos de telefone analógicos</v>
      </c>
      <c r="J6755">
        <f>VLOOKUP(A6755,Pr_Base_LNEC!$A$4:$J$6971,6,FALSE)</f>
        <v>0</v>
      </c>
      <c r="K6755">
        <f>VLOOKUP(A6755,Pr_Base_LNEC!$A$4:$J$6971,7,FALSE)</f>
        <v>0</v>
      </c>
    </row>
    <row r="6756" spans="1:11" ht="14.5">
      <c r="A6756" s="20" t="s">
        <v>31233</v>
      </c>
      <c r="B6756" s="20">
        <v>70</v>
      </c>
      <c r="C6756" s="20">
        <v>75</v>
      </c>
      <c r="D6756" s="20">
        <v>88</v>
      </c>
      <c r="E6756" s="20">
        <v>21</v>
      </c>
      <c r="F6756" s="20" t="s">
        <v>31234</v>
      </c>
      <c r="G6756" s="20" t="s">
        <v>31235</v>
      </c>
      <c r="H6756" s="24"/>
      <c r="I6756" s="24" t="str">
        <f ca="1">IFERROR(__xludf.DUMMYFUNCTION("GOOGLETRANSLATE(F6756,""en"",""pt"")"),"dispositivos de supressão de dados e de telecomunicações transiente de sobretensão de onda")</f>
        <v>dispositivos de supressão de dados e de telecomunicações transiente de sobretensão de onda</v>
      </c>
      <c r="J6756">
        <f>VLOOKUP(A6756,Pr_Base_LNEC!$A$4:$J$6971,6,FALSE)</f>
        <v>0</v>
      </c>
      <c r="K6756">
        <f>VLOOKUP(A6756,Pr_Base_LNEC!$A$4:$J$6971,7,FALSE)</f>
        <v>0</v>
      </c>
    </row>
    <row r="6757" spans="1:11" ht="14.5">
      <c r="A6757" s="20" t="s">
        <v>31236</v>
      </c>
      <c r="B6757" s="20">
        <v>70</v>
      </c>
      <c r="C6757" s="20">
        <v>75</v>
      </c>
      <c r="D6757" s="20">
        <v>88</v>
      </c>
      <c r="E6757" s="20">
        <v>22</v>
      </c>
      <c r="F6757" s="20" t="s">
        <v>31237</v>
      </c>
      <c r="G6757" s="24"/>
      <c r="H6757" s="24"/>
      <c r="I6757" s="24" t="str">
        <f ca="1">IFERROR(__xludf.DUMMYFUNCTION("GOOGLETRANSLATE(F6757,""en"",""pt"")"),"Digitais avançados de telecomunicações sem fios (DECT) aparelhos de telefone")</f>
        <v>Digitais avançados de telecomunicações sem fios (DECT) aparelhos de telefone</v>
      </c>
      <c r="J6757">
        <f>VLOOKUP(A6757,Pr_Base_LNEC!$A$4:$J$6971,6,FALSE)</f>
        <v>0</v>
      </c>
      <c r="K6757">
        <f>VLOOKUP(A6757,Pr_Base_LNEC!$A$4:$J$6971,7,FALSE)</f>
        <v>0</v>
      </c>
    </row>
    <row r="6758" spans="1:11" ht="14.5">
      <c r="A6758" s="20" t="s">
        <v>31238</v>
      </c>
      <c r="B6758" s="20">
        <v>70</v>
      </c>
      <c r="C6758" s="20">
        <v>75</v>
      </c>
      <c r="D6758" s="20">
        <v>88</v>
      </c>
      <c r="E6758" s="20">
        <v>24</v>
      </c>
      <c r="F6758" s="20" t="s">
        <v>31239</v>
      </c>
      <c r="G6758" s="20" t="s">
        <v>31232</v>
      </c>
      <c r="H6758" s="24"/>
      <c r="I6758" s="24" t="str">
        <f ca="1">IFERROR(__xludf.DUMMYFUNCTION("GOOGLETRANSLATE(F6758,""en"",""pt"")"),"terminais digitais")</f>
        <v>terminais digitais</v>
      </c>
      <c r="J6758">
        <f>VLOOKUP(A6758,Pr_Base_LNEC!$A$4:$J$6971,6,FALSE)</f>
        <v>0</v>
      </c>
      <c r="K6758">
        <f>VLOOKUP(A6758,Pr_Base_LNEC!$A$4:$J$6971,7,FALSE)</f>
        <v>0</v>
      </c>
    </row>
    <row r="6759" spans="1:11" ht="14.5">
      <c r="A6759" s="20" t="s">
        <v>31240</v>
      </c>
      <c r="B6759" s="20">
        <v>70</v>
      </c>
      <c r="C6759" s="20">
        <v>75</v>
      </c>
      <c r="D6759" s="20">
        <v>88</v>
      </c>
      <c r="E6759" s="20">
        <v>27</v>
      </c>
      <c r="F6759" s="20" t="s">
        <v>31241</v>
      </c>
      <c r="G6759" s="20" t="s">
        <v>31242</v>
      </c>
      <c r="H6759" s="24"/>
      <c r="I6759" s="24" t="str">
        <f ca="1">IFERROR(__xludf.DUMMYFUNCTION("GOOGLETRANSLATE(F6759,""en"",""pt"")"),"telefones de emergência na estrada")</f>
        <v>telefones de emergência na estrada</v>
      </c>
      <c r="J6759">
        <f>VLOOKUP(A6759,Pr_Base_LNEC!$A$4:$J$6971,6,FALSE)</f>
        <v>0</v>
      </c>
      <c r="K6759">
        <f>VLOOKUP(A6759,Pr_Base_LNEC!$A$4:$J$6971,7,FALSE)</f>
        <v>0</v>
      </c>
    </row>
    <row r="6760" spans="1:11" ht="14.5">
      <c r="A6760" s="20" t="s">
        <v>31243</v>
      </c>
      <c r="B6760" s="20">
        <v>70</v>
      </c>
      <c r="C6760" s="20">
        <v>75</v>
      </c>
      <c r="D6760" s="20">
        <v>88</v>
      </c>
      <c r="E6760" s="20">
        <v>60</v>
      </c>
      <c r="F6760" s="20" t="s">
        <v>31244</v>
      </c>
      <c r="G6760" s="20" t="s">
        <v>31245</v>
      </c>
      <c r="H6760" s="24"/>
      <c r="I6760" s="24" t="str">
        <f ca="1">IFERROR(__xludf.DUMMYFUNCTION("GOOGLETRANSLATE(F6760,""en"",""pt"")"),"Telefones públicos")</f>
        <v>Telefones públicos</v>
      </c>
      <c r="J6760">
        <f>VLOOKUP(A6760,Pr_Base_LNEC!$A$4:$J$6971,6,FALSE)</f>
        <v>0</v>
      </c>
      <c r="K6760">
        <f>VLOOKUP(A6760,Pr_Base_LNEC!$A$4:$J$6971,7,FALSE)</f>
        <v>0</v>
      </c>
    </row>
    <row r="6761" spans="1:11" ht="14.5">
      <c r="A6761" s="20" t="s">
        <v>31246</v>
      </c>
      <c r="B6761" s="20">
        <v>70</v>
      </c>
      <c r="C6761" s="20">
        <v>75</v>
      </c>
      <c r="D6761" s="20">
        <v>88</v>
      </c>
      <c r="E6761" s="20">
        <v>83</v>
      </c>
      <c r="F6761" s="20" t="s">
        <v>31247</v>
      </c>
      <c r="G6761" s="20" t="s">
        <v>31248</v>
      </c>
      <c r="H6761" s="24"/>
      <c r="I6761" s="24" t="str">
        <f ca="1">IFERROR(__xludf.DUMMYFUNCTION("GOOGLETRANSLATE(F6761,""en"",""pt"")"),"controladores de sistema de telecomunicações")</f>
        <v>controladores de sistema de telecomunicações</v>
      </c>
      <c r="J6761">
        <f>VLOOKUP(A6761,Pr_Base_LNEC!$A$4:$J$6971,6,FALSE)</f>
        <v>0</v>
      </c>
      <c r="K6761">
        <f>VLOOKUP(A6761,Pr_Base_LNEC!$A$4:$J$6971,7,FALSE)</f>
        <v>0</v>
      </c>
    </row>
    <row r="6762" spans="1:11" ht="14.5">
      <c r="A6762" s="20" t="s">
        <v>31249</v>
      </c>
      <c r="B6762" s="20">
        <v>70</v>
      </c>
      <c r="C6762" s="20">
        <v>75</v>
      </c>
      <c r="D6762" s="20">
        <v>88</v>
      </c>
      <c r="E6762" s="20">
        <v>86</v>
      </c>
      <c r="F6762" s="20" t="s">
        <v>31250</v>
      </c>
      <c r="G6762" s="20" t="s">
        <v>31251</v>
      </c>
      <c r="H6762" s="24"/>
      <c r="I6762" s="24" t="str">
        <f ca="1">IFERROR(__xludf.DUMMYFUNCTION("GOOGLETRANSLATE(F6762,""en"",""pt"")"),"quadros de distribuição de telefone")</f>
        <v>quadros de distribuição de telefone</v>
      </c>
      <c r="J6762">
        <f>VLOOKUP(A6762,Pr_Base_LNEC!$A$4:$J$6971,6,FALSE)</f>
        <v>0</v>
      </c>
      <c r="K6762">
        <f>VLOOKUP(A6762,Pr_Base_LNEC!$A$4:$J$6971,7,FALSE)</f>
        <v>0</v>
      </c>
    </row>
    <row r="6763" spans="1:11" ht="14.5">
      <c r="A6763" s="20" t="s">
        <v>31252</v>
      </c>
      <c r="B6763" s="20">
        <v>70</v>
      </c>
      <c r="C6763" s="20">
        <v>75</v>
      </c>
      <c r="D6763" s="20">
        <v>88</v>
      </c>
      <c r="E6763" s="20">
        <v>87</v>
      </c>
      <c r="F6763" s="20" t="s">
        <v>31253</v>
      </c>
      <c r="G6763" s="20" t="s">
        <v>31254</v>
      </c>
      <c r="H6763" s="24"/>
      <c r="I6763" s="24" t="str">
        <f ca="1">IFERROR(__xludf.DUMMYFUNCTION("GOOGLETRANSLATE(F6763,""en"",""pt"")"),"toques de extensão de telefone")</f>
        <v>toques de extensão de telefone</v>
      </c>
      <c r="J6763">
        <f>VLOOKUP(A6763,Pr_Base_LNEC!$A$4:$J$6971,6,FALSE)</f>
        <v>0</v>
      </c>
      <c r="K6763">
        <f>VLOOKUP(A6763,Pr_Base_LNEC!$A$4:$J$6971,7,FALSE)</f>
        <v>0</v>
      </c>
    </row>
    <row r="6764" spans="1:11" ht="14.5">
      <c r="A6764" s="20" t="s">
        <v>31255</v>
      </c>
      <c r="B6764" s="20">
        <v>70</v>
      </c>
      <c r="C6764" s="20">
        <v>75</v>
      </c>
      <c r="D6764" s="20">
        <v>88</v>
      </c>
      <c r="E6764" s="20">
        <v>89</v>
      </c>
      <c r="F6764" s="20" t="s">
        <v>31256</v>
      </c>
      <c r="G6764" s="20" t="s">
        <v>31257</v>
      </c>
      <c r="H6764" s="24"/>
      <c r="I6764" s="24" t="str">
        <f ca="1">IFERROR(__xludf.DUMMYFUNCTION("GOOGLETRANSLATE(F6764,""en"",""pt"")"),"consolas de operadora de telefonia")</f>
        <v>consolas de operadora de telefonia</v>
      </c>
      <c r="J6764">
        <f>VLOOKUP(A6764,Pr_Base_LNEC!$A$4:$J$6971,6,FALSE)</f>
        <v>0</v>
      </c>
      <c r="K6764">
        <f>VLOOKUP(A6764,Pr_Base_LNEC!$A$4:$J$6971,7,FALSE)</f>
        <v>0</v>
      </c>
    </row>
    <row r="6765" spans="1:11" ht="14.5">
      <c r="A6765" s="20" t="s">
        <v>31258</v>
      </c>
      <c r="B6765" s="20">
        <v>70</v>
      </c>
      <c r="C6765" s="20">
        <v>75</v>
      </c>
      <c r="D6765" s="20">
        <v>94</v>
      </c>
      <c r="E6765" s="24"/>
      <c r="F6765" s="20" t="s">
        <v>31259</v>
      </c>
      <c r="G6765" s="24"/>
      <c r="H6765" s="24"/>
      <c r="I6765" s="24" t="str">
        <f ca="1">IFERROR(__xludf.DUMMYFUNCTION("GOOGLETRANSLATE(F6765,""en"",""pt"")"),"indicadores visuais e sonoros")</f>
        <v>indicadores visuais e sonoros</v>
      </c>
      <c r="J6765">
        <f>VLOOKUP(A6765,Pr_Base_LNEC!$A$4:$J$6971,6,FALSE)</f>
        <v>0</v>
      </c>
      <c r="K6765">
        <f>VLOOKUP(A6765,Pr_Base_LNEC!$A$4:$J$6971,7,FALSE)</f>
        <v>0</v>
      </c>
    </row>
    <row r="6766" spans="1:11" ht="14.5">
      <c r="A6766" s="20" t="s">
        <v>31260</v>
      </c>
      <c r="B6766" s="20">
        <v>70</v>
      </c>
      <c r="C6766" s="20">
        <v>75</v>
      </c>
      <c r="D6766" s="20">
        <v>94</v>
      </c>
      <c r="E6766" s="20">
        <v>27</v>
      </c>
      <c r="F6766" s="20" t="s">
        <v>31261</v>
      </c>
      <c r="G6766" s="24"/>
      <c r="H6766" s="24"/>
      <c r="I6766" s="24" t="str">
        <f ca="1">IFERROR(__xludf.DUMMYFUNCTION("GOOGLETRANSLATE(F6766,""en"",""pt"")"),"campainhas elétricas")</f>
        <v>campainhas elétricas</v>
      </c>
      <c r="J6766">
        <f>VLOOKUP(A6766,Pr_Base_LNEC!$A$4:$J$6971,6,FALSE)</f>
        <v>0</v>
      </c>
      <c r="K6766">
        <f>VLOOKUP(A6766,Pr_Base_LNEC!$A$4:$J$6971,7,FALSE)</f>
        <v>0</v>
      </c>
    </row>
    <row r="6767" spans="1:11" ht="14.5">
      <c r="A6767" s="20" t="s">
        <v>31262</v>
      </c>
      <c r="B6767" s="20">
        <v>70</v>
      </c>
      <c r="C6767" s="20">
        <v>75</v>
      </c>
      <c r="D6767" s="20">
        <v>94</v>
      </c>
      <c r="E6767" s="20">
        <v>28</v>
      </c>
      <c r="F6767" s="20" t="s">
        <v>31263</v>
      </c>
      <c r="G6767" s="20" t="s">
        <v>31264</v>
      </c>
      <c r="H6767" s="24"/>
      <c r="I6767" s="24" t="str">
        <f ca="1">IFERROR(__xludf.DUMMYFUNCTION("GOOGLETRANSLATE(F6767,""en"",""pt"")"),"sirenes electrónicas")</f>
        <v>sirenes electrónicas</v>
      </c>
      <c r="J6767">
        <f>VLOOKUP(A6767,Pr_Base_LNEC!$A$4:$J$6971,6,FALSE)</f>
        <v>0</v>
      </c>
      <c r="K6767">
        <f>VLOOKUP(A6767,Pr_Base_LNEC!$A$4:$J$6971,7,FALSE)</f>
        <v>0</v>
      </c>
    </row>
    <row r="6768" spans="1:11" ht="14.5">
      <c r="A6768" s="20" t="s">
        <v>31265</v>
      </c>
      <c r="B6768" s="20">
        <v>70</v>
      </c>
      <c r="C6768" s="20">
        <v>75</v>
      </c>
      <c r="D6768" s="20">
        <v>94</v>
      </c>
      <c r="E6768" s="20">
        <v>29</v>
      </c>
      <c r="F6768" s="20" t="s">
        <v>31266</v>
      </c>
      <c r="G6768" s="24"/>
      <c r="H6768" s="24"/>
      <c r="I6768" s="24" t="str">
        <f ca="1">IFERROR(__xludf.DUMMYFUNCTION("GOOGLETRANSLATE(F6768,""en"",""pt"")"),"Piscar de filamentos de balizas de advertência")</f>
        <v>Piscar de filamentos de balizas de advertência</v>
      </c>
      <c r="J6768">
        <f>VLOOKUP(A6768,Pr_Base_LNEC!$A$4:$J$6971,6,FALSE)</f>
        <v>0</v>
      </c>
      <c r="K6768">
        <f>VLOOKUP(A6768,Pr_Base_LNEC!$A$4:$J$6971,7,FALSE)</f>
        <v>0</v>
      </c>
    </row>
    <row r="6769" spans="1:11" ht="14.5">
      <c r="A6769" s="20" t="s">
        <v>31267</v>
      </c>
      <c r="B6769" s="20">
        <v>70</v>
      </c>
      <c r="C6769" s="20">
        <v>75</v>
      </c>
      <c r="D6769" s="20">
        <v>94</v>
      </c>
      <c r="E6769" s="20">
        <v>40</v>
      </c>
      <c r="F6769" s="20" t="s">
        <v>31268</v>
      </c>
      <c r="G6769" s="20" t="s">
        <v>31269</v>
      </c>
      <c r="H6769" s="24"/>
      <c r="I6769" s="24" t="str">
        <f ca="1">IFERROR(__xludf.DUMMYFUNCTION("GOOGLETRANSLATE(F6769,""en"",""pt"")"),"Luzes indicadoras")</f>
        <v>Luzes indicadoras</v>
      </c>
      <c r="J6769" t="e">
        <f>VLOOKUP(A6769,Pr_Base_LNEC!$A$4:$J$6971,6,FALSE)</f>
        <v>#N/A</v>
      </c>
      <c r="K6769" t="e">
        <f>VLOOKUP(A6769,Pr_Base_LNEC!$A$4:$J$6971,7,FALSE)</f>
        <v>#N/A</v>
      </c>
    </row>
    <row r="6770" spans="1:11" ht="14.5">
      <c r="A6770" s="20" t="s">
        <v>31270</v>
      </c>
      <c r="B6770" s="20">
        <v>70</v>
      </c>
      <c r="C6770" s="20">
        <v>75</v>
      </c>
      <c r="D6770" s="20">
        <v>94</v>
      </c>
      <c r="E6770" s="20">
        <v>42</v>
      </c>
      <c r="F6770" s="20" t="s">
        <v>31271</v>
      </c>
      <c r="G6770" s="24"/>
      <c r="H6770" s="24"/>
      <c r="I6770" s="24" t="str">
        <f ca="1">IFERROR(__xludf.DUMMYFUNCTION("GOOGLETRANSLATE(F6770,""en"",""pt"")"),"sinos industriais")</f>
        <v>sinos industriais</v>
      </c>
      <c r="J6770">
        <f>VLOOKUP(A6770,Pr_Base_LNEC!$A$4:$J$6971,6,FALSE)</f>
        <v>0</v>
      </c>
      <c r="K6770">
        <f>VLOOKUP(A6770,Pr_Base_LNEC!$A$4:$J$6971,7,FALSE)</f>
        <v>0</v>
      </c>
    </row>
    <row r="6771" spans="1:11" ht="14.5">
      <c r="A6771" s="20" t="s">
        <v>31272</v>
      </c>
      <c r="B6771" s="20">
        <v>70</v>
      </c>
      <c r="C6771" s="20">
        <v>75</v>
      </c>
      <c r="D6771" s="20">
        <v>94</v>
      </c>
      <c r="E6771" s="20">
        <v>46</v>
      </c>
      <c r="F6771" s="20" t="s">
        <v>31273</v>
      </c>
      <c r="G6771" s="24"/>
      <c r="H6771" s="24"/>
      <c r="I6771" s="24" t="str">
        <f ca="1">IFERROR(__xludf.DUMMYFUNCTION("GOOGLETRANSLATE(F6771,""en"",""pt"")"),"balizas de advertência LED")</f>
        <v>balizas de advertência LED</v>
      </c>
      <c r="J6771">
        <f>VLOOKUP(A6771,Pr_Base_LNEC!$A$4:$J$6971,6,FALSE)</f>
        <v>0</v>
      </c>
      <c r="K6771">
        <f>VLOOKUP(A6771,Pr_Base_LNEC!$A$4:$J$6971,7,FALSE)</f>
        <v>0</v>
      </c>
    </row>
    <row r="6772" spans="1:11" ht="14.5">
      <c r="A6772" s="20" t="s">
        <v>31274</v>
      </c>
      <c r="B6772" s="20">
        <v>70</v>
      </c>
      <c r="C6772" s="20">
        <v>75</v>
      </c>
      <c r="D6772" s="20">
        <v>94</v>
      </c>
      <c r="E6772" s="20">
        <v>58</v>
      </c>
      <c r="F6772" s="20" t="s">
        <v>31275</v>
      </c>
      <c r="G6772" s="20" t="s">
        <v>31276</v>
      </c>
      <c r="H6772" s="24"/>
      <c r="I6772" s="24" t="str">
        <f ca="1">IFERROR(__xludf.DUMMYFUNCTION("GOOGLETRANSLATE(F6772,""en"",""pt"")"),"unidades indicador Overdoor")</f>
        <v>unidades indicador Overdoor</v>
      </c>
      <c r="J6772">
        <f>VLOOKUP(A6772,Pr_Base_LNEC!$A$4:$J$6971,6,FALSE)</f>
        <v>0</v>
      </c>
      <c r="K6772">
        <f>VLOOKUP(A6772,Pr_Base_LNEC!$A$4:$J$6971,7,FALSE)</f>
        <v>0</v>
      </c>
    </row>
    <row r="6773" spans="1:11" ht="14.5">
      <c r="A6773" s="20" t="s">
        <v>31277</v>
      </c>
      <c r="B6773" s="20">
        <v>70</v>
      </c>
      <c r="C6773" s="20">
        <v>75</v>
      </c>
      <c r="D6773" s="20">
        <v>94</v>
      </c>
      <c r="E6773" s="20">
        <v>60</v>
      </c>
      <c r="F6773" s="20" t="s">
        <v>31278</v>
      </c>
      <c r="G6773" s="20" t="s">
        <v>31279</v>
      </c>
      <c r="H6773" s="24"/>
      <c r="I6773" s="24" t="str">
        <f ca="1">IFERROR(__xludf.DUMMYFUNCTION("GOOGLETRANSLATE(F6773,""en"",""pt"")"),"montagem do painel luzes indicadoras")</f>
        <v>montagem do painel luzes indicadoras</v>
      </c>
      <c r="J6773">
        <f>VLOOKUP(A6773,Pr_Base_LNEC!$A$4:$J$6971,6,FALSE)</f>
        <v>0</v>
      </c>
      <c r="K6773">
        <f>VLOOKUP(A6773,Pr_Base_LNEC!$A$4:$J$6971,7,FALSE)</f>
        <v>0</v>
      </c>
    </row>
    <row r="6774" spans="1:11" ht="14.5">
      <c r="A6774" s="20" t="s">
        <v>31280</v>
      </c>
      <c r="B6774" s="20">
        <v>70</v>
      </c>
      <c r="C6774" s="20">
        <v>75</v>
      </c>
      <c r="D6774" s="20">
        <v>94</v>
      </c>
      <c r="E6774" s="20">
        <v>73</v>
      </c>
      <c r="F6774" s="20" t="s">
        <v>31281</v>
      </c>
      <c r="G6774" s="24"/>
      <c r="H6774" s="24"/>
      <c r="I6774" s="24" t="str">
        <f ca="1">IFERROR(__xludf.DUMMYFUNCTION("GOOGLETRANSLATE(F6774,""en"",""pt"")"),"Girando balizas de advertência")</f>
        <v>Girando balizas de advertência</v>
      </c>
      <c r="J6774">
        <f>VLOOKUP(A6774,Pr_Base_LNEC!$A$4:$J$6971,6,FALSE)</f>
        <v>0</v>
      </c>
      <c r="K6774">
        <f>VLOOKUP(A6774,Pr_Base_LNEC!$A$4:$J$6971,7,FALSE)</f>
        <v>0</v>
      </c>
    </row>
    <row r="6775" spans="1:11" ht="14.5">
      <c r="A6775" s="20" t="s">
        <v>31282</v>
      </c>
      <c r="B6775" s="20">
        <v>70</v>
      </c>
      <c r="C6775" s="20">
        <v>75</v>
      </c>
      <c r="D6775" s="20">
        <v>94</v>
      </c>
      <c r="E6775" s="20">
        <v>78</v>
      </c>
      <c r="F6775" s="20" t="s">
        <v>31283</v>
      </c>
      <c r="G6775" s="20" t="s">
        <v>31284</v>
      </c>
      <c r="H6775" s="24"/>
      <c r="I6775" s="24" t="str">
        <f ca="1">IFERROR(__xludf.DUMMYFUNCTION("GOOGLETRANSLATE(F6775,""en"",""pt"")"),"Começando luzes estroboscópicas")</f>
        <v>Começando luzes estroboscópicas</v>
      </c>
      <c r="J6775">
        <f>VLOOKUP(A6775,Pr_Base_LNEC!$A$4:$J$6971,6,FALSE)</f>
        <v>0</v>
      </c>
      <c r="K6775">
        <f>VLOOKUP(A6775,Pr_Base_LNEC!$A$4:$J$6971,7,FALSE)</f>
        <v>0</v>
      </c>
    </row>
    <row r="6776" spans="1:11" ht="14.5">
      <c r="A6776" s="20" t="s">
        <v>31285</v>
      </c>
      <c r="B6776" s="20">
        <v>70</v>
      </c>
      <c r="C6776" s="20">
        <v>75</v>
      </c>
      <c r="D6776" s="20">
        <v>94</v>
      </c>
      <c r="E6776" s="20">
        <v>80</v>
      </c>
      <c r="F6776" s="20" t="s">
        <v>31286</v>
      </c>
      <c r="G6776" s="24"/>
      <c r="H6776" s="24"/>
      <c r="I6776" s="24" t="str">
        <f ca="1">IFERROR(__xludf.DUMMYFUNCTION("GOOGLETRANSLATE(F6776,""en"",""pt"")"),"beacons alerta filamentos estática")</f>
        <v>beacons alerta filamentos estática</v>
      </c>
      <c r="J6776">
        <f>VLOOKUP(A6776,Pr_Base_LNEC!$A$4:$J$6971,6,FALSE)</f>
        <v>0</v>
      </c>
      <c r="K6776">
        <f>VLOOKUP(A6776,Pr_Base_LNEC!$A$4:$J$6971,7,FALSE)</f>
        <v>0</v>
      </c>
    </row>
    <row r="6777" spans="1:11" ht="14.5">
      <c r="A6777" s="20" t="s">
        <v>31287</v>
      </c>
      <c r="B6777" s="20">
        <v>70</v>
      </c>
      <c r="C6777" s="20">
        <v>75</v>
      </c>
      <c r="D6777" s="20">
        <v>94</v>
      </c>
      <c r="E6777" s="20">
        <v>99</v>
      </c>
      <c r="F6777" s="20" t="s">
        <v>31288</v>
      </c>
      <c r="G6777" s="24"/>
      <c r="H6777" s="24"/>
      <c r="I6777" s="24" t="str">
        <f ca="1">IFERROR(__xludf.DUMMYFUNCTION("GOOGLETRANSLATE(F6777,""en"",""pt"")"),"Xenon faróis de alerta")</f>
        <v>Xenon faróis de alerta</v>
      </c>
      <c r="J6777">
        <f>VLOOKUP(A6777,Pr_Base_LNEC!$A$4:$J$6971,6,FALSE)</f>
        <v>0</v>
      </c>
      <c r="K6777">
        <f>VLOOKUP(A6777,Pr_Base_LNEC!$A$4:$J$6971,7,FALSE)</f>
        <v>0</v>
      </c>
    </row>
    <row r="6778" spans="1:11" ht="14.5">
      <c r="A6778" s="20" t="s">
        <v>31289</v>
      </c>
      <c r="B6778" s="20">
        <v>75</v>
      </c>
      <c r="C6778" s="24"/>
      <c r="D6778" s="24"/>
      <c r="E6778" s="24"/>
      <c r="F6778" s="20" t="s">
        <v>31290</v>
      </c>
      <c r="G6778" s="24"/>
      <c r="H6778" s="24"/>
      <c r="I6778" s="24" t="str">
        <f ca="1">IFERROR(__xludf.DUMMYFUNCTION("GOOGLETRANSLATE(F6778,""en"",""pt"")"),"Serviços de controle de produtos")</f>
        <v>Serviços de controle de produtos</v>
      </c>
      <c r="J6778" t="str">
        <f>VLOOKUP(A6778,Pr_Base_LNEC!$A$4:$J$6971,6,FALSE)</f>
        <v>Produtos para Controlo de Serviços</v>
      </c>
      <c r="K6778">
        <f>VLOOKUP(A6778,Pr_Base_LNEC!$A$4:$J$6971,7,FALSE)</f>
        <v>0</v>
      </c>
    </row>
    <row r="6779" spans="1:11" ht="14.5">
      <c r="A6779" s="20" t="s">
        <v>31291</v>
      </c>
      <c r="B6779" s="20">
        <v>75</v>
      </c>
      <c r="C6779" s="20">
        <v>30</v>
      </c>
      <c r="D6779" s="24"/>
      <c r="E6779" s="24"/>
      <c r="F6779" s="20" t="s">
        <v>31292</v>
      </c>
      <c r="G6779" s="24"/>
      <c r="H6779" s="24"/>
      <c r="I6779" s="24" t="str">
        <f ca="1">IFERROR(__xludf.DUMMYFUNCTION("GOOGLETRANSLATE(F6779,""en"",""pt"")"),"produtos de controle de abertura")</f>
        <v>produtos de controle de abertura</v>
      </c>
      <c r="J6779" t="str">
        <f>VLOOKUP(A6779,Pr_Base_LNEC!$A$4:$J$6971,6,FALSE)</f>
        <v>Controlo de Produtos para Entradas</v>
      </c>
      <c r="K6779">
        <f>VLOOKUP(A6779,Pr_Base_LNEC!$A$4:$J$6971,7,FALSE)</f>
        <v>0</v>
      </c>
    </row>
    <row r="6780" spans="1:11" ht="14.5">
      <c r="A6780" s="20" t="s">
        <v>31293</v>
      </c>
      <c r="B6780" s="20">
        <v>75</v>
      </c>
      <c r="C6780" s="20">
        <v>30</v>
      </c>
      <c r="D6780" s="20">
        <v>23</v>
      </c>
      <c r="E6780" s="24"/>
      <c r="F6780" s="20" t="s">
        <v>31294</v>
      </c>
      <c r="G6780" s="24"/>
      <c r="H6780" s="24"/>
      <c r="I6780" s="24" t="str">
        <f ca="1">IFERROR(__xludf.DUMMYFUNCTION("GOOGLETRANSLATE(F6780,""en"",""pt"")"),"Porta e funcionamento de hardware portão")</f>
        <v>Porta e funcionamento de hardware portão</v>
      </c>
      <c r="J6780">
        <f>VLOOKUP(A6780,Pr_Base_LNEC!$A$4:$J$6971,6,FALSE)</f>
        <v>0</v>
      </c>
      <c r="K6780">
        <f>VLOOKUP(A6780,Pr_Base_LNEC!$A$4:$J$6971,7,FALSE)</f>
        <v>0</v>
      </c>
    </row>
    <row r="6781" spans="1:11" ht="14.5">
      <c r="A6781" s="20" t="s">
        <v>31295</v>
      </c>
      <c r="B6781" s="20">
        <v>75</v>
      </c>
      <c r="C6781" s="20">
        <v>30</v>
      </c>
      <c r="D6781" s="20">
        <v>23</v>
      </c>
      <c r="E6781" s="20">
        <v>0</v>
      </c>
      <c r="F6781" s="20" t="s">
        <v>31296</v>
      </c>
      <c r="G6781" s="20" t="s">
        <v>31297</v>
      </c>
      <c r="H6781" s="24"/>
      <c r="I6781" s="24" t="str">
        <f ca="1">IFERROR(__xludf.DUMMYFUNCTION("GOOGLETRANSLATE(F6781,""en"",""pt"")"),"operadores de porta oscilante braço articulado")</f>
        <v>operadores de porta oscilante braço articulado</v>
      </c>
      <c r="J6781">
        <f>VLOOKUP(A6781,Pr_Base_LNEC!$A$4:$J$6971,6,FALSE)</f>
        <v>0</v>
      </c>
      <c r="K6781">
        <f>VLOOKUP(A6781,Pr_Base_LNEC!$A$4:$J$6971,7,FALSE)</f>
        <v>0</v>
      </c>
    </row>
    <row r="6782" spans="1:11" ht="14.5">
      <c r="A6782" s="20" t="s">
        <v>31298</v>
      </c>
      <c r="B6782" s="20">
        <v>75</v>
      </c>
      <c r="C6782" s="20">
        <v>30</v>
      </c>
      <c r="D6782" s="20">
        <v>23</v>
      </c>
      <c r="E6782" s="20">
        <v>1</v>
      </c>
      <c r="F6782" s="20" t="s">
        <v>31299</v>
      </c>
      <c r="G6782" s="24"/>
      <c r="H6782" s="24"/>
      <c r="I6782" s="24" t="str">
        <f ca="1">IFERROR(__xludf.DUMMYFUNCTION("GOOGLETRANSLATE(F6782,""en"",""pt"")"),"tapetes de controle de acesso porta automática")</f>
        <v>tapetes de controle de acesso porta automática</v>
      </c>
      <c r="J6782">
        <f>VLOOKUP(A6782,Pr_Base_LNEC!$A$4:$J$6971,6,FALSE)</f>
        <v>0</v>
      </c>
      <c r="K6782">
        <f>VLOOKUP(A6782,Pr_Base_LNEC!$A$4:$J$6971,7,FALSE)</f>
        <v>0</v>
      </c>
    </row>
    <row r="6783" spans="1:11" ht="14.5">
      <c r="A6783" s="20" t="s">
        <v>31300</v>
      </c>
      <c r="B6783" s="20">
        <v>75</v>
      </c>
      <c r="C6783" s="20">
        <v>30</v>
      </c>
      <c r="D6783" s="20">
        <v>23</v>
      </c>
      <c r="E6783" s="20">
        <v>2</v>
      </c>
      <c r="F6783" s="20" t="s">
        <v>31301</v>
      </c>
      <c r="G6783" s="24"/>
      <c r="H6783" s="24"/>
      <c r="I6783" s="24" t="str">
        <f ca="1">IFERROR(__xludf.DUMMYFUNCTION("GOOGLETRANSLATE(F6783,""en"",""pt"")"),"sensores de segurança presença porta automática")</f>
        <v>sensores de segurança presença porta automática</v>
      </c>
      <c r="J6783">
        <f>VLOOKUP(A6783,Pr_Base_LNEC!$A$4:$J$6971,6,FALSE)</f>
        <v>0</v>
      </c>
      <c r="K6783">
        <f>VLOOKUP(A6783,Pr_Base_LNEC!$A$4:$J$6971,7,FALSE)</f>
        <v>0</v>
      </c>
    </row>
    <row r="6784" spans="1:11" ht="14.5">
      <c r="A6784" s="20" t="s">
        <v>31302</v>
      </c>
      <c r="B6784" s="20">
        <v>75</v>
      </c>
      <c r="C6784" s="20">
        <v>30</v>
      </c>
      <c r="D6784" s="20">
        <v>23</v>
      </c>
      <c r="E6784" s="20">
        <v>3</v>
      </c>
      <c r="F6784" s="20" t="s">
        <v>31303</v>
      </c>
      <c r="G6784" s="24"/>
      <c r="H6784" s="24"/>
      <c r="I6784" s="24" t="str">
        <f ca="1">IFERROR(__xludf.DUMMYFUNCTION("GOOGLETRANSLATE(F6784,""en"",""pt"")"),"sensores de segurança presença portão automático")</f>
        <v>sensores de segurança presença portão automático</v>
      </c>
      <c r="J6784">
        <f>VLOOKUP(A6784,Pr_Base_LNEC!$A$4:$J$6971,6,FALSE)</f>
        <v>0</v>
      </c>
      <c r="K6784">
        <f>VLOOKUP(A6784,Pr_Base_LNEC!$A$4:$J$6971,7,FALSE)</f>
        <v>0</v>
      </c>
    </row>
    <row r="6785" spans="1:11" ht="14.5">
      <c r="A6785" s="20" t="s">
        <v>31304</v>
      </c>
      <c r="B6785" s="20">
        <v>75</v>
      </c>
      <c r="C6785" s="20">
        <v>30</v>
      </c>
      <c r="D6785" s="20">
        <v>23</v>
      </c>
      <c r="E6785" s="20">
        <v>4</v>
      </c>
      <c r="F6785" s="20" t="s">
        <v>31305</v>
      </c>
      <c r="G6785" s="24"/>
      <c r="H6785" s="24"/>
      <c r="I6785" s="24" t="str">
        <f ca="1">IFERROR(__xludf.DUMMYFUNCTION("GOOGLETRANSLATE(F6785,""en"",""pt"")"),"os painéis de controlo de operador de porta de correr automática")</f>
        <v>os painéis de controlo de operador de porta de correr automática</v>
      </c>
      <c r="J6785">
        <f>VLOOKUP(A6785,Pr_Base_LNEC!$A$4:$J$6971,6,FALSE)</f>
        <v>0</v>
      </c>
      <c r="K6785">
        <f>VLOOKUP(A6785,Pr_Base_LNEC!$A$4:$J$6971,7,FALSE)</f>
        <v>0</v>
      </c>
    </row>
    <row r="6786" spans="1:11" ht="14.5">
      <c r="A6786" s="20" t="s">
        <v>31306</v>
      </c>
      <c r="B6786" s="20">
        <v>75</v>
      </c>
      <c r="C6786" s="20">
        <v>30</v>
      </c>
      <c r="D6786" s="20">
        <v>23</v>
      </c>
      <c r="E6786" s="20">
        <v>5</v>
      </c>
      <c r="F6786" s="20" t="s">
        <v>31307</v>
      </c>
      <c r="G6786" s="24"/>
      <c r="H6786" s="24"/>
      <c r="I6786" s="24" t="str">
        <f ca="1">IFERROR(__xludf.DUMMYFUNCTION("GOOGLETRANSLATE(F6786,""en"",""pt"")"),"operadores automáticos da porta de correr")</f>
        <v>operadores automáticos da porta de correr</v>
      </c>
      <c r="J6786">
        <f>VLOOKUP(A6786,Pr_Base_LNEC!$A$4:$J$6971,6,FALSE)</f>
        <v>0</v>
      </c>
      <c r="K6786">
        <f>VLOOKUP(A6786,Pr_Base_LNEC!$A$4:$J$6971,7,FALSE)</f>
        <v>0</v>
      </c>
    </row>
    <row r="6787" spans="1:11" ht="14.5">
      <c r="A6787" s="20" t="s">
        <v>31308</v>
      </c>
      <c r="B6787" s="20">
        <v>75</v>
      </c>
      <c r="C6787" s="20">
        <v>30</v>
      </c>
      <c r="D6787" s="20">
        <v>23</v>
      </c>
      <c r="E6787" s="20">
        <v>6</v>
      </c>
      <c r="F6787" s="20" t="s">
        <v>31309</v>
      </c>
      <c r="G6787" s="24"/>
      <c r="H6787" s="24"/>
      <c r="I6787" s="24" t="str">
        <f ca="1">IFERROR(__xludf.DUMMYFUNCTION("GOOGLETRANSLATE(F6787,""en"",""pt"")"),"os painéis de controlo de operador porta de correr automática")</f>
        <v>os painéis de controlo de operador porta de correr automática</v>
      </c>
      <c r="J6787">
        <f>VLOOKUP(A6787,Pr_Base_LNEC!$A$4:$J$6971,6,FALSE)</f>
        <v>0</v>
      </c>
      <c r="K6787">
        <f>VLOOKUP(A6787,Pr_Base_LNEC!$A$4:$J$6971,7,FALSE)</f>
        <v>0</v>
      </c>
    </row>
    <row r="6788" spans="1:11" ht="14.5">
      <c r="A6788" s="20" t="s">
        <v>31310</v>
      </c>
      <c r="B6788" s="20">
        <v>75</v>
      </c>
      <c r="C6788" s="20">
        <v>30</v>
      </c>
      <c r="D6788" s="20">
        <v>23</v>
      </c>
      <c r="E6788" s="20">
        <v>7</v>
      </c>
      <c r="F6788" s="20" t="s">
        <v>31311</v>
      </c>
      <c r="G6788" s="24"/>
      <c r="H6788" s="24"/>
      <c r="I6788" s="24" t="str">
        <f ca="1">IFERROR(__xludf.DUMMYFUNCTION("GOOGLETRANSLATE(F6788,""en"",""pt"")"),"painéis de controle do operador Porta de balanço automática")</f>
        <v>painéis de controle do operador Porta de balanço automática</v>
      </c>
      <c r="J6788">
        <f>VLOOKUP(A6788,Pr_Base_LNEC!$A$4:$J$6971,6,FALSE)</f>
        <v>0</v>
      </c>
      <c r="K6788">
        <f>VLOOKUP(A6788,Pr_Base_LNEC!$A$4:$J$6971,7,FALSE)</f>
        <v>0</v>
      </c>
    </row>
    <row r="6789" spans="1:11" ht="14.5">
      <c r="A6789" s="20" t="s">
        <v>31312</v>
      </c>
      <c r="B6789" s="20">
        <v>75</v>
      </c>
      <c r="C6789" s="20">
        <v>30</v>
      </c>
      <c r="D6789" s="20">
        <v>23</v>
      </c>
      <c r="E6789" s="20">
        <v>8</v>
      </c>
      <c r="F6789" s="20" t="s">
        <v>31313</v>
      </c>
      <c r="G6789" s="24"/>
      <c r="H6789" s="24"/>
      <c r="I6789" s="24" t="str">
        <f ca="1">IFERROR(__xludf.DUMMYFUNCTION("GOOGLETRANSLATE(F6789,""en"",""pt"")"),"painéis de controlo operador de porta oscilante automática")</f>
        <v>painéis de controlo operador de porta oscilante automática</v>
      </c>
      <c r="J6789">
        <f>VLOOKUP(A6789,Pr_Base_LNEC!$A$4:$J$6971,6,FALSE)</f>
        <v>0</v>
      </c>
      <c r="K6789">
        <f>VLOOKUP(A6789,Pr_Base_LNEC!$A$4:$J$6971,7,FALSE)</f>
        <v>0</v>
      </c>
    </row>
    <row r="6790" spans="1:11" ht="14.5">
      <c r="A6790" s="20" t="s">
        <v>31314</v>
      </c>
      <c r="B6790" s="20">
        <v>75</v>
      </c>
      <c r="C6790" s="20">
        <v>30</v>
      </c>
      <c r="D6790" s="20">
        <v>23</v>
      </c>
      <c r="E6790" s="20">
        <v>9</v>
      </c>
      <c r="F6790" s="20" t="s">
        <v>31315</v>
      </c>
      <c r="G6790" s="24"/>
      <c r="H6790" s="24"/>
      <c r="I6790" s="24" t="str">
        <f ca="1">IFERROR(__xludf.DUMMYFUNCTION("GOOGLETRANSLATE(F6790,""en"",""pt"")"),"operadores automáticos swing-porta")</f>
        <v>operadores automáticos swing-porta</v>
      </c>
      <c r="J6790">
        <f>VLOOKUP(A6790,Pr_Base_LNEC!$A$4:$J$6971,6,FALSE)</f>
        <v>0</v>
      </c>
      <c r="K6790">
        <f>VLOOKUP(A6790,Pr_Base_LNEC!$A$4:$J$6971,7,FALSE)</f>
        <v>0</v>
      </c>
    </row>
    <row r="6791" spans="1:11" ht="14.5">
      <c r="A6791" s="20" t="s">
        <v>31316</v>
      </c>
      <c r="B6791" s="20">
        <v>75</v>
      </c>
      <c r="C6791" s="20">
        <v>30</v>
      </c>
      <c r="D6791" s="20">
        <v>23</v>
      </c>
      <c r="E6791" s="20">
        <v>21</v>
      </c>
      <c r="F6791" s="20" t="s">
        <v>31317</v>
      </c>
      <c r="G6791" s="24"/>
      <c r="H6791" s="24"/>
      <c r="I6791" s="24" t="str">
        <f ca="1">IFERROR(__xludf.DUMMYFUNCTION("GOOGLETRANSLATE(F6791,""en"",""pt"")"),"Doca controladores nivelador")</f>
        <v>Doca controladores nivelador</v>
      </c>
      <c r="J6791">
        <f>VLOOKUP(A6791,Pr_Base_LNEC!$A$4:$J$6971,6,FALSE)</f>
        <v>0</v>
      </c>
      <c r="K6791">
        <f>VLOOKUP(A6791,Pr_Base_LNEC!$A$4:$J$6971,7,FALSE)</f>
        <v>0</v>
      </c>
    </row>
    <row r="6792" spans="1:11" ht="14.5">
      <c r="A6792" s="20" t="s">
        <v>31318</v>
      </c>
      <c r="B6792" s="20">
        <v>75</v>
      </c>
      <c r="C6792" s="20">
        <v>30</v>
      </c>
      <c r="D6792" s="20">
        <v>23</v>
      </c>
      <c r="E6792" s="20">
        <v>22</v>
      </c>
      <c r="F6792" s="20" t="s">
        <v>31319</v>
      </c>
      <c r="G6792" s="24"/>
      <c r="H6792" s="24"/>
      <c r="I6792" s="24" t="str">
        <f ca="1">IFERROR(__xludf.DUMMYFUNCTION("GOOGLETRANSLATE(F6792,""en"",""pt"")"),"Porta pushpads de controle de acesso")</f>
        <v>Porta pushpads de controle de acesso</v>
      </c>
      <c r="J6792">
        <f>VLOOKUP(A6792,Pr_Base_LNEC!$A$4:$J$6971,6,FALSE)</f>
        <v>0</v>
      </c>
      <c r="K6792">
        <f>VLOOKUP(A6792,Pr_Base_LNEC!$A$4:$J$6971,7,FALSE)</f>
        <v>0</v>
      </c>
    </row>
    <row r="6793" spans="1:11" ht="14.5">
      <c r="A6793" s="20" t="s">
        <v>31320</v>
      </c>
      <c r="B6793" s="20">
        <v>75</v>
      </c>
      <c r="C6793" s="20">
        <v>30</v>
      </c>
      <c r="D6793" s="20">
        <v>23</v>
      </c>
      <c r="E6793" s="20">
        <v>26</v>
      </c>
      <c r="F6793" s="20" t="s">
        <v>31321</v>
      </c>
      <c r="G6793" s="24"/>
      <c r="H6793" s="24"/>
      <c r="I6793" s="24" t="str">
        <f ca="1">IFERROR(__xludf.DUMMYFUNCTION("GOOGLETRANSLATE(F6793,""en"",""pt"")"),"titulares de portas eletromagnéticas")</f>
        <v>titulares de portas eletromagnéticas</v>
      </c>
      <c r="J6793">
        <f>VLOOKUP(A6793,Pr_Base_LNEC!$A$4:$J$6971,6,FALSE)</f>
        <v>0</v>
      </c>
      <c r="K6793">
        <f>VLOOKUP(A6793,Pr_Base_LNEC!$A$4:$J$6971,7,FALSE)</f>
        <v>0</v>
      </c>
    </row>
    <row r="6794" spans="1:11" ht="14.5">
      <c r="A6794" s="20" t="s">
        <v>31322</v>
      </c>
      <c r="B6794" s="20">
        <v>75</v>
      </c>
      <c r="C6794" s="20">
        <v>30</v>
      </c>
      <c r="D6794" s="20">
        <v>23</v>
      </c>
      <c r="E6794" s="20">
        <v>27</v>
      </c>
      <c r="F6794" s="20" t="s">
        <v>31323</v>
      </c>
      <c r="G6794" s="24"/>
      <c r="H6794" s="24"/>
      <c r="I6794" s="24" t="str">
        <f ca="1">IFERROR(__xludf.DUMMYFUNCTION("GOOGLETRANSLATE(F6794,""en"",""pt"")"),"dispositivos de porta eletromagnética manter a porta aberta e swing-livres")</f>
        <v>dispositivos de porta eletromagnética manter a porta aberta e swing-livres</v>
      </c>
      <c r="J6794">
        <f>VLOOKUP(A6794,Pr_Base_LNEC!$A$4:$J$6971,6,FALSE)</f>
        <v>0</v>
      </c>
      <c r="K6794">
        <f>VLOOKUP(A6794,Pr_Base_LNEC!$A$4:$J$6971,7,FALSE)</f>
        <v>0</v>
      </c>
    </row>
    <row r="6795" spans="1:11" ht="14.5">
      <c r="A6795" s="20" t="s">
        <v>31324</v>
      </c>
      <c r="B6795" s="20">
        <v>75</v>
      </c>
      <c r="C6795" s="20">
        <v>30</v>
      </c>
      <c r="D6795" s="20">
        <v>23</v>
      </c>
      <c r="E6795" s="20">
        <v>31</v>
      </c>
      <c r="F6795" s="20" t="s">
        <v>31325</v>
      </c>
      <c r="G6795" s="20" t="s">
        <v>31326</v>
      </c>
      <c r="H6795" s="24"/>
      <c r="I6795" s="24" t="str">
        <f ca="1">IFERROR(__xludf.DUMMYFUNCTION("GOOGLETRANSLATE(F6795,""en"",""pt"")"),"Dobrar mecanismos de automação de portões")</f>
        <v>Dobrar mecanismos de automação de portões</v>
      </c>
      <c r="J6795">
        <f>VLOOKUP(A6795,Pr_Base_LNEC!$A$4:$J$6971,6,FALSE)</f>
        <v>0</v>
      </c>
      <c r="K6795">
        <f>VLOOKUP(A6795,Pr_Base_LNEC!$A$4:$J$6971,7,FALSE)</f>
        <v>0</v>
      </c>
    </row>
    <row r="6796" spans="1:11" ht="14.5">
      <c r="A6796" s="20" t="s">
        <v>31327</v>
      </c>
      <c r="B6796" s="20">
        <v>75</v>
      </c>
      <c r="C6796" s="20">
        <v>30</v>
      </c>
      <c r="D6796" s="20">
        <v>23</v>
      </c>
      <c r="E6796" s="20">
        <v>33</v>
      </c>
      <c r="F6796" s="20" t="s">
        <v>31328</v>
      </c>
      <c r="G6796" s="24"/>
      <c r="H6796" s="24"/>
      <c r="I6796" s="24" t="str">
        <f ca="1">IFERROR(__xludf.DUMMYFUNCTION("GOOGLETRANSLATE(F6796,""en"",""pt"")"),"operadores de portas de garagem")</f>
        <v>operadores de portas de garagem</v>
      </c>
      <c r="J6796">
        <f>VLOOKUP(A6796,Pr_Base_LNEC!$A$4:$J$6971,6,FALSE)</f>
        <v>0</v>
      </c>
      <c r="K6796">
        <f>VLOOKUP(A6796,Pr_Base_LNEC!$A$4:$J$6971,7,FALSE)</f>
        <v>0</v>
      </c>
    </row>
    <row r="6797" spans="1:11" ht="14.5">
      <c r="A6797" s="20" t="s">
        <v>31329</v>
      </c>
      <c r="B6797" s="20">
        <v>75</v>
      </c>
      <c r="C6797" s="20">
        <v>30</v>
      </c>
      <c r="D6797" s="20">
        <v>23</v>
      </c>
      <c r="E6797" s="20">
        <v>36</v>
      </c>
      <c r="F6797" s="20" t="s">
        <v>31330</v>
      </c>
      <c r="G6797" s="24"/>
      <c r="H6797" s="24"/>
      <c r="I6797" s="24" t="str">
        <f ca="1">IFERROR(__xludf.DUMMYFUNCTION("GOOGLETRANSLATE(F6797,""en"",""pt"")"),"porta Handheld e portão controladores remotos")</f>
        <v>porta Handheld e portão controladores remotos</v>
      </c>
      <c r="J6797">
        <f>VLOOKUP(A6797,Pr_Base_LNEC!$A$4:$J$6971,6,FALSE)</f>
        <v>0</v>
      </c>
      <c r="K6797">
        <f>VLOOKUP(A6797,Pr_Base_LNEC!$A$4:$J$6971,7,FALSE)</f>
        <v>0</v>
      </c>
    </row>
    <row r="6798" spans="1:11" ht="14.5">
      <c r="A6798" s="20" t="s">
        <v>31331</v>
      </c>
      <c r="B6798" s="20">
        <v>75</v>
      </c>
      <c r="C6798" s="20">
        <v>30</v>
      </c>
      <c r="D6798" s="20">
        <v>23</v>
      </c>
      <c r="E6798" s="20">
        <v>40</v>
      </c>
      <c r="F6798" s="20" t="s">
        <v>31332</v>
      </c>
      <c r="G6798" s="20" t="s">
        <v>31297</v>
      </c>
      <c r="H6798" s="24"/>
      <c r="I6798" s="24" t="str">
        <f ca="1">IFERROR(__xludf.DUMMYFUNCTION("GOOGLETRANSLATE(F6798,""en"",""pt"")"),"Articulada e mecanismos de automação de portões balanço")</f>
        <v>Articulada e mecanismos de automação de portões balanço</v>
      </c>
      <c r="J6798">
        <f>VLOOKUP(A6798,Pr_Base_LNEC!$A$4:$J$6971,6,FALSE)</f>
        <v>0</v>
      </c>
      <c r="K6798">
        <f>VLOOKUP(A6798,Pr_Base_LNEC!$A$4:$J$6971,7,FALSE)</f>
        <v>0</v>
      </c>
    </row>
    <row r="6799" spans="1:11" ht="14.5">
      <c r="A6799" s="20" t="s">
        <v>31333</v>
      </c>
      <c r="B6799" s="20">
        <v>75</v>
      </c>
      <c r="C6799" s="20">
        <v>30</v>
      </c>
      <c r="D6799" s="20">
        <v>23</v>
      </c>
      <c r="E6799" s="20">
        <v>42</v>
      </c>
      <c r="F6799" s="20" t="s">
        <v>31334</v>
      </c>
      <c r="G6799" s="20" t="s">
        <v>31335</v>
      </c>
      <c r="H6799" s="24"/>
      <c r="I6799" s="24" t="str">
        <f ca="1">IFERROR(__xludf.DUMMYFUNCTION("GOOGLETRANSLATE(F6799,""en"",""pt"")"),"mecanismos de automação hidráulicos")</f>
        <v>mecanismos de automação hidráulicos</v>
      </c>
      <c r="J6799">
        <f>VLOOKUP(A6799,Pr_Base_LNEC!$A$4:$J$6971,6,FALSE)</f>
        <v>0</v>
      </c>
      <c r="K6799">
        <f>VLOOKUP(A6799,Pr_Base_LNEC!$A$4:$J$6971,7,FALSE)</f>
        <v>0</v>
      </c>
    </row>
    <row r="6800" spans="1:11" ht="14.5">
      <c r="A6800" s="20" t="s">
        <v>31336</v>
      </c>
      <c r="B6800" s="20">
        <v>75</v>
      </c>
      <c r="C6800" s="20">
        <v>30</v>
      </c>
      <c r="D6800" s="20">
        <v>23</v>
      </c>
      <c r="E6800" s="20">
        <v>70</v>
      </c>
      <c r="F6800" s="20" t="s">
        <v>31337</v>
      </c>
      <c r="G6800" s="24"/>
      <c r="H6800" s="24"/>
      <c r="I6800" s="24" t="str">
        <f ca="1">IFERROR(__xludf.DUMMYFUNCTION("GOOGLETRANSLATE(F6800,""en"",""pt"")"),"Cremalheira e pinhão operadores de portão deslizante")</f>
        <v>Cremalheira e pinhão operadores de portão deslizante</v>
      </c>
      <c r="J6800">
        <f>VLOOKUP(A6800,Pr_Base_LNEC!$A$4:$J$6971,6,FALSE)</f>
        <v>0</v>
      </c>
      <c r="K6800">
        <f>VLOOKUP(A6800,Pr_Base_LNEC!$A$4:$J$6971,7,FALSE)</f>
        <v>0</v>
      </c>
    </row>
    <row r="6801" spans="1:11" ht="14.5">
      <c r="A6801" s="20" t="s">
        <v>31338</v>
      </c>
      <c r="B6801" s="20">
        <v>75</v>
      </c>
      <c r="C6801" s="20">
        <v>30</v>
      </c>
      <c r="D6801" s="20">
        <v>23</v>
      </c>
      <c r="E6801" s="20">
        <v>72</v>
      </c>
      <c r="F6801" s="20" t="s">
        <v>31339</v>
      </c>
      <c r="G6801" s="20" t="s">
        <v>31340</v>
      </c>
      <c r="H6801" s="24"/>
      <c r="I6801" s="24" t="str">
        <f ca="1">IFERROR(__xludf.DUMMYFUNCTION("GOOGLETRANSLATE(F6801,""en"",""pt"")"),"Subindo mecanismos de automação braço")</f>
        <v>Subindo mecanismos de automação braço</v>
      </c>
      <c r="J6801">
        <f>VLOOKUP(A6801,Pr_Base_LNEC!$A$4:$J$6971,6,FALSE)</f>
        <v>0</v>
      </c>
      <c r="K6801">
        <f>VLOOKUP(A6801,Pr_Base_LNEC!$A$4:$J$6971,7,FALSE)</f>
        <v>0</v>
      </c>
    </row>
    <row r="6802" spans="1:11" ht="14.5">
      <c r="A6802" s="20" t="s">
        <v>31341</v>
      </c>
      <c r="B6802" s="20">
        <v>75</v>
      </c>
      <c r="C6802" s="20">
        <v>30</v>
      </c>
      <c r="D6802" s="20">
        <v>23</v>
      </c>
      <c r="E6802" s="20">
        <v>76</v>
      </c>
      <c r="F6802" s="20" t="s">
        <v>31342</v>
      </c>
      <c r="G6802" s="20" t="s">
        <v>31343</v>
      </c>
      <c r="H6802" s="24"/>
      <c r="I6802" s="24" t="str">
        <f ca="1">IFERROR(__xludf.DUMMYFUNCTION("GOOGLETRANSLATE(F6802,""en"",""pt"")"),"Deslizante mecanismos de automação de portões")</f>
        <v>Deslizante mecanismos de automação de portões</v>
      </c>
      <c r="J6802">
        <f>VLOOKUP(A6802,Pr_Base_LNEC!$A$4:$J$6971,6,FALSE)</f>
        <v>0</v>
      </c>
      <c r="K6802">
        <f>VLOOKUP(A6802,Pr_Base_LNEC!$A$4:$J$6971,7,FALSE)</f>
        <v>0</v>
      </c>
    </row>
    <row r="6803" spans="1:11" ht="14.5">
      <c r="A6803" s="20" t="s">
        <v>31344</v>
      </c>
      <c r="B6803" s="20">
        <v>75</v>
      </c>
      <c r="C6803" s="20">
        <v>30</v>
      </c>
      <c r="D6803" s="20">
        <v>23</v>
      </c>
      <c r="E6803" s="20">
        <v>92</v>
      </c>
      <c r="F6803" s="20" t="s">
        <v>31345</v>
      </c>
      <c r="G6803" s="24"/>
      <c r="H6803" s="24"/>
      <c r="I6803" s="24" t="str">
        <f ca="1">IFERROR(__xludf.DUMMYFUNCTION("GOOGLETRANSLATE(F6803,""en"",""pt"")"),"operadores de portão balanço subterrâneas")</f>
        <v>operadores de portão balanço subterrâneas</v>
      </c>
      <c r="J6803">
        <f>VLOOKUP(A6803,Pr_Base_LNEC!$A$4:$J$6971,6,FALSE)</f>
        <v>0</v>
      </c>
      <c r="K6803">
        <f>VLOOKUP(A6803,Pr_Base_LNEC!$A$4:$J$6971,7,FALSE)</f>
        <v>0</v>
      </c>
    </row>
    <row r="6804" spans="1:11" ht="14.5">
      <c r="A6804" s="20" t="s">
        <v>31346</v>
      </c>
      <c r="B6804" s="20">
        <v>75</v>
      </c>
      <c r="C6804" s="20">
        <v>30</v>
      </c>
      <c r="D6804" s="20">
        <v>23</v>
      </c>
      <c r="E6804" s="20">
        <v>94</v>
      </c>
      <c r="F6804" s="20" t="s">
        <v>31347</v>
      </c>
      <c r="G6804" s="24"/>
      <c r="H6804" s="24"/>
      <c r="I6804" s="24" t="str">
        <f ca="1">IFERROR(__xludf.DUMMYFUNCTION("GOOGLETRANSLATE(F6804,""en"",""pt"")"),"detectores de espira de indução Veículo")</f>
        <v>detectores de espira de indução Veículo</v>
      </c>
      <c r="J6804">
        <f>VLOOKUP(A6804,Pr_Base_LNEC!$A$4:$J$6971,6,FALSE)</f>
        <v>0</v>
      </c>
      <c r="K6804">
        <f>VLOOKUP(A6804,Pr_Base_LNEC!$A$4:$J$6971,7,FALSE)</f>
        <v>0</v>
      </c>
    </row>
    <row r="6805" spans="1:11" ht="14.5">
      <c r="A6805" s="20" t="s">
        <v>31348</v>
      </c>
      <c r="B6805" s="20">
        <v>75</v>
      </c>
      <c r="C6805" s="20">
        <v>30</v>
      </c>
      <c r="D6805" s="20">
        <v>23</v>
      </c>
      <c r="E6805" s="20">
        <v>96</v>
      </c>
      <c r="F6805" s="20" t="s">
        <v>31349</v>
      </c>
      <c r="G6805" s="24"/>
      <c r="H6805" s="24"/>
      <c r="I6805" s="24" t="str">
        <f ca="1">IFERROR(__xludf.DUMMYFUNCTION("GOOGLETRANSLATE(F6805,""en"",""pt"")"),"operadores de portão balanço unidade Worm")</f>
        <v>operadores de portão balanço unidade Worm</v>
      </c>
      <c r="J6805">
        <f>VLOOKUP(A6805,Pr_Base_LNEC!$A$4:$J$6971,6,FALSE)</f>
        <v>0</v>
      </c>
      <c r="K6805">
        <f>VLOOKUP(A6805,Pr_Base_LNEC!$A$4:$J$6971,7,FALSE)</f>
        <v>0</v>
      </c>
    </row>
    <row r="6806" spans="1:11" ht="14.5">
      <c r="A6806" s="20" t="s">
        <v>31350</v>
      </c>
      <c r="B6806" s="20">
        <v>75</v>
      </c>
      <c r="C6806" s="20">
        <v>30</v>
      </c>
      <c r="D6806" s="20">
        <v>27</v>
      </c>
      <c r="E6806" s="24"/>
      <c r="F6806" s="20" t="s">
        <v>31351</v>
      </c>
      <c r="G6806" s="24"/>
      <c r="H6806" s="24"/>
      <c r="I6806" s="24" t="str">
        <f ca="1">IFERROR(__xludf.DUMMYFUNCTION("GOOGLETRANSLATE(F6806,""en"",""pt"")"),"hardware travamento da porta elétrica")</f>
        <v>hardware travamento da porta elétrica</v>
      </c>
      <c r="J6806">
        <f>VLOOKUP(A6806,Pr_Base_LNEC!$A$4:$J$6971,6,FALSE)</f>
        <v>0</v>
      </c>
      <c r="K6806">
        <f>VLOOKUP(A6806,Pr_Base_LNEC!$A$4:$J$6971,7,FALSE)</f>
        <v>0</v>
      </c>
    </row>
    <row r="6807" spans="1:11" ht="14.5">
      <c r="A6807" s="20" t="s">
        <v>31352</v>
      </c>
      <c r="B6807" s="20">
        <v>75</v>
      </c>
      <c r="C6807" s="20">
        <v>30</v>
      </c>
      <c r="D6807" s="20">
        <v>27</v>
      </c>
      <c r="E6807" s="20">
        <v>26</v>
      </c>
      <c r="F6807" s="20" t="s">
        <v>31353</v>
      </c>
      <c r="G6807" s="20" t="s">
        <v>31354</v>
      </c>
      <c r="H6807" s="24"/>
      <c r="I6807" s="24" t="str">
        <f ca="1">IFERROR(__xludf.DUMMYFUNCTION("GOOGLETRANSLATE(F6807,""en"",""pt"")"),"greves elétricos e faceplates")</f>
        <v>greves elétricos e faceplates</v>
      </c>
      <c r="J6807">
        <f>VLOOKUP(A6807,Pr_Base_LNEC!$A$4:$J$6971,6,FALSE)</f>
        <v>0</v>
      </c>
      <c r="K6807">
        <f>VLOOKUP(A6807,Pr_Base_LNEC!$A$4:$J$6971,7,FALSE)</f>
        <v>0</v>
      </c>
    </row>
    <row r="6808" spans="1:11" ht="14.5">
      <c r="A6808" s="20" t="s">
        <v>31355</v>
      </c>
      <c r="B6808" s="20">
        <v>75</v>
      </c>
      <c r="C6808" s="20">
        <v>30</v>
      </c>
      <c r="D6808" s="20">
        <v>27</v>
      </c>
      <c r="E6808" s="20">
        <v>27</v>
      </c>
      <c r="F6808" s="20" t="s">
        <v>31356</v>
      </c>
      <c r="G6808" s="24"/>
      <c r="H6808" s="24"/>
      <c r="I6808" s="24" t="str">
        <f ca="1">IFERROR(__xludf.DUMMYFUNCTION("GOOGLETRANSLATE(F6808,""en"",""pt"")"),"fechaduras de portas electromecânicos")</f>
        <v>fechaduras de portas electromecânicos</v>
      </c>
      <c r="J6808">
        <f>VLOOKUP(A6808,Pr_Base_LNEC!$A$4:$J$6971,6,FALSE)</f>
        <v>0</v>
      </c>
      <c r="K6808">
        <f>VLOOKUP(A6808,Pr_Base_LNEC!$A$4:$J$6971,7,FALSE)</f>
        <v>0</v>
      </c>
    </row>
    <row r="6809" spans="1:11" ht="14.5">
      <c r="A6809" s="20" t="s">
        <v>31357</v>
      </c>
      <c r="B6809" s="20">
        <v>75</v>
      </c>
      <c r="C6809" s="20">
        <v>30</v>
      </c>
      <c r="D6809" s="20">
        <v>27</v>
      </c>
      <c r="E6809" s="20">
        <v>50</v>
      </c>
      <c r="F6809" s="20" t="s">
        <v>31358</v>
      </c>
      <c r="G6809" s="20" t="s">
        <v>31359</v>
      </c>
      <c r="H6809" s="24"/>
      <c r="I6809" s="24" t="str">
        <f ca="1">IFERROR(__xludf.DUMMYFUNCTION("GOOGLETRANSLATE(F6809,""en"",""pt"")"),"fechaduras magnéticas")</f>
        <v>fechaduras magnéticas</v>
      </c>
      <c r="J6809">
        <f>VLOOKUP(A6809,Pr_Base_LNEC!$A$4:$J$6971,6,FALSE)</f>
        <v>0</v>
      </c>
      <c r="K6809">
        <f>VLOOKUP(A6809,Pr_Base_LNEC!$A$4:$J$6971,7,FALSE)</f>
        <v>0</v>
      </c>
    </row>
    <row r="6810" spans="1:11" ht="14.5">
      <c r="A6810" s="20" t="s">
        <v>31360</v>
      </c>
      <c r="B6810" s="20">
        <v>75</v>
      </c>
      <c r="C6810" s="20">
        <v>30</v>
      </c>
      <c r="D6810" s="20">
        <v>27</v>
      </c>
      <c r="E6810" s="20">
        <v>51</v>
      </c>
      <c r="F6810" s="20" t="s">
        <v>31361</v>
      </c>
      <c r="G6810" s="20" t="s">
        <v>31362</v>
      </c>
      <c r="H6810" s="24"/>
      <c r="I6810" s="24" t="str">
        <f ca="1">IFERROR(__xludf.DUMMYFUNCTION("GOOGLETRANSLATE(F6810,""en"",""pt"")"),"Magnética fechaduras de cisalhamento e placas de ataque")</f>
        <v>Magnética fechaduras de cisalhamento e placas de ataque</v>
      </c>
      <c r="J6810">
        <f>VLOOKUP(A6810,Pr_Base_LNEC!$A$4:$J$6971,6,FALSE)</f>
        <v>0</v>
      </c>
      <c r="K6810">
        <f>VLOOKUP(A6810,Pr_Base_LNEC!$A$4:$J$6971,7,FALSE)</f>
        <v>0</v>
      </c>
    </row>
    <row r="6811" spans="1:11" ht="14.5">
      <c r="A6811" s="20" t="s">
        <v>31363</v>
      </c>
      <c r="B6811" s="20">
        <v>75</v>
      </c>
      <c r="C6811" s="20">
        <v>30</v>
      </c>
      <c r="D6811" s="20">
        <v>27</v>
      </c>
      <c r="E6811" s="20">
        <v>77</v>
      </c>
      <c r="F6811" s="20" t="s">
        <v>31364</v>
      </c>
      <c r="G6811" s="24"/>
      <c r="H6811" s="24"/>
      <c r="I6811" s="24" t="str">
        <f ca="1">IFERROR(__xludf.DUMMYFUNCTION("GOOGLETRANSLATE(F6811,""en"",""pt"")"),"Cisalhamento fechaduras e placas de ataque")</f>
        <v>Cisalhamento fechaduras e placas de ataque</v>
      </c>
      <c r="J6811">
        <f>VLOOKUP(A6811,Pr_Base_LNEC!$A$4:$J$6971,6,FALSE)</f>
        <v>0</v>
      </c>
      <c r="K6811">
        <f>VLOOKUP(A6811,Pr_Base_LNEC!$A$4:$J$6971,7,FALSE)</f>
        <v>0</v>
      </c>
    </row>
    <row r="6812" spans="1:11" ht="14.5">
      <c r="A6812" s="20" t="s">
        <v>31365</v>
      </c>
      <c r="B6812" s="20">
        <v>75</v>
      </c>
      <c r="C6812" s="20">
        <v>30</v>
      </c>
      <c r="D6812" s="20">
        <v>27</v>
      </c>
      <c r="E6812" s="20">
        <v>80</v>
      </c>
      <c r="F6812" s="20" t="s">
        <v>31366</v>
      </c>
      <c r="G6812" s="20" t="s">
        <v>31367</v>
      </c>
      <c r="H6812" s="24"/>
      <c r="I6812" s="24" t="str">
        <f ca="1">IFERROR(__xludf.DUMMYFUNCTION("GOOGLETRANSLATE(F6812,""en"",""pt"")"),"parafusos de solenóide")</f>
        <v>parafusos de solenóide</v>
      </c>
      <c r="J6812">
        <f>VLOOKUP(A6812,Pr_Base_LNEC!$A$4:$J$6971,6,FALSE)</f>
        <v>0</v>
      </c>
      <c r="K6812">
        <f>VLOOKUP(A6812,Pr_Base_LNEC!$A$4:$J$6971,7,FALSE)</f>
        <v>0</v>
      </c>
    </row>
    <row r="6813" spans="1:11" ht="14.5">
      <c r="A6813" s="20" t="s">
        <v>31368</v>
      </c>
      <c r="B6813" s="20">
        <v>75</v>
      </c>
      <c r="C6813" s="20">
        <v>30</v>
      </c>
      <c r="D6813" s="20">
        <v>27</v>
      </c>
      <c r="E6813" s="20">
        <v>81</v>
      </c>
      <c r="F6813" s="20" t="s">
        <v>31369</v>
      </c>
      <c r="G6813" s="20" t="s">
        <v>31370</v>
      </c>
      <c r="H6813" s="24"/>
      <c r="I6813" s="24" t="str">
        <f ca="1">IFERROR(__xludf.DUMMYFUNCTION("GOOGLETRANSLATE(F6813,""en"",""pt"")"),"trincos de solenóide e fechaduras")</f>
        <v>trincos de solenóide e fechaduras</v>
      </c>
      <c r="J6813">
        <f>VLOOKUP(A6813,Pr_Base_LNEC!$A$4:$J$6971,6,FALSE)</f>
        <v>0</v>
      </c>
      <c r="K6813">
        <f>VLOOKUP(A6813,Pr_Base_LNEC!$A$4:$J$6971,7,FALSE)</f>
        <v>0</v>
      </c>
    </row>
    <row r="6814" spans="1:11" ht="14.5">
      <c r="A6814" s="20" t="s">
        <v>31371</v>
      </c>
      <c r="B6814" s="20">
        <v>75</v>
      </c>
      <c r="C6814" s="20">
        <v>50</v>
      </c>
      <c r="D6814" s="24"/>
      <c r="E6814" s="24"/>
      <c r="F6814" s="20" t="s">
        <v>31372</v>
      </c>
      <c r="G6814" s="24"/>
      <c r="H6814" s="24"/>
      <c r="I6814" s="24" t="str">
        <f ca="1">IFERROR(__xludf.DUMMYFUNCTION("GOOGLETRANSLATE(F6814,""en"",""pt"")"),"Mecânica e serviços elétricos controlar produtos")</f>
        <v>Mecânica e serviços elétricos controlar produtos</v>
      </c>
      <c r="J6814" t="str">
        <f>VLOOKUP(A6814,Pr_Base_LNEC!$A$4:$J$6971,6,FALSE)</f>
        <v>Produtos para Controlo de Serviços Mecânicos e Eletricos</v>
      </c>
      <c r="K6814">
        <f>VLOOKUP(A6814,Pr_Base_LNEC!$A$4:$J$6971,7,FALSE)</f>
        <v>0</v>
      </c>
    </row>
    <row r="6815" spans="1:11" ht="14.5">
      <c r="A6815" s="20" t="s">
        <v>31373</v>
      </c>
      <c r="B6815" s="20">
        <v>75</v>
      </c>
      <c r="C6815" s="20">
        <v>50</v>
      </c>
      <c r="D6815" s="20">
        <v>18</v>
      </c>
      <c r="E6815" s="24"/>
      <c r="F6815" s="20" t="s">
        <v>31374</v>
      </c>
      <c r="G6815" s="24"/>
      <c r="H6815" s="24"/>
      <c r="I6815" s="24" t="str">
        <f ca="1">IFERROR(__xludf.DUMMYFUNCTION("GOOGLETRANSLATE(F6815,""en"",""pt"")"),"Controladores e painéis de controlo")</f>
        <v>Controladores e painéis de controlo</v>
      </c>
      <c r="J6815">
        <f>VLOOKUP(A6815,Pr_Base_LNEC!$A$4:$J$6971,6,FALSE)</f>
        <v>0</v>
      </c>
      <c r="K6815">
        <f>VLOOKUP(A6815,Pr_Base_LNEC!$A$4:$J$6971,7,FALSE)</f>
        <v>0</v>
      </c>
    </row>
    <row r="6816" spans="1:11" ht="14.5">
      <c r="A6816" s="20" t="s">
        <v>31375</v>
      </c>
      <c r="B6816" s="20">
        <v>75</v>
      </c>
      <c r="C6816" s="20">
        <v>50</v>
      </c>
      <c r="D6816" s="20">
        <v>18</v>
      </c>
      <c r="E6816" s="20">
        <v>2</v>
      </c>
      <c r="F6816" s="20" t="s">
        <v>31376</v>
      </c>
      <c r="G6816" s="24"/>
      <c r="H6816" s="24"/>
      <c r="I6816" s="24" t="str">
        <f ca="1">IFERROR(__xludf.DUMMYFUNCTION("GOOGLETRANSLATE(F6816,""en"",""pt"")"),"alarmes")</f>
        <v>alarmes</v>
      </c>
      <c r="J6816">
        <f>VLOOKUP(A6816,Pr_Base_LNEC!$A$4:$J$6971,6,FALSE)</f>
        <v>0</v>
      </c>
      <c r="K6816">
        <f>VLOOKUP(A6816,Pr_Base_LNEC!$A$4:$J$6971,7,FALSE)</f>
        <v>0</v>
      </c>
    </row>
    <row r="6817" spans="1:11" ht="14.5">
      <c r="A6817" s="20" t="s">
        <v>31377</v>
      </c>
      <c r="B6817" s="20">
        <v>75</v>
      </c>
      <c r="C6817" s="20">
        <v>50</v>
      </c>
      <c r="D6817" s="20">
        <v>18</v>
      </c>
      <c r="E6817" s="20">
        <v>4</v>
      </c>
      <c r="F6817" s="20" t="s">
        <v>31378</v>
      </c>
      <c r="G6817" s="20" t="s">
        <v>31379</v>
      </c>
      <c r="H6817" s="24"/>
      <c r="I6817" s="24" t="str">
        <f ca="1">IFERROR(__xludf.DUMMYFUNCTION("GOOGLETRANSLATE(F6817,""en"",""pt"")"),"quadros indicadores rega automática")</f>
        <v>quadros indicadores rega automática</v>
      </c>
      <c r="J6817">
        <f>VLOOKUP(A6817,Pr_Base_LNEC!$A$4:$J$6971,6,FALSE)</f>
        <v>0</v>
      </c>
      <c r="K6817">
        <f>VLOOKUP(A6817,Pr_Base_LNEC!$A$4:$J$6971,7,FALSE)</f>
        <v>0</v>
      </c>
    </row>
    <row r="6818" spans="1:11" ht="14.5">
      <c r="A6818" s="20" t="s">
        <v>31380</v>
      </c>
      <c r="B6818" s="20">
        <v>75</v>
      </c>
      <c r="C6818" s="20">
        <v>50</v>
      </c>
      <c r="D6818" s="20">
        <v>18</v>
      </c>
      <c r="E6818" s="20">
        <v>6</v>
      </c>
      <c r="F6818" s="20" t="s">
        <v>31381</v>
      </c>
      <c r="G6818" s="20" t="s">
        <v>31382</v>
      </c>
      <c r="H6818" s="24"/>
      <c r="I6818" s="24" t="str">
        <f ca="1">IFERROR(__xludf.DUMMYFUNCTION("GOOGLETRANSLATE(F6818,""en"",""pt"")"),"painéis de controlo da bomba elétrica de aspersão automático")</f>
        <v>painéis de controlo da bomba elétrica de aspersão automático</v>
      </c>
      <c r="J6818">
        <f>VLOOKUP(A6818,Pr_Base_LNEC!$A$4:$J$6971,6,FALSE)</f>
        <v>0</v>
      </c>
      <c r="K6818">
        <f>VLOOKUP(A6818,Pr_Base_LNEC!$A$4:$J$6971,7,FALSE)</f>
        <v>0</v>
      </c>
    </row>
    <row r="6819" spans="1:11" ht="14.5">
      <c r="A6819" s="20" t="s">
        <v>31383</v>
      </c>
      <c r="B6819" s="20">
        <v>75</v>
      </c>
      <c r="C6819" s="20">
        <v>50</v>
      </c>
      <c r="D6819" s="20">
        <v>18</v>
      </c>
      <c r="E6819" s="20">
        <v>10</v>
      </c>
      <c r="F6819" s="20" t="s">
        <v>31384</v>
      </c>
      <c r="G6819" s="24"/>
      <c r="H6819" s="24"/>
      <c r="I6819" s="24" t="str">
        <f ca="1">IFERROR(__xludf.DUMMYFUNCTION("GOOGLETRANSLATE(F6819,""en"",""pt"")"),"painéis bus de controlo secção")</f>
        <v>painéis bus de controlo secção</v>
      </c>
      <c r="J6819">
        <f>VLOOKUP(A6819,Pr_Base_LNEC!$A$4:$J$6971,6,FALSE)</f>
        <v>0</v>
      </c>
      <c r="K6819">
        <f>VLOOKUP(A6819,Pr_Base_LNEC!$A$4:$J$6971,7,FALSE)</f>
        <v>0</v>
      </c>
    </row>
    <row r="6820" spans="1:11" ht="14.5">
      <c r="A6820" s="20" t="s">
        <v>31385</v>
      </c>
      <c r="B6820" s="20">
        <v>75</v>
      </c>
      <c r="C6820" s="20">
        <v>50</v>
      </c>
      <c r="D6820" s="20">
        <v>18</v>
      </c>
      <c r="E6820" s="20">
        <v>11</v>
      </c>
      <c r="F6820" s="20" t="s">
        <v>31386</v>
      </c>
      <c r="G6820" s="24"/>
      <c r="H6820" s="24"/>
      <c r="I6820" s="24" t="str">
        <f ca="1">IFERROR(__xludf.DUMMYFUNCTION("GOOGLETRANSLATE(F6820,""en"",""pt"")"),"painéis secção teleféricos")</f>
        <v>painéis secção teleféricos</v>
      </c>
      <c r="J6820" t="e">
        <f>VLOOKUP(A6820,Pr_Base_LNEC!$A$4:$J$6971,6,FALSE)</f>
        <v>#N/A</v>
      </c>
      <c r="K6820" t="e">
        <f>VLOOKUP(A6820,Pr_Base_LNEC!$A$4:$J$6971,7,FALSE)</f>
        <v>#N/A</v>
      </c>
    </row>
    <row r="6821" spans="1:11" ht="14.5">
      <c r="A6821" s="20" t="s">
        <v>31387</v>
      </c>
      <c r="B6821" s="20">
        <v>75</v>
      </c>
      <c r="C6821" s="20">
        <v>50</v>
      </c>
      <c r="D6821" s="20">
        <v>18</v>
      </c>
      <c r="E6821" s="20">
        <v>13</v>
      </c>
      <c r="F6821" s="20" t="s">
        <v>31388</v>
      </c>
      <c r="G6821" s="20" t="s">
        <v>31389</v>
      </c>
      <c r="H6821" s="24"/>
      <c r="I6821" s="24" t="str">
        <f ca="1">IFERROR(__xludf.DUMMYFUNCTION("GOOGLETRANSLATE(F6821,""en"",""pt"")"),"atuadores cadeia")</f>
        <v>atuadores cadeia</v>
      </c>
      <c r="J6821">
        <f>VLOOKUP(A6821,Pr_Base_LNEC!$A$4:$J$6971,6,FALSE)</f>
        <v>0</v>
      </c>
      <c r="K6821">
        <f>VLOOKUP(A6821,Pr_Base_LNEC!$A$4:$J$6971,7,FALSE)</f>
        <v>0</v>
      </c>
    </row>
    <row r="6822" spans="1:11" ht="14.5">
      <c r="A6822" s="20" t="s">
        <v>31390</v>
      </c>
      <c r="B6822" s="20">
        <v>75</v>
      </c>
      <c r="C6822" s="20">
        <v>50</v>
      </c>
      <c r="D6822" s="20">
        <v>18</v>
      </c>
      <c r="E6822" s="20">
        <v>16</v>
      </c>
      <c r="F6822" s="20" t="s">
        <v>31391</v>
      </c>
      <c r="G6822" s="24"/>
      <c r="H6822" s="24"/>
      <c r="I6822" s="24" t="str">
        <f ca="1">IFERROR(__xludf.DUMMYFUNCTION("GOOGLETRANSLATE(F6822,""en"",""pt"")"),"Controle de painéis de circuito fontes")</f>
        <v>Controle de painéis de circuito fontes</v>
      </c>
      <c r="J6822">
        <f>VLOOKUP(A6822,Pr_Base_LNEC!$A$4:$J$6971,6,FALSE)</f>
        <v>0</v>
      </c>
      <c r="K6822">
        <f>VLOOKUP(A6822,Pr_Base_LNEC!$A$4:$J$6971,7,FALSE)</f>
        <v>0</v>
      </c>
    </row>
    <row r="6823" spans="1:11" ht="14.5">
      <c r="A6823" s="20" t="s">
        <v>31392</v>
      </c>
      <c r="B6823" s="20">
        <v>75</v>
      </c>
      <c r="C6823" s="20">
        <v>50</v>
      </c>
      <c r="D6823" s="20">
        <v>18</v>
      </c>
      <c r="E6823" s="20">
        <v>17</v>
      </c>
      <c r="F6823" s="20" t="s">
        <v>31393</v>
      </c>
      <c r="G6823" s="24"/>
      <c r="H6823" s="24"/>
      <c r="I6823" s="24" t="str">
        <f ca="1">IFERROR(__xludf.DUMMYFUNCTION("GOOGLETRANSLATE(F6823,""en"",""pt"")"),"Painéis de controle")</f>
        <v>Painéis de controle</v>
      </c>
      <c r="J6823">
        <f>VLOOKUP(A6823,Pr_Base_LNEC!$A$4:$J$6971,6,FALSE)</f>
        <v>0</v>
      </c>
      <c r="K6823">
        <f>VLOOKUP(A6823,Pr_Base_LNEC!$A$4:$J$6971,7,FALSE)</f>
        <v>0</v>
      </c>
    </row>
    <row r="6824" spans="1:11" ht="14.5">
      <c r="A6824" s="20" t="s">
        <v>31394</v>
      </c>
      <c r="B6824" s="20">
        <v>75</v>
      </c>
      <c r="C6824" s="20">
        <v>50</v>
      </c>
      <c r="D6824" s="20">
        <v>18</v>
      </c>
      <c r="E6824" s="20">
        <v>21</v>
      </c>
      <c r="F6824" s="20" t="s">
        <v>31395</v>
      </c>
      <c r="G6824" s="20" t="s">
        <v>31396</v>
      </c>
      <c r="H6824" s="24"/>
      <c r="I6824" s="24" t="str">
        <f ca="1">IFERROR(__xludf.DUMMYFUNCTION("GOOGLETRANSLATE(F6824,""en"",""pt"")"),"atuadores amortecedor")</f>
        <v>atuadores amortecedor</v>
      </c>
      <c r="J6824">
        <f>VLOOKUP(A6824,Pr_Base_LNEC!$A$4:$J$6971,6,FALSE)</f>
        <v>0</v>
      </c>
      <c r="K6824">
        <f>VLOOKUP(A6824,Pr_Base_LNEC!$A$4:$J$6971,7,FALSE)</f>
        <v>0</v>
      </c>
    </row>
    <row r="6825" spans="1:11" ht="14.5">
      <c r="A6825" s="20" t="s">
        <v>31397</v>
      </c>
      <c r="B6825" s="20">
        <v>75</v>
      </c>
      <c r="C6825" s="20">
        <v>50</v>
      </c>
      <c r="D6825" s="20">
        <v>18</v>
      </c>
      <c r="E6825" s="20">
        <v>26</v>
      </c>
      <c r="F6825" s="20" t="s">
        <v>31398</v>
      </c>
      <c r="G6825" s="20" t="s">
        <v>31399</v>
      </c>
      <c r="H6825" s="24"/>
      <c r="I6825" s="24" t="str">
        <f ca="1">IFERROR(__xludf.DUMMYFUNCTION("GOOGLETRANSLATE(F6825,""en"",""pt"")"),"Eléctrico de controlo de aquecimento de rastreio e painéis de acompanhamento")</f>
        <v>Eléctrico de controlo de aquecimento de rastreio e painéis de acompanhamento</v>
      </c>
      <c r="J6825">
        <f>VLOOKUP(A6825,Pr_Base_LNEC!$A$4:$J$6971,6,FALSE)</f>
        <v>0</v>
      </c>
      <c r="K6825">
        <f>VLOOKUP(A6825,Pr_Base_LNEC!$A$4:$J$6971,7,FALSE)</f>
        <v>0</v>
      </c>
    </row>
    <row r="6826" spans="1:11" ht="14.5">
      <c r="A6826" s="20" t="s">
        <v>31400</v>
      </c>
      <c r="B6826" s="20">
        <v>75</v>
      </c>
      <c r="C6826" s="20">
        <v>50</v>
      </c>
      <c r="D6826" s="20">
        <v>18</v>
      </c>
      <c r="E6826" s="20">
        <v>28</v>
      </c>
      <c r="F6826" s="20" t="s">
        <v>31401</v>
      </c>
      <c r="G6826" s="24"/>
      <c r="H6826" s="24"/>
      <c r="I6826" s="24" t="str">
        <f ca="1">IFERROR(__xludf.DUMMYFUNCTION("GOOGLETRANSLATE(F6826,""en"",""pt"")"),"painéis de comando da secção do alimentador")</f>
        <v>painéis de comando da secção do alimentador</v>
      </c>
      <c r="J6826">
        <f>VLOOKUP(A6826,Pr_Base_LNEC!$A$4:$J$6971,6,FALSE)</f>
        <v>0</v>
      </c>
      <c r="K6826">
        <f>VLOOKUP(A6826,Pr_Base_LNEC!$A$4:$J$6971,7,FALSE)</f>
        <v>0</v>
      </c>
    </row>
    <row r="6827" spans="1:11" ht="14.5">
      <c r="A6827" s="20" t="s">
        <v>31402</v>
      </c>
      <c r="B6827" s="20">
        <v>75</v>
      </c>
      <c r="C6827" s="20">
        <v>50</v>
      </c>
      <c r="D6827" s="20">
        <v>18</v>
      </c>
      <c r="E6827" s="20">
        <v>29</v>
      </c>
      <c r="F6827" s="20" t="s">
        <v>31403</v>
      </c>
      <c r="G6827" s="20" t="s">
        <v>31404</v>
      </c>
      <c r="H6827" s="24"/>
      <c r="I6827" s="24" t="str">
        <f ca="1">IFERROR(__xludf.DUMMYFUNCTION("GOOGLETRANSLATE(F6827,""en"",""pt"")"),"controladores de campo")</f>
        <v>controladores de campo</v>
      </c>
      <c r="J6827">
        <f>VLOOKUP(A6827,Pr_Base_LNEC!$A$4:$J$6971,6,FALSE)</f>
        <v>0</v>
      </c>
      <c r="K6827">
        <f>VLOOKUP(A6827,Pr_Base_LNEC!$A$4:$J$6971,7,FALSE)</f>
        <v>0</v>
      </c>
    </row>
    <row r="6828" spans="1:11" ht="14.5">
      <c r="A6828" s="20" t="s">
        <v>31405</v>
      </c>
      <c r="B6828" s="20">
        <v>75</v>
      </c>
      <c r="C6828" s="20">
        <v>50</v>
      </c>
      <c r="D6828" s="20">
        <v>18</v>
      </c>
      <c r="E6828" s="20">
        <v>30</v>
      </c>
      <c r="F6828" s="20" t="s">
        <v>31406</v>
      </c>
      <c r="G6828" s="20" t="s">
        <v>31407</v>
      </c>
      <c r="H6828" s="24"/>
      <c r="I6828" s="24" t="str">
        <f ca="1">IFERROR(__xludf.DUMMYFUNCTION("GOOGLETRANSLATE(F6828,""en"",""pt"")"),"Fluxo de painéis de controlo de detecção de gás de amostragem")</f>
        <v>Fluxo de painéis de controlo de detecção de gás de amostragem</v>
      </c>
      <c r="J6828">
        <f>VLOOKUP(A6828,Pr_Base_LNEC!$A$4:$J$6971,6,FALSE)</f>
        <v>0</v>
      </c>
      <c r="K6828">
        <f>VLOOKUP(A6828,Pr_Base_LNEC!$A$4:$J$6971,7,FALSE)</f>
        <v>0</v>
      </c>
    </row>
    <row r="6829" spans="1:11" ht="14.5">
      <c r="A6829" s="20" t="s">
        <v>31408</v>
      </c>
      <c r="B6829" s="20">
        <v>75</v>
      </c>
      <c r="C6829" s="20">
        <v>50</v>
      </c>
      <c r="D6829" s="20">
        <v>18</v>
      </c>
      <c r="E6829" s="20">
        <v>31</v>
      </c>
      <c r="F6829" s="20" t="s">
        <v>31409</v>
      </c>
      <c r="G6829" s="24"/>
      <c r="H6829" s="24"/>
      <c r="I6829" s="24" t="str">
        <f ca="1">IFERROR(__xludf.DUMMYFUNCTION("GOOGLETRANSLATE(F6829,""en"",""pt"")"),"quadros indicadores sistema de incêndio")</f>
        <v>quadros indicadores sistema de incêndio</v>
      </c>
      <c r="J6829" t="e">
        <f>VLOOKUP(A6829,Pr_Base_LNEC!$A$4:$J$6971,6,FALSE)</f>
        <v>#N/A</v>
      </c>
      <c r="K6829" t="e">
        <f>VLOOKUP(A6829,Pr_Base_LNEC!$A$4:$J$6971,7,FALSE)</f>
        <v>#N/A</v>
      </c>
    </row>
    <row r="6830" spans="1:11" ht="14.5">
      <c r="A6830" s="20" t="s">
        <v>31410</v>
      </c>
      <c r="B6830" s="20">
        <v>75</v>
      </c>
      <c r="C6830" s="20">
        <v>50</v>
      </c>
      <c r="D6830" s="20">
        <v>18</v>
      </c>
      <c r="E6830" s="20">
        <v>32</v>
      </c>
      <c r="F6830" s="20" t="s">
        <v>31411</v>
      </c>
      <c r="G6830" s="24"/>
      <c r="H6830" s="24"/>
      <c r="I6830" s="24" t="str">
        <f ca="1">IFERROR(__xludf.DUMMYFUNCTION("GOOGLETRANSLATE(F6830,""en"",""pt"")"),"painéis de controlo da bomba elétrica fogo")</f>
        <v>painéis de controlo da bomba elétrica fogo</v>
      </c>
      <c r="J6830" t="e">
        <f>VLOOKUP(A6830,Pr_Base_LNEC!$A$4:$J$6971,6,FALSE)</f>
        <v>#N/A</v>
      </c>
      <c r="K6830" t="e">
        <f>VLOOKUP(A6830,Pr_Base_LNEC!$A$4:$J$6971,7,FALSE)</f>
        <v>#N/A</v>
      </c>
    </row>
    <row r="6831" spans="1:11" ht="14.5">
      <c r="A6831" s="20" t="s">
        <v>31412</v>
      </c>
      <c r="B6831" s="20">
        <v>75</v>
      </c>
      <c r="C6831" s="20">
        <v>50</v>
      </c>
      <c r="D6831" s="20">
        <v>18</v>
      </c>
      <c r="E6831" s="20">
        <v>33</v>
      </c>
      <c r="F6831" s="20" t="s">
        <v>31413</v>
      </c>
      <c r="G6831" s="20" t="s">
        <v>31414</v>
      </c>
      <c r="H6831" s="24"/>
      <c r="I6831" s="24" t="str">
        <f ca="1">IFERROR(__xludf.DUMMYFUNCTION("GOOGLETRANSLATE(F6831,""en"",""pt"")"),"os painéis de controlo de detecção de gás")</f>
        <v>os painéis de controlo de detecção de gás</v>
      </c>
      <c r="J6831">
        <f>VLOOKUP(A6831,Pr_Base_LNEC!$A$4:$J$6971,6,FALSE)</f>
        <v>0</v>
      </c>
      <c r="K6831">
        <f>VLOOKUP(A6831,Pr_Base_LNEC!$A$4:$J$6971,7,FALSE)</f>
        <v>0</v>
      </c>
    </row>
    <row r="6832" spans="1:11" ht="14.5">
      <c r="A6832" s="20" t="s">
        <v>31415</v>
      </c>
      <c r="B6832" s="20">
        <v>75</v>
      </c>
      <c r="C6832" s="20">
        <v>50</v>
      </c>
      <c r="D6832" s="20">
        <v>18</v>
      </c>
      <c r="E6832" s="20">
        <v>34</v>
      </c>
      <c r="F6832" s="20" t="s">
        <v>31416</v>
      </c>
      <c r="G6832" s="24"/>
      <c r="H6832" s="24"/>
      <c r="I6832" s="24" t="str">
        <f ca="1">IFERROR(__xludf.DUMMYFUNCTION("GOOGLETRANSLATE(F6832,""en"",""pt"")"),"reguladores de dose Gás")</f>
        <v>reguladores de dose Gás</v>
      </c>
      <c r="J6832" t="e">
        <f>VLOOKUP(A6832,Pr_Base_LNEC!$A$4:$J$6971,6,FALSE)</f>
        <v>#N/A</v>
      </c>
      <c r="K6832" t="e">
        <f>VLOOKUP(A6832,Pr_Base_LNEC!$A$4:$J$6971,7,FALSE)</f>
        <v>#N/A</v>
      </c>
    </row>
    <row r="6833" spans="1:11" ht="14.5">
      <c r="A6833" s="20" t="s">
        <v>31417</v>
      </c>
      <c r="B6833" s="20">
        <v>75</v>
      </c>
      <c r="C6833" s="20">
        <v>50</v>
      </c>
      <c r="D6833" s="20">
        <v>18</v>
      </c>
      <c r="E6833" s="20">
        <v>37</v>
      </c>
      <c r="F6833" s="20" t="s">
        <v>31418</v>
      </c>
      <c r="G6833" s="24"/>
      <c r="H6833" s="24"/>
      <c r="I6833" s="24" t="str">
        <f ca="1">IFERROR(__xludf.DUMMYFUNCTION("GOOGLETRANSLATE(F6833,""en"",""pt"")"),"Ajuda painéis de controle ponto")</f>
        <v>Ajuda painéis de controle ponto</v>
      </c>
      <c r="J6833" t="e">
        <f>VLOOKUP(A6833,Pr_Base_LNEC!$A$4:$J$6971,6,FALSE)</f>
        <v>#N/A</v>
      </c>
      <c r="K6833" t="e">
        <f>VLOOKUP(A6833,Pr_Base_LNEC!$A$4:$J$6971,7,FALSE)</f>
        <v>#N/A</v>
      </c>
    </row>
    <row r="6834" spans="1:11" ht="14.5">
      <c r="A6834" s="20" t="s">
        <v>31419</v>
      </c>
      <c r="B6834" s="20">
        <v>75</v>
      </c>
      <c r="C6834" s="20">
        <v>50</v>
      </c>
      <c r="D6834" s="20">
        <v>18</v>
      </c>
      <c r="E6834" s="20">
        <v>40</v>
      </c>
      <c r="F6834" s="20" t="s">
        <v>31420</v>
      </c>
      <c r="G6834" s="24"/>
      <c r="H6834" s="24"/>
      <c r="I6834" s="24" t="str">
        <f ca="1">IFERROR(__xludf.DUMMYFUNCTION("GOOGLETRANSLATE(F6834,""en"",""pt"")"),"painéis de controlo da alimentação de entrada")</f>
        <v>painéis de controlo da alimentação de entrada</v>
      </c>
      <c r="J6834">
        <f>VLOOKUP(A6834,Pr_Base_LNEC!$A$4:$J$6971,6,FALSE)</f>
        <v>0</v>
      </c>
      <c r="K6834">
        <f>VLOOKUP(A6834,Pr_Base_LNEC!$A$4:$J$6971,7,FALSE)</f>
        <v>0</v>
      </c>
    </row>
    <row r="6835" spans="1:11" ht="14.5">
      <c r="A6835" s="20" t="s">
        <v>31421</v>
      </c>
      <c r="B6835" s="20">
        <v>75</v>
      </c>
      <c r="C6835" s="20">
        <v>50</v>
      </c>
      <c r="D6835" s="20">
        <v>18</v>
      </c>
      <c r="E6835" s="20">
        <v>41</v>
      </c>
      <c r="F6835" s="20" t="s">
        <v>31422</v>
      </c>
      <c r="G6835" s="24"/>
      <c r="H6835" s="24"/>
      <c r="I6835" s="24" t="str">
        <f ca="1">IFERROR(__xludf.DUMMYFUNCTION("GOOGLETRANSLATE(F6835,""en"",""pt"")"),"painéis de instrumentação, de automação e controle")</f>
        <v>painéis de instrumentação, de automação e controle</v>
      </c>
      <c r="J6835">
        <f>VLOOKUP(A6835,Pr_Base_LNEC!$A$4:$J$6971,6,FALSE)</f>
        <v>0</v>
      </c>
      <c r="K6835">
        <f>VLOOKUP(A6835,Pr_Base_LNEC!$A$4:$J$6971,7,FALSE)</f>
        <v>0</v>
      </c>
    </row>
    <row r="6836" spans="1:11" ht="14.5">
      <c r="A6836" s="20" t="s">
        <v>31423</v>
      </c>
      <c r="B6836" s="20">
        <v>75</v>
      </c>
      <c r="C6836" s="20">
        <v>50</v>
      </c>
      <c r="D6836" s="20">
        <v>18</v>
      </c>
      <c r="E6836" s="20">
        <v>42</v>
      </c>
      <c r="F6836" s="20" t="s">
        <v>31424</v>
      </c>
      <c r="G6836" s="20" t="s">
        <v>31425</v>
      </c>
      <c r="H6836" s="24"/>
      <c r="I6836" s="24" t="str">
        <f ca="1">IFERROR(__xludf.DUMMYFUNCTION("GOOGLETRANSLATE(F6836,""en"",""pt"")"),"os painéis de controlo de irrigação")</f>
        <v>os painéis de controlo de irrigação</v>
      </c>
      <c r="J6836">
        <f>VLOOKUP(A6836,Pr_Base_LNEC!$A$4:$J$6971,6,FALSE)</f>
        <v>0</v>
      </c>
      <c r="K6836">
        <f>VLOOKUP(A6836,Pr_Base_LNEC!$A$4:$J$6971,7,FALSE)</f>
        <v>0</v>
      </c>
    </row>
    <row r="6837" spans="1:11" ht="14.5">
      <c r="A6837" s="20" t="s">
        <v>31426</v>
      </c>
      <c r="B6837" s="20">
        <v>75</v>
      </c>
      <c r="C6837" s="20">
        <v>50</v>
      </c>
      <c r="D6837" s="20">
        <v>18</v>
      </c>
      <c r="E6837" s="20">
        <v>45</v>
      </c>
      <c r="F6837" s="20" t="s">
        <v>31427</v>
      </c>
      <c r="G6837" s="24"/>
      <c r="H6837" s="24"/>
      <c r="I6837" s="24" t="str">
        <f ca="1">IFERROR(__xludf.DUMMYFUNCTION("GOOGLETRANSLATE(F6837,""en"",""pt"")"),"os painéis de controlo de elevador")</f>
        <v>os painéis de controlo de elevador</v>
      </c>
      <c r="J6837">
        <f>VLOOKUP(A6837,Pr_Base_LNEC!$A$4:$J$6971,6,FALSE)</f>
        <v>0</v>
      </c>
      <c r="K6837">
        <f>VLOOKUP(A6837,Pr_Base_LNEC!$A$4:$J$6971,7,FALSE)</f>
        <v>0</v>
      </c>
    </row>
    <row r="6838" spans="1:11" ht="14.5">
      <c r="A6838" s="20" t="s">
        <v>31428</v>
      </c>
      <c r="B6838" s="20">
        <v>75</v>
      </c>
      <c r="C6838" s="20">
        <v>50</v>
      </c>
      <c r="D6838" s="20">
        <v>18</v>
      </c>
      <c r="E6838" s="20">
        <v>46</v>
      </c>
      <c r="F6838" s="20" t="s">
        <v>31429</v>
      </c>
      <c r="G6838" s="20" t="s">
        <v>31430</v>
      </c>
      <c r="H6838" s="24"/>
      <c r="I6838" s="24" t="str">
        <f ca="1">IFERROR(__xludf.DUMMYFUNCTION("GOOGLETRANSLATE(F6838,""en"",""pt"")"),"atuadores lineares")</f>
        <v>atuadores lineares</v>
      </c>
      <c r="J6838">
        <f>VLOOKUP(A6838,Pr_Base_LNEC!$A$4:$J$6971,6,FALSE)</f>
        <v>0</v>
      </c>
      <c r="K6838">
        <f>VLOOKUP(A6838,Pr_Base_LNEC!$A$4:$J$6971,7,FALSE)</f>
        <v>0</v>
      </c>
    </row>
    <row r="6839" spans="1:11" ht="14.5">
      <c r="A6839" s="20" t="s">
        <v>31431</v>
      </c>
      <c r="B6839" s="20">
        <v>75</v>
      </c>
      <c r="C6839" s="20">
        <v>50</v>
      </c>
      <c r="D6839" s="20">
        <v>18</v>
      </c>
      <c r="E6839" s="20">
        <v>47</v>
      </c>
      <c r="F6839" s="20" t="s">
        <v>31432</v>
      </c>
      <c r="G6839" s="20" t="s">
        <v>31433</v>
      </c>
      <c r="H6839" s="24"/>
      <c r="I6839" s="24" t="str">
        <f ca="1">IFERROR(__xludf.DUMMYFUNCTION("GOOGLETRANSLATE(F6839,""en"",""pt"")"),"os painéis de controlo de detecção de fugas de líquidos")</f>
        <v>os painéis de controlo de detecção de fugas de líquidos</v>
      </c>
      <c r="J6839">
        <f>VLOOKUP(A6839,Pr_Base_LNEC!$A$4:$J$6971,6,FALSE)</f>
        <v>0</v>
      </c>
      <c r="K6839">
        <f>VLOOKUP(A6839,Pr_Base_LNEC!$A$4:$J$6971,7,FALSE)</f>
        <v>0</v>
      </c>
    </row>
    <row r="6840" spans="1:11" ht="14.5">
      <c r="A6840" s="20" t="s">
        <v>31434</v>
      </c>
      <c r="B6840" s="20">
        <v>75</v>
      </c>
      <c r="C6840" s="20">
        <v>50</v>
      </c>
      <c r="D6840" s="20">
        <v>18</v>
      </c>
      <c r="E6840" s="20">
        <v>51</v>
      </c>
      <c r="F6840" s="20" t="s">
        <v>31435</v>
      </c>
      <c r="G6840" s="20" t="s">
        <v>31436</v>
      </c>
      <c r="H6840" s="24"/>
      <c r="I6840" s="24" t="str">
        <f ca="1">IFERROR(__xludf.DUMMYFUNCTION("GOOGLETRANSLATE(F6840,""en"",""pt"")"),"serviços mecânicos controlar painéis")</f>
        <v>serviços mecânicos controlar painéis</v>
      </c>
      <c r="J6840">
        <f>VLOOKUP(A6840,Pr_Base_LNEC!$A$4:$J$6971,6,FALSE)</f>
        <v>0</v>
      </c>
      <c r="K6840">
        <f>VLOOKUP(A6840,Pr_Base_LNEC!$A$4:$J$6971,7,FALSE)</f>
        <v>0</v>
      </c>
    </row>
    <row r="6841" spans="1:11" ht="14.5">
      <c r="A6841" s="20" t="s">
        <v>31437</v>
      </c>
      <c r="B6841" s="20">
        <v>75</v>
      </c>
      <c r="C6841" s="20">
        <v>50</v>
      </c>
      <c r="D6841" s="20">
        <v>18</v>
      </c>
      <c r="E6841" s="20">
        <v>53</v>
      </c>
      <c r="F6841" s="20" t="s">
        <v>31438</v>
      </c>
      <c r="G6841" s="24"/>
      <c r="H6841" s="24"/>
      <c r="I6841" s="24" t="str">
        <f ca="1">IFERROR(__xludf.DUMMYFUNCTION("GOOGLETRANSLATE(F6841,""en"",""pt"")"),"painéis de controlo do motor entradas")</f>
        <v>painéis de controlo do motor entradas</v>
      </c>
      <c r="J6841">
        <f>VLOOKUP(A6841,Pr_Base_LNEC!$A$4:$J$6971,6,FALSE)</f>
        <v>0</v>
      </c>
      <c r="K6841">
        <f>VLOOKUP(A6841,Pr_Base_LNEC!$A$4:$J$6971,7,FALSE)</f>
        <v>0</v>
      </c>
    </row>
    <row r="6842" spans="1:11" ht="14.5">
      <c r="A6842" s="20" t="s">
        <v>31439</v>
      </c>
      <c r="B6842" s="20">
        <v>75</v>
      </c>
      <c r="C6842" s="20">
        <v>50</v>
      </c>
      <c r="D6842" s="20">
        <v>18</v>
      </c>
      <c r="E6842" s="20">
        <v>65</v>
      </c>
      <c r="F6842" s="20" t="s">
        <v>31440</v>
      </c>
      <c r="G6842" s="20" t="s">
        <v>31441</v>
      </c>
      <c r="H6842" s="24"/>
      <c r="I6842" s="24" t="str">
        <f ca="1">IFERROR(__xludf.DUMMYFUNCTION("GOOGLETRANSLATE(F6842,""en"",""pt"")"),"os painéis de controlo de transporte de documentos pneumático")</f>
        <v>os painéis de controlo de transporte de documentos pneumático</v>
      </c>
      <c r="J6842">
        <f>VLOOKUP(A6842,Pr_Base_LNEC!$A$4:$J$6971,6,FALSE)</f>
        <v>0</v>
      </c>
      <c r="K6842">
        <f>VLOOKUP(A6842,Pr_Base_LNEC!$A$4:$J$6971,7,FALSE)</f>
        <v>0</v>
      </c>
    </row>
    <row r="6843" spans="1:11" ht="14.5">
      <c r="A6843" s="20" t="s">
        <v>31442</v>
      </c>
      <c r="B6843" s="20">
        <v>75</v>
      </c>
      <c r="C6843" s="20">
        <v>50</v>
      </c>
      <c r="D6843" s="20">
        <v>18</v>
      </c>
      <c r="E6843" s="20">
        <v>66</v>
      </c>
      <c r="F6843" s="20" t="s">
        <v>31443</v>
      </c>
      <c r="G6843" s="24"/>
      <c r="H6843" s="24"/>
      <c r="I6843" s="24" t="str">
        <f ca="1">IFERROR(__xludf.DUMMYFUNCTION("GOOGLETRANSLATE(F6843,""en"",""pt"")"),"Os pontos de controlo de aquecimento de painéis")</f>
        <v>Os pontos de controlo de aquecimento de painéis</v>
      </c>
      <c r="J6843" t="e">
        <f>VLOOKUP(A6843,Pr_Base_LNEC!$A$4:$J$6971,6,FALSE)</f>
        <v>#N/A</v>
      </c>
      <c r="K6843" t="e">
        <f>VLOOKUP(A6843,Pr_Base_LNEC!$A$4:$J$6971,7,FALSE)</f>
        <v>#N/A</v>
      </c>
    </row>
    <row r="6844" spans="1:11" ht="14.5">
      <c r="A6844" s="20" t="s">
        <v>31444</v>
      </c>
      <c r="B6844" s="20">
        <v>75</v>
      </c>
      <c r="C6844" s="20">
        <v>50</v>
      </c>
      <c r="D6844" s="20">
        <v>18</v>
      </c>
      <c r="E6844" s="20">
        <v>67</v>
      </c>
      <c r="F6844" s="20" t="s">
        <v>31445</v>
      </c>
      <c r="G6844" s="24"/>
      <c r="H6844" s="24"/>
      <c r="I6844" s="24" t="str">
        <f ca="1">IFERROR(__xludf.DUMMYFUNCTION("GOOGLETRANSLATE(F6844,""en"",""pt"")"),"painéis de controle de correção do fator de potência")</f>
        <v>painéis de controle de correção do fator de potência</v>
      </c>
      <c r="J6844">
        <f>VLOOKUP(A6844,Pr_Base_LNEC!$A$4:$J$6971,6,FALSE)</f>
        <v>0</v>
      </c>
      <c r="K6844">
        <f>VLOOKUP(A6844,Pr_Base_LNEC!$A$4:$J$6971,7,FALSE)</f>
        <v>0</v>
      </c>
    </row>
    <row r="6845" spans="1:11" ht="14.5">
      <c r="A6845" s="20" t="s">
        <v>31446</v>
      </c>
      <c r="B6845" s="20">
        <v>75</v>
      </c>
      <c r="C6845" s="20">
        <v>50</v>
      </c>
      <c r="D6845" s="20">
        <v>18</v>
      </c>
      <c r="E6845" s="20">
        <v>69</v>
      </c>
      <c r="F6845" s="20" t="s">
        <v>31447</v>
      </c>
      <c r="G6845" s="24"/>
      <c r="H6845" s="24"/>
      <c r="I6845" s="24" t="str">
        <f ca="1">IFERROR(__xludf.DUMMYFUNCTION("GOOGLETRANSLATE(F6845,""en"",""pt"")"),"painéis seção de filtro de qualidade de energia")</f>
        <v>painéis seção de filtro de qualidade de energia</v>
      </c>
      <c r="J6845" t="e">
        <f>VLOOKUP(A6845,Pr_Base_LNEC!$A$4:$J$6971,6,FALSE)</f>
        <v>#N/A</v>
      </c>
      <c r="K6845" t="e">
        <f>VLOOKUP(A6845,Pr_Base_LNEC!$A$4:$J$6971,7,FALSE)</f>
        <v>#N/A</v>
      </c>
    </row>
    <row r="6846" spans="1:11" ht="14.5">
      <c r="A6846" s="20" t="s">
        <v>31448</v>
      </c>
      <c r="B6846" s="20">
        <v>75</v>
      </c>
      <c r="C6846" s="20">
        <v>50</v>
      </c>
      <c r="D6846" s="20">
        <v>18</v>
      </c>
      <c r="E6846" s="20">
        <v>80</v>
      </c>
      <c r="F6846" s="20" t="s">
        <v>31449</v>
      </c>
      <c r="G6846" s="20" t="s">
        <v>31450</v>
      </c>
      <c r="H6846" s="24"/>
      <c r="I6846" s="24" t="str">
        <f ca="1">IFERROR(__xludf.DUMMYFUNCTION("GOOGLETRANSLATE(F6846,""en"",""pt"")"),"painéis de exaustores de fumos e de calor de controle")</f>
        <v>painéis de exaustores de fumos e de calor de controle</v>
      </c>
      <c r="J6846">
        <f>VLOOKUP(A6846,Pr_Base_LNEC!$A$4:$J$6971,6,FALSE)</f>
        <v>0</v>
      </c>
      <c r="K6846">
        <f>VLOOKUP(A6846,Pr_Base_LNEC!$A$4:$J$6971,7,FALSE)</f>
        <v>0</v>
      </c>
    </row>
    <row r="6847" spans="1:11" ht="14.5">
      <c r="A6847" s="20" t="s">
        <v>31451</v>
      </c>
      <c r="B6847" s="20">
        <v>75</v>
      </c>
      <c r="C6847" s="20">
        <v>50</v>
      </c>
      <c r="D6847" s="20">
        <v>18</v>
      </c>
      <c r="E6847" s="20">
        <v>82</v>
      </c>
      <c r="F6847" s="20" t="s">
        <v>31452</v>
      </c>
      <c r="G6847" s="20" t="s">
        <v>31453</v>
      </c>
      <c r="H6847" s="24"/>
      <c r="I6847" s="24" t="str">
        <f ca="1">IFERROR(__xludf.DUMMYFUNCTION("GOOGLETRANSLATE(F6847,""en"",""pt"")"),"unidades de controlo colector solar")</f>
        <v>unidades de controlo colector solar</v>
      </c>
      <c r="J6847">
        <f>VLOOKUP(A6847,Pr_Base_LNEC!$A$4:$J$6971,6,FALSE)</f>
        <v>0</v>
      </c>
      <c r="K6847">
        <f>VLOOKUP(A6847,Pr_Base_LNEC!$A$4:$J$6971,7,FALSE)</f>
        <v>0</v>
      </c>
    </row>
    <row r="6848" spans="1:11" ht="14.5">
      <c r="A6848" s="20" t="s">
        <v>31454</v>
      </c>
      <c r="B6848" s="20">
        <v>75</v>
      </c>
      <c r="C6848" s="20">
        <v>50</v>
      </c>
      <c r="D6848" s="20">
        <v>18</v>
      </c>
      <c r="E6848" s="20">
        <v>90</v>
      </c>
      <c r="F6848" s="20" t="s">
        <v>31455</v>
      </c>
      <c r="G6848" s="24"/>
      <c r="H6848" s="24"/>
      <c r="I6848" s="24" t="str">
        <f ca="1">IFERROR(__xludf.DUMMYFUNCTION("GOOGLETRANSLATE(F6848,""en"",""pt"")"),"os painéis de controlo de telemetria")</f>
        <v>os painéis de controlo de telemetria</v>
      </c>
      <c r="J6848">
        <f>VLOOKUP(A6848,Pr_Base_LNEC!$A$4:$J$6971,6,FALSE)</f>
        <v>0</v>
      </c>
      <c r="K6848">
        <f>VLOOKUP(A6848,Pr_Base_LNEC!$A$4:$J$6971,7,FALSE)</f>
        <v>0</v>
      </c>
    </row>
    <row r="6849" spans="1:11" ht="14.5">
      <c r="A6849" s="20" t="s">
        <v>31456</v>
      </c>
      <c r="B6849" s="20">
        <v>75</v>
      </c>
      <c r="C6849" s="20">
        <v>50</v>
      </c>
      <c r="D6849" s="20">
        <v>18</v>
      </c>
      <c r="E6849" s="20">
        <v>92</v>
      </c>
      <c r="F6849" s="20" t="s">
        <v>31457</v>
      </c>
      <c r="G6849" s="24"/>
      <c r="H6849" s="24"/>
      <c r="I6849" s="24" t="str">
        <f ca="1">IFERROR(__xludf.DUMMYFUNCTION("GOOGLETRANSLATE(F6849,""en"",""pt"")"),"painéis de controlo de fonte de alimentação ininterrupta")</f>
        <v>painéis de controlo de fonte de alimentação ininterrupta</v>
      </c>
      <c r="J6849">
        <f>VLOOKUP(A6849,Pr_Base_LNEC!$A$4:$J$6971,6,FALSE)</f>
        <v>0</v>
      </c>
      <c r="K6849">
        <f>VLOOKUP(A6849,Pr_Base_LNEC!$A$4:$J$6971,7,FALSE)</f>
        <v>0</v>
      </c>
    </row>
    <row r="6850" spans="1:11" ht="14.5">
      <c r="A6850" s="20" t="s">
        <v>31458</v>
      </c>
      <c r="B6850" s="20">
        <v>75</v>
      </c>
      <c r="C6850" s="20">
        <v>50</v>
      </c>
      <c r="D6850" s="20">
        <v>18</v>
      </c>
      <c r="E6850" s="20">
        <v>93</v>
      </c>
      <c r="F6850" s="20" t="s">
        <v>31459</v>
      </c>
      <c r="G6850" s="24"/>
      <c r="H6850" s="24"/>
      <c r="I6850" s="24" t="str">
        <f ca="1">IFERROR(__xludf.DUMMYFUNCTION("GOOGLETRANSLATE(F6850,""en"",""pt"")"),"painéis de controlo da alimentação de utilidade")</f>
        <v>painéis de controlo da alimentação de utilidade</v>
      </c>
      <c r="J6850">
        <f>VLOOKUP(A6850,Pr_Base_LNEC!$A$4:$J$6971,6,FALSE)</f>
        <v>0</v>
      </c>
      <c r="K6850">
        <f>VLOOKUP(A6850,Pr_Base_LNEC!$A$4:$J$6971,7,FALSE)</f>
        <v>0</v>
      </c>
    </row>
    <row r="6851" spans="1:11" ht="14.5">
      <c r="A6851" s="20" t="s">
        <v>31460</v>
      </c>
      <c r="B6851" s="20">
        <v>75</v>
      </c>
      <c r="C6851" s="20">
        <v>50</v>
      </c>
      <c r="D6851" s="20">
        <v>18</v>
      </c>
      <c r="E6851" s="20">
        <v>94</v>
      </c>
      <c r="F6851" s="20" t="s">
        <v>31461</v>
      </c>
      <c r="G6851" s="20" t="s">
        <v>31462</v>
      </c>
      <c r="H6851" s="24"/>
      <c r="I6851" s="24" t="str">
        <f ca="1">IFERROR(__xludf.DUMMYFUNCTION("GOOGLETRANSLATE(F6851,""en"",""pt"")"),"atuadores de válvulas")</f>
        <v>atuadores de válvulas</v>
      </c>
      <c r="J6851">
        <f>VLOOKUP(A6851,Pr_Base_LNEC!$A$4:$J$6971,6,FALSE)</f>
        <v>0</v>
      </c>
      <c r="K6851">
        <f>VLOOKUP(A6851,Pr_Base_LNEC!$A$4:$J$6971,7,FALSE)</f>
        <v>0</v>
      </c>
    </row>
    <row r="6852" spans="1:11" ht="14.5">
      <c r="A6852" s="20" t="s">
        <v>31463</v>
      </c>
      <c r="B6852" s="20">
        <v>75</v>
      </c>
      <c r="C6852" s="20">
        <v>50</v>
      </c>
      <c r="D6852" s="20">
        <v>18</v>
      </c>
      <c r="E6852" s="20">
        <v>96</v>
      </c>
      <c r="F6852" s="20" t="s">
        <v>31464</v>
      </c>
      <c r="G6852" s="20" t="s">
        <v>31465</v>
      </c>
      <c r="H6852" s="24"/>
      <c r="I6852" s="24" t="str">
        <f ca="1">IFERROR(__xludf.DUMMYFUNCTION("GOOGLETRANSLATE(F6852,""en"",""pt"")"),"controles de exibição de água")</f>
        <v>controles de exibição de água</v>
      </c>
      <c r="J6852">
        <f>VLOOKUP(A6852,Pr_Base_LNEC!$A$4:$J$6971,6,FALSE)</f>
        <v>0</v>
      </c>
      <c r="K6852">
        <f>VLOOKUP(A6852,Pr_Base_LNEC!$A$4:$J$6971,7,FALSE)</f>
        <v>0</v>
      </c>
    </row>
    <row r="6853" spans="1:11" ht="14.5">
      <c r="A6853" s="20" t="s">
        <v>31466</v>
      </c>
      <c r="B6853" s="20">
        <v>75</v>
      </c>
      <c r="C6853" s="20">
        <v>50</v>
      </c>
      <c r="D6853" s="20">
        <v>18</v>
      </c>
      <c r="E6853" s="20">
        <v>98</v>
      </c>
      <c r="F6853" s="20" t="s">
        <v>31467</v>
      </c>
      <c r="G6853" s="24"/>
      <c r="H6853" s="24"/>
      <c r="I6853" s="24" t="str">
        <f ca="1">IFERROR(__xludf.DUMMYFUNCTION("GOOGLETRANSLATE(F6853,""en"",""pt"")"),"controladores de qualidade da água")</f>
        <v>controladores de qualidade da água</v>
      </c>
      <c r="J6853" t="e">
        <f>VLOOKUP(A6853,Pr_Base_LNEC!$A$4:$J$6971,6,FALSE)</f>
        <v>#N/A</v>
      </c>
      <c r="K6853" t="e">
        <f>VLOOKUP(A6853,Pr_Base_LNEC!$A$4:$J$6971,7,FALSE)</f>
        <v>#N/A</v>
      </c>
    </row>
    <row r="6854" spans="1:11" ht="14.5">
      <c r="A6854" s="20" t="s">
        <v>31468</v>
      </c>
      <c r="B6854" s="20">
        <v>75</v>
      </c>
      <c r="C6854" s="20">
        <v>50</v>
      </c>
      <c r="D6854" s="20">
        <v>18</v>
      </c>
      <c r="E6854" s="20">
        <v>99</v>
      </c>
      <c r="F6854" s="20" t="s">
        <v>31469</v>
      </c>
      <c r="G6854" s="20" t="s">
        <v>31470</v>
      </c>
      <c r="H6854" s="24"/>
      <c r="I6854" s="24" t="str">
        <f ca="1">IFERROR(__xludf.DUMMYFUNCTION("GOOGLETRANSLATE(F6854,""en"",""pt"")"),"Vento operado dispositivos de controlo de monitor de água")</f>
        <v>Vento operado dispositivos de controlo de monitor de água</v>
      </c>
      <c r="J6854" t="e">
        <f>VLOOKUP(A6854,Pr_Base_LNEC!$A$4:$J$6971,6,FALSE)</f>
        <v>#N/A</v>
      </c>
      <c r="K6854" t="e">
        <f>VLOOKUP(A6854,Pr_Base_LNEC!$A$4:$J$6971,7,FALSE)</f>
        <v>#N/A</v>
      </c>
    </row>
    <row r="6855" spans="1:11" ht="14.5">
      <c r="A6855" s="20" t="s">
        <v>31471</v>
      </c>
      <c r="B6855" s="20">
        <v>75</v>
      </c>
      <c r="C6855" s="20">
        <v>50</v>
      </c>
      <c r="D6855" s="20">
        <v>33</v>
      </c>
      <c r="E6855" s="24"/>
      <c r="F6855" s="20" t="s">
        <v>31472</v>
      </c>
      <c r="G6855" s="24"/>
      <c r="H6855" s="24"/>
      <c r="I6855" s="24" t="str">
        <f ca="1">IFERROR(__xludf.DUMMYFUNCTION("GOOGLETRANSLATE(F6855,""en"",""pt"")"),"fogo de gás de extinção controles")</f>
        <v>fogo de gás de extinção controles</v>
      </c>
      <c r="J6855">
        <f>VLOOKUP(A6855,Pr_Base_LNEC!$A$4:$J$6971,6,FALSE)</f>
        <v>0</v>
      </c>
      <c r="K6855">
        <f>VLOOKUP(A6855,Pr_Base_LNEC!$A$4:$J$6971,7,FALSE)</f>
        <v>0</v>
      </c>
    </row>
    <row r="6856" spans="1:11" ht="14.5">
      <c r="A6856" s="20" t="s">
        <v>31473</v>
      </c>
      <c r="B6856" s="20">
        <v>75</v>
      </c>
      <c r="C6856" s="20">
        <v>50</v>
      </c>
      <c r="D6856" s="20">
        <v>33</v>
      </c>
      <c r="E6856" s="20">
        <v>25</v>
      </c>
      <c r="F6856" s="20" t="s">
        <v>31474</v>
      </c>
      <c r="G6856" s="20" t="s">
        <v>31475</v>
      </c>
      <c r="H6856" s="24"/>
      <c r="I6856" s="24" t="str">
        <f ca="1">IFERROR(__xludf.DUMMYFUNCTION("GOOGLETRANSLATE(F6856,""en"",""pt"")"),"dispositivos de accionamento elétricos")</f>
        <v>dispositivos de accionamento elétricos</v>
      </c>
      <c r="J6856">
        <f>VLOOKUP(A6856,Pr_Base_LNEC!$A$4:$J$6971,6,FALSE)</f>
        <v>0</v>
      </c>
      <c r="K6856">
        <f>VLOOKUP(A6856,Pr_Base_LNEC!$A$4:$J$6971,7,FALSE)</f>
        <v>0</v>
      </c>
    </row>
    <row r="6857" spans="1:11" ht="14.5">
      <c r="A6857" s="20" t="s">
        <v>31476</v>
      </c>
      <c r="B6857" s="20">
        <v>75</v>
      </c>
      <c r="C6857" s="20">
        <v>50</v>
      </c>
      <c r="D6857" s="20">
        <v>33</v>
      </c>
      <c r="E6857" s="20">
        <v>26</v>
      </c>
      <c r="F6857" s="20" t="s">
        <v>31477</v>
      </c>
      <c r="G6857" s="20" t="s">
        <v>31478</v>
      </c>
      <c r="H6857" s="24"/>
      <c r="I6857" s="24" t="str">
        <f ca="1">IFERROR(__xludf.DUMMYFUNCTION("GOOGLETRANSLATE(F6857,""en"",""pt"")"),"Emergency abort dispositivos")</f>
        <v>Emergency abort dispositivos</v>
      </c>
      <c r="J6857">
        <f>VLOOKUP(A6857,Pr_Base_LNEC!$A$4:$J$6971,6,FALSE)</f>
        <v>0</v>
      </c>
      <c r="K6857">
        <f>VLOOKUP(A6857,Pr_Base_LNEC!$A$4:$J$6971,7,FALSE)</f>
        <v>0</v>
      </c>
    </row>
    <row r="6858" spans="1:11" ht="14.5">
      <c r="A6858" s="20" t="s">
        <v>31479</v>
      </c>
      <c r="B6858" s="20">
        <v>75</v>
      </c>
      <c r="C6858" s="20">
        <v>50</v>
      </c>
      <c r="D6858" s="20">
        <v>33</v>
      </c>
      <c r="E6858" s="20">
        <v>27</v>
      </c>
      <c r="F6858" s="20" t="s">
        <v>31480</v>
      </c>
      <c r="G6858" s="20" t="s">
        <v>31481</v>
      </c>
      <c r="H6858" s="24"/>
      <c r="I6858" s="24" t="str">
        <f ca="1">IFERROR(__xludf.DUMMYFUNCTION("GOOGLETRANSLATE(F6858,""en"",""pt"")"),"dispositivos de retenção de emergência")</f>
        <v>dispositivos de retenção de emergência</v>
      </c>
      <c r="J6858">
        <f>VLOOKUP(A6858,Pr_Base_LNEC!$A$4:$J$6971,6,FALSE)</f>
        <v>0</v>
      </c>
      <c r="K6858">
        <f>VLOOKUP(A6858,Pr_Base_LNEC!$A$4:$J$6971,7,FALSE)</f>
        <v>0</v>
      </c>
    </row>
    <row r="6859" spans="1:11" ht="14.5">
      <c r="A6859" s="20" t="s">
        <v>31482</v>
      </c>
      <c r="B6859" s="20">
        <v>75</v>
      </c>
      <c r="C6859" s="20">
        <v>50</v>
      </c>
      <c r="D6859" s="20">
        <v>33</v>
      </c>
      <c r="E6859" s="20">
        <v>28</v>
      </c>
      <c r="F6859" s="20" t="s">
        <v>31483</v>
      </c>
      <c r="G6859" s="20" t="s">
        <v>31484</v>
      </c>
      <c r="H6859" s="24"/>
      <c r="I6859" s="24" t="str">
        <f ca="1">IFERROR(__xludf.DUMMYFUNCTION("GOOGLETRANSLATE(F6859,""en"",""pt"")"),"A extinção de painéis de controle")</f>
        <v>A extinção de painéis de controle</v>
      </c>
      <c r="J6859">
        <f>VLOOKUP(A6859,Pr_Base_LNEC!$A$4:$J$6971,6,FALSE)</f>
        <v>0</v>
      </c>
      <c r="K6859">
        <f>VLOOKUP(A6859,Pr_Base_LNEC!$A$4:$J$6971,7,FALSE)</f>
        <v>0</v>
      </c>
    </row>
    <row r="6860" spans="1:11" ht="14.5">
      <c r="A6860" s="20" t="s">
        <v>31485</v>
      </c>
      <c r="B6860" s="20">
        <v>75</v>
      </c>
      <c r="C6860" s="20">
        <v>50</v>
      </c>
      <c r="D6860" s="20">
        <v>33</v>
      </c>
      <c r="E6860" s="20">
        <v>50</v>
      </c>
      <c r="F6860" s="20" t="s">
        <v>31486</v>
      </c>
      <c r="G6860" s="20" t="s">
        <v>31487</v>
      </c>
      <c r="H6860" s="24"/>
      <c r="I6860" s="24" t="str">
        <f ca="1">IFERROR(__xludf.DUMMYFUNCTION("GOOGLETRANSLATE(F6860,""en"",""pt"")"),"Os dispositivos de accionamento manual")</f>
        <v>Os dispositivos de accionamento manual</v>
      </c>
      <c r="J6860">
        <f>VLOOKUP(A6860,Pr_Base_LNEC!$A$4:$J$6971,6,FALSE)</f>
        <v>0</v>
      </c>
      <c r="K6860">
        <f>VLOOKUP(A6860,Pr_Base_LNEC!$A$4:$J$6971,7,FALSE)</f>
        <v>0</v>
      </c>
    </row>
    <row r="6861" spans="1:11" ht="14.5">
      <c r="A6861" s="20" t="s">
        <v>31488</v>
      </c>
      <c r="B6861" s="20">
        <v>75</v>
      </c>
      <c r="C6861" s="20">
        <v>50</v>
      </c>
      <c r="D6861" s="20">
        <v>33</v>
      </c>
      <c r="E6861" s="20">
        <v>56</v>
      </c>
      <c r="F6861" s="20" t="s">
        <v>31489</v>
      </c>
      <c r="G6861" s="20" t="s">
        <v>31490</v>
      </c>
      <c r="H6861" s="24"/>
      <c r="I6861" s="24" t="str">
        <f ca="1">IFERROR(__xludf.DUMMYFUNCTION("GOOGLETRANSLATE(F6861,""en"",""pt"")"),"fogo de gás não-eléctrico de extinção desativar dispositivos")</f>
        <v>fogo de gás não-eléctrico de extinção desativar dispositivos</v>
      </c>
      <c r="J6861">
        <f>VLOOKUP(A6861,Pr_Base_LNEC!$A$4:$J$6971,6,FALSE)</f>
        <v>0</v>
      </c>
      <c r="K6861">
        <f>VLOOKUP(A6861,Pr_Base_LNEC!$A$4:$J$6971,7,FALSE)</f>
        <v>0</v>
      </c>
    </row>
    <row r="6862" spans="1:11" ht="14.5">
      <c r="A6862" s="20" t="s">
        <v>31491</v>
      </c>
      <c r="B6862" s="20">
        <v>75</v>
      </c>
      <c r="C6862" s="20">
        <v>50</v>
      </c>
      <c r="D6862" s="20">
        <v>33</v>
      </c>
      <c r="E6862" s="20">
        <v>64</v>
      </c>
      <c r="F6862" s="20" t="s">
        <v>31492</v>
      </c>
      <c r="G6862" s="20" t="s">
        <v>31493</v>
      </c>
      <c r="H6862" s="24"/>
      <c r="I6862" s="24" t="str">
        <f ca="1">IFERROR(__xludf.DUMMYFUNCTION("GOOGLETRANSLATE(F6862,""en"",""pt"")"),"atuadores pneumáticos de calor")</f>
        <v>atuadores pneumáticos de calor</v>
      </c>
      <c r="J6862">
        <f>VLOOKUP(A6862,Pr_Base_LNEC!$A$4:$J$6971,6,FALSE)</f>
        <v>0</v>
      </c>
      <c r="K6862">
        <f>VLOOKUP(A6862,Pr_Base_LNEC!$A$4:$J$6971,7,FALSE)</f>
        <v>0</v>
      </c>
    </row>
    <row r="6863" spans="1:11" ht="14.5">
      <c r="A6863" s="20" t="s">
        <v>31494</v>
      </c>
      <c r="B6863" s="20">
        <v>75</v>
      </c>
      <c r="C6863" s="20">
        <v>50</v>
      </c>
      <c r="D6863" s="20">
        <v>33</v>
      </c>
      <c r="E6863" s="20">
        <v>88</v>
      </c>
      <c r="F6863" s="20" t="s">
        <v>31495</v>
      </c>
      <c r="G6863" s="20" t="s">
        <v>31493</v>
      </c>
      <c r="H6863" s="24"/>
      <c r="I6863" s="24" t="str">
        <f ca="1">IFERROR(__xludf.DUMMYFUNCTION("GOOGLETRANSLATE(F6863,""en"",""pt"")"),"ligações térmicas")</f>
        <v>ligações térmicas</v>
      </c>
      <c r="J6863">
        <f>VLOOKUP(A6863,Pr_Base_LNEC!$A$4:$J$6971,6,FALSE)</f>
        <v>0</v>
      </c>
      <c r="K6863">
        <f>VLOOKUP(A6863,Pr_Base_LNEC!$A$4:$J$6971,7,FALSE)</f>
        <v>0</v>
      </c>
    </row>
    <row r="6864" spans="1:11" ht="14.5">
      <c r="A6864" s="20" t="s">
        <v>31496</v>
      </c>
      <c r="B6864" s="20">
        <v>75</v>
      </c>
      <c r="C6864" s="20">
        <v>50</v>
      </c>
      <c r="D6864" s="20">
        <v>46</v>
      </c>
      <c r="E6864" s="24"/>
      <c r="F6864" s="20" t="s">
        <v>31497</v>
      </c>
      <c r="G6864" s="24"/>
      <c r="H6864" s="24"/>
      <c r="I6864" s="24" t="str">
        <f ca="1">IFERROR(__xludf.DUMMYFUNCTION("GOOGLETRANSLATE(F6864,""en"",""pt"")"),"controladores de nível de líquido e interruptores")</f>
        <v>controladores de nível de líquido e interruptores</v>
      </c>
      <c r="J6864">
        <f>VLOOKUP(A6864,Pr_Base_LNEC!$A$4:$J$6971,6,FALSE)</f>
        <v>0</v>
      </c>
      <c r="K6864">
        <f>VLOOKUP(A6864,Pr_Base_LNEC!$A$4:$J$6971,7,FALSE)</f>
        <v>0</v>
      </c>
    </row>
    <row r="6865" spans="1:11" ht="14.5">
      <c r="A6865" s="20" t="s">
        <v>31498</v>
      </c>
      <c r="B6865" s="20">
        <v>75</v>
      </c>
      <c r="C6865" s="20">
        <v>50</v>
      </c>
      <c r="D6865" s="20">
        <v>46</v>
      </c>
      <c r="E6865" s="20">
        <v>27</v>
      </c>
      <c r="F6865" s="20" t="s">
        <v>31499</v>
      </c>
      <c r="G6865" s="24"/>
      <c r="H6865" s="24"/>
      <c r="I6865" s="24" t="str">
        <f ca="1">IFERROR(__xludf.DUMMYFUNCTION("GOOGLETRANSLATE(F6865,""en"",""pt"")"),"controladores de nível de líquido eletrônicos")</f>
        <v>controladores de nível de líquido eletrônicos</v>
      </c>
      <c r="J6865">
        <f>VLOOKUP(A6865,Pr_Base_LNEC!$A$4:$J$6971,6,FALSE)</f>
        <v>0</v>
      </c>
      <c r="K6865">
        <f>VLOOKUP(A6865,Pr_Base_LNEC!$A$4:$J$6971,7,FALSE)</f>
        <v>0</v>
      </c>
    </row>
    <row r="6866" spans="1:11" ht="14.5">
      <c r="A6866" s="20" t="s">
        <v>31500</v>
      </c>
      <c r="B6866" s="20">
        <v>75</v>
      </c>
      <c r="C6866" s="20">
        <v>50</v>
      </c>
      <c r="D6866" s="20">
        <v>46</v>
      </c>
      <c r="E6866" s="20">
        <v>29</v>
      </c>
      <c r="F6866" s="20" t="s">
        <v>31501</v>
      </c>
      <c r="G6866" s="24"/>
      <c r="H6866" s="24"/>
      <c r="I6866" s="24" t="str">
        <f ca="1">IFERROR(__xludf.DUMMYFUNCTION("GOOGLETRANSLATE(F6866,""en"",""pt"")"),"Flutuador controladores de nível de líquidos")</f>
        <v>Flutuador controladores de nível de líquidos</v>
      </c>
      <c r="J6866">
        <f>VLOOKUP(A6866,Pr_Base_LNEC!$A$4:$J$6971,6,FALSE)</f>
        <v>0</v>
      </c>
      <c r="K6866">
        <f>VLOOKUP(A6866,Pr_Base_LNEC!$A$4:$J$6971,7,FALSE)</f>
        <v>0</v>
      </c>
    </row>
    <row r="6867" spans="1:11" ht="14.5">
      <c r="A6867" s="20" t="s">
        <v>31502</v>
      </c>
      <c r="B6867" s="20">
        <v>75</v>
      </c>
      <c r="C6867" s="20">
        <v>50</v>
      </c>
      <c r="D6867" s="20">
        <v>46</v>
      </c>
      <c r="E6867" s="20">
        <v>30</v>
      </c>
      <c r="F6867" s="20" t="s">
        <v>31503</v>
      </c>
      <c r="G6867" s="20" t="s">
        <v>31504</v>
      </c>
      <c r="H6867" s="24"/>
      <c r="I6867" s="24" t="str">
        <f ca="1">IFERROR(__xludf.DUMMYFUNCTION("GOOGLETRANSLATE(F6867,""en"",""pt"")"),"bóia")</f>
        <v>bóia</v>
      </c>
      <c r="J6867">
        <f>VLOOKUP(A6867,Pr_Base_LNEC!$A$4:$J$6971,6,FALSE)</f>
        <v>0</v>
      </c>
      <c r="K6867">
        <f>VLOOKUP(A6867,Pr_Base_LNEC!$A$4:$J$6971,7,FALSE)</f>
        <v>0</v>
      </c>
    </row>
    <row r="6868" spans="1:11" ht="14.5">
      <c r="A6868" s="20" t="s">
        <v>31505</v>
      </c>
      <c r="B6868" s="20">
        <v>75</v>
      </c>
      <c r="C6868" s="20">
        <v>50</v>
      </c>
      <c r="D6868" s="20">
        <v>46</v>
      </c>
      <c r="E6868" s="20">
        <v>31</v>
      </c>
      <c r="F6868" s="20" t="s">
        <v>31506</v>
      </c>
      <c r="G6868" s="20" t="s">
        <v>31507</v>
      </c>
      <c r="H6868" s="24"/>
      <c r="I6868" s="24" t="str">
        <f ca="1">IFERROR(__xludf.DUMMYFUNCTION("GOOGLETRANSLATE(F6868,""en"",""pt"")"),"dispositivos de controlo da descarga")</f>
        <v>dispositivos de controlo da descarga</v>
      </c>
      <c r="J6868">
        <f>VLOOKUP(A6868,Pr_Base_LNEC!$A$4:$J$6971,6,FALSE)</f>
        <v>0</v>
      </c>
      <c r="K6868">
        <f>VLOOKUP(A6868,Pr_Base_LNEC!$A$4:$J$6971,7,FALSE)</f>
        <v>0</v>
      </c>
    </row>
    <row r="6869" spans="1:11" ht="14.5">
      <c r="A6869" s="20" t="s">
        <v>31508</v>
      </c>
      <c r="B6869" s="20">
        <v>75</v>
      </c>
      <c r="C6869" s="20">
        <v>50</v>
      </c>
      <c r="D6869" s="20">
        <v>46</v>
      </c>
      <c r="E6869" s="20">
        <v>42</v>
      </c>
      <c r="F6869" s="20" t="s">
        <v>31509</v>
      </c>
      <c r="G6869" s="20" t="s">
        <v>23149</v>
      </c>
      <c r="H6869" s="24"/>
      <c r="I6869" s="24" t="str">
        <f ca="1">IFERROR(__xludf.DUMMYFUNCTION("GOOGLETRANSLATE(F6869,""en"",""pt"")"),"controladores de lavar infravermelhos")</f>
        <v>controladores de lavar infravermelhos</v>
      </c>
      <c r="J6869">
        <f>VLOOKUP(A6869,Pr_Base_LNEC!$A$4:$J$6971,6,FALSE)</f>
        <v>0</v>
      </c>
      <c r="K6869">
        <f>VLOOKUP(A6869,Pr_Base_LNEC!$A$4:$J$6971,7,FALSE)</f>
        <v>0</v>
      </c>
    </row>
    <row r="6870" spans="1:11" ht="14.5">
      <c r="A6870" s="20" t="s">
        <v>31510</v>
      </c>
      <c r="B6870" s="20">
        <v>75</v>
      </c>
      <c r="C6870" s="20">
        <v>50</v>
      </c>
      <c r="D6870" s="20">
        <v>46</v>
      </c>
      <c r="E6870" s="20">
        <v>46</v>
      </c>
      <c r="F6870" s="20" t="s">
        <v>31511</v>
      </c>
      <c r="G6870" s="20" t="s">
        <v>31512</v>
      </c>
      <c r="H6870" s="24"/>
      <c r="I6870" s="24" t="str">
        <f ca="1">IFERROR(__xludf.DUMMYFUNCTION("GOOGLETRANSLATE(F6870,""en"",""pt"")"),"controles de nível e alarmes")</f>
        <v>controles de nível e alarmes</v>
      </c>
      <c r="J6870">
        <f>VLOOKUP(A6870,Pr_Base_LNEC!$A$4:$J$6971,6,FALSE)</f>
        <v>0</v>
      </c>
      <c r="K6870">
        <f>VLOOKUP(A6870,Pr_Base_LNEC!$A$4:$J$6971,7,FALSE)</f>
        <v>0</v>
      </c>
    </row>
    <row r="6871" spans="1:11" ht="14.5">
      <c r="A6871" s="20" t="s">
        <v>31513</v>
      </c>
      <c r="B6871" s="20">
        <v>75</v>
      </c>
      <c r="C6871" s="20">
        <v>50</v>
      </c>
      <c r="D6871" s="20">
        <v>46</v>
      </c>
      <c r="E6871" s="20">
        <v>68</v>
      </c>
      <c r="F6871" s="20" t="s">
        <v>31514</v>
      </c>
      <c r="G6871" s="24"/>
      <c r="H6871" s="24"/>
      <c r="I6871" s="24" t="str">
        <f ca="1">IFERROR(__xludf.DUMMYFUNCTION("GOOGLETRANSLATE(F6871,""en"",""pt"")"),"controladores de botão de descarga de pressão")</f>
        <v>controladores de botão de descarga de pressão</v>
      </c>
      <c r="J6871">
        <f>VLOOKUP(A6871,Pr_Base_LNEC!$A$4:$J$6971,6,FALSE)</f>
        <v>0</v>
      </c>
      <c r="K6871">
        <f>VLOOKUP(A6871,Pr_Base_LNEC!$A$4:$J$6971,7,FALSE)</f>
        <v>0</v>
      </c>
    </row>
    <row r="6872" spans="1:11" ht="14.5">
      <c r="A6872" s="20" t="s">
        <v>31515</v>
      </c>
      <c r="B6872" s="20">
        <v>75</v>
      </c>
      <c r="C6872" s="20">
        <v>50</v>
      </c>
      <c r="D6872" s="20">
        <v>47</v>
      </c>
      <c r="E6872" s="24"/>
      <c r="F6872" s="20" t="s">
        <v>31516</v>
      </c>
      <c r="G6872" s="24"/>
      <c r="H6872" s="24"/>
      <c r="I6872" s="24" t="str">
        <f ca="1">IFERROR(__xludf.DUMMYFUNCTION("GOOGLETRANSLATE(F6872,""en"",""pt"")"),"sensores de nível de líquidos")</f>
        <v>sensores de nível de líquidos</v>
      </c>
      <c r="J6872">
        <f>VLOOKUP(A6872,Pr_Base_LNEC!$A$4:$J$6971,6,FALSE)</f>
        <v>0</v>
      </c>
      <c r="K6872">
        <f>VLOOKUP(A6872,Pr_Base_LNEC!$A$4:$J$6971,7,FALSE)</f>
        <v>0</v>
      </c>
    </row>
    <row r="6873" spans="1:11" ht="14.5">
      <c r="A6873" s="20" t="s">
        <v>31517</v>
      </c>
      <c r="B6873" s="20">
        <v>75</v>
      </c>
      <c r="C6873" s="20">
        <v>50</v>
      </c>
      <c r="D6873" s="20">
        <v>47</v>
      </c>
      <c r="E6873" s="20">
        <v>8</v>
      </c>
      <c r="F6873" s="20" t="s">
        <v>31518</v>
      </c>
      <c r="G6873" s="20" t="s">
        <v>31519</v>
      </c>
      <c r="H6873" s="24"/>
      <c r="I6873" s="24" t="str">
        <f ca="1">IFERROR(__xludf.DUMMYFUNCTION("GOOGLETRANSLATE(F6873,""en"",""pt"")"),"sensores de nível de flutuação e interruptores")</f>
        <v>sensores de nível de flutuação e interruptores</v>
      </c>
      <c r="J6873">
        <f>VLOOKUP(A6873,Pr_Base_LNEC!$A$4:$J$6971,6,FALSE)</f>
        <v>0</v>
      </c>
      <c r="K6873">
        <f>VLOOKUP(A6873,Pr_Base_LNEC!$A$4:$J$6971,7,FALSE)</f>
        <v>0</v>
      </c>
    </row>
    <row r="6874" spans="1:11" ht="14.5">
      <c r="A6874" s="20" t="s">
        <v>31520</v>
      </c>
      <c r="B6874" s="20">
        <v>75</v>
      </c>
      <c r="C6874" s="20">
        <v>50</v>
      </c>
      <c r="D6874" s="20">
        <v>47</v>
      </c>
      <c r="E6874" s="20">
        <v>11</v>
      </c>
      <c r="F6874" s="20" t="s">
        <v>31521</v>
      </c>
      <c r="G6874" s="20" t="s">
        <v>31522</v>
      </c>
      <c r="H6874" s="24"/>
      <c r="I6874" s="24" t="str">
        <f ca="1">IFERROR(__xludf.DUMMYFUNCTION("GOOGLETRANSLATE(F6874,""en"",""pt"")"),"sensores de capacitância e indutância")</f>
        <v>sensores de capacitância e indutância</v>
      </c>
      <c r="J6874">
        <f>VLOOKUP(A6874,Pr_Base_LNEC!$A$4:$J$6971,6,FALSE)</f>
        <v>0</v>
      </c>
      <c r="K6874">
        <f>VLOOKUP(A6874,Pr_Base_LNEC!$A$4:$J$6971,7,FALSE)</f>
        <v>0</v>
      </c>
    </row>
    <row r="6875" spans="1:11" ht="14.5">
      <c r="A6875" s="20" t="s">
        <v>31523</v>
      </c>
      <c r="B6875" s="20">
        <v>75</v>
      </c>
      <c r="C6875" s="20">
        <v>50</v>
      </c>
      <c r="D6875" s="20">
        <v>47</v>
      </c>
      <c r="E6875" s="20">
        <v>34</v>
      </c>
      <c r="F6875" s="20" t="s">
        <v>31524</v>
      </c>
      <c r="G6875" s="20" t="s">
        <v>31525</v>
      </c>
      <c r="H6875" s="24"/>
      <c r="I6875" s="24" t="str">
        <f ca="1">IFERROR(__xludf.DUMMYFUNCTION("GOOGLETRANSLATE(F6875,""en"",""pt"")"),"sensores de células de carga e gravimétricos")</f>
        <v>sensores de células de carga e gravimétricos</v>
      </c>
      <c r="J6875">
        <f>VLOOKUP(A6875,Pr_Base_LNEC!$A$4:$J$6971,6,FALSE)</f>
        <v>0</v>
      </c>
      <c r="K6875">
        <f>VLOOKUP(A6875,Pr_Base_LNEC!$A$4:$J$6971,7,FALSE)</f>
        <v>0</v>
      </c>
    </row>
    <row r="6876" spans="1:11" ht="14.5">
      <c r="A6876" s="20" t="s">
        <v>31526</v>
      </c>
      <c r="B6876" s="20">
        <v>75</v>
      </c>
      <c r="C6876" s="20">
        <v>50</v>
      </c>
      <c r="D6876" s="20">
        <v>47</v>
      </c>
      <c r="E6876" s="20">
        <v>35</v>
      </c>
      <c r="F6876" s="20" t="s">
        <v>31527</v>
      </c>
      <c r="G6876" s="20" t="s">
        <v>31528</v>
      </c>
      <c r="H6876" s="24"/>
      <c r="I6876" s="24" t="str">
        <f ca="1">IFERROR(__xludf.DUMMYFUNCTION("GOOGLETRANSLATE(F6876,""en"",""pt"")"),"sensores de radar de ondas guiadas")</f>
        <v>sensores de radar de ondas guiadas</v>
      </c>
      <c r="J6876">
        <f>VLOOKUP(A6876,Pr_Base_LNEC!$A$4:$J$6971,6,FALSE)</f>
        <v>0</v>
      </c>
      <c r="K6876">
        <f>VLOOKUP(A6876,Pr_Base_LNEC!$A$4:$J$6971,7,FALSE)</f>
        <v>0</v>
      </c>
    </row>
    <row r="6877" spans="1:11" ht="14.5">
      <c r="A6877" s="20" t="s">
        <v>31529</v>
      </c>
      <c r="B6877" s="20">
        <v>75</v>
      </c>
      <c r="C6877" s="20">
        <v>50</v>
      </c>
      <c r="D6877" s="20">
        <v>47</v>
      </c>
      <c r="E6877" s="20">
        <v>39</v>
      </c>
      <c r="F6877" s="20" t="s">
        <v>31530</v>
      </c>
      <c r="G6877" s="20" t="s">
        <v>31531</v>
      </c>
      <c r="H6877" s="24"/>
      <c r="I6877" s="24" t="str">
        <f ca="1">IFERROR(__xludf.DUMMYFUNCTION("GOOGLETRANSLATE(F6877,""en"",""pt"")"),"sensores hidrostáticos")</f>
        <v>sensores hidrostáticos</v>
      </c>
      <c r="J6877">
        <f>VLOOKUP(A6877,Pr_Base_LNEC!$A$4:$J$6971,6,FALSE)</f>
        <v>0</v>
      </c>
      <c r="K6877">
        <f>VLOOKUP(A6877,Pr_Base_LNEC!$A$4:$J$6971,7,FALSE)</f>
        <v>0</v>
      </c>
    </row>
    <row r="6878" spans="1:11" ht="14.5">
      <c r="A6878" s="20" t="s">
        <v>31532</v>
      </c>
      <c r="B6878" s="20">
        <v>75</v>
      </c>
      <c r="C6878" s="20">
        <v>50</v>
      </c>
      <c r="D6878" s="20">
        <v>47</v>
      </c>
      <c r="E6878" s="20">
        <v>50</v>
      </c>
      <c r="F6878" s="20" t="s">
        <v>31533</v>
      </c>
      <c r="G6878" s="20" t="s">
        <v>31534</v>
      </c>
      <c r="H6878" s="24"/>
      <c r="I6878" s="24" t="str">
        <f ca="1">IFERROR(__xludf.DUMMYFUNCTION("GOOGLETRANSLATE(F6878,""en"",""pt"")"),"interruptores de indicador de nível magnético")</f>
        <v>interruptores de indicador de nível magnético</v>
      </c>
      <c r="J6878">
        <f>VLOOKUP(A6878,Pr_Base_LNEC!$A$4:$J$6971,6,FALSE)</f>
        <v>0</v>
      </c>
      <c r="K6878">
        <f>VLOOKUP(A6878,Pr_Base_LNEC!$A$4:$J$6971,7,FALSE)</f>
        <v>0</v>
      </c>
    </row>
    <row r="6879" spans="1:11" ht="14.5">
      <c r="A6879" s="20" t="s">
        <v>31535</v>
      </c>
      <c r="B6879" s="20">
        <v>75</v>
      </c>
      <c r="C6879" s="20">
        <v>50</v>
      </c>
      <c r="D6879" s="20">
        <v>47</v>
      </c>
      <c r="E6879" s="20">
        <v>51</v>
      </c>
      <c r="F6879" s="20" t="s">
        <v>31536</v>
      </c>
      <c r="G6879" s="20" t="s">
        <v>31537</v>
      </c>
      <c r="H6879" s="24"/>
      <c r="I6879" s="24" t="str">
        <f ca="1">IFERROR(__xludf.DUMMYFUNCTION("GOOGLETRANSLATE(F6879,""en"",""pt"")"),"transmissores de nível Magnetorestrictive")</f>
        <v>transmissores de nível Magnetorestrictive</v>
      </c>
      <c r="J6879">
        <f>VLOOKUP(A6879,Pr_Base_LNEC!$A$4:$J$6971,6,FALSE)</f>
        <v>0</v>
      </c>
      <c r="K6879">
        <f>VLOOKUP(A6879,Pr_Base_LNEC!$A$4:$J$6971,7,FALSE)</f>
        <v>0</v>
      </c>
    </row>
    <row r="6880" spans="1:11" ht="14.5">
      <c r="A6880" s="20" t="s">
        <v>31538</v>
      </c>
      <c r="B6880" s="20">
        <v>75</v>
      </c>
      <c r="C6880" s="20">
        <v>50</v>
      </c>
      <c r="D6880" s="20">
        <v>47</v>
      </c>
      <c r="E6880" s="20">
        <v>53</v>
      </c>
      <c r="F6880" s="20" t="s">
        <v>31539</v>
      </c>
      <c r="G6880" s="24"/>
      <c r="H6880" s="24"/>
      <c r="I6880" s="24" t="str">
        <f ca="1">IFERROR(__xludf.DUMMYFUNCTION("GOOGLETRANSLATE(F6880,""en"",""pt"")"),"gravadores de nível máximo de água")</f>
        <v>gravadores de nível máximo de água</v>
      </c>
      <c r="J6880">
        <f>VLOOKUP(A6880,Pr_Base_LNEC!$A$4:$J$6971,6,FALSE)</f>
        <v>0</v>
      </c>
      <c r="K6880">
        <f>VLOOKUP(A6880,Pr_Base_LNEC!$A$4:$J$6971,7,FALSE)</f>
        <v>0</v>
      </c>
    </row>
    <row r="6881" spans="1:11" ht="14.5">
      <c r="A6881" s="20" t="s">
        <v>31540</v>
      </c>
      <c r="B6881" s="20">
        <v>75</v>
      </c>
      <c r="C6881" s="20">
        <v>50</v>
      </c>
      <c r="D6881" s="20">
        <v>47</v>
      </c>
      <c r="E6881" s="20">
        <v>70</v>
      </c>
      <c r="F6881" s="20" t="s">
        <v>31541</v>
      </c>
      <c r="G6881" s="20" t="s">
        <v>31542</v>
      </c>
      <c r="H6881" s="24"/>
      <c r="I6881" s="24" t="str">
        <f ca="1">IFERROR(__xludf.DUMMYFUNCTION("GOOGLETRANSLATE(F6881,""en"",""pt"")"),"Os sensores de radar")</f>
        <v>Os sensores de radar</v>
      </c>
      <c r="J6881">
        <f>VLOOKUP(A6881,Pr_Base_LNEC!$A$4:$J$6971,6,FALSE)</f>
        <v>0</v>
      </c>
      <c r="K6881">
        <f>VLOOKUP(A6881,Pr_Base_LNEC!$A$4:$J$6971,7,FALSE)</f>
        <v>0</v>
      </c>
    </row>
    <row r="6882" spans="1:11" ht="14.5">
      <c r="A6882" s="20" t="s">
        <v>31543</v>
      </c>
      <c r="B6882" s="20">
        <v>75</v>
      </c>
      <c r="C6882" s="20">
        <v>50</v>
      </c>
      <c r="D6882" s="20">
        <v>47</v>
      </c>
      <c r="E6882" s="20">
        <v>73</v>
      </c>
      <c r="F6882" s="20" t="s">
        <v>31544</v>
      </c>
      <c r="G6882" s="20" t="s">
        <v>31545</v>
      </c>
      <c r="H6882" s="24"/>
      <c r="I6882" s="24" t="str">
        <f ca="1">IFERROR(__xludf.DUMMYFUNCTION("GOOGLETRANSLATE(F6882,""en"",""pt"")"),"sensores de pás rotativas")</f>
        <v>sensores de pás rotativas</v>
      </c>
      <c r="J6882">
        <f>VLOOKUP(A6882,Pr_Base_LNEC!$A$4:$J$6971,6,FALSE)</f>
        <v>0</v>
      </c>
      <c r="K6882">
        <f>VLOOKUP(A6882,Pr_Base_LNEC!$A$4:$J$6971,7,FALSE)</f>
        <v>0</v>
      </c>
    </row>
    <row r="6883" spans="1:11" ht="14.5">
      <c r="A6883" s="20" t="s">
        <v>31546</v>
      </c>
      <c r="B6883" s="20">
        <v>75</v>
      </c>
      <c r="C6883" s="20">
        <v>50</v>
      </c>
      <c r="D6883" s="20">
        <v>47</v>
      </c>
      <c r="E6883" s="20">
        <v>88</v>
      </c>
      <c r="F6883" s="20" t="s">
        <v>31547</v>
      </c>
      <c r="G6883" s="20" t="s">
        <v>31548</v>
      </c>
      <c r="H6883" s="24"/>
      <c r="I6883" s="24" t="str">
        <f ca="1">IFERROR(__xludf.DUMMYFUNCTION("GOOGLETRANSLATE(F6883,""en"",""pt"")"),"interruptores de nível de dispersão térmica")</f>
        <v>interruptores de nível de dispersão térmica</v>
      </c>
      <c r="J6883">
        <f>VLOOKUP(A6883,Pr_Base_LNEC!$A$4:$J$6971,6,FALSE)</f>
        <v>0</v>
      </c>
      <c r="K6883">
        <f>VLOOKUP(A6883,Pr_Base_LNEC!$A$4:$J$6971,7,FALSE)</f>
        <v>0</v>
      </c>
    </row>
    <row r="6884" spans="1:11" ht="14.5">
      <c r="A6884" s="20" t="s">
        <v>31549</v>
      </c>
      <c r="B6884" s="20">
        <v>75</v>
      </c>
      <c r="C6884" s="20">
        <v>50</v>
      </c>
      <c r="D6884" s="20">
        <v>47</v>
      </c>
      <c r="E6884" s="20">
        <v>92</v>
      </c>
      <c r="F6884" s="20" t="s">
        <v>31550</v>
      </c>
      <c r="G6884" s="20" t="s">
        <v>31551</v>
      </c>
      <c r="H6884" s="24"/>
      <c r="I6884" s="24" t="str">
        <f ca="1">IFERROR(__xludf.DUMMYFUNCTION("GOOGLETRANSLATE(F6884,""en"",""pt"")"),"sensores ultra-sónicos")</f>
        <v>sensores ultra-sónicos</v>
      </c>
      <c r="J6884">
        <f>VLOOKUP(A6884,Pr_Base_LNEC!$A$4:$J$6971,6,FALSE)</f>
        <v>0</v>
      </c>
      <c r="K6884">
        <f>VLOOKUP(A6884,Pr_Base_LNEC!$A$4:$J$6971,7,FALSE)</f>
        <v>0</v>
      </c>
    </row>
    <row r="6885" spans="1:11" ht="14.5">
      <c r="A6885" s="20" t="s">
        <v>31552</v>
      </c>
      <c r="B6885" s="20">
        <v>75</v>
      </c>
      <c r="C6885" s="20">
        <v>50</v>
      </c>
      <c r="D6885" s="20">
        <v>47</v>
      </c>
      <c r="E6885" s="20">
        <v>94</v>
      </c>
      <c r="F6885" s="20" t="s">
        <v>31553</v>
      </c>
      <c r="G6885" s="20" t="s">
        <v>31554</v>
      </c>
      <c r="H6885" s="24"/>
      <c r="I6885" s="24" t="str">
        <f ca="1">IFERROR(__xludf.DUMMYFUNCTION("GOOGLETRANSLATE(F6885,""en"",""pt"")"),"vibratório sensores")</f>
        <v>vibratório sensores</v>
      </c>
      <c r="J6885">
        <f>VLOOKUP(A6885,Pr_Base_LNEC!$A$4:$J$6971,6,FALSE)</f>
        <v>0</v>
      </c>
      <c r="K6885">
        <f>VLOOKUP(A6885,Pr_Base_LNEC!$A$4:$J$6971,7,FALSE)</f>
        <v>0</v>
      </c>
    </row>
    <row r="6886" spans="1:11" ht="14.5">
      <c r="A6886" s="20" t="s">
        <v>31555</v>
      </c>
      <c r="B6886" s="20">
        <v>75</v>
      </c>
      <c r="C6886" s="20">
        <v>50</v>
      </c>
      <c r="D6886" s="20">
        <v>47</v>
      </c>
      <c r="E6886" s="20">
        <v>96</v>
      </c>
      <c r="F6886" s="20" t="s">
        <v>31556</v>
      </c>
      <c r="G6886" s="24"/>
      <c r="H6886" s="24"/>
      <c r="I6886" s="24" t="str">
        <f ca="1">IFERROR(__xludf.DUMMYFUNCTION("GOOGLETRANSLATE(F6886,""en"",""pt"")"),"placas de indicador de nível de água")</f>
        <v>placas de indicador de nível de água</v>
      </c>
      <c r="J6886">
        <f>VLOOKUP(A6886,Pr_Base_LNEC!$A$4:$J$6971,6,FALSE)</f>
        <v>0</v>
      </c>
      <c r="K6886">
        <f>VLOOKUP(A6886,Pr_Base_LNEC!$A$4:$J$6971,7,FALSE)</f>
        <v>0</v>
      </c>
    </row>
    <row r="6887" spans="1:11" ht="14.5">
      <c r="A6887" s="20" t="s">
        <v>31557</v>
      </c>
      <c r="B6887" s="20">
        <v>75</v>
      </c>
      <c r="C6887" s="20">
        <v>50</v>
      </c>
      <c r="D6887" s="20">
        <v>47</v>
      </c>
      <c r="E6887" s="20">
        <v>97</v>
      </c>
      <c r="F6887" s="20" t="s">
        <v>31558</v>
      </c>
      <c r="G6887" s="24"/>
      <c r="H6887" s="24"/>
      <c r="I6887" s="24" t="str">
        <f ca="1">IFERROR(__xludf.DUMMYFUNCTION("GOOGLETRANSLATE(F6887,""en"",""pt"")"),"sensores de nível de água")</f>
        <v>sensores de nível de água</v>
      </c>
      <c r="J6887">
        <f>VLOOKUP(A6887,Pr_Base_LNEC!$A$4:$J$6971,6,FALSE)</f>
        <v>0</v>
      </c>
      <c r="K6887">
        <f>VLOOKUP(A6887,Pr_Base_LNEC!$A$4:$J$6971,7,FALSE)</f>
        <v>0</v>
      </c>
    </row>
    <row r="6888" spans="1:11" ht="14.5">
      <c r="A6888" s="20" t="s">
        <v>31559</v>
      </c>
      <c r="B6888" s="20">
        <v>75</v>
      </c>
      <c r="C6888" s="20">
        <v>50</v>
      </c>
      <c r="D6888" s="20">
        <v>48</v>
      </c>
      <c r="E6888" s="24"/>
      <c r="F6888" s="20" t="s">
        <v>31560</v>
      </c>
      <c r="G6888" s="24"/>
      <c r="H6888" s="24"/>
      <c r="I6888" s="24" t="str">
        <f ca="1">IFERROR(__xludf.DUMMYFUNCTION("GOOGLETRANSLATE(F6888,""en"",""pt"")"),"Dispositivos de detecção de líquidos")</f>
        <v>Dispositivos de detecção de líquidos</v>
      </c>
      <c r="J6888">
        <f>VLOOKUP(A6888,Pr_Base_LNEC!$A$4:$J$6971,6,FALSE)</f>
        <v>0</v>
      </c>
      <c r="K6888">
        <f>VLOOKUP(A6888,Pr_Base_LNEC!$A$4:$J$6971,7,FALSE)</f>
        <v>0</v>
      </c>
    </row>
    <row r="6889" spans="1:11" ht="14.5">
      <c r="A6889" s="20" t="s">
        <v>31561</v>
      </c>
      <c r="B6889" s="20">
        <v>75</v>
      </c>
      <c r="C6889" s="20">
        <v>50</v>
      </c>
      <c r="D6889" s="20">
        <v>48</v>
      </c>
      <c r="E6889" s="20">
        <v>15</v>
      </c>
      <c r="F6889" s="20" t="s">
        <v>31562</v>
      </c>
      <c r="G6889" s="20" t="s">
        <v>31563</v>
      </c>
      <c r="H6889" s="24"/>
      <c r="I6889" s="24" t="str">
        <f ca="1">IFERROR(__xludf.DUMMYFUNCTION("GOOGLETRANSLATE(F6889,""en"",""pt"")"),"cabos químicos sensor")</f>
        <v>cabos químicos sensor</v>
      </c>
      <c r="J6889">
        <f>VLOOKUP(A6889,Pr_Base_LNEC!$A$4:$J$6971,6,FALSE)</f>
        <v>0</v>
      </c>
      <c r="K6889">
        <f>VLOOKUP(A6889,Pr_Base_LNEC!$A$4:$J$6971,7,FALSE)</f>
        <v>0</v>
      </c>
    </row>
    <row r="6890" spans="1:11" ht="14.5">
      <c r="A6890" s="20" t="s">
        <v>31564</v>
      </c>
      <c r="B6890" s="20">
        <v>75</v>
      </c>
      <c r="C6890" s="20">
        <v>50</v>
      </c>
      <c r="D6890" s="20">
        <v>48</v>
      </c>
      <c r="E6890" s="20">
        <v>31</v>
      </c>
      <c r="F6890" s="20" t="s">
        <v>31565</v>
      </c>
      <c r="G6890" s="20" t="s">
        <v>31563</v>
      </c>
      <c r="H6890" s="24"/>
      <c r="I6890" s="24" t="str">
        <f ca="1">IFERROR(__xludf.DUMMYFUNCTION("GOOGLETRANSLATE(F6890,""en"",""pt"")"),"cabos combustível sensor")</f>
        <v>cabos combustível sensor</v>
      </c>
      <c r="J6890">
        <f>VLOOKUP(A6890,Pr_Base_LNEC!$A$4:$J$6971,6,FALSE)</f>
        <v>0</v>
      </c>
      <c r="K6890">
        <f>VLOOKUP(A6890,Pr_Base_LNEC!$A$4:$J$6971,7,FALSE)</f>
        <v>0</v>
      </c>
    </row>
    <row r="6891" spans="1:11" ht="14.5">
      <c r="A6891" s="20" t="s">
        <v>31566</v>
      </c>
      <c r="B6891" s="20">
        <v>75</v>
      </c>
      <c r="C6891" s="20">
        <v>50</v>
      </c>
      <c r="D6891" s="20">
        <v>48</v>
      </c>
      <c r="E6891" s="20">
        <v>34</v>
      </c>
      <c r="F6891" s="20" t="s">
        <v>31567</v>
      </c>
      <c r="G6891" s="20" t="s">
        <v>31568</v>
      </c>
      <c r="H6891" s="24"/>
      <c r="I6891" s="24" t="str">
        <f ca="1">IFERROR(__xludf.DUMMYFUNCTION("GOOGLETRANSLATE(F6891,""en"",""pt"")"),"monitores de água subterrânea")</f>
        <v>monitores de água subterrânea</v>
      </c>
      <c r="J6891">
        <f>VLOOKUP(A6891,Pr_Base_LNEC!$A$4:$J$6971,6,FALSE)</f>
        <v>0</v>
      </c>
      <c r="K6891">
        <f>VLOOKUP(A6891,Pr_Base_LNEC!$A$4:$J$6971,7,FALSE)</f>
        <v>0</v>
      </c>
    </row>
    <row r="6892" spans="1:11" ht="14.5">
      <c r="A6892" s="20" t="s">
        <v>31569</v>
      </c>
      <c r="B6892" s="20">
        <v>75</v>
      </c>
      <c r="C6892" s="20">
        <v>50</v>
      </c>
      <c r="D6892" s="20">
        <v>48</v>
      </c>
      <c r="E6892" s="20">
        <v>47</v>
      </c>
      <c r="F6892" s="20" t="s">
        <v>31570</v>
      </c>
      <c r="G6892" s="20" t="s">
        <v>31571</v>
      </c>
      <c r="H6892" s="24"/>
      <c r="I6892" s="24" t="str">
        <f ca="1">IFERROR(__xludf.DUMMYFUNCTION("GOOGLETRANSLATE(F6892,""en"",""pt"")"),"fitas de vazamento de detecção")</f>
        <v>fitas de vazamento de detecção</v>
      </c>
      <c r="J6892">
        <f>VLOOKUP(A6892,Pr_Base_LNEC!$A$4:$J$6971,6,FALSE)</f>
        <v>0</v>
      </c>
      <c r="K6892">
        <f>VLOOKUP(A6892,Pr_Base_LNEC!$A$4:$J$6971,7,FALSE)</f>
        <v>0</v>
      </c>
    </row>
    <row r="6893" spans="1:11" ht="14.5">
      <c r="A6893" s="20" t="s">
        <v>31572</v>
      </c>
      <c r="B6893" s="20">
        <v>75</v>
      </c>
      <c r="C6893" s="20">
        <v>50</v>
      </c>
      <c r="D6893" s="20">
        <v>48</v>
      </c>
      <c r="E6893" s="20">
        <v>60</v>
      </c>
      <c r="F6893" s="20" t="s">
        <v>31573</v>
      </c>
      <c r="G6893" s="20" t="s">
        <v>31574</v>
      </c>
      <c r="H6893" s="24"/>
      <c r="I6893" s="24" t="str">
        <f ca="1">IFERROR(__xludf.DUMMYFUNCTION("GOOGLETRANSLATE(F6893,""en"",""pt"")"),"sensores de vazamento almofada")</f>
        <v>sensores de vazamento almofada</v>
      </c>
      <c r="J6893">
        <f>VLOOKUP(A6893,Pr_Base_LNEC!$A$4:$J$6971,6,FALSE)</f>
        <v>0</v>
      </c>
      <c r="K6893">
        <f>VLOOKUP(A6893,Pr_Base_LNEC!$A$4:$J$6971,7,FALSE)</f>
        <v>0</v>
      </c>
    </row>
    <row r="6894" spans="1:11" ht="14.5">
      <c r="A6894" s="20" t="s">
        <v>31575</v>
      </c>
      <c r="B6894" s="20">
        <v>75</v>
      </c>
      <c r="C6894" s="20">
        <v>50</v>
      </c>
      <c r="D6894" s="20">
        <v>48</v>
      </c>
      <c r="E6894" s="20">
        <v>67</v>
      </c>
      <c r="F6894" s="20" t="s">
        <v>31576</v>
      </c>
      <c r="G6894" s="20" t="s">
        <v>31577</v>
      </c>
      <c r="H6894" s="24"/>
      <c r="I6894" s="24" t="str">
        <f ca="1">IFERROR(__xludf.DUMMYFUNCTION("GOOGLETRANSLATE(F6894,""en"",""pt"")"),"sensores de vazamento sonda")</f>
        <v>sensores de vazamento sonda</v>
      </c>
      <c r="J6894">
        <f>VLOOKUP(A6894,Pr_Base_LNEC!$A$4:$J$6971,6,FALSE)</f>
        <v>0</v>
      </c>
      <c r="K6894">
        <f>VLOOKUP(A6894,Pr_Base_LNEC!$A$4:$J$6971,7,FALSE)</f>
        <v>0</v>
      </c>
    </row>
    <row r="6895" spans="1:11" ht="14.5">
      <c r="A6895" s="20" t="s">
        <v>31578</v>
      </c>
      <c r="B6895" s="20">
        <v>75</v>
      </c>
      <c r="C6895" s="20">
        <v>50</v>
      </c>
      <c r="D6895" s="20">
        <v>48</v>
      </c>
      <c r="E6895" s="20">
        <v>71</v>
      </c>
      <c r="F6895" s="20" t="s">
        <v>31579</v>
      </c>
      <c r="G6895" s="20" t="s">
        <v>31580</v>
      </c>
      <c r="H6895" s="24"/>
      <c r="I6895" s="24" t="str">
        <f ca="1">IFERROR(__xludf.DUMMYFUNCTION("GOOGLETRANSLATE(F6895,""en"",""pt"")"),"equipamento de amostragem remoto")</f>
        <v>equipamento de amostragem remoto</v>
      </c>
      <c r="J6895">
        <f>VLOOKUP(A6895,Pr_Base_LNEC!$A$4:$J$6971,6,FALSE)</f>
        <v>0</v>
      </c>
      <c r="K6895">
        <f>VLOOKUP(A6895,Pr_Base_LNEC!$A$4:$J$6971,7,FALSE)</f>
        <v>0</v>
      </c>
    </row>
    <row r="6896" spans="1:11" ht="14.5">
      <c r="A6896" s="20" t="s">
        <v>31581</v>
      </c>
      <c r="B6896" s="20">
        <v>75</v>
      </c>
      <c r="C6896" s="20">
        <v>50</v>
      </c>
      <c r="D6896" s="20">
        <v>48</v>
      </c>
      <c r="E6896" s="20">
        <v>90</v>
      </c>
      <c r="F6896" s="20" t="s">
        <v>31582</v>
      </c>
      <c r="G6896" s="20" t="s">
        <v>31583</v>
      </c>
      <c r="H6896" s="24"/>
      <c r="I6896" s="24" t="str">
        <f ca="1">IFERROR(__xludf.DUMMYFUNCTION("GOOGLETRANSLATE(F6896,""en"",""pt"")"),"monitores transportáveis")</f>
        <v>monitores transportáveis</v>
      </c>
      <c r="J6896">
        <f>VLOOKUP(A6896,Pr_Base_LNEC!$A$4:$J$6971,6,FALSE)</f>
        <v>0</v>
      </c>
      <c r="K6896">
        <f>VLOOKUP(A6896,Pr_Base_LNEC!$A$4:$J$6971,7,FALSE)</f>
        <v>0</v>
      </c>
    </row>
    <row r="6897" spans="1:11" ht="14.5">
      <c r="A6897" s="20" t="s">
        <v>31584</v>
      </c>
      <c r="B6897" s="20">
        <v>75</v>
      </c>
      <c r="C6897" s="20">
        <v>50</v>
      </c>
      <c r="D6897" s="20">
        <v>48</v>
      </c>
      <c r="E6897" s="20">
        <v>96</v>
      </c>
      <c r="F6897" s="20" t="s">
        <v>31585</v>
      </c>
      <c r="G6897" s="20" t="s">
        <v>31563</v>
      </c>
      <c r="H6897" s="24"/>
      <c r="I6897" s="24" t="str">
        <f ca="1">IFERROR(__xludf.DUMMYFUNCTION("GOOGLETRANSLATE(F6897,""en"",""pt"")"),"cabos água detecção")</f>
        <v>cabos água detecção</v>
      </c>
      <c r="J6897">
        <f>VLOOKUP(A6897,Pr_Base_LNEC!$A$4:$J$6971,6,FALSE)</f>
        <v>0</v>
      </c>
      <c r="K6897">
        <f>VLOOKUP(A6897,Pr_Base_LNEC!$A$4:$J$6971,7,FALSE)</f>
        <v>0</v>
      </c>
    </row>
    <row r="6898" spans="1:11" ht="14.5">
      <c r="A6898" s="20" t="s">
        <v>31586</v>
      </c>
      <c r="B6898" s="20">
        <v>75</v>
      </c>
      <c r="C6898" s="20">
        <v>50</v>
      </c>
      <c r="D6898" s="20">
        <v>50</v>
      </c>
      <c r="E6898" s="24"/>
      <c r="F6898" s="20" t="s">
        <v>31587</v>
      </c>
      <c r="G6898" s="24"/>
      <c r="H6898" s="24"/>
      <c r="I6898" s="24" t="str">
        <f ca="1">IFERROR(__xludf.DUMMYFUNCTION("GOOGLETRANSLATE(F6898,""en"",""pt"")"),"Medição e monitoramento relés")</f>
        <v>Medição e monitoramento relés</v>
      </c>
      <c r="J6898">
        <f>VLOOKUP(A6898,Pr_Base_LNEC!$A$4:$J$6971,6,FALSE)</f>
        <v>0</v>
      </c>
      <c r="K6898">
        <f>VLOOKUP(A6898,Pr_Base_LNEC!$A$4:$J$6971,7,FALSE)</f>
        <v>0</v>
      </c>
    </row>
    <row r="6899" spans="1:11" ht="14.5">
      <c r="A6899" s="20" t="s">
        <v>31588</v>
      </c>
      <c r="B6899" s="20">
        <v>75</v>
      </c>
      <c r="C6899" s="20">
        <v>50</v>
      </c>
      <c r="D6899" s="20">
        <v>50</v>
      </c>
      <c r="E6899" s="20">
        <v>63</v>
      </c>
      <c r="F6899" s="20" t="s">
        <v>31589</v>
      </c>
      <c r="G6899" s="24"/>
      <c r="H6899" s="24"/>
      <c r="I6899" s="24" t="str">
        <f ca="1">IFERROR(__xludf.DUMMYFUNCTION("GOOGLETRANSLATE(F6899,""en"",""pt"")"),"Aparelhos de monitoramento fase")</f>
        <v>Aparelhos de monitoramento fase</v>
      </c>
      <c r="J6899">
        <f>VLOOKUP(A6899,Pr_Base_LNEC!$A$4:$J$6971,6,FALSE)</f>
        <v>0</v>
      </c>
      <c r="K6899">
        <f>VLOOKUP(A6899,Pr_Base_LNEC!$A$4:$J$6971,7,FALSE)</f>
        <v>0</v>
      </c>
    </row>
    <row r="6900" spans="1:11" ht="14.5">
      <c r="A6900" s="20" t="s">
        <v>31590</v>
      </c>
      <c r="B6900" s="20">
        <v>75</v>
      </c>
      <c r="C6900" s="20">
        <v>50</v>
      </c>
      <c r="D6900" s="20">
        <v>51</v>
      </c>
      <c r="E6900" s="24"/>
      <c r="F6900" s="20" t="s">
        <v>31591</v>
      </c>
      <c r="G6900" s="24"/>
      <c r="H6900" s="24"/>
      <c r="I6900" s="24" t="str">
        <f ca="1">IFERROR(__xludf.DUMMYFUNCTION("GOOGLETRANSLATE(F6900,""en"",""pt"")"),"controles de gases medicinais")</f>
        <v>controles de gases medicinais</v>
      </c>
      <c r="J6900">
        <f>VLOOKUP(A6900,Pr_Base_LNEC!$A$4:$J$6971,6,FALSE)</f>
        <v>0</v>
      </c>
      <c r="K6900">
        <f>VLOOKUP(A6900,Pr_Base_LNEC!$A$4:$J$6971,7,FALSE)</f>
        <v>0</v>
      </c>
    </row>
    <row r="6901" spans="1:11" ht="14.5">
      <c r="A6901" s="20" t="s">
        <v>31592</v>
      </c>
      <c r="B6901" s="20">
        <v>75</v>
      </c>
      <c r="C6901" s="20">
        <v>50</v>
      </c>
      <c r="D6901" s="20">
        <v>51</v>
      </c>
      <c r="E6901" s="20">
        <v>52</v>
      </c>
      <c r="F6901" s="20" t="s">
        <v>31593</v>
      </c>
      <c r="G6901" s="20" t="s">
        <v>31594</v>
      </c>
      <c r="H6901" s="24"/>
      <c r="I6901" s="24" t="str">
        <f ca="1">IFERROR(__xludf.DUMMYFUNCTION("GOOGLETRANSLATE(F6901,""en"",""pt"")"),"painéis de alarme da área de gases medicinais")</f>
        <v>painéis de alarme da área de gases medicinais</v>
      </c>
      <c r="J6901">
        <f>VLOOKUP(A6901,Pr_Base_LNEC!$A$4:$J$6971,6,FALSE)</f>
        <v>0</v>
      </c>
      <c r="K6901">
        <f>VLOOKUP(A6901,Pr_Base_LNEC!$A$4:$J$6971,7,FALSE)</f>
        <v>0</v>
      </c>
    </row>
    <row r="6902" spans="1:11" ht="14.5">
      <c r="A6902" s="20" t="s">
        <v>31595</v>
      </c>
      <c r="B6902" s="20">
        <v>75</v>
      </c>
      <c r="C6902" s="20">
        <v>50</v>
      </c>
      <c r="D6902" s="20">
        <v>51</v>
      </c>
      <c r="E6902" s="20">
        <v>54</v>
      </c>
      <c r="F6902" s="20" t="s">
        <v>31596</v>
      </c>
      <c r="G6902" s="20" t="s">
        <v>31597</v>
      </c>
      <c r="H6902" s="24"/>
      <c r="I6902" s="24" t="str">
        <f ca="1">IFERROR(__xludf.DUMMYFUNCTION("GOOGLETRANSLATE(F6902,""en"",""pt"")"),"gases medicinais alarmes centrais")</f>
        <v>gases medicinais alarmes centrais</v>
      </c>
      <c r="J6902">
        <f>VLOOKUP(A6902,Pr_Base_LNEC!$A$4:$J$6971,6,FALSE)</f>
        <v>0</v>
      </c>
      <c r="K6902">
        <f>VLOOKUP(A6902,Pr_Base_LNEC!$A$4:$J$6971,7,FALSE)</f>
        <v>0</v>
      </c>
    </row>
    <row r="6903" spans="1:11" ht="14.5">
      <c r="A6903" s="20" t="s">
        <v>31598</v>
      </c>
      <c r="B6903" s="20">
        <v>75</v>
      </c>
      <c r="C6903" s="20">
        <v>50</v>
      </c>
      <c r="D6903" s="20">
        <v>51</v>
      </c>
      <c r="E6903" s="20">
        <v>71</v>
      </c>
      <c r="F6903" s="20" t="s">
        <v>31599</v>
      </c>
      <c r="G6903" s="20" t="s">
        <v>31600</v>
      </c>
      <c r="H6903" s="24"/>
      <c r="I6903" s="24" t="str">
        <f ca="1">IFERROR(__xludf.DUMMYFUNCTION("GOOGLETRANSLATE(F6903,""en"",""pt"")"),"iniciar remoto painéis de comutação de gás medicinal")</f>
        <v>iniciar remoto painéis de comutação de gás medicinal</v>
      </c>
      <c r="J6903">
        <f>VLOOKUP(A6903,Pr_Base_LNEC!$A$4:$J$6971,6,FALSE)</f>
        <v>0</v>
      </c>
      <c r="K6903">
        <f>VLOOKUP(A6903,Pr_Base_LNEC!$A$4:$J$6971,7,FALSE)</f>
        <v>0</v>
      </c>
    </row>
    <row r="6904" spans="1:11" ht="14.5">
      <c r="A6904" s="20" t="s">
        <v>31601</v>
      </c>
      <c r="B6904" s="20">
        <v>75</v>
      </c>
      <c r="C6904" s="20">
        <v>50</v>
      </c>
      <c r="D6904" s="20">
        <v>51</v>
      </c>
      <c r="E6904" s="20">
        <v>94</v>
      </c>
      <c r="F6904" s="20" t="s">
        <v>31602</v>
      </c>
      <c r="G6904" s="20" t="s">
        <v>31603</v>
      </c>
      <c r="H6904" s="24"/>
      <c r="I6904" s="24" t="str">
        <f ca="1">IFERROR(__xludf.DUMMYFUNCTION("GOOGLETRANSLATE(F6904,""en"",""pt"")"),"Vácuo do evaporador isolado painéis de controlo (VIE)")</f>
        <v>Vácuo do evaporador isolado painéis de controlo (VIE)</v>
      </c>
      <c r="J6904">
        <f>VLOOKUP(A6904,Pr_Base_LNEC!$A$4:$J$6971,6,FALSE)</f>
        <v>0</v>
      </c>
      <c r="K6904">
        <f>VLOOKUP(A6904,Pr_Base_LNEC!$A$4:$J$6971,7,FALSE)</f>
        <v>0</v>
      </c>
    </row>
    <row r="6905" spans="1:11" ht="14.5">
      <c r="A6905" s="20" t="s">
        <v>31604</v>
      </c>
      <c r="B6905" s="20">
        <v>75</v>
      </c>
      <c r="C6905" s="20">
        <v>50</v>
      </c>
      <c r="D6905" s="20">
        <v>52</v>
      </c>
      <c r="E6905" s="24"/>
      <c r="F6905" s="20" t="s">
        <v>31605</v>
      </c>
      <c r="G6905" s="24"/>
      <c r="H6905" s="24"/>
      <c r="I6905" s="24" t="str">
        <f ca="1">IFERROR(__xludf.DUMMYFUNCTION("GOOGLETRANSLATE(F6905,""en"",""pt"")"),"instrumentos meteorológicos")</f>
        <v>instrumentos meteorológicos</v>
      </c>
      <c r="J6905">
        <f>VLOOKUP(A6905,Pr_Base_LNEC!$A$4:$J$6971,6,FALSE)</f>
        <v>0</v>
      </c>
      <c r="K6905">
        <f>VLOOKUP(A6905,Pr_Base_LNEC!$A$4:$J$6971,7,FALSE)</f>
        <v>0</v>
      </c>
    </row>
    <row r="6906" spans="1:11" ht="14.5">
      <c r="A6906" s="20" t="s">
        <v>31606</v>
      </c>
      <c r="B6906" s="20">
        <v>75</v>
      </c>
      <c r="C6906" s="20">
        <v>50</v>
      </c>
      <c r="D6906" s="20">
        <v>52</v>
      </c>
      <c r="E6906" s="20">
        <v>3</v>
      </c>
      <c r="F6906" s="20" t="s">
        <v>31607</v>
      </c>
      <c r="G6906" s="20" t="s">
        <v>31608</v>
      </c>
      <c r="H6906" s="24"/>
      <c r="I6906" s="24" t="str">
        <f ca="1">IFERROR(__xludf.DUMMYFUNCTION("GOOGLETRANSLATE(F6906,""en"",""pt"")"),"anemômetros")</f>
        <v>anemômetros</v>
      </c>
      <c r="J6906">
        <f>VLOOKUP(A6906,Pr_Base_LNEC!$A$4:$J$6971,6,FALSE)</f>
        <v>0</v>
      </c>
      <c r="K6906">
        <f>VLOOKUP(A6906,Pr_Base_LNEC!$A$4:$J$6971,7,FALSE)</f>
        <v>0</v>
      </c>
    </row>
    <row r="6907" spans="1:11" ht="14.5">
      <c r="A6907" s="20" t="s">
        <v>31609</v>
      </c>
      <c r="B6907" s="20">
        <v>75</v>
      </c>
      <c r="C6907" s="20">
        <v>50</v>
      </c>
      <c r="D6907" s="20">
        <v>52</v>
      </c>
      <c r="E6907" s="20">
        <v>6</v>
      </c>
      <c r="F6907" s="20" t="s">
        <v>31610</v>
      </c>
      <c r="G6907" s="20" t="s">
        <v>31611</v>
      </c>
      <c r="H6907" s="24"/>
      <c r="I6907" s="24" t="str">
        <f ca="1">IFERROR(__xludf.DUMMYFUNCTION("GOOGLETRANSLATE(F6907,""en"",""pt"")"),"barómetros")</f>
        <v>barómetros</v>
      </c>
      <c r="J6907">
        <f>VLOOKUP(A6907,Pr_Base_LNEC!$A$4:$J$6971,6,FALSE)</f>
        <v>0</v>
      </c>
      <c r="K6907">
        <f>VLOOKUP(A6907,Pr_Base_LNEC!$A$4:$J$6971,7,FALSE)</f>
        <v>0</v>
      </c>
    </row>
    <row r="6908" spans="1:11" ht="14.5">
      <c r="A6908" s="20" t="s">
        <v>31612</v>
      </c>
      <c r="B6908" s="20">
        <v>75</v>
      </c>
      <c r="C6908" s="20">
        <v>50</v>
      </c>
      <c r="D6908" s="20">
        <v>52</v>
      </c>
      <c r="E6908" s="20">
        <v>12</v>
      </c>
      <c r="F6908" s="20" t="s">
        <v>31613</v>
      </c>
      <c r="G6908" s="20" t="s">
        <v>31614</v>
      </c>
      <c r="H6908" s="24"/>
      <c r="I6908" s="24" t="str">
        <f ca="1">IFERROR(__xludf.DUMMYFUNCTION("GOOGLETRANSLATE(F6908,""en"",""pt"")"),"tetômetros")</f>
        <v>tetômetros</v>
      </c>
      <c r="J6908">
        <f>VLOOKUP(A6908,Pr_Base_LNEC!$A$4:$J$6971,6,FALSE)</f>
        <v>0</v>
      </c>
      <c r="K6908">
        <f>VLOOKUP(A6908,Pr_Base_LNEC!$A$4:$J$6971,7,FALSE)</f>
        <v>0</v>
      </c>
    </row>
    <row r="6909" spans="1:11" ht="14.5">
      <c r="A6909" s="20" t="s">
        <v>31615</v>
      </c>
      <c r="B6909" s="20">
        <v>75</v>
      </c>
      <c r="C6909" s="20">
        <v>50</v>
      </c>
      <c r="D6909" s="20">
        <v>52</v>
      </c>
      <c r="E6909" s="20">
        <v>39</v>
      </c>
      <c r="F6909" s="20" t="s">
        <v>31616</v>
      </c>
      <c r="G6909" s="20" t="s">
        <v>31617</v>
      </c>
      <c r="H6909" s="24"/>
      <c r="I6909" s="24" t="str">
        <f ca="1">IFERROR(__xludf.DUMMYFUNCTION("GOOGLETRANSLATE(F6909,""en"",""pt"")"),"Sondas de humidade e temperatura")</f>
        <v>Sondas de humidade e temperatura</v>
      </c>
      <c r="J6909">
        <f>VLOOKUP(A6909,Pr_Base_LNEC!$A$4:$J$6971,6,FALSE)</f>
        <v>0</v>
      </c>
      <c r="K6909">
        <f>VLOOKUP(A6909,Pr_Base_LNEC!$A$4:$J$6971,7,FALSE)</f>
        <v>0</v>
      </c>
    </row>
    <row r="6910" spans="1:11" ht="14.5">
      <c r="A6910" s="20" t="s">
        <v>31618</v>
      </c>
      <c r="B6910" s="20">
        <v>75</v>
      </c>
      <c r="C6910" s="20">
        <v>50</v>
      </c>
      <c r="D6910" s="20">
        <v>52</v>
      </c>
      <c r="E6910" s="20">
        <v>65</v>
      </c>
      <c r="F6910" s="20" t="s">
        <v>31619</v>
      </c>
      <c r="G6910" s="20" t="s">
        <v>31620</v>
      </c>
      <c r="H6910" s="24"/>
      <c r="I6910" s="24" t="str">
        <f ca="1">IFERROR(__xludf.DUMMYFUNCTION("GOOGLETRANSLATE(F6910,""en"",""pt"")"),"sensores meteorológicos presentes")</f>
        <v>sensores meteorológicos presentes</v>
      </c>
      <c r="J6910">
        <f>VLOOKUP(A6910,Pr_Base_LNEC!$A$4:$J$6971,6,FALSE)</f>
        <v>0</v>
      </c>
      <c r="K6910">
        <f>VLOOKUP(A6910,Pr_Base_LNEC!$A$4:$J$6971,7,FALSE)</f>
        <v>0</v>
      </c>
    </row>
    <row r="6911" spans="1:11" ht="14.5">
      <c r="A6911" s="20" t="s">
        <v>31621</v>
      </c>
      <c r="B6911" s="20">
        <v>75</v>
      </c>
      <c r="C6911" s="20">
        <v>50</v>
      </c>
      <c r="D6911" s="20">
        <v>52</v>
      </c>
      <c r="E6911" s="20">
        <v>85</v>
      </c>
      <c r="F6911" s="20" t="s">
        <v>31622</v>
      </c>
      <c r="G6911" s="24"/>
      <c r="H6911" s="24"/>
      <c r="I6911" s="24" t="str">
        <f ca="1">IFERROR(__xludf.DUMMYFUNCTION("GOOGLETRANSLATE(F6911,""en"",""pt"")"),"pluviômetros armazenamento")</f>
        <v>pluviômetros armazenamento</v>
      </c>
      <c r="J6911">
        <f>VLOOKUP(A6911,Pr_Base_LNEC!$A$4:$J$6971,6,FALSE)</f>
        <v>0</v>
      </c>
      <c r="K6911">
        <f>VLOOKUP(A6911,Pr_Base_LNEC!$A$4:$J$6971,7,FALSE)</f>
        <v>0</v>
      </c>
    </row>
    <row r="6912" spans="1:11" ht="14.5">
      <c r="A6912" s="20" t="s">
        <v>31623</v>
      </c>
      <c r="B6912" s="20">
        <v>75</v>
      </c>
      <c r="C6912" s="20">
        <v>50</v>
      </c>
      <c r="D6912" s="20">
        <v>52</v>
      </c>
      <c r="E6912" s="20">
        <v>90</v>
      </c>
      <c r="F6912" s="20" t="s">
        <v>31624</v>
      </c>
      <c r="G6912" s="20" t="s">
        <v>31625</v>
      </c>
      <c r="H6912" s="24"/>
      <c r="I6912" s="24" t="str">
        <f ca="1">IFERROR(__xludf.DUMMYFUNCTION("GOOGLETRANSLATE(F6912,""en"",""pt"")"),"Tipping pluviômetros balde")</f>
        <v>Tipping pluviômetros balde</v>
      </c>
      <c r="J6912">
        <f>VLOOKUP(A6912,Pr_Base_LNEC!$A$4:$J$6971,6,FALSE)</f>
        <v>0</v>
      </c>
      <c r="K6912">
        <f>VLOOKUP(A6912,Pr_Base_LNEC!$A$4:$J$6971,7,FALSE)</f>
        <v>0</v>
      </c>
    </row>
    <row r="6913" spans="1:11" ht="14.5">
      <c r="A6913" s="20" t="s">
        <v>31626</v>
      </c>
      <c r="B6913" s="20">
        <v>75</v>
      </c>
      <c r="C6913" s="20">
        <v>50</v>
      </c>
      <c r="D6913" s="20">
        <v>52</v>
      </c>
      <c r="E6913" s="20">
        <v>94</v>
      </c>
      <c r="F6913" s="20" t="s">
        <v>31627</v>
      </c>
      <c r="G6913" s="20" t="s">
        <v>31628</v>
      </c>
      <c r="H6913" s="24"/>
      <c r="I6913" s="24" t="str">
        <f ca="1">IFERROR(__xludf.DUMMYFUNCTION("GOOGLETRANSLATE(F6913,""en"",""pt"")"),"sensores de visibilidade")</f>
        <v>sensores de visibilidade</v>
      </c>
      <c r="J6913">
        <f>VLOOKUP(A6913,Pr_Base_LNEC!$A$4:$J$6971,6,FALSE)</f>
        <v>0</v>
      </c>
      <c r="K6913">
        <f>VLOOKUP(A6913,Pr_Base_LNEC!$A$4:$J$6971,7,FALSE)</f>
        <v>0</v>
      </c>
    </row>
    <row r="6914" spans="1:11" ht="14.5">
      <c r="A6914" s="20" t="s">
        <v>31629</v>
      </c>
      <c r="B6914" s="20">
        <v>75</v>
      </c>
      <c r="C6914" s="20">
        <v>50</v>
      </c>
      <c r="D6914" s="20">
        <v>52</v>
      </c>
      <c r="E6914" s="20">
        <v>97</v>
      </c>
      <c r="F6914" s="20" t="s">
        <v>31630</v>
      </c>
      <c r="G6914" s="20" t="s">
        <v>31631</v>
      </c>
      <c r="H6914" s="24"/>
      <c r="I6914" s="24" t="str">
        <f ca="1">IFERROR(__xludf.DUMMYFUNCTION("GOOGLETRANSLATE(F6914,""en"",""pt"")"),"estações meteorológicas")</f>
        <v>estações meteorológicas</v>
      </c>
      <c r="J6914">
        <f>VLOOKUP(A6914,Pr_Base_LNEC!$A$4:$J$6971,6,FALSE)</f>
        <v>0</v>
      </c>
      <c r="K6914">
        <f>VLOOKUP(A6914,Pr_Base_LNEC!$A$4:$J$6971,7,FALSE)</f>
        <v>0</v>
      </c>
    </row>
    <row r="6915" spans="1:11" ht="14.5">
      <c r="A6915" s="20" t="s">
        <v>31632</v>
      </c>
      <c r="B6915" s="20">
        <v>75</v>
      </c>
      <c r="C6915" s="20">
        <v>50</v>
      </c>
      <c r="D6915" s="20">
        <v>52</v>
      </c>
      <c r="E6915" s="20">
        <v>98</v>
      </c>
      <c r="F6915" s="20" t="s">
        <v>31633</v>
      </c>
      <c r="G6915" s="24"/>
      <c r="H6915" s="24"/>
      <c r="I6915" s="24" t="str">
        <f ca="1">IFERROR(__xludf.DUMMYFUNCTION("GOOGLETRANSLATE(F6915,""en"",""pt"")"),"Pesando pluviômetros")</f>
        <v>Pesando pluviômetros</v>
      </c>
      <c r="J6915">
        <f>VLOOKUP(A6915,Pr_Base_LNEC!$A$4:$J$6971,6,FALSE)</f>
        <v>0</v>
      </c>
      <c r="K6915">
        <f>VLOOKUP(A6915,Pr_Base_LNEC!$A$4:$J$6971,7,FALSE)</f>
        <v>0</v>
      </c>
    </row>
    <row r="6916" spans="1:11" ht="14.5">
      <c r="A6916" s="20" t="s">
        <v>31634</v>
      </c>
      <c r="B6916" s="20">
        <v>75</v>
      </c>
      <c r="C6916" s="20">
        <v>50</v>
      </c>
      <c r="D6916" s="20">
        <v>76</v>
      </c>
      <c r="E6916" s="24"/>
      <c r="F6916" s="20" t="s">
        <v>31635</v>
      </c>
      <c r="G6916" s="24"/>
      <c r="H6916" s="24"/>
      <c r="I6916" s="24" t="str">
        <f ca="1">IFERROR(__xludf.DUMMYFUNCTION("GOOGLETRANSLATE(F6916,""en"",""pt"")"),"Sensores e detectores")</f>
        <v>Sensores e detectores</v>
      </c>
      <c r="J6916">
        <f>VLOOKUP(A6916,Pr_Base_LNEC!$A$4:$J$6971,6,FALSE)</f>
        <v>0</v>
      </c>
      <c r="K6916">
        <f>VLOOKUP(A6916,Pr_Base_LNEC!$A$4:$J$6971,7,FALSE)</f>
        <v>0</v>
      </c>
    </row>
    <row r="6917" spans="1:11" ht="14.5">
      <c r="A6917" s="20" t="s">
        <v>31636</v>
      </c>
      <c r="B6917" s="20">
        <v>75</v>
      </c>
      <c r="C6917" s="20">
        <v>50</v>
      </c>
      <c r="D6917" s="20">
        <v>76</v>
      </c>
      <c r="E6917" s="20">
        <v>2</v>
      </c>
      <c r="F6917" s="20" t="s">
        <v>31637</v>
      </c>
      <c r="G6917" s="20" t="s">
        <v>31638</v>
      </c>
      <c r="H6917" s="24"/>
      <c r="I6917" s="24" t="str">
        <f ca="1">IFERROR(__xludf.DUMMYFUNCTION("GOOGLETRANSLATE(F6917,""en"",""pt"")"),"sensores de qualidade do ar")</f>
        <v>sensores de qualidade do ar</v>
      </c>
      <c r="J6917">
        <f>VLOOKUP(A6917,Pr_Base_LNEC!$A$4:$J$6971,6,FALSE)</f>
        <v>0</v>
      </c>
      <c r="K6917">
        <f>VLOOKUP(A6917,Pr_Base_LNEC!$A$4:$J$6971,7,FALSE)</f>
        <v>0</v>
      </c>
    </row>
    <row r="6918" spans="1:11" ht="14.5">
      <c r="A6918" s="20" t="s">
        <v>31639</v>
      </c>
      <c r="B6918" s="20">
        <v>75</v>
      </c>
      <c r="C6918" s="20">
        <v>50</v>
      </c>
      <c r="D6918" s="20">
        <v>76</v>
      </c>
      <c r="E6918" s="20">
        <v>3</v>
      </c>
      <c r="F6918" s="20" t="s">
        <v>31640</v>
      </c>
      <c r="G6918" s="20" t="s">
        <v>31641</v>
      </c>
      <c r="H6918" s="24"/>
      <c r="I6918" s="24" t="str">
        <f ca="1">IFERROR(__xludf.DUMMYFUNCTION("GOOGLETRANSLATE(F6918,""en"",""pt"")"),"sensores da temperatura do ar")</f>
        <v>sensores da temperatura do ar</v>
      </c>
      <c r="J6918">
        <f>VLOOKUP(A6918,Pr_Base_LNEC!$A$4:$J$6971,6,FALSE)</f>
        <v>0</v>
      </c>
      <c r="K6918">
        <f>VLOOKUP(A6918,Pr_Base_LNEC!$A$4:$J$6971,7,FALSE)</f>
        <v>0</v>
      </c>
    </row>
    <row r="6919" spans="1:11" ht="14.5">
      <c r="A6919" s="20" t="s">
        <v>31642</v>
      </c>
      <c r="B6919" s="20">
        <v>75</v>
      </c>
      <c r="C6919" s="20">
        <v>50</v>
      </c>
      <c r="D6919" s="20">
        <v>76</v>
      </c>
      <c r="E6919" s="20">
        <v>4</v>
      </c>
      <c r="F6919" s="20" t="s">
        <v>31643</v>
      </c>
      <c r="G6919" s="20" t="s">
        <v>31644</v>
      </c>
      <c r="H6919" s="24"/>
      <c r="I6919" s="24" t="str">
        <f ca="1">IFERROR(__xludf.DUMMYFUNCTION("GOOGLETRANSLATE(F6919,""en"",""pt"")"),"sensores de nível de ruído ambiente")</f>
        <v>sensores de nível de ruído ambiente</v>
      </c>
      <c r="J6919">
        <f>VLOOKUP(A6919,Pr_Base_LNEC!$A$4:$J$6971,6,FALSE)</f>
        <v>0</v>
      </c>
      <c r="K6919">
        <f>VLOOKUP(A6919,Pr_Base_LNEC!$A$4:$J$6971,7,FALSE)</f>
        <v>0</v>
      </c>
    </row>
    <row r="6920" spans="1:11" ht="14.5">
      <c r="A6920" s="20" t="s">
        <v>31645</v>
      </c>
      <c r="B6920" s="20">
        <v>75</v>
      </c>
      <c r="C6920" s="20">
        <v>50</v>
      </c>
      <c r="D6920" s="20">
        <v>76</v>
      </c>
      <c r="E6920" s="20">
        <v>12</v>
      </c>
      <c r="F6920" s="20" t="s">
        <v>31646</v>
      </c>
      <c r="G6920" s="20" t="s">
        <v>31647</v>
      </c>
      <c r="H6920" s="24"/>
      <c r="I6920" s="24" t="str">
        <f ca="1">IFERROR(__xludf.DUMMYFUNCTION("GOOGLETRANSLATE(F6920,""en"",""pt"")"),"detectores de monóxido de carbono")</f>
        <v>detectores de monóxido de carbono</v>
      </c>
      <c r="J6920">
        <f>VLOOKUP(A6920,Pr_Base_LNEC!$A$4:$J$6971,6,FALSE)</f>
        <v>0</v>
      </c>
      <c r="K6920">
        <f>VLOOKUP(A6920,Pr_Base_LNEC!$A$4:$J$6971,7,FALSE)</f>
        <v>0</v>
      </c>
    </row>
    <row r="6921" spans="1:11" ht="14.5">
      <c r="A6921" s="20" t="s">
        <v>31648</v>
      </c>
      <c r="B6921" s="20">
        <v>75</v>
      </c>
      <c r="C6921" s="20">
        <v>50</v>
      </c>
      <c r="D6921" s="20">
        <v>76</v>
      </c>
      <c r="E6921" s="20">
        <v>16</v>
      </c>
      <c r="F6921" s="20" t="s">
        <v>31649</v>
      </c>
      <c r="G6921" s="20" t="s">
        <v>31650</v>
      </c>
      <c r="H6921" s="24"/>
      <c r="I6921" s="24" t="str">
        <f ca="1">IFERROR(__xludf.DUMMYFUNCTION("GOOGLETRANSLATE(F6921,""en"",""pt"")"),"corrente eletrônica combinados e transformador de tensão")</f>
        <v>corrente eletrônica combinados e transformador de tensão</v>
      </c>
      <c r="J6921">
        <f>VLOOKUP(A6921,Pr_Base_LNEC!$A$4:$J$6971,6,FALSE)</f>
        <v>0</v>
      </c>
      <c r="K6921">
        <f>VLOOKUP(A6921,Pr_Base_LNEC!$A$4:$J$6971,7,FALSE)</f>
        <v>0</v>
      </c>
    </row>
    <row r="6922" spans="1:11" ht="14.5">
      <c r="A6922" s="20" t="s">
        <v>31651</v>
      </c>
      <c r="B6922" s="20">
        <v>75</v>
      </c>
      <c r="C6922" s="20">
        <v>50</v>
      </c>
      <c r="D6922" s="20">
        <v>76</v>
      </c>
      <c r="E6922" s="20">
        <v>17</v>
      </c>
      <c r="F6922" s="20" t="s">
        <v>31652</v>
      </c>
      <c r="G6922" s="20" t="s">
        <v>31653</v>
      </c>
      <c r="H6922" s="24"/>
      <c r="I6922" s="24" t="str">
        <f ca="1">IFERROR(__xludf.DUMMYFUNCTION("GOOGLETRANSLATE(F6922,""en"",""pt"")"),"detectores de gás de combustão")</f>
        <v>detectores de gás de combustão</v>
      </c>
      <c r="J6922">
        <f>VLOOKUP(A6922,Pr_Base_LNEC!$A$4:$J$6971,6,FALSE)</f>
        <v>0</v>
      </c>
      <c r="K6922">
        <f>VLOOKUP(A6922,Pr_Base_LNEC!$A$4:$J$6971,7,FALSE)</f>
        <v>0</v>
      </c>
    </row>
    <row r="6923" spans="1:11" ht="14.5">
      <c r="A6923" s="20" t="s">
        <v>31654</v>
      </c>
      <c r="B6923" s="20">
        <v>75</v>
      </c>
      <c r="C6923" s="20">
        <v>50</v>
      </c>
      <c r="D6923" s="20">
        <v>76</v>
      </c>
      <c r="E6923" s="20">
        <v>18</v>
      </c>
      <c r="F6923" s="20" t="s">
        <v>31655</v>
      </c>
      <c r="G6923" s="24"/>
      <c r="H6923" s="24"/>
      <c r="I6923" s="24" t="str">
        <f ca="1">IFERROR(__xludf.DUMMYFUNCTION("GOOGLETRANSLATE(F6923,""en"",""pt"")"),"sensores de corrente")</f>
        <v>sensores de corrente</v>
      </c>
      <c r="J6923">
        <f>VLOOKUP(A6923,Pr_Base_LNEC!$A$4:$J$6971,6,FALSE)</f>
        <v>0</v>
      </c>
      <c r="K6923">
        <f>VLOOKUP(A6923,Pr_Base_LNEC!$A$4:$J$6971,7,FALSE)</f>
        <v>0</v>
      </c>
    </row>
    <row r="6924" spans="1:11" ht="14.5">
      <c r="A6924" s="20" t="s">
        <v>31656</v>
      </c>
      <c r="B6924" s="20">
        <v>75</v>
      </c>
      <c r="C6924" s="20">
        <v>50</v>
      </c>
      <c r="D6924" s="20">
        <v>76</v>
      </c>
      <c r="E6924" s="20">
        <v>23</v>
      </c>
      <c r="F6924" s="20" t="s">
        <v>31657</v>
      </c>
      <c r="G6924" s="20" t="s">
        <v>31658</v>
      </c>
      <c r="H6924" s="24"/>
      <c r="I6924" s="24" t="str">
        <f ca="1">IFERROR(__xludf.DUMMYFUNCTION("GOOGLETRANSLATE(F6924,""en"",""pt"")"),"sensores desinfectantes")</f>
        <v>sensores desinfectantes</v>
      </c>
      <c r="J6924">
        <f>VLOOKUP(A6924,Pr_Base_LNEC!$A$4:$J$6971,6,FALSE)</f>
        <v>0</v>
      </c>
      <c r="K6924">
        <f>VLOOKUP(A6924,Pr_Base_LNEC!$A$4:$J$6971,7,FALSE)</f>
        <v>0</v>
      </c>
    </row>
    <row r="6925" spans="1:11" ht="14.5">
      <c r="A6925" s="20" t="s">
        <v>31659</v>
      </c>
      <c r="B6925" s="20">
        <v>75</v>
      </c>
      <c r="C6925" s="20">
        <v>50</v>
      </c>
      <c r="D6925" s="20">
        <v>76</v>
      </c>
      <c r="E6925" s="20">
        <v>24</v>
      </c>
      <c r="F6925" s="20" t="s">
        <v>31660</v>
      </c>
      <c r="G6925" s="20" t="s">
        <v>31661</v>
      </c>
      <c r="H6925" s="24"/>
      <c r="I6925" s="24" t="str">
        <f ca="1">IFERROR(__xludf.DUMMYFUNCTION("GOOGLETRANSLATE(F6925,""en"",""pt"")"),"Os sensores de oxigénio dissolvido")</f>
        <v>Os sensores de oxigénio dissolvido</v>
      </c>
      <c r="J6925">
        <f>VLOOKUP(A6925,Pr_Base_LNEC!$A$4:$J$6971,6,FALSE)</f>
        <v>0</v>
      </c>
      <c r="K6925">
        <f>VLOOKUP(A6925,Pr_Base_LNEC!$A$4:$J$6971,7,FALSE)</f>
        <v>0</v>
      </c>
    </row>
    <row r="6926" spans="1:11" ht="14.5">
      <c r="A6926" s="20" t="s">
        <v>31662</v>
      </c>
      <c r="B6926" s="20">
        <v>75</v>
      </c>
      <c r="C6926" s="20">
        <v>50</v>
      </c>
      <c r="D6926" s="20">
        <v>76</v>
      </c>
      <c r="E6926" s="20">
        <v>25</v>
      </c>
      <c r="F6926" s="20" t="s">
        <v>31663</v>
      </c>
      <c r="G6926" s="24"/>
      <c r="H6926" s="24"/>
      <c r="I6926" s="24" t="str">
        <f ca="1">IFERROR(__xludf.DUMMYFUNCTION("GOOGLETRANSLATE(F6926,""en"",""pt"")"),"varas de sensores podridão seca")</f>
        <v>varas de sensores podridão seca</v>
      </c>
      <c r="J6926">
        <f>VLOOKUP(A6926,Pr_Base_LNEC!$A$4:$J$6971,6,FALSE)</f>
        <v>0</v>
      </c>
      <c r="K6926">
        <f>VLOOKUP(A6926,Pr_Base_LNEC!$A$4:$J$6971,7,FALSE)</f>
        <v>0</v>
      </c>
    </row>
    <row r="6927" spans="1:11" ht="14.5">
      <c r="A6927" s="20" t="s">
        <v>31664</v>
      </c>
      <c r="B6927" s="20">
        <v>75</v>
      </c>
      <c r="C6927" s="20">
        <v>50</v>
      </c>
      <c r="D6927" s="20">
        <v>76</v>
      </c>
      <c r="E6927" s="20">
        <v>27</v>
      </c>
      <c r="F6927" s="20" t="s">
        <v>31665</v>
      </c>
      <c r="G6927" s="20" t="s">
        <v>31666</v>
      </c>
      <c r="H6927" s="24"/>
      <c r="I6927" s="24" t="str">
        <f ca="1">IFERROR(__xludf.DUMMYFUNCTION("GOOGLETRANSLATE(F6927,""en"",""pt"")"),"termostatos de aquecimento de rastreamento eletrônico")</f>
        <v>termostatos de aquecimento de rastreamento eletrônico</v>
      </c>
      <c r="J6927" t="e">
        <f>VLOOKUP(A6927,Pr_Base_LNEC!$A$4:$J$6971,6,FALSE)</f>
        <v>#N/A</v>
      </c>
      <c r="K6927" t="e">
        <f>VLOOKUP(A6927,Pr_Base_LNEC!$A$4:$J$6971,7,FALSE)</f>
        <v>#N/A</v>
      </c>
    </row>
    <row r="6928" spans="1:11" ht="14.5">
      <c r="A6928" s="20" t="s">
        <v>31667</v>
      </c>
      <c r="B6928" s="20">
        <v>75</v>
      </c>
      <c r="C6928" s="20">
        <v>50</v>
      </c>
      <c r="D6928" s="20">
        <v>76</v>
      </c>
      <c r="E6928" s="20">
        <v>30</v>
      </c>
      <c r="F6928" s="20" t="s">
        <v>31668</v>
      </c>
      <c r="G6928" s="20" t="s">
        <v>31669</v>
      </c>
      <c r="H6928" s="24"/>
      <c r="I6928" s="24" t="str">
        <f ca="1">IFERROR(__xludf.DUMMYFUNCTION("GOOGLETRANSLATE(F6928,""en"",""pt"")"),"Fluir em sensores duto")</f>
        <v>Fluir em sensores duto</v>
      </c>
      <c r="J6928">
        <f>VLOOKUP(A6928,Pr_Base_LNEC!$A$4:$J$6971,6,FALSE)</f>
        <v>0</v>
      </c>
      <c r="K6928">
        <f>VLOOKUP(A6928,Pr_Base_LNEC!$A$4:$J$6971,7,FALSE)</f>
        <v>0</v>
      </c>
    </row>
    <row r="6929" spans="1:11" ht="14.5">
      <c r="A6929" s="20" t="s">
        <v>31670</v>
      </c>
      <c r="B6929" s="20">
        <v>75</v>
      </c>
      <c r="C6929" s="20">
        <v>50</v>
      </c>
      <c r="D6929" s="20">
        <v>76</v>
      </c>
      <c r="E6929" s="20">
        <v>31</v>
      </c>
      <c r="F6929" s="20" t="s">
        <v>31671</v>
      </c>
      <c r="G6929" s="20" t="s">
        <v>31672</v>
      </c>
      <c r="H6929" s="24"/>
      <c r="I6929" s="24" t="str">
        <f ca="1">IFERROR(__xludf.DUMMYFUNCTION("GOOGLETRANSLATE(F6929,""en"",""pt"")"),"Fluxo em tubos sensores")</f>
        <v>Fluxo em tubos sensores</v>
      </c>
      <c r="J6929">
        <f>VLOOKUP(A6929,Pr_Base_LNEC!$A$4:$J$6971,6,FALSE)</f>
        <v>0</v>
      </c>
      <c r="K6929">
        <f>VLOOKUP(A6929,Pr_Base_LNEC!$A$4:$J$6971,7,FALSE)</f>
        <v>0</v>
      </c>
    </row>
    <row r="6930" spans="1:11" ht="14.5">
      <c r="A6930" s="20" t="s">
        <v>31673</v>
      </c>
      <c r="B6930" s="20">
        <v>75</v>
      </c>
      <c r="C6930" s="20">
        <v>50</v>
      </c>
      <c r="D6930" s="20">
        <v>76</v>
      </c>
      <c r="E6930" s="20">
        <v>33</v>
      </c>
      <c r="F6930" s="20" t="s">
        <v>31674</v>
      </c>
      <c r="G6930" s="20" t="s">
        <v>31675</v>
      </c>
      <c r="H6930" s="24"/>
      <c r="I6930" s="24" t="str">
        <f ca="1">IFERROR(__xludf.DUMMYFUNCTION("GOOGLETRANSLATE(F6930,""en"",""pt"")"),"detectores de gás")</f>
        <v>detectores de gás</v>
      </c>
      <c r="J6930">
        <f>VLOOKUP(A6930,Pr_Base_LNEC!$A$4:$J$6971,6,FALSE)</f>
        <v>0</v>
      </c>
      <c r="K6930">
        <f>VLOOKUP(A6930,Pr_Base_LNEC!$A$4:$J$6971,7,FALSE)</f>
        <v>0</v>
      </c>
    </row>
    <row r="6931" spans="1:11" ht="14.5">
      <c r="A6931" s="20" t="s">
        <v>31676</v>
      </c>
      <c r="B6931" s="20">
        <v>75</v>
      </c>
      <c r="C6931" s="20">
        <v>50</v>
      </c>
      <c r="D6931" s="20">
        <v>76</v>
      </c>
      <c r="E6931" s="20">
        <v>47</v>
      </c>
      <c r="F6931" s="20" t="s">
        <v>31677</v>
      </c>
      <c r="G6931" s="20" t="s">
        <v>31678</v>
      </c>
      <c r="H6931" s="24"/>
      <c r="I6931" s="24" t="str">
        <f ca="1">IFERROR(__xludf.DUMMYFUNCTION("GOOGLETRANSLATE(F6931,""en"",""pt"")"),"sensores da temperatura do líquido")</f>
        <v>sensores da temperatura do líquido</v>
      </c>
      <c r="J6931">
        <f>VLOOKUP(A6931,Pr_Base_LNEC!$A$4:$J$6971,6,FALSE)</f>
        <v>0</v>
      </c>
      <c r="K6931">
        <f>VLOOKUP(A6931,Pr_Base_LNEC!$A$4:$J$6971,7,FALSE)</f>
        <v>0</v>
      </c>
    </row>
    <row r="6932" spans="1:11" ht="14.5">
      <c r="A6932" s="20" t="s">
        <v>31679</v>
      </c>
      <c r="B6932" s="20">
        <v>75</v>
      </c>
      <c r="C6932" s="20">
        <v>50</v>
      </c>
      <c r="D6932" s="20">
        <v>76</v>
      </c>
      <c r="E6932" s="20">
        <v>51</v>
      </c>
      <c r="F6932" s="20" t="s">
        <v>31680</v>
      </c>
      <c r="G6932" s="20" t="s">
        <v>31681</v>
      </c>
      <c r="H6932" s="24"/>
      <c r="I6932" s="24" t="str">
        <f ca="1">IFERROR(__xludf.DUMMYFUNCTION("GOOGLETRANSLATE(F6932,""en"",""pt"")"),"termostatos de aquecimento traço mecânica")</f>
        <v>termostatos de aquecimento traço mecânica</v>
      </c>
      <c r="J6932" t="e">
        <f>VLOOKUP(A6932,Pr_Base_LNEC!$A$4:$J$6971,6,FALSE)</f>
        <v>#N/A</v>
      </c>
      <c r="K6932" t="e">
        <f>VLOOKUP(A6932,Pr_Base_LNEC!$A$4:$J$6971,7,FALSE)</f>
        <v>#N/A</v>
      </c>
    </row>
    <row r="6933" spans="1:11" ht="14.5">
      <c r="A6933" s="20" t="s">
        <v>31682</v>
      </c>
      <c r="B6933" s="20">
        <v>75</v>
      </c>
      <c r="C6933" s="20">
        <v>50</v>
      </c>
      <c r="D6933" s="20">
        <v>76</v>
      </c>
      <c r="E6933" s="20">
        <v>58</v>
      </c>
      <c r="F6933" s="20" t="s">
        <v>31683</v>
      </c>
      <c r="G6933" s="20" t="s">
        <v>31684</v>
      </c>
      <c r="H6933" s="24"/>
      <c r="I6933" s="24" t="str">
        <f ca="1">IFERROR(__xludf.DUMMYFUNCTION("GOOGLETRANSLATE(F6933,""en"",""pt"")"),"sensores de presença")</f>
        <v>sensores de presença</v>
      </c>
      <c r="J6933">
        <f>VLOOKUP(A6933,Pr_Base_LNEC!$A$4:$J$6971,6,FALSE)</f>
        <v>0</v>
      </c>
      <c r="K6933">
        <f>VLOOKUP(A6933,Pr_Base_LNEC!$A$4:$J$6971,7,FALSE)</f>
        <v>0</v>
      </c>
    </row>
    <row r="6934" spans="1:11" ht="14.5">
      <c r="A6934" s="20" t="s">
        <v>31685</v>
      </c>
      <c r="B6934" s="20">
        <v>75</v>
      </c>
      <c r="C6934" s="20">
        <v>50</v>
      </c>
      <c r="D6934" s="20">
        <v>76</v>
      </c>
      <c r="E6934" s="20">
        <v>59</v>
      </c>
      <c r="F6934" s="20" t="s">
        <v>31686</v>
      </c>
      <c r="G6934" s="24"/>
      <c r="H6934" s="24"/>
      <c r="I6934" s="24" t="str">
        <f ca="1">IFERROR(__xludf.DUMMYFUNCTION("GOOGLETRANSLATE(F6934,""en"",""pt"")"),"(PIR) sensores passivos infravermelhos")</f>
        <v>(PIR) sensores passivos infravermelhos</v>
      </c>
      <c r="J6934">
        <f>VLOOKUP(A6934,Pr_Base_LNEC!$A$4:$J$6971,6,FALSE)</f>
        <v>0</v>
      </c>
      <c r="K6934">
        <f>VLOOKUP(A6934,Pr_Base_LNEC!$A$4:$J$6971,7,FALSE)</f>
        <v>0</v>
      </c>
    </row>
    <row r="6935" spans="1:11" ht="14.5">
      <c r="A6935" s="20" t="s">
        <v>31687</v>
      </c>
      <c r="B6935" s="20">
        <v>75</v>
      </c>
      <c r="C6935" s="20">
        <v>50</v>
      </c>
      <c r="D6935" s="20">
        <v>76</v>
      </c>
      <c r="E6935" s="20">
        <v>60</v>
      </c>
      <c r="F6935" s="20" t="s">
        <v>31688</v>
      </c>
      <c r="G6935" s="20" t="s">
        <v>31689</v>
      </c>
      <c r="H6935" s="24"/>
      <c r="I6935" s="24" t="str">
        <f ca="1">IFERROR(__xludf.DUMMYFUNCTION("GOOGLETRANSLATE(F6935,""en"",""pt"")"),"sensores de valor de pH")</f>
        <v>sensores de valor de pH</v>
      </c>
      <c r="J6935">
        <f>VLOOKUP(A6935,Pr_Base_LNEC!$A$4:$J$6971,6,FALSE)</f>
        <v>0</v>
      </c>
      <c r="K6935">
        <f>VLOOKUP(A6935,Pr_Base_LNEC!$A$4:$J$6971,7,FALSE)</f>
        <v>0</v>
      </c>
    </row>
    <row r="6936" spans="1:11" ht="14.5">
      <c r="A6936" s="20" t="s">
        <v>31690</v>
      </c>
      <c r="B6936" s="20">
        <v>75</v>
      </c>
      <c r="C6936" s="20">
        <v>50</v>
      </c>
      <c r="D6936" s="20">
        <v>76</v>
      </c>
      <c r="E6936" s="20">
        <v>61</v>
      </c>
      <c r="F6936" s="20" t="s">
        <v>31691</v>
      </c>
      <c r="G6936" s="20" t="s">
        <v>31692</v>
      </c>
      <c r="H6936" s="24"/>
      <c r="I6936" s="24" t="str">
        <f ca="1">IFERROR(__xludf.DUMMYFUNCTION("GOOGLETRANSLATE(F6936,""en"",""pt"")"),"sensores de pH")</f>
        <v>sensores de pH</v>
      </c>
      <c r="J6936">
        <f>VLOOKUP(A6936,Pr_Base_LNEC!$A$4:$J$6971,6,FALSE)</f>
        <v>0</v>
      </c>
      <c r="K6936">
        <f>VLOOKUP(A6936,Pr_Base_LNEC!$A$4:$J$6971,7,FALSE)</f>
        <v>0</v>
      </c>
    </row>
    <row r="6937" spans="1:11" ht="14.5">
      <c r="A6937" s="20" t="s">
        <v>31693</v>
      </c>
      <c r="B6937" s="20">
        <v>75</v>
      </c>
      <c r="C6937" s="20">
        <v>50</v>
      </c>
      <c r="D6937" s="20">
        <v>76</v>
      </c>
      <c r="E6937" s="20">
        <v>63</v>
      </c>
      <c r="F6937" s="20" t="s">
        <v>31694</v>
      </c>
      <c r="G6937" s="24"/>
      <c r="H6937" s="24"/>
      <c r="I6937" s="24" t="str">
        <f ca="1">IFERROR(__xludf.DUMMYFUNCTION("GOOGLETRANSLATE(F6937,""en"",""pt"")"),"sensores ópticos")</f>
        <v>sensores ópticos</v>
      </c>
      <c r="J6937">
        <f>VLOOKUP(A6937,Pr_Base_LNEC!$A$4:$J$6971,6,FALSE)</f>
        <v>0</v>
      </c>
      <c r="K6937">
        <f>VLOOKUP(A6937,Pr_Base_LNEC!$A$4:$J$6971,7,FALSE)</f>
        <v>0</v>
      </c>
    </row>
    <row r="6938" spans="1:11" ht="14.5">
      <c r="A6938" s="20" t="s">
        <v>31695</v>
      </c>
      <c r="B6938" s="20">
        <v>75</v>
      </c>
      <c r="C6938" s="20">
        <v>50</v>
      </c>
      <c r="D6938" s="20">
        <v>76</v>
      </c>
      <c r="E6938" s="20">
        <v>68</v>
      </c>
      <c r="F6938" s="20" t="s">
        <v>31696</v>
      </c>
      <c r="G6938" s="20" t="s">
        <v>31697</v>
      </c>
      <c r="H6938" s="24"/>
      <c r="I6938" s="24" t="str">
        <f ca="1">IFERROR(__xludf.DUMMYFUNCTION("GOOGLETRANSLATE(F6938,""en"",""pt"")"),"sensores de pressão")</f>
        <v>sensores de pressão</v>
      </c>
      <c r="J6938">
        <f>VLOOKUP(A6938,Pr_Base_LNEC!$A$4:$J$6971,6,FALSE)</f>
        <v>0</v>
      </c>
      <c r="K6938">
        <f>VLOOKUP(A6938,Pr_Base_LNEC!$A$4:$J$6971,7,FALSE)</f>
        <v>0</v>
      </c>
    </row>
    <row r="6939" spans="1:11" ht="14.5">
      <c r="A6939" s="20" t="s">
        <v>31698</v>
      </c>
      <c r="B6939" s="20">
        <v>75</v>
      </c>
      <c r="C6939" s="20">
        <v>50</v>
      </c>
      <c r="D6939" s="20">
        <v>76</v>
      </c>
      <c r="E6939" s="20">
        <v>69</v>
      </c>
      <c r="F6939" s="20" t="s">
        <v>31699</v>
      </c>
      <c r="G6939" s="20" t="s">
        <v>31700</v>
      </c>
      <c r="H6939" s="24"/>
      <c r="I6939" s="24" t="str">
        <f ca="1">IFERROR(__xludf.DUMMYFUNCTION("GOOGLETRANSLATE(F6939,""en"",""pt"")"),"Os sensores de proximidade e unidades de controle")</f>
        <v>Os sensores de proximidade e unidades de controle</v>
      </c>
      <c r="J6939">
        <f>VLOOKUP(A6939,Pr_Base_LNEC!$A$4:$J$6971,6,FALSE)</f>
        <v>0</v>
      </c>
      <c r="K6939">
        <f>VLOOKUP(A6939,Pr_Base_LNEC!$A$4:$J$6971,7,FALSE)</f>
        <v>0</v>
      </c>
    </row>
    <row r="6940" spans="1:11" ht="14.5">
      <c r="A6940" s="20" t="s">
        <v>31701</v>
      </c>
      <c r="B6940" s="20">
        <v>75</v>
      </c>
      <c r="C6940" s="20">
        <v>50</v>
      </c>
      <c r="D6940" s="20">
        <v>76</v>
      </c>
      <c r="E6940" s="20">
        <v>71</v>
      </c>
      <c r="F6940" s="20" t="s">
        <v>31702</v>
      </c>
      <c r="G6940" s="20" t="s">
        <v>31703</v>
      </c>
      <c r="H6940" s="24"/>
      <c r="I6940" s="24" t="str">
        <f ca="1">IFERROR(__xludf.DUMMYFUNCTION("GOOGLETRANSLATE(F6940,""en"",""pt"")"),"sensores de humidade relativa")</f>
        <v>sensores de humidade relativa</v>
      </c>
      <c r="J6940">
        <f>VLOOKUP(A6940,Pr_Base_LNEC!$A$4:$J$6971,6,FALSE)</f>
        <v>0</v>
      </c>
      <c r="K6940">
        <f>VLOOKUP(A6940,Pr_Base_LNEC!$A$4:$J$6971,7,FALSE)</f>
        <v>0</v>
      </c>
    </row>
    <row r="6941" spans="1:11" ht="14.5">
      <c r="A6941" s="20" t="s">
        <v>31704</v>
      </c>
      <c r="B6941" s="20">
        <v>75</v>
      </c>
      <c r="C6941" s="20">
        <v>50</v>
      </c>
      <c r="D6941" s="20">
        <v>76</v>
      </c>
      <c r="E6941" s="20">
        <v>72</v>
      </c>
      <c r="F6941" s="20" t="s">
        <v>31705</v>
      </c>
      <c r="G6941" s="24"/>
      <c r="H6941" s="24"/>
      <c r="I6941" s="24" t="str">
        <f ca="1">IFERROR(__xludf.DUMMYFUNCTION("GOOGLETRANSLATE(F6941,""en"",""pt"")"),"sensores de cloro residual")</f>
        <v>sensores de cloro residual</v>
      </c>
      <c r="J6941" t="e">
        <f>VLOOKUP(A6941,Pr_Base_LNEC!$A$4:$J$6971,6,FALSE)</f>
        <v>#N/A</v>
      </c>
      <c r="K6941" t="e">
        <f>VLOOKUP(A6941,Pr_Base_LNEC!$A$4:$J$6971,7,FALSE)</f>
        <v>#N/A</v>
      </c>
    </row>
    <row r="6942" spans="1:11" ht="14.5">
      <c r="A6942" s="20" t="s">
        <v>31706</v>
      </c>
      <c r="B6942" s="20">
        <v>75</v>
      </c>
      <c r="C6942" s="20">
        <v>50</v>
      </c>
      <c r="D6942" s="20">
        <v>76</v>
      </c>
      <c r="E6942" s="20">
        <v>73</v>
      </c>
      <c r="F6942" s="20" t="s">
        <v>31707</v>
      </c>
      <c r="G6942" s="24"/>
      <c r="H6942" s="24"/>
      <c r="I6942" s="24" t="str">
        <f ca="1">IFERROR(__xludf.DUMMYFUNCTION("GOOGLETRANSLATE(F6942,""en"",""pt"")"),"sensores de temperatura de quarto")</f>
        <v>sensores de temperatura de quarto</v>
      </c>
      <c r="J6942">
        <f>VLOOKUP(A6942,Pr_Base_LNEC!$A$4:$J$6971,6,FALSE)</f>
        <v>0</v>
      </c>
      <c r="K6942">
        <f>VLOOKUP(A6942,Pr_Base_LNEC!$A$4:$J$6971,7,FALSE)</f>
        <v>0</v>
      </c>
    </row>
    <row r="6943" spans="1:11" ht="14.5">
      <c r="A6943" s="20" t="s">
        <v>31708</v>
      </c>
      <c r="B6943" s="20">
        <v>75</v>
      </c>
      <c r="C6943" s="20">
        <v>50</v>
      </c>
      <c r="D6943" s="20">
        <v>76</v>
      </c>
      <c r="E6943" s="20">
        <v>80</v>
      </c>
      <c r="F6943" s="20" t="s">
        <v>31709</v>
      </c>
      <c r="G6943" s="20" t="s">
        <v>31710</v>
      </c>
      <c r="H6943" s="24"/>
      <c r="I6943" s="24" t="str">
        <f ca="1">IFERROR(__xludf.DUMMYFUNCTION("GOOGLETRANSLATE(F6943,""en"",""pt"")"),"sensores de densidade de lamas")</f>
        <v>sensores de densidade de lamas</v>
      </c>
      <c r="J6943">
        <f>VLOOKUP(A6943,Pr_Base_LNEC!$A$4:$J$6971,6,FALSE)</f>
        <v>0</v>
      </c>
      <c r="K6943">
        <f>VLOOKUP(A6943,Pr_Base_LNEC!$A$4:$J$6971,7,FALSE)</f>
        <v>0</v>
      </c>
    </row>
    <row r="6944" spans="1:11" ht="14.5">
      <c r="A6944" s="20" t="s">
        <v>31711</v>
      </c>
      <c r="B6944" s="20">
        <v>75</v>
      </c>
      <c r="C6944" s="20">
        <v>50</v>
      </c>
      <c r="D6944" s="20">
        <v>76</v>
      </c>
      <c r="E6944" s="20">
        <v>83</v>
      </c>
      <c r="F6944" s="20" t="s">
        <v>31712</v>
      </c>
      <c r="G6944" s="20" t="s">
        <v>31713</v>
      </c>
      <c r="H6944" s="24"/>
      <c r="I6944" s="24" t="str">
        <f ca="1">IFERROR(__xludf.DUMMYFUNCTION("GOOGLETRANSLATE(F6944,""en"",""pt"")"),"Vapor e câmaras de sensor de condensado")</f>
        <v>Vapor e câmaras de sensor de condensado</v>
      </c>
      <c r="J6944">
        <f>VLOOKUP(A6944,Pr_Base_LNEC!$A$4:$J$6971,6,FALSE)</f>
        <v>0</v>
      </c>
      <c r="K6944">
        <f>VLOOKUP(A6944,Pr_Base_LNEC!$A$4:$J$6971,7,FALSE)</f>
        <v>0</v>
      </c>
    </row>
    <row r="6945" spans="1:11" ht="14.5">
      <c r="A6945" s="20" t="s">
        <v>31714</v>
      </c>
      <c r="B6945" s="20">
        <v>75</v>
      </c>
      <c r="C6945" s="20">
        <v>50</v>
      </c>
      <c r="D6945" s="20">
        <v>76</v>
      </c>
      <c r="E6945" s="20">
        <v>84</v>
      </c>
      <c r="F6945" s="20" t="s">
        <v>31715</v>
      </c>
      <c r="G6945" s="20" t="s">
        <v>31716</v>
      </c>
      <c r="H6945" s="24"/>
      <c r="I6945" s="24" t="str">
        <f ca="1">IFERROR(__xludf.DUMMYFUNCTION("GOOGLETRANSLATE(F6945,""en"",""pt"")"),"sensores de vapor e condensado")</f>
        <v>sensores de vapor e condensado</v>
      </c>
      <c r="J6945">
        <f>VLOOKUP(A6945,Pr_Base_LNEC!$A$4:$J$6971,6,FALSE)</f>
        <v>0</v>
      </c>
      <c r="K6945">
        <f>VLOOKUP(A6945,Pr_Base_LNEC!$A$4:$J$6971,7,FALSE)</f>
        <v>0</v>
      </c>
    </row>
    <row r="6946" spans="1:11" ht="14.5">
      <c r="A6946" s="20" t="s">
        <v>31717</v>
      </c>
      <c r="B6946" s="20">
        <v>75</v>
      </c>
      <c r="C6946" s="20">
        <v>50</v>
      </c>
      <c r="D6946" s="20">
        <v>76</v>
      </c>
      <c r="E6946" s="20">
        <v>86</v>
      </c>
      <c r="F6946" s="20" t="s">
        <v>31718</v>
      </c>
      <c r="G6946" s="20" t="s">
        <v>31719</v>
      </c>
      <c r="H6946" s="24"/>
      <c r="I6946" s="24" t="str">
        <f ca="1">IFERROR(__xludf.DUMMYFUNCTION("GOOGLETRANSLATE(F6946,""en"",""pt"")"),"sensores de sólidos suspensos")</f>
        <v>sensores de sólidos suspensos</v>
      </c>
      <c r="J6946">
        <f>VLOOKUP(A6946,Pr_Base_LNEC!$A$4:$J$6971,6,FALSE)</f>
        <v>0</v>
      </c>
      <c r="K6946">
        <f>VLOOKUP(A6946,Pr_Base_LNEC!$A$4:$J$6971,7,FALSE)</f>
        <v>0</v>
      </c>
    </row>
    <row r="6947" spans="1:11" ht="14.5">
      <c r="A6947" s="20" t="s">
        <v>31720</v>
      </c>
      <c r="B6947" s="20">
        <v>75</v>
      </c>
      <c r="C6947" s="20">
        <v>50</v>
      </c>
      <c r="D6947" s="20">
        <v>76</v>
      </c>
      <c r="E6947" s="20">
        <v>90</v>
      </c>
      <c r="F6947" s="20" t="s">
        <v>31721</v>
      </c>
      <c r="G6947" s="20" t="s">
        <v>31722</v>
      </c>
      <c r="H6947" s="24"/>
      <c r="I6947" s="24" t="str">
        <f ca="1">IFERROR(__xludf.DUMMYFUNCTION("GOOGLETRANSLATE(F6947,""en"",""pt"")"),"sensores de turbidez")</f>
        <v>sensores de turbidez</v>
      </c>
      <c r="J6947">
        <f>VLOOKUP(A6947,Pr_Base_LNEC!$A$4:$J$6971,6,FALSE)</f>
        <v>0</v>
      </c>
      <c r="K6947">
        <f>VLOOKUP(A6947,Pr_Base_LNEC!$A$4:$J$6971,7,FALSE)</f>
        <v>0</v>
      </c>
    </row>
    <row r="6948" spans="1:11" ht="14.5">
      <c r="A6948" s="20" t="s">
        <v>31723</v>
      </c>
      <c r="B6948" s="20">
        <v>75</v>
      </c>
      <c r="C6948" s="20">
        <v>50</v>
      </c>
      <c r="D6948" s="20">
        <v>76</v>
      </c>
      <c r="E6948" s="20">
        <v>95</v>
      </c>
      <c r="F6948" s="20" t="s">
        <v>31724</v>
      </c>
      <c r="G6948" s="24"/>
      <c r="H6948" s="24"/>
      <c r="I6948" s="24" t="str">
        <f ca="1">IFERROR(__xludf.DUMMYFUNCTION("GOOGLETRANSLATE(F6948,""en"",""pt"")"),"sensores de tensão")</f>
        <v>sensores de tensão</v>
      </c>
      <c r="J6948">
        <f>VLOOKUP(A6948,Pr_Base_LNEC!$A$4:$J$6971,6,FALSE)</f>
        <v>0</v>
      </c>
      <c r="K6948">
        <f>VLOOKUP(A6948,Pr_Base_LNEC!$A$4:$J$6971,7,FALSE)</f>
        <v>0</v>
      </c>
    </row>
    <row r="6949" spans="1:11" ht="14.5">
      <c r="A6949" s="20" t="s">
        <v>31725</v>
      </c>
      <c r="B6949" s="20">
        <v>75</v>
      </c>
      <c r="C6949" s="20">
        <v>50</v>
      </c>
      <c r="D6949" s="20">
        <v>76</v>
      </c>
      <c r="E6949" s="20">
        <v>97</v>
      </c>
      <c r="F6949" s="20" t="s">
        <v>31726</v>
      </c>
      <c r="G6949" s="24"/>
      <c r="H6949" s="24"/>
      <c r="I6949" s="24" t="str">
        <f ca="1">IFERROR(__xludf.DUMMYFUNCTION("GOOGLETRANSLATE(F6949,""en"",""pt"")"),"sensores de pressão de água")</f>
        <v>sensores de pressão de água</v>
      </c>
      <c r="J6949">
        <f>VLOOKUP(A6949,Pr_Base_LNEC!$A$4:$J$6971,6,FALSE)</f>
        <v>0</v>
      </c>
      <c r="K6949">
        <f>VLOOKUP(A6949,Pr_Base_LNEC!$A$4:$J$6971,7,FALSE)</f>
        <v>0</v>
      </c>
    </row>
    <row r="6950" spans="1:11" ht="14.5">
      <c r="A6950" s="20" t="s">
        <v>31727</v>
      </c>
      <c r="B6950" s="20">
        <v>75</v>
      </c>
      <c r="C6950" s="20">
        <v>51</v>
      </c>
      <c r="D6950" s="24"/>
      <c r="E6950" s="24"/>
      <c r="F6950" s="20" t="s">
        <v>31728</v>
      </c>
      <c r="G6950" s="24"/>
      <c r="H6950" s="24"/>
      <c r="I6950" s="24" t="str">
        <f ca="1">IFERROR(__xludf.DUMMYFUNCTION("GOOGLETRANSLATE(F6950,""en"",""pt"")"),"Motores, comandos de motor, dispositivos de circuitos de controlo e timeswitches")</f>
        <v>Motores, comandos de motor, dispositivos de circuitos de controlo e timeswitches</v>
      </c>
      <c r="J6950" t="str">
        <f>VLOOKUP(A6950,Pr_Base_LNEC!$A$4:$J$6971,6,FALSE)</f>
        <v>Motores, Controles d Motos, Dispositivos de Control de Circuitos e Interruptores e Temporizadores</v>
      </c>
      <c r="K6950">
        <f>VLOOKUP(A6950,Pr_Base_LNEC!$A$4:$J$6971,7,FALSE)</f>
        <v>0</v>
      </c>
    </row>
    <row r="6951" spans="1:11" ht="14.5">
      <c r="A6951" s="20" t="s">
        <v>31729</v>
      </c>
      <c r="B6951" s="20">
        <v>75</v>
      </c>
      <c r="C6951" s="20">
        <v>51</v>
      </c>
      <c r="D6951" s="20">
        <v>17</v>
      </c>
      <c r="E6951" s="24"/>
      <c r="F6951" s="20" t="s">
        <v>31730</v>
      </c>
      <c r="G6951" s="24"/>
      <c r="H6951" s="24"/>
      <c r="I6951" s="24" t="str">
        <f ca="1">IFERROR(__xludf.DUMMYFUNCTION("GOOGLETRANSLATE(F6951,""en"",""pt"")"),"dispositivos de circuitos de controlo e timeswitches")</f>
        <v>dispositivos de circuitos de controlo e timeswitches</v>
      </c>
      <c r="J6951">
        <f>VLOOKUP(A6951,Pr_Base_LNEC!$A$4:$J$6971,6,FALSE)</f>
        <v>0</v>
      </c>
      <c r="K6951">
        <f>VLOOKUP(A6951,Pr_Base_LNEC!$A$4:$J$6971,7,FALSE)</f>
        <v>0</v>
      </c>
    </row>
    <row r="6952" spans="1:11" ht="14.5">
      <c r="A6952" s="20" t="s">
        <v>31731</v>
      </c>
      <c r="B6952" s="20">
        <v>75</v>
      </c>
      <c r="C6952" s="20">
        <v>51</v>
      </c>
      <c r="D6952" s="20">
        <v>17</v>
      </c>
      <c r="E6952" s="20">
        <v>27</v>
      </c>
      <c r="F6952" s="20" t="s">
        <v>31732</v>
      </c>
      <c r="G6952" s="20" t="s">
        <v>31733</v>
      </c>
      <c r="H6952" s="24"/>
      <c r="I6952" s="24" t="str">
        <f ca="1">IFERROR(__xludf.DUMMYFUNCTION("GOOGLETRANSLATE(F6952,""en"",""pt"")"),"botões de parada de emergência")</f>
        <v>botões de parada de emergência</v>
      </c>
      <c r="J6952">
        <f>VLOOKUP(A6952,Pr_Base_LNEC!$A$4:$J$6971,6,FALSE)</f>
        <v>0</v>
      </c>
      <c r="K6952">
        <f>VLOOKUP(A6952,Pr_Base_LNEC!$A$4:$J$6971,7,FALSE)</f>
        <v>0</v>
      </c>
    </row>
    <row r="6953" spans="1:11" ht="14.5">
      <c r="A6953" s="20" t="s">
        <v>31734</v>
      </c>
      <c r="B6953" s="20">
        <v>75</v>
      </c>
      <c r="C6953" s="20">
        <v>51</v>
      </c>
      <c r="D6953" s="20">
        <v>17</v>
      </c>
      <c r="E6953" s="20">
        <v>50</v>
      </c>
      <c r="F6953" s="20" t="s">
        <v>31735</v>
      </c>
      <c r="G6953" s="20" t="s">
        <v>31736</v>
      </c>
      <c r="H6953" s="24"/>
      <c r="I6953" s="24" t="str">
        <f ca="1">IFERROR(__xludf.DUMMYFUNCTION("GOOGLETRANSLATE(F6953,""en"",""pt"")"),"interruptores de controlo manuais")</f>
        <v>interruptores de controlo manuais</v>
      </c>
      <c r="J6953">
        <f>VLOOKUP(A6953,Pr_Base_LNEC!$A$4:$J$6971,6,FALSE)</f>
        <v>0</v>
      </c>
      <c r="K6953">
        <f>VLOOKUP(A6953,Pr_Base_LNEC!$A$4:$J$6971,7,FALSE)</f>
        <v>0</v>
      </c>
    </row>
    <row r="6954" spans="1:11" ht="14.5">
      <c r="A6954" s="20" t="s">
        <v>31737</v>
      </c>
      <c r="B6954" s="20">
        <v>75</v>
      </c>
      <c r="C6954" s="20">
        <v>51</v>
      </c>
      <c r="D6954" s="20">
        <v>17</v>
      </c>
      <c r="E6954" s="20">
        <v>66</v>
      </c>
      <c r="F6954" s="20" t="s">
        <v>31738</v>
      </c>
      <c r="G6954" s="20" t="s">
        <v>31739</v>
      </c>
      <c r="H6954" s="24"/>
      <c r="I6954" s="24" t="str">
        <f ca="1">IFERROR(__xludf.DUMMYFUNCTION("GOOGLETRANSLATE(F6954,""en"",""pt"")"),"interruptores de botão de pressão")</f>
        <v>interruptores de botão de pressão</v>
      </c>
      <c r="J6954">
        <f>VLOOKUP(A6954,Pr_Base_LNEC!$A$4:$J$6971,6,FALSE)</f>
        <v>0</v>
      </c>
      <c r="K6954">
        <f>VLOOKUP(A6954,Pr_Base_LNEC!$A$4:$J$6971,7,FALSE)</f>
        <v>0</v>
      </c>
    </row>
    <row r="6955" spans="1:11" ht="14.5">
      <c r="A6955" s="20" t="s">
        <v>31740</v>
      </c>
      <c r="B6955" s="20">
        <v>75</v>
      </c>
      <c r="C6955" s="20">
        <v>51</v>
      </c>
      <c r="D6955" s="20">
        <v>17</v>
      </c>
      <c r="E6955" s="20">
        <v>75</v>
      </c>
      <c r="F6955" s="20" t="s">
        <v>31741</v>
      </c>
      <c r="G6955" s="20" t="s">
        <v>31739</v>
      </c>
      <c r="H6955" s="24"/>
      <c r="I6955" s="24" t="str">
        <f ca="1">IFERROR(__xludf.DUMMYFUNCTION("GOOGLETRANSLATE(F6955,""en"",""pt"")"),"interruptores de limite de segurança")</f>
        <v>interruptores de limite de segurança</v>
      </c>
      <c r="J6955">
        <f>VLOOKUP(A6955,Pr_Base_LNEC!$A$4:$J$6971,6,FALSE)</f>
        <v>0</v>
      </c>
      <c r="K6955">
        <f>VLOOKUP(A6955,Pr_Base_LNEC!$A$4:$J$6971,7,FALSE)</f>
        <v>0</v>
      </c>
    </row>
    <row r="6956" spans="1:11" ht="14.5">
      <c r="A6956" s="20" t="s">
        <v>31742</v>
      </c>
      <c r="B6956" s="20">
        <v>75</v>
      </c>
      <c r="C6956" s="20">
        <v>51</v>
      </c>
      <c r="D6956" s="20">
        <v>17</v>
      </c>
      <c r="E6956" s="20">
        <v>78</v>
      </c>
      <c r="F6956" s="20" t="s">
        <v>31743</v>
      </c>
      <c r="G6956" s="20" t="s">
        <v>31739</v>
      </c>
      <c r="H6956" s="24"/>
      <c r="I6956" s="24" t="str">
        <f ca="1">IFERROR(__xludf.DUMMYFUNCTION("GOOGLETRANSLATE(F6956,""en"",""pt"")"),"selectores")</f>
        <v>selectores</v>
      </c>
      <c r="J6956">
        <f>VLOOKUP(A6956,Pr_Base_LNEC!$A$4:$J$6971,6,FALSE)</f>
        <v>0</v>
      </c>
      <c r="K6956">
        <f>VLOOKUP(A6956,Pr_Base_LNEC!$A$4:$J$6971,7,FALSE)</f>
        <v>0</v>
      </c>
    </row>
    <row r="6957" spans="1:11" ht="14.5">
      <c r="A6957" s="20" t="s">
        <v>31744</v>
      </c>
      <c r="B6957" s="20">
        <v>75</v>
      </c>
      <c r="C6957" s="20">
        <v>51</v>
      </c>
      <c r="D6957" s="20">
        <v>17</v>
      </c>
      <c r="E6957" s="20">
        <v>87</v>
      </c>
      <c r="F6957" s="20" t="s">
        <v>31745</v>
      </c>
      <c r="G6957" s="20" t="s">
        <v>31746</v>
      </c>
      <c r="H6957" s="24"/>
      <c r="I6957" s="24" t="str">
        <f ca="1">IFERROR(__xludf.DUMMYFUNCTION("GOOGLETRANSLATE(F6957,""en"",""pt"")"),"Pauta e de controlo de carga de rádio tele-interruptores")</f>
        <v>Pauta e de controlo de carga de rádio tele-interruptores</v>
      </c>
      <c r="J6957">
        <f>VLOOKUP(A6957,Pr_Base_LNEC!$A$4:$J$6971,6,FALSE)</f>
        <v>0</v>
      </c>
      <c r="K6957">
        <f>VLOOKUP(A6957,Pr_Base_LNEC!$A$4:$J$6971,7,FALSE)</f>
        <v>0</v>
      </c>
    </row>
    <row r="6958" spans="1:11" ht="14.5">
      <c r="A6958" s="20" t="s">
        <v>31747</v>
      </c>
      <c r="B6958" s="20">
        <v>75</v>
      </c>
      <c r="C6958" s="20">
        <v>51</v>
      </c>
      <c r="D6958" s="20">
        <v>17</v>
      </c>
      <c r="E6958" s="20">
        <v>88</v>
      </c>
      <c r="F6958" s="20" t="s">
        <v>31748</v>
      </c>
      <c r="G6958" s="20" t="s">
        <v>31749</v>
      </c>
      <c r="H6958" s="24"/>
      <c r="I6958" s="24" t="str">
        <f ca="1">IFERROR(__xludf.DUMMYFUNCTION("GOOGLETRANSLATE(F6958,""en"",""pt"")"),"Posições e de controlo de carga interruptores horários")</f>
        <v>Posições e de controlo de carga interruptores horários</v>
      </c>
      <c r="J6958">
        <f>VLOOKUP(A6958,Pr_Base_LNEC!$A$4:$J$6971,6,FALSE)</f>
        <v>0</v>
      </c>
      <c r="K6958">
        <f>VLOOKUP(A6958,Pr_Base_LNEC!$A$4:$J$6971,7,FALSE)</f>
        <v>0</v>
      </c>
    </row>
    <row r="6959" spans="1:11" ht="14.5">
      <c r="A6959" s="20" t="s">
        <v>31750</v>
      </c>
      <c r="B6959" s="20">
        <v>75</v>
      </c>
      <c r="C6959" s="20">
        <v>51</v>
      </c>
      <c r="D6959" s="20">
        <v>17</v>
      </c>
      <c r="E6959" s="20">
        <v>89</v>
      </c>
      <c r="F6959" s="20" t="s">
        <v>31751</v>
      </c>
      <c r="G6959" s="20" t="s">
        <v>31752</v>
      </c>
      <c r="H6959" s="24"/>
      <c r="I6959" s="24" t="str">
        <f ca="1">IFERROR(__xludf.DUMMYFUNCTION("GOOGLETRANSLATE(F6959,""en"",""pt"")"),"interruptores de tempo")</f>
        <v>interruptores de tempo</v>
      </c>
      <c r="J6959">
        <f>VLOOKUP(A6959,Pr_Base_LNEC!$A$4:$J$6971,6,FALSE)</f>
        <v>0</v>
      </c>
      <c r="K6959">
        <f>VLOOKUP(A6959,Pr_Base_LNEC!$A$4:$J$6971,7,FALSE)</f>
        <v>0</v>
      </c>
    </row>
    <row r="6960" spans="1:11" ht="14.5">
      <c r="A6960" s="20" t="s">
        <v>31753</v>
      </c>
      <c r="B6960" s="20">
        <v>75</v>
      </c>
      <c r="C6960" s="20">
        <v>51</v>
      </c>
      <c r="D6960" s="20">
        <v>26</v>
      </c>
      <c r="E6960" s="24"/>
      <c r="F6960" s="20" t="s">
        <v>31754</v>
      </c>
      <c r="G6960" s="24"/>
      <c r="H6960" s="24"/>
      <c r="I6960" s="24" t="str">
        <f ca="1">IFERROR(__xludf.DUMMYFUNCTION("GOOGLETRANSLATE(F6960,""en"",""pt"")"),"Motores elétricos")</f>
        <v>Motores elétricos</v>
      </c>
      <c r="J6960">
        <f>VLOOKUP(A6960,Pr_Base_LNEC!$A$4:$J$6971,6,FALSE)</f>
        <v>0</v>
      </c>
      <c r="K6960">
        <f>VLOOKUP(A6960,Pr_Base_LNEC!$A$4:$J$6971,7,FALSE)</f>
        <v>0</v>
      </c>
    </row>
    <row r="6961" spans="1:11" ht="14.5">
      <c r="A6961" s="20" t="s">
        <v>31755</v>
      </c>
      <c r="B6961" s="20">
        <v>75</v>
      </c>
      <c r="C6961" s="20">
        <v>51</v>
      </c>
      <c r="D6961" s="20">
        <v>26</v>
      </c>
      <c r="E6961" s="20">
        <v>0</v>
      </c>
      <c r="F6961" s="20" t="s">
        <v>31756</v>
      </c>
      <c r="G6961" s="24"/>
      <c r="H6961" s="24"/>
      <c r="I6961" s="24" t="str">
        <f ca="1">IFERROR(__xludf.DUMMYFUNCTION("GOOGLETRANSLATE(F6961,""en"",""pt"")"),"Alternada (corrente alterna) motores de corrente run capacitor início de capacitores")</f>
        <v>Alternada (corrente alterna) motores de corrente run capacitor início de capacitores</v>
      </c>
      <c r="J6961">
        <f>VLOOKUP(A6961,Pr_Base_LNEC!$A$4:$J$6971,6,FALSE)</f>
        <v>0</v>
      </c>
      <c r="K6961">
        <f>VLOOKUP(A6961,Pr_Base_LNEC!$A$4:$J$6971,7,FALSE)</f>
        <v>0</v>
      </c>
    </row>
    <row r="6962" spans="1:11" ht="14.5">
      <c r="A6962" s="20" t="s">
        <v>31757</v>
      </c>
      <c r="B6962" s="20">
        <v>75</v>
      </c>
      <c r="C6962" s="20">
        <v>51</v>
      </c>
      <c r="D6962" s="20">
        <v>26</v>
      </c>
      <c r="E6962" s="20">
        <v>1</v>
      </c>
      <c r="F6962" s="20" t="s">
        <v>31758</v>
      </c>
      <c r="G6962" s="24"/>
      <c r="H6962" s="24"/>
      <c r="I6962" s="24" t="str">
        <f ca="1">IFERROR(__xludf.DUMMYFUNCTION("GOOGLETRANSLATE(F6962,""en"",""pt"")"),"Alternada (corrente alterna) motores de corrente de condensador")</f>
        <v>Alternada (corrente alterna) motores de corrente de condensador</v>
      </c>
      <c r="J6962">
        <f>VLOOKUP(A6962,Pr_Base_LNEC!$A$4:$J$6971,6,FALSE)</f>
        <v>0</v>
      </c>
      <c r="K6962">
        <f>VLOOKUP(A6962,Pr_Base_LNEC!$A$4:$J$6971,7,FALSE)</f>
        <v>0</v>
      </c>
    </row>
    <row r="6963" spans="1:11" ht="14.5">
      <c r="A6963" s="20" t="s">
        <v>31759</v>
      </c>
      <c r="B6963" s="20">
        <v>75</v>
      </c>
      <c r="C6963" s="20">
        <v>51</v>
      </c>
      <c r="D6963" s="20">
        <v>26</v>
      </c>
      <c r="E6963" s="20">
        <v>2</v>
      </c>
      <c r="F6963" s="20" t="s">
        <v>31760</v>
      </c>
      <c r="G6963" s="24"/>
      <c r="H6963" s="24"/>
      <c r="I6963" s="24" t="str">
        <f ca="1">IFERROR(__xludf.DUMMYFUNCTION("GOOGLETRANSLATE(F6963,""en"",""pt"")"),"Alternada (corrente alterna) motores fase dividida actuais")</f>
        <v>Alternada (corrente alterna) motores fase dividida actuais</v>
      </c>
      <c r="J6963">
        <f>VLOOKUP(A6963,Pr_Base_LNEC!$A$4:$J$6971,6,FALSE)</f>
        <v>0</v>
      </c>
      <c r="K6963">
        <f>VLOOKUP(A6963,Pr_Base_LNEC!$A$4:$J$6971,7,FALSE)</f>
        <v>0</v>
      </c>
    </row>
    <row r="6964" spans="1:11" ht="14.5">
      <c r="A6964" s="20" t="s">
        <v>31761</v>
      </c>
      <c r="B6964" s="20">
        <v>75</v>
      </c>
      <c r="C6964" s="20">
        <v>51</v>
      </c>
      <c r="D6964" s="20">
        <v>26</v>
      </c>
      <c r="E6964" s="20">
        <v>3</v>
      </c>
      <c r="F6964" s="20" t="s">
        <v>31762</v>
      </c>
      <c r="G6964" s="24"/>
      <c r="H6964" s="24"/>
      <c r="I6964" s="24" t="str">
        <f ca="1">IFERROR(__xludf.DUMMYFUNCTION("GOOGLETRANSLATE(F6964,""en"",""pt"")"),"Alternando motores de indução de corrente (corrente alterna) da gaiola de esquilo")</f>
        <v>Alternando motores de indução de corrente (corrente alterna) da gaiola de esquilo</v>
      </c>
      <c r="J6964">
        <f>VLOOKUP(A6964,Pr_Base_LNEC!$A$4:$J$6971,6,FALSE)</f>
        <v>0</v>
      </c>
      <c r="K6964">
        <f>VLOOKUP(A6964,Pr_Base_LNEC!$A$4:$J$6971,7,FALSE)</f>
        <v>0</v>
      </c>
    </row>
    <row r="6965" spans="1:11" ht="14.5">
      <c r="A6965" s="20" t="s">
        <v>31763</v>
      </c>
      <c r="B6965" s="20">
        <v>75</v>
      </c>
      <c r="C6965" s="20">
        <v>51</v>
      </c>
      <c r="D6965" s="20">
        <v>26</v>
      </c>
      <c r="E6965" s="20">
        <v>4</v>
      </c>
      <c r="F6965" s="20" t="s">
        <v>31764</v>
      </c>
      <c r="G6965" s="24"/>
      <c r="H6965" s="24"/>
      <c r="I6965" s="24" t="str">
        <f ca="1">IFERROR(__xludf.DUMMYFUNCTION("GOOGLETRANSLATE(F6965,""en"",""pt"")"),"Alternando motores de indução de corrente (corrente alterna) rotor bobinado")</f>
        <v>Alternando motores de indução de corrente (corrente alterna) rotor bobinado</v>
      </c>
      <c r="J6965">
        <f>VLOOKUP(A6965,Pr_Base_LNEC!$A$4:$J$6971,6,FALSE)</f>
        <v>0</v>
      </c>
      <c r="K6965">
        <f>VLOOKUP(A6965,Pr_Base_LNEC!$A$4:$J$6971,7,FALSE)</f>
        <v>0</v>
      </c>
    </row>
    <row r="6966" spans="1:11" ht="14.5">
      <c r="A6966" s="20" t="s">
        <v>31765</v>
      </c>
      <c r="B6966" s="20">
        <v>75</v>
      </c>
      <c r="C6966" s="20">
        <v>51</v>
      </c>
      <c r="D6966" s="20">
        <v>26</v>
      </c>
      <c r="E6966" s="20">
        <v>21</v>
      </c>
      <c r="F6966" s="20" t="s">
        <v>31766</v>
      </c>
      <c r="G6966" s="24"/>
      <c r="H6966" s="24"/>
      <c r="I6966" s="24" t="str">
        <f ca="1">IFERROR(__xludf.DUMMYFUNCTION("GOOGLETRANSLATE(F6966,""en"",""pt"")"),"corrente contínua (D.C.) motores composto ferida")</f>
        <v>corrente contínua (D.C.) motores composto ferida</v>
      </c>
      <c r="J6966">
        <f>VLOOKUP(A6966,Pr_Base_LNEC!$A$4:$J$6971,6,FALSE)</f>
        <v>0</v>
      </c>
      <c r="K6966">
        <f>VLOOKUP(A6966,Pr_Base_LNEC!$A$4:$J$6971,7,FALSE)</f>
        <v>0</v>
      </c>
    </row>
    <row r="6967" spans="1:11" ht="14.5">
      <c r="A6967" s="20" t="s">
        <v>31767</v>
      </c>
      <c r="B6967" s="20">
        <v>75</v>
      </c>
      <c r="C6967" s="20">
        <v>51</v>
      </c>
      <c r="D6967" s="20">
        <v>26</v>
      </c>
      <c r="E6967" s="20">
        <v>22</v>
      </c>
      <c r="F6967" s="20" t="s">
        <v>31768</v>
      </c>
      <c r="G6967" s="24"/>
      <c r="H6967" s="24"/>
      <c r="I6967" s="24" t="str">
        <f ca="1">IFERROR(__xludf.DUMMYFUNCTION("GOOGLETRANSLATE(F6967,""en"",""pt"")"),"corrente direta (D.C.) motores de ímã permanente")</f>
        <v>corrente direta (D.C.) motores de ímã permanente</v>
      </c>
      <c r="J6967">
        <f>VLOOKUP(A6967,Pr_Base_LNEC!$A$4:$J$6971,6,FALSE)</f>
        <v>0</v>
      </c>
      <c r="K6967">
        <f>VLOOKUP(A6967,Pr_Base_LNEC!$A$4:$J$6971,7,FALSE)</f>
        <v>0</v>
      </c>
    </row>
    <row r="6968" spans="1:11" ht="14.5">
      <c r="A6968" s="20" t="s">
        <v>31769</v>
      </c>
      <c r="B6968" s="20">
        <v>75</v>
      </c>
      <c r="C6968" s="20">
        <v>51</v>
      </c>
      <c r="D6968" s="20">
        <v>26</v>
      </c>
      <c r="E6968" s="20">
        <v>23</v>
      </c>
      <c r="F6968" s="20" t="s">
        <v>31770</v>
      </c>
      <c r="G6968" s="24"/>
      <c r="H6968" s="24"/>
      <c r="I6968" s="24" t="str">
        <f ca="1">IFERROR(__xludf.DUMMYFUNCTION("GOOGLETRANSLATE(F6968,""en"",""pt"")"),"corrente direta (corrente contínua) motores excitados separadamente")</f>
        <v>corrente direta (corrente contínua) motores excitados separadamente</v>
      </c>
      <c r="J6968">
        <f>VLOOKUP(A6968,Pr_Base_LNEC!$A$4:$J$6971,6,FALSE)</f>
        <v>0</v>
      </c>
      <c r="K6968">
        <f>VLOOKUP(A6968,Pr_Base_LNEC!$A$4:$J$6971,7,FALSE)</f>
        <v>0</v>
      </c>
    </row>
    <row r="6969" spans="1:11" ht="14.5">
      <c r="A6969" s="20" t="s">
        <v>31771</v>
      </c>
      <c r="B6969" s="20">
        <v>75</v>
      </c>
      <c r="C6969" s="20">
        <v>51</v>
      </c>
      <c r="D6969" s="20">
        <v>26</v>
      </c>
      <c r="E6969" s="20">
        <v>24</v>
      </c>
      <c r="F6969" s="20" t="s">
        <v>31772</v>
      </c>
      <c r="G6969" s="24"/>
      <c r="H6969" s="24"/>
      <c r="I6969" s="24" t="str">
        <f ca="1">IFERROR(__xludf.DUMMYFUNCTION("GOOGLETRANSLATE(F6969,""en"",""pt"")"),"corrente direta (D.C.) motores ferida série")</f>
        <v>corrente direta (D.C.) motores ferida série</v>
      </c>
      <c r="J6969">
        <f>VLOOKUP(A6969,Pr_Base_LNEC!$A$4:$J$6971,6,FALSE)</f>
        <v>0</v>
      </c>
      <c r="K6969">
        <f>VLOOKUP(A6969,Pr_Base_LNEC!$A$4:$J$6971,7,FALSE)</f>
        <v>0</v>
      </c>
    </row>
    <row r="6970" spans="1:11" ht="14.5">
      <c r="A6970" s="20" t="s">
        <v>31773</v>
      </c>
      <c r="B6970" s="20">
        <v>75</v>
      </c>
      <c r="C6970" s="20">
        <v>51</v>
      </c>
      <c r="D6970" s="20">
        <v>26</v>
      </c>
      <c r="E6970" s="20">
        <v>25</v>
      </c>
      <c r="F6970" s="20" t="s">
        <v>31774</v>
      </c>
      <c r="G6970" s="24"/>
      <c r="H6970" s="24"/>
      <c r="I6970" s="24" t="str">
        <f ca="1">IFERROR(__xludf.DUMMYFUNCTION("GOOGLETRANSLATE(F6970,""en"",""pt"")"),"corrente direta (D.C.) motores ferida shunt")</f>
        <v>corrente direta (D.C.) motores ferida shunt</v>
      </c>
      <c r="J6970">
        <f>VLOOKUP(A6970,Pr_Base_LNEC!$A$4:$J$6971,6,FALSE)</f>
        <v>0</v>
      </c>
      <c r="K6970">
        <f>VLOOKUP(A6970,Pr_Base_LNEC!$A$4:$J$6971,7,FALSE)</f>
        <v>0</v>
      </c>
    </row>
    <row r="6971" spans="1:11" ht="14.5">
      <c r="A6971" s="20" t="s">
        <v>31775</v>
      </c>
      <c r="B6971" s="20">
        <v>75</v>
      </c>
      <c r="C6971" s="20">
        <v>51</v>
      </c>
      <c r="D6971" s="20">
        <v>26</v>
      </c>
      <c r="E6971" s="20">
        <v>92</v>
      </c>
      <c r="F6971" s="20" t="s">
        <v>31776</v>
      </c>
      <c r="G6971" s="24"/>
      <c r="H6971" s="24"/>
      <c r="I6971" s="24" t="str">
        <f ca="1">IFERROR(__xludf.DUMMYFUNCTION("GOOGLETRANSLATE(F6971,""en"",""pt"")"),"motores universais")</f>
        <v>motores universais</v>
      </c>
      <c r="J6971">
        <f>VLOOKUP(A6971,Pr_Base_LNEC!$A$4:$J$6971,6,FALSE)</f>
        <v>0</v>
      </c>
      <c r="K6971">
        <f>VLOOKUP(A6971,Pr_Base_LNEC!$A$4:$J$6971,7,FALSE)</f>
        <v>0</v>
      </c>
    </row>
    <row r="6972" spans="1:11" ht="14.5">
      <c r="A6972" s="20" t="s">
        <v>31777</v>
      </c>
      <c r="B6972" s="20">
        <v>75</v>
      </c>
      <c r="C6972" s="20">
        <v>51</v>
      </c>
      <c r="D6972" s="20">
        <v>35</v>
      </c>
      <c r="E6972" s="24"/>
      <c r="F6972" s="20" t="s">
        <v>31778</v>
      </c>
      <c r="G6972" s="24"/>
      <c r="H6972" s="24"/>
      <c r="I6972" s="24" t="str">
        <f ca="1">IFERROR(__xludf.DUMMYFUNCTION("GOOGLETRANSLATE(F6972,""en"",""pt"")"),"caixas de velocidades")</f>
        <v>caixas de velocidades</v>
      </c>
      <c r="J6972" t="e">
        <f>VLOOKUP(A6972,Pr_Base_LNEC!$A$4:$J$6971,6,FALSE)</f>
        <v>#N/A</v>
      </c>
      <c r="K6972" t="e">
        <f>VLOOKUP(A6972,Pr_Base_LNEC!$A$4:$J$6971,7,FALSE)</f>
        <v>#N/A</v>
      </c>
    </row>
    <row r="6973" spans="1:11" ht="14.5">
      <c r="A6973" s="20" t="s">
        <v>31779</v>
      </c>
      <c r="B6973" s="20">
        <v>75</v>
      </c>
      <c r="C6973" s="20">
        <v>51</v>
      </c>
      <c r="D6973" s="20">
        <v>35</v>
      </c>
      <c r="E6973" s="20">
        <v>10</v>
      </c>
      <c r="F6973" s="20" t="s">
        <v>31780</v>
      </c>
      <c r="G6973" s="24"/>
      <c r="H6973" s="24"/>
      <c r="I6973" s="24" t="str">
        <f ca="1">IFERROR(__xludf.DUMMYFUNCTION("GOOGLETRANSLATE(F6973,""en"",""pt"")"),"caixas de engrenagens cônicas")</f>
        <v>caixas de engrenagens cônicas</v>
      </c>
      <c r="J6973" t="e">
        <f>VLOOKUP(A6973,Pr_Base_LNEC!$A$4:$J$6971,6,FALSE)</f>
        <v>#N/A</v>
      </c>
      <c r="K6973" t="e">
        <f>VLOOKUP(A6973,Pr_Base_LNEC!$A$4:$J$6971,7,FALSE)</f>
        <v>#N/A</v>
      </c>
    </row>
    <row r="6974" spans="1:11" ht="14.5">
      <c r="A6974" s="20" t="s">
        <v>31781</v>
      </c>
      <c r="B6974" s="20">
        <v>75</v>
      </c>
      <c r="C6974" s="20">
        <v>51</v>
      </c>
      <c r="D6974" s="20">
        <v>35</v>
      </c>
      <c r="E6974" s="20">
        <v>35</v>
      </c>
      <c r="F6974" s="20" t="s">
        <v>31782</v>
      </c>
      <c r="G6974" s="24"/>
      <c r="H6974" s="24"/>
      <c r="I6974" s="24" t="str">
        <f ca="1">IFERROR(__xludf.DUMMYFUNCTION("GOOGLETRANSLATE(F6974,""en"",""pt"")"),"caixas de engrenagens helicoidais")</f>
        <v>caixas de engrenagens helicoidais</v>
      </c>
      <c r="J6974" t="e">
        <f>VLOOKUP(A6974,Pr_Base_LNEC!$A$4:$J$6971,6,FALSE)</f>
        <v>#N/A</v>
      </c>
      <c r="K6974" t="e">
        <f>VLOOKUP(A6974,Pr_Base_LNEC!$A$4:$J$6971,7,FALSE)</f>
        <v>#N/A</v>
      </c>
    </row>
    <row r="6975" spans="1:11" ht="14.5">
      <c r="A6975" s="20" t="s">
        <v>31783</v>
      </c>
      <c r="B6975" s="20">
        <v>75</v>
      </c>
      <c r="C6975" s="20">
        <v>51</v>
      </c>
      <c r="D6975" s="20">
        <v>35</v>
      </c>
      <c r="E6975" s="20">
        <v>65</v>
      </c>
      <c r="F6975" s="20" t="s">
        <v>31784</v>
      </c>
      <c r="G6975" s="24"/>
      <c r="H6975" s="24"/>
      <c r="I6975" s="24" t="str">
        <f ca="1">IFERROR(__xludf.DUMMYFUNCTION("GOOGLETRANSLATE(F6975,""en"",""pt"")"),"redutores planetários")</f>
        <v>redutores planetários</v>
      </c>
      <c r="J6975" t="e">
        <f>VLOOKUP(A6975,Pr_Base_LNEC!$A$4:$J$6971,6,FALSE)</f>
        <v>#N/A</v>
      </c>
      <c r="K6975" t="e">
        <f>VLOOKUP(A6975,Pr_Base_LNEC!$A$4:$J$6971,7,FALSE)</f>
        <v>#N/A</v>
      </c>
    </row>
    <row r="6976" spans="1:11" ht="14.5">
      <c r="A6976" s="20" t="s">
        <v>31785</v>
      </c>
      <c r="B6976" s="20">
        <v>75</v>
      </c>
      <c r="C6976" s="20">
        <v>51</v>
      </c>
      <c r="D6976" s="20">
        <v>35</v>
      </c>
      <c r="E6976" s="20">
        <v>80</v>
      </c>
      <c r="F6976" s="20" t="s">
        <v>31786</v>
      </c>
      <c r="G6976" s="24"/>
      <c r="H6976" s="24"/>
      <c r="I6976" s="24" t="str">
        <f ca="1">IFERROR(__xludf.DUMMYFUNCTION("GOOGLETRANSLATE(F6976,""en"",""pt"")"),"caixas de engrenagens Spur")</f>
        <v>caixas de engrenagens Spur</v>
      </c>
      <c r="J6976" t="e">
        <f>VLOOKUP(A6976,Pr_Base_LNEC!$A$4:$J$6971,6,FALSE)</f>
        <v>#N/A</v>
      </c>
      <c r="K6976" t="e">
        <f>VLOOKUP(A6976,Pr_Base_LNEC!$A$4:$J$6971,7,FALSE)</f>
        <v>#N/A</v>
      </c>
    </row>
    <row r="6977" spans="1:11" ht="14.5">
      <c r="A6977" s="20" t="s">
        <v>31787</v>
      </c>
      <c r="B6977" s="20">
        <v>75</v>
      </c>
      <c r="C6977" s="20">
        <v>51</v>
      </c>
      <c r="D6977" s="20">
        <v>35</v>
      </c>
      <c r="E6977" s="20">
        <v>94</v>
      </c>
      <c r="F6977" s="20" t="s">
        <v>31788</v>
      </c>
      <c r="G6977" s="24"/>
      <c r="H6977" s="24"/>
      <c r="I6977" s="24" t="str">
        <f ca="1">IFERROR(__xludf.DUMMYFUNCTION("GOOGLETRANSLATE(F6977,""en"",""pt"")"),"caixas de velocidades hidráulicos de velocidade variável")</f>
        <v>caixas de velocidades hidráulicos de velocidade variável</v>
      </c>
      <c r="J6977" t="e">
        <f>VLOOKUP(A6977,Pr_Base_LNEC!$A$4:$J$6971,6,FALSE)</f>
        <v>#N/A</v>
      </c>
      <c r="K6977" t="e">
        <f>VLOOKUP(A6977,Pr_Base_LNEC!$A$4:$J$6971,7,FALSE)</f>
        <v>#N/A</v>
      </c>
    </row>
    <row r="6978" spans="1:11" ht="14.5">
      <c r="A6978" s="20" t="s">
        <v>31789</v>
      </c>
      <c r="B6978" s="20">
        <v>75</v>
      </c>
      <c r="C6978" s="20">
        <v>51</v>
      </c>
      <c r="D6978" s="20">
        <v>35</v>
      </c>
      <c r="E6978" s="20">
        <v>97</v>
      </c>
      <c r="F6978" s="20" t="s">
        <v>31790</v>
      </c>
      <c r="G6978" s="24"/>
      <c r="H6978" s="24"/>
      <c r="I6978" s="24" t="str">
        <f ca="1">IFERROR(__xludf.DUMMYFUNCTION("GOOGLETRANSLATE(F6978,""en"",""pt"")"),"caixas de engrenagens sem-fim")</f>
        <v>caixas de engrenagens sem-fim</v>
      </c>
      <c r="J6978" t="e">
        <f>VLOOKUP(A6978,Pr_Base_LNEC!$A$4:$J$6971,6,FALSE)</f>
        <v>#N/A</v>
      </c>
      <c r="K6978" t="e">
        <f>VLOOKUP(A6978,Pr_Base_LNEC!$A$4:$J$6971,7,FALSE)</f>
        <v>#N/A</v>
      </c>
    </row>
    <row r="6979" spans="1:11" ht="14.5">
      <c r="A6979" s="20" t="s">
        <v>31791</v>
      </c>
      <c r="B6979" s="20">
        <v>75</v>
      </c>
      <c r="C6979" s="20">
        <v>51</v>
      </c>
      <c r="D6979" s="20">
        <v>52</v>
      </c>
      <c r="E6979" s="24"/>
      <c r="F6979" s="20" t="s">
        <v>31792</v>
      </c>
      <c r="G6979" s="24"/>
      <c r="H6979" s="24"/>
      <c r="I6979" s="24" t="str">
        <f ca="1">IFERROR(__xludf.DUMMYFUNCTION("GOOGLETRANSLATE(F6979,""en"",""pt"")"),"Partidas de motores, inversores de frequência variável e contatores")</f>
        <v>Partidas de motores, inversores de frequência variável e contatores</v>
      </c>
      <c r="J6979">
        <f>VLOOKUP(A6979,Pr_Base_LNEC!$A$4:$J$6971,6,FALSE)</f>
        <v>0</v>
      </c>
      <c r="K6979">
        <f>VLOOKUP(A6979,Pr_Base_LNEC!$A$4:$J$6971,7,FALSE)</f>
        <v>0</v>
      </c>
    </row>
    <row r="6980" spans="1:11" ht="14.5">
      <c r="A6980" s="20" t="s">
        <v>31793</v>
      </c>
      <c r="B6980" s="20">
        <v>75</v>
      </c>
      <c r="C6980" s="20">
        <v>51</v>
      </c>
      <c r="D6980" s="20">
        <v>52</v>
      </c>
      <c r="E6980" s="20">
        <v>1</v>
      </c>
      <c r="F6980" s="20" t="s">
        <v>31794</v>
      </c>
      <c r="G6980" s="20" t="s">
        <v>31795</v>
      </c>
      <c r="H6980" s="24"/>
      <c r="I6980" s="24" t="str">
        <f ca="1">IFERROR(__xludf.DUMMYFUNCTION("GOOGLETRANSLATE(F6980,""en"",""pt"")"),"Alternando discos atuais (corrente alterna)")</f>
        <v>Alternando discos atuais (corrente alterna)</v>
      </c>
      <c r="J6980">
        <f>VLOOKUP(A6980,Pr_Base_LNEC!$A$4:$J$6971,6,FALSE)</f>
        <v>0</v>
      </c>
      <c r="K6980">
        <f>VLOOKUP(A6980,Pr_Base_LNEC!$A$4:$J$6971,7,FALSE)</f>
        <v>0</v>
      </c>
    </row>
    <row r="6981" spans="1:11" ht="14.5">
      <c r="A6981" s="20" t="s">
        <v>31796</v>
      </c>
      <c r="B6981" s="20">
        <v>75</v>
      </c>
      <c r="C6981" s="20">
        <v>51</v>
      </c>
      <c r="D6981" s="20">
        <v>52</v>
      </c>
      <c r="E6981" s="20">
        <v>2</v>
      </c>
      <c r="F6981" s="20" t="s">
        <v>31797</v>
      </c>
      <c r="G6981" s="20" t="s">
        <v>31798</v>
      </c>
      <c r="H6981" s="24"/>
      <c r="I6981" s="24" t="str">
        <f ca="1">IFERROR(__xludf.DUMMYFUNCTION("GOOGLETRANSLATE(F6981,""en"",""pt"")"),"Corrente alternada (corrente alterna) controladores de motor de semicondutores e entradas")</f>
        <v>Corrente alternada (corrente alterna) controladores de motor de semicondutores e entradas</v>
      </c>
      <c r="J6981">
        <f>VLOOKUP(A6981,Pr_Base_LNEC!$A$4:$J$6971,6,FALSE)</f>
        <v>0</v>
      </c>
      <c r="K6981">
        <f>VLOOKUP(A6981,Pr_Base_LNEC!$A$4:$J$6971,7,FALSE)</f>
        <v>0</v>
      </c>
    </row>
    <row r="6982" spans="1:11" ht="14.5">
      <c r="A6982" s="20" t="s">
        <v>31799</v>
      </c>
      <c r="B6982" s="20">
        <v>75</v>
      </c>
      <c r="C6982" s="20">
        <v>51</v>
      </c>
      <c r="D6982" s="20">
        <v>52</v>
      </c>
      <c r="E6982" s="20">
        <v>15</v>
      </c>
      <c r="F6982" s="20" t="s">
        <v>31800</v>
      </c>
      <c r="G6982" s="20" t="s">
        <v>31801</v>
      </c>
      <c r="H6982" s="24"/>
      <c r="I6982" s="24" t="str">
        <f ca="1">IFERROR(__xludf.DUMMYFUNCTION("GOOGLETRANSLATE(F6982,""en"",""pt"")"),"Controlo e dispositivos de comutação de protecção")</f>
        <v>Controlo e dispositivos de comutação de protecção</v>
      </c>
      <c r="J6982">
        <f>VLOOKUP(A6982,Pr_Base_LNEC!$A$4:$J$6971,6,FALSE)</f>
        <v>0</v>
      </c>
      <c r="K6982">
        <f>VLOOKUP(A6982,Pr_Base_LNEC!$A$4:$J$6971,7,FALSE)</f>
        <v>0</v>
      </c>
    </row>
    <row r="6983" spans="1:11" ht="14.5">
      <c r="A6983" s="20" t="s">
        <v>31802</v>
      </c>
      <c r="B6983" s="20">
        <v>75</v>
      </c>
      <c r="C6983" s="20">
        <v>51</v>
      </c>
      <c r="D6983" s="20">
        <v>52</v>
      </c>
      <c r="E6983" s="20">
        <v>22</v>
      </c>
      <c r="F6983" s="20" t="s">
        <v>31803</v>
      </c>
      <c r="G6983" s="20" t="s">
        <v>31804</v>
      </c>
      <c r="H6983" s="24"/>
      <c r="I6983" s="24" t="str">
        <f ca="1">IFERROR(__xludf.DUMMYFUNCTION("GOOGLETRANSLATE(F6983,""en"",""pt"")"),"starters Direct-on-line")</f>
        <v>starters Direct-on-line</v>
      </c>
      <c r="J6983">
        <f>VLOOKUP(A6983,Pr_Base_LNEC!$A$4:$J$6971,6,FALSE)</f>
        <v>0</v>
      </c>
      <c r="K6983">
        <f>VLOOKUP(A6983,Pr_Base_LNEC!$A$4:$J$6971,7,FALSE)</f>
        <v>0</v>
      </c>
    </row>
    <row r="6984" spans="1:11" ht="14.5">
      <c r="A6984" s="20" t="s">
        <v>31805</v>
      </c>
      <c r="B6984" s="20">
        <v>75</v>
      </c>
      <c r="C6984" s="20">
        <v>51</v>
      </c>
      <c r="D6984" s="20">
        <v>52</v>
      </c>
      <c r="E6984" s="20">
        <v>26</v>
      </c>
      <c r="F6984" s="20" t="s">
        <v>31806</v>
      </c>
      <c r="G6984" s="20" t="s">
        <v>31807</v>
      </c>
      <c r="H6984" s="24"/>
      <c r="I6984" s="24" t="str">
        <f ca="1">IFERROR(__xludf.DUMMYFUNCTION("GOOGLETRANSLATE(F6984,""en"",""pt"")"),"contactores electro-mecânicos")</f>
        <v>contactores electro-mecânicos</v>
      </c>
      <c r="J6984">
        <f>VLOOKUP(A6984,Pr_Base_LNEC!$A$4:$J$6971,6,FALSE)</f>
        <v>0</v>
      </c>
      <c r="K6984">
        <f>VLOOKUP(A6984,Pr_Base_LNEC!$A$4:$J$6971,7,FALSE)</f>
        <v>0</v>
      </c>
    </row>
    <row r="6985" spans="1:11" ht="14.5">
      <c r="A6985" s="20" t="s">
        <v>31808</v>
      </c>
      <c r="B6985" s="20">
        <v>75</v>
      </c>
      <c r="C6985" s="20">
        <v>51</v>
      </c>
      <c r="D6985" s="20">
        <v>52</v>
      </c>
      <c r="E6985" s="20">
        <v>27</v>
      </c>
      <c r="F6985" s="20" t="s">
        <v>31809</v>
      </c>
      <c r="G6985" s="24"/>
      <c r="H6985" s="24"/>
      <c r="I6985" s="24" t="str">
        <f ca="1">IFERROR(__xludf.DUMMYFUNCTION("GOOGLETRANSLATE(F6985,""en"",""pt"")"),"dispositivos de circuitos de controlo electromecânico")</f>
        <v>dispositivos de circuitos de controlo electromecânico</v>
      </c>
      <c r="J6985">
        <f>VLOOKUP(A6985,Pr_Base_LNEC!$A$4:$J$6971,6,FALSE)</f>
        <v>0</v>
      </c>
      <c r="K6985">
        <f>VLOOKUP(A6985,Pr_Base_LNEC!$A$4:$J$6971,7,FALSE)</f>
        <v>0</v>
      </c>
    </row>
    <row r="6986" spans="1:11" ht="14.5">
      <c r="A6986" s="20" t="s">
        <v>31810</v>
      </c>
      <c r="B6986" s="20">
        <v>75</v>
      </c>
      <c r="C6986" s="20">
        <v>51</v>
      </c>
      <c r="D6986" s="20">
        <v>52</v>
      </c>
      <c r="E6986" s="20">
        <v>58</v>
      </c>
      <c r="F6986" s="20" t="s">
        <v>31811</v>
      </c>
      <c r="G6986" s="24"/>
      <c r="H6986" s="24"/>
      <c r="I6986" s="24" t="str">
        <f ca="1">IFERROR(__xludf.DUMMYFUNCTION("GOOGLETRANSLATE(F6986,""en"",""pt"")"),"relés de sobrecarga")</f>
        <v>relés de sobrecarga</v>
      </c>
      <c r="J6986">
        <f>VLOOKUP(A6986,Pr_Base_LNEC!$A$4:$J$6971,6,FALSE)</f>
        <v>0</v>
      </c>
      <c r="K6986">
        <f>VLOOKUP(A6986,Pr_Base_LNEC!$A$4:$J$6971,7,FALSE)</f>
        <v>0</v>
      </c>
    </row>
    <row r="6987" spans="1:11" ht="14.5">
      <c r="A6987" s="20" t="s">
        <v>31812</v>
      </c>
      <c r="B6987" s="20">
        <v>75</v>
      </c>
      <c r="C6987" s="20">
        <v>51</v>
      </c>
      <c r="D6987" s="20">
        <v>52</v>
      </c>
      <c r="E6987" s="20">
        <v>82</v>
      </c>
      <c r="F6987" s="20" t="s">
        <v>31813</v>
      </c>
      <c r="G6987" s="20" t="s">
        <v>31814</v>
      </c>
      <c r="H6987" s="24"/>
      <c r="I6987" s="24" t="str">
        <f ca="1">IFERROR(__xludf.DUMMYFUNCTION("GOOGLETRANSLATE(F6987,""en"",""pt"")"),"starters delta estrela")</f>
        <v>starters delta estrela</v>
      </c>
      <c r="J6987">
        <f>VLOOKUP(A6987,Pr_Base_LNEC!$A$4:$J$6971,6,FALSE)</f>
        <v>0</v>
      </c>
      <c r="K6987">
        <f>VLOOKUP(A6987,Pr_Base_LNEC!$A$4:$J$6971,7,FALSE)</f>
        <v>0</v>
      </c>
    </row>
    <row r="6988" spans="1:11" ht="14.5">
      <c r="A6988" s="20" t="s">
        <v>31815</v>
      </c>
      <c r="B6988" s="20">
        <v>75</v>
      </c>
      <c r="C6988" s="20">
        <v>51</v>
      </c>
      <c r="D6988" s="20">
        <v>65</v>
      </c>
      <c r="E6988" s="24"/>
      <c r="F6988" s="20" t="s">
        <v>31816</v>
      </c>
      <c r="G6988" s="24"/>
      <c r="H6988" s="24"/>
      <c r="I6988" s="24" t="str">
        <f ca="1">IFERROR(__xludf.DUMMYFUNCTION("GOOGLETRANSLATE(F6988,""en"",""pt"")"),"motores pneumáticos")</f>
        <v>motores pneumáticos</v>
      </c>
      <c r="J6988" t="e">
        <f>VLOOKUP(A6988,Pr_Base_LNEC!$A$4:$J$6971,6,FALSE)</f>
        <v>#N/A</v>
      </c>
      <c r="K6988" t="e">
        <f>VLOOKUP(A6988,Pr_Base_LNEC!$A$4:$J$6971,7,FALSE)</f>
        <v>#N/A</v>
      </c>
    </row>
    <row r="6989" spans="1:11" ht="14.5">
      <c r="A6989" s="20" t="s">
        <v>31817</v>
      </c>
      <c r="B6989" s="20">
        <v>75</v>
      </c>
      <c r="C6989" s="20">
        <v>51</v>
      </c>
      <c r="D6989" s="20">
        <v>65</v>
      </c>
      <c r="E6989" s="20">
        <v>5</v>
      </c>
      <c r="F6989" s="20" t="s">
        <v>31818</v>
      </c>
      <c r="G6989" s="24"/>
      <c r="H6989" s="24"/>
      <c r="I6989" s="24" t="str">
        <f ca="1">IFERROR(__xludf.DUMMYFUNCTION("GOOGLETRANSLATE(F6989,""en"",""pt"")"),"motores de pistões axiais")</f>
        <v>motores de pistões axiais</v>
      </c>
      <c r="J6989" t="e">
        <f>VLOOKUP(A6989,Pr_Base_LNEC!$A$4:$J$6971,6,FALSE)</f>
        <v>#N/A</v>
      </c>
      <c r="K6989" t="e">
        <f>VLOOKUP(A6989,Pr_Base_LNEC!$A$4:$J$6971,7,FALSE)</f>
        <v>#N/A</v>
      </c>
    </row>
    <row r="6990" spans="1:11" ht="14.5">
      <c r="A6990" s="20" t="s">
        <v>31819</v>
      </c>
      <c r="B6990" s="20">
        <v>75</v>
      </c>
      <c r="C6990" s="20">
        <v>51</v>
      </c>
      <c r="D6990" s="20">
        <v>65</v>
      </c>
      <c r="E6990" s="20">
        <v>70</v>
      </c>
      <c r="F6990" s="20" t="s">
        <v>31820</v>
      </c>
      <c r="G6990" s="24"/>
      <c r="H6990" s="24"/>
      <c r="I6990" s="24" t="str">
        <f ca="1">IFERROR(__xludf.DUMMYFUNCTION("GOOGLETRANSLATE(F6990,""en"",""pt"")"),"motores de pistões radiais")</f>
        <v>motores de pistões radiais</v>
      </c>
      <c r="J6990" t="e">
        <f>VLOOKUP(A6990,Pr_Base_LNEC!$A$4:$J$6971,6,FALSE)</f>
        <v>#N/A</v>
      </c>
      <c r="K6990" t="e">
        <f>VLOOKUP(A6990,Pr_Base_LNEC!$A$4:$J$6971,7,FALSE)</f>
        <v>#N/A</v>
      </c>
    </row>
    <row r="6991" spans="1:11" ht="14.5">
      <c r="A6991" s="20" t="s">
        <v>31821</v>
      </c>
      <c r="B6991" s="20">
        <v>75</v>
      </c>
      <c r="C6991" s="20">
        <v>51</v>
      </c>
      <c r="D6991" s="20">
        <v>65</v>
      </c>
      <c r="E6991" s="20">
        <v>73</v>
      </c>
      <c r="F6991" s="20" t="s">
        <v>31822</v>
      </c>
      <c r="G6991" s="24"/>
      <c r="H6991" s="24"/>
      <c r="I6991" s="24" t="str">
        <f ca="1">IFERROR(__xludf.DUMMYFUNCTION("GOOGLETRANSLATE(F6991,""en"",""pt"")"),"motores de palhetas rotativas")</f>
        <v>motores de palhetas rotativas</v>
      </c>
      <c r="J6991" t="e">
        <f>VLOOKUP(A6991,Pr_Base_LNEC!$A$4:$J$6971,6,FALSE)</f>
        <v>#N/A</v>
      </c>
      <c r="K6991" t="e">
        <f>VLOOKUP(A6991,Pr_Base_LNEC!$A$4:$J$6971,7,FALSE)</f>
        <v>#N/A</v>
      </c>
    </row>
    <row r="6992" spans="1:11" ht="14.5">
      <c r="A6992" s="20" t="s">
        <v>31823</v>
      </c>
      <c r="B6992" s="20">
        <v>75</v>
      </c>
      <c r="C6992" s="20">
        <v>51</v>
      </c>
      <c r="D6992" s="20">
        <v>65</v>
      </c>
      <c r="E6992" s="20">
        <v>90</v>
      </c>
      <c r="F6992" s="20" t="s">
        <v>31824</v>
      </c>
      <c r="G6992" s="24"/>
      <c r="H6992" s="24"/>
      <c r="I6992" s="24" t="str">
        <f ca="1">IFERROR(__xludf.DUMMYFUNCTION("GOOGLETRANSLATE(F6992,""en"",""pt"")"),"Os motores de turbina de avião")</f>
        <v>Os motores de turbina de avião</v>
      </c>
      <c r="J6992" t="e">
        <f>VLOOKUP(A6992,Pr_Base_LNEC!$A$4:$J$6971,6,FALSE)</f>
        <v>#N/A</v>
      </c>
      <c r="K6992" t="e">
        <f>VLOOKUP(A6992,Pr_Base_LNEC!$A$4:$J$6971,7,FALSE)</f>
        <v>#N/A</v>
      </c>
    </row>
    <row r="6993" spans="1:11" ht="14.5">
      <c r="A6993" s="20" t="s">
        <v>31825</v>
      </c>
      <c r="B6993" s="20">
        <v>75</v>
      </c>
      <c r="C6993" s="20">
        <v>70</v>
      </c>
      <c r="D6993" s="24"/>
      <c r="E6993" s="24"/>
      <c r="F6993" s="20" t="s">
        <v>31826</v>
      </c>
      <c r="G6993" s="24"/>
      <c r="H6993" s="24"/>
      <c r="I6993" s="24" t="str">
        <f ca="1">IFERROR(__xludf.DUMMYFUNCTION("GOOGLETRANSLATE(F6993,""en"",""pt"")"),"Energia e iluminação produtos de controle")</f>
        <v>Energia e iluminação produtos de controle</v>
      </c>
      <c r="J6993" t="str">
        <f>VLOOKUP(A6993,Pr_Base_LNEC!$A$4:$J$6971,6,FALSE)</f>
        <v>Produtos para Controlo de Energia e Iluminação</v>
      </c>
      <c r="K6993">
        <f>VLOOKUP(A6993,Pr_Base_LNEC!$A$4:$J$6971,7,FALSE)</f>
        <v>0</v>
      </c>
    </row>
    <row r="6994" spans="1:11" ht="14.5">
      <c r="A6994" s="20" t="s">
        <v>31827</v>
      </c>
      <c r="B6994" s="20">
        <v>75</v>
      </c>
      <c r="C6994" s="20">
        <v>75</v>
      </c>
      <c r="D6994" s="24"/>
      <c r="E6994" s="24"/>
      <c r="F6994" s="20" t="s">
        <v>31828</v>
      </c>
      <c r="G6994" s="24"/>
      <c r="H6994" s="24"/>
      <c r="I6994" s="24" t="str">
        <f ca="1">IFERROR(__xludf.DUMMYFUNCTION("GOOGLETRANSLATE(F6994,""en"",""pt"")"),"produtos de controle de Comunicações")</f>
        <v>produtos de controle de Comunicações</v>
      </c>
      <c r="J6994" t="str">
        <f>VLOOKUP(A6994,Pr_Base_LNEC!$A$4:$J$6971,6,FALSE)</f>
        <v>Produtos para Controlo de Comunicações</v>
      </c>
      <c r="K6994">
        <f>VLOOKUP(A6994,Pr_Base_LNEC!$A$4:$J$6971,7,FALSE)</f>
        <v>0</v>
      </c>
    </row>
    <row r="6995" spans="1:11" ht="14.5">
      <c r="A6995" s="20" t="s">
        <v>31829</v>
      </c>
      <c r="B6995" s="20">
        <v>75</v>
      </c>
      <c r="C6995" s="20">
        <v>75</v>
      </c>
      <c r="D6995" s="20">
        <v>4</v>
      </c>
      <c r="E6995" s="24"/>
      <c r="F6995" s="20" t="s">
        <v>31830</v>
      </c>
      <c r="G6995" s="24"/>
      <c r="H6995" s="24"/>
      <c r="I6995" s="24" t="str">
        <f ca="1">IFERROR(__xludf.DUMMYFUNCTION("GOOGLETRANSLATE(F6995,""en"",""pt"")"),"dispositivos de assistência e de chamada de enfermagem e equipamentos de controle")</f>
        <v>dispositivos de assistência e de chamada de enfermagem e equipamentos de controle</v>
      </c>
      <c r="J6995">
        <f>VLOOKUP(A6995,Pr_Base_LNEC!$A$4:$J$6971,6,FALSE)</f>
        <v>0</v>
      </c>
      <c r="K6995">
        <f>VLOOKUP(A6995,Pr_Base_LNEC!$A$4:$J$6971,7,FALSE)</f>
        <v>0</v>
      </c>
    </row>
    <row r="6996" spans="1:11" ht="14.5">
      <c r="A6996" s="20" t="s">
        <v>31831</v>
      </c>
      <c r="B6996" s="20">
        <v>75</v>
      </c>
      <c r="C6996" s="20">
        <v>75</v>
      </c>
      <c r="D6996" s="20">
        <v>4</v>
      </c>
      <c r="E6996" s="20">
        <v>0</v>
      </c>
      <c r="F6996" s="20" t="s">
        <v>31832</v>
      </c>
      <c r="G6996" s="24"/>
      <c r="H6996" s="24"/>
      <c r="I6996" s="24" t="str">
        <f ca="1">IFERROR(__xludf.DUMMYFUNCTION("GOOGLETRANSLATE(F6996,""en"",""pt"")"),"chamada assistência cabines acústicas")</f>
        <v>chamada assistência cabines acústicas</v>
      </c>
      <c r="J6996">
        <f>VLOOKUP(A6996,Pr_Base_LNEC!$A$4:$J$6971,6,FALSE)</f>
        <v>0</v>
      </c>
      <c r="K6996">
        <f>VLOOKUP(A6996,Pr_Base_LNEC!$A$4:$J$6971,7,FALSE)</f>
        <v>0</v>
      </c>
    </row>
    <row r="6997" spans="1:11" ht="14.5">
      <c r="A6997" s="20" t="s">
        <v>31833</v>
      </c>
      <c r="B6997" s="20">
        <v>75</v>
      </c>
      <c r="C6997" s="20">
        <v>75</v>
      </c>
      <c r="D6997" s="20">
        <v>4</v>
      </c>
      <c r="E6997" s="20">
        <v>1</v>
      </c>
      <c r="F6997" s="20" t="s">
        <v>31834</v>
      </c>
      <c r="G6997" s="20" t="s">
        <v>31835</v>
      </c>
      <c r="H6997" s="24"/>
      <c r="I6997" s="24" t="str">
        <f ca="1">IFERROR(__xludf.DUMMYFUNCTION("GOOGLETRANSLATE(F6997,""en"",""pt"")"),"unidades indicador assistência de chamadas")</f>
        <v>unidades indicador assistência de chamadas</v>
      </c>
      <c r="J6997">
        <f>VLOOKUP(A6997,Pr_Base_LNEC!$A$4:$J$6971,6,FALSE)</f>
        <v>0</v>
      </c>
      <c r="K6997">
        <f>VLOOKUP(A6997,Pr_Base_LNEC!$A$4:$J$6971,7,FALSE)</f>
        <v>0</v>
      </c>
    </row>
    <row r="6998" spans="1:11" ht="14.5">
      <c r="A6998" s="20" t="s">
        <v>31836</v>
      </c>
      <c r="B6998" s="20">
        <v>75</v>
      </c>
      <c r="C6998" s="20">
        <v>75</v>
      </c>
      <c r="D6998" s="20">
        <v>4</v>
      </c>
      <c r="E6998" s="20">
        <v>2</v>
      </c>
      <c r="F6998" s="20" t="s">
        <v>31837</v>
      </c>
      <c r="G6998" s="20" t="s">
        <v>31838</v>
      </c>
      <c r="H6998" s="24"/>
      <c r="I6998" s="24" t="str">
        <f ca="1">IFERROR(__xludf.DUMMYFUNCTION("GOOGLETRANSLATE(F6998,""en"",""pt"")"),"Fontes de alimentação de Assistência de chamadas")</f>
        <v>Fontes de alimentação de Assistência de chamadas</v>
      </c>
      <c r="J6998">
        <f>VLOOKUP(A6998,Pr_Base_LNEC!$A$4:$J$6971,6,FALSE)</f>
        <v>0</v>
      </c>
      <c r="K6998">
        <f>VLOOKUP(A6998,Pr_Base_LNEC!$A$4:$J$6971,7,FALSE)</f>
        <v>0</v>
      </c>
    </row>
    <row r="6999" spans="1:11" ht="14.5">
      <c r="A6999" s="20" t="s">
        <v>31839</v>
      </c>
      <c r="B6999" s="20">
        <v>75</v>
      </c>
      <c r="C6999" s="20">
        <v>75</v>
      </c>
      <c r="D6999" s="20">
        <v>4</v>
      </c>
      <c r="E6999" s="20">
        <v>3</v>
      </c>
      <c r="F6999" s="20" t="s">
        <v>31840</v>
      </c>
      <c r="G6999" s="20" t="s">
        <v>31841</v>
      </c>
      <c r="H6999" s="24"/>
      <c r="I6999" s="24" t="str">
        <f ca="1">IFERROR(__xludf.DUMMYFUNCTION("GOOGLETRANSLATE(F6999,""en"",""pt"")"),"unidades prima o botão de chamada assistência")</f>
        <v>unidades prima o botão de chamada assistência</v>
      </c>
      <c r="J6999">
        <f>VLOOKUP(A6999,Pr_Base_LNEC!$A$4:$J$6971,6,FALSE)</f>
        <v>0</v>
      </c>
      <c r="K6999">
        <f>VLOOKUP(A6999,Pr_Base_LNEC!$A$4:$J$6971,7,FALSE)</f>
        <v>0</v>
      </c>
    </row>
    <row r="7000" spans="1:11" ht="14.5">
      <c r="A7000" s="20" t="s">
        <v>31842</v>
      </c>
      <c r="B7000" s="20">
        <v>75</v>
      </c>
      <c r="C7000" s="20">
        <v>75</v>
      </c>
      <c r="D7000" s="20">
        <v>4</v>
      </c>
      <c r="E7000" s="20">
        <v>4</v>
      </c>
      <c r="F7000" s="20" t="s">
        <v>31843</v>
      </c>
      <c r="G7000" s="20" t="s">
        <v>31844</v>
      </c>
      <c r="H7000" s="24"/>
      <c r="I7000" s="24" t="str">
        <f ca="1">IFERROR(__xludf.DUMMYFUNCTION("GOOGLETRANSLATE(F7000,""en"",""pt"")"),"unidades de cabo de tração assistência de chamadas")</f>
        <v>unidades de cabo de tração assistência de chamadas</v>
      </c>
      <c r="J7000">
        <f>VLOOKUP(A7000,Pr_Base_LNEC!$A$4:$J$6971,6,FALSE)</f>
        <v>0</v>
      </c>
      <c r="K7000">
        <f>VLOOKUP(A7000,Pr_Base_LNEC!$A$4:$J$6971,7,FALSE)</f>
        <v>0</v>
      </c>
    </row>
    <row r="7001" spans="1:11" ht="14.5">
      <c r="A7001" s="20" t="s">
        <v>31845</v>
      </c>
      <c r="B7001" s="20">
        <v>75</v>
      </c>
      <c r="C7001" s="20">
        <v>75</v>
      </c>
      <c r="D7001" s="20">
        <v>4</v>
      </c>
      <c r="E7001" s="20">
        <v>5</v>
      </c>
      <c r="F7001" s="20" t="s">
        <v>31846</v>
      </c>
      <c r="G7001" s="20" t="s">
        <v>31847</v>
      </c>
      <c r="H7001" s="24"/>
      <c r="I7001" s="24" t="str">
        <f ca="1">IFERROR(__xludf.DUMMYFUNCTION("GOOGLETRANSLATE(F7001,""en"",""pt"")"),"unidades de redefinição de assistência de chamadas")</f>
        <v>unidades de redefinição de assistência de chamadas</v>
      </c>
      <c r="J7001">
        <f>VLOOKUP(A7001,Pr_Base_LNEC!$A$4:$J$6971,6,FALSE)</f>
        <v>0</v>
      </c>
      <c r="K7001">
        <f>VLOOKUP(A7001,Pr_Base_LNEC!$A$4:$J$6971,7,FALSE)</f>
        <v>0</v>
      </c>
    </row>
    <row r="7002" spans="1:11" ht="14.5">
      <c r="A7002" s="20" t="s">
        <v>31848</v>
      </c>
      <c r="B7002" s="20">
        <v>75</v>
      </c>
      <c r="C7002" s="20">
        <v>75</v>
      </c>
      <c r="D7002" s="20">
        <v>4</v>
      </c>
      <c r="E7002" s="20">
        <v>57</v>
      </c>
      <c r="F7002" s="20" t="s">
        <v>31849</v>
      </c>
      <c r="G7002" s="20" t="s">
        <v>31850</v>
      </c>
      <c r="H7002" s="24"/>
      <c r="I7002" s="24" t="str">
        <f ca="1">IFERROR(__xludf.DUMMYFUNCTION("GOOGLETRANSLATE(F7002,""en"",""pt"")"),"botões de chamada Nurse")</f>
        <v>botões de chamada Nurse</v>
      </c>
      <c r="J7002">
        <f>VLOOKUP(A7002,Pr_Base_LNEC!$A$4:$J$6971,6,FALSE)</f>
        <v>0</v>
      </c>
      <c r="K7002">
        <f>VLOOKUP(A7002,Pr_Base_LNEC!$A$4:$J$6971,7,FALSE)</f>
        <v>0</v>
      </c>
    </row>
    <row r="7003" spans="1:11" ht="14.5">
      <c r="A7003" s="20" t="s">
        <v>31851</v>
      </c>
      <c r="B7003" s="20">
        <v>75</v>
      </c>
      <c r="C7003" s="20">
        <v>75</v>
      </c>
      <c r="D7003" s="20">
        <v>4</v>
      </c>
      <c r="E7003" s="20">
        <v>58</v>
      </c>
      <c r="F7003" s="20" t="s">
        <v>31852</v>
      </c>
      <c r="G7003" s="20" t="s">
        <v>31853</v>
      </c>
      <c r="H7003" s="24"/>
      <c r="I7003" s="24" t="str">
        <f ca="1">IFERROR(__xludf.DUMMYFUNCTION("GOOGLETRANSLATE(F7003,""en"",""pt"")"),"chamada de enfermeira chamada combinado de emergência / paciente / unidades de reset")</f>
        <v>chamada de enfermeira chamada combinado de emergência / paciente / unidades de reset</v>
      </c>
      <c r="J7003">
        <f>VLOOKUP(A7003,Pr_Base_LNEC!$A$4:$J$6971,6,FALSE)</f>
        <v>0</v>
      </c>
      <c r="K7003">
        <f>VLOOKUP(A7003,Pr_Base_LNEC!$A$4:$J$6971,7,FALSE)</f>
        <v>0</v>
      </c>
    </row>
    <row r="7004" spans="1:11" ht="14.5">
      <c r="A7004" s="20" t="s">
        <v>31854</v>
      </c>
      <c r="B7004" s="20">
        <v>75</v>
      </c>
      <c r="C7004" s="20">
        <v>75</v>
      </c>
      <c r="D7004" s="20">
        <v>4</v>
      </c>
      <c r="E7004" s="20">
        <v>60</v>
      </c>
      <c r="F7004" s="20" t="s">
        <v>31855</v>
      </c>
      <c r="G7004" s="20" t="s">
        <v>31856</v>
      </c>
      <c r="H7004" s="24"/>
      <c r="I7004" s="24" t="str">
        <f ca="1">IFERROR(__xludf.DUMMYFUNCTION("GOOGLETRANSLATE(F7004,""en"",""pt"")"),"chamada remates indicadores Nurse")</f>
        <v>chamada remates indicadores Nurse</v>
      </c>
      <c r="J7004">
        <f>VLOOKUP(A7004,Pr_Base_LNEC!$A$4:$J$6971,6,FALSE)</f>
        <v>0</v>
      </c>
      <c r="K7004">
        <f>VLOOKUP(A7004,Pr_Base_LNEC!$A$4:$J$6971,7,FALSE)</f>
        <v>0</v>
      </c>
    </row>
    <row r="7005" spans="1:11" ht="14.5">
      <c r="A7005" s="20" t="s">
        <v>31857</v>
      </c>
      <c r="B7005" s="20">
        <v>75</v>
      </c>
      <c r="C7005" s="20">
        <v>75</v>
      </c>
      <c r="D7005" s="20">
        <v>4</v>
      </c>
      <c r="E7005" s="20">
        <v>61</v>
      </c>
      <c r="F7005" s="20" t="s">
        <v>31858</v>
      </c>
      <c r="G7005" s="20" t="s">
        <v>31859</v>
      </c>
      <c r="H7005" s="24"/>
      <c r="I7005" s="24" t="str">
        <f ca="1">IFERROR(__xludf.DUMMYFUNCTION("GOOGLETRANSLATE(F7005,""en"",""pt"")"),"aparelhos paciente chamada de enfermeira")</f>
        <v>aparelhos paciente chamada de enfermeira</v>
      </c>
      <c r="J7005">
        <f>VLOOKUP(A7005,Pr_Base_LNEC!$A$4:$J$6971,6,FALSE)</f>
        <v>0</v>
      </c>
      <c r="K7005">
        <f>VLOOKUP(A7005,Pr_Base_LNEC!$A$4:$J$6971,7,FALSE)</f>
        <v>0</v>
      </c>
    </row>
    <row r="7006" spans="1:11" ht="14.5">
      <c r="A7006" s="20" t="s">
        <v>31860</v>
      </c>
      <c r="B7006" s="20">
        <v>75</v>
      </c>
      <c r="C7006" s="20">
        <v>75</v>
      </c>
      <c r="D7006" s="20">
        <v>4</v>
      </c>
      <c r="E7006" s="20">
        <v>62</v>
      </c>
      <c r="F7006" s="20" t="s">
        <v>31861</v>
      </c>
      <c r="G7006" s="20" t="s">
        <v>31862</v>
      </c>
      <c r="H7006" s="24"/>
      <c r="I7006" s="24" t="str">
        <f ca="1">IFERROR(__xludf.DUMMYFUNCTION("GOOGLETRANSLATE(F7006,""en"",""pt"")"),"Enfermeira cordas puxar chamada paciente")</f>
        <v>Enfermeira cordas puxar chamada paciente</v>
      </c>
      <c r="J7006">
        <f>VLOOKUP(A7006,Pr_Base_LNEC!$A$4:$J$6971,6,FALSE)</f>
        <v>0</v>
      </c>
      <c r="K7006">
        <f>VLOOKUP(A7006,Pr_Base_LNEC!$A$4:$J$6971,7,FALSE)</f>
        <v>0</v>
      </c>
    </row>
    <row r="7007" spans="1:11" ht="14.5">
      <c r="A7007" s="20" t="s">
        <v>31863</v>
      </c>
      <c r="B7007" s="20">
        <v>75</v>
      </c>
      <c r="C7007" s="20">
        <v>75</v>
      </c>
      <c r="D7007" s="20">
        <v>4</v>
      </c>
      <c r="E7007" s="20">
        <v>63</v>
      </c>
      <c r="F7007" s="20" t="s">
        <v>31864</v>
      </c>
      <c r="G7007" s="20" t="s">
        <v>31865</v>
      </c>
      <c r="H7007" s="24"/>
      <c r="I7007" s="24" t="str">
        <f ca="1">IFERROR(__xludf.DUMMYFUNCTION("GOOGLETRANSLATE(F7007,""en"",""pt"")"),"unidades de fornecimento de energia chamada de enfermeira")</f>
        <v>unidades de fornecimento de energia chamada de enfermeira</v>
      </c>
      <c r="J7007">
        <f>VLOOKUP(A7007,Pr_Base_LNEC!$A$4:$J$6971,6,FALSE)</f>
        <v>0</v>
      </c>
      <c r="K7007">
        <f>VLOOKUP(A7007,Pr_Base_LNEC!$A$4:$J$6971,7,FALSE)</f>
        <v>0</v>
      </c>
    </row>
    <row r="7008" spans="1:11" ht="14.5">
      <c r="A7008" s="20" t="s">
        <v>31866</v>
      </c>
      <c r="B7008" s="20">
        <v>75</v>
      </c>
      <c r="C7008" s="20">
        <v>75</v>
      </c>
      <c r="D7008" s="20">
        <v>4</v>
      </c>
      <c r="E7008" s="20">
        <v>64</v>
      </c>
      <c r="F7008" s="20" t="s">
        <v>31867</v>
      </c>
      <c r="G7008" s="20" t="s">
        <v>31868</v>
      </c>
      <c r="H7008" s="24"/>
      <c r="I7008" s="24" t="str">
        <f ca="1">IFERROR(__xludf.DUMMYFUNCTION("GOOGLETRANSLATE(F7008,""en"",""pt"")"),"unidades de redefinição de chamada de enfermagem")</f>
        <v>unidades de redefinição de chamada de enfermagem</v>
      </c>
      <c r="J7008">
        <f>VLOOKUP(A7008,Pr_Base_LNEC!$A$4:$J$6971,6,FALSE)</f>
        <v>0</v>
      </c>
      <c r="K7008">
        <f>VLOOKUP(A7008,Pr_Base_LNEC!$A$4:$J$6971,7,FALSE)</f>
        <v>0</v>
      </c>
    </row>
    <row r="7009" spans="1:11" ht="14.5">
      <c r="A7009" s="20" t="s">
        <v>31869</v>
      </c>
      <c r="B7009" s="20">
        <v>75</v>
      </c>
      <c r="C7009" s="20">
        <v>75</v>
      </c>
      <c r="D7009" s="20">
        <v>4</v>
      </c>
      <c r="E7009" s="20">
        <v>65</v>
      </c>
      <c r="F7009" s="20" t="s">
        <v>31870</v>
      </c>
      <c r="G7009" s="20" t="s">
        <v>31871</v>
      </c>
      <c r="H7009" s="24"/>
      <c r="I7009" s="24" t="str">
        <f ca="1">IFERROR(__xludf.DUMMYFUNCTION("GOOGLETRANSLATE(F7009,""en"",""pt"")"),"quadros indicadores enfermeira estação chamada")</f>
        <v>quadros indicadores enfermeira estação chamada</v>
      </c>
      <c r="J7009">
        <f>VLOOKUP(A7009,Pr_Base_LNEC!$A$4:$J$6971,6,FALSE)</f>
        <v>0</v>
      </c>
      <c r="K7009">
        <f>VLOOKUP(A7009,Pr_Base_LNEC!$A$4:$J$6971,7,FALSE)</f>
        <v>0</v>
      </c>
    </row>
    <row r="7010" spans="1:11" ht="14.5">
      <c r="A7010" s="20" t="s">
        <v>31872</v>
      </c>
      <c r="B7010" s="20">
        <v>75</v>
      </c>
      <c r="C7010" s="20">
        <v>75</v>
      </c>
      <c r="D7010" s="20">
        <v>4</v>
      </c>
      <c r="E7010" s="20">
        <v>66</v>
      </c>
      <c r="F7010" s="20" t="s">
        <v>31873</v>
      </c>
      <c r="G7010" s="20" t="s">
        <v>31874</v>
      </c>
      <c r="H7010" s="24"/>
      <c r="I7010" s="24" t="str">
        <f ca="1">IFERROR(__xludf.DUMMYFUNCTION("GOOGLETRANSLATE(F7010,""en"",""pt"")"),"Enfermeira emergência pull-interruptores")</f>
        <v>Enfermeira emergência pull-interruptores</v>
      </c>
      <c r="J7010">
        <f>VLOOKUP(A7010,Pr_Base_LNEC!$A$4:$J$6971,6,FALSE)</f>
        <v>0</v>
      </c>
      <c r="K7010">
        <f>VLOOKUP(A7010,Pr_Base_LNEC!$A$4:$J$6971,7,FALSE)</f>
        <v>0</v>
      </c>
    </row>
    <row r="7011" spans="1:11" ht="14.5">
      <c r="A7011" s="20" t="s">
        <v>31875</v>
      </c>
      <c r="B7011" s="20">
        <v>75</v>
      </c>
      <c r="C7011" s="20">
        <v>75</v>
      </c>
      <c r="D7011" s="20">
        <v>4</v>
      </c>
      <c r="E7011" s="20">
        <v>70</v>
      </c>
      <c r="F7011" s="20" t="s">
        <v>31876</v>
      </c>
      <c r="G7011" s="24"/>
      <c r="H7011" s="24"/>
      <c r="I7011" s="24" t="str">
        <f ca="1">IFERROR(__xludf.DUMMYFUNCTION("GOOGLETRANSLATE(F7011,""en"",""pt"")"),"pontos assistência aos passageiros de ajuda")</f>
        <v>pontos assistência aos passageiros de ajuda</v>
      </c>
      <c r="J7011">
        <f>VLOOKUP(A7011,Pr_Base_LNEC!$A$4:$J$6971,6,FALSE)</f>
        <v>0</v>
      </c>
      <c r="K7011">
        <f>VLOOKUP(A7011,Pr_Base_LNEC!$A$4:$J$6971,7,FALSE)</f>
        <v>0</v>
      </c>
    </row>
    <row r="7012" spans="1:11" ht="14.5">
      <c r="A7012" s="20" t="s">
        <v>31877</v>
      </c>
      <c r="B7012" s="20">
        <v>75</v>
      </c>
      <c r="C7012" s="20">
        <v>75</v>
      </c>
      <c r="D7012" s="20">
        <v>4</v>
      </c>
      <c r="E7012" s="20">
        <v>71</v>
      </c>
      <c r="F7012" s="20" t="s">
        <v>31878</v>
      </c>
      <c r="G7012" s="24"/>
      <c r="H7012" s="24"/>
      <c r="I7012" s="24" t="str">
        <f ca="1">IFERROR(__xludf.DUMMYFUNCTION("GOOGLETRANSLATE(F7012,""en"",""pt"")"),"assistência aos passageiros intercomunicação aparelhos")</f>
        <v>assistência aos passageiros intercomunicação aparelhos</v>
      </c>
      <c r="J7012" t="e">
        <f>VLOOKUP(A7012,Pr_Base_LNEC!$A$4:$J$6971,6,FALSE)</f>
        <v>#N/A</v>
      </c>
      <c r="K7012" t="e">
        <f>VLOOKUP(A7012,Pr_Base_LNEC!$A$4:$J$6971,7,FALSE)</f>
        <v>#N/A</v>
      </c>
    </row>
    <row r="7013" spans="1:11" ht="14.5">
      <c r="A7013" s="20" t="s">
        <v>31879</v>
      </c>
      <c r="B7013" s="20">
        <v>75</v>
      </c>
      <c r="C7013" s="20">
        <v>75</v>
      </c>
      <c r="D7013" s="20">
        <v>15</v>
      </c>
      <c r="E7013" s="24"/>
      <c r="F7013" s="20" t="s">
        <v>31880</v>
      </c>
      <c r="G7013" s="24"/>
      <c r="H7013" s="24"/>
      <c r="I7013" s="24" t="str">
        <f ca="1">IFERROR(__xludf.DUMMYFUNCTION("GOOGLETRANSLATE(F7013,""en"",""pt"")"),"Computadores e periféricos")</f>
        <v>Computadores e periféricos</v>
      </c>
      <c r="J7013">
        <f>VLOOKUP(A7013,Pr_Base_LNEC!$A$4:$J$6971,6,FALSE)</f>
        <v>0</v>
      </c>
      <c r="K7013">
        <f>VLOOKUP(A7013,Pr_Base_LNEC!$A$4:$J$6971,7,FALSE)</f>
        <v>0</v>
      </c>
    </row>
    <row r="7014" spans="1:11" ht="14.5">
      <c r="A7014" s="20" t="s">
        <v>31881</v>
      </c>
      <c r="B7014" s="20">
        <v>75</v>
      </c>
      <c r="C7014" s="20">
        <v>75</v>
      </c>
      <c r="D7014" s="20">
        <v>15</v>
      </c>
      <c r="E7014" s="20">
        <v>11</v>
      </c>
      <c r="F7014" s="20" t="s">
        <v>31882</v>
      </c>
      <c r="G7014" s="20" t="s">
        <v>31883</v>
      </c>
      <c r="H7014" s="24"/>
      <c r="I7014" s="24" t="str">
        <f ca="1">IFERROR(__xludf.DUMMYFUNCTION("GOOGLETRANSLATE(F7014,""en"",""pt"")"),"impressoras de cartões")</f>
        <v>impressoras de cartões</v>
      </c>
      <c r="J7014">
        <f>VLOOKUP(A7014,Pr_Base_LNEC!$A$4:$J$6971,6,FALSE)</f>
        <v>0</v>
      </c>
      <c r="K7014">
        <f>VLOOKUP(A7014,Pr_Base_LNEC!$A$4:$J$6971,7,FALSE)</f>
        <v>0</v>
      </c>
    </row>
    <row r="7015" spans="1:11" ht="14.5">
      <c r="A7015" s="20" t="s">
        <v>31884</v>
      </c>
      <c r="B7015" s="20">
        <v>75</v>
      </c>
      <c r="C7015" s="20">
        <v>75</v>
      </c>
      <c r="D7015" s="20">
        <v>15</v>
      </c>
      <c r="E7015" s="20">
        <v>14</v>
      </c>
      <c r="F7015" s="20" t="s">
        <v>31885</v>
      </c>
      <c r="G7015" s="24"/>
      <c r="H7015" s="24"/>
      <c r="I7015" s="24" t="str">
        <f ca="1">IFERROR(__xludf.DUMMYFUNCTION("GOOGLETRANSLATE(F7015,""en"",""pt"")"),"Combinadas scanners impressoras de photocopier-")</f>
        <v>Combinadas scanners impressoras de photocopier-</v>
      </c>
      <c r="J7015">
        <f>VLOOKUP(A7015,Pr_Base_LNEC!$A$4:$J$6971,6,FALSE)</f>
        <v>0</v>
      </c>
      <c r="K7015">
        <f>VLOOKUP(A7015,Pr_Base_LNEC!$A$4:$J$6971,7,FALSE)</f>
        <v>0</v>
      </c>
    </row>
    <row r="7016" spans="1:11" ht="14.5">
      <c r="A7016" s="20" t="s">
        <v>31886</v>
      </c>
      <c r="B7016" s="20">
        <v>75</v>
      </c>
      <c r="C7016" s="20">
        <v>75</v>
      </c>
      <c r="D7016" s="20">
        <v>15</v>
      </c>
      <c r="E7016" s="20">
        <v>15</v>
      </c>
      <c r="F7016" s="20" t="s">
        <v>31887</v>
      </c>
      <c r="G7016" s="20" t="s">
        <v>31888</v>
      </c>
      <c r="H7016" s="24"/>
      <c r="I7016" s="24" t="str">
        <f ca="1">IFERROR(__xludf.DUMMYFUNCTION("GOOGLETRANSLATE(F7016,""en"",""pt"")"),"teclados de computador")</f>
        <v>teclados de computador</v>
      </c>
      <c r="J7016">
        <f>VLOOKUP(A7016,Pr_Base_LNEC!$A$4:$J$6971,6,FALSE)</f>
        <v>0</v>
      </c>
      <c r="K7016">
        <f>VLOOKUP(A7016,Pr_Base_LNEC!$A$4:$J$6971,7,FALSE)</f>
        <v>0</v>
      </c>
    </row>
    <row r="7017" spans="1:11" ht="14.5">
      <c r="A7017" s="20" t="s">
        <v>31889</v>
      </c>
      <c r="B7017" s="20">
        <v>75</v>
      </c>
      <c r="C7017" s="20">
        <v>75</v>
      </c>
      <c r="D7017" s="20">
        <v>15</v>
      </c>
      <c r="E7017" s="20">
        <v>16</v>
      </c>
      <c r="F7017" s="20" t="s">
        <v>31890</v>
      </c>
      <c r="G7017" s="20" t="s">
        <v>31891</v>
      </c>
      <c r="H7017" s="24"/>
      <c r="I7017" s="24" t="str">
        <f ca="1">IFERROR(__xludf.DUMMYFUNCTION("GOOGLETRANSLATE(F7017,""en"",""pt"")"),"monitores de computador")</f>
        <v>monitores de computador</v>
      </c>
      <c r="J7017">
        <f>VLOOKUP(A7017,Pr_Base_LNEC!$A$4:$J$6971,6,FALSE)</f>
        <v>0</v>
      </c>
      <c r="K7017">
        <f>VLOOKUP(A7017,Pr_Base_LNEC!$A$4:$J$6971,7,FALSE)</f>
        <v>0</v>
      </c>
    </row>
    <row r="7018" spans="1:11" ht="14.5">
      <c r="A7018" s="20" t="s">
        <v>31892</v>
      </c>
      <c r="B7018" s="20">
        <v>75</v>
      </c>
      <c r="C7018" s="20">
        <v>75</v>
      </c>
      <c r="D7018" s="20">
        <v>15</v>
      </c>
      <c r="E7018" s="20">
        <v>17</v>
      </c>
      <c r="F7018" s="20" t="s">
        <v>31893</v>
      </c>
      <c r="G7018" s="24"/>
      <c r="H7018" s="24"/>
      <c r="I7018" s="24" t="str">
        <f ca="1">IFERROR(__xludf.DUMMYFUNCTION("GOOGLETRANSLATE(F7018,""en"",""pt"")"),"mouse de computador")</f>
        <v>mouse de computador</v>
      </c>
      <c r="J7018">
        <f>VLOOKUP(A7018,Pr_Base_LNEC!$A$4:$J$6971,6,FALSE)</f>
        <v>0</v>
      </c>
      <c r="K7018">
        <f>VLOOKUP(A7018,Pr_Base_LNEC!$A$4:$J$6971,7,FALSE)</f>
        <v>0</v>
      </c>
    </row>
    <row r="7019" spans="1:11" ht="14.5">
      <c r="A7019" s="20" t="s">
        <v>31894</v>
      </c>
      <c r="B7019" s="20">
        <v>75</v>
      </c>
      <c r="C7019" s="20">
        <v>75</v>
      </c>
      <c r="D7019" s="20">
        <v>15</v>
      </c>
      <c r="E7019" s="20">
        <v>21</v>
      </c>
      <c r="F7019" s="20" t="s">
        <v>31895</v>
      </c>
      <c r="G7019" s="20" t="s">
        <v>31896</v>
      </c>
      <c r="H7019" s="24"/>
      <c r="I7019" s="24" t="str">
        <f ca="1">IFERROR(__xludf.DUMMYFUNCTION("GOOGLETRANSLATE(F7019,""en"",""pt"")"),"Computadores desktop")</f>
        <v>Computadores desktop</v>
      </c>
      <c r="J7019">
        <f>VLOOKUP(A7019,Pr_Base_LNEC!$A$4:$J$6971,6,FALSE)</f>
        <v>0</v>
      </c>
      <c r="K7019">
        <f>VLOOKUP(A7019,Pr_Base_LNEC!$A$4:$J$6971,7,FALSE)</f>
        <v>0</v>
      </c>
    </row>
    <row r="7020" spans="1:11" ht="14.5">
      <c r="A7020" s="20" t="s">
        <v>31897</v>
      </c>
      <c r="B7020" s="20">
        <v>75</v>
      </c>
      <c r="C7020" s="20">
        <v>75</v>
      </c>
      <c r="D7020" s="20">
        <v>15</v>
      </c>
      <c r="E7020" s="20">
        <v>22</v>
      </c>
      <c r="F7020" s="20" t="s">
        <v>31898</v>
      </c>
      <c r="G7020" s="20" t="s">
        <v>31899</v>
      </c>
      <c r="H7020" s="24"/>
      <c r="I7020" s="24" t="str">
        <f ca="1">IFERROR(__xludf.DUMMYFUNCTION("GOOGLETRANSLATE(F7020,""en"",""pt"")"),"Câmeras digitais")</f>
        <v>Câmeras digitais</v>
      </c>
      <c r="J7020">
        <f>VLOOKUP(A7020,Pr_Base_LNEC!$A$4:$J$6971,6,FALSE)</f>
        <v>0</v>
      </c>
      <c r="K7020">
        <f>VLOOKUP(A7020,Pr_Base_LNEC!$A$4:$J$6971,7,FALSE)</f>
        <v>0</v>
      </c>
    </row>
    <row r="7021" spans="1:11" ht="14.5">
      <c r="A7021" s="20" t="s">
        <v>31900</v>
      </c>
      <c r="B7021" s="20">
        <v>75</v>
      </c>
      <c r="C7021" s="20">
        <v>75</v>
      </c>
      <c r="D7021" s="20">
        <v>15</v>
      </c>
      <c r="E7021" s="20">
        <v>24</v>
      </c>
      <c r="F7021" s="20" t="s">
        <v>31901</v>
      </c>
      <c r="G7021" s="24"/>
      <c r="H7021" s="24"/>
      <c r="I7021" s="24" t="str">
        <f ca="1">IFERROR(__xludf.DUMMYFUNCTION("GOOGLETRANSLATE(F7021,""en"",""pt"")"),"monitores de tela de exibição")</f>
        <v>monitores de tela de exibição</v>
      </c>
      <c r="J7021">
        <f>VLOOKUP(A7021,Pr_Base_LNEC!$A$4:$J$6971,6,FALSE)</f>
        <v>0</v>
      </c>
      <c r="K7021">
        <f>VLOOKUP(A7021,Pr_Base_LNEC!$A$4:$J$6971,7,FALSE)</f>
        <v>0</v>
      </c>
    </row>
    <row r="7022" spans="1:11" ht="14.5">
      <c r="A7022" s="20" t="s">
        <v>31902</v>
      </c>
      <c r="B7022" s="20">
        <v>75</v>
      </c>
      <c r="C7022" s="20">
        <v>75</v>
      </c>
      <c r="D7022" s="20">
        <v>15</v>
      </c>
      <c r="E7022" s="20">
        <v>36</v>
      </c>
      <c r="F7022" s="20" t="s">
        <v>31903</v>
      </c>
      <c r="G7022" s="24"/>
      <c r="H7022" s="24"/>
      <c r="I7022" s="24" t="str">
        <f ca="1">IFERROR(__xludf.DUMMYFUNCTION("GOOGLETRANSLATE(F7022,""en"",""pt"")"),"unidades de disco rígido")</f>
        <v>unidades de disco rígido</v>
      </c>
      <c r="J7022">
        <f>VLOOKUP(A7022,Pr_Base_LNEC!$A$4:$J$6971,6,FALSE)</f>
        <v>0</v>
      </c>
      <c r="K7022">
        <f>VLOOKUP(A7022,Pr_Base_LNEC!$A$4:$J$6971,7,FALSE)</f>
        <v>0</v>
      </c>
    </row>
    <row r="7023" spans="1:11" ht="14.5">
      <c r="A7023" s="20" t="s">
        <v>31904</v>
      </c>
      <c r="B7023" s="20">
        <v>75</v>
      </c>
      <c r="C7023" s="20">
        <v>75</v>
      </c>
      <c r="D7023" s="20">
        <v>15</v>
      </c>
      <c r="E7023" s="20">
        <v>45</v>
      </c>
      <c r="F7023" s="20" t="s">
        <v>31905</v>
      </c>
      <c r="G7023" s="24"/>
      <c r="H7023" s="24"/>
      <c r="I7023" s="24" t="str">
        <f ca="1">IFERROR(__xludf.DUMMYFUNCTION("GOOGLETRANSLATE(F7023,""en"",""pt"")"),"extensores de teclado")</f>
        <v>extensores de teclado</v>
      </c>
      <c r="J7023">
        <f>VLOOKUP(A7023,Pr_Base_LNEC!$A$4:$J$6971,6,FALSE)</f>
        <v>0</v>
      </c>
      <c r="K7023">
        <f>VLOOKUP(A7023,Pr_Base_LNEC!$A$4:$J$6971,7,FALSE)</f>
        <v>0</v>
      </c>
    </row>
    <row r="7024" spans="1:11" ht="14.5">
      <c r="A7024" s="20" t="s">
        <v>31906</v>
      </c>
      <c r="B7024" s="20">
        <v>75</v>
      </c>
      <c r="C7024" s="20">
        <v>75</v>
      </c>
      <c r="D7024" s="20">
        <v>15</v>
      </c>
      <c r="E7024" s="20">
        <v>46</v>
      </c>
      <c r="F7024" s="20" t="s">
        <v>31907</v>
      </c>
      <c r="G7024" s="24"/>
      <c r="H7024" s="24"/>
      <c r="I7024" s="24" t="str">
        <f ca="1">IFERROR(__xludf.DUMMYFUNCTION("GOOGLETRANSLATE(F7024,""en"",""pt"")"),"Os computadores portáteis")</f>
        <v>Os computadores portáteis</v>
      </c>
      <c r="J7024">
        <f>VLOOKUP(A7024,Pr_Base_LNEC!$A$4:$J$6971,6,FALSE)</f>
        <v>0</v>
      </c>
      <c r="K7024">
        <f>VLOOKUP(A7024,Pr_Base_LNEC!$A$4:$J$6971,7,FALSE)</f>
        <v>0</v>
      </c>
    </row>
    <row r="7025" spans="1:11" ht="14.5">
      <c r="A7025" s="20" t="s">
        <v>31908</v>
      </c>
      <c r="B7025" s="20">
        <v>75</v>
      </c>
      <c r="C7025" s="20">
        <v>75</v>
      </c>
      <c r="D7025" s="20">
        <v>15</v>
      </c>
      <c r="E7025" s="20">
        <v>63</v>
      </c>
      <c r="F7025" s="20" t="s">
        <v>31909</v>
      </c>
      <c r="G7025" s="24"/>
      <c r="H7025" s="24"/>
      <c r="I7025" s="24" t="str">
        <f ca="1">IFERROR(__xludf.DUMMYFUNCTION("GOOGLETRANSLATE(F7025,""en"",""pt"")"),"fotocopiadoras")</f>
        <v>fotocopiadoras</v>
      </c>
      <c r="J7025">
        <f>VLOOKUP(A7025,Pr_Base_LNEC!$A$4:$J$6971,6,FALSE)</f>
        <v>0</v>
      </c>
      <c r="K7025">
        <f>VLOOKUP(A7025,Pr_Base_LNEC!$A$4:$J$6971,7,FALSE)</f>
        <v>0</v>
      </c>
    </row>
    <row r="7026" spans="1:11" ht="14.5">
      <c r="A7026" s="20" t="s">
        <v>31910</v>
      </c>
      <c r="B7026" s="20">
        <v>75</v>
      </c>
      <c r="C7026" s="20">
        <v>75</v>
      </c>
      <c r="D7026" s="20">
        <v>15</v>
      </c>
      <c r="E7026" s="20">
        <v>66</v>
      </c>
      <c r="F7026" s="20" t="s">
        <v>31911</v>
      </c>
      <c r="G7026" s="20" t="s">
        <v>31912</v>
      </c>
      <c r="H7026" s="24"/>
      <c r="I7026" s="24" t="str">
        <f ca="1">IFERROR(__xludf.DUMMYFUNCTION("GOOGLETRANSLATE(F7026,""en"",""pt"")"),"impressoras")</f>
        <v>impressoras</v>
      </c>
      <c r="J7026">
        <f>VLOOKUP(A7026,Pr_Base_LNEC!$A$4:$J$6971,6,FALSE)</f>
        <v>0</v>
      </c>
      <c r="K7026">
        <f>VLOOKUP(A7026,Pr_Base_LNEC!$A$4:$J$6971,7,FALSE)</f>
        <v>0</v>
      </c>
    </row>
    <row r="7027" spans="1:11" ht="14.5">
      <c r="A7027" s="20" t="s">
        <v>31913</v>
      </c>
      <c r="B7027" s="20">
        <v>75</v>
      </c>
      <c r="C7027" s="20">
        <v>75</v>
      </c>
      <c r="D7027" s="20">
        <v>15</v>
      </c>
      <c r="E7027" s="20">
        <v>76</v>
      </c>
      <c r="F7027" s="20" t="s">
        <v>31914</v>
      </c>
      <c r="G7027" s="24"/>
      <c r="H7027" s="24"/>
      <c r="I7027" s="24" t="str">
        <f ca="1">IFERROR(__xludf.DUMMYFUNCTION("GOOGLETRANSLATE(F7027,""en"",""pt"")"),"scanners")</f>
        <v>scanners</v>
      </c>
      <c r="J7027">
        <f>VLOOKUP(A7027,Pr_Base_LNEC!$A$4:$J$6971,6,FALSE)</f>
        <v>0</v>
      </c>
      <c r="K7027">
        <f>VLOOKUP(A7027,Pr_Base_LNEC!$A$4:$J$6971,7,FALSE)</f>
        <v>0</v>
      </c>
    </row>
    <row r="7028" spans="1:11" ht="14.5">
      <c r="A7028" s="20" t="s">
        <v>31915</v>
      </c>
      <c r="B7028" s="20">
        <v>75</v>
      </c>
      <c r="C7028" s="20">
        <v>75</v>
      </c>
      <c r="D7028" s="20">
        <v>15</v>
      </c>
      <c r="E7028" s="20">
        <v>80</v>
      </c>
      <c r="F7028" s="20" t="s">
        <v>31916</v>
      </c>
      <c r="G7028" s="24"/>
      <c r="H7028" s="24"/>
      <c r="I7028" s="24" t="str">
        <f ca="1">IFERROR(__xludf.DUMMYFUNCTION("GOOGLETRANSLATE(F7028,""en"",""pt"")"),"servidores")</f>
        <v>servidores</v>
      </c>
      <c r="J7028">
        <f>VLOOKUP(A7028,Pr_Base_LNEC!$A$4:$J$6971,6,FALSE)</f>
        <v>0</v>
      </c>
      <c r="K7028">
        <f>VLOOKUP(A7028,Pr_Base_LNEC!$A$4:$J$6971,7,FALSE)</f>
        <v>0</v>
      </c>
    </row>
    <row r="7029" spans="1:11" ht="14.5">
      <c r="A7029" s="20" t="s">
        <v>31917</v>
      </c>
      <c r="B7029" s="20">
        <v>75</v>
      </c>
      <c r="C7029" s="20">
        <v>75</v>
      </c>
      <c r="D7029" s="20">
        <v>15</v>
      </c>
      <c r="E7029" s="20">
        <v>84</v>
      </c>
      <c r="F7029" s="20" t="s">
        <v>31918</v>
      </c>
      <c r="G7029" s="24"/>
      <c r="H7029" s="24"/>
      <c r="I7029" s="24" t="str">
        <f ca="1">IFERROR(__xludf.DUMMYFUNCTION("GOOGLETRANSLATE(F7029,""en"",""pt"")"),"gaiolas Slot para cartão")</f>
        <v>gaiolas Slot para cartão</v>
      </c>
      <c r="J7029">
        <f>VLOOKUP(A7029,Pr_Base_LNEC!$A$4:$J$6971,6,FALSE)</f>
        <v>0</v>
      </c>
      <c r="K7029">
        <f>VLOOKUP(A7029,Pr_Base_LNEC!$A$4:$J$6971,7,FALSE)</f>
        <v>0</v>
      </c>
    </row>
    <row r="7030" spans="1:11" ht="14.5">
      <c r="A7030" s="20" t="s">
        <v>31919</v>
      </c>
      <c r="B7030" s="20">
        <v>75</v>
      </c>
      <c r="C7030" s="20">
        <v>75</v>
      </c>
      <c r="D7030" s="20">
        <v>15</v>
      </c>
      <c r="E7030" s="20">
        <v>87</v>
      </c>
      <c r="F7030" s="20" t="s">
        <v>31920</v>
      </c>
      <c r="G7030" s="24"/>
      <c r="H7030" s="24"/>
      <c r="I7030" s="24" t="str">
        <f ca="1">IFERROR(__xludf.DUMMYFUNCTION("GOOGLETRANSLATE(F7030,""en"",""pt"")"),"computadores tablet")</f>
        <v>computadores tablet</v>
      </c>
      <c r="J7030" t="e">
        <f>VLOOKUP(A7030,Pr_Base_LNEC!$A$4:$J$6971,6,FALSE)</f>
        <v>#N/A</v>
      </c>
      <c r="K7030" t="e">
        <f>VLOOKUP(A7030,Pr_Base_LNEC!$A$4:$J$6971,7,FALSE)</f>
        <v>#N/A</v>
      </c>
    </row>
    <row r="7031" spans="1:11" ht="14.5">
      <c r="A7031" s="20" t="s">
        <v>31921</v>
      </c>
      <c r="B7031" s="20">
        <v>75</v>
      </c>
      <c r="C7031" s="20">
        <v>75</v>
      </c>
      <c r="D7031" s="20">
        <v>15</v>
      </c>
      <c r="E7031" s="20">
        <v>90</v>
      </c>
      <c r="F7031" s="20" t="s">
        <v>31922</v>
      </c>
      <c r="G7031" s="24"/>
      <c r="H7031" s="24"/>
      <c r="I7031" s="24" t="str">
        <f ca="1">IFERROR(__xludf.DUMMYFUNCTION("GOOGLETRANSLATE(F7031,""en"",""pt"")"),"monitores touchscreen")</f>
        <v>monitores touchscreen</v>
      </c>
      <c r="J7031">
        <f>VLOOKUP(A7031,Pr_Base_LNEC!$A$4:$J$6971,6,FALSE)</f>
        <v>0</v>
      </c>
      <c r="K7031">
        <f>VLOOKUP(A7031,Pr_Base_LNEC!$A$4:$J$6971,7,FALSE)</f>
        <v>0</v>
      </c>
    </row>
    <row r="7032" spans="1:11" ht="14.5">
      <c r="A7032" s="20" t="s">
        <v>31923</v>
      </c>
      <c r="B7032" s="20">
        <v>75</v>
      </c>
      <c r="C7032" s="20">
        <v>75</v>
      </c>
      <c r="D7032" s="20">
        <v>27</v>
      </c>
      <c r="E7032" s="24"/>
      <c r="F7032" s="20" t="s">
        <v>31924</v>
      </c>
      <c r="G7032" s="24"/>
      <c r="H7032" s="24"/>
      <c r="I7032" s="24" t="str">
        <f ca="1">IFERROR(__xludf.DUMMYFUNCTION("GOOGLETRANSLATE(F7032,""en"",""pt"")"),"produtos de controle de acesso eletrônico")</f>
        <v>produtos de controle de acesso eletrônico</v>
      </c>
      <c r="J7032">
        <f>VLOOKUP(A7032,Pr_Base_LNEC!$A$4:$J$6971,6,FALSE)</f>
        <v>0</v>
      </c>
      <c r="K7032">
        <f>VLOOKUP(A7032,Pr_Base_LNEC!$A$4:$J$6971,7,FALSE)</f>
        <v>0</v>
      </c>
    </row>
    <row r="7033" spans="1:11" ht="14.5">
      <c r="A7033" s="20" t="s">
        <v>31925</v>
      </c>
      <c r="B7033" s="20">
        <v>75</v>
      </c>
      <c r="C7033" s="20">
        <v>75</v>
      </c>
      <c r="D7033" s="20">
        <v>27</v>
      </c>
      <c r="E7033" s="20">
        <v>1</v>
      </c>
      <c r="F7033" s="20" t="s">
        <v>31926</v>
      </c>
      <c r="G7033" s="20" t="s">
        <v>31927</v>
      </c>
      <c r="H7033" s="24"/>
      <c r="I7033" s="24" t="str">
        <f ca="1">IFERROR(__xludf.DUMMYFUNCTION("GOOGLETRANSLATE(F7033,""en"",""pt"")"),"teclados digitais de controle de acesso - autônomos")</f>
        <v>teclados digitais de controle de acesso - autônomos</v>
      </c>
      <c r="J7033">
        <f>VLOOKUP(A7033,Pr_Base_LNEC!$A$4:$J$6971,6,FALSE)</f>
        <v>0</v>
      </c>
      <c r="K7033">
        <f>VLOOKUP(A7033,Pr_Base_LNEC!$A$4:$J$6971,7,FALSE)</f>
        <v>0</v>
      </c>
    </row>
    <row r="7034" spans="1:11" ht="14.5">
      <c r="A7034" s="20" t="s">
        <v>31928</v>
      </c>
      <c r="B7034" s="20">
        <v>75</v>
      </c>
      <c r="C7034" s="20">
        <v>75</v>
      </c>
      <c r="D7034" s="20">
        <v>27</v>
      </c>
      <c r="E7034" s="20">
        <v>3</v>
      </c>
      <c r="F7034" s="20" t="s">
        <v>31929</v>
      </c>
      <c r="G7034" s="20" t="s">
        <v>31930</v>
      </c>
      <c r="H7034" s="24"/>
      <c r="I7034" s="24" t="str">
        <f ca="1">IFERROR(__xludf.DUMMYFUNCTION("GOOGLETRANSLATE(F7034,""en"",""pt"")"),"unidades de controle de acesso")</f>
        <v>unidades de controle de acesso</v>
      </c>
      <c r="J7034">
        <f>VLOOKUP(A7034,Pr_Base_LNEC!$A$4:$J$6971,6,FALSE)</f>
        <v>0</v>
      </c>
      <c r="K7034">
        <f>VLOOKUP(A7034,Pr_Base_LNEC!$A$4:$J$6971,7,FALSE)</f>
        <v>0</v>
      </c>
    </row>
    <row r="7035" spans="1:11" ht="14.5">
      <c r="A7035" s="20" t="s">
        <v>31931</v>
      </c>
      <c r="B7035" s="20">
        <v>75</v>
      </c>
      <c r="C7035" s="20">
        <v>75</v>
      </c>
      <c r="D7035" s="20">
        <v>27</v>
      </c>
      <c r="E7035" s="20">
        <v>5</v>
      </c>
      <c r="F7035" s="20" t="s">
        <v>31932</v>
      </c>
      <c r="G7035" s="20" t="s">
        <v>31933</v>
      </c>
      <c r="H7035" s="24"/>
      <c r="I7035" s="24" t="str">
        <f ca="1">IFERROR(__xludf.DUMMYFUNCTION("GOOGLETRANSLATE(F7035,""en"",""pt"")"),"dispositivos de proximidade ativos")</f>
        <v>dispositivos de proximidade ativos</v>
      </c>
      <c r="J7035">
        <f>VLOOKUP(A7035,Pr_Base_LNEC!$A$4:$J$6971,6,FALSE)</f>
        <v>0</v>
      </c>
      <c r="K7035">
        <f>VLOOKUP(A7035,Pr_Base_LNEC!$A$4:$J$6971,7,FALSE)</f>
        <v>0</v>
      </c>
    </row>
    <row r="7036" spans="1:11" ht="14.5">
      <c r="A7036" s="20" t="s">
        <v>31934</v>
      </c>
      <c r="B7036" s="20">
        <v>75</v>
      </c>
      <c r="C7036" s="20">
        <v>75</v>
      </c>
      <c r="D7036" s="20">
        <v>27</v>
      </c>
      <c r="E7036" s="20">
        <v>7</v>
      </c>
      <c r="F7036" s="20" t="s">
        <v>31935</v>
      </c>
      <c r="G7036" s="20" t="s">
        <v>31936</v>
      </c>
      <c r="H7036" s="24"/>
      <c r="I7036" s="24" t="str">
        <f ca="1">IFERROR(__xludf.DUMMYFUNCTION("GOOGLETRANSLATE(F7036,""en"",""pt"")"),"leitores biométricos de impressões digitais")</f>
        <v>leitores biométricos de impressões digitais</v>
      </c>
      <c r="J7036">
        <f>VLOOKUP(A7036,Pr_Base_LNEC!$A$4:$J$6971,6,FALSE)</f>
        <v>0</v>
      </c>
      <c r="K7036">
        <f>VLOOKUP(A7036,Pr_Base_LNEC!$A$4:$J$6971,7,FALSE)</f>
        <v>0</v>
      </c>
    </row>
    <row r="7037" spans="1:11" ht="14.5">
      <c r="A7037" s="20" t="s">
        <v>31937</v>
      </c>
      <c r="B7037" s="20">
        <v>75</v>
      </c>
      <c r="C7037" s="20">
        <v>75</v>
      </c>
      <c r="D7037" s="20">
        <v>27</v>
      </c>
      <c r="E7037" s="20">
        <v>8</v>
      </c>
      <c r="F7037" s="20" t="s">
        <v>31938</v>
      </c>
      <c r="G7037" s="20" t="s">
        <v>31939</v>
      </c>
      <c r="H7037" s="24"/>
      <c r="I7037" s="24" t="str">
        <f ca="1">IFERROR(__xludf.DUMMYFUNCTION("GOOGLETRANSLATE(F7037,""en"",""pt"")"),"leitores geometria da mão biométrica")</f>
        <v>leitores geometria da mão biométrica</v>
      </c>
      <c r="J7037">
        <f>VLOOKUP(A7037,Pr_Base_LNEC!$A$4:$J$6971,6,FALSE)</f>
        <v>0</v>
      </c>
      <c r="K7037">
        <f>VLOOKUP(A7037,Pr_Base_LNEC!$A$4:$J$6971,7,FALSE)</f>
        <v>0</v>
      </c>
    </row>
    <row r="7038" spans="1:11" ht="14.5">
      <c r="A7038" s="20" t="s">
        <v>31940</v>
      </c>
      <c r="B7038" s="20">
        <v>75</v>
      </c>
      <c r="C7038" s="20">
        <v>75</v>
      </c>
      <c r="D7038" s="20">
        <v>27</v>
      </c>
      <c r="E7038" s="20">
        <v>23</v>
      </c>
      <c r="F7038" s="20" t="s">
        <v>31941</v>
      </c>
      <c r="G7038" s="20" t="s">
        <v>31942</v>
      </c>
      <c r="H7038" s="24"/>
      <c r="I7038" s="24" t="str">
        <f ca="1">IFERROR(__xludf.DUMMYFUNCTION("GOOGLETRANSLATE(F7038,""en"",""pt"")"),"estado da porta dispositivos de monitoramento")</f>
        <v>estado da porta dispositivos de monitoramento</v>
      </c>
      <c r="J7038">
        <f>VLOOKUP(A7038,Pr_Base_LNEC!$A$4:$J$6971,6,FALSE)</f>
        <v>0</v>
      </c>
      <c r="K7038">
        <f>VLOOKUP(A7038,Pr_Base_LNEC!$A$4:$J$6971,7,FALSE)</f>
        <v>0</v>
      </c>
    </row>
    <row r="7039" spans="1:11" ht="14.5">
      <c r="A7039" s="20" t="s">
        <v>31943</v>
      </c>
      <c r="B7039" s="20">
        <v>75</v>
      </c>
      <c r="C7039" s="20">
        <v>75</v>
      </c>
      <c r="D7039" s="20">
        <v>27</v>
      </c>
      <c r="E7039" s="20">
        <v>27</v>
      </c>
      <c r="F7039" s="20" t="s">
        <v>31944</v>
      </c>
      <c r="G7039" s="20" t="s">
        <v>31945</v>
      </c>
      <c r="H7039" s="24"/>
      <c r="I7039" s="24" t="str">
        <f ca="1">IFERROR(__xludf.DUMMYFUNCTION("GOOGLETRANSLATE(F7039,""en"",""pt"")"),"unidades pausa liberação de vidro das portas de emergência")</f>
        <v>unidades pausa liberação de vidro das portas de emergência</v>
      </c>
      <c r="J7039">
        <f>VLOOKUP(A7039,Pr_Base_LNEC!$A$4:$J$6971,6,FALSE)</f>
        <v>0</v>
      </c>
      <c r="K7039">
        <f>VLOOKUP(A7039,Pr_Base_LNEC!$A$4:$J$6971,7,FALSE)</f>
        <v>0</v>
      </c>
    </row>
    <row r="7040" spans="1:11" ht="14.5">
      <c r="A7040" s="20" t="s">
        <v>31946</v>
      </c>
      <c r="B7040" s="20">
        <v>75</v>
      </c>
      <c r="C7040" s="20">
        <v>75</v>
      </c>
      <c r="D7040" s="20">
        <v>27</v>
      </c>
      <c r="E7040" s="20">
        <v>28</v>
      </c>
      <c r="F7040" s="20" t="s">
        <v>31947</v>
      </c>
      <c r="G7040" s="20" t="s">
        <v>31948</v>
      </c>
      <c r="H7040" s="24"/>
      <c r="I7040" s="24" t="str">
        <f ca="1">IFERROR(__xludf.DUMMYFUNCTION("GOOGLETRANSLATE(F7040,""en"",""pt"")"),"mecanismos de liberação porta de emergência")</f>
        <v>mecanismos de liberação porta de emergência</v>
      </c>
      <c r="J7040">
        <f>VLOOKUP(A7040,Pr_Base_LNEC!$A$4:$J$6971,6,FALSE)</f>
        <v>0</v>
      </c>
      <c r="K7040">
        <f>VLOOKUP(A7040,Pr_Base_LNEC!$A$4:$J$6971,7,FALSE)</f>
        <v>0</v>
      </c>
    </row>
    <row r="7041" spans="1:11" ht="14.5">
      <c r="A7041" s="20" t="s">
        <v>31949</v>
      </c>
      <c r="B7041" s="20">
        <v>75</v>
      </c>
      <c r="C7041" s="20">
        <v>75</v>
      </c>
      <c r="D7041" s="20">
        <v>27</v>
      </c>
      <c r="E7041" s="20">
        <v>42</v>
      </c>
      <c r="F7041" s="20" t="s">
        <v>31950</v>
      </c>
      <c r="G7041" s="20" t="s">
        <v>31951</v>
      </c>
      <c r="H7041" s="24"/>
      <c r="I7041" s="24" t="str">
        <f ca="1">IFERROR(__xludf.DUMMYFUNCTION("GOOGLETRANSLATE(F7041,""en"",""pt"")"),"botoneiras de intercomunicação")</f>
        <v>botoneiras de intercomunicação</v>
      </c>
      <c r="J7041">
        <f>VLOOKUP(A7041,Pr_Base_LNEC!$A$4:$J$6971,6,FALSE)</f>
        <v>0</v>
      </c>
      <c r="K7041">
        <f>VLOOKUP(A7041,Pr_Base_LNEC!$A$4:$J$6971,7,FALSE)</f>
        <v>0</v>
      </c>
    </row>
    <row r="7042" spans="1:11" ht="14.5">
      <c r="A7042" s="20" t="s">
        <v>31952</v>
      </c>
      <c r="B7042" s="20">
        <v>75</v>
      </c>
      <c r="C7042" s="20">
        <v>75</v>
      </c>
      <c r="D7042" s="20">
        <v>27</v>
      </c>
      <c r="E7042" s="20">
        <v>43</v>
      </c>
      <c r="F7042" s="20" t="s">
        <v>31953</v>
      </c>
      <c r="G7042" s="20" t="s">
        <v>31954</v>
      </c>
      <c r="H7042" s="24"/>
      <c r="I7042" s="24" t="str">
        <f ca="1">IFERROR(__xludf.DUMMYFUNCTION("GOOGLETRANSLATE(F7042,""en"",""pt"")"),"Intercomunicação aparelhos remotos")</f>
        <v>Intercomunicação aparelhos remotos</v>
      </c>
      <c r="J7042">
        <f>VLOOKUP(A7042,Pr_Base_LNEC!$A$4:$J$6971,6,FALSE)</f>
        <v>0</v>
      </c>
      <c r="K7042">
        <f>VLOOKUP(A7042,Pr_Base_LNEC!$A$4:$J$6971,7,FALSE)</f>
        <v>0</v>
      </c>
    </row>
    <row r="7043" spans="1:11" ht="14.5">
      <c r="A7043" s="20" t="s">
        <v>31955</v>
      </c>
      <c r="B7043" s="20">
        <v>75</v>
      </c>
      <c r="C7043" s="20">
        <v>75</v>
      </c>
      <c r="D7043" s="20">
        <v>27</v>
      </c>
      <c r="E7043" s="20">
        <v>44</v>
      </c>
      <c r="F7043" s="20" t="s">
        <v>31956</v>
      </c>
      <c r="G7043" s="24"/>
      <c r="H7043" s="24"/>
      <c r="I7043" s="24" t="str">
        <f ca="1">IFERROR(__xludf.DUMMYFUNCTION("GOOGLETRANSLATE(F7043,""en"",""pt"")"),"servidores de intercomunicação")</f>
        <v>servidores de intercomunicação</v>
      </c>
      <c r="J7043" t="e">
        <f>VLOOKUP(A7043,Pr_Base_LNEC!$A$4:$J$6971,6,FALSE)</f>
        <v>#N/A</v>
      </c>
      <c r="K7043" t="e">
        <f>VLOOKUP(A7043,Pr_Base_LNEC!$A$4:$J$6971,7,FALSE)</f>
        <v>#N/A</v>
      </c>
    </row>
    <row r="7044" spans="1:11" ht="14.5">
      <c r="A7044" s="20" t="s">
        <v>31957</v>
      </c>
      <c r="B7044" s="20">
        <v>75</v>
      </c>
      <c r="C7044" s="20">
        <v>75</v>
      </c>
      <c r="D7044" s="20">
        <v>27</v>
      </c>
      <c r="E7044" s="20">
        <v>50</v>
      </c>
      <c r="F7044" s="20" t="s">
        <v>31958</v>
      </c>
      <c r="G7044" s="20" t="s">
        <v>31959</v>
      </c>
      <c r="H7044" s="24"/>
      <c r="I7044" s="24" t="str">
        <f ca="1">IFERROR(__xludf.DUMMYFUNCTION("GOOGLETRANSLATE(F7044,""en"",""pt"")"),"leitores cartão magnético")</f>
        <v>leitores cartão magnético</v>
      </c>
      <c r="J7044">
        <f>VLOOKUP(A7044,Pr_Base_LNEC!$A$4:$J$6971,6,FALSE)</f>
        <v>0</v>
      </c>
      <c r="K7044">
        <f>VLOOKUP(A7044,Pr_Base_LNEC!$A$4:$J$6971,7,FALSE)</f>
        <v>0</v>
      </c>
    </row>
    <row r="7045" spans="1:11" ht="14.5">
      <c r="A7045" s="20" t="s">
        <v>31960</v>
      </c>
      <c r="B7045" s="20">
        <v>75</v>
      </c>
      <c r="C7045" s="20">
        <v>75</v>
      </c>
      <c r="D7045" s="20">
        <v>27</v>
      </c>
      <c r="E7045" s="20">
        <v>51</v>
      </c>
      <c r="F7045" s="20" t="s">
        <v>31961</v>
      </c>
      <c r="G7045" s="20" t="s">
        <v>31962</v>
      </c>
      <c r="H7045" s="24"/>
      <c r="I7045" s="24" t="str">
        <f ca="1">IFERROR(__xludf.DUMMYFUNCTION("GOOGLETRANSLATE(F7045,""en"",""pt"")"),"cartões magnéticos magnéticos")</f>
        <v>cartões magnéticos magnéticos</v>
      </c>
      <c r="J7045">
        <f>VLOOKUP(A7045,Pr_Base_LNEC!$A$4:$J$6971,6,FALSE)</f>
        <v>0</v>
      </c>
      <c r="K7045">
        <f>VLOOKUP(A7045,Pr_Base_LNEC!$A$4:$J$6971,7,FALSE)</f>
        <v>0</v>
      </c>
    </row>
    <row r="7046" spans="1:11" ht="14.5">
      <c r="A7046" s="20" t="s">
        <v>31963</v>
      </c>
      <c r="B7046" s="20">
        <v>75</v>
      </c>
      <c r="C7046" s="20">
        <v>75</v>
      </c>
      <c r="D7046" s="20">
        <v>27</v>
      </c>
      <c r="E7046" s="20">
        <v>55</v>
      </c>
      <c r="F7046" s="20" t="s">
        <v>31964</v>
      </c>
      <c r="G7046" s="20" t="s">
        <v>31965</v>
      </c>
      <c r="H7046" s="24"/>
      <c r="I7046" s="24" t="str">
        <f ca="1">IFERROR(__xludf.DUMMYFUNCTION("GOOGLETRANSLATE(F7046,""en"",""pt"")"),"Vários cartões de tecnologia")</f>
        <v>Vários cartões de tecnologia</v>
      </c>
      <c r="J7046">
        <f>VLOOKUP(A7046,Pr_Base_LNEC!$A$4:$J$6971,6,FALSE)</f>
        <v>0</v>
      </c>
      <c r="K7046">
        <f>VLOOKUP(A7046,Pr_Base_LNEC!$A$4:$J$6971,7,FALSE)</f>
        <v>0</v>
      </c>
    </row>
    <row r="7047" spans="1:11" ht="14.5">
      <c r="A7047" s="20" t="s">
        <v>31966</v>
      </c>
      <c r="B7047" s="20">
        <v>75</v>
      </c>
      <c r="C7047" s="20">
        <v>75</v>
      </c>
      <c r="D7047" s="20">
        <v>27</v>
      </c>
      <c r="E7047" s="20">
        <v>57</v>
      </c>
      <c r="F7047" s="20" t="s">
        <v>31967</v>
      </c>
      <c r="G7047" s="20" t="s">
        <v>31968</v>
      </c>
      <c r="H7047" s="24"/>
      <c r="I7047" s="24" t="str">
        <f ca="1">IFERROR(__xludf.DUMMYFUNCTION("GOOGLETRANSLATE(F7047,""en"",""pt"")"),"leitores multi-tecnologia")</f>
        <v>leitores multi-tecnologia</v>
      </c>
      <c r="J7047">
        <f>VLOOKUP(A7047,Pr_Base_LNEC!$A$4:$J$6971,6,FALSE)</f>
        <v>0</v>
      </c>
      <c r="K7047">
        <f>VLOOKUP(A7047,Pr_Base_LNEC!$A$4:$J$6971,7,FALSE)</f>
        <v>0</v>
      </c>
    </row>
    <row r="7048" spans="1:11" ht="14.5">
      <c r="A7048" s="20" t="s">
        <v>31969</v>
      </c>
      <c r="B7048" s="20">
        <v>75</v>
      </c>
      <c r="C7048" s="20">
        <v>75</v>
      </c>
      <c r="D7048" s="20">
        <v>27</v>
      </c>
      <c r="E7048" s="20">
        <v>60</v>
      </c>
      <c r="F7048" s="20" t="s">
        <v>31970</v>
      </c>
      <c r="G7048" s="24"/>
      <c r="H7048" s="24"/>
      <c r="I7048" s="24" t="str">
        <f ca="1">IFERROR(__xludf.DUMMYFUNCTION("GOOGLETRANSLATE(F7048,""en"",""pt"")"),"dispositivos de proximidade passivos")</f>
        <v>dispositivos de proximidade passivos</v>
      </c>
      <c r="J7048">
        <f>VLOOKUP(A7048,Pr_Base_LNEC!$A$4:$J$6971,6,FALSE)</f>
        <v>0</v>
      </c>
      <c r="K7048">
        <f>VLOOKUP(A7048,Pr_Base_LNEC!$A$4:$J$6971,7,FALSE)</f>
        <v>0</v>
      </c>
    </row>
    <row r="7049" spans="1:11" ht="14.5">
      <c r="A7049" s="20" t="s">
        <v>31971</v>
      </c>
      <c r="B7049" s="20">
        <v>75</v>
      </c>
      <c r="C7049" s="20">
        <v>75</v>
      </c>
      <c r="D7049" s="20">
        <v>27</v>
      </c>
      <c r="E7049" s="20">
        <v>67</v>
      </c>
      <c r="F7049" s="20" t="s">
        <v>31972</v>
      </c>
      <c r="G7049" s="20" t="s">
        <v>31973</v>
      </c>
      <c r="H7049" s="24"/>
      <c r="I7049" s="24" t="str">
        <f ca="1">IFERROR(__xludf.DUMMYFUNCTION("GOOGLETRANSLATE(F7049,""en"",""pt"")"),"leitores de cartão de proximidade")</f>
        <v>leitores de cartão de proximidade</v>
      </c>
      <c r="J7049">
        <f>VLOOKUP(A7049,Pr_Base_LNEC!$A$4:$J$6971,6,FALSE)</f>
        <v>0</v>
      </c>
      <c r="K7049">
        <f>VLOOKUP(A7049,Pr_Base_LNEC!$A$4:$J$6971,7,FALSE)</f>
        <v>0</v>
      </c>
    </row>
    <row r="7050" spans="1:11" ht="14.5">
      <c r="A7050" s="20" t="s">
        <v>31974</v>
      </c>
      <c r="B7050" s="20">
        <v>75</v>
      </c>
      <c r="C7050" s="20">
        <v>75</v>
      </c>
      <c r="D7050" s="20">
        <v>27</v>
      </c>
      <c r="E7050" s="20">
        <v>68</v>
      </c>
      <c r="F7050" s="20" t="s">
        <v>31975</v>
      </c>
      <c r="G7050" s="20" t="s">
        <v>31976</v>
      </c>
      <c r="H7050" s="24"/>
      <c r="I7050" s="24" t="str">
        <f ca="1">IFERROR(__xludf.DUMMYFUNCTION("GOOGLETRANSLATE(F7050,""en"",""pt"")"),"cartões de proximidade")</f>
        <v>cartões de proximidade</v>
      </c>
      <c r="J7050">
        <f>VLOOKUP(A7050,Pr_Base_LNEC!$A$4:$J$6971,6,FALSE)</f>
        <v>0</v>
      </c>
      <c r="K7050">
        <f>VLOOKUP(A7050,Pr_Base_LNEC!$A$4:$J$6971,7,FALSE)</f>
        <v>0</v>
      </c>
    </row>
    <row r="7051" spans="1:11" ht="14.5">
      <c r="A7051" s="20" t="s">
        <v>31977</v>
      </c>
      <c r="B7051" s="20">
        <v>75</v>
      </c>
      <c r="C7051" s="20">
        <v>75</v>
      </c>
      <c r="D7051" s="20">
        <v>27</v>
      </c>
      <c r="E7051" s="20">
        <v>71</v>
      </c>
      <c r="F7051" s="20" t="s">
        <v>31978</v>
      </c>
      <c r="G7051" s="20" t="s">
        <v>31979</v>
      </c>
      <c r="H7051" s="24"/>
      <c r="I7051" s="24" t="str">
        <f ca="1">IFERROR(__xludf.DUMMYFUNCTION("GOOGLETRANSLATE(F7051,""en"",""pt"")"),"botões pedir a saída")</f>
        <v>botões pedir a saída</v>
      </c>
      <c r="J7051">
        <f>VLOOKUP(A7051,Pr_Base_LNEC!$A$4:$J$6971,6,FALSE)</f>
        <v>0</v>
      </c>
      <c r="K7051">
        <f>VLOOKUP(A7051,Pr_Base_LNEC!$A$4:$J$6971,7,FALSE)</f>
        <v>0</v>
      </c>
    </row>
    <row r="7052" spans="1:11" ht="14.5">
      <c r="A7052" s="20" t="s">
        <v>31980</v>
      </c>
      <c r="B7052" s="20">
        <v>75</v>
      </c>
      <c r="C7052" s="20">
        <v>75</v>
      </c>
      <c r="D7052" s="20">
        <v>27</v>
      </c>
      <c r="E7052" s="20">
        <v>72</v>
      </c>
      <c r="F7052" s="20" t="s">
        <v>31981</v>
      </c>
      <c r="G7052" s="20" t="s">
        <v>31982</v>
      </c>
      <c r="H7052" s="24"/>
      <c r="I7052" s="24" t="str">
        <f ca="1">IFERROR(__xludf.DUMMYFUNCTION("GOOGLETRANSLATE(F7052,""en"",""pt"")"),"Pedido de detectores de saída")</f>
        <v>Pedido de detectores de saída</v>
      </c>
      <c r="J7052">
        <f>VLOOKUP(A7052,Pr_Base_LNEC!$A$4:$J$6971,6,FALSE)</f>
        <v>0</v>
      </c>
      <c r="K7052">
        <f>VLOOKUP(A7052,Pr_Base_LNEC!$A$4:$J$6971,7,FALSE)</f>
        <v>0</v>
      </c>
    </row>
    <row r="7053" spans="1:11" ht="14.5">
      <c r="A7053" s="20" t="s">
        <v>31983</v>
      </c>
      <c r="B7053" s="20">
        <v>75</v>
      </c>
      <c r="C7053" s="20">
        <v>75</v>
      </c>
      <c r="D7053" s="20">
        <v>27</v>
      </c>
      <c r="E7053" s="20">
        <v>80</v>
      </c>
      <c r="F7053" s="20" t="s">
        <v>31984</v>
      </c>
      <c r="G7053" s="20" t="s">
        <v>31985</v>
      </c>
      <c r="H7053" s="24"/>
      <c r="I7053" s="24" t="str">
        <f ca="1">IFERROR(__xludf.DUMMYFUNCTION("GOOGLETRANSLATE(F7053,""en"",""pt"")"),"leitores de cartões inteligentes e escritores")</f>
        <v>leitores de cartões inteligentes e escritores</v>
      </c>
      <c r="J7053">
        <f>VLOOKUP(A7053,Pr_Base_LNEC!$A$4:$J$6971,6,FALSE)</f>
        <v>0</v>
      </c>
      <c r="K7053">
        <f>VLOOKUP(A7053,Pr_Base_LNEC!$A$4:$J$6971,7,FALSE)</f>
        <v>0</v>
      </c>
    </row>
    <row r="7054" spans="1:11" ht="14.5">
      <c r="A7054" s="20" t="s">
        <v>31986</v>
      </c>
      <c r="B7054" s="20">
        <v>75</v>
      </c>
      <c r="C7054" s="20">
        <v>75</v>
      </c>
      <c r="D7054" s="20">
        <v>27</v>
      </c>
      <c r="E7054" s="20">
        <v>82</v>
      </c>
      <c r="F7054" s="20" t="s">
        <v>31987</v>
      </c>
      <c r="G7054" s="24"/>
      <c r="H7054" s="24"/>
      <c r="I7054" s="24" t="str">
        <f ca="1">IFERROR(__xludf.DUMMYFUNCTION("GOOGLETRANSLATE(F7054,""en"",""pt"")"),"dispositivos inteligentes")</f>
        <v>dispositivos inteligentes</v>
      </c>
      <c r="J7054">
        <f>VLOOKUP(A7054,Pr_Base_LNEC!$A$4:$J$6971,6,FALSE)</f>
        <v>0</v>
      </c>
      <c r="K7054">
        <f>VLOOKUP(A7054,Pr_Base_LNEC!$A$4:$J$6971,7,FALSE)</f>
        <v>0</v>
      </c>
    </row>
    <row r="7055" spans="1:11" ht="14.5">
      <c r="A7055" s="20" t="s">
        <v>31988</v>
      </c>
      <c r="B7055" s="20">
        <v>75</v>
      </c>
      <c r="C7055" s="20">
        <v>75</v>
      </c>
      <c r="D7055" s="20">
        <v>30</v>
      </c>
      <c r="E7055" s="24"/>
      <c r="F7055" s="20" t="s">
        <v>31989</v>
      </c>
      <c r="G7055" s="24"/>
      <c r="H7055" s="24"/>
      <c r="I7055" s="24" t="str">
        <f ca="1">IFERROR(__xludf.DUMMYFUNCTION("GOOGLETRANSLATE(F7055,""en"",""pt"")"),"dispositivos de detecção de alarme de incêndio e equipamentos de controle")</f>
        <v>dispositivos de detecção de alarme de incêndio e equipamentos de controle</v>
      </c>
      <c r="J7055">
        <f>VLOOKUP(A7055,Pr_Base_LNEC!$A$4:$J$6971,6,FALSE)</f>
        <v>0</v>
      </c>
      <c r="K7055">
        <f>VLOOKUP(A7055,Pr_Base_LNEC!$A$4:$J$6971,7,FALSE)</f>
        <v>0</v>
      </c>
    </row>
    <row r="7056" spans="1:11" ht="14.5">
      <c r="A7056" s="20" t="s">
        <v>31990</v>
      </c>
      <c r="B7056" s="20">
        <v>75</v>
      </c>
      <c r="C7056" s="20">
        <v>75</v>
      </c>
      <c r="D7056" s="20">
        <v>30</v>
      </c>
      <c r="E7056" s="20">
        <v>1</v>
      </c>
      <c r="F7056" s="20" t="s">
        <v>31991</v>
      </c>
      <c r="G7056" s="20" t="s">
        <v>31992</v>
      </c>
      <c r="H7056" s="24"/>
      <c r="I7056" s="24" t="str">
        <f ca="1">IFERROR(__xludf.DUMMYFUNCTION("GOOGLETRANSLATE(F7056,""en"",""pt"")"),"tubos de amostragem por Aspiração")</f>
        <v>tubos de amostragem por Aspiração</v>
      </c>
      <c r="J7056">
        <f>VLOOKUP(A7056,Pr_Base_LNEC!$A$4:$J$6971,6,FALSE)</f>
        <v>0</v>
      </c>
      <c r="K7056">
        <f>VLOOKUP(A7056,Pr_Base_LNEC!$A$4:$J$6971,7,FALSE)</f>
        <v>0</v>
      </c>
    </row>
    <row r="7057" spans="1:11" ht="14.5">
      <c r="A7057" s="20" t="s">
        <v>31993</v>
      </c>
      <c r="B7057" s="20">
        <v>75</v>
      </c>
      <c r="C7057" s="20">
        <v>75</v>
      </c>
      <c r="D7057" s="20">
        <v>30</v>
      </c>
      <c r="E7057" s="20">
        <v>2</v>
      </c>
      <c r="F7057" s="20" t="s">
        <v>31994</v>
      </c>
      <c r="G7057" s="24"/>
      <c r="H7057" s="24"/>
      <c r="I7057" s="24" t="str">
        <f ca="1">IFERROR(__xludf.DUMMYFUNCTION("GOOGLETRANSLATE(F7057,""en"",""pt"")"),"pontos de amostragem por Aspiração")</f>
        <v>pontos de amostragem por Aspiração</v>
      </c>
      <c r="J7057">
        <f>VLOOKUP(A7057,Pr_Base_LNEC!$A$4:$J$6971,6,FALSE)</f>
        <v>0</v>
      </c>
      <c r="K7057">
        <f>VLOOKUP(A7057,Pr_Base_LNEC!$A$4:$J$6971,7,FALSE)</f>
        <v>0</v>
      </c>
    </row>
    <row r="7058" spans="1:11" ht="14.5">
      <c r="A7058" s="20" t="s">
        <v>31995</v>
      </c>
      <c r="B7058" s="20">
        <v>75</v>
      </c>
      <c r="C7058" s="20">
        <v>75</v>
      </c>
      <c r="D7058" s="20">
        <v>30</v>
      </c>
      <c r="E7058" s="20">
        <v>3</v>
      </c>
      <c r="F7058" s="20" t="s">
        <v>31996</v>
      </c>
      <c r="G7058" s="20" t="s">
        <v>31997</v>
      </c>
      <c r="H7058" s="24"/>
      <c r="I7058" s="24" t="str">
        <f ca="1">IFERROR(__xludf.DUMMYFUNCTION("GOOGLETRANSLATE(F7058,""en"",""pt"")"),"detectores de fumo por aspiração")</f>
        <v>detectores de fumo por aspiração</v>
      </c>
      <c r="J7058">
        <f>VLOOKUP(A7058,Pr_Base_LNEC!$A$4:$J$6971,6,FALSE)</f>
        <v>0</v>
      </c>
      <c r="K7058">
        <f>VLOOKUP(A7058,Pr_Base_LNEC!$A$4:$J$6971,7,FALSE)</f>
        <v>0</v>
      </c>
    </row>
    <row r="7059" spans="1:11" ht="14.5">
      <c r="A7059" s="20" t="s">
        <v>31998</v>
      </c>
      <c r="B7059" s="20">
        <v>75</v>
      </c>
      <c r="C7059" s="20">
        <v>75</v>
      </c>
      <c r="D7059" s="20">
        <v>30</v>
      </c>
      <c r="E7059" s="20">
        <v>4</v>
      </c>
      <c r="F7059" s="20" t="s">
        <v>31999</v>
      </c>
      <c r="G7059" s="24"/>
      <c r="H7059" s="24"/>
      <c r="I7059" s="24" t="str">
        <f ca="1">IFERROR(__xludf.DUMMYFUNCTION("GOOGLETRANSLATE(F7059,""en"",""pt"")"),"Aspiração unidades detector de fumaça")</f>
        <v>Aspiração unidades detector de fumaça</v>
      </c>
      <c r="J7059">
        <f>VLOOKUP(A7059,Pr_Base_LNEC!$A$4:$J$6971,6,FALSE)</f>
        <v>0</v>
      </c>
      <c r="K7059">
        <f>VLOOKUP(A7059,Pr_Base_LNEC!$A$4:$J$6971,7,FALSE)</f>
        <v>0</v>
      </c>
    </row>
    <row r="7060" spans="1:11" ht="14.5">
      <c r="A7060" s="20" t="s">
        <v>32000</v>
      </c>
      <c r="B7060" s="20">
        <v>75</v>
      </c>
      <c r="C7060" s="20">
        <v>75</v>
      </c>
      <c r="D7060" s="20">
        <v>30</v>
      </c>
      <c r="E7060" s="20">
        <v>13</v>
      </c>
      <c r="F7060" s="20" t="s">
        <v>32001</v>
      </c>
      <c r="G7060" s="20" t="s">
        <v>32002</v>
      </c>
      <c r="H7060" s="24"/>
      <c r="I7060" s="24" t="str">
        <f ca="1">IFERROR(__xludf.DUMMYFUNCTION("GOOGLETRANSLATE(F7060,""en"",""pt"")"),"O monóxido de carbono e aquecer detectores multi-sensor")</f>
        <v>O monóxido de carbono e aquecer detectores multi-sensor</v>
      </c>
      <c r="J7060">
        <f>VLOOKUP(A7060,Pr_Base_LNEC!$A$4:$J$6971,6,FALSE)</f>
        <v>0</v>
      </c>
      <c r="K7060">
        <f>VLOOKUP(A7060,Pr_Base_LNEC!$A$4:$J$6971,7,FALSE)</f>
        <v>0</v>
      </c>
    </row>
    <row r="7061" spans="1:11" ht="14.5">
      <c r="A7061" s="20" t="s">
        <v>32003</v>
      </c>
      <c r="B7061" s="20">
        <v>75</v>
      </c>
      <c r="C7061" s="20">
        <v>75</v>
      </c>
      <c r="D7061" s="20">
        <v>30</v>
      </c>
      <c r="E7061" s="20">
        <v>15</v>
      </c>
      <c r="F7061" s="20" t="s">
        <v>32004</v>
      </c>
      <c r="G7061" s="24"/>
      <c r="H7061" s="24"/>
      <c r="I7061" s="24" t="str">
        <f ca="1">IFERROR(__xludf.DUMMYFUNCTION("GOOGLETRANSLATE(F7061,""en"",""pt"")"),"detectores de fumaça e calor combinados")</f>
        <v>detectores de fumaça e calor combinados</v>
      </c>
      <c r="J7061">
        <f>VLOOKUP(A7061,Pr_Base_LNEC!$A$4:$J$6971,6,FALSE)</f>
        <v>0</v>
      </c>
      <c r="K7061">
        <f>VLOOKUP(A7061,Pr_Base_LNEC!$A$4:$J$6971,7,FALSE)</f>
        <v>0</v>
      </c>
    </row>
    <row r="7062" spans="1:11" ht="14.5">
      <c r="A7062" s="20" t="s">
        <v>32005</v>
      </c>
      <c r="B7062" s="20">
        <v>75</v>
      </c>
      <c r="C7062" s="20">
        <v>75</v>
      </c>
      <c r="D7062" s="20">
        <v>30</v>
      </c>
      <c r="E7062" s="20">
        <v>20</v>
      </c>
      <c r="F7062" s="20" t="s">
        <v>32006</v>
      </c>
      <c r="G7062" s="20" t="s">
        <v>32007</v>
      </c>
      <c r="H7062" s="24"/>
      <c r="I7062" s="24" t="str">
        <f ca="1">IFERROR(__xludf.DUMMYFUNCTION("GOOGLETRANSLATE(F7062,""en"",""pt"")"),"detectores de monóxido de fumaça doméstica e de carbono")</f>
        <v>detectores de monóxido de fumaça doméstica e de carbono</v>
      </c>
      <c r="J7062">
        <f>VLOOKUP(A7062,Pr_Base_LNEC!$A$4:$J$6971,6,FALSE)</f>
        <v>0</v>
      </c>
      <c r="K7062">
        <f>VLOOKUP(A7062,Pr_Base_LNEC!$A$4:$J$6971,7,FALSE)</f>
        <v>0</v>
      </c>
    </row>
    <row r="7063" spans="1:11" ht="14.5">
      <c r="A7063" s="20" t="s">
        <v>32008</v>
      </c>
      <c r="B7063" s="20">
        <v>75</v>
      </c>
      <c r="C7063" s="20">
        <v>75</v>
      </c>
      <c r="D7063" s="20">
        <v>30</v>
      </c>
      <c r="E7063" s="20">
        <v>22</v>
      </c>
      <c r="F7063" s="20" t="s">
        <v>32009</v>
      </c>
      <c r="G7063" s="20" t="s">
        <v>32010</v>
      </c>
      <c r="H7063" s="24"/>
      <c r="I7063" s="24" t="str">
        <f ca="1">IFERROR(__xludf.DUMMYFUNCTION("GOOGLETRANSLATE(F7063,""en"",""pt"")"),"detectores de fumaça de dutos")</f>
        <v>detectores de fumaça de dutos</v>
      </c>
      <c r="J7063">
        <f>VLOOKUP(A7063,Pr_Base_LNEC!$A$4:$J$6971,6,FALSE)</f>
        <v>0</v>
      </c>
      <c r="K7063">
        <f>VLOOKUP(A7063,Pr_Base_LNEC!$A$4:$J$6971,7,FALSE)</f>
        <v>0</v>
      </c>
    </row>
    <row r="7064" spans="1:11" ht="14.5">
      <c r="A7064" s="20" t="s">
        <v>32011</v>
      </c>
      <c r="B7064" s="20">
        <v>75</v>
      </c>
      <c r="C7064" s="20">
        <v>75</v>
      </c>
      <c r="D7064" s="20">
        <v>30</v>
      </c>
      <c r="E7064" s="20">
        <v>29</v>
      </c>
      <c r="F7064" s="20" t="s">
        <v>32012</v>
      </c>
      <c r="G7064" s="20" t="s">
        <v>32013</v>
      </c>
      <c r="H7064" s="24"/>
      <c r="I7064" s="24" t="str">
        <f ca="1">IFERROR(__xludf.DUMMYFUNCTION("GOOGLETRANSLATE(F7064,""en"",""pt"")"),"painéis de alarme de incêndio")</f>
        <v>painéis de alarme de incêndio</v>
      </c>
      <c r="J7064">
        <f>VLOOKUP(A7064,Pr_Base_LNEC!$A$4:$J$6971,6,FALSE)</f>
        <v>0</v>
      </c>
      <c r="K7064">
        <f>VLOOKUP(A7064,Pr_Base_LNEC!$A$4:$J$6971,7,FALSE)</f>
        <v>0</v>
      </c>
    </row>
    <row r="7065" spans="1:11" ht="14.5">
      <c r="A7065" s="20" t="s">
        <v>32014</v>
      </c>
      <c r="B7065" s="20">
        <v>75</v>
      </c>
      <c r="C7065" s="20">
        <v>75</v>
      </c>
      <c r="D7065" s="20">
        <v>30</v>
      </c>
      <c r="E7065" s="20">
        <v>30</v>
      </c>
      <c r="F7065" s="20" t="s">
        <v>32015</v>
      </c>
      <c r="G7065" s="20" t="s">
        <v>32016</v>
      </c>
      <c r="H7065" s="24"/>
      <c r="I7065" s="24" t="str">
        <f ca="1">IFERROR(__xludf.DUMMYFUNCTION("GOOGLETRANSLATE(F7065,""en"",""pt"")"),"sirenes de alarme de incêndio")</f>
        <v>sirenes de alarme de incêndio</v>
      </c>
      <c r="J7065">
        <f>VLOOKUP(A7065,Pr_Base_LNEC!$A$4:$J$6971,6,FALSE)</f>
        <v>0</v>
      </c>
      <c r="K7065">
        <f>VLOOKUP(A7065,Pr_Base_LNEC!$A$4:$J$6971,7,FALSE)</f>
        <v>0</v>
      </c>
    </row>
    <row r="7066" spans="1:11" ht="14.5">
      <c r="A7066" s="20" t="s">
        <v>32017</v>
      </c>
      <c r="B7066" s="20">
        <v>75</v>
      </c>
      <c r="C7066" s="20">
        <v>75</v>
      </c>
      <c r="D7066" s="20">
        <v>30</v>
      </c>
      <c r="E7066" s="20">
        <v>31</v>
      </c>
      <c r="F7066" s="20" t="s">
        <v>32018</v>
      </c>
      <c r="G7066" s="20" t="s">
        <v>32019</v>
      </c>
      <c r="H7066" s="24"/>
      <c r="I7066" s="24" t="str">
        <f ca="1">IFERROR(__xludf.DUMMYFUNCTION("GOOGLETRANSLATE(F7066,""en"",""pt"")"),"detecção de incêndio e equipamentos de alimentação de alarme")</f>
        <v>detecção de incêndio e equipamentos de alimentação de alarme</v>
      </c>
      <c r="J7066">
        <f>VLOOKUP(A7066,Pr_Base_LNEC!$A$4:$J$6971,6,FALSE)</f>
        <v>0</v>
      </c>
      <c r="K7066">
        <f>VLOOKUP(A7066,Pr_Base_LNEC!$A$4:$J$6971,7,FALSE)</f>
        <v>0</v>
      </c>
    </row>
    <row r="7067" spans="1:11" ht="14.5">
      <c r="A7067" s="20" t="s">
        <v>32020</v>
      </c>
      <c r="B7067" s="20">
        <v>75</v>
      </c>
      <c r="C7067" s="20">
        <v>75</v>
      </c>
      <c r="D7067" s="20">
        <v>30</v>
      </c>
      <c r="E7067" s="20">
        <v>37</v>
      </c>
      <c r="F7067" s="20" t="s">
        <v>32021</v>
      </c>
      <c r="G7067" s="20" t="s">
        <v>32022</v>
      </c>
      <c r="H7067" s="24"/>
      <c r="I7067" s="24" t="str">
        <f ca="1">IFERROR(__xludf.DUMMYFUNCTION("GOOGLETRANSLATE(F7067,""en"",""pt"")"),"alarmes de calor")</f>
        <v>alarmes de calor</v>
      </c>
      <c r="J7067">
        <f>VLOOKUP(A7067,Pr_Base_LNEC!$A$4:$J$6971,6,FALSE)</f>
        <v>0</v>
      </c>
      <c r="K7067">
        <f>VLOOKUP(A7067,Pr_Base_LNEC!$A$4:$J$6971,7,FALSE)</f>
        <v>0</v>
      </c>
    </row>
    <row r="7068" spans="1:11" ht="14.5">
      <c r="A7068" s="20" t="s">
        <v>32023</v>
      </c>
      <c r="B7068" s="20">
        <v>75</v>
      </c>
      <c r="C7068" s="20">
        <v>75</v>
      </c>
      <c r="D7068" s="20">
        <v>30</v>
      </c>
      <c r="E7068" s="20">
        <v>41</v>
      </c>
      <c r="F7068" s="20" t="s">
        <v>32024</v>
      </c>
      <c r="G7068" s="24"/>
      <c r="H7068" s="24"/>
      <c r="I7068" s="24" t="str">
        <f ca="1">IFERROR(__xludf.DUMMYFUNCTION("GOOGLETRANSLATE(F7068,""en"",""pt"")"),"painéis de interface")</f>
        <v>painéis de interface</v>
      </c>
      <c r="J7068">
        <f>VLOOKUP(A7068,Pr_Base_LNEC!$A$4:$J$6971,6,FALSE)</f>
        <v>0</v>
      </c>
      <c r="K7068">
        <f>VLOOKUP(A7068,Pr_Base_LNEC!$A$4:$J$6971,7,FALSE)</f>
        <v>0</v>
      </c>
    </row>
    <row r="7069" spans="1:11" ht="14.5">
      <c r="A7069" s="20" t="s">
        <v>32025</v>
      </c>
      <c r="B7069" s="20">
        <v>75</v>
      </c>
      <c r="C7069" s="20">
        <v>75</v>
      </c>
      <c r="D7069" s="20">
        <v>30</v>
      </c>
      <c r="E7069" s="20">
        <v>50</v>
      </c>
      <c r="F7069" s="20" t="s">
        <v>32026</v>
      </c>
      <c r="G7069" s="20" t="s">
        <v>32027</v>
      </c>
      <c r="H7069" s="24"/>
      <c r="I7069" s="24" t="str">
        <f ca="1">IFERROR(__xludf.DUMMYFUNCTION("GOOGLETRANSLATE(F7069,""en"",""pt"")"),"botoneiras manuais")</f>
        <v>botoneiras manuais</v>
      </c>
      <c r="J7069">
        <f>VLOOKUP(A7069,Pr_Base_LNEC!$A$4:$J$6971,6,FALSE)</f>
        <v>0</v>
      </c>
      <c r="K7069">
        <f>VLOOKUP(A7069,Pr_Base_LNEC!$A$4:$J$6971,7,FALSE)</f>
        <v>0</v>
      </c>
    </row>
    <row r="7070" spans="1:11" ht="14.5">
      <c r="A7070" s="20" t="s">
        <v>32028</v>
      </c>
      <c r="B7070" s="20">
        <v>75</v>
      </c>
      <c r="C7070" s="20">
        <v>75</v>
      </c>
      <c r="D7070" s="20">
        <v>30</v>
      </c>
      <c r="E7070" s="20">
        <v>52</v>
      </c>
      <c r="F7070" s="20" t="s">
        <v>32029</v>
      </c>
      <c r="G7070" s="20" t="s">
        <v>32030</v>
      </c>
      <c r="H7070" s="24"/>
      <c r="I7070" s="24" t="str">
        <f ca="1">IFERROR(__xludf.DUMMYFUNCTION("GOOGLETRANSLATE(F7070,""en"",""pt"")"),"painéis de alarme Mimic")</f>
        <v>painéis de alarme Mimic</v>
      </c>
      <c r="J7070">
        <f>VLOOKUP(A7070,Pr_Base_LNEC!$A$4:$J$6971,6,FALSE)</f>
        <v>0</v>
      </c>
      <c r="K7070">
        <f>VLOOKUP(A7070,Pr_Base_LNEC!$A$4:$J$6971,7,FALSE)</f>
        <v>0</v>
      </c>
    </row>
    <row r="7071" spans="1:11" ht="14.5">
      <c r="A7071" s="20" t="s">
        <v>32031</v>
      </c>
      <c r="B7071" s="20">
        <v>75</v>
      </c>
      <c r="C7071" s="20">
        <v>75</v>
      </c>
      <c r="D7071" s="20">
        <v>30</v>
      </c>
      <c r="E7071" s="20">
        <v>55</v>
      </c>
      <c r="F7071" s="20" t="s">
        <v>32032</v>
      </c>
      <c r="G7071" s="24"/>
      <c r="H7071" s="24"/>
      <c r="I7071" s="24" t="str">
        <f ca="1">IFERROR(__xludf.DUMMYFUNCTION("GOOGLETRANSLATE(F7071,""en"",""pt"")"),"detectores multi")</f>
        <v>detectores multi</v>
      </c>
      <c r="J7071">
        <f>VLOOKUP(A7071,Pr_Base_LNEC!$A$4:$J$6971,6,FALSE)</f>
        <v>0</v>
      </c>
      <c r="K7071">
        <f>VLOOKUP(A7071,Pr_Base_LNEC!$A$4:$J$6971,7,FALSE)</f>
        <v>0</v>
      </c>
    </row>
    <row r="7072" spans="1:11" ht="14.5">
      <c r="A7072" s="20" t="s">
        <v>32033</v>
      </c>
      <c r="B7072" s="20">
        <v>75</v>
      </c>
      <c r="C7072" s="20">
        <v>75</v>
      </c>
      <c r="D7072" s="20">
        <v>30</v>
      </c>
      <c r="E7072" s="20">
        <v>59</v>
      </c>
      <c r="F7072" s="20" t="s">
        <v>32034</v>
      </c>
      <c r="G7072" s="20" t="s">
        <v>32035</v>
      </c>
      <c r="H7072" s="24"/>
      <c r="I7072" s="24" t="str">
        <f ca="1">IFERROR(__xludf.DUMMYFUNCTION("GOOGLETRANSLATE(F7072,""en"",""pt"")"),"detectores de fumaça de feixe óptico")</f>
        <v>detectores de fumaça de feixe óptico</v>
      </c>
      <c r="J7072">
        <f>VLOOKUP(A7072,Pr_Base_LNEC!$A$4:$J$6971,6,FALSE)</f>
        <v>0</v>
      </c>
      <c r="K7072">
        <f>VLOOKUP(A7072,Pr_Base_LNEC!$A$4:$J$6971,7,FALSE)</f>
        <v>0</v>
      </c>
    </row>
    <row r="7073" spans="1:11" ht="14.5">
      <c r="A7073" s="20" t="s">
        <v>32036</v>
      </c>
      <c r="B7073" s="20">
        <v>75</v>
      </c>
      <c r="C7073" s="20">
        <v>75</v>
      </c>
      <c r="D7073" s="20">
        <v>30</v>
      </c>
      <c r="E7073" s="20">
        <v>63</v>
      </c>
      <c r="F7073" s="20" t="s">
        <v>32037</v>
      </c>
      <c r="G7073" s="20" t="s">
        <v>32038</v>
      </c>
      <c r="H7073" s="24"/>
      <c r="I7073" s="24" t="str">
        <f ca="1">IFERROR(__xludf.DUMMYFUNCTION("GOOGLETRANSLATE(F7073,""en"",""pt"")"),"detectores de chama de ponto")</f>
        <v>detectores de chama de ponto</v>
      </c>
      <c r="J7073">
        <f>VLOOKUP(A7073,Pr_Base_LNEC!$A$4:$J$6971,6,FALSE)</f>
        <v>0</v>
      </c>
      <c r="K7073">
        <f>VLOOKUP(A7073,Pr_Base_LNEC!$A$4:$J$6971,7,FALSE)</f>
        <v>0</v>
      </c>
    </row>
    <row r="7074" spans="1:11" ht="14.5">
      <c r="A7074" s="20" t="s">
        <v>32039</v>
      </c>
      <c r="B7074" s="20">
        <v>75</v>
      </c>
      <c r="C7074" s="20">
        <v>75</v>
      </c>
      <c r="D7074" s="20">
        <v>30</v>
      </c>
      <c r="E7074" s="20">
        <v>64</v>
      </c>
      <c r="F7074" s="20" t="s">
        <v>32040</v>
      </c>
      <c r="G7074" s="20" t="s">
        <v>32041</v>
      </c>
      <c r="H7074" s="24"/>
      <c r="I7074" s="24" t="str">
        <f ca="1">IFERROR(__xludf.DUMMYFUNCTION("GOOGLETRANSLATE(F7074,""en"",""pt"")"),"detectores de calor de ponto")</f>
        <v>detectores de calor de ponto</v>
      </c>
      <c r="J7074">
        <f>VLOOKUP(A7074,Pr_Base_LNEC!$A$4:$J$6971,6,FALSE)</f>
        <v>0</v>
      </c>
      <c r="K7074">
        <f>VLOOKUP(A7074,Pr_Base_LNEC!$A$4:$J$6971,7,FALSE)</f>
        <v>0</v>
      </c>
    </row>
    <row r="7075" spans="1:11" ht="14.5">
      <c r="A7075" s="20" t="s">
        <v>32042</v>
      </c>
      <c r="B7075" s="20">
        <v>75</v>
      </c>
      <c r="C7075" s="20">
        <v>75</v>
      </c>
      <c r="D7075" s="20">
        <v>30</v>
      </c>
      <c r="E7075" s="20">
        <v>65</v>
      </c>
      <c r="F7075" s="20" t="s">
        <v>32043</v>
      </c>
      <c r="G7075" s="20" t="s">
        <v>32044</v>
      </c>
      <c r="H7075" s="24"/>
      <c r="I7075" s="24" t="str">
        <f ca="1">IFERROR(__xludf.DUMMYFUNCTION("GOOGLETRANSLATE(F7075,""en"",""pt"")"),"detectores de fumaça pontuais")</f>
        <v>detectores de fumaça pontuais</v>
      </c>
      <c r="J7075">
        <f>VLOOKUP(A7075,Pr_Base_LNEC!$A$4:$J$6971,6,FALSE)</f>
        <v>0</v>
      </c>
      <c r="K7075">
        <f>VLOOKUP(A7075,Pr_Base_LNEC!$A$4:$J$6971,7,FALSE)</f>
        <v>0</v>
      </c>
    </row>
    <row r="7076" spans="1:11" ht="14.5">
      <c r="A7076" s="20" t="s">
        <v>32045</v>
      </c>
      <c r="B7076" s="20">
        <v>75</v>
      </c>
      <c r="C7076" s="20">
        <v>75</v>
      </c>
      <c r="D7076" s="20">
        <v>30</v>
      </c>
      <c r="E7076" s="20">
        <v>70</v>
      </c>
      <c r="F7076" s="20" t="s">
        <v>32046</v>
      </c>
      <c r="G7076" s="20" t="s">
        <v>32047</v>
      </c>
      <c r="H7076" s="24"/>
      <c r="I7076" s="24" t="str">
        <f ca="1">IFERROR(__xludf.DUMMYFUNCTION("GOOGLETRANSLATE(F7076,""en"",""pt"")"),"Rádio ligado interface de módulos")</f>
        <v>Rádio ligado interface de módulos</v>
      </c>
      <c r="J7076">
        <f>VLOOKUP(A7076,Pr_Base_LNEC!$A$4:$J$6971,6,FALSE)</f>
        <v>0</v>
      </c>
      <c r="K7076">
        <f>VLOOKUP(A7076,Pr_Base_LNEC!$A$4:$J$6971,7,FALSE)</f>
        <v>0</v>
      </c>
    </row>
    <row r="7077" spans="1:11" ht="14.5">
      <c r="A7077" s="20" t="s">
        <v>32048</v>
      </c>
      <c r="B7077" s="20">
        <v>75</v>
      </c>
      <c r="C7077" s="20">
        <v>75</v>
      </c>
      <c r="D7077" s="20">
        <v>30</v>
      </c>
      <c r="E7077" s="20">
        <v>71</v>
      </c>
      <c r="F7077" s="20" t="s">
        <v>32049</v>
      </c>
      <c r="G7077" s="20" t="s">
        <v>32050</v>
      </c>
      <c r="H7077" s="24"/>
      <c r="I7077" s="24" t="str">
        <f ca="1">IFERROR(__xludf.DUMMYFUNCTION("GOOGLETRANSLATE(F7077,""en"",""pt"")"),"indicadores remotos")</f>
        <v>indicadores remotos</v>
      </c>
      <c r="J7077">
        <f>VLOOKUP(A7077,Pr_Base_LNEC!$A$4:$J$6971,6,FALSE)</f>
        <v>0</v>
      </c>
      <c r="K7077">
        <f>VLOOKUP(A7077,Pr_Base_LNEC!$A$4:$J$6971,7,FALSE)</f>
        <v>0</v>
      </c>
    </row>
    <row r="7078" spans="1:11" ht="14.5">
      <c r="A7078" s="20" t="s">
        <v>32051</v>
      </c>
      <c r="B7078" s="20">
        <v>75</v>
      </c>
      <c r="C7078" s="20">
        <v>75</v>
      </c>
      <c r="D7078" s="20">
        <v>30</v>
      </c>
      <c r="E7078" s="20">
        <v>77</v>
      </c>
      <c r="F7078" s="20" t="s">
        <v>32052</v>
      </c>
      <c r="G7078" s="20" t="s">
        <v>32053</v>
      </c>
      <c r="H7078" s="24"/>
      <c r="I7078" s="24" t="str">
        <f ca="1">IFERROR(__xludf.DUMMYFUNCTION("GOOGLETRANSLATE(F7078,""en"",""pt"")"),"isoladores de curto-circuito")</f>
        <v>isoladores de curto-circuito</v>
      </c>
      <c r="J7078">
        <f>VLOOKUP(A7078,Pr_Base_LNEC!$A$4:$J$6971,6,FALSE)</f>
        <v>0</v>
      </c>
      <c r="K7078">
        <f>VLOOKUP(A7078,Pr_Base_LNEC!$A$4:$J$6971,7,FALSE)</f>
        <v>0</v>
      </c>
    </row>
    <row r="7079" spans="1:11" ht="14.5">
      <c r="A7079" s="20" t="s">
        <v>32054</v>
      </c>
      <c r="B7079" s="20">
        <v>75</v>
      </c>
      <c r="C7079" s="20">
        <v>75</v>
      </c>
      <c r="D7079" s="20">
        <v>30</v>
      </c>
      <c r="E7079" s="20">
        <v>80</v>
      </c>
      <c r="F7079" s="20" t="s">
        <v>32055</v>
      </c>
      <c r="G7079" s="20" t="s">
        <v>32056</v>
      </c>
      <c r="H7079" s="24"/>
      <c r="I7079" s="24" t="str">
        <f ca="1">IFERROR(__xludf.DUMMYFUNCTION("GOOGLETRANSLATE(F7079,""en"",""pt"")"),"Os alarmes de fumo")</f>
        <v>Os alarmes de fumo</v>
      </c>
      <c r="J7079">
        <f>VLOOKUP(A7079,Pr_Base_LNEC!$A$4:$J$6971,6,FALSE)</f>
        <v>0</v>
      </c>
      <c r="K7079">
        <f>VLOOKUP(A7079,Pr_Base_LNEC!$A$4:$J$6971,7,FALSE)</f>
        <v>0</v>
      </c>
    </row>
    <row r="7080" spans="1:11" ht="14.5">
      <c r="A7080" s="20" t="s">
        <v>32057</v>
      </c>
      <c r="B7080" s="20">
        <v>75</v>
      </c>
      <c r="C7080" s="20">
        <v>75</v>
      </c>
      <c r="D7080" s="20">
        <v>30</v>
      </c>
      <c r="E7080" s="20">
        <v>81</v>
      </c>
      <c r="F7080" s="20" t="s">
        <v>32058</v>
      </c>
      <c r="G7080" s="20" t="s">
        <v>32059</v>
      </c>
      <c r="H7080" s="24"/>
      <c r="I7080" s="24" t="str">
        <f ca="1">IFERROR(__xludf.DUMMYFUNCTION("GOOGLETRANSLATE(F7080,""en"",""pt"")"),"Detectores de multi-sensores de fumo e monóxido de carbono")</f>
        <v>Detectores de multi-sensores de fumo e monóxido de carbono</v>
      </c>
      <c r="J7080">
        <f>VLOOKUP(A7080,Pr_Base_LNEC!$A$4:$J$6971,6,FALSE)</f>
        <v>0</v>
      </c>
      <c r="K7080">
        <f>VLOOKUP(A7080,Pr_Base_LNEC!$A$4:$J$6971,7,FALSE)</f>
        <v>0</v>
      </c>
    </row>
    <row r="7081" spans="1:11" ht="14.5">
      <c r="A7081" s="20" t="s">
        <v>32060</v>
      </c>
      <c r="B7081" s="20">
        <v>75</v>
      </c>
      <c r="C7081" s="20">
        <v>75</v>
      </c>
      <c r="D7081" s="20">
        <v>30</v>
      </c>
      <c r="E7081" s="20">
        <v>82</v>
      </c>
      <c r="F7081" s="20" t="s">
        <v>32061</v>
      </c>
      <c r="G7081" s="20" t="s">
        <v>32062</v>
      </c>
      <c r="H7081" s="24"/>
      <c r="I7081" s="24" t="str">
        <f ca="1">IFERROR(__xludf.DUMMYFUNCTION("GOOGLETRANSLATE(F7081,""en"",""pt"")"),"Fumo e do calor detectores de multi-sensores")</f>
        <v>Fumo e do calor detectores de multi-sensores</v>
      </c>
      <c r="J7081">
        <f>VLOOKUP(A7081,Pr_Base_LNEC!$A$4:$J$6971,6,FALSE)</f>
        <v>0</v>
      </c>
      <c r="K7081">
        <f>VLOOKUP(A7081,Pr_Base_LNEC!$A$4:$J$6971,7,FALSE)</f>
        <v>0</v>
      </c>
    </row>
    <row r="7082" spans="1:11" ht="14.5">
      <c r="A7082" s="20" t="s">
        <v>32063</v>
      </c>
      <c r="B7082" s="20">
        <v>75</v>
      </c>
      <c r="C7082" s="20">
        <v>75</v>
      </c>
      <c r="D7082" s="20">
        <v>30</v>
      </c>
      <c r="E7082" s="20">
        <v>94</v>
      </c>
      <c r="F7082" s="20" t="s">
        <v>32064</v>
      </c>
      <c r="G7082" s="20" t="s">
        <v>32065</v>
      </c>
      <c r="H7082" s="24"/>
      <c r="I7082" s="24" t="str">
        <f ca="1">IFERROR(__xludf.DUMMYFUNCTION("GOOGLETRANSLATE(F7082,""en"",""pt"")"),"Vibrando almofadas travesseiro")</f>
        <v>Vibrando almofadas travesseiro</v>
      </c>
      <c r="J7082">
        <f>VLOOKUP(A7082,Pr_Base_LNEC!$A$4:$J$6971,6,FALSE)</f>
        <v>0</v>
      </c>
      <c r="K7082">
        <f>VLOOKUP(A7082,Pr_Base_LNEC!$A$4:$J$6971,7,FALSE)</f>
        <v>0</v>
      </c>
    </row>
    <row r="7083" spans="1:11" ht="14.5">
      <c r="A7083" s="20" t="s">
        <v>32066</v>
      </c>
      <c r="B7083" s="20">
        <v>75</v>
      </c>
      <c r="C7083" s="20">
        <v>75</v>
      </c>
      <c r="D7083" s="20">
        <v>30</v>
      </c>
      <c r="E7083" s="20">
        <v>95</v>
      </c>
      <c r="F7083" s="20" t="s">
        <v>32067</v>
      </c>
      <c r="G7083" s="20" t="s">
        <v>32068</v>
      </c>
      <c r="H7083" s="24"/>
      <c r="I7083" s="24" t="str">
        <f ca="1">IFERROR(__xludf.DUMMYFUNCTION("GOOGLETRANSLATE(F7083,""en"",""pt"")"),"Vibrando transmissores pager de rádio")</f>
        <v>Vibrando transmissores pager de rádio</v>
      </c>
      <c r="J7083">
        <f>VLOOKUP(A7083,Pr_Base_LNEC!$A$4:$J$6971,6,FALSE)</f>
        <v>0</v>
      </c>
      <c r="K7083">
        <f>VLOOKUP(A7083,Pr_Base_LNEC!$A$4:$J$6971,7,FALSE)</f>
        <v>0</v>
      </c>
    </row>
    <row r="7084" spans="1:11" ht="14.5">
      <c r="A7084" s="20" t="s">
        <v>32069</v>
      </c>
      <c r="B7084" s="20">
        <v>75</v>
      </c>
      <c r="C7084" s="20">
        <v>75</v>
      </c>
      <c r="D7084" s="20">
        <v>30</v>
      </c>
      <c r="E7084" s="20">
        <v>96</v>
      </c>
      <c r="F7084" s="20" t="s">
        <v>32070</v>
      </c>
      <c r="G7084" s="20" t="s">
        <v>32071</v>
      </c>
      <c r="H7084" s="24"/>
      <c r="I7084" s="24" t="str">
        <f ca="1">IFERROR(__xludf.DUMMYFUNCTION("GOOGLETRANSLATE(F7084,""en"",""pt"")"),"Vibrando pagers de rádio")</f>
        <v>Vibrando pagers de rádio</v>
      </c>
      <c r="J7084">
        <f>VLOOKUP(A7084,Pr_Base_LNEC!$A$4:$J$6971,6,FALSE)</f>
        <v>0</v>
      </c>
      <c r="K7084">
        <f>VLOOKUP(A7084,Pr_Base_LNEC!$A$4:$J$6971,7,FALSE)</f>
        <v>0</v>
      </c>
    </row>
    <row r="7085" spans="1:11" ht="14.5">
      <c r="A7085" s="20" t="s">
        <v>32072</v>
      </c>
      <c r="B7085" s="20">
        <v>75</v>
      </c>
      <c r="C7085" s="20">
        <v>75</v>
      </c>
      <c r="D7085" s="20">
        <v>30</v>
      </c>
      <c r="E7085" s="20">
        <v>97</v>
      </c>
      <c r="F7085" s="20" t="s">
        <v>32073</v>
      </c>
      <c r="G7085" s="20" t="s">
        <v>32074</v>
      </c>
      <c r="H7085" s="24"/>
      <c r="I7085" s="24" t="str">
        <f ca="1">IFERROR(__xludf.DUMMYFUNCTION("GOOGLETRANSLATE(F7085,""en"",""pt"")"),"dispositivos de sinalização visual de alarme")</f>
        <v>dispositivos de sinalização visual de alarme</v>
      </c>
      <c r="J7085">
        <f>VLOOKUP(A7085,Pr_Base_LNEC!$A$4:$J$6971,6,FALSE)</f>
        <v>0</v>
      </c>
      <c r="K7085">
        <f>VLOOKUP(A7085,Pr_Base_LNEC!$A$4:$J$6971,7,FALSE)</f>
        <v>0</v>
      </c>
    </row>
    <row r="7086" spans="1:11" ht="14.5">
      <c r="A7086" s="20" t="s">
        <v>32075</v>
      </c>
      <c r="B7086" s="20">
        <v>75</v>
      </c>
      <c r="C7086" s="20">
        <v>75</v>
      </c>
      <c r="D7086" s="20">
        <v>30</v>
      </c>
      <c r="E7086" s="20">
        <v>98</v>
      </c>
      <c r="F7086" s="20" t="s">
        <v>32076</v>
      </c>
      <c r="G7086" s="24"/>
      <c r="H7086" s="24"/>
      <c r="I7086" s="24" t="str">
        <f ca="1">IFERROR(__xludf.DUMMYFUNCTION("GOOGLETRANSLATE(F7086,""en"",""pt"")"),"painéis de controle de alarme de voz")</f>
        <v>painéis de controle de alarme de voz</v>
      </c>
      <c r="J7086">
        <f>VLOOKUP(A7086,Pr_Base_LNEC!$A$4:$J$6971,6,FALSE)</f>
        <v>0</v>
      </c>
      <c r="K7086">
        <f>VLOOKUP(A7086,Pr_Base_LNEC!$A$4:$J$6971,7,FALSE)</f>
        <v>0</v>
      </c>
    </row>
    <row r="7087" spans="1:11" ht="14.5">
      <c r="A7087" s="20" t="s">
        <v>32077</v>
      </c>
      <c r="B7087" s="20">
        <v>75</v>
      </c>
      <c r="C7087" s="20">
        <v>75</v>
      </c>
      <c r="D7087" s="20">
        <v>32</v>
      </c>
      <c r="E7087" s="24"/>
      <c r="F7087" s="20" t="s">
        <v>32078</v>
      </c>
      <c r="G7087" s="24"/>
      <c r="H7087" s="24"/>
      <c r="I7087" s="24" t="str">
        <f ca="1">IFERROR(__xludf.DUMMYFUNCTION("GOOGLETRANSLATE(F7087,""en"",""pt"")"),"detritos objecto estranho (FOD) equipamento de detecção")</f>
        <v>detritos objecto estranho (FOD) equipamento de detecção</v>
      </c>
      <c r="J7087">
        <f>VLOOKUP(A7087,Pr_Base_LNEC!$A$4:$J$6971,6,FALSE)</f>
        <v>0</v>
      </c>
      <c r="K7087">
        <f>VLOOKUP(A7087,Pr_Base_LNEC!$A$4:$J$6971,7,FALSE)</f>
        <v>0</v>
      </c>
    </row>
    <row r="7088" spans="1:11" ht="14.5">
      <c r="A7088" s="20" t="s">
        <v>32079</v>
      </c>
      <c r="B7088" s="20">
        <v>75</v>
      </c>
      <c r="C7088" s="20">
        <v>75</v>
      </c>
      <c r="D7088" s="20">
        <v>32</v>
      </c>
      <c r="E7088" s="20">
        <v>27</v>
      </c>
      <c r="F7088" s="20" t="s">
        <v>32080</v>
      </c>
      <c r="G7088" s="20" t="s">
        <v>32081</v>
      </c>
      <c r="H7088" s="24"/>
      <c r="I7088" s="24" t="str">
        <f ca="1">IFERROR(__xludf.DUMMYFUNCTION("GOOGLETRANSLATE(F7088,""en"",""pt"")"),"equipamento de detecção electro-óptico FOD")</f>
        <v>equipamento de detecção electro-óptico FOD</v>
      </c>
      <c r="J7088">
        <f>VLOOKUP(A7088,Pr_Base_LNEC!$A$4:$J$6971,6,FALSE)</f>
        <v>0</v>
      </c>
      <c r="K7088">
        <f>VLOOKUP(A7088,Pr_Base_LNEC!$A$4:$J$6971,7,FALSE)</f>
        <v>0</v>
      </c>
    </row>
    <row r="7089" spans="1:11" ht="14.5">
      <c r="A7089" s="20" t="s">
        <v>32082</v>
      </c>
      <c r="B7089" s="20">
        <v>75</v>
      </c>
      <c r="C7089" s="20">
        <v>75</v>
      </c>
      <c r="D7089" s="20">
        <v>32</v>
      </c>
      <c r="E7089" s="20">
        <v>39</v>
      </c>
      <c r="F7089" s="20" t="s">
        <v>32083</v>
      </c>
      <c r="G7089" s="20" t="s">
        <v>32084</v>
      </c>
      <c r="H7089" s="24"/>
      <c r="I7089" s="24" t="str">
        <f ca="1">IFERROR(__xludf.DUMMYFUNCTION("GOOGLETRANSLATE(F7089,""en"",""pt"")"),"equipamento de detecção FOD híbrido")</f>
        <v>equipamento de detecção FOD híbrido</v>
      </c>
      <c r="J7089">
        <f>VLOOKUP(A7089,Pr_Base_LNEC!$A$4:$J$6971,6,FALSE)</f>
        <v>0</v>
      </c>
      <c r="K7089">
        <f>VLOOKUP(A7089,Pr_Base_LNEC!$A$4:$J$6971,7,FALSE)</f>
        <v>0</v>
      </c>
    </row>
    <row r="7090" spans="1:11" ht="14.5">
      <c r="A7090" s="20" t="s">
        <v>32085</v>
      </c>
      <c r="B7090" s="20">
        <v>75</v>
      </c>
      <c r="C7090" s="20">
        <v>75</v>
      </c>
      <c r="D7090" s="20">
        <v>32</v>
      </c>
      <c r="E7090" s="20">
        <v>70</v>
      </c>
      <c r="F7090" s="20" t="s">
        <v>32086</v>
      </c>
      <c r="G7090" s="20" t="s">
        <v>32087</v>
      </c>
      <c r="H7090" s="24"/>
      <c r="I7090" s="24" t="str">
        <f ca="1">IFERROR(__xludf.DUMMYFUNCTION("GOOGLETRANSLATE(F7090,""en"",""pt"")"),"Radar equipamento de detecção FOD")</f>
        <v>Radar equipamento de detecção FOD</v>
      </c>
      <c r="J7090">
        <f>VLOOKUP(A7090,Pr_Base_LNEC!$A$4:$J$6971,6,FALSE)</f>
        <v>0</v>
      </c>
      <c r="K7090">
        <f>VLOOKUP(A7090,Pr_Base_LNEC!$A$4:$J$6971,7,FALSE)</f>
        <v>0</v>
      </c>
    </row>
    <row r="7091" spans="1:11" ht="14.5">
      <c r="A7091" s="20" t="s">
        <v>32088</v>
      </c>
      <c r="B7091" s="20">
        <v>75</v>
      </c>
      <c r="C7091" s="20">
        <v>75</v>
      </c>
      <c r="D7091" s="20">
        <v>42</v>
      </c>
      <c r="E7091" s="24"/>
      <c r="F7091" s="20" t="s">
        <v>32089</v>
      </c>
      <c r="G7091" s="24"/>
      <c r="H7091" s="24"/>
      <c r="I7091" s="24" t="str">
        <f ca="1">IFERROR(__xludf.DUMMYFUNCTION("GOOGLETRANSLATE(F7091,""en"",""pt"")"),"Intruso dispositivos de detecção e alarme, e equipamento de controlo")</f>
        <v>Intruso dispositivos de detecção e alarme, e equipamento de controlo</v>
      </c>
      <c r="J7091">
        <f>VLOOKUP(A7091,Pr_Base_LNEC!$A$4:$J$6971,6,FALSE)</f>
        <v>0</v>
      </c>
      <c r="K7091">
        <f>VLOOKUP(A7091,Pr_Base_LNEC!$A$4:$J$6971,7,FALSE)</f>
        <v>0</v>
      </c>
    </row>
    <row r="7092" spans="1:11" ht="14.5">
      <c r="A7092" s="20" t="s">
        <v>32090</v>
      </c>
      <c r="B7092" s="20">
        <v>75</v>
      </c>
      <c r="C7092" s="20">
        <v>75</v>
      </c>
      <c r="D7092" s="20">
        <v>42</v>
      </c>
      <c r="E7092" s="20">
        <v>2</v>
      </c>
      <c r="F7092" s="20" t="s">
        <v>32091</v>
      </c>
      <c r="G7092" s="20" t="s">
        <v>32092</v>
      </c>
      <c r="H7092" s="24"/>
      <c r="I7092" s="24" t="str">
        <f ca="1">IFERROR(__xludf.DUMMYFUNCTION("GOOGLETRANSLATE(F7092,""en"",""pt"")"),"detectores acústicos")</f>
        <v>detectores acústicos</v>
      </c>
      <c r="J7092">
        <f>VLOOKUP(A7092,Pr_Base_LNEC!$A$4:$J$6971,6,FALSE)</f>
        <v>0</v>
      </c>
      <c r="K7092">
        <f>VLOOKUP(A7092,Pr_Base_LNEC!$A$4:$J$6971,7,FALSE)</f>
        <v>0</v>
      </c>
    </row>
    <row r="7093" spans="1:11" ht="14.5">
      <c r="A7093" s="20" t="s">
        <v>32093</v>
      </c>
      <c r="B7093" s="20">
        <v>75</v>
      </c>
      <c r="C7093" s="20">
        <v>75</v>
      </c>
      <c r="D7093" s="20">
        <v>42</v>
      </c>
      <c r="E7093" s="20">
        <v>8</v>
      </c>
      <c r="F7093" s="20" t="s">
        <v>32094</v>
      </c>
      <c r="G7093" s="20" t="s">
        <v>32095</v>
      </c>
      <c r="H7093" s="24"/>
      <c r="I7093" s="24" t="str">
        <f ca="1">IFERROR(__xludf.DUMMYFUNCTION("GOOGLETRANSLATE(F7093,""en"",""pt"")"),"detectores de interrupção do feixe")</f>
        <v>detectores de interrupção do feixe</v>
      </c>
      <c r="J7093">
        <f>VLOOKUP(A7093,Pr_Base_LNEC!$A$4:$J$6971,6,FALSE)</f>
        <v>0</v>
      </c>
      <c r="K7093">
        <f>VLOOKUP(A7093,Pr_Base_LNEC!$A$4:$J$6971,7,FALSE)</f>
        <v>0</v>
      </c>
    </row>
    <row r="7094" spans="1:11" ht="14.5">
      <c r="A7094" s="20" t="s">
        <v>32096</v>
      </c>
      <c r="B7094" s="20">
        <v>75</v>
      </c>
      <c r="C7094" s="20">
        <v>75</v>
      </c>
      <c r="D7094" s="20">
        <v>42</v>
      </c>
      <c r="E7094" s="20">
        <v>11</v>
      </c>
      <c r="F7094" s="20" t="s">
        <v>32097</v>
      </c>
      <c r="G7094" s="20" t="s">
        <v>32098</v>
      </c>
      <c r="H7094" s="24"/>
      <c r="I7094" s="24" t="str">
        <f ca="1">IFERROR(__xludf.DUMMYFUNCTION("GOOGLETRANSLATE(F7094,""en"",""pt"")"),"detectores de proximidade capacitivos")</f>
        <v>detectores de proximidade capacitivos</v>
      </c>
      <c r="J7094">
        <f>VLOOKUP(A7094,Pr_Base_LNEC!$A$4:$J$6971,6,FALSE)</f>
        <v>0</v>
      </c>
      <c r="K7094">
        <f>VLOOKUP(A7094,Pr_Base_LNEC!$A$4:$J$6971,7,FALSE)</f>
        <v>0</v>
      </c>
    </row>
    <row r="7095" spans="1:11" ht="14.5">
      <c r="A7095" s="20" t="s">
        <v>32099</v>
      </c>
      <c r="B7095" s="20">
        <v>75</v>
      </c>
      <c r="C7095" s="20">
        <v>75</v>
      </c>
      <c r="D7095" s="20">
        <v>42</v>
      </c>
      <c r="E7095" s="20">
        <v>16</v>
      </c>
      <c r="F7095" s="20" t="s">
        <v>32100</v>
      </c>
      <c r="G7095" s="20" t="s">
        <v>32101</v>
      </c>
      <c r="H7095" s="24"/>
      <c r="I7095" s="24" t="str">
        <f ca="1">IFERROR(__xludf.DUMMYFUNCTION("GOOGLETRANSLATE(F7095,""en"",""pt"")"),"detectores infravermelhos passivos e microondas, combinados")</f>
        <v>detectores infravermelhos passivos e microondas, combinados</v>
      </c>
      <c r="J7095">
        <f>VLOOKUP(A7095,Pr_Base_LNEC!$A$4:$J$6971,6,FALSE)</f>
        <v>0</v>
      </c>
      <c r="K7095">
        <f>VLOOKUP(A7095,Pr_Base_LNEC!$A$4:$J$6971,7,FALSE)</f>
        <v>0</v>
      </c>
    </row>
    <row r="7096" spans="1:11" ht="14.5">
      <c r="A7096" s="20" t="s">
        <v>32102</v>
      </c>
      <c r="B7096" s="20">
        <v>75</v>
      </c>
      <c r="C7096" s="20">
        <v>75</v>
      </c>
      <c r="D7096" s="20">
        <v>42</v>
      </c>
      <c r="E7096" s="20">
        <v>17</v>
      </c>
      <c r="F7096" s="20" t="s">
        <v>32103</v>
      </c>
      <c r="G7096" s="20" t="s">
        <v>32104</v>
      </c>
      <c r="H7096" s="24"/>
      <c r="I7096" s="24" t="str">
        <f ca="1">IFERROR(__xludf.DUMMYFUNCTION("GOOGLETRANSLATE(F7096,""en"",""pt"")"),"detectores de infravermelho e ultra-sônicos passivos combinados")</f>
        <v>detectores de infravermelho e ultra-sônicos passivos combinados</v>
      </c>
      <c r="J7096">
        <f>VLOOKUP(A7096,Pr_Base_LNEC!$A$4:$J$6971,6,FALSE)</f>
        <v>0</v>
      </c>
      <c r="K7096">
        <f>VLOOKUP(A7096,Pr_Base_LNEC!$A$4:$J$6971,7,FALSE)</f>
        <v>0</v>
      </c>
    </row>
    <row r="7097" spans="1:11" ht="14.5">
      <c r="A7097" s="20" t="s">
        <v>32105</v>
      </c>
      <c r="B7097" s="20">
        <v>75</v>
      </c>
      <c r="C7097" s="20">
        <v>75</v>
      </c>
      <c r="D7097" s="20">
        <v>42</v>
      </c>
      <c r="E7097" s="20">
        <v>22</v>
      </c>
      <c r="F7097" s="20" t="s">
        <v>32106</v>
      </c>
      <c r="G7097" s="20" t="s">
        <v>32107</v>
      </c>
      <c r="H7097" s="24"/>
      <c r="I7097" s="24" t="str">
        <f ca="1">IFERROR(__xludf.DUMMYFUNCTION("GOOGLETRANSLATE(F7097,""en"",""pt"")"),"Operado deliberadamente intruso dispositivos de alarme")</f>
        <v>Operado deliberadamente intruso dispositivos de alarme</v>
      </c>
      <c r="J7097">
        <f>VLOOKUP(A7097,Pr_Base_LNEC!$A$4:$J$6971,6,FALSE)</f>
        <v>0</v>
      </c>
      <c r="K7097">
        <f>VLOOKUP(A7097,Pr_Base_LNEC!$A$4:$J$6971,7,FALSE)</f>
        <v>0</v>
      </c>
    </row>
    <row r="7098" spans="1:11" ht="14.5">
      <c r="A7098" s="20" t="s">
        <v>32108</v>
      </c>
      <c r="B7098" s="20">
        <v>75</v>
      </c>
      <c r="C7098" s="20">
        <v>75</v>
      </c>
      <c r="D7098" s="20">
        <v>42</v>
      </c>
      <c r="E7098" s="20">
        <v>24</v>
      </c>
      <c r="F7098" s="20" t="s">
        <v>32109</v>
      </c>
      <c r="G7098" s="20" t="s">
        <v>32110</v>
      </c>
      <c r="H7098" s="24"/>
      <c r="I7098" s="24" t="str">
        <f ca="1">IFERROR(__xludf.DUMMYFUNCTION("GOOGLETRANSLATE(F7098,""en"",""pt"")"),"feixe de porta intruso detectores")</f>
        <v>feixe de porta intruso detectores</v>
      </c>
      <c r="J7098">
        <f>VLOOKUP(A7098,Pr_Base_LNEC!$A$4:$J$6971,6,FALSE)</f>
        <v>0</v>
      </c>
      <c r="K7098">
        <f>VLOOKUP(A7098,Pr_Base_LNEC!$A$4:$J$6971,7,FALSE)</f>
        <v>0</v>
      </c>
    </row>
    <row r="7099" spans="1:11" ht="14.5">
      <c r="A7099" s="20" t="s">
        <v>32111</v>
      </c>
      <c r="B7099" s="20">
        <v>75</v>
      </c>
      <c r="C7099" s="20">
        <v>75</v>
      </c>
      <c r="D7099" s="20">
        <v>42</v>
      </c>
      <c r="E7099" s="20">
        <v>28</v>
      </c>
      <c r="F7099" s="20" t="s">
        <v>32112</v>
      </c>
      <c r="G7099" s="20" t="s">
        <v>32113</v>
      </c>
      <c r="H7099" s="24"/>
      <c r="I7099" s="24" t="str">
        <f ca="1">IFERROR(__xludf.DUMMYFUNCTION("GOOGLETRANSLATE(F7099,""en"",""pt"")"),"sirenes de alarme de intrusão externa")</f>
        <v>sirenes de alarme de intrusão externa</v>
      </c>
      <c r="J7099">
        <f>VLOOKUP(A7099,Pr_Base_LNEC!$A$4:$J$6971,6,FALSE)</f>
        <v>0</v>
      </c>
      <c r="K7099">
        <f>VLOOKUP(A7099,Pr_Base_LNEC!$A$4:$J$6971,7,FALSE)</f>
        <v>0</v>
      </c>
    </row>
    <row r="7100" spans="1:11" ht="14.5">
      <c r="A7100" s="20" t="s">
        <v>32114</v>
      </c>
      <c r="B7100" s="20">
        <v>75</v>
      </c>
      <c r="C7100" s="20">
        <v>75</v>
      </c>
      <c r="D7100" s="20">
        <v>42</v>
      </c>
      <c r="E7100" s="20">
        <v>40</v>
      </c>
      <c r="F7100" s="20" t="s">
        <v>32115</v>
      </c>
      <c r="G7100" s="20" t="s">
        <v>32116</v>
      </c>
      <c r="H7100" s="24"/>
      <c r="I7100" s="24" t="str">
        <f ca="1">IFERROR(__xludf.DUMMYFUNCTION("GOOGLETRANSLATE(F7100,""en"",""pt"")"),"sirenes de alarme de intrusão eletrônico interno")</f>
        <v>sirenes de alarme de intrusão eletrônico interno</v>
      </c>
      <c r="J7100">
        <f>VLOOKUP(A7100,Pr_Base_LNEC!$A$4:$J$6971,6,FALSE)</f>
        <v>0</v>
      </c>
      <c r="K7100">
        <f>VLOOKUP(A7100,Pr_Base_LNEC!$A$4:$J$6971,7,FALSE)</f>
        <v>0</v>
      </c>
    </row>
    <row r="7101" spans="1:11" ht="14.5">
      <c r="A7101" s="20" t="s">
        <v>32117</v>
      </c>
      <c r="B7101" s="20">
        <v>75</v>
      </c>
      <c r="C7101" s="20">
        <v>75</v>
      </c>
      <c r="D7101" s="20">
        <v>42</v>
      </c>
      <c r="E7101" s="20">
        <v>41</v>
      </c>
      <c r="F7101" s="20" t="s">
        <v>32118</v>
      </c>
      <c r="G7101" s="20" t="s">
        <v>32119</v>
      </c>
      <c r="H7101" s="24"/>
      <c r="I7101" s="24" t="str">
        <f ca="1">IFERROR(__xludf.DUMMYFUNCTION("GOOGLETRANSLATE(F7101,""en"",""pt"")"),"Intruder painéis de alarme")</f>
        <v>Intruder painéis de alarme</v>
      </c>
      <c r="J7101">
        <f>VLOOKUP(A7101,Pr_Base_LNEC!$A$4:$J$6971,6,FALSE)</f>
        <v>0</v>
      </c>
      <c r="K7101">
        <f>VLOOKUP(A7101,Pr_Base_LNEC!$A$4:$J$6971,7,FALSE)</f>
        <v>0</v>
      </c>
    </row>
    <row r="7102" spans="1:11" ht="14.5">
      <c r="A7102" s="20" t="s">
        <v>32120</v>
      </c>
      <c r="B7102" s="20">
        <v>75</v>
      </c>
      <c r="C7102" s="20">
        <v>75</v>
      </c>
      <c r="D7102" s="20">
        <v>42</v>
      </c>
      <c r="E7102" s="20">
        <v>42</v>
      </c>
      <c r="F7102" s="20" t="s">
        <v>32121</v>
      </c>
      <c r="G7102" s="20" t="s">
        <v>32122</v>
      </c>
      <c r="H7102" s="24"/>
      <c r="I7102" s="24" t="str">
        <f ca="1">IFERROR(__xludf.DUMMYFUNCTION("GOOGLETRANSLATE(F7102,""en"",""pt"")"),"Intruder teclados de alarme remoto")</f>
        <v>Intruder teclados de alarme remoto</v>
      </c>
      <c r="J7102">
        <f>VLOOKUP(A7102,Pr_Base_LNEC!$A$4:$J$6971,6,FALSE)</f>
        <v>0</v>
      </c>
      <c r="K7102">
        <f>VLOOKUP(A7102,Pr_Base_LNEC!$A$4:$J$6971,7,FALSE)</f>
        <v>0</v>
      </c>
    </row>
    <row r="7103" spans="1:11" ht="14.5">
      <c r="A7103" s="20" t="s">
        <v>32123</v>
      </c>
      <c r="B7103" s="20">
        <v>75</v>
      </c>
      <c r="C7103" s="20">
        <v>75</v>
      </c>
      <c r="D7103" s="20">
        <v>42</v>
      </c>
      <c r="E7103" s="20">
        <v>52</v>
      </c>
      <c r="F7103" s="20" t="s">
        <v>32124</v>
      </c>
      <c r="G7103" s="20" t="s">
        <v>32125</v>
      </c>
      <c r="H7103" s="24"/>
      <c r="I7103" s="24" t="str">
        <f ca="1">IFERROR(__xludf.DUMMYFUNCTION("GOOGLETRANSLATE(F7103,""en"",""pt"")"),"detectores de microondas")</f>
        <v>detectores de microondas</v>
      </c>
      <c r="J7103">
        <f>VLOOKUP(A7103,Pr_Base_LNEC!$A$4:$J$6971,6,FALSE)</f>
        <v>0</v>
      </c>
      <c r="K7103">
        <f>VLOOKUP(A7103,Pr_Base_LNEC!$A$4:$J$6971,7,FALSE)</f>
        <v>0</v>
      </c>
    </row>
    <row r="7104" spans="1:11" ht="14.5">
      <c r="A7104" s="20" t="s">
        <v>32126</v>
      </c>
      <c r="B7104" s="20">
        <v>75</v>
      </c>
      <c r="C7104" s="20">
        <v>75</v>
      </c>
      <c r="D7104" s="20">
        <v>42</v>
      </c>
      <c r="E7104" s="20">
        <v>60</v>
      </c>
      <c r="F7104" s="20" t="s">
        <v>32127</v>
      </c>
      <c r="G7104" s="20" t="s">
        <v>32128</v>
      </c>
      <c r="H7104" s="24"/>
      <c r="I7104" s="24" t="str">
        <f ca="1">IFERROR(__xludf.DUMMYFUNCTION("GOOGLETRANSLATE(F7104,""en"",""pt"")"),"detectores infravermelhos passivos")</f>
        <v>detectores infravermelhos passivos</v>
      </c>
      <c r="J7104">
        <f>VLOOKUP(A7104,Pr_Base_LNEC!$A$4:$J$6971,6,FALSE)</f>
        <v>0</v>
      </c>
      <c r="K7104">
        <f>VLOOKUP(A7104,Pr_Base_LNEC!$A$4:$J$6971,7,FALSE)</f>
        <v>0</v>
      </c>
    </row>
    <row r="7105" spans="1:11" ht="14.5">
      <c r="A7105" s="20" t="s">
        <v>32129</v>
      </c>
      <c r="B7105" s="20">
        <v>75</v>
      </c>
      <c r="C7105" s="20">
        <v>75</v>
      </c>
      <c r="D7105" s="20">
        <v>42</v>
      </c>
      <c r="E7105" s="20">
        <v>67</v>
      </c>
      <c r="F7105" s="20" t="s">
        <v>32130</v>
      </c>
      <c r="G7105" s="20" t="s">
        <v>32131</v>
      </c>
      <c r="H7105" s="24"/>
      <c r="I7105" s="24" t="str">
        <f ca="1">IFERROR(__xludf.DUMMYFUNCTION("GOOGLETRANSLATE(F7105,""en"",""pt"")"),"interruptores de proteção")</f>
        <v>interruptores de proteção</v>
      </c>
      <c r="J7105">
        <f>VLOOKUP(A7105,Pr_Base_LNEC!$A$4:$J$6971,6,FALSE)</f>
        <v>0</v>
      </c>
      <c r="K7105">
        <f>VLOOKUP(A7105,Pr_Base_LNEC!$A$4:$J$6971,7,FALSE)</f>
        <v>0</v>
      </c>
    </row>
    <row r="7106" spans="1:11" ht="14.5">
      <c r="A7106" s="20" t="s">
        <v>32132</v>
      </c>
      <c r="B7106" s="20">
        <v>75</v>
      </c>
      <c r="C7106" s="20">
        <v>75</v>
      </c>
      <c r="D7106" s="20">
        <v>42</v>
      </c>
      <c r="E7106" s="20">
        <v>77</v>
      </c>
      <c r="F7106" s="20" t="s">
        <v>32133</v>
      </c>
      <c r="G7106" s="24"/>
      <c r="H7106" s="24"/>
      <c r="I7106" s="24" t="str">
        <f ca="1">IFERROR(__xludf.DUMMYFUNCTION("GOOGLETRANSLATE(F7106,""en"",""pt"")"),"dispositivos névoa de segurança")</f>
        <v>dispositivos névoa de segurança</v>
      </c>
      <c r="J7106" t="e">
        <f>VLOOKUP(A7106,Pr_Base_LNEC!$A$4:$J$6971,6,FALSE)</f>
        <v>#N/A</v>
      </c>
      <c r="K7106" t="e">
        <f>VLOOKUP(A7106,Pr_Base_LNEC!$A$4:$J$6971,7,FALSE)</f>
        <v>#N/A</v>
      </c>
    </row>
    <row r="7107" spans="1:11" ht="14.5">
      <c r="A7107" s="20" t="s">
        <v>32134</v>
      </c>
      <c r="B7107" s="20">
        <v>75</v>
      </c>
      <c r="C7107" s="20">
        <v>75</v>
      </c>
      <c r="D7107" s="20">
        <v>42</v>
      </c>
      <c r="E7107" s="20">
        <v>92</v>
      </c>
      <c r="F7107" s="20" t="s">
        <v>32135</v>
      </c>
      <c r="G7107" s="20" t="s">
        <v>32136</v>
      </c>
      <c r="H7107" s="24"/>
      <c r="I7107" s="24" t="str">
        <f ca="1">IFERROR(__xludf.DUMMYFUNCTION("GOOGLETRANSLATE(F7107,""en"",""pt"")"),"detectores de movimento ultra-som")</f>
        <v>detectores de movimento ultra-som</v>
      </c>
      <c r="J7107">
        <f>VLOOKUP(A7107,Pr_Base_LNEC!$A$4:$J$6971,6,FALSE)</f>
        <v>0</v>
      </c>
      <c r="K7107">
        <f>VLOOKUP(A7107,Pr_Base_LNEC!$A$4:$J$6971,7,FALSE)</f>
        <v>0</v>
      </c>
    </row>
    <row r="7108" spans="1:11" ht="14.5">
      <c r="A7108" s="20" t="s">
        <v>32137</v>
      </c>
      <c r="B7108" s="20">
        <v>75</v>
      </c>
      <c r="C7108" s="20">
        <v>75</v>
      </c>
      <c r="D7108" s="20">
        <v>42</v>
      </c>
      <c r="E7108" s="20">
        <v>94</v>
      </c>
      <c r="F7108" s="20" t="s">
        <v>32138</v>
      </c>
      <c r="G7108" s="20" t="s">
        <v>32139</v>
      </c>
      <c r="H7108" s="24"/>
      <c r="I7108" s="24" t="str">
        <f ca="1">IFERROR(__xludf.DUMMYFUNCTION("GOOGLETRANSLATE(F7108,""en"",""pt"")"),"Vibrando intruso pagers alarme")</f>
        <v>Vibrando intruso pagers alarme</v>
      </c>
      <c r="J7108">
        <f>VLOOKUP(A7108,Pr_Base_LNEC!$A$4:$J$6971,6,FALSE)</f>
        <v>0</v>
      </c>
      <c r="K7108">
        <f>VLOOKUP(A7108,Pr_Base_LNEC!$A$4:$J$6971,7,FALSE)</f>
        <v>0</v>
      </c>
    </row>
    <row r="7109" spans="1:11" ht="14.5">
      <c r="A7109" s="20" t="s">
        <v>32140</v>
      </c>
      <c r="B7109" s="20">
        <v>75</v>
      </c>
      <c r="C7109" s="20">
        <v>75</v>
      </c>
      <c r="D7109" s="20">
        <v>42</v>
      </c>
      <c r="E7109" s="20">
        <v>95</v>
      </c>
      <c r="F7109" s="20" t="s">
        <v>32141</v>
      </c>
      <c r="G7109" s="20" t="s">
        <v>32142</v>
      </c>
      <c r="H7109" s="24"/>
      <c r="I7109" s="24" t="str">
        <f ca="1">IFERROR(__xludf.DUMMYFUNCTION("GOOGLETRANSLATE(F7109,""en"",""pt"")"),"vibração detectores")</f>
        <v>vibração detectores</v>
      </c>
      <c r="J7109">
        <f>VLOOKUP(A7109,Pr_Base_LNEC!$A$4:$J$6971,6,FALSE)</f>
        <v>0</v>
      </c>
      <c r="K7109">
        <f>VLOOKUP(A7109,Pr_Base_LNEC!$A$4:$J$6971,7,FALSE)</f>
        <v>0</v>
      </c>
    </row>
    <row r="7110" spans="1:11" ht="14.5">
      <c r="A7110" s="20" t="s">
        <v>32143</v>
      </c>
      <c r="B7110" s="20">
        <v>75</v>
      </c>
      <c r="C7110" s="20">
        <v>75</v>
      </c>
      <c r="D7110" s="20">
        <v>42</v>
      </c>
      <c r="E7110" s="20">
        <v>96</v>
      </c>
      <c r="F7110" s="20" t="s">
        <v>32144</v>
      </c>
      <c r="G7110" s="20" t="s">
        <v>32145</v>
      </c>
      <c r="H7110" s="24"/>
      <c r="I7110" s="24" t="str">
        <f ca="1">IFERROR(__xludf.DUMMYFUNCTION("GOOGLETRANSLATE(F7110,""en"",""pt"")"),"detectores capacitivos volumétricos")</f>
        <v>detectores capacitivos volumétricos</v>
      </c>
      <c r="J7110">
        <f>VLOOKUP(A7110,Pr_Base_LNEC!$A$4:$J$6971,6,FALSE)</f>
        <v>0</v>
      </c>
      <c r="K7110">
        <f>VLOOKUP(A7110,Pr_Base_LNEC!$A$4:$J$6971,7,FALSE)</f>
        <v>0</v>
      </c>
    </row>
    <row r="7111" spans="1:11" ht="14.5">
      <c r="A7111" s="20" t="s">
        <v>32146</v>
      </c>
      <c r="B7111" s="20">
        <v>75</v>
      </c>
      <c r="C7111" s="20">
        <v>75</v>
      </c>
      <c r="D7111" s="20">
        <v>47</v>
      </c>
      <c r="E7111" s="24"/>
      <c r="F7111" s="20" t="s">
        <v>32147</v>
      </c>
      <c r="G7111" s="24"/>
      <c r="H7111" s="24"/>
      <c r="I7111" s="24" t="str">
        <f ca="1">IFERROR(__xludf.DUMMYFUNCTION("GOOGLETRANSLATE(F7111,""en"",""pt"")"),"produtos de controlo de elevador")</f>
        <v>produtos de controlo de elevador</v>
      </c>
      <c r="J7111">
        <f>VLOOKUP(A7111,Pr_Base_LNEC!$A$4:$J$6971,6,FALSE)</f>
        <v>0</v>
      </c>
      <c r="K7111">
        <f>VLOOKUP(A7111,Pr_Base_LNEC!$A$4:$J$6971,7,FALSE)</f>
        <v>0</v>
      </c>
    </row>
    <row r="7112" spans="1:11" ht="14.5">
      <c r="A7112" s="20" t="s">
        <v>32148</v>
      </c>
      <c r="B7112" s="20">
        <v>75</v>
      </c>
      <c r="C7112" s="20">
        <v>75</v>
      </c>
      <c r="D7112" s="20">
        <v>47</v>
      </c>
      <c r="E7112" s="20">
        <v>41</v>
      </c>
      <c r="F7112" s="20" t="s">
        <v>32149</v>
      </c>
      <c r="G7112" s="20" t="s">
        <v>32150</v>
      </c>
      <c r="H7112" s="24"/>
      <c r="I7112" s="24" t="str">
        <f ca="1">IFERROR(__xludf.DUMMYFUNCTION("GOOGLETRANSLATE(F7112,""en"",""pt"")"),"indicadores de pouso iluminados")</f>
        <v>indicadores de pouso iluminados</v>
      </c>
      <c r="J7112">
        <f>VLOOKUP(A7112,Pr_Base_LNEC!$A$4:$J$6971,6,FALSE)</f>
        <v>0</v>
      </c>
      <c r="K7112">
        <f>VLOOKUP(A7112,Pr_Base_LNEC!$A$4:$J$6971,7,FALSE)</f>
        <v>0</v>
      </c>
    </row>
    <row r="7113" spans="1:11" ht="14.5">
      <c r="A7113" s="20" t="s">
        <v>32151</v>
      </c>
      <c r="B7113" s="20">
        <v>75</v>
      </c>
      <c r="C7113" s="20">
        <v>75</v>
      </c>
      <c r="D7113" s="20">
        <v>47</v>
      </c>
      <c r="E7113" s="20">
        <v>43</v>
      </c>
      <c r="F7113" s="20" t="s">
        <v>32152</v>
      </c>
      <c r="G7113" s="20" t="s">
        <v>32153</v>
      </c>
      <c r="H7113" s="24"/>
      <c r="I7113" s="24" t="str">
        <f ca="1">IFERROR(__xludf.DUMMYFUNCTION("GOOGLETRANSLATE(F7113,""en"",""pt"")"),"controles de pouso infravermelhos")</f>
        <v>controles de pouso infravermelhos</v>
      </c>
      <c r="J7113">
        <f>VLOOKUP(A7113,Pr_Base_LNEC!$A$4:$J$6971,6,FALSE)</f>
        <v>0</v>
      </c>
      <c r="K7113">
        <f>VLOOKUP(A7113,Pr_Base_LNEC!$A$4:$J$6971,7,FALSE)</f>
        <v>0</v>
      </c>
    </row>
    <row r="7114" spans="1:11" ht="14.5">
      <c r="A7114" s="20" t="s">
        <v>32154</v>
      </c>
      <c r="B7114" s="20">
        <v>75</v>
      </c>
      <c r="C7114" s="20">
        <v>75</v>
      </c>
      <c r="D7114" s="20">
        <v>47</v>
      </c>
      <c r="E7114" s="20">
        <v>46</v>
      </c>
      <c r="F7114" s="20" t="s">
        <v>32155</v>
      </c>
      <c r="G7114" s="20" t="s">
        <v>32156</v>
      </c>
      <c r="H7114" s="24"/>
      <c r="I7114" s="24" t="str">
        <f ca="1">IFERROR(__xludf.DUMMYFUNCTION("GOOGLETRANSLATE(F7114,""en"",""pt"")"),"consolas de chamada Landing")</f>
        <v>consolas de chamada Landing</v>
      </c>
      <c r="J7114">
        <f>VLOOKUP(A7114,Pr_Base_LNEC!$A$4:$J$6971,6,FALSE)</f>
        <v>0</v>
      </c>
      <c r="K7114">
        <f>VLOOKUP(A7114,Pr_Base_LNEC!$A$4:$J$6971,7,FALSE)</f>
        <v>0</v>
      </c>
    </row>
    <row r="7115" spans="1:11" ht="14.5">
      <c r="A7115" s="20" t="s">
        <v>32157</v>
      </c>
      <c r="B7115" s="20">
        <v>75</v>
      </c>
      <c r="C7115" s="20">
        <v>75</v>
      </c>
      <c r="D7115" s="20">
        <v>50</v>
      </c>
      <c r="E7115" s="24"/>
      <c r="F7115" s="20" t="s">
        <v>32158</v>
      </c>
      <c r="G7115" s="24"/>
      <c r="H7115" s="24"/>
      <c r="I7115" s="24" t="str">
        <f ca="1">IFERROR(__xludf.DUMMYFUNCTION("GOOGLETRANSLATE(F7115,""en"",""pt"")"),"Monitoramento produtos de controle de sistema")</f>
        <v>Monitoramento produtos de controle de sistema</v>
      </c>
      <c r="J7115">
        <f>VLOOKUP(A7115,Pr_Base_LNEC!$A$4:$J$6971,6,FALSE)</f>
        <v>0</v>
      </c>
      <c r="K7115">
        <f>VLOOKUP(A7115,Pr_Base_LNEC!$A$4:$J$6971,7,FALSE)</f>
        <v>0</v>
      </c>
    </row>
    <row r="7116" spans="1:11" ht="14.5">
      <c r="A7116" s="20" t="s">
        <v>32159</v>
      </c>
      <c r="B7116" s="20">
        <v>75</v>
      </c>
      <c r="C7116" s="20">
        <v>75</v>
      </c>
      <c r="D7116" s="20">
        <v>50</v>
      </c>
      <c r="E7116" s="20">
        <v>2</v>
      </c>
      <c r="F7116" s="20" t="s">
        <v>32160</v>
      </c>
      <c r="G7116" s="24"/>
      <c r="H7116" s="24"/>
      <c r="I7116" s="24" t="str">
        <f ca="1">IFERROR(__xludf.DUMMYFUNCTION("GOOGLETRANSLATE(F7116,""en"",""pt"")"),"unidades de interface de alarme")</f>
        <v>unidades de interface de alarme</v>
      </c>
      <c r="J7116">
        <f>VLOOKUP(A7116,Pr_Base_LNEC!$A$4:$J$6971,6,FALSE)</f>
        <v>0</v>
      </c>
      <c r="K7116">
        <f>VLOOKUP(A7116,Pr_Base_LNEC!$A$4:$J$6971,7,FALSE)</f>
        <v>0</v>
      </c>
    </row>
    <row r="7117" spans="1:11" ht="14.5">
      <c r="A7117" s="20" t="s">
        <v>32161</v>
      </c>
      <c r="B7117" s="20">
        <v>75</v>
      </c>
      <c r="C7117" s="20">
        <v>75</v>
      </c>
      <c r="D7117" s="20">
        <v>50</v>
      </c>
      <c r="E7117" s="20">
        <v>11</v>
      </c>
      <c r="F7117" s="20" t="s">
        <v>32162</v>
      </c>
      <c r="G7117" s="24"/>
      <c r="H7117" s="24"/>
      <c r="I7117" s="24" t="str">
        <f ca="1">IFERROR(__xludf.DUMMYFUNCTION("GOOGLETRANSLATE(F7117,""en"",""pt"")"),"unidades de controle de câmera")</f>
        <v>unidades de controle de câmera</v>
      </c>
      <c r="J7117">
        <f>VLOOKUP(A7117,Pr_Base_LNEC!$A$4:$J$6971,6,FALSE)</f>
        <v>0</v>
      </c>
      <c r="K7117">
        <f>VLOOKUP(A7117,Pr_Base_LNEC!$A$4:$J$6971,7,FALSE)</f>
        <v>0</v>
      </c>
    </row>
    <row r="7118" spans="1:11" ht="14.5">
      <c r="A7118" s="20" t="s">
        <v>32163</v>
      </c>
      <c r="B7118" s="20">
        <v>75</v>
      </c>
      <c r="C7118" s="20">
        <v>75</v>
      </c>
      <c r="D7118" s="20">
        <v>50</v>
      </c>
      <c r="E7118" s="20">
        <v>14</v>
      </c>
      <c r="F7118" s="20" t="s">
        <v>32164</v>
      </c>
      <c r="G7118" s="24"/>
      <c r="H7118" s="24"/>
      <c r="I7118" s="24" t="str">
        <f ca="1">IFERROR(__xludf.DUMMYFUNCTION("GOOGLETRANSLATE(F7118,""en"",""pt"")"),"unidades de fornecimento de energia da câmera")</f>
        <v>unidades de fornecimento de energia da câmera</v>
      </c>
      <c r="J7118">
        <f>VLOOKUP(A7118,Pr_Base_LNEC!$A$4:$J$6971,6,FALSE)</f>
        <v>0</v>
      </c>
      <c r="K7118">
        <f>VLOOKUP(A7118,Pr_Base_LNEC!$A$4:$J$6971,7,FALSE)</f>
        <v>0</v>
      </c>
    </row>
    <row r="7119" spans="1:11" ht="14.5">
      <c r="A7119" s="20" t="s">
        <v>32165</v>
      </c>
      <c r="B7119" s="20">
        <v>75</v>
      </c>
      <c r="C7119" s="20">
        <v>75</v>
      </c>
      <c r="D7119" s="20">
        <v>50</v>
      </c>
      <c r="E7119" s="20">
        <v>22</v>
      </c>
      <c r="F7119" s="20" t="s">
        <v>32166</v>
      </c>
      <c r="G7119" s="24"/>
      <c r="H7119" s="24"/>
      <c r="I7119" s="24" t="str">
        <f ca="1">IFERROR(__xludf.DUMMYFUNCTION("GOOGLETRANSLATE(F7119,""en"",""pt"")"),"Demagnetizers")</f>
        <v>Demagnetizers</v>
      </c>
      <c r="J7119">
        <f>VLOOKUP(A7119,Pr_Base_LNEC!$A$4:$J$6971,6,FALSE)</f>
        <v>0</v>
      </c>
      <c r="K7119">
        <f>VLOOKUP(A7119,Pr_Base_LNEC!$A$4:$J$6971,7,FALSE)</f>
        <v>0</v>
      </c>
    </row>
    <row r="7120" spans="1:11" ht="14.5">
      <c r="A7120" s="20" t="s">
        <v>32167</v>
      </c>
      <c r="B7120" s="20">
        <v>75</v>
      </c>
      <c r="C7120" s="20">
        <v>75</v>
      </c>
      <c r="D7120" s="20">
        <v>50</v>
      </c>
      <c r="E7120" s="20">
        <v>55</v>
      </c>
      <c r="F7120" s="20" t="s">
        <v>32168</v>
      </c>
      <c r="G7120" s="24"/>
      <c r="H7120" s="24"/>
      <c r="I7120" s="24" t="str">
        <f ca="1">IFERROR(__xludf.DUMMYFUNCTION("GOOGLETRANSLATE(F7120,""en"",""pt"")"),"multiplexadores")</f>
        <v>multiplexadores</v>
      </c>
      <c r="J7120">
        <f>VLOOKUP(A7120,Pr_Base_LNEC!$A$4:$J$6971,6,FALSE)</f>
        <v>0</v>
      </c>
      <c r="K7120">
        <f>VLOOKUP(A7120,Pr_Base_LNEC!$A$4:$J$6971,7,FALSE)</f>
        <v>0</v>
      </c>
    </row>
    <row r="7121" spans="1:11" ht="14.5">
      <c r="A7121" s="20" t="s">
        <v>32169</v>
      </c>
      <c r="B7121" s="20">
        <v>75</v>
      </c>
      <c r="C7121" s="20">
        <v>75</v>
      </c>
      <c r="D7121" s="20">
        <v>50</v>
      </c>
      <c r="E7121" s="20">
        <v>60</v>
      </c>
      <c r="F7121" s="20" t="s">
        <v>32170</v>
      </c>
      <c r="G7121" s="24"/>
      <c r="H7121" s="24"/>
      <c r="I7121" s="24" t="str">
        <f ca="1">IFERROR(__xludf.DUMMYFUNCTION("GOOGLETRANSLATE(F7121,""en"",""pt"")"),"painéis de ligações")</f>
        <v>painéis de ligações</v>
      </c>
      <c r="J7121">
        <f>VLOOKUP(A7121,Pr_Base_LNEC!$A$4:$J$6971,6,FALSE)</f>
        <v>0</v>
      </c>
      <c r="K7121">
        <f>VLOOKUP(A7121,Pr_Base_LNEC!$A$4:$J$6971,7,FALSE)</f>
        <v>0</v>
      </c>
    </row>
    <row r="7122" spans="1:11" ht="14.5">
      <c r="A7122" s="20" t="s">
        <v>32171</v>
      </c>
      <c r="B7122" s="20">
        <v>75</v>
      </c>
      <c r="C7122" s="20">
        <v>75</v>
      </c>
      <c r="D7122" s="20">
        <v>50</v>
      </c>
      <c r="E7122" s="20">
        <v>70</v>
      </c>
      <c r="F7122" s="20" t="s">
        <v>32172</v>
      </c>
      <c r="G7122" s="24"/>
      <c r="H7122" s="24"/>
      <c r="I7122" s="24" t="str">
        <f ca="1">IFERROR(__xludf.DUMMYFUNCTION("GOOGLETRANSLATE(F7122,""en"",""pt"")"),"de radiofrequência (RF) moduladores")</f>
        <v>de radiofrequência (RF) moduladores</v>
      </c>
      <c r="J7122">
        <f>VLOOKUP(A7122,Pr_Base_LNEC!$A$4:$J$6971,6,FALSE)</f>
        <v>0</v>
      </c>
      <c r="K7122">
        <f>VLOOKUP(A7122,Pr_Base_LNEC!$A$4:$J$6971,7,FALSE)</f>
        <v>0</v>
      </c>
    </row>
    <row r="7123" spans="1:11" ht="14.5">
      <c r="A7123" s="20" t="s">
        <v>32173</v>
      </c>
      <c r="B7123" s="20">
        <v>75</v>
      </c>
      <c r="C7123" s="20">
        <v>75</v>
      </c>
      <c r="D7123" s="20">
        <v>50</v>
      </c>
      <c r="E7123" s="20">
        <v>94</v>
      </c>
      <c r="F7123" s="20" t="s">
        <v>32174</v>
      </c>
      <c r="G7123" s="24"/>
      <c r="H7123" s="24"/>
      <c r="I7123" s="24" t="str">
        <f ca="1">IFERROR(__xludf.DUMMYFUNCTION("GOOGLETRANSLATE(F7123,""en"",""pt"")"),"cartões de entrada de vídeo")</f>
        <v>cartões de entrada de vídeo</v>
      </c>
      <c r="J7123">
        <f>VLOOKUP(A7123,Pr_Base_LNEC!$A$4:$J$6971,6,FALSE)</f>
        <v>0</v>
      </c>
      <c r="K7123">
        <f>VLOOKUP(A7123,Pr_Base_LNEC!$A$4:$J$6971,7,FALSE)</f>
        <v>0</v>
      </c>
    </row>
    <row r="7124" spans="1:11" ht="14.5">
      <c r="A7124" s="20" t="s">
        <v>32175</v>
      </c>
      <c r="B7124" s="20">
        <v>75</v>
      </c>
      <c r="C7124" s="20">
        <v>75</v>
      </c>
      <c r="D7124" s="20">
        <v>50</v>
      </c>
      <c r="E7124" s="20">
        <v>95</v>
      </c>
      <c r="F7124" s="20" t="s">
        <v>32176</v>
      </c>
      <c r="G7124" s="20" t="s">
        <v>32177</v>
      </c>
      <c r="H7124" s="24"/>
      <c r="I7124" s="24" t="str">
        <f ca="1">IFERROR(__xludf.DUMMYFUNCTION("GOOGLETRANSLATE(F7124,""en"",""pt"")"),"controladores de comutação de matriz de vídeo")</f>
        <v>controladores de comutação de matriz de vídeo</v>
      </c>
      <c r="J7124">
        <f>VLOOKUP(A7124,Pr_Base_LNEC!$A$4:$J$6971,6,FALSE)</f>
        <v>0</v>
      </c>
      <c r="K7124">
        <f>VLOOKUP(A7124,Pr_Base_LNEC!$A$4:$J$6971,7,FALSE)</f>
        <v>0</v>
      </c>
    </row>
    <row r="7125" spans="1:11" ht="14.5">
      <c r="A7125" s="20" t="s">
        <v>32178</v>
      </c>
      <c r="B7125" s="20">
        <v>75</v>
      </c>
      <c r="C7125" s="20">
        <v>75</v>
      </c>
      <c r="D7125" s="20">
        <v>50</v>
      </c>
      <c r="E7125" s="20">
        <v>96</v>
      </c>
      <c r="F7125" s="20" t="s">
        <v>32179</v>
      </c>
      <c r="G7125" s="24"/>
      <c r="H7125" s="24"/>
      <c r="I7125" s="24" t="str">
        <f ca="1">IFERROR(__xludf.DUMMYFUNCTION("GOOGLETRANSLATE(F7125,""en"",""pt"")"),"placas de saída de vídeo")</f>
        <v>placas de saída de vídeo</v>
      </c>
      <c r="J7125">
        <f>VLOOKUP(A7125,Pr_Base_LNEC!$A$4:$J$6971,6,FALSE)</f>
        <v>0</v>
      </c>
      <c r="K7125">
        <f>VLOOKUP(A7125,Pr_Base_LNEC!$A$4:$J$6971,7,FALSE)</f>
        <v>0</v>
      </c>
    </row>
    <row r="7126" spans="1:11" ht="14.5">
      <c r="A7126" s="20" t="s">
        <v>32180</v>
      </c>
      <c r="B7126" s="20">
        <v>75</v>
      </c>
      <c r="C7126" s="20">
        <v>75</v>
      </c>
      <c r="D7126" s="20">
        <v>60</v>
      </c>
      <c r="E7126" s="24"/>
      <c r="F7126" s="20" t="s">
        <v>32181</v>
      </c>
      <c r="G7126" s="24"/>
      <c r="H7126" s="24"/>
      <c r="I7126" s="24" t="str">
        <f ca="1">IFERROR(__xludf.DUMMYFUNCTION("GOOGLETRANSLATE(F7126,""en"",""pt"")"),"produtos de controle de passaporte")</f>
        <v>produtos de controle de passaporte</v>
      </c>
      <c r="J7126">
        <f>VLOOKUP(A7126,Pr_Base_LNEC!$A$4:$J$6971,6,FALSE)</f>
        <v>0</v>
      </c>
      <c r="K7126">
        <f>VLOOKUP(A7126,Pr_Base_LNEC!$A$4:$J$6971,7,FALSE)</f>
        <v>0</v>
      </c>
    </row>
    <row r="7127" spans="1:11" ht="14.5">
      <c r="A7127" s="20" t="s">
        <v>32182</v>
      </c>
      <c r="B7127" s="20">
        <v>75</v>
      </c>
      <c r="C7127" s="20">
        <v>75</v>
      </c>
      <c r="D7127" s="20">
        <v>60</v>
      </c>
      <c r="E7127" s="20">
        <v>7</v>
      </c>
      <c r="F7127" s="20" t="s">
        <v>32183</v>
      </c>
      <c r="G7127" s="20" t="s">
        <v>32184</v>
      </c>
      <c r="H7127" s="24"/>
      <c r="I7127" s="24" t="str">
        <f ca="1">IFERROR(__xludf.DUMMYFUNCTION("GOOGLETRANSLATE(F7127,""en"",""pt"")"),"produtos de reconhecimento facial biométrico")</f>
        <v>produtos de reconhecimento facial biométrico</v>
      </c>
      <c r="J7127">
        <f>VLOOKUP(A7127,Pr_Base_LNEC!$A$4:$J$6971,6,FALSE)</f>
        <v>0</v>
      </c>
      <c r="K7127">
        <f>VLOOKUP(A7127,Pr_Base_LNEC!$A$4:$J$6971,7,FALSE)</f>
        <v>0</v>
      </c>
    </row>
    <row r="7128" spans="1:11" ht="14.5">
      <c r="A7128" s="20" t="s">
        <v>32185</v>
      </c>
      <c r="B7128" s="20">
        <v>75</v>
      </c>
      <c r="C7128" s="20">
        <v>75</v>
      </c>
      <c r="D7128" s="20">
        <v>60</v>
      </c>
      <c r="E7128" s="20">
        <v>8</v>
      </c>
      <c r="F7128" s="20" t="s">
        <v>32186</v>
      </c>
      <c r="G7128" s="20" t="s">
        <v>32187</v>
      </c>
      <c r="H7128" s="24"/>
      <c r="I7128" s="24" t="str">
        <f ca="1">IFERROR(__xludf.DUMMYFUNCTION("GOOGLETRANSLATE(F7128,""en"",""pt"")"),"Biométrica da íris produtos de reconhecimento")</f>
        <v>Biométrica da íris produtos de reconhecimento</v>
      </c>
      <c r="J7128">
        <f>VLOOKUP(A7128,Pr_Base_LNEC!$A$4:$J$6971,6,FALSE)</f>
        <v>0</v>
      </c>
      <c r="K7128">
        <f>VLOOKUP(A7128,Pr_Base_LNEC!$A$4:$J$6971,7,FALSE)</f>
        <v>0</v>
      </c>
    </row>
    <row r="7129" spans="1:11" ht="14.5">
      <c r="A7129" s="20" t="s">
        <v>32188</v>
      </c>
      <c r="B7129" s="20">
        <v>75</v>
      </c>
      <c r="C7129" s="20">
        <v>75</v>
      </c>
      <c r="D7129" s="20">
        <v>60</v>
      </c>
      <c r="E7129" s="20">
        <v>60</v>
      </c>
      <c r="F7129" s="20" t="s">
        <v>32189</v>
      </c>
      <c r="G7129" s="20" t="s">
        <v>32190</v>
      </c>
      <c r="H7129" s="24"/>
      <c r="I7129" s="24" t="str">
        <f ca="1">IFERROR(__xludf.DUMMYFUNCTION("GOOGLETRANSLATE(F7129,""en"",""pt"")"),"leitores de passaportes")</f>
        <v>leitores de passaportes</v>
      </c>
      <c r="J7129">
        <f>VLOOKUP(A7129,Pr_Base_LNEC!$A$4:$J$6971,6,FALSE)</f>
        <v>0</v>
      </c>
      <c r="K7129">
        <f>VLOOKUP(A7129,Pr_Base_LNEC!$A$4:$J$6971,7,FALSE)</f>
        <v>0</v>
      </c>
    </row>
    <row r="7130" spans="1:11" ht="14.5">
      <c r="A7130" s="20" t="s">
        <v>32191</v>
      </c>
      <c r="B7130" s="20">
        <v>75</v>
      </c>
      <c r="C7130" s="20">
        <v>75</v>
      </c>
      <c r="D7130" s="20">
        <v>75</v>
      </c>
      <c r="E7130" s="24"/>
      <c r="F7130" s="20" t="s">
        <v>32192</v>
      </c>
      <c r="G7130" s="24"/>
      <c r="H7130" s="24"/>
      <c r="I7130" s="24" t="str">
        <f ca="1">IFERROR(__xludf.DUMMYFUNCTION("GOOGLETRANSLATE(F7130,""en"",""pt"")"),"produtos de rastreio de segurança")</f>
        <v>produtos de rastreio de segurança</v>
      </c>
      <c r="J7130">
        <f>VLOOKUP(A7130,Pr_Base_LNEC!$A$4:$J$6971,6,FALSE)</f>
        <v>0</v>
      </c>
      <c r="K7130">
        <f>VLOOKUP(A7130,Pr_Base_LNEC!$A$4:$J$6971,7,FALSE)</f>
        <v>0</v>
      </c>
    </row>
    <row r="7131" spans="1:11" ht="14.5">
      <c r="A7131" s="20" t="s">
        <v>32193</v>
      </c>
      <c r="B7131" s="20">
        <v>75</v>
      </c>
      <c r="C7131" s="20">
        <v>75</v>
      </c>
      <c r="D7131" s="20">
        <v>75</v>
      </c>
      <c r="E7131" s="20">
        <v>1</v>
      </c>
      <c r="F7131" s="20" t="s">
        <v>32194</v>
      </c>
      <c r="G7131" s="20" t="s">
        <v>32195</v>
      </c>
      <c r="H7131" s="24"/>
      <c r="I7131" s="24" t="str">
        <f ca="1">IFERROR(__xludf.DUMMYFUNCTION("GOOGLETRANSLATE(F7131,""en"",""pt"")"),"scanners de raios-x avançados bagagem de mão")</f>
        <v>scanners de raios-x avançados bagagem de mão</v>
      </c>
      <c r="J7131">
        <f>VLOOKUP(A7131,Pr_Base_LNEC!$A$4:$J$6971,6,FALSE)</f>
        <v>0</v>
      </c>
      <c r="K7131">
        <f>VLOOKUP(A7131,Pr_Base_LNEC!$A$4:$J$6971,7,FALSE)</f>
        <v>0</v>
      </c>
    </row>
    <row r="7132" spans="1:11" ht="14.5">
      <c r="A7132" s="20" t="s">
        <v>32196</v>
      </c>
      <c r="B7132" s="20">
        <v>75</v>
      </c>
      <c r="C7132" s="20">
        <v>75</v>
      </c>
      <c r="D7132" s="20">
        <v>75</v>
      </c>
      <c r="E7132" s="20">
        <v>6</v>
      </c>
      <c r="F7132" s="20" t="s">
        <v>32197</v>
      </c>
      <c r="G7132" s="20" t="s">
        <v>32198</v>
      </c>
      <c r="H7132" s="24"/>
      <c r="I7132" s="24" t="str">
        <f ca="1">IFERROR(__xludf.DUMMYFUNCTION("GOOGLETRANSLATE(F7132,""en"",""pt"")"),"Voltar dispersão scanners de segurança de raios-x")</f>
        <v>Voltar dispersão scanners de segurança de raios-x</v>
      </c>
      <c r="J7132">
        <f>VLOOKUP(A7132,Pr_Base_LNEC!$A$4:$J$6971,6,FALSE)</f>
        <v>0</v>
      </c>
      <c r="K7132">
        <f>VLOOKUP(A7132,Pr_Base_LNEC!$A$4:$J$6971,7,FALSE)</f>
        <v>0</v>
      </c>
    </row>
    <row r="7133" spans="1:11" ht="14.5">
      <c r="A7133" s="20" t="s">
        <v>32199</v>
      </c>
      <c r="B7133" s="20">
        <v>75</v>
      </c>
      <c r="C7133" s="20">
        <v>75</v>
      </c>
      <c r="D7133" s="20">
        <v>75</v>
      </c>
      <c r="E7133" s="20">
        <v>28</v>
      </c>
      <c r="F7133" s="20" t="s">
        <v>32200</v>
      </c>
      <c r="G7133" s="20" t="s">
        <v>32201</v>
      </c>
      <c r="H7133" s="24"/>
      <c r="I7133" s="24" t="str">
        <f ca="1">IFERROR(__xludf.DUMMYFUNCTION("GOOGLETRANSLATE(F7133,""en"",""pt"")"),"equipamento de detecção de vestígios de explosivos")</f>
        <v>equipamento de detecção de vestígios de explosivos</v>
      </c>
      <c r="J7133">
        <f>VLOOKUP(A7133,Pr_Base_LNEC!$A$4:$J$6971,6,FALSE)</f>
        <v>0</v>
      </c>
      <c r="K7133">
        <f>VLOOKUP(A7133,Pr_Base_LNEC!$A$4:$J$6971,7,FALSE)</f>
        <v>0</v>
      </c>
    </row>
    <row r="7134" spans="1:11" ht="14.5">
      <c r="A7134" s="20" t="s">
        <v>32202</v>
      </c>
      <c r="B7134" s="20">
        <v>75</v>
      </c>
      <c r="C7134" s="20">
        <v>75</v>
      </c>
      <c r="D7134" s="20">
        <v>75</v>
      </c>
      <c r="E7134" s="20">
        <v>47</v>
      </c>
      <c r="F7134" s="20" t="s">
        <v>32203</v>
      </c>
      <c r="G7134" s="20" t="s">
        <v>32204</v>
      </c>
      <c r="H7134" s="24"/>
      <c r="I7134" s="24" t="str">
        <f ca="1">IFERROR(__xludf.DUMMYFUNCTION("GOOGLETRANSLATE(F7134,""en"",""pt"")"),"equipamento de detecção de explosivos Líquido")</f>
        <v>equipamento de detecção de explosivos Líquido</v>
      </c>
      <c r="J7134">
        <f>VLOOKUP(A7134,Pr_Base_LNEC!$A$4:$J$6971,6,FALSE)</f>
        <v>0</v>
      </c>
      <c r="K7134">
        <f>VLOOKUP(A7134,Pr_Base_LNEC!$A$4:$J$6971,7,FALSE)</f>
        <v>0</v>
      </c>
    </row>
    <row r="7135" spans="1:11" ht="14.5">
      <c r="A7135" s="20" t="s">
        <v>32205</v>
      </c>
      <c r="B7135" s="20">
        <v>75</v>
      </c>
      <c r="C7135" s="20">
        <v>75</v>
      </c>
      <c r="D7135" s="20">
        <v>75</v>
      </c>
      <c r="E7135" s="20">
        <v>52</v>
      </c>
      <c r="F7135" s="20" t="s">
        <v>32206</v>
      </c>
      <c r="G7135" s="20" t="s">
        <v>32207</v>
      </c>
      <c r="H7135" s="24"/>
      <c r="I7135" s="24" t="str">
        <f ca="1">IFERROR(__xludf.DUMMYFUNCTION("GOOGLETRANSLATE(F7135,""en"",""pt"")"),"Milímetro onda scanners de segurança")</f>
        <v>Milímetro onda scanners de segurança</v>
      </c>
      <c r="J7135">
        <f>VLOOKUP(A7135,Pr_Base_LNEC!$A$4:$J$6971,6,FALSE)</f>
        <v>0</v>
      </c>
      <c r="K7135">
        <f>VLOOKUP(A7135,Pr_Base_LNEC!$A$4:$J$6971,7,FALSE)</f>
        <v>0</v>
      </c>
    </row>
    <row r="7136" spans="1:11" ht="14.5">
      <c r="A7136" s="20" t="s">
        <v>32208</v>
      </c>
      <c r="B7136" s="20">
        <v>75</v>
      </c>
      <c r="C7136" s="20">
        <v>75</v>
      </c>
      <c r="D7136" s="20">
        <v>75</v>
      </c>
      <c r="E7136" s="20">
        <v>96</v>
      </c>
      <c r="F7136" s="20" t="s">
        <v>32209</v>
      </c>
      <c r="G7136" s="20" t="s">
        <v>32210</v>
      </c>
      <c r="H7136" s="24"/>
      <c r="I7136" s="24" t="str">
        <f ca="1">IFERROR(__xludf.DUMMYFUNCTION("GOOGLETRANSLATE(F7136,""en"",""pt"")"),"Walk-por detectores de metais")</f>
        <v>Walk-por detectores de metais</v>
      </c>
      <c r="J7136">
        <f>VLOOKUP(A7136,Pr_Base_LNEC!$A$4:$J$6971,6,FALSE)</f>
        <v>0</v>
      </c>
      <c r="K7136">
        <f>VLOOKUP(A7136,Pr_Base_LNEC!$A$4:$J$6971,7,FALSE)</f>
        <v>0</v>
      </c>
    </row>
    <row r="7137" spans="1:11" ht="14.5">
      <c r="A7137" s="20" t="s">
        <v>32211</v>
      </c>
      <c r="B7137" s="20">
        <v>75</v>
      </c>
      <c r="C7137" s="20">
        <v>75</v>
      </c>
      <c r="D7137" s="20">
        <v>90</v>
      </c>
      <c r="E7137" s="24"/>
      <c r="F7137" s="20" t="s">
        <v>32212</v>
      </c>
      <c r="G7137" s="24"/>
      <c r="H7137" s="24"/>
      <c r="I7137" s="24" t="str">
        <f ca="1">IFERROR(__xludf.DUMMYFUNCTION("GOOGLETRANSLATE(F7137,""en"",""pt"")"),"produtos de controle de transmissão")</f>
        <v>produtos de controle de transmissão</v>
      </c>
      <c r="J7137">
        <f>VLOOKUP(A7137,Pr_Base_LNEC!$A$4:$J$6971,6,FALSE)</f>
        <v>0</v>
      </c>
      <c r="K7137">
        <f>VLOOKUP(A7137,Pr_Base_LNEC!$A$4:$J$6971,7,FALSE)</f>
        <v>0</v>
      </c>
    </row>
    <row r="7138" spans="1:11" ht="14.5">
      <c r="A7138" s="20" t="s">
        <v>32213</v>
      </c>
      <c r="B7138" s="20">
        <v>75</v>
      </c>
      <c r="C7138" s="20">
        <v>75</v>
      </c>
      <c r="D7138" s="20">
        <v>90</v>
      </c>
      <c r="E7138" s="20">
        <v>16</v>
      </c>
      <c r="F7138" s="20" t="s">
        <v>32214</v>
      </c>
      <c r="G7138" s="24"/>
      <c r="H7138" s="24"/>
      <c r="I7138" s="24" t="str">
        <f ca="1">IFERROR(__xludf.DUMMYFUNCTION("GOOGLETRANSLATE(F7138,""en"",""pt"")"),"receptores Converter")</f>
        <v>receptores Converter</v>
      </c>
      <c r="J7138">
        <f>VLOOKUP(A7138,Pr_Base_LNEC!$A$4:$J$6971,6,FALSE)</f>
        <v>0</v>
      </c>
      <c r="K7138">
        <f>VLOOKUP(A7138,Pr_Base_LNEC!$A$4:$J$6971,7,FALSE)</f>
        <v>0</v>
      </c>
    </row>
    <row r="7139" spans="1:11" ht="14.5">
      <c r="A7139" s="20" t="s">
        <v>32215</v>
      </c>
      <c r="B7139" s="20">
        <v>75</v>
      </c>
      <c r="C7139" s="20">
        <v>75</v>
      </c>
      <c r="D7139" s="20">
        <v>90</v>
      </c>
      <c r="E7139" s="20">
        <v>17</v>
      </c>
      <c r="F7139" s="20" t="s">
        <v>32216</v>
      </c>
      <c r="G7139" s="24"/>
      <c r="H7139" s="24"/>
      <c r="I7139" s="24" t="str">
        <f ca="1">IFERROR(__xludf.DUMMYFUNCTION("GOOGLETRANSLATE(F7139,""en"",""pt"")"),"remetentes Converter")</f>
        <v>remetentes Converter</v>
      </c>
      <c r="J7139">
        <f>VLOOKUP(A7139,Pr_Base_LNEC!$A$4:$J$6971,6,FALSE)</f>
        <v>0</v>
      </c>
      <c r="K7139">
        <f>VLOOKUP(A7139,Pr_Base_LNEC!$A$4:$J$6971,7,FALSE)</f>
        <v>0</v>
      </c>
    </row>
    <row r="7140" spans="1:11" ht="14.5">
      <c r="A7140" s="20" t="s">
        <v>32217</v>
      </c>
      <c r="B7140" s="20">
        <v>75</v>
      </c>
      <c r="C7140" s="20">
        <v>75</v>
      </c>
      <c r="D7140" s="20">
        <v>90</v>
      </c>
      <c r="E7140" s="20">
        <v>27</v>
      </c>
      <c r="F7140" s="20" t="s">
        <v>32218</v>
      </c>
      <c r="G7140" s="24"/>
      <c r="H7140" s="24"/>
      <c r="I7140" s="24" t="str">
        <f ca="1">IFERROR(__xludf.DUMMYFUNCTION("GOOGLETRANSLATE(F7140,""en"",""pt"")"),"Codificadores e decodificadores")</f>
        <v>Codificadores e decodificadores</v>
      </c>
      <c r="J7140">
        <f>VLOOKUP(A7140,Pr_Base_LNEC!$A$4:$J$6971,6,FALSE)</f>
        <v>0</v>
      </c>
      <c r="K7140">
        <f>VLOOKUP(A7140,Pr_Base_LNEC!$A$4:$J$6971,7,FALSE)</f>
        <v>0</v>
      </c>
    </row>
    <row r="7141" spans="1:11" ht="14.5">
      <c r="A7141" s="20" t="s">
        <v>32219</v>
      </c>
      <c r="B7141" s="20">
        <v>75</v>
      </c>
      <c r="C7141" s="20">
        <v>75</v>
      </c>
      <c r="D7141" s="20">
        <v>90</v>
      </c>
      <c r="E7141" s="20">
        <v>30</v>
      </c>
      <c r="F7141" s="20" t="s">
        <v>32220</v>
      </c>
      <c r="G7141" s="24"/>
      <c r="H7141" s="24"/>
      <c r="I7141" s="24" t="str">
        <f ca="1">IFERROR(__xludf.DUMMYFUNCTION("GOOGLETRANSLATE(F7141,""en"",""pt"")"),"receptores de fibra")</f>
        <v>receptores de fibra</v>
      </c>
      <c r="J7141">
        <f>VLOOKUP(A7141,Pr_Base_LNEC!$A$4:$J$6971,6,FALSE)</f>
        <v>0</v>
      </c>
      <c r="K7141">
        <f>VLOOKUP(A7141,Pr_Base_LNEC!$A$4:$J$6971,7,FALSE)</f>
        <v>0</v>
      </c>
    </row>
    <row r="7142" spans="1:11" ht="14.5">
      <c r="A7142" s="20" t="s">
        <v>32221</v>
      </c>
      <c r="B7142" s="20">
        <v>75</v>
      </c>
      <c r="C7142" s="20">
        <v>75</v>
      </c>
      <c r="D7142" s="20">
        <v>90</v>
      </c>
      <c r="E7142" s="20">
        <v>31</v>
      </c>
      <c r="F7142" s="20" t="s">
        <v>32222</v>
      </c>
      <c r="G7142" s="24"/>
      <c r="H7142" s="24"/>
      <c r="I7142" s="24" t="str">
        <f ca="1">IFERROR(__xludf.DUMMYFUNCTION("GOOGLETRANSLATE(F7142,""en"",""pt"")"),"transmissores de fibra")</f>
        <v>transmissores de fibra</v>
      </c>
      <c r="J7142">
        <f>VLOOKUP(A7142,Pr_Base_LNEC!$A$4:$J$6971,6,FALSE)</f>
        <v>0</v>
      </c>
      <c r="K7142">
        <f>VLOOKUP(A7142,Pr_Base_LNEC!$A$4:$J$6971,7,FALSE)</f>
        <v>0</v>
      </c>
    </row>
    <row r="7143" spans="1:11" ht="14.5">
      <c r="A7143" s="20" t="s">
        <v>32223</v>
      </c>
      <c r="B7143" s="20">
        <v>75</v>
      </c>
      <c r="C7143" s="20">
        <v>75</v>
      </c>
      <c r="D7143" s="20">
        <v>90</v>
      </c>
      <c r="E7143" s="20">
        <v>41</v>
      </c>
      <c r="F7143" s="20" t="s">
        <v>32224</v>
      </c>
      <c r="G7143" s="24"/>
      <c r="H7143" s="24"/>
      <c r="I7143" s="24" t="str">
        <f ca="1">IFERROR(__xludf.DUMMYFUNCTION("GOOGLETRANSLATE(F7143,""en"",""pt"")"),"receptores de infravermelho")</f>
        <v>receptores de infravermelho</v>
      </c>
      <c r="J7143">
        <f>VLOOKUP(A7143,Pr_Base_LNEC!$A$4:$J$6971,6,FALSE)</f>
        <v>0</v>
      </c>
      <c r="K7143">
        <f>VLOOKUP(A7143,Pr_Base_LNEC!$A$4:$J$6971,7,FALSE)</f>
        <v>0</v>
      </c>
    </row>
    <row r="7144" spans="1:11" ht="14.5">
      <c r="A7144" s="20" t="s">
        <v>32225</v>
      </c>
      <c r="B7144" s="20">
        <v>75</v>
      </c>
      <c r="C7144" s="20">
        <v>75</v>
      </c>
      <c r="D7144" s="20">
        <v>90</v>
      </c>
      <c r="E7144" s="20">
        <v>42</v>
      </c>
      <c r="F7144" s="20" t="s">
        <v>32226</v>
      </c>
      <c r="G7144" s="24"/>
      <c r="H7144" s="24"/>
      <c r="I7144" s="24" t="str">
        <f ca="1">IFERROR(__xludf.DUMMYFUNCTION("GOOGLETRANSLATE(F7144,""en"",""pt"")"),"transmissores de infravermelhos")</f>
        <v>transmissores de infravermelhos</v>
      </c>
      <c r="J7144">
        <f>VLOOKUP(A7144,Pr_Base_LNEC!$A$4:$J$6971,6,FALSE)</f>
        <v>0</v>
      </c>
      <c r="K7144">
        <f>VLOOKUP(A7144,Pr_Base_LNEC!$A$4:$J$6971,7,FALSE)</f>
        <v>0</v>
      </c>
    </row>
    <row r="7145" spans="1:11" ht="14.5">
      <c r="A7145" s="20" t="s">
        <v>32227</v>
      </c>
      <c r="B7145" s="20">
        <v>75</v>
      </c>
      <c r="C7145" s="20">
        <v>75</v>
      </c>
      <c r="D7145" s="20">
        <v>90</v>
      </c>
      <c r="E7145" s="20">
        <v>50</v>
      </c>
      <c r="F7145" s="20" t="s">
        <v>32228</v>
      </c>
      <c r="G7145" s="24"/>
      <c r="H7145" s="24"/>
      <c r="I7145" s="24" t="str">
        <f ca="1">IFERROR(__xludf.DUMMYFUNCTION("GOOGLETRANSLATE(F7145,""en"",""pt"")"),"beacons de transmissão de microondas")</f>
        <v>beacons de transmissão de microondas</v>
      </c>
      <c r="J7145">
        <f>VLOOKUP(A7145,Pr_Base_LNEC!$A$4:$J$6971,6,FALSE)</f>
        <v>0</v>
      </c>
      <c r="K7145">
        <f>VLOOKUP(A7145,Pr_Base_LNEC!$A$4:$J$6971,7,FALSE)</f>
        <v>0</v>
      </c>
    </row>
    <row r="7146" spans="1:11" ht="14.5">
      <c r="A7146" s="20" t="s">
        <v>32229</v>
      </c>
      <c r="B7146" s="20">
        <v>75</v>
      </c>
      <c r="C7146" s="20">
        <v>75</v>
      </c>
      <c r="D7146" s="20">
        <v>90</v>
      </c>
      <c r="E7146" s="20">
        <v>52</v>
      </c>
      <c r="F7146" s="20" t="s">
        <v>32230</v>
      </c>
      <c r="G7146" s="24"/>
      <c r="H7146" s="24"/>
      <c r="I7146" s="24" t="str">
        <f ca="1">IFERROR(__xludf.DUMMYFUNCTION("GOOGLETRANSLATE(F7146,""en"",""pt"")"),"transmissores de microondas")</f>
        <v>transmissores de microondas</v>
      </c>
      <c r="J7146">
        <f>VLOOKUP(A7146,Pr_Base_LNEC!$A$4:$J$6971,6,FALSE)</f>
        <v>0</v>
      </c>
      <c r="K7146">
        <f>VLOOKUP(A7146,Pr_Base_LNEC!$A$4:$J$6971,7,FALSE)</f>
        <v>0</v>
      </c>
    </row>
    <row r="7147" spans="1:11" ht="14.5">
      <c r="A7147" s="20" t="s">
        <v>32231</v>
      </c>
      <c r="B7147" s="20">
        <v>75</v>
      </c>
      <c r="C7147" s="20">
        <v>75</v>
      </c>
      <c r="D7147" s="20">
        <v>90</v>
      </c>
      <c r="E7147" s="20">
        <v>65</v>
      </c>
      <c r="F7147" s="20" t="s">
        <v>32232</v>
      </c>
      <c r="G7147" s="24"/>
      <c r="H7147" s="24"/>
      <c r="I7147" s="24" t="str">
        <f ca="1">IFERROR(__xludf.DUMMYFUNCTION("GOOGLETRANSLATE(F7147,""en"",""pt"")"),"conversores de protocolo")</f>
        <v>conversores de protocolo</v>
      </c>
      <c r="J7147">
        <f>VLOOKUP(A7147,Pr_Base_LNEC!$A$4:$J$6971,6,FALSE)</f>
        <v>0</v>
      </c>
      <c r="K7147">
        <f>VLOOKUP(A7147,Pr_Base_LNEC!$A$4:$J$6971,7,FALSE)</f>
        <v>0</v>
      </c>
    </row>
    <row r="7148" spans="1:11" ht="14.5">
      <c r="A7148" s="20" t="s">
        <v>32233</v>
      </c>
      <c r="B7148" s="20">
        <v>75</v>
      </c>
      <c r="C7148" s="20">
        <v>75</v>
      </c>
      <c r="D7148" s="20">
        <v>90</v>
      </c>
      <c r="E7148" s="20">
        <v>70</v>
      </c>
      <c r="F7148" s="20" t="s">
        <v>32234</v>
      </c>
      <c r="G7148" s="24"/>
      <c r="H7148" s="24"/>
      <c r="I7148" s="24" t="str">
        <f ca="1">IFERROR(__xludf.DUMMYFUNCTION("GOOGLETRANSLATE(F7148,""en"",""pt"")"),"unidades de interface de rádio")</f>
        <v>unidades de interface de rádio</v>
      </c>
      <c r="J7148" t="e">
        <f>VLOOKUP(A7148,Pr_Base_LNEC!$A$4:$J$6971,6,FALSE)</f>
        <v>#N/A</v>
      </c>
      <c r="K7148" t="e">
        <f>VLOOKUP(A7148,Pr_Base_LNEC!$A$4:$J$6971,7,FALSE)</f>
        <v>#N/A</v>
      </c>
    </row>
    <row r="7149" spans="1:11" ht="14.5">
      <c r="A7149" s="20" t="s">
        <v>32235</v>
      </c>
      <c r="B7149" s="20">
        <v>75</v>
      </c>
      <c r="C7149" s="20">
        <v>75</v>
      </c>
      <c r="D7149" s="20">
        <v>90</v>
      </c>
      <c r="E7149" s="20">
        <v>71</v>
      </c>
      <c r="F7149" s="20" t="s">
        <v>32236</v>
      </c>
      <c r="G7149" s="24"/>
      <c r="H7149" s="24"/>
      <c r="I7149" s="24" t="str">
        <f ca="1">IFERROR(__xludf.DUMMYFUNCTION("GOOGLETRANSLATE(F7149,""en"",""pt"")"),"receptores de rádio")</f>
        <v>receptores de rádio</v>
      </c>
      <c r="J7149">
        <f>VLOOKUP(A7149,Pr_Base_LNEC!$A$4:$J$6971,6,FALSE)</f>
        <v>0</v>
      </c>
      <c r="K7149">
        <f>VLOOKUP(A7149,Pr_Base_LNEC!$A$4:$J$6971,7,FALSE)</f>
        <v>0</v>
      </c>
    </row>
    <row r="7150" spans="1:11" ht="14.5">
      <c r="A7150" s="20" t="s">
        <v>32237</v>
      </c>
      <c r="B7150" s="20">
        <v>75</v>
      </c>
      <c r="C7150" s="20">
        <v>75</v>
      </c>
      <c r="D7150" s="20">
        <v>90</v>
      </c>
      <c r="E7150" s="20">
        <v>78</v>
      </c>
      <c r="F7150" s="20" t="s">
        <v>32238</v>
      </c>
      <c r="G7150" s="24"/>
      <c r="H7150" s="24"/>
      <c r="I7150" s="24" t="str">
        <f ca="1">IFERROR(__xludf.DUMMYFUNCTION("GOOGLETRANSLATE(F7150,""en"",""pt"")"),"módulos de remetente")</f>
        <v>módulos de remetente</v>
      </c>
      <c r="J7150">
        <f>VLOOKUP(A7150,Pr_Base_LNEC!$A$4:$J$6971,6,FALSE)</f>
        <v>0</v>
      </c>
      <c r="K7150">
        <f>VLOOKUP(A7150,Pr_Base_LNEC!$A$4:$J$6971,7,FALSE)</f>
        <v>0</v>
      </c>
    </row>
    <row r="7151" spans="1:11" ht="14.5">
      <c r="A7151" s="20" t="s">
        <v>32239</v>
      </c>
      <c r="B7151" s="20">
        <v>75</v>
      </c>
      <c r="C7151" s="20">
        <v>75</v>
      </c>
      <c r="D7151" s="20">
        <v>90</v>
      </c>
      <c r="E7151" s="20">
        <v>88</v>
      </c>
      <c r="F7151" s="20" t="s">
        <v>32240</v>
      </c>
      <c r="G7151" s="20" t="s">
        <v>32241</v>
      </c>
      <c r="H7151" s="24"/>
      <c r="I7151" s="24" t="str">
        <f ca="1">IFERROR(__xludf.DUMMYFUNCTION("GOOGLETRANSLATE(F7151,""en"",""pt"")"),"receptores de telemetria")</f>
        <v>receptores de telemetria</v>
      </c>
      <c r="J7151">
        <f>VLOOKUP(A7151,Pr_Base_LNEC!$A$4:$J$6971,6,FALSE)</f>
        <v>0</v>
      </c>
      <c r="K7151">
        <f>VLOOKUP(A7151,Pr_Base_LNEC!$A$4:$J$6971,7,FALSE)</f>
        <v>0</v>
      </c>
    </row>
    <row r="7152" spans="1:11" ht="14.5">
      <c r="A7152" s="20" t="s">
        <v>32242</v>
      </c>
      <c r="B7152" s="20">
        <v>75</v>
      </c>
      <c r="C7152" s="20">
        <v>75</v>
      </c>
      <c r="D7152" s="20">
        <v>90</v>
      </c>
      <c r="E7152" s="20">
        <v>89</v>
      </c>
      <c r="F7152" s="20" t="s">
        <v>32243</v>
      </c>
      <c r="G7152" s="24"/>
      <c r="H7152" s="24"/>
      <c r="I7152" s="24" t="str">
        <f ca="1">IFERROR(__xludf.DUMMYFUNCTION("GOOGLETRANSLATE(F7152,""en"",""pt"")"),"remetentes de telemetria")</f>
        <v>remetentes de telemetria</v>
      </c>
      <c r="J7152">
        <f>VLOOKUP(A7152,Pr_Base_LNEC!$A$4:$J$6971,6,FALSE)</f>
        <v>0</v>
      </c>
      <c r="K7152">
        <f>VLOOKUP(A7152,Pr_Base_LNEC!$A$4:$J$6971,7,FALSE)</f>
        <v>0</v>
      </c>
    </row>
    <row r="7153" spans="1:11" ht="14.5">
      <c r="A7153" s="20" t="s">
        <v>32244</v>
      </c>
      <c r="B7153" s="20">
        <v>75</v>
      </c>
      <c r="C7153" s="20">
        <v>75</v>
      </c>
      <c r="D7153" s="20">
        <v>90</v>
      </c>
      <c r="E7153" s="20">
        <v>90</v>
      </c>
      <c r="F7153" s="20" t="s">
        <v>32245</v>
      </c>
      <c r="G7153" s="20" t="s">
        <v>32246</v>
      </c>
      <c r="H7153" s="24"/>
      <c r="I7153" s="24" t="str">
        <f ca="1">IFERROR(__xludf.DUMMYFUNCTION("GOOGLETRANSLATE(F7153,""en"",""pt"")"),"transmissores de telemetria")</f>
        <v>transmissores de telemetria</v>
      </c>
      <c r="J7153">
        <f>VLOOKUP(A7153,Pr_Base_LNEC!$A$4:$J$6971,6,FALSE)</f>
        <v>0</v>
      </c>
      <c r="K7153">
        <f>VLOOKUP(A7153,Pr_Base_LNEC!$A$4:$J$6971,7,FALSE)</f>
        <v>0</v>
      </c>
    </row>
    <row r="7154" spans="1:11" ht="14.5">
      <c r="A7154" s="20" t="s">
        <v>32247</v>
      </c>
      <c r="B7154" s="20">
        <v>75</v>
      </c>
      <c r="C7154" s="20">
        <v>75</v>
      </c>
      <c r="D7154" s="20">
        <v>90</v>
      </c>
      <c r="E7154" s="20">
        <v>91</v>
      </c>
      <c r="F7154" s="20" t="s">
        <v>32248</v>
      </c>
      <c r="G7154" s="24"/>
      <c r="H7154" s="24"/>
      <c r="I7154" s="24" t="str">
        <f ca="1">IFERROR(__xludf.DUMMYFUNCTION("GOOGLETRANSLATE(F7154,""en"",""pt"")"),"módulos de transmissão")</f>
        <v>módulos de transmissão</v>
      </c>
      <c r="J7154">
        <f>VLOOKUP(A7154,Pr_Base_LNEC!$A$4:$J$6971,6,FALSE)</f>
        <v>0</v>
      </c>
      <c r="K7154">
        <f>VLOOKUP(A7154,Pr_Base_LNEC!$A$4:$J$6971,7,FALSE)</f>
        <v>0</v>
      </c>
    </row>
    <row r="7155" spans="1:11" ht="14.5">
      <c r="A7155" s="20" t="s">
        <v>32249</v>
      </c>
      <c r="B7155" s="20">
        <v>75</v>
      </c>
      <c r="C7155" s="20">
        <v>75</v>
      </c>
      <c r="D7155" s="20">
        <v>90</v>
      </c>
      <c r="E7155" s="20">
        <v>94</v>
      </c>
      <c r="F7155" s="20" t="s">
        <v>32250</v>
      </c>
      <c r="G7155" s="24"/>
      <c r="H7155" s="24"/>
      <c r="I7155" s="24" t="str">
        <f ca="1">IFERROR(__xludf.DUMMYFUNCTION("GOOGLETRANSLATE(F7155,""en"",""pt"")"),"receptores de vídeo")</f>
        <v>receptores de vídeo</v>
      </c>
      <c r="J7155">
        <f>VLOOKUP(A7155,Pr_Base_LNEC!$A$4:$J$6971,6,FALSE)</f>
        <v>0</v>
      </c>
      <c r="K7155">
        <f>VLOOKUP(A7155,Pr_Base_LNEC!$A$4:$J$6971,7,FALSE)</f>
        <v>0</v>
      </c>
    </row>
    <row r="7156" spans="1:11" ht="14.5">
      <c r="A7156" s="20" t="s">
        <v>32251</v>
      </c>
      <c r="B7156" s="20">
        <v>75</v>
      </c>
      <c r="C7156" s="20">
        <v>75</v>
      </c>
      <c r="D7156" s="20">
        <v>90</v>
      </c>
      <c r="E7156" s="20">
        <v>95</v>
      </c>
      <c r="F7156" s="20" t="s">
        <v>32252</v>
      </c>
      <c r="G7156" s="24"/>
      <c r="H7156" s="24"/>
      <c r="I7156" s="24" t="str">
        <f ca="1">IFERROR(__xludf.DUMMYFUNCTION("GOOGLETRANSLATE(F7156,""en"",""pt"")"),"transmissores de vídeo")</f>
        <v>transmissores de vídeo</v>
      </c>
      <c r="J7156">
        <f>VLOOKUP(A7156,Pr_Base_LNEC!$A$4:$J$6971,6,FALSE)</f>
        <v>0</v>
      </c>
      <c r="K7156">
        <f>VLOOKUP(A7156,Pr_Base_LNEC!$A$4:$J$6971,7,FALSE)</f>
        <v>0</v>
      </c>
    </row>
    <row r="7157" spans="1:11" ht="14.5">
      <c r="A7157" s="20" t="s">
        <v>32253</v>
      </c>
      <c r="B7157" s="20">
        <v>75</v>
      </c>
      <c r="C7157" s="20">
        <v>75</v>
      </c>
      <c r="D7157" s="20">
        <v>94</v>
      </c>
      <c r="E7157" s="24"/>
      <c r="F7157" s="20" t="s">
        <v>32254</v>
      </c>
      <c r="G7157" s="24"/>
      <c r="H7157" s="24"/>
      <c r="I7157" s="24" t="str">
        <f ca="1">IFERROR(__xludf.DUMMYFUNCTION("GOOGLETRANSLATE(F7157,""en"",""pt"")"),"alarme por voz e equipamentos de comunicações de voz de emergência")</f>
        <v>alarme por voz e equipamentos de comunicações de voz de emergência</v>
      </c>
      <c r="J7157">
        <f>VLOOKUP(A7157,Pr_Base_LNEC!$A$4:$J$6971,6,FALSE)</f>
        <v>0</v>
      </c>
      <c r="K7157">
        <f>VLOOKUP(A7157,Pr_Base_LNEC!$A$4:$J$6971,7,FALSE)</f>
        <v>0</v>
      </c>
    </row>
    <row r="7158" spans="1:11" ht="14.5">
      <c r="A7158" s="20" t="s">
        <v>32255</v>
      </c>
      <c r="B7158" s="20">
        <v>75</v>
      </c>
      <c r="C7158" s="20">
        <v>75</v>
      </c>
      <c r="D7158" s="20">
        <v>94</v>
      </c>
      <c r="E7158" s="20">
        <v>3</v>
      </c>
      <c r="F7158" s="20" t="s">
        <v>32256</v>
      </c>
      <c r="G7158" s="20" t="s">
        <v>32257</v>
      </c>
      <c r="H7158" s="24"/>
      <c r="I7158" s="24" t="str">
        <f ca="1">IFERROR(__xludf.DUMMYFUNCTION("GOOGLETRANSLATE(F7158,""en"",""pt"")"),"controladores de ruído ambiente sensing")</f>
        <v>controladores de ruído ambiente sensing</v>
      </c>
      <c r="J7158">
        <f>VLOOKUP(A7158,Pr_Base_LNEC!$A$4:$J$6971,6,FALSE)</f>
        <v>0</v>
      </c>
      <c r="K7158">
        <f>VLOOKUP(A7158,Pr_Base_LNEC!$A$4:$J$6971,7,FALSE)</f>
        <v>0</v>
      </c>
    </row>
    <row r="7159" spans="1:11" ht="14.5">
      <c r="A7159" s="20" t="s">
        <v>32258</v>
      </c>
      <c r="B7159" s="20">
        <v>75</v>
      </c>
      <c r="C7159" s="20">
        <v>75</v>
      </c>
      <c r="D7159" s="20">
        <v>94</v>
      </c>
      <c r="E7159" s="20">
        <v>11</v>
      </c>
      <c r="F7159" s="20" t="s">
        <v>32259</v>
      </c>
      <c r="G7159" s="20" t="s">
        <v>32260</v>
      </c>
      <c r="H7159" s="24"/>
      <c r="I7159" s="24" t="str">
        <f ca="1">IFERROR(__xludf.DUMMYFUNCTION("GOOGLETRANSLATE(F7159,""en"",""pt"")"),"Caixas acústicas de alarme por voz")</f>
        <v>Caixas acústicas de alarme por voz</v>
      </c>
      <c r="J7159">
        <f>VLOOKUP(A7159,Pr_Base_LNEC!$A$4:$J$6971,6,FALSE)</f>
        <v>0</v>
      </c>
      <c r="K7159">
        <f>VLOOKUP(A7159,Pr_Base_LNEC!$A$4:$J$6971,7,FALSE)</f>
        <v>0</v>
      </c>
    </row>
    <row r="7160" spans="1:11" ht="14.5">
      <c r="A7160" s="20" t="s">
        <v>32261</v>
      </c>
      <c r="B7160" s="20">
        <v>75</v>
      </c>
      <c r="C7160" s="20">
        <v>75</v>
      </c>
      <c r="D7160" s="20">
        <v>94</v>
      </c>
      <c r="E7160" s="20">
        <v>15</v>
      </c>
      <c r="F7160" s="20" t="s">
        <v>32262</v>
      </c>
      <c r="G7160" s="20" t="s">
        <v>32263</v>
      </c>
      <c r="H7160" s="24"/>
      <c r="I7160" s="24" t="str">
        <f ca="1">IFERROR(__xludf.DUMMYFUNCTION("GOOGLETRANSLATE(F7160,""en"",""pt"")"),"Montado no teto alto-falantes de alarme por voz")</f>
        <v>Montado no teto alto-falantes de alarme por voz</v>
      </c>
      <c r="J7160">
        <f>VLOOKUP(A7160,Pr_Base_LNEC!$A$4:$J$6971,6,FALSE)</f>
        <v>0</v>
      </c>
      <c r="K7160">
        <f>VLOOKUP(A7160,Pr_Base_LNEC!$A$4:$J$6971,7,FALSE)</f>
        <v>0</v>
      </c>
    </row>
    <row r="7161" spans="1:11" ht="14.5">
      <c r="A7161" s="20" t="s">
        <v>32264</v>
      </c>
      <c r="B7161" s="20">
        <v>75</v>
      </c>
      <c r="C7161" s="20">
        <v>75</v>
      </c>
      <c r="D7161" s="20">
        <v>94</v>
      </c>
      <c r="E7161" s="20">
        <v>19</v>
      </c>
      <c r="F7161" s="20" t="s">
        <v>32265</v>
      </c>
      <c r="G7161" s="20" t="s">
        <v>32266</v>
      </c>
      <c r="H7161" s="24"/>
      <c r="I7161" s="24" t="str">
        <f ca="1">IFERROR(__xludf.DUMMYFUNCTION("GOOGLETRANSLATE(F7161,""en"",""pt"")"),"Colunas de altifalantes de alarme por voz")</f>
        <v>Colunas de altifalantes de alarme por voz</v>
      </c>
      <c r="J7161">
        <f>VLOOKUP(A7161,Pr_Base_LNEC!$A$4:$J$6971,6,FALSE)</f>
        <v>0</v>
      </c>
      <c r="K7161">
        <f>VLOOKUP(A7161,Pr_Base_LNEC!$A$4:$J$6971,7,FALSE)</f>
        <v>0</v>
      </c>
    </row>
    <row r="7162" spans="1:11" ht="14.5">
      <c r="A7162" s="20" t="s">
        <v>32267</v>
      </c>
      <c r="B7162" s="20">
        <v>75</v>
      </c>
      <c r="C7162" s="20">
        <v>75</v>
      </c>
      <c r="D7162" s="20">
        <v>94</v>
      </c>
      <c r="E7162" s="20">
        <v>22</v>
      </c>
      <c r="F7162" s="20" t="s">
        <v>32268</v>
      </c>
      <c r="G7162" s="20" t="s">
        <v>32269</v>
      </c>
      <c r="H7162" s="24"/>
      <c r="I7162" s="24" t="str">
        <f ca="1">IFERROR(__xludf.DUMMYFUNCTION("GOOGLETRANSLATE(F7162,""en"",""pt"")"),"estações mestres refúgio deficientes")</f>
        <v>estações mestres refúgio deficientes</v>
      </c>
      <c r="J7162">
        <f>VLOOKUP(A7162,Pr_Base_LNEC!$A$4:$J$6971,6,FALSE)</f>
        <v>0</v>
      </c>
      <c r="K7162">
        <f>VLOOKUP(A7162,Pr_Base_LNEC!$A$4:$J$6971,7,FALSE)</f>
        <v>0</v>
      </c>
    </row>
    <row r="7163" spans="1:11" ht="14.5">
      <c r="A7163" s="20" t="s">
        <v>32270</v>
      </c>
      <c r="B7163" s="20">
        <v>75</v>
      </c>
      <c r="C7163" s="20">
        <v>75</v>
      </c>
      <c r="D7163" s="20">
        <v>94</v>
      </c>
      <c r="E7163" s="20">
        <v>23</v>
      </c>
      <c r="F7163" s="20" t="s">
        <v>32271</v>
      </c>
      <c r="G7163" s="20" t="s">
        <v>32272</v>
      </c>
      <c r="H7163" s="24"/>
      <c r="I7163" s="24" t="str">
        <f ca="1">IFERROR(__xludf.DUMMYFUNCTION("GOOGLETRANSLATE(F7163,""en"",""pt"")"),"capelas refúgio deficientes")</f>
        <v>capelas refúgio deficientes</v>
      </c>
      <c r="J7163">
        <f>VLOOKUP(A7163,Pr_Base_LNEC!$A$4:$J$6971,6,FALSE)</f>
        <v>0</v>
      </c>
      <c r="K7163">
        <f>VLOOKUP(A7163,Pr_Base_LNEC!$A$4:$J$6971,7,FALSE)</f>
        <v>0</v>
      </c>
    </row>
    <row r="7164" spans="1:11" ht="14.5">
      <c r="A7164" s="20" t="s">
        <v>32273</v>
      </c>
      <c r="B7164" s="20">
        <v>75</v>
      </c>
      <c r="C7164" s="20">
        <v>75</v>
      </c>
      <c r="D7164" s="20">
        <v>94</v>
      </c>
      <c r="E7164" s="20">
        <v>27</v>
      </c>
      <c r="F7164" s="20" t="s">
        <v>32274</v>
      </c>
      <c r="G7164" s="20" t="s">
        <v>32275</v>
      </c>
      <c r="H7164" s="24"/>
      <c r="I7164" s="24" t="str">
        <f ca="1">IFERROR(__xludf.DUMMYFUNCTION("GOOGLETRANSLATE(F7164,""en"",""pt"")"),"equipamentos baseados rádio comunicação de voz de emergência")</f>
        <v>equipamentos baseados rádio comunicação de voz de emergência</v>
      </c>
      <c r="J7164">
        <f>VLOOKUP(A7164,Pr_Base_LNEC!$A$4:$J$6971,6,FALSE)</f>
        <v>0</v>
      </c>
      <c r="K7164">
        <f>VLOOKUP(A7164,Pr_Base_LNEC!$A$4:$J$6971,7,FALSE)</f>
        <v>0</v>
      </c>
    </row>
    <row r="7165" spans="1:11" ht="14.5">
      <c r="A7165" s="20" t="s">
        <v>32276</v>
      </c>
      <c r="B7165" s="20">
        <v>75</v>
      </c>
      <c r="C7165" s="20">
        <v>75</v>
      </c>
      <c r="D7165" s="20">
        <v>94</v>
      </c>
      <c r="E7165" s="20">
        <v>37</v>
      </c>
      <c r="F7165" s="20" t="s">
        <v>32277</v>
      </c>
      <c r="G7165" s="20" t="s">
        <v>32278</v>
      </c>
      <c r="H7165" s="24"/>
      <c r="I7165" s="24" t="str">
        <f ca="1">IFERROR(__xludf.DUMMYFUNCTION("GOOGLETRANSLATE(F7165,""en"",""pt"")"),"Chifre alto-falantes de alarme por voz")</f>
        <v>Chifre alto-falantes de alarme por voz</v>
      </c>
      <c r="J7165">
        <f>VLOOKUP(A7165,Pr_Base_LNEC!$A$4:$J$6971,6,FALSE)</f>
        <v>0</v>
      </c>
      <c r="K7165">
        <f>VLOOKUP(A7165,Pr_Base_LNEC!$A$4:$J$6971,7,FALSE)</f>
        <v>0</v>
      </c>
    </row>
    <row r="7166" spans="1:11" ht="14.5">
      <c r="A7166" s="20" t="s">
        <v>32279</v>
      </c>
      <c r="B7166" s="20">
        <v>75</v>
      </c>
      <c r="C7166" s="20">
        <v>75</v>
      </c>
      <c r="D7166" s="20">
        <v>94</v>
      </c>
      <c r="E7166" s="20">
        <v>41</v>
      </c>
      <c r="F7166" s="20" t="s">
        <v>32280</v>
      </c>
      <c r="G7166" s="24"/>
      <c r="H7166" s="24"/>
      <c r="I7166" s="24" t="str">
        <f ca="1">IFERROR(__xludf.DUMMYFUNCTION("GOOGLETRANSLATE(F7166,""en"",""pt"")"),"cartões de entrada")</f>
        <v>cartões de entrada</v>
      </c>
      <c r="J7166">
        <f>VLOOKUP(A7166,Pr_Base_LNEC!$A$4:$J$6971,6,FALSE)</f>
        <v>0</v>
      </c>
      <c r="K7166">
        <f>VLOOKUP(A7166,Pr_Base_LNEC!$A$4:$J$6971,7,FALSE)</f>
        <v>0</v>
      </c>
    </row>
    <row r="7167" spans="1:11" ht="14.5">
      <c r="A7167" s="20" t="s">
        <v>32281</v>
      </c>
      <c r="B7167" s="20">
        <v>75</v>
      </c>
      <c r="C7167" s="20">
        <v>75</v>
      </c>
      <c r="D7167" s="20">
        <v>94</v>
      </c>
      <c r="E7167" s="20">
        <v>58</v>
      </c>
      <c r="F7167" s="20" t="s">
        <v>32282</v>
      </c>
      <c r="G7167" s="24"/>
      <c r="H7167" s="24"/>
      <c r="I7167" s="24" t="str">
        <f ca="1">IFERROR(__xludf.DUMMYFUNCTION("GOOGLETRANSLATE(F7167,""en"",""pt"")"),"placas de saída")</f>
        <v>placas de saída</v>
      </c>
      <c r="J7167">
        <f>VLOOKUP(A7167,Pr_Base_LNEC!$A$4:$J$6971,6,FALSE)</f>
        <v>0</v>
      </c>
      <c r="K7167">
        <f>VLOOKUP(A7167,Pr_Base_LNEC!$A$4:$J$6971,7,FALSE)</f>
        <v>0</v>
      </c>
    </row>
    <row r="7168" spans="1:11" ht="14.5">
      <c r="A7168" s="20" t="s">
        <v>32283</v>
      </c>
      <c r="B7168" s="20">
        <v>75</v>
      </c>
      <c r="C7168" s="20">
        <v>75</v>
      </c>
      <c r="D7168" s="20">
        <v>94</v>
      </c>
      <c r="E7168" s="20">
        <v>60</v>
      </c>
      <c r="F7168" s="20" t="s">
        <v>32284</v>
      </c>
      <c r="G7168" s="20" t="s">
        <v>32285</v>
      </c>
      <c r="H7168" s="24"/>
      <c r="I7168" s="24" t="str">
        <f ca="1">IFERROR(__xludf.DUMMYFUNCTION("GOOGLETRANSLATE(F7168,""en"",""pt"")"),"microfones de paginação")</f>
        <v>microfones de paginação</v>
      </c>
      <c r="J7168">
        <f>VLOOKUP(A7168,Pr_Base_LNEC!$A$4:$J$6971,6,FALSE)</f>
        <v>0</v>
      </c>
      <c r="K7168">
        <f>VLOOKUP(A7168,Pr_Base_LNEC!$A$4:$J$6971,7,FALSE)</f>
        <v>0</v>
      </c>
    </row>
    <row r="7169" spans="1:11" ht="14.5">
      <c r="A7169" s="20" t="s">
        <v>32286</v>
      </c>
      <c r="B7169" s="20">
        <v>75</v>
      </c>
      <c r="C7169" s="20">
        <v>75</v>
      </c>
      <c r="D7169" s="20">
        <v>94</v>
      </c>
      <c r="E7169" s="20">
        <v>70</v>
      </c>
      <c r="F7169" s="20" t="s">
        <v>32287</v>
      </c>
      <c r="G7169" s="24"/>
      <c r="H7169" s="24"/>
      <c r="I7169" s="24" t="str">
        <f ca="1">IFERROR(__xludf.DUMMYFUNCTION("GOOGLETRANSLATE(F7169,""en"",""pt"")"),"microfones de rádio")</f>
        <v>microfones de rádio</v>
      </c>
      <c r="J7169">
        <f>VLOOKUP(A7169,Pr_Base_LNEC!$A$4:$J$6971,6,FALSE)</f>
        <v>0</v>
      </c>
      <c r="K7169">
        <f>VLOOKUP(A7169,Pr_Base_LNEC!$A$4:$J$6971,7,FALSE)</f>
        <v>0</v>
      </c>
    </row>
    <row r="7170" spans="1:11" ht="14.5">
      <c r="A7170" s="20" t="s">
        <v>32288</v>
      </c>
      <c r="B7170" s="20">
        <v>75</v>
      </c>
      <c r="C7170" s="20">
        <v>75</v>
      </c>
      <c r="D7170" s="20">
        <v>94</v>
      </c>
      <c r="E7170" s="20">
        <v>72</v>
      </c>
      <c r="F7170" s="20" t="s">
        <v>32289</v>
      </c>
      <c r="G7170" s="24"/>
      <c r="H7170" s="24"/>
      <c r="I7170" s="24" t="str">
        <f ca="1">IFERROR(__xludf.DUMMYFUNCTION("GOOGLETRANSLATE(F7170,""en"",""pt"")"),"placas de interface de endereço público de rádio")</f>
        <v>placas de interface de endereço público de rádio</v>
      </c>
      <c r="J7170">
        <f>VLOOKUP(A7170,Pr_Base_LNEC!$A$4:$J$6971,6,FALSE)</f>
        <v>0</v>
      </c>
      <c r="K7170">
        <f>VLOOKUP(A7170,Pr_Base_LNEC!$A$4:$J$6971,7,FALSE)</f>
        <v>0</v>
      </c>
    </row>
    <row r="7171" spans="1:11" ht="14.5">
      <c r="A7171" s="20" t="s">
        <v>32290</v>
      </c>
      <c r="B7171" s="20">
        <v>75</v>
      </c>
      <c r="C7171" s="20">
        <v>75</v>
      </c>
      <c r="D7171" s="20">
        <v>94</v>
      </c>
      <c r="E7171" s="20">
        <v>74</v>
      </c>
      <c r="F7171" s="20" t="s">
        <v>32291</v>
      </c>
      <c r="G7171" s="24"/>
      <c r="H7171" s="24"/>
      <c r="I7171" s="24" t="str">
        <f ca="1">IFERROR(__xludf.DUMMYFUNCTION("GOOGLETRANSLATE(F7171,""en"",""pt"")"),"estações mestres ponto de refúgio")</f>
        <v>estações mestres ponto de refúgio</v>
      </c>
      <c r="J7171" t="e">
        <f>VLOOKUP(A7171,Pr_Base_LNEC!$A$4:$J$6971,6,FALSE)</f>
        <v>#N/A</v>
      </c>
      <c r="K7171" t="e">
        <f>VLOOKUP(A7171,Pr_Base_LNEC!$A$4:$J$6971,7,FALSE)</f>
        <v>#N/A</v>
      </c>
    </row>
    <row r="7172" spans="1:11" ht="14.5">
      <c r="A7172" s="20" t="s">
        <v>32292</v>
      </c>
      <c r="B7172" s="20">
        <v>75</v>
      </c>
      <c r="C7172" s="20">
        <v>75</v>
      </c>
      <c r="D7172" s="20">
        <v>94</v>
      </c>
      <c r="E7172" s="20">
        <v>76</v>
      </c>
      <c r="F7172" s="20" t="s">
        <v>32293</v>
      </c>
      <c r="G7172" s="24"/>
      <c r="H7172" s="24"/>
      <c r="I7172" s="24" t="str">
        <f ca="1">IFERROR(__xludf.DUMMYFUNCTION("GOOGLETRANSLATE(F7172,""en"",""pt"")"),"capelas ponto de refúgio")</f>
        <v>capelas ponto de refúgio</v>
      </c>
      <c r="J7172" t="e">
        <f>VLOOKUP(A7172,Pr_Base_LNEC!$A$4:$J$6971,6,FALSE)</f>
        <v>#N/A</v>
      </c>
      <c r="K7172" t="e">
        <f>VLOOKUP(A7172,Pr_Base_LNEC!$A$4:$J$6971,7,FALSE)</f>
        <v>#N/A</v>
      </c>
    </row>
    <row r="7173" spans="1:11" ht="14.5">
      <c r="A7173" s="20" t="s">
        <v>32294</v>
      </c>
      <c r="B7173" s="20">
        <v>75</v>
      </c>
      <c r="C7173" s="20">
        <v>75</v>
      </c>
      <c r="D7173" s="20">
        <v>94</v>
      </c>
      <c r="E7173" s="20">
        <v>93</v>
      </c>
      <c r="F7173" s="20" t="s">
        <v>32295</v>
      </c>
      <c r="G7173" s="24"/>
      <c r="H7173" s="24"/>
      <c r="I7173" s="24" t="str">
        <f ca="1">IFERROR(__xludf.DUMMYFUNCTION("GOOGLETRANSLATE(F7173,""en"",""pt"")"),"console de controle de voz de alarme")</f>
        <v>console de controle de voz de alarme</v>
      </c>
      <c r="J7173">
        <f>VLOOKUP(A7173,Pr_Base_LNEC!$A$4:$J$6971,6,FALSE)</f>
        <v>0</v>
      </c>
      <c r="K7173">
        <f>VLOOKUP(A7173,Pr_Base_LNEC!$A$4:$J$6971,7,FALSE)</f>
        <v>0</v>
      </c>
    </row>
    <row r="7174" spans="1:11" ht="14.5">
      <c r="A7174" s="20" t="s">
        <v>32296</v>
      </c>
      <c r="B7174" s="20">
        <v>75</v>
      </c>
      <c r="C7174" s="20">
        <v>75</v>
      </c>
      <c r="D7174" s="20">
        <v>94</v>
      </c>
      <c r="E7174" s="20">
        <v>94</v>
      </c>
      <c r="F7174" s="20" t="s">
        <v>32297</v>
      </c>
      <c r="G7174" s="24"/>
      <c r="H7174" s="24"/>
      <c r="I7174" s="24" t="str">
        <f ca="1">IFERROR(__xludf.DUMMYFUNCTION("GOOGLETRANSLATE(F7174,""en"",""pt"")"),"microfones controlador de alarme por voz")</f>
        <v>microfones controlador de alarme por voz</v>
      </c>
      <c r="J7174">
        <f>VLOOKUP(A7174,Pr_Base_LNEC!$A$4:$J$6971,6,FALSE)</f>
        <v>0</v>
      </c>
      <c r="K7174">
        <f>VLOOKUP(A7174,Pr_Base_LNEC!$A$4:$J$6971,7,FALSE)</f>
        <v>0</v>
      </c>
    </row>
    <row r="7175" spans="1:11" ht="14.5">
      <c r="A7175" s="20" t="s">
        <v>32298</v>
      </c>
      <c r="B7175" s="20">
        <v>75</v>
      </c>
      <c r="C7175" s="20">
        <v>75</v>
      </c>
      <c r="D7175" s="20">
        <v>94</v>
      </c>
      <c r="E7175" s="20">
        <v>95</v>
      </c>
      <c r="F7175" s="20" t="s">
        <v>32299</v>
      </c>
      <c r="G7175" s="20" t="s">
        <v>32300</v>
      </c>
      <c r="H7175" s="24"/>
      <c r="I7175" s="24" t="str">
        <f ca="1">IFERROR(__xludf.DUMMYFUNCTION("GOOGLETRANSLATE(F7175,""en"",""pt"")"),"controladores de alarme por voz")</f>
        <v>controladores de alarme por voz</v>
      </c>
      <c r="J7175">
        <f>VLOOKUP(A7175,Pr_Base_LNEC!$A$4:$J$6971,6,FALSE)</f>
        <v>0</v>
      </c>
      <c r="K7175">
        <f>VLOOKUP(A7175,Pr_Base_LNEC!$A$4:$J$6971,7,FALSE)</f>
        <v>0</v>
      </c>
    </row>
    <row r="7176" spans="1:11" ht="14.5">
      <c r="A7176" s="20" t="s">
        <v>32301</v>
      </c>
      <c r="B7176" s="20">
        <v>75</v>
      </c>
      <c r="C7176" s="20">
        <v>75</v>
      </c>
      <c r="D7176" s="20">
        <v>94</v>
      </c>
      <c r="E7176" s="20">
        <v>96</v>
      </c>
      <c r="F7176" s="20" t="s">
        <v>32302</v>
      </c>
      <c r="G7176" s="20" t="s">
        <v>32303</v>
      </c>
      <c r="H7176" s="24"/>
      <c r="I7176" s="24" t="str">
        <f ca="1">IFERROR(__xludf.DUMMYFUNCTION("GOOGLETRANSLATE(F7176,""en"",""pt"")"),"microfones de alarme de emergência de voz")</f>
        <v>microfones de alarme de emergência de voz</v>
      </c>
      <c r="J7176">
        <f>VLOOKUP(A7176,Pr_Base_LNEC!$A$4:$J$6971,6,FALSE)</f>
        <v>0</v>
      </c>
      <c r="K7176">
        <f>VLOOKUP(A7176,Pr_Base_LNEC!$A$4:$J$6971,7,FALSE)</f>
        <v>0</v>
      </c>
    </row>
    <row r="7177" spans="1:11" ht="14.5">
      <c r="A7177" s="20" t="s">
        <v>32304</v>
      </c>
      <c r="B7177" s="20">
        <v>75</v>
      </c>
      <c r="C7177" s="20">
        <v>75</v>
      </c>
      <c r="D7177" s="20">
        <v>94</v>
      </c>
      <c r="E7177" s="20">
        <v>97</v>
      </c>
      <c r="F7177" s="20" t="s">
        <v>32305</v>
      </c>
      <c r="G7177" s="20" t="s">
        <v>32306</v>
      </c>
      <c r="H7177" s="24"/>
      <c r="I7177" s="24" t="str">
        <f ca="1">IFERROR(__xludf.DUMMYFUNCTION("GOOGLETRANSLATE(F7177,""en"",""pt"")"),"amplificadores de potência de alarme por voz")</f>
        <v>amplificadores de potência de alarme por voz</v>
      </c>
      <c r="J7177">
        <f>VLOOKUP(A7177,Pr_Base_LNEC!$A$4:$J$6971,6,FALSE)</f>
        <v>0</v>
      </c>
      <c r="K7177">
        <f>VLOOKUP(A7177,Pr_Base_LNEC!$A$4:$J$6971,7,FALSE)</f>
        <v>0</v>
      </c>
    </row>
    <row r="7178" spans="1:11" ht="14.5">
      <c r="A7178" s="20" t="s">
        <v>32307</v>
      </c>
      <c r="B7178" s="20">
        <v>75</v>
      </c>
      <c r="C7178" s="20">
        <v>75</v>
      </c>
      <c r="D7178" s="20">
        <v>94</v>
      </c>
      <c r="E7178" s="20">
        <v>98</v>
      </c>
      <c r="F7178" s="20" t="s">
        <v>32308</v>
      </c>
      <c r="G7178" s="20" t="s">
        <v>32309</v>
      </c>
      <c r="H7178" s="24"/>
      <c r="I7178" s="24" t="str">
        <f ca="1">IFERROR(__xludf.DUMMYFUNCTION("GOOGLETRANSLATE(F7178,""en"",""pt"")"),"Fontes de alimentação de alarme por voz")</f>
        <v>Fontes de alimentação de alarme por voz</v>
      </c>
      <c r="J7178">
        <f>VLOOKUP(A7178,Pr_Base_LNEC!$A$4:$J$6971,6,FALSE)</f>
        <v>0</v>
      </c>
      <c r="K7178">
        <f>VLOOKUP(A7178,Pr_Base_LNEC!$A$4:$J$6971,7,FALSE)</f>
        <v>0</v>
      </c>
    </row>
    <row r="7179" spans="1:11" ht="14.5">
      <c r="A7179" s="20" t="s">
        <v>32310</v>
      </c>
      <c r="B7179" s="20">
        <v>80</v>
      </c>
      <c r="C7179" s="24"/>
      <c r="D7179" s="24"/>
      <c r="E7179" s="24"/>
      <c r="F7179" s="20" t="s">
        <v>32311</v>
      </c>
      <c r="G7179" s="24"/>
      <c r="H7179" s="24"/>
      <c r="I7179" s="24" t="str">
        <f ca="1">IFERROR(__xludf.DUMMYFUNCTION("GOOGLETRANSLATE(F7179,""en"",""pt"")"),"Serviços produtos gerais")</f>
        <v>Serviços produtos gerais</v>
      </c>
      <c r="J7179" t="str">
        <f>VLOOKUP(A7179,Pr_Base_LNEC!$A$4:$J$6971,6,FALSE)</f>
        <v>Produtos para Serviços Gerais</v>
      </c>
      <c r="K7179">
        <f>VLOOKUP(A7179,Pr_Base_LNEC!$A$4:$J$6971,7,FALSE)</f>
        <v>0</v>
      </c>
    </row>
    <row r="7180" spans="1:11" ht="14.5">
      <c r="A7180" s="20" t="s">
        <v>32312</v>
      </c>
      <c r="B7180" s="20">
        <v>80</v>
      </c>
      <c r="C7180" s="20">
        <v>51</v>
      </c>
      <c r="D7180" s="24"/>
      <c r="E7180" s="24"/>
      <c r="F7180" s="20" t="s">
        <v>32313</v>
      </c>
      <c r="G7180" s="24"/>
      <c r="H7180" s="24"/>
      <c r="I7180" s="24" t="str">
        <f ca="1">IFERROR(__xludf.DUMMYFUNCTION("GOOGLETRANSLATE(F7180,""en"",""pt"")"),"Medição e dosagem de produtos")</f>
        <v>Medição e dosagem de produtos</v>
      </c>
      <c r="J7180" t="str">
        <f>VLOOKUP(A7180,Pr_Base_LNEC!$A$4:$J$6971,6,FALSE)</f>
        <v>Produtos para Medições e Aferição</v>
      </c>
      <c r="K7180">
        <f>VLOOKUP(A7180,Pr_Base_LNEC!$A$4:$J$6971,7,FALSE)</f>
        <v>0</v>
      </c>
    </row>
    <row r="7181" spans="1:11" ht="14.5">
      <c r="A7181" s="20" t="s">
        <v>32314</v>
      </c>
      <c r="B7181" s="20">
        <v>80</v>
      </c>
      <c r="C7181" s="20">
        <v>51</v>
      </c>
      <c r="D7181" s="20">
        <v>30</v>
      </c>
      <c r="E7181" s="24"/>
      <c r="F7181" s="20" t="s">
        <v>32315</v>
      </c>
      <c r="G7181" s="24"/>
      <c r="H7181" s="24"/>
      <c r="I7181" s="24" t="str">
        <f ca="1">IFERROR(__xludf.DUMMYFUNCTION("GOOGLETRANSLATE(F7181,""en"",""pt"")"),"medindo flumes")</f>
        <v>medindo flumes</v>
      </c>
      <c r="J7181">
        <f>VLOOKUP(A7181,Pr_Base_LNEC!$A$4:$J$6971,6,FALSE)</f>
        <v>0</v>
      </c>
      <c r="K7181">
        <f>VLOOKUP(A7181,Pr_Base_LNEC!$A$4:$J$6971,7,FALSE)</f>
        <v>0</v>
      </c>
    </row>
    <row r="7182" spans="1:11" ht="14.5">
      <c r="A7182" s="20" t="s">
        <v>32316</v>
      </c>
      <c r="B7182" s="20">
        <v>80</v>
      </c>
      <c r="C7182" s="20">
        <v>51</v>
      </c>
      <c r="D7182" s="20">
        <v>30</v>
      </c>
      <c r="E7182" s="20">
        <v>20</v>
      </c>
      <c r="F7182" s="20" t="s">
        <v>32317</v>
      </c>
      <c r="G7182" s="20" t="s">
        <v>32318</v>
      </c>
      <c r="H7182" s="24"/>
      <c r="I7182" s="24" t="str">
        <f ca="1">IFERROR(__xludf.DUMMYFUNCTION("GOOGLETRANSLATE(F7182,""en"",""pt"")"),"flumes cutthroat")</f>
        <v>flumes cutthroat</v>
      </c>
      <c r="J7182">
        <f>VLOOKUP(A7182,Pr_Base_LNEC!$A$4:$J$6971,6,FALSE)</f>
        <v>0</v>
      </c>
      <c r="K7182">
        <f>VLOOKUP(A7182,Pr_Base_LNEC!$A$4:$J$6971,7,FALSE)</f>
        <v>0</v>
      </c>
    </row>
    <row r="7183" spans="1:11" ht="14.5">
      <c r="A7183" s="20" t="s">
        <v>32319</v>
      </c>
      <c r="B7183" s="20">
        <v>80</v>
      </c>
      <c r="C7183" s="20">
        <v>51</v>
      </c>
      <c r="D7183" s="20">
        <v>30</v>
      </c>
      <c r="E7183" s="20">
        <v>38</v>
      </c>
      <c r="F7183" s="20" t="s">
        <v>32320</v>
      </c>
      <c r="G7183" s="20" t="s">
        <v>32321</v>
      </c>
      <c r="H7183" s="24"/>
      <c r="I7183" s="24" t="str">
        <f ca="1">IFERROR(__xludf.DUMMYFUNCTION("GOOGLETRANSLATE(F7183,""en"",""pt"")"),"SH / H / calhas HL")</f>
        <v>SH / H / calhas HL</v>
      </c>
      <c r="J7183">
        <f>VLOOKUP(A7183,Pr_Base_LNEC!$A$4:$J$6971,6,FALSE)</f>
        <v>0</v>
      </c>
      <c r="K7183">
        <f>VLOOKUP(A7183,Pr_Base_LNEC!$A$4:$J$6971,7,FALSE)</f>
        <v>0</v>
      </c>
    </row>
    <row r="7184" spans="1:11" ht="14.5">
      <c r="A7184" s="20" t="s">
        <v>32322</v>
      </c>
      <c r="B7184" s="20">
        <v>80</v>
      </c>
      <c r="C7184" s="20">
        <v>51</v>
      </c>
      <c r="D7184" s="20">
        <v>30</v>
      </c>
      <c r="E7184" s="20">
        <v>52</v>
      </c>
      <c r="F7184" s="20" t="s">
        <v>32323</v>
      </c>
      <c r="G7184" s="20" t="s">
        <v>32324</v>
      </c>
      <c r="H7184" s="24"/>
      <c r="I7184" s="24" t="str">
        <f ca="1">IFERROR(__xludf.DUMMYFUNCTION("GOOGLETRANSLATE(F7184,""en"",""pt"")"),"flumes Montana")</f>
        <v>flumes Montana</v>
      </c>
      <c r="J7184">
        <f>VLOOKUP(A7184,Pr_Base_LNEC!$A$4:$J$6971,6,FALSE)</f>
        <v>0</v>
      </c>
      <c r="K7184">
        <f>VLOOKUP(A7184,Pr_Base_LNEC!$A$4:$J$6971,7,FALSE)</f>
        <v>0</v>
      </c>
    </row>
    <row r="7185" spans="1:11" ht="14.5">
      <c r="A7185" s="20" t="s">
        <v>32325</v>
      </c>
      <c r="B7185" s="20">
        <v>80</v>
      </c>
      <c r="C7185" s="20">
        <v>51</v>
      </c>
      <c r="D7185" s="20">
        <v>30</v>
      </c>
      <c r="E7185" s="20">
        <v>60</v>
      </c>
      <c r="F7185" s="20" t="s">
        <v>32326</v>
      </c>
      <c r="G7185" s="20" t="s">
        <v>32327</v>
      </c>
      <c r="H7185" s="24"/>
      <c r="I7185" s="24" t="str">
        <f ca="1">IFERROR(__xludf.DUMMYFUNCTION("GOOGLETRANSLATE(F7185,""en"",""pt"")"),"flumes Palmer-Bowlus")</f>
        <v>flumes Palmer-Bowlus</v>
      </c>
      <c r="J7185">
        <f>VLOOKUP(A7185,Pr_Base_LNEC!$A$4:$J$6971,6,FALSE)</f>
        <v>0</v>
      </c>
      <c r="K7185">
        <f>VLOOKUP(A7185,Pr_Base_LNEC!$A$4:$J$6971,7,FALSE)</f>
        <v>0</v>
      </c>
    </row>
    <row r="7186" spans="1:11" ht="14.5">
      <c r="A7186" s="20" t="s">
        <v>32328</v>
      </c>
      <c r="B7186" s="20">
        <v>80</v>
      </c>
      <c r="C7186" s="20">
        <v>51</v>
      </c>
      <c r="D7186" s="20">
        <v>30</v>
      </c>
      <c r="E7186" s="20">
        <v>61</v>
      </c>
      <c r="F7186" s="20" t="s">
        <v>32329</v>
      </c>
      <c r="G7186" s="20" t="s">
        <v>32330</v>
      </c>
      <c r="H7186" s="24"/>
      <c r="I7186" s="24" t="str">
        <f ca="1">IFERROR(__xludf.DUMMYFUNCTION("GOOGLETRANSLATE(F7186,""en"",""pt"")"),"Parshall flumes")</f>
        <v>Parshall flumes</v>
      </c>
      <c r="J7186">
        <f>VLOOKUP(A7186,Pr_Base_LNEC!$A$4:$J$6971,6,FALSE)</f>
        <v>0</v>
      </c>
      <c r="K7186">
        <f>VLOOKUP(A7186,Pr_Base_LNEC!$A$4:$J$6971,7,FALSE)</f>
        <v>0</v>
      </c>
    </row>
    <row r="7187" spans="1:11" ht="14.5">
      <c r="A7187" s="20" t="s">
        <v>32331</v>
      </c>
      <c r="B7187" s="20">
        <v>80</v>
      </c>
      <c r="C7187" s="20">
        <v>51</v>
      </c>
      <c r="D7187" s="20">
        <v>30</v>
      </c>
      <c r="E7187" s="20">
        <v>70</v>
      </c>
      <c r="F7187" s="20" t="s">
        <v>32332</v>
      </c>
      <c r="G7187" s="20" t="s">
        <v>32333</v>
      </c>
      <c r="H7187" s="24"/>
      <c r="I7187" s="24" t="str">
        <f ca="1">IFERROR(__xludf.DUMMYFUNCTION("GOOGLETRANSLATE(F7187,""en"",""pt"")"),"flumes RBC")</f>
        <v>flumes RBC</v>
      </c>
      <c r="J7187">
        <f>VLOOKUP(A7187,Pr_Base_LNEC!$A$4:$J$6971,6,FALSE)</f>
        <v>0</v>
      </c>
      <c r="K7187">
        <f>VLOOKUP(A7187,Pr_Base_LNEC!$A$4:$J$6971,7,FALSE)</f>
        <v>0</v>
      </c>
    </row>
    <row r="7188" spans="1:11" ht="14.5">
      <c r="A7188" s="20" t="s">
        <v>32334</v>
      </c>
      <c r="B7188" s="20">
        <v>80</v>
      </c>
      <c r="C7188" s="20">
        <v>51</v>
      </c>
      <c r="D7188" s="20">
        <v>30</v>
      </c>
      <c r="E7188" s="20">
        <v>90</v>
      </c>
      <c r="F7188" s="20" t="s">
        <v>32335</v>
      </c>
      <c r="G7188" s="20" t="s">
        <v>32336</v>
      </c>
      <c r="H7188" s="24"/>
      <c r="I7188" s="24" t="str">
        <f ca="1">IFERROR(__xludf.DUMMYFUNCTION("GOOGLETRANSLATE(F7188,""en"",""pt"")"),"calhas trapezoidais")</f>
        <v>calhas trapezoidais</v>
      </c>
      <c r="J7188">
        <f>VLOOKUP(A7188,Pr_Base_LNEC!$A$4:$J$6971,6,FALSE)</f>
        <v>0</v>
      </c>
      <c r="K7188">
        <f>VLOOKUP(A7188,Pr_Base_LNEC!$A$4:$J$6971,7,FALSE)</f>
        <v>0</v>
      </c>
    </row>
    <row r="7189" spans="1:11" ht="14.5">
      <c r="A7189" s="20" t="s">
        <v>32337</v>
      </c>
      <c r="B7189" s="20">
        <v>80</v>
      </c>
      <c r="C7189" s="20">
        <v>51</v>
      </c>
      <c r="D7189" s="20">
        <v>30</v>
      </c>
      <c r="E7189" s="20">
        <v>94</v>
      </c>
      <c r="F7189" s="20" t="s">
        <v>32338</v>
      </c>
      <c r="G7189" s="20" t="s">
        <v>32339</v>
      </c>
      <c r="H7189" s="24"/>
      <c r="I7189" s="24" t="str">
        <f ca="1">IFERROR(__xludf.DUMMYFUNCTION("GOOGLETRANSLATE(F7189,""en"",""pt"")"),"flumes Venturi")</f>
        <v>flumes Venturi</v>
      </c>
      <c r="J7189">
        <f>VLOOKUP(A7189,Pr_Base_LNEC!$A$4:$J$6971,6,FALSE)</f>
        <v>0</v>
      </c>
      <c r="K7189">
        <f>VLOOKUP(A7189,Pr_Base_LNEC!$A$4:$J$6971,7,FALSE)</f>
        <v>0</v>
      </c>
    </row>
    <row r="7190" spans="1:11" ht="14.5">
      <c r="A7190" s="20" t="s">
        <v>32340</v>
      </c>
      <c r="B7190" s="20">
        <v>80</v>
      </c>
      <c r="C7190" s="20">
        <v>51</v>
      </c>
      <c r="D7190" s="20">
        <v>46</v>
      </c>
      <c r="E7190" s="24"/>
      <c r="F7190" s="20" t="s">
        <v>32341</v>
      </c>
      <c r="G7190" s="24"/>
      <c r="H7190" s="24"/>
      <c r="I7190" s="24" t="str">
        <f ca="1">IFERROR(__xludf.DUMMYFUNCTION("GOOGLETRANSLATE(F7190,""en"",""pt"")"),"medidores de fluxo líquidos")</f>
        <v>medidores de fluxo líquidos</v>
      </c>
      <c r="J7190">
        <f>VLOOKUP(A7190,Pr_Base_LNEC!$A$4:$J$6971,6,FALSE)</f>
        <v>0</v>
      </c>
      <c r="K7190">
        <f>VLOOKUP(A7190,Pr_Base_LNEC!$A$4:$J$6971,7,FALSE)</f>
        <v>0</v>
      </c>
    </row>
    <row r="7191" spans="1:11" ht="14.5">
      <c r="A7191" s="20" t="s">
        <v>32342</v>
      </c>
      <c r="B7191" s="20">
        <v>80</v>
      </c>
      <c r="C7191" s="20">
        <v>51</v>
      </c>
      <c r="D7191" s="20">
        <v>46</v>
      </c>
      <c r="E7191" s="20">
        <v>15</v>
      </c>
      <c r="F7191" s="20" t="s">
        <v>32343</v>
      </c>
      <c r="G7191" s="20" t="s">
        <v>32344</v>
      </c>
      <c r="H7191" s="24"/>
      <c r="I7191" s="24" t="str">
        <f ca="1">IFERROR(__xludf.DUMMYFUNCTION("GOOGLETRANSLATE(F7191,""en"",""pt"")"),"medidores de vazão Coriolis")</f>
        <v>medidores de vazão Coriolis</v>
      </c>
      <c r="J7191">
        <f>VLOOKUP(A7191,Pr_Base_LNEC!$A$4:$J$6971,6,FALSE)</f>
        <v>0</v>
      </c>
      <c r="K7191">
        <f>VLOOKUP(A7191,Pr_Base_LNEC!$A$4:$J$6971,7,FALSE)</f>
        <v>0</v>
      </c>
    </row>
    <row r="7192" spans="1:11" ht="14.5">
      <c r="A7192" s="20" t="s">
        <v>32345</v>
      </c>
      <c r="B7192" s="20">
        <v>80</v>
      </c>
      <c r="C7192" s="20">
        <v>51</v>
      </c>
      <c r="D7192" s="20">
        <v>46</v>
      </c>
      <c r="E7192" s="20">
        <v>27</v>
      </c>
      <c r="F7192" s="20" t="s">
        <v>32346</v>
      </c>
      <c r="G7192" s="20" t="s">
        <v>32347</v>
      </c>
      <c r="H7192" s="24"/>
      <c r="I7192" s="24" t="str">
        <f ca="1">IFERROR(__xludf.DUMMYFUNCTION("GOOGLETRANSLATE(F7192,""en"",""pt"")"),"medidores de fluxo eletromagnéticos")</f>
        <v>medidores de fluxo eletromagnéticos</v>
      </c>
      <c r="J7192">
        <f>VLOOKUP(A7192,Pr_Base_LNEC!$A$4:$J$6971,6,FALSE)</f>
        <v>0</v>
      </c>
      <c r="K7192">
        <f>VLOOKUP(A7192,Pr_Base_LNEC!$A$4:$J$6971,7,FALSE)</f>
        <v>0</v>
      </c>
    </row>
    <row r="7193" spans="1:11" ht="14.5">
      <c r="A7193" s="20" t="s">
        <v>32348</v>
      </c>
      <c r="B7193" s="20">
        <v>80</v>
      </c>
      <c r="C7193" s="20">
        <v>51</v>
      </c>
      <c r="D7193" s="20">
        <v>46</v>
      </c>
      <c r="E7193" s="20">
        <v>55</v>
      </c>
      <c r="F7193" s="20" t="s">
        <v>32349</v>
      </c>
      <c r="G7193" s="20" t="s">
        <v>32350</v>
      </c>
      <c r="H7193" s="24"/>
      <c r="I7193" s="24" t="str">
        <f ca="1">IFERROR(__xludf.DUMMYFUNCTION("GOOGLETRANSLATE(F7193,""en"",""pt"")"),"medidores de vazão multifásicos")</f>
        <v>medidores de vazão multifásicos</v>
      </c>
      <c r="J7193">
        <f>VLOOKUP(A7193,Pr_Base_LNEC!$A$4:$J$6971,6,FALSE)</f>
        <v>0</v>
      </c>
      <c r="K7193">
        <f>VLOOKUP(A7193,Pr_Base_LNEC!$A$4:$J$6971,7,FALSE)</f>
        <v>0</v>
      </c>
    </row>
    <row r="7194" spans="1:11" ht="14.5">
      <c r="A7194" s="20" t="s">
        <v>32351</v>
      </c>
      <c r="B7194" s="20">
        <v>80</v>
      </c>
      <c r="C7194" s="20">
        <v>51</v>
      </c>
      <c r="D7194" s="20">
        <v>46</v>
      </c>
      <c r="E7194" s="20">
        <v>66</v>
      </c>
      <c r="F7194" s="20" t="s">
        <v>32352</v>
      </c>
      <c r="G7194" s="20" t="s">
        <v>32353</v>
      </c>
      <c r="H7194" s="24"/>
      <c r="I7194" s="24" t="str">
        <f ca="1">IFERROR(__xludf.DUMMYFUNCTION("GOOGLETRANSLATE(F7194,""en"",""pt"")"),"fluxo primário medidores de fluxo de pressão diferencial")</f>
        <v>fluxo primário medidores de fluxo de pressão diferencial</v>
      </c>
      <c r="J7194">
        <f>VLOOKUP(A7194,Pr_Base_LNEC!$A$4:$J$6971,6,FALSE)</f>
        <v>0</v>
      </c>
      <c r="K7194">
        <f>VLOOKUP(A7194,Pr_Base_LNEC!$A$4:$J$6971,7,FALSE)</f>
        <v>0</v>
      </c>
    </row>
    <row r="7195" spans="1:11" ht="14.5">
      <c r="A7195" s="20" t="s">
        <v>32354</v>
      </c>
      <c r="B7195" s="20">
        <v>80</v>
      </c>
      <c r="C7195" s="20">
        <v>51</v>
      </c>
      <c r="D7195" s="20">
        <v>46</v>
      </c>
      <c r="E7195" s="20">
        <v>73</v>
      </c>
      <c r="F7195" s="20" t="s">
        <v>32355</v>
      </c>
      <c r="G7195" s="20" t="s">
        <v>32356</v>
      </c>
      <c r="H7195" s="24"/>
      <c r="I7195" s="24" t="str">
        <f ca="1">IFERROR(__xludf.DUMMYFUNCTION("GOOGLETRANSLATE(F7195,""en"",""pt"")"),"medidores de fluxo rotativos de pistão")</f>
        <v>medidores de fluxo rotativos de pistão</v>
      </c>
      <c r="J7195">
        <f>VLOOKUP(A7195,Pr_Base_LNEC!$A$4:$J$6971,6,FALSE)</f>
        <v>0</v>
      </c>
      <c r="K7195">
        <f>VLOOKUP(A7195,Pr_Base_LNEC!$A$4:$J$6971,7,FALSE)</f>
        <v>0</v>
      </c>
    </row>
    <row r="7196" spans="1:11" ht="14.5">
      <c r="A7196" s="20" t="s">
        <v>32357</v>
      </c>
      <c r="B7196" s="20">
        <v>80</v>
      </c>
      <c r="C7196" s="20">
        <v>51</v>
      </c>
      <c r="D7196" s="20">
        <v>46</v>
      </c>
      <c r="E7196" s="20">
        <v>85</v>
      </c>
      <c r="F7196" s="20" t="s">
        <v>32358</v>
      </c>
      <c r="G7196" s="20" t="s">
        <v>32359</v>
      </c>
      <c r="H7196" s="24"/>
      <c r="I7196" s="24" t="str">
        <f ca="1">IFERROR(__xludf.DUMMYFUNCTION("GOOGLETRANSLATE(F7196,""en"",""pt"")"),"medidores de vazão redemoinho")</f>
        <v>medidores de vazão redemoinho</v>
      </c>
      <c r="J7196">
        <f>VLOOKUP(A7196,Pr_Base_LNEC!$A$4:$J$6971,6,FALSE)</f>
        <v>0</v>
      </c>
      <c r="K7196">
        <f>VLOOKUP(A7196,Pr_Base_LNEC!$A$4:$J$6971,7,FALSE)</f>
        <v>0</v>
      </c>
    </row>
    <row r="7197" spans="1:11" ht="14.5">
      <c r="A7197" s="20" t="s">
        <v>32360</v>
      </c>
      <c r="B7197" s="20">
        <v>80</v>
      </c>
      <c r="C7197" s="20">
        <v>51</v>
      </c>
      <c r="D7197" s="20">
        <v>46</v>
      </c>
      <c r="E7197" s="20">
        <v>88</v>
      </c>
      <c r="F7197" s="20" t="s">
        <v>32361</v>
      </c>
      <c r="G7197" s="20" t="s">
        <v>32362</v>
      </c>
      <c r="H7197" s="24"/>
      <c r="I7197" s="24" t="str">
        <f ca="1">IFERROR(__xludf.DUMMYFUNCTION("GOOGLETRANSLATE(F7197,""en"",""pt"")"),"Os medidores de vazão de massa térmica")</f>
        <v>Os medidores de vazão de massa térmica</v>
      </c>
      <c r="J7197">
        <f>VLOOKUP(A7197,Pr_Base_LNEC!$A$4:$J$6971,6,FALSE)</f>
        <v>0</v>
      </c>
      <c r="K7197">
        <f>VLOOKUP(A7197,Pr_Base_LNEC!$A$4:$J$6971,7,FALSE)</f>
        <v>0</v>
      </c>
    </row>
    <row r="7198" spans="1:11" ht="14.5">
      <c r="A7198" s="20" t="s">
        <v>32363</v>
      </c>
      <c r="B7198" s="20">
        <v>80</v>
      </c>
      <c r="C7198" s="20">
        <v>51</v>
      </c>
      <c r="D7198" s="20">
        <v>46</v>
      </c>
      <c r="E7198" s="20">
        <v>92</v>
      </c>
      <c r="F7198" s="20" t="s">
        <v>32364</v>
      </c>
      <c r="G7198" s="20" t="s">
        <v>32365</v>
      </c>
      <c r="H7198" s="24"/>
      <c r="I7198" s="24" t="str">
        <f ca="1">IFERROR(__xludf.DUMMYFUNCTION("GOOGLETRANSLATE(F7198,""en"",""pt"")"),"medidores de vazão ultra-sônicos")</f>
        <v>medidores de vazão ultra-sônicos</v>
      </c>
      <c r="J7198">
        <f>VLOOKUP(A7198,Pr_Base_LNEC!$A$4:$J$6971,6,FALSE)</f>
        <v>0</v>
      </c>
      <c r="K7198">
        <f>VLOOKUP(A7198,Pr_Base_LNEC!$A$4:$J$6971,7,FALSE)</f>
        <v>0</v>
      </c>
    </row>
    <row r="7199" spans="1:11" ht="14.5">
      <c r="A7199" s="20" t="s">
        <v>32366</v>
      </c>
      <c r="B7199" s="20">
        <v>80</v>
      </c>
      <c r="C7199" s="20">
        <v>51</v>
      </c>
      <c r="D7199" s="20">
        <v>51</v>
      </c>
      <c r="E7199" s="24"/>
      <c r="F7199" s="20" t="s">
        <v>32367</v>
      </c>
      <c r="G7199" s="24"/>
      <c r="H7199" s="24"/>
      <c r="I7199" s="24" t="str">
        <f ca="1">IFERROR(__xludf.DUMMYFUNCTION("GOOGLETRANSLATE(F7199,""en"",""pt"")"),"produtos de medição e teste")</f>
        <v>produtos de medição e teste</v>
      </c>
      <c r="J7199">
        <f>VLOOKUP(A7199,Pr_Base_LNEC!$A$4:$J$6971,6,FALSE)</f>
        <v>0</v>
      </c>
      <c r="K7199">
        <f>VLOOKUP(A7199,Pr_Base_LNEC!$A$4:$J$6971,7,FALSE)</f>
        <v>0</v>
      </c>
    </row>
    <row r="7200" spans="1:11" ht="14.5">
      <c r="A7200" s="20" t="s">
        <v>32368</v>
      </c>
      <c r="B7200" s="20">
        <v>80</v>
      </c>
      <c r="C7200" s="20">
        <v>51</v>
      </c>
      <c r="D7200" s="20">
        <v>51</v>
      </c>
      <c r="E7200" s="20">
        <v>4</v>
      </c>
      <c r="F7200" s="20" t="s">
        <v>32369</v>
      </c>
      <c r="G7200" s="20" t="s">
        <v>32370</v>
      </c>
      <c r="H7200" s="24"/>
      <c r="I7200" s="24" t="str">
        <f ca="1">IFERROR(__xludf.DUMMYFUNCTION("GOOGLETRANSLATE(F7200,""en"",""pt"")"),"Análogo equipamento de medição")</f>
        <v>Análogo equipamento de medição</v>
      </c>
      <c r="J7200">
        <f>VLOOKUP(A7200,Pr_Base_LNEC!$A$4:$J$6971,6,FALSE)</f>
        <v>0</v>
      </c>
      <c r="K7200">
        <f>VLOOKUP(A7200,Pr_Base_LNEC!$A$4:$J$6971,7,FALSE)</f>
        <v>0</v>
      </c>
    </row>
    <row r="7201" spans="1:11" ht="14.5">
      <c r="A7201" s="20" t="s">
        <v>32371</v>
      </c>
      <c r="B7201" s="20">
        <v>80</v>
      </c>
      <c r="C7201" s="20">
        <v>51</v>
      </c>
      <c r="D7201" s="20">
        <v>51</v>
      </c>
      <c r="E7201" s="20">
        <v>5</v>
      </c>
      <c r="F7201" s="20" t="s">
        <v>32372</v>
      </c>
      <c r="G7201" s="24"/>
      <c r="H7201" s="24"/>
      <c r="I7201" s="24" t="str">
        <f ca="1">IFERROR(__xludf.DUMMYFUNCTION("GOOGLETRANSLATE(F7201,""en"",""pt"")"),"amperímetros")</f>
        <v>amperímetros</v>
      </c>
      <c r="J7201">
        <f>VLOOKUP(A7201,Pr_Base_LNEC!$A$4:$J$6971,6,FALSE)</f>
        <v>0</v>
      </c>
      <c r="K7201">
        <f>VLOOKUP(A7201,Pr_Base_LNEC!$A$4:$J$6971,7,FALSE)</f>
        <v>0</v>
      </c>
    </row>
    <row r="7202" spans="1:11" ht="14.5">
      <c r="A7202" s="20" t="s">
        <v>32373</v>
      </c>
      <c r="B7202" s="20">
        <v>80</v>
      </c>
      <c r="C7202" s="20">
        <v>51</v>
      </c>
      <c r="D7202" s="20">
        <v>51</v>
      </c>
      <c r="E7202" s="20">
        <v>6</v>
      </c>
      <c r="F7202" s="20" t="s">
        <v>32374</v>
      </c>
      <c r="G7202" s="20" t="s">
        <v>32375</v>
      </c>
      <c r="H7202" s="24"/>
      <c r="I7202" s="24" t="str">
        <f ca="1">IFERROR(__xludf.DUMMYFUNCTION("GOOGLETRANSLATE(F7202,""en"",""pt"")"),"Medidores de resistência de indução campo da malha de freqüência de áudio")</f>
        <v>Medidores de resistência de indução campo da malha de freqüência de áudio</v>
      </c>
      <c r="J7202">
        <f>VLOOKUP(A7202,Pr_Base_LNEC!$A$4:$J$6971,6,FALSE)</f>
        <v>0</v>
      </c>
      <c r="K7202">
        <f>VLOOKUP(A7202,Pr_Base_LNEC!$A$4:$J$6971,7,FALSE)</f>
        <v>0</v>
      </c>
    </row>
    <row r="7203" spans="1:11" ht="14.5">
      <c r="A7203" s="20" t="s">
        <v>32376</v>
      </c>
      <c r="B7203" s="20">
        <v>80</v>
      </c>
      <c r="C7203" s="20">
        <v>51</v>
      </c>
      <c r="D7203" s="20">
        <v>51</v>
      </c>
      <c r="E7203" s="20">
        <v>11</v>
      </c>
      <c r="F7203" s="20" t="s">
        <v>32377</v>
      </c>
      <c r="G7203" s="20" t="s">
        <v>32378</v>
      </c>
      <c r="H7203" s="24"/>
      <c r="I7203" s="24" t="str">
        <f ca="1">IFERROR(__xludf.DUMMYFUNCTION("GOOGLETRANSLATE(F7203,""en"",""pt"")"),"equipamento de registo informação da chamada")</f>
        <v>equipamento de registo informação da chamada</v>
      </c>
      <c r="J7203">
        <f>VLOOKUP(A7203,Pr_Base_LNEC!$A$4:$J$6971,6,FALSE)</f>
        <v>0</v>
      </c>
      <c r="K7203">
        <f>VLOOKUP(A7203,Pr_Base_LNEC!$A$4:$J$6971,7,FALSE)</f>
        <v>0</v>
      </c>
    </row>
    <row r="7204" spans="1:11" ht="14.5">
      <c r="A7204" s="20" t="s">
        <v>32379</v>
      </c>
      <c r="B7204" s="20">
        <v>80</v>
      </c>
      <c r="C7204" s="20">
        <v>51</v>
      </c>
      <c r="D7204" s="20">
        <v>51</v>
      </c>
      <c r="E7204" s="20">
        <v>15</v>
      </c>
      <c r="F7204" s="20" t="s">
        <v>32380</v>
      </c>
      <c r="G7204" s="20" t="s">
        <v>32381</v>
      </c>
      <c r="H7204" s="24"/>
      <c r="I7204" s="24" t="str">
        <f ca="1">IFERROR(__xludf.DUMMYFUNCTION("GOOGLETRANSLATE(F7204,""en"",""pt"")"),"monitores de corrosão")</f>
        <v>monitores de corrosão</v>
      </c>
      <c r="J7204" t="e">
        <f>VLOOKUP(A7204,Pr_Base_LNEC!$A$4:$J$6971,6,FALSE)</f>
        <v>#N/A</v>
      </c>
      <c r="K7204" t="e">
        <f>VLOOKUP(A7204,Pr_Base_LNEC!$A$4:$J$6971,7,FALSE)</f>
        <v>#N/A</v>
      </c>
    </row>
    <row r="7205" spans="1:11" ht="14.5">
      <c r="A7205" s="20" t="s">
        <v>32382</v>
      </c>
      <c r="B7205" s="20">
        <v>80</v>
      </c>
      <c r="C7205" s="20">
        <v>51</v>
      </c>
      <c r="D7205" s="20">
        <v>51</v>
      </c>
      <c r="E7205" s="20">
        <v>19</v>
      </c>
      <c r="F7205" s="20" t="s">
        <v>32383</v>
      </c>
      <c r="G7205" s="20" t="s">
        <v>32384</v>
      </c>
      <c r="H7205" s="24"/>
      <c r="I7205" s="24" t="str">
        <f ca="1">IFERROR(__xludf.DUMMYFUNCTION("GOOGLETRANSLATE(F7205,""en"",""pt"")"),"transformadores de corrente")</f>
        <v>transformadores de corrente</v>
      </c>
      <c r="J7205">
        <f>VLOOKUP(A7205,Pr_Base_LNEC!$A$4:$J$6971,6,FALSE)</f>
        <v>0</v>
      </c>
      <c r="K7205">
        <f>VLOOKUP(A7205,Pr_Base_LNEC!$A$4:$J$6971,7,FALSE)</f>
        <v>0</v>
      </c>
    </row>
    <row r="7206" spans="1:11" ht="14.5">
      <c r="A7206" s="20" t="s">
        <v>32385</v>
      </c>
      <c r="B7206" s="20">
        <v>80</v>
      </c>
      <c r="C7206" s="20">
        <v>51</v>
      </c>
      <c r="D7206" s="20">
        <v>51</v>
      </c>
      <c r="E7206" s="20">
        <v>21</v>
      </c>
      <c r="F7206" s="20" t="s">
        <v>32386</v>
      </c>
      <c r="G7206" s="20" t="s">
        <v>32387</v>
      </c>
      <c r="H7206" s="24"/>
      <c r="I7206" s="24" t="str">
        <f ca="1">IFERROR(__xludf.DUMMYFUNCTION("GOOGLETRANSLATE(F7206,""en"",""pt"")"),"medidores de fluxo de pressão diferencial")</f>
        <v>medidores de fluxo de pressão diferencial</v>
      </c>
      <c r="J7206">
        <f>VLOOKUP(A7206,Pr_Base_LNEC!$A$4:$J$6971,6,FALSE)</f>
        <v>0</v>
      </c>
      <c r="K7206">
        <f>VLOOKUP(A7206,Pr_Base_LNEC!$A$4:$J$6971,7,FALSE)</f>
        <v>0</v>
      </c>
    </row>
    <row r="7207" spans="1:11" ht="14.5">
      <c r="A7207" s="20" t="s">
        <v>32388</v>
      </c>
      <c r="B7207" s="20">
        <v>80</v>
      </c>
      <c r="C7207" s="20">
        <v>51</v>
      </c>
      <c r="D7207" s="20">
        <v>51</v>
      </c>
      <c r="E7207" s="20">
        <v>22</v>
      </c>
      <c r="F7207" s="20" t="s">
        <v>32389</v>
      </c>
      <c r="G7207" s="20" t="s">
        <v>32390</v>
      </c>
      <c r="H7207" s="24"/>
      <c r="I7207" s="24" t="str">
        <f ca="1">IFERROR(__xludf.DUMMYFUNCTION("GOOGLETRANSLATE(F7207,""en"",""pt"")"),"equipamento de medição Digital")</f>
        <v>equipamento de medição Digital</v>
      </c>
      <c r="J7207">
        <f>VLOOKUP(A7207,Pr_Base_LNEC!$A$4:$J$6971,6,FALSE)</f>
        <v>0</v>
      </c>
      <c r="K7207">
        <f>VLOOKUP(A7207,Pr_Base_LNEC!$A$4:$J$6971,7,FALSE)</f>
        <v>0</v>
      </c>
    </row>
    <row r="7208" spans="1:11" ht="14.5">
      <c r="A7208" s="20" t="s">
        <v>32391</v>
      </c>
      <c r="B7208" s="20">
        <v>80</v>
      </c>
      <c r="C7208" s="20">
        <v>51</v>
      </c>
      <c r="D7208" s="20">
        <v>51</v>
      </c>
      <c r="E7208" s="20">
        <v>23</v>
      </c>
      <c r="F7208" s="20" t="s">
        <v>32392</v>
      </c>
      <c r="G7208" s="20" t="s">
        <v>32393</v>
      </c>
      <c r="H7208" s="24"/>
      <c r="I7208" s="24" t="str">
        <f ca="1">IFERROR(__xludf.DUMMYFUNCTION("GOOGLETRANSLATE(F7208,""en"",""pt"")"),"equipamento de medição digital multifunção")</f>
        <v>equipamento de medição digital multifunção</v>
      </c>
      <c r="J7208">
        <f>VLOOKUP(A7208,Pr_Base_LNEC!$A$4:$J$6971,6,FALSE)</f>
        <v>0</v>
      </c>
      <c r="K7208">
        <f>VLOOKUP(A7208,Pr_Base_LNEC!$A$4:$J$6971,7,FALSE)</f>
        <v>0</v>
      </c>
    </row>
    <row r="7209" spans="1:11" ht="14.5">
      <c r="A7209" s="20" t="s">
        <v>32394</v>
      </c>
      <c r="B7209" s="20">
        <v>80</v>
      </c>
      <c r="C7209" s="20">
        <v>51</v>
      </c>
      <c r="D7209" s="20">
        <v>51</v>
      </c>
      <c r="E7209" s="20">
        <v>28</v>
      </c>
      <c r="F7209" s="20" t="s">
        <v>32395</v>
      </c>
      <c r="G7209" s="24"/>
      <c r="H7209" s="24"/>
      <c r="I7209" s="24" t="str">
        <f ca="1">IFERROR(__xludf.DUMMYFUNCTION("GOOGLETRANSLATE(F7209,""en"",""pt"")"),"medidores de energia")</f>
        <v>medidores de energia</v>
      </c>
      <c r="J7209">
        <f>VLOOKUP(A7209,Pr_Base_LNEC!$A$4:$J$6971,6,FALSE)</f>
        <v>0</v>
      </c>
      <c r="K7209">
        <f>VLOOKUP(A7209,Pr_Base_LNEC!$A$4:$J$6971,7,FALSE)</f>
        <v>0</v>
      </c>
    </row>
    <row r="7210" spans="1:11" ht="14.5">
      <c r="A7210" s="20" t="s">
        <v>32396</v>
      </c>
      <c r="B7210" s="20">
        <v>80</v>
      </c>
      <c r="C7210" s="20">
        <v>51</v>
      </c>
      <c r="D7210" s="20">
        <v>51</v>
      </c>
      <c r="E7210" s="20">
        <v>30</v>
      </c>
      <c r="F7210" s="20" t="s">
        <v>32397</v>
      </c>
      <c r="G7210" s="24"/>
      <c r="H7210" s="24"/>
      <c r="I7210" s="24" t="str">
        <f ca="1">IFERROR(__xludf.DUMMYFUNCTION("GOOGLETRANSLATE(F7210,""en"",""pt"")"),"medir frequência")</f>
        <v>medir frequência</v>
      </c>
      <c r="J7210" t="e">
        <f>VLOOKUP(A7210,Pr_Base_LNEC!$A$4:$J$6971,6,FALSE)</f>
        <v>#N/A</v>
      </c>
      <c r="K7210" t="e">
        <f>VLOOKUP(A7210,Pr_Base_LNEC!$A$4:$J$6971,7,FALSE)</f>
        <v>#N/A</v>
      </c>
    </row>
    <row r="7211" spans="1:11" ht="14.5">
      <c r="A7211" s="20" t="s">
        <v>32398</v>
      </c>
      <c r="B7211" s="20">
        <v>80</v>
      </c>
      <c r="C7211" s="20">
        <v>51</v>
      </c>
      <c r="D7211" s="20">
        <v>51</v>
      </c>
      <c r="E7211" s="20">
        <v>32</v>
      </c>
      <c r="F7211" s="20" t="s">
        <v>32399</v>
      </c>
      <c r="G7211" s="20" t="s">
        <v>32400</v>
      </c>
      <c r="H7211" s="24"/>
      <c r="I7211" s="24" t="str">
        <f ca="1">IFERROR(__xludf.DUMMYFUNCTION("GOOGLETRANSLATE(F7211,""en"",""pt"")"),"medidores de combustível")</f>
        <v>medidores de combustível</v>
      </c>
      <c r="J7211">
        <f>VLOOKUP(A7211,Pr_Base_LNEC!$A$4:$J$6971,6,FALSE)</f>
        <v>0</v>
      </c>
      <c r="K7211">
        <f>VLOOKUP(A7211,Pr_Base_LNEC!$A$4:$J$6971,7,FALSE)</f>
        <v>0</v>
      </c>
    </row>
    <row r="7212" spans="1:11" ht="14.5">
      <c r="A7212" s="20" t="s">
        <v>32401</v>
      </c>
      <c r="B7212" s="20">
        <v>80</v>
      </c>
      <c r="C7212" s="20">
        <v>51</v>
      </c>
      <c r="D7212" s="20">
        <v>51</v>
      </c>
      <c r="E7212" s="20">
        <v>33</v>
      </c>
      <c r="F7212" s="20" t="s">
        <v>32402</v>
      </c>
      <c r="G7212" s="20" t="s">
        <v>32403</v>
      </c>
      <c r="H7212" s="24"/>
      <c r="I7212" s="24" t="str">
        <f ca="1">IFERROR(__xludf.DUMMYFUNCTION("GOOGLETRANSLATE(F7212,""en"",""pt"")"),"medidores de gás")</f>
        <v>medidores de gás</v>
      </c>
      <c r="J7212">
        <f>VLOOKUP(A7212,Pr_Base_LNEC!$A$4:$J$6971,6,FALSE)</f>
        <v>0</v>
      </c>
      <c r="K7212">
        <f>VLOOKUP(A7212,Pr_Base_LNEC!$A$4:$J$6971,7,FALSE)</f>
        <v>0</v>
      </c>
    </row>
    <row r="7213" spans="1:11" ht="14.5">
      <c r="A7213" s="20" t="s">
        <v>32404</v>
      </c>
      <c r="B7213" s="20">
        <v>80</v>
      </c>
      <c r="C7213" s="20">
        <v>51</v>
      </c>
      <c r="D7213" s="20">
        <v>51</v>
      </c>
      <c r="E7213" s="20">
        <v>37</v>
      </c>
      <c r="F7213" s="20" t="s">
        <v>32405</v>
      </c>
      <c r="G7213" s="20" t="s">
        <v>32406</v>
      </c>
      <c r="H7213" s="24"/>
      <c r="I7213" s="24" t="str">
        <f ca="1">IFERROR(__xludf.DUMMYFUNCTION("GOOGLETRANSLATE(F7213,""en"",""pt"")"),"contadores de calor")</f>
        <v>contadores de calor</v>
      </c>
      <c r="J7213">
        <f>VLOOKUP(A7213,Pr_Base_LNEC!$A$4:$J$6971,6,FALSE)</f>
        <v>0</v>
      </c>
      <c r="K7213">
        <f>VLOOKUP(A7213,Pr_Base_LNEC!$A$4:$J$6971,7,FALSE)</f>
        <v>0</v>
      </c>
    </row>
    <row r="7214" spans="1:11" ht="14.5">
      <c r="A7214" s="20" t="s">
        <v>32407</v>
      </c>
      <c r="B7214" s="20">
        <v>80</v>
      </c>
      <c r="C7214" s="20">
        <v>51</v>
      </c>
      <c r="D7214" s="20">
        <v>51</v>
      </c>
      <c r="E7214" s="20">
        <v>50</v>
      </c>
      <c r="F7214" s="20" t="s">
        <v>32408</v>
      </c>
      <c r="G7214" s="20" t="s">
        <v>32409</v>
      </c>
      <c r="H7214" s="24"/>
      <c r="I7214" s="24" t="str">
        <f ca="1">IFERROR(__xludf.DUMMYFUNCTION("GOOGLETRANSLATE(F7214,""en"",""pt"")"),"medidores de fluxo de massa")</f>
        <v>medidores de fluxo de massa</v>
      </c>
      <c r="J7214">
        <f>VLOOKUP(A7214,Pr_Base_LNEC!$A$4:$J$6971,6,FALSE)</f>
        <v>0</v>
      </c>
      <c r="K7214">
        <f>VLOOKUP(A7214,Pr_Base_LNEC!$A$4:$J$6971,7,FALSE)</f>
        <v>0</v>
      </c>
    </row>
    <row r="7215" spans="1:11" ht="14.5">
      <c r="A7215" s="20" t="s">
        <v>32410</v>
      </c>
      <c r="B7215" s="20">
        <v>80</v>
      </c>
      <c r="C7215" s="20">
        <v>51</v>
      </c>
      <c r="D7215" s="20">
        <v>51</v>
      </c>
      <c r="E7215" s="20">
        <v>57</v>
      </c>
      <c r="F7215" s="20" t="s">
        <v>32411</v>
      </c>
      <c r="G7215" s="24"/>
      <c r="H7215" s="24"/>
      <c r="I7215" s="24" t="str">
        <f ca="1">IFERROR(__xludf.DUMMYFUNCTION("GOOGLETRANSLATE(F7215,""en"",""pt"")"),"metros ohm")</f>
        <v>metros ohm</v>
      </c>
      <c r="J7215" t="e">
        <f>VLOOKUP(A7215,Pr_Base_LNEC!$A$4:$J$6971,6,FALSE)</f>
        <v>#N/A</v>
      </c>
      <c r="K7215" t="e">
        <f>VLOOKUP(A7215,Pr_Base_LNEC!$A$4:$J$6971,7,FALSE)</f>
        <v>#N/A</v>
      </c>
    </row>
    <row r="7216" spans="1:11" ht="14.5">
      <c r="A7216" s="20" t="s">
        <v>32412</v>
      </c>
      <c r="B7216" s="20">
        <v>80</v>
      </c>
      <c r="C7216" s="20">
        <v>51</v>
      </c>
      <c r="D7216" s="20">
        <v>51</v>
      </c>
      <c r="E7216" s="20">
        <v>58</v>
      </c>
      <c r="F7216" s="20" t="s">
        <v>32413</v>
      </c>
      <c r="G7216" s="24"/>
      <c r="H7216" s="24"/>
      <c r="I7216" s="24" t="str">
        <f ca="1">IFERROR(__xludf.DUMMYFUNCTION("GOOGLETRANSLATE(F7216,""en"",""pt"")"),"medidores de petróleo")</f>
        <v>medidores de petróleo</v>
      </c>
      <c r="J7216">
        <f>VLOOKUP(A7216,Pr_Base_LNEC!$A$4:$J$6971,6,FALSE)</f>
        <v>0</v>
      </c>
      <c r="K7216">
        <f>VLOOKUP(A7216,Pr_Base_LNEC!$A$4:$J$6971,7,FALSE)</f>
        <v>0</v>
      </c>
    </row>
    <row r="7217" spans="1:11" ht="14.5">
      <c r="A7217" s="20" t="s">
        <v>32414</v>
      </c>
      <c r="B7217" s="20">
        <v>80</v>
      </c>
      <c r="C7217" s="20">
        <v>51</v>
      </c>
      <c r="D7217" s="20">
        <v>51</v>
      </c>
      <c r="E7217" s="20">
        <v>60</v>
      </c>
      <c r="F7217" s="20" t="s">
        <v>32415</v>
      </c>
      <c r="G7217" s="24"/>
      <c r="H7217" s="24"/>
      <c r="I7217" s="24" t="str">
        <f ca="1">IFERROR(__xludf.DUMMYFUNCTION("GOOGLETRANSLATE(F7217,""en"",""pt"")"),"Fasometros")</f>
        <v>Fasometros</v>
      </c>
      <c r="J7217" t="e">
        <f>VLOOKUP(A7217,Pr_Base_LNEC!$A$4:$J$6971,6,FALSE)</f>
        <v>#N/A</v>
      </c>
      <c r="K7217" t="e">
        <f>VLOOKUP(A7217,Pr_Base_LNEC!$A$4:$J$6971,7,FALSE)</f>
        <v>#N/A</v>
      </c>
    </row>
    <row r="7218" spans="1:11" ht="14.5">
      <c r="A7218" s="20" t="s">
        <v>32416</v>
      </c>
      <c r="B7218" s="20">
        <v>80</v>
      </c>
      <c r="C7218" s="20">
        <v>51</v>
      </c>
      <c r="D7218" s="20">
        <v>51</v>
      </c>
      <c r="E7218" s="20">
        <v>62</v>
      </c>
      <c r="F7218" s="20" t="s">
        <v>32417</v>
      </c>
      <c r="G7218" s="20" t="s">
        <v>32418</v>
      </c>
      <c r="H7218" s="24"/>
      <c r="I7218" s="24" t="str">
        <f ca="1">IFERROR(__xludf.DUMMYFUNCTION("GOOGLETRANSLATE(F7218,""en"",""pt"")"),"piezômetros")</f>
        <v>piezômetros</v>
      </c>
      <c r="J7218">
        <f>VLOOKUP(A7218,Pr_Base_LNEC!$A$4:$J$6971,6,FALSE)</f>
        <v>0</v>
      </c>
      <c r="K7218">
        <f>VLOOKUP(A7218,Pr_Base_LNEC!$A$4:$J$6971,7,FALSE)</f>
        <v>0</v>
      </c>
    </row>
    <row r="7219" spans="1:11" ht="14.5">
      <c r="A7219" s="20" t="s">
        <v>32419</v>
      </c>
      <c r="B7219" s="20">
        <v>80</v>
      </c>
      <c r="C7219" s="20">
        <v>51</v>
      </c>
      <c r="D7219" s="20">
        <v>51</v>
      </c>
      <c r="E7219" s="20">
        <v>63</v>
      </c>
      <c r="F7219" s="20" t="s">
        <v>32420</v>
      </c>
      <c r="G7219" s="24"/>
      <c r="H7219" s="24"/>
      <c r="I7219" s="24" t="str">
        <f ca="1">IFERROR(__xludf.DUMMYFUNCTION("GOOGLETRANSLATE(F7219,""en"",""pt"")"),"medidores de fator de potência")</f>
        <v>medidores de fator de potência</v>
      </c>
      <c r="J7219" t="e">
        <f>VLOOKUP(A7219,Pr_Base_LNEC!$A$4:$J$6971,6,FALSE)</f>
        <v>#N/A</v>
      </c>
      <c r="K7219" t="e">
        <f>VLOOKUP(A7219,Pr_Base_LNEC!$A$4:$J$6971,7,FALSE)</f>
        <v>#N/A</v>
      </c>
    </row>
    <row r="7220" spans="1:11" ht="14.5">
      <c r="A7220" s="20" t="s">
        <v>32421</v>
      </c>
      <c r="B7220" s="20">
        <v>80</v>
      </c>
      <c r="C7220" s="20">
        <v>51</v>
      </c>
      <c r="D7220" s="20">
        <v>51</v>
      </c>
      <c r="E7220" s="20">
        <v>64</v>
      </c>
      <c r="F7220" s="20" t="s">
        <v>32422</v>
      </c>
      <c r="G7220" s="20" t="s">
        <v>32423</v>
      </c>
      <c r="H7220" s="24"/>
      <c r="I7220" s="24" t="str">
        <f ca="1">IFERROR(__xludf.DUMMYFUNCTION("GOOGLETRANSLATE(F7220,""en"",""pt"")"),"monitores de gás portáteis")</f>
        <v>monitores de gás portáteis</v>
      </c>
      <c r="J7220">
        <f>VLOOKUP(A7220,Pr_Base_LNEC!$A$4:$J$6971,6,FALSE)</f>
        <v>0</v>
      </c>
      <c r="K7220">
        <f>VLOOKUP(A7220,Pr_Base_LNEC!$A$4:$J$6971,7,FALSE)</f>
        <v>0</v>
      </c>
    </row>
    <row r="7221" spans="1:11" ht="14.5">
      <c r="A7221" s="20" t="s">
        <v>32424</v>
      </c>
      <c r="B7221" s="20">
        <v>80</v>
      </c>
      <c r="C7221" s="20">
        <v>51</v>
      </c>
      <c r="D7221" s="20">
        <v>51</v>
      </c>
      <c r="E7221" s="20">
        <v>65</v>
      </c>
      <c r="F7221" s="20" t="s">
        <v>32425</v>
      </c>
      <c r="G7221" s="24"/>
      <c r="H7221" s="24"/>
      <c r="I7221" s="24" t="str">
        <f ca="1">IFERROR(__xludf.DUMMYFUNCTION("GOOGLETRANSLATE(F7221,""en"",""pt"")"),"monitores de vazamento portáteis")</f>
        <v>monitores de vazamento portáteis</v>
      </c>
      <c r="J7221">
        <f>VLOOKUP(A7221,Pr_Base_LNEC!$A$4:$J$6971,6,FALSE)</f>
        <v>0</v>
      </c>
      <c r="K7221">
        <f>VLOOKUP(A7221,Pr_Base_LNEC!$A$4:$J$6971,7,FALSE)</f>
        <v>0</v>
      </c>
    </row>
    <row r="7222" spans="1:11" ht="14.5">
      <c r="A7222" s="20" t="s">
        <v>32426</v>
      </c>
      <c r="B7222" s="20">
        <v>80</v>
      </c>
      <c r="C7222" s="20">
        <v>51</v>
      </c>
      <c r="D7222" s="20">
        <v>51</v>
      </c>
      <c r="E7222" s="20">
        <v>66</v>
      </c>
      <c r="F7222" s="20" t="s">
        <v>32427</v>
      </c>
      <c r="G7222" s="24"/>
      <c r="H7222" s="24"/>
      <c r="I7222" s="24" t="str">
        <f ca="1">IFERROR(__xludf.DUMMYFUNCTION("GOOGLETRANSLATE(F7222,""en"",""pt"")"),"monitores portáteis humidade")</f>
        <v>monitores portáteis humidade</v>
      </c>
      <c r="J7222">
        <f>VLOOKUP(A7222,Pr_Base_LNEC!$A$4:$J$6971,6,FALSE)</f>
        <v>0</v>
      </c>
      <c r="K7222">
        <f>VLOOKUP(A7222,Pr_Base_LNEC!$A$4:$J$6971,7,FALSE)</f>
        <v>0</v>
      </c>
    </row>
    <row r="7223" spans="1:11" ht="14.5">
      <c r="A7223" s="20" t="s">
        <v>32428</v>
      </c>
      <c r="B7223" s="20">
        <v>80</v>
      </c>
      <c r="C7223" s="20">
        <v>51</v>
      </c>
      <c r="D7223" s="20">
        <v>51</v>
      </c>
      <c r="E7223" s="20">
        <v>67</v>
      </c>
      <c r="F7223" s="20" t="s">
        <v>32429</v>
      </c>
      <c r="G7223" s="24"/>
      <c r="H7223" s="24"/>
      <c r="I7223" s="24" t="str">
        <f ca="1">IFERROR(__xludf.DUMMYFUNCTION("GOOGLETRANSLATE(F7223,""en"",""pt"")"),"medidores de pressão")</f>
        <v>medidores de pressão</v>
      </c>
      <c r="J7223">
        <f>VLOOKUP(A7223,Pr_Base_LNEC!$A$4:$J$6971,6,FALSE)</f>
        <v>0</v>
      </c>
      <c r="K7223">
        <f>VLOOKUP(A7223,Pr_Base_LNEC!$A$4:$J$6971,7,FALSE)</f>
        <v>0</v>
      </c>
    </row>
    <row r="7224" spans="1:11" ht="14.5">
      <c r="A7224" s="20" t="s">
        <v>32430</v>
      </c>
      <c r="B7224" s="20">
        <v>80</v>
      </c>
      <c r="C7224" s="20">
        <v>51</v>
      </c>
      <c r="D7224" s="20">
        <v>51</v>
      </c>
      <c r="E7224" s="20">
        <v>80</v>
      </c>
      <c r="F7224" s="20" t="s">
        <v>32431</v>
      </c>
      <c r="G7224" s="24"/>
      <c r="H7224" s="24"/>
      <c r="I7224" s="24" t="str">
        <f ca="1">IFERROR(__xludf.DUMMYFUNCTION("GOOGLETRANSLATE(F7224,""en"",""pt"")"),"monitores de humidade do solo")</f>
        <v>monitores de humidade do solo</v>
      </c>
      <c r="J7224" t="e">
        <f>VLOOKUP(A7224,Pr_Base_LNEC!$A$4:$J$6971,6,FALSE)</f>
        <v>#N/A</v>
      </c>
      <c r="K7224" t="e">
        <f>VLOOKUP(A7224,Pr_Base_LNEC!$A$4:$J$6971,7,FALSE)</f>
        <v>#N/A</v>
      </c>
    </row>
    <row r="7225" spans="1:11" ht="14.5">
      <c r="A7225" s="20" t="s">
        <v>32432</v>
      </c>
      <c r="B7225" s="20">
        <v>80</v>
      </c>
      <c r="C7225" s="20">
        <v>51</v>
      </c>
      <c r="D7225" s="20">
        <v>51</v>
      </c>
      <c r="E7225" s="20">
        <v>92</v>
      </c>
      <c r="F7225" s="20" t="s">
        <v>32433</v>
      </c>
      <c r="G7225" s="20" t="s">
        <v>32434</v>
      </c>
      <c r="H7225" s="24"/>
      <c r="I7225" s="24" t="str">
        <f ca="1">IFERROR(__xludf.DUMMYFUNCTION("GOOGLETRANSLATE(F7225,""en"",""pt"")"),"Mediadores ultra-som")</f>
        <v>Mediadores ultra-som</v>
      </c>
      <c r="J7225">
        <f>VLOOKUP(A7225,Pr_Base_LNEC!$A$4:$J$6971,6,FALSE)</f>
        <v>0</v>
      </c>
      <c r="K7225">
        <f>VLOOKUP(A7225,Pr_Base_LNEC!$A$4:$J$6971,7,FALSE)</f>
        <v>0</v>
      </c>
    </row>
    <row r="7226" spans="1:11" ht="14.5">
      <c r="A7226" s="20" t="s">
        <v>32435</v>
      </c>
      <c r="B7226" s="20">
        <v>80</v>
      </c>
      <c r="C7226" s="20">
        <v>51</v>
      </c>
      <c r="D7226" s="20">
        <v>51</v>
      </c>
      <c r="E7226" s="20">
        <v>93</v>
      </c>
      <c r="F7226" s="20" t="s">
        <v>32436</v>
      </c>
      <c r="G7226" s="20" t="s">
        <v>32437</v>
      </c>
      <c r="H7226" s="24"/>
      <c r="I7226" s="24" t="str">
        <f ca="1">IFERROR(__xludf.DUMMYFUNCTION("GOOGLETRANSLATE(F7226,""en"",""pt"")"),"medidores de vapor")</f>
        <v>medidores de vapor</v>
      </c>
      <c r="J7226">
        <f>VLOOKUP(A7226,Pr_Base_LNEC!$A$4:$J$6971,6,FALSE)</f>
        <v>0</v>
      </c>
      <c r="K7226">
        <f>VLOOKUP(A7226,Pr_Base_LNEC!$A$4:$J$6971,7,FALSE)</f>
        <v>0</v>
      </c>
    </row>
    <row r="7227" spans="1:11" ht="14.5">
      <c r="A7227" s="20" t="s">
        <v>32438</v>
      </c>
      <c r="B7227" s="20">
        <v>80</v>
      </c>
      <c r="C7227" s="20">
        <v>51</v>
      </c>
      <c r="D7227" s="20">
        <v>51</v>
      </c>
      <c r="E7227" s="20">
        <v>94</v>
      </c>
      <c r="F7227" s="20" t="s">
        <v>32439</v>
      </c>
      <c r="G7227" s="20" t="s">
        <v>32440</v>
      </c>
      <c r="H7227" s="24"/>
      <c r="I7227" s="24" t="str">
        <f ca="1">IFERROR(__xludf.DUMMYFUNCTION("GOOGLETRANSLATE(F7227,""en"",""pt"")"),"medidores de fluxo de área variável")</f>
        <v>medidores de fluxo de área variável</v>
      </c>
      <c r="J7227">
        <f>VLOOKUP(A7227,Pr_Base_LNEC!$A$4:$J$6971,6,FALSE)</f>
        <v>0</v>
      </c>
      <c r="K7227">
        <f>VLOOKUP(A7227,Pr_Base_LNEC!$A$4:$J$6971,7,FALSE)</f>
        <v>0</v>
      </c>
    </row>
    <row r="7228" spans="1:11" ht="14.5">
      <c r="A7228" s="20" t="s">
        <v>32441</v>
      </c>
      <c r="B7228" s="20">
        <v>80</v>
      </c>
      <c r="C7228" s="20">
        <v>51</v>
      </c>
      <c r="D7228" s="20">
        <v>51</v>
      </c>
      <c r="E7228" s="20">
        <v>95</v>
      </c>
      <c r="F7228" s="20" t="s">
        <v>32442</v>
      </c>
      <c r="G7228" s="24"/>
      <c r="H7228" s="24"/>
      <c r="I7228" s="24" t="str">
        <f ca="1">IFERROR(__xludf.DUMMYFUNCTION("GOOGLETRANSLATE(F7228,""en"",""pt"")"),"Voltmeters")</f>
        <v>Voltmeters</v>
      </c>
      <c r="J7228" t="e">
        <f>VLOOKUP(A7228,Pr_Base_LNEC!$A$4:$J$6971,6,FALSE)</f>
        <v>#N/A</v>
      </c>
      <c r="K7228" t="e">
        <f>VLOOKUP(A7228,Pr_Base_LNEC!$A$4:$J$6971,7,FALSE)</f>
        <v>#N/A</v>
      </c>
    </row>
    <row r="7229" spans="1:11" ht="14.5">
      <c r="A7229" s="20" t="s">
        <v>32443</v>
      </c>
      <c r="B7229" s="20">
        <v>80</v>
      </c>
      <c r="C7229" s="20">
        <v>51</v>
      </c>
      <c r="D7229" s="20">
        <v>51</v>
      </c>
      <c r="E7229" s="20">
        <v>96</v>
      </c>
      <c r="F7229" s="20" t="s">
        <v>32444</v>
      </c>
      <c r="G7229" s="20" t="s">
        <v>32445</v>
      </c>
      <c r="H7229" s="24"/>
      <c r="I7229" s="24" t="str">
        <f ca="1">IFERROR(__xludf.DUMMYFUNCTION("GOOGLETRANSLATE(F7229,""en"",""pt"")"),"medidores de fluxo Vortex")</f>
        <v>medidores de fluxo Vortex</v>
      </c>
      <c r="J7229">
        <f>VLOOKUP(A7229,Pr_Base_LNEC!$A$4:$J$6971,6,FALSE)</f>
        <v>0</v>
      </c>
      <c r="K7229">
        <f>VLOOKUP(A7229,Pr_Base_LNEC!$A$4:$J$6971,7,FALSE)</f>
        <v>0</v>
      </c>
    </row>
    <row r="7230" spans="1:11" ht="14.5">
      <c r="A7230" s="20" t="s">
        <v>32446</v>
      </c>
      <c r="B7230" s="20">
        <v>80</v>
      </c>
      <c r="C7230" s="20">
        <v>51</v>
      </c>
      <c r="D7230" s="20">
        <v>51</v>
      </c>
      <c r="E7230" s="20">
        <v>97</v>
      </c>
      <c r="F7230" s="20" t="s">
        <v>32447</v>
      </c>
      <c r="G7230" s="20" t="s">
        <v>32448</v>
      </c>
      <c r="H7230" s="24"/>
      <c r="I7230" s="24" t="str">
        <f ca="1">IFERROR(__xludf.DUMMYFUNCTION("GOOGLETRANSLATE(F7230,""en"",""pt"")"),"Os contadores de água")</f>
        <v>Os contadores de água</v>
      </c>
      <c r="J7230">
        <f>VLOOKUP(A7230,Pr_Base_LNEC!$A$4:$J$6971,6,FALSE)</f>
        <v>0</v>
      </c>
      <c r="K7230">
        <f>VLOOKUP(A7230,Pr_Base_LNEC!$A$4:$J$6971,7,FALSE)</f>
        <v>0</v>
      </c>
    </row>
    <row r="7231" spans="1:11" ht="14.5">
      <c r="A7231" s="20" t="s">
        <v>32449</v>
      </c>
      <c r="B7231" s="20">
        <v>80</v>
      </c>
      <c r="C7231" s="20">
        <v>51</v>
      </c>
      <c r="D7231" s="20">
        <v>51</v>
      </c>
      <c r="E7231" s="20">
        <v>98</v>
      </c>
      <c r="F7231" s="20" t="s">
        <v>32450</v>
      </c>
      <c r="G7231" s="24"/>
      <c r="H7231" s="24"/>
      <c r="I7231" s="24" t="str">
        <f ca="1">IFERROR(__xludf.DUMMYFUNCTION("GOOGLETRANSLATE(F7231,""en"",""pt"")"),"Wattímetros")</f>
        <v>Wattímetros</v>
      </c>
      <c r="J7231">
        <f>VLOOKUP(A7231,Pr_Base_LNEC!$A$4:$J$6971,6,FALSE)</f>
        <v>0</v>
      </c>
      <c r="K7231">
        <f>VLOOKUP(A7231,Pr_Base_LNEC!$A$4:$J$6971,7,FALSE)</f>
        <v>0</v>
      </c>
    </row>
    <row r="7232" spans="1:11" ht="14.5">
      <c r="A7232" s="20" t="s">
        <v>32451</v>
      </c>
      <c r="B7232" s="20">
        <v>80</v>
      </c>
      <c r="C7232" s="20">
        <v>51</v>
      </c>
      <c r="D7232" s="20">
        <v>70</v>
      </c>
      <c r="E7232" s="24"/>
      <c r="F7232" s="20" t="s">
        <v>32452</v>
      </c>
      <c r="G7232" s="24"/>
      <c r="H7232" s="24"/>
      <c r="I7232" s="24" t="str">
        <f ca="1">IFERROR(__xludf.DUMMYFUNCTION("GOOGLETRANSLATE(F7232,""en"",""pt"")"),"Ferroviário e rodoviário medição produtos")</f>
        <v>Ferroviário e rodoviário medição produtos</v>
      </c>
      <c r="J7232">
        <f>VLOOKUP(A7232,Pr_Base_LNEC!$A$4:$J$6971,6,FALSE)</f>
        <v>0</v>
      </c>
      <c r="K7232">
        <f>VLOOKUP(A7232,Pr_Base_LNEC!$A$4:$J$6971,7,FALSE)</f>
        <v>0</v>
      </c>
    </row>
    <row r="7233" spans="1:11" ht="14.5">
      <c r="A7233" s="20" t="s">
        <v>32453</v>
      </c>
      <c r="B7233" s="20">
        <v>80</v>
      </c>
      <c r="C7233" s="20">
        <v>51</v>
      </c>
      <c r="D7233" s="20">
        <v>70</v>
      </c>
      <c r="E7233" s="20">
        <v>22</v>
      </c>
      <c r="F7233" s="20" t="s">
        <v>32454</v>
      </c>
      <c r="G7233" s="24"/>
      <c r="H7233" s="24"/>
      <c r="I7233" s="24" t="str">
        <f ca="1">IFERROR(__xludf.DUMMYFUNCTION("GOOGLETRANSLATE(F7233,""en"",""pt"")"),"medidores de borda reta digitais")</f>
        <v>medidores de borda reta digitais</v>
      </c>
      <c r="J7233" t="e">
        <f>VLOOKUP(A7233,Pr_Base_LNEC!$A$4:$J$6971,6,FALSE)</f>
        <v>#N/A</v>
      </c>
      <c r="K7233" t="e">
        <f>VLOOKUP(A7233,Pr_Base_LNEC!$A$4:$J$6971,7,FALSE)</f>
        <v>#N/A</v>
      </c>
    </row>
    <row r="7234" spans="1:11" ht="14.5">
      <c r="A7234" s="20" t="s">
        <v>32455</v>
      </c>
      <c r="B7234" s="20">
        <v>80</v>
      </c>
      <c r="C7234" s="20">
        <v>51</v>
      </c>
      <c r="D7234" s="20">
        <v>70</v>
      </c>
      <c r="E7234" s="20">
        <v>44</v>
      </c>
      <c r="F7234" s="20" t="s">
        <v>32456</v>
      </c>
      <c r="G7234" s="24"/>
      <c r="H7234" s="24"/>
      <c r="I7234" s="24" t="str">
        <f ca="1">IFERROR(__xludf.DUMMYFUNCTION("GOOGLETRANSLATE(F7234,""en"",""pt"")"),"medidores de trabalho junção")</f>
        <v>medidores de trabalho junção</v>
      </c>
      <c r="J7234">
        <f>VLOOKUP(A7234,Pr_Base_LNEC!$A$4:$J$6971,6,FALSE)</f>
        <v>0</v>
      </c>
      <c r="K7234">
        <f>VLOOKUP(A7234,Pr_Base_LNEC!$A$4:$J$6971,7,FALSE)</f>
        <v>0</v>
      </c>
    </row>
    <row r="7235" spans="1:11" ht="14.5">
      <c r="A7235" s="20" t="s">
        <v>32457</v>
      </c>
      <c r="B7235" s="20">
        <v>80</v>
      </c>
      <c r="C7235" s="20">
        <v>51</v>
      </c>
      <c r="D7235" s="20">
        <v>70</v>
      </c>
      <c r="E7235" s="20">
        <v>64</v>
      </c>
      <c r="F7235" s="20" t="s">
        <v>32458</v>
      </c>
      <c r="G7235" s="24"/>
      <c r="H7235" s="24"/>
      <c r="I7235" s="24" t="str">
        <f ca="1">IFERROR(__xludf.DUMMYFUNCTION("GOOGLETRANSLATE(F7235,""en"",""pt"")"),"medidores de plataforma")</f>
        <v>medidores de plataforma</v>
      </c>
      <c r="J7235">
        <f>VLOOKUP(A7235,Pr_Base_LNEC!$A$4:$J$6971,6,FALSE)</f>
        <v>0</v>
      </c>
      <c r="K7235">
        <f>VLOOKUP(A7235,Pr_Base_LNEC!$A$4:$J$6971,7,FALSE)</f>
        <v>0</v>
      </c>
    </row>
    <row r="7236" spans="1:11" ht="14.5">
      <c r="A7236" s="20" t="s">
        <v>32459</v>
      </c>
      <c r="B7236" s="20">
        <v>80</v>
      </c>
      <c r="C7236" s="20">
        <v>51</v>
      </c>
      <c r="D7236" s="20">
        <v>70</v>
      </c>
      <c r="E7236" s="20">
        <v>85</v>
      </c>
      <c r="F7236" s="20" t="s">
        <v>32460</v>
      </c>
      <c r="G7236" s="24"/>
      <c r="H7236" s="24"/>
      <c r="I7236" s="24" t="str">
        <f ca="1">IFERROR(__xludf.DUMMYFUNCTION("GOOGLETRANSLATE(F7236,""en"",""pt"")"),"calibres borda reta")</f>
        <v>calibres borda reta</v>
      </c>
      <c r="J7236" t="e">
        <f>VLOOKUP(A7236,Pr_Base_LNEC!$A$4:$J$6971,6,FALSE)</f>
        <v>#N/A</v>
      </c>
      <c r="K7236" t="e">
        <f>VLOOKUP(A7236,Pr_Base_LNEC!$A$4:$J$6971,7,FALSE)</f>
        <v>#N/A</v>
      </c>
    </row>
    <row r="7237" spans="1:11" ht="14.5">
      <c r="A7237" s="20" t="s">
        <v>32461</v>
      </c>
      <c r="B7237" s="20">
        <v>80</v>
      </c>
      <c r="C7237" s="20">
        <v>51</v>
      </c>
      <c r="D7237" s="20">
        <v>70</v>
      </c>
      <c r="E7237" s="20">
        <v>88</v>
      </c>
      <c r="F7237" s="20" t="s">
        <v>32462</v>
      </c>
      <c r="G7237" s="24"/>
      <c r="H7237" s="24"/>
      <c r="I7237" s="24" t="str">
        <f ca="1">IFERROR(__xludf.DUMMYFUNCTION("GOOGLETRANSLATE(F7237,""en"",""pt"")"),"carrinhos de geometria da via")</f>
        <v>carrinhos de geometria da via</v>
      </c>
      <c r="J7237" t="e">
        <f>VLOOKUP(A7237,Pr_Base_LNEC!$A$4:$J$6971,6,FALSE)</f>
        <v>#N/A</v>
      </c>
      <c r="K7237" t="e">
        <f>VLOOKUP(A7237,Pr_Base_LNEC!$A$4:$J$6971,7,FALSE)</f>
        <v>#N/A</v>
      </c>
    </row>
    <row r="7238" spans="1:11" ht="14.5">
      <c r="A7238" s="20" t="s">
        <v>32463</v>
      </c>
      <c r="B7238" s="20">
        <v>80</v>
      </c>
      <c r="C7238" s="20">
        <v>51</v>
      </c>
      <c r="D7238" s="20">
        <v>70</v>
      </c>
      <c r="E7238" s="20">
        <v>89</v>
      </c>
      <c r="F7238" s="20" t="s">
        <v>32464</v>
      </c>
      <c r="G7238" s="24"/>
      <c r="H7238" s="24"/>
      <c r="I7238" s="24" t="str">
        <f ca="1">IFERROR(__xludf.DUMMYFUNCTION("GOOGLETRANSLATE(F7238,""en"",""pt"")"),"bitolas")</f>
        <v>bitolas</v>
      </c>
      <c r="J7238">
        <f>VLOOKUP(A7238,Pr_Base_LNEC!$A$4:$J$6971,6,FALSE)</f>
        <v>0</v>
      </c>
      <c r="K7238">
        <f>VLOOKUP(A7238,Pr_Base_LNEC!$A$4:$J$6971,7,FALSE)</f>
        <v>0</v>
      </c>
    </row>
    <row r="7239" spans="1:11" ht="14.5">
      <c r="A7239" s="20" t="s">
        <v>32465</v>
      </c>
      <c r="B7239" s="20">
        <v>80</v>
      </c>
      <c r="C7239" s="20">
        <v>51</v>
      </c>
      <c r="D7239" s="20">
        <v>70</v>
      </c>
      <c r="E7239" s="20">
        <v>90</v>
      </c>
      <c r="F7239" s="20" t="s">
        <v>32466</v>
      </c>
      <c r="G7239" s="24"/>
      <c r="H7239" s="24"/>
      <c r="I7239" s="24" t="str">
        <f ca="1">IFERROR(__xludf.DUMMYFUNCTION("GOOGLETRANSLATE(F7239,""en"",""pt"")"),"gabarito dos túneis")</f>
        <v>gabarito dos túneis</v>
      </c>
      <c r="J7239">
        <f>VLOOKUP(A7239,Pr_Base_LNEC!$A$4:$J$6971,6,FALSE)</f>
        <v>0</v>
      </c>
      <c r="K7239">
        <f>VLOOKUP(A7239,Pr_Base_LNEC!$A$4:$J$6971,7,FALSE)</f>
        <v>0</v>
      </c>
    </row>
    <row r="7240" spans="1:11" ht="14.5">
      <c r="A7240" s="20" t="s">
        <v>32467</v>
      </c>
      <c r="B7240" s="20">
        <v>80</v>
      </c>
      <c r="C7240" s="20">
        <v>51</v>
      </c>
      <c r="D7240" s="20">
        <v>85</v>
      </c>
      <c r="E7240" s="24"/>
      <c r="F7240" s="20" t="s">
        <v>32468</v>
      </c>
      <c r="G7240" s="24"/>
      <c r="H7240" s="24"/>
      <c r="I7240" s="24" t="str">
        <f ca="1">IFERROR(__xludf.DUMMYFUNCTION("GOOGLETRANSLATE(F7240,""en"",""pt"")"),"instrumentação estrutural e produtos de monitoramento")</f>
        <v>instrumentação estrutural e produtos de monitoramento</v>
      </c>
      <c r="J7240">
        <f>VLOOKUP(A7240,Pr_Base_LNEC!$A$4:$J$6971,6,FALSE)</f>
        <v>0</v>
      </c>
      <c r="K7240">
        <f>VLOOKUP(A7240,Pr_Base_LNEC!$A$4:$J$6971,7,FALSE)</f>
        <v>0</v>
      </c>
    </row>
    <row r="7241" spans="1:11" ht="14.5">
      <c r="A7241" s="20" t="s">
        <v>32469</v>
      </c>
      <c r="B7241" s="20">
        <v>80</v>
      </c>
      <c r="C7241" s="20">
        <v>51</v>
      </c>
      <c r="D7241" s="20">
        <v>85</v>
      </c>
      <c r="E7241" s="20">
        <v>1</v>
      </c>
      <c r="F7241" s="20" t="s">
        <v>32470</v>
      </c>
      <c r="G7241" s="24"/>
      <c r="H7241" s="24"/>
      <c r="I7241" s="24" t="str">
        <f ca="1">IFERROR(__xludf.DUMMYFUNCTION("GOOGLETRANSLATE(F7241,""en"",""pt"")"),"acelerômetros")</f>
        <v>acelerômetros</v>
      </c>
      <c r="J7241">
        <f>VLOOKUP(A7241,Pr_Base_LNEC!$A$4:$J$6971,6,FALSE)</f>
        <v>0</v>
      </c>
      <c r="K7241">
        <f>VLOOKUP(A7241,Pr_Base_LNEC!$A$4:$J$6971,7,FALSE)</f>
        <v>0</v>
      </c>
    </row>
    <row r="7242" spans="1:11" ht="14.5">
      <c r="A7242" s="20" t="s">
        <v>32471</v>
      </c>
      <c r="B7242" s="20">
        <v>80</v>
      </c>
      <c r="C7242" s="20">
        <v>51</v>
      </c>
      <c r="D7242" s="20">
        <v>85</v>
      </c>
      <c r="E7242" s="20">
        <v>18</v>
      </c>
      <c r="F7242" s="20" t="s">
        <v>32472</v>
      </c>
      <c r="G7242" s="20" t="s">
        <v>32473</v>
      </c>
      <c r="H7242" s="24"/>
      <c r="I7242" s="24" t="str">
        <f ca="1">IFERROR(__xludf.DUMMYFUNCTION("GOOGLETRANSLATE(F7242,""en"",""pt"")"),"medidores de crack")</f>
        <v>medidores de crack</v>
      </c>
      <c r="J7242">
        <f>VLOOKUP(A7242,Pr_Base_LNEC!$A$4:$J$6971,6,FALSE)</f>
        <v>0</v>
      </c>
      <c r="K7242">
        <f>VLOOKUP(A7242,Pr_Base_LNEC!$A$4:$J$6971,7,FALSE)</f>
        <v>0</v>
      </c>
    </row>
    <row r="7243" spans="1:11" ht="14.5">
      <c r="A7243" s="20" t="s">
        <v>32474</v>
      </c>
      <c r="B7243" s="20">
        <v>80</v>
      </c>
      <c r="C7243" s="20">
        <v>51</v>
      </c>
      <c r="D7243" s="20">
        <v>85</v>
      </c>
      <c r="E7243" s="20">
        <v>21</v>
      </c>
      <c r="F7243" s="20" t="s">
        <v>32475</v>
      </c>
      <c r="G7243" s="20" t="s">
        <v>32476</v>
      </c>
      <c r="H7243" s="24"/>
      <c r="I7243" s="24" t="str">
        <f ca="1">IFERROR(__xludf.DUMMYFUNCTION("GOOGLETRANSLATE(F7243,""en"",""pt"")"),"registradores de dados")</f>
        <v>registradores de dados</v>
      </c>
      <c r="J7243">
        <f>VLOOKUP(A7243,Pr_Base_LNEC!$A$4:$J$6971,6,FALSE)</f>
        <v>0</v>
      </c>
      <c r="K7243">
        <f>VLOOKUP(A7243,Pr_Base_LNEC!$A$4:$J$6971,7,FALSE)</f>
        <v>0</v>
      </c>
    </row>
    <row r="7244" spans="1:11" ht="14.5">
      <c r="A7244" s="20" t="s">
        <v>32477</v>
      </c>
      <c r="B7244" s="20">
        <v>80</v>
      </c>
      <c r="C7244" s="20">
        <v>51</v>
      </c>
      <c r="D7244" s="20">
        <v>85</v>
      </c>
      <c r="E7244" s="20">
        <v>27</v>
      </c>
      <c r="F7244" s="20" t="s">
        <v>32478</v>
      </c>
      <c r="G7244" s="20" t="s">
        <v>32479</v>
      </c>
      <c r="H7244" s="24"/>
      <c r="I7244" s="24" t="str">
        <f ca="1">IFERROR(__xludf.DUMMYFUNCTION("GOOGLETRANSLATE(F7244,""en"",""pt"")"),"sensor de Electrolevel e unidades microelectromechanical")</f>
        <v>sensor de Electrolevel e unidades microelectromechanical</v>
      </c>
      <c r="J7244">
        <f>VLOOKUP(A7244,Pr_Base_LNEC!$A$4:$J$6971,6,FALSE)</f>
        <v>0</v>
      </c>
      <c r="K7244">
        <f>VLOOKUP(A7244,Pr_Base_LNEC!$A$4:$J$6971,7,FALSE)</f>
        <v>0</v>
      </c>
    </row>
    <row r="7245" spans="1:11" ht="14.5">
      <c r="A7245" s="20" t="s">
        <v>32480</v>
      </c>
      <c r="B7245" s="20">
        <v>80</v>
      </c>
      <c r="C7245" s="20">
        <v>51</v>
      </c>
      <c r="D7245" s="20">
        <v>85</v>
      </c>
      <c r="E7245" s="20">
        <v>28</v>
      </c>
      <c r="F7245" s="20" t="s">
        <v>32481</v>
      </c>
      <c r="G7245" s="20" t="s">
        <v>32482</v>
      </c>
      <c r="H7245" s="24"/>
      <c r="I7245" s="24" t="str">
        <f ca="1">IFERROR(__xludf.DUMMYFUNCTION("GOOGLETRANSLATE(F7245,""en"",""pt"")"),"extensômetros")</f>
        <v>extensômetros</v>
      </c>
      <c r="J7245">
        <f>VLOOKUP(A7245,Pr_Base_LNEC!$A$4:$J$6971,6,FALSE)</f>
        <v>0</v>
      </c>
      <c r="K7245">
        <f>VLOOKUP(A7245,Pr_Base_LNEC!$A$4:$J$6971,7,FALSE)</f>
        <v>0</v>
      </c>
    </row>
    <row r="7246" spans="1:11" ht="14.5">
      <c r="A7246" s="20" t="s">
        <v>32483</v>
      </c>
      <c r="B7246" s="20">
        <v>80</v>
      </c>
      <c r="C7246" s="20">
        <v>51</v>
      </c>
      <c r="D7246" s="20">
        <v>85</v>
      </c>
      <c r="E7246" s="20">
        <v>41</v>
      </c>
      <c r="F7246" s="20" t="s">
        <v>32484</v>
      </c>
      <c r="G7246" s="20" t="s">
        <v>32485</v>
      </c>
      <c r="H7246" s="24"/>
      <c r="I7246" s="24" t="str">
        <f ca="1">IFERROR(__xludf.DUMMYFUNCTION("GOOGLETRANSLATE(F7246,""en"",""pt"")"),"inclinômetros")</f>
        <v>inclinômetros</v>
      </c>
      <c r="J7246">
        <f>VLOOKUP(A7246,Pr_Base_LNEC!$A$4:$J$6971,6,FALSE)</f>
        <v>0</v>
      </c>
      <c r="K7246">
        <f>VLOOKUP(A7246,Pr_Base_LNEC!$A$4:$J$6971,7,FALSE)</f>
        <v>0</v>
      </c>
    </row>
    <row r="7247" spans="1:11" ht="14.5">
      <c r="A7247" s="20" t="s">
        <v>32486</v>
      </c>
      <c r="B7247" s="20">
        <v>80</v>
      </c>
      <c r="C7247" s="20">
        <v>51</v>
      </c>
      <c r="D7247" s="20">
        <v>85</v>
      </c>
      <c r="E7247" s="20">
        <v>45</v>
      </c>
      <c r="F7247" s="20" t="s">
        <v>32487</v>
      </c>
      <c r="G7247" s="24"/>
      <c r="H7247" s="24"/>
      <c r="I7247" s="24" t="str">
        <f ca="1">IFERROR(__xludf.DUMMYFUNCTION("GOOGLETRANSLATE(F7247,""en"",""pt"")"),"detectores de movimento linear")</f>
        <v>detectores de movimento linear</v>
      </c>
      <c r="J7247">
        <f>VLOOKUP(A7247,Pr_Base_LNEC!$A$4:$J$6971,6,FALSE)</f>
        <v>0</v>
      </c>
      <c r="K7247">
        <f>VLOOKUP(A7247,Pr_Base_LNEC!$A$4:$J$6971,7,FALSE)</f>
        <v>0</v>
      </c>
    </row>
    <row r="7248" spans="1:11" ht="14.5">
      <c r="A7248" s="20" t="s">
        <v>32488</v>
      </c>
      <c r="B7248" s="20">
        <v>80</v>
      </c>
      <c r="C7248" s="20">
        <v>51</v>
      </c>
      <c r="D7248" s="20">
        <v>85</v>
      </c>
      <c r="E7248" s="20">
        <v>46</v>
      </c>
      <c r="F7248" s="20" t="s">
        <v>32489</v>
      </c>
      <c r="G7248" s="20" t="s">
        <v>32490</v>
      </c>
      <c r="H7248" s="24"/>
      <c r="I7248" s="24" t="str">
        <f ca="1">IFERROR(__xludf.DUMMYFUNCTION("GOOGLETRANSLATE(F7248,""en"",""pt"")"),"indicadores de nível de líquido")</f>
        <v>indicadores de nível de líquido</v>
      </c>
      <c r="J7248">
        <f>VLOOKUP(A7248,Pr_Base_LNEC!$A$4:$J$6971,6,FALSE)</f>
        <v>0</v>
      </c>
      <c r="K7248">
        <f>VLOOKUP(A7248,Pr_Base_LNEC!$A$4:$J$6971,7,FALSE)</f>
        <v>0</v>
      </c>
    </row>
    <row r="7249" spans="1:11" ht="14.5">
      <c r="A7249" s="20" t="s">
        <v>32491</v>
      </c>
      <c r="B7249" s="20">
        <v>80</v>
      </c>
      <c r="C7249" s="20">
        <v>51</v>
      </c>
      <c r="D7249" s="20">
        <v>85</v>
      </c>
      <c r="E7249" s="20">
        <v>47</v>
      </c>
      <c r="F7249" s="20" t="s">
        <v>32492</v>
      </c>
      <c r="G7249" s="20" t="s">
        <v>32493</v>
      </c>
      <c r="H7249" s="24"/>
      <c r="I7249" s="24" t="str">
        <f ca="1">IFERROR(__xludf.DUMMYFUNCTION("GOOGLETRANSLATE(F7249,""en"",""pt"")"),"Células de carga")</f>
        <v>Células de carga</v>
      </c>
      <c r="J7249">
        <f>VLOOKUP(A7249,Pr_Base_LNEC!$A$4:$J$6971,6,FALSE)</f>
        <v>0</v>
      </c>
      <c r="K7249">
        <f>VLOOKUP(A7249,Pr_Base_LNEC!$A$4:$J$6971,7,FALSE)</f>
        <v>0</v>
      </c>
    </row>
    <row r="7250" spans="1:11" ht="14.5">
      <c r="A7250" s="20" t="s">
        <v>32494</v>
      </c>
      <c r="B7250" s="20">
        <v>80</v>
      </c>
      <c r="C7250" s="20">
        <v>51</v>
      </c>
      <c r="D7250" s="20">
        <v>85</v>
      </c>
      <c r="E7250" s="20">
        <v>48</v>
      </c>
      <c r="F7250" s="20" t="s">
        <v>32495</v>
      </c>
      <c r="G7250" s="20" t="s">
        <v>32496</v>
      </c>
      <c r="H7250" s="24"/>
      <c r="I7250" s="24" t="str">
        <f ca="1">IFERROR(__xludf.DUMMYFUNCTION("GOOGLETRANSLATE(F7250,""en"",""pt"")"),"caixa registrador e caixa de leitura")</f>
        <v>caixa registrador e caixa de leitura</v>
      </c>
      <c r="J7250">
        <f>VLOOKUP(A7250,Pr_Base_LNEC!$A$4:$J$6971,6,FALSE)</f>
        <v>0</v>
      </c>
      <c r="K7250">
        <f>VLOOKUP(A7250,Pr_Base_LNEC!$A$4:$J$6971,7,FALSE)</f>
        <v>0</v>
      </c>
    </row>
    <row r="7251" spans="1:11" ht="14.5">
      <c r="A7251" s="20" t="s">
        <v>32497</v>
      </c>
      <c r="B7251" s="20">
        <v>80</v>
      </c>
      <c r="C7251" s="20">
        <v>51</v>
      </c>
      <c r="D7251" s="20">
        <v>85</v>
      </c>
      <c r="E7251" s="20">
        <v>66</v>
      </c>
      <c r="F7251" s="20" t="s">
        <v>32498</v>
      </c>
      <c r="G7251" s="20" t="s">
        <v>32499</v>
      </c>
      <c r="H7251" s="24"/>
      <c r="I7251" s="24" t="str">
        <f ca="1">IFERROR(__xludf.DUMMYFUNCTION("GOOGLETRANSLATE(F7251,""en"",""pt"")"),"níveis precisos")</f>
        <v>níveis precisos</v>
      </c>
      <c r="J7251">
        <f>VLOOKUP(A7251,Pr_Base_LNEC!$A$4:$J$6971,6,FALSE)</f>
        <v>0</v>
      </c>
      <c r="K7251">
        <f>VLOOKUP(A7251,Pr_Base_LNEC!$A$4:$J$6971,7,FALSE)</f>
        <v>0</v>
      </c>
    </row>
    <row r="7252" spans="1:11" ht="14.5">
      <c r="A7252" s="20" t="s">
        <v>32500</v>
      </c>
      <c r="B7252" s="20">
        <v>80</v>
      </c>
      <c r="C7252" s="20">
        <v>51</v>
      </c>
      <c r="D7252" s="20">
        <v>85</v>
      </c>
      <c r="E7252" s="20">
        <v>84</v>
      </c>
      <c r="F7252" s="20" t="s">
        <v>32501</v>
      </c>
      <c r="G7252" s="20" t="s">
        <v>32502</v>
      </c>
      <c r="H7252" s="24"/>
      <c r="I7252" s="24" t="str">
        <f ca="1">IFERROR(__xludf.DUMMYFUNCTION("GOOGLETRANSLATE(F7252,""en"",""pt"")"),"Medidores de tensão")</f>
        <v>Medidores de tensão</v>
      </c>
      <c r="J7252">
        <f>VLOOKUP(A7252,Pr_Base_LNEC!$A$4:$J$6971,6,FALSE)</f>
        <v>0</v>
      </c>
      <c r="K7252">
        <f>VLOOKUP(A7252,Pr_Base_LNEC!$A$4:$J$6971,7,FALSE)</f>
        <v>0</v>
      </c>
    </row>
    <row r="7253" spans="1:11" ht="14.5">
      <c r="A7253" s="20" t="s">
        <v>32503</v>
      </c>
      <c r="B7253" s="20">
        <v>80</v>
      </c>
      <c r="C7253" s="20">
        <v>51</v>
      </c>
      <c r="D7253" s="20">
        <v>85</v>
      </c>
      <c r="E7253" s="20">
        <v>87</v>
      </c>
      <c r="F7253" s="20" t="s">
        <v>32504</v>
      </c>
      <c r="G7253" s="20" t="s">
        <v>32505</v>
      </c>
      <c r="H7253" s="24"/>
      <c r="I7253" s="24" t="str">
        <f ca="1">IFERROR(__xludf.DUMMYFUNCTION("GOOGLETRANSLATE(F7253,""en"",""pt"")"),"extensômetros fita")</f>
        <v>extensômetros fita</v>
      </c>
      <c r="J7253">
        <f>VLOOKUP(A7253,Pr_Base_LNEC!$A$4:$J$6971,6,FALSE)</f>
        <v>0</v>
      </c>
      <c r="K7253">
        <f>VLOOKUP(A7253,Pr_Base_LNEC!$A$4:$J$6971,7,FALSE)</f>
        <v>0</v>
      </c>
    </row>
    <row r="7254" spans="1:11" ht="14.5">
      <c r="A7254" s="20" t="s">
        <v>32506</v>
      </c>
      <c r="B7254" s="20">
        <v>80</v>
      </c>
      <c r="C7254" s="20">
        <v>51</v>
      </c>
      <c r="D7254" s="20">
        <v>85</v>
      </c>
      <c r="E7254" s="20">
        <v>88</v>
      </c>
      <c r="F7254" s="20" t="s">
        <v>32507</v>
      </c>
      <c r="G7254" s="20" t="s">
        <v>32508</v>
      </c>
      <c r="H7254" s="24"/>
      <c r="I7254" s="24" t="str">
        <f ca="1">IFERROR(__xludf.DUMMYFUNCTION("GOOGLETRANSLATE(F7254,""en"",""pt"")"),"metros de inclinação")</f>
        <v>metros de inclinação</v>
      </c>
      <c r="J7254">
        <f>VLOOKUP(A7254,Pr_Base_LNEC!$A$4:$J$6971,6,FALSE)</f>
        <v>0</v>
      </c>
      <c r="K7254">
        <f>VLOOKUP(A7254,Pr_Base_LNEC!$A$4:$J$6971,7,FALSE)</f>
        <v>0</v>
      </c>
    </row>
    <row r="7255" spans="1:11" ht="14.5">
      <c r="A7255" s="20" t="s">
        <v>32509</v>
      </c>
      <c r="B7255" s="20">
        <v>80</v>
      </c>
      <c r="C7255" s="20">
        <v>51</v>
      </c>
      <c r="D7255" s="20">
        <v>85</v>
      </c>
      <c r="E7255" s="20">
        <v>90</v>
      </c>
      <c r="F7255" s="20" t="s">
        <v>32510</v>
      </c>
      <c r="G7255" s="20" t="s">
        <v>32511</v>
      </c>
      <c r="H7255" s="24"/>
      <c r="I7255" s="24" t="str">
        <f ca="1">IFERROR(__xludf.DUMMYFUNCTION("GOOGLETRANSLATE(F7255,""en"",""pt"")"),"estações totais")</f>
        <v>estações totais</v>
      </c>
      <c r="J7255">
        <f>VLOOKUP(A7255,Pr_Base_LNEC!$A$4:$J$6971,6,FALSE)</f>
        <v>0</v>
      </c>
      <c r="K7255">
        <f>VLOOKUP(A7255,Pr_Base_LNEC!$A$4:$J$6971,7,FALSE)</f>
        <v>0</v>
      </c>
    </row>
    <row r="7256" spans="1:11" ht="14.5">
      <c r="A7256" s="20" t="s">
        <v>32512</v>
      </c>
      <c r="B7256" s="20">
        <v>80</v>
      </c>
      <c r="C7256" s="20">
        <v>51</v>
      </c>
      <c r="D7256" s="20">
        <v>96</v>
      </c>
      <c r="E7256" s="24"/>
      <c r="F7256" s="20" t="s">
        <v>32513</v>
      </c>
      <c r="G7256" s="24"/>
      <c r="H7256" s="24"/>
      <c r="I7256" s="24" t="str">
        <f ca="1">IFERROR(__xludf.DUMMYFUNCTION("GOOGLETRANSLATE(F7256,""en"",""pt"")"),"produtos báscula")</f>
        <v>produtos báscula</v>
      </c>
      <c r="J7256">
        <f>VLOOKUP(A7256,Pr_Base_LNEC!$A$4:$J$6971,6,FALSE)</f>
        <v>0</v>
      </c>
      <c r="K7256">
        <f>VLOOKUP(A7256,Pr_Base_LNEC!$A$4:$J$6971,7,FALSE)</f>
        <v>0</v>
      </c>
    </row>
    <row r="7257" spans="1:11" ht="14.5">
      <c r="A7257" s="20" t="s">
        <v>32514</v>
      </c>
      <c r="B7257" s="20">
        <v>80</v>
      </c>
      <c r="C7257" s="20">
        <v>51</v>
      </c>
      <c r="D7257" s="20">
        <v>96</v>
      </c>
      <c r="E7257" s="20">
        <v>0</v>
      </c>
      <c r="F7257" s="20" t="s">
        <v>32515</v>
      </c>
      <c r="G7257" s="20" t="s">
        <v>32516</v>
      </c>
      <c r="H7257" s="24"/>
      <c r="I7257" s="24" t="str">
        <f ca="1">IFERROR(__xludf.DUMMYFUNCTION("GOOGLETRANSLATE(F7257,""en"",""pt"")"),"básculas acima do solo")</f>
        <v>básculas acima do solo</v>
      </c>
      <c r="J7257">
        <f>VLOOKUP(A7257,Pr_Base_LNEC!$A$4:$J$6971,6,FALSE)</f>
        <v>0</v>
      </c>
      <c r="K7257">
        <f>VLOOKUP(A7257,Pr_Base_LNEC!$A$4:$J$6971,7,FALSE)</f>
        <v>0</v>
      </c>
    </row>
    <row r="7258" spans="1:11" ht="14.5">
      <c r="A7258" s="20" t="s">
        <v>32517</v>
      </c>
      <c r="B7258" s="20">
        <v>80</v>
      </c>
      <c r="C7258" s="20">
        <v>51</v>
      </c>
      <c r="D7258" s="20">
        <v>96</v>
      </c>
      <c r="E7258" s="20">
        <v>32</v>
      </c>
      <c r="F7258" s="20" t="s">
        <v>32518</v>
      </c>
      <c r="G7258" s="20" t="s">
        <v>32519</v>
      </c>
      <c r="H7258" s="24"/>
      <c r="I7258" s="24" t="str">
        <f ca="1">IFERROR(__xludf.DUMMYFUNCTION("GOOGLETRANSLATE(F7258,""en"",""pt"")"),"básculas totalmente inground")</f>
        <v>básculas totalmente inground</v>
      </c>
      <c r="J7258">
        <f>VLOOKUP(A7258,Pr_Base_LNEC!$A$4:$J$6971,6,FALSE)</f>
        <v>0</v>
      </c>
      <c r="K7258">
        <f>VLOOKUP(A7258,Pr_Base_LNEC!$A$4:$J$6971,7,FALSE)</f>
        <v>0</v>
      </c>
    </row>
    <row r="7259" spans="1:11" ht="14.5">
      <c r="A7259" s="20" t="s">
        <v>32520</v>
      </c>
      <c r="B7259" s="20">
        <v>80</v>
      </c>
      <c r="C7259" s="20">
        <v>51</v>
      </c>
      <c r="D7259" s="20">
        <v>96</v>
      </c>
      <c r="E7259" s="20">
        <v>55</v>
      </c>
      <c r="F7259" s="20" t="s">
        <v>32521</v>
      </c>
      <c r="G7259" s="20" t="s">
        <v>32522</v>
      </c>
      <c r="H7259" s="24"/>
      <c r="I7259" s="24" t="str">
        <f ca="1">IFERROR(__xludf.DUMMYFUNCTION("GOOGLETRANSLATE(F7259,""en"",""pt"")"),"Vários básculas convés")</f>
        <v>Vários básculas convés</v>
      </c>
      <c r="J7259">
        <f>VLOOKUP(A7259,Pr_Base_LNEC!$A$4:$J$6971,6,FALSE)</f>
        <v>0</v>
      </c>
      <c r="K7259">
        <f>VLOOKUP(A7259,Pr_Base_LNEC!$A$4:$J$6971,7,FALSE)</f>
        <v>0</v>
      </c>
    </row>
    <row r="7260" spans="1:11" ht="14.5">
      <c r="A7260" s="20" t="s">
        <v>32523</v>
      </c>
      <c r="B7260" s="20">
        <v>80</v>
      </c>
      <c r="C7260" s="20">
        <v>51</v>
      </c>
      <c r="D7260" s="20">
        <v>96</v>
      </c>
      <c r="E7260" s="20">
        <v>71</v>
      </c>
      <c r="F7260" s="20" t="s">
        <v>32524</v>
      </c>
      <c r="G7260" s="20" t="s">
        <v>32525</v>
      </c>
      <c r="H7260" s="24"/>
      <c r="I7260" s="24" t="str">
        <f ca="1">IFERROR(__xludf.DUMMYFUNCTION("GOOGLETRANSLATE(F7260,""en"",""pt"")"),"básculas relocalizáveis")</f>
        <v>básculas relocalizáveis</v>
      </c>
      <c r="J7260">
        <f>VLOOKUP(A7260,Pr_Base_LNEC!$A$4:$J$6971,6,FALSE)</f>
        <v>0</v>
      </c>
      <c r="K7260">
        <f>VLOOKUP(A7260,Pr_Base_LNEC!$A$4:$J$6971,7,FALSE)</f>
        <v>0</v>
      </c>
    </row>
    <row r="7261" spans="1:11" ht="14.5">
      <c r="A7261" s="20" t="s">
        <v>32526</v>
      </c>
      <c r="B7261" s="20">
        <v>80</v>
      </c>
      <c r="C7261" s="20">
        <v>51</v>
      </c>
      <c r="D7261" s="20">
        <v>96</v>
      </c>
      <c r="E7261" s="20">
        <v>77</v>
      </c>
      <c r="F7261" s="20" t="s">
        <v>32527</v>
      </c>
      <c r="G7261" s="20" t="s">
        <v>32528</v>
      </c>
      <c r="H7261" s="24"/>
      <c r="I7261" s="24" t="str">
        <f ca="1">IFERROR(__xludf.DUMMYFUNCTION("GOOGLETRANSLATE(F7261,""en"",""pt"")"),"básculas Semi-pit")</f>
        <v>básculas Semi-pit</v>
      </c>
      <c r="J7261">
        <f>VLOOKUP(A7261,Pr_Base_LNEC!$A$4:$J$6971,6,FALSE)</f>
        <v>0</v>
      </c>
      <c r="K7261">
        <f>VLOOKUP(A7261,Pr_Base_LNEC!$A$4:$J$6971,7,FALSE)</f>
        <v>0</v>
      </c>
    </row>
    <row r="7262" spans="1:11" ht="14.5">
      <c r="A7262" s="20" t="s">
        <v>32529</v>
      </c>
      <c r="B7262" s="20">
        <v>80</v>
      </c>
      <c r="C7262" s="20">
        <v>51</v>
      </c>
      <c r="D7262" s="20">
        <v>96</v>
      </c>
      <c r="E7262" s="20">
        <v>96</v>
      </c>
      <c r="F7262" s="20" t="s">
        <v>32530</v>
      </c>
      <c r="G7262" s="20" t="s">
        <v>32531</v>
      </c>
      <c r="H7262" s="24"/>
      <c r="I7262" s="24" t="str">
        <f ca="1">IFERROR(__xludf.DUMMYFUNCTION("GOOGLETRANSLATE(F7262,""en"",""pt"")"),"Roda pesar pads")</f>
        <v>Roda pesar pads</v>
      </c>
      <c r="J7262">
        <f>VLOOKUP(A7262,Pr_Base_LNEC!$A$4:$J$6971,6,FALSE)</f>
        <v>0</v>
      </c>
      <c r="K7262">
        <f>VLOOKUP(A7262,Pr_Base_LNEC!$A$4:$J$6971,7,FALSE)</f>
        <v>0</v>
      </c>
    </row>
    <row r="7263" spans="1:11" ht="14.5">
      <c r="A7263" s="20" t="s">
        <v>32532</v>
      </c>
      <c r="B7263" s="20">
        <v>80</v>
      </c>
      <c r="C7263" s="20">
        <v>77</v>
      </c>
      <c r="D7263" s="24"/>
      <c r="E7263" s="24"/>
      <c r="F7263" s="20" t="s">
        <v>32533</v>
      </c>
      <c r="G7263" s="24"/>
      <c r="H7263" s="24"/>
      <c r="I7263" s="24" t="str">
        <f ca="1">IFERROR(__xludf.DUMMYFUNCTION("GOOGLETRANSLATE(F7263,""en"",""pt"")"),"Serviços de apoio e produtos de contenção")</f>
        <v>Serviços de apoio e produtos de contenção</v>
      </c>
      <c r="J7263" t="str">
        <f>VLOOKUP(A7263,Pr_Base_LNEC!$A$4:$J$6971,6,FALSE)</f>
        <v>Produtos para Serviços de Apoio, Manutenção e Conteção</v>
      </c>
      <c r="K7263">
        <f>VLOOKUP(A7263,Pr_Base_LNEC!$A$4:$J$6971,7,FALSE)</f>
        <v>0</v>
      </c>
    </row>
    <row r="7264" spans="1:11" ht="14.5">
      <c r="A7264" s="20" t="s">
        <v>32534</v>
      </c>
      <c r="B7264" s="20">
        <v>80</v>
      </c>
      <c r="C7264" s="20">
        <v>77</v>
      </c>
      <c r="D7264" s="20">
        <v>23</v>
      </c>
      <c r="E7264" s="24"/>
      <c r="F7264" s="20" t="s">
        <v>32535</v>
      </c>
      <c r="G7264" s="24"/>
      <c r="H7264" s="24"/>
      <c r="I7264" s="24" t="str">
        <f ca="1">IFERROR(__xludf.DUMMYFUNCTION("GOOGLETRANSLATE(F7264,""en"",""pt"")"),"foles")</f>
        <v>foles</v>
      </c>
      <c r="J7264">
        <f>VLOOKUP(A7264,Pr_Base_LNEC!$A$4:$J$6971,6,FALSE)</f>
        <v>0</v>
      </c>
      <c r="K7264">
        <f>VLOOKUP(A7264,Pr_Base_LNEC!$A$4:$J$6971,7,FALSE)</f>
        <v>0</v>
      </c>
    </row>
    <row r="7265" spans="1:11" ht="14.5">
      <c r="A7265" s="20" t="s">
        <v>32536</v>
      </c>
      <c r="B7265" s="20">
        <v>80</v>
      </c>
      <c r="C7265" s="20">
        <v>77</v>
      </c>
      <c r="D7265" s="20">
        <v>23</v>
      </c>
      <c r="E7265" s="20">
        <v>30</v>
      </c>
      <c r="F7265" s="20" t="s">
        <v>32537</v>
      </c>
      <c r="G7265" s="20" t="s">
        <v>32538</v>
      </c>
      <c r="H7265" s="24"/>
      <c r="I7265" s="24" t="str">
        <f ca="1">IFERROR(__xludf.DUMMYFUNCTION("GOOGLETRANSLATE(F7265,""en"",""pt"")"),"FLAP doca abrigos")</f>
        <v>FLAP doca abrigos</v>
      </c>
      <c r="J7265">
        <f>VLOOKUP(A7265,Pr_Base_LNEC!$A$4:$J$6971,6,FALSE)</f>
        <v>0</v>
      </c>
      <c r="K7265">
        <f>VLOOKUP(A7265,Pr_Base_LNEC!$A$4:$J$6971,7,FALSE)</f>
        <v>0</v>
      </c>
    </row>
    <row r="7266" spans="1:11" ht="14.5">
      <c r="A7266" s="20" t="s">
        <v>32539</v>
      </c>
      <c r="B7266" s="20">
        <v>80</v>
      </c>
      <c r="C7266" s="20">
        <v>77</v>
      </c>
      <c r="D7266" s="20">
        <v>23</v>
      </c>
      <c r="E7266" s="20">
        <v>31</v>
      </c>
      <c r="F7266" s="20" t="s">
        <v>32540</v>
      </c>
      <c r="G7266" s="20" t="s">
        <v>32538</v>
      </c>
      <c r="H7266" s="24"/>
      <c r="I7266" s="24" t="str">
        <f ca="1">IFERROR(__xludf.DUMMYFUNCTION("GOOGLETRANSLATE(F7266,""en"",""pt"")"),"Almofada de espuma (almofada) selos doca")</f>
        <v>Almofada de espuma (almofada) selos doca</v>
      </c>
      <c r="J7266">
        <f>VLOOKUP(A7266,Pr_Base_LNEC!$A$4:$J$6971,6,FALSE)</f>
        <v>0</v>
      </c>
      <c r="K7266">
        <f>VLOOKUP(A7266,Pr_Base_LNEC!$A$4:$J$6971,7,FALSE)</f>
        <v>0</v>
      </c>
    </row>
    <row r="7267" spans="1:11" ht="14.5">
      <c r="A7267" s="20" t="s">
        <v>32541</v>
      </c>
      <c r="B7267" s="20">
        <v>80</v>
      </c>
      <c r="C7267" s="20">
        <v>77</v>
      </c>
      <c r="D7267" s="20">
        <v>23</v>
      </c>
      <c r="E7267" s="20">
        <v>42</v>
      </c>
      <c r="F7267" s="20" t="s">
        <v>32542</v>
      </c>
      <c r="G7267" s="24"/>
      <c r="H7267" s="24"/>
      <c r="I7267" s="24" t="str">
        <f ca="1">IFERROR(__xludf.DUMMYFUNCTION("GOOGLETRANSLATE(F7267,""en"",""pt"")"),"foles insufláveis")</f>
        <v>foles insufláveis</v>
      </c>
      <c r="J7267">
        <f>VLOOKUP(A7267,Pr_Base_LNEC!$A$4:$J$6971,6,FALSE)</f>
        <v>0</v>
      </c>
      <c r="K7267">
        <f>VLOOKUP(A7267,Pr_Base_LNEC!$A$4:$J$6971,7,FALSE)</f>
        <v>0</v>
      </c>
    </row>
    <row r="7268" spans="1:11" ht="14.5">
      <c r="A7268" s="20" t="s">
        <v>32543</v>
      </c>
      <c r="B7268" s="20">
        <v>80</v>
      </c>
      <c r="C7268" s="20">
        <v>77</v>
      </c>
      <c r="D7268" s="20">
        <v>23</v>
      </c>
      <c r="E7268" s="20">
        <v>70</v>
      </c>
      <c r="F7268" s="20" t="s">
        <v>32544</v>
      </c>
      <c r="G7268" s="20" t="s">
        <v>32538</v>
      </c>
      <c r="H7268" s="24"/>
      <c r="I7268" s="24" t="str">
        <f ca="1">IFERROR(__xludf.DUMMYFUNCTION("GOOGLETRANSLATE(F7268,""en"",""pt"")"),"foles retráteis")</f>
        <v>foles retráteis</v>
      </c>
      <c r="J7268">
        <f>VLOOKUP(A7268,Pr_Base_LNEC!$A$4:$J$6971,6,FALSE)</f>
        <v>0</v>
      </c>
      <c r="K7268">
        <f>VLOOKUP(A7268,Pr_Base_LNEC!$A$4:$J$6971,7,FALSE)</f>
        <v>0</v>
      </c>
    </row>
    <row r="7269" spans="1:11" ht="14.5">
      <c r="A7269" s="20" t="s">
        <v>32545</v>
      </c>
      <c r="B7269" s="20">
        <v>80</v>
      </c>
      <c r="C7269" s="20">
        <v>77</v>
      </c>
      <c r="D7269" s="20">
        <v>23</v>
      </c>
      <c r="E7269" s="20">
        <v>71</v>
      </c>
      <c r="F7269" s="20" t="s">
        <v>32546</v>
      </c>
      <c r="G7269" s="20" t="s">
        <v>32538</v>
      </c>
      <c r="H7269" s="24"/>
      <c r="I7269" s="24" t="str">
        <f ca="1">IFERROR(__xludf.DUMMYFUNCTION("GOOGLETRANSLATE(F7269,""en"",""pt"")"),"foles rígidas")</f>
        <v>foles rígidas</v>
      </c>
      <c r="J7269">
        <f>VLOOKUP(A7269,Pr_Base_LNEC!$A$4:$J$6971,6,FALSE)</f>
        <v>0</v>
      </c>
      <c r="K7269">
        <f>VLOOKUP(A7269,Pr_Base_LNEC!$A$4:$J$6971,7,FALSE)</f>
        <v>0</v>
      </c>
    </row>
    <row r="7270" spans="1:11" ht="14.5">
      <c r="A7270" s="20" t="s">
        <v>32547</v>
      </c>
      <c r="B7270" s="20">
        <v>80</v>
      </c>
      <c r="C7270" s="20">
        <v>77</v>
      </c>
      <c r="D7270" s="20">
        <v>23</v>
      </c>
      <c r="E7270" s="20">
        <v>72</v>
      </c>
      <c r="F7270" s="20" t="s">
        <v>32548</v>
      </c>
      <c r="G7270" s="20" t="s">
        <v>32538</v>
      </c>
      <c r="H7270" s="24"/>
      <c r="I7270" s="24" t="str">
        <f ca="1">IFERROR(__xludf.DUMMYFUNCTION("GOOGLETRANSLATE(F7270,""en"",""pt"")"),"foles rígidas com vedações insufláveis")</f>
        <v>foles rígidas com vedações insufláveis</v>
      </c>
      <c r="J7270">
        <f>VLOOKUP(A7270,Pr_Base_LNEC!$A$4:$J$6971,6,FALSE)</f>
        <v>0</v>
      </c>
      <c r="K7270">
        <f>VLOOKUP(A7270,Pr_Base_LNEC!$A$4:$J$6971,7,FALSE)</f>
        <v>0</v>
      </c>
    </row>
    <row r="7271" spans="1:11" ht="14.5">
      <c r="A7271" s="20" t="s">
        <v>32549</v>
      </c>
      <c r="B7271" s="20">
        <v>80</v>
      </c>
      <c r="C7271" s="20">
        <v>77</v>
      </c>
      <c r="D7271" s="20">
        <v>27</v>
      </c>
      <c r="E7271" s="24"/>
      <c r="F7271" s="20" t="s">
        <v>32550</v>
      </c>
      <c r="G7271" s="24"/>
      <c r="H7271" s="24"/>
      <c r="I7271" s="24" t="str">
        <f ca="1">IFERROR(__xludf.DUMMYFUNCTION("GOOGLETRANSLATE(F7271,""en"",""pt"")"),"Placas de equipamentos, prateleiras e suportes")</f>
        <v>Placas de equipamentos, prateleiras e suportes</v>
      </c>
      <c r="J7271">
        <f>VLOOKUP(A7271,Pr_Base_LNEC!$A$4:$J$6971,6,FALSE)</f>
        <v>0</v>
      </c>
      <c r="K7271">
        <f>VLOOKUP(A7271,Pr_Base_LNEC!$A$4:$J$6971,7,FALSE)</f>
        <v>0</v>
      </c>
    </row>
    <row r="7272" spans="1:11" ht="14.5">
      <c r="A7272" s="20" t="s">
        <v>32551</v>
      </c>
      <c r="B7272" s="20">
        <v>80</v>
      </c>
      <c r="C7272" s="20">
        <v>77</v>
      </c>
      <c r="D7272" s="20">
        <v>27</v>
      </c>
      <c r="E7272" s="20">
        <v>4</v>
      </c>
      <c r="F7272" s="20" t="s">
        <v>32552</v>
      </c>
      <c r="G7272" s="20" t="s">
        <v>32553</v>
      </c>
      <c r="H7272" s="24"/>
      <c r="I7272" s="24" t="str">
        <f ca="1">IFERROR(__xludf.DUMMYFUNCTION("GOOGLETRANSLATE(F7272,""en"",""pt"")"),"racks de equipamentos áudio-visuais")</f>
        <v>racks de equipamentos áudio-visuais</v>
      </c>
      <c r="J7272">
        <f>VLOOKUP(A7272,Pr_Base_LNEC!$A$4:$J$6971,6,FALSE)</f>
        <v>0</v>
      </c>
      <c r="K7272">
        <f>VLOOKUP(A7272,Pr_Base_LNEC!$A$4:$J$6971,7,FALSE)</f>
        <v>0</v>
      </c>
    </row>
    <row r="7273" spans="1:11" ht="14.5">
      <c r="A7273" s="20" t="s">
        <v>32554</v>
      </c>
      <c r="B7273" s="20">
        <v>80</v>
      </c>
      <c r="C7273" s="20">
        <v>77</v>
      </c>
      <c r="D7273" s="20">
        <v>27</v>
      </c>
      <c r="E7273" s="20">
        <v>7</v>
      </c>
      <c r="F7273" s="20" t="s">
        <v>32555</v>
      </c>
      <c r="G7273" s="20" t="s">
        <v>32556</v>
      </c>
      <c r="H7273" s="24"/>
      <c r="I7273" s="24" t="str">
        <f ca="1">IFERROR(__xludf.DUMMYFUNCTION("GOOGLETRANSLATE(F7273,""en"",""pt"")"),"quadros de montagem lastrados para módulos solares")</f>
        <v>quadros de montagem lastrados para módulos solares</v>
      </c>
      <c r="J7273">
        <f>VLOOKUP(A7273,Pr_Base_LNEC!$A$4:$J$6971,6,FALSE)</f>
        <v>0</v>
      </c>
      <c r="K7273">
        <f>VLOOKUP(A7273,Pr_Base_LNEC!$A$4:$J$6971,7,FALSE)</f>
        <v>0</v>
      </c>
    </row>
    <row r="7274" spans="1:11" ht="14.5">
      <c r="A7274" s="20" t="s">
        <v>32557</v>
      </c>
      <c r="B7274" s="20">
        <v>80</v>
      </c>
      <c r="C7274" s="20">
        <v>77</v>
      </c>
      <c r="D7274" s="20">
        <v>27</v>
      </c>
      <c r="E7274" s="20">
        <v>8</v>
      </c>
      <c r="F7274" s="20" t="s">
        <v>32558</v>
      </c>
      <c r="G7274" s="20" t="s">
        <v>32559</v>
      </c>
      <c r="H7274" s="24"/>
      <c r="I7274" s="24" t="str">
        <f ca="1">IFERROR(__xludf.DUMMYFUNCTION("GOOGLETRANSLATE(F7274,""en"",""pt"")"),"racks de bateria prateleiras")</f>
        <v>racks de bateria prateleiras</v>
      </c>
      <c r="J7274">
        <f>VLOOKUP(A7274,Pr_Base_LNEC!$A$4:$J$6971,6,FALSE)</f>
        <v>0</v>
      </c>
      <c r="K7274">
        <f>VLOOKUP(A7274,Pr_Base_LNEC!$A$4:$J$6971,7,FALSE)</f>
        <v>0</v>
      </c>
    </row>
    <row r="7275" spans="1:11" ht="14.5">
      <c r="A7275" s="20" t="s">
        <v>32560</v>
      </c>
      <c r="B7275" s="20">
        <v>80</v>
      </c>
      <c r="C7275" s="20">
        <v>77</v>
      </c>
      <c r="D7275" s="20">
        <v>27</v>
      </c>
      <c r="E7275" s="20">
        <v>15</v>
      </c>
      <c r="F7275" s="20" t="s">
        <v>32561</v>
      </c>
      <c r="G7275" s="20" t="s">
        <v>32562</v>
      </c>
      <c r="H7275" s="24"/>
      <c r="I7275" s="24" t="str">
        <f ca="1">IFERROR(__xludf.DUMMYFUNCTION("GOOGLETRANSLATE(F7275,""en"",""pt"")"),"suportes de canal")</f>
        <v>suportes de canal</v>
      </c>
      <c r="J7275" t="e">
        <f>VLOOKUP(A7275,Pr_Base_LNEC!$A$4:$J$6971,6,FALSE)</f>
        <v>#N/A</v>
      </c>
      <c r="K7275" t="e">
        <f>VLOOKUP(A7275,Pr_Base_LNEC!$A$4:$J$6971,7,FALSE)</f>
        <v>#N/A</v>
      </c>
    </row>
    <row r="7276" spans="1:11" ht="14.5">
      <c r="A7276" s="20" t="s">
        <v>32563</v>
      </c>
      <c r="B7276" s="20">
        <v>80</v>
      </c>
      <c r="C7276" s="20">
        <v>77</v>
      </c>
      <c r="D7276" s="20">
        <v>27</v>
      </c>
      <c r="E7276" s="20">
        <v>31</v>
      </c>
      <c r="F7276" s="20" t="s">
        <v>32564</v>
      </c>
      <c r="G7276" s="20" t="s">
        <v>32565</v>
      </c>
      <c r="H7276" s="24"/>
      <c r="I7276" s="24" t="str">
        <f ca="1">IFERROR(__xludf.DUMMYFUNCTION("GOOGLETRANSLATE(F7276,""en"",""pt"")"),"Free Standing estruturas de montagem para módulos solares")</f>
        <v>Free Standing estruturas de montagem para módulos solares</v>
      </c>
      <c r="J7276">
        <f>VLOOKUP(A7276,Pr_Base_LNEC!$A$4:$J$6971,6,FALSE)</f>
        <v>0</v>
      </c>
      <c r="K7276">
        <f>VLOOKUP(A7276,Pr_Base_LNEC!$A$4:$J$6971,7,FALSE)</f>
        <v>0</v>
      </c>
    </row>
    <row r="7277" spans="1:11" ht="14.5">
      <c r="A7277" s="20" t="s">
        <v>32566</v>
      </c>
      <c r="B7277" s="20">
        <v>80</v>
      </c>
      <c r="C7277" s="20">
        <v>77</v>
      </c>
      <c r="D7277" s="20">
        <v>27</v>
      </c>
      <c r="E7277" s="20">
        <v>33</v>
      </c>
      <c r="F7277" s="20" t="s">
        <v>32567</v>
      </c>
      <c r="G7277" s="20" t="s">
        <v>32568</v>
      </c>
      <c r="H7277" s="24"/>
      <c r="I7277" s="24" t="str">
        <f ca="1">IFERROR(__xludf.DUMMYFUNCTION("GOOGLETRANSLATE(F7277,""en"",""pt"")"),"Avaliar placas de montagem")</f>
        <v>Avaliar placas de montagem</v>
      </c>
      <c r="J7277">
        <f>VLOOKUP(A7277,Pr_Base_LNEC!$A$4:$J$6971,6,FALSE)</f>
        <v>0</v>
      </c>
      <c r="K7277">
        <f>VLOOKUP(A7277,Pr_Base_LNEC!$A$4:$J$6971,7,FALSE)</f>
        <v>0</v>
      </c>
    </row>
    <row r="7278" spans="1:11" ht="14.5">
      <c r="A7278" s="20" t="s">
        <v>32569</v>
      </c>
      <c r="B7278" s="20">
        <v>80</v>
      </c>
      <c r="C7278" s="20">
        <v>77</v>
      </c>
      <c r="D7278" s="20">
        <v>27</v>
      </c>
      <c r="E7278" s="20">
        <v>42</v>
      </c>
      <c r="F7278" s="20" t="s">
        <v>32570</v>
      </c>
      <c r="G7278" s="24"/>
      <c r="H7278" s="24"/>
      <c r="I7278" s="24" t="str">
        <f ca="1">IFERROR(__xludf.DUMMYFUNCTION("GOOGLETRANSLATE(F7278,""en"",""pt"")"),"telecomunicações equipamentos racks de TI e")</f>
        <v>telecomunicações equipamentos racks de TI e</v>
      </c>
      <c r="J7278">
        <f>VLOOKUP(A7278,Pr_Base_LNEC!$A$4:$J$6971,6,FALSE)</f>
        <v>0</v>
      </c>
      <c r="K7278">
        <f>VLOOKUP(A7278,Pr_Base_LNEC!$A$4:$J$6971,7,FALSE)</f>
        <v>0</v>
      </c>
    </row>
    <row r="7279" spans="1:11" ht="14.5">
      <c r="A7279" s="20" t="s">
        <v>32571</v>
      </c>
      <c r="B7279" s="20">
        <v>80</v>
      </c>
      <c r="C7279" s="20">
        <v>77</v>
      </c>
      <c r="D7279" s="20">
        <v>27</v>
      </c>
      <c r="E7279" s="20">
        <v>51</v>
      </c>
      <c r="F7279" s="20" t="s">
        <v>32572</v>
      </c>
      <c r="G7279" s="20" t="s">
        <v>32573</v>
      </c>
      <c r="H7279" s="24"/>
      <c r="I7279" s="24" t="str">
        <f ca="1">IFERROR(__xludf.DUMMYFUNCTION("GOOGLETRANSLATE(F7279,""en"",""pt"")"),"Metal revestimento grampos de módulos solares")</f>
        <v>Metal revestimento grampos de módulos solares</v>
      </c>
      <c r="J7279">
        <f>VLOOKUP(A7279,Pr_Base_LNEC!$A$4:$J$6971,6,FALSE)</f>
        <v>0</v>
      </c>
      <c r="K7279">
        <f>VLOOKUP(A7279,Pr_Base_LNEC!$A$4:$J$6971,7,FALSE)</f>
        <v>0</v>
      </c>
    </row>
    <row r="7280" spans="1:11" ht="14.5">
      <c r="A7280" s="20" t="s">
        <v>32574</v>
      </c>
      <c r="B7280" s="20">
        <v>80</v>
      </c>
      <c r="C7280" s="20">
        <v>77</v>
      </c>
      <c r="D7280" s="20">
        <v>27</v>
      </c>
      <c r="E7280" s="20">
        <v>53</v>
      </c>
      <c r="F7280" s="20" t="s">
        <v>32575</v>
      </c>
      <c r="G7280" s="24"/>
      <c r="H7280" s="24"/>
      <c r="I7280" s="24" t="str">
        <f ca="1">IFERROR(__xludf.DUMMYFUNCTION("GOOGLETRANSLATE(F7280,""en"",""pt"")"),"placas de montagem")</f>
        <v>placas de montagem</v>
      </c>
      <c r="J7280" t="e">
        <f>VLOOKUP(A7280,Pr_Base_LNEC!$A$4:$J$6971,6,FALSE)</f>
        <v>#N/A</v>
      </c>
      <c r="K7280" t="e">
        <f>VLOOKUP(A7280,Pr_Base_LNEC!$A$4:$J$6971,7,FALSE)</f>
        <v>#N/A</v>
      </c>
    </row>
    <row r="7281" spans="1:11" ht="14.5">
      <c r="A7281" s="20" t="s">
        <v>32576</v>
      </c>
      <c r="B7281" s="20">
        <v>80</v>
      </c>
      <c r="C7281" s="20">
        <v>77</v>
      </c>
      <c r="D7281" s="20">
        <v>27</v>
      </c>
      <c r="E7281" s="20">
        <v>54</v>
      </c>
      <c r="F7281" s="20" t="s">
        <v>32577</v>
      </c>
      <c r="G7281" s="24"/>
      <c r="H7281" s="24"/>
      <c r="I7281" s="24" t="str">
        <f ca="1">IFERROR(__xludf.DUMMYFUNCTION("GOOGLETRANSLATE(F7281,""en"",""pt"")"),"selos de trânsito multi-serviços")</f>
        <v>selos de trânsito multi-serviços</v>
      </c>
      <c r="J7281">
        <f>VLOOKUP(A7281,Pr_Base_LNEC!$A$4:$J$6971,6,FALSE)</f>
        <v>0</v>
      </c>
      <c r="K7281">
        <f>VLOOKUP(A7281,Pr_Base_LNEC!$A$4:$J$6971,7,FALSE)</f>
        <v>0</v>
      </c>
    </row>
    <row r="7282" spans="1:11" ht="14.5">
      <c r="A7282" s="20" t="s">
        <v>32578</v>
      </c>
      <c r="B7282" s="20">
        <v>80</v>
      </c>
      <c r="C7282" s="20">
        <v>77</v>
      </c>
      <c r="D7282" s="20">
        <v>27</v>
      </c>
      <c r="E7282" s="20">
        <v>72</v>
      </c>
      <c r="F7282" s="20" t="s">
        <v>32579</v>
      </c>
      <c r="G7282" s="20" t="s">
        <v>32580</v>
      </c>
      <c r="H7282" s="24"/>
      <c r="I7282" s="24" t="str">
        <f ca="1">IFERROR(__xludf.DUMMYFUNCTION("GOOGLETRANSLATE(F7282,""en"",""pt"")"),"âncoras para telhado para módulos solares")</f>
        <v>âncoras para telhado para módulos solares</v>
      </c>
      <c r="J7282">
        <f>VLOOKUP(A7282,Pr_Base_LNEC!$A$4:$J$6971,6,FALSE)</f>
        <v>0</v>
      </c>
      <c r="K7282">
        <f>VLOOKUP(A7282,Pr_Base_LNEC!$A$4:$J$6971,7,FALSE)</f>
        <v>0</v>
      </c>
    </row>
    <row r="7283" spans="1:11" ht="14.5">
      <c r="A7283" s="20" t="s">
        <v>32581</v>
      </c>
      <c r="B7283" s="20">
        <v>80</v>
      </c>
      <c r="C7283" s="20">
        <v>77</v>
      </c>
      <c r="D7283" s="20">
        <v>27</v>
      </c>
      <c r="E7283" s="20">
        <v>73</v>
      </c>
      <c r="F7283" s="20" t="s">
        <v>32582</v>
      </c>
      <c r="G7283" s="20" t="s">
        <v>32583</v>
      </c>
      <c r="H7283" s="24"/>
      <c r="I7283" s="24" t="str">
        <f ca="1">IFERROR(__xludf.DUMMYFUNCTION("GOOGLETRANSLATE(F7283,""en"",""pt"")"),"suportes de equipamentos telhado")</f>
        <v>suportes de equipamentos telhado</v>
      </c>
      <c r="J7283">
        <f>VLOOKUP(A7283,Pr_Base_LNEC!$A$4:$J$6971,6,FALSE)</f>
        <v>0</v>
      </c>
      <c r="K7283">
        <f>VLOOKUP(A7283,Pr_Base_LNEC!$A$4:$J$6971,7,FALSE)</f>
        <v>0</v>
      </c>
    </row>
    <row r="7284" spans="1:11" ht="14.5">
      <c r="A7284" s="20" t="s">
        <v>32584</v>
      </c>
      <c r="B7284" s="20">
        <v>80</v>
      </c>
      <c r="C7284" s="20">
        <v>77</v>
      </c>
      <c r="D7284" s="20">
        <v>27</v>
      </c>
      <c r="E7284" s="20">
        <v>80</v>
      </c>
      <c r="F7284" s="20" t="s">
        <v>32585</v>
      </c>
      <c r="G7284" s="20" t="s">
        <v>32586</v>
      </c>
      <c r="H7284" s="24"/>
      <c r="I7284" s="24" t="str">
        <f ca="1">IFERROR(__xludf.DUMMYFUNCTION("GOOGLETRANSLATE(F7284,""en"",""pt"")"),"trilhos de suporte módulo solar")</f>
        <v>trilhos de suporte módulo solar</v>
      </c>
      <c r="J7284">
        <f>VLOOKUP(A7284,Pr_Base_LNEC!$A$4:$J$6971,6,FALSE)</f>
        <v>0</v>
      </c>
      <c r="K7284">
        <f>VLOOKUP(A7284,Pr_Base_LNEC!$A$4:$J$6971,7,FALSE)</f>
        <v>0</v>
      </c>
    </row>
    <row r="7285" spans="1:11" ht="14.5">
      <c r="A7285" s="20" t="s">
        <v>32587</v>
      </c>
      <c r="B7285" s="20">
        <v>80</v>
      </c>
      <c r="C7285" s="20">
        <v>77</v>
      </c>
      <c r="D7285" s="20">
        <v>27</v>
      </c>
      <c r="E7285" s="20">
        <v>91</v>
      </c>
      <c r="F7285" s="20" t="s">
        <v>32588</v>
      </c>
      <c r="G7285" s="20" t="s">
        <v>32589</v>
      </c>
      <c r="H7285" s="24"/>
      <c r="I7285" s="24" t="str">
        <f ca="1">IFERROR(__xludf.DUMMYFUNCTION("GOOGLETRANSLATE(F7285,""en"",""pt"")"),"estruturas de apoio Turbine")</f>
        <v>estruturas de apoio Turbine</v>
      </c>
      <c r="J7285">
        <f>VLOOKUP(A7285,Pr_Base_LNEC!$A$4:$J$6971,6,FALSE)</f>
        <v>0</v>
      </c>
      <c r="K7285">
        <f>VLOOKUP(A7285,Pr_Base_LNEC!$A$4:$J$6971,7,FALSE)</f>
        <v>0</v>
      </c>
    </row>
    <row r="7286" spans="1:11" ht="14.5">
      <c r="A7286" s="20" t="s">
        <v>32590</v>
      </c>
      <c r="B7286" s="20">
        <v>80</v>
      </c>
      <c r="C7286" s="20">
        <v>77</v>
      </c>
      <c r="D7286" s="20">
        <v>28</v>
      </c>
      <c r="E7286" s="24"/>
      <c r="F7286" s="20" t="s">
        <v>32591</v>
      </c>
      <c r="G7286" s="24"/>
      <c r="H7286" s="24"/>
      <c r="I7286" s="24" t="str">
        <f ca="1">IFERROR(__xludf.DUMMYFUNCTION("GOOGLETRANSLATE(F7286,""en"",""pt"")"),"gabinetes de equipamentos, armários, caixas e caixas")</f>
        <v>gabinetes de equipamentos, armários, caixas e caixas</v>
      </c>
      <c r="J7286">
        <f>VLOOKUP(A7286,Pr_Base_LNEC!$A$4:$J$6971,6,FALSE)</f>
        <v>0</v>
      </c>
      <c r="K7286">
        <f>VLOOKUP(A7286,Pr_Base_LNEC!$A$4:$J$6971,7,FALSE)</f>
        <v>0</v>
      </c>
    </row>
    <row r="7287" spans="1:11" ht="14.5">
      <c r="A7287" s="20" t="s">
        <v>32592</v>
      </c>
      <c r="B7287" s="20">
        <v>80</v>
      </c>
      <c r="C7287" s="20">
        <v>77</v>
      </c>
      <c r="D7287" s="20">
        <v>28</v>
      </c>
      <c r="E7287" s="20">
        <v>6</v>
      </c>
      <c r="F7287" s="20" t="s">
        <v>32593</v>
      </c>
      <c r="G7287" s="20" t="s">
        <v>32594</v>
      </c>
      <c r="H7287" s="24"/>
      <c r="I7287" s="24" t="str">
        <f ca="1">IFERROR(__xludf.DUMMYFUNCTION("GOOGLETRANSLATE(F7287,""en"",""pt"")"),"painéis de cablagem de par torcido equilibradas")</f>
        <v>painéis de cablagem de par torcido equilibradas</v>
      </c>
      <c r="J7287">
        <f>VLOOKUP(A7287,Pr_Base_LNEC!$A$4:$J$6971,6,FALSE)</f>
        <v>0</v>
      </c>
      <c r="K7287">
        <f>VLOOKUP(A7287,Pr_Base_LNEC!$A$4:$J$6971,7,FALSE)</f>
        <v>0</v>
      </c>
    </row>
    <row r="7288" spans="1:11" ht="14.5">
      <c r="A7288" s="20" t="s">
        <v>32595</v>
      </c>
      <c r="B7288" s="20">
        <v>80</v>
      </c>
      <c r="C7288" s="20">
        <v>77</v>
      </c>
      <c r="D7288" s="20">
        <v>28</v>
      </c>
      <c r="E7288" s="20">
        <v>7</v>
      </c>
      <c r="F7288" s="20" t="s">
        <v>32596</v>
      </c>
      <c r="G7288" s="24"/>
      <c r="H7288" s="24"/>
      <c r="I7288" s="24" t="str">
        <f ca="1">IFERROR(__xludf.DUMMYFUNCTION("GOOGLETRANSLATE(F7288,""en"",""pt"")"),"caixas de fronteira")</f>
        <v>caixas de fronteira</v>
      </c>
      <c r="J7288" t="e">
        <f>VLOOKUP(A7288,Pr_Base_LNEC!$A$4:$J$6971,6,FALSE)</f>
        <v>#N/A</v>
      </c>
      <c r="K7288" t="e">
        <f>VLOOKUP(A7288,Pr_Base_LNEC!$A$4:$J$6971,7,FALSE)</f>
        <v>#N/A</v>
      </c>
    </row>
    <row r="7289" spans="1:11" ht="14.5">
      <c r="A7289" s="20" t="s">
        <v>32597</v>
      </c>
      <c r="B7289" s="20">
        <v>80</v>
      </c>
      <c r="C7289" s="20">
        <v>77</v>
      </c>
      <c r="D7289" s="20">
        <v>28</v>
      </c>
      <c r="E7289" s="20">
        <v>8</v>
      </c>
      <c r="F7289" s="20" t="s">
        <v>32598</v>
      </c>
      <c r="G7289" s="24"/>
      <c r="H7289" s="24"/>
      <c r="I7289" s="24" t="str">
        <f ca="1">IFERROR(__xludf.DUMMYFUNCTION("GOOGLETRANSLATE(F7289,""en"",""pt"")"),"caixas de junção de cabos")</f>
        <v>caixas de junção de cabos</v>
      </c>
      <c r="J7289">
        <f>VLOOKUP(A7289,Pr_Base_LNEC!$A$4:$J$6971,6,FALSE)</f>
        <v>0</v>
      </c>
      <c r="K7289">
        <f>VLOOKUP(A7289,Pr_Base_LNEC!$A$4:$J$6971,7,FALSE)</f>
        <v>0</v>
      </c>
    </row>
    <row r="7290" spans="1:11" ht="14.5">
      <c r="A7290" s="20" t="s">
        <v>32599</v>
      </c>
      <c r="B7290" s="20">
        <v>80</v>
      </c>
      <c r="C7290" s="20">
        <v>77</v>
      </c>
      <c r="D7290" s="20">
        <v>28</v>
      </c>
      <c r="E7290" s="20">
        <v>9</v>
      </c>
      <c r="F7290" s="20" t="s">
        <v>32600</v>
      </c>
      <c r="G7290" s="24"/>
      <c r="H7290" s="24"/>
      <c r="I7290" s="24" t="str">
        <f ca="1">IFERROR(__xludf.DUMMYFUNCTION("GOOGLETRANSLATE(F7290,""en"",""pt"")"),"caixas de terminação de cabo")</f>
        <v>caixas de terminação de cabo</v>
      </c>
      <c r="J7290">
        <f>VLOOKUP(A7290,Pr_Base_LNEC!$A$4:$J$6971,6,FALSE)</f>
        <v>0</v>
      </c>
      <c r="K7290">
        <f>VLOOKUP(A7290,Pr_Base_LNEC!$A$4:$J$6971,7,FALSE)</f>
        <v>0</v>
      </c>
    </row>
    <row r="7291" spans="1:11" ht="14.5">
      <c r="A7291" s="20" t="s">
        <v>32601</v>
      </c>
      <c r="B7291" s="20">
        <v>80</v>
      </c>
      <c r="C7291" s="20">
        <v>77</v>
      </c>
      <c r="D7291" s="20">
        <v>28</v>
      </c>
      <c r="E7291" s="20">
        <v>10</v>
      </c>
      <c r="F7291" s="20" t="s">
        <v>32602</v>
      </c>
      <c r="G7291" s="20" t="s">
        <v>32603</v>
      </c>
      <c r="H7291" s="24"/>
      <c r="I7291" s="24" t="str">
        <f ca="1">IFERROR(__xludf.DUMMYFUNCTION("GOOGLETRANSLATE(F7291,""en"",""pt"")"),"suportes para as câmeras")</f>
        <v>suportes para as câmeras</v>
      </c>
      <c r="J7291">
        <f>VLOOKUP(A7291,Pr_Base_LNEC!$A$4:$J$6971,6,FALSE)</f>
        <v>0</v>
      </c>
      <c r="K7291">
        <f>VLOOKUP(A7291,Pr_Base_LNEC!$A$4:$J$6971,7,FALSE)</f>
        <v>0</v>
      </c>
    </row>
    <row r="7292" spans="1:11" ht="14.5">
      <c r="A7292" s="20" t="s">
        <v>32604</v>
      </c>
      <c r="B7292" s="20">
        <v>80</v>
      </c>
      <c r="C7292" s="20">
        <v>77</v>
      </c>
      <c r="D7292" s="20">
        <v>28</v>
      </c>
      <c r="E7292" s="20">
        <v>11</v>
      </c>
      <c r="F7292" s="20" t="s">
        <v>32605</v>
      </c>
      <c r="G7292" s="24"/>
      <c r="H7292" s="24"/>
      <c r="I7292" s="24" t="str">
        <f ca="1">IFERROR(__xludf.DUMMYFUNCTION("GOOGLETRANSLATE(F7292,""en"",""pt"")"),"caixas de câmera")</f>
        <v>caixas de câmera</v>
      </c>
      <c r="J7292">
        <f>VLOOKUP(A7292,Pr_Base_LNEC!$A$4:$J$6971,6,FALSE)</f>
        <v>0</v>
      </c>
      <c r="K7292">
        <f>VLOOKUP(A7292,Pr_Base_LNEC!$A$4:$J$6971,7,FALSE)</f>
        <v>0</v>
      </c>
    </row>
    <row r="7293" spans="1:11" ht="14.5">
      <c r="A7293" s="20" t="s">
        <v>32606</v>
      </c>
      <c r="B7293" s="20">
        <v>80</v>
      </c>
      <c r="C7293" s="20">
        <v>77</v>
      </c>
      <c r="D7293" s="20">
        <v>28</v>
      </c>
      <c r="E7293" s="20">
        <v>13</v>
      </c>
      <c r="F7293" s="20" t="s">
        <v>32607</v>
      </c>
      <c r="G7293" s="20" t="s">
        <v>32608</v>
      </c>
      <c r="H7293" s="24"/>
      <c r="I7293" s="24" t="str">
        <f ca="1">IFERROR(__xludf.DUMMYFUNCTION("GOOGLETRANSLATE(F7293,""en"",""pt"")"),"caixas de bateria centrais")</f>
        <v>caixas de bateria centrais</v>
      </c>
      <c r="J7293">
        <f>VLOOKUP(A7293,Pr_Base_LNEC!$A$4:$J$6971,6,FALSE)</f>
        <v>0</v>
      </c>
      <c r="K7293">
        <f>VLOOKUP(A7293,Pr_Base_LNEC!$A$4:$J$6971,7,FALSE)</f>
        <v>0</v>
      </c>
    </row>
    <row r="7294" spans="1:11" ht="14.5">
      <c r="A7294" s="20" t="s">
        <v>32609</v>
      </c>
      <c r="B7294" s="20">
        <v>80</v>
      </c>
      <c r="C7294" s="20">
        <v>77</v>
      </c>
      <c r="D7294" s="20">
        <v>28</v>
      </c>
      <c r="E7294" s="20">
        <v>16</v>
      </c>
      <c r="F7294" s="20" t="s">
        <v>32610</v>
      </c>
      <c r="G7294" s="24"/>
      <c r="H7294" s="24"/>
      <c r="I7294" s="24" t="str">
        <f ca="1">IFERROR(__xludf.DUMMYFUNCTION("GOOGLETRANSLATE(F7294,""en"",""pt"")"),"De controlo receptáculos de dispositivos de circuito")</f>
        <v>De controlo receptáculos de dispositivos de circuito</v>
      </c>
      <c r="J7294">
        <f>VLOOKUP(A7294,Pr_Base_LNEC!$A$4:$J$6971,6,FALSE)</f>
        <v>0</v>
      </c>
      <c r="K7294">
        <f>VLOOKUP(A7294,Pr_Base_LNEC!$A$4:$J$6971,7,FALSE)</f>
        <v>0</v>
      </c>
    </row>
    <row r="7295" spans="1:11" ht="14.5">
      <c r="A7295" s="20" t="s">
        <v>32611</v>
      </c>
      <c r="B7295" s="20">
        <v>80</v>
      </c>
      <c r="C7295" s="20">
        <v>77</v>
      </c>
      <c r="D7295" s="20">
        <v>28</v>
      </c>
      <c r="E7295" s="20">
        <v>21</v>
      </c>
      <c r="F7295" s="20" t="s">
        <v>32612</v>
      </c>
      <c r="G7295" s="20" t="s">
        <v>32613</v>
      </c>
      <c r="H7295" s="24"/>
      <c r="I7295" s="24" t="str">
        <f ca="1">IFERROR(__xludf.DUMMYFUNCTION("GOOGLETRANSLATE(F7295,""en"",""pt"")"),"gabinetes de equipamentos de dados")</f>
        <v>gabinetes de equipamentos de dados</v>
      </c>
      <c r="J7295">
        <f>VLOOKUP(A7295,Pr_Base_LNEC!$A$4:$J$6971,6,FALSE)</f>
        <v>0</v>
      </c>
      <c r="K7295">
        <f>VLOOKUP(A7295,Pr_Base_LNEC!$A$4:$J$6971,7,FALSE)</f>
        <v>0</v>
      </c>
    </row>
    <row r="7296" spans="1:11" ht="14.5">
      <c r="A7296" s="20" t="s">
        <v>32614</v>
      </c>
      <c r="B7296" s="20">
        <v>80</v>
      </c>
      <c r="C7296" s="20">
        <v>77</v>
      </c>
      <c r="D7296" s="20">
        <v>28</v>
      </c>
      <c r="E7296" s="20">
        <v>22</v>
      </c>
      <c r="F7296" s="20" t="s">
        <v>32615</v>
      </c>
      <c r="G7296" s="24"/>
      <c r="H7296" s="24"/>
      <c r="I7296" s="24" t="str">
        <f ca="1">IFERROR(__xludf.DUMMYFUNCTION("GOOGLETRANSLATE(F7296,""en"",""pt"")"),"caixas de monitor de exibição")</f>
        <v>caixas de monitor de exibição</v>
      </c>
      <c r="J7296">
        <f>VLOOKUP(A7296,Pr_Base_LNEC!$A$4:$J$6971,6,FALSE)</f>
        <v>0</v>
      </c>
      <c r="K7296">
        <f>VLOOKUP(A7296,Pr_Base_LNEC!$A$4:$J$6971,7,FALSE)</f>
        <v>0</v>
      </c>
    </row>
    <row r="7297" spans="1:11" ht="14.5">
      <c r="A7297" s="20" t="s">
        <v>32616</v>
      </c>
      <c r="B7297" s="20">
        <v>80</v>
      </c>
      <c r="C7297" s="20">
        <v>77</v>
      </c>
      <c r="D7297" s="20">
        <v>28</v>
      </c>
      <c r="E7297" s="20">
        <v>24</v>
      </c>
      <c r="F7297" s="20" t="s">
        <v>32617</v>
      </c>
      <c r="G7297" s="20" t="s">
        <v>28372</v>
      </c>
      <c r="H7297" s="24"/>
      <c r="I7297" s="24" t="str">
        <f ca="1">IFERROR(__xludf.DUMMYFUNCTION("GOOGLETRANSLATE(F7297,""en"",""pt"")"),"caixas de pouso de riser seco")</f>
        <v>caixas de pouso de riser seco</v>
      </c>
      <c r="J7297">
        <f>VLOOKUP(A7297,Pr_Base_LNEC!$A$4:$J$6971,6,FALSE)</f>
        <v>0</v>
      </c>
      <c r="K7297">
        <f>VLOOKUP(A7297,Pr_Base_LNEC!$A$4:$J$6971,7,FALSE)</f>
        <v>0</v>
      </c>
    </row>
    <row r="7298" spans="1:11" ht="14.5">
      <c r="A7298" s="20" t="s">
        <v>32618</v>
      </c>
      <c r="B7298" s="20">
        <v>80</v>
      </c>
      <c r="C7298" s="20">
        <v>77</v>
      </c>
      <c r="D7298" s="20">
        <v>28</v>
      </c>
      <c r="E7298" s="20">
        <v>26</v>
      </c>
      <c r="F7298" s="20" t="s">
        <v>32619</v>
      </c>
      <c r="G7298" s="24"/>
      <c r="H7298" s="24"/>
      <c r="I7298" s="24" t="str">
        <f ca="1">IFERROR(__xludf.DUMMYFUNCTION("GOOGLETRANSLATE(F7298,""en"",""pt"")"),"caixas de fibra conjuntas")</f>
        <v>caixas de fibra conjuntas</v>
      </c>
      <c r="J7298">
        <f>VLOOKUP(A7298,Pr_Base_LNEC!$A$4:$J$6971,6,FALSE)</f>
        <v>0</v>
      </c>
      <c r="K7298">
        <f>VLOOKUP(A7298,Pr_Base_LNEC!$A$4:$J$6971,7,FALSE)</f>
        <v>0</v>
      </c>
    </row>
    <row r="7299" spans="1:11" ht="14.5">
      <c r="A7299" s="20" t="s">
        <v>32620</v>
      </c>
      <c r="B7299" s="20">
        <v>80</v>
      </c>
      <c r="C7299" s="20">
        <v>77</v>
      </c>
      <c r="D7299" s="20">
        <v>28</v>
      </c>
      <c r="E7299" s="20">
        <v>27</v>
      </c>
      <c r="F7299" s="20" t="s">
        <v>32621</v>
      </c>
      <c r="G7299" s="20" t="s">
        <v>32622</v>
      </c>
      <c r="H7299" s="24"/>
      <c r="I7299" s="24" t="str">
        <f ca="1">IFERROR(__xludf.DUMMYFUNCTION("GOOGLETRANSLATE(F7299,""en"",""pt"")"),"painéis de fibra óptica")</f>
        <v>painéis de fibra óptica</v>
      </c>
      <c r="J7299">
        <f>VLOOKUP(A7299,Pr_Base_LNEC!$A$4:$J$6971,6,FALSE)</f>
        <v>0</v>
      </c>
      <c r="K7299">
        <f>VLOOKUP(A7299,Pr_Base_LNEC!$A$4:$J$6971,7,FALSE)</f>
        <v>0</v>
      </c>
    </row>
    <row r="7300" spans="1:11" ht="14.5">
      <c r="A7300" s="20" t="s">
        <v>32623</v>
      </c>
      <c r="B7300" s="20">
        <v>80</v>
      </c>
      <c r="C7300" s="20">
        <v>77</v>
      </c>
      <c r="D7300" s="20">
        <v>28</v>
      </c>
      <c r="E7300" s="20">
        <v>28</v>
      </c>
      <c r="F7300" s="20" t="s">
        <v>32624</v>
      </c>
      <c r="G7300" s="20" t="s">
        <v>32625</v>
      </c>
      <c r="H7300" s="24"/>
      <c r="I7300" s="24" t="str">
        <f ca="1">IFERROR(__xludf.DUMMYFUNCTION("GOOGLETRANSLATE(F7300,""en"",""pt"")"),"armários de equipamentos de incêndio")</f>
        <v>armários de equipamentos de incêndio</v>
      </c>
      <c r="J7300">
        <f>VLOOKUP(A7300,Pr_Base_LNEC!$A$4:$J$6971,6,FALSE)</f>
        <v>0</v>
      </c>
      <c r="K7300">
        <f>VLOOKUP(A7300,Pr_Base_LNEC!$A$4:$J$6971,7,FALSE)</f>
        <v>0</v>
      </c>
    </row>
    <row r="7301" spans="1:11" ht="14.5">
      <c r="A7301" s="20" t="s">
        <v>32626</v>
      </c>
      <c r="B7301" s="20">
        <v>80</v>
      </c>
      <c r="C7301" s="20">
        <v>77</v>
      </c>
      <c r="D7301" s="20">
        <v>28</v>
      </c>
      <c r="E7301" s="20">
        <v>29</v>
      </c>
      <c r="F7301" s="20" t="s">
        <v>32627</v>
      </c>
      <c r="G7301" s="20" t="s">
        <v>32628</v>
      </c>
      <c r="H7301" s="24"/>
      <c r="I7301" s="24" t="str">
        <f ca="1">IFERROR(__xludf.DUMMYFUNCTION("GOOGLETRANSLATE(F7301,""en"",""pt"")"),"armários de extintor de incêndio")</f>
        <v>armários de extintor de incêndio</v>
      </c>
      <c r="J7301">
        <f>VLOOKUP(A7301,Pr_Base_LNEC!$A$4:$J$6971,6,FALSE)</f>
        <v>0</v>
      </c>
      <c r="K7301">
        <f>VLOOKUP(A7301,Pr_Base_LNEC!$A$4:$J$6971,7,FALSE)</f>
        <v>0</v>
      </c>
    </row>
    <row r="7302" spans="1:11" ht="14.5">
      <c r="A7302" s="20" t="s">
        <v>32629</v>
      </c>
      <c r="B7302" s="20">
        <v>80</v>
      </c>
      <c r="C7302" s="20">
        <v>77</v>
      </c>
      <c r="D7302" s="20">
        <v>28</v>
      </c>
      <c r="E7302" s="20">
        <v>30</v>
      </c>
      <c r="F7302" s="20" t="s">
        <v>32630</v>
      </c>
      <c r="G7302" s="24"/>
      <c r="H7302" s="24"/>
      <c r="I7302" s="24" t="str">
        <f ca="1">IFERROR(__xludf.DUMMYFUNCTION("GOOGLETRANSLATE(F7302,""en"",""pt"")"),"armários mangueira de incêndio")</f>
        <v>armários mangueira de incêndio</v>
      </c>
      <c r="J7302">
        <f>VLOOKUP(A7302,Pr_Base_LNEC!$A$4:$J$6971,6,FALSE)</f>
        <v>0</v>
      </c>
      <c r="K7302">
        <f>VLOOKUP(A7302,Pr_Base_LNEC!$A$4:$J$6971,7,FALSE)</f>
        <v>0</v>
      </c>
    </row>
    <row r="7303" spans="1:11" ht="14.5">
      <c r="A7303" s="20" t="s">
        <v>32631</v>
      </c>
      <c r="B7303" s="20">
        <v>80</v>
      </c>
      <c r="C7303" s="20">
        <v>77</v>
      </c>
      <c r="D7303" s="20">
        <v>28</v>
      </c>
      <c r="E7303" s="20">
        <v>33</v>
      </c>
      <c r="F7303" s="20" t="s">
        <v>32632</v>
      </c>
      <c r="G7303" s="20" t="s">
        <v>32633</v>
      </c>
      <c r="H7303" s="24"/>
      <c r="I7303" s="24" t="str">
        <f ca="1">IFERROR(__xludf.DUMMYFUNCTION("GOOGLETRANSLATE(F7303,""en"",""pt"")"),"caixas de gerador")</f>
        <v>caixas de gerador</v>
      </c>
      <c r="J7303">
        <f>VLOOKUP(A7303,Pr_Base_LNEC!$A$4:$J$6971,6,FALSE)</f>
        <v>0</v>
      </c>
      <c r="K7303">
        <f>VLOOKUP(A7303,Pr_Base_LNEC!$A$4:$J$6971,7,FALSE)</f>
        <v>0</v>
      </c>
    </row>
    <row r="7304" spans="1:11" ht="14.5">
      <c r="A7304" s="20" t="s">
        <v>32634</v>
      </c>
      <c r="B7304" s="20">
        <v>80</v>
      </c>
      <c r="C7304" s="20">
        <v>77</v>
      </c>
      <c r="D7304" s="20">
        <v>28</v>
      </c>
      <c r="E7304" s="20">
        <v>46</v>
      </c>
      <c r="F7304" s="20" t="s">
        <v>32635</v>
      </c>
      <c r="G7304" s="20" t="s">
        <v>32636</v>
      </c>
      <c r="H7304" s="24"/>
      <c r="I7304" s="24" t="str">
        <f ca="1">IFERROR(__xludf.DUMMYFUNCTION("GOOGLETRANSLATE(F7304,""en"",""pt"")"),"caixas de superfície hidrante grande incêndio")</f>
        <v>caixas de superfície hidrante grande incêndio</v>
      </c>
      <c r="J7304">
        <f>VLOOKUP(A7304,Pr_Base_LNEC!$A$4:$J$6971,6,FALSE)</f>
        <v>0</v>
      </c>
      <c r="K7304">
        <f>VLOOKUP(A7304,Pr_Base_LNEC!$A$4:$J$6971,7,FALSE)</f>
        <v>0</v>
      </c>
    </row>
    <row r="7305" spans="1:11" ht="14.5">
      <c r="A7305" s="20" t="s">
        <v>32637</v>
      </c>
      <c r="B7305" s="20">
        <v>80</v>
      </c>
      <c r="C7305" s="20">
        <v>77</v>
      </c>
      <c r="D7305" s="20">
        <v>28</v>
      </c>
      <c r="E7305" s="20">
        <v>47</v>
      </c>
      <c r="F7305" s="20" t="s">
        <v>32638</v>
      </c>
      <c r="G7305" s="20" t="s">
        <v>32639</v>
      </c>
      <c r="H7305" s="24"/>
      <c r="I7305" s="24" t="str">
        <f ca="1">IFERROR(__xludf.DUMMYFUNCTION("GOOGLETRANSLATE(F7305,""en"",""pt"")"),"Altifalante gaiolas protetoras")</f>
        <v>Altifalante gaiolas protetoras</v>
      </c>
      <c r="J7305">
        <f>VLOOKUP(A7305,Pr_Base_LNEC!$A$4:$J$6971,6,FALSE)</f>
        <v>0</v>
      </c>
      <c r="K7305">
        <f>VLOOKUP(A7305,Pr_Base_LNEC!$A$4:$J$6971,7,FALSE)</f>
        <v>0</v>
      </c>
    </row>
    <row r="7306" spans="1:11" ht="14.5">
      <c r="A7306" s="20" t="s">
        <v>32640</v>
      </c>
      <c r="B7306" s="20">
        <v>80</v>
      </c>
      <c r="C7306" s="20">
        <v>77</v>
      </c>
      <c r="D7306" s="20">
        <v>28</v>
      </c>
      <c r="E7306" s="20">
        <v>48</v>
      </c>
      <c r="F7306" s="20" t="s">
        <v>32641</v>
      </c>
      <c r="G7306" s="20" t="s">
        <v>32642</v>
      </c>
      <c r="H7306" s="24"/>
      <c r="I7306" s="24" t="str">
        <f ca="1">IFERROR(__xludf.DUMMYFUNCTION("GOOGLETRANSLATE(F7306,""en"",""pt"")"),"Altifalante invólucros de protecção à retaguarda")</f>
        <v>Altifalante invólucros de protecção à retaguarda</v>
      </c>
      <c r="J7306">
        <f>VLOOKUP(A7306,Pr_Base_LNEC!$A$4:$J$6971,6,FALSE)</f>
        <v>0</v>
      </c>
      <c r="K7306">
        <f>VLOOKUP(A7306,Pr_Base_LNEC!$A$4:$J$6971,7,FALSE)</f>
        <v>0</v>
      </c>
    </row>
    <row r="7307" spans="1:11" ht="14.5">
      <c r="A7307" s="20" t="s">
        <v>32643</v>
      </c>
      <c r="B7307" s="20">
        <v>80</v>
      </c>
      <c r="C7307" s="20">
        <v>77</v>
      </c>
      <c r="D7307" s="20">
        <v>28</v>
      </c>
      <c r="E7307" s="20">
        <v>49</v>
      </c>
      <c r="F7307" s="20" t="s">
        <v>32644</v>
      </c>
      <c r="G7307" s="20" t="s">
        <v>32645</v>
      </c>
      <c r="H7307" s="24"/>
      <c r="I7307" s="24" t="str">
        <f ca="1">IFERROR(__xludf.DUMMYFUNCTION("GOOGLETRANSLATE(F7307,""en"",""pt"")"),"Baixa tensão de comutação receptáculos")</f>
        <v>Baixa tensão de comutação receptáculos</v>
      </c>
      <c r="J7307">
        <f>VLOOKUP(A7307,Pr_Base_LNEC!$A$4:$J$6971,6,FALSE)</f>
        <v>0</v>
      </c>
      <c r="K7307">
        <f>VLOOKUP(A7307,Pr_Base_LNEC!$A$4:$J$6971,7,FALSE)</f>
        <v>0</v>
      </c>
    </row>
    <row r="7308" spans="1:11" ht="14.5">
      <c r="A7308" s="20" t="s">
        <v>32646</v>
      </c>
      <c r="B7308" s="20">
        <v>80</v>
      </c>
      <c r="C7308" s="20">
        <v>77</v>
      </c>
      <c r="D7308" s="20">
        <v>28</v>
      </c>
      <c r="E7308" s="20">
        <v>52</v>
      </c>
      <c r="F7308" s="20" t="s">
        <v>32647</v>
      </c>
      <c r="G7308" s="20" t="s">
        <v>32648</v>
      </c>
      <c r="H7308" s="24"/>
      <c r="I7308" s="24" t="str">
        <f ca="1">IFERROR(__xludf.DUMMYFUNCTION("GOOGLETRANSLATE(F7308,""en"",""pt"")"),"armários metros")</f>
        <v>armários metros</v>
      </c>
      <c r="J7308">
        <f>VLOOKUP(A7308,Pr_Base_LNEC!$A$4:$J$6971,6,FALSE)</f>
        <v>0</v>
      </c>
      <c r="K7308">
        <f>VLOOKUP(A7308,Pr_Base_LNEC!$A$4:$J$6971,7,FALSE)</f>
        <v>0</v>
      </c>
    </row>
    <row r="7309" spans="1:11" ht="14.5">
      <c r="A7309" s="20" t="s">
        <v>32649</v>
      </c>
      <c r="B7309" s="20">
        <v>80</v>
      </c>
      <c r="C7309" s="20">
        <v>77</v>
      </c>
      <c r="D7309" s="20">
        <v>28</v>
      </c>
      <c r="E7309" s="20">
        <v>60</v>
      </c>
      <c r="F7309" s="20" t="s">
        <v>32650</v>
      </c>
      <c r="G7309" s="20" t="s">
        <v>32651</v>
      </c>
      <c r="H7309" s="24"/>
      <c r="I7309" s="24" t="str">
        <f ca="1">IFERROR(__xludf.DUMMYFUNCTION("GOOGLETRANSLATE(F7309,""en"",""pt"")"),"Cadeado e armários chave")</f>
        <v>Cadeado e armários chave</v>
      </c>
      <c r="J7309">
        <f>VLOOKUP(A7309,Pr_Base_LNEC!$A$4:$J$6971,6,FALSE)</f>
        <v>0</v>
      </c>
      <c r="K7309">
        <f>VLOOKUP(A7309,Pr_Base_LNEC!$A$4:$J$6971,7,FALSE)</f>
        <v>0</v>
      </c>
    </row>
    <row r="7310" spans="1:11" ht="14.5">
      <c r="A7310" s="20" t="s">
        <v>32652</v>
      </c>
      <c r="B7310" s="20">
        <v>80</v>
      </c>
      <c r="C7310" s="20">
        <v>77</v>
      </c>
      <c r="D7310" s="20">
        <v>28</v>
      </c>
      <c r="E7310" s="20">
        <v>65</v>
      </c>
      <c r="F7310" s="20" t="s">
        <v>32653</v>
      </c>
      <c r="G7310" s="24"/>
      <c r="H7310" s="24"/>
      <c r="I7310" s="24" t="str">
        <f ca="1">IFERROR(__xludf.DUMMYFUNCTION("GOOGLETRANSLATE(F7310,""en"",""pt"")"),"fator de potência caixas de equipamentos de correção")</f>
        <v>fator de potência caixas de equipamentos de correção</v>
      </c>
      <c r="J7310">
        <f>VLOOKUP(A7310,Pr_Base_LNEC!$A$4:$J$6971,6,FALSE)</f>
        <v>0</v>
      </c>
      <c r="K7310">
        <f>VLOOKUP(A7310,Pr_Base_LNEC!$A$4:$J$6971,7,FALSE)</f>
        <v>0</v>
      </c>
    </row>
    <row r="7311" spans="1:11" ht="14.5">
      <c r="A7311" s="20" t="s">
        <v>32654</v>
      </c>
      <c r="B7311" s="20">
        <v>80</v>
      </c>
      <c r="C7311" s="20">
        <v>77</v>
      </c>
      <c r="D7311" s="20">
        <v>28</v>
      </c>
      <c r="E7311" s="20">
        <v>70</v>
      </c>
      <c r="F7311" s="20" t="s">
        <v>32655</v>
      </c>
      <c r="G7311" s="24"/>
      <c r="H7311" s="24"/>
      <c r="I7311" s="24" t="str">
        <f ca="1">IFERROR(__xludf.DUMMYFUNCTION("GOOGLETRANSLATE(F7311,""en"",""pt"")"),"armários rack")</f>
        <v>armários rack</v>
      </c>
      <c r="J7311">
        <f>VLOOKUP(A7311,Pr_Base_LNEC!$A$4:$J$6971,6,FALSE)</f>
        <v>0</v>
      </c>
      <c r="K7311">
        <f>VLOOKUP(A7311,Pr_Base_LNEC!$A$4:$J$6971,7,FALSE)</f>
        <v>0</v>
      </c>
    </row>
    <row r="7312" spans="1:11" ht="14.5">
      <c r="A7312" s="20" t="s">
        <v>32656</v>
      </c>
      <c r="B7312" s="20">
        <v>80</v>
      </c>
      <c r="C7312" s="20">
        <v>77</v>
      </c>
      <c r="D7312" s="20">
        <v>28</v>
      </c>
      <c r="E7312" s="20">
        <v>77</v>
      </c>
      <c r="F7312" s="20" t="s">
        <v>32657</v>
      </c>
      <c r="G7312" s="24"/>
      <c r="H7312" s="24"/>
      <c r="I7312" s="24" t="str">
        <f ca="1">IFERROR(__xludf.DUMMYFUNCTION("GOOGLETRANSLATE(F7312,""en"",""pt"")"),"caixas de manobra")</f>
        <v>caixas de manobra</v>
      </c>
      <c r="J7312" t="e">
        <f>VLOOKUP(A7312,Pr_Base_LNEC!$A$4:$J$6971,6,FALSE)</f>
        <v>#N/A</v>
      </c>
      <c r="K7312" t="e">
        <f>VLOOKUP(A7312,Pr_Base_LNEC!$A$4:$J$6971,7,FALSE)</f>
        <v>#N/A</v>
      </c>
    </row>
    <row r="7313" spans="1:11" ht="14.5">
      <c r="A7313" s="20" t="s">
        <v>32658</v>
      </c>
      <c r="B7313" s="20">
        <v>80</v>
      </c>
      <c r="C7313" s="20">
        <v>77</v>
      </c>
      <c r="D7313" s="20">
        <v>28</v>
      </c>
      <c r="E7313" s="20">
        <v>78</v>
      </c>
      <c r="F7313" s="20" t="s">
        <v>32659</v>
      </c>
      <c r="G7313" s="24"/>
      <c r="H7313" s="24"/>
      <c r="I7313" s="24" t="str">
        <f ca="1">IFERROR(__xludf.DUMMYFUNCTION("GOOGLETRANSLATE(F7313,""en"",""pt"")"),"quadros de extensão de manobra")</f>
        <v>quadros de extensão de manobra</v>
      </c>
      <c r="J7313" t="e">
        <f>VLOOKUP(A7313,Pr_Base_LNEC!$A$4:$J$6971,6,FALSE)</f>
        <v>#N/A</v>
      </c>
      <c r="K7313" t="e">
        <f>VLOOKUP(A7313,Pr_Base_LNEC!$A$4:$J$6971,7,FALSE)</f>
        <v>#N/A</v>
      </c>
    </row>
    <row r="7314" spans="1:11" ht="14.5">
      <c r="A7314" s="20" t="s">
        <v>32660</v>
      </c>
      <c r="B7314" s="20">
        <v>80</v>
      </c>
      <c r="C7314" s="20">
        <v>77</v>
      </c>
      <c r="D7314" s="20">
        <v>28</v>
      </c>
      <c r="E7314" s="20">
        <v>84</v>
      </c>
      <c r="F7314" s="20" t="s">
        <v>32661</v>
      </c>
      <c r="G7314" s="24"/>
      <c r="H7314" s="24"/>
      <c r="I7314" s="24" t="str">
        <f ca="1">IFERROR(__xludf.DUMMYFUNCTION("GOOGLETRANSLATE(F7314,""en"",""pt"")"),"Vigilância suportes de câmera")</f>
        <v>Vigilância suportes de câmera</v>
      </c>
      <c r="J7314">
        <f>VLOOKUP(A7314,Pr_Base_LNEC!$A$4:$J$6971,6,FALSE)</f>
        <v>0</v>
      </c>
      <c r="K7314">
        <f>VLOOKUP(A7314,Pr_Base_LNEC!$A$4:$J$6971,7,FALSE)</f>
        <v>0</v>
      </c>
    </row>
    <row r="7315" spans="1:11" ht="14.5">
      <c r="A7315" s="20" t="s">
        <v>32662</v>
      </c>
      <c r="B7315" s="20">
        <v>80</v>
      </c>
      <c r="C7315" s="20">
        <v>77</v>
      </c>
      <c r="D7315" s="20">
        <v>28</v>
      </c>
      <c r="E7315" s="20">
        <v>85</v>
      </c>
      <c r="F7315" s="20" t="s">
        <v>32663</v>
      </c>
      <c r="G7315" s="20" t="s">
        <v>32664</v>
      </c>
      <c r="H7315" s="24"/>
      <c r="I7315" s="24" t="str">
        <f ca="1">IFERROR(__xludf.DUMMYFUNCTION("GOOGLETRANSLATE(F7315,""en"",""pt"")"),"Vigilância caixas de câmera")</f>
        <v>Vigilância caixas de câmera</v>
      </c>
      <c r="J7315">
        <f>VLOOKUP(A7315,Pr_Base_LNEC!$A$4:$J$6971,6,FALSE)</f>
        <v>0</v>
      </c>
      <c r="K7315">
        <f>VLOOKUP(A7315,Pr_Base_LNEC!$A$4:$J$6971,7,FALSE)</f>
        <v>0</v>
      </c>
    </row>
    <row r="7316" spans="1:11" ht="14.5">
      <c r="A7316" s="20" t="s">
        <v>32665</v>
      </c>
      <c r="B7316" s="20">
        <v>80</v>
      </c>
      <c r="C7316" s="20">
        <v>77</v>
      </c>
      <c r="D7316" s="20">
        <v>28</v>
      </c>
      <c r="E7316" s="20">
        <v>86</v>
      </c>
      <c r="F7316" s="20" t="s">
        <v>32666</v>
      </c>
      <c r="G7316" s="20" t="s">
        <v>32667</v>
      </c>
      <c r="H7316" s="24"/>
      <c r="I7316" s="24" t="str">
        <f ca="1">IFERROR(__xludf.DUMMYFUNCTION("GOOGLETRANSLATE(F7316,""en"",""pt"")"),"caixas de telefone")</f>
        <v>caixas de telefone</v>
      </c>
      <c r="J7316">
        <f>VLOOKUP(A7316,Pr_Base_LNEC!$A$4:$J$6971,6,FALSE)</f>
        <v>0</v>
      </c>
      <c r="K7316">
        <f>VLOOKUP(A7316,Pr_Base_LNEC!$A$4:$J$6971,7,FALSE)</f>
        <v>0</v>
      </c>
    </row>
    <row r="7317" spans="1:11" ht="14.5">
      <c r="A7317" s="20" t="s">
        <v>32668</v>
      </c>
      <c r="B7317" s="20">
        <v>80</v>
      </c>
      <c r="C7317" s="20">
        <v>77</v>
      </c>
      <c r="D7317" s="20">
        <v>28</v>
      </c>
      <c r="E7317" s="20">
        <v>88</v>
      </c>
      <c r="F7317" s="20" t="s">
        <v>32669</v>
      </c>
      <c r="G7317" s="20" t="s">
        <v>32670</v>
      </c>
      <c r="H7317" s="24"/>
      <c r="I7317" s="24" t="str">
        <f ca="1">IFERROR(__xludf.DUMMYFUNCTION("GOOGLETRANSLATE(F7317,""en"",""pt"")"),"caixas de filtro de ar de terminal")</f>
        <v>caixas de filtro de ar de terminal</v>
      </c>
      <c r="J7317">
        <f>VLOOKUP(A7317,Pr_Base_LNEC!$A$4:$J$6971,6,FALSE)</f>
        <v>0</v>
      </c>
      <c r="K7317">
        <f>VLOOKUP(A7317,Pr_Base_LNEC!$A$4:$J$6971,7,FALSE)</f>
        <v>0</v>
      </c>
    </row>
    <row r="7318" spans="1:11" ht="14.5">
      <c r="A7318" s="20" t="s">
        <v>32671</v>
      </c>
      <c r="B7318" s="20">
        <v>80</v>
      </c>
      <c r="C7318" s="20">
        <v>77</v>
      </c>
      <c r="D7318" s="20">
        <v>28</v>
      </c>
      <c r="E7318" s="20">
        <v>94</v>
      </c>
      <c r="F7318" s="20" t="s">
        <v>32672</v>
      </c>
      <c r="G7318" s="24"/>
      <c r="H7318" s="24"/>
      <c r="I7318" s="24" t="str">
        <f ca="1">IFERROR(__xludf.DUMMYFUNCTION("GOOGLETRANSLATE(F7318,""en"",""pt"")"),"caixas de válvulas")</f>
        <v>caixas de válvulas</v>
      </c>
      <c r="J7318">
        <f>VLOOKUP(A7318,Pr_Base_LNEC!$A$4:$J$6971,6,FALSE)</f>
        <v>0</v>
      </c>
      <c r="K7318">
        <f>VLOOKUP(A7318,Pr_Base_LNEC!$A$4:$J$6971,7,FALSE)</f>
        <v>0</v>
      </c>
    </row>
    <row r="7319" spans="1:11" ht="14.5">
      <c r="A7319" s="20" t="s">
        <v>32673</v>
      </c>
      <c r="B7319" s="20">
        <v>80</v>
      </c>
      <c r="C7319" s="20">
        <v>77</v>
      </c>
      <c r="D7319" s="20">
        <v>28</v>
      </c>
      <c r="E7319" s="20">
        <v>95</v>
      </c>
      <c r="F7319" s="20" t="s">
        <v>32674</v>
      </c>
      <c r="G7319" s="20" t="s">
        <v>32675</v>
      </c>
      <c r="H7319" s="24"/>
      <c r="I7319" s="24" t="str">
        <f ca="1">IFERROR(__xludf.DUMMYFUNCTION("GOOGLETRANSLATE(F7319,""en"",""pt"")"),"armários do gravador de vídeo")</f>
        <v>armários do gravador de vídeo</v>
      </c>
      <c r="J7319">
        <f>VLOOKUP(A7319,Pr_Base_LNEC!$A$4:$J$6971,6,FALSE)</f>
        <v>0</v>
      </c>
      <c r="K7319">
        <f>VLOOKUP(A7319,Pr_Base_LNEC!$A$4:$J$6971,7,FALSE)</f>
        <v>0</v>
      </c>
    </row>
    <row r="7320" spans="1:11" ht="14.5">
      <c r="A7320" s="20" t="s">
        <v>32676</v>
      </c>
      <c r="B7320" s="20">
        <v>80</v>
      </c>
      <c r="C7320" s="20">
        <v>77</v>
      </c>
      <c r="D7320" s="20">
        <v>28</v>
      </c>
      <c r="E7320" s="20">
        <v>96</v>
      </c>
      <c r="F7320" s="20" t="s">
        <v>32677</v>
      </c>
      <c r="G7320" s="20" t="s">
        <v>32678</v>
      </c>
      <c r="H7320" s="24"/>
      <c r="I7320" s="24" t="str">
        <f ca="1">IFERROR(__xludf.DUMMYFUNCTION("GOOGLETRANSLATE(F7320,""en"",""pt"")"),"água de extinção caixas de entrada")</f>
        <v>água de extinção caixas de entrada</v>
      </c>
      <c r="J7320">
        <f>VLOOKUP(A7320,Pr_Base_LNEC!$A$4:$J$6971,6,FALSE)</f>
        <v>0</v>
      </c>
      <c r="K7320">
        <f>VLOOKUP(A7320,Pr_Base_LNEC!$A$4:$J$6971,7,FALSE)</f>
        <v>0</v>
      </c>
    </row>
    <row r="7321" spans="1:11" ht="14.5">
      <c r="A7321" s="20" t="s">
        <v>32679</v>
      </c>
      <c r="B7321" s="20">
        <v>80</v>
      </c>
      <c r="C7321" s="20">
        <v>77</v>
      </c>
      <c r="D7321" s="20">
        <v>28</v>
      </c>
      <c r="E7321" s="20">
        <v>97</v>
      </c>
      <c r="F7321" s="20" t="s">
        <v>32680</v>
      </c>
      <c r="G7321" s="20" t="s">
        <v>32636</v>
      </c>
      <c r="H7321" s="24"/>
      <c r="I7321" s="24" t="str">
        <f ca="1">IFERROR(__xludf.DUMMYFUNCTION("GOOGLETRANSLATE(F7321,""en"",""pt"")"),"água de extinção caixas de superfície")</f>
        <v>água de extinção caixas de superfície</v>
      </c>
      <c r="J7321">
        <f>VLOOKUP(A7321,Pr_Base_LNEC!$A$4:$J$6971,6,FALSE)</f>
        <v>0</v>
      </c>
      <c r="K7321">
        <f>VLOOKUP(A7321,Pr_Base_LNEC!$A$4:$J$6971,7,FALSE)</f>
        <v>0</v>
      </c>
    </row>
    <row r="7322" spans="1:11" ht="14.5">
      <c r="A7322" s="20" t="s">
        <v>32681</v>
      </c>
      <c r="B7322" s="20">
        <v>80</v>
      </c>
      <c r="C7322" s="20">
        <v>77</v>
      </c>
      <c r="D7322" s="20">
        <v>28</v>
      </c>
      <c r="E7322" s="20">
        <v>98</v>
      </c>
      <c r="F7322" s="20" t="s">
        <v>32682</v>
      </c>
      <c r="G7322" s="20" t="s">
        <v>32683</v>
      </c>
      <c r="H7322" s="24"/>
      <c r="I7322" s="24" t="str">
        <f ca="1">IFERROR(__xludf.DUMMYFUNCTION("GOOGLETRANSLATE(F7322,""en"",""pt"")"),"invólucros de equipamentos à prova de intempéries")</f>
        <v>invólucros de equipamentos à prova de intempéries</v>
      </c>
      <c r="J7322">
        <f>VLOOKUP(A7322,Pr_Base_LNEC!$A$4:$J$6971,6,FALSE)</f>
        <v>0</v>
      </c>
      <c r="K7322">
        <f>VLOOKUP(A7322,Pr_Base_LNEC!$A$4:$J$6971,7,FALSE)</f>
        <v>0</v>
      </c>
    </row>
    <row r="7323" spans="1:11" ht="14.5">
      <c r="A7323" s="20" t="s">
        <v>32684</v>
      </c>
      <c r="B7323" s="20">
        <v>80</v>
      </c>
      <c r="C7323" s="20">
        <v>77</v>
      </c>
      <c r="D7323" s="20">
        <v>46</v>
      </c>
      <c r="E7323" s="24"/>
      <c r="F7323" s="20" t="s">
        <v>32685</v>
      </c>
      <c r="G7323" s="24"/>
      <c r="H7323" s="24"/>
      <c r="I7323" s="24" t="str">
        <f ca="1">IFERROR(__xludf.DUMMYFUNCTION("GOOGLETRANSLATE(F7323,""en"",""pt"")"),"Elevador de receptáculos, o acesso e suportes")</f>
        <v>Elevador de receptáculos, o acesso e suportes</v>
      </c>
      <c r="J7323">
        <f>VLOOKUP(A7323,Pr_Base_LNEC!$A$4:$J$6971,6,FALSE)</f>
        <v>0</v>
      </c>
      <c r="K7323">
        <f>VLOOKUP(A7323,Pr_Base_LNEC!$A$4:$J$6971,7,FALSE)</f>
        <v>0</v>
      </c>
    </row>
    <row r="7324" spans="1:11" ht="14.5">
      <c r="A7324" s="20" t="s">
        <v>32686</v>
      </c>
      <c r="B7324" s="20">
        <v>80</v>
      </c>
      <c r="C7324" s="20">
        <v>77</v>
      </c>
      <c r="D7324" s="20">
        <v>46</v>
      </c>
      <c r="E7324" s="20">
        <v>32</v>
      </c>
      <c r="F7324" s="20" t="s">
        <v>32687</v>
      </c>
      <c r="G7324" s="20" t="s">
        <v>32688</v>
      </c>
      <c r="H7324" s="24"/>
      <c r="I7324" s="24" t="str">
        <f ca="1">IFERROR(__xludf.DUMMYFUNCTION("GOOGLETRANSLATE(F7324,""en"",""pt"")"),"livre de pé auto-sustentável poços de elevador")</f>
        <v>livre de pé auto-sustentável poços de elevador</v>
      </c>
      <c r="J7324">
        <f>VLOOKUP(A7324,Pr_Base_LNEC!$A$4:$J$6971,6,FALSE)</f>
        <v>0</v>
      </c>
      <c r="K7324">
        <f>VLOOKUP(A7324,Pr_Base_LNEC!$A$4:$J$6971,7,FALSE)</f>
        <v>0</v>
      </c>
    </row>
    <row r="7325" spans="1:11" ht="14.5">
      <c r="A7325" s="20" t="s">
        <v>32689</v>
      </c>
      <c r="B7325" s="20">
        <v>80</v>
      </c>
      <c r="C7325" s="20">
        <v>77</v>
      </c>
      <c r="D7325" s="20">
        <v>46</v>
      </c>
      <c r="E7325" s="20">
        <v>46</v>
      </c>
      <c r="F7325" s="20" t="s">
        <v>32690</v>
      </c>
      <c r="G7325" s="20" t="s">
        <v>32691</v>
      </c>
      <c r="H7325" s="24"/>
      <c r="I7325" s="24" t="str">
        <f ca="1">IFERROR(__xludf.DUMMYFUNCTION("GOOGLETRANSLATE(F7325,""en"",""pt"")"),"As cabinas dos ascensores")</f>
        <v>As cabinas dos ascensores</v>
      </c>
      <c r="J7325">
        <f>VLOOKUP(A7325,Pr_Base_LNEC!$A$4:$J$6971,6,FALSE)</f>
        <v>0</v>
      </c>
      <c r="K7325">
        <f>VLOOKUP(A7325,Pr_Base_LNEC!$A$4:$J$6971,7,FALSE)</f>
        <v>0</v>
      </c>
    </row>
    <row r="7326" spans="1:11" ht="14.5">
      <c r="A7326" s="20" t="s">
        <v>32692</v>
      </c>
      <c r="B7326" s="20">
        <v>80</v>
      </c>
      <c r="C7326" s="20">
        <v>77</v>
      </c>
      <c r="D7326" s="20">
        <v>48</v>
      </c>
      <c r="E7326" s="24"/>
      <c r="F7326" s="20" t="s">
        <v>32693</v>
      </c>
      <c r="G7326" s="24"/>
      <c r="H7326" s="24"/>
      <c r="I7326" s="24" t="str">
        <f ca="1">IFERROR(__xludf.DUMMYFUNCTION("GOOGLETRANSLATE(F7326,""en"",""pt"")"),"Iluminação colunas, suportes e cabeços")</f>
        <v>Iluminação colunas, suportes e cabeços</v>
      </c>
      <c r="J7326">
        <f>VLOOKUP(A7326,Pr_Base_LNEC!$A$4:$J$6971,6,FALSE)</f>
        <v>0</v>
      </c>
      <c r="K7326">
        <f>VLOOKUP(A7326,Pr_Base_LNEC!$A$4:$J$6971,7,FALSE)</f>
        <v>0</v>
      </c>
    </row>
    <row r="7327" spans="1:11" ht="14.5">
      <c r="A7327" s="20" t="s">
        <v>32694</v>
      </c>
      <c r="B7327" s="20">
        <v>80</v>
      </c>
      <c r="C7327" s="20">
        <v>77</v>
      </c>
      <c r="D7327" s="20">
        <v>48</v>
      </c>
      <c r="E7327" s="20">
        <v>1</v>
      </c>
      <c r="F7327" s="20" t="s">
        <v>32695</v>
      </c>
      <c r="G7327" s="20" t="s">
        <v>32696</v>
      </c>
      <c r="H7327" s="24"/>
      <c r="I7327" s="24" t="str">
        <f ca="1">IFERROR(__xludf.DUMMYFUNCTION("GOOGLETRANSLATE(F7327,""en"",""pt"")"),"Alumínio suportes de coluna de luminárias")</f>
        <v>Alumínio suportes de coluna de luminárias</v>
      </c>
      <c r="J7327">
        <f>VLOOKUP(A7327,Pr_Base_LNEC!$A$4:$J$6971,6,FALSE)</f>
        <v>0</v>
      </c>
      <c r="K7327">
        <f>VLOOKUP(A7327,Pr_Base_LNEC!$A$4:$J$6971,7,FALSE)</f>
        <v>0</v>
      </c>
    </row>
    <row r="7328" spans="1:11" ht="14.5">
      <c r="A7328" s="20" t="s">
        <v>32697</v>
      </c>
      <c r="B7328" s="20">
        <v>80</v>
      </c>
      <c r="C7328" s="20">
        <v>77</v>
      </c>
      <c r="D7328" s="20">
        <v>48</v>
      </c>
      <c r="E7328" s="20">
        <v>2</v>
      </c>
      <c r="F7328" s="20" t="s">
        <v>32698</v>
      </c>
      <c r="G7328" s="20" t="s">
        <v>32699</v>
      </c>
      <c r="H7328" s="24"/>
      <c r="I7328" s="24" t="str">
        <f ca="1">IFERROR(__xludf.DUMMYFUNCTION("GOOGLETRANSLATE(F7328,""en"",""pt"")"),"Alumínio postes de iluminação")</f>
        <v>Alumínio postes de iluminação</v>
      </c>
      <c r="J7328">
        <f>VLOOKUP(A7328,Pr_Base_LNEC!$A$4:$J$6971,6,FALSE)</f>
        <v>0</v>
      </c>
      <c r="K7328">
        <f>VLOOKUP(A7328,Pr_Base_LNEC!$A$4:$J$6971,7,FALSE)</f>
        <v>0</v>
      </c>
    </row>
    <row r="7329" spans="1:11" ht="14.5">
      <c r="A7329" s="20" t="s">
        <v>32700</v>
      </c>
      <c r="B7329" s="20">
        <v>80</v>
      </c>
      <c r="C7329" s="20">
        <v>77</v>
      </c>
      <c r="D7329" s="20">
        <v>48</v>
      </c>
      <c r="E7329" s="20">
        <v>3</v>
      </c>
      <c r="F7329" s="20" t="s">
        <v>32701</v>
      </c>
      <c r="G7329" s="20" t="s">
        <v>32702</v>
      </c>
      <c r="H7329" s="24"/>
      <c r="I7329" s="24" t="str">
        <f ca="1">IFERROR(__xludf.DUMMYFUNCTION("GOOGLETRANSLATE(F7329,""en"",""pt"")"),"colunas de iluminação de alumínio")</f>
        <v>colunas de iluminação de alumínio</v>
      </c>
      <c r="J7329">
        <f>VLOOKUP(A7329,Pr_Base_LNEC!$A$4:$J$6971,6,FALSE)</f>
        <v>0</v>
      </c>
      <c r="K7329">
        <f>VLOOKUP(A7329,Pr_Base_LNEC!$A$4:$J$6971,7,FALSE)</f>
        <v>0</v>
      </c>
    </row>
    <row r="7330" spans="1:11" ht="14.5">
      <c r="A7330" s="20" t="s">
        <v>32703</v>
      </c>
      <c r="B7330" s="20">
        <v>80</v>
      </c>
      <c r="C7330" s="20">
        <v>77</v>
      </c>
      <c r="D7330" s="20">
        <v>48</v>
      </c>
      <c r="E7330" s="20">
        <v>4</v>
      </c>
      <c r="F7330" s="20" t="s">
        <v>32704</v>
      </c>
      <c r="G7330" s="20" t="s">
        <v>32705</v>
      </c>
      <c r="H7330" s="24"/>
      <c r="I7330" s="24" t="str">
        <f ca="1">IFERROR(__xludf.DUMMYFUNCTION("GOOGLETRANSLATE(F7330,""en"",""pt"")"),"suportes de luminárias de alumínio")</f>
        <v>suportes de luminárias de alumínio</v>
      </c>
      <c r="J7330">
        <f>VLOOKUP(A7330,Pr_Base_LNEC!$A$4:$J$6971,6,FALSE)</f>
        <v>0</v>
      </c>
      <c r="K7330">
        <f>VLOOKUP(A7330,Pr_Base_LNEC!$A$4:$J$6971,7,FALSE)</f>
        <v>0</v>
      </c>
    </row>
    <row r="7331" spans="1:11" ht="14.5">
      <c r="A7331" s="20" t="s">
        <v>32706</v>
      </c>
      <c r="B7331" s="20">
        <v>80</v>
      </c>
      <c r="C7331" s="20">
        <v>77</v>
      </c>
      <c r="D7331" s="20">
        <v>48</v>
      </c>
      <c r="E7331" s="20">
        <v>15</v>
      </c>
      <c r="F7331" s="20" t="s">
        <v>32707</v>
      </c>
      <c r="G7331" s="24"/>
      <c r="H7331" s="24"/>
      <c r="I7331" s="24" t="str">
        <f ca="1">IFERROR(__xludf.DUMMYFUNCTION("GOOGLETRANSLATE(F7331,""en"",""pt"")"),"Concretas cabeços de iluminação")</f>
        <v>Concretas cabeços de iluminação</v>
      </c>
      <c r="J7331">
        <f>VLOOKUP(A7331,Pr_Base_LNEC!$A$4:$J$6971,6,FALSE)</f>
        <v>0</v>
      </c>
      <c r="K7331">
        <f>VLOOKUP(A7331,Pr_Base_LNEC!$A$4:$J$6971,7,FALSE)</f>
        <v>0</v>
      </c>
    </row>
    <row r="7332" spans="1:11" ht="14.5">
      <c r="A7332" s="20" t="s">
        <v>32708</v>
      </c>
      <c r="B7332" s="20">
        <v>80</v>
      </c>
      <c r="C7332" s="20">
        <v>77</v>
      </c>
      <c r="D7332" s="20">
        <v>48</v>
      </c>
      <c r="E7332" s="20">
        <v>16</v>
      </c>
      <c r="F7332" s="20" t="s">
        <v>32709</v>
      </c>
      <c r="G7332" s="20" t="s">
        <v>32710</v>
      </c>
      <c r="H7332" s="24"/>
      <c r="I7332" s="24" t="str">
        <f ca="1">IFERROR(__xludf.DUMMYFUNCTION("GOOGLETRANSLATE(F7332,""en"",""pt"")"),"colunas de iluminação de concreto")</f>
        <v>colunas de iluminação de concreto</v>
      </c>
      <c r="J7332">
        <f>VLOOKUP(A7332,Pr_Base_LNEC!$A$4:$J$6971,6,FALSE)</f>
        <v>0</v>
      </c>
      <c r="K7332">
        <f>VLOOKUP(A7332,Pr_Base_LNEC!$A$4:$J$6971,7,FALSE)</f>
        <v>0</v>
      </c>
    </row>
    <row r="7333" spans="1:11" ht="14.5">
      <c r="A7333" s="20" t="s">
        <v>32711</v>
      </c>
      <c r="B7333" s="20">
        <v>80</v>
      </c>
      <c r="C7333" s="20">
        <v>77</v>
      </c>
      <c r="D7333" s="20">
        <v>48</v>
      </c>
      <c r="E7333" s="20">
        <v>23</v>
      </c>
      <c r="F7333" s="20" t="s">
        <v>32712</v>
      </c>
      <c r="G7333" s="24"/>
      <c r="H7333" s="24"/>
      <c r="I7333" s="24" t="str">
        <f ca="1">IFERROR(__xludf.DUMMYFUNCTION("GOOGLETRANSLATE(F7333,""en"",""pt"")"),"colunas de iluminação duplas")</f>
        <v>colunas de iluminação duplas</v>
      </c>
      <c r="J7333">
        <f>VLOOKUP(A7333,Pr_Base_LNEC!$A$4:$J$6971,6,FALSE)</f>
        <v>0</v>
      </c>
      <c r="K7333">
        <f>VLOOKUP(A7333,Pr_Base_LNEC!$A$4:$J$6971,7,FALSE)</f>
        <v>0</v>
      </c>
    </row>
    <row r="7334" spans="1:11" ht="14.5">
      <c r="A7334" s="20" t="s">
        <v>32713</v>
      </c>
      <c r="B7334" s="20">
        <v>80</v>
      </c>
      <c r="C7334" s="20">
        <v>77</v>
      </c>
      <c r="D7334" s="20">
        <v>48</v>
      </c>
      <c r="E7334" s="20">
        <v>55</v>
      </c>
      <c r="F7334" s="20" t="s">
        <v>32714</v>
      </c>
      <c r="G7334" s="24"/>
      <c r="H7334" s="24"/>
      <c r="I7334" s="24" t="str">
        <f ca="1">IFERROR(__xludf.DUMMYFUNCTION("GOOGLETRANSLATE(F7334,""en"",""pt"")"),"Várias colunas de luz")</f>
        <v>Várias colunas de luz</v>
      </c>
      <c r="J7334">
        <f>VLOOKUP(A7334,Pr_Base_LNEC!$A$4:$J$6971,6,FALSE)</f>
        <v>0</v>
      </c>
      <c r="K7334">
        <f>VLOOKUP(A7334,Pr_Base_LNEC!$A$4:$J$6971,7,FALSE)</f>
        <v>0</v>
      </c>
    </row>
    <row r="7335" spans="1:11" ht="14.5">
      <c r="A7335" s="20" t="s">
        <v>32715</v>
      </c>
      <c r="B7335" s="20">
        <v>80</v>
      </c>
      <c r="C7335" s="20">
        <v>77</v>
      </c>
      <c r="D7335" s="20">
        <v>48</v>
      </c>
      <c r="E7335" s="20">
        <v>63</v>
      </c>
      <c r="F7335" s="20" t="s">
        <v>32716</v>
      </c>
      <c r="G7335" s="24"/>
      <c r="H7335" s="24"/>
      <c r="I7335" s="24" t="str">
        <f ca="1">IFERROR(__xludf.DUMMYFUNCTION("GOOGLETRANSLATE(F7335,""en"",""pt"")"),"Plastics iluminação cabeços")</f>
        <v>Plastics iluminação cabeços</v>
      </c>
      <c r="J7335">
        <f>VLOOKUP(A7335,Pr_Base_LNEC!$A$4:$J$6971,6,FALSE)</f>
        <v>0</v>
      </c>
      <c r="K7335">
        <f>VLOOKUP(A7335,Pr_Base_LNEC!$A$4:$J$6971,7,FALSE)</f>
        <v>0</v>
      </c>
    </row>
    <row r="7336" spans="1:11" ht="14.5">
      <c r="A7336" s="20" t="s">
        <v>32717</v>
      </c>
      <c r="B7336" s="20">
        <v>80</v>
      </c>
      <c r="C7336" s="20">
        <v>77</v>
      </c>
      <c r="D7336" s="20">
        <v>48</v>
      </c>
      <c r="E7336" s="20">
        <v>64</v>
      </c>
      <c r="F7336" s="20" t="s">
        <v>32718</v>
      </c>
      <c r="G7336" s="20" t="s">
        <v>32719</v>
      </c>
      <c r="H7336" s="24"/>
      <c r="I7336" s="24" t="str">
        <f ca="1">IFERROR(__xludf.DUMMYFUNCTION("GOOGLETRANSLATE(F7336,""en"",""pt"")"),"Plásticos que iluminam colunas")</f>
        <v>Plásticos que iluminam colunas</v>
      </c>
      <c r="J7336">
        <f>VLOOKUP(A7336,Pr_Base_LNEC!$A$4:$J$6971,6,FALSE)</f>
        <v>0</v>
      </c>
      <c r="K7336">
        <f>VLOOKUP(A7336,Pr_Base_LNEC!$A$4:$J$6971,7,FALSE)</f>
        <v>0</v>
      </c>
    </row>
    <row r="7337" spans="1:11" ht="14.5">
      <c r="A7337" s="20" t="s">
        <v>32720</v>
      </c>
      <c r="B7337" s="20">
        <v>80</v>
      </c>
      <c r="C7337" s="20">
        <v>77</v>
      </c>
      <c r="D7337" s="20">
        <v>48</v>
      </c>
      <c r="E7337" s="20">
        <v>78</v>
      </c>
      <c r="F7337" s="20" t="s">
        <v>32721</v>
      </c>
      <c r="G7337" s="20" t="s">
        <v>32722</v>
      </c>
      <c r="H7337" s="24"/>
      <c r="I7337" s="24" t="str">
        <f ca="1">IFERROR(__xludf.DUMMYFUNCTION("GOOGLETRANSLATE(F7337,""en"",""pt"")"),"suportes de luminárias coluna de aço")</f>
        <v>suportes de luminárias coluna de aço</v>
      </c>
      <c r="J7337">
        <f>VLOOKUP(A7337,Pr_Base_LNEC!$A$4:$J$6971,6,FALSE)</f>
        <v>0</v>
      </c>
      <c r="K7337">
        <f>VLOOKUP(A7337,Pr_Base_LNEC!$A$4:$J$6971,7,FALSE)</f>
        <v>0</v>
      </c>
    </row>
    <row r="7338" spans="1:11" ht="14.5">
      <c r="A7338" s="20" t="s">
        <v>32723</v>
      </c>
      <c r="B7338" s="20">
        <v>80</v>
      </c>
      <c r="C7338" s="20">
        <v>77</v>
      </c>
      <c r="D7338" s="20">
        <v>48</v>
      </c>
      <c r="E7338" s="20">
        <v>79</v>
      </c>
      <c r="F7338" s="20" t="s">
        <v>32724</v>
      </c>
      <c r="G7338" s="20" t="s">
        <v>32725</v>
      </c>
      <c r="H7338" s="24"/>
      <c r="I7338" s="24" t="str">
        <f ca="1">IFERROR(__xludf.DUMMYFUNCTION("GOOGLETRANSLATE(F7338,""en"",""pt"")"),"cabeços de iluminação de aço")</f>
        <v>cabeços de iluminação de aço</v>
      </c>
      <c r="J7338">
        <f>VLOOKUP(A7338,Pr_Base_LNEC!$A$4:$J$6971,6,FALSE)</f>
        <v>0</v>
      </c>
      <c r="K7338">
        <f>VLOOKUP(A7338,Pr_Base_LNEC!$A$4:$J$6971,7,FALSE)</f>
        <v>0</v>
      </c>
    </row>
    <row r="7339" spans="1:11" ht="14.5">
      <c r="A7339" s="20" t="s">
        <v>32726</v>
      </c>
      <c r="B7339" s="20">
        <v>80</v>
      </c>
      <c r="C7339" s="20">
        <v>77</v>
      </c>
      <c r="D7339" s="20">
        <v>48</v>
      </c>
      <c r="E7339" s="20">
        <v>80</v>
      </c>
      <c r="F7339" s="20" t="s">
        <v>32727</v>
      </c>
      <c r="G7339" s="20" t="s">
        <v>32728</v>
      </c>
      <c r="H7339" s="24"/>
      <c r="I7339" s="24" t="str">
        <f ca="1">IFERROR(__xludf.DUMMYFUNCTION("GOOGLETRANSLATE(F7339,""en"",""pt"")"),"colunas de iluminação de aço")</f>
        <v>colunas de iluminação de aço</v>
      </c>
      <c r="J7339">
        <f>VLOOKUP(A7339,Pr_Base_LNEC!$A$4:$J$6971,6,FALSE)</f>
        <v>0</v>
      </c>
      <c r="K7339">
        <f>VLOOKUP(A7339,Pr_Base_LNEC!$A$4:$J$6971,7,FALSE)</f>
        <v>0</v>
      </c>
    </row>
    <row r="7340" spans="1:11" ht="14.5">
      <c r="A7340" s="20" t="s">
        <v>32729</v>
      </c>
      <c r="B7340" s="20">
        <v>80</v>
      </c>
      <c r="C7340" s="20">
        <v>77</v>
      </c>
      <c r="D7340" s="20">
        <v>48</v>
      </c>
      <c r="E7340" s="20">
        <v>81</v>
      </c>
      <c r="F7340" s="20" t="s">
        <v>32730</v>
      </c>
      <c r="G7340" s="20" t="s">
        <v>32731</v>
      </c>
      <c r="H7340" s="24"/>
      <c r="I7340" s="24" t="str">
        <f ca="1">IFERROR(__xludf.DUMMYFUNCTION("GOOGLETRANSLATE(F7340,""en"",""pt"")"),"suportes de luminárias de aço")</f>
        <v>suportes de luminárias de aço</v>
      </c>
      <c r="J7340">
        <f>VLOOKUP(A7340,Pr_Base_LNEC!$A$4:$J$6971,6,FALSE)</f>
        <v>0</v>
      </c>
      <c r="K7340">
        <f>VLOOKUP(A7340,Pr_Base_LNEC!$A$4:$J$6971,7,FALSE)</f>
        <v>0</v>
      </c>
    </row>
    <row r="7341" spans="1:11" ht="14.5">
      <c r="A7341" s="20" t="s">
        <v>32732</v>
      </c>
      <c r="B7341" s="20">
        <v>80</v>
      </c>
      <c r="C7341" s="20">
        <v>77</v>
      </c>
      <c r="D7341" s="20">
        <v>76</v>
      </c>
      <c r="E7341" s="24"/>
      <c r="F7341" s="20" t="s">
        <v>32733</v>
      </c>
      <c r="G7341" s="24"/>
      <c r="H7341" s="24"/>
      <c r="I7341" s="24" t="str">
        <f ca="1">IFERROR(__xludf.DUMMYFUNCTION("GOOGLETRANSLATE(F7341,""en"",""pt"")"),"Serviços de isolamento e produtos de proteção")</f>
        <v>Serviços de isolamento e produtos de proteção</v>
      </c>
      <c r="J7341">
        <f>VLOOKUP(A7341,Pr_Base_LNEC!$A$4:$J$6971,6,FALSE)</f>
        <v>0</v>
      </c>
      <c r="K7341">
        <f>VLOOKUP(A7341,Pr_Base_LNEC!$A$4:$J$6971,7,FALSE)</f>
        <v>0</v>
      </c>
    </row>
    <row r="7342" spans="1:11" ht="14.5">
      <c r="A7342" s="20" t="s">
        <v>32734</v>
      </c>
      <c r="B7342" s="20">
        <v>80</v>
      </c>
      <c r="C7342" s="20">
        <v>77</v>
      </c>
      <c r="D7342" s="20">
        <v>76</v>
      </c>
      <c r="E7342" s="20">
        <v>3</v>
      </c>
      <c r="F7342" s="20" t="s">
        <v>32735</v>
      </c>
      <c r="G7342" s="24"/>
      <c r="H7342" s="24"/>
      <c r="I7342" s="24" t="str">
        <f ca="1">IFERROR(__xludf.DUMMYFUNCTION("GOOGLETRANSLATE(F7342,""en"",""pt"")"),"invólucro de isolamento folha de alumínio")</f>
        <v>invólucro de isolamento folha de alumínio</v>
      </c>
      <c r="J7342">
        <f>VLOOKUP(A7342,Pr_Base_LNEC!$A$4:$J$6971,6,FALSE)</f>
        <v>0</v>
      </c>
      <c r="K7342">
        <f>VLOOKUP(A7342,Pr_Base_LNEC!$A$4:$J$6971,7,FALSE)</f>
        <v>0</v>
      </c>
    </row>
    <row r="7343" spans="1:11" ht="14.5">
      <c r="A7343" s="20" t="s">
        <v>32736</v>
      </c>
      <c r="B7343" s="20">
        <v>80</v>
      </c>
      <c r="C7343" s="20">
        <v>77</v>
      </c>
      <c r="D7343" s="20">
        <v>76</v>
      </c>
      <c r="E7343" s="20">
        <v>11</v>
      </c>
      <c r="F7343" s="20" t="s">
        <v>32737</v>
      </c>
      <c r="G7343" s="20" t="s">
        <v>32738</v>
      </c>
      <c r="H7343" s="24"/>
      <c r="I7343" s="24" t="str">
        <f ca="1">IFERROR(__xludf.DUMMYFUNCTION("GOOGLETRANSLATE(F7343,""en"",""pt"")"),"secção de pré-formado de silicato de cálcio e isolamento laje")</f>
        <v>secção de pré-formado de silicato de cálcio e isolamento laje</v>
      </c>
      <c r="J7343">
        <f>VLOOKUP(A7343,Pr_Base_LNEC!$A$4:$J$6971,6,FALSE)</f>
        <v>0</v>
      </c>
      <c r="K7343">
        <f>VLOOKUP(A7343,Pr_Base_LNEC!$A$4:$J$6971,7,FALSE)</f>
        <v>0</v>
      </c>
    </row>
    <row r="7344" spans="1:11" ht="14.5">
      <c r="A7344" s="20" t="s">
        <v>32739</v>
      </c>
      <c r="B7344" s="20">
        <v>80</v>
      </c>
      <c r="C7344" s="20">
        <v>77</v>
      </c>
      <c r="D7344" s="20">
        <v>76</v>
      </c>
      <c r="E7344" s="20">
        <v>12</v>
      </c>
      <c r="F7344" s="20" t="s">
        <v>32740</v>
      </c>
      <c r="G7344" s="20" t="s">
        <v>32741</v>
      </c>
      <c r="H7344" s="24"/>
      <c r="I7344" s="24" t="str">
        <f ca="1">IFERROR(__xludf.DUMMYFUNCTION("GOOGLETRANSLATE(F7344,""en"",""pt"")"),"protecção isolamento lona")</f>
        <v>protecção isolamento lona</v>
      </c>
      <c r="J7344">
        <f>VLOOKUP(A7344,Pr_Base_LNEC!$A$4:$J$6971,6,FALSE)</f>
        <v>0</v>
      </c>
      <c r="K7344">
        <f>VLOOKUP(A7344,Pr_Base_LNEC!$A$4:$J$6971,7,FALSE)</f>
        <v>0</v>
      </c>
    </row>
    <row r="7345" spans="1:11" ht="14.5">
      <c r="A7345" s="20" t="s">
        <v>32742</v>
      </c>
      <c r="B7345" s="20">
        <v>80</v>
      </c>
      <c r="C7345" s="20">
        <v>77</v>
      </c>
      <c r="D7345" s="20">
        <v>76</v>
      </c>
      <c r="E7345" s="20">
        <v>13</v>
      </c>
      <c r="F7345" s="20" t="s">
        <v>32743</v>
      </c>
      <c r="G7345" s="20" t="s">
        <v>32741</v>
      </c>
      <c r="H7345" s="24"/>
      <c r="I7345" s="24" t="str">
        <f ca="1">IFERROR(__xludf.DUMMYFUNCTION("GOOGLETRANSLATE(F7345,""en"",""pt"")"),"Carbono invólucro de isolamento chapa de aço")</f>
        <v>Carbono invólucro de isolamento chapa de aço</v>
      </c>
      <c r="J7345">
        <f>VLOOKUP(A7345,Pr_Base_LNEC!$A$4:$J$6971,6,FALSE)</f>
        <v>0</v>
      </c>
      <c r="K7345">
        <f>VLOOKUP(A7345,Pr_Base_LNEC!$A$4:$J$6971,7,FALSE)</f>
        <v>0</v>
      </c>
    </row>
    <row r="7346" spans="1:11" ht="14.5">
      <c r="A7346" s="20" t="s">
        <v>32744</v>
      </c>
      <c r="B7346" s="20">
        <v>80</v>
      </c>
      <c r="C7346" s="20">
        <v>77</v>
      </c>
      <c r="D7346" s="20">
        <v>76</v>
      </c>
      <c r="E7346" s="20">
        <v>25</v>
      </c>
      <c r="F7346" s="20" t="s">
        <v>32745</v>
      </c>
      <c r="G7346" s="24"/>
      <c r="H7346" s="24"/>
      <c r="I7346" s="24" t="str">
        <f ca="1">IFERROR(__xludf.DUMMYFUNCTION("GOOGLETRANSLATE(F7346,""en"",""pt"")"),"Etileno propileno dieno monómero (EPDM) isolamento de borracha")</f>
        <v>Etileno propileno dieno monómero (EPDM) isolamento de borracha</v>
      </c>
      <c r="J7346">
        <f>VLOOKUP(A7346,Pr_Base_LNEC!$A$4:$J$6971,6,FALSE)</f>
        <v>0</v>
      </c>
      <c r="K7346">
        <f>VLOOKUP(A7346,Pr_Base_LNEC!$A$4:$J$6971,7,FALSE)</f>
        <v>0</v>
      </c>
    </row>
    <row r="7347" spans="1:11" ht="14.5">
      <c r="A7347" s="20" t="s">
        <v>32746</v>
      </c>
      <c r="B7347" s="20">
        <v>80</v>
      </c>
      <c r="C7347" s="20">
        <v>77</v>
      </c>
      <c r="D7347" s="20">
        <v>76</v>
      </c>
      <c r="E7347" s="20">
        <v>29</v>
      </c>
      <c r="F7347" s="20" t="s">
        <v>32747</v>
      </c>
      <c r="G7347" s="24"/>
      <c r="H7347" s="24"/>
      <c r="I7347" s="24" t="str">
        <f ca="1">IFERROR(__xludf.DUMMYFUNCTION("GOOGLETRANSLATE(F7347,""en"",""pt"")"),"isolamento de espuma elastomérica flexível")</f>
        <v>isolamento de espuma elastomérica flexível</v>
      </c>
      <c r="J7347" t="e">
        <f>VLOOKUP(A7347,Pr_Base_LNEC!$A$4:$J$6971,6,FALSE)</f>
        <v>#N/A</v>
      </c>
      <c r="K7347" t="e">
        <f>VLOOKUP(A7347,Pr_Base_LNEC!$A$4:$J$6971,7,FALSE)</f>
        <v>#N/A</v>
      </c>
    </row>
    <row r="7348" spans="1:11" ht="14.5">
      <c r="A7348" s="20" t="s">
        <v>32748</v>
      </c>
      <c r="B7348" s="20">
        <v>80</v>
      </c>
      <c r="C7348" s="20">
        <v>77</v>
      </c>
      <c r="D7348" s="20">
        <v>76</v>
      </c>
      <c r="E7348" s="20">
        <v>34</v>
      </c>
      <c r="F7348" s="20" t="s">
        <v>32749</v>
      </c>
      <c r="G7348" s="20" t="s">
        <v>32741</v>
      </c>
      <c r="H7348" s="24"/>
      <c r="I7348" s="24" t="str">
        <f ca="1">IFERROR(__xludf.DUMMYFUNCTION("GOOGLETRANSLATE(F7348,""en"",""pt"")"),"lã de proteção de isolamento pano de vidro")</f>
        <v>lã de proteção de isolamento pano de vidro</v>
      </c>
      <c r="J7348">
        <f>VLOOKUP(A7348,Pr_Base_LNEC!$A$4:$J$6971,6,FALSE)</f>
        <v>0</v>
      </c>
      <c r="K7348">
        <f>VLOOKUP(A7348,Pr_Base_LNEC!$A$4:$J$6971,7,FALSE)</f>
        <v>0</v>
      </c>
    </row>
    <row r="7349" spans="1:11" ht="14.5">
      <c r="A7349" s="20" t="s">
        <v>32750</v>
      </c>
      <c r="B7349" s="20">
        <v>80</v>
      </c>
      <c r="C7349" s="20">
        <v>77</v>
      </c>
      <c r="D7349" s="20">
        <v>76</v>
      </c>
      <c r="E7349" s="20">
        <v>47</v>
      </c>
      <c r="F7349" s="20" t="s">
        <v>32751</v>
      </c>
      <c r="G7349" s="20" t="s">
        <v>32752</v>
      </c>
      <c r="H7349" s="24"/>
      <c r="I7349" s="24" t="str">
        <f ca="1">IFERROR(__xludf.DUMMYFUNCTION("GOOGLETRANSLATE(F7349,""en"",""pt"")"),"isolamento de apoio para suporte de carga oleoduto")</f>
        <v>isolamento de apoio para suporte de carga oleoduto</v>
      </c>
      <c r="J7349">
        <f>VLOOKUP(A7349,Pr_Base_LNEC!$A$4:$J$6971,6,FALSE)</f>
        <v>0</v>
      </c>
      <c r="K7349">
        <f>VLOOKUP(A7349,Pr_Base_LNEC!$A$4:$J$6971,7,FALSE)</f>
        <v>0</v>
      </c>
    </row>
    <row r="7350" spans="1:11" ht="14.5">
      <c r="A7350" s="20" t="s">
        <v>32753</v>
      </c>
      <c r="B7350" s="20">
        <v>80</v>
      </c>
      <c r="C7350" s="20">
        <v>77</v>
      </c>
      <c r="D7350" s="20">
        <v>76</v>
      </c>
      <c r="E7350" s="20">
        <v>52</v>
      </c>
      <c r="F7350" s="20" t="s">
        <v>32754</v>
      </c>
      <c r="G7350" s="20" t="s">
        <v>32755</v>
      </c>
      <c r="H7350" s="24"/>
      <c r="I7350" s="24" t="str">
        <f ca="1">IFERROR(__xludf.DUMMYFUNCTION("GOOGLETRANSLATE(F7350,""en"",""pt"")"),"Duto mineral lã de malha de metal enfrentado isolamento colchão")</f>
        <v>Duto mineral lã de malha de metal enfrentado isolamento colchão</v>
      </c>
      <c r="J7350">
        <f>VLOOKUP(A7350,Pr_Base_LNEC!$A$4:$J$6971,6,FALSE)</f>
        <v>0</v>
      </c>
      <c r="K7350">
        <f>VLOOKUP(A7350,Pr_Base_LNEC!$A$4:$J$6971,7,FALSE)</f>
        <v>0</v>
      </c>
    </row>
    <row r="7351" spans="1:11" ht="14.5">
      <c r="A7351" s="20" t="s">
        <v>32756</v>
      </c>
      <c r="B7351" s="20">
        <v>80</v>
      </c>
      <c r="C7351" s="20">
        <v>77</v>
      </c>
      <c r="D7351" s="20">
        <v>76</v>
      </c>
      <c r="E7351" s="20">
        <v>53</v>
      </c>
      <c r="F7351" s="20" t="s">
        <v>32757</v>
      </c>
      <c r="G7351" s="20" t="s">
        <v>32758</v>
      </c>
      <c r="H7351" s="24"/>
      <c r="I7351" s="24" t="str">
        <f ca="1">IFERROR(__xludf.DUMMYFUNCTION("GOOGLETRANSLATE(F7351,""en"",""pt"")"),"lã mineral de isolamento duto laje")</f>
        <v>lã mineral de isolamento duto laje</v>
      </c>
      <c r="J7351">
        <f>VLOOKUP(A7351,Pr_Base_LNEC!$A$4:$J$6971,6,FALSE)</f>
        <v>0</v>
      </c>
      <c r="K7351">
        <f>VLOOKUP(A7351,Pr_Base_LNEC!$A$4:$J$6971,7,FALSE)</f>
        <v>0</v>
      </c>
    </row>
    <row r="7352" spans="1:11" ht="14.5">
      <c r="A7352" s="20" t="s">
        <v>32759</v>
      </c>
      <c r="B7352" s="20">
        <v>80</v>
      </c>
      <c r="C7352" s="20">
        <v>77</v>
      </c>
      <c r="D7352" s="20">
        <v>76</v>
      </c>
      <c r="E7352" s="20">
        <v>54</v>
      </c>
      <c r="F7352" s="20" t="s">
        <v>32760</v>
      </c>
      <c r="G7352" s="20" t="s">
        <v>32761</v>
      </c>
      <c r="H7352" s="24"/>
      <c r="I7352" s="24" t="str">
        <f ca="1">IFERROR(__xludf.DUMMYFUNCTION("GOOGLETRANSLATE(F7352,""en"",""pt"")"),"lã mineral de isolamento secção de tubo")</f>
        <v>lã mineral de isolamento secção de tubo</v>
      </c>
      <c r="J7352">
        <f>VLOOKUP(A7352,Pr_Base_LNEC!$A$4:$J$6971,6,FALSE)</f>
        <v>0</v>
      </c>
      <c r="K7352">
        <f>VLOOKUP(A7352,Pr_Base_LNEC!$A$4:$J$6971,7,FALSE)</f>
        <v>0</v>
      </c>
    </row>
    <row r="7353" spans="1:11" ht="14.5">
      <c r="A7353" s="20" t="s">
        <v>32762</v>
      </c>
      <c r="B7353" s="20">
        <v>80</v>
      </c>
      <c r="C7353" s="20">
        <v>77</v>
      </c>
      <c r="D7353" s="20">
        <v>76</v>
      </c>
      <c r="E7353" s="20">
        <v>58</v>
      </c>
      <c r="F7353" s="20" t="s">
        <v>32763</v>
      </c>
      <c r="G7353" s="20" t="s">
        <v>32764</v>
      </c>
      <c r="H7353" s="24"/>
      <c r="I7353" s="24" t="str">
        <f ca="1">IFERROR(__xludf.DUMMYFUNCTION("GOOGLETRANSLATE(F7353,""en"",""pt"")"),"isolamento de borracha de nitrilo")</f>
        <v>isolamento de borracha de nitrilo</v>
      </c>
      <c r="J7353">
        <f>VLOOKUP(A7353,Pr_Base_LNEC!$A$4:$J$6971,6,FALSE)</f>
        <v>0</v>
      </c>
      <c r="K7353">
        <f>VLOOKUP(A7353,Pr_Base_LNEC!$A$4:$J$6971,7,FALSE)</f>
        <v>0</v>
      </c>
    </row>
    <row r="7354" spans="1:11" ht="14.5">
      <c r="A7354" s="20" t="s">
        <v>32765</v>
      </c>
      <c r="B7354" s="20">
        <v>80</v>
      </c>
      <c r="C7354" s="20">
        <v>77</v>
      </c>
      <c r="D7354" s="20">
        <v>76</v>
      </c>
      <c r="E7354" s="20">
        <v>62</v>
      </c>
      <c r="F7354" s="20" t="s">
        <v>32766</v>
      </c>
      <c r="G7354" s="20" t="s">
        <v>32767</v>
      </c>
      <c r="H7354" s="24"/>
      <c r="I7354" s="24" t="str">
        <f ca="1">IFERROR(__xludf.DUMMYFUNCTION("GOOGLETRANSLATE(F7354,""en"",""pt"")"),"isolamento de espuma fenólica")</f>
        <v>isolamento de espuma fenólica</v>
      </c>
      <c r="J7354">
        <f>VLOOKUP(A7354,Pr_Base_LNEC!$A$4:$J$6971,6,FALSE)</f>
        <v>0</v>
      </c>
      <c r="K7354">
        <f>VLOOKUP(A7354,Pr_Base_LNEC!$A$4:$J$6971,7,FALSE)</f>
        <v>0</v>
      </c>
    </row>
    <row r="7355" spans="1:11" ht="14.5">
      <c r="A7355" s="20" t="s">
        <v>32768</v>
      </c>
      <c r="B7355" s="20">
        <v>80</v>
      </c>
      <c r="C7355" s="20">
        <v>77</v>
      </c>
      <c r="D7355" s="20">
        <v>76</v>
      </c>
      <c r="E7355" s="20">
        <v>64</v>
      </c>
      <c r="F7355" s="20" t="s">
        <v>32769</v>
      </c>
      <c r="G7355" s="20" t="s">
        <v>32741</v>
      </c>
      <c r="H7355" s="24"/>
      <c r="I7355" s="24" t="str">
        <f ca="1">IFERROR(__xludf.DUMMYFUNCTION("GOOGLETRANSLATE(F7355,""en"",""pt"")"),"protecção isolamento poliisobutileno")</f>
        <v>protecção isolamento poliisobutileno</v>
      </c>
      <c r="J7355">
        <f>VLOOKUP(A7355,Pr_Base_LNEC!$A$4:$J$6971,6,FALSE)</f>
        <v>0</v>
      </c>
      <c r="K7355">
        <f>VLOOKUP(A7355,Pr_Base_LNEC!$A$4:$J$6971,7,FALSE)</f>
        <v>0</v>
      </c>
    </row>
    <row r="7356" spans="1:11" ht="14.5">
      <c r="A7356" s="20" t="s">
        <v>32770</v>
      </c>
      <c r="B7356" s="20">
        <v>80</v>
      </c>
      <c r="C7356" s="20">
        <v>77</v>
      </c>
      <c r="D7356" s="20">
        <v>76</v>
      </c>
      <c r="E7356" s="20">
        <v>65</v>
      </c>
      <c r="F7356" s="20" t="s">
        <v>32771</v>
      </c>
      <c r="G7356" s="20" t="s">
        <v>32772</v>
      </c>
      <c r="H7356" s="24"/>
      <c r="I7356" s="24" t="str">
        <f ca="1">IFERROR(__xludf.DUMMYFUNCTION("GOOGLETRANSLATE(F7356,""en"",""pt"")"),"Poliisocianurato (PIR) isolamento")</f>
        <v>Poliisocianurato (PIR) isolamento</v>
      </c>
      <c r="J7356" t="e">
        <f>VLOOKUP(A7356,Pr_Base_LNEC!$A$4:$J$6971,6,FALSE)</f>
        <v>#N/A</v>
      </c>
      <c r="K7356" t="e">
        <f>VLOOKUP(A7356,Pr_Base_LNEC!$A$4:$J$6971,7,FALSE)</f>
        <v>#N/A</v>
      </c>
    </row>
    <row r="7357" spans="1:11" ht="14.5">
      <c r="A7357" s="20" t="s">
        <v>32773</v>
      </c>
      <c r="B7357" s="20">
        <v>80</v>
      </c>
      <c r="C7357" s="20">
        <v>77</v>
      </c>
      <c r="D7357" s="20">
        <v>76</v>
      </c>
      <c r="E7357" s="20">
        <v>76</v>
      </c>
      <c r="F7357" s="20" t="s">
        <v>32774</v>
      </c>
      <c r="G7357" s="20" t="s">
        <v>32741</v>
      </c>
      <c r="H7357" s="24"/>
      <c r="I7357" s="24" t="str">
        <f ca="1">IFERROR(__xludf.DUMMYFUNCTION("GOOGLETRANSLATE(F7357,""en"",""pt"")"),"manga isolante auto-adesiva")</f>
        <v>manga isolante auto-adesiva</v>
      </c>
      <c r="J7357">
        <f>VLOOKUP(A7357,Pr_Base_LNEC!$A$4:$J$6971,6,FALSE)</f>
        <v>0</v>
      </c>
      <c r="K7357">
        <f>VLOOKUP(A7357,Pr_Base_LNEC!$A$4:$J$6971,7,FALSE)</f>
        <v>0</v>
      </c>
    </row>
    <row r="7358" spans="1:11" ht="14.5">
      <c r="A7358" s="20" t="s">
        <v>32775</v>
      </c>
      <c r="B7358" s="20">
        <v>80</v>
      </c>
      <c r="C7358" s="20">
        <v>77</v>
      </c>
      <c r="D7358" s="20">
        <v>76</v>
      </c>
      <c r="E7358" s="20">
        <v>85</v>
      </c>
      <c r="F7358" s="20" t="s">
        <v>32776</v>
      </c>
      <c r="G7358" s="20" t="s">
        <v>32741</v>
      </c>
      <c r="H7358" s="24"/>
      <c r="I7358" s="24" t="str">
        <f ca="1">IFERROR(__xludf.DUMMYFUNCTION("GOOGLETRANSLATE(F7358,""en"",""pt"")"),"aço inoxidável invólucro de isolamento folha")</f>
        <v>aço inoxidável invólucro de isolamento folha</v>
      </c>
      <c r="J7358">
        <f>VLOOKUP(A7358,Pr_Base_LNEC!$A$4:$J$6971,6,FALSE)</f>
        <v>0</v>
      </c>
      <c r="K7358">
        <f>VLOOKUP(A7358,Pr_Base_LNEC!$A$4:$J$6971,7,FALSE)</f>
        <v>0</v>
      </c>
    </row>
    <row r="7359" spans="1:11" ht="14.5">
      <c r="A7359" s="20" t="s">
        <v>32777</v>
      </c>
      <c r="B7359" s="20">
        <v>80</v>
      </c>
      <c r="C7359" s="20">
        <v>77</v>
      </c>
      <c r="D7359" s="20">
        <v>76</v>
      </c>
      <c r="E7359" s="20">
        <v>92</v>
      </c>
      <c r="F7359" s="20" t="s">
        <v>32778</v>
      </c>
      <c r="G7359" s="20" t="s">
        <v>32741</v>
      </c>
      <c r="H7359" s="24"/>
      <c r="I7359" s="24" t="str">
        <f ca="1">IFERROR(__xludf.DUMMYFUNCTION("GOOGLETRANSLATE(F7359,""en"",""pt"")"),"cloreto de polivinilo não plastificado (PVC-U) invólucro de isolamento folha")</f>
        <v>cloreto de polivinilo não plastificado (PVC-U) invólucro de isolamento folha</v>
      </c>
      <c r="J7359">
        <f>VLOOKUP(A7359,Pr_Base_LNEC!$A$4:$J$6971,6,FALSE)</f>
        <v>0</v>
      </c>
      <c r="K7359">
        <f>VLOOKUP(A7359,Pr_Base_LNEC!$A$4:$J$6971,7,FALSE)</f>
        <v>0</v>
      </c>
    </row>
    <row r="7360" spans="1:11" ht="14.5">
      <c r="A7360" s="20" t="s">
        <v>32779</v>
      </c>
      <c r="B7360" s="20">
        <v>80</v>
      </c>
      <c r="C7360" s="20">
        <v>77</v>
      </c>
      <c r="D7360" s="20">
        <v>76</v>
      </c>
      <c r="E7360" s="20">
        <v>94</v>
      </c>
      <c r="F7360" s="20" t="s">
        <v>32780</v>
      </c>
      <c r="G7360" s="20" t="s">
        <v>32781</v>
      </c>
      <c r="H7360" s="24"/>
      <c r="I7360" s="24" t="str">
        <f ca="1">IFERROR(__xludf.DUMMYFUNCTION("GOOGLETRANSLATE(F7360,""en"",""pt"")"),"Válvula e isolamento do flange")</f>
        <v>Válvula e isolamento do flange</v>
      </c>
      <c r="J7360">
        <f>VLOOKUP(A7360,Pr_Base_LNEC!$A$4:$J$6971,6,FALSE)</f>
        <v>0</v>
      </c>
      <c r="K7360">
        <f>VLOOKUP(A7360,Pr_Base_LNEC!$A$4:$J$6971,7,FALSE)</f>
        <v>0</v>
      </c>
    </row>
    <row r="7361" spans="1:11" ht="14.5">
      <c r="A7361" s="20" t="s">
        <v>32782</v>
      </c>
      <c r="B7361" s="20">
        <v>80</v>
      </c>
      <c r="C7361" s="20">
        <v>77</v>
      </c>
      <c r="D7361" s="20">
        <v>76</v>
      </c>
      <c r="E7361" s="20">
        <v>95</v>
      </c>
      <c r="F7361" s="20" t="s">
        <v>32783</v>
      </c>
      <c r="G7361" s="24"/>
      <c r="H7361" s="24"/>
      <c r="I7361" s="24" t="str">
        <f ca="1">IFERROR(__xludf.DUMMYFUNCTION("GOOGLETRANSLATE(F7361,""en"",""pt"")"),"Válvula e a flange de isolamento invólucro")</f>
        <v>Válvula e a flange de isolamento invólucro</v>
      </c>
      <c r="J7361">
        <f>VLOOKUP(A7361,Pr_Base_LNEC!$A$4:$J$6971,6,FALSE)</f>
        <v>0</v>
      </c>
      <c r="K7361">
        <f>VLOOKUP(A7361,Pr_Base_LNEC!$A$4:$J$6971,7,FALSE)</f>
        <v>0</v>
      </c>
    </row>
    <row r="7362" spans="1:11" ht="14.5">
      <c r="A7362" s="20" t="s">
        <v>32784</v>
      </c>
      <c r="B7362" s="20">
        <v>80</v>
      </c>
      <c r="C7362" s="20">
        <v>77</v>
      </c>
      <c r="D7362" s="20">
        <v>94</v>
      </c>
      <c r="E7362" s="24"/>
      <c r="F7362" s="20" t="s">
        <v>32785</v>
      </c>
      <c r="G7362" s="24"/>
      <c r="H7362" s="24"/>
      <c r="I7362" s="24" t="str">
        <f ca="1">IFERROR(__xludf.DUMMYFUNCTION("GOOGLETRANSLATE(F7362,""en"",""pt"")"),"produtos de isolamento de vibração")</f>
        <v>produtos de isolamento de vibração</v>
      </c>
      <c r="J7362">
        <f>VLOOKUP(A7362,Pr_Base_LNEC!$A$4:$J$6971,6,FALSE)</f>
        <v>0</v>
      </c>
      <c r="K7362">
        <f>VLOOKUP(A7362,Pr_Base_LNEC!$A$4:$J$6971,7,FALSE)</f>
        <v>0</v>
      </c>
    </row>
    <row r="7363" spans="1:11" ht="14.5">
      <c r="A7363" s="20" t="s">
        <v>32786</v>
      </c>
      <c r="B7363" s="20">
        <v>80</v>
      </c>
      <c r="C7363" s="20">
        <v>77</v>
      </c>
      <c r="D7363" s="20">
        <v>94</v>
      </c>
      <c r="E7363" s="20">
        <v>15</v>
      </c>
      <c r="F7363" s="20" t="s">
        <v>32787</v>
      </c>
      <c r="G7363" s="20" t="s">
        <v>32788</v>
      </c>
      <c r="H7363" s="24"/>
      <c r="I7363" s="24" t="str">
        <f ca="1">IFERROR(__xludf.DUMMYFUNCTION("GOOGLETRANSLATE(F7363,""en"",""pt"")"),"isoladores de compressão")</f>
        <v>isoladores de compressão</v>
      </c>
      <c r="J7363">
        <f>VLOOKUP(A7363,Pr_Base_LNEC!$A$4:$J$6971,6,FALSE)</f>
        <v>0</v>
      </c>
      <c r="K7363">
        <f>VLOOKUP(A7363,Pr_Base_LNEC!$A$4:$J$6971,7,FALSE)</f>
        <v>0</v>
      </c>
    </row>
    <row r="7364" spans="1:11" ht="14.5">
      <c r="A7364" s="20" t="s">
        <v>32789</v>
      </c>
      <c r="B7364" s="20">
        <v>80</v>
      </c>
      <c r="C7364" s="20">
        <v>77</v>
      </c>
      <c r="D7364" s="20">
        <v>94</v>
      </c>
      <c r="E7364" s="20">
        <v>30</v>
      </c>
      <c r="F7364" s="20" t="s">
        <v>32790</v>
      </c>
      <c r="G7364" s="20" t="s">
        <v>32791</v>
      </c>
      <c r="H7364" s="24"/>
      <c r="I7364" s="24" t="str">
        <f ca="1">IFERROR(__xludf.DUMMYFUNCTION("GOOGLETRANSLATE(F7364,""en"",""pt"")"),"mangueiras de isolamento de vibração flexível")</f>
        <v>mangueiras de isolamento de vibração flexível</v>
      </c>
      <c r="J7364">
        <f>VLOOKUP(A7364,Pr_Base_LNEC!$A$4:$J$6971,6,FALSE)</f>
        <v>0</v>
      </c>
      <c r="K7364">
        <f>VLOOKUP(A7364,Pr_Base_LNEC!$A$4:$J$6971,7,FALSE)</f>
        <v>0</v>
      </c>
    </row>
    <row r="7365" spans="1:11" ht="14.5">
      <c r="A7365" s="20" t="s">
        <v>32792</v>
      </c>
      <c r="B7365" s="20">
        <v>80</v>
      </c>
      <c r="C7365" s="20">
        <v>77</v>
      </c>
      <c r="D7365" s="20">
        <v>94</v>
      </c>
      <c r="E7365" s="20">
        <v>40</v>
      </c>
      <c r="F7365" s="20" t="s">
        <v>32793</v>
      </c>
      <c r="G7365" s="20" t="s">
        <v>32794</v>
      </c>
      <c r="H7365" s="24"/>
      <c r="I7365" s="24" t="str">
        <f ca="1">IFERROR(__xludf.DUMMYFUNCTION("GOOGLETRANSLATE(F7365,""en"",""pt"")"),"bases de inércia")</f>
        <v>bases de inércia</v>
      </c>
      <c r="J7365">
        <f>VLOOKUP(A7365,Pr_Base_LNEC!$A$4:$J$6971,6,FALSE)</f>
        <v>0</v>
      </c>
      <c r="K7365">
        <f>VLOOKUP(A7365,Pr_Base_LNEC!$A$4:$J$6971,7,FALSE)</f>
        <v>0</v>
      </c>
    </row>
    <row r="7366" spans="1:11" ht="14.5">
      <c r="A7366" s="20" t="s">
        <v>32795</v>
      </c>
      <c r="B7366" s="20">
        <v>80</v>
      </c>
      <c r="C7366" s="20">
        <v>77</v>
      </c>
      <c r="D7366" s="20">
        <v>94</v>
      </c>
      <c r="E7366" s="20">
        <v>42</v>
      </c>
      <c r="F7366" s="20" t="s">
        <v>32796</v>
      </c>
      <c r="G7366" s="20" t="s">
        <v>32797</v>
      </c>
      <c r="H7366" s="24"/>
      <c r="I7366" s="24" t="str">
        <f ca="1">IFERROR(__xludf.DUMMYFUNCTION("GOOGLETRANSLATE(F7366,""en"",""pt"")"),"cabides de isolamento")</f>
        <v>cabides de isolamento</v>
      </c>
      <c r="J7366">
        <f>VLOOKUP(A7366,Pr_Base_LNEC!$A$4:$J$6971,6,FALSE)</f>
        <v>0</v>
      </c>
      <c r="K7366">
        <f>VLOOKUP(A7366,Pr_Base_LNEC!$A$4:$J$6971,7,FALSE)</f>
        <v>0</v>
      </c>
    </row>
    <row r="7367" spans="1:11" ht="14.5">
      <c r="A7367" s="20" t="s">
        <v>32798</v>
      </c>
      <c r="B7367" s="20">
        <v>80</v>
      </c>
      <c r="C7367" s="20">
        <v>77</v>
      </c>
      <c r="D7367" s="20">
        <v>94</v>
      </c>
      <c r="E7367" s="20">
        <v>50</v>
      </c>
      <c r="F7367" s="20" t="s">
        <v>32799</v>
      </c>
      <c r="G7367" s="20" t="s">
        <v>32800</v>
      </c>
      <c r="H7367" s="24"/>
      <c r="I7367" s="24" t="str">
        <f ca="1">IFERROR(__xludf.DUMMYFUNCTION("GOOGLETRANSLATE(F7367,""en"",""pt"")"),"montagens mat")</f>
        <v>montagens mat</v>
      </c>
      <c r="J7367">
        <f>VLOOKUP(A7367,Pr_Base_LNEC!$A$4:$J$6971,6,FALSE)</f>
        <v>0</v>
      </c>
      <c r="K7367">
        <f>VLOOKUP(A7367,Pr_Base_LNEC!$A$4:$J$6971,7,FALSE)</f>
        <v>0</v>
      </c>
    </row>
    <row r="7368" spans="1:11" ht="14.5">
      <c r="A7368" s="20" t="s">
        <v>32801</v>
      </c>
      <c r="B7368" s="20">
        <v>80</v>
      </c>
      <c r="C7368" s="20">
        <v>77</v>
      </c>
      <c r="D7368" s="20">
        <v>94</v>
      </c>
      <c r="E7368" s="20">
        <v>60</v>
      </c>
      <c r="F7368" s="20" t="s">
        <v>32802</v>
      </c>
      <c r="G7368" s="20" t="s">
        <v>32803</v>
      </c>
      <c r="H7368" s="24"/>
      <c r="I7368" s="24" t="str">
        <f ca="1">IFERROR(__xludf.DUMMYFUNCTION("GOOGLETRANSLATE(F7368,""en"",""pt"")"),"montagens pad")</f>
        <v>montagens pad</v>
      </c>
      <c r="J7368">
        <f>VLOOKUP(A7368,Pr_Base_LNEC!$A$4:$J$6971,6,FALSE)</f>
        <v>0</v>
      </c>
      <c r="K7368">
        <f>VLOOKUP(A7368,Pr_Base_LNEC!$A$4:$J$6971,7,FALSE)</f>
        <v>0</v>
      </c>
    </row>
    <row r="7369" spans="1:11" ht="14.5">
      <c r="A7369" s="20" t="s">
        <v>32804</v>
      </c>
      <c r="B7369" s="20">
        <v>80</v>
      </c>
      <c r="C7369" s="20">
        <v>77</v>
      </c>
      <c r="D7369" s="20">
        <v>94</v>
      </c>
      <c r="E7369" s="20">
        <v>65</v>
      </c>
      <c r="F7369" s="20" t="s">
        <v>32805</v>
      </c>
      <c r="G7369" s="20" t="s">
        <v>32806</v>
      </c>
      <c r="H7369" s="24"/>
      <c r="I7369" s="24" t="str">
        <f ca="1">IFERROR(__xludf.DUMMYFUNCTION("GOOGLETRANSLATE(F7369,""en"",""pt"")"),"suportes de isolamento pneumáticos")</f>
        <v>suportes de isolamento pneumáticos</v>
      </c>
      <c r="J7369" t="e">
        <f>VLOOKUP(A7369,Pr_Base_LNEC!$A$4:$J$6971,6,FALSE)</f>
        <v>#N/A</v>
      </c>
      <c r="K7369" t="e">
        <f>VLOOKUP(A7369,Pr_Base_LNEC!$A$4:$J$6971,7,FALSE)</f>
        <v>#N/A</v>
      </c>
    </row>
    <row r="7370" spans="1:11" ht="14.5">
      <c r="A7370" s="20" t="s">
        <v>32807</v>
      </c>
      <c r="B7370" s="20">
        <v>80</v>
      </c>
      <c r="C7370" s="20">
        <v>77</v>
      </c>
      <c r="D7370" s="20">
        <v>94</v>
      </c>
      <c r="E7370" s="20">
        <v>74</v>
      </c>
      <c r="F7370" s="20" t="s">
        <v>32808</v>
      </c>
      <c r="G7370" s="20" t="s">
        <v>32809</v>
      </c>
      <c r="H7370" s="24"/>
      <c r="I7370" s="24" t="str">
        <f ca="1">IFERROR(__xludf.DUMMYFUNCTION("GOOGLETRANSLATE(F7370,""en"",""pt"")"),"foles de borracha")</f>
        <v>foles de borracha</v>
      </c>
      <c r="J7370">
        <f>VLOOKUP(A7370,Pr_Base_LNEC!$A$4:$J$6971,6,FALSE)</f>
        <v>0</v>
      </c>
      <c r="K7370">
        <f>VLOOKUP(A7370,Pr_Base_LNEC!$A$4:$J$6971,7,FALSE)</f>
        <v>0</v>
      </c>
    </row>
    <row r="7371" spans="1:11" ht="14.5">
      <c r="A7371" s="20" t="s">
        <v>32810</v>
      </c>
      <c r="B7371" s="20">
        <v>80</v>
      </c>
      <c r="C7371" s="20">
        <v>77</v>
      </c>
      <c r="D7371" s="20">
        <v>94</v>
      </c>
      <c r="E7371" s="20">
        <v>84</v>
      </c>
      <c r="F7371" s="20" t="s">
        <v>32811</v>
      </c>
      <c r="G7371" s="20" t="s">
        <v>32812</v>
      </c>
      <c r="H7371" s="24"/>
      <c r="I7371" s="24" t="str">
        <f ca="1">IFERROR(__xludf.DUMMYFUNCTION("GOOGLETRANSLATE(F7371,""en"",""pt"")"),"isoladores de mola")</f>
        <v>isoladores de mola</v>
      </c>
      <c r="J7371">
        <f>VLOOKUP(A7371,Pr_Base_LNEC!$A$4:$J$6971,6,FALSE)</f>
        <v>0</v>
      </c>
      <c r="K7371">
        <f>VLOOKUP(A7371,Pr_Base_LNEC!$A$4:$J$6971,7,FALSE)</f>
        <v>0</v>
      </c>
    </row>
    <row r="7372" spans="1:11" ht="14.5">
      <c r="A7372" s="20" t="s">
        <v>32813</v>
      </c>
      <c r="B7372" s="20">
        <v>85</v>
      </c>
      <c r="C7372" s="24"/>
      <c r="D7372" s="24"/>
      <c r="E7372" s="24"/>
      <c r="F7372" s="20" t="s">
        <v>32814</v>
      </c>
      <c r="G7372" s="24"/>
      <c r="H7372" s="24"/>
      <c r="I7372" s="24" t="str">
        <f ca="1">IFERROR(__xludf.DUMMYFUNCTION("GOOGLETRANSLATE(F7372,""en"",""pt"")"),"produtos de engenharia de processo")</f>
        <v>produtos de engenharia de processo</v>
      </c>
      <c r="J7372" t="str">
        <f>VLOOKUP(A7372,Pr_Base_LNEC!$A$4:$J$6971,6,FALSE)</f>
        <v>Produtos para Gestão de Instalações Simples</v>
      </c>
      <c r="K7372">
        <f>VLOOKUP(A7372,Pr_Base_LNEC!$A$4:$J$6971,7,FALSE)</f>
        <v>0</v>
      </c>
    </row>
    <row r="7373" spans="1:11" ht="14.5">
      <c r="A7373" s="20" t="s">
        <v>32815</v>
      </c>
      <c r="B7373" s="20">
        <v>85</v>
      </c>
      <c r="C7373" s="20">
        <v>51</v>
      </c>
      <c r="D7373" s="24"/>
      <c r="E7373" s="24"/>
      <c r="F7373" s="20" t="s">
        <v>32816</v>
      </c>
      <c r="G7373" s="24"/>
      <c r="H7373" s="24"/>
      <c r="I7373" s="24" t="str">
        <f ca="1">IFERROR(__xludf.DUMMYFUNCTION("GOOGLETRANSLATE(F7373,""en"",""pt"")"),"produtos de moagem")</f>
        <v>produtos de moagem</v>
      </c>
      <c r="J7373" t="str">
        <f>VLOOKUP(A7373,Pr_Base_LNEC!$A$4:$J$6971,6,FALSE)</f>
        <v>Produtos para Moagem</v>
      </c>
      <c r="K7373">
        <f>VLOOKUP(A7373,Pr_Base_LNEC!$A$4:$J$6971,7,FALSE)</f>
        <v>0</v>
      </c>
    </row>
    <row r="7374" spans="1:11" ht="14.5">
      <c r="A7374" s="20" t="s">
        <v>32817</v>
      </c>
      <c r="B7374" s="20">
        <v>85</v>
      </c>
      <c r="C7374" s="20">
        <v>51</v>
      </c>
      <c r="D7374" s="20">
        <v>34</v>
      </c>
      <c r="E7374" s="24"/>
      <c r="F7374" s="20" t="s">
        <v>32818</v>
      </c>
      <c r="G7374" s="24"/>
      <c r="H7374" s="24"/>
      <c r="I7374" s="24" t="str">
        <f ca="1">IFERROR(__xludf.DUMMYFUNCTION("GOOGLETRANSLATE(F7374,""en"",""pt"")"),"produtos de moagem de cereais")</f>
        <v>produtos de moagem de cereais</v>
      </c>
      <c r="J7374">
        <f>VLOOKUP(A7374,Pr_Base_LNEC!$A$4:$J$6971,6,FALSE)</f>
        <v>0</v>
      </c>
      <c r="K7374">
        <f>VLOOKUP(A7374,Pr_Base_LNEC!$A$4:$J$6971,7,FALSE)</f>
        <v>0</v>
      </c>
    </row>
    <row r="7375" spans="1:11" ht="14.5">
      <c r="A7375" s="20" t="s">
        <v>32819</v>
      </c>
      <c r="B7375" s="20">
        <v>85</v>
      </c>
      <c r="C7375" s="20">
        <v>51</v>
      </c>
      <c r="D7375" s="20">
        <v>34</v>
      </c>
      <c r="E7375" s="20">
        <v>51</v>
      </c>
      <c r="F7375" s="20" t="s">
        <v>32820</v>
      </c>
      <c r="G7375" s="24"/>
      <c r="H7375" s="24"/>
      <c r="I7375" s="24" t="str">
        <f ca="1">IFERROR(__xludf.DUMMYFUNCTION("GOOGLETRANSLATE(F7375,""en"",""pt"")"),"mós")</f>
        <v>mós</v>
      </c>
      <c r="J7375">
        <f>VLOOKUP(A7375,Pr_Base_LNEC!$A$4:$J$6971,6,FALSE)</f>
        <v>0</v>
      </c>
      <c r="K7375">
        <f>VLOOKUP(A7375,Pr_Base_LNEC!$A$4:$J$6971,7,FALSE)</f>
        <v>0</v>
      </c>
    </row>
    <row r="7376" spans="1:11" ht="14.5">
      <c r="A7376" s="20" t="s">
        <v>32821</v>
      </c>
      <c r="B7376" s="20">
        <v>85</v>
      </c>
      <c r="C7376" s="20">
        <v>51</v>
      </c>
      <c r="D7376" s="20">
        <v>51</v>
      </c>
      <c r="E7376" s="24"/>
      <c r="F7376" s="20" t="s">
        <v>32822</v>
      </c>
      <c r="G7376" s="24"/>
      <c r="H7376" s="24"/>
      <c r="I7376" s="24" t="str">
        <f ca="1">IFERROR(__xludf.DUMMYFUNCTION("GOOGLETRANSLATE(F7376,""en"",""pt"")"),"produtos de moagem de minerais")</f>
        <v>produtos de moagem de minerais</v>
      </c>
      <c r="J7376">
        <f>VLOOKUP(A7376,Pr_Base_LNEC!$A$4:$J$6971,6,FALSE)</f>
        <v>0</v>
      </c>
      <c r="K7376">
        <f>VLOOKUP(A7376,Pr_Base_LNEC!$A$4:$J$6971,7,FALSE)</f>
        <v>0</v>
      </c>
    </row>
    <row r="7377" spans="1:11" ht="14.5">
      <c r="A7377" s="20" t="s">
        <v>32823</v>
      </c>
      <c r="B7377" s="20">
        <v>85</v>
      </c>
      <c r="C7377" s="20">
        <v>51</v>
      </c>
      <c r="D7377" s="20">
        <v>87</v>
      </c>
      <c r="E7377" s="24"/>
      <c r="F7377" s="20" t="s">
        <v>32824</v>
      </c>
      <c r="G7377" s="24"/>
      <c r="H7377" s="24"/>
      <c r="I7377" s="24" t="str">
        <f ca="1">IFERROR(__xludf.DUMMYFUNCTION("GOOGLETRANSLATE(F7377,""en"",""pt"")"),"produtos de moagem têxteis")</f>
        <v>produtos de moagem têxteis</v>
      </c>
      <c r="J7377">
        <f>VLOOKUP(A7377,Pr_Base_LNEC!$A$4:$J$6971,6,FALSE)</f>
        <v>0</v>
      </c>
      <c r="K7377">
        <f>VLOOKUP(A7377,Pr_Base_LNEC!$A$4:$J$6971,7,FALSE)</f>
        <v>0</v>
      </c>
    </row>
    <row r="7378" spans="1:11" ht="14.5">
      <c r="A7378" s="20" t="s">
        <v>32825</v>
      </c>
      <c r="B7378" s="20">
        <v>85</v>
      </c>
      <c r="C7378" s="20">
        <v>51</v>
      </c>
      <c r="D7378" s="20">
        <v>88</v>
      </c>
      <c r="E7378" s="24"/>
      <c r="F7378" s="20" t="s">
        <v>32826</v>
      </c>
      <c r="G7378" s="24"/>
      <c r="H7378" s="24"/>
      <c r="I7378" s="24" t="str">
        <f ca="1">IFERROR(__xludf.DUMMYFUNCTION("GOOGLETRANSLATE(F7378,""en"",""pt"")"),"produtos de madeira de moagem")</f>
        <v>produtos de madeira de moagem</v>
      </c>
      <c r="J7378">
        <f>VLOOKUP(A7378,Pr_Base_LNEC!$A$4:$J$6971,6,FALSE)</f>
        <v>0</v>
      </c>
      <c r="K7378">
        <f>VLOOKUP(A7378,Pr_Base_LNEC!$A$4:$J$6971,7,FALSE)</f>
        <v>0</v>
      </c>
    </row>
    <row r="7379" spans="1:11" ht="14.5">
      <c r="A7379" s="20" t="s">
        <v>32827</v>
      </c>
      <c r="B7379" s="20">
        <v>85</v>
      </c>
      <c r="C7379" s="20">
        <v>73</v>
      </c>
      <c r="D7379" s="24"/>
      <c r="E7379" s="24"/>
      <c r="F7379" s="20" t="s">
        <v>32828</v>
      </c>
      <c r="G7379" s="24"/>
      <c r="H7379" s="24"/>
      <c r="I7379" s="24" t="str">
        <f ca="1">IFERROR(__xludf.DUMMYFUNCTION("GOOGLETRANSLATE(F7379,""en"",""pt"")"),"produtos robóticos")</f>
        <v>produtos robóticos</v>
      </c>
      <c r="J7379" t="str">
        <f>VLOOKUP(A7379,Pr_Base_LNEC!$A$4:$J$6971,6,FALSE)</f>
        <v>Produtos Robóticos</v>
      </c>
      <c r="K7379">
        <f>VLOOKUP(A7379,Pr_Base_LNEC!$A$4:$J$6971,7,FALSE)</f>
        <v>0</v>
      </c>
    </row>
    <row r="7380" spans="1:11" ht="14.5">
      <c r="A7380" s="20" t="s">
        <v>32829</v>
      </c>
      <c r="B7380" s="20">
        <v>90</v>
      </c>
      <c r="C7380" s="24"/>
      <c r="D7380" s="24"/>
      <c r="E7380" s="24"/>
      <c r="F7380" s="20" t="s">
        <v>32830</v>
      </c>
      <c r="G7380" s="24"/>
      <c r="H7380" s="24"/>
      <c r="I7380" s="24" t="str">
        <f ca="1">IFERROR(__xludf.DUMMYFUNCTION("GOOGLETRANSLATE(F7380,""en"",""pt"")"),"produtos de gestão de instalações suave")</f>
        <v>produtos de gestão de instalações suave</v>
      </c>
      <c r="J7380" t="str">
        <f>VLOOKUP(A7380,Pr_Base_LNEC!$A$4:$J$6971,6,FALSE)</f>
        <v>Produtos para Engenharia de Processos</v>
      </c>
      <c r="K7380">
        <f>VLOOKUP(A7380,Pr_Base_LNEC!$A$4:$J$6971,7,FALSE)</f>
        <v>0</v>
      </c>
    </row>
  </sheetData>
  <autoFilter ref="A3:K7380" xr:uid="{00000000-0009-0000-0000-00000B000000}"/>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O6971"/>
  <sheetViews>
    <sheetView workbookViewId="0">
      <pane ySplit="3" topLeftCell="A4" activePane="bottomLeft" state="frozen"/>
      <selection pane="bottomLeft" activeCell="B5" sqref="B5"/>
    </sheetView>
  </sheetViews>
  <sheetFormatPr defaultColWidth="14.453125" defaultRowHeight="15.75" customHeight="1"/>
  <cols>
    <col min="6" max="6" width="46.26953125" customWidth="1"/>
    <col min="8" max="8" width="28.81640625" customWidth="1"/>
  </cols>
  <sheetData>
    <row r="1" spans="1:15" ht="15.75" customHeight="1">
      <c r="A1" s="215" t="s">
        <v>32831</v>
      </c>
      <c r="B1" s="208"/>
      <c r="C1" s="208"/>
      <c r="D1" s="208"/>
      <c r="E1" s="208"/>
      <c r="F1" s="125"/>
      <c r="G1" s="126"/>
      <c r="H1" s="126"/>
      <c r="I1" s="127"/>
      <c r="J1" s="127"/>
      <c r="K1" s="128"/>
      <c r="L1" s="128"/>
      <c r="M1" s="129"/>
      <c r="N1" s="129"/>
      <c r="O1" s="129"/>
    </row>
    <row r="2" spans="1:15" ht="15.75" customHeight="1">
      <c r="A2" s="128"/>
      <c r="B2" s="130"/>
      <c r="C2" s="130"/>
      <c r="D2" s="130"/>
      <c r="E2" s="130"/>
      <c r="F2" s="131"/>
      <c r="G2" s="132"/>
      <c r="H2" s="132"/>
      <c r="I2" s="128"/>
      <c r="J2" s="128"/>
      <c r="K2" s="128"/>
      <c r="L2" s="128"/>
      <c r="M2" s="129"/>
      <c r="N2" s="129"/>
      <c r="O2" s="129"/>
    </row>
    <row r="3" spans="1:15" ht="15.75" customHeight="1">
      <c r="A3" s="133" t="s">
        <v>1401</v>
      </c>
      <c r="B3" s="133" t="s">
        <v>1403</v>
      </c>
      <c r="C3" s="133" t="s">
        <v>1404</v>
      </c>
      <c r="D3" s="133" t="s">
        <v>1405</v>
      </c>
      <c r="E3" s="133" t="s">
        <v>32832</v>
      </c>
      <c r="F3" s="134" t="s">
        <v>1406</v>
      </c>
      <c r="G3" s="135" t="s">
        <v>32833</v>
      </c>
      <c r="H3" s="135" t="s">
        <v>66</v>
      </c>
      <c r="I3" s="136" t="s">
        <v>78</v>
      </c>
      <c r="J3" s="136" t="s">
        <v>79</v>
      </c>
      <c r="K3" s="128"/>
      <c r="L3" s="128"/>
      <c r="M3" s="129"/>
      <c r="N3" s="129"/>
      <c r="O3" s="129"/>
    </row>
    <row r="4" spans="1:15" ht="15.75" customHeight="1">
      <c r="A4" s="137" t="s">
        <v>13651</v>
      </c>
      <c r="B4" s="138">
        <v>15</v>
      </c>
      <c r="C4" s="139"/>
      <c r="D4" s="139"/>
      <c r="E4" s="139"/>
      <c r="F4" s="140" t="s">
        <v>32834</v>
      </c>
      <c r="G4" s="141"/>
      <c r="H4" s="142" t="s">
        <v>13652</v>
      </c>
      <c r="I4" s="143"/>
      <c r="J4" s="143"/>
      <c r="K4" s="128"/>
      <c r="L4" s="128"/>
      <c r="M4" s="129"/>
      <c r="N4" s="129"/>
      <c r="O4" s="129"/>
    </row>
    <row r="5" spans="1:15" ht="15.75" customHeight="1">
      <c r="A5" s="144" t="s">
        <v>13653</v>
      </c>
      <c r="B5" s="145">
        <v>15</v>
      </c>
      <c r="C5" s="145">
        <v>31</v>
      </c>
      <c r="D5" s="146"/>
      <c r="E5" s="146"/>
      <c r="F5" s="147" t="s">
        <v>32835</v>
      </c>
      <c r="G5" s="148"/>
      <c r="H5" s="149" t="s">
        <v>13654</v>
      </c>
      <c r="I5" s="150"/>
      <c r="J5" s="150"/>
      <c r="K5" s="128"/>
      <c r="L5" s="128"/>
      <c r="M5" s="129"/>
      <c r="N5" s="129"/>
      <c r="O5" s="129"/>
    </row>
    <row r="6" spans="1:15" ht="15.75" customHeight="1">
      <c r="A6" s="151" t="s">
        <v>13655</v>
      </c>
      <c r="B6" s="152">
        <v>15</v>
      </c>
      <c r="C6" s="152">
        <v>31</v>
      </c>
      <c r="D6" s="152">
        <v>4</v>
      </c>
      <c r="E6" s="153"/>
      <c r="F6" s="154" t="s">
        <v>32836</v>
      </c>
      <c r="G6" s="155"/>
      <c r="H6" s="156" t="s">
        <v>32837</v>
      </c>
      <c r="I6" s="157"/>
      <c r="J6" s="128"/>
      <c r="K6" s="128"/>
      <c r="L6" s="128"/>
      <c r="M6" s="129"/>
      <c r="N6" s="129"/>
      <c r="O6" s="129"/>
    </row>
    <row r="7" spans="1:15" ht="15.75" customHeight="1">
      <c r="A7" s="158" t="s">
        <v>13657</v>
      </c>
      <c r="B7" s="159">
        <v>15</v>
      </c>
      <c r="C7" s="159">
        <v>31</v>
      </c>
      <c r="D7" s="159">
        <v>4</v>
      </c>
      <c r="E7" s="159">
        <v>2</v>
      </c>
      <c r="F7" s="160" t="s">
        <v>32838</v>
      </c>
      <c r="G7" s="161"/>
      <c r="H7" s="162" t="s">
        <v>13658</v>
      </c>
      <c r="I7" s="163"/>
      <c r="J7" s="128"/>
      <c r="K7" s="128"/>
      <c r="L7" s="128"/>
      <c r="M7" s="129"/>
      <c r="N7" s="129"/>
      <c r="O7" s="129"/>
    </row>
    <row r="8" spans="1:15" ht="15.75" customHeight="1">
      <c r="A8" s="158" t="s">
        <v>13659</v>
      </c>
      <c r="B8" s="159">
        <v>15</v>
      </c>
      <c r="C8" s="159">
        <v>31</v>
      </c>
      <c r="D8" s="159">
        <v>4</v>
      </c>
      <c r="E8" s="159">
        <v>6</v>
      </c>
      <c r="F8" s="160" t="s">
        <v>32838</v>
      </c>
      <c r="G8" s="132"/>
      <c r="H8" s="162" t="s">
        <v>13660</v>
      </c>
      <c r="I8" s="158" t="s">
        <v>13661</v>
      </c>
      <c r="J8" s="128"/>
      <c r="K8" s="128"/>
      <c r="L8" s="128"/>
      <c r="M8" s="129"/>
      <c r="N8" s="129"/>
      <c r="O8" s="129"/>
    </row>
    <row r="9" spans="1:15" ht="15.75" customHeight="1">
      <c r="A9" s="158" t="s">
        <v>13662</v>
      </c>
      <c r="B9" s="159">
        <v>15</v>
      </c>
      <c r="C9" s="159">
        <v>31</v>
      </c>
      <c r="D9" s="159">
        <v>4</v>
      </c>
      <c r="E9" s="159">
        <v>10</v>
      </c>
      <c r="F9" s="160" t="s">
        <v>32838</v>
      </c>
      <c r="G9" s="132"/>
      <c r="H9" s="162" t="s">
        <v>13663</v>
      </c>
      <c r="I9" s="128"/>
      <c r="J9" s="128"/>
      <c r="K9" s="128"/>
      <c r="L9" s="128"/>
      <c r="M9" s="129"/>
      <c r="N9" s="129"/>
      <c r="O9" s="129"/>
    </row>
    <row r="10" spans="1:15" ht="15.75" customHeight="1">
      <c r="A10" s="158" t="s">
        <v>13664</v>
      </c>
      <c r="B10" s="159">
        <v>15</v>
      </c>
      <c r="C10" s="159">
        <v>31</v>
      </c>
      <c r="D10" s="159">
        <v>4</v>
      </c>
      <c r="E10" s="159">
        <v>11</v>
      </c>
      <c r="F10" s="160" t="s">
        <v>32838</v>
      </c>
      <c r="G10" s="132"/>
      <c r="H10" s="162" t="s">
        <v>13665</v>
      </c>
      <c r="I10" s="158" t="s">
        <v>13666</v>
      </c>
      <c r="J10" s="128"/>
      <c r="K10" s="128"/>
      <c r="L10" s="128"/>
      <c r="M10" s="129"/>
      <c r="N10" s="129"/>
      <c r="O10" s="129"/>
    </row>
    <row r="11" spans="1:15" ht="15.75" customHeight="1">
      <c r="A11" s="158" t="s">
        <v>13667</v>
      </c>
      <c r="B11" s="159">
        <v>15</v>
      </c>
      <c r="C11" s="159">
        <v>31</v>
      </c>
      <c r="D11" s="159">
        <v>4</v>
      </c>
      <c r="E11" s="159">
        <v>12</v>
      </c>
      <c r="F11" s="160" t="s">
        <v>32838</v>
      </c>
      <c r="G11" s="132"/>
      <c r="H11" s="162" t="s">
        <v>13668</v>
      </c>
      <c r="I11" s="158" t="s">
        <v>13669</v>
      </c>
      <c r="J11" s="128"/>
      <c r="K11" s="128"/>
      <c r="L11" s="128"/>
      <c r="M11" s="129"/>
      <c r="N11" s="129"/>
      <c r="O11" s="129"/>
    </row>
    <row r="12" spans="1:15" ht="15.75" customHeight="1">
      <c r="A12" s="158" t="s">
        <v>13670</v>
      </c>
      <c r="B12" s="159">
        <v>15</v>
      </c>
      <c r="C12" s="159">
        <v>31</v>
      </c>
      <c r="D12" s="159">
        <v>4</v>
      </c>
      <c r="E12" s="159">
        <v>13</v>
      </c>
      <c r="F12" s="160" t="s">
        <v>32838</v>
      </c>
      <c r="G12" s="132"/>
      <c r="H12" s="162" t="s">
        <v>13671</v>
      </c>
      <c r="I12" s="158" t="s">
        <v>13672</v>
      </c>
      <c r="J12" s="128"/>
      <c r="K12" s="128"/>
      <c r="L12" s="128"/>
      <c r="M12" s="129"/>
      <c r="N12" s="129"/>
      <c r="O12" s="129"/>
    </row>
    <row r="13" spans="1:15" ht="15.75" customHeight="1">
      <c r="A13" s="158" t="s">
        <v>13673</v>
      </c>
      <c r="B13" s="159">
        <v>15</v>
      </c>
      <c r="C13" s="159">
        <v>31</v>
      </c>
      <c r="D13" s="159">
        <v>4</v>
      </c>
      <c r="E13" s="159">
        <v>14</v>
      </c>
      <c r="F13" s="160" t="s">
        <v>32838</v>
      </c>
      <c r="G13" s="132"/>
      <c r="H13" s="162" t="s">
        <v>13674</v>
      </c>
      <c r="I13" s="158" t="s">
        <v>13675</v>
      </c>
      <c r="J13" s="128"/>
      <c r="K13" s="128"/>
      <c r="L13" s="128"/>
      <c r="M13" s="129"/>
      <c r="N13" s="129"/>
      <c r="O13" s="129"/>
    </row>
    <row r="14" spans="1:15" ht="15.75" customHeight="1">
      <c r="A14" s="158" t="s">
        <v>13676</v>
      </c>
      <c r="B14" s="159">
        <v>15</v>
      </c>
      <c r="C14" s="159">
        <v>31</v>
      </c>
      <c r="D14" s="159">
        <v>4</v>
      </c>
      <c r="E14" s="159">
        <v>15</v>
      </c>
      <c r="F14" s="160" t="s">
        <v>32838</v>
      </c>
      <c r="G14" s="132"/>
      <c r="H14" s="162" t="s">
        <v>13677</v>
      </c>
      <c r="I14" s="158" t="s">
        <v>13678</v>
      </c>
      <c r="J14" s="128"/>
      <c r="K14" s="128"/>
      <c r="L14" s="128"/>
      <c r="M14" s="129"/>
      <c r="N14" s="129"/>
      <c r="O14" s="129"/>
    </row>
    <row r="15" spans="1:15" ht="15.75" customHeight="1">
      <c r="A15" s="158" t="s">
        <v>13679</v>
      </c>
      <c r="B15" s="159">
        <v>15</v>
      </c>
      <c r="C15" s="159">
        <v>31</v>
      </c>
      <c r="D15" s="159">
        <v>4</v>
      </c>
      <c r="E15" s="159">
        <v>16</v>
      </c>
      <c r="F15" s="160" t="s">
        <v>32839</v>
      </c>
      <c r="G15" s="162" t="s">
        <v>32840</v>
      </c>
      <c r="H15" s="162" t="s">
        <v>13680</v>
      </c>
      <c r="I15" s="158" t="s">
        <v>13681</v>
      </c>
      <c r="J15" s="128"/>
      <c r="K15" s="128"/>
      <c r="L15" s="128"/>
      <c r="M15" s="129"/>
      <c r="N15" s="129"/>
      <c r="O15" s="129"/>
    </row>
    <row r="16" spans="1:15" ht="15.75" customHeight="1">
      <c r="A16" s="158" t="s">
        <v>13682</v>
      </c>
      <c r="B16" s="159">
        <v>15</v>
      </c>
      <c r="C16" s="159">
        <v>31</v>
      </c>
      <c r="D16" s="159">
        <v>4</v>
      </c>
      <c r="E16" s="159">
        <v>20</v>
      </c>
      <c r="F16" s="160" t="s">
        <v>32838</v>
      </c>
      <c r="G16" s="132"/>
      <c r="H16" s="162" t="s">
        <v>13683</v>
      </c>
      <c r="I16" s="158" t="s">
        <v>13684</v>
      </c>
      <c r="J16" s="128"/>
      <c r="K16" s="128"/>
      <c r="L16" s="128"/>
      <c r="M16" s="129"/>
      <c r="N16" s="129"/>
      <c r="O16" s="129"/>
    </row>
    <row r="17" spans="1:15" ht="15.75" customHeight="1">
      <c r="A17" s="158" t="s">
        <v>13687</v>
      </c>
      <c r="B17" s="159">
        <v>15</v>
      </c>
      <c r="C17" s="159">
        <v>31</v>
      </c>
      <c r="D17" s="159">
        <v>4</v>
      </c>
      <c r="E17" s="159">
        <v>34</v>
      </c>
      <c r="F17" s="160" t="s">
        <v>32838</v>
      </c>
      <c r="G17" s="132"/>
      <c r="H17" s="162" t="s">
        <v>13688</v>
      </c>
      <c r="I17" s="158" t="s">
        <v>13689</v>
      </c>
      <c r="J17" s="128"/>
      <c r="K17" s="128"/>
      <c r="L17" s="128"/>
      <c r="M17" s="129"/>
      <c r="N17" s="129"/>
      <c r="O17" s="129"/>
    </row>
    <row r="18" spans="1:15" ht="15.75" customHeight="1">
      <c r="A18" s="158" t="s">
        <v>13692</v>
      </c>
      <c r="B18" s="159">
        <v>15</v>
      </c>
      <c r="C18" s="159">
        <v>31</v>
      </c>
      <c r="D18" s="159">
        <v>4</v>
      </c>
      <c r="E18" s="159">
        <v>53</v>
      </c>
      <c r="F18" s="160" t="s">
        <v>32838</v>
      </c>
      <c r="G18" s="132"/>
      <c r="H18" s="162" t="s">
        <v>13693</v>
      </c>
      <c r="I18" s="158" t="s">
        <v>13694</v>
      </c>
      <c r="J18" s="128"/>
      <c r="K18" s="128"/>
      <c r="L18" s="128"/>
      <c r="M18" s="129"/>
      <c r="N18" s="129"/>
      <c r="O18" s="129"/>
    </row>
    <row r="19" spans="1:15" ht="15.75" customHeight="1">
      <c r="A19" s="158" t="s">
        <v>13695</v>
      </c>
      <c r="B19" s="159">
        <v>15</v>
      </c>
      <c r="C19" s="159">
        <v>31</v>
      </c>
      <c r="D19" s="159">
        <v>4</v>
      </c>
      <c r="E19" s="159">
        <v>58</v>
      </c>
      <c r="F19" s="160" t="s">
        <v>32838</v>
      </c>
      <c r="G19" s="132"/>
      <c r="H19" s="162" t="s">
        <v>13696</v>
      </c>
      <c r="I19" s="128"/>
      <c r="J19" s="128"/>
      <c r="K19" s="128"/>
      <c r="L19" s="128"/>
      <c r="M19" s="129"/>
      <c r="N19" s="129"/>
      <c r="O19" s="129"/>
    </row>
    <row r="20" spans="1:15" ht="15.75" customHeight="1">
      <c r="A20" s="158" t="s">
        <v>13697</v>
      </c>
      <c r="B20" s="159">
        <v>15</v>
      </c>
      <c r="C20" s="159">
        <v>31</v>
      </c>
      <c r="D20" s="159">
        <v>4</v>
      </c>
      <c r="E20" s="159">
        <v>60</v>
      </c>
      <c r="F20" s="160" t="s">
        <v>32838</v>
      </c>
      <c r="G20" s="132"/>
      <c r="H20" s="162" t="s">
        <v>13698</v>
      </c>
      <c r="I20" s="128"/>
      <c r="J20" s="128"/>
      <c r="K20" s="128"/>
      <c r="L20" s="128"/>
      <c r="M20" s="129"/>
      <c r="N20" s="129"/>
      <c r="O20" s="129"/>
    </row>
    <row r="21" spans="1:15" ht="15.75" customHeight="1">
      <c r="A21" s="158" t="s">
        <v>13699</v>
      </c>
      <c r="B21" s="159">
        <v>15</v>
      </c>
      <c r="C21" s="159">
        <v>31</v>
      </c>
      <c r="D21" s="159">
        <v>4</v>
      </c>
      <c r="E21" s="159">
        <v>64</v>
      </c>
      <c r="F21" s="160" t="s">
        <v>32838</v>
      </c>
      <c r="G21" s="161"/>
      <c r="H21" s="162" t="s">
        <v>13700</v>
      </c>
      <c r="I21" s="158" t="s">
        <v>13701</v>
      </c>
      <c r="J21" s="128"/>
      <c r="K21" s="128"/>
      <c r="L21" s="128"/>
      <c r="M21" s="129"/>
      <c r="N21" s="129"/>
      <c r="O21" s="129"/>
    </row>
    <row r="22" spans="1:15" ht="15.75" customHeight="1">
      <c r="A22" s="158" t="s">
        <v>13704</v>
      </c>
      <c r="B22" s="159">
        <v>15</v>
      </c>
      <c r="C22" s="159">
        <v>31</v>
      </c>
      <c r="D22" s="159">
        <v>4</v>
      </c>
      <c r="E22" s="159">
        <v>77</v>
      </c>
      <c r="F22" s="160" t="s">
        <v>32838</v>
      </c>
      <c r="G22" s="132"/>
      <c r="H22" s="162" t="s">
        <v>13705</v>
      </c>
      <c r="I22" s="128"/>
      <c r="J22" s="128"/>
      <c r="K22" s="128"/>
      <c r="L22" s="128"/>
      <c r="M22" s="129"/>
      <c r="N22" s="129"/>
      <c r="O22" s="129"/>
    </row>
    <row r="23" spans="1:15" ht="15.75" customHeight="1">
      <c r="A23" s="158" t="s">
        <v>13706</v>
      </c>
      <c r="B23" s="159">
        <v>15</v>
      </c>
      <c r="C23" s="159">
        <v>31</v>
      </c>
      <c r="D23" s="159">
        <v>4</v>
      </c>
      <c r="E23" s="159">
        <v>80</v>
      </c>
      <c r="F23" s="160" t="s">
        <v>32838</v>
      </c>
      <c r="G23" s="132"/>
      <c r="H23" s="162" t="s">
        <v>13707</v>
      </c>
      <c r="I23" s="158" t="s">
        <v>13708</v>
      </c>
      <c r="J23" s="128"/>
      <c r="K23" s="128"/>
      <c r="L23" s="128"/>
      <c r="M23" s="129"/>
      <c r="N23" s="129"/>
      <c r="O23" s="129"/>
    </row>
    <row r="24" spans="1:15" ht="15.75" customHeight="1">
      <c r="A24" s="158" t="s">
        <v>13709</v>
      </c>
      <c r="B24" s="159">
        <v>15</v>
      </c>
      <c r="C24" s="159">
        <v>31</v>
      </c>
      <c r="D24" s="159">
        <v>4</v>
      </c>
      <c r="E24" s="159">
        <v>81</v>
      </c>
      <c r="F24" s="160" t="s">
        <v>32838</v>
      </c>
      <c r="G24" s="132"/>
      <c r="H24" s="162" t="s">
        <v>13710</v>
      </c>
      <c r="I24" s="128"/>
      <c r="J24" s="128"/>
      <c r="K24" s="128"/>
      <c r="L24" s="128"/>
      <c r="M24" s="129"/>
      <c r="N24" s="129"/>
      <c r="O24" s="129"/>
    </row>
    <row r="25" spans="1:15" ht="15.75" customHeight="1">
      <c r="A25" s="158" t="s">
        <v>13711</v>
      </c>
      <c r="B25" s="159">
        <v>15</v>
      </c>
      <c r="C25" s="159">
        <v>31</v>
      </c>
      <c r="D25" s="159">
        <v>4</v>
      </c>
      <c r="E25" s="159">
        <v>84</v>
      </c>
      <c r="F25" s="160" t="s">
        <v>32838</v>
      </c>
      <c r="G25" s="161"/>
      <c r="H25" s="162" t="s">
        <v>13712</v>
      </c>
      <c r="I25" s="163"/>
      <c r="J25" s="128"/>
      <c r="K25" s="128"/>
      <c r="L25" s="128"/>
      <c r="M25" s="129"/>
      <c r="N25" s="129"/>
      <c r="O25" s="129"/>
    </row>
    <row r="26" spans="1:15" ht="15.75" customHeight="1">
      <c r="A26" s="158" t="s">
        <v>13713</v>
      </c>
      <c r="B26" s="159">
        <v>15</v>
      </c>
      <c r="C26" s="159">
        <v>31</v>
      </c>
      <c r="D26" s="159">
        <v>4</v>
      </c>
      <c r="E26" s="159">
        <v>85</v>
      </c>
      <c r="F26" s="160" t="s">
        <v>32838</v>
      </c>
      <c r="G26" s="132"/>
      <c r="H26" s="162" t="s">
        <v>13714</v>
      </c>
      <c r="I26" s="158" t="s">
        <v>13715</v>
      </c>
      <c r="J26" s="128"/>
      <c r="K26" s="128"/>
      <c r="L26" s="128"/>
      <c r="M26" s="129"/>
      <c r="N26" s="129"/>
      <c r="O26" s="129"/>
    </row>
    <row r="27" spans="1:15" ht="15.75" customHeight="1">
      <c r="A27" s="158" t="s">
        <v>13716</v>
      </c>
      <c r="B27" s="159">
        <v>15</v>
      </c>
      <c r="C27" s="159">
        <v>31</v>
      </c>
      <c r="D27" s="159">
        <v>4</v>
      </c>
      <c r="E27" s="159">
        <v>86</v>
      </c>
      <c r="F27" s="160" t="s">
        <v>32838</v>
      </c>
      <c r="G27" s="132"/>
      <c r="H27" s="162" t="s">
        <v>13717</v>
      </c>
      <c r="I27" s="128"/>
      <c r="J27" s="128"/>
      <c r="K27" s="128"/>
      <c r="L27" s="128"/>
      <c r="M27" s="129"/>
      <c r="N27" s="129"/>
      <c r="O27" s="129"/>
    </row>
    <row r="28" spans="1:15" ht="15.75" customHeight="1">
      <c r="A28" s="151" t="s">
        <v>13718</v>
      </c>
      <c r="B28" s="152">
        <v>15</v>
      </c>
      <c r="C28" s="152">
        <v>31</v>
      </c>
      <c r="D28" s="152">
        <v>12</v>
      </c>
      <c r="E28" s="164"/>
      <c r="F28" s="156" t="s">
        <v>32841</v>
      </c>
      <c r="G28" s="165"/>
      <c r="H28" s="156" t="s">
        <v>13719</v>
      </c>
      <c r="I28" s="166"/>
      <c r="J28" s="157"/>
      <c r="K28" s="157"/>
      <c r="L28" s="128"/>
      <c r="M28" s="129"/>
      <c r="N28" s="129"/>
      <c r="O28" s="129"/>
    </row>
    <row r="29" spans="1:15" ht="15.75" customHeight="1">
      <c r="A29" s="158" t="s">
        <v>13720</v>
      </c>
      <c r="B29" s="159">
        <v>15</v>
      </c>
      <c r="C29" s="159">
        <v>31</v>
      </c>
      <c r="D29" s="159">
        <v>12</v>
      </c>
      <c r="E29" s="159">
        <v>42</v>
      </c>
      <c r="F29" s="160" t="s">
        <v>32838</v>
      </c>
      <c r="G29" s="132"/>
      <c r="H29" s="162" t="s">
        <v>13721</v>
      </c>
      <c r="I29" s="128"/>
      <c r="J29" s="128"/>
      <c r="K29" s="128"/>
      <c r="L29" s="128"/>
      <c r="M29" s="129"/>
      <c r="N29" s="129"/>
      <c r="O29" s="129"/>
    </row>
    <row r="30" spans="1:15" ht="15.75" customHeight="1">
      <c r="A30" s="151" t="s">
        <v>13722</v>
      </c>
      <c r="B30" s="152">
        <v>15</v>
      </c>
      <c r="C30" s="152">
        <v>31</v>
      </c>
      <c r="D30" s="152">
        <v>26</v>
      </c>
      <c r="E30" s="153"/>
      <c r="F30" s="154" t="s">
        <v>32842</v>
      </c>
      <c r="G30" s="155"/>
      <c r="H30" s="156" t="s">
        <v>13723</v>
      </c>
      <c r="I30" s="157"/>
      <c r="J30" s="157"/>
      <c r="K30" s="157"/>
      <c r="L30" s="128"/>
      <c r="M30" s="129"/>
      <c r="N30" s="129"/>
      <c r="O30" s="129"/>
    </row>
    <row r="31" spans="1:15" ht="15.75" customHeight="1">
      <c r="A31" s="158" t="s">
        <v>13727</v>
      </c>
      <c r="B31" s="159">
        <v>15</v>
      </c>
      <c r="C31" s="159">
        <v>31</v>
      </c>
      <c r="D31" s="159">
        <v>26</v>
      </c>
      <c r="E31" s="159">
        <v>7</v>
      </c>
      <c r="F31" s="160" t="s">
        <v>32838</v>
      </c>
      <c r="G31" s="161"/>
      <c r="H31" s="162" t="s">
        <v>13728</v>
      </c>
      <c r="I31" s="163"/>
      <c r="J31" s="128"/>
      <c r="K31" s="128"/>
      <c r="L31" s="128"/>
      <c r="M31" s="129"/>
      <c r="N31" s="129"/>
      <c r="O31" s="129"/>
    </row>
    <row r="32" spans="1:15" ht="15.75" customHeight="1">
      <c r="A32" s="158" t="s">
        <v>13729</v>
      </c>
      <c r="B32" s="159">
        <v>15</v>
      </c>
      <c r="C32" s="159">
        <v>31</v>
      </c>
      <c r="D32" s="159">
        <v>26</v>
      </c>
      <c r="E32" s="159">
        <v>13</v>
      </c>
      <c r="F32" s="160" t="s">
        <v>32838</v>
      </c>
      <c r="G32" s="132"/>
      <c r="H32" s="162" t="s">
        <v>13730</v>
      </c>
      <c r="I32" s="158" t="s">
        <v>13731</v>
      </c>
      <c r="J32" s="128"/>
      <c r="K32" s="128"/>
      <c r="L32" s="128"/>
      <c r="M32" s="129"/>
      <c r="N32" s="129"/>
      <c r="O32" s="129"/>
    </row>
    <row r="33" spans="1:15" ht="15.75" customHeight="1">
      <c r="A33" s="158" t="s">
        <v>13732</v>
      </c>
      <c r="B33" s="159">
        <v>15</v>
      </c>
      <c r="C33" s="159">
        <v>31</v>
      </c>
      <c r="D33" s="159">
        <v>26</v>
      </c>
      <c r="E33" s="159">
        <v>14</v>
      </c>
      <c r="F33" s="160" t="s">
        <v>32838</v>
      </c>
      <c r="G33" s="132"/>
      <c r="H33" s="162" t="s">
        <v>13733</v>
      </c>
      <c r="I33" s="158" t="s">
        <v>13734</v>
      </c>
      <c r="J33" s="128"/>
      <c r="K33" s="128"/>
      <c r="L33" s="128"/>
      <c r="M33" s="129"/>
      <c r="N33" s="129"/>
      <c r="O33" s="129"/>
    </row>
    <row r="34" spans="1:15" ht="15.75" customHeight="1">
      <c r="A34" s="158" t="s">
        <v>13735</v>
      </c>
      <c r="B34" s="159">
        <v>15</v>
      </c>
      <c r="C34" s="159">
        <v>31</v>
      </c>
      <c r="D34" s="159">
        <v>26</v>
      </c>
      <c r="E34" s="159">
        <v>15</v>
      </c>
      <c r="F34" s="160" t="s">
        <v>32838</v>
      </c>
      <c r="G34" s="132"/>
      <c r="H34" s="162" t="s">
        <v>13736</v>
      </c>
      <c r="I34" s="128"/>
      <c r="J34" s="128"/>
      <c r="K34" s="128"/>
      <c r="L34" s="128"/>
      <c r="M34" s="129"/>
      <c r="N34" s="129"/>
      <c r="O34" s="129"/>
    </row>
    <row r="35" spans="1:15" ht="15.75" customHeight="1">
      <c r="A35" s="158" t="s">
        <v>13737</v>
      </c>
      <c r="B35" s="159">
        <v>15</v>
      </c>
      <c r="C35" s="159">
        <v>31</v>
      </c>
      <c r="D35" s="159">
        <v>26</v>
      </c>
      <c r="E35" s="159">
        <v>17</v>
      </c>
      <c r="F35" s="160" t="s">
        <v>32838</v>
      </c>
      <c r="G35" s="132"/>
      <c r="H35" s="162" t="s">
        <v>13738</v>
      </c>
      <c r="I35" s="128"/>
      <c r="J35" s="128"/>
      <c r="K35" s="128"/>
      <c r="L35" s="128"/>
      <c r="M35" s="129"/>
      <c r="N35" s="129"/>
      <c r="O35" s="129"/>
    </row>
    <row r="36" spans="1:15" ht="15.75" customHeight="1">
      <c r="A36" s="158" t="s">
        <v>13742</v>
      </c>
      <c r="B36" s="159">
        <v>15</v>
      </c>
      <c r="C36" s="159">
        <v>31</v>
      </c>
      <c r="D36" s="159">
        <v>26</v>
      </c>
      <c r="E36" s="159">
        <v>26</v>
      </c>
      <c r="F36" s="160" t="s">
        <v>32838</v>
      </c>
      <c r="G36" s="161"/>
      <c r="H36" s="162" t="s">
        <v>13743</v>
      </c>
      <c r="I36" s="158" t="s">
        <v>13744</v>
      </c>
      <c r="J36" s="128"/>
      <c r="K36" s="128"/>
      <c r="L36" s="128"/>
      <c r="M36" s="129"/>
      <c r="N36" s="129"/>
      <c r="O36" s="129"/>
    </row>
    <row r="37" spans="1:15" ht="15.75" customHeight="1">
      <c r="A37" s="158" t="s">
        <v>13745</v>
      </c>
      <c r="B37" s="159">
        <v>15</v>
      </c>
      <c r="C37" s="159">
        <v>31</v>
      </c>
      <c r="D37" s="159">
        <v>26</v>
      </c>
      <c r="E37" s="159">
        <v>31</v>
      </c>
      <c r="F37" s="160" t="s">
        <v>32838</v>
      </c>
      <c r="G37" s="161"/>
      <c r="H37" s="162" t="s">
        <v>13746</v>
      </c>
      <c r="I37" s="158" t="s">
        <v>13747</v>
      </c>
      <c r="J37" s="128"/>
      <c r="K37" s="128"/>
      <c r="L37" s="128"/>
      <c r="M37" s="129"/>
      <c r="N37" s="129"/>
      <c r="O37" s="129"/>
    </row>
    <row r="38" spans="1:15" ht="15.75" customHeight="1">
      <c r="A38" s="158" t="s">
        <v>13748</v>
      </c>
      <c r="B38" s="159">
        <v>15</v>
      </c>
      <c r="C38" s="159">
        <v>31</v>
      </c>
      <c r="D38" s="159">
        <v>26</v>
      </c>
      <c r="E38" s="159">
        <v>33</v>
      </c>
      <c r="F38" s="160" t="s">
        <v>32838</v>
      </c>
      <c r="G38" s="161"/>
      <c r="H38" s="162" t="s">
        <v>13749</v>
      </c>
      <c r="I38" s="163"/>
      <c r="J38" s="128"/>
      <c r="K38" s="128"/>
      <c r="L38" s="128"/>
      <c r="M38" s="129"/>
      <c r="N38" s="129"/>
      <c r="O38" s="129"/>
    </row>
    <row r="39" spans="1:15" ht="12.5">
      <c r="A39" s="158" t="s">
        <v>13750</v>
      </c>
      <c r="B39" s="159">
        <v>15</v>
      </c>
      <c r="C39" s="159">
        <v>31</v>
      </c>
      <c r="D39" s="159">
        <v>26</v>
      </c>
      <c r="E39" s="159">
        <v>34</v>
      </c>
      <c r="F39" s="160" t="s">
        <v>32838</v>
      </c>
      <c r="G39" s="161"/>
      <c r="H39" s="162" t="s">
        <v>13751</v>
      </c>
      <c r="I39" s="163"/>
      <c r="J39" s="128"/>
      <c r="K39" s="128"/>
      <c r="L39" s="128"/>
      <c r="M39" s="129"/>
      <c r="N39" s="129"/>
      <c r="O39" s="129"/>
    </row>
    <row r="40" spans="1:15" ht="12.5">
      <c r="A40" s="158" t="s">
        <v>13752</v>
      </c>
      <c r="B40" s="159">
        <v>15</v>
      </c>
      <c r="C40" s="159">
        <v>31</v>
      </c>
      <c r="D40" s="159">
        <v>26</v>
      </c>
      <c r="E40" s="159">
        <v>35</v>
      </c>
      <c r="F40" s="160" t="s">
        <v>32838</v>
      </c>
      <c r="G40" s="161"/>
      <c r="H40" s="162" t="s">
        <v>13753</v>
      </c>
      <c r="I40" s="163"/>
      <c r="J40" s="128"/>
      <c r="K40" s="128"/>
      <c r="L40" s="128"/>
      <c r="M40" s="129"/>
      <c r="N40" s="129"/>
      <c r="O40" s="129"/>
    </row>
    <row r="41" spans="1:15" ht="12.5">
      <c r="A41" s="158" t="s">
        <v>13754</v>
      </c>
      <c r="B41" s="159">
        <v>15</v>
      </c>
      <c r="C41" s="159">
        <v>31</v>
      </c>
      <c r="D41" s="159">
        <v>26</v>
      </c>
      <c r="E41" s="159">
        <v>36</v>
      </c>
      <c r="F41" s="160" t="s">
        <v>32838</v>
      </c>
      <c r="G41" s="132"/>
      <c r="H41" s="162" t="s">
        <v>13755</v>
      </c>
      <c r="I41" s="158" t="s">
        <v>13756</v>
      </c>
      <c r="J41" s="128"/>
      <c r="K41" s="128"/>
      <c r="L41" s="128"/>
      <c r="M41" s="129"/>
      <c r="N41" s="129"/>
      <c r="O41" s="129"/>
    </row>
    <row r="42" spans="1:15" ht="12.5">
      <c r="A42" s="158" t="s">
        <v>32843</v>
      </c>
      <c r="B42" s="159">
        <v>15</v>
      </c>
      <c r="C42" s="159">
        <v>31</v>
      </c>
      <c r="D42" s="159">
        <v>26</v>
      </c>
      <c r="E42" s="159">
        <v>37</v>
      </c>
      <c r="F42" s="160" t="s">
        <v>32838</v>
      </c>
      <c r="G42" s="132"/>
      <c r="H42" s="162" t="s">
        <v>32844</v>
      </c>
      <c r="I42" s="158" t="s">
        <v>13741</v>
      </c>
      <c r="J42" s="128"/>
      <c r="K42" s="128"/>
      <c r="L42" s="128"/>
      <c r="M42" s="129"/>
      <c r="N42" s="129"/>
      <c r="O42" s="129"/>
    </row>
    <row r="43" spans="1:15" ht="12.5">
      <c r="A43" s="158" t="s">
        <v>32845</v>
      </c>
      <c r="B43" s="159">
        <v>15</v>
      </c>
      <c r="C43" s="159">
        <v>31</v>
      </c>
      <c r="D43" s="159">
        <v>26</v>
      </c>
      <c r="E43" s="159">
        <v>38</v>
      </c>
      <c r="F43" s="160" t="s">
        <v>32838</v>
      </c>
      <c r="G43" s="132"/>
      <c r="H43" s="162" t="s">
        <v>32846</v>
      </c>
      <c r="I43" s="158" t="s">
        <v>32847</v>
      </c>
      <c r="J43" s="128"/>
      <c r="K43" s="128"/>
      <c r="L43" s="128"/>
      <c r="M43" s="129"/>
      <c r="N43" s="129"/>
      <c r="O43" s="129"/>
    </row>
    <row r="44" spans="1:15" ht="12.5">
      <c r="A44" s="158" t="s">
        <v>13757</v>
      </c>
      <c r="B44" s="159">
        <v>15</v>
      </c>
      <c r="C44" s="159">
        <v>31</v>
      </c>
      <c r="D44" s="159">
        <v>26</v>
      </c>
      <c r="E44" s="159">
        <v>39</v>
      </c>
      <c r="F44" s="160" t="s">
        <v>32838</v>
      </c>
      <c r="G44" s="132"/>
      <c r="H44" s="162" t="s">
        <v>32848</v>
      </c>
      <c r="I44" s="158" t="s">
        <v>13759</v>
      </c>
      <c r="J44" s="128"/>
      <c r="K44" s="128"/>
      <c r="L44" s="128"/>
      <c r="M44" s="129"/>
      <c r="N44" s="129"/>
      <c r="O44" s="129"/>
    </row>
    <row r="45" spans="1:15" ht="12.5">
      <c r="A45" s="158" t="s">
        <v>32849</v>
      </c>
      <c r="B45" s="159">
        <v>15</v>
      </c>
      <c r="C45" s="159">
        <v>31</v>
      </c>
      <c r="D45" s="159">
        <v>26</v>
      </c>
      <c r="E45" s="159">
        <v>40</v>
      </c>
      <c r="F45" s="160" t="s">
        <v>32838</v>
      </c>
      <c r="G45" s="132"/>
      <c r="H45" s="162" t="s">
        <v>32850</v>
      </c>
      <c r="I45" s="158" t="s">
        <v>32851</v>
      </c>
      <c r="J45" s="128"/>
      <c r="K45" s="128"/>
      <c r="L45" s="128"/>
      <c r="M45" s="129"/>
      <c r="N45" s="129"/>
      <c r="O45" s="129"/>
    </row>
    <row r="46" spans="1:15" ht="12.5">
      <c r="A46" s="158" t="s">
        <v>32852</v>
      </c>
      <c r="B46" s="159">
        <v>15</v>
      </c>
      <c r="C46" s="159">
        <v>31</v>
      </c>
      <c r="D46" s="159">
        <v>26</v>
      </c>
      <c r="E46" s="159">
        <v>41</v>
      </c>
      <c r="F46" s="160" t="s">
        <v>32838</v>
      </c>
      <c r="G46" s="132"/>
      <c r="H46" s="162" t="s">
        <v>32853</v>
      </c>
      <c r="I46" s="158" t="s">
        <v>32854</v>
      </c>
      <c r="J46" s="128"/>
      <c r="K46" s="128"/>
      <c r="L46" s="128"/>
      <c r="M46" s="129"/>
      <c r="N46" s="129"/>
      <c r="O46" s="129"/>
    </row>
    <row r="47" spans="1:15" ht="12.5">
      <c r="A47" s="158" t="s">
        <v>13760</v>
      </c>
      <c r="B47" s="159">
        <v>15</v>
      </c>
      <c r="C47" s="159">
        <v>31</v>
      </c>
      <c r="D47" s="159">
        <v>26</v>
      </c>
      <c r="E47" s="159">
        <v>42</v>
      </c>
      <c r="F47" s="160" t="s">
        <v>32838</v>
      </c>
      <c r="G47" s="132"/>
      <c r="H47" s="162" t="s">
        <v>13761</v>
      </c>
      <c r="I47" s="158" t="s">
        <v>13762</v>
      </c>
      <c r="J47" s="128"/>
      <c r="K47" s="128"/>
      <c r="L47" s="128"/>
      <c r="M47" s="129"/>
      <c r="N47" s="129"/>
      <c r="O47" s="129"/>
    </row>
    <row r="48" spans="1:15" ht="12.5">
      <c r="A48" s="158" t="s">
        <v>13763</v>
      </c>
      <c r="B48" s="159">
        <v>15</v>
      </c>
      <c r="C48" s="159">
        <v>31</v>
      </c>
      <c r="D48" s="159">
        <v>26</v>
      </c>
      <c r="E48" s="159">
        <v>46</v>
      </c>
      <c r="F48" s="160" t="s">
        <v>32838</v>
      </c>
      <c r="G48" s="132"/>
      <c r="H48" s="162" t="s">
        <v>13764</v>
      </c>
      <c r="I48" s="158" t="s">
        <v>13765</v>
      </c>
      <c r="J48" s="128"/>
      <c r="K48" s="128"/>
      <c r="L48" s="128"/>
      <c r="M48" s="129"/>
      <c r="N48" s="129"/>
      <c r="O48" s="129"/>
    </row>
    <row r="49" spans="1:15" ht="12.5">
      <c r="A49" s="158" t="s">
        <v>13775</v>
      </c>
      <c r="B49" s="159">
        <v>15</v>
      </c>
      <c r="C49" s="159">
        <v>31</v>
      </c>
      <c r="D49" s="159">
        <v>26</v>
      </c>
      <c r="E49" s="159">
        <v>90</v>
      </c>
      <c r="F49" s="160" t="s">
        <v>32838</v>
      </c>
      <c r="G49" s="161"/>
      <c r="H49" s="162" t="s">
        <v>13776</v>
      </c>
      <c r="I49" s="163"/>
      <c r="J49" s="128"/>
      <c r="K49" s="128"/>
      <c r="L49" s="128"/>
      <c r="M49" s="129"/>
      <c r="N49" s="129"/>
      <c r="O49" s="129"/>
    </row>
    <row r="50" spans="1:15" ht="12.5">
      <c r="A50" s="144" t="s">
        <v>13780</v>
      </c>
      <c r="B50" s="145">
        <v>15</v>
      </c>
      <c r="C50" s="145">
        <v>57</v>
      </c>
      <c r="D50" s="167"/>
      <c r="E50" s="146"/>
      <c r="F50" s="147" t="s">
        <v>32855</v>
      </c>
      <c r="G50" s="148"/>
      <c r="H50" s="149" t="s">
        <v>13781</v>
      </c>
      <c r="I50" s="150"/>
      <c r="J50" s="150"/>
      <c r="K50" s="128"/>
      <c r="L50" s="128"/>
      <c r="M50" s="129"/>
      <c r="N50" s="129"/>
      <c r="O50" s="129"/>
    </row>
    <row r="51" spans="1:15" ht="12.5">
      <c r="A51" s="151" t="s">
        <v>13782</v>
      </c>
      <c r="B51" s="152">
        <v>15</v>
      </c>
      <c r="C51" s="152">
        <v>57</v>
      </c>
      <c r="D51" s="152">
        <v>4</v>
      </c>
      <c r="E51" s="153"/>
      <c r="F51" s="154" t="s">
        <v>32856</v>
      </c>
      <c r="G51" s="168"/>
      <c r="H51" s="156" t="s">
        <v>13783</v>
      </c>
      <c r="I51" s="157"/>
      <c r="J51" s="157"/>
      <c r="K51" s="128"/>
      <c r="L51" s="128"/>
      <c r="M51" s="129"/>
      <c r="N51" s="129"/>
      <c r="O51" s="129"/>
    </row>
    <row r="52" spans="1:15" ht="12.5">
      <c r="A52" s="158" t="s">
        <v>13784</v>
      </c>
      <c r="B52" s="159">
        <v>15</v>
      </c>
      <c r="C52" s="159">
        <v>57</v>
      </c>
      <c r="D52" s="159">
        <v>4</v>
      </c>
      <c r="E52" s="159">
        <v>34</v>
      </c>
      <c r="F52" s="169"/>
      <c r="G52" s="132"/>
      <c r="H52" s="162" t="s">
        <v>13785</v>
      </c>
      <c r="I52" s="128"/>
      <c r="J52" s="128"/>
      <c r="K52" s="128"/>
      <c r="L52" s="128"/>
      <c r="M52" s="129"/>
      <c r="N52" s="129"/>
      <c r="O52" s="129"/>
    </row>
    <row r="53" spans="1:15" ht="12.5">
      <c r="A53" s="151" t="s">
        <v>13786</v>
      </c>
      <c r="B53" s="152">
        <v>15</v>
      </c>
      <c r="C53" s="152">
        <v>57</v>
      </c>
      <c r="D53" s="152">
        <v>25</v>
      </c>
      <c r="E53" s="153"/>
      <c r="F53" s="154" t="s">
        <v>32857</v>
      </c>
      <c r="G53" s="168"/>
      <c r="H53" s="156" t="s">
        <v>13787</v>
      </c>
      <c r="I53" s="157"/>
      <c r="J53" s="157"/>
      <c r="K53" s="128"/>
      <c r="L53" s="128"/>
      <c r="M53" s="129"/>
      <c r="N53" s="129"/>
      <c r="O53" s="129"/>
    </row>
    <row r="54" spans="1:15" ht="12.5">
      <c r="A54" s="158" t="s">
        <v>13788</v>
      </c>
      <c r="B54" s="159">
        <v>15</v>
      </c>
      <c r="C54" s="159">
        <v>57</v>
      </c>
      <c r="D54" s="159">
        <v>25</v>
      </c>
      <c r="E54" s="159">
        <v>3</v>
      </c>
      <c r="F54" s="169"/>
      <c r="G54" s="161"/>
      <c r="H54" s="162" t="s">
        <v>13789</v>
      </c>
      <c r="I54" s="158" t="s">
        <v>13790</v>
      </c>
      <c r="J54" s="128"/>
      <c r="K54" s="128"/>
      <c r="L54" s="128"/>
      <c r="M54" s="129"/>
      <c r="N54" s="129"/>
      <c r="O54" s="129"/>
    </row>
    <row r="55" spans="1:15" ht="12.5">
      <c r="A55" s="158" t="s">
        <v>13791</v>
      </c>
      <c r="B55" s="159">
        <v>15</v>
      </c>
      <c r="C55" s="159">
        <v>57</v>
      </c>
      <c r="D55" s="159">
        <v>25</v>
      </c>
      <c r="E55" s="159">
        <v>4</v>
      </c>
      <c r="F55" s="169"/>
      <c r="G55" s="161"/>
      <c r="H55" s="162" t="s">
        <v>13792</v>
      </c>
      <c r="I55" s="158" t="s">
        <v>13793</v>
      </c>
      <c r="J55" s="128"/>
      <c r="K55" s="128"/>
      <c r="L55" s="128"/>
      <c r="M55" s="129"/>
      <c r="N55" s="129"/>
      <c r="O55" s="129"/>
    </row>
    <row r="56" spans="1:15" ht="12.5">
      <c r="A56" s="158" t="s">
        <v>13794</v>
      </c>
      <c r="B56" s="159">
        <v>15</v>
      </c>
      <c r="C56" s="159">
        <v>57</v>
      </c>
      <c r="D56" s="159">
        <v>25</v>
      </c>
      <c r="E56" s="159">
        <v>32</v>
      </c>
      <c r="F56" s="169"/>
      <c r="G56" s="132"/>
      <c r="H56" s="162" t="s">
        <v>13795</v>
      </c>
      <c r="I56" s="128"/>
      <c r="J56" s="128"/>
      <c r="K56" s="128"/>
      <c r="L56" s="128"/>
      <c r="M56" s="129"/>
      <c r="N56" s="129"/>
      <c r="O56" s="129"/>
    </row>
    <row r="57" spans="1:15" ht="12.5">
      <c r="A57" s="158" t="s">
        <v>13796</v>
      </c>
      <c r="B57" s="159">
        <v>15</v>
      </c>
      <c r="C57" s="159">
        <v>57</v>
      </c>
      <c r="D57" s="159">
        <v>25</v>
      </c>
      <c r="E57" s="159">
        <v>33</v>
      </c>
      <c r="F57" s="169"/>
      <c r="G57" s="132"/>
      <c r="H57" s="162" t="s">
        <v>13797</v>
      </c>
      <c r="I57" s="128"/>
      <c r="J57" s="128"/>
      <c r="K57" s="128"/>
      <c r="L57" s="128"/>
      <c r="M57" s="129"/>
      <c r="N57" s="129"/>
      <c r="O57" s="129"/>
    </row>
    <row r="58" spans="1:15" ht="12.5">
      <c r="A58" s="158" t="s">
        <v>13798</v>
      </c>
      <c r="B58" s="159">
        <v>15</v>
      </c>
      <c r="C58" s="159">
        <v>57</v>
      </c>
      <c r="D58" s="159">
        <v>25</v>
      </c>
      <c r="E58" s="159">
        <v>35</v>
      </c>
      <c r="F58" s="169"/>
      <c r="G58" s="132"/>
      <c r="H58" s="162" t="s">
        <v>32858</v>
      </c>
      <c r="I58" s="158" t="s">
        <v>13790</v>
      </c>
      <c r="J58" s="128"/>
      <c r="K58" s="128"/>
      <c r="L58" s="128"/>
      <c r="M58" s="129"/>
      <c r="N58" s="129"/>
      <c r="O58" s="129"/>
    </row>
    <row r="59" spans="1:15" ht="12.5">
      <c r="A59" s="158" t="s">
        <v>13800</v>
      </c>
      <c r="B59" s="159">
        <v>15</v>
      </c>
      <c r="C59" s="159">
        <v>57</v>
      </c>
      <c r="D59" s="159">
        <v>25</v>
      </c>
      <c r="E59" s="159">
        <v>36</v>
      </c>
      <c r="F59" s="169"/>
      <c r="G59" s="132"/>
      <c r="H59" s="162" t="s">
        <v>32859</v>
      </c>
      <c r="I59" s="158" t="s">
        <v>13793</v>
      </c>
      <c r="J59" s="128"/>
      <c r="K59" s="128"/>
      <c r="L59" s="128"/>
      <c r="M59" s="129"/>
      <c r="N59" s="129"/>
      <c r="O59" s="129"/>
    </row>
    <row r="60" spans="1:15" ht="12.5">
      <c r="A60" s="158" t="s">
        <v>13802</v>
      </c>
      <c r="B60" s="159">
        <v>15</v>
      </c>
      <c r="C60" s="159">
        <v>57</v>
      </c>
      <c r="D60" s="159">
        <v>25</v>
      </c>
      <c r="E60" s="159">
        <v>39</v>
      </c>
      <c r="F60" s="169"/>
      <c r="G60" s="161"/>
      <c r="H60" s="162" t="s">
        <v>13803</v>
      </c>
      <c r="I60" s="158" t="s">
        <v>13790</v>
      </c>
      <c r="J60" s="128"/>
      <c r="K60" s="128"/>
      <c r="L60" s="128"/>
      <c r="M60" s="129"/>
      <c r="N60" s="129"/>
      <c r="O60" s="129"/>
    </row>
    <row r="61" spans="1:15" ht="12.5">
      <c r="A61" s="158" t="s">
        <v>13804</v>
      </c>
      <c r="B61" s="159">
        <v>15</v>
      </c>
      <c r="C61" s="159">
        <v>57</v>
      </c>
      <c r="D61" s="159">
        <v>25</v>
      </c>
      <c r="E61" s="159">
        <v>40</v>
      </c>
      <c r="F61" s="169"/>
      <c r="G61" s="161"/>
      <c r="H61" s="162" t="s">
        <v>13805</v>
      </c>
      <c r="I61" s="158" t="s">
        <v>13793</v>
      </c>
      <c r="J61" s="128"/>
      <c r="K61" s="128"/>
      <c r="L61" s="128"/>
      <c r="M61" s="129"/>
      <c r="N61" s="129"/>
      <c r="O61" s="129"/>
    </row>
    <row r="62" spans="1:15" ht="12.5">
      <c r="A62" s="158" t="s">
        <v>13806</v>
      </c>
      <c r="B62" s="159">
        <v>15</v>
      </c>
      <c r="C62" s="159">
        <v>57</v>
      </c>
      <c r="D62" s="159">
        <v>25</v>
      </c>
      <c r="E62" s="159">
        <v>57</v>
      </c>
      <c r="F62" s="169"/>
      <c r="G62" s="161"/>
      <c r="H62" s="162" t="s">
        <v>13807</v>
      </c>
      <c r="I62" s="163"/>
      <c r="J62" s="128"/>
      <c r="K62" s="128"/>
      <c r="L62" s="128"/>
      <c r="M62" s="129"/>
      <c r="N62" s="129"/>
      <c r="O62" s="129"/>
    </row>
    <row r="63" spans="1:15" ht="12.5">
      <c r="A63" s="158" t="s">
        <v>13808</v>
      </c>
      <c r="B63" s="159">
        <v>15</v>
      </c>
      <c r="C63" s="159">
        <v>57</v>
      </c>
      <c r="D63" s="159">
        <v>25</v>
      </c>
      <c r="E63" s="159">
        <v>70</v>
      </c>
      <c r="F63" s="169"/>
      <c r="G63" s="161"/>
      <c r="H63" s="162" t="s">
        <v>13809</v>
      </c>
      <c r="I63" s="163"/>
      <c r="J63" s="128"/>
      <c r="K63" s="128"/>
      <c r="L63" s="128"/>
      <c r="M63" s="129"/>
      <c r="N63" s="129"/>
      <c r="O63" s="129"/>
    </row>
    <row r="64" spans="1:15" ht="12.5">
      <c r="A64" s="158" t="s">
        <v>13810</v>
      </c>
      <c r="B64" s="159">
        <v>15</v>
      </c>
      <c r="C64" s="159">
        <v>57</v>
      </c>
      <c r="D64" s="159">
        <v>25</v>
      </c>
      <c r="E64" s="159">
        <v>74</v>
      </c>
      <c r="F64" s="169"/>
      <c r="G64" s="161"/>
      <c r="H64" s="162" t="s">
        <v>13811</v>
      </c>
      <c r="I64" s="163"/>
      <c r="J64" s="128"/>
      <c r="K64" s="128"/>
      <c r="L64" s="128"/>
      <c r="M64" s="129"/>
      <c r="N64" s="129"/>
      <c r="O64" s="129"/>
    </row>
    <row r="65" spans="1:15" ht="12.5">
      <c r="A65" s="158" t="s">
        <v>13812</v>
      </c>
      <c r="B65" s="159">
        <v>15</v>
      </c>
      <c r="C65" s="159">
        <v>57</v>
      </c>
      <c r="D65" s="159">
        <v>25</v>
      </c>
      <c r="E65" s="159">
        <v>75</v>
      </c>
      <c r="F65" s="169"/>
      <c r="G65" s="132"/>
      <c r="H65" s="162" t="s">
        <v>13813</v>
      </c>
      <c r="I65" s="128"/>
      <c r="J65" s="128"/>
      <c r="K65" s="128"/>
      <c r="L65" s="128"/>
      <c r="M65" s="129"/>
      <c r="N65" s="129"/>
      <c r="O65" s="129"/>
    </row>
    <row r="66" spans="1:15" ht="12.5">
      <c r="A66" s="151" t="s">
        <v>13814</v>
      </c>
      <c r="B66" s="152">
        <v>15</v>
      </c>
      <c r="C66" s="152">
        <v>57</v>
      </c>
      <c r="D66" s="152">
        <v>27</v>
      </c>
      <c r="E66" s="164"/>
      <c r="F66" s="154" t="s">
        <v>32860</v>
      </c>
      <c r="G66" s="165"/>
      <c r="H66" s="156" t="s">
        <v>13815</v>
      </c>
      <c r="I66" s="163"/>
      <c r="J66" s="128"/>
      <c r="K66" s="128"/>
      <c r="L66" s="128"/>
      <c r="M66" s="129"/>
      <c r="N66" s="129"/>
      <c r="O66" s="129"/>
    </row>
    <row r="67" spans="1:15" ht="12.5">
      <c r="A67" s="158" t="s">
        <v>13816</v>
      </c>
      <c r="B67" s="159">
        <v>15</v>
      </c>
      <c r="C67" s="159">
        <v>57</v>
      </c>
      <c r="D67" s="159">
        <v>27</v>
      </c>
      <c r="E67" s="159">
        <v>33</v>
      </c>
      <c r="F67" s="160" t="s">
        <v>32838</v>
      </c>
      <c r="G67" s="161"/>
      <c r="H67" s="162" t="s">
        <v>13817</v>
      </c>
      <c r="I67" s="163"/>
      <c r="J67" s="128"/>
      <c r="K67" s="128"/>
      <c r="L67" s="128"/>
      <c r="M67" s="129"/>
      <c r="N67" s="129"/>
      <c r="O67" s="129"/>
    </row>
    <row r="68" spans="1:15" ht="12.5">
      <c r="A68" s="158" t="s">
        <v>13818</v>
      </c>
      <c r="B68" s="159">
        <v>15</v>
      </c>
      <c r="C68" s="159">
        <v>57</v>
      </c>
      <c r="D68" s="159">
        <v>27</v>
      </c>
      <c r="E68" s="159">
        <v>36</v>
      </c>
      <c r="F68" s="160" t="s">
        <v>32838</v>
      </c>
      <c r="G68" s="161"/>
      <c r="H68" s="162" t="s">
        <v>13819</v>
      </c>
      <c r="I68" s="163"/>
      <c r="J68" s="128"/>
      <c r="K68" s="128"/>
      <c r="L68" s="128"/>
      <c r="M68" s="129"/>
      <c r="N68" s="129"/>
      <c r="O68" s="129"/>
    </row>
    <row r="69" spans="1:15" ht="12.5">
      <c r="A69" s="158" t="s">
        <v>13820</v>
      </c>
      <c r="B69" s="159">
        <v>15</v>
      </c>
      <c r="C69" s="159">
        <v>57</v>
      </c>
      <c r="D69" s="159">
        <v>27</v>
      </c>
      <c r="E69" s="159">
        <v>38</v>
      </c>
      <c r="F69" s="160" t="s">
        <v>32838</v>
      </c>
      <c r="G69" s="161"/>
      <c r="H69" s="162" t="s">
        <v>13821</v>
      </c>
      <c r="I69" s="163"/>
      <c r="J69" s="128"/>
      <c r="K69" s="128"/>
      <c r="L69" s="128"/>
      <c r="M69" s="129"/>
      <c r="N69" s="129"/>
      <c r="O69" s="129"/>
    </row>
    <row r="70" spans="1:15" ht="12.5">
      <c r="A70" s="158" t="s">
        <v>13822</v>
      </c>
      <c r="B70" s="159">
        <v>15</v>
      </c>
      <c r="C70" s="159">
        <v>57</v>
      </c>
      <c r="D70" s="159">
        <v>27</v>
      </c>
      <c r="E70" s="159">
        <v>39</v>
      </c>
      <c r="F70" s="160" t="s">
        <v>32838</v>
      </c>
      <c r="G70" s="161"/>
      <c r="H70" s="162" t="s">
        <v>13823</v>
      </c>
      <c r="I70" s="158" t="s">
        <v>13824</v>
      </c>
      <c r="J70" s="128"/>
      <c r="K70" s="128"/>
      <c r="L70" s="128"/>
      <c r="M70" s="129"/>
      <c r="N70" s="129"/>
      <c r="O70" s="129"/>
    </row>
    <row r="71" spans="1:15" ht="12.5">
      <c r="A71" s="158" t="s">
        <v>13825</v>
      </c>
      <c r="B71" s="159">
        <v>15</v>
      </c>
      <c r="C71" s="159">
        <v>57</v>
      </c>
      <c r="D71" s="159">
        <v>27</v>
      </c>
      <c r="E71" s="159">
        <v>43</v>
      </c>
      <c r="F71" s="160" t="s">
        <v>32838</v>
      </c>
      <c r="G71" s="161"/>
      <c r="H71" s="162" t="s">
        <v>13826</v>
      </c>
      <c r="I71" s="163"/>
      <c r="J71" s="128"/>
      <c r="K71" s="128"/>
      <c r="L71" s="128"/>
      <c r="M71" s="129"/>
      <c r="N71" s="129"/>
      <c r="O71" s="129"/>
    </row>
    <row r="72" spans="1:15" ht="12.5">
      <c r="A72" s="158" t="s">
        <v>13827</v>
      </c>
      <c r="B72" s="159">
        <v>15</v>
      </c>
      <c r="C72" s="159">
        <v>57</v>
      </c>
      <c r="D72" s="159">
        <v>27</v>
      </c>
      <c r="E72" s="159">
        <v>45</v>
      </c>
      <c r="F72" s="160" t="s">
        <v>32838</v>
      </c>
      <c r="G72" s="132"/>
      <c r="H72" s="162" t="s">
        <v>13828</v>
      </c>
      <c r="I72" s="128"/>
      <c r="J72" s="128"/>
      <c r="K72" s="128"/>
      <c r="L72" s="128"/>
      <c r="M72" s="129"/>
      <c r="N72" s="129"/>
      <c r="O72" s="129"/>
    </row>
    <row r="73" spans="1:15" ht="12.5">
      <c r="A73" s="158" t="s">
        <v>13829</v>
      </c>
      <c r="B73" s="159">
        <v>15</v>
      </c>
      <c r="C73" s="159">
        <v>57</v>
      </c>
      <c r="D73" s="159">
        <v>27</v>
      </c>
      <c r="E73" s="159">
        <v>47</v>
      </c>
      <c r="F73" s="160" t="s">
        <v>32838</v>
      </c>
      <c r="G73" s="132"/>
      <c r="H73" s="162" t="s">
        <v>13830</v>
      </c>
      <c r="I73" s="128"/>
      <c r="J73" s="128"/>
      <c r="K73" s="128"/>
      <c r="L73" s="128"/>
      <c r="M73" s="129"/>
      <c r="N73" s="129"/>
      <c r="O73" s="129"/>
    </row>
    <row r="74" spans="1:15" ht="12.5">
      <c r="A74" s="158" t="s">
        <v>13831</v>
      </c>
      <c r="B74" s="159">
        <v>15</v>
      </c>
      <c r="C74" s="159">
        <v>57</v>
      </c>
      <c r="D74" s="159">
        <v>27</v>
      </c>
      <c r="E74" s="159">
        <v>49</v>
      </c>
      <c r="F74" s="160" t="s">
        <v>32838</v>
      </c>
      <c r="G74" s="161"/>
      <c r="H74" s="162" t="s">
        <v>13832</v>
      </c>
      <c r="I74" s="163"/>
      <c r="J74" s="128"/>
      <c r="K74" s="128"/>
      <c r="L74" s="128"/>
      <c r="M74" s="129"/>
      <c r="N74" s="129"/>
      <c r="O74" s="129"/>
    </row>
    <row r="75" spans="1:15" ht="12.5">
      <c r="A75" s="158" t="s">
        <v>13833</v>
      </c>
      <c r="B75" s="159">
        <v>15</v>
      </c>
      <c r="C75" s="159">
        <v>57</v>
      </c>
      <c r="D75" s="159">
        <v>27</v>
      </c>
      <c r="E75" s="159">
        <v>60</v>
      </c>
      <c r="F75" s="160" t="s">
        <v>32838</v>
      </c>
      <c r="G75" s="161"/>
      <c r="H75" s="162" t="s">
        <v>13834</v>
      </c>
      <c r="I75" s="163"/>
      <c r="J75" s="128"/>
      <c r="K75" s="128"/>
      <c r="L75" s="128"/>
      <c r="M75" s="129"/>
      <c r="N75" s="129"/>
      <c r="O75" s="129"/>
    </row>
    <row r="76" spans="1:15" ht="12.5">
      <c r="A76" s="151" t="s">
        <v>13835</v>
      </c>
      <c r="B76" s="152">
        <v>15</v>
      </c>
      <c r="C76" s="152">
        <v>57</v>
      </c>
      <c r="D76" s="152">
        <v>30</v>
      </c>
      <c r="E76" s="164"/>
      <c r="F76" s="154" t="s">
        <v>32861</v>
      </c>
      <c r="G76" s="165"/>
      <c r="H76" s="156" t="s">
        <v>13836</v>
      </c>
      <c r="I76" s="166"/>
      <c r="J76" s="157"/>
      <c r="K76" s="128"/>
      <c r="L76" s="128"/>
      <c r="M76" s="129"/>
      <c r="N76" s="129"/>
      <c r="O76" s="129"/>
    </row>
    <row r="77" spans="1:15" ht="12.5">
      <c r="A77" s="151" t="s">
        <v>13837</v>
      </c>
      <c r="B77" s="152">
        <v>15</v>
      </c>
      <c r="C77" s="152">
        <v>57</v>
      </c>
      <c r="D77" s="152">
        <v>33</v>
      </c>
      <c r="E77" s="164"/>
      <c r="F77" s="154" t="s">
        <v>32862</v>
      </c>
      <c r="G77" s="165"/>
      <c r="H77" s="156" t="s">
        <v>13838</v>
      </c>
      <c r="I77" s="166"/>
      <c r="J77" s="157"/>
      <c r="K77" s="128"/>
      <c r="L77" s="128"/>
      <c r="M77" s="129"/>
      <c r="N77" s="129"/>
      <c r="O77" s="129"/>
    </row>
    <row r="78" spans="1:15" ht="12.5">
      <c r="A78" s="158" t="s">
        <v>13841</v>
      </c>
      <c r="B78" s="159">
        <v>15</v>
      </c>
      <c r="C78" s="159">
        <v>57</v>
      </c>
      <c r="D78" s="159">
        <v>33</v>
      </c>
      <c r="E78" s="159">
        <v>37</v>
      </c>
      <c r="F78" s="160" t="s">
        <v>32838</v>
      </c>
      <c r="G78" s="161"/>
      <c r="H78" s="162" t="s">
        <v>13842</v>
      </c>
      <c r="I78" s="158" t="s">
        <v>13843</v>
      </c>
      <c r="J78" s="128"/>
      <c r="K78" s="128"/>
      <c r="L78" s="128"/>
      <c r="M78" s="129"/>
      <c r="N78" s="129"/>
      <c r="O78" s="129"/>
    </row>
    <row r="79" spans="1:15" ht="12.5">
      <c r="A79" s="158" t="s">
        <v>13844</v>
      </c>
      <c r="B79" s="159">
        <v>15</v>
      </c>
      <c r="C79" s="159">
        <v>57</v>
      </c>
      <c r="D79" s="159">
        <v>33</v>
      </c>
      <c r="E79" s="159">
        <v>38</v>
      </c>
      <c r="F79" s="160" t="s">
        <v>32838</v>
      </c>
      <c r="G79" s="161"/>
      <c r="H79" s="162" t="s">
        <v>13845</v>
      </c>
      <c r="I79" s="158" t="s">
        <v>13846</v>
      </c>
      <c r="J79" s="128"/>
      <c r="K79" s="128"/>
      <c r="L79" s="128"/>
      <c r="M79" s="129"/>
      <c r="N79" s="129"/>
      <c r="O79" s="129"/>
    </row>
    <row r="80" spans="1:15" ht="12.5">
      <c r="A80" s="158" t="s">
        <v>13847</v>
      </c>
      <c r="B80" s="159">
        <v>15</v>
      </c>
      <c r="C80" s="159">
        <v>57</v>
      </c>
      <c r="D80" s="159">
        <v>33</v>
      </c>
      <c r="E80" s="159">
        <v>41</v>
      </c>
      <c r="F80" s="160" t="s">
        <v>32838</v>
      </c>
      <c r="G80" s="161"/>
      <c r="H80" s="162" t="s">
        <v>13848</v>
      </c>
      <c r="I80" s="163"/>
      <c r="J80" s="128"/>
      <c r="K80" s="128"/>
      <c r="L80" s="128"/>
      <c r="M80" s="129"/>
      <c r="N80" s="129"/>
      <c r="O80" s="129"/>
    </row>
    <row r="81" spans="1:15" ht="12.5">
      <c r="A81" s="158" t="s">
        <v>13849</v>
      </c>
      <c r="B81" s="159">
        <v>15</v>
      </c>
      <c r="C81" s="159">
        <v>57</v>
      </c>
      <c r="D81" s="159">
        <v>33</v>
      </c>
      <c r="E81" s="159">
        <v>42</v>
      </c>
      <c r="F81" s="160" t="s">
        <v>32838</v>
      </c>
      <c r="G81" s="161"/>
      <c r="H81" s="162" t="s">
        <v>13850</v>
      </c>
      <c r="I81" s="163"/>
      <c r="J81" s="128"/>
      <c r="K81" s="128"/>
      <c r="L81" s="128"/>
      <c r="M81" s="129"/>
      <c r="N81" s="129"/>
      <c r="O81" s="129"/>
    </row>
    <row r="82" spans="1:15" ht="12.5">
      <c r="A82" s="158" t="s">
        <v>13851</v>
      </c>
      <c r="B82" s="159">
        <v>15</v>
      </c>
      <c r="C82" s="159">
        <v>57</v>
      </c>
      <c r="D82" s="159">
        <v>33</v>
      </c>
      <c r="E82" s="159">
        <v>64</v>
      </c>
      <c r="F82" s="160" t="s">
        <v>32838</v>
      </c>
      <c r="G82" s="161"/>
      <c r="H82" s="162" t="s">
        <v>13852</v>
      </c>
      <c r="I82" s="158" t="s">
        <v>13853</v>
      </c>
      <c r="J82" s="128"/>
      <c r="K82" s="128"/>
      <c r="L82" s="128"/>
      <c r="M82" s="129"/>
      <c r="N82" s="129"/>
      <c r="O82" s="129"/>
    </row>
    <row r="83" spans="1:15" ht="12.5">
      <c r="A83" s="158" t="s">
        <v>13854</v>
      </c>
      <c r="B83" s="159">
        <v>15</v>
      </c>
      <c r="C83" s="159">
        <v>57</v>
      </c>
      <c r="D83" s="159">
        <v>33</v>
      </c>
      <c r="E83" s="159">
        <v>75</v>
      </c>
      <c r="F83" s="160" t="s">
        <v>32838</v>
      </c>
      <c r="G83" s="161"/>
      <c r="H83" s="162" t="s">
        <v>13855</v>
      </c>
      <c r="I83" s="163"/>
      <c r="J83" s="128"/>
      <c r="K83" s="128"/>
      <c r="L83" s="128"/>
      <c r="M83" s="129"/>
      <c r="N83" s="129"/>
      <c r="O83" s="129"/>
    </row>
    <row r="84" spans="1:15" ht="12.5">
      <c r="A84" s="158" t="s">
        <v>13856</v>
      </c>
      <c r="B84" s="159">
        <v>15</v>
      </c>
      <c r="C84" s="159">
        <v>57</v>
      </c>
      <c r="D84" s="159">
        <v>33</v>
      </c>
      <c r="E84" s="159">
        <v>77</v>
      </c>
      <c r="F84" s="160" t="s">
        <v>32838</v>
      </c>
      <c r="G84" s="161"/>
      <c r="H84" s="162" t="s">
        <v>13857</v>
      </c>
      <c r="I84" s="163"/>
      <c r="J84" s="128"/>
      <c r="K84" s="128"/>
      <c r="L84" s="128"/>
      <c r="M84" s="129"/>
      <c r="N84" s="129"/>
      <c r="O84" s="129"/>
    </row>
    <row r="85" spans="1:15" ht="12.5">
      <c r="A85" s="158" t="s">
        <v>13858</v>
      </c>
      <c r="B85" s="159">
        <v>15</v>
      </c>
      <c r="C85" s="159">
        <v>57</v>
      </c>
      <c r="D85" s="159">
        <v>33</v>
      </c>
      <c r="E85" s="159">
        <v>79</v>
      </c>
      <c r="F85" s="160" t="s">
        <v>32838</v>
      </c>
      <c r="G85" s="161"/>
      <c r="H85" s="162" t="s">
        <v>13859</v>
      </c>
      <c r="I85" s="163"/>
      <c r="J85" s="128"/>
      <c r="K85" s="128"/>
      <c r="L85" s="128"/>
      <c r="M85" s="129"/>
      <c r="N85" s="129"/>
      <c r="O85" s="129"/>
    </row>
    <row r="86" spans="1:15" ht="12.5">
      <c r="A86" s="158" t="s">
        <v>13860</v>
      </c>
      <c r="B86" s="159">
        <v>15</v>
      </c>
      <c r="C86" s="159">
        <v>57</v>
      </c>
      <c r="D86" s="159">
        <v>33</v>
      </c>
      <c r="E86" s="159">
        <v>80</v>
      </c>
      <c r="F86" s="160" t="s">
        <v>32838</v>
      </c>
      <c r="G86" s="161"/>
      <c r="H86" s="162" t="s">
        <v>13861</v>
      </c>
      <c r="I86" s="163"/>
      <c r="J86" s="128"/>
      <c r="K86" s="128"/>
      <c r="L86" s="128"/>
      <c r="M86" s="129"/>
      <c r="N86" s="129"/>
      <c r="O86" s="129"/>
    </row>
    <row r="87" spans="1:15" ht="12.5">
      <c r="A87" s="158" t="s">
        <v>13862</v>
      </c>
      <c r="B87" s="159">
        <v>15</v>
      </c>
      <c r="C87" s="159">
        <v>57</v>
      </c>
      <c r="D87" s="159">
        <v>33</v>
      </c>
      <c r="E87" s="159">
        <v>85</v>
      </c>
      <c r="F87" s="160" t="s">
        <v>32838</v>
      </c>
      <c r="G87" s="161"/>
      <c r="H87" s="162" t="s">
        <v>13863</v>
      </c>
      <c r="I87" s="163"/>
      <c r="J87" s="128"/>
      <c r="K87" s="128"/>
      <c r="L87" s="128"/>
      <c r="M87" s="129"/>
      <c r="N87" s="129"/>
      <c r="O87" s="129"/>
    </row>
    <row r="88" spans="1:15" ht="12.5">
      <c r="A88" s="158" t="s">
        <v>13864</v>
      </c>
      <c r="B88" s="159">
        <v>15</v>
      </c>
      <c r="C88" s="159">
        <v>57</v>
      </c>
      <c r="D88" s="159">
        <v>33</v>
      </c>
      <c r="E88" s="159">
        <v>97</v>
      </c>
      <c r="F88" s="160" t="s">
        <v>32838</v>
      </c>
      <c r="G88" s="161"/>
      <c r="H88" s="162" t="s">
        <v>13865</v>
      </c>
      <c r="I88" s="163"/>
      <c r="J88" s="128"/>
      <c r="K88" s="128"/>
      <c r="L88" s="128"/>
      <c r="M88" s="129"/>
      <c r="N88" s="129"/>
      <c r="O88" s="129"/>
    </row>
    <row r="89" spans="1:15" ht="12.5">
      <c r="A89" s="151" t="s">
        <v>13866</v>
      </c>
      <c r="B89" s="152">
        <v>15</v>
      </c>
      <c r="C89" s="152">
        <v>57</v>
      </c>
      <c r="D89" s="152">
        <v>35</v>
      </c>
      <c r="E89" s="164"/>
      <c r="F89" s="154" t="s">
        <v>32863</v>
      </c>
      <c r="G89" s="165"/>
      <c r="H89" s="156" t="s">
        <v>13867</v>
      </c>
      <c r="I89" s="166"/>
      <c r="J89" s="157"/>
      <c r="K89" s="128"/>
      <c r="L89" s="128"/>
      <c r="M89" s="129"/>
      <c r="N89" s="129"/>
      <c r="O89" s="129"/>
    </row>
    <row r="90" spans="1:15" ht="12.5">
      <c r="A90" s="158" t="s">
        <v>13868</v>
      </c>
      <c r="B90" s="159">
        <v>15</v>
      </c>
      <c r="C90" s="159">
        <v>57</v>
      </c>
      <c r="D90" s="159">
        <v>35</v>
      </c>
      <c r="E90" s="159">
        <v>56</v>
      </c>
      <c r="F90" s="169"/>
      <c r="G90" s="161"/>
      <c r="H90" s="162" t="s">
        <v>13869</v>
      </c>
      <c r="I90" s="163"/>
      <c r="J90" s="128"/>
      <c r="K90" s="128"/>
      <c r="L90" s="128"/>
      <c r="M90" s="129"/>
      <c r="N90" s="129"/>
      <c r="O90" s="129"/>
    </row>
    <row r="91" spans="1:15" ht="12.5">
      <c r="A91" s="158" t="s">
        <v>13870</v>
      </c>
      <c r="B91" s="159">
        <v>15</v>
      </c>
      <c r="C91" s="159">
        <v>57</v>
      </c>
      <c r="D91" s="159">
        <v>35</v>
      </c>
      <c r="E91" s="159">
        <v>57</v>
      </c>
      <c r="F91" s="169"/>
      <c r="G91" s="161"/>
      <c r="H91" s="162" t="s">
        <v>13871</v>
      </c>
      <c r="I91" s="163"/>
      <c r="J91" s="128"/>
      <c r="K91" s="128"/>
      <c r="L91" s="128"/>
      <c r="M91" s="129"/>
      <c r="N91" s="129"/>
      <c r="O91" s="129"/>
    </row>
    <row r="92" spans="1:15" ht="12.5">
      <c r="A92" s="158" t="s">
        <v>13872</v>
      </c>
      <c r="B92" s="159">
        <v>15</v>
      </c>
      <c r="C92" s="159">
        <v>57</v>
      </c>
      <c r="D92" s="159">
        <v>35</v>
      </c>
      <c r="E92" s="159">
        <v>61</v>
      </c>
      <c r="F92" s="169"/>
      <c r="G92" s="161"/>
      <c r="H92" s="162" t="s">
        <v>13873</v>
      </c>
      <c r="I92" s="163"/>
      <c r="J92" s="128"/>
      <c r="K92" s="128"/>
      <c r="L92" s="128"/>
      <c r="M92" s="129"/>
      <c r="N92" s="129"/>
      <c r="O92" s="129"/>
    </row>
    <row r="93" spans="1:15" ht="12.5">
      <c r="A93" s="158" t="s">
        <v>13874</v>
      </c>
      <c r="B93" s="159">
        <v>15</v>
      </c>
      <c r="C93" s="159">
        <v>57</v>
      </c>
      <c r="D93" s="159">
        <v>35</v>
      </c>
      <c r="E93" s="159">
        <v>88</v>
      </c>
      <c r="F93" s="169"/>
      <c r="G93" s="161"/>
      <c r="H93" s="162" t="s">
        <v>13875</v>
      </c>
      <c r="I93" s="163"/>
      <c r="J93" s="128"/>
      <c r="K93" s="128"/>
      <c r="L93" s="128"/>
      <c r="M93" s="129"/>
      <c r="N93" s="129"/>
      <c r="O93" s="129"/>
    </row>
    <row r="94" spans="1:15" ht="12.5">
      <c r="A94" s="144" t="s">
        <v>13876</v>
      </c>
      <c r="B94" s="145">
        <v>15</v>
      </c>
      <c r="C94" s="145">
        <v>71</v>
      </c>
      <c r="D94" s="167"/>
      <c r="E94" s="167"/>
      <c r="F94" s="147" t="s">
        <v>32864</v>
      </c>
      <c r="G94" s="170"/>
      <c r="H94" s="149" t="s">
        <v>13877</v>
      </c>
      <c r="I94" s="171"/>
      <c r="J94" s="150"/>
      <c r="K94" s="128"/>
      <c r="L94" s="128"/>
      <c r="M94" s="129"/>
      <c r="N94" s="129"/>
      <c r="O94" s="129"/>
    </row>
    <row r="95" spans="1:15" ht="12.5">
      <c r="A95" s="151" t="s">
        <v>13878</v>
      </c>
      <c r="B95" s="152">
        <v>15</v>
      </c>
      <c r="C95" s="152">
        <v>71</v>
      </c>
      <c r="D95" s="152">
        <v>90</v>
      </c>
      <c r="E95" s="164"/>
      <c r="F95" s="154" t="s">
        <v>32865</v>
      </c>
      <c r="G95" s="165"/>
      <c r="H95" s="156" t="s">
        <v>13879</v>
      </c>
      <c r="I95" s="166"/>
      <c r="J95" s="157"/>
      <c r="K95" s="128"/>
      <c r="L95" s="128"/>
      <c r="M95" s="129"/>
      <c r="N95" s="129"/>
      <c r="O95" s="129"/>
    </row>
    <row r="96" spans="1:15" ht="12.5">
      <c r="A96" s="158" t="s">
        <v>13880</v>
      </c>
      <c r="B96" s="159">
        <v>15</v>
      </c>
      <c r="C96" s="159">
        <v>71</v>
      </c>
      <c r="D96" s="159">
        <v>90</v>
      </c>
      <c r="E96" s="159">
        <v>90</v>
      </c>
      <c r="F96" s="160" t="s">
        <v>32838</v>
      </c>
      <c r="G96" s="161"/>
      <c r="H96" s="162" t="s">
        <v>13881</v>
      </c>
      <c r="I96" s="163"/>
      <c r="J96" s="128"/>
      <c r="K96" s="128"/>
      <c r="L96" s="128"/>
      <c r="M96" s="129"/>
      <c r="N96" s="129"/>
      <c r="O96" s="129"/>
    </row>
    <row r="97" spans="1:15" ht="12.5">
      <c r="A97" s="158" t="s">
        <v>13882</v>
      </c>
      <c r="B97" s="159">
        <v>15</v>
      </c>
      <c r="C97" s="159">
        <v>71</v>
      </c>
      <c r="D97" s="159">
        <v>90</v>
      </c>
      <c r="E97" s="159">
        <v>91</v>
      </c>
      <c r="F97" s="160" t="s">
        <v>32838</v>
      </c>
      <c r="G97" s="161"/>
      <c r="H97" s="162" t="s">
        <v>13883</v>
      </c>
      <c r="I97" s="163"/>
      <c r="J97" s="128"/>
      <c r="K97" s="128"/>
      <c r="L97" s="128"/>
      <c r="M97" s="129"/>
      <c r="N97" s="129"/>
      <c r="O97" s="129"/>
    </row>
    <row r="98" spans="1:15" ht="12.5">
      <c r="A98" s="144" t="s">
        <v>13884</v>
      </c>
      <c r="B98" s="145">
        <v>15</v>
      </c>
      <c r="C98" s="145">
        <v>93</v>
      </c>
      <c r="D98" s="167"/>
      <c r="E98" s="146"/>
      <c r="F98" s="147" t="s">
        <v>32866</v>
      </c>
      <c r="G98" s="148"/>
      <c r="H98" s="149" t="s">
        <v>13885</v>
      </c>
      <c r="I98" s="150"/>
      <c r="J98" s="150"/>
      <c r="K98" s="128"/>
      <c r="L98" s="128"/>
      <c r="M98" s="129"/>
      <c r="N98" s="129"/>
      <c r="O98" s="129"/>
    </row>
    <row r="99" spans="1:15" ht="12.5">
      <c r="A99" s="151" t="s">
        <v>13886</v>
      </c>
      <c r="B99" s="152">
        <v>15</v>
      </c>
      <c r="C99" s="152">
        <v>93</v>
      </c>
      <c r="D99" s="152">
        <v>30</v>
      </c>
      <c r="E99" s="164"/>
      <c r="F99" s="154" t="s">
        <v>32867</v>
      </c>
      <c r="G99" s="172"/>
      <c r="H99" s="156" t="s">
        <v>13887</v>
      </c>
      <c r="I99" s="166"/>
      <c r="J99" s="157"/>
      <c r="K99" s="128"/>
      <c r="L99" s="128"/>
      <c r="M99" s="129"/>
      <c r="N99" s="129"/>
      <c r="O99" s="129"/>
    </row>
    <row r="100" spans="1:15" ht="12.5">
      <c r="A100" s="158" t="s">
        <v>13888</v>
      </c>
      <c r="B100" s="159">
        <v>15</v>
      </c>
      <c r="C100" s="159">
        <v>93</v>
      </c>
      <c r="D100" s="159">
        <v>30</v>
      </c>
      <c r="E100" s="159">
        <v>28</v>
      </c>
      <c r="F100" s="160" t="s">
        <v>32868</v>
      </c>
      <c r="G100" s="162" t="s">
        <v>32869</v>
      </c>
      <c r="H100" s="162" t="s">
        <v>13889</v>
      </c>
      <c r="I100" s="158" t="s">
        <v>13890</v>
      </c>
      <c r="J100" s="128"/>
      <c r="K100" s="128"/>
      <c r="L100" s="128"/>
      <c r="M100" s="129"/>
      <c r="N100" s="129"/>
      <c r="O100" s="129"/>
    </row>
    <row r="101" spans="1:15" ht="12.5">
      <c r="A101" s="137" t="s">
        <v>13891</v>
      </c>
      <c r="B101" s="138">
        <v>20</v>
      </c>
      <c r="C101" s="173"/>
      <c r="D101" s="173"/>
      <c r="E101" s="173"/>
      <c r="F101" s="140" t="s">
        <v>32870</v>
      </c>
      <c r="G101" s="174"/>
      <c r="H101" s="142" t="s">
        <v>13892</v>
      </c>
      <c r="I101" s="175"/>
      <c r="J101" s="143"/>
      <c r="K101" s="128"/>
      <c r="L101" s="128"/>
      <c r="M101" s="129"/>
      <c r="N101" s="129"/>
      <c r="O101" s="129"/>
    </row>
    <row r="102" spans="1:15" ht="12.5">
      <c r="A102" s="144" t="s">
        <v>13893</v>
      </c>
      <c r="B102" s="145">
        <v>20</v>
      </c>
      <c r="C102" s="145">
        <v>29</v>
      </c>
      <c r="D102" s="167"/>
      <c r="E102" s="167"/>
      <c r="F102" s="147" t="s">
        <v>32871</v>
      </c>
      <c r="G102" s="170"/>
      <c r="H102" s="149" t="s">
        <v>13894</v>
      </c>
      <c r="I102" s="171"/>
      <c r="J102" s="150"/>
      <c r="K102" s="128"/>
      <c r="L102" s="128"/>
      <c r="M102" s="129"/>
      <c r="N102" s="129"/>
      <c r="O102" s="129"/>
    </row>
    <row r="103" spans="1:15" ht="12.5">
      <c r="A103" s="151" t="s">
        <v>13895</v>
      </c>
      <c r="B103" s="152">
        <v>20</v>
      </c>
      <c r="C103" s="152">
        <v>29</v>
      </c>
      <c r="D103" s="152">
        <v>3</v>
      </c>
      <c r="E103" s="164"/>
      <c r="F103" s="154" t="s">
        <v>32872</v>
      </c>
      <c r="G103" s="172"/>
      <c r="H103" s="156" t="s">
        <v>13896</v>
      </c>
      <c r="I103" s="166"/>
      <c r="J103" s="157"/>
      <c r="K103" s="128"/>
      <c r="L103" s="128"/>
      <c r="M103" s="129"/>
      <c r="N103" s="129"/>
      <c r="O103" s="129"/>
    </row>
    <row r="104" spans="1:15" ht="12.5">
      <c r="A104" s="158" t="s">
        <v>13897</v>
      </c>
      <c r="B104" s="159">
        <v>20</v>
      </c>
      <c r="C104" s="159">
        <v>29</v>
      </c>
      <c r="D104" s="159">
        <v>3</v>
      </c>
      <c r="E104" s="159">
        <v>4</v>
      </c>
      <c r="F104" s="160" t="s">
        <v>32838</v>
      </c>
      <c r="G104" s="161"/>
      <c r="H104" s="162" t="s">
        <v>13898</v>
      </c>
      <c r="I104" s="163"/>
      <c r="J104" s="128"/>
      <c r="K104" s="128"/>
      <c r="L104" s="128"/>
      <c r="M104" s="129"/>
      <c r="N104" s="129"/>
      <c r="O104" s="129"/>
    </row>
    <row r="105" spans="1:15" ht="12.5">
      <c r="A105" s="158" t="s">
        <v>13899</v>
      </c>
      <c r="B105" s="159">
        <v>20</v>
      </c>
      <c r="C105" s="159">
        <v>29</v>
      </c>
      <c r="D105" s="159">
        <v>3</v>
      </c>
      <c r="E105" s="159">
        <v>5</v>
      </c>
      <c r="F105" s="160" t="s">
        <v>32838</v>
      </c>
      <c r="G105" s="161"/>
      <c r="H105" s="162" t="s">
        <v>13900</v>
      </c>
      <c r="I105" s="128"/>
      <c r="J105" s="128"/>
      <c r="K105" s="128"/>
      <c r="L105" s="128"/>
      <c r="M105" s="129"/>
      <c r="N105" s="129"/>
      <c r="O105" s="129"/>
    </row>
    <row r="106" spans="1:15" ht="12.5">
      <c r="A106" s="158" t="s">
        <v>13901</v>
      </c>
      <c r="B106" s="159">
        <v>20</v>
      </c>
      <c r="C106" s="159">
        <v>29</v>
      </c>
      <c r="D106" s="159">
        <v>3</v>
      </c>
      <c r="E106" s="159">
        <v>10</v>
      </c>
      <c r="F106" s="176" t="s">
        <v>32838</v>
      </c>
      <c r="G106" s="177"/>
      <c r="H106" s="162" t="s">
        <v>13902</v>
      </c>
      <c r="I106" s="158" t="s">
        <v>13903</v>
      </c>
      <c r="J106" s="128"/>
      <c r="K106" s="128"/>
      <c r="L106" s="128"/>
      <c r="M106" s="129"/>
      <c r="N106" s="129"/>
      <c r="O106" s="129"/>
    </row>
    <row r="107" spans="1:15" ht="12.5">
      <c r="A107" s="158" t="s">
        <v>13904</v>
      </c>
      <c r="B107" s="159">
        <v>20</v>
      </c>
      <c r="C107" s="159">
        <v>29</v>
      </c>
      <c r="D107" s="159">
        <v>3</v>
      </c>
      <c r="E107" s="159">
        <v>11</v>
      </c>
      <c r="F107" s="160" t="s">
        <v>32838</v>
      </c>
      <c r="G107" s="161"/>
      <c r="H107" s="162" t="s">
        <v>13905</v>
      </c>
      <c r="I107" s="158" t="s">
        <v>13906</v>
      </c>
      <c r="J107" s="128"/>
      <c r="K107" s="128"/>
      <c r="L107" s="128"/>
      <c r="M107" s="129"/>
      <c r="N107" s="129"/>
      <c r="O107" s="129"/>
    </row>
    <row r="108" spans="1:15" ht="12.5">
      <c r="A108" s="158" t="s">
        <v>13907</v>
      </c>
      <c r="B108" s="159">
        <v>20</v>
      </c>
      <c r="C108" s="159">
        <v>29</v>
      </c>
      <c r="D108" s="159">
        <v>3</v>
      </c>
      <c r="E108" s="159">
        <v>12</v>
      </c>
      <c r="F108" s="160" t="s">
        <v>32838</v>
      </c>
      <c r="G108" s="161"/>
      <c r="H108" s="162" t="s">
        <v>13908</v>
      </c>
      <c r="I108" s="158" t="s">
        <v>13909</v>
      </c>
      <c r="J108" s="128"/>
      <c r="K108" s="128"/>
      <c r="L108" s="128"/>
      <c r="M108" s="129"/>
      <c r="N108" s="129"/>
      <c r="O108" s="129"/>
    </row>
    <row r="109" spans="1:15" ht="12.5">
      <c r="A109" s="158" t="s">
        <v>13910</v>
      </c>
      <c r="B109" s="159">
        <v>20</v>
      </c>
      <c r="C109" s="159">
        <v>29</v>
      </c>
      <c r="D109" s="159">
        <v>3</v>
      </c>
      <c r="E109" s="159">
        <v>13</v>
      </c>
      <c r="F109" s="160" t="s">
        <v>32838</v>
      </c>
      <c r="G109" s="161"/>
      <c r="H109" s="162" t="s">
        <v>13911</v>
      </c>
      <c r="I109" s="158" t="s">
        <v>13912</v>
      </c>
      <c r="J109" s="128"/>
      <c r="K109" s="128"/>
      <c r="L109" s="128"/>
      <c r="M109" s="129"/>
      <c r="N109" s="129"/>
      <c r="O109" s="129"/>
    </row>
    <row r="110" spans="1:15" ht="12.5">
      <c r="A110" s="158" t="s">
        <v>13913</v>
      </c>
      <c r="B110" s="159">
        <v>20</v>
      </c>
      <c r="C110" s="159">
        <v>29</v>
      </c>
      <c r="D110" s="159">
        <v>3</v>
      </c>
      <c r="E110" s="159">
        <v>14</v>
      </c>
      <c r="F110" s="160" t="s">
        <v>32838</v>
      </c>
      <c r="G110" s="161"/>
      <c r="H110" s="162" t="s">
        <v>13914</v>
      </c>
      <c r="I110" s="158" t="s">
        <v>13915</v>
      </c>
      <c r="J110" s="128"/>
      <c r="K110" s="128"/>
      <c r="L110" s="128"/>
      <c r="M110" s="129"/>
      <c r="N110" s="129"/>
      <c r="O110" s="129"/>
    </row>
    <row r="111" spans="1:15" ht="12.5">
      <c r="A111" s="158" t="s">
        <v>13916</v>
      </c>
      <c r="B111" s="159">
        <v>20</v>
      </c>
      <c r="C111" s="159">
        <v>29</v>
      </c>
      <c r="D111" s="159">
        <v>3</v>
      </c>
      <c r="E111" s="159">
        <v>15</v>
      </c>
      <c r="F111" s="160" t="s">
        <v>32838</v>
      </c>
      <c r="G111" s="161"/>
      <c r="H111" s="162" t="s">
        <v>13917</v>
      </c>
      <c r="I111" s="158" t="s">
        <v>13918</v>
      </c>
      <c r="J111" s="128"/>
      <c r="K111" s="128"/>
      <c r="L111" s="128"/>
      <c r="M111" s="129"/>
      <c r="N111" s="129"/>
      <c r="O111" s="129"/>
    </row>
    <row r="112" spans="1:15" ht="12.5">
      <c r="A112" s="158" t="s">
        <v>13919</v>
      </c>
      <c r="B112" s="159">
        <v>20</v>
      </c>
      <c r="C112" s="159">
        <v>29</v>
      </c>
      <c r="D112" s="159">
        <v>3</v>
      </c>
      <c r="E112" s="159">
        <v>16</v>
      </c>
      <c r="F112" s="160" t="s">
        <v>32838</v>
      </c>
      <c r="G112" s="161"/>
      <c r="H112" s="162" t="s">
        <v>13920</v>
      </c>
      <c r="I112" s="158" t="s">
        <v>13921</v>
      </c>
      <c r="J112" s="128"/>
      <c r="K112" s="128"/>
      <c r="L112" s="128"/>
      <c r="M112" s="129"/>
      <c r="N112" s="129"/>
      <c r="O112" s="129"/>
    </row>
    <row r="113" spans="1:15" ht="12.5">
      <c r="A113" s="158" t="s">
        <v>13922</v>
      </c>
      <c r="B113" s="159">
        <v>20</v>
      </c>
      <c r="C113" s="159">
        <v>29</v>
      </c>
      <c r="D113" s="159">
        <v>3</v>
      </c>
      <c r="E113" s="159">
        <v>17</v>
      </c>
      <c r="F113" s="160" t="s">
        <v>32838</v>
      </c>
      <c r="G113" s="161"/>
      <c r="H113" s="162" t="s">
        <v>13923</v>
      </c>
      <c r="I113" s="158" t="s">
        <v>13924</v>
      </c>
      <c r="J113" s="128"/>
      <c r="K113" s="128"/>
      <c r="L113" s="128"/>
      <c r="M113" s="129"/>
      <c r="N113" s="129"/>
      <c r="O113" s="129"/>
    </row>
    <row r="114" spans="1:15" ht="12.5">
      <c r="A114" s="158" t="s">
        <v>13925</v>
      </c>
      <c r="B114" s="159">
        <v>20</v>
      </c>
      <c r="C114" s="159">
        <v>29</v>
      </c>
      <c r="D114" s="159">
        <v>3</v>
      </c>
      <c r="E114" s="159">
        <v>18</v>
      </c>
      <c r="F114" s="160" t="s">
        <v>32838</v>
      </c>
      <c r="G114" s="161"/>
      <c r="H114" s="162" t="s">
        <v>13926</v>
      </c>
      <c r="I114" s="163"/>
      <c r="J114" s="128"/>
      <c r="K114" s="128"/>
      <c r="L114" s="128"/>
      <c r="M114" s="129"/>
      <c r="N114" s="129"/>
      <c r="O114" s="129"/>
    </row>
    <row r="115" spans="1:15" ht="12.5">
      <c r="A115" s="158" t="s">
        <v>13927</v>
      </c>
      <c r="B115" s="159">
        <v>20</v>
      </c>
      <c r="C115" s="159">
        <v>29</v>
      </c>
      <c r="D115" s="159">
        <v>3</v>
      </c>
      <c r="E115" s="159">
        <v>28</v>
      </c>
      <c r="F115" s="160" t="s">
        <v>32838</v>
      </c>
      <c r="G115" s="161"/>
      <c r="H115" s="162" t="s">
        <v>13928</v>
      </c>
      <c r="I115" s="158" t="s">
        <v>13929</v>
      </c>
      <c r="J115" s="128"/>
      <c r="K115" s="128"/>
      <c r="L115" s="128"/>
      <c r="M115" s="129"/>
      <c r="N115" s="129"/>
      <c r="O115" s="129"/>
    </row>
    <row r="116" spans="1:15" ht="12.5">
      <c r="A116" s="158" t="s">
        <v>13932</v>
      </c>
      <c r="B116" s="159">
        <v>20</v>
      </c>
      <c r="C116" s="159">
        <v>29</v>
      </c>
      <c r="D116" s="159">
        <v>3</v>
      </c>
      <c r="E116" s="159">
        <v>31</v>
      </c>
      <c r="F116" s="160" t="s">
        <v>32838</v>
      </c>
      <c r="G116" s="161"/>
      <c r="H116" s="162" t="s">
        <v>13933</v>
      </c>
      <c r="I116" s="158" t="s">
        <v>13934</v>
      </c>
      <c r="J116" s="128"/>
      <c r="K116" s="128"/>
      <c r="L116" s="128"/>
      <c r="M116" s="129"/>
      <c r="N116" s="129"/>
      <c r="O116" s="129"/>
    </row>
    <row r="117" spans="1:15" ht="12.5">
      <c r="A117" s="158" t="s">
        <v>13935</v>
      </c>
      <c r="B117" s="159">
        <v>20</v>
      </c>
      <c r="C117" s="159">
        <v>29</v>
      </c>
      <c r="D117" s="159">
        <v>3</v>
      </c>
      <c r="E117" s="159">
        <v>32</v>
      </c>
      <c r="F117" s="160" t="s">
        <v>32838</v>
      </c>
      <c r="G117" s="161"/>
      <c r="H117" s="162" t="s">
        <v>13936</v>
      </c>
      <c r="I117" s="158" t="s">
        <v>13937</v>
      </c>
      <c r="J117" s="128"/>
      <c r="K117" s="128"/>
      <c r="L117" s="128"/>
      <c r="M117" s="129"/>
      <c r="N117" s="129"/>
      <c r="O117" s="129"/>
    </row>
    <row r="118" spans="1:15" ht="12.5">
      <c r="A118" s="158" t="s">
        <v>13938</v>
      </c>
      <c r="B118" s="159">
        <v>20</v>
      </c>
      <c r="C118" s="159">
        <v>29</v>
      </c>
      <c r="D118" s="159">
        <v>3</v>
      </c>
      <c r="E118" s="159">
        <v>33</v>
      </c>
      <c r="F118" s="160" t="s">
        <v>32838</v>
      </c>
      <c r="G118" s="161"/>
      <c r="H118" s="162" t="s">
        <v>13939</v>
      </c>
      <c r="I118" s="158" t="s">
        <v>13940</v>
      </c>
      <c r="J118" s="128"/>
      <c r="K118" s="128"/>
      <c r="L118" s="128"/>
      <c r="M118" s="129"/>
      <c r="N118" s="129"/>
      <c r="O118" s="129"/>
    </row>
    <row r="119" spans="1:15" ht="12.5">
      <c r="A119" s="158" t="s">
        <v>13941</v>
      </c>
      <c r="B119" s="159">
        <v>20</v>
      </c>
      <c r="C119" s="159">
        <v>29</v>
      </c>
      <c r="D119" s="159">
        <v>3</v>
      </c>
      <c r="E119" s="159">
        <v>34</v>
      </c>
      <c r="F119" s="160" t="s">
        <v>32838</v>
      </c>
      <c r="G119" s="161"/>
      <c r="H119" s="162" t="s">
        <v>13942</v>
      </c>
      <c r="I119" s="158" t="s">
        <v>13940</v>
      </c>
      <c r="J119" s="128"/>
      <c r="K119" s="128"/>
      <c r="L119" s="128"/>
      <c r="M119" s="129"/>
      <c r="N119" s="129"/>
      <c r="O119" s="129"/>
    </row>
    <row r="120" spans="1:15" ht="12.5">
      <c r="A120" s="158" t="s">
        <v>13943</v>
      </c>
      <c r="B120" s="159">
        <v>20</v>
      </c>
      <c r="C120" s="159">
        <v>29</v>
      </c>
      <c r="D120" s="159">
        <v>3</v>
      </c>
      <c r="E120" s="159">
        <v>35</v>
      </c>
      <c r="F120" s="160" t="s">
        <v>32838</v>
      </c>
      <c r="G120" s="161"/>
      <c r="H120" s="162" t="s">
        <v>13944</v>
      </c>
      <c r="I120" s="158" t="s">
        <v>13940</v>
      </c>
      <c r="J120" s="128"/>
      <c r="K120" s="128"/>
      <c r="L120" s="128"/>
      <c r="M120" s="129"/>
      <c r="N120" s="129"/>
      <c r="O120" s="129"/>
    </row>
    <row r="121" spans="1:15" ht="12.5">
      <c r="A121" s="158" t="s">
        <v>13945</v>
      </c>
      <c r="B121" s="159">
        <v>20</v>
      </c>
      <c r="C121" s="159">
        <v>29</v>
      </c>
      <c r="D121" s="159">
        <v>3</v>
      </c>
      <c r="E121" s="159">
        <v>36</v>
      </c>
      <c r="F121" s="160" t="s">
        <v>32838</v>
      </c>
      <c r="G121" s="161"/>
      <c r="H121" s="162" t="s">
        <v>13946</v>
      </c>
      <c r="I121" s="158" t="s">
        <v>13947</v>
      </c>
      <c r="J121" s="128"/>
      <c r="K121" s="128"/>
      <c r="L121" s="128"/>
      <c r="M121" s="129"/>
      <c r="N121" s="129"/>
      <c r="O121" s="129"/>
    </row>
    <row r="122" spans="1:15" ht="12.5">
      <c r="A122" s="158" t="s">
        <v>13948</v>
      </c>
      <c r="B122" s="159">
        <v>20</v>
      </c>
      <c r="C122" s="159">
        <v>29</v>
      </c>
      <c r="D122" s="159">
        <v>3</v>
      </c>
      <c r="E122" s="159">
        <v>44</v>
      </c>
      <c r="F122" s="160" t="s">
        <v>32838</v>
      </c>
      <c r="G122" s="161"/>
      <c r="H122" s="162" t="s">
        <v>13949</v>
      </c>
      <c r="I122" s="158" t="s">
        <v>13950</v>
      </c>
      <c r="J122" s="128"/>
      <c r="K122" s="128"/>
      <c r="L122" s="128"/>
      <c r="M122" s="129"/>
      <c r="N122" s="129"/>
      <c r="O122" s="129"/>
    </row>
    <row r="123" spans="1:15" ht="12.5">
      <c r="A123" s="158" t="s">
        <v>13951</v>
      </c>
      <c r="B123" s="159">
        <v>20</v>
      </c>
      <c r="C123" s="159">
        <v>29</v>
      </c>
      <c r="D123" s="159">
        <v>3</v>
      </c>
      <c r="E123" s="159">
        <v>47</v>
      </c>
      <c r="F123" s="160" t="s">
        <v>32838</v>
      </c>
      <c r="G123" s="161"/>
      <c r="H123" s="162" t="s">
        <v>13952</v>
      </c>
      <c r="I123" s="128"/>
      <c r="J123" s="128"/>
      <c r="K123" s="128"/>
      <c r="L123" s="128"/>
      <c r="M123" s="129"/>
      <c r="N123" s="129"/>
      <c r="O123" s="129"/>
    </row>
    <row r="124" spans="1:15" ht="12.5">
      <c r="A124" s="158" t="s">
        <v>13953</v>
      </c>
      <c r="B124" s="159">
        <v>20</v>
      </c>
      <c r="C124" s="159">
        <v>29</v>
      </c>
      <c r="D124" s="159">
        <v>3</v>
      </c>
      <c r="E124" s="159">
        <v>48</v>
      </c>
      <c r="F124" s="160" t="s">
        <v>32838</v>
      </c>
      <c r="G124" s="132"/>
      <c r="H124" s="162" t="s">
        <v>13954</v>
      </c>
      <c r="I124" s="128"/>
      <c r="J124" s="128"/>
      <c r="K124" s="128"/>
      <c r="L124" s="128"/>
      <c r="M124" s="129"/>
      <c r="N124" s="129"/>
      <c r="O124" s="129"/>
    </row>
    <row r="125" spans="1:15" ht="12.5">
      <c r="A125" s="158" t="s">
        <v>13955</v>
      </c>
      <c r="B125" s="159">
        <v>20</v>
      </c>
      <c r="C125" s="159">
        <v>29</v>
      </c>
      <c r="D125" s="159">
        <v>3</v>
      </c>
      <c r="E125" s="159">
        <v>66</v>
      </c>
      <c r="F125" s="160" t="s">
        <v>32838</v>
      </c>
      <c r="G125" s="161"/>
      <c r="H125" s="162" t="s">
        <v>13956</v>
      </c>
      <c r="I125" s="128"/>
      <c r="J125" s="128"/>
      <c r="K125" s="128"/>
      <c r="L125" s="128"/>
      <c r="M125" s="129"/>
      <c r="N125" s="129"/>
      <c r="O125" s="129"/>
    </row>
    <row r="126" spans="1:15" ht="12.5">
      <c r="A126" s="158" t="s">
        <v>13957</v>
      </c>
      <c r="B126" s="159">
        <v>20</v>
      </c>
      <c r="C126" s="159">
        <v>29</v>
      </c>
      <c r="D126" s="159">
        <v>3</v>
      </c>
      <c r="E126" s="159">
        <v>72</v>
      </c>
      <c r="F126" s="160" t="s">
        <v>32838</v>
      </c>
      <c r="G126" s="161"/>
      <c r="H126" s="162" t="s">
        <v>13958</v>
      </c>
      <c r="I126" s="158" t="s">
        <v>13959</v>
      </c>
      <c r="J126" s="128"/>
      <c r="K126" s="128"/>
      <c r="L126" s="128"/>
      <c r="M126" s="129"/>
      <c r="N126" s="129"/>
      <c r="O126" s="129"/>
    </row>
    <row r="127" spans="1:15" ht="12.5">
      <c r="A127" s="158" t="s">
        <v>13960</v>
      </c>
      <c r="B127" s="159">
        <v>20</v>
      </c>
      <c r="C127" s="159">
        <v>29</v>
      </c>
      <c r="D127" s="159">
        <v>3</v>
      </c>
      <c r="E127" s="159">
        <v>73</v>
      </c>
      <c r="F127" s="160" t="s">
        <v>32838</v>
      </c>
      <c r="G127" s="132"/>
      <c r="H127" s="162" t="s">
        <v>13961</v>
      </c>
      <c r="I127" s="158" t="s">
        <v>13962</v>
      </c>
      <c r="J127" s="128"/>
      <c r="K127" s="128"/>
      <c r="L127" s="128"/>
      <c r="M127" s="129"/>
      <c r="N127" s="129"/>
      <c r="O127" s="129"/>
    </row>
    <row r="128" spans="1:15" ht="12.5">
      <c r="A128" s="158" t="s">
        <v>13963</v>
      </c>
      <c r="B128" s="159">
        <v>20</v>
      </c>
      <c r="C128" s="159">
        <v>29</v>
      </c>
      <c r="D128" s="159">
        <v>3</v>
      </c>
      <c r="E128" s="159">
        <v>77</v>
      </c>
      <c r="F128" s="160" t="s">
        <v>32838</v>
      </c>
      <c r="G128" s="161"/>
      <c r="H128" s="162" t="s">
        <v>13964</v>
      </c>
      <c r="I128" s="158" t="s">
        <v>13965</v>
      </c>
      <c r="J128" s="128"/>
      <c r="K128" s="128"/>
      <c r="L128" s="128"/>
      <c r="M128" s="129"/>
      <c r="N128" s="129"/>
      <c r="O128" s="129"/>
    </row>
    <row r="129" spans="1:15" ht="12.5">
      <c r="A129" s="158" t="s">
        <v>13966</v>
      </c>
      <c r="B129" s="159">
        <v>20</v>
      </c>
      <c r="C129" s="159">
        <v>29</v>
      </c>
      <c r="D129" s="159">
        <v>3</v>
      </c>
      <c r="E129" s="159">
        <v>78</v>
      </c>
      <c r="F129" s="160" t="s">
        <v>32838</v>
      </c>
      <c r="G129" s="132"/>
      <c r="H129" s="162" t="s">
        <v>13967</v>
      </c>
      <c r="I129" s="128"/>
      <c r="J129" s="128"/>
      <c r="K129" s="128"/>
      <c r="L129" s="128"/>
      <c r="M129" s="129"/>
      <c r="N129" s="129"/>
      <c r="O129" s="129"/>
    </row>
    <row r="130" spans="1:15" ht="12.5">
      <c r="A130" s="158" t="s">
        <v>13968</v>
      </c>
      <c r="B130" s="159">
        <v>20</v>
      </c>
      <c r="C130" s="159">
        <v>29</v>
      </c>
      <c r="D130" s="159">
        <v>3</v>
      </c>
      <c r="E130" s="159">
        <v>79</v>
      </c>
      <c r="F130" s="160" t="s">
        <v>32838</v>
      </c>
      <c r="G130" s="132"/>
      <c r="H130" s="162" t="s">
        <v>13969</v>
      </c>
      <c r="I130" s="158" t="s">
        <v>13970</v>
      </c>
      <c r="J130" s="128"/>
      <c r="K130" s="128"/>
      <c r="L130" s="128"/>
      <c r="M130" s="129"/>
      <c r="N130" s="129"/>
      <c r="O130" s="129"/>
    </row>
    <row r="131" spans="1:15" ht="12.5">
      <c r="A131" s="158" t="s">
        <v>13971</v>
      </c>
      <c r="B131" s="159">
        <v>20</v>
      </c>
      <c r="C131" s="159">
        <v>29</v>
      </c>
      <c r="D131" s="159">
        <v>3</v>
      </c>
      <c r="E131" s="159">
        <v>80</v>
      </c>
      <c r="F131" s="160" t="s">
        <v>32838</v>
      </c>
      <c r="G131" s="161"/>
      <c r="H131" s="162" t="s">
        <v>13972</v>
      </c>
      <c r="I131" s="158" t="s">
        <v>13973</v>
      </c>
      <c r="J131" s="128"/>
      <c r="K131" s="128"/>
      <c r="L131" s="128"/>
      <c r="M131" s="129"/>
      <c r="N131" s="129"/>
      <c r="O131" s="129"/>
    </row>
    <row r="132" spans="1:15" ht="12.5">
      <c r="A132" s="158" t="s">
        <v>13974</v>
      </c>
      <c r="B132" s="159">
        <v>20</v>
      </c>
      <c r="C132" s="159">
        <v>29</v>
      </c>
      <c r="D132" s="159">
        <v>3</v>
      </c>
      <c r="E132" s="159">
        <v>81</v>
      </c>
      <c r="F132" s="160" t="s">
        <v>32838</v>
      </c>
      <c r="G132" s="161"/>
      <c r="H132" s="162" t="s">
        <v>13975</v>
      </c>
      <c r="I132" s="158" t="s">
        <v>13976</v>
      </c>
      <c r="J132" s="128"/>
      <c r="K132" s="128"/>
      <c r="L132" s="128"/>
      <c r="M132" s="129"/>
      <c r="N132" s="129"/>
      <c r="O132" s="129"/>
    </row>
    <row r="133" spans="1:15" ht="12.5">
      <c r="A133" s="158" t="s">
        <v>13977</v>
      </c>
      <c r="B133" s="159">
        <v>20</v>
      </c>
      <c r="C133" s="159">
        <v>29</v>
      </c>
      <c r="D133" s="159">
        <v>3</v>
      </c>
      <c r="E133" s="159">
        <v>82</v>
      </c>
      <c r="F133" s="160" t="s">
        <v>32873</v>
      </c>
      <c r="G133" s="162" t="s">
        <v>32874</v>
      </c>
      <c r="H133" s="162" t="s">
        <v>13978</v>
      </c>
      <c r="I133" s="158" t="s">
        <v>13979</v>
      </c>
      <c r="J133" s="128"/>
      <c r="K133" s="128"/>
      <c r="L133" s="128"/>
      <c r="M133" s="129"/>
      <c r="N133" s="129"/>
      <c r="O133" s="129"/>
    </row>
    <row r="134" spans="1:15" ht="12.5">
      <c r="A134" s="158" t="s">
        <v>13980</v>
      </c>
      <c r="B134" s="159">
        <v>20</v>
      </c>
      <c r="C134" s="159">
        <v>29</v>
      </c>
      <c r="D134" s="159">
        <v>3</v>
      </c>
      <c r="E134" s="159">
        <v>83</v>
      </c>
      <c r="F134" s="160" t="s">
        <v>32838</v>
      </c>
      <c r="G134" s="161"/>
      <c r="H134" s="162" t="s">
        <v>13981</v>
      </c>
      <c r="I134" s="158" t="s">
        <v>13982</v>
      </c>
      <c r="J134" s="128"/>
      <c r="K134" s="128"/>
      <c r="L134" s="128"/>
      <c r="M134" s="129"/>
      <c r="N134" s="129"/>
      <c r="O134" s="129"/>
    </row>
    <row r="135" spans="1:15" ht="12.5">
      <c r="A135" s="158" t="s">
        <v>13983</v>
      </c>
      <c r="B135" s="159">
        <v>20</v>
      </c>
      <c r="C135" s="159">
        <v>29</v>
      </c>
      <c r="D135" s="159">
        <v>3</v>
      </c>
      <c r="E135" s="159">
        <v>84</v>
      </c>
      <c r="F135" s="160" t="s">
        <v>32838</v>
      </c>
      <c r="G135" s="161"/>
      <c r="H135" s="162" t="s">
        <v>13984</v>
      </c>
      <c r="I135" s="158" t="s">
        <v>13985</v>
      </c>
      <c r="J135" s="128"/>
      <c r="K135" s="128"/>
      <c r="L135" s="128"/>
      <c r="M135" s="129"/>
      <c r="N135" s="129"/>
      <c r="O135" s="129"/>
    </row>
    <row r="136" spans="1:15" ht="12.5">
      <c r="A136" s="158" t="s">
        <v>13986</v>
      </c>
      <c r="B136" s="159">
        <v>20</v>
      </c>
      <c r="C136" s="159">
        <v>29</v>
      </c>
      <c r="D136" s="159">
        <v>3</v>
      </c>
      <c r="E136" s="159">
        <v>86</v>
      </c>
      <c r="F136" s="160" t="s">
        <v>32838</v>
      </c>
      <c r="G136" s="161"/>
      <c r="H136" s="162" t="s">
        <v>13987</v>
      </c>
      <c r="I136" s="158" t="s">
        <v>13988</v>
      </c>
      <c r="J136" s="128"/>
      <c r="K136" s="128"/>
      <c r="L136" s="128"/>
      <c r="M136" s="129"/>
      <c r="N136" s="129"/>
      <c r="O136" s="129"/>
    </row>
    <row r="137" spans="1:15" ht="12.5">
      <c r="A137" s="158" t="s">
        <v>13989</v>
      </c>
      <c r="B137" s="159">
        <v>20</v>
      </c>
      <c r="C137" s="159">
        <v>29</v>
      </c>
      <c r="D137" s="159">
        <v>3</v>
      </c>
      <c r="E137" s="159">
        <v>88</v>
      </c>
      <c r="F137" s="160" t="s">
        <v>32838</v>
      </c>
      <c r="G137" s="132"/>
      <c r="H137" s="162" t="s">
        <v>13990</v>
      </c>
      <c r="I137" s="158" t="s">
        <v>13991</v>
      </c>
      <c r="J137" s="128"/>
      <c r="K137" s="128"/>
      <c r="L137" s="128"/>
      <c r="M137" s="129"/>
      <c r="N137" s="129"/>
      <c r="O137" s="129"/>
    </row>
    <row r="138" spans="1:15" ht="12.5">
      <c r="A138" s="158" t="s">
        <v>13992</v>
      </c>
      <c r="B138" s="159">
        <v>20</v>
      </c>
      <c r="C138" s="159">
        <v>29</v>
      </c>
      <c r="D138" s="159">
        <v>3</v>
      </c>
      <c r="E138" s="159">
        <v>92</v>
      </c>
      <c r="F138" s="160" t="s">
        <v>32838</v>
      </c>
      <c r="G138" s="161"/>
      <c r="H138" s="162" t="s">
        <v>13993</v>
      </c>
      <c r="I138" s="158" t="s">
        <v>13994</v>
      </c>
      <c r="J138" s="128"/>
      <c r="K138" s="128"/>
      <c r="L138" s="128"/>
      <c r="M138" s="129"/>
      <c r="N138" s="129"/>
      <c r="O138" s="129"/>
    </row>
    <row r="139" spans="1:15" ht="12.5">
      <c r="A139" s="158" t="s">
        <v>13995</v>
      </c>
      <c r="B139" s="159">
        <v>20</v>
      </c>
      <c r="C139" s="159">
        <v>29</v>
      </c>
      <c r="D139" s="159">
        <v>3</v>
      </c>
      <c r="E139" s="159">
        <v>97</v>
      </c>
      <c r="F139" s="160" t="s">
        <v>32838</v>
      </c>
      <c r="G139" s="161"/>
      <c r="H139" s="162" t="s">
        <v>13996</v>
      </c>
      <c r="I139" s="158" t="s">
        <v>13997</v>
      </c>
      <c r="J139" s="128"/>
      <c r="K139" s="128"/>
      <c r="L139" s="128"/>
      <c r="M139" s="129"/>
      <c r="N139" s="129"/>
      <c r="O139" s="129"/>
    </row>
    <row r="140" spans="1:15" ht="12.5">
      <c r="A140" s="151" t="s">
        <v>13998</v>
      </c>
      <c r="B140" s="152">
        <v>20</v>
      </c>
      <c r="C140" s="152">
        <v>29</v>
      </c>
      <c r="D140" s="152">
        <v>4</v>
      </c>
      <c r="E140" s="153"/>
      <c r="F140" s="154" t="s">
        <v>32875</v>
      </c>
      <c r="G140" s="168"/>
      <c r="H140" s="156" t="s">
        <v>13999</v>
      </c>
      <c r="I140" s="157"/>
      <c r="J140" s="157"/>
      <c r="K140" s="128"/>
      <c r="L140" s="128"/>
      <c r="M140" s="129"/>
      <c r="N140" s="129"/>
      <c r="O140" s="129"/>
    </row>
    <row r="141" spans="1:15" ht="12.5">
      <c r="A141" s="158" t="s">
        <v>14000</v>
      </c>
      <c r="B141" s="159">
        <v>20</v>
      </c>
      <c r="C141" s="159">
        <v>29</v>
      </c>
      <c r="D141" s="159">
        <v>4</v>
      </c>
      <c r="E141" s="159">
        <v>26</v>
      </c>
      <c r="F141" s="160" t="s">
        <v>32838</v>
      </c>
      <c r="G141" s="132"/>
      <c r="H141" s="162" t="s">
        <v>14001</v>
      </c>
      <c r="I141" s="158" t="s">
        <v>14002</v>
      </c>
      <c r="J141" s="128"/>
      <c r="K141" s="128"/>
      <c r="L141" s="128"/>
      <c r="M141" s="129"/>
      <c r="N141" s="129"/>
      <c r="O141" s="129"/>
    </row>
    <row r="142" spans="1:15" ht="12.5">
      <c r="A142" s="158" t="s">
        <v>14003</v>
      </c>
      <c r="B142" s="159">
        <v>20</v>
      </c>
      <c r="C142" s="159">
        <v>29</v>
      </c>
      <c r="D142" s="159">
        <v>4</v>
      </c>
      <c r="E142" s="159">
        <v>27</v>
      </c>
      <c r="F142" s="160" t="s">
        <v>32838</v>
      </c>
      <c r="G142" s="161"/>
      <c r="H142" s="162" t="s">
        <v>14004</v>
      </c>
      <c r="I142" s="158" t="s">
        <v>14005</v>
      </c>
      <c r="J142" s="128"/>
      <c r="K142" s="128"/>
      <c r="L142" s="128"/>
      <c r="M142" s="129"/>
      <c r="N142" s="129"/>
      <c r="O142" s="129"/>
    </row>
    <row r="143" spans="1:15" ht="12.5">
      <c r="A143" s="151" t="s">
        <v>14006</v>
      </c>
      <c r="B143" s="152">
        <v>20</v>
      </c>
      <c r="C143" s="152">
        <v>29</v>
      </c>
      <c r="D143" s="152">
        <v>8</v>
      </c>
      <c r="E143" s="164"/>
      <c r="F143" s="154" t="s">
        <v>32876</v>
      </c>
      <c r="G143" s="172"/>
      <c r="H143" s="156" t="s">
        <v>14007</v>
      </c>
      <c r="I143" s="166"/>
      <c r="J143" s="157"/>
      <c r="K143" s="128"/>
      <c r="L143" s="128"/>
      <c r="M143" s="129"/>
      <c r="N143" s="129"/>
      <c r="O143" s="129"/>
    </row>
    <row r="144" spans="1:15" ht="12.5">
      <c r="A144" s="158" t="s">
        <v>14008</v>
      </c>
      <c r="B144" s="159">
        <v>20</v>
      </c>
      <c r="C144" s="159">
        <v>29</v>
      </c>
      <c r="D144" s="159">
        <v>8</v>
      </c>
      <c r="E144" s="159">
        <v>4</v>
      </c>
      <c r="F144" s="160" t="s">
        <v>32838</v>
      </c>
      <c r="G144" s="132"/>
      <c r="H144" s="162" t="s">
        <v>14009</v>
      </c>
      <c r="I144" s="128"/>
      <c r="J144" s="128"/>
      <c r="K144" s="128"/>
      <c r="L144" s="128"/>
      <c r="M144" s="129"/>
      <c r="N144" s="129"/>
      <c r="O144" s="129"/>
    </row>
    <row r="145" spans="1:15" ht="12.5">
      <c r="A145" s="158" t="s">
        <v>14010</v>
      </c>
      <c r="B145" s="159">
        <v>20</v>
      </c>
      <c r="C145" s="159">
        <v>29</v>
      </c>
      <c r="D145" s="159">
        <v>8</v>
      </c>
      <c r="E145" s="159">
        <v>7</v>
      </c>
      <c r="F145" s="160" t="s">
        <v>32838</v>
      </c>
      <c r="G145" s="132"/>
      <c r="H145" s="162" t="s">
        <v>14011</v>
      </c>
      <c r="I145" s="158" t="s">
        <v>14012</v>
      </c>
      <c r="J145" s="128"/>
      <c r="K145" s="128"/>
      <c r="L145" s="128"/>
      <c r="M145" s="129"/>
      <c r="N145" s="129"/>
      <c r="O145" s="129"/>
    </row>
    <row r="146" spans="1:15" ht="12.5">
      <c r="A146" s="158" t="s">
        <v>14013</v>
      </c>
      <c r="B146" s="159">
        <v>20</v>
      </c>
      <c r="C146" s="159">
        <v>29</v>
      </c>
      <c r="D146" s="159">
        <v>8</v>
      </c>
      <c r="E146" s="159">
        <v>8</v>
      </c>
      <c r="F146" s="160" t="s">
        <v>32838</v>
      </c>
      <c r="G146" s="132"/>
      <c r="H146" s="162" t="s">
        <v>14014</v>
      </c>
      <c r="I146" s="158" t="s">
        <v>14015</v>
      </c>
      <c r="J146" s="128"/>
      <c r="K146" s="128"/>
      <c r="L146" s="128"/>
      <c r="M146" s="129"/>
      <c r="N146" s="129"/>
      <c r="O146" s="129"/>
    </row>
    <row r="147" spans="1:15" ht="12.5">
      <c r="A147" s="158" t="s">
        <v>14016</v>
      </c>
      <c r="B147" s="159">
        <v>20</v>
      </c>
      <c r="C147" s="159">
        <v>29</v>
      </c>
      <c r="D147" s="159">
        <v>8</v>
      </c>
      <c r="E147" s="159">
        <v>11</v>
      </c>
      <c r="F147" s="160" t="s">
        <v>32838</v>
      </c>
      <c r="G147" s="132"/>
      <c r="H147" s="162" t="s">
        <v>14017</v>
      </c>
      <c r="I147" s="158" t="s">
        <v>14018</v>
      </c>
      <c r="J147" s="128"/>
      <c r="K147" s="128"/>
      <c r="L147" s="128"/>
      <c r="M147" s="129"/>
      <c r="N147" s="129"/>
      <c r="O147" s="129"/>
    </row>
    <row r="148" spans="1:15" ht="12.5">
      <c r="A148" s="158" t="s">
        <v>14019</v>
      </c>
      <c r="B148" s="159">
        <v>20</v>
      </c>
      <c r="C148" s="159">
        <v>29</v>
      </c>
      <c r="D148" s="159">
        <v>8</v>
      </c>
      <c r="E148" s="159">
        <v>12</v>
      </c>
      <c r="F148" s="160" t="s">
        <v>32838</v>
      </c>
      <c r="G148" s="132"/>
      <c r="H148" s="162" t="s">
        <v>14020</v>
      </c>
      <c r="I148" s="158" t="s">
        <v>14021</v>
      </c>
      <c r="J148" s="128"/>
      <c r="K148" s="128"/>
      <c r="L148" s="128"/>
      <c r="M148" s="129"/>
      <c r="N148" s="129"/>
      <c r="O148" s="129"/>
    </row>
    <row r="149" spans="1:15" ht="12.5">
      <c r="A149" s="158" t="s">
        <v>14022</v>
      </c>
      <c r="B149" s="159">
        <v>20</v>
      </c>
      <c r="C149" s="159">
        <v>29</v>
      </c>
      <c r="D149" s="159">
        <v>8</v>
      </c>
      <c r="E149" s="159">
        <v>15</v>
      </c>
      <c r="F149" s="160" t="s">
        <v>32838</v>
      </c>
      <c r="G149" s="132"/>
      <c r="H149" s="162" t="s">
        <v>14023</v>
      </c>
      <c r="I149" s="158" t="s">
        <v>14024</v>
      </c>
      <c r="J149" s="128"/>
      <c r="K149" s="128"/>
      <c r="L149" s="128"/>
      <c r="M149" s="129"/>
      <c r="N149" s="129"/>
      <c r="O149" s="129"/>
    </row>
    <row r="150" spans="1:15" ht="12.5">
      <c r="A150" s="158" t="s">
        <v>14025</v>
      </c>
      <c r="B150" s="159">
        <v>20</v>
      </c>
      <c r="C150" s="159">
        <v>29</v>
      </c>
      <c r="D150" s="159">
        <v>8</v>
      </c>
      <c r="E150" s="159">
        <v>18</v>
      </c>
      <c r="F150" s="160" t="s">
        <v>32838</v>
      </c>
      <c r="G150" s="132"/>
      <c r="H150" s="162" t="s">
        <v>14026</v>
      </c>
      <c r="I150" s="128"/>
      <c r="J150" s="128"/>
      <c r="K150" s="128"/>
      <c r="L150" s="128"/>
      <c r="M150" s="129"/>
      <c r="N150" s="129"/>
      <c r="O150" s="129"/>
    </row>
    <row r="151" spans="1:15" ht="12.5">
      <c r="A151" s="158" t="s">
        <v>14027</v>
      </c>
      <c r="B151" s="159">
        <v>20</v>
      </c>
      <c r="C151" s="159">
        <v>29</v>
      </c>
      <c r="D151" s="159">
        <v>8</v>
      </c>
      <c r="E151" s="159">
        <v>26</v>
      </c>
      <c r="F151" s="160" t="s">
        <v>32838</v>
      </c>
      <c r="G151" s="161"/>
      <c r="H151" s="162" t="s">
        <v>14028</v>
      </c>
      <c r="I151" s="163"/>
      <c r="J151" s="128"/>
      <c r="K151" s="128"/>
      <c r="L151" s="128"/>
      <c r="M151" s="129"/>
      <c r="N151" s="129"/>
      <c r="O151" s="129"/>
    </row>
    <row r="152" spans="1:15" ht="12.5">
      <c r="A152" s="158" t="s">
        <v>14029</v>
      </c>
      <c r="B152" s="159">
        <v>20</v>
      </c>
      <c r="C152" s="159">
        <v>29</v>
      </c>
      <c r="D152" s="159">
        <v>8</v>
      </c>
      <c r="E152" s="159">
        <v>27</v>
      </c>
      <c r="F152" s="160" t="s">
        <v>32838</v>
      </c>
      <c r="G152" s="161"/>
      <c r="H152" s="162" t="s">
        <v>14030</v>
      </c>
      <c r="I152" s="163"/>
      <c r="J152" s="128"/>
      <c r="K152" s="128"/>
      <c r="L152" s="128"/>
      <c r="M152" s="129"/>
      <c r="N152" s="129"/>
      <c r="O152" s="129"/>
    </row>
    <row r="153" spans="1:15" ht="12.5">
      <c r="A153" s="158" t="s">
        <v>14031</v>
      </c>
      <c r="B153" s="159">
        <v>20</v>
      </c>
      <c r="C153" s="159">
        <v>29</v>
      </c>
      <c r="D153" s="159">
        <v>8</v>
      </c>
      <c r="E153" s="159">
        <v>28</v>
      </c>
      <c r="F153" s="160" t="s">
        <v>32838</v>
      </c>
      <c r="G153" s="161"/>
      <c r="H153" s="162" t="s">
        <v>14032</v>
      </c>
      <c r="I153" s="163"/>
      <c r="J153" s="128"/>
      <c r="K153" s="128"/>
      <c r="L153" s="128"/>
      <c r="M153" s="129"/>
      <c r="N153" s="129"/>
      <c r="O153" s="129"/>
    </row>
    <row r="154" spans="1:15" ht="12.5">
      <c r="A154" s="158" t="s">
        <v>14033</v>
      </c>
      <c r="B154" s="159">
        <v>20</v>
      </c>
      <c r="C154" s="159">
        <v>29</v>
      </c>
      <c r="D154" s="159">
        <v>8</v>
      </c>
      <c r="E154" s="159">
        <v>30</v>
      </c>
      <c r="F154" s="160" t="s">
        <v>32838</v>
      </c>
      <c r="G154" s="161"/>
      <c r="H154" s="162" t="s">
        <v>14034</v>
      </c>
      <c r="I154" s="163"/>
      <c r="J154" s="128"/>
      <c r="K154" s="128"/>
      <c r="L154" s="128"/>
      <c r="M154" s="129"/>
      <c r="N154" s="129"/>
      <c r="O154" s="129"/>
    </row>
    <row r="155" spans="1:15" ht="12.5">
      <c r="A155" s="158" t="s">
        <v>14035</v>
      </c>
      <c r="B155" s="159">
        <v>20</v>
      </c>
      <c r="C155" s="159">
        <v>29</v>
      </c>
      <c r="D155" s="159">
        <v>8</v>
      </c>
      <c r="E155" s="159">
        <v>32</v>
      </c>
      <c r="F155" s="160" t="s">
        <v>32838</v>
      </c>
      <c r="G155" s="132"/>
      <c r="H155" s="162" t="s">
        <v>14036</v>
      </c>
      <c r="I155" s="128"/>
      <c r="J155" s="128"/>
      <c r="K155" s="128"/>
      <c r="L155" s="128"/>
      <c r="M155" s="129"/>
      <c r="N155" s="129"/>
      <c r="O155" s="129"/>
    </row>
    <row r="156" spans="1:15" ht="12.5">
      <c r="A156" s="158" t="s">
        <v>14037</v>
      </c>
      <c r="B156" s="159">
        <v>20</v>
      </c>
      <c r="C156" s="159">
        <v>29</v>
      </c>
      <c r="D156" s="159">
        <v>8</v>
      </c>
      <c r="E156" s="159">
        <v>36</v>
      </c>
      <c r="F156" s="160" t="s">
        <v>32838</v>
      </c>
      <c r="G156" s="132"/>
      <c r="H156" s="162" t="s">
        <v>14038</v>
      </c>
      <c r="I156" s="128"/>
      <c r="J156" s="128"/>
      <c r="K156" s="128"/>
      <c r="L156" s="128"/>
      <c r="M156" s="129"/>
      <c r="N156" s="129"/>
      <c r="O156" s="129"/>
    </row>
    <row r="157" spans="1:15" ht="12.5">
      <c r="A157" s="158" t="s">
        <v>14039</v>
      </c>
      <c r="B157" s="159">
        <v>20</v>
      </c>
      <c r="C157" s="159">
        <v>29</v>
      </c>
      <c r="D157" s="159">
        <v>8</v>
      </c>
      <c r="E157" s="159">
        <v>38</v>
      </c>
      <c r="F157" s="160" t="s">
        <v>32838</v>
      </c>
      <c r="G157" s="161"/>
      <c r="H157" s="162" t="s">
        <v>14040</v>
      </c>
      <c r="I157" s="158" t="s">
        <v>14041</v>
      </c>
      <c r="J157" s="128"/>
      <c r="K157" s="128"/>
      <c r="L157" s="128"/>
      <c r="M157" s="129"/>
      <c r="N157" s="129"/>
      <c r="O157" s="129"/>
    </row>
    <row r="158" spans="1:15" ht="12.5">
      <c r="A158" s="158" t="s">
        <v>14042</v>
      </c>
      <c r="B158" s="159">
        <v>20</v>
      </c>
      <c r="C158" s="159">
        <v>29</v>
      </c>
      <c r="D158" s="159">
        <v>8</v>
      </c>
      <c r="E158" s="159">
        <v>42</v>
      </c>
      <c r="F158" s="160" t="s">
        <v>32838</v>
      </c>
      <c r="G158" s="161"/>
      <c r="H158" s="162" t="s">
        <v>14043</v>
      </c>
      <c r="I158" s="158" t="s">
        <v>14044</v>
      </c>
      <c r="J158" s="128"/>
      <c r="K158" s="128"/>
      <c r="L158" s="128"/>
      <c r="M158" s="129"/>
      <c r="N158" s="129"/>
      <c r="O158" s="129"/>
    </row>
    <row r="159" spans="1:15" ht="12.5">
      <c r="A159" s="158" t="s">
        <v>14045</v>
      </c>
      <c r="B159" s="159">
        <v>20</v>
      </c>
      <c r="C159" s="159">
        <v>29</v>
      </c>
      <c r="D159" s="159">
        <v>8</v>
      </c>
      <c r="E159" s="159">
        <v>46</v>
      </c>
      <c r="F159" s="160" t="s">
        <v>32838</v>
      </c>
      <c r="G159" s="161"/>
      <c r="H159" s="162" t="s">
        <v>14046</v>
      </c>
      <c r="I159" s="163"/>
      <c r="J159" s="128"/>
      <c r="K159" s="128"/>
      <c r="L159" s="128"/>
      <c r="M159" s="129"/>
      <c r="N159" s="129"/>
      <c r="O159" s="129"/>
    </row>
    <row r="160" spans="1:15" ht="12.5">
      <c r="A160" s="158" t="s">
        <v>14047</v>
      </c>
      <c r="B160" s="159">
        <v>20</v>
      </c>
      <c r="C160" s="159">
        <v>29</v>
      </c>
      <c r="D160" s="159">
        <v>8</v>
      </c>
      <c r="E160" s="159">
        <v>57</v>
      </c>
      <c r="F160" s="160" t="s">
        <v>32838</v>
      </c>
      <c r="G160" s="132"/>
      <c r="H160" s="162" t="s">
        <v>14048</v>
      </c>
      <c r="I160" s="158" t="s">
        <v>14049</v>
      </c>
      <c r="J160" s="128"/>
      <c r="K160" s="128"/>
      <c r="L160" s="128"/>
      <c r="M160" s="129"/>
      <c r="N160" s="129"/>
      <c r="O160" s="129"/>
    </row>
    <row r="161" spans="1:15" ht="12.5">
      <c r="A161" s="158" t="s">
        <v>14050</v>
      </c>
      <c r="B161" s="159">
        <v>20</v>
      </c>
      <c r="C161" s="159">
        <v>29</v>
      </c>
      <c r="D161" s="159">
        <v>8</v>
      </c>
      <c r="E161" s="159">
        <v>66</v>
      </c>
      <c r="F161" s="160" t="s">
        <v>32877</v>
      </c>
      <c r="G161" s="162" t="s">
        <v>32878</v>
      </c>
      <c r="H161" s="162" t="s">
        <v>14051</v>
      </c>
      <c r="I161" s="158" t="s">
        <v>14052</v>
      </c>
      <c r="J161" s="128"/>
      <c r="K161" s="128"/>
      <c r="L161" s="128"/>
      <c r="M161" s="129"/>
      <c r="N161" s="129"/>
      <c r="O161" s="129"/>
    </row>
    <row r="162" spans="1:15" ht="12.5">
      <c r="A162" s="158" t="s">
        <v>14053</v>
      </c>
      <c r="B162" s="159">
        <v>20</v>
      </c>
      <c r="C162" s="159">
        <v>29</v>
      </c>
      <c r="D162" s="159">
        <v>8</v>
      </c>
      <c r="E162" s="159">
        <v>70</v>
      </c>
      <c r="F162" s="160" t="s">
        <v>32838</v>
      </c>
      <c r="G162" s="161"/>
      <c r="H162" s="162" t="s">
        <v>14054</v>
      </c>
      <c r="I162" s="163"/>
      <c r="J162" s="128"/>
      <c r="K162" s="128"/>
      <c r="L162" s="128"/>
      <c r="M162" s="129"/>
      <c r="N162" s="129"/>
      <c r="O162" s="129"/>
    </row>
    <row r="163" spans="1:15" ht="12.5">
      <c r="A163" s="158" t="s">
        <v>14055</v>
      </c>
      <c r="B163" s="159">
        <v>20</v>
      </c>
      <c r="C163" s="159">
        <v>29</v>
      </c>
      <c r="D163" s="159">
        <v>8</v>
      </c>
      <c r="E163" s="159">
        <v>78</v>
      </c>
      <c r="F163" s="160" t="s">
        <v>32838</v>
      </c>
      <c r="G163" s="161"/>
      <c r="H163" s="162" t="s">
        <v>14056</v>
      </c>
      <c r="I163" s="163"/>
      <c r="J163" s="128"/>
      <c r="K163" s="128"/>
      <c r="L163" s="128"/>
      <c r="M163" s="129"/>
      <c r="N163" s="129"/>
      <c r="O163" s="129"/>
    </row>
    <row r="164" spans="1:15" ht="12.5">
      <c r="A164" s="158" t="s">
        <v>14057</v>
      </c>
      <c r="B164" s="159">
        <v>20</v>
      </c>
      <c r="C164" s="159">
        <v>29</v>
      </c>
      <c r="D164" s="159">
        <v>8</v>
      </c>
      <c r="E164" s="159">
        <v>83</v>
      </c>
      <c r="F164" s="160" t="s">
        <v>32838</v>
      </c>
      <c r="G164" s="132"/>
      <c r="H164" s="162" t="s">
        <v>14058</v>
      </c>
      <c r="I164" s="158" t="s">
        <v>14059</v>
      </c>
      <c r="J164" s="128"/>
      <c r="K164" s="128"/>
      <c r="L164" s="128"/>
      <c r="M164" s="129"/>
      <c r="N164" s="129"/>
      <c r="O164" s="129"/>
    </row>
    <row r="165" spans="1:15" ht="12.5">
      <c r="A165" s="158" t="s">
        <v>14060</v>
      </c>
      <c r="B165" s="159">
        <v>20</v>
      </c>
      <c r="C165" s="159">
        <v>29</v>
      </c>
      <c r="D165" s="159">
        <v>8</v>
      </c>
      <c r="E165" s="159">
        <v>84</v>
      </c>
      <c r="F165" s="160" t="s">
        <v>32838</v>
      </c>
      <c r="G165" s="161"/>
      <c r="H165" s="162" t="s">
        <v>14061</v>
      </c>
      <c r="I165" s="158" t="s">
        <v>14062</v>
      </c>
      <c r="J165" s="128"/>
      <c r="K165" s="128"/>
      <c r="L165" s="128"/>
      <c r="M165" s="129"/>
      <c r="N165" s="129"/>
      <c r="O165" s="129"/>
    </row>
    <row r="166" spans="1:15" ht="12.5">
      <c r="A166" s="158" t="s">
        <v>14063</v>
      </c>
      <c r="B166" s="159">
        <v>20</v>
      </c>
      <c r="C166" s="159">
        <v>29</v>
      </c>
      <c r="D166" s="159">
        <v>8</v>
      </c>
      <c r="E166" s="159">
        <v>85</v>
      </c>
      <c r="F166" s="160" t="s">
        <v>32838</v>
      </c>
      <c r="G166" s="161"/>
      <c r="H166" s="162" t="s">
        <v>14064</v>
      </c>
      <c r="I166" s="158" t="s">
        <v>14065</v>
      </c>
      <c r="J166" s="128"/>
      <c r="K166" s="128"/>
      <c r="L166" s="128"/>
      <c r="M166" s="129"/>
      <c r="N166" s="129"/>
      <c r="O166" s="129"/>
    </row>
    <row r="167" spans="1:15" ht="12.5">
      <c r="A167" s="158" t="s">
        <v>14066</v>
      </c>
      <c r="B167" s="159">
        <v>20</v>
      </c>
      <c r="C167" s="159">
        <v>29</v>
      </c>
      <c r="D167" s="159">
        <v>8</v>
      </c>
      <c r="E167" s="159">
        <v>86</v>
      </c>
      <c r="F167" s="160" t="s">
        <v>32838</v>
      </c>
      <c r="G167" s="161"/>
      <c r="H167" s="162" t="s">
        <v>14067</v>
      </c>
      <c r="I167" s="163"/>
      <c r="J167" s="128"/>
      <c r="K167" s="128"/>
      <c r="L167" s="128"/>
      <c r="M167" s="129"/>
      <c r="N167" s="129"/>
      <c r="O167" s="129"/>
    </row>
    <row r="168" spans="1:15" ht="12.5">
      <c r="A168" s="158" t="s">
        <v>14068</v>
      </c>
      <c r="B168" s="159">
        <v>20</v>
      </c>
      <c r="C168" s="159">
        <v>29</v>
      </c>
      <c r="D168" s="159">
        <v>8</v>
      </c>
      <c r="E168" s="159">
        <v>92</v>
      </c>
      <c r="F168" s="160" t="s">
        <v>32838</v>
      </c>
      <c r="G168" s="161"/>
      <c r="H168" s="162" t="s">
        <v>14069</v>
      </c>
      <c r="I168" s="163"/>
      <c r="J168" s="128"/>
      <c r="K168" s="128"/>
      <c r="L168" s="128"/>
      <c r="M168" s="129"/>
      <c r="N168" s="129"/>
      <c r="O168" s="129"/>
    </row>
    <row r="169" spans="1:15" ht="12.5">
      <c r="A169" s="151" t="s">
        <v>14070</v>
      </c>
      <c r="B169" s="152">
        <v>20</v>
      </c>
      <c r="C169" s="152">
        <v>29</v>
      </c>
      <c r="D169" s="152">
        <v>10</v>
      </c>
      <c r="E169" s="164"/>
      <c r="F169" s="156" t="s">
        <v>32879</v>
      </c>
      <c r="G169" s="165"/>
      <c r="H169" s="156" t="s">
        <v>14071</v>
      </c>
      <c r="I169" s="166"/>
      <c r="J169" s="157"/>
      <c r="K169" s="128"/>
      <c r="L169" s="128"/>
      <c r="M169" s="129"/>
      <c r="N169" s="129"/>
      <c r="O169" s="129"/>
    </row>
    <row r="170" spans="1:15" ht="12.5">
      <c r="A170" s="158" t="s">
        <v>14072</v>
      </c>
      <c r="B170" s="159">
        <v>20</v>
      </c>
      <c r="C170" s="159">
        <v>29</v>
      </c>
      <c r="D170" s="159">
        <v>10</v>
      </c>
      <c r="E170" s="159">
        <v>11</v>
      </c>
      <c r="F170" s="160" t="s">
        <v>32838</v>
      </c>
      <c r="G170" s="161"/>
      <c r="H170" s="162" t="s">
        <v>14073</v>
      </c>
      <c r="I170" s="158" t="s">
        <v>14074</v>
      </c>
      <c r="J170" s="128"/>
      <c r="K170" s="128"/>
      <c r="L170" s="128"/>
      <c r="M170" s="129"/>
      <c r="N170" s="129"/>
      <c r="O170" s="129"/>
    </row>
    <row r="171" spans="1:15" ht="12.5">
      <c r="A171" s="158" t="s">
        <v>14075</v>
      </c>
      <c r="B171" s="159">
        <v>20</v>
      </c>
      <c r="C171" s="159">
        <v>29</v>
      </c>
      <c r="D171" s="159">
        <v>10</v>
      </c>
      <c r="E171" s="159">
        <v>12</v>
      </c>
      <c r="F171" s="160" t="s">
        <v>32838</v>
      </c>
      <c r="G171" s="161"/>
      <c r="H171" s="162" t="s">
        <v>14076</v>
      </c>
      <c r="I171" s="158" t="s">
        <v>14077</v>
      </c>
      <c r="J171" s="128"/>
      <c r="K171" s="128"/>
      <c r="L171" s="128"/>
      <c r="M171" s="129"/>
      <c r="N171" s="129"/>
      <c r="O171" s="129"/>
    </row>
    <row r="172" spans="1:15" ht="12.5">
      <c r="A172" s="158" t="s">
        <v>14078</v>
      </c>
      <c r="B172" s="159">
        <v>20</v>
      </c>
      <c r="C172" s="159">
        <v>29</v>
      </c>
      <c r="D172" s="159">
        <v>10</v>
      </c>
      <c r="E172" s="159">
        <v>13</v>
      </c>
      <c r="F172" s="160" t="s">
        <v>32838</v>
      </c>
      <c r="G172" s="161"/>
      <c r="H172" s="162" t="s">
        <v>14079</v>
      </c>
      <c r="I172" s="158" t="s">
        <v>14080</v>
      </c>
      <c r="J172" s="128"/>
      <c r="K172" s="128"/>
      <c r="L172" s="128"/>
      <c r="M172" s="129"/>
      <c r="N172" s="129"/>
      <c r="O172" s="129"/>
    </row>
    <row r="173" spans="1:15" ht="12.5">
      <c r="A173" s="158" t="s">
        <v>14081</v>
      </c>
      <c r="B173" s="159">
        <v>20</v>
      </c>
      <c r="C173" s="159">
        <v>29</v>
      </c>
      <c r="D173" s="159">
        <v>10</v>
      </c>
      <c r="E173" s="159">
        <v>14</v>
      </c>
      <c r="F173" s="160" t="s">
        <v>32838</v>
      </c>
      <c r="G173" s="161"/>
      <c r="H173" s="162" t="s">
        <v>14082</v>
      </c>
      <c r="I173" s="158" t="s">
        <v>14083</v>
      </c>
      <c r="J173" s="128"/>
      <c r="K173" s="128"/>
      <c r="L173" s="128"/>
      <c r="M173" s="129"/>
      <c r="N173" s="129"/>
      <c r="O173" s="129"/>
    </row>
    <row r="174" spans="1:15" ht="12.5">
      <c r="A174" s="158" t="s">
        <v>14084</v>
      </c>
      <c r="B174" s="159">
        <v>20</v>
      </c>
      <c r="C174" s="159">
        <v>29</v>
      </c>
      <c r="D174" s="159">
        <v>10</v>
      </c>
      <c r="E174" s="159">
        <v>15</v>
      </c>
      <c r="F174" s="160" t="s">
        <v>32838</v>
      </c>
      <c r="G174" s="132"/>
      <c r="H174" s="162" t="s">
        <v>14085</v>
      </c>
      <c r="I174" s="158" t="s">
        <v>14086</v>
      </c>
      <c r="J174" s="128"/>
      <c r="K174" s="128"/>
      <c r="L174" s="128"/>
      <c r="M174" s="129"/>
      <c r="N174" s="129"/>
      <c r="O174" s="129"/>
    </row>
    <row r="175" spans="1:15" ht="12.5">
      <c r="A175" s="158" t="s">
        <v>14087</v>
      </c>
      <c r="B175" s="159">
        <v>20</v>
      </c>
      <c r="C175" s="159">
        <v>29</v>
      </c>
      <c r="D175" s="159">
        <v>10</v>
      </c>
      <c r="E175" s="159">
        <v>16</v>
      </c>
      <c r="F175" s="160" t="s">
        <v>32838</v>
      </c>
      <c r="G175" s="161"/>
      <c r="H175" s="162" t="s">
        <v>14088</v>
      </c>
      <c r="I175" s="158" t="s">
        <v>14089</v>
      </c>
      <c r="J175" s="128"/>
      <c r="K175" s="128"/>
      <c r="L175" s="128"/>
      <c r="M175" s="129"/>
      <c r="N175" s="129"/>
      <c r="O175" s="129"/>
    </row>
    <row r="176" spans="1:15" ht="12.5">
      <c r="A176" s="158" t="s">
        <v>14090</v>
      </c>
      <c r="B176" s="159">
        <v>20</v>
      </c>
      <c r="C176" s="159">
        <v>29</v>
      </c>
      <c r="D176" s="159">
        <v>10</v>
      </c>
      <c r="E176" s="159">
        <v>21</v>
      </c>
      <c r="F176" s="160" t="s">
        <v>32838</v>
      </c>
      <c r="G176" s="161"/>
      <c r="H176" s="162" t="s">
        <v>14091</v>
      </c>
      <c r="I176" s="158" t="s">
        <v>14092</v>
      </c>
      <c r="J176" s="128"/>
      <c r="K176" s="128"/>
      <c r="L176" s="128"/>
      <c r="M176" s="129"/>
      <c r="N176" s="129"/>
      <c r="O176" s="129"/>
    </row>
    <row r="177" spans="1:15" ht="12.5">
      <c r="A177" s="158" t="s">
        <v>14093</v>
      </c>
      <c r="B177" s="159">
        <v>20</v>
      </c>
      <c r="C177" s="159">
        <v>29</v>
      </c>
      <c r="D177" s="159">
        <v>10</v>
      </c>
      <c r="E177" s="159">
        <v>79</v>
      </c>
      <c r="F177" s="160" t="s">
        <v>32838</v>
      </c>
      <c r="G177" s="161"/>
      <c r="H177" s="162" t="s">
        <v>14094</v>
      </c>
      <c r="I177" s="158" t="s">
        <v>14095</v>
      </c>
      <c r="J177" s="128"/>
      <c r="K177" s="128"/>
      <c r="L177" s="128"/>
      <c r="M177" s="129"/>
      <c r="N177" s="129"/>
      <c r="O177" s="129"/>
    </row>
    <row r="178" spans="1:15" ht="12.5">
      <c r="A178" s="151" t="s">
        <v>14096</v>
      </c>
      <c r="B178" s="152">
        <v>20</v>
      </c>
      <c r="C178" s="152">
        <v>29</v>
      </c>
      <c r="D178" s="152">
        <v>14</v>
      </c>
      <c r="E178" s="164"/>
      <c r="F178" s="154" t="s">
        <v>32880</v>
      </c>
      <c r="G178" s="172"/>
      <c r="H178" s="156" t="s">
        <v>14097</v>
      </c>
      <c r="I178" s="166"/>
      <c r="J178" s="157"/>
      <c r="K178" s="128"/>
      <c r="L178" s="128"/>
      <c r="M178" s="129"/>
      <c r="N178" s="129"/>
      <c r="O178" s="129"/>
    </row>
    <row r="179" spans="1:15" ht="12.5">
      <c r="A179" s="158" t="s">
        <v>14104</v>
      </c>
      <c r="B179" s="159">
        <v>20</v>
      </c>
      <c r="C179" s="159">
        <v>29</v>
      </c>
      <c r="D179" s="159">
        <v>14</v>
      </c>
      <c r="E179" s="159">
        <v>13</v>
      </c>
      <c r="F179" s="160" t="s">
        <v>32838</v>
      </c>
      <c r="G179" s="161"/>
      <c r="H179" s="162" t="s">
        <v>14105</v>
      </c>
      <c r="I179" s="163"/>
      <c r="J179" s="128"/>
      <c r="K179" s="128"/>
      <c r="L179" s="128"/>
      <c r="M179" s="129"/>
      <c r="N179" s="129"/>
      <c r="O179" s="129"/>
    </row>
    <row r="180" spans="1:15" ht="12.5">
      <c r="A180" s="158" t="s">
        <v>14106</v>
      </c>
      <c r="B180" s="159">
        <v>20</v>
      </c>
      <c r="C180" s="159">
        <v>29</v>
      </c>
      <c r="D180" s="159">
        <v>14</v>
      </c>
      <c r="E180" s="159">
        <v>15</v>
      </c>
      <c r="F180" s="160" t="s">
        <v>32838</v>
      </c>
      <c r="G180" s="161"/>
      <c r="H180" s="162" t="s">
        <v>14107</v>
      </c>
      <c r="I180" s="158" t="s">
        <v>14108</v>
      </c>
      <c r="J180" s="128"/>
      <c r="K180" s="128"/>
      <c r="L180" s="128"/>
      <c r="M180" s="129"/>
      <c r="N180" s="129"/>
      <c r="O180" s="129"/>
    </row>
    <row r="181" spans="1:15" ht="12.5">
      <c r="A181" s="158" t="s">
        <v>14109</v>
      </c>
      <c r="B181" s="159">
        <v>20</v>
      </c>
      <c r="C181" s="159">
        <v>29</v>
      </c>
      <c r="D181" s="159">
        <v>14</v>
      </c>
      <c r="E181" s="159">
        <v>16</v>
      </c>
      <c r="F181" s="160" t="s">
        <v>32838</v>
      </c>
      <c r="G181" s="161"/>
      <c r="H181" s="162" t="s">
        <v>14110</v>
      </c>
      <c r="I181" s="163"/>
      <c r="J181" s="128"/>
      <c r="K181" s="128"/>
      <c r="L181" s="128"/>
      <c r="M181" s="129"/>
      <c r="N181" s="129"/>
      <c r="O181" s="129"/>
    </row>
    <row r="182" spans="1:15" ht="12.5">
      <c r="A182" s="158" t="s">
        <v>14111</v>
      </c>
      <c r="B182" s="159">
        <v>20</v>
      </c>
      <c r="C182" s="159">
        <v>29</v>
      </c>
      <c r="D182" s="159">
        <v>14</v>
      </c>
      <c r="E182" s="159">
        <v>17</v>
      </c>
      <c r="F182" s="160" t="s">
        <v>32838</v>
      </c>
      <c r="G182" s="161"/>
      <c r="H182" s="162" t="s">
        <v>14112</v>
      </c>
      <c r="I182" s="158" t="s">
        <v>14113</v>
      </c>
      <c r="J182" s="128"/>
      <c r="K182" s="128"/>
      <c r="L182" s="128"/>
      <c r="M182" s="129"/>
      <c r="N182" s="129"/>
      <c r="O182" s="129"/>
    </row>
    <row r="183" spans="1:15" ht="12.5">
      <c r="A183" s="158" t="s">
        <v>14114</v>
      </c>
      <c r="B183" s="159">
        <v>20</v>
      </c>
      <c r="C183" s="159">
        <v>29</v>
      </c>
      <c r="D183" s="159">
        <v>14</v>
      </c>
      <c r="E183" s="159">
        <v>22</v>
      </c>
      <c r="F183" s="160" t="s">
        <v>32838</v>
      </c>
      <c r="G183" s="132"/>
      <c r="H183" s="162" t="s">
        <v>14115</v>
      </c>
      <c r="I183" s="158" t="s">
        <v>14116</v>
      </c>
      <c r="J183" s="128"/>
      <c r="K183" s="128"/>
      <c r="L183" s="128"/>
      <c r="M183" s="129"/>
      <c r="N183" s="129"/>
      <c r="O183" s="129"/>
    </row>
    <row r="184" spans="1:15" ht="12.5">
      <c r="A184" s="158" t="s">
        <v>14117</v>
      </c>
      <c r="B184" s="159">
        <v>20</v>
      </c>
      <c r="C184" s="159">
        <v>29</v>
      </c>
      <c r="D184" s="159">
        <v>14</v>
      </c>
      <c r="E184" s="159">
        <v>24</v>
      </c>
      <c r="F184" s="160" t="s">
        <v>32838</v>
      </c>
      <c r="G184" s="132"/>
      <c r="H184" s="162" t="s">
        <v>14118</v>
      </c>
      <c r="I184" s="128"/>
      <c r="J184" s="128"/>
      <c r="K184" s="128"/>
      <c r="L184" s="128"/>
      <c r="M184" s="129"/>
      <c r="N184" s="129"/>
      <c r="O184" s="129"/>
    </row>
    <row r="185" spans="1:15" ht="12.5">
      <c r="A185" s="158" t="s">
        <v>14119</v>
      </c>
      <c r="B185" s="159">
        <v>20</v>
      </c>
      <c r="C185" s="159">
        <v>29</v>
      </c>
      <c r="D185" s="159">
        <v>14</v>
      </c>
      <c r="E185" s="159">
        <v>30</v>
      </c>
      <c r="F185" s="160" t="s">
        <v>32838</v>
      </c>
      <c r="G185" s="132"/>
      <c r="H185" s="162" t="s">
        <v>14120</v>
      </c>
      <c r="I185" s="158" t="s">
        <v>14121</v>
      </c>
      <c r="J185" s="128"/>
      <c r="K185" s="128"/>
      <c r="L185" s="128"/>
      <c r="M185" s="129"/>
      <c r="N185" s="129"/>
      <c r="O185" s="129"/>
    </row>
    <row r="186" spans="1:15" ht="12.5">
      <c r="A186" s="158" t="s">
        <v>14122</v>
      </c>
      <c r="B186" s="159">
        <v>20</v>
      </c>
      <c r="C186" s="159">
        <v>29</v>
      </c>
      <c r="D186" s="159">
        <v>14</v>
      </c>
      <c r="E186" s="159">
        <v>31</v>
      </c>
      <c r="F186" s="160" t="s">
        <v>32838</v>
      </c>
      <c r="G186" s="161"/>
      <c r="H186" s="162" t="s">
        <v>14123</v>
      </c>
      <c r="I186" s="163"/>
      <c r="J186" s="128"/>
      <c r="K186" s="128"/>
      <c r="L186" s="128"/>
      <c r="M186" s="129"/>
      <c r="N186" s="129"/>
      <c r="O186" s="129"/>
    </row>
    <row r="187" spans="1:15" ht="12.5">
      <c r="A187" s="158" t="s">
        <v>14124</v>
      </c>
      <c r="B187" s="159">
        <v>20</v>
      </c>
      <c r="C187" s="159">
        <v>29</v>
      </c>
      <c r="D187" s="159">
        <v>14</v>
      </c>
      <c r="E187" s="159">
        <v>32</v>
      </c>
      <c r="F187" s="160" t="s">
        <v>32838</v>
      </c>
      <c r="G187" s="161"/>
      <c r="H187" s="162" t="s">
        <v>14125</v>
      </c>
      <c r="I187" s="158" t="s">
        <v>14126</v>
      </c>
      <c r="J187" s="128"/>
      <c r="K187" s="128"/>
      <c r="L187" s="128"/>
      <c r="M187" s="129"/>
      <c r="N187" s="129"/>
      <c r="O187" s="129"/>
    </row>
    <row r="188" spans="1:15" ht="12.5">
      <c r="A188" s="158" t="s">
        <v>14127</v>
      </c>
      <c r="B188" s="159">
        <v>20</v>
      </c>
      <c r="C188" s="159">
        <v>29</v>
      </c>
      <c r="D188" s="159">
        <v>14</v>
      </c>
      <c r="E188" s="159">
        <v>33</v>
      </c>
      <c r="F188" s="160" t="s">
        <v>32838</v>
      </c>
      <c r="G188" s="161"/>
      <c r="H188" s="162" t="s">
        <v>14128</v>
      </c>
      <c r="I188" s="158" t="s">
        <v>14129</v>
      </c>
      <c r="J188" s="128"/>
      <c r="K188" s="128"/>
      <c r="L188" s="128"/>
      <c r="M188" s="129"/>
      <c r="N188" s="129"/>
      <c r="O188" s="129"/>
    </row>
    <row r="189" spans="1:15" ht="12.5">
      <c r="A189" s="158" t="s">
        <v>14130</v>
      </c>
      <c r="B189" s="159">
        <v>20</v>
      </c>
      <c r="C189" s="159">
        <v>29</v>
      </c>
      <c r="D189" s="159">
        <v>14</v>
      </c>
      <c r="E189" s="159">
        <v>34</v>
      </c>
      <c r="F189" s="160" t="s">
        <v>32838</v>
      </c>
      <c r="G189" s="132"/>
      <c r="H189" s="162" t="s">
        <v>14131</v>
      </c>
      <c r="I189" s="128"/>
      <c r="J189" s="128"/>
      <c r="K189" s="128"/>
      <c r="L189" s="128"/>
      <c r="M189" s="129"/>
      <c r="N189" s="129"/>
      <c r="O189" s="129"/>
    </row>
    <row r="190" spans="1:15" ht="12.5">
      <c r="A190" s="158" t="s">
        <v>14132</v>
      </c>
      <c r="B190" s="159">
        <v>20</v>
      </c>
      <c r="C190" s="159">
        <v>29</v>
      </c>
      <c r="D190" s="159">
        <v>14</v>
      </c>
      <c r="E190" s="159">
        <v>35</v>
      </c>
      <c r="F190" s="160" t="s">
        <v>32838</v>
      </c>
      <c r="G190" s="161"/>
      <c r="H190" s="162" t="s">
        <v>14133</v>
      </c>
      <c r="I190" s="163"/>
      <c r="J190" s="128"/>
      <c r="K190" s="128"/>
      <c r="L190" s="128"/>
      <c r="M190" s="129"/>
      <c r="N190" s="129"/>
      <c r="O190" s="129"/>
    </row>
    <row r="191" spans="1:15" ht="12.5">
      <c r="A191" s="158" t="s">
        <v>14134</v>
      </c>
      <c r="B191" s="159">
        <v>20</v>
      </c>
      <c r="C191" s="159">
        <v>29</v>
      </c>
      <c r="D191" s="159">
        <v>14</v>
      </c>
      <c r="E191" s="159">
        <v>36</v>
      </c>
      <c r="F191" s="160" t="s">
        <v>32838</v>
      </c>
      <c r="G191" s="161"/>
      <c r="H191" s="162" t="s">
        <v>14135</v>
      </c>
      <c r="I191" s="163"/>
      <c r="J191" s="128"/>
      <c r="K191" s="128"/>
      <c r="L191" s="128"/>
      <c r="M191" s="129"/>
      <c r="N191" s="129"/>
      <c r="O191" s="129"/>
    </row>
    <row r="192" spans="1:15" ht="12.5">
      <c r="A192" s="158" t="s">
        <v>14138</v>
      </c>
      <c r="B192" s="159">
        <v>20</v>
      </c>
      <c r="C192" s="159">
        <v>29</v>
      </c>
      <c r="D192" s="159">
        <v>14</v>
      </c>
      <c r="E192" s="159">
        <v>45</v>
      </c>
      <c r="F192" s="160" t="s">
        <v>32838</v>
      </c>
      <c r="G192" s="132"/>
      <c r="H192" s="162" t="s">
        <v>14139</v>
      </c>
      <c r="I192" s="158" t="s">
        <v>14140</v>
      </c>
      <c r="J192" s="128"/>
      <c r="K192" s="128"/>
      <c r="L192" s="128"/>
      <c r="M192" s="129"/>
      <c r="N192" s="129"/>
      <c r="O192" s="129"/>
    </row>
    <row r="193" spans="1:15" ht="12.5">
      <c r="A193" s="158" t="s">
        <v>14141</v>
      </c>
      <c r="B193" s="159">
        <v>20</v>
      </c>
      <c r="C193" s="159">
        <v>29</v>
      </c>
      <c r="D193" s="159">
        <v>14</v>
      </c>
      <c r="E193" s="159">
        <v>50</v>
      </c>
      <c r="F193" s="160" t="s">
        <v>32838</v>
      </c>
      <c r="G193" s="161"/>
      <c r="H193" s="162" t="s">
        <v>14142</v>
      </c>
      <c r="I193" s="158" t="s">
        <v>14143</v>
      </c>
      <c r="J193" s="128"/>
      <c r="K193" s="128"/>
      <c r="L193" s="128"/>
      <c r="M193" s="129"/>
      <c r="N193" s="129"/>
      <c r="O193" s="129"/>
    </row>
    <row r="194" spans="1:15" ht="12.5">
      <c r="A194" s="158" t="s">
        <v>14147</v>
      </c>
      <c r="B194" s="159">
        <v>20</v>
      </c>
      <c r="C194" s="159">
        <v>29</v>
      </c>
      <c r="D194" s="159">
        <v>14</v>
      </c>
      <c r="E194" s="159">
        <v>68</v>
      </c>
      <c r="F194" s="160" t="s">
        <v>32838</v>
      </c>
      <c r="G194" s="161"/>
      <c r="H194" s="162" t="s">
        <v>14148</v>
      </c>
      <c r="I194" s="158" t="s">
        <v>14149</v>
      </c>
      <c r="J194" s="128"/>
      <c r="K194" s="128"/>
      <c r="L194" s="128"/>
      <c r="M194" s="129"/>
      <c r="N194" s="129"/>
      <c r="O194" s="129"/>
    </row>
    <row r="195" spans="1:15" ht="12.5">
      <c r="A195" s="158" t="s">
        <v>14150</v>
      </c>
      <c r="B195" s="159">
        <v>20</v>
      </c>
      <c r="C195" s="159">
        <v>29</v>
      </c>
      <c r="D195" s="159">
        <v>14</v>
      </c>
      <c r="E195" s="159">
        <v>76</v>
      </c>
      <c r="F195" s="160" t="s">
        <v>32838</v>
      </c>
      <c r="G195" s="132"/>
      <c r="H195" s="162" t="s">
        <v>14151</v>
      </c>
      <c r="I195" s="158" t="s">
        <v>14152</v>
      </c>
      <c r="J195" s="128"/>
      <c r="K195" s="128"/>
      <c r="L195" s="128"/>
      <c r="M195" s="129"/>
      <c r="N195" s="129"/>
      <c r="O195" s="129"/>
    </row>
    <row r="196" spans="1:15" ht="12.5">
      <c r="A196" s="158" t="s">
        <v>14153</v>
      </c>
      <c r="B196" s="159">
        <v>20</v>
      </c>
      <c r="C196" s="159">
        <v>29</v>
      </c>
      <c r="D196" s="159">
        <v>14</v>
      </c>
      <c r="E196" s="159">
        <v>79</v>
      </c>
      <c r="F196" s="160" t="s">
        <v>32838</v>
      </c>
      <c r="G196" s="132"/>
      <c r="H196" s="162" t="s">
        <v>14154</v>
      </c>
      <c r="I196" s="128"/>
      <c r="J196" s="128"/>
      <c r="K196" s="128"/>
      <c r="L196" s="128"/>
      <c r="M196" s="129"/>
      <c r="N196" s="129"/>
      <c r="O196" s="129"/>
    </row>
    <row r="197" spans="1:15" ht="12.5">
      <c r="A197" s="158" t="s">
        <v>14155</v>
      </c>
      <c r="B197" s="159">
        <v>20</v>
      </c>
      <c r="C197" s="159">
        <v>29</v>
      </c>
      <c r="D197" s="159">
        <v>14</v>
      </c>
      <c r="E197" s="159">
        <v>82</v>
      </c>
      <c r="F197" s="160" t="s">
        <v>32838</v>
      </c>
      <c r="G197" s="161"/>
      <c r="H197" s="162" t="s">
        <v>14156</v>
      </c>
      <c r="I197" s="158" t="s">
        <v>14157</v>
      </c>
      <c r="J197" s="128"/>
      <c r="K197" s="128"/>
      <c r="L197" s="128"/>
      <c r="M197" s="129"/>
      <c r="N197" s="129"/>
      <c r="O197" s="129"/>
    </row>
    <row r="198" spans="1:15" ht="12.5">
      <c r="A198" s="158" t="s">
        <v>14158</v>
      </c>
      <c r="B198" s="159">
        <v>20</v>
      </c>
      <c r="C198" s="159">
        <v>29</v>
      </c>
      <c r="D198" s="159">
        <v>14</v>
      </c>
      <c r="E198" s="159">
        <v>84</v>
      </c>
      <c r="F198" s="160" t="s">
        <v>32838</v>
      </c>
      <c r="G198" s="161"/>
      <c r="H198" s="162" t="s">
        <v>14159</v>
      </c>
      <c r="I198" s="158" t="s">
        <v>14160</v>
      </c>
      <c r="J198" s="128"/>
      <c r="K198" s="128"/>
      <c r="L198" s="128"/>
      <c r="M198" s="129"/>
      <c r="N198" s="129"/>
      <c r="O198" s="129"/>
    </row>
    <row r="199" spans="1:15" ht="12.5">
      <c r="A199" s="158" t="s">
        <v>14161</v>
      </c>
      <c r="B199" s="159">
        <v>20</v>
      </c>
      <c r="C199" s="159">
        <v>29</v>
      </c>
      <c r="D199" s="159">
        <v>14</v>
      </c>
      <c r="E199" s="159">
        <v>85</v>
      </c>
      <c r="F199" s="160" t="s">
        <v>32838</v>
      </c>
      <c r="G199" s="161"/>
      <c r="H199" s="162" t="s">
        <v>14162</v>
      </c>
      <c r="I199" s="158" t="s">
        <v>14163</v>
      </c>
      <c r="J199" s="128"/>
      <c r="K199" s="128"/>
      <c r="L199" s="128"/>
      <c r="M199" s="129"/>
      <c r="N199" s="129"/>
      <c r="O199" s="129"/>
    </row>
    <row r="200" spans="1:15" ht="12.5">
      <c r="A200" s="158" t="s">
        <v>14164</v>
      </c>
      <c r="B200" s="159">
        <v>20</v>
      </c>
      <c r="C200" s="159">
        <v>29</v>
      </c>
      <c r="D200" s="159">
        <v>14</v>
      </c>
      <c r="E200" s="159">
        <v>86</v>
      </c>
      <c r="F200" s="176" t="s">
        <v>32838</v>
      </c>
      <c r="G200" s="177"/>
      <c r="H200" s="162" t="s">
        <v>14165</v>
      </c>
      <c r="I200" s="158" t="s">
        <v>14166</v>
      </c>
      <c r="J200" s="128"/>
      <c r="K200" s="128"/>
      <c r="L200" s="128"/>
      <c r="M200" s="129"/>
      <c r="N200" s="129"/>
      <c r="O200" s="129"/>
    </row>
    <row r="201" spans="1:15" ht="12.5">
      <c r="A201" s="158" t="s">
        <v>14167</v>
      </c>
      <c r="B201" s="159">
        <v>20</v>
      </c>
      <c r="C201" s="159">
        <v>29</v>
      </c>
      <c r="D201" s="159">
        <v>14</v>
      </c>
      <c r="E201" s="159">
        <v>87</v>
      </c>
      <c r="F201" s="160" t="s">
        <v>32838</v>
      </c>
      <c r="G201" s="161"/>
      <c r="H201" s="162" t="s">
        <v>14168</v>
      </c>
      <c r="I201" s="158" t="s">
        <v>14169</v>
      </c>
      <c r="J201" s="128"/>
      <c r="K201" s="128"/>
      <c r="L201" s="128"/>
      <c r="M201" s="129"/>
      <c r="N201" s="129"/>
      <c r="O201" s="129"/>
    </row>
    <row r="202" spans="1:15" ht="12.5">
      <c r="A202" s="158" t="s">
        <v>14170</v>
      </c>
      <c r="B202" s="159">
        <v>20</v>
      </c>
      <c r="C202" s="159">
        <v>29</v>
      </c>
      <c r="D202" s="159">
        <v>14</v>
      </c>
      <c r="E202" s="159">
        <v>90</v>
      </c>
      <c r="F202" s="178" t="s">
        <v>32881</v>
      </c>
      <c r="G202" s="179" t="s">
        <v>32882</v>
      </c>
      <c r="H202" s="162" t="s">
        <v>14171</v>
      </c>
      <c r="I202" s="158" t="s">
        <v>14172</v>
      </c>
      <c r="J202" s="128"/>
      <c r="K202" s="128"/>
      <c r="L202" s="128"/>
      <c r="M202" s="129"/>
      <c r="N202" s="129"/>
      <c r="O202" s="129"/>
    </row>
    <row r="203" spans="1:15" ht="12.5">
      <c r="A203" s="151" t="s">
        <v>14173</v>
      </c>
      <c r="B203" s="152">
        <v>20</v>
      </c>
      <c r="C203" s="152">
        <v>29</v>
      </c>
      <c r="D203" s="152">
        <v>23</v>
      </c>
      <c r="E203" s="153"/>
      <c r="F203" s="154" t="s">
        <v>32883</v>
      </c>
      <c r="G203" s="155"/>
      <c r="H203" s="156" t="s">
        <v>14174</v>
      </c>
      <c r="I203" s="157"/>
      <c r="J203" s="128"/>
      <c r="K203" s="128"/>
      <c r="L203" s="128"/>
      <c r="M203" s="129"/>
      <c r="N203" s="129"/>
      <c r="O203" s="129"/>
    </row>
    <row r="204" spans="1:15" ht="12.5">
      <c r="A204" s="158" t="s">
        <v>14175</v>
      </c>
      <c r="B204" s="159">
        <v>20</v>
      </c>
      <c r="C204" s="159">
        <v>29</v>
      </c>
      <c r="D204" s="159">
        <v>23</v>
      </c>
      <c r="E204" s="159">
        <v>11</v>
      </c>
      <c r="F204" s="160" t="s">
        <v>32838</v>
      </c>
      <c r="G204" s="132"/>
      <c r="H204" s="162" t="s">
        <v>14176</v>
      </c>
      <c r="I204" s="158" t="s">
        <v>14177</v>
      </c>
      <c r="J204" s="128"/>
      <c r="K204" s="128"/>
      <c r="L204" s="128"/>
      <c r="M204" s="129"/>
      <c r="N204" s="129"/>
      <c r="O204" s="129"/>
    </row>
    <row r="205" spans="1:15" ht="12.5">
      <c r="A205" s="158" t="s">
        <v>14178</v>
      </c>
      <c r="B205" s="159">
        <v>20</v>
      </c>
      <c r="C205" s="159">
        <v>29</v>
      </c>
      <c r="D205" s="159">
        <v>23</v>
      </c>
      <c r="E205" s="159">
        <v>12</v>
      </c>
      <c r="F205" s="160" t="s">
        <v>32838</v>
      </c>
      <c r="G205" s="161"/>
      <c r="H205" s="162" t="s">
        <v>14179</v>
      </c>
      <c r="I205" s="158" t="s">
        <v>14180</v>
      </c>
      <c r="J205" s="128"/>
      <c r="K205" s="128"/>
      <c r="L205" s="128"/>
      <c r="M205" s="129"/>
      <c r="N205" s="129"/>
      <c r="O205" s="129"/>
    </row>
    <row r="206" spans="1:15" ht="12.5">
      <c r="A206" s="158" t="s">
        <v>14181</v>
      </c>
      <c r="B206" s="159">
        <v>20</v>
      </c>
      <c r="C206" s="159">
        <v>29</v>
      </c>
      <c r="D206" s="159">
        <v>23</v>
      </c>
      <c r="E206" s="159">
        <v>22</v>
      </c>
      <c r="F206" s="160" t="s">
        <v>32838</v>
      </c>
      <c r="G206" s="161"/>
      <c r="H206" s="162" t="s">
        <v>14182</v>
      </c>
      <c r="I206" s="163"/>
      <c r="J206" s="128"/>
      <c r="K206" s="128"/>
      <c r="L206" s="128"/>
      <c r="M206" s="129"/>
      <c r="N206" s="129"/>
      <c r="O206" s="129"/>
    </row>
    <row r="207" spans="1:15" ht="12.5">
      <c r="A207" s="158" t="s">
        <v>14183</v>
      </c>
      <c r="B207" s="159">
        <v>20</v>
      </c>
      <c r="C207" s="159">
        <v>29</v>
      </c>
      <c r="D207" s="159">
        <v>23</v>
      </c>
      <c r="E207" s="159">
        <v>23</v>
      </c>
      <c r="F207" s="160" t="s">
        <v>32838</v>
      </c>
      <c r="G207" s="161"/>
      <c r="H207" s="162" t="s">
        <v>14184</v>
      </c>
      <c r="I207" s="158" t="s">
        <v>14185</v>
      </c>
      <c r="J207" s="128"/>
      <c r="K207" s="128"/>
      <c r="L207" s="128"/>
      <c r="M207" s="129"/>
      <c r="N207" s="129"/>
      <c r="O207" s="129"/>
    </row>
    <row r="208" spans="1:15" ht="12.5">
      <c r="A208" s="158" t="s">
        <v>14186</v>
      </c>
      <c r="B208" s="159">
        <v>20</v>
      </c>
      <c r="C208" s="159">
        <v>29</v>
      </c>
      <c r="D208" s="159">
        <v>23</v>
      </c>
      <c r="E208" s="159">
        <v>30</v>
      </c>
      <c r="F208" s="160" t="s">
        <v>32838</v>
      </c>
      <c r="G208" s="161"/>
      <c r="H208" s="162" t="s">
        <v>14187</v>
      </c>
      <c r="I208" s="158" t="s">
        <v>14188</v>
      </c>
      <c r="J208" s="128"/>
      <c r="K208" s="128"/>
      <c r="L208" s="128"/>
      <c r="M208" s="129"/>
      <c r="N208" s="129"/>
      <c r="O208" s="129"/>
    </row>
    <row r="209" spans="1:15" ht="12.5">
      <c r="A209" s="158" t="s">
        <v>14189</v>
      </c>
      <c r="B209" s="159">
        <v>20</v>
      </c>
      <c r="C209" s="159">
        <v>29</v>
      </c>
      <c r="D209" s="159">
        <v>23</v>
      </c>
      <c r="E209" s="159">
        <v>36</v>
      </c>
      <c r="F209" s="160" t="s">
        <v>32838</v>
      </c>
      <c r="G209" s="161"/>
      <c r="H209" s="162" t="s">
        <v>14190</v>
      </c>
      <c r="I209" s="158" t="s">
        <v>14191</v>
      </c>
      <c r="J209" s="128"/>
      <c r="K209" s="128"/>
      <c r="L209" s="128"/>
      <c r="M209" s="129"/>
      <c r="N209" s="129"/>
      <c r="O209" s="129"/>
    </row>
    <row r="210" spans="1:15" ht="12.5">
      <c r="A210" s="158" t="s">
        <v>14192</v>
      </c>
      <c r="B210" s="159">
        <v>20</v>
      </c>
      <c r="C210" s="159">
        <v>29</v>
      </c>
      <c r="D210" s="159">
        <v>23</v>
      </c>
      <c r="E210" s="159">
        <v>40</v>
      </c>
      <c r="F210" s="160" t="s">
        <v>32838</v>
      </c>
      <c r="G210" s="161"/>
      <c r="H210" s="162" t="s">
        <v>14193</v>
      </c>
      <c r="I210" s="158" t="s">
        <v>14194</v>
      </c>
      <c r="J210" s="128"/>
      <c r="K210" s="128"/>
      <c r="L210" s="128"/>
      <c r="M210" s="129"/>
      <c r="N210" s="129"/>
      <c r="O210" s="129"/>
    </row>
    <row r="211" spans="1:15" ht="12.5">
      <c r="A211" s="158" t="s">
        <v>14195</v>
      </c>
      <c r="B211" s="159">
        <v>20</v>
      </c>
      <c r="C211" s="159">
        <v>29</v>
      </c>
      <c r="D211" s="159">
        <v>23</v>
      </c>
      <c r="E211" s="159">
        <v>50</v>
      </c>
      <c r="F211" s="160" t="s">
        <v>32838</v>
      </c>
      <c r="G211" s="132"/>
      <c r="H211" s="162" t="s">
        <v>14196</v>
      </c>
      <c r="I211" s="158" t="s">
        <v>14143</v>
      </c>
      <c r="J211" s="128"/>
      <c r="K211" s="128"/>
      <c r="L211" s="128"/>
      <c r="M211" s="129"/>
      <c r="N211" s="129"/>
      <c r="O211" s="129"/>
    </row>
    <row r="212" spans="1:15" ht="12.5">
      <c r="A212" s="158" t="s">
        <v>14197</v>
      </c>
      <c r="B212" s="159">
        <v>20</v>
      </c>
      <c r="C212" s="159">
        <v>29</v>
      </c>
      <c r="D212" s="159">
        <v>23</v>
      </c>
      <c r="E212" s="159">
        <v>52</v>
      </c>
      <c r="F212" s="160" t="s">
        <v>32838</v>
      </c>
      <c r="G212" s="132"/>
      <c r="H212" s="162" t="s">
        <v>14198</v>
      </c>
      <c r="I212" s="158" t="s">
        <v>14199</v>
      </c>
      <c r="J212" s="128"/>
      <c r="K212" s="128"/>
      <c r="L212" s="128"/>
      <c r="M212" s="129"/>
      <c r="N212" s="129"/>
      <c r="O212" s="129"/>
    </row>
    <row r="213" spans="1:15" ht="12.5">
      <c r="A213" s="158" t="s">
        <v>14200</v>
      </c>
      <c r="B213" s="159">
        <v>20</v>
      </c>
      <c r="C213" s="159">
        <v>29</v>
      </c>
      <c r="D213" s="159">
        <v>23</v>
      </c>
      <c r="E213" s="159">
        <v>65</v>
      </c>
      <c r="F213" s="160" t="s">
        <v>32838</v>
      </c>
      <c r="G213" s="161"/>
      <c r="H213" s="162" t="s">
        <v>14201</v>
      </c>
      <c r="I213" s="158" t="s">
        <v>14202</v>
      </c>
      <c r="J213" s="128"/>
      <c r="K213" s="128"/>
      <c r="L213" s="128"/>
      <c r="M213" s="129"/>
      <c r="N213" s="129"/>
      <c r="O213" s="129"/>
    </row>
    <row r="214" spans="1:15" ht="12.5">
      <c r="A214" s="158" t="s">
        <v>14203</v>
      </c>
      <c r="B214" s="159">
        <v>20</v>
      </c>
      <c r="C214" s="159">
        <v>29</v>
      </c>
      <c r="D214" s="159">
        <v>23</v>
      </c>
      <c r="E214" s="159">
        <v>80</v>
      </c>
      <c r="F214" s="160" t="s">
        <v>32838</v>
      </c>
      <c r="G214" s="132"/>
      <c r="H214" s="162" t="s">
        <v>14204</v>
      </c>
      <c r="I214" s="128"/>
      <c r="J214" s="128"/>
      <c r="K214" s="128"/>
      <c r="L214" s="128"/>
      <c r="M214" s="129"/>
      <c r="N214" s="129"/>
      <c r="O214" s="129"/>
    </row>
    <row r="215" spans="1:15" ht="12.5">
      <c r="A215" s="158" t="s">
        <v>14205</v>
      </c>
      <c r="B215" s="159">
        <v>20</v>
      </c>
      <c r="C215" s="159">
        <v>29</v>
      </c>
      <c r="D215" s="159">
        <v>23</v>
      </c>
      <c r="E215" s="159">
        <v>83</v>
      </c>
      <c r="F215" s="160" t="s">
        <v>32838</v>
      </c>
      <c r="G215" s="132"/>
      <c r="H215" s="162" t="s">
        <v>14206</v>
      </c>
      <c r="I215" s="158" t="s">
        <v>14207</v>
      </c>
      <c r="J215" s="128"/>
      <c r="K215" s="128"/>
      <c r="L215" s="128"/>
      <c r="M215" s="129"/>
      <c r="N215" s="129"/>
      <c r="O215" s="129"/>
    </row>
    <row r="216" spans="1:15" ht="12.5">
      <c r="A216" s="158" t="s">
        <v>14208</v>
      </c>
      <c r="B216" s="159">
        <v>20</v>
      </c>
      <c r="C216" s="159">
        <v>29</v>
      </c>
      <c r="D216" s="159">
        <v>23</v>
      </c>
      <c r="E216" s="159">
        <v>84</v>
      </c>
      <c r="F216" s="160" t="s">
        <v>32838</v>
      </c>
      <c r="G216" s="132"/>
      <c r="H216" s="162" t="s">
        <v>14209</v>
      </c>
      <c r="I216" s="158" t="s">
        <v>14210</v>
      </c>
      <c r="J216" s="128"/>
      <c r="K216" s="128"/>
      <c r="L216" s="128"/>
      <c r="M216" s="129"/>
      <c r="N216" s="129"/>
      <c r="O216" s="129"/>
    </row>
    <row r="217" spans="1:15" ht="12.5">
      <c r="A217" s="158" t="s">
        <v>14211</v>
      </c>
      <c r="B217" s="159">
        <v>20</v>
      </c>
      <c r="C217" s="159">
        <v>29</v>
      </c>
      <c r="D217" s="159">
        <v>23</v>
      </c>
      <c r="E217" s="159">
        <v>92</v>
      </c>
      <c r="F217" s="160" t="s">
        <v>32838</v>
      </c>
      <c r="G217" s="132"/>
      <c r="H217" s="162" t="s">
        <v>14212</v>
      </c>
      <c r="I217" s="158" t="s">
        <v>14213</v>
      </c>
      <c r="J217" s="128"/>
      <c r="K217" s="128"/>
      <c r="L217" s="128"/>
      <c r="M217" s="129"/>
      <c r="N217" s="129"/>
      <c r="O217" s="129"/>
    </row>
    <row r="218" spans="1:15" ht="12.5">
      <c r="A218" s="151" t="s">
        <v>14214</v>
      </c>
      <c r="B218" s="152">
        <v>20</v>
      </c>
      <c r="C218" s="152">
        <v>29</v>
      </c>
      <c r="D218" s="152">
        <v>29</v>
      </c>
      <c r="E218" s="153"/>
      <c r="F218" s="154" t="s">
        <v>32884</v>
      </c>
      <c r="G218" s="168"/>
      <c r="H218" s="156" t="s">
        <v>14215</v>
      </c>
      <c r="I218" s="157"/>
      <c r="J218" s="128"/>
      <c r="K218" s="128"/>
      <c r="L218" s="128"/>
      <c r="M218" s="129"/>
      <c r="N218" s="129"/>
      <c r="O218" s="129"/>
    </row>
    <row r="219" spans="1:15" ht="12.5">
      <c r="A219" s="158" t="s">
        <v>14216</v>
      </c>
      <c r="B219" s="159">
        <v>20</v>
      </c>
      <c r="C219" s="159">
        <v>29</v>
      </c>
      <c r="D219" s="159">
        <v>29</v>
      </c>
      <c r="E219" s="159">
        <v>23</v>
      </c>
      <c r="F219" s="160" t="s">
        <v>32838</v>
      </c>
      <c r="G219" s="132"/>
      <c r="H219" s="162" t="s">
        <v>14217</v>
      </c>
      <c r="I219" s="158" t="s">
        <v>14218</v>
      </c>
      <c r="J219" s="128"/>
      <c r="K219" s="128"/>
      <c r="L219" s="128"/>
      <c r="M219" s="129"/>
      <c r="N219" s="129"/>
      <c r="O219" s="129"/>
    </row>
    <row r="220" spans="1:15" ht="12.5">
      <c r="A220" s="158" t="s">
        <v>14219</v>
      </c>
      <c r="B220" s="159">
        <v>20</v>
      </c>
      <c r="C220" s="159">
        <v>29</v>
      </c>
      <c r="D220" s="159">
        <v>29</v>
      </c>
      <c r="E220" s="159">
        <v>29</v>
      </c>
      <c r="F220" s="160" t="s">
        <v>32838</v>
      </c>
      <c r="G220" s="132"/>
      <c r="H220" s="162" t="s">
        <v>14220</v>
      </c>
      <c r="I220" s="158" t="s">
        <v>14221</v>
      </c>
      <c r="J220" s="128"/>
      <c r="K220" s="128"/>
      <c r="L220" s="128"/>
      <c r="M220" s="129"/>
      <c r="N220" s="129"/>
      <c r="O220" s="129"/>
    </row>
    <row r="221" spans="1:15" ht="12.5">
      <c r="A221" s="158" t="s">
        <v>14222</v>
      </c>
      <c r="B221" s="159">
        <v>20</v>
      </c>
      <c r="C221" s="159">
        <v>29</v>
      </c>
      <c r="D221" s="159">
        <v>29</v>
      </c>
      <c r="E221" s="159">
        <v>62</v>
      </c>
      <c r="F221" s="160" t="s">
        <v>32838</v>
      </c>
      <c r="G221" s="161"/>
      <c r="H221" s="162" t="s">
        <v>14223</v>
      </c>
      <c r="I221" s="158" t="s">
        <v>14224</v>
      </c>
      <c r="J221" s="128"/>
      <c r="K221" s="128"/>
      <c r="L221" s="128"/>
      <c r="M221" s="129"/>
      <c r="N221" s="129"/>
      <c r="O221" s="129"/>
    </row>
    <row r="222" spans="1:15" ht="12.5">
      <c r="A222" s="158" t="s">
        <v>14225</v>
      </c>
      <c r="B222" s="159">
        <v>20</v>
      </c>
      <c r="C222" s="159">
        <v>29</v>
      </c>
      <c r="D222" s="159">
        <v>29</v>
      </c>
      <c r="E222" s="159">
        <v>66</v>
      </c>
      <c r="F222" s="160" t="s">
        <v>32838</v>
      </c>
      <c r="G222" s="161"/>
      <c r="H222" s="162" t="s">
        <v>14226</v>
      </c>
      <c r="I222" s="163"/>
      <c r="J222" s="128"/>
      <c r="K222" s="128"/>
      <c r="L222" s="128"/>
      <c r="M222" s="129"/>
      <c r="N222" s="129"/>
      <c r="O222" s="129"/>
    </row>
    <row r="223" spans="1:15" ht="12.5">
      <c r="A223" s="158" t="s">
        <v>14227</v>
      </c>
      <c r="B223" s="159">
        <v>20</v>
      </c>
      <c r="C223" s="159">
        <v>29</v>
      </c>
      <c r="D223" s="159">
        <v>29</v>
      </c>
      <c r="E223" s="159">
        <v>84</v>
      </c>
      <c r="F223" s="160" t="s">
        <v>32838</v>
      </c>
      <c r="G223" s="161"/>
      <c r="H223" s="162" t="s">
        <v>14228</v>
      </c>
      <c r="I223" s="158" t="s">
        <v>14229</v>
      </c>
      <c r="J223" s="128"/>
      <c r="K223" s="128"/>
      <c r="L223" s="128"/>
      <c r="M223" s="129"/>
      <c r="N223" s="129"/>
      <c r="O223" s="129"/>
    </row>
    <row r="224" spans="1:15" ht="12.5">
      <c r="A224" s="158" t="s">
        <v>14230</v>
      </c>
      <c r="B224" s="159">
        <v>20</v>
      </c>
      <c r="C224" s="159">
        <v>29</v>
      </c>
      <c r="D224" s="159">
        <v>29</v>
      </c>
      <c r="E224" s="159">
        <v>96</v>
      </c>
      <c r="F224" s="160" t="s">
        <v>32838</v>
      </c>
      <c r="G224" s="161"/>
      <c r="H224" s="162" t="s">
        <v>14231</v>
      </c>
      <c r="I224" s="163"/>
      <c r="J224" s="128"/>
      <c r="K224" s="128"/>
      <c r="L224" s="128"/>
      <c r="M224" s="129"/>
      <c r="N224" s="129"/>
      <c r="O224" s="129"/>
    </row>
    <row r="225" spans="1:15" ht="12.5">
      <c r="A225" s="151" t="s">
        <v>14232</v>
      </c>
      <c r="B225" s="152">
        <v>20</v>
      </c>
      <c r="C225" s="152">
        <v>29</v>
      </c>
      <c r="D225" s="152">
        <v>30</v>
      </c>
      <c r="E225" s="164"/>
      <c r="F225" s="154" t="s">
        <v>32885</v>
      </c>
      <c r="G225" s="165"/>
      <c r="H225" s="156" t="s">
        <v>14233</v>
      </c>
      <c r="I225" s="166"/>
      <c r="J225" s="157"/>
      <c r="K225" s="128"/>
      <c r="L225" s="128"/>
      <c r="M225" s="129"/>
      <c r="N225" s="129"/>
      <c r="O225" s="129"/>
    </row>
    <row r="226" spans="1:15" ht="12.5">
      <c r="A226" s="158" t="s">
        <v>14234</v>
      </c>
      <c r="B226" s="159">
        <v>20</v>
      </c>
      <c r="C226" s="159">
        <v>29</v>
      </c>
      <c r="D226" s="159">
        <v>30</v>
      </c>
      <c r="E226" s="159">
        <v>11</v>
      </c>
      <c r="F226" s="160" t="s">
        <v>32838</v>
      </c>
      <c r="G226" s="161"/>
      <c r="H226" s="162" t="s">
        <v>14235</v>
      </c>
      <c r="I226" s="163"/>
      <c r="J226" s="128"/>
      <c r="K226" s="128"/>
      <c r="L226" s="128"/>
      <c r="M226" s="129"/>
      <c r="N226" s="129"/>
      <c r="O226" s="129"/>
    </row>
    <row r="227" spans="1:15" ht="12.5">
      <c r="A227" s="158" t="s">
        <v>14236</v>
      </c>
      <c r="B227" s="159">
        <v>20</v>
      </c>
      <c r="C227" s="159">
        <v>29</v>
      </c>
      <c r="D227" s="159">
        <v>30</v>
      </c>
      <c r="E227" s="159">
        <v>12</v>
      </c>
      <c r="F227" s="160" t="s">
        <v>32838</v>
      </c>
      <c r="G227" s="161"/>
      <c r="H227" s="162" t="s">
        <v>14237</v>
      </c>
      <c r="I227" s="158" t="s">
        <v>14238</v>
      </c>
      <c r="J227" s="128"/>
      <c r="K227" s="128"/>
      <c r="L227" s="128"/>
      <c r="M227" s="129"/>
      <c r="N227" s="129"/>
      <c r="O227" s="129"/>
    </row>
    <row r="228" spans="1:15" ht="12.5">
      <c r="A228" s="158" t="s">
        <v>14239</v>
      </c>
      <c r="B228" s="159">
        <v>20</v>
      </c>
      <c r="C228" s="159">
        <v>29</v>
      </c>
      <c r="D228" s="159">
        <v>30</v>
      </c>
      <c r="E228" s="159">
        <v>24</v>
      </c>
      <c r="F228" s="160" t="s">
        <v>32838</v>
      </c>
      <c r="G228" s="161"/>
      <c r="H228" s="162" t="s">
        <v>14240</v>
      </c>
      <c r="I228" s="163"/>
      <c r="J228" s="128"/>
      <c r="K228" s="128"/>
      <c r="L228" s="128"/>
      <c r="M228" s="129"/>
      <c r="N228" s="129"/>
      <c r="O228" s="129"/>
    </row>
    <row r="229" spans="1:15" ht="12.5">
      <c r="A229" s="158" t="s">
        <v>14241</v>
      </c>
      <c r="B229" s="159">
        <v>20</v>
      </c>
      <c r="C229" s="159">
        <v>29</v>
      </c>
      <c r="D229" s="159">
        <v>30</v>
      </c>
      <c r="E229" s="159">
        <v>31</v>
      </c>
      <c r="F229" s="160" t="s">
        <v>32838</v>
      </c>
      <c r="G229" s="161"/>
      <c r="H229" s="162" t="s">
        <v>14242</v>
      </c>
      <c r="I229" s="163"/>
      <c r="J229" s="128"/>
      <c r="K229" s="128"/>
      <c r="L229" s="128"/>
      <c r="M229" s="129"/>
      <c r="N229" s="129"/>
      <c r="O229" s="129"/>
    </row>
    <row r="230" spans="1:15" ht="12.5">
      <c r="A230" s="158" t="s">
        <v>14243</v>
      </c>
      <c r="B230" s="159">
        <v>20</v>
      </c>
      <c r="C230" s="159">
        <v>29</v>
      </c>
      <c r="D230" s="159">
        <v>30</v>
      </c>
      <c r="E230" s="159">
        <v>32</v>
      </c>
      <c r="F230" s="160" t="s">
        <v>32838</v>
      </c>
      <c r="G230" s="161"/>
      <c r="H230" s="162" t="s">
        <v>14244</v>
      </c>
      <c r="I230" s="163"/>
      <c r="J230" s="128"/>
      <c r="K230" s="128"/>
      <c r="L230" s="128"/>
      <c r="M230" s="129"/>
      <c r="N230" s="129"/>
      <c r="O230" s="129"/>
    </row>
    <row r="231" spans="1:15" ht="12.5">
      <c r="A231" s="158" t="s">
        <v>14245</v>
      </c>
      <c r="B231" s="159">
        <v>20</v>
      </c>
      <c r="C231" s="159">
        <v>29</v>
      </c>
      <c r="D231" s="159">
        <v>30</v>
      </c>
      <c r="E231" s="159">
        <v>96</v>
      </c>
      <c r="F231" s="160" t="s">
        <v>32838</v>
      </c>
      <c r="G231" s="161"/>
      <c r="H231" s="162" t="s">
        <v>14246</v>
      </c>
      <c r="I231" s="163"/>
      <c r="J231" s="128"/>
      <c r="K231" s="128"/>
      <c r="L231" s="128"/>
      <c r="M231" s="129"/>
      <c r="N231" s="129"/>
      <c r="O231" s="129"/>
    </row>
    <row r="232" spans="1:15" ht="12.5">
      <c r="A232" s="151" t="s">
        <v>14247</v>
      </c>
      <c r="B232" s="152">
        <v>20</v>
      </c>
      <c r="C232" s="152">
        <v>29</v>
      </c>
      <c r="D232" s="152">
        <v>31</v>
      </c>
      <c r="E232" s="164"/>
      <c r="F232" s="154" t="s">
        <v>32886</v>
      </c>
      <c r="G232" s="172"/>
      <c r="H232" s="156" t="s">
        <v>14248</v>
      </c>
      <c r="I232" s="166"/>
      <c r="J232" s="157"/>
      <c r="K232" s="128"/>
      <c r="L232" s="128"/>
      <c r="M232" s="129"/>
      <c r="N232" s="129"/>
      <c r="O232" s="129"/>
    </row>
    <row r="233" spans="1:15" ht="12.5">
      <c r="A233" s="158" t="s">
        <v>14249</v>
      </c>
      <c r="B233" s="159">
        <v>20</v>
      </c>
      <c r="C233" s="159">
        <v>29</v>
      </c>
      <c r="D233" s="159">
        <v>31</v>
      </c>
      <c r="E233" s="159">
        <v>8</v>
      </c>
      <c r="F233" s="160" t="s">
        <v>32838</v>
      </c>
      <c r="G233" s="161"/>
      <c r="H233" s="162" t="s">
        <v>14250</v>
      </c>
      <c r="I233" s="158" t="s">
        <v>14251</v>
      </c>
      <c r="J233" s="128"/>
      <c r="K233" s="128"/>
      <c r="L233" s="128"/>
      <c r="M233" s="129"/>
      <c r="N233" s="129"/>
      <c r="O233" s="129"/>
    </row>
    <row r="234" spans="1:15" ht="12.5">
      <c r="A234" s="158" t="s">
        <v>14252</v>
      </c>
      <c r="B234" s="159">
        <v>20</v>
      </c>
      <c r="C234" s="159">
        <v>29</v>
      </c>
      <c r="D234" s="159">
        <v>31</v>
      </c>
      <c r="E234" s="159">
        <v>12</v>
      </c>
      <c r="F234" s="160" t="s">
        <v>32887</v>
      </c>
      <c r="G234" s="162" t="s">
        <v>32888</v>
      </c>
      <c r="H234" s="162" t="s">
        <v>14253</v>
      </c>
      <c r="I234" s="158" t="s">
        <v>14254</v>
      </c>
      <c r="J234" s="128"/>
      <c r="K234" s="128"/>
      <c r="L234" s="128"/>
      <c r="M234" s="129"/>
      <c r="N234" s="129"/>
      <c r="O234" s="129"/>
    </row>
    <row r="235" spans="1:15" ht="12.5">
      <c r="A235" s="158" t="s">
        <v>14255</v>
      </c>
      <c r="B235" s="159">
        <v>20</v>
      </c>
      <c r="C235" s="159">
        <v>29</v>
      </c>
      <c r="D235" s="159">
        <v>31</v>
      </c>
      <c r="E235" s="159">
        <v>13</v>
      </c>
      <c r="F235" s="160" t="s">
        <v>32889</v>
      </c>
      <c r="G235" s="162" t="s">
        <v>32888</v>
      </c>
      <c r="H235" s="162" t="s">
        <v>14256</v>
      </c>
      <c r="I235" s="158" t="s">
        <v>14257</v>
      </c>
      <c r="J235" s="128"/>
      <c r="K235" s="128"/>
      <c r="L235" s="128"/>
      <c r="M235" s="129"/>
      <c r="N235" s="129"/>
      <c r="O235" s="129"/>
    </row>
    <row r="236" spans="1:15" ht="12.5">
      <c r="A236" s="158" t="s">
        <v>14258</v>
      </c>
      <c r="B236" s="159">
        <v>20</v>
      </c>
      <c r="C236" s="159">
        <v>29</v>
      </c>
      <c r="D236" s="159">
        <v>31</v>
      </c>
      <c r="E236" s="159">
        <v>44</v>
      </c>
      <c r="F236" s="162" t="s">
        <v>32890</v>
      </c>
      <c r="G236" s="162" t="s">
        <v>32882</v>
      </c>
      <c r="H236" s="162" t="s">
        <v>14259</v>
      </c>
      <c r="I236" s="158" t="s">
        <v>14260</v>
      </c>
      <c r="J236" s="128"/>
      <c r="K236" s="128"/>
      <c r="L236" s="128"/>
      <c r="M236" s="129"/>
      <c r="N236" s="129"/>
      <c r="O236" s="129"/>
    </row>
    <row r="237" spans="1:15" ht="12.5">
      <c r="A237" s="158" t="s">
        <v>14261</v>
      </c>
      <c r="B237" s="159">
        <v>20</v>
      </c>
      <c r="C237" s="159">
        <v>29</v>
      </c>
      <c r="D237" s="159">
        <v>31</v>
      </c>
      <c r="E237" s="159">
        <v>52</v>
      </c>
      <c r="F237" s="160" t="s">
        <v>32838</v>
      </c>
      <c r="G237" s="132"/>
      <c r="H237" s="162" t="s">
        <v>14262</v>
      </c>
      <c r="I237" s="158" t="s">
        <v>14263</v>
      </c>
      <c r="J237" s="128"/>
      <c r="K237" s="128"/>
      <c r="L237" s="128"/>
      <c r="M237" s="129"/>
      <c r="N237" s="129"/>
      <c r="O237" s="129"/>
    </row>
    <row r="238" spans="1:15" ht="12.5">
      <c r="A238" s="158" t="s">
        <v>14264</v>
      </c>
      <c r="B238" s="159">
        <v>20</v>
      </c>
      <c r="C238" s="159">
        <v>29</v>
      </c>
      <c r="D238" s="159">
        <v>31</v>
      </c>
      <c r="E238" s="159">
        <v>84</v>
      </c>
      <c r="F238" s="160" t="s">
        <v>32891</v>
      </c>
      <c r="G238" s="162" t="s">
        <v>32888</v>
      </c>
      <c r="H238" s="162" t="s">
        <v>14265</v>
      </c>
      <c r="I238" s="158" t="s">
        <v>14266</v>
      </c>
      <c r="J238" s="128"/>
      <c r="K238" s="128"/>
      <c r="L238" s="128"/>
      <c r="M238" s="129"/>
      <c r="N238" s="129"/>
      <c r="O238" s="129"/>
    </row>
    <row r="239" spans="1:15" ht="12.5">
      <c r="A239" s="158" t="s">
        <v>14267</v>
      </c>
      <c r="B239" s="159">
        <v>20</v>
      </c>
      <c r="C239" s="159">
        <v>29</v>
      </c>
      <c r="D239" s="159">
        <v>31</v>
      </c>
      <c r="E239" s="159">
        <v>85</v>
      </c>
      <c r="F239" s="160" t="s">
        <v>32892</v>
      </c>
      <c r="G239" s="162" t="s">
        <v>32888</v>
      </c>
      <c r="H239" s="162" t="s">
        <v>14268</v>
      </c>
      <c r="I239" s="158" t="s">
        <v>14269</v>
      </c>
      <c r="J239" s="128"/>
      <c r="K239" s="128"/>
      <c r="L239" s="128"/>
      <c r="M239" s="129"/>
      <c r="N239" s="129"/>
      <c r="O239" s="129"/>
    </row>
    <row r="240" spans="1:15" ht="12.5">
      <c r="A240" s="151" t="s">
        <v>14270</v>
      </c>
      <c r="B240" s="152">
        <v>20</v>
      </c>
      <c r="C240" s="152">
        <v>29</v>
      </c>
      <c r="D240" s="152">
        <v>34</v>
      </c>
      <c r="E240" s="164"/>
      <c r="F240" s="154" t="s">
        <v>32893</v>
      </c>
      <c r="G240" s="165"/>
      <c r="H240" s="156" t="s">
        <v>14271</v>
      </c>
      <c r="I240" s="166"/>
      <c r="J240" s="128"/>
      <c r="K240" s="128"/>
      <c r="L240" s="128"/>
      <c r="M240" s="129"/>
      <c r="N240" s="129"/>
      <c r="O240" s="129"/>
    </row>
    <row r="241" spans="1:15" ht="12.5">
      <c r="A241" s="158" t="s">
        <v>14272</v>
      </c>
      <c r="B241" s="159">
        <v>20</v>
      </c>
      <c r="C241" s="159">
        <v>29</v>
      </c>
      <c r="D241" s="159">
        <v>34</v>
      </c>
      <c r="E241" s="159">
        <v>16</v>
      </c>
      <c r="F241" s="160" t="s">
        <v>32838</v>
      </c>
      <c r="G241" s="132"/>
      <c r="H241" s="162" t="s">
        <v>14273</v>
      </c>
      <c r="I241" s="158" t="s">
        <v>14274</v>
      </c>
      <c r="J241" s="128"/>
      <c r="K241" s="128"/>
      <c r="L241" s="128"/>
      <c r="M241" s="129"/>
      <c r="N241" s="129"/>
      <c r="O241" s="129"/>
    </row>
    <row r="242" spans="1:15" ht="12.5">
      <c r="A242" s="158" t="s">
        <v>14275</v>
      </c>
      <c r="B242" s="159">
        <v>20</v>
      </c>
      <c r="C242" s="159">
        <v>29</v>
      </c>
      <c r="D242" s="159">
        <v>34</v>
      </c>
      <c r="E242" s="159">
        <v>34</v>
      </c>
      <c r="F242" s="160" t="s">
        <v>32838</v>
      </c>
      <c r="G242" s="132"/>
      <c r="H242" s="162" t="s">
        <v>14276</v>
      </c>
      <c r="I242" s="158" t="s">
        <v>14277</v>
      </c>
      <c r="J242" s="128"/>
      <c r="K242" s="128"/>
      <c r="L242" s="128"/>
      <c r="M242" s="129"/>
      <c r="N242" s="129"/>
      <c r="O242" s="129"/>
    </row>
    <row r="243" spans="1:15" ht="12.5">
      <c r="A243" s="158" t="s">
        <v>14278</v>
      </c>
      <c r="B243" s="159">
        <v>20</v>
      </c>
      <c r="C243" s="159">
        <v>29</v>
      </c>
      <c r="D243" s="159">
        <v>34</v>
      </c>
      <c r="E243" s="159">
        <v>35</v>
      </c>
      <c r="F243" s="160" t="s">
        <v>32838</v>
      </c>
      <c r="G243" s="132"/>
      <c r="H243" s="162" t="s">
        <v>14279</v>
      </c>
      <c r="I243" s="158" t="s">
        <v>14280</v>
      </c>
      <c r="J243" s="128"/>
      <c r="K243" s="128"/>
      <c r="L243" s="128"/>
      <c r="M243" s="129"/>
      <c r="N243" s="129"/>
      <c r="O243" s="129"/>
    </row>
    <row r="244" spans="1:15" ht="12.5">
      <c r="A244" s="158" t="s">
        <v>14281</v>
      </c>
      <c r="B244" s="159">
        <v>20</v>
      </c>
      <c r="C244" s="159">
        <v>29</v>
      </c>
      <c r="D244" s="159">
        <v>34</v>
      </c>
      <c r="E244" s="159">
        <v>85</v>
      </c>
      <c r="F244" s="160" t="s">
        <v>32838</v>
      </c>
      <c r="G244" s="132"/>
      <c r="H244" s="162" t="s">
        <v>14282</v>
      </c>
      <c r="I244" s="158" t="s">
        <v>14283</v>
      </c>
      <c r="J244" s="128"/>
      <c r="K244" s="128"/>
      <c r="L244" s="128"/>
      <c r="M244" s="129"/>
      <c r="N244" s="129"/>
      <c r="O244" s="129"/>
    </row>
    <row r="245" spans="1:15" ht="12.5">
      <c r="A245" s="158" t="s">
        <v>14284</v>
      </c>
      <c r="B245" s="159">
        <v>20</v>
      </c>
      <c r="C245" s="159">
        <v>29</v>
      </c>
      <c r="D245" s="159">
        <v>34</v>
      </c>
      <c r="E245" s="159">
        <v>86</v>
      </c>
      <c r="F245" s="160" t="s">
        <v>32838</v>
      </c>
      <c r="G245" s="161"/>
      <c r="H245" s="162" t="s">
        <v>14285</v>
      </c>
      <c r="I245" s="158" t="s">
        <v>14286</v>
      </c>
      <c r="J245" s="128"/>
      <c r="K245" s="128"/>
      <c r="L245" s="128"/>
      <c r="M245" s="129"/>
      <c r="N245" s="129"/>
      <c r="O245" s="129"/>
    </row>
    <row r="246" spans="1:15" ht="12.5">
      <c r="A246" s="151" t="s">
        <v>14287</v>
      </c>
      <c r="B246" s="152">
        <v>20</v>
      </c>
      <c r="C246" s="152">
        <v>29</v>
      </c>
      <c r="D246" s="152">
        <v>56</v>
      </c>
      <c r="E246" s="153"/>
      <c r="F246" s="154" t="s">
        <v>32894</v>
      </c>
      <c r="G246" s="168"/>
      <c r="H246" s="156" t="s">
        <v>14288</v>
      </c>
      <c r="I246" s="157"/>
      <c r="J246" s="128"/>
      <c r="K246" s="128"/>
      <c r="L246" s="128"/>
      <c r="M246" s="129"/>
      <c r="N246" s="129"/>
      <c r="O246" s="129"/>
    </row>
    <row r="247" spans="1:15" ht="12.5">
      <c r="A247" s="158" t="s">
        <v>14289</v>
      </c>
      <c r="B247" s="159">
        <v>20</v>
      </c>
      <c r="C247" s="159">
        <v>29</v>
      </c>
      <c r="D247" s="159">
        <v>56</v>
      </c>
      <c r="E247" s="159">
        <v>2</v>
      </c>
      <c r="F247" s="160" t="s">
        <v>32838</v>
      </c>
      <c r="G247" s="132"/>
      <c r="H247" s="162" t="s">
        <v>14290</v>
      </c>
      <c r="I247" s="158" t="s">
        <v>14291</v>
      </c>
      <c r="J247" s="128"/>
      <c r="K247" s="128"/>
      <c r="L247" s="128"/>
      <c r="M247" s="129"/>
      <c r="N247" s="129"/>
      <c r="O247" s="129"/>
    </row>
    <row r="248" spans="1:15" ht="12.5">
      <c r="A248" s="158" t="s">
        <v>14292</v>
      </c>
      <c r="B248" s="159">
        <v>20</v>
      </c>
      <c r="C248" s="159">
        <v>29</v>
      </c>
      <c r="D248" s="159">
        <v>56</v>
      </c>
      <c r="E248" s="159">
        <v>3</v>
      </c>
      <c r="F248" s="160" t="s">
        <v>32838</v>
      </c>
      <c r="G248" s="161"/>
      <c r="H248" s="162" t="s">
        <v>14293</v>
      </c>
      <c r="I248" s="163"/>
      <c r="J248" s="128"/>
      <c r="K248" s="128"/>
      <c r="L248" s="128"/>
      <c r="M248" s="129"/>
      <c r="N248" s="129"/>
      <c r="O248" s="129"/>
    </row>
    <row r="249" spans="1:15" ht="12.5">
      <c r="A249" s="158" t="s">
        <v>14294</v>
      </c>
      <c r="B249" s="159">
        <v>20</v>
      </c>
      <c r="C249" s="159">
        <v>29</v>
      </c>
      <c r="D249" s="159">
        <v>56</v>
      </c>
      <c r="E249" s="159">
        <v>11</v>
      </c>
      <c r="F249" s="160" t="s">
        <v>32838</v>
      </c>
      <c r="G249" s="161"/>
      <c r="H249" s="162" t="s">
        <v>14295</v>
      </c>
      <c r="I249" s="158" t="s">
        <v>14296</v>
      </c>
      <c r="J249" s="128"/>
      <c r="K249" s="128"/>
      <c r="L249" s="128"/>
      <c r="M249" s="129"/>
      <c r="N249" s="129"/>
      <c r="O249" s="129"/>
    </row>
    <row r="250" spans="1:15" ht="12.5">
      <c r="A250" s="158" t="s">
        <v>14297</v>
      </c>
      <c r="B250" s="159">
        <v>20</v>
      </c>
      <c r="C250" s="159">
        <v>29</v>
      </c>
      <c r="D250" s="159">
        <v>56</v>
      </c>
      <c r="E250" s="159">
        <v>12</v>
      </c>
      <c r="F250" s="160" t="s">
        <v>32838</v>
      </c>
      <c r="G250" s="161"/>
      <c r="H250" s="162" t="s">
        <v>14298</v>
      </c>
      <c r="I250" s="158" t="s">
        <v>14299</v>
      </c>
      <c r="J250" s="128"/>
      <c r="K250" s="128"/>
      <c r="L250" s="128"/>
      <c r="M250" s="129"/>
      <c r="N250" s="129"/>
      <c r="O250" s="129"/>
    </row>
    <row r="251" spans="1:15" ht="12.5">
      <c r="A251" s="158" t="s">
        <v>14300</v>
      </c>
      <c r="B251" s="159">
        <v>20</v>
      </c>
      <c r="C251" s="159">
        <v>29</v>
      </c>
      <c r="D251" s="159">
        <v>56</v>
      </c>
      <c r="E251" s="159">
        <v>14</v>
      </c>
      <c r="F251" s="160" t="s">
        <v>32838</v>
      </c>
      <c r="G251" s="161"/>
      <c r="H251" s="162" t="s">
        <v>14301</v>
      </c>
      <c r="I251" s="163"/>
      <c r="J251" s="128"/>
      <c r="K251" s="128"/>
      <c r="L251" s="128"/>
      <c r="M251" s="129"/>
      <c r="N251" s="129"/>
      <c r="O251" s="129"/>
    </row>
    <row r="252" spans="1:15" ht="12.5">
      <c r="A252" s="158" t="s">
        <v>14302</v>
      </c>
      <c r="B252" s="159">
        <v>20</v>
      </c>
      <c r="C252" s="159">
        <v>29</v>
      </c>
      <c r="D252" s="159">
        <v>56</v>
      </c>
      <c r="E252" s="159">
        <v>15</v>
      </c>
      <c r="F252" s="160" t="s">
        <v>32838</v>
      </c>
      <c r="G252" s="161"/>
      <c r="H252" s="162" t="s">
        <v>14303</v>
      </c>
      <c r="I252" s="158" t="s">
        <v>14304</v>
      </c>
      <c r="J252" s="128"/>
      <c r="K252" s="128"/>
      <c r="L252" s="128"/>
      <c r="M252" s="129"/>
      <c r="N252" s="129"/>
      <c r="O252" s="129"/>
    </row>
    <row r="253" spans="1:15" ht="12.5">
      <c r="A253" s="158" t="s">
        <v>14305</v>
      </c>
      <c r="B253" s="159">
        <v>20</v>
      </c>
      <c r="C253" s="159">
        <v>29</v>
      </c>
      <c r="D253" s="159">
        <v>56</v>
      </c>
      <c r="E253" s="159">
        <v>16</v>
      </c>
      <c r="F253" s="160" t="s">
        <v>32838</v>
      </c>
      <c r="G253" s="161"/>
      <c r="H253" s="162" t="s">
        <v>14306</v>
      </c>
      <c r="I253" s="163"/>
      <c r="J253" s="128"/>
      <c r="K253" s="128"/>
      <c r="L253" s="128"/>
      <c r="M253" s="129"/>
      <c r="N253" s="129"/>
      <c r="O253" s="129"/>
    </row>
    <row r="254" spans="1:15" ht="12.5">
      <c r="A254" s="158" t="s">
        <v>14307</v>
      </c>
      <c r="B254" s="159">
        <v>20</v>
      </c>
      <c r="C254" s="159">
        <v>29</v>
      </c>
      <c r="D254" s="159">
        <v>56</v>
      </c>
      <c r="E254" s="159">
        <v>19</v>
      </c>
      <c r="F254" s="160" t="s">
        <v>32838</v>
      </c>
      <c r="G254" s="161"/>
      <c r="H254" s="162" t="s">
        <v>14308</v>
      </c>
      <c r="I254" s="163"/>
      <c r="J254" s="128"/>
      <c r="K254" s="128"/>
      <c r="L254" s="128"/>
      <c r="M254" s="129"/>
      <c r="N254" s="129"/>
      <c r="O254" s="129"/>
    </row>
    <row r="255" spans="1:15" ht="12.5">
      <c r="A255" s="158" t="s">
        <v>14309</v>
      </c>
      <c r="B255" s="159">
        <v>20</v>
      </c>
      <c r="C255" s="159">
        <v>29</v>
      </c>
      <c r="D255" s="159">
        <v>56</v>
      </c>
      <c r="E255" s="159">
        <v>20</v>
      </c>
      <c r="F255" s="160" t="s">
        <v>32838</v>
      </c>
      <c r="G255" s="132"/>
      <c r="H255" s="162" t="s">
        <v>14310</v>
      </c>
      <c r="I255" s="128"/>
      <c r="J255" s="128"/>
      <c r="K255" s="128"/>
      <c r="L255" s="128"/>
      <c r="M255" s="129"/>
      <c r="N255" s="129"/>
      <c r="O255" s="129"/>
    </row>
    <row r="256" spans="1:15" ht="12.5">
      <c r="A256" s="158" t="s">
        <v>14311</v>
      </c>
      <c r="B256" s="159">
        <v>20</v>
      </c>
      <c r="C256" s="159">
        <v>29</v>
      </c>
      <c r="D256" s="159">
        <v>56</v>
      </c>
      <c r="E256" s="159">
        <v>36</v>
      </c>
      <c r="F256" s="160" t="s">
        <v>32838</v>
      </c>
      <c r="G256" s="132"/>
      <c r="H256" s="162" t="s">
        <v>14312</v>
      </c>
      <c r="I256" s="128"/>
      <c r="J256" s="128"/>
      <c r="K256" s="128"/>
      <c r="L256" s="128"/>
      <c r="M256" s="129"/>
      <c r="N256" s="129"/>
      <c r="O256" s="129"/>
    </row>
    <row r="257" spans="1:15" ht="12.5">
      <c r="A257" s="158" t="s">
        <v>14313</v>
      </c>
      <c r="B257" s="159">
        <v>20</v>
      </c>
      <c r="C257" s="159">
        <v>29</v>
      </c>
      <c r="D257" s="159">
        <v>56</v>
      </c>
      <c r="E257" s="159">
        <v>48</v>
      </c>
      <c r="F257" s="160" t="s">
        <v>32838</v>
      </c>
      <c r="G257" s="132"/>
      <c r="H257" s="162" t="s">
        <v>14314</v>
      </c>
      <c r="I257" s="128"/>
      <c r="J257" s="128"/>
      <c r="K257" s="128"/>
      <c r="L257" s="128"/>
      <c r="M257" s="129"/>
      <c r="N257" s="129"/>
      <c r="O257" s="129"/>
    </row>
    <row r="258" spans="1:15" ht="12.5">
      <c r="A258" s="158" t="s">
        <v>14315</v>
      </c>
      <c r="B258" s="159">
        <v>20</v>
      </c>
      <c r="C258" s="159">
        <v>29</v>
      </c>
      <c r="D258" s="159">
        <v>56</v>
      </c>
      <c r="E258" s="159">
        <v>50</v>
      </c>
      <c r="F258" s="160" t="s">
        <v>32838</v>
      </c>
      <c r="G258" s="132"/>
      <c r="H258" s="162" t="s">
        <v>14316</v>
      </c>
      <c r="I258" s="128"/>
      <c r="J258" s="128"/>
      <c r="K258" s="128"/>
      <c r="L258" s="128"/>
      <c r="M258" s="129"/>
      <c r="N258" s="129"/>
      <c r="O258" s="129"/>
    </row>
    <row r="259" spans="1:15" ht="12.5">
      <c r="A259" s="158" t="s">
        <v>14317</v>
      </c>
      <c r="B259" s="159">
        <v>20</v>
      </c>
      <c r="C259" s="159">
        <v>29</v>
      </c>
      <c r="D259" s="159">
        <v>56</v>
      </c>
      <c r="E259" s="159">
        <v>59</v>
      </c>
      <c r="F259" s="160" t="s">
        <v>32838</v>
      </c>
      <c r="G259" s="132"/>
      <c r="H259" s="162" t="s">
        <v>14318</v>
      </c>
      <c r="I259" s="128"/>
      <c r="J259" s="128"/>
      <c r="K259" s="128"/>
      <c r="L259" s="128"/>
      <c r="M259" s="129"/>
      <c r="N259" s="129"/>
      <c r="O259" s="129"/>
    </row>
    <row r="260" spans="1:15" ht="12.5">
      <c r="A260" s="158" t="s">
        <v>14319</v>
      </c>
      <c r="B260" s="159">
        <v>20</v>
      </c>
      <c r="C260" s="159">
        <v>29</v>
      </c>
      <c r="D260" s="159">
        <v>56</v>
      </c>
      <c r="E260" s="159">
        <v>60</v>
      </c>
      <c r="F260" s="160" t="s">
        <v>32838</v>
      </c>
      <c r="G260" s="132"/>
      <c r="H260" s="162" t="s">
        <v>14320</v>
      </c>
      <c r="I260" s="128"/>
      <c r="J260" s="128"/>
      <c r="K260" s="128"/>
      <c r="L260" s="128"/>
      <c r="M260" s="129"/>
      <c r="N260" s="129"/>
      <c r="O260" s="129"/>
    </row>
    <row r="261" spans="1:15" ht="12.5">
      <c r="A261" s="158" t="s">
        <v>14321</v>
      </c>
      <c r="B261" s="159">
        <v>20</v>
      </c>
      <c r="C261" s="159">
        <v>29</v>
      </c>
      <c r="D261" s="159">
        <v>56</v>
      </c>
      <c r="E261" s="159">
        <v>65</v>
      </c>
      <c r="F261" s="160" t="s">
        <v>32838</v>
      </c>
      <c r="G261" s="161"/>
      <c r="H261" s="162" t="s">
        <v>14322</v>
      </c>
      <c r="I261" s="158" t="s">
        <v>14323</v>
      </c>
      <c r="J261" s="128"/>
      <c r="K261" s="128"/>
      <c r="L261" s="128"/>
      <c r="M261" s="129"/>
      <c r="N261" s="129"/>
      <c r="O261" s="129"/>
    </row>
    <row r="262" spans="1:15" ht="12.5">
      <c r="A262" s="158" t="s">
        <v>14324</v>
      </c>
      <c r="B262" s="159">
        <v>20</v>
      </c>
      <c r="C262" s="159">
        <v>29</v>
      </c>
      <c r="D262" s="159">
        <v>56</v>
      </c>
      <c r="E262" s="159">
        <v>78</v>
      </c>
      <c r="F262" s="160" t="s">
        <v>32838</v>
      </c>
      <c r="G262" s="161"/>
      <c r="H262" s="162" t="s">
        <v>14325</v>
      </c>
      <c r="I262" s="158" t="s">
        <v>14326</v>
      </c>
      <c r="J262" s="128"/>
      <c r="K262" s="128"/>
      <c r="L262" s="128"/>
      <c r="M262" s="129"/>
      <c r="N262" s="129"/>
      <c r="O262" s="129"/>
    </row>
    <row r="263" spans="1:15" ht="12.5">
      <c r="A263" s="158" t="s">
        <v>14327</v>
      </c>
      <c r="B263" s="159">
        <v>20</v>
      </c>
      <c r="C263" s="159">
        <v>29</v>
      </c>
      <c r="D263" s="159">
        <v>56</v>
      </c>
      <c r="E263" s="159">
        <v>82</v>
      </c>
      <c r="F263" s="160" t="s">
        <v>32838</v>
      </c>
      <c r="G263" s="161"/>
      <c r="H263" s="162" t="s">
        <v>14328</v>
      </c>
      <c r="I263" s="163"/>
      <c r="J263" s="128"/>
      <c r="K263" s="128"/>
      <c r="L263" s="128"/>
      <c r="M263" s="129"/>
      <c r="N263" s="129"/>
      <c r="O263" s="129"/>
    </row>
    <row r="264" spans="1:15" ht="12.5">
      <c r="A264" s="158" t="s">
        <v>14329</v>
      </c>
      <c r="B264" s="159">
        <v>20</v>
      </c>
      <c r="C264" s="159">
        <v>29</v>
      </c>
      <c r="D264" s="159">
        <v>56</v>
      </c>
      <c r="E264" s="159">
        <v>83</v>
      </c>
      <c r="F264" s="160" t="s">
        <v>32838</v>
      </c>
      <c r="G264" s="161"/>
      <c r="H264" s="162" t="s">
        <v>14330</v>
      </c>
      <c r="I264" s="163"/>
      <c r="J264" s="128"/>
      <c r="K264" s="128"/>
      <c r="L264" s="128"/>
      <c r="M264" s="129"/>
      <c r="N264" s="129"/>
      <c r="O264" s="129"/>
    </row>
    <row r="265" spans="1:15" ht="12.5">
      <c r="A265" s="158" t="s">
        <v>14331</v>
      </c>
      <c r="B265" s="159">
        <v>20</v>
      </c>
      <c r="C265" s="159">
        <v>29</v>
      </c>
      <c r="D265" s="159">
        <v>56</v>
      </c>
      <c r="E265" s="159">
        <v>84</v>
      </c>
      <c r="F265" s="160" t="s">
        <v>32838</v>
      </c>
      <c r="G265" s="132"/>
      <c r="H265" s="162" t="s">
        <v>14332</v>
      </c>
      <c r="I265" s="128"/>
      <c r="J265" s="128"/>
      <c r="K265" s="128"/>
      <c r="L265" s="128"/>
      <c r="M265" s="129"/>
      <c r="N265" s="129"/>
      <c r="O265" s="129"/>
    </row>
    <row r="266" spans="1:15" ht="12.5">
      <c r="A266" s="158" t="s">
        <v>14333</v>
      </c>
      <c r="B266" s="159">
        <v>20</v>
      </c>
      <c r="C266" s="159">
        <v>29</v>
      </c>
      <c r="D266" s="159">
        <v>56</v>
      </c>
      <c r="E266" s="159">
        <v>85</v>
      </c>
      <c r="F266" s="160" t="s">
        <v>32838</v>
      </c>
      <c r="G266" s="132"/>
      <c r="H266" s="162" t="s">
        <v>14334</v>
      </c>
      <c r="I266" s="158" t="s">
        <v>14335</v>
      </c>
      <c r="J266" s="128"/>
      <c r="K266" s="128"/>
      <c r="L266" s="128"/>
      <c r="M266" s="129"/>
      <c r="N266" s="129"/>
      <c r="O266" s="129"/>
    </row>
    <row r="267" spans="1:15" ht="12.5">
      <c r="A267" s="158" t="s">
        <v>14336</v>
      </c>
      <c r="B267" s="159">
        <v>20</v>
      </c>
      <c r="C267" s="159">
        <v>29</v>
      </c>
      <c r="D267" s="159">
        <v>56</v>
      </c>
      <c r="E267" s="159">
        <v>86</v>
      </c>
      <c r="F267" s="160" t="s">
        <v>32838</v>
      </c>
      <c r="G267" s="132"/>
      <c r="H267" s="162" t="s">
        <v>14337</v>
      </c>
      <c r="I267" s="158" t="s">
        <v>14338</v>
      </c>
      <c r="J267" s="128"/>
      <c r="K267" s="128"/>
      <c r="L267" s="128"/>
      <c r="M267" s="129"/>
      <c r="N267" s="129"/>
      <c r="O267" s="129"/>
    </row>
    <row r="268" spans="1:15" ht="12.5">
      <c r="A268" s="158" t="s">
        <v>14339</v>
      </c>
      <c r="B268" s="159">
        <v>20</v>
      </c>
      <c r="C268" s="159">
        <v>29</v>
      </c>
      <c r="D268" s="159">
        <v>56</v>
      </c>
      <c r="E268" s="159">
        <v>87</v>
      </c>
      <c r="F268" s="160" t="s">
        <v>32838</v>
      </c>
      <c r="G268" s="161"/>
      <c r="H268" s="162" t="s">
        <v>14340</v>
      </c>
      <c r="I268" s="163"/>
      <c r="J268" s="128"/>
      <c r="K268" s="128"/>
      <c r="L268" s="128"/>
      <c r="M268" s="129"/>
      <c r="N268" s="129"/>
      <c r="O268" s="129"/>
    </row>
    <row r="269" spans="1:15" ht="12.5">
      <c r="A269" s="158" t="s">
        <v>14341</v>
      </c>
      <c r="B269" s="159">
        <v>20</v>
      </c>
      <c r="C269" s="159">
        <v>29</v>
      </c>
      <c r="D269" s="159">
        <v>56</v>
      </c>
      <c r="E269" s="159">
        <v>93</v>
      </c>
      <c r="F269" s="160" t="s">
        <v>32838</v>
      </c>
      <c r="G269" s="132"/>
      <c r="H269" s="162" t="s">
        <v>14342</v>
      </c>
      <c r="I269" s="128"/>
      <c r="J269" s="128"/>
      <c r="K269" s="128"/>
      <c r="L269" s="128"/>
      <c r="M269" s="129"/>
      <c r="N269" s="129"/>
      <c r="O269" s="129"/>
    </row>
    <row r="270" spans="1:15" ht="12.5">
      <c r="A270" s="151" t="s">
        <v>14343</v>
      </c>
      <c r="B270" s="152">
        <v>20</v>
      </c>
      <c r="C270" s="152">
        <v>29</v>
      </c>
      <c r="D270" s="152">
        <v>57</v>
      </c>
      <c r="E270" s="153"/>
      <c r="F270" s="154" t="s">
        <v>32895</v>
      </c>
      <c r="G270" s="168"/>
      <c r="H270" s="156" t="s">
        <v>14344</v>
      </c>
      <c r="I270" s="128"/>
      <c r="J270" s="128"/>
      <c r="K270" s="128"/>
      <c r="L270" s="128"/>
      <c r="M270" s="129"/>
      <c r="N270" s="129"/>
      <c r="O270" s="129"/>
    </row>
    <row r="271" spans="1:15" ht="12.5">
      <c r="A271" s="158" t="s">
        <v>14345</v>
      </c>
      <c r="B271" s="159">
        <v>20</v>
      </c>
      <c r="C271" s="159">
        <v>29</v>
      </c>
      <c r="D271" s="159">
        <v>57</v>
      </c>
      <c r="E271" s="159">
        <v>1</v>
      </c>
      <c r="F271" s="169"/>
      <c r="G271" s="132"/>
      <c r="H271" s="162" t="s">
        <v>14346</v>
      </c>
      <c r="I271" s="128"/>
      <c r="J271" s="128"/>
      <c r="K271" s="128"/>
      <c r="L271" s="128"/>
      <c r="M271" s="129"/>
      <c r="N271" s="129"/>
      <c r="O271" s="129"/>
    </row>
    <row r="272" spans="1:15" ht="12.5">
      <c r="A272" s="158" t="s">
        <v>14347</v>
      </c>
      <c r="B272" s="159">
        <v>20</v>
      </c>
      <c r="C272" s="159">
        <v>29</v>
      </c>
      <c r="D272" s="159">
        <v>57</v>
      </c>
      <c r="E272" s="159">
        <v>2</v>
      </c>
      <c r="F272" s="169"/>
      <c r="G272" s="132"/>
      <c r="H272" s="162" t="s">
        <v>14348</v>
      </c>
      <c r="I272" s="128"/>
      <c r="J272" s="128"/>
      <c r="K272" s="128"/>
      <c r="L272" s="128"/>
      <c r="M272" s="129"/>
      <c r="N272" s="129"/>
      <c r="O272" s="129"/>
    </row>
    <row r="273" spans="1:15" ht="12.5">
      <c r="A273" s="158" t="s">
        <v>14349</v>
      </c>
      <c r="B273" s="159">
        <v>20</v>
      </c>
      <c r="C273" s="159">
        <v>29</v>
      </c>
      <c r="D273" s="159">
        <v>57</v>
      </c>
      <c r="E273" s="159">
        <v>11</v>
      </c>
      <c r="F273" s="169"/>
      <c r="G273" s="161"/>
      <c r="H273" s="162" t="s">
        <v>14350</v>
      </c>
      <c r="I273" s="163"/>
      <c r="J273" s="128"/>
      <c r="K273" s="128"/>
      <c r="L273" s="128"/>
      <c r="M273" s="129"/>
      <c r="N273" s="129"/>
      <c r="O273" s="129"/>
    </row>
    <row r="274" spans="1:15" ht="12.5">
      <c r="A274" s="158" t="s">
        <v>14351</v>
      </c>
      <c r="B274" s="159">
        <v>20</v>
      </c>
      <c r="C274" s="159">
        <v>29</v>
      </c>
      <c r="D274" s="159">
        <v>57</v>
      </c>
      <c r="E274" s="159">
        <v>12</v>
      </c>
      <c r="F274" s="169"/>
      <c r="G274" s="161"/>
      <c r="H274" s="162" t="s">
        <v>14352</v>
      </c>
      <c r="I274" s="163"/>
      <c r="J274" s="128"/>
      <c r="K274" s="128"/>
      <c r="L274" s="128"/>
      <c r="M274" s="129"/>
      <c r="N274" s="129"/>
      <c r="O274" s="129"/>
    </row>
    <row r="275" spans="1:15" ht="12.5">
      <c r="A275" s="158" t="s">
        <v>14353</v>
      </c>
      <c r="B275" s="159">
        <v>20</v>
      </c>
      <c r="C275" s="159">
        <v>29</v>
      </c>
      <c r="D275" s="159">
        <v>57</v>
      </c>
      <c r="E275" s="159">
        <v>13</v>
      </c>
      <c r="F275" s="169"/>
      <c r="G275" s="161"/>
      <c r="H275" s="162" t="s">
        <v>14354</v>
      </c>
      <c r="I275" s="163"/>
      <c r="J275" s="128"/>
      <c r="K275" s="128"/>
      <c r="L275" s="128"/>
      <c r="M275" s="129"/>
      <c r="N275" s="129"/>
      <c r="O275" s="129"/>
    </row>
    <row r="276" spans="1:15" ht="12.5">
      <c r="A276" s="158" t="s">
        <v>14355</v>
      </c>
      <c r="B276" s="159">
        <v>20</v>
      </c>
      <c r="C276" s="159">
        <v>29</v>
      </c>
      <c r="D276" s="159">
        <v>57</v>
      </c>
      <c r="E276" s="159">
        <v>23</v>
      </c>
      <c r="F276" s="169"/>
      <c r="G276" s="161"/>
      <c r="H276" s="162" t="s">
        <v>14356</v>
      </c>
      <c r="I276" s="163"/>
      <c r="J276" s="128"/>
      <c r="K276" s="128"/>
      <c r="L276" s="128"/>
      <c r="M276" s="129"/>
      <c r="N276" s="129"/>
      <c r="O276" s="129"/>
    </row>
    <row r="277" spans="1:15" ht="12.5">
      <c r="A277" s="158" t="s">
        <v>14357</v>
      </c>
      <c r="B277" s="159">
        <v>20</v>
      </c>
      <c r="C277" s="159">
        <v>29</v>
      </c>
      <c r="D277" s="159">
        <v>57</v>
      </c>
      <c r="E277" s="159">
        <v>30</v>
      </c>
      <c r="F277" s="169"/>
      <c r="G277" s="161"/>
      <c r="H277" s="162" t="s">
        <v>14358</v>
      </c>
      <c r="I277" s="163"/>
      <c r="J277" s="128"/>
      <c r="K277" s="128"/>
      <c r="L277" s="128"/>
      <c r="M277" s="129"/>
      <c r="N277" s="129"/>
      <c r="O277" s="129"/>
    </row>
    <row r="278" spans="1:15" ht="12.5">
      <c r="A278" s="158" t="s">
        <v>14361</v>
      </c>
      <c r="B278" s="159">
        <v>20</v>
      </c>
      <c r="C278" s="159">
        <v>29</v>
      </c>
      <c r="D278" s="159">
        <v>57</v>
      </c>
      <c r="E278" s="159">
        <v>36</v>
      </c>
      <c r="F278" s="169"/>
      <c r="G278" s="132"/>
      <c r="H278" s="162" t="s">
        <v>14362</v>
      </c>
      <c r="I278" s="128"/>
      <c r="J278" s="128"/>
      <c r="K278" s="128"/>
      <c r="L278" s="128"/>
      <c r="M278" s="129"/>
      <c r="N278" s="129"/>
      <c r="O278" s="129"/>
    </row>
    <row r="279" spans="1:15" ht="12.5">
      <c r="A279" s="158" t="s">
        <v>14363</v>
      </c>
      <c r="B279" s="159">
        <v>20</v>
      </c>
      <c r="C279" s="159">
        <v>29</v>
      </c>
      <c r="D279" s="159">
        <v>57</v>
      </c>
      <c r="E279" s="159">
        <v>37</v>
      </c>
      <c r="F279" s="169"/>
      <c r="G279" s="161"/>
      <c r="H279" s="162" t="s">
        <v>14364</v>
      </c>
      <c r="I279" s="163"/>
      <c r="J279" s="128"/>
      <c r="K279" s="128"/>
      <c r="L279" s="128"/>
      <c r="M279" s="129"/>
      <c r="N279" s="129"/>
      <c r="O279" s="129"/>
    </row>
    <row r="280" spans="1:15" ht="12.5">
      <c r="A280" s="158" t="s">
        <v>14365</v>
      </c>
      <c r="B280" s="159">
        <v>20</v>
      </c>
      <c r="C280" s="159">
        <v>29</v>
      </c>
      <c r="D280" s="159">
        <v>57</v>
      </c>
      <c r="E280" s="159">
        <v>38</v>
      </c>
      <c r="F280" s="169"/>
      <c r="G280" s="161"/>
      <c r="H280" s="162" t="s">
        <v>14366</v>
      </c>
      <c r="I280" s="163"/>
      <c r="J280" s="128"/>
      <c r="K280" s="128"/>
      <c r="L280" s="128"/>
      <c r="M280" s="129"/>
      <c r="N280" s="129"/>
      <c r="O280" s="129"/>
    </row>
    <row r="281" spans="1:15" ht="12.5">
      <c r="A281" s="158" t="s">
        <v>14367</v>
      </c>
      <c r="B281" s="159">
        <v>20</v>
      </c>
      <c r="C281" s="159">
        <v>29</v>
      </c>
      <c r="D281" s="159">
        <v>57</v>
      </c>
      <c r="E281" s="159">
        <v>44</v>
      </c>
      <c r="F281" s="169"/>
      <c r="G281" s="132"/>
      <c r="H281" s="162" t="s">
        <v>14368</v>
      </c>
      <c r="I281" s="128"/>
      <c r="J281" s="128"/>
      <c r="K281" s="128"/>
      <c r="L281" s="128"/>
      <c r="M281" s="129"/>
      <c r="N281" s="129"/>
      <c r="O281" s="129"/>
    </row>
    <row r="282" spans="1:15" ht="12.5">
      <c r="A282" s="158" t="s">
        <v>14369</v>
      </c>
      <c r="B282" s="159">
        <v>20</v>
      </c>
      <c r="C282" s="159">
        <v>29</v>
      </c>
      <c r="D282" s="159">
        <v>57</v>
      </c>
      <c r="E282" s="159">
        <v>45</v>
      </c>
      <c r="F282" s="169"/>
      <c r="G282" s="161"/>
      <c r="H282" s="162" t="s">
        <v>14370</v>
      </c>
      <c r="I282" s="163"/>
      <c r="J282" s="128"/>
      <c r="K282" s="128"/>
      <c r="L282" s="128"/>
      <c r="M282" s="129"/>
      <c r="N282" s="129"/>
      <c r="O282" s="129"/>
    </row>
    <row r="283" spans="1:15" ht="12.5">
      <c r="A283" s="158" t="s">
        <v>14371</v>
      </c>
      <c r="B283" s="159">
        <v>20</v>
      </c>
      <c r="C283" s="159">
        <v>29</v>
      </c>
      <c r="D283" s="159">
        <v>57</v>
      </c>
      <c r="E283" s="159">
        <v>50</v>
      </c>
      <c r="F283" s="169"/>
      <c r="G283" s="161"/>
      <c r="H283" s="162" t="s">
        <v>14372</v>
      </c>
      <c r="I283" s="163"/>
      <c r="J283" s="128"/>
      <c r="K283" s="128"/>
      <c r="L283" s="128"/>
      <c r="M283" s="129"/>
      <c r="N283" s="129"/>
      <c r="O283" s="129"/>
    </row>
    <row r="284" spans="1:15" ht="12.5">
      <c r="A284" s="158" t="s">
        <v>14373</v>
      </c>
      <c r="B284" s="159">
        <v>20</v>
      </c>
      <c r="C284" s="159">
        <v>29</v>
      </c>
      <c r="D284" s="159">
        <v>57</v>
      </c>
      <c r="E284" s="159">
        <v>56</v>
      </c>
      <c r="F284" s="169"/>
      <c r="G284" s="161"/>
      <c r="H284" s="162" t="s">
        <v>14374</v>
      </c>
      <c r="I284" s="163"/>
      <c r="J284" s="128"/>
      <c r="K284" s="128"/>
      <c r="L284" s="128"/>
      <c r="M284" s="129"/>
      <c r="N284" s="129"/>
      <c r="O284" s="129"/>
    </row>
    <row r="285" spans="1:15" ht="12.5">
      <c r="A285" s="158" t="s">
        <v>14375</v>
      </c>
      <c r="B285" s="159">
        <v>20</v>
      </c>
      <c r="C285" s="159">
        <v>29</v>
      </c>
      <c r="D285" s="159">
        <v>57</v>
      </c>
      <c r="E285" s="159">
        <v>57</v>
      </c>
      <c r="F285" s="169"/>
      <c r="G285" s="161"/>
      <c r="H285" s="162" t="s">
        <v>14376</v>
      </c>
      <c r="I285" s="163"/>
      <c r="J285" s="128"/>
      <c r="K285" s="128"/>
      <c r="L285" s="128"/>
      <c r="M285" s="129"/>
      <c r="N285" s="129"/>
      <c r="O285" s="129"/>
    </row>
    <row r="286" spans="1:15" ht="12.5">
      <c r="A286" s="158" t="s">
        <v>14377</v>
      </c>
      <c r="B286" s="159">
        <v>20</v>
      </c>
      <c r="C286" s="159">
        <v>29</v>
      </c>
      <c r="D286" s="159">
        <v>57</v>
      </c>
      <c r="E286" s="159">
        <v>66</v>
      </c>
      <c r="F286" s="169"/>
      <c r="G286" s="161"/>
      <c r="H286" s="162" t="s">
        <v>14378</v>
      </c>
      <c r="I286" s="163"/>
      <c r="J286" s="128"/>
      <c r="K286" s="128"/>
      <c r="L286" s="128"/>
      <c r="M286" s="129"/>
      <c r="N286" s="129"/>
      <c r="O286" s="129"/>
    </row>
    <row r="287" spans="1:15" ht="12.5">
      <c r="A287" s="158" t="s">
        <v>14381</v>
      </c>
      <c r="B287" s="159">
        <v>20</v>
      </c>
      <c r="C287" s="159">
        <v>29</v>
      </c>
      <c r="D287" s="159">
        <v>57</v>
      </c>
      <c r="E287" s="159">
        <v>76</v>
      </c>
      <c r="F287" s="169"/>
      <c r="G287" s="161"/>
      <c r="H287" s="162" t="s">
        <v>14382</v>
      </c>
      <c r="I287" s="163"/>
      <c r="J287" s="128"/>
      <c r="K287" s="128"/>
      <c r="L287" s="128"/>
      <c r="M287" s="129"/>
      <c r="N287" s="129"/>
      <c r="O287" s="129"/>
    </row>
    <row r="288" spans="1:15" ht="12.5">
      <c r="A288" s="158" t="s">
        <v>14383</v>
      </c>
      <c r="B288" s="159">
        <v>20</v>
      </c>
      <c r="C288" s="159">
        <v>29</v>
      </c>
      <c r="D288" s="159">
        <v>57</v>
      </c>
      <c r="E288" s="159">
        <v>80</v>
      </c>
      <c r="F288" s="169"/>
      <c r="G288" s="161"/>
      <c r="H288" s="162" t="s">
        <v>14384</v>
      </c>
      <c r="I288" s="163"/>
      <c r="J288" s="128"/>
      <c r="K288" s="128"/>
      <c r="L288" s="128"/>
      <c r="M288" s="129"/>
      <c r="N288" s="129"/>
      <c r="O288" s="129"/>
    </row>
    <row r="289" spans="1:15" ht="12.5">
      <c r="A289" s="158" t="s">
        <v>14385</v>
      </c>
      <c r="B289" s="159">
        <v>20</v>
      </c>
      <c r="C289" s="159">
        <v>29</v>
      </c>
      <c r="D289" s="159">
        <v>57</v>
      </c>
      <c r="E289" s="159">
        <v>83</v>
      </c>
      <c r="F289" s="169"/>
      <c r="G289" s="161"/>
      <c r="H289" s="162" t="s">
        <v>14386</v>
      </c>
      <c r="I289" s="163"/>
      <c r="J289" s="128"/>
      <c r="K289" s="128"/>
      <c r="L289" s="128"/>
      <c r="M289" s="129"/>
      <c r="N289" s="129"/>
      <c r="O289" s="129"/>
    </row>
    <row r="290" spans="1:15" ht="12.5">
      <c r="A290" s="158" t="s">
        <v>14387</v>
      </c>
      <c r="B290" s="159">
        <v>20</v>
      </c>
      <c r="C290" s="159">
        <v>29</v>
      </c>
      <c r="D290" s="159">
        <v>57</v>
      </c>
      <c r="E290" s="159">
        <v>84</v>
      </c>
      <c r="F290" s="169"/>
      <c r="G290" s="161"/>
      <c r="H290" s="162" t="s">
        <v>14388</v>
      </c>
      <c r="I290" s="163"/>
      <c r="J290" s="128"/>
      <c r="K290" s="128"/>
      <c r="L290" s="128"/>
      <c r="M290" s="129"/>
      <c r="N290" s="129"/>
      <c r="O290" s="129"/>
    </row>
    <row r="291" spans="1:15" ht="12.5">
      <c r="A291" s="158" t="s">
        <v>14389</v>
      </c>
      <c r="B291" s="159">
        <v>20</v>
      </c>
      <c r="C291" s="159">
        <v>29</v>
      </c>
      <c r="D291" s="159">
        <v>57</v>
      </c>
      <c r="E291" s="159">
        <v>85</v>
      </c>
      <c r="F291" s="169"/>
      <c r="G291" s="161"/>
      <c r="H291" s="162" t="s">
        <v>14390</v>
      </c>
      <c r="I291" s="163"/>
      <c r="J291" s="128"/>
      <c r="K291" s="128"/>
      <c r="L291" s="128"/>
      <c r="M291" s="129"/>
      <c r="N291" s="129"/>
      <c r="O291" s="129"/>
    </row>
    <row r="292" spans="1:15" ht="12.5">
      <c r="A292" s="158" t="s">
        <v>14391</v>
      </c>
      <c r="B292" s="159">
        <v>20</v>
      </c>
      <c r="C292" s="159">
        <v>29</v>
      </c>
      <c r="D292" s="159">
        <v>57</v>
      </c>
      <c r="E292" s="159">
        <v>88</v>
      </c>
      <c r="F292" s="169"/>
      <c r="G292" s="132"/>
      <c r="H292" s="162" t="s">
        <v>14392</v>
      </c>
      <c r="I292" s="128"/>
      <c r="J292" s="128"/>
      <c r="K292" s="128"/>
      <c r="L292" s="128"/>
      <c r="M292" s="129"/>
      <c r="N292" s="129"/>
      <c r="O292" s="129"/>
    </row>
    <row r="293" spans="1:15" ht="12.5">
      <c r="A293" s="158" t="s">
        <v>14393</v>
      </c>
      <c r="B293" s="159">
        <v>20</v>
      </c>
      <c r="C293" s="159">
        <v>29</v>
      </c>
      <c r="D293" s="159">
        <v>57</v>
      </c>
      <c r="E293" s="159">
        <v>96</v>
      </c>
      <c r="F293" s="169"/>
      <c r="G293" s="132"/>
      <c r="H293" s="162" t="s">
        <v>14394</v>
      </c>
      <c r="I293" s="128"/>
      <c r="J293" s="128"/>
      <c r="K293" s="128"/>
      <c r="L293" s="128"/>
      <c r="M293" s="129"/>
      <c r="N293" s="129"/>
      <c r="O293" s="129"/>
    </row>
    <row r="294" spans="1:15" ht="12.5">
      <c r="A294" s="151" t="s">
        <v>14395</v>
      </c>
      <c r="B294" s="152">
        <v>20</v>
      </c>
      <c r="C294" s="152">
        <v>29</v>
      </c>
      <c r="D294" s="152">
        <v>60</v>
      </c>
      <c r="E294" s="153"/>
      <c r="F294" s="154" t="s">
        <v>32896</v>
      </c>
      <c r="G294" s="168"/>
      <c r="H294" s="156" t="s">
        <v>14396</v>
      </c>
      <c r="I294" s="157"/>
      <c r="J294" s="128"/>
      <c r="K294" s="128"/>
      <c r="L294" s="128"/>
      <c r="M294" s="129"/>
      <c r="N294" s="129"/>
      <c r="O294" s="129"/>
    </row>
    <row r="295" spans="1:15" ht="12.5">
      <c r="A295" s="158" t="s">
        <v>14397</v>
      </c>
      <c r="B295" s="159">
        <v>20</v>
      </c>
      <c r="C295" s="159">
        <v>29</v>
      </c>
      <c r="D295" s="159">
        <v>60</v>
      </c>
      <c r="E295" s="159">
        <v>7</v>
      </c>
      <c r="F295" s="160" t="s">
        <v>32838</v>
      </c>
      <c r="G295" s="132"/>
      <c r="H295" s="162" t="s">
        <v>14398</v>
      </c>
      <c r="I295" s="158" t="s">
        <v>14399</v>
      </c>
      <c r="J295" s="128"/>
      <c r="K295" s="128"/>
      <c r="L295" s="128"/>
      <c r="M295" s="129"/>
      <c r="N295" s="129"/>
      <c r="O295" s="129"/>
    </row>
    <row r="296" spans="1:15" ht="12.5">
      <c r="A296" s="158" t="s">
        <v>14400</v>
      </c>
      <c r="B296" s="159">
        <v>20</v>
      </c>
      <c r="C296" s="159">
        <v>29</v>
      </c>
      <c r="D296" s="159">
        <v>60</v>
      </c>
      <c r="E296" s="159">
        <v>17</v>
      </c>
      <c r="F296" s="160" t="s">
        <v>32838</v>
      </c>
      <c r="G296" s="132"/>
      <c r="H296" s="162" t="s">
        <v>14401</v>
      </c>
      <c r="I296" s="128"/>
      <c r="J296" s="128"/>
      <c r="K296" s="128"/>
      <c r="L296" s="128"/>
      <c r="M296" s="129"/>
      <c r="N296" s="129"/>
      <c r="O296" s="129"/>
    </row>
    <row r="297" spans="1:15" ht="12.5">
      <c r="A297" s="158" t="s">
        <v>14402</v>
      </c>
      <c r="B297" s="159">
        <v>20</v>
      </c>
      <c r="C297" s="159">
        <v>29</v>
      </c>
      <c r="D297" s="159">
        <v>60</v>
      </c>
      <c r="E297" s="159">
        <v>20</v>
      </c>
      <c r="F297" s="160" t="s">
        <v>32838</v>
      </c>
      <c r="G297" s="132"/>
      <c r="H297" s="162" t="s">
        <v>14403</v>
      </c>
      <c r="I297" s="158" t="s">
        <v>14404</v>
      </c>
      <c r="J297" s="128"/>
      <c r="K297" s="128"/>
      <c r="L297" s="128"/>
      <c r="M297" s="129"/>
      <c r="N297" s="129"/>
      <c r="O297" s="129"/>
    </row>
    <row r="298" spans="1:15" ht="12.5">
      <c r="A298" s="158" t="s">
        <v>14405</v>
      </c>
      <c r="B298" s="159">
        <v>20</v>
      </c>
      <c r="C298" s="159">
        <v>29</v>
      </c>
      <c r="D298" s="159">
        <v>60</v>
      </c>
      <c r="E298" s="159">
        <v>28</v>
      </c>
      <c r="F298" s="160" t="s">
        <v>32838</v>
      </c>
      <c r="G298" s="161"/>
      <c r="H298" s="162" t="s">
        <v>14406</v>
      </c>
      <c r="I298" s="163"/>
      <c r="J298" s="128"/>
      <c r="K298" s="128"/>
      <c r="L298" s="128"/>
      <c r="M298" s="129"/>
      <c r="N298" s="129"/>
      <c r="O298" s="129"/>
    </row>
    <row r="299" spans="1:15" ht="12.5">
      <c r="A299" s="158" t="s">
        <v>14407</v>
      </c>
      <c r="B299" s="159">
        <v>20</v>
      </c>
      <c r="C299" s="159">
        <v>29</v>
      </c>
      <c r="D299" s="159">
        <v>60</v>
      </c>
      <c r="E299" s="159">
        <v>29</v>
      </c>
      <c r="F299" s="160" t="s">
        <v>32838</v>
      </c>
      <c r="G299" s="161"/>
      <c r="H299" s="162" t="s">
        <v>14408</v>
      </c>
      <c r="I299" s="163"/>
      <c r="J299" s="128"/>
      <c r="K299" s="128"/>
      <c r="L299" s="128"/>
      <c r="M299" s="129"/>
      <c r="N299" s="129"/>
      <c r="O299" s="129"/>
    </row>
    <row r="300" spans="1:15" ht="12.5">
      <c r="A300" s="158" t="s">
        <v>14409</v>
      </c>
      <c r="B300" s="159">
        <v>20</v>
      </c>
      <c r="C300" s="159">
        <v>29</v>
      </c>
      <c r="D300" s="159">
        <v>60</v>
      </c>
      <c r="E300" s="159">
        <v>30</v>
      </c>
      <c r="F300" s="160" t="s">
        <v>32838</v>
      </c>
      <c r="G300" s="132"/>
      <c r="H300" s="162" t="s">
        <v>14410</v>
      </c>
      <c r="I300" s="128"/>
      <c r="J300" s="128"/>
      <c r="K300" s="128"/>
      <c r="L300" s="128"/>
      <c r="M300" s="129"/>
      <c r="N300" s="129"/>
      <c r="O300" s="129"/>
    </row>
    <row r="301" spans="1:15" ht="12.5">
      <c r="A301" s="158" t="s">
        <v>14411</v>
      </c>
      <c r="B301" s="159">
        <v>20</v>
      </c>
      <c r="C301" s="159">
        <v>29</v>
      </c>
      <c r="D301" s="159">
        <v>60</v>
      </c>
      <c r="E301" s="159">
        <v>31</v>
      </c>
      <c r="F301" s="160" t="s">
        <v>32838</v>
      </c>
      <c r="G301" s="161"/>
      <c r="H301" s="162" t="s">
        <v>14412</v>
      </c>
      <c r="I301" s="163"/>
      <c r="J301" s="128"/>
      <c r="K301" s="128"/>
      <c r="L301" s="128"/>
      <c r="M301" s="129"/>
      <c r="N301" s="129"/>
      <c r="O301" s="129"/>
    </row>
    <row r="302" spans="1:15" ht="12.5">
      <c r="A302" s="158" t="s">
        <v>14413</v>
      </c>
      <c r="B302" s="159">
        <v>20</v>
      </c>
      <c r="C302" s="159">
        <v>29</v>
      </c>
      <c r="D302" s="159">
        <v>60</v>
      </c>
      <c r="E302" s="159">
        <v>32</v>
      </c>
      <c r="F302" s="160" t="s">
        <v>32838</v>
      </c>
      <c r="G302" s="132"/>
      <c r="H302" s="162" t="s">
        <v>14414</v>
      </c>
      <c r="I302" s="158" t="s">
        <v>14415</v>
      </c>
      <c r="J302" s="128"/>
      <c r="K302" s="128"/>
      <c r="L302" s="128"/>
      <c r="M302" s="129"/>
      <c r="N302" s="129"/>
      <c r="O302" s="129"/>
    </row>
    <row r="303" spans="1:15" ht="12.5">
      <c r="A303" s="158" t="s">
        <v>14416</v>
      </c>
      <c r="B303" s="159">
        <v>20</v>
      </c>
      <c r="C303" s="159">
        <v>29</v>
      </c>
      <c r="D303" s="159">
        <v>60</v>
      </c>
      <c r="E303" s="159">
        <v>34</v>
      </c>
      <c r="F303" s="160" t="s">
        <v>32838</v>
      </c>
      <c r="G303" s="132"/>
      <c r="H303" s="162" t="s">
        <v>14417</v>
      </c>
      <c r="I303" s="158" t="s">
        <v>14418</v>
      </c>
      <c r="J303" s="128"/>
      <c r="K303" s="128"/>
      <c r="L303" s="128"/>
      <c r="M303" s="129"/>
      <c r="N303" s="129"/>
      <c r="O303" s="129"/>
    </row>
    <row r="304" spans="1:15" ht="12.5">
      <c r="A304" s="158" t="s">
        <v>14419</v>
      </c>
      <c r="B304" s="159">
        <v>20</v>
      </c>
      <c r="C304" s="159">
        <v>29</v>
      </c>
      <c r="D304" s="159">
        <v>60</v>
      </c>
      <c r="E304" s="159">
        <v>36</v>
      </c>
      <c r="F304" s="160" t="s">
        <v>32838</v>
      </c>
      <c r="G304" s="132"/>
      <c r="H304" s="162" t="s">
        <v>14420</v>
      </c>
      <c r="I304" s="158" t="s">
        <v>14421</v>
      </c>
      <c r="J304" s="128"/>
      <c r="K304" s="128"/>
      <c r="L304" s="128"/>
      <c r="M304" s="129"/>
      <c r="N304" s="129"/>
      <c r="O304" s="129"/>
    </row>
    <row r="305" spans="1:15" ht="12.5">
      <c r="A305" s="158" t="s">
        <v>14422</v>
      </c>
      <c r="B305" s="159">
        <v>20</v>
      </c>
      <c r="C305" s="159">
        <v>29</v>
      </c>
      <c r="D305" s="159">
        <v>60</v>
      </c>
      <c r="E305" s="159">
        <v>37</v>
      </c>
      <c r="F305" s="160" t="s">
        <v>32838</v>
      </c>
      <c r="G305" s="132"/>
      <c r="H305" s="162" t="s">
        <v>14423</v>
      </c>
      <c r="I305" s="128"/>
      <c r="J305" s="128"/>
      <c r="K305" s="128"/>
      <c r="L305" s="128"/>
      <c r="M305" s="129"/>
      <c r="N305" s="129"/>
      <c r="O305" s="129"/>
    </row>
    <row r="306" spans="1:15" ht="12.5">
      <c r="A306" s="158" t="s">
        <v>14424</v>
      </c>
      <c r="B306" s="159">
        <v>20</v>
      </c>
      <c r="C306" s="159">
        <v>29</v>
      </c>
      <c r="D306" s="159">
        <v>60</v>
      </c>
      <c r="E306" s="159">
        <v>42</v>
      </c>
      <c r="F306" s="160" t="s">
        <v>32838</v>
      </c>
      <c r="G306" s="132"/>
      <c r="H306" s="162" t="s">
        <v>14425</v>
      </c>
      <c r="I306" s="128"/>
      <c r="J306" s="128"/>
      <c r="K306" s="128"/>
      <c r="L306" s="128"/>
      <c r="M306" s="129"/>
      <c r="N306" s="129"/>
      <c r="O306" s="129"/>
    </row>
    <row r="307" spans="1:15" ht="12.5">
      <c r="A307" s="158" t="s">
        <v>14426</v>
      </c>
      <c r="B307" s="159">
        <v>20</v>
      </c>
      <c r="C307" s="159">
        <v>29</v>
      </c>
      <c r="D307" s="159">
        <v>60</v>
      </c>
      <c r="E307" s="159">
        <v>58</v>
      </c>
      <c r="F307" s="160" t="s">
        <v>32838</v>
      </c>
      <c r="G307" s="132"/>
      <c r="H307" s="162" t="s">
        <v>14427</v>
      </c>
      <c r="I307" s="128"/>
      <c r="J307" s="128"/>
      <c r="K307" s="128"/>
      <c r="L307" s="128"/>
      <c r="M307" s="129"/>
      <c r="N307" s="129"/>
      <c r="O307" s="129"/>
    </row>
    <row r="308" spans="1:15" ht="12.5">
      <c r="A308" s="158" t="s">
        <v>14428</v>
      </c>
      <c r="B308" s="159">
        <v>20</v>
      </c>
      <c r="C308" s="159">
        <v>29</v>
      </c>
      <c r="D308" s="159">
        <v>60</v>
      </c>
      <c r="E308" s="159">
        <v>59</v>
      </c>
      <c r="F308" s="160" t="s">
        <v>32838</v>
      </c>
      <c r="G308" s="132"/>
      <c r="H308" s="162" t="s">
        <v>14429</v>
      </c>
      <c r="I308" s="128"/>
      <c r="J308" s="128"/>
      <c r="K308" s="128"/>
      <c r="L308" s="128"/>
      <c r="M308" s="129"/>
      <c r="N308" s="129"/>
      <c r="O308" s="129"/>
    </row>
    <row r="309" spans="1:15" ht="12.5">
      <c r="A309" s="158" t="s">
        <v>14430</v>
      </c>
      <c r="B309" s="159">
        <v>20</v>
      </c>
      <c r="C309" s="159">
        <v>29</v>
      </c>
      <c r="D309" s="159">
        <v>60</v>
      </c>
      <c r="E309" s="159">
        <v>60</v>
      </c>
      <c r="F309" s="160" t="s">
        <v>32838</v>
      </c>
      <c r="G309" s="132"/>
      <c r="H309" s="162" t="s">
        <v>14431</v>
      </c>
      <c r="I309" s="158" t="s">
        <v>14432</v>
      </c>
      <c r="J309" s="128"/>
      <c r="K309" s="128"/>
      <c r="L309" s="128"/>
      <c r="M309" s="129"/>
      <c r="N309" s="129"/>
      <c r="O309" s="129"/>
    </row>
    <row r="310" spans="1:15" ht="12.5">
      <c r="A310" s="158" t="s">
        <v>14433</v>
      </c>
      <c r="B310" s="159">
        <v>20</v>
      </c>
      <c r="C310" s="159">
        <v>29</v>
      </c>
      <c r="D310" s="159">
        <v>60</v>
      </c>
      <c r="E310" s="159">
        <v>61</v>
      </c>
      <c r="F310" s="160" t="s">
        <v>32838</v>
      </c>
      <c r="G310" s="132"/>
      <c r="H310" s="162" t="s">
        <v>14434</v>
      </c>
      <c r="I310" s="128"/>
      <c r="J310" s="128"/>
      <c r="K310" s="128"/>
      <c r="L310" s="128"/>
      <c r="M310" s="129"/>
      <c r="N310" s="129"/>
      <c r="O310" s="129"/>
    </row>
    <row r="311" spans="1:15" ht="12.5">
      <c r="A311" s="158" t="s">
        <v>14435</v>
      </c>
      <c r="B311" s="159">
        <v>20</v>
      </c>
      <c r="C311" s="159">
        <v>29</v>
      </c>
      <c r="D311" s="159">
        <v>60</v>
      </c>
      <c r="E311" s="159">
        <v>62</v>
      </c>
      <c r="F311" s="160" t="s">
        <v>32838</v>
      </c>
      <c r="G311" s="132"/>
      <c r="H311" s="162" t="s">
        <v>14436</v>
      </c>
      <c r="I311" s="128"/>
      <c r="J311" s="128"/>
      <c r="K311" s="128"/>
      <c r="L311" s="128"/>
      <c r="M311" s="129"/>
      <c r="N311" s="129"/>
      <c r="O311" s="129"/>
    </row>
    <row r="312" spans="1:15" ht="12.5">
      <c r="A312" s="158" t="s">
        <v>14437</v>
      </c>
      <c r="B312" s="159">
        <v>20</v>
      </c>
      <c r="C312" s="159">
        <v>29</v>
      </c>
      <c r="D312" s="159">
        <v>60</v>
      </c>
      <c r="E312" s="159">
        <v>63</v>
      </c>
      <c r="F312" s="160" t="s">
        <v>32838</v>
      </c>
      <c r="G312" s="132"/>
      <c r="H312" s="162" t="s">
        <v>14438</v>
      </c>
      <c r="I312" s="128"/>
      <c r="J312" s="128"/>
      <c r="K312" s="128"/>
      <c r="L312" s="128"/>
      <c r="M312" s="129"/>
      <c r="N312" s="129"/>
      <c r="O312" s="129"/>
    </row>
    <row r="313" spans="1:15" ht="12.5">
      <c r="A313" s="158" t="s">
        <v>14439</v>
      </c>
      <c r="B313" s="159">
        <v>20</v>
      </c>
      <c r="C313" s="159">
        <v>29</v>
      </c>
      <c r="D313" s="159">
        <v>60</v>
      </c>
      <c r="E313" s="159">
        <v>64</v>
      </c>
      <c r="F313" s="160" t="s">
        <v>32838</v>
      </c>
      <c r="G313" s="132"/>
      <c r="H313" s="162" t="s">
        <v>14440</v>
      </c>
      <c r="I313" s="158" t="s">
        <v>14441</v>
      </c>
      <c r="J313" s="128"/>
      <c r="K313" s="128"/>
      <c r="L313" s="128"/>
      <c r="M313" s="129"/>
      <c r="N313" s="129"/>
      <c r="O313" s="129"/>
    </row>
    <row r="314" spans="1:15" ht="12.5">
      <c r="A314" s="158" t="s">
        <v>14442</v>
      </c>
      <c r="B314" s="159">
        <v>20</v>
      </c>
      <c r="C314" s="159">
        <v>29</v>
      </c>
      <c r="D314" s="159">
        <v>60</v>
      </c>
      <c r="E314" s="159">
        <v>65</v>
      </c>
      <c r="F314" s="160" t="s">
        <v>32838</v>
      </c>
      <c r="G314" s="132"/>
      <c r="H314" s="162" t="s">
        <v>14443</v>
      </c>
      <c r="I314" s="158" t="s">
        <v>14444</v>
      </c>
      <c r="J314" s="128"/>
      <c r="K314" s="128"/>
      <c r="L314" s="128"/>
      <c r="M314" s="129"/>
      <c r="N314" s="129"/>
      <c r="O314" s="129"/>
    </row>
    <row r="315" spans="1:15" ht="12.5">
      <c r="A315" s="158" t="s">
        <v>14445</v>
      </c>
      <c r="B315" s="159">
        <v>20</v>
      </c>
      <c r="C315" s="159">
        <v>29</v>
      </c>
      <c r="D315" s="159">
        <v>60</v>
      </c>
      <c r="E315" s="159">
        <v>75</v>
      </c>
      <c r="F315" s="160" t="s">
        <v>32838</v>
      </c>
      <c r="G315" s="132"/>
      <c r="H315" s="162" t="s">
        <v>14446</v>
      </c>
      <c r="I315" s="128"/>
      <c r="J315" s="128"/>
      <c r="K315" s="128"/>
      <c r="L315" s="128"/>
      <c r="M315" s="129"/>
      <c r="N315" s="129"/>
      <c r="O315" s="129"/>
    </row>
    <row r="316" spans="1:15" ht="12.5">
      <c r="A316" s="158" t="s">
        <v>14447</v>
      </c>
      <c r="B316" s="159">
        <v>20</v>
      </c>
      <c r="C316" s="159">
        <v>29</v>
      </c>
      <c r="D316" s="159">
        <v>60</v>
      </c>
      <c r="E316" s="159">
        <v>76</v>
      </c>
      <c r="F316" s="160" t="s">
        <v>32838</v>
      </c>
      <c r="G316" s="132"/>
      <c r="H316" s="162" t="s">
        <v>14448</v>
      </c>
      <c r="I316" s="128"/>
      <c r="J316" s="128"/>
      <c r="K316" s="128"/>
      <c r="L316" s="128"/>
      <c r="M316" s="129"/>
      <c r="N316" s="129"/>
      <c r="O316" s="129"/>
    </row>
    <row r="317" spans="1:15" ht="12.5">
      <c r="A317" s="158" t="s">
        <v>14449</v>
      </c>
      <c r="B317" s="159">
        <v>20</v>
      </c>
      <c r="C317" s="159">
        <v>29</v>
      </c>
      <c r="D317" s="159">
        <v>60</v>
      </c>
      <c r="E317" s="159">
        <v>77</v>
      </c>
      <c r="F317" s="160" t="s">
        <v>32838</v>
      </c>
      <c r="G317" s="132"/>
      <c r="H317" s="162" t="s">
        <v>14450</v>
      </c>
      <c r="I317" s="158" t="s">
        <v>14451</v>
      </c>
      <c r="J317" s="128"/>
      <c r="K317" s="128"/>
      <c r="L317" s="128"/>
      <c r="M317" s="129"/>
      <c r="N317" s="129"/>
      <c r="O317" s="129"/>
    </row>
    <row r="318" spans="1:15" ht="12.5">
      <c r="A318" s="158" t="s">
        <v>14452</v>
      </c>
      <c r="B318" s="159">
        <v>20</v>
      </c>
      <c r="C318" s="159">
        <v>29</v>
      </c>
      <c r="D318" s="159">
        <v>60</v>
      </c>
      <c r="E318" s="159">
        <v>81</v>
      </c>
      <c r="F318" s="160" t="s">
        <v>32838</v>
      </c>
      <c r="G318" s="132"/>
      <c r="H318" s="162" t="s">
        <v>14453</v>
      </c>
      <c r="I318" s="128"/>
      <c r="J318" s="128"/>
      <c r="K318" s="128"/>
      <c r="L318" s="128"/>
      <c r="M318" s="129"/>
      <c r="N318" s="129"/>
      <c r="O318" s="129"/>
    </row>
    <row r="319" spans="1:15" ht="12.5">
      <c r="A319" s="158" t="s">
        <v>14454</v>
      </c>
      <c r="B319" s="159">
        <v>20</v>
      </c>
      <c r="C319" s="159">
        <v>29</v>
      </c>
      <c r="D319" s="159">
        <v>60</v>
      </c>
      <c r="E319" s="159">
        <v>82</v>
      </c>
      <c r="F319" s="160" t="s">
        <v>32838</v>
      </c>
      <c r="G319" s="132"/>
      <c r="H319" s="162" t="s">
        <v>14455</v>
      </c>
      <c r="I319" s="128"/>
      <c r="J319" s="128"/>
      <c r="K319" s="128"/>
      <c r="L319" s="128"/>
      <c r="M319" s="129"/>
      <c r="N319" s="129"/>
      <c r="O319" s="129"/>
    </row>
    <row r="320" spans="1:15" ht="12.5">
      <c r="A320" s="158" t="s">
        <v>14456</v>
      </c>
      <c r="B320" s="159">
        <v>20</v>
      </c>
      <c r="C320" s="159">
        <v>29</v>
      </c>
      <c r="D320" s="159">
        <v>60</v>
      </c>
      <c r="E320" s="159">
        <v>84</v>
      </c>
      <c r="F320" s="160" t="s">
        <v>32838</v>
      </c>
      <c r="G320" s="132"/>
      <c r="H320" s="162" t="s">
        <v>14457</v>
      </c>
      <c r="I320" s="128"/>
      <c r="J320" s="128"/>
      <c r="K320" s="128"/>
      <c r="L320" s="128"/>
      <c r="M320" s="129"/>
      <c r="N320" s="129"/>
      <c r="O320" s="129"/>
    </row>
    <row r="321" spans="1:15" ht="12.5">
      <c r="A321" s="158" t="s">
        <v>14458</v>
      </c>
      <c r="B321" s="159">
        <v>20</v>
      </c>
      <c r="C321" s="159">
        <v>29</v>
      </c>
      <c r="D321" s="159">
        <v>60</v>
      </c>
      <c r="E321" s="159">
        <v>87</v>
      </c>
      <c r="F321" s="160" t="s">
        <v>32838</v>
      </c>
      <c r="G321" s="132"/>
      <c r="H321" s="162" t="s">
        <v>14459</v>
      </c>
      <c r="I321" s="128"/>
      <c r="J321" s="128"/>
      <c r="K321" s="128"/>
      <c r="L321" s="128"/>
      <c r="M321" s="129"/>
      <c r="N321" s="129"/>
      <c r="O321" s="129"/>
    </row>
    <row r="322" spans="1:15" ht="12.5">
      <c r="A322" s="158" t="s">
        <v>14460</v>
      </c>
      <c r="B322" s="159">
        <v>20</v>
      </c>
      <c r="C322" s="159">
        <v>29</v>
      </c>
      <c r="D322" s="159">
        <v>60</v>
      </c>
      <c r="E322" s="159">
        <v>96</v>
      </c>
      <c r="F322" s="160" t="s">
        <v>32838</v>
      </c>
      <c r="G322" s="132"/>
      <c r="H322" s="162" t="s">
        <v>14461</v>
      </c>
      <c r="I322" s="158" t="s">
        <v>14462</v>
      </c>
      <c r="J322" s="128"/>
      <c r="K322" s="128"/>
      <c r="L322" s="128"/>
      <c r="M322" s="129"/>
      <c r="N322" s="129"/>
      <c r="O322" s="129"/>
    </row>
    <row r="323" spans="1:15" ht="12.5">
      <c r="A323" s="151" t="s">
        <v>14463</v>
      </c>
      <c r="B323" s="152">
        <v>20</v>
      </c>
      <c r="C323" s="152">
        <v>29</v>
      </c>
      <c r="D323" s="152">
        <v>63</v>
      </c>
      <c r="E323" s="153"/>
      <c r="F323" s="154" t="s">
        <v>32897</v>
      </c>
      <c r="G323" s="168"/>
      <c r="H323" s="156" t="s">
        <v>14464</v>
      </c>
      <c r="I323" s="157"/>
      <c r="J323" s="128"/>
      <c r="K323" s="128"/>
      <c r="L323" s="128"/>
      <c r="M323" s="129"/>
      <c r="N323" s="129"/>
      <c r="O323" s="129"/>
    </row>
    <row r="324" spans="1:15" ht="12.5">
      <c r="A324" s="158" t="s">
        <v>14465</v>
      </c>
      <c r="B324" s="159">
        <v>20</v>
      </c>
      <c r="C324" s="159">
        <v>29</v>
      </c>
      <c r="D324" s="159">
        <v>63</v>
      </c>
      <c r="E324" s="159">
        <v>50</v>
      </c>
      <c r="F324" s="160" t="s">
        <v>32838</v>
      </c>
      <c r="G324" s="132"/>
      <c r="H324" s="162" t="s">
        <v>14466</v>
      </c>
      <c r="I324" s="158" t="s">
        <v>14467</v>
      </c>
      <c r="J324" s="128"/>
      <c r="K324" s="128"/>
      <c r="L324" s="128"/>
      <c r="M324" s="129"/>
      <c r="N324" s="129"/>
      <c r="O324" s="129"/>
    </row>
    <row r="325" spans="1:15" ht="12.5">
      <c r="A325" s="158" t="s">
        <v>14468</v>
      </c>
      <c r="B325" s="159">
        <v>20</v>
      </c>
      <c r="C325" s="159">
        <v>29</v>
      </c>
      <c r="D325" s="159">
        <v>63</v>
      </c>
      <c r="E325" s="159">
        <v>63</v>
      </c>
      <c r="F325" s="160" t="s">
        <v>32838</v>
      </c>
      <c r="G325" s="132"/>
      <c r="H325" s="162" t="s">
        <v>14469</v>
      </c>
      <c r="I325" s="158" t="s">
        <v>14470</v>
      </c>
      <c r="J325" s="128"/>
      <c r="K325" s="128"/>
      <c r="L325" s="128"/>
      <c r="M325" s="129"/>
      <c r="N325" s="129"/>
      <c r="O325" s="129"/>
    </row>
    <row r="326" spans="1:15" ht="12.5">
      <c r="A326" s="158" t="s">
        <v>14471</v>
      </c>
      <c r="B326" s="159">
        <v>20</v>
      </c>
      <c r="C326" s="159">
        <v>29</v>
      </c>
      <c r="D326" s="159">
        <v>63</v>
      </c>
      <c r="E326" s="159">
        <v>84</v>
      </c>
      <c r="F326" s="160" t="s">
        <v>32838</v>
      </c>
      <c r="G326" s="132"/>
      <c r="H326" s="162" t="s">
        <v>14472</v>
      </c>
      <c r="I326" s="158" t="s">
        <v>14473</v>
      </c>
      <c r="J326" s="128"/>
      <c r="K326" s="128"/>
      <c r="L326" s="128"/>
      <c r="M326" s="129"/>
      <c r="N326" s="129"/>
      <c r="O326" s="129"/>
    </row>
    <row r="327" spans="1:15" ht="12.5">
      <c r="A327" s="158" t="s">
        <v>14474</v>
      </c>
      <c r="B327" s="159">
        <v>20</v>
      </c>
      <c r="C327" s="159">
        <v>29</v>
      </c>
      <c r="D327" s="159">
        <v>63</v>
      </c>
      <c r="E327" s="159">
        <v>85</v>
      </c>
      <c r="F327" s="160" t="s">
        <v>32838</v>
      </c>
      <c r="G327" s="132"/>
      <c r="H327" s="162" t="s">
        <v>14475</v>
      </c>
      <c r="I327" s="158" t="s">
        <v>14476</v>
      </c>
      <c r="J327" s="128"/>
      <c r="K327" s="128"/>
      <c r="L327" s="128"/>
      <c r="M327" s="129"/>
      <c r="N327" s="129"/>
      <c r="O327" s="129"/>
    </row>
    <row r="328" spans="1:15" ht="12.5">
      <c r="A328" s="151" t="s">
        <v>14477</v>
      </c>
      <c r="B328" s="152">
        <v>20</v>
      </c>
      <c r="C328" s="152">
        <v>29</v>
      </c>
      <c r="D328" s="152">
        <v>70</v>
      </c>
      <c r="E328" s="153"/>
      <c r="F328" s="154" t="s">
        <v>32898</v>
      </c>
      <c r="G328" s="168"/>
      <c r="H328" s="156" t="s">
        <v>14478</v>
      </c>
      <c r="I328" s="157"/>
      <c r="J328" s="128"/>
      <c r="K328" s="128"/>
      <c r="L328" s="128"/>
      <c r="M328" s="129"/>
      <c r="N328" s="129"/>
      <c r="O328" s="129"/>
    </row>
    <row r="329" spans="1:15" ht="12.5">
      <c r="A329" s="158" t="s">
        <v>14479</v>
      </c>
      <c r="B329" s="159">
        <v>20</v>
      </c>
      <c r="C329" s="159">
        <v>29</v>
      </c>
      <c r="D329" s="159">
        <v>70</v>
      </c>
      <c r="E329" s="159">
        <v>2</v>
      </c>
      <c r="F329" s="160" t="s">
        <v>32838</v>
      </c>
      <c r="G329" s="132"/>
      <c r="H329" s="162" t="s">
        <v>14480</v>
      </c>
      <c r="I329" s="128"/>
      <c r="J329" s="128"/>
      <c r="K329" s="128"/>
      <c r="L329" s="128"/>
      <c r="M329" s="129"/>
      <c r="N329" s="129"/>
      <c r="O329" s="129"/>
    </row>
    <row r="330" spans="1:15" ht="12.5">
      <c r="A330" s="158" t="s">
        <v>14482</v>
      </c>
      <c r="B330" s="159">
        <v>20</v>
      </c>
      <c r="C330" s="159">
        <v>29</v>
      </c>
      <c r="D330" s="159">
        <v>70</v>
      </c>
      <c r="E330" s="159">
        <v>9</v>
      </c>
      <c r="F330" s="160" t="s">
        <v>32838</v>
      </c>
      <c r="G330" s="132"/>
      <c r="H330" s="162" t="s">
        <v>14483</v>
      </c>
      <c r="I330" s="128"/>
      <c r="J330" s="128"/>
      <c r="K330" s="128"/>
      <c r="L330" s="128"/>
      <c r="M330" s="129"/>
      <c r="N330" s="129"/>
      <c r="O330" s="129"/>
    </row>
    <row r="331" spans="1:15" ht="12.5">
      <c r="A331" s="158" t="s">
        <v>14484</v>
      </c>
      <c r="B331" s="159">
        <v>20</v>
      </c>
      <c r="C331" s="159">
        <v>29</v>
      </c>
      <c r="D331" s="159">
        <v>70</v>
      </c>
      <c r="E331" s="159">
        <v>11</v>
      </c>
      <c r="F331" s="160" t="s">
        <v>32838</v>
      </c>
      <c r="G331" s="132"/>
      <c r="H331" s="162" t="s">
        <v>14485</v>
      </c>
      <c r="I331" s="128"/>
      <c r="J331" s="128"/>
      <c r="K331" s="128"/>
      <c r="L331" s="128"/>
      <c r="M331" s="129"/>
      <c r="N331" s="129"/>
      <c r="O331" s="129"/>
    </row>
    <row r="332" spans="1:15" ht="12.5">
      <c r="A332" s="158" t="s">
        <v>14486</v>
      </c>
      <c r="B332" s="159">
        <v>20</v>
      </c>
      <c r="C332" s="159">
        <v>29</v>
      </c>
      <c r="D332" s="159">
        <v>70</v>
      </c>
      <c r="E332" s="159">
        <v>13</v>
      </c>
      <c r="F332" s="160" t="s">
        <v>32838</v>
      </c>
      <c r="G332" s="132"/>
      <c r="H332" s="162" t="s">
        <v>14487</v>
      </c>
      <c r="I332" s="128"/>
      <c r="J332" s="128"/>
      <c r="K332" s="128"/>
      <c r="L332" s="128"/>
      <c r="M332" s="129"/>
      <c r="N332" s="129"/>
      <c r="O332" s="129"/>
    </row>
    <row r="333" spans="1:15" ht="12.5">
      <c r="A333" s="158" t="s">
        <v>14488</v>
      </c>
      <c r="B333" s="159">
        <v>20</v>
      </c>
      <c r="C333" s="159">
        <v>29</v>
      </c>
      <c r="D333" s="159">
        <v>70</v>
      </c>
      <c r="E333" s="159">
        <v>22</v>
      </c>
      <c r="F333" s="160" t="s">
        <v>32838</v>
      </c>
      <c r="G333" s="132"/>
      <c r="H333" s="162" t="s">
        <v>14489</v>
      </c>
      <c r="I333" s="128"/>
      <c r="J333" s="128"/>
      <c r="K333" s="128"/>
      <c r="L333" s="128"/>
      <c r="M333" s="129"/>
      <c r="N333" s="129"/>
      <c r="O333" s="129"/>
    </row>
    <row r="334" spans="1:15" ht="12.5">
      <c r="A334" s="158" t="s">
        <v>32899</v>
      </c>
      <c r="B334" s="159">
        <v>20</v>
      </c>
      <c r="C334" s="159">
        <v>29</v>
      </c>
      <c r="D334" s="159">
        <v>70</v>
      </c>
      <c r="E334" s="159">
        <v>30</v>
      </c>
      <c r="F334" s="160" t="s">
        <v>32838</v>
      </c>
      <c r="G334" s="132"/>
      <c r="H334" s="162" t="s">
        <v>16609</v>
      </c>
      <c r="I334" s="128"/>
      <c r="J334" s="128"/>
      <c r="K334" s="128"/>
      <c r="L334" s="128"/>
      <c r="M334" s="129"/>
      <c r="N334" s="129"/>
      <c r="O334" s="129"/>
    </row>
    <row r="335" spans="1:15" ht="12.5">
      <c r="A335" s="158" t="s">
        <v>14490</v>
      </c>
      <c r="B335" s="159">
        <v>20</v>
      </c>
      <c r="C335" s="159">
        <v>29</v>
      </c>
      <c r="D335" s="159">
        <v>70</v>
      </c>
      <c r="E335" s="159">
        <v>31</v>
      </c>
      <c r="F335" s="160" t="s">
        <v>32838</v>
      </c>
      <c r="G335" s="132"/>
      <c r="H335" s="162" t="s">
        <v>14491</v>
      </c>
      <c r="I335" s="158" t="s">
        <v>14492</v>
      </c>
      <c r="J335" s="128"/>
      <c r="K335" s="128"/>
      <c r="L335" s="128"/>
      <c r="M335" s="129"/>
      <c r="N335" s="129"/>
      <c r="O335" s="129"/>
    </row>
    <row r="336" spans="1:15" ht="12.5">
      <c r="A336" s="158" t="s">
        <v>14493</v>
      </c>
      <c r="B336" s="159">
        <v>20</v>
      </c>
      <c r="C336" s="159">
        <v>29</v>
      </c>
      <c r="D336" s="159">
        <v>70</v>
      </c>
      <c r="E336" s="159">
        <v>32</v>
      </c>
      <c r="F336" s="160" t="s">
        <v>32838</v>
      </c>
      <c r="G336" s="132"/>
      <c r="H336" s="162" t="s">
        <v>14494</v>
      </c>
      <c r="I336" s="128"/>
      <c r="J336" s="128"/>
      <c r="K336" s="128"/>
      <c r="L336" s="128"/>
      <c r="M336" s="129"/>
      <c r="N336" s="129"/>
      <c r="O336" s="129"/>
    </row>
    <row r="337" spans="1:15" ht="12.5">
      <c r="A337" s="158" t="s">
        <v>14495</v>
      </c>
      <c r="B337" s="159">
        <v>20</v>
      </c>
      <c r="C337" s="159">
        <v>29</v>
      </c>
      <c r="D337" s="159">
        <v>70</v>
      </c>
      <c r="E337" s="159">
        <v>36</v>
      </c>
      <c r="F337" s="160" t="s">
        <v>32838</v>
      </c>
      <c r="G337" s="132"/>
      <c r="H337" s="162" t="s">
        <v>14496</v>
      </c>
      <c r="I337" s="128"/>
      <c r="J337" s="128"/>
      <c r="K337" s="128"/>
      <c r="L337" s="128"/>
      <c r="M337" s="129"/>
      <c r="N337" s="129"/>
      <c r="O337" s="129"/>
    </row>
    <row r="338" spans="1:15" ht="12.5">
      <c r="A338" s="158" t="s">
        <v>14497</v>
      </c>
      <c r="B338" s="159">
        <v>20</v>
      </c>
      <c r="C338" s="159">
        <v>29</v>
      </c>
      <c r="D338" s="159">
        <v>70</v>
      </c>
      <c r="E338" s="159">
        <v>37</v>
      </c>
      <c r="F338" s="160" t="s">
        <v>32838</v>
      </c>
      <c r="G338" s="132"/>
      <c r="H338" s="162" t="s">
        <v>14498</v>
      </c>
      <c r="I338" s="128"/>
      <c r="J338" s="128"/>
      <c r="K338" s="128"/>
      <c r="L338" s="128"/>
      <c r="M338" s="129"/>
      <c r="N338" s="129"/>
      <c r="O338" s="129"/>
    </row>
    <row r="339" spans="1:15" ht="12.5">
      <c r="A339" s="158" t="s">
        <v>14499</v>
      </c>
      <c r="B339" s="159">
        <v>20</v>
      </c>
      <c r="C339" s="159">
        <v>29</v>
      </c>
      <c r="D339" s="159">
        <v>70</v>
      </c>
      <c r="E339" s="159">
        <v>41</v>
      </c>
      <c r="F339" s="160" t="s">
        <v>32838</v>
      </c>
      <c r="G339" s="132"/>
      <c r="H339" s="162" t="s">
        <v>14500</v>
      </c>
      <c r="I339" s="128"/>
      <c r="J339" s="128"/>
      <c r="K339" s="128"/>
      <c r="L339" s="128"/>
      <c r="M339" s="129"/>
      <c r="N339" s="129"/>
      <c r="O339" s="129"/>
    </row>
    <row r="340" spans="1:15" ht="12.5">
      <c r="A340" s="158" t="s">
        <v>14501</v>
      </c>
      <c r="B340" s="159">
        <v>20</v>
      </c>
      <c r="C340" s="159">
        <v>29</v>
      </c>
      <c r="D340" s="159">
        <v>70</v>
      </c>
      <c r="E340" s="159">
        <v>46</v>
      </c>
      <c r="F340" s="160" t="s">
        <v>32838</v>
      </c>
      <c r="G340" s="132"/>
      <c r="H340" s="162" t="s">
        <v>14502</v>
      </c>
      <c r="I340" s="128"/>
      <c r="J340" s="128"/>
      <c r="K340" s="128"/>
      <c r="L340" s="128"/>
      <c r="M340" s="129"/>
      <c r="N340" s="129"/>
      <c r="O340" s="129"/>
    </row>
    <row r="341" spans="1:15" ht="12.5">
      <c r="A341" s="158" t="s">
        <v>14503</v>
      </c>
      <c r="B341" s="159">
        <v>20</v>
      </c>
      <c r="C341" s="159">
        <v>29</v>
      </c>
      <c r="D341" s="159">
        <v>70</v>
      </c>
      <c r="E341" s="159">
        <v>68</v>
      </c>
      <c r="F341" s="160" t="s">
        <v>32838</v>
      </c>
      <c r="G341" s="132"/>
      <c r="H341" s="162" t="s">
        <v>14504</v>
      </c>
      <c r="I341" s="128"/>
      <c r="J341" s="128"/>
      <c r="K341" s="128"/>
      <c r="L341" s="128"/>
      <c r="M341" s="129"/>
      <c r="N341" s="129"/>
      <c r="O341" s="129"/>
    </row>
    <row r="342" spans="1:15" ht="12.5">
      <c r="A342" s="158" t="s">
        <v>14505</v>
      </c>
      <c r="B342" s="159">
        <v>20</v>
      </c>
      <c r="C342" s="159">
        <v>29</v>
      </c>
      <c r="D342" s="159">
        <v>70</v>
      </c>
      <c r="E342" s="159">
        <v>69</v>
      </c>
      <c r="F342" s="160" t="s">
        <v>32838</v>
      </c>
      <c r="G342" s="132"/>
      <c r="H342" s="162" t="s">
        <v>14506</v>
      </c>
      <c r="I342" s="128"/>
      <c r="J342" s="128"/>
      <c r="K342" s="128"/>
      <c r="L342" s="128"/>
      <c r="M342" s="129"/>
      <c r="N342" s="129"/>
      <c r="O342" s="129"/>
    </row>
    <row r="343" spans="1:15" ht="12.5">
      <c r="A343" s="158" t="s">
        <v>14507</v>
      </c>
      <c r="B343" s="159">
        <v>20</v>
      </c>
      <c r="C343" s="159">
        <v>29</v>
      </c>
      <c r="D343" s="159">
        <v>70</v>
      </c>
      <c r="E343" s="159">
        <v>70</v>
      </c>
      <c r="F343" s="160" t="s">
        <v>32838</v>
      </c>
      <c r="G343" s="132"/>
      <c r="H343" s="162" t="s">
        <v>14508</v>
      </c>
      <c r="I343" s="158" t="s">
        <v>14509</v>
      </c>
      <c r="J343" s="128"/>
      <c r="K343" s="128"/>
      <c r="L343" s="128"/>
      <c r="M343" s="129"/>
      <c r="N343" s="129"/>
      <c r="O343" s="129"/>
    </row>
    <row r="344" spans="1:15" ht="12.5">
      <c r="A344" s="158" t="s">
        <v>14510</v>
      </c>
      <c r="B344" s="159">
        <v>20</v>
      </c>
      <c r="C344" s="159">
        <v>29</v>
      </c>
      <c r="D344" s="159">
        <v>70</v>
      </c>
      <c r="E344" s="159">
        <v>72</v>
      </c>
      <c r="F344" s="160" t="s">
        <v>32838</v>
      </c>
      <c r="G344" s="132"/>
      <c r="H344" s="162" t="s">
        <v>14511</v>
      </c>
      <c r="I344" s="128"/>
      <c r="J344" s="128"/>
      <c r="K344" s="128"/>
      <c r="L344" s="128"/>
      <c r="M344" s="129"/>
      <c r="N344" s="129"/>
      <c r="O344" s="129"/>
    </row>
    <row r="345" spans="1:15" ht="12.5">
      <c r="A345" s="158" t="s">
        <v>14512</v>
      </c>
      <c r="B345" s="159">
        <v>20</v>
      </c>
      <c r="C345" s="159">
        <v>29</v>
      </c>
      <c r="D345" s="159">
        <v>70</v>
      </c>
      <c r="E345" s="159">
        <v>73</v>
      </c>
      <c r="F345" s="160" t="s">
        <v>32838</v>
      </c>
      <c r="G345" s="132"/>
      <c r="H345" s="162" t="s">
        <v>14513</v>
      </c>
      <c r="I345" s="128"/>
      <c r="J345" s="128"/>
      <c r="K345" s="128"/>
      <c r="L345" s="128"/>
      <c r="M345" s="129"/>
      <c r="N345" s="129"/>
      <c r="O345" s="129"/>
    </row>
    <row r="346" spans="1:15" ht="12.5">
      <c r="A346" s="158" t="s">
        <v>14514</v>
      </c>
      <c r="B346" s="159">
        <v>20</v>
      </c>
      <c r="C346" s="159">
        <v>29</v>
      </c>
      <c r="D346" s="159">
        <v>70</v>
      </c>
      <c r="E346" s="159">
        <v>85</v>
      </c>
      <c r="F346" s="160" t="s">
        <v>32838</v>
      </c>
      <c r="G346" s="132"/>
      <c r="H346" s="162" t="s">
        <v>14515</v>
      </c>
      <c r="I346" s="128"/>
      <c r="J346" s="128"/>
      <c r="K346" s="128"/>
      <c r="L346" s="128"/>
      <c r="M346" s="129"/>
      <c r="N346" s="129"/>
      <c r="O346" s="129"/>
    </row>
    <row r="347" spans="1:15" ht="12.5">
      <c r="A347" s="158" t="s">
        <v>14518</v>
      </c>
      <c r="B347" s="159">
        <v>20</v>
      </c>
      <c r="C347" s="159">
        <v>29</v>
      </c>
      <c r="D347" s="159">
        <v>70</v>
      </c>
      <c r="E347" s="159">
        <v>96</v>
      </c>
      <c r="F347" s="160" t="s">
        <v>32838</v>
      </c>
      <c r="G347" s="132"/>
      <c r="H347" s="162" t="s">
        <v>14519</v>
      </c>
      <c r="I347" s="128"/>
      <c r="J347" s="128"/>
      <c r="K347" s="128"/>
      <c r="L347" s="128"/>
      <c r="M347" s="129"/>
      <c r="N347" s="129"/>
      <c r="O347" s="129"/>
    </row>
    <row r="348" spans="1:15" ht="12.5">
      <c r="A348" s="151" t="s">
        <v>14520</v>
      </c>
      <c r="B348" s="152">
        <v>20</v>
      </c>
      <c r="C348" s="152">
        <v>29</v>
      </c>
      <c r="D348" s="152">
        <v>71</v>
      </c>
      <c r="E348" s="153"/>
      <c r="F348" s="154" t="s">
        <v>32900</v>
      </c>
      <c r="G348" s="168"/>
      <c r="H348" s="156" t="s">
        <v>14521</v>
      </c>
      <c r="I348" s="157"/>
      <c r="J348" s="128"/>
      <c r="K348" s="128"/>
      <c r="L348" s="128"/>
      <c r="M348" s="129"/>
      <c r="N348" s="129"/>
      <c r="O348" s="129"/>
    </row>
    <row r="349" spans="1:15" ht="12.5">
      <c r="A349" s="158" t="s">
        <v>14522</v>
      </c>
      <c r="B349" s="159">
        <v>20</v>
      </c>
      <c r="C349" s="159">
        <v>29</v>
      </c>
      <c r="D349" s="159">
        <v>71</v>
      </c>
      <c r="E349" s="159">
        <v>8</v>
      </c>
      <c r="F349" s="160" t="s">
        <v>32838</v>
      </c>
      <c r="G349" s="132"/>
      <c r="H349" s="162" t="s">
        <v>14523</v>
      </c>
      <c r="I349" s="158" t="s">
        <v>14524</v>
      </c>
      <c r="J349" s="128"/>
      <c r="K349" s="128"/>
      <c r="L349" s="128"/>
      <c r="M349" s="129"/>
      <c r="N349" s="129"/>
      <c r="O349" s="129"/>
    </row>
    <row r="350" spans="1:15" ht="12.5">
      <c r="A350" s="158" t="s">
        <v>14525</v>
      </c>
      <c r="B350" s="159">
        <v>20</v>
      </c>
      <c r="C350" s="159">
        <v>29</v>
      </c>
      <c r="D350" s="159">
        <v>71</v>
      </c>
      <c r="E350" s="159">
        <v>24</v>
      </c>
      <c r="F350" s="160" t="s">
        <v>32838</v>
      </c>
      <c r="G350" s="132"/>
      <c r="H350" s="162" t="s">
        <v>14526</v>
      </c>
      <c r="I350" s="128"/>
      <c r="J350" s="128"/>
      <c r="K350" s="128"/>
      <c r="L350" s="128"/>
      <c r="M350" s="129"/>
      <c r="N350" s="129"/>
      <c r="O350" s="129"/>
    </row>
    <row r="351" spans="1:15" ht="12.5">
      <c r="A351" s="158" t="s">
        <v>14527</v>
      </c>
      <c r="B351" s="159">
        <v>20</v>
      </c>
      <c r="C351" s="159">
        <v>29</v>
      </c>
      <c r="D351" s="159">
        <v>71</v>
      </c>
      <c r="E351" s="159">
        <v>30</v>
      </c>
      <c r="F351" s="160" t="s">
        <v>32838</v>
      </c>
      <c r="G351" s="132"/>
      <c r="H351" s="162" t="s">
        <v>14528</v>
      </c>
      <c r="I351" s="128"/>
      <c r="J351" s="128"/>
      <c r="K351" s="128"/>
      <c r="L351" s="128"/>
      <c r="M351" s="129"/>
      <c r="N351" s="129"/>
      <c r="O351" s="129"/>
    </row>
    <row r="352" spans="1:15" ht="12.5">
      <c r="A352" s="158" t="s">
        <v>14529</v>
      </c>
      <c r="B352" s="159">
        <v>20</v>
      </c>
      <c r="C352" s="159">
        <v>29</v>
      </c>
      <c r="D352" s="159">
        <v>71</v>
      </c>
      <c r="E352" s="159">
        <v>31</v>
      </c>
      <c r="F352" s="160" t="s">
        <v>32838</v>
      </c>
      <c r="G352" s="132"/>
      <c r="H352" s="162" t="s">
        <v>14530</v>
      </c>
      <c r="I352" s="128"/>
      <c r="J352" s="128"/>
      <c r="K352" s="128"/>
      <c r="L352" s="128"/>
      <c r="M352" s="129"/>
      <c r="N352" s="129"/>
      <c r="O352" s="129"/>
    </row>
    <row r="353" spans="1:15" ht="12.5">
      <c r="A353" s="158" t="s">
        <v>14531</v>
      </c>
      <c r="B353" s="159">
        <v>20</v>
      </c>
      <c r="C353" s="159">
        <v>29</v>
      </c>
      <c r="D353" s="159">
        <v>71</v>
      </c>
      <c r="E353" s="159">
        <v>59</v>
      </c>
      <c r="F353" s="160" t="s">
        <v>32838</v>
      </c>
      <c r="G353" s="132"/>
      <c r="H353" s="162" t="s">
        <v>14532</v>
      </c>
      <c r="I353" s="128"/>
      <c r="J353" s="128"/>
      <c r="K353" s="128"/>
      <c r="L353" s="128"/>
      <c r="M353" s="129"/>
      <c r="N353" s="129"/>
      <c r="O353" s="129"/>
    </row>
    <row r="354" spans="1:15" ht="12.5">
      <c r="A354" s="158" t="s">
        <v>14533</v>
      </c>
      <c r="B354" s="159">
        <v>20</v>
      </c>
      <c r="C354" s="159">
        <v>29</v>
      </c>
      <c r="D354" s="159">
        <v>71</v>
      </c>
      <c r="E354" s="159">
        <v>76</v>
      </c>
      <c r="F354" s="160" t="s">
        <v>32838</v>
      </c>
      <c r="G354" s="132"/>
      <c r="H354" s="162" t="s">
        <v>14534</v>
      </c>
      <c r="I354" s="128"/>
      <c r="J354" s="128"/>
      <c r="K354" s="128"/>
      <c r="L354" s="128"/>
      <c r="M354" s="129"/>
      <c r="N354" s="129"/>
      <c r="O354" s="129"/>
    </row>
    <row r="355" spans="1:15" ht="12.5">
      <c r="A355" s="158" t="s">
        <v>14535</v>
      </c>
      <c r="B355" s="159">
        <v>20</v>
      </c>
      <c r="C355" s="159">
        <v>29</v>
      </c>
      <c r="D355" s="159">
        <v>71</v>
      </c>
      <c r="E355" s="159">
        <v>77</v>
      </c>
      <c r="F355" s="169"/>
      <c r="G355" s="132"/>
      <c r="H355" s="162" t="s">
        <v>14536</v>
      </c>
      <c r="I355" s="158" t="s">
        <v>14537</v>
      </c>
      <c r="J355" s="128"/>
      <c r="K355" s="128"/>
      <c r="L355" s="128"/>
      <c r="M355" s="129"/>
      <c r="N355" s="129"/>
      <c r="O355" s="129"/>
    </row>
    <row r="356" spans="1:15" ht="12.5">
      <c r="A356" s="158" t="s">
        <v>14538</v>
      </c>
      <c r="B356" s="159">
        <v>20</v>
      </c>
      <c r="C356" s="159">
        <v>29</v>
      </c>
      <c r="D356" s="159">
        <v>71</v>
      </c>
      <c r="E356" s="159">
        <v>81</v>
      </c>
      <c r="F356" s="160" t="s">
        <v>32838</v>
      </c>
      <c r="G356" s="132"/>
      <c r="H356" s="162" t="s">
        <v>14539</v>
      </c>
      <c r="I356" s="158" t="s">
        <v>14537</v>
      </c>
      <c r="J356" s="128"/>
      <c r="K356" s="128"/>
      <c r="L356" s="128"/>
      <c r="M356" s="129"/>
      <c r="N356" s="129"/>
      <c r="O356" s="129"/>
    </row>
    <row r="357" spans="1:15" ht="12.5">
      <c r="A357" s="151" t="s">
        <v>14540</v>
      </c>
      <c r="B357" s="152">
        <v>20</v>
      </c>
      <c r="C357" s="152">
        <v>29</v>
      </c>
      <c r="D357" s="152">
        <v>76</v>
      </c>
      <c r="E357" s="153"/>
      <c r="F357" s="154" t="s">
        <v>32901</v>
      </c>
      <c r="G357" s="155"/>
      <c r="H357" s="156" t="s">
        <v>14541</v>
      </c>
      <c r="I357" s="157"/>
      <c r="J357" s="157"/>
      <c r="K357" s="128"/>
      <c r="L357" s="128"/>
      <c r="M357" s="129"/>
      <c r="N357" s="129"/>
      <c r="O357" s="129"/>
    </row>
    <row r="358" spans="1:15" ht="12.5">
      <c r="A358" s="158" t="s">
        <v>14542</v>
      </c>
      <c r="B358" s="159">
        <v>20</v>
      </c>
      <c r="C358" s="159">
        <v>29</v>
      </c>
      <c r="D358" s="159">
        <v>76</v>
      </c>
      <c r="E358" s="159">
        <v>11</v>
      </c>
      <c r="F358" s="176" t="s">
        <v>32838</v>
      </c>
      <c r="G358" s="180"/>
      <c r="H358" s="162" t="s">
        <v>14543</v>
      </c>
      <c r="I358" s="158" t="s">
        <v>14544</v>
      </c>
      <c r="J358" s="128"/>
      <c r="K358" s="128"/>
      <c r="L358" s="128"/>
      <c r="M358" s="129"/>
      <c r="N358" s="129"/>
      <c r="O358" s="129"/>
    </row>
    <row r="359" spans="1:15" ht="12.5">
      <c r="A359" s="158" t="s">
        <v>14545</v>
      </c>
      <c r="B359" s="159">
        <v>20</v>
      </c>
      <c r="C359" s="159">
        <v>29</v>
      </c>
      <c r="D359" s="159">
        <v>76</v>
      </c>
      <c r="E359" s="159">
        <v>15</v>
      </c>
      <c r="F359" s="160" t="s">
        <v>32838</v>
      </c>
      <c r="G359" s="132"/>
      <c r="H359" s="162" t="s">
        <v>14546</v>
      </c>
      <c r="I359" s="158" t="s">
        <v>14547</v>
      </c>
      <c r="J359" s="128"/>
      <c r="K359" s="128"/>
      <c r="L359" s="128"/>
      <c r="M359" s="129"/>
      <c r="N359" s="129"/>
      <c r="O359" s="129"/>
    </row>
    <row r="360" spans="1:15" ht="12.5">
      <c r="A360" s="158" t="s">
        <v>14548</v>
      </c>
      <c r="B360" s="159">
        <v>20</v>
      </c>
      <c r="C360" s="159">
        <v>29</v>
      </c>
      <c r="D360" s="159">
        <v>76</v>
      </c>
      <c r="E360" s="159">
        <v>28</v>
      </c>
      <c r="F360" s="160" t="s">
        <v>32838</v>
      </c>
      <c r="G360" s="132"/>
      <c r="H360" s="162" t="s">
        <v>14549</v>
      </c>
      <c r="I360" s="128"/>
      <c r="J360" s="128"/>
      <c r="K360" s="128"/>
      <c r="L360" s="128"/>
      <c r="M360" s="129"/>
      <c r="N360" s="129"/>
      <c r="O360" s="129"/>
    </row>
    <row r="361" spans="1:15" ht="12.5">
      <c r="A361" s="158" t="s">
        <v>14550</v>
      </c>
      <c r="B361" s="159">
        <v>20</v>
      </c>
      <c r="C361" s="159">
        <v>29</v>
      </c>
      <c r="D361" s="159">
        <v>76</v>
      </c>
      <c r="E361" s="159">
        <v>50</v>
      </c>
      <c r="F361" s="160" t="s">
        <v>32838</v>
      </c>
      <c r="G361" s="132"/>
      <c r="H361" s="162" t="s">
        <v>14551</v>
      </c>
      <c r="I361" s="128"/>
      <c r="J361" s="128"/>
      <c r="K361" s="128"/>
      <c r="L361" s="128"/>
      <c r="M361" s="129"/>
      <c r="N361" s="129"/>
      <c r="O361" s="129"/>
    </row>
    <row r="362" spans="1:15" ht="12.5">
      <c r="A362" s="158" t="s">
        <v>14552</v>
      </c>
      <c r="B362" s="159">
        <v>20</v>
      </c>
      <c r="C362" s="159">
        <v>29</v>
      </c>
      <c r="D362" s="159">
        <v>76</v>
      </c>
      <c r="E362" s="159">
        <v>65</v>
      </c>
      <c r="F362" s="178" t="s">
        <v>32902</v>
      </c>
      <c r="G362" s="179" t="s">
        <v>32903</v>
      </c>
      <c r="H362" s="162" t="s">
        <v>14553</v>
      </c>
      <c r="I362" s="158" t="s">
        <v>14554</v>
      </c>
      <c r="J362" s="128"/>
      <c r="K362" s="128"/>
      <c r="L362" s="128"/>
      <c r="M362" s="129"/>
      <c r="N362" s="129"/>
      <c r="O362" s="129"/>
    </row>
    <row r="363" spans="1:15" ht="12.5">
      <c r="A363" s="158" t="s">
        <v>14555</v>
      </c>
      <c r="B363" s="159">
        <v>20</v>
      </c>
      <c r="C363" s="159">
        <v>29</v>
      </c>
      <c r="D363" s="159">
        <v>76</v>
      </c>
      <c r="E363" s="159">
        <v>72</v>
      </c>
      <c r="F363" s="160" t="s">
        <v>32838</v>
      </c>
      <c r="G363" s="132"/>
      <c r="H363" s="162" t="s">
        <v>14556</v>
      </c>
      <c r="I363" s="128"/>
      <c r="J363" s="128"/>
      <c r="K363" s="128"/>
      <c r="L363" s="128"/>
      <c r="M363" s="129"/>
      <c r="N363" s="129"/>
      <c r="O363" s="129"/>
    </row>
    <row r="364" spans="1:15" ht="12.5">
      <c r="A364" s="158" t="s">
        <v>14559</v>
      </c>
      <c r="B364" s="159">
        <v>20</v>
      </c>
      <c r="C364" s="159">
        <v>29</v>
      </c>
      <c r="D364" s="159">
        <v>76</v>
      </c>
      <c r="E364" s="159">
        <v>76</v>
      </c>
      <c r="F364" s="160" t="s">
        <v>32838</v>
      </c>
      <c r="G364" s="132"/>
      <c r="H364" s="162" t="s">
        <v>32904</v>
      </c>
      <c r="I364" s="158" t="s">
        <v>14561</v>
      </c>
      <c r="J364" s="128"/>
      <c r="K364" s="128"/>
      <c r="L364" s="128"/>
      <c r="M364" s="129"/>
      <c r="N364" s="129"/>
      <c r="O364" s="129"/>
    </row>
    <row r="365" spans="1:15" ht="12.5">
      <c r="A365" s="158" t="s">
        <v>14562</v>
      </c>
      <c r="B365" s="159">
        <v>20</v>
      </c>
      <c r="C365" s="159">
        <v>29</v>
      </c>
      <c r="D365" s="159">
        <v>76</v>
      </c>
      <c r="E365" s="159">
        <v>77</v>
      </c>
      <c r="F365" s="176" t="s">
        <v>32838</v>
      </c>
      <c r="G365" s="180"/>
      <c r="H365" s="162" t="s">
        <v>14563</v>
      </c>
      <c r="I365" s="158" t="s">
        <v>14564</v>
      </c>
      <c r="J365" s="128"/>
      <c r="K365" s="128"/>
      <c r="L365" s="128"/>
      <c r="M365" s="129"/>
      <c r="N365" s="129"/>
      <c r="O365" s="129"/>
    </row>
    <row r="366" spans="1:15" ht="12.5">
      <c r="A366" s="158" t="s">
        <v>14565</v>
      </c>
      <c r="B366" s="159">
        <v>20</v>
      </c>
      <c r="C366" s="159">
        <v>29</v>
      </c>
      <c r="D366" s="159">
        <v>76</v>
      </c>
      <c r="E366" s="159">
        <v>78</v>
      </c>
      <c r="F366" s="160" t="s">
        <v>32838</v>
      </c>
      <c r="G366" s="132"/>
      <c r="H366" s="162" t="s">
        <v>14566</v>
      </c>
      <c r="I366" s="128"/>
      <c r="J366" s="128"/>
      <c r="K366" s="128"/>
      <c r="L366" s="128"/>
      <c r="M366" s="129"/>
      <c r="N366" s="129"/>
      <c r="O366" s="129"/>
    </row>
    <row r="367" spans="1:15" ht="12.5">
      <c r="A367" s="158" t="s">
        <v>14567</v>
      </c>
      <c r="B367" s="159">
        <v>20</v>
      </c>
      <c r="C367" s="159">
        <v>29</v>
      </c>
      <c r="D367" s="159">
        <v>76</v>
      </c>
      <c r="E367" s="159">
        <v>81</v>
      </c>
      <c r="F367" s="160" t="s">
        <v>32838</v>
      </c>
      <c r="G367" s="132"/>
      <c r="H367" s="162" t="s">
        <v>14568</v>
      </c>
      <c r="I367" s="128"/>
      <c r="J367" s="128"/>
      <c r="K367" s="128"/>
      <c r="L367" s="128"/>
      <c r="M367" s="129"/>
      <c r="N367" s="129"/>
      <c r="O367" s="129"/>
    </row>
    <row r="368" spans="1:15" ht="12.5">
      <c r="A368" s="158" t="s">
        <v>14569</v>
      </c>
      <c r="B368" s="159">
        <v>20</v>
      </c>
      <c r="C368" s="159">
        <v>29</v>
      </c>
      <c r="D368" s="159">
        <v>76</v>
      </c>
      <c r="E368" s="159">
        <v>85</v>
      </c>
      <c r="F368" s="176" t="s">
        <v>32838</v>
      </c>
      <c r="G368" s="180"/>
      <c r="H368" s="162" t="s">
        <v>14570</v>
      </c>
      <c r="I368" s="158" t="s">
        <v>14571</v>
      </c>
      <c r="J368" s="128"/>
      <c r="K368" s="128"/>
      <c r="L368" s="128"/>
      <c r="M368" s="129"/>
      <c r="N368" s="129"/>
      <c r="O368" s="129"/>
    </row>
    <row r="369" spans="1:15" ht="12.5">
      <c r="A369" s="158" t="s">
        <v>14572</v>
      </c>
      <c r="B369" s="159">
        <v>20</v>
      </c>
      <c r="C369" s="159">
        <v>29</v>
      </c>
      <c r="D369" s="159">
        <v>76</v>
      </c>
      <c r="E369" s="159">
        <v>86</v>
      </c>
      <c r="F369" s="160" t="s">
        <v>32838</v>
      </c>
      <c r="G369" s="132"/>
      <c r="H369" s="162" t="s">
        <v>14573</v>
      </c>
      <c r="I369" s="128"/>
      <c r="J369" s="128"/>
      <c r="K369" s="128"/>
      <c r="L369" s="128"/>
      <c r="M369" s="129"/>
      <c r="N369" s="129"/>
      <c r="O369" s="129"/>
    </row>
    <row r="370" spans="1:15" ht="12.5">
      <c r="A370" s="158" t="s">
        <v>14574</v>
      </c>
      <c r="B370" s="159">
        <v>20</v>
      </c>
      <c r="C370" s="159">
        <v>29</v>
      </c>
      <c r="D370" s="159">
        <v>76</v>
      </c>
      <c r="E370" s="159">
        <v>88</v>
      </c>
      <c r="F370" s="131"/>
      <c r="G370" s="132"/>
      <c r="H370" s="162" t="s">
        <v>14575</v>
      </c>
      <c r="I370" s="128"/>
      <c r="J370" s="128"/>
      <c r="K370" s="128"/>
      <c r="L370" s="128"/>
      <c r="M370" s="129"/>
      <c r="N370" s="129"/>
      <c r="O370" s="129"/>
    </row>
    <row r="371" spans="1:15" ht="12.5">
      <c r="A371" s="158" t="s">
        <v>14576</v>
      </c>
      <c r="B371" s="159">
        <v>20</v>
      </c>
      <c r="C371" s="159">
        <v>29</v>
      </c>
      <c r="D371" s="159">
        <v>76</v>
      </c>
      <c r="E371" s="159">
        <v>98</v>
      </c>
      <c r="F371" s="131"/>
      <c r="G371" s="132"/>
      <c r="H371" s="162" t="s">
        <v>14577</v>
      </c>
      <c r="I371" s="158" t="s">
        <v>14578</v>
      </c>
      <c r="J371" s="128"/>
      <c r="K371" s="128"/>
      <c r="L371" s="128"/>
      <c r="M371" s="129"/>
      <c r="N371" s="129"/>
      <c r="O371" s="129"/>
    </row>
    <row r="372" spans="1:15" ht="12.5">
      <c r="A372" s="151" t="s">
        <v>14579</v>
      </c>
      <c r="B372" s="152">
        <v>20</v>
      </c>
      <c r="C372" s="152">
        <v>29</v>
      </c>
      <c r="D372" s="152">
        <v>81</v>
      </c>
      <c r="E372" s="153"/>
      <c r="F372" s="154" t="s">
        <v>32905</v>
      </c>
      <c r="G372" s="168"/>
      <c r="H372" s="156" t="s">
        <v>14580</v>
      </c>
      <c r="I372" s="157"/>
      <c r="J372" s="157"/>
      <c r="K372" s="128"/>
      <c r="L372" s="128"/>
      <c r="M372" s="129"/>
      <c r="N372" s="129"/>
      <c r="O372" s="129"/>
    </row>
    <row r="373" spans="1:15" ht="12.5">
      <c r="A373" s="158" t="s">
        <v>14581</v>
      </c>
      <c r="B373" s="159">
        <v>20</v>
      </c>
      <c r="C373" s="159">
        <v>29</v>
      </c>
      <c r="D373" s="159">
        <v>81</v>
      </c>
      <c r="E373" s="159">
        <v>11</v>
      </c>
      <c r="F373" s="160" t="s">
        <v>32838</v>
      </c>
      <c r="G373" s="132"/>
      <c r="H373" s="162" t="s">
        <v>14582</v>
      </c>
      <c r="I373" s="158" t="s">
        <v>14583</v>
      </c>
      <c r="J373" s="128"/>
      <c r="K373" s="128"/>
      <c r="L373" s="128"/>
      <c r="M373" s="129"/>
      <c r="N373" s="129"/>
      <c r="O373" s="129"/>
    </row>
    <row r="374" spans="1:15" ht="12.5">
      <c r="A374" s="158" t="s">
        <v>14584</v>
      </c>
      <c r="B374" s="159">
        <v>20</v>
      </c>
      <c r="C374" s="159">
        <v>29</v>
      </c>
      <c r="D374" s="159">
        <v>81</v>
      </c>
      <c r="E374" s="159">
        <v>63</v>
      </c>
      <c r="F374" s="160" t="s">
        <v>32838</v>
      </c>
      <c r="G374" s="132"/>
      <c r="H374" s="162" t="s">
        <v>14585</v>
      </c>
      <c r="I374" s="158" t="s">
        <v>14586</v>
      </c>
      <c r="J374" s="128"/>
      <c r="K374" s="128"/>
      <c r="L374" s="128"/>
      <c r="M374" s="129"/>
      <c r="N374" s="129"/>
      <c r="O374" s="129"/>
    </row>
    <row r="375" spans="1:15" ht="12.5">
      <c r="A375" s="158" t="s">
        <v>14587</v>
      </c>
      <c r="B375" s="159">
        <v>20</v>
      </c>
      <c r="C375" s="159">
        <v>29</v>
      </c>
      <c r="D375" s="159">
        <v>81</v>
      </c>
      <c r="E375" s="159">
        <v>84</v>
      </c>
      <c r="F375" s="176" t="s">
        <v>32838</v>
      </c>
      <c r="G375" s="180"/>
      <c r="H375" s="162" t="s">
        <v>14588</v>
      </c>
      <c r="I375" s="158" t="s">
        <v>14589</v>
      </c>
      <c r="J375" s="128"/>
      <c r="K375" s="128"/>
      <c r="L375" s="128"/>
      <c r="M375" s="129"/>
      <c r="N375" s="129"/>
      <c r="O375" s="129"/>
    </row>
    <row r="376" spans="1:15" ht="12.5">
      <c r="A376" s="151" t="s">
        <v>14590</v>
      </c>
      <c r="B376" s="152">
        <v>20</v>
      </c>
      <c r="C376" s="152">
        <v>29</v>
      </c>
      <c r="D376" s="152">
        <v>85</v>
      </c>
      <c r="E376" s="153"/>
      <c r="F376" s="154" t="s">
        <v>32906</v>
      </c>
      <c r="G376" s="168"/>
      <c r="H376" s="156" t="s">
        <v>14591</v>
      </c>
      <c r="I376" s="157"/>
      <c r="J376" s="157"/>
      <c r="K376" s="128"/>
      <c r="L376" s="128"/>
      <c r="M376" s="129"/>
      <c r="N376" s="129"/>
      <c r="O376" s="129"/>
    </row>
    <row r="377" spans="1:15" ht="12.5">
      <c r="A377" s="158" t="s">
        <v>14592</v>
      </c>
      <c r="B377" s="159">
        <v>20</v>
      </c>
      <c r="C377" s="159">
        <v>29</v>
      </c>
      <c r="D377" s="159">
        <v>85</v>
      </c>
      <c r="E377" s="159">
        <v>64</v>
      </c>
      <c r="F377" s="160" t="s">
        <v>32838</v>
      </c>
      <c r="G377" s="132"/>
      <c r="H377" s="162" t="s">
        <v>14593</v>
      </c>
      <c r="I377" s="158" t="s">
        <v>14594</v>
      </c>
      <c r="J377" s="128"/>
      <c r="K377" s="128"/>
      <c r="L377" s="128"/>
      <c r="M377" s="129"/>
      <c r="N377" s="129"/>
      <c r="O377" s="129"/>
    </row>
    <row r="378" spans="1:15" ht="12.5">
      <c r="A378" s="158" t="s">
        <v>14595</v>
      </c>
      <c r="B378" s="159">
        <v>20</v>
      </c>
      <c r="C378" s="159">
        <v>29</v>
      </c>
      <c r="D378" s="159">
        <v>85</v>
      </c>
      <c r="E378" s="159">
        <v>65</v>
      </c>
      <c r="F378" s="160" t="s">
        <v>32838</v>
      </c>
      <c r="G378" s="132"/>
      <c r="H378" s="162" t="s">
        <v>14596</v>
      </c>
      <c r="I378" s="158" t="s">
        <v>14597</v>
      </c>
      <c r="J378" s="128"/>
      <c r="K378" s="128"/>
      <c r="L378" s="128"/>
      <c r="M378" s="129"/>
      <c r="N378" s="129"/>
      <c r="O378" s="129"/>
    </row>
    <row r="379" spans="1:15" ht="12.5">
      <c r="A379" s="151" t="s">
        <v>14598</v>
      </c>
      <c r="B379" s="152">
        <v>20</v>
      </c>
      <c r="C379" s="152">
        <v>29</v>
      </c>
      <c r="D379" s="152">
        <v>87</v>
      </c>
      <c r="E379" s="153"/>
      <c r="F379" s="154" t="s">
        <v>32907</v>
      </c>
      <c r="G379" s="168"/>
      <c r="H379" s="156" t="s">
        <v>14599</v>
      </c>
      <c r="I379" s="157"/>
      <c r="J379" s="128"/>
      <c r="K379" s="128"/>
      <c r="L379" s="128"/>
      <c r="M379" s="129"/>
      <c r="N379" s="129"/>
      <c r="O379" s="129"/>
    </row>
    <row r="380" spans="1:15" ht="12.5">
      <c r="A380" s="158" t="s">
        <v>14600</v>
      </c>
      <c r="B380" s="159">
        <v>20</v>
      </c>
      <c r="C380" s="159">
        <v>29</v>
      </c>
      <c r="D380" s="159">
        <v>87</v>
      </c>
      <c r="E380" s="159">
        <v>36</v>
      </c>
      <c r="F380" s="131"/>
      <c r="G380" s="132"/>
      <c r="H380" s="162" t="s">
        <v>14601</v>
      </c>
      <c r="I380" s="158" t="s">
        <v>14602</v>
      </c>
      <c r="J380" s="128"/>
      <c r="K380" s="128"/>
      <c r="L380" s="128"/>
      <c r="M380" s="129"/>
      <c r="N380" s="129"/>
      <c r="O380" s="129"/>
    </row>
    <row r="381" spans="1:15" ht="12.5">
      <c r="A381" s="158" t="s">
        <v>14603</v>
      </c>
      <c r="B381" s="159">
        <v>20</v>
      </c>
      <c r="C381" s="159">
        <v>29</v>
      </c>
      <c r="D381" s="159">
        <v>87</v>
      </c>
      <c r="E381" s="159">
        <v>37</v>
      </c>
      <c r="F381" s="131"/>
      <c r="G381" s="132"/>
      <c r="H381" s="162" t="s">
        <v>14604</v>
      </c>
      <c r="I381" s="158" t="s">
        <v>14605</v>
      </c>
      <c r="J381" s="128"/>
      <c r="K381" s="128"/>
      <c r="L381" s="128"/>
      <c r="M381" s="129"/>
      <c r="N381" s="129"/>
      <c r="O381" s="129"/>
    </row>
    <row r="382" spans="1:15" ht="12.5">
      <c r="A382" s="158" t="s">
        <v>14606</v>
      </c>
      <c r="B382" s="159">
        <v>20</v>
      </c>
      <c r="C382" s="159">
        <v>29</v>
      </c>
      <c r="D382" s="159">
        <v>87</v>
      </c>
      <c r="E382" s="159">
        <v>52</v>
      </c>
      <c r="F382" s="131"/>
      <c r="G382" s="132"/>
      <c r="H382" s="162" t="s">
        <v>14607</v>
      </c>
      <c r="I382" s="158" t="s">
        <v>14608</v>
      </c>
      <c r="J382" s="128"/>
      <c r="K382" s="128"/>
      <c r="L382" s="128"/>
      <c r="M382" s="129"/>
      <c r="N382" s="129"/>
      <c r="O382" s="129"/>
    </row>
    <row r="383" spans="1:15" ht="12.5">
      <c r="A383" s="158" t="s">
        <v>14609</v>
      </c>
      <c r="B383" s="159">
        <v>20</v>
      </c>
      <c r="C383" s="159">
        <v>29</v>
      </c>
      <c r="D383" s="159">
        <v>87</v>
      </c>
      <c r="E383" s="159">
        <v>87</v>
      </c>
      <c r="F383" s="131"/>
      <c r="G383" s="132"/>
      <c r="H383" s="162" t="s">
        <v>14610</v>
      </c>
      <c r="I383" s="158" t="s">
        <v>14611</v>
      </c>
      <c r="J383" s="128"/>
      <c r="K383" s="128"/>
      <c r="L383" s="128"/>
      <c r="M383" s="129"/>
      <c r="N383" s="129"/>
      <c r="O383" s="129"/>
    </row>
    <row r="384" spans="1:15" ht="12.5">
      <c r="A384" s="158" t="s">
        <v>14612</v>
      </c>
      <c r="B384" s="159">
        <v>20</v>
      </c>
      <c r="C384" s="159">
        <v>29</v>
      </c>
      <c r="D384" s="159">
        <v>87</v>
      </c>
      <c r="E384" s="159">
        <v>96</v>
      </c>
      <c r="F384" s="131"/>
      <c r="G384" s="132"/>
      <c r="H384" s="162" t="s">
        <v>14613</v>
      </c>
      <c r="I384" s="158" t="s">
        <v>14614</v>
      </c>
      <c r="J384" s="128"/>
      <c r="K384" s="128"/>
      <c r="L384" s="128"/>
      <c r="M384" s="129"/>
      <c r="N384" s="129"/>
      <c r="O384" s="129"/>
    </row>
    <row r="385" spans="1:15" ht="12.5">
      <c r="A385" s="151" t="s">
        <v>14615</v>
      </c>
      <c r="B385" s="152">
        <v>20</v>
      </c>
      <c r="C385" s="152">
        <v>29</v>
      </c>
      <c r="D385" s="152">
        <v>88</v>
      </c>
      <c r="E385" s="153"/>
      <c r="F385" s="154" t="s">
        <v>32908</v>
      </c>
      <c r="G385" s="155"/>
      <c r="H385" s="156" t="s">
        <v>14616</v>
      </c>
      <c r="I385" s="157"/>
      <c r="J385" s="157"/>
      <c r="K385" s="128"/>
      <c r="L385" s="128"/>
      <c r="M385" s="129"/>
      <c r="N385" s="129"/>
      <c r="O385" s="129"/>
    </row>
    <row r="386" spans="1:15" ht="12.5">
      <c r="A386" s="158" t="s">
        <v>14617</v>
      </c>
      <c r="B386" s="159">
        <v>20</v>
      </c>
      <c r="C386" s="159">
        <v>29</v>
      </c>
      <c r="D386" s="159">
        <v>88</v>
      </c>
      <c r="E386" s="159">
        <v>26</v>
      </c>
      <c r="F386" s="131"/>
      <c r="G386" s="132"/>
      <c r="H386" s="162" t="s">
        <v>14618</v>
      </c>
      <c r="I386" s="158" t="s">
        <v>14619</v>
      </c>
      <c r="J386" s="128"/>
      <c r="K386" s="128"/>
      <c r="L386" s="128"/>
      <c r="M386" s="129"/>
      <c r="N386" s="129"/>
      <c r="O386" s="129"/>
    </row>
    <row r="387" spans="1:15" ht="12.5">
      <c r="A387" s="158" t="s">
        <v>14620</v>
      </c>
      <c r="B387" s="159">
        <v>20</v>
      </c>
      <c r="C387" s="159">
        <v>29</v>
      </c>
      <c r="D387" s="159">
        <v>88</v>
      </c>
      <c r="E387" s="159">
        <v>27</v>
      </c>
      <c r="F387" s="131"/>
      <c r="G387" s="132"/>
      <c r="H387" s="162" t="s">
        <v>14621</v>
      </c>
      <c r="I387" s="158" t="s">
        <v>14622</v>
      </c>
      <c r="J387" s="128"/>
      <c r="K387" s="128"/>
      <c r="L387" s="128"/>
      <c r="M387" s="129"/>
      <c r="N387" s="129"/>
      <c r="O387" s="129"/>
    </row>
    <row r="388" spans="1:15" ht="12.5">
      <c r="A388" s="158" t="s">
        <v>14623</v>
      </c>
      <c r="B388" s="159">
        <v>20</v>
      </c>
      <c r="C388" s="159">
        <v>29</v>
      </c>
      <c r="D388" s="159">
        <v>88</v>
      </c>
      <c r="E388" s="159">
        <v>31</v>
      </c>
      <c r="F388" s="160" t="s">
        <v>32909</v>
      </c>
      <c r="G388" s="162" t="s">
        <v>32910</v>
      </c>
      <c r="H388" s="162" t="s">
        <v>14624</v>
      </c>
      <c r="I388" s="158" t="s">
        <v>14625</v>
      </c>
      <c r="J388" s="128"/>
      <c r="K388" s="128"/>
      <c r="L388" s="128"/>
      <c r="M388" s="129"/>
      <c r="N388" s="129"/>
      <c r="O388" s="129"/>
    </row>
    <row r="389" spans="1:15" ht="12.5">
      <c r="A389" s="158" t="s">
        <v>14626</v>
      </c>
      <c r="B389" s="159">
        <v>20</v>
      </c>
      <c r="C389" s="159">
        <v>29</v>
      </c>
      <c r="D389" s="159">
        <v>88</v>
      </c>
      <c r="E389" s="159">
        <v>37</v>
      </c>
      <c r="F389" s="160" t="s">
        <v>32838</v>
      </c>
      <c r="G389" s="132"/>
      <c r="H389" s="162" t="s">
        <v>14627</v>
      </c>
      <c r="I389" s="158" t="s">
        <v>14628</v>
      </c>
      <c r="J389" s="128"/>
      <c r="K389" s="128"/>
      <c r="L389" s="128"/>
      <c r="M389" s="129"/>
      <c r="N389" s="129"/>
      <c r="O389" s="129"/>
    </row>
    <row r="390" spans="1:15" ht="12.5">
      <c r="A390" s="158" t="s">
        <v>14629</v>
      </c>
      <c r="B390" s="159">
        <v>20</v>
      </c>
      <c r="C390" s="159">
        <v>29</v>
      </c>
      <c r="D390" s="159">
        <v>88</v>
      </c>
      <c r="E390" s="159">
        <v>41</v>
      </c>
      <c r="F390" s="160" t="s">
        <v>32838</v>
      </c>
      <c r="G390" s="132"/>
      <c r="H390" s="162" t="s">
        <v>14630</v>
      </c>
      <c r="I390" s="128"/>
      <c r="J390" s="128"/>
      <c r="K390" s="128"/>
      <c r="L390" s="128"/>
      <c r="M390" s="129"/>
      <c r="N390" s="129"/>
      <c r="O390" s="129"/>
    </row>
    <row r="391" spans="1:15" ht="12.5">
      <c r="A391" s="158" t="s">
        <v>14631</v>
      </c>
      <c r="B391" s="159">
        <v>20</v>
      </c>
      <c r="C391" s="159">
        <v>29</v>
      </c>
      <c r="D391" s="159">
        <v>88</v>
      </c>
      <c r="E391" s="159">
        <v>42</v>
      </c>
      <c r="F391" s="160" t="s">
        <v>32838</v>
      </c>
      <c r="G391" s="132"/>
      <c r="H391" s="162" t="s">
        <v>14632</v>
      </c>
      <c r="I391" s="158" t="s">
        <v>14633</v>
      </c>
      <c r="J391" s="128"/>
      <c r="K391" s="128"/>
      <c r="L391" s="128"/>
      <c r="M391" s="129"/>
      <c r="N391" s="129"/>
      <c r="O391" s="129"/>
    </row>
    <row r="392" spans="1:15" ht="12.5">
      <c r="A392" s="158" t="s">
        <v>14634</v>
      </c>
      <c r="B392" s="159">
        <v>20</v>
      </c>
      <c r="C392" s="159">
        <v>29</v>
      </c>
      <c r="D392" s="159">
        <v>88</v>
      </c>
      <c r="E392" s="159">
        <v>43</v>
      </c>
      <c r="F392" s="160" t="s">
        <v>32838</v>
      </c>
      <c r="G392" s="132"/>
      <c r="H392" s="162" t="s">
        <v>14635</v>
      </c>
      <c r="I392" s="158" t="s">
        <v>14636</v>
      </c>
      <c r="J392" s="128"/>
      <c r="K392" s="128"/>
      <c r="L392" s="128"/>
      <c r="M392" s="129"/>
      <c r="N392" s="129"/>
      <c r="O392" s="129"/>
    </row>
    <row r="393" spans="1:15" ht="12.5">
      <c r="A393" s="158" t="s">
        <v>14637</v>
      </c>
      <c r="B393" s="159">
        <v>20</v>
      </c>
      <c r="C393" s="159">
        <v>29</v>
      </c>
      <c r="D393" s="159">
        <v>88</v>
      </c>
      <c r="E393" s="159">
        <v>59</v>
      </c>
      <c r="F393" s="160" t="s">
        <v>32838</v>
      </c>
      <c r="G393" s="132"/>
      <c r="H393" s="162" t="s">
        <v>14638</v>
      </c>
      <c r="I393" s="158" t="s">
        <v>14639</v>
      </c>
      <c r="J393" s="128"/>
      <c r="K393" s="128"/>
      <c r="L393" s="128"/>
      <c r="M393" s="129"/>
      <c r="N393" s="129"/>
      <c r="O393" s="129"/>
    </row>
    <row r="394" spans="1:15" ht="12.5">
      <c r="A394" s="158" t="s">
        <v>14640</v>
      </c>
      <c r="B394" s="159">
        <v>20</v>
      </c>
      <c r="C394" s="159">
        <v>29</v>
      </c>
      <c r="D394" s="159">
        <v>88</v>
      </c>
      <c r="E394" s="159">
        <v>70</v>
      </c>
      <c r="F394" s="160" t="s">
        <v>32838</v>
      </c>
      <c r="G394" s="132"/>
      <c r="H394" s="162" t="s">
        <v>14641</v>
      </c>
      <c r="I394" s="158" t="s">
        <v>14642</v>
      </c>
      <c r="J394" s="128"/>
      <c r="K394" s="128"/>
      <c r="L394" s="128"/>
      <c r="M394" s="129"/>
      <c r="N394" s="129"/>
      <c r="O394" s="129"/>
    </row>
    <row r="395" spans="1:15" ht="12.5">
      <c r="A395" s="158" t="s">
        <v>14643</v>
      </c>
      <c r="B395" s="159">
        <v>20</v>
      </c>
      <c r="C395" s="159">
        <v>29</v>
      </c>
      <c r="D395" s="159">
        <v>88</v>
      </c>
      <c r="E395" s="159">
        <v>71</v>
      </c>
      <c r="F395" s="160" t="s">
        <v>32838</v>
      </c>
      <c r="G395" s="132"/>
      <c r="H395" s="162" t="s">
        <v>14644</v>
      </c>
      <c r="I395" s="158" t="s">
        <v>14645</v>
      </c>
      <c r="J395" s="128"/>
      <c r="K395" s="128"/>
      <c r="L395" s="128"/>
      <c r="M395" s="129"/>
      <c r="N395" s="129"/>
      <c r="O395" s="129"/>
    </row>
    <row r="396" spans="1:15" ht="12.5">
      <c r="A396" s="158" t="s">
        <v>14646</v>
      </c>
      <c r="B396" s="159">
        <v>20</v>
      </c>
      <c r="C396" s="159">
        <v>29</v>
      </c>
      <c r="D396" s="159">
        <v>88</v>
      </c>
      <c r="E396" s="159">
        <v>72</v>
      </c>
      <c r="F396" s="160" t="s">
        <v>32838</v>
      </c>
      <c r="G396" s="132"/>
      <c r="H396" s="162" t="s">
        <v>14647</v>
      </c>
      <c r="I396" s="158" t="s">
        <v>14648</v>
      </c>
      <c r="J396" s="128"/>
      <c r="K396" s="128"/>
      <c r="L396" s="128"/>
      <c r="M396" s="129"/>
      <c r="N396" s="129"/>
      <c r="O396" s="129"/>
    </row>
    <row r="397" spans="1:15" ht="12.5">
      <c r="A397" s="158" t="s">
        <v>14649</v>
      </c>
      <c r="B397" s="159">
        <v>20</v>
      </c>
      <c r="C397" s="159">
        <v>29</v>
      </c>
      <c r="D397" s="159">
        <v>88</v>
      </c>
      <c r="E397" s="159">
        <v>73</v>
      </c>
      <c r="F397" s="160" t="s">
        <v>32911</v>
      </c>
      <c r="G397" s="162" t="s">
        <v>32910</v>
      </c>
      <c r="H397" s="162" t="s">
        <v>14650</v>
      </c>
      <c r="I397" s="158" t="s">
        <v>14651</v>
      </c>
      <c r="J397" s="128"/>
      <c r="K397" s="128"/>
      <c r="L397" s="128"/>
      <c r="M397" s="129"/>
      <c r="N397" s="129"/>
      <c r="O397" s="129"/>
    </row>
    <row r="398" spans="1:15" ht="12.5">
      <c r="A398" s="158" t="s">
        <v>14652</v>
      </c>
      <c r="B398" s="159">
        <v>20</v>
      </c>
      <c r="C398" s="159">
        <v>29</v>
      </c>
      <c r="D398" s="159">
        <v>88</v>
      </c>
      <c r="E398" s="159">
        <v>74</v>
      </c>
      <c r="F398" s="131"/>
      <c r="G398" s="132"/>
      <c r="H398" s="162" t="s">
        <v>14653</v>
      </c>
      <c r="I398" s="158" t="s">
        <v>14654</v>
      </c>
      <c r="J398" s="128"/>
      <c r="K398" s="128"/>
      <c r="L398" s="128"/>
      <c r="M398" s="129"/>
      <c r="N398" s="129"/>
      <c r="O398" s="129"/>
    </row>
    <row r="399" spans="1:15" ht="12.5">
      <c r="A399" s="158" t="s">
        <v>14655</v>
      </c>
      <c r="B399" s="159">
        <v>20</v>
      </c>
      <c r="C399" s="159">
        <v>29</v>
      </c>
      <c r="D399" s="159">
        <v>88</v>
      </c>
      <c r="E399" s="159">
        <v>75</v>
      </c>
      <c r="F399" s="131"/>
      <c r="G399" s="132"/>
      <c r="H399" s="162" t="s">
        <v>14656</v>
      </c>
      <c r="I399" s="158" t="s">
        <v>14657</v>
      </c>
      <c r="J399" s="128"/>
      <c r="K399" s="128"/>
      <c r="L399" s="128"/>
      <c r="M399" s="129"/>
      <c r="N399" s="129"/>
      <c r="O399" s="129"/>
    </row>
    <row r="400" spans="1:15" ht="12.5">
      <c r="A400" s="151" t="s">
        <v>14658</v>
      </c>
      <c r="B400" s="152">
        <v>20</v>
      </c>
      <c r="C400" s="152">
        <v>29</v>
      </c>
      <c r="D400" s="152">
        <v>96</v>
      </c>
      <c r="E400" s="153"/>
      <c r="F400" s="154" t="s">
        <v>32912</v>
      </c>
      <c r="G400" s="168"/>
      <c r="H400" s="156" t="s">
        <v>14659</v>
      </c>
      <c r="I400" s="157"/>
      <c r="J400" s="157"/>
      <c r="K400" s="128"/>
      <c r="L400" s="128"/>
      <c r="M400" s="129"/>
      <c r="N400" s="129"/>
      <c r="O400" s="129"/>
    </row>
    <row r="401" spans="1:15" ht="12.5">
      <c r="A401" s="158" t="s">
        <v>14660</v>
      </c>
      <c r="B401" s="159">
        <v>20</v>
      </c>
      <c r="C401" s="159">
        <v>29</v>
      </c>
      <c r="D401" s="159">
        <v>96</v>
      </c>
      <c r="E401" s="159">
        <v>3</v>
      </c>
      <c r="F401" s="160" t="s">
        <v>32838</v>
      </c>
      <c r="G401" s="132"/>
      <c r="H401" s="162" t="s">
        <v>14661</v>
      </c>
      <c r="I401" s="128"/>
      <c r="J401" s="128"/>
      <c r="K401" s="128"/>
      <c r="L401" s="128"/>
      <c r="M401" s="129"/>
      <c r="N401" s="129"/>
      <c r="O401" s="129"/>
    </row>
    <row r="402" spans="1:15" ht="12.5">
      <c r="A402" s="151" t="s">
        <v>14662</v>
      </c>
      <c r="B402" s="152">
        <v>20</v>
      </c>
      <c r="C402" s="152">
        <v>29</v>
      </c>
      <c r="D402" s="152">
        <v>97</v>
      </c>
      <c r="E402" s="153"/>
      <c r="F402" s="154" t="s">
        <v>32913</v>
      </c>
      <c r="G402" s="168"/>
      <c r="H402" s="156" t="s">
        <v>14663</v>
      </c>
      <c r="I402" s="157"/>
      <c r="J402" s="157"/>
      <c r="K402" s="128"/>
      <c r="L402" s="128"/>
      <c r="M402" s="129"/>
      <c r="N402" s="129"/>
      <c r="O402" s="129"/>
    </row>
    <row r="403" spans="1:15" ht="12.5">
      <c r="A403" s="158" t="s">
        <v>14664</v>
      </c>
      <c r="B403" s="159">
        <v>20</v>
      </c>
      <c r="C403" s="159">
        <v>29</v>
      </c>
      <c r="D403" s="159">
        <v>97</v>
      </c>
      <c r="E403" s="159">
        <v>9</v>
      </c>
      <c r="F403" s="160" t="s">
        <v>32838</v>
      </c>
      <c r="G403" s="132"/>
      <c r="H403" s="162" t="s">
        <v>14665</v>
      </c>
      <c r="I403" s="128"/>
      <c r="J403" s="128"/>
      <c r="K403" s="128"/>
      <c r="L403" s="128"/>
      <c r="M403" s="129"/>
      <c r="N403" s="129"/>
      <c r="O403" s="129"/>
    </row>
    <row r="404" spans="1:15" ht="12.5">
      <c r="A404" s="158" t="s">
        <v>14666</v>
      </c>
      <c r="B404" s="159">
        <v>20</v>
      </c>
      <c r="C404" s="159">
        <v>29</v>
      </c>
      <c r="D404" s="159">
        <v>97</v>
      </c>
      <c r="E404" s="159">
        <v>26</v>
      </c>
      <c r="F404" s="160" t="s">
        <v>32838</v>
      </c>
      <c r="G404" s="132"/>
      <c r="H404" s="162" t="s">
        <v>14667</v>
      </c>
      <c r="I404" s="128"/>
      <c r="J404" s="128"/>
      <c r="K404" s="128"/>
      <c r="L404" s="128"/>
      <c r="M404" s="129"/>
      <c r="N404" s="129"/>
      <c r="O404" s="129"/>
    </row>
    <row r="405" spans="1:15" ht="12.5">
      <c r="A405" s="158" t="s">
        <v>14668</v>
      </c>
      <c r="B405" s="159">
        <v>20</v>
      </c>
      <c r="C405" s="159">
        <v>29</v>
      </c>
      <c r="D405" s="159">
        <v>97</v>
      </c>
      <c r="E405" s="159">
        <v>33</v>
      </c>
      <c r="F405" s="160" t="s">
        <v>32838</v>
      </c>
      <c r="G405" s="132"/>
      <c r="H405" s="162" t="s">
        <v>14669</v>
      </c>
      <c r="I405" s="128"/>
      <c r="J405" s="128"/>
      <c r="K405" s="128"/>
      <c r="L405" s="128"/>
      <c r="M405" s="129"/>
      <c r="N405" s="129"/>
      <c r="O405" s="129"/>
    </row>
    <row r="406" spans="1:15" ht="12.5">
      <c r="A406" s="158" t="s">
        <v>14670</v>
      </c>
      <c r="B406" s="159">
        <v>20</v>
      </c>
      <c r="C406" s="159">
        <v>29</v>
      </c>
      <c r="D406" s="159">
        <v>97</v>
      </c>
      <c r="E406" s="159">
        <v>81</v>
      </c>
      <c r="F406" s="160" t="s">
        <v>32838</v>
      </c>
      <c r="G406" s="132"/>
      <c r="H406" s="162" t="s">
        <v>14671</v>
      </c>
      <c r="I406" s="128"/>
      <c r="J406" s="128"/>
      <c r="K406" s="128"/>
      <c r="L406" s="128"/>
      <c r="M406" s="129"/>
      <c r="N406" s="129"/>
      <c r="O406" s="129"/>
    </row>
    <row r="407" spans="1:15" ht="12.5">
      <c r="A407" s="144" t="s">
        <v>14672</v>
      </c>
      <c r="B407" s="145">
        <v>20</v>
      </c>
      <c r="C407" s="145">
        <v>31</v>
      </c>
      <c r="D407" s="146"/>
      <c r="E407" s="146"/>
      <c r="F407" s="147" t="s">
        <v>32914</v>
      </c>
      <c r="G407" s="148"/>
      <c r="H407" s="149" t="s">
        <v>14673</v>
      </c>
      <c r="I407" s="150"/>
      <c r="J407" s="150"/>
      <c r="K407" s="128"/>
      <c r="L407" s="128"/>
      <c r="M407" s="129"/>
      <c r="N407" s="129"/>
      <c r="O407" s="129"/>
    </row>
    <row r="408" spans="1:15" ht="12.5">
      <c r="A408" s="151" t="s">
        <v>14674</v>
      </c>
      <c r="B408" s="152">
        <v>20</v>
      </c>
      <c r="C408" s="152">
        <v>31</v>
      </c>
      <c r="D408" s="152">
        <v>1</v>
      </c>
      <c r="E408" s="153"/>
      <c r="F408" s="154" t="s">
        <v>32915</v>
      </c>
      <c r="G408" s="155"/>
      <c r="H408" s="156" t="s">
        <v>14675</v>
      </c>
      <c r="I408" s="128"/>
      <c r="J408" s="128"/>
      <c r="K408" s="128"/>
      <c r="L408" s="128"/>
      <c r="M408" s="129"/>
      <c r="N408" s="129"/>
      <c r="O408" s="129"/>
    </row>
    <row r="409" spans="1:15" ht="12.5">
      <c r="A409" s="158" t="s">
        <v>14676</v>
      </c>
      <c r="B409" s="159">
        <v>20</v>
      </c>
      <c r="C409" s="159">
        <v>31</v>
      </c>
      <c r="D409" s="159">
        <v>1</v>
      </c>
      <c r="E409" s="159">
        <v>11</v>
      </c>
      <c r="F409" s="160" t="s">
        <v>32916</v>
      </c>
      <c r="G409" s="162" t="s">
        <v>32917</v>
      </c>
      <c r="H409" s="162" t="s">
        <v>14677</v>
      </c>
      <c r="I409" s="158" t="s">
        <v>14678</v>
      </c>
      <c r="J409" s="128"/>
      <c r="K409" s="128"/>
      <c r="L409" s="128"/>
      <c r="M409" s="129"/>
      <c r="N409" s="129"/>
      <c r="O409" s="129"/>
    </row>
    <row r="410" spans="1:15" ht="12.5">
      <c r="A410" s="158" t="s">
        <v>14681</v>
      </c>
      <c r="B410" s="159">
        <v>20</v>
      </c>
      <c r="C410" s="159">
        <v>31</v>
      </c>
      <c r="D410" s="159">
        <v>1</v>
      </c>
      <c r="E410" s="159">
        <v>32</v>
      </c>
      <c r="F410" s="160" t="s">
        <v>32918</v>
      </c>
      <c r="G410" s="162" t="s">
        <v>32917</v>
      </c>
      <c r="H410" s="162" t="s">
        <v>14682</v>
      </c>
      <c r="I410" s="158" t="s">
        <v>14683</v>
      </c>
      <c r="J410" s="128"/>
      <c r="K410" s="128"/>
      <c r="L410" s="128"/>
      <c r="M410" s="129"/>
      <c r="N410" s="129"/>
      <c r="O410" s="129"/>
    </row>
    <row r="411" spans="1:15" ht="12.5">
      <c r="A411" s="158" t="s">
        <v>14684</v>
      </c>
      <c r="B411" s="159">
        <v>20</v>
      </c>
      <c r="C411" s="159">
        <v>31</v>
      </c>
      <c r="D411" s="159">
        <v>1</v>
      </c>
      <c r="E411" s="159">
        <v>39</v>
      </c>
      <c r="F411" s="160" t="s">
        <v>32919</v>
      </c>
      <c r="G411" s="162" t="s">
        <v>32920</v>
      </c>
      <c r="H411" s="162" t="s">
        <v>14685</v>
      </c>
      <c r="I411" s="158" t="s">
        <v>14686</v>
      </c>
      <c r="J411" s="128"/>
      <c r="K411" s="128"/>
      <c r="L411" s="128"/>
      <c r="M411" s="129"/>
      <c r="N411" s="129"/>
      <c r="O411" s="129"/>
    </row>
    <row r="412" spans="1:15" ht="12.5">
      <c r="A412" s="158" t="s">
        <v>14687</v>
      </c>
      <c r="B412" s="159">
        <v>20</v>
      </c>
      <c r="C412" s="159">
        <v>31</v>
      </c>
      <c r="D412" s="159">
        <v>1</v>
      </c>
      <c r="E412" s="159">
        <v>75</v>
      </c>
      <c r="F412" s="160" t="s">
        <v>32838</v>
      </c>
      <c r="G412" s="132"/>
      <c r="H412" s="162" t="s">
        <v>14688</v>
      </c>
      <c r="I412" s="128"/>
      <c r="J412" s="128"/>
      <c r="K412" s="128"/>
      <c r="L412" s="128"/>
      <c r="M412" s="129"/>
      <c r="N412" s="129"/>
      <c r="O412" s="129"/>
    </row>
    <row r="413" spans="1:15" ht="12.5">
      <c r="A413" s="158" t="s">
        <v>14689</v>
      </c>
      <c r="B413" s="159">
        <v>20</v>
      </c>
      <c r="C413" s="159">
        <v>31</v>
      </c>
      <c r="D413" s="159">
        <v>1</v>
      </c>
      <c r="E413" s="159">
        <v>85</v>
      </c>
      <c r="F413" s="160" t="s">
        <v>32921</v>
      </c>
      <c r="G413" s="162" t="s">
        <v>32917</v>
      </c>
      <c r="H413" s="162" t="s">
        <v>14690</v>
      </c>
      <c r="I413" s="158" t="s">
        <v>14691</v>
      </c>
      <c r="J413" s="128"/>
      <c r="K413" s="128"/>
      <c r="L413" s="128"/>
      <c r="M413" s="129"/>
      <c r="N413" s="129"/>
      <c r="O413" s="129"/>
    </row>
    <row r="414" spans="1:15" ht="12.5">
      <c r="A414" s="158" t="s">
        <v>14692</v>
      </c>
      <c r="B414" s="159">
        <v>20</v>
      </c>
      <c r="C414" s="159">
        <v>31</v>
      </c>
      <c r="D414" s="159">
        <v>1</v>
      </c>
      <c r="E414" s="159">
        <v>86</v>
      </c>
      <c r="F414" s="160" t="s">
        <v>32922</v>
      </c>
      <c r="G414" s="162" t="s">
        <v>32920</v>
      </c>
      <c r="H414" s="162" t="s">
        <v>14693</v>
      </c>
      <c r="I414" s="158" t="s">
        <v>14694</v>
      </c>
      <c r="J414" s="128"/>
      <c r="K414" s="128"/>
      <c r="L414" s="128"/>
      <c r="M414" s="129"/>
      <c r="N414" s="129"/>
      <c r="O414" s="129"/>
    </row>
    <row r="415" spans="1:15" ht="12.5">
      <c r="A415" s="151" t="s">
        <v>14699</v>
      </c>
      <c r="B415" s="152">
        <v>20</v>
      </c>
      <c r="C415" s="152">
        <v>31</v>
      </c>
      <c r="D415" s="152">
        <v>2</v>
      </c>
      <c r="E415" s="153"/>
      <c r="F415" s="154" t="s">
        <v>32923</v>
      </c>
      <c r="G415" s="155"/>
      <c r="H415" s="156" t="s">
        <v>14700</v>
      </c>
      <c r="I415" s="157"/>
      <c r="J415" s="157"/>
      <c r="K415" s="128"/>
      <c r="L415" s="128"/>
      <c r="M415" s="129"/>
      <c r="N415" s="129"/>
      <c r="O415" s="129"/>
    </row>
    <row r="416" spans="1:15" ht="12.5">
      <c r="A416" s="158" t="s">
        <v>14701</v>
      </c>
      <c r="B416" s="159">
        <v>20</v>
      </c>
      <c r="C416" s="159">
        <v>31</v>
      </c>
      <c r="D416" s="159">
        <v>2</v>
      </c>
      <c r="E416" s="159">
        <v>2</v>
      </c>
      <c r="F416" s="160" t="s">
        <v>32924</v>
      </c>
      <c r="G416" s="162" t="s">
        <v>32925</v>
      </c>
      <c r="H416" s="162" t="s">
        <v>14702</v>
      </c>
      <c r="I416" s="158" t="s">
        <v>14703</v>
      </c>
      <c r="J416" s="128"/>
      <c r="K416" s="128"/>
      <c r="L416" s="128"/>
      <c r="M416" s="129"/>
      <c r="N416" s="129"/>
      <c r="O416" s="129"/>
    </row>
    <row r="417" spans="1:15" ht="12.5">
      <c r="A417" s="158" t="s">
        <v>14704</v>
      </c>
      <c r="B417" s="159">
        <v>20</v>
      </c>
      <c r="C417" s="159">
        <v>31</v>
      </c>
      <c r="D417" s="159">
        <v>2</v>
      </c>
      <c r="E417" s="159">
        <v>3</v>
      </c>
      <c r="F417" s="160" t="s">
        <v>32926</v>
      </c>
      <c r="G417" s="162" t="s">
        <v>32927</v>
      </c>
      <c r="H417" s="162" t="s">
        <v>14705</v>
      </c>
      <c r="I417" s="158" t="s">
        <v>14706</v>
      </c>
      <c r="J417" s="128"/>
      <c r="K417" s="128"/>
      <c r="L417" s="128"/>
      <c r="M417" s="129"/>
      <c r="N417" s="129"/>
      <c r="O417" s="129"/>
    </row>
    <row r="418" spans="1:15" ht="12.5">
      <c r="A418" s="158" t="s">
        <v>14707</v>
      </c>
      <c r="B418" s="159">
        <v>20</v>
      </c>
      <c r="C418" s="159">
        <v>31</v>
      </c>
      <c r="D418" s="159">
        <v>2</v>
      </c>
      <c r="E418" s="159">
        <v>4</v>
      </c>
      <c r="F418" s="160" t="s">
        <v>32838</v>
      </c>
      <c r="G418" s="132"/>
      <c r="H418" s="162" t="s">
        <v>14708</v>
      </c>
      <c r="I418" s="158" t="s">
        <v>14709</v>
      </c>
      <c r="J418" s="128"/>
      <c r="K418" s="128"/>
      <c r="L418" s="128"/>
      <c r="M418" s="129"/>
      <c r="N418" s="129"/>
      <c r="O418" s="129"/>
    </row>
    <row r="419" spans="1:15" ht="12.5">
      <c r="A419" s="158" t="s">
        <v>14710</v>
      </c>
      <c r="B419" s="159">
        <v>20</v>
      </c>
      <c r="C419" s="159">
        <v>31</v>
      </c>
      <c r="D419" s="159">
        <v>2</v>
      </c>
      <c r="E419" s="159">
        <v>6</v>
      </c>
      <c r="F419" s="160" t="s">
        <v>32838</v>
      </c>
      <c r="G419" s="132"/>
      <c r="H419" s="162" t="s">
        <v>14711</v>
      </c>
      <c r="I419" s="158" t="s">
        <v>14712</v>
      </c>
      <c r="J419" s="128"/>
      <c r="K419" s="128"/>
      <c r="L419" s="128"/>
      <c r="M419" s="129"/>
      <c r="N419" s="129"/>
      <c r="O419" s="129"/>
    </row>
    <row r="420" spans="1:15" ht="12.5">
      <c r="A420" s="158" t="s">
        <v>14713</v>
      </c>
      <c r="B420" s="159">
        <v>20</v>
      </c>
      <c r="C420" s="159">
        <v>31</v>
      </c>
      <c r="D420" s="159">
        <v>2</v>
      </c>
      <c r="E420" s="159">
        <v>7</v>
      </c>
      <c r="F420" s="160" t="s">
        <v>32838</v>
      </c>
      <c r="G420" s="132"/>
      <c r="H420" s="162" t="s">
        <v>14714</v>
      </c>
      <c r="I420" s="128"/>
      <c r="J420" s="128"/>
      <c r="K420" s="128"/>
      <c r="L420" s="128"/>
      <c r="M420" s="129"/>
      <c r="N420" s="129"/>
      <c r="O420" s="129"/>
    </row>
    <row r="421" spans="1:15" ht="12.5">
      <c r="A421" s="158" t="s">
        <v>14715</v>
      </c>
      <c r="B421" s="159">
        <v>20</v>
      </c>
      <c r="C421" s="159">
        <v>31</v>
      </c>
      <c r="D421" s="159">
        <v>2</v>
      </c>
      <c r="E421" s="159">
        <v>8</v>
      </c>
      <c r="F421" s="160" t="s">
        <v>32928</v>
      </c>
      <c r="G421" s="162" t="s">
        <v>32929</v>
      </c>
      <c r="H421" s="162" t="s">
        <v>14716</v>
      </c>
      <c r="I421" s="158" t="s">
        <v>14717</v>
      </c>
      <c r="J421" s="128"/>
      <c r="K421" s="128"/>
      <c r="L421" s="128"/>
      <c r="M421" s="129"/>
      <c r="N421" s="129"/>
      <c r="O421" s="129"/>
    </row>
    <row r="422" spans="1:15" ht="12.5">
      <c r="A422" s="158" t="s">
        <v>14718</v>
      </c>
      <c r="B422" s="159">
        <v>20</v>
      </c>
      <c r="C422" s="159">
        <v>31</v>
      </c>
      <c r="D422" s="159">
        <v>2</v>
      </c>
      <c r="E422" s="159">
        <v>9</v>
      </c>
      <c r="F422" s="160" t="s">
        <v>32838</v>
      </c>
      <c r="G422" s="132"/>
      <c r="H422" s="162" t="s">
        <v>14719</v>
      </c>
      <c r="I422" s="158" t="s">
        <v>14720</v>
      </c>
      <c r="J422" s="128"/>
      <c r="K422" s="128"/>
      <c r="L422" s="128"/>
      <c r="M422" s="129"/>
      <c r="N422" s="129"/>
      <c r="O422" s="129"/>
    </row>
    <row r="423" spans="1:15" ht="12.5">
      <c r="A423" s="158" t="s">
        <v>14721</v>
      </c>
      <c r="B423" s="159">
        <v>20</v>
      </c>
      <c r="C423" s="159">
        <v>31</v>
      </c>
      <c r="D423" s="159">
        <v>2</v>
      </c>
      <c r="E423" s="159">
        <v>11</v>
      </c>
      <c r="F423" s="160" t="s">
        <v>32838</v>
      </c>
      <c r="G423" s="132"/>
      <c r="H423" s="162" t="s">
        <v>14722</v>
      </c>
      <c r="I423" s="128"/>
      <c r="J423" s="128"/>
      <c r="K423" s="128"/>
      <c r="L423" s="128"/>
      <c r="M423" s="129"/>
      <c r="N423" s="129"/>
      <c r="O423" s="129"/>
    </row>
    <row r="424" spans="1:15" ht="12.5">
      <c r="A424" s="158" t="s">
        <v>14723</v>
      </c>
      <c r="B424" s="159">
        <v>20</v>
      </c>
      <c r="C424" s="159">
        <v>31</v>
      </c>
      <c r="D424" s="159">
        <v>2</v>
      </c>
      <c r="E424" s="159">
        <v>12</v>
      </c>
      <c r="F424" s="160" t="s">
        <v>32930</v>
      </c>
      <c r="G424" s="162" t="s">
        <v>32927</v>
      </c>
      <c r="H424" s="162" t="s">
        <v>14724</v>
      </c>
      <c r="I424" s="158" t="s">
        <v>14725</v>
      </c>
      <c r="J424" s="128"/>
      <c r="K424" s="128"/>
      <c r="L424" s="128"/>
      <c r="M424" s="129"/>
      <c r="N424" s="129"/>
      <c r="O424" s="129"/>
    </row>
    <row r="425" spans="1:15" ht="12.5">
      <c r="A425" s="158" t="s">
        <v>14726</v>
      </c>
      <c r="B425" s="159">
        <v>20</v>
      </c>
      <c r="C425" s="159">
        <v>31</v>
      </c>
      <c r="D425" s="159">
        <v>2</v>
      </c>
      <c r="E425" s="159">
        <v>13</v>
      </c>
      <c r="F425" s="160" t="s">
        <v>32838</v>
      </c>
      <c r="G425" s="132"/>
      <c r="H425" s="162" t="s">
        <v>14727</v>
      </c>
      <c r="I425" s="158" t="s">
        <v>14728</v>
      </c>
      <c r="J425" s="128"/>
      <c r="K425" s="128"/>
      <c r="L425" s="128"/>
      <c r="M425" s="129"/>
      <c r="N425" s="129"/>
      <c r="O425" s="129"/>
    </row>
    <row r="426" spans="1:15" ht="12.5">
      <c r="A426" s="158" t="s">
        <v>14729</v>
      </c>
      <c r="B426" s="159">
        <v>20</v>
      </c>
      <c r="C426" s="159">
        <v>31</v>
      </c>
      <c r="D426" s="159">
        <v>2</v>
      </c>
      <c r="E426" s="159">
        <v>15</v>
      </c>
      <c r="F426" s="160" t="s">
        <v>32838</v>
      </c>
      <c r="G426" s="132"/>
      <c r="H426" s="162" t="s">
        <v>14730</v>
      </c>
      <c r="I426" s="158" t="s">
        <v>14731</v>
      </c>
      <c r="J426" s="128"/>
      <c r="K426" s="128"/>
      <c r="L426" s="128"/>
      <c r="M426" s="129"/>
      <c r="N426" s="129"/>
      <c r="O426" s="129"/>
    </row>
    <row r="427" spans="1:15" ht="12.5">
      <c r="A427" s="158" t="s">
        <v>14732</v>
      </c>
      <c r="B427" s="159">
        <v>20</v>
      </c>
      <c r="C427" s="159">
        <v>31</v>
      </c>
      <c r="D427" s="159">
        <v>2</v>
      </c>
      <c r="E427" s="159">
        <v>18</v>
      </c>
      <c r="F427" s="160" t="s">
        <v>32838</v>
      </c>
      <c r="G427" s="132"/>
      <c r="H427" s="162" t="s">
        <v>14733</v>
      </c>
      <c r="I427" s="158" t="s">
        <v>14734</v>
      </c>
      <c r="J427" s="128"/>
      <c r="K427" s="128"/>
      <c r="L427" s="128"/>
      <c r="M427" s="129"/>
      <c r="N427" s="129"/>
      <c r="O427" s="129"/>
    </row>
    <row r="428" spans="1:15" ht="12.5">
      <c r="A428" s="158" t="s">
        <v>14735</v>
      </c>
      <c r="B428" s="159">
        <v>20</v>
      </c>
      <c r="C428" s="159">
        <v>31</v>
      </c>
      <c r="D428" s="159">
        <v>2</v>
      </c>
      <c r="E428" s="159">
        <v>21</v>
      </c>
      <c r="F428" s="160" t="s">
        <v>32838</v>
      </c>
      <c r="G428" s="132"/>
      <c r="H428" s="162" t="s">
        <v>32931</v>
      </c>
      <c r="I428" s="128"/>
      <c r="J428" s="128"/>
      <c r="K428" s="128"/>
      <c r="L428" s="128"/>
      <c r="M428" s="129"/>
      <c r="N428" s="129"/>
      <c r="O428" s="129"/>
    </row>
    <row r="429" spans="1:15" ht="12.5">
      <c r="A429" s="158" t="s">
        <v>14737</v>
      </c>
      <c r="B429" s="159">
        <v>20</v>
      </c>
      <c r="C429" s="159">
        <v>31</v>
      </c>
      <c r="D429" s="159">
        <v>2</v>
      </c>
      <c r="E429" s="159">
        <v>26</v>
      </c>
      <c r="F429" s="160" t="s">
        <v>32932</v>
      </c>
      <c r="G429" s="162" t="s">
        <v>32927</v>
      </c>
      <c r="H429" s="162" t="s">
        <v>14738</v>
      </c>
      <c r="I429" s="158" t="s">
        <v>14739</v>
      </c>
      <c r="J429" s="128"/>
      <c r="K429" s="128"/>
      <c r="L429" s="128"/>
      <c r="M429" s="129"/>
      <c r="N429" s="129"/>
      <c r="O429" s="129"/>
    </row>
    <row r="430" spans="1:15" ht="12.5">
      <c r="A430" s="158" t="s">
        <v>14740</v>
      </c>
      <c r="B430" s="159">
        <v>20</v>
      </c>
      <c r="C430" s="159">
        <v>31</v>
      </c>
      <c r="D430" s="159">
        <v>2</v>
      </c>
      <c r="E430" s="159">
        <v>28</v>
      </c>
      <c r="F430" s="160" t="s">
        <v>32838</v>
      </c>
      <c r="G430" s="132"/>
      <c r="H430" s="162" t="s">
        <v>14741</v>
      </c>
      <c r="I430" s="158" t="s">
        <v>14742</v>
      </c>
      <c r="J430" s="128"/>
      <c r="K430" s="128"/>
      <c r="L430" s="128"/>
      <c r="M430" s="129"/>
      <c r="N430" s="129"/>
      <c r="O430" s="129"/>
    </row>
    <row r="431" spans="1:15" ht="12.5">
      <c r="A431" s="158" t="s">
        <v>14743</v>
      </c>
      <c r="B431" s="159">
        <v>20</v>
      </c>
      <c r="C431" s="159">
        <v>31</v>
      </c>
      <c r="D431" s="159">
        <v>2</v>
      </c>
      <c r="E431" s="159">
        <v>29</v>
      </c>
      <c r="F431" s="160" t="s">
        <v>32838</v>
      </c>
      <c r="G431" s="132"/>
      <c r="H431" s="162" t="s">
        <v>14744</v>
      </c>
      <c r="I431" s="128"/>
      <c r="J431" s="128"/>
      <c r="K431" s="128"/>
      <c r="L431" s="128"/>
      <c r="M431" s="129"/>
      <c r="N431" s="129"/>
      <c r="O431" s="129"/>
    </row>
    <row r="432" spans="1:15" ht="12.5">
      <c r="A432" s="158" t="s">
        <v>14745</v>
      </c>
      <c r="B432" s="159">
        <v>20</v>
      </c>
      <c r="C432" s="159">
        <v>31</v>
      </c>
      <c r="D432" s="159">
        <v>2</v>
      </c>
      <c r="E432" s="159">
        <v>35</v>
      </c>
      <c r="F432" s="160" t="s">
        <v>32933</v>
      </c>
      <c r="G432" s="162" t="s">
        <v>32934</v>
      </c>
      <c r="H432" s="162" t="s">
        <v>14746</v>
      </c>
      <c r="I432" s="158" t="s">
        <v>14747</v>
      </c>
      <c r="J432" s="128"/>
      <c r="K432" s="128"/>
      <c r="L432" s="128"/>
      <c r="M432" s="129"/>
      <c r="N432" s="129"/>
      <c r="O432" s="129"/>
    </row>
    <row r="433" spans="1:15" ht="12.5">
      <c r="A433" s="158" t="s">
        <v>14748</v>
      </c>
      <c r="B433" s="159">
        <v>20</v>
      </c>
      <c r="C433" s="159">
        <v>31</v>
      </c>
      <c r="D433" s="159">
        <v>2</v>
      </c>
      <c r="E433" s="159">
        <v>36</v>
      </c>
      <c r="F433" s="160" t="s">
        <v>32838</v>
      </c>
      <c r="G433" s="132"/>
      <c r="H433" s="162" t="s">
        <v>32935</v>
      </c>
      <c r="I433" s="158" t="s">
        <v>14750</v>
      </c>
      <c r="J433" s="128"/>
      <c r="K433" s="128"/>
      <c r="L433" s="128"/>
      <c r="M433" s="129"/>
      <c r="N433" s="129"/>
      <c r="O433" s="129"/>
    </row>
    <row r="434" spans="1:15" ht="12.5">
      <c r="A434" s="158" t="s">
        <v>14751</v>
      </c>
      <c r="B434" s="159">
        <v>20</v>
      </c>
      <c r="C434" s="159">
        <v>31</v>
      </c>
      <c r="D434" s="159">
        <v>2</v>
      </c>
      <c r="E434" s="159">
        <v>37</v>
      </c>
      <c r="F434" s="160" t="s">
        <v>32838</v>
      </c>
      <c r="G434" s="132"/>
      <c r="H434" s="162" t="s">
        <v>14752</v>
      </c>
      <c r="I434" s="158" t="s">
        <v>14753</v>
      </c>
      <c r="J434" s="128"/>
      <c r="K434" s="128"/>
      <c r="L434" s="128"/>
      <c r="M434" s="129"/>
      <c r="N434" s="129"/>
      <c r="O434" s="129"/>
    </row>
    <row r="435" spans="1:15" ht="12.5">
      <c r="A435" s="158" t="s">
        <v>14754</v>
      </c>
      <c r="B435" s="159">
        <v>20</v>
      </c>
      <c r="C435" s="159">
        <v>31</v>
      </c>
      <c r="D435" s="159">
        <v>2</v>
      </c>
      <c r="E435" s="159">
        <v>38</v>
      </c>
      <c r="F435" s="160" t="s">
        <v>32838</v>
      </c>
      <c r="G435" s="132"/>
      <c r="H435" s="162" t="s">
        <v>14755</v>
      </c>
      <c r="I435" s="158" t="s">
        <v>14756</v>
      </c>
      <c r="J435" s="128"/>
      <c r="K435" s="128"/>
      <c r="L435" s="128"/>
      <c r="M435" s="129"/>
      <c r="N435" s="129"/>
      <c r="O435" s="129"/>
    </row>
    <row r="436" spans="1:15" ht="12.5">
      <c r="A436" s="158" t="s">
        <v>14757</v>
      </c>
      <c r="B436" s="159">
        <v>20</v>
      </c>
      <c r="C436" s="159">
        <v>31</v>
      </c>
      <c r="D436" s="159">
        <v>2</v>
      </c>
      <c r="E436" s="159">
        <v>50</v>
      </c>
      <c r="F436" s="160" t="s">
        <v>32838</v>
      </c>
      <c r="G436" s="132"/>
      <c r="H436" s="162" t="s">
        <v>14758</v>
      </c>
      <c r="I436" s="158" t="s">
        <v>14759</v>
      </c>
      <c r="J436" s="128"/>
      <c r="K436" s="128"/>
      <c r="L436" s="128"/>
      <c r="M436" s="129"/>
      <c r="N436" s="129"/>
      <c r="O436" s="129"/>
    </row>
    <row r="437" spans="1:15" ht="12.5">
      <c r="A437" s="158" t="s">
        <v>14760</v>
      </c>
      <c r="B437" s="159">
        <v>20</v>
      </c>
      <c r="C437" s="159">
        <v>31</v>
      </c>
      <c r="D437" s="159">
        <v>2</v>
      </c>
      <c r="E437" s="159">
        <v>52</v>
      </c>
      <c r="F437" s="160" t="s">
        <v>32838</v>
      </c>
      <c r="G437" s="132"/>
      <c r="H437" s="162" t="s">
        <v>14761</v>
      </c>
      <c r="I437" s="158" t="s">
        <v>14762</v>
      </c>
      <c r="J437" s="128"/>
      <c r="K437" s="128"/>
      <c r="L437" s="128"/>
      <c r="M437" s="129"/>
      <c r="N437" s="129"/>
      <c r="O437" s="129"/>
    </row>
    <row r="438" spans="1:15" ht="12.5">
      <c r="A438" s="158" t="s">
        <v>14763</v>
      </c>
      <c r="B438" s="159">
        <v>20</v>
      </c>
      <c r="C438" s="159">
        <v>31</v>
      </c>
      <c r="D438" s="159">
        <v>2</v>
      </c>
      <c r="E438" s="159">
        <v>56</v>
      </c>
      <c r="F438" s="160" t="s">
        <v>32838</v>
      </c>
      <c r="G438" s="132"/>
      <c r="H438" s="162" t="s">
        <v>14764</v>
      </c>
      <c r="I438" s="158" t="s">
        <v>14765</v>
      </c>
      <c r="J438" s="128"/>
      <c r="K438" s="128"/>
      <c r="L438" s="128"/>
      <c r="M438" s="129"/>
      <c r="N438" s="129"/>
      <c r="O438" s="129"/>
    </row>
    <row r="439" spans="1:15" ht="12.5">
      <c r="A439" s="158" t="s">
        <v>14766</v>
      </c>
      <c r="B439" s="159">
        <v>20</v>
      </c>
      <c r="C439" s="159">
        <v>31</v>
      </c>
      <c r="D439" s="159">
        <v>2</v>
      </c>
      <c r="E439" s="159">
        <v>57</v>
      </c>
      <c r="F439" s="160" t="s">
        <v>32838</v>
      </c>
      <c r="G439" s="132"/>
      <c r="H439" s="162" t="s">
        <v>14767</v>
      </c>
      <c r="I439" s="158" t="s">
        <v>14768</v>
      </c>
      <c r="J439" s="128"/>
      <c r="K439" s="128"/>
      <c r="L439" s="128"/>
      <c r="M439" s="129"/>
      <c r="N439" s="129"/>
      <c r="O439" s="129"/>
    </row>
    <row r="440" spans="1:15" ht="12.5">
      <c r="A440" s="158" t="s">
        <v>14769</v>
      </c>
      <c r="B440" s="159">
        <v>20</v>
      </c>
      <c r="C440" s="159">
        <v>31</v>
      </c>
      <c r="D440" s="159">
        <v>2</v>
      </c>
      <c r="E440" s="159">
        <v>59</v>
      </c>
      <c r="F440" s="160" t="s">
        <v>32838</v>
      </c>
      <c r="G440" s="132"/>
      <c r="H440" s="162" t="s">
        <v>14770</v>
      </c>
      <c r="I440" s="158" t="s">
        <v>14771</v>
      </c>
      <c r="J440" s="128"/>
      <c r="K440" s="128"/>
      <c r="L440" s="128"/>
      <c r="M440" s="129"/>
      <c r="N440" s="129"/>
      <c r="O440" s="129"/>
    </row>
    <row r="441" spans="1:15" ht="12.5">
      <c r="A441" s="158" t="s">
        <v>14772</v>
      </c>
      <c r="B441" s="159">
        <v>20</v>
      </c>
      <c r="C441" s="159">
        <v>31</v>
      </c>
      <c r="D441" s="159">
        <v>2</v>
      </c>
      <c r="E441" s="159">
        <v>60</v>
      </c>
      <c r="F441" s="160" t="s">
        <v>32838</v>
      </c>
      <c r="G441" s="132"/>
      <c r="H441" s="162" t="s">
        <v>14773</v>
      </c>
      <c r="I441" s="158" t="s">
        <v>14774</v>
      </c>
      <c r="J441" s="128"/>
      <c r="K441" s="128"/>
      <c r="L441" s="128"/>
      <c r="M441" s="129"/>
      <c r="N441" s="129"/>
      <c r="O441" s="129"/>
    </row>
    <row r="442" spans="1:15" ht="12.5">
      <c r="A442" s="158" t="s">
        <v>14775</v>
      </c>
      <c r="B442" s="159">
        <v>20</v>
      </c>
      <c r="C442" s="159">
        <v>31</v>
      </c>
      <c r="D442" s="159">
        <v>2</v>
      </c>
      <c r="E442" s="159">
        <v>61</v>
      </c>
      <c r="F442" s="160" t="s">
        <v>32838</v>
      </c>
      <c r="G442" s="132"/>
      <c r="H442" s="162" t="s">
        <v>14776</v>
      </c>
      <c r="I442" s="158" t="s">
        <v>14777</v>
      </c>
      <c r="J442" s="128"/>
      <c r="K442" s="128"/>
      <c r="L442" s="128"/>
      <c r="M442" s="129"/>
      <c r="N442" s="129"/>
      <c r="O442" s="129"/>
    </row>
    <row r="443" spans="1:15" ht="12.5">
      <c r="A443" s="158" t="s">
        <v>14778</v>
      </c>
      <c r="B443" s="159">
        <v>20</v>
      </c>
      <c r="C443" s="159">
        <v>31</v>
      </c>
      <c r="D443" s="159">
        <v>2</v>
      </c>
      <c r="E443" s="159">
        <v>62</v>
      </c>
      <c r="F443" s="160" t="s">
        <v>32838</v>
      </c>
      <c r="G443" s="132"/>
      <c r="H443" s="162" t="s">
        <v>14779</v>
      </c>
      <c r="I443" s="158" t="s">
        <v>14780</v>
      </c>
      <c r="J443" s="128"/>
      <c r="K443" s="128"/>
      <c r="L443" s="128"/>
      <c r="M443" s="129"/>
      <c r="N443" s="129"/>
      <c r="O443" s="129"/>
    </row>
    <row r="444" spans="1:15" ht="12.5">
      <c r="A444" s="158" t="s">
        <v>14781</v>
      </c>
      <c r="B444" s="159">
        <v>20</v>
      </c>
      <c r="C444" s="159">
        <v>31</v>
      </c>
      <c r="D444" s="159">
        <v>2</v>
      </c>
      <c r="E444" s="159">
        <v>63</v>
      </c>
      <c r="F444" s="160" t="s">
        <v>32838</v>
      </c>
      <c r="G444" s="132"/>
      <c r="H444" s="162" t="s">
        <v>14782</v>
      </c>
      <c r="I444" s="128"/>
      <c r="J444" s="128"/>
      <c r="K444" s="128"/>
      <c r="L444" s="128"/>
      <c r="M444" s="129"/>
      <c r="N444" s="129"/>
      <c r="O444" s="129"/>
    </row>
    <row r="445" spans="1:15" ht="12.5">
      <c r="A445" s="158" t="s">
        <v>14783</v>
      </c>
      <c r="B445" s="159">
        <v>20</v>
      </c>
      <c r="C445" s="159">
        <v>31</v>
      </c>
      <c r="D445" s="159">
        <v>2</v>
      </c>
      <c r="E445" s="159">
        <v>64</v>
      </c>
      <c r="F445" s="160" t="s">
        <v>32838</v>
      </c>
      <c r="G445" s="132"/>
      <c r="H445" s="162" t="s">
        <v>14784</v>
      </c>
      <c r="I445" s="158" t="s">
        <v>14785</v>
      </c>
      <c r="J445" s="128"/>
      <c r="K445" s="128"/>
      <c r="L445" s="128"/>
      <c r="M445" s="129"/>
      <c r="N445" s="129"/>
      <c r="O445" s="129"/>
    </row>
    <row r="446" spans="1:15" ht="12.5">
      <c r="A446" s="158" t="s">
        <v>14786</v>
      </c>
      <c r="B446" s="159">
        <v>20</v>
      </c>
      <c r="C446" s="159">
        <v>31</v>
      </c>
      <c r="D446" s="159">
        <v>2</v>
      </c>
      <c r="E446" s="159">
        <v>65</v>
      </c>
      <c r="F446" s="160" t="s">
        <v>32838</v>
      </c>
      <c r="G446" s="132"/>
      <c r="H446" s="162" t="s">
        <v>14787</v>
      </c>
      <c r="I446" s="158" t="s">
        <v>14788</v>
      </c>
      <c r="J446" s="128"/>
      <c r="K446" s="128"/>
      <c r="L446" s="128"/>
      <c r="M446" s="129"/>
      <c r="N446" s="129"/>
      <c r="O446" s="129"/>
    </row>
    <row r="447" spans="1:15" ht="12.5">
      <c r="A447" s="158" t="s">
        <v>14789</v>
      </c>
      <c r="B447" s="159">
        <v>20</v>
      </c>
      <c r="C447" s="159">
        <v>31</v>
      </c>
      <c r="D447" s="159">
        <v>2</v>
      </c>
      <c r="E447" s="159">
        <v>66</v>
      </c>
      <c r="F447" s="160" t="s">
        <v>32838</v>
      </c>
      <c r="G447" s="132"/>
      <c r="H447" s="162" t="s">
        <v>14790</v>
      </c>
      <c r="I447" s="158" t="s">
        <v>14791</v>
      </c>
      <c r="J447" s="128"/>
      <c r="K447" s="128"/>
      <c r="L447" s="128"/>
      <c r="M447" s="129"/>
      <c r="N447" s="129"/>
      <c r="O447" s="129"/>
    </row>
    <row r="448" spans="1:15" ht="12.5">
      <c r="A448" s="158" t="s">
        <v>14792</v>
      </c>
      <c r="B448" s="159">
        <v>20</v>
      </c>
      <c r="C448" s="159">
        <v>31</v>
      </c>
      <c r="D448" s="159">
        <v>2</v>
      </c>
      <c r="E448" s="159">
        <v>71</v>
      </c>
      <c r="F448" s="160" t="s">
        <v>32838</v>
      </c>
      <c r="G448" s="132"/>
      <c r="H448" s="162" t="s">
        <v>14793</v>
      </c>
      <c r="I448" s="158" t="s">
        <v>14794</v>
      </c>
      <c r="J448" s="128"/>
      <c r="K448" s="128"/>
      <c r="L448" s="128"/>
      <c r="M448" s="129"/>
      <c r="N448" s="129"/>
      <c r="O448" s="129"/>
    </row>
    <row r="449" spans="1:15" ht="12.5">
      <c r="A449" s="158" t="s">
        <v>14797</v>
      </c>
      <c r="B449" s="159">
        <v>20</v>
      </c>
      <c r="C449" s="159">
        <v>31</v>
      </c>
      <c r="D449" s="159">
        <v>2</v>
      </c>
      <c r="E449" s="159">
        <v>80</v>
      </c>
      <c r="F449" s="160" t="s">
        <v>32838</v>
      </c>
      <c r="G449" s="132"/>
      <c r="H449" s="162" t="s">
        <v>14798</v>
      </c>
      <c r="I449" s="158" t="s">
        <v>14799</v>
      </c>
      <c r="J449" s="128"/>
      <c r="K449" s="128"/>
      <c r="L449" s="128"/>
      <c r="M449" s="129"/>
      <c r="N449" s="129"/>
      <c r="O449" s="129"/>
    </row>
    <row r="450" spans="1:15" ht="12.5">
      <c r="A450" s="158" t="s">
        <v>14800</v>
      </c>
      <c r="B450" s="159">
        <v>20</v>
      </c>
      <c r="C450" s="159">
        <v>31</v>
      </c>
      <c r="D450" s="159">
        <v>2</v>
      </c>
      <c r="E450" s="159">
        <v>81</v>
      </c>
      <c r="F450" s="160" t="s">
        <v>32838</v>
      </c>
      <c r="G450" s="132"/>
      <c r="H450" s="162" t="s">
        <v>14801</v>
      </c>
      <c r="I450" s="158" t="s">
        <v>14802</v>
      </c>
      <c r="J450" s="128"/>
      <c r="K450" s="128"/>
      <c r="L450" s="128"/>
      <c r="M450" s="129"/>
      <c r="N450" s="129"/>
      <c r="O450" s="129"/>
    </row>
    <row r="451" spans="1:15" ht="12.5">
      <c r="A451" s="158" t="s">
        <v>14803</v>
      </c>
      <c r="B451" s="159">
        <v>20</v>
      </c>
      <c r="C451" s="159">
        <v>31</v>
      </c>
      <c r="D451" s="159">
        <v>2</v>
      </c>
      <c r="E451" s="159">
        <v>82</v>
      </c>
      <c r="F451" s="160" t="s">
        <v>32838</v>
      </c>
      <c r="G451" s="132"/>
      <c r="H451" s="162" t="s">
        <v>14804</v>
      </c>
      <c r="I451" s="158" t="s">
        <v>32936</v>
      </c>
      <c r="J451" s="128"/>
      <c r="K451" s="128"/>
      <c r="L451" s="128"/>
      <c r="M451" s="129"/>
      <c r="N451" s="129"/>
      <c r="O451" s="129"/>
    </row>
    <row r="452" spans="1:15" ht="12.5">
      <c r="A452" s="158" t="s">
        <v>14805</v>
      </c>
      <c r="B452" s="159">
        <v>20</v>
      </c>
      <c r="C452" s="159">
        <v>31</v>
      </c>
      <c r="D452" s="159">
        <v>2</v>
      </c>
      <c r="E452" s="159">
        <v>84</v>
      </c>
      <c r="F452" s="160" t="s">
        <v>32838</v>
      </c>
      <c r="G452" s="132"/>
      <c r="H452" s="162" t="s">
        <v>14806</v>
      </c>
      <c r="I452" s="158" t="s">
        <v>14807</v>
      </c>
      <c r="J452" s="128"/>
      <c r="K452" s="128"/>
      <c r="L452" s="128"/>
      <c r="M452" s="129"/>
      <c r="N452" s="129"/>
      <c r="O452" s="129"/>
    </row>
    <row r="453" spans="1:15" ht="12.5">
      <c r="A453" s="158" t="s">
        <v>14808</v>
      </c>
      <c r="B453" s="159">
        <v>20</v>
      </c>
      <c r="C453" s="159">
        <v>31</v>
      </c>
      <c r="D453" s="159">
        <v>2</v>
      </c>
      <c r="E453" s="159">
        <v>85</v>
      </c>
      <c r="F453" s="160" t="s">
        <v>32838</v>
      </c>
      <c r="G453" s="132"/>
      <c r="H453" s="162" t="s">
        <v>14809</v>
      </c>
      <c r="I453" s="158" t="s">
        <v>14810</v>
      </c>
      <c r="J453" s="128"/>
      <c r="K453" s="128"/>
      <c r="L453" s="128"/>
      <c r="M453" s="129"/>
      <c r="N453" s="129"/>
      <c r="O453" s="129"/>
    </row>
    <row r="454" spans="1:15" ht="12.5">
      <c r="A454" s="158" t="s">
        <v>14814</v>
      </c>
      <c r="B454" s="159">
        <v>20</v>
      </c>
      <c r="C454" s="159">
        <v>31</v>
      </c>
      <c r="D454" s="159">
        <v>2</v>
      </c>
      <c r="E454" s="159">
        <v>94</v>
      </c>
      <c r="F454" s="160" t="s">
        <v>32838</v>
      </c>
      <c r="G454" s="132"/>
      <c r="H454" s="162" t="s">
        <v>14815</v>
      </c>
      <c r="I454" s="158" t="s">
        <v>14816</v>
      </c>
      <c r="J454" s="128"/>
      <c r="K454" s="128"/>
      <c r="L454" s="128"/>
      <c r="M454" s="129"/>
      <c r="N454" s="129"/>
      <c r="O454" s="129"/>
    </row>
    <row r="455" spans="1:15" ht="12.5">
      <c r="A455" s="158" t="s">
        <v>14817</v>
      </c>
      <c r="B455" s="159">
        <v>20</v>
      </c>
      <c r="C455" s="159">
        <v>31</v>
      </c>
      <c r="D455" s="159">
        <v>2</v>
      </c>
      <c r="E455" s="159">
        <v>95</v>
      </c>
      <c r="F455" s="160" t="s">
        <v>32838</v>
      </c>
      <c r="G455" s="132"/>
      <c r="H455" s="162" t="s">
        <v>14818</v>
      </c>
      <c r="I455" s="158" t="s">
        <v>14819</v>
      </c>
      <c r="J455" s="128"/>
      <c r="K455" s="128"/>
      <c r="L455" s="128"/>
      <c r="M455" s="129"/>
      <c r="N455" s="129"/>
      <c r="O455" s="129"/>
    </row>
    <row r="456" spans="1:15" ht="12.5">
      <c r="A456" s="158" t="s">
        <v>14820</v>
      </c>
      <c r="B456" s="159">
        <v>20</v>
      </c>
      <c r="C456" s="159">
        <v>31</v>
      </c>
      <c r="D456" s="159">
        <v>2</v>
      </c>
      <c r="E456" s="159">
        <v>97</v>
      </c>
      <c r="F456" s="160" t="s">
        <v>32838</v>
      </c>
      <c r="G456" s="132"/>
      <c r="H456" s="162" t="s">
        <v>14821</v>
      </c>
      <c r="I456" s="128"/>
      <c r="J456" s="128"/>
      <c r="K456" s="128"/>
      <c r="L456" s="128"/>
      <c r="M456" s="129"/>
      <c r="N456" s="129"/>
      <c r="O456" s="129"/>
    </row>
    <row r="457" spans="1:15" ht="12.5">
      <c r="A457" s="151" t="s">
        <v>14822</v>
      </c>
      <c r="B457" s="152">
        <v>20</v>
      </c>
      <c r="C457" s="152">
        <v>31</v>
      </c>
      <c r="D457" s="152">
        <v>3</v>
      </c>
      <c r="E457" s="153"/>
      <c r="F457" s="154" t="s">
        <v>32937</v>
      </c>
      <c r="G457" s="168"/>
      <c r="H457" s="156" t="s">
        <v>14823</v>
      </c>
      <c r="I457" s="157"/>
      <c r="J457" s="128"/>
      <c r="K457" s="128"/>
      <c r="L457" s="128"/>
      <c r="M457" s="129"/>
      <c r="N457" s="129"/>
      <c r="O457" s="129"/>
    </row>
    <row r="458" spans="1:15" ht="12.5">
      <c r="A458" s="158" t="s">
        <v>14824</v>
      </c>
      <c r="B458" s="159">
        <v>20</v>
      </c>
      <c r="C458" s="159">
        <v>31</v>
      </c>
      <c r="D458" s="159">
        <v>3</v>
      </c>
      <c r="E458" s="159">
        <v>1</v>
      </c>
      <c r="F458" s="160" t="s">
        <v>32838</v>
      </c>
      <c r="G458" s="132"/>
      <c r="H458" s="162" t="s">
        <v>14825</v>
      </c>
      <c r="I458" s="128"/>
      <c r="J458" s="128"/>
      <c r="K458" s="128"/>
      <c r="L458" s="128"/>
      <c r="M458" s="129"/>
      <c r="N458" s="129"/>
      <c r="O458" s="129"/>
    </row>
    <row r="459" spans="1:15" ht="12.5">
      <c r="A459" s="158" t="s">
        <v>14826</v>
      </c>
      <c r="B459" s="159">
        <v>20</v>
      </c>
      <c r="C459" s="159">
        <v>31</v>
      </c>
      <c r="D459" s="159">
        <v>3</v>
      </c>
      <c r="E459" s="159">
        <v>2</v>
      </c>
      <c r="F459" s="160" t="s">
        <v>32838</v>
      </c>
      <c r="G459" s="132"/>
      <c r="H459" s="162" t="s">
        <v>14827</v>
      </c>
      <c r="I459" s="158" t="s">
        <v>14828</v>
      </c>
      <c r="J459" s="128"/>
      <c r="K459" s="128"/>
      <c r="L459" s="128"/>
      <c r="M459" s="129"/>
      <c r="N459" s="129"/>
      <c r="O459" s="129"/>
    </row>
    <row r="460" spans="1:15" ht="12.5">
      <c r="A460" s="158" t="s">
        <v>14829</v>
      </c>
      <c r="B460" s="159">
        <v>20</v>
      </c>
      <c r="C460" s="159">
        <v>31</v>
      </c>
      <c r="D460" s="159">
        <v>3</v>
      </c>
      <c r="E460" s="159">
        <v>3</v>
      </c>
      <c r="F460" s="160" t="s">
        <v>32838</v>
      </c>
      <c r="G460" s="132"/>
      <c r="H460" s="162" t="s">
        <v>14830</v>
      </c>
      <c r="I460" s="158" t="s">
        <v>14831</v>
      </c>
      <c r="J460" s="128"/>
      <c r="K460" s="128"/>
      <c r="L460" s="128"/>
      <c r="M460" s="129"/>
      <c r="N460" s="129"/>
      <c r="O460" s="129"/>
    </row>
    <row r="461" spans="1:15" ht="12.5">
      <c r="A461" s="158" t="s">
        <v>14832</v>
      </c>
      <c r="B461" s="159">
        <v>20</v>
      </c>
      <c r="C461" s="159">
        <v>31</v>
      </c>
      <c r="D461" s="159">
        <v>3</v>
      </c>
      <c r="E461" s="159">
        <v>15</v>
      </c>
      <c r="F461" s="160" t="s">
        <v>32838</v>
      </c>
      <c r="G461" s="132"/>
      <c r="H461" s="162" t="s">
        <v>14833</v>
      </c>
      <c r="I461" s="128"/>
      <c r="J461" s="128"/>
      <c r="K461" s="128"/>
      <c r="L461" s="128"/>
      <c r="M461" s="129"/>
      <c r="N461" s="129"/>
      <c r="O461" s="129"/>
    </row>
    <row r="462" spans="1:15" ht="12.5">
      <c r="A462" s="158" t="s">
        <v>14834</v>
      </c>
      <c r="B462" s="159">
        <v>20</v>
      </c>
      <c r="C462" s="159">
        <v>31</v>
      </c>
      <c r="D462" s="159">
        <v>3</v>
      </c>
      <c r="E462" s="159">
        <v>16</v>
      </c>
      <c r="F462" s="160" t="s">
        <v>32838</v>
      </c>
      <c r="G462" s="132"/>
      <c r="H462" s="162" t="s">
        <v>14835</v>
      </c>
      <c r="I462" s="158" t="s">
        <v>14836</v>
      </c>
      <c r="J462" s="128"/>
      <c r="K462" s="128"/>
      <c r="L462" s="128"/>
      <c r="M462" s="129"/>
      <c r="N462" s="129"/>
      <c r="O462" s="129"/>
    </row>
    <row r="463" spans="1:15" ht="12.5">
      <c r="A463" s="158" t="s">
        <v>14837</v>
      </c>
      <c r="B463" s="159">
        <v>20</v>
      </c>
      <c r="C463" s="159">
        <v>31</v>
      </c>
      <c r="D463" s="159">
        <v>3</v>
      </c>
      <c r="E463" s="159">
        <v>17</v>
      </c>
      <c r="F463" s="160" t="s">
        <v>32838</v>
      </c>
      <c r="G463" s="132"/>
      <c r="H463" s="162" t="s">
        <v>14838</v>
      </c>
      <c r="I463" s="158" t="s">
        <v>14839</v>
      </c>
      <c r="J463" s="128"/>
      <c r="K463" s="128"/>
      <c r="L463" s="128"/>
      <c r="M463" s="129"/>
      <c r="N463" s="129"/>
      <c r="O463" s="129"/>
    </row>
    <row r="464" spans="1:15" ht="12.5">
      <c r="A464" s="158" t="s">
        <v>14840</v>
      </c>
      <c r="B464" s="159">
        <v>20</v>
      </c>
      <c r="C464" s="159">
        <v>31</v>
      </c>
      <c r="D464" s="159">
        <v>3</v>
      </c>
      <c r="E464" s="159">
        <v>31</v>
      </c>
      <c r="F464" s="160" t="s">
        <v>32838</v>
      </c>
      <c r="G464" s="132"/>
      <c r="H464" s="162" t="s">
        <v>14841</v>
      </c>
      <c r="I464" s="128"/>
      <c r="J464" s="128"/>
      <c r="K464" s="128"/>
      <c r="L464" s="128"/>
      <c r="M464" s="129"/>
      <c r="N464" s="129"/>
      <c r="O464" s="129"/>
    </row>
    <row r="465" spans="1:15" ht="12.5">
      <c r="A465" s="158" t="s">
        <v>14842</v>
      </c>
      <c r="B465" s="159">
        <v>20</v>
      </c>
      <c r="C465" s="159">
        <v>31</v>
      </c>
      <c r="D465" s="159">
        <v>3</v>
      </c>
      <c r="E465" s="159">
        <v>36</v>
      </c>
      <c r="F465" s="160" t="s">
        <v>32838</v>
      </c>
      <c r="G465" s="132"/>
      <c r="H465" s="162" t="s">
        <v>14843</v>
      </c>
      <c r="I465" s="158" t="s">
        <v>14844</v>
      </c>
      <c r="J465" s="128"/>
      <c r="K465" s="128"/>
      <c r="L465" s="128"/>
      <c r="M465" s="129"/>
      <c r="N465" s="129"/>
      <c r="O465" s="129"/>
    </row>
    <row r="466" spans="1:15" ht="12.5">
      <c r="A466" s="158" t="s">
        <v>14845</v>
      </c>
      <c r="B466" s="159">
        <v>20</v>
      </c>
      <c r="C466" s="159">
        <v>31</v>
      </c>
      <c r="D466" s="159">
        <v>3</v>
      </c>
      <c r="E466" s="159">
        <v>38</v>
      </c>
      <c r="F466" s="160" t="s">
        <v>32838</v>
      </c>
      <c r="G466" s="132"/>
      <c r="H466" s="162" t="s">
        <v>14846</v>
      </c>
      <c r="I466" s="158" t="s">
        <v>14847</v>
      </c>
      <c r="J466" s="128"/>
      <c r="K466" s="128"/>
      <c r="L466" s="128"/>
      <c r="M466" s="129"/>
      <c r="N466" s="129"/>
      <c r="O466" s="129"/>
    </row>
    <row r="467" spans="1:15" ht="12.5">
      <c r="A467" s="158" t="s">
        <v>14848</v>
      </c>
      <c r="B467" s="159">
        <v>20</v>
      </c>
      <c r="C467" s="159">
        <v>31</v>
      </c>
      <c r="D467" s="159">
        <v>3</v>
      </c>
      <c r="E467" s="159">
        <v>52</v>
      </c>
      <c r="F467" s="160" t="s">
        <v>32838</v>
      </c>
      <c r="G467" s="132"/>
      <c r="H467" s="162" t="s">
        <v>14849</v>
      </c>
      <c r="I467" s="158" t="s">
        <v>14850</v>
      </c>
      <c r="J467" s="128"/>
      <c r="K467" s="128"/>
      <c r="L467" s="128"/>
      <c r="M467" s="129"/>
      <c r="N467" s="129"/>
      <c r="O467" s="129"/>
    </row>
    <row r="468" spans="1:15" ht="12.5">
      <c r="A468" s="158" t="s">
        <v>14851</v>
      </c>
      <c r="B468" s="159">
        <v>20</v>
      </c>
      <c r="C468" s="159">
        <v>31</v>
      </c>
      <c r="D468" s="159">
        <v>3</v>
      </c>
      <c r="E468" s="159">
        <v>58</v>
      </c>
      <c r="F468" s="160" t="s">
        <v>32838</v>
      </c>
      <c r="G468" s="132"/>
      <c r="H468" s="162" t="s">
        <v>14852</v>
      </c>
      <c r="I468" s="128"/>
      <c r="J468" s="128"/>
      <c r="K468" s="128"/>
      <c r="L468" s="128"/>
      <c r="M468" s="129"/>
      <c r="N468" s="129"/>
      <c r="O468" s="129"/>
    </row>
    <row r="469" spans="1:15" ht="12.5">
      <c r="A469" s="158" t="s">
        <v>14853</v>
      </c>
      <c r="B469" s="159">
        <v>20</v>
      </c>
      <c r="C469" s="159">
        <v>31</v>
      </c>
      <c r="D469" s="159">
        <v>3</v>
      </c>
      <c r="E469" s="159">
        <v>64</v>
      </c>
      <c r="F469" s="160" t="s">
        <v>32838</v>
      </c>
      <c r="G469" s="132"/>
      <c r="H469" s="162" t="s">
        <v>14854</v>
      </c>
      <c r="I469" s="158" t="s">
        <v>14855</v>
      </c>
      <c r="J469" s="128"/>
      <c r="K469" s="128"/>
      <c r="L469" s="128"/>
      <c r="M469" s="129"/>
      <c r="N469" s="129"/>
      <c r="O469" s="129"/>
    </row>
    <row r="470" spans="1:15" ht="12.5">
      <c r="A470" s="158" t="s">
        <v>14856</v>
      </c>
      <c r="B470" s="159">
        <v>20</v>
      </c>
      <c r="C470" s="159">
        <v>31</v>
      </c>
      <c r="D470" s="159">
        <v>3</v>
      </c>
      <c r="E470" s="159">
        <v>76</v>
      </c>
      <c r="F470" s="160" t="s">
        <v>32838</v>
      </c>
      <c r="G470" s="132"/>
      <c r="H470" s="162" t="s">
        <v>14857</v>
      </c>
      <c r="I470" s="158" t="s">
        <v>14858</v>
      </c>
      <c r="J470" s="128"/>
      <c r="K470" s="128"/>
      <c r="L470" s="128"/>
      <c r="M470" s="129"/>
      <c r="N470" s="129"/>
      <c r="O470" s="129"/>
    </row>
    <row r="471" spans="1:15" ht="12.5">
      <c r="A471" s="158" t="s">
        <v>14859</v>
      </c>
      <c r="B471" s="159">
        <v>20</v>
      </c>
      <c r="C471" s="159">
        <v>31</v>
      </c>
      <c r="D471" s="159">
        <v>3</v>
      </c>
      <c r="E471" s="159">
        <v>77</v>
      </c>
      <c r="F471" s="160" t="s">
        <v>32838</v>
      </c>
      <c r="G471" s="132"/>
      <c r="H471" s="162" t="s">
        <v>14860</v>
      </c>
      <c r="I471" s="158" t="s">
        <v>14861</v>
      </c>
      <c r="J471" s="128"/>
      <c r="K471" s="128"/>
      <c r="L471" s="128"/>
      <c r="M471" s="129"/>
      <c r="N471" s="129"/>
      <c r="O471" s="129"/>
    </row>
    <row r="472" spans="1:15" ht="12.5">
      <c r="A472" s="158" t="s">
        <v>14862</v>
      </c>
      <c r="B472" s="159">
        <v>20</v>
      </c>
      <c r="C472" s="159">
        <v>31</v>
      </c>
      <c r="D472" s="159">
        <v>3</v>
      </c>
      <c r="E472" s="159">
        <v>78</v>
      </c>
      <c r="F472" s="160" t="s">
        <v>32838</v>
      </c>
      <c r="G472" s="132"/>
      <c r="H472" s="162" t="s">
        <v>14863</v>
      </c>
      <c r="I472" s="158" t="s">
        <v>14864</v>
      </c>
      <c r="J472" s="128"/>
      <c r="K472" s="128"/>
      <c r="L472" s="128"/>
      <c r="M472" s="129"/>
      <c r="N472" s="129"/>
      <c r="O472" s="129"/>
    </row>
    <row r="473" spans="1:15" ht="12.5">
      <c r="A473" s="158" t="s">
        <v>14865</v>
      </c>
      <c r="B473" s="159">
        <v>20</v>
      </c>
      <c r="C473" s="159">
        <v>31</v>
      </c>
      <c r="D473" s="159">
        <v>3</v>
      </c>
      <c r="E473" s="159">
        <v>79</v>
      </c>
      <c r="F473" s="160" t="s">
        <v>32838</v>
      </c>
      <c r="G473" s="132"/>
      <c r="H473" s="162" t="s">
        <v>14866</v>
      </c>
      <c r="I473" s="158" t="s">
        <v>14867</v>
      </c>
      <c r="J473" s="128"/>
      <c r="K473" s="128"/>
      <c r="L473" s="128"/>
      <c r="M473" s="129"/>
      <c r="N473" s="129"/>
      <c r="O473" s="129"/>
    </row>
    <row r="474" spans="1:15" ht="12.5">
      <c r="A474" s="158" t="s">
        <v>14868</v>
      </c>
      <c r="B474" s="159">
        <v>20</v>
      </c>
      <c r="C474" s="159">
        <v>31</v>
      </c>
      <c r="D474" s="159">
        <v>3</v>
      </c>
      <c r="E474" s="159">
        <v>80</v>
      </c>
      <c r="F474" s="160" t="s">
        <v>32838</v>
      </c>
      <c r="G474" s="132"/>
      <c r="H474" s="162" t="s">
        <v>14869</v>
      </c>
      <c r="I474" s="158" t="s">
        <v>14870</v>
      </c>
      <c r="J474" s="128"/>
      <c r="K474" s="128"/>
      <c r="L474" s="128"/>
      <c r="M474" s="129"/>
      <c r="N474" s="129"/>
      <c r="O474" s="129"/>
    </row>
    <row r="475" spans="1:15" ht="12.5">
      <c r="A475" s="158" t="s">
        <v>14871</v>
      </c>
      <c r="B475" s="159">
        <v>20</v>
      </c>
      <c r="C475" s="159">
        <v>31</v>
      </c>
      <c r="D475" s="159">
        <v>3</v>
      </c>
      <c r="E475" s="159">
        <v>84</v>
      </c>
      <c r="F475" s="160" t="s">
        <v>32838</v>
      </c>
      <c r="G475" s="132"/>
      <c r="H475" s="162" t="s">
        <v>14872</v>
      </c>
      <c r="I475" s="158" t="s">
        <v>14873</v>
      </c>
      <c r="J475" s="128"/>
      <c r="K475" s="128"/>
      <c r="L475" s="128"/>
      <c r="M475" s="129"/>
      <c r="N475" s="129"/>
      <c r="O475" s="129"/>
    </row>
    <row r="476" spans="1:15" ht="12.5">
      <c r="A476" s="158" t="s">
        <v>14874</v>
      </c>
      <c r="B476" s="159">
        <v>20</v>
      </c>
      <c r="C476" s="159">
        <v>31</v>
      </c>
      <c r="D476" s="159">
        <v>3</v>
      </c>
      <c r="E476" s="159">
        <v>94</v>
      </c>
      <c r="F476" s="160" t="s">
        <v>32838</v>
      </c>
      <c r="G476" s="132"/>
      <c r="H476" s="162" t="s">
        <v>14875</v>
      </c>
      <c r="I476" s="158" t="s">
        <v>14876</v>
      </c>
      <c r="J476" s="128"/>
      <c r="K476" s="128"/>
      <c r="L476" s="128"/>
      <c r="M476" s="129"/>
      <c r="N476" s="129"/>
      <c r="O476" s="129"/>
    </row>
    <row r="477" spans="1:15" ht="12.5">
      <c r="A477" s="158" t="s">
        <v>14877</v>
      </c>
      <c r="B477" s="159">
        <v>20</v>
      </c>
      <c r="C477" s="159">
        <v>31</v>
      </c>
      <c r="D477" s="159">
        <v>3</v>
      </c>
      <c r="E477" s="159">
        <v>95</v>
      </c>
      <c r="F477" s="160" t="s">
        <v>32838</v>
      </c>
      <c r="G477" s="132"/>
      <c r="H477" s="162" t="s">
        <v>14878</v>
      </c>
      <c r="I477" s="128"/>
      <c r="J477" s="128"/>
      <c r="K477" s="128"/>
      <c r="L477" s="128"/>
      <c r="M477" s="129"/>
      <c r="N477" s="129"/>
      <c r="O477" s="129"/>
    </row>
    <row r="478" spans="1:15" ht="12.5">
      <c r="A478" s="158" t="s">
        <v>14879</v>
      </c>
      <c r="B478" s="159">
        <v>20</v>
      </c>
      <c r="C478" s="159">
        <v>31</v>
      </c>
      <c r="D478" s="159">
        <v>3</v>
      </c>
      <c r="E478" s="159">
        <v>96</v>
      </c>
      <c r="F478" s="160" t="s">
        <v>32838</v>
      </c>
      <c r="G478" s="132"/>
      <c r="H478" s="162" t="s">
        <v>14880</v>
      </c>
      <c r="I478" s="158" t="s">
        <v>14881</v>
      </c>
      <c r="J478" s="128"/>
      <c r="K478" s="128"/>
      <c r="L478" s="128"/>
      <c r="M478" s="129"/>
      <c r="N478" s="129"/>
      <c r="O478" s="129"/>
    </row>
    <row r="479" spans="1:15" ht="12.5">
      <c r="A479" s="158" t="s">
        <v>14882</v>
      </c>
      <c r="B479" s="159">
        <v>20</v>
      </c>
      <c r="C479" s="159">
        <v>31</v>
      </c>
      <c r="D479" s="159">
        <v>3</v>
      </c>
      <c r="E479" s="159">
        <v>97</v>
      </c>
      <c r="F479" s="160" t="s">
        <v>32838</v>
      </c>
      <c r="G479" s="132"/>
      <c r="H479" s="162" t="s">
        <v>14883</v>
      </c>
      <c r="I479" s="158" t="s">
        <v>14884</v>
      </c>
      <c r="J479" s="128"/>
      <c r="K479" s="128"/>
      <c r="L479" s="128"/>
      <c r="M479" s="129"/>
      <c r="N479" s="129"/>
      <c r="O479" s="129"/>
    </row>
    <row r="480" spans="1:15" ht="12.5">
      <c r="A480" s="158" t="s">
        <v>14885</v>
      </c>
      <c r="B480" s="159">
        <v>20</v>
      </c>
      <c r="C480" s="159">
        <v>31</v>
      </c>
      <c r="D480" s="159">
        <v>3</v>
      </c>
      <c r="E480" s="159">
        <v>98</v>
      </c>
      <c r="F480" s="160" t="s">
        <v>32838</v>
      </c>
      <c r="G480" s="132"/>
      <c r="H480" s="162" t="s">
        <v>14886</v>
      </c>
      <c r="I480" s="158" t="s">
        <v>14887</v>
      </c>
      <c r="J480" s="128"/>
      <c r="K480" s="128"/>
      <c r="L480" s="128"/>
      <c r="M480" s="129"/>
      <c r="N480" s="129"/>
      <c r="O480" s="129"/>
    </row>
    <row r="481" spans="1:15" ht="12.5">
      <c r="A481" s="151" t="s">
        <v>14888</v>
      </c>
      <c r="B481" s="152">
        <v>20</v>
      </c>
      <c r="C481" s="152">
        <v>31</v>
      </c>
      <c r="D481" s="152">
        <v>4</v>
      </c>
      <c r="E481" s="153"/>
      <c r="F481" s="154" t="s">
        <v>32938</v>
      </c>
      <c r="G481" s="155"/>
      <c r="H481" s="156" t="s">
        <v>14889</v>
      </c>
      <c r="I481" s="157"/>
      <c r="J481" s="157"/>
      <c r="K481" s="128"/>
      <c r="L481" s="128"/>
      <c r="M481" s="129"/>
      <c r="N481" s="129"/>
      <c r="O481" s="129"/>
    </row>
    <row r="482" spans="1:15" ht="12.5">
      <c r="A482" s="158" t="s">
        <v>14890</v>
      </c>
      <c r="B482" s="159">
        <v>20</v>
      </c>
      <c r="C482" s="159">
        <v>31</v>
      </c>
      <c r="D482" s="159">
        <v>4</v>
      </c>
      <c r="E482" s="159">
        <v>1</v>
      </c>
      <c r="F482" s="160" t="s">
        <v>32838</v>
      </c>
      <c r="G482" s="132"/>
      <c r="H482" s="162" t="s">
        <v>14891</v>
      </c>
      <c r="I482" s="158" t="s">
        <v>14892</v>
      </c>
      <c r="J482" s="128"/>
      <c r="K482" s="128"/>
      <c r="L482" s="128"/>
      <c r="M482" s="129"/>
      <c r="N482" s="129"/>
      <c r="O482" s="129"/>
    </row>
    <row r="483" spans="1:15" ht="12.5">
      <c r="A483" s="158" t="s">
        <v>14893</v>
      </c>
      <c r="B483" s="159">
        <v>20</v>
      </c>
      <c r="C483" s="159">
        <v>31</v>
      </c>
      <c r="D483" s="159">
        <v>4</v>
      </c>
      <c r="E483" s="159">
        <v>2</v>
      </c>
      <c r="F483" s="160" t="s">
        <v>32939</v>
      </c>
      <c r="G483" s="162" t="s">
        <v>32940</v>
      </c>
      <c r="H483" s="162" t="s">
        <v>14894</v>
      </c>
      <c r="I483" s="158" t="s">
        <v>14895</v>
      </c>
      <c r="J483" s="128"/>
      <c r="K483" s="128"/>
      <c r="L483" s="128"/>
      <c r="M483" s="129"/>
      <c r="N483" s="129"/>
      <c r="O483" s="129"/>
    </row>
    <row r="484" spans="1:15" ht="12.5">
      <c r="A484" s="158" t="s">
        <v>14896</v>
      </c>
      <c r="B484" s="159">
        <v>20</v>
      </c>
      <c r="C484" s="159">
        <v>31</v>
      </c>
      <c r="D484" s="159">
        <v>4</v>
      </c>
      <c r="E484" s="159">
        <v>4</v>
      </c>
      <c r="F484" s="160" t="s">
        <v>32941</v>
      </c>
      <c r="G484" s="162" t="s">
        <v>32942</v>
      </c>
      <c r="H484" s="162" t="s">
        <v>14897</v>
      </c>
      <c r="I484" s="158" t="s">
        <v>14898</v>
      </c>
      <c r="J484" s="128"/>
      <c r="K484" s="128"/>
      <c r="L484" s="128"/>
      <c r="M484" s="129"/>
      <c r="N484" s="129"/>
      <c r="O484" s="129"/>
    </row>
    <row r="485" spans="1:15" ht="12.5">
      <c r="A485" s="158" t="s">
        <v>14899</v>
      </c>
      <c r="B485" s="159">
        <v>20</v>
      </c>
      <c r="C485" s="159">
        <v>31</v>
      </c>
      <c r="D485" s="159">
        <v>4</v>
      </c>
      <c r="E485" s="159">
        <v>5</v>
      </c>
      <c r="F485" s="160" t="s">
        <v>32838</v>
      </c>
      <c r="G485" s="132"/>
      <c r="H485" s="162" t="s">
        <v>14900</v>
      </c>
      <c r="I485" s="128"/>
      <c r="J485" s="128"/>
      <c r="K485" s="128"/>
      <c r="L485" s="128"/>
      <c r="M485" s="129"/>
      <c r="N485" s="129"/>
      <c r="O485" s="129"/>
    </row>
    <row r="486" spans="1:15" ht="12.5">
      <c r="A486" s="158" t="s">
        <v>14901</v>
      </c>
      <c r="B486" s="159">
        <v>20</v>
      </c>
      <c r="C486" s="159">
        <v>31</v>
      </c>
      <c r="D486" s="159">
        <v>4</v>
      </c>
      <c r="E486" s="159">
        <v>6</v>
      </c>
      <c r="F486" s="160" t="s">
        <v>32943</v>
      </c>
      <c r="G486" s="162" t="s">
        <v>32944</v>
      </c>
      <c r="H486" s="162" t="s">
        <v>14902</v>
      </c>
      <c r="I486" s="158" t="s">
        <v>14903</v>
      </c>
      <c r="J486" s="128"/>
      <c r="K486" s="128"/>
      <c r="L486" s="128"/>
      <c r="M486" s="129"/>
      <c r="N486" s="129"/>
      <c r="O486" s="129"/>
    </row>
    <row r="487" spans="1:15" ht="12.5">
      <c r="A487" s="158" t="s">
        <v>14904</v>
      </c>
      <c r="B487" s="159">
        <v>20</v>
      </c>
      <c r="C487" s="159">
        <v>31</v>
      </c>
      <c r="D487" s="159">
        <v>4</v>
      </c>
      <c r="E487" s="159">
        <v>7</v>
      </c>
      <c r="F487" s="160" t="s">
        <v>32945</v>
      </c>
      <c r="G487" s="162" t="s">
        <v>32944</v>
      </c>
      <c r="H487" s="162" t="s">
        <v>14905</v>
      </c>
      <c r="I487" s="158" t="s">
        <v>14906</v>
      </c>
      <c r="J487" s="128"/>
      <c r="K487" s="128"/>
      <c r="L487" s="128"/>
      <c r="M487" s="129"/>
      <c r="N487" s="129"/>
      <c r="O487" s="129"/>
    </row>
    <row r="488" spans="1:15" ht="12.5">
      <c r="A488" s="158" t="s">
        <v>14907</v>
      </c>
      <c r="B488" s="159">
        <v>20</v>
      </c>
      <c r="C488" s="159">
        <v>31</v>
      </c>
      <c r="D488" s="159">
        <v>4</v>
      </c>
      <c r="E488" s="159">
        <v>8</v>
      </c>
      <c r="F488" s="160" t="s">
        <v>32946</v>
      </c>
      <c r="G488" s="162" t="s">
        <v>32944</v>
      </c>
      <c r="H488" s="162" t="s">
        <v>14908</v>
      </c>
      <c r="I488" s="158" t="s">
        <v>14909</v>
      </c>
      <c r="J488" s="128"/>
      <c r="K488" s="128"/>
      <c r="L488" s="128"/>
      <c r="M488" s="129"/>
      <c r="N488" s="129"/>
      <c r="O488" s="129"/>
    </row>
    <row r="489" spans="1:15" ht="12.5">
      <c r="A489" s="158" t="s">
        <v>14910</v>
      </c>
      <c r="B489" s="159">
        <v>20</v>
      </c>
      <c r="C489" s="159">
        <v>31</v>
      </c>
      <c r="D489" s="159">
        <v>4</v>
      </c>
      <c r="E489" s="159">
        <v>9</v>
      </c>
      <c r="F489" s="160" t="s">
        <v>32947</v>
      </c>
      <c r="G489" s="162" t="s">
        <v>32940</v>
      </c>
      <c r="H489" s="162" t="s">
        <v>14911</v>
      </c>
      <c r="I489" s="158" t="s">
        <v>14912</v>
      </c>
      <c r="J489" s="128"/>
      <c r="K489" s="128"/>
      <c r="L489" s="128"/>
      <c r="M489" s="129"/>
      <c r="N489" s="129"/>
      <c r="O489" s="129"/>
    </row>
    <row r="490" spans="1:15" ht="12.5">
      <c r="A490" s="158" t="s">
        <v>14913</v>
      </c>
      <c r="B490" s="159">
        <v>20</v>
      </c>
      <c r="C490" s="159">
        <v>31</v>
      </c>
      <c r="D490" s="159">
        <v>4</v>
      </c>
      <c r="E490" s="159">
        <v>10</v>
      </c>
      <c r="F490" s="160" t="s">
        <v>32948</v>
      </c>
      <c r="G490" s="162" t="s">
        <v>32940</v>
      </c>
      <c r="H490" s="162" t="s">
        <v>14914</v>
      </c>
      <c r="I490" s="158" t="s">
        <v>14915</v>
      </c>
      <c r="J490" s="128"/>
      <c r="K490" s="128"/>
      <c r="L490" s="128"/>
      <c r="M490" s="129"/>
      <c r="N490" s="129"/>
      <c r="O490" s="129"/>
    </row>
    <row r="491" spans="1:15" ht="12.5">
      <c r="A491" s="158" t="s">
        <v>14916</v>
      </c>
      <c r="B491" s="159">
        <v>20</v>
      </c>
      <c r="C491" s="159">
        <v>31</v>
      </c>
      <c r="D491" s="159">
        <v>4</v>
      </c>
      <c r="E491" s="159">
        <v>11</v>
      </c>
      <c r="F491" s="160" t="s">
        <v>32838</v>
      </c>
      <c r="G491" s="132"/>
      <c r="H491" s="162" t="s">
        <v>14917</v>
      </c>
      <c r="I491" s="158" t="s">
        <v>14918</v>
      </c>
      <c r="J491" s="128"/>
      <c r="K491" s="128"/>
      <c r="L491" s="128"/>
      <c r="M491" s="129"/>
      <c r="N491" s="129"/>
      <c r="O491" s="129"/>
    </row>
    <row r="492" spans="1:15" ht="12.5">
      <c r="A492" s="158" t="s">
        <v>14919</v>
      </c>
      <c r="B492" s="159">
        <v>20</v>
      </c>
      <c r="C492" s="159">
        <v>31</v>
      </c>
      <c r="D492" s="159">
        <v>4</v>
      </c>
      <c r="E492" s="159">
        <v>13</v>
      </c>
      <c r="F492" s="160" t="s">
        <v>32838</v>
      </c>
      <c r="G492" s="132"/>
      <c r="H492" s="162" t="s">
        <v>14920</v>
      </c>
      <c r="I492" s="158" t="s">
        <v>14921</v>
      </c>
      <c r="J492" s="128"/>
      <c r="K492" s="128"/>
      <c r="L492" s="128"/>
      <c r="M492" s="129"/>
      <c r="N492" s="129"/>
      <c r="O492" s="129"/>
    </row>
    <row r="493" spans="1:15" ht="12.5">
      <c r="A493" s="158" t="s">
        <v>14922</v>
      </c>
      <c r="B493" s="159">
        <v>20</v>
      </c>
      <c r="C493" s="159">
        <v>31</v>
      </c>
      <c r="D493" s="159">
        <v>4</v>
      </c>
      <c r="E493" s="159">
        <v>15</v>
      </c>
      <c r="F493" s="160" t="s">
        <v>32949</v>
      </c>
      <c r="G493" s="162" t="s">
        <v>32950</v>
      </c>
      <c r="H493" s="162" t="s">
        <v>14923</v>
      </c>
      <c r="I493" s="158" t="s">
        <v>14924</v>
      </c>
      <c r="J493" s="128"/>
      <c r="K493" s="128"/>
      <c r="L493" s="128"/>
      <c r="M493" s="129"/>
      <c r="N493" s="129"/>
      <c r="O493" s="129"/>
    </row>
    <row r="494" spans="1:15" ht="12.5">
      <c r="A494" s="158" t="s">
        <v>14925</v>
      </c>
      <c r="B494" s="159">
        <v>20</v>
      </c>
      <c r="C494" s="159">
        <v>31</v>
      </c>
      <c r="D494" s="159">
        <v>4</v>
      </c>
      <c r="E494" s="159">
        <v>16</v>
      </c>
      <c r="F494" s="160" t="s">
        <v>32951</v>
      </c>
      <c r="G494" s="162" t="s">
        <v>32940</v>
      </c>
      <c r="H494" s="162" t="s">
        <v>14926</v>
      </c>
      <c r="I494" s="158" t="s">
        <v>14927</v>
      </c>
      <c r="J494" s="128"/>
      <c r="K494" s="128"/>
      <c r="L494" s="128"/>
      <c r="M494" s="129"/>
      <c r="N494" s="129"/>
      <c r="O494" s="129"/>
    </row>
    <row r="495" spans="1:15" ht="12.5">
      <c r="A495" s="158" t="s">
        <v>14928</v>
      </c>
      <c r="B495" s="159">
        <v>20</v>
      </c>
      <c r="C495" s="159">
        <v>31</v>
      </c>
      <c r="D495" s="159">
        <v>4</v>
      </c>
      <c r="E495" s="159">
        <v>20</v>
      </c>
      <c r="F495" s="160" t="s">
        <v>32838</v>
      </c>
      <c r="G495" s="132"/>
      <c r="H495" s="162" t="s">
        <v>14929</v>
      </c>
      <c r="I495" s="128"/>
      <c r="J495" s="128"/>
      <c r="K495" s="128"/>
      <c r="L495" s="128"/>
      <c r="M495" s="129"/>
      <c r="N495" s="129"/>
      <c r="O495" s="129"/>
    </row>
    <row r="496" spans="1:15" ht="12.5">
      <c r="A496" s="158" t="s">
        <v>14930</v>
      </c>
      <c r="B496" s="159">
        <v>20</v>
      </c>
      <c r="C496" s="159">
        <v>31</v>
      </c>
      <c r="D496" s="159">
        <v>4</v>
      </c>
      <c r="E496" s="159">
        <v>25</v>
      </c>
      <c r="F496" s="160" t="s">
        <v>32952</v>
      </c>
      <c r="G496" s="162" t="s">
        <v>32950</v>
      </c>
      <c r="H496" s="162" t="s">
        <v>14931</v>
      </c>
      <c r="I496" s="158" t="s">
        <v>14932</v>
      </c>
      <c r="J496" s="128"/>
      <c r="K496" s="128"/>
      <c r="L496" s="128"/>
      <c r="M496" s="129"/>
      <c r="N496" s="129"/>
      <c r="O496" s="129"/>
    </row>
    <row r="497" spans="1:15" ht="12.5">
      <c r="A497" s="158" t="s">
        <v>14933</v>
      </c>
      <c r="B497" s="159">
        <v>20</v>
      </c>
      <c r="C497" s="159">
        <v>31</v>
      </c>
      <c r="D497" s="159">
        <v>4</v>
      </c>
      <c r="E497" s="159">
        <v>26</v>
      </c>
      <c r="F497" s="160" t="s">
        <v>32838</v>
      </c>
      <c r="G497" s="132"/>
      <c r="H497" s="162" t="s">
        <v>14934</v>
      </c>
      <c r="I497" s="128"/>
      <c r="J497" s="128"/>
      <c r="K497" s="128"/>
      <c r="L497" s="128"/>
      <c r="M497" s="129"/>
      <c r="N497" s="129"/>
      <c r="O497" s="129"/>
    </row>
    <row r="498" spans="1:15" ht="12.5">
      <c r="A498" s="158" t="s">
        <v>14935</v>
      </c>
      <c r="B498" s="159">
        <v>20</v>
      </c>
      <c r="C498" s="159">
        <v>31</v>
      </c>
      <c r="D498" s="159">
        <v>4</v>
      </c>
      <c r="E498" s="159">
        <v>27</v>
      </c>
      <c r="F498" s="160" t="s">
        <v>32838</v>
      </c>
      <c r="G498" s="132"/>
      <c r="H498" s="162" t="s">
        <v>14936</v>
      </c>
      <c r="I498" s="128"/>
      <c r="J498" s="128"/>
      <c r="K498" s="128"/>
      <c r="L498" s="128"/>
      <c r="M498" s="129"/>
      <c r="N498" s="129"/>
      <c r="O498" s="129"/>
    </row>
    <row r="499" spans="1:15" ht="12.5">
      <c r="A499" s="158" t="s">
        <v>14937</v>
      </c>
      <c r="B499" s="159">
        <v>20</v>
      </c>
      <c r="C499" s="159">
        <v>31</v>
      </c>
      <c r="D499" s="159">
        <v>4</v>
      </c>
      <c r="E499" s="159">
        <v>28</v>
      </c>
      <c r="F499" s="160" t="s">
        <v>32838</v>
      </c>
      <c r="G499" s="132"/>
      <c r="H499" s="162" t="s">
        <v>14938</v>
      </c>
      <c r="I499" s="128"/>
      <c r="J499" s="128"/>
      <c r="K499" s="128"/>
      <c r="L499" s="128"/>
      <c r="M499" s="129"/>
      <c r="N499" s="129"/>
      <c r="O499" s="129"/>
    </row>
    <row r="500" spans="1:15" ht="12.5">
      <c r="A500" s="158" t="s">
        <v>14939</v>
      </c>
      <c r="B500" s="159">
        <v>20</v>
      </c>
      <c r="C500" s="159">
        <v>31</v>
      </c>
      <c r="D500" s="159">
        <v>4</v>
      </c>
      <c r="E500" s="159">
        <v>29</v>
      </c>
      <c r="F500" s="160" t="s">
        <v>32838</v>
      </c>
      <c r="G500" s="132"/>
      <c r="H500" s="162" t="s">
        <v>14940</v>
      </c>
      <c r="I500" s="158" t="s">
        <v>14941</v>
      </c>
      <c r="J500" s="128"/>
      <c r="K500" s="128"/>
      <c r="L500" s="128"/>
      <c r="M500" s="129"/>
      <c r="N500" s="129"/>
      <c r="O500" s="129"/>
    </row>
    <row r="501" spans="1:15" ht="12.5">
      <c r="A501" s="158" t="s">
        <v>14942</v>
      </c>
      <c r="B501" s="159">
        <v>20</v>
      </c>
      <c r="C501" s="159">
        <v>31</v>
      </c>
      <c r="D501" s="159">
        <v>4</v>
      </c>
      <c r="E501" s="159">
        <v>30</v>
      </c>
      <c r="F501" s="160" t="s">
        <v>32838</v>
      </c>
      <c r="G501" s="132"/>
      <c r="H501" s="162" t="s">
        <v>14943</v>
      </c>
      <c r="I501" s="158" t="s">
        <v>14944</v>
      </c>
      <c r="J501" s="128"/>
      <c r="K501" s="128"/>
      <c r="L501" s="128"/>
      <c r="M501" s="129"/>
      <c r="N501" s="129"/>
      <c r="O501" s="129"/>
    </row>
    <row r="502" spans="1:15" ht="12.5">
      <c r="A502" s="158" t="s">
        <v>14945</v>
      </c>
      <c r="B502" s="159">
        <v>20</v>
      </c>
      <c r="C502" s="159">
        <v>31</v>
      </c>
      <c r="D502" s="159">
        <v>4</v>
      </c>
      <c r="E502" s="159">
        <v>31</v>
      </c>
      <c r="F502" s="160" t="s">
        <v>32953</v>
      </c>
      <c r="G502" s="162" t="s">
        <v>32950</v>
      </c>
      <c r="H502" s="162" t="s">
        <v>14946</v>
      </c>
      <c r="I502" s="158" t="s">
        <v>14947</v>
      </c>
      <c r="J502" s="128"/>
      <c r="K502" s="128"/>
      <c r="L502" s="128"/>
      <c r="M502" s="129"/>
      <c r="N502" s="129"/>
      <c r="O502" s="129"/>
    </row>
    <row r="503" spans="1:15" ht="12.5">
      <c r="A503" s="158" t="s">
        <v>14948</v>
      </c>
      <c r="B503" s="159">
        <v>20</v>
      </c>
      <c r="C503" s="159">
        <v>31</v>
      </c>
      <c r="D503" s="159">
        <v>4</v>
      </c>
      <c r="E503" s="159">
        <v>32</v>
      </c>
      <c r="F503" s="160" t="s">
        <v>32954</v>
      </c>
      <c r="G503" s="162" t="s">
        <v>32940</v>
      </c>
      <c r="H503" s="162" t="s">
        <v>14949</v>
      </c>
      <c r="I503" s="158" t="s">
        <v>14950</v>
      </c>
      <c r="J503" s="128"/>
      <c r="K503" s="128"/>
      <c r="L503" s="128"/>
      <c r="M503" s="129"/>
      <c r="N503" s="129"/>
      <c r="O503" s="129"/>
    </row>
    <row r="504" spans="1:15" ht="12.5">
      <c r="A504" s="158" t="s">
        <v>14951</v>
      </c>
      <c r="B504" s="159">
        <v>20</v>
      </c>
      <c r="C504" s="159">
        <v>31</v>
      </c>
      <c r="D504" s="159">
        <v>4</v>
      </c>
      <c r="E504" s="159">
        <v>35</v>
      </c>
      <c r="F504" s="160" t="s">
        <v>32838</v>
      </c>
      <c r="G504" s="132"/>
      <c r="H504" s="162" t="s">
        <v>14952</v>
      </c>
      <c r="I504" s="128"/>
      <c r="J504" s="128"/>
      <c r="K504" s="128"/>
      <c r="L504" s="128"/>
      <c r="M504" s="129"/>
      <c r="N504" s="129"/>
      <c r="O504" s="129"/>
    </row>
    <row r="505" spans="1:15" ht="12.5">
      <c r="A505" s="158" t="s">
        <v>14953</v>
      </c>
      <c r="B505" s="159">
        <v>20</v>
      </c>
      <c r="C505" s="159">
        <v>31</v>
      </c>
      <c r="D505" s="159">
        <v>4</v>
      </c>
      <c r="E505" s="159">
        <v>42</v>
      </c>
      <c r="F505" s="160" t="s">
        <v>32838</v>
      </c>
      <c r="G505" s="132"/>
      <c r="H505" s="162" t="s">
        <v>14954</v>
      </c>
      <c r="I505" s="128"/>
      <c r="J505" s="128"/>
      <c r="K505" s="128"/>
      <c r="L505" s="128"/>
      <c r="M505" s="129"/>
      <c r="N505" s="129"/>
      <c r="O505" s="129"/>
    </row>
    <row r="506" spans="1:15" ht="12.5">
      <c r="A506" s="158" t="s">
        <v>14955</v>
      </c>
      <c r="B506" s="159">
        <v>20</v>
      </c>
      <c r="C506" s="159">
        <v>31</v>
      </c>
      <c r="D506" s="159">
        <v>4</v>
      </c>
      <c r="E506" s="159">
        <v>44</v>
      </c>
      <c r="F506" s="160" t="s">
        <v>32955</v>
      </c>
      <c r="G506" s="162" t="s">
        <v>32940</v>
      </c>
      <c r="H506" s="162" t="s">
        <v>14956</v>
      </c>
      <c r="I506" s="158" t="s">
        <v>14957</v>
      </c>
      <c r="J506" s="128"/>
      <c r="K506" s="128"/>
      <c r="L506" s="128"/>
      <c r="M506" s="129"/>
      <c r="N506" s="129"/>
      <c r="O506" s="129"/>
    </row>
    <row r="507" spans="1:15" ht="12.5">
      <c r="A507" s="158" t="s">
        <v>14958</v>
      </c>
      <c r="B507" s="159">
        <v>20</v>
      </c>
      <c r="C507" s="159">
        <v>31</v>
      </c>
      <c r="D507" s="159">
        <v>4</v>
      </c>
      <c r="E507" s="159">
        <v>46</v>
      </c>
      <c r="F507" s="160" t="s">
        <v>32956</v>
      </c>
      <c r="G507" s="162" t="s">
        <v>32940</v>
      </c>
      <c r="H507" s="162" t="s">
        <v>14959</v>
      </c>
      <c r="I507" s="158" t="s">
        <v>14960</v>
      </c>
      <c r="J507" s="128"/>
      <c r="K507" s="128"/>
      <c r="L507" s="128"/>
      <c r="M507" s="129"/>
      <c r="N507" s="129"/>
      <c r="O507" s="129"/>
    </row>
    <row r="508" spans="1:15" ht="12.5">
      <c r="A508" s="158" t="s">
        <v>14961</v>
      </c>
      <c r="B508" s="159">
        <v>20</v>
      </c>
      <c r="C508" s="159">
        <v>31</v>
      </c>
      <c r="D508" s="159">
        <v>4</v>
      </c>
      <c r="E508" s="159">
        <v>48</v>
      </c>
      <c r="F508" s="160" t="s">
        <v>32957</v>
      </c>
      <c r="G508" s="162" t="s">
        <v>32958</v>
      </c>
      <c r="H508" s="162" t="s">
        <v>14962</v>
      </c>
      <c r="I508" s="158" t="s">
        <v>14963</v>
      </c>
      <c r="J508" s="128"/>
      <c r="K508" s="128"/>
      <c r="L508" s="128"/>
      <c r="M508" s="129"/>
      <c r="N508" s="129"/>
      <c r="O508" s="129"/>
    </row>
    <row r="509" spans="1:15" ht="12.5">
      <c r="A509" s="158" t="s">
        <v>14964</v>
      </c>
      <c r="B509" s="159">
        <v>20</v>
      </c>
      <c r="C509" s="159">
        <v>31</v>
      </c>
      <c r="D509" s="159">
        <v>4</v>
      </c>
      <c r="E509" s="159">
        <v>51</v>
      </c>
      <c r="F509" s="160" t="s">
        <v>32959</v>
      </c>
      <c r="G509" s="162" t="s">
        <v>32960</v>
      </c>
      <c r="H509" s="162" t="s">
        <v>14965</v>
      </c>
      <c r="I509" s="158" t="s">
        <v>14966</v>
      </c>
      <c r="J509" s="128"/>
      <c r="K509" s="128"/>
      <c r="L509" s="128"/>
      <c r="M509" s="129"/>
      <c r="N509" s="129"/>
      <c r="O509" s="129"/>
    </row>
    <row r="510" spans="1:15" ht="12.5">
      <c r="A510" s="158" t="s">
        <v>14967</v>
      </c>
      <c r="B510" s="159">
        <v>20</v>
      </c>
      <c r="C510" s="159">
        <v>31</v>
      </c>
      <c r="D510" s="159">
        <v>4</v>
      </c>
      <c r="E510" s="159">
        <v>52</v>
      </c>
      <c r="F510" s="160" t="s">
        <v>32961</v>
      </c>
      <c r="G510" s="162" t="s">
        <v>32960</v>
      </c>
      <c r="H510" s="162" t="s">
        <v>14968</v>
      </c>
      <c r="I510" s="158" t="s">
        <v>14969</v>
      </c>
      <c r="J510" s="128"/>
      <c r="K510" s="128"/>
      <c r="L510" s="128"/>
      <c r="M510" s="129"/>
      <c r="N510" s="129"/>
      <c r="O510" s="129"/>
    </row>
    <row r="511" spans="1:15" ht="12.5">
      <c r="A511" s="158" t="s">
        <v>14970</v>
      </c>
      <c r="B511" s="159">
        <v>20</v>
      </c>
      <c r="C511" s="159">
        <v>31</v>
      </c>
      <c r="D511" s="159">
        <v>4</v>
      </c>
      <c r="E511" s="159">
        <v>53</v>
      </c>
      <c r="F511" s="160" t="s">
        <v>32962</v>
      </c>
      <c r="G511" s="162" t="s">
        <v>32960</v>
      </c>
      <c r="H511" s="162" t="s">
        <v>14971</v>
      </c>
      <c r="I511" s="158" t="s">
        <v>14972</v>
      </c>
      <c r="J511" s="128"/>
      <c r="K511" s="128"/>
      <c r="L511" s="128"/>
      <c r="M511" s="129"/>
      <c r="N511" s="129"/>
      <c r="O511" s="129"/>
    </row>
    <row r="512" spans="1:15" ht="12.5">
      <c r="A512" s="158" t="s">
        <v>14973</v>
      </c>
      <c r="B512" s="159">
        <v>20</v>
      </c>
      <c r="C512" s="159">
        <v>31</v>
      </c>
      <c r="D512" s="159">
        <v>4</v>
      </c>
      <c r="E512" s="159">
        <v>56</v>
      </c>
      <c r="F512" s="160" t="s">
        <v>32963</v>
      </c>
      <c r="G512" s="162" t="s">
        <v>32964</v>
      </c>
      <c r="H512" s="162" t="s">
        <v>14974</v>
      </c>
      <c r="I512" s="158" t="s">
        <v>14898</v>
      </c>
      <c r="J512" s="128"/>
      <c r="K512" s="128"/>
      <c r="L512" s="128"/>
      <c r="M512" s="129"/>
      <c r="N512" s="129"/>
      <c r="O512" s="129"/>
    </row>
    <row r="513" spans="1:15" ht="12.5">
      <c r="A513" s="158" t="s">
        <v>14975</v>
      </c>
      <c r="B513" s="159">
        <v>20</v>
      </c>
      <c r="C513" s="159">
        <v>31</v>
      </c>
      <c r="D513" s="159">
        <v>4</v>
      </c>
      <c r="E513" s="159">
        <v>57</v>
      </c>
      <c r="F513" s="160" t="s">
        <v>32838</v>
      </c>
      <c r="G513" s="132"/>
      <c r="H513" s="162" t="s">
        <v>14976</v>
      </c>
      <c r="I513" s="158" t="s">
        <v>14977</v>
      </c>
      <c r="J513" s="128"/>
      <c r="K513" s="128"/>
      <c r="L513" s="128"/>
      <c r="M513" s="129"/>
      <c r="N513" s="129"/>
      <c r="O513" s="129"/>
    </row>
    <row r="514" spans="1:15" ht="12.5">
      <c r="A514" s="158" t="s">
        <v>14978</v>
      </c>
      <c r="B514" s="159">
        <v>20</v>
      </c>
      <c r="C514" s="159">
        <v>31</v>
      </c>
      <c r="D514" s="159">
        <v>4</v>
      </c>
      <c r="E514" s="159">
        <v>59</v>
      </c>
      <c r="F514" s="160" t="s">
        <v>32838</v>
      </c>
      <c r="G514" s="132"/>
      <c r="H514" s="162" t="s">
        <v>14979</v>
      </c>
      <c r="I514" s="158" t="s">
        <v>14980</v>
      </c>
      <c r="J514" s="128"/>
      <c r="K514" s="128"/>
      <c r="L514" s="128"/>
      <c r="M514" s="129"/>
      <c r="N514" s="129"/>
      <c r="O514" s="129"/>
    </row>
    <row r="515" spans="1:15" ht="12.5">
      <c r="A515" s="158" t="s">
        <v>14981</v>
      </c>
      <c r="B515" s="159">
        <v>20</v>
      </c>
      <c r="C515" s="159">
        <v>31</v>
      </c>
      <c r="D515" s="159">
        <v>4</v>
      </c>
      <c r="E515" s="159">
        <v>60</v>
      </c>
      <c r="F515" s="160" t="s">
        <v>32838</v>
      </c>
      <c r="G515" s="132"/>
      <c r="H515" s="162" t="s">
        <v>14982</v>
      </c>
      <c r="I515" s="128"/>
      <c r="J515" s="128"/>
      <c r="K515" s="128"/>
      <c r="L515" s="128"/>
      <c r="M515" s="129"/>
      <c r="N515" s="129"/>
      <c r="O515" s="129"/>
    </row>
    <row r="516" spans="1:15" ht="12.5">
      <c r="A516" s="158" t="s">
        <v>14983</v>
      </c>
      <c r="B516" s="159">
        <v>20</v>
      </c>
      <c r="C516" s="159">
        <v>31</v>
      </c>
      <c r="D516" s="159">
        <v>4</v>
      </c>
      <c r="E516" s="159">
        <v>61</v>
      </c>
      <c r="F516" s="160" t="s">
        <v>32965</v>
      </c>
      <c r="G516" s="162" t="s">
        <v>32950</v>
      </c>
      <c r="H516" s="162" t="s">
        <v>14984</v>
      </c>
      <c r="I516" s="158" t="s">
        <v>14932</v>
      </c>
      <c r="J516" s="128"/>
      <c r="K516" s="128"/>
      <c r="L516" s="128"/>
      <c r="M516" s="129"/>
      <c r="N516" s="129"/>
      <c r="O516" s="129"/>
    </row>
    <row r="517" spans="1:15" ht="12.5">
      <c r="A517" s="158" t="s">
        <v>14985</v>
      </c>
      <c r="B517" s="159">
        <v>20</v>
      </c>
      <c r="C517" s="159">
        <v>31</v>
      </c>
      <c r="D517" s="159">
        <v>4</v>
      </c>
      <c r="E517" s="159">
        <v>62</v>
      </c>
      <c r="F517" s="160" t="s">
        <v>32966</v>
      </c>
      <c r="G517" s="162" t="s">
        <v>32940</v>
      </c>
      <c r="H517" s="162" t="s">
        <v>14986</v>
      </c>
      <c r="I517" s="158" t="s">
        <v>14987</v>
      </c>
      <c r="J517" s="128"/>
      <c r="K517" s="128"/>
      <c r="L517" s="128"/>
      <c r="M517" s="129"/>
      <c r="N517" s="129"/>
      <c r="O517" s="129"/>
    </row>
    <row r="518" spans="1:15" ht="12.5">
      <c r="A518" s="158" t="s">
        <v>14988</v>
      </c>
      <c r="B518" s="159">
        <v>20</v>
      </c>
      <c r="C518" s="159">
        <v>31</v>
      </c>
      <c r="D518" s="159">
        <v>4</v>
      </c>
      <c r="E518" s="159">
        <v>71</v>
      </c>
      <c r="F518" s="181" t="s">
        <v>32967</v>
      </c>
      <c r="G518" s="162" t="s">
        <v>32950</v>
      </c>
      <c r="H518" s="162" t="s">
        <v>14989</v>
      </c>
      <c r="I518" s="158" t="s">
        <v>14932</v>
      </c>
      <c r="J518" s="128"/>
      <c r="K518" s="128"/>
      <c r="L518" s="128"/>
      <c r="M518" s="129"/>
      <c r="N518" s="129"/>
      <c r="O518" s="129"/>
    </row>
    <row r="519" spans="1:15" ht="12.5">
      <c r="A519" s="158" t="s">
        <v>14990</v>
      </c>
      <c r="B519" s="159">
        <v>20</v>
      </c>
      <c r="C519" s="159">
        <v>31</v>
      </c>
      <c r="D519" s="159">
        <v>4</v>
      </c>
      <c r="E519" s="159">
        <v>72</v>
      </c>
      <c r="F519" s="160" t="s">
        <v>32838</v>
      </c>
      <c r="G519" s="132"/>
      <c r="H519" s="162" t="s">
        <v>14991</v>
      </c>
      <c r="I519" s="158" t="s">
        <v>14992</v>
      </c>
      <c r="J519" s="128"/>
      <c r="K519" s="128"/>
      <c r="L519" s="128"/>
      <c r="M519" s="129"/>
      <c r="N519" s="129"/>
      <c r="O519" s="129"/>
    </row>
    <row r="520" spans="1:15" ht="12.5">
      <c r="A520" s="158" t="s">
        <v>14993</v>
      </c>
      <c r="B520" s="159">
        <v>20</v>
      </c>
      <c r="C520" s="159">
        <v>31</v>
      </c>
      <c r="D520" s="159">
        <v>4</v>
      </c>
      <c r="E520" s="159">
        <v>77</v>
      </c>
      <c r="F520" s="160" t="s">
        <v>32838</v>
      </c>
      <c r="G520" s="132"/>
      <c r="H520" s="162" t="s">
        <v>14994</v>
      </c>
      <c r="I520" s="128"/>
      <c r="J520" s="128"/>
      <c r="K520" s="128"/>
      <c r="L520" s="128"/>
      <c r="M520" s="129"/>
      <c r="N520" s="129"/>
      <c r="O520" s="129"/>
    </row>
    <row r="521" spans="1:15" ht="12.5">
      <c r="A521" s="158" t="s">
        <v>14995</v>
      </c>
      <c r="B521" s="159">
        <v>20</v>
      </c>
      <c r="C521" s="159">
        <v>31</v>
      </c>
      <c r="D521" s="159">
        <v>4</v>
      </c>
      <c r="E521" s="159">
        <v>79</v>
      </c>
      <c r="F521" s="160" t="s">
        <v>32838</v>
      </c>
      <c r="G521" s="132"/>
      <c r="H521" s="162" t="s">
        <v>14996</v>
      </c>
      <c r="I521" s="158" t="s">
        <v>14997</v>
      </c>
      <c r="J521" s="128"/>
      <c r="K521" s="128"/>
      <c r="L521" s="128"/>
      <c r="M521" s="129"/>
      <c r="N521" s="129"/>
      <c r="O521" s="129"/>
    </row>
    <row r="522" spans="1:15" ht="12.5">
      <c r="A522" s="158" t="s">
        <v>14998</v>
      </c>
      <c r="B522" s="159">
        <v>20</v>
      </c>
      <c r="C522" s="159">
        <v>31</v>
      </c>
      <c r="D522" s="159">
        <v>4</v>
      </c>
      <c r="E522" s="159">
        <v>80</v>
      </c>
      <c r="F522" s="160" t="s">
        <v>32838</v>
      </c>
      <c r="G522" s="132"/>
      <c r="H522" s="162" t="s">
        <v>14999</v>
      </c>
      <c r="I522" s="158" t="s">
        <v>15000</v>
      </c>
      <c r="J522" s="128"/>
      <c r="K522" s="128"/>
      <c r="L522" s="128"/>
      <c r="M522" s="129"/>
      <c r="N522" s="129"/>
      <c r="O522" s="129"/>
    </row>
    <row r="523" spans="1:15" ht="12.5">
      <c r="A523" s="158" t="s">
        <v>15001</v>
      </c>
      <c r="B523" s="159">
        <v>20</v>
      </c>
      <c r="C523" s="159">
        <v>31</v>
      </c>
      <c r="D523" s="159">
        <v>4</v>
      </c>
      <c r="E523" s="159">
        <v>85</v>
      </c>
      <c r="F523" s="158" t="s">
        <v>32968</v>
      </c>
      <c r="G523" s="162" t="s">
        <v>32958</v>
      </c>
      <c r="H523" s="162" t="s">
        <v>15002</v>
      </c>
      <c r="I523" s="158" t="s">
        <v>15003</v>
      </c>
      <c r="J523" s="128"/>
      <c r="K523" s="128"/>
      <c r="L523" s="128"/>
      <c r="M523" s="129"/>
      <c r="N523" s="129"/>
      <c r="O523" s="129"/>
    </row>
    <row r="524" spans="1:15" ht="12.5">
      <c r="A524" s="158" t="s">
        <v>15004</v>
      </c>
      <c r="B524" s="159">
        <v>20</v>
      </c>
      <c r="C524" s="159">
        <v>31</v>
      </c>
      <c r="D524" s="159">
        <v>4</v>
      </c>
      <c r="E524" s="159">
        <v>86</v>
      </c>
      <c r="F524" s="160" t="s">
        <v>32838</v>
      </c>
      <c r="G524" s="182"/>
      <c r="H524" s="162" t="s">
        <v>15005</v>
      </c>
      <c r="I524" s="158" t="s">
        <v>15006</v>
      </c>
      <c r="J524" s="128"/>
      <c r="K524" s="128"/>
      <c r="L524" s="128"/>
      <c r="M524" s="129"/>
      <c r="N524" s="129"/>
      <c r="O524" s="129"/>
    </row>
    <row r="525" spans="1:15" ht="12.5">
      <c r="A525" s="158" t="s">
        <v>15007</v>
      </c>
      <c r="B525" s="159">
        <v>20</v>
      </c>
      <c r="C525" s="159">
        <v>31</v>
      </c>
      <c r="D525" s="159">
        <v>4</v>
      </c>
      <c r="E525" s="159">
        <v>94</v>
      </c>
      <c r="F525" s="160" t="s">
        <v>32969</v>
      </c>
      <c r="G525" s="162" t="s">
        <v>32940</v>
      </c>
      <c r="H525" s="162" t="s">
        <v>15008</v>
      </c>
      <c r="I525" s="158" t="s">
        <v>14932</v>
      </c>
      <c r="J525" s="128"/>
      <c r="K525" s="128"/>
      <c r="L525" s="128"/>
      <c r="M525" s="129"/>
      <c r="N525" s="129"/>
      <c r="O525" s="129"/>
    </row>
    <row r="526" spans="1:15" ht="12.5">
      <c r="A526" s="151" t="s">
        <v>15009</v>
      </c>
      <c r="B526" s="152">
        <v>20</v>
      </c>
      <c r="C526" s="152">
        <v>31</v>
      </c>
      <c r="D526" s="152">
        <v>12</v>
      </c>
      <c r="E526" s="153"/>
      <c r="F526" s="154" t="s">
        <v>32970</v>
      </c>
      <c r="G526" s="155"/>
      <c r="H526" s="156" t="s">
        <v>15010</v>
      </c>
      <c r="I526" s="157"/>
      <c r="J526" s="157"/>
      <c r="K526" s="128"/>
      <c r="L526" s="128"/>
      <c r="M526" s="129"/>
      <c r="N526" s="129"/>
      <c r="O526" s="129"/>
    </row>
    <row r="527" spans="1:15" ht="12.5">
      <c r="A527" s="158" t="s">
        <v>15011</v>
      </c>
      <c r="B527" s="159">
        <v>20</v>
      </c>
      <c r="C527" s="159">
        <v>31</v>
      </c>
      <c r="D527" s="159">
        <v>12</v>
      </c>
      <c r="E527" s="159">
        <v>11</v>
      </c>
      <c r="F527" s="160" t="s">
        <v>32971</v>
      </c>
      <c r="G527" s="162" t="s">
        <v>32972</v>
      </c>
      <c r="H527" s="162" t="s">
        <v>15012</v>
      </c>
      <c r="I527" s="158" t="s">
        <v>15013</v>
      </c>
      <c r="J527" s="128"/>
      <c r="K527" s="128"/>
      <c r="L527" s="128"/>
      <c r="M527" s="129"/>
      <c r="N527" s="129"/>
      <c r="O527" s="129"/>
    </row>
    <row r="528" spans="1:15" ht="12.5">
      <c r="A528" s="158" t="s">
        <v>15014</v>
      </c>
      <c r="B528" s="159">
        <v>20</v>
      </c>
      <c r="C528" s="159">
        <v>31</v>
      </c>
      <c r="D528" s="159">
        <v>12</v>
      </c>
      <c r="E528" s="159">
        <v>13</v>
      </c>
      <c r="F528" s="160" t="s">
        <v>32838</v>
      </c>
      <c r="G528" s="132"/>
      <c r="H528" s="162" t="s">
        <v>15015</v>
      </c>
      <c r="I528" s="158" t="s">
        <v>15016</v>
      </c>
      <c r="J528" s="128"/>
      <c r="K528" s="128"/>
      <c r="L528" s="128"/>
      <c r="M528" s="129"/>
      <c r="N528" s="129"/>
      <c r="O528" s="129"/>
    </row>
    <row r="529" spans="1:15" ht="12.5">
      <c r="A529" s="158" t="s">
        <v>15017</v>
      </c>
      <c r="B529" s="159">
        <v>20</v>
      </c>
      <c r="C529" s="159">
        <v>31</v>
      </c>
      <c r="D529" s="159">
        <v>12</v>
      </c>
      <c r="E529" s="159">
        <v>38</v>
      </c>
      <c r="F529" s="160" t="s">
        <v>32838</v>
      </c>
      <c r="G529" s="132"/>
      <c r="H529" s="162" t="s">
        <v>15018</v>
      </c>
      <c r="I529" s="128"/>
      <c r="J529" s="128"/>
      <c r="K529" s="128"/>
      <c r="L529" s="128"/>
      <c r="M529" s="129"/>
      <c r="N529" s="129"/>
      <c r="O529" s="129"/>
    </row>
    <row r="530" spans="1:15" ht="12.5">
      <c r="A530" s="158" t="s">
        <v>15019</v>
      </c>
      <c r="B530" s="159">
        <v>20</v>
      </c>
      <c r="C530" s="159">
        <v>31</v>
      </c>
      <c r="D530" s="159">
        <v>12</v>
      </c>
      <c r="E530" s="159">
        <v>39</v>
      </c>
      <c r="F530" s="160" t="s">
        <v>32973</v>
      </c>
      <c r="G530" s="162" t="s">
        <v>32974</v>
      </c>
      <c r="H530" s="162" t="s">
        <v>15020</v>
      </c>
      <c r="I530" s="158" t="s">
        <v>15021</v>
      </c>
      <c r="J530" s="128"/>
      <c r="K530" s="128"/>
      <c r="L530" s="128"/>
      <c r="M530" s="129"/>
      <c r="N530" s="129"/>
      <c r="O530" s="129"/>
    </row>
    <row r="531" spans="1:15" ht="12.5">
      <c r="A531" s="158" t="s">
        <v>15022</v>
      </c>
      <c r="B531" s="159">
        <v>20</v>
      </c>
      <c r="C531" s="159">
        <v>31</v>
      </c>
      <c r="D531" s="159">
        <v>12</v>
      </c>
      <c r="E531" s="159">
        <v>50</v>
      </c>
      <c r="F531" s="160" t="s">
        <v>32975</v>
      </c>
      <c r="G531" s="162" t="s">
        <v>32976</v>
      </c>
      <c r="H531" s="162" t="s">
        <v>15023</v>
      </c>
      <c r="I531" s="158" t="s">
        <v>15024</v>
      </c>
      <c r="J531" s="128"/>
      <c r="K531" s="128"/>
      <c r="L531" s="128"/>
      <c r="M531" s="129"/>
      <c r="N531" s="129"/>
      <c r="O531" s="129"/>
    </row>
    <row r="532" spans="1:15" ht="12.5">
      <c r="A532" s="158" t="s">
        <v>15025</v>
      </c>
      <c r="B532" s="159">
        <v>20</v>
      </c>
      <c r="C532" s="159">
        <v>31</v>
      </c>
      <c r="D532" s="159">
        <v>12</v>
      </c>
      <c r="E532" s="159">
        <v>57</v>
      </c>
      <c r="F532" s="160" t="s">
        <v>32977</v>
      </c>
      <c r="G532" s="162" t="s">
        <v>32974</v>
      </c>
      <c r="H532" s="162" t="s">
        <v>15026</v>
      </c>
      <c r="I532" s="158" t="s">
        <v>15027</v>
      </c>
      <c r="J532" s="128"/>
      <c r="K532" s="128"/>
      <c r="L532" s="128"/>
      <c r="M532" s="129"/>
      <c r="N532" s="129"/>
      <c r="O532" s="129"/>
    </row>
    <row r="533" spans="1:15" ht="12.5">
      <c r="A533" s="158" t="s">
        <v>15028</v>
      </c>
      <c r="B533" s="159">
        <v>20</v>
      </c>
      <c r="C533" s="159">
        <v>31</v>
      </c>
      <c r="D533" s="159">
        <v>12</v>
      </c>
      <c r="E533" s="159">
        <v>58</v>
      </c>
      <c r="F533" s="160" t="s">
        <v>32978</v>
      </c>
      <c r="G533" s="162" t="s">
        <v>32974</v>
      </c>
      <c r="H533" s="162" t="s">
        <v>15029</v>
      </c>
      <c r="I533" s="158" t="s">
        <v>15030</v>
      </c>
      <c r="J533" s="128"/>
      <c r="K533" s="128"/>
      <c r="L533" s="128"/>
      <c r="M533" s="129"/>
      <c r="N533" s="129"/>
      <c r="O533" s="129"/>
    </row>
    <row r="534" spans="1:15" ht="12.5">
      <c r="A534" s="158" t="s">
        <v>15031</v>
      </c>
      <c r="B534" s="159">
        <v>20</v>
      </c>
      <c r="C534" s="159">
        <v>31</v>
      </c>
      <c r="D534" s="159">
        <v>12</v>
      </c>
      <c r="E534" s="159">
        <v>60</v>
      </c>
      <c r="F534" s="160" t="s">
        <v>32979</v>
      </c>
      <c r="G534" s="162" t="s">
        <v>32980</v>
      </c>
      <c r="H534" s="162" t="s">
        <v>15032</v>
      </c>
      <c r="I534" s="158" t="s">
        <v>15033</v>
      </c>
      <c r="J534" s="128"/>
      <c r="K534" s="128"/>
      <c r="L534" s="128"/>
      <c r="M534" s="129"/>
      <c r="N534" s="129"/>
      <c r="O534" s="129"/>
    </row>
    <row r="535" spans="1:15" ht="12.5">
      <c r="A535" s="158" t="s">
        <v>15038</v>
      </c>
      <c r="B535" s="159">
        <v>20</v>
      </c>
      <c r="C535" s="159">
        <v>31</v>
      </c>
      <c r="D535" s="159">
        <v>12</v>
      </c>
      <c r="E535" s="159">
        <v>86</v>
      </c>
      <c r="F535" s="160" t="s">
        <v>32838</v>
      </c>
      <c r="G535" s="132"/>
      <c r="H535" s="162" t="s">
        <v>15039</v>
      </c>
      <c r="I535" s="158" t="s">
        <v>15040</v>
      </c>
      <c r="J535" s="128"/>
      <c r="K535" s="128"/>
      <c r="L535" s="128"/>
      <c r="M535" s="129"/>
      <c r="N535" s="129"/>
      <c r="O535" s="129"/>
    </row>
    <row r="536" spans="1:15" ht="12.5">
      <c r="A536" s="151" t="s">
        <v>15041</v>
      </c>
      <c r="B536" s="152">
        <v>20</v>
      </c>
      <c r="C536" s="152">
        <v>31</v>
      </c>
      <c r="D536" s="152">
        <v>16</v>
      </c>
      <c r="E536" s="153"/>
      <c r="F536" s="154" t="s">
        <v>32981</v>
      </c>
      <c r="G536" s="183" t="s">
        <v>32838</v>
      </c>
      <c r="H536" s="156" t="s">
        <v>15042</v>
      </c>
      <c r="I536" s="157"/>
      <c r="J536" s="128"/>
      <c r="K536" s="128"/>
      <c r="L536" s="128"/>
      <c r="M536" s="129"/>
      <c r="N536" s="129"/>
      <c r="O536" s="129"/>
    </row>
    <row r="537" spans="1:15" ht="12.5">
      <c r="A537" s="158" t="s">
        <v>15043</v>
      </c>
      <c r="B537" s="159">
        <v>20</v>
      </c>
      <c r="C537" s="159">
        <v>31</v>
      </c>
      <c r="D537" s="159">
        <v>16</v>
      </c>
      <c r="E537" s="159">
        <v>12</v>
      </c>
      <c r="F537" s="160" t="s">
        <v>32838</v>
      </c>
      <c r="G537" s="132"/>
      <c r="H537" s="162" t="s">
        <v>15044</v>
      </c>
      <c r="I537" s="158" t="s">
        <v>15045</v>
      </c>
      <c r="J537" s="128"/>
      <c r="K537" s="128"/>
      <c r="L537" s="128"/>
      <c r="M537" s="129"/>
      <c r="N537" s="129"/>
      <c r="O537" s="129"/>
    </row>
    <row r="538" spans="1:15" ht="12.5">
      <c r="A538" s="158" t="s">
        <v>15046</v>
      </c>
      <c r="B538" s="159">
        <v>20</v>
      </c>
      <c r="C538" s="159">
        <v>31</v>
      </c>
      <c r="D538" s="159">
        <v>16</v>
      </c>
      <c r="E538" s="159">
        <v>21</v>
      </c>
      <c r="F538" s="160" t="s">
        <v>32838</v>
      </c>
      <c r="G538" s="132"/>
      <c r="H538" s="162" t="s">
        <v>15047</v>
      </c>
      <c r="I538" s="158" t="s">
        <v>15048</v>
      </c>
      <c r="J538" s="128"/>
      <c r="K538" s="128"/>
      <c r="L538" s="128"/>
      <c r="M538" s="129"/>
      <c r="N538" s="129"/>
      <c r="O538" s="129"/>
    </row>
    <row r="539" spans="1:15" ht="12.5">
      <c r="A539" s="158" t="s">
        <v>15049</v>
      </c>
      <c r="B539" s="159">
        <v>20</v>
      </c>
      <c r="C539" s="159">
        <v>31</v>
      </c>
      <c r="D539" s="159">
        <v>16</v>
      </c>
      <c r="E539" s="159">
        <v>22</v>
      </c>
      <c r="F539" s="160" t="s">
        <v>32838</v>
      </c>
      <c r="G539" s="132"/>
      <c r="H539" s="162" t="s">
        <v>15050</v>
      </c>
      <c r="I539" s="158" t="s">
        <v>15051</v>
      </c>
      <c r="J539" s="128"/>
      <c r="K539" s="128"/>
      <c r="L539" s="128"/>
      <c r="M539" s="129"/>
      <c r="N539" s="129"/>
      <c r="O539" s="129"/>
    </row>
    <row r="540" spans="1:15" ht="12.5">
      <c r="A540" s="158" t="s">
        <v>15052</v>
      </c>
      <c r="B540" s="159">
        <v>20</v>
      </c>
      <c r="C540" s="159">
        <v>31</v>
      </c>
      <c r="D540" s="159">
        <v>16</v>
      </c>
      <c r="E540" s="159">
        <v>29</v>
      </c>
      <c r="F540" s="160" t="s">
        <v>32838</v>
      </c>
      <c r="G540" s="132"/>
      <c r="H540" s="162" t="s">
        <v>15053</v>
      </c>
      <c r="I540" s="158" t="s">
        <v>15054</v>
      </c>
      <c r="J540" s="128"/>
      <c r="K540" s="128"/>
      <c r="L540" s="128"/>
      <c r="M540" s="129"/>
      <c r="N540" s="129"/>
      <c r="O540" s="129"/>
    </row>
    <row r="541" spans="1:15" ht="12.5">
      <c r="A541" s="158" t="s">
        <v>15055</v>
      </c>
      <c r="B541" s="159">
        <v>20</v>
      </c>
      <c r="C541" s="159">
        <v>31</v>
      </c>
      <c r="D541" s="159">
        <v>16</v>
      </c>
      <c r="E541" s="159">
        <v>30</v>
      </c>
      <c r="F541" s="160" t="s">
        <v>32838</v>
      </c>
      <c r="G541" s="132"/>
      <c r="H541" s="162" t="s">
        <v>15056</v>
      </c>
      <c r="I541" s="158" t="s">
        <v>15057</v>
      </c>
      <c r="J541" s="128"/>
      <c r="K541" s="128"/>
      <c r="L541" s="128"/>
      <c r="M541" s="129"/>
      <c r="N541" s="129"/>
      <c r="O541" s="129"/>
    </row>
    <row r="542" spans="1:15" ht="12.5">
      <c r="A542" s="158" t="s">
        <v>15058</v>
      </c>
      <c r="B542" s="159">
        <v>20</v>
      </c>
      <c r="C542" s="159">
        <v>31</v>
      </c>
      <c r="D542" s="159">
        <v>16</v>
      </c>
      <c r="E542" s="159">
        <v>31</v>
      </c>
      <c r="F542" s="160" t="s">
        <v>32838</v>
      </c>
      <c r="G542" s="132"/>
      <c r="H542" s="162" t="s">
        <v>15059</v>
      </c>
      <c r="I542" s="158" t="s">
        <v>15060</v>
      </c>
      <c r="J542" s="128"/>
      <c r="K542" s="128"/>
      <c r="L542" s="128"/>
      <c r="M542" s="129"/>
      <c r="N542" s="129"/>
      <c r="O542" s="129"/>
    </row>
    <row r="543" spans="1:15" ht="12.5">
      <c r="A543" s="158" t="s">
        <v>15061</v>
      </c>
      <c r="B543" s="159">
        <v>20</v>
      </c>
      <c r="C543" s="159">
        <v>31</v>
      </c>
      <c r="D543" s="159">
        <v>16</v>
      </c>
      <c r="E543" s="159">
        <v>37</v>
      </c>
      <c r="F543" s="160" t="s">
        <v>32838</v>
      </c>
      <c r="G543" s="132"/>
      <c r="H543" s="162" t="s">
        <v>15062</v>
      </c>
      <c r="I543" s="158" t="s">
        <v>15060</v>
      </c>
      <c r="J543" s="128"/>
      <c r="K543" s="128"/>
      <c r="L543" s="128"/>
      <c r="M543" s="129"/>
      <c r="N543" s="129"/>
      <c r="O543" s="129"/>
    </row>
    <row r="544" spans="1:15" ht="12.5">
      <c r="A544" s="158" t="s">
        <v>15063</v>
      </c>
      <c r="B544" s="159">
        <v>20</v>
      </c>
      <c r="C544" s="159">
        <v>31</v>
      </c>
      <c r="D544" s="159">
        <v>16</v>
      </c>
      <c r="E544" s="159">
        <v>39</v>
      </c>
      <c r="F544" s="160" t="s">
        <v>32838</v>
      </c>
      <c r="G544" s="132"/>
      <c r="H544" s="162" t="s">
        <v>15064</v>
      </c>
      <c r="I544" s="158" t="s">
        <v>15065</v>
      </c>
      <c r="J544" s="128"/>
      <c r="K544" s="128"/>
      <c r="L544" s="128"/>
      <c r="M544" s="129"/>
      <c r="N544" s="129"/>
      <c r="O544" s="129"/>
    </row>
    <row r="545" spans="1:15" ht="12.5">
      <c r="A545" s="158" t="s">
        <v>15068</v>
      </c>
      <c r="B545" s="159">
        <v>20</v>
      </c>
      <c r="C545" s="159">
        <v>31</v>
      </c>
      <c r="D545" s="159">
        <v>16</v>
      </c>
      <c r="E545" s="159">
        <v>66</v>
      </c>
      <c r="F545" s="160" t="s">
        <v>32838</v>
      </c>
      <c r="G545" s="132"/>
      <c r="H545" s="162" t="s">
        <v>15069</v>
      </c>
      <c r="I545" s="158" t="s">
        <v>15070</v>
      </c>
      <c r="J545" s="128"/>
      <c r="K545" s="128"/>
      <c r="L545" s="128"/>
      <c r="M545" s="129"/>
      <c r="N545" s="129"/>
      <c r="O545" s="129"/>
    </row>
    <row r="546" spans="1:15" ht="12.5">
      <c r="A546" s="158" t="s">
        <v>15071</v>
      </c>
      <c r="B546" s="159">
        <v>20</v>
      </c>
      <c r="C546" s="159">
        <v>31</v>
      </c>
      <c r="D546" s="159">
        <v>16</v>
      </c>
      <c r="E546" s="159">
        <v>67</v>
      </c>
      <c r="F546" s="160" t="s">
        <v>32838</v>
      </c>
      <c r="G546" s="132"/>
      <c r="H546" s="162" t="s">
        <v>15072</v>
      </c>
      <c r="I546" s="158" t="s">
        <v>15073</v>
      </c>
      <c r="J546" s="128"/>
      <c r="K546" s="128"/>
      <c r="L546" s="128"/>
      <c r="M546" s="129"/>
      <c r="N546" s="129"/>
      <c r="O546" s="129"/>
    </row>
    <row r="547" spans="1:15" ht="12.5">
      <c r="A547" s="158" t="s">
        <v>15074</v>
      </c>
      <c r="B547" s="159">
        <v>20</v>
      </c>
      <c r="C547" s="159">
        <v>31</v>
      </c>
      <c r="D547" s="159">
        <v>16</v>
      </c>
      <c r="E547" s="159">
        <v>68</v>
      </c>
      <c r="F547" s="160" t="s">
        <v>32838</v>
      </c>
      <c r="G547" s="132"/>
      <c r="H547" s="162" t="s">
        <v>15075</v>
      </c>
      <c r="I547" s="158" t="s">
        <v>15076</v>
      </c>
      <c r="J547" s="128"/>
      <c r="K547" s="128"/>
      <c r="L547" s="128"/>
      <c r="M547" s="129"/>
      <c r="N547" s="129"/>
      <c r="O547" s="129"/>
    </row>
    <row r="548" spans="1:15" ht="12.5">
      <c r="A548" s="158" t="s">
        <v>15077</v>
      </c>
      <c r="B548" s="159">
        <v>20</v>
      </c>
      <c r="C548" s="159">
        <v>31</v>
      </c>
      <c r="D548" s="159">
        <v>16</v>
      </c>
      <c r="E548" s="159">
        <v>70</v>
      </c>
      <c r="F548" s="160" t="s">
        <v>32838</v>
      </c>
      <c r="G548" s="132"/>
      <c r="H548" s="162" t="s">
        <v>15078</v>
      </c>
      <c r="I548" s="128"/>
      <c r="J548" s="128"/>
      <c r="K548" s="128"/>
      <c r="L548" s="128"/>
      <c r="M548" s="129"/>
      <c r="N548" s="129"/>
      <c r="O548" s="129"/>
    </row>
    <row r="549" spans="1:15" ht="12.5">
      <c r="A549" s="158" t="s">
        <v>15079</v>
      </c>
      <c r="B549" s="159">
        <v>20</v>
      </c>
      <c r="C549" s="159">
        <v>31</v>
      </c>
      <c r="D549" s="159">
        <v>16</v>
      </c>
      <c r="E549" s="159">
        <v>72</v>
      </c>
      <c r="F549" s="160" t="s">
        <v>32838</v>
      </c>
      <c r="G549" s="132"/>
      <c r="H549" s="162" t="s">
        <v>15080</v>
      </c>
      <c r="I549" s="128"/>
      <c r="J549" s="128"/>
      <c r="K549" s="128"/>
      <c r="L549" s="128"/>
      <c r="M549" s="129"/>
      <c r="N549" s="129"/>
      <c r="O549" s="129"/>
    </row>
    <row r="550" spans="1:15" ht="12.5">
      <c r="A550" s="158" t="s">
        <v>15081</v>
      </c>
      <c r="B550" s="159">
        <v>20</v>
      </c>
      <c r="C550" s="159">
        <v>31</v>
      </c>
      <c r="D550" s="159">
        <v>16</v>
      </c>
      <c r="E550" s="159">
        <v>76</v>
      </c>
      <c r="F550" s="160" t="s">
        <v>32838</v>
      </c>
      <c r="G550" s="132"/>
      <c r="H550" s="162" t="s">
        <v>15082</v>
      </c>
      <c r="I550" s="158" t="s">
        <v>15060</v>
      </c>
      <c r="J550" s="128"/>
      <c r="K550" s="128"/>
      <c r="L550" s="128"/>
      <c r="M550" s="129"/>
      <c r="N550" s="129"/>
      <c r="O550" s="129"/>
    </row>
    <row r="551" spans="1:15" ht="12.5">
      <c r="A551" s="158" t="s">
        <v>15083</v>
      </c>
      <c r="B551" s="159">
        <v>20</v>
      </c>
      <c r="C551" s="159">
        <v>31</v>
      </c>
      <c r="D551" s="159">
        <v>16</v>
      </c>
      <c r="E551" s="159">
        <v>78</v>
      </c>
      <c r="F551" s="160" t="s">
        <v>32838</v>
      </c>
      <c r="G551" s="132"/>
      <c r="H551" s="162" t="s">
        <v>15084</v>
      </c>
      <c r="I551" s="158" t="s">
        <v>15085</v>
      </c>
      <c r="J551" s="128"/>
      <c r="K551" s="128"/>
      <c r="L551" s="128"/>
      <c r="M551" s="129"/>
      <c r="N551" s="129"/>
      <c r="O551" s="129"/>
    </row>
    <row r="552" spans="1:15" ht="12.5">
      <c r="A552" s="158" t="s">
        <v>15086</v>
      </c>
      <c r="B552" s="159">
        <v>20</v>
      </c>
      <c r="C552" s="159">
        <v>31</v>
      </c>
      <c r="D552" s="159">
        <v>16</v>
      </c>
      <c r="E552" s="159">
        <v>80</v>
      </c>
      <c r="F552" s="160" t="s">
        <v>32838</v>
      </c>
      <c r="G552" s="132"/>
      <c r="H552" s="162" t="s">
        <v>15087</v>
      </c>
      <c r="I552" s="158" t="s">
        <v>15088</v>
      </c>
      <c r="J552" s="128"/>
      <c r="K552" s="128"/>
      <c r="L552" s="128"/>
      <c r="M552" s="129"/>
      <c r="N552" s="129"/>
      <c r="O552" s="129"/>
    </row>
    <row r="553" spans="1:15" ht="12.5">
      <c r="A553" s="158" t="s">
        <v>15093</v>
      </c>
      <c r="B553" s="159">
        <v>20</v>
      </c>
      <c r="C553" s="159">
        <v>31</v>
      </c>
      <c r="D553" s="159">
        <v>16</v>
      </c>
      <c r="E553" s="159">
        <v>84</v>
      </c>
      <c r="F553" s="160" t="s">
        <v>32838</v>
      </c>
      <c r="G553" s="132"/>
      <c r="H553" s="162" t="s">
        <v>15094</v>
      </c>
      <c r="I553" s="128"/>
      <c r="J553" s="128"/>
      <c r="K553" s="128"/>
      <c r="L553" s="128"/>
      <c r="M553" s="129"/>
      <c r="N553" s="129"/>
      <c r="O553" s="129"/>
    </row>
    <row r="554" spans="1:15" ht="12.5">
      <c r="A554" s="158" t="s">
        <v>15095</v>
      </c>
      <c r="B554" s="159">
        <v>20</v>
      </c>
      <c r="C554" s="159">
        <v>31</v>
      </c>
      <c r="D554" s="159">
        <v>16</v>
      </c>
      <c r="E554" s="159">
        <v>85</v>
      </c>
      <c r="F554" s="160" t="s">
        <v>32838</v>
      </c>
      <c r="G554" s="132"/>
      <c r="H554" s="162" t="s">
        <v>15096</v>
      </c>
      <c r="I554" s="158" t="s">
        <v>15097</v>
      </c>
      <c r="J554" s="128"/>
      <c r="K554" s="128"/>
      <c r="L554" s="128"/>
      <c r="M554" s="129"/>
      <c r="N554" s="129"/>
      <c r="O554" s="129"/>
    </row>
    <row r="555" spans="1:15" ht="12.5">
      <c r="A555" s="158" t="s">
        <v>15098</v>
      </c>
      <c r="B555" s="159">
        <v>20</v>
      </c>
      <c r="C555" s="159">
        <v>31</v>
      </c>
      <c r="D555" s="159">
        <v>16</v>
      </c>
      <c r="E555" s="159">
        <v>92</v>
      </c>
      <c r="F555" s="160" t="s">
        <v>32838</v>
      </c>
      <c r="G555" s="132"/>
      <c r="H555" s="162" t="s">
        <v>15099</v>
      </c>
      <c r="I555" s="158" t="s">
        <v>15060</v>
      </c>
      <c r="J555" s="128"/>
      <c r="K555" s="128"/>
      <c r="L555" s="128"/>
      <c r="M555" s="129"/>
      <c r="N555" s="129"/>
      <c r="O555" s="129"/>
    </row>
    <row r="556" spans="1:15" ht="12.5">
      <c r="A556" s="151" t="s">
        <v>15100</v>
      </c>
      <c r="B556" s="152">
        <v>20</v>
      </c>
      <c r="C556" s="152">
        <v>31</v>
      </c>
      <c r="D556" s="152">
        <v>35</v>
      </c>
      <c r="E556" s="153"/>
      <c r="F556" s="154" t="s">
        <v>32982</v>
      </c>
      <c r="G556" s="183" t="s">
        <v>32838</v>
      </c>
      <c r="H556" s="156" t="s">
        <v>15101</v>
      </c>
      <c r="I556" s="157"/>
      <c r="J556" s="128"/>
      <c r="K556" s="128"/>
      <c r="L556" s="128"/>
      <c r="M556" s="129"/>
      <c r="N556" s="129"/>
      <c r="O556" s="129"/>
    </row>
    <row r="557" spans="1:15" ht="12.5">
      <c r="A557" s="158" t="s">
        <v>15102</v>
      </c>
      <c r="B557" s="159">
        <v>20</v>
      </c>
      <c r="C557" s="159">
        <v>31</v>
      </c>
      <c r="D557" s="159">
        <v>35</v>
      </c>
      <c r="E557" s="159">
        <v>11</v>
      </c>
      <c r="F557" s="160" t="s">
        <v>32838</v>
      </c>
      <c r="G557" s="132"/>
      <c r="H557" s="162" t="s">
        <v>15103</v>
      </c>
      <c r="I557" s="128"/>
      <c r="J557" s="128"/>
      <c r="K557" s="128"/>
      <c r="L557" s="128"/>
      <c r="M557" s="129"/>
      <c r="N557" s="129"/>
      <c r="O557" s="129"/>
    </row>
    <row r="558" spans="1:15" ht="12.5">
      <c r="A558" s="158" t="s">
        <v>15104</v>
      </c>
      <c r="B558" s="159">
        <v>20</v>
      </c>
      <c r="C558" s="159">
        <v>31</v>
      </c>
      <c r="D558" s="159">
        <v>35</v>
      </c>
      <c r="E558" s="159">
        <v>22</v>
      </c>
      <c r="F558" s="160" t="s">
        <v>32838</v>
      </c>
      <c r="G558" s="132"/>
      <c r="H558" s="162" t="s">
        <v>15105</v>
      </c>
      <c r="I558" s="128"/>
      <c r="J558" s="128"/>
      <c r="K558" s="128"/>
      <c r="L558" s="128"/>
      <c r="M558" s="129"/>
      <c r="N558" s="129"/>
      <c r="O558" s="129"/>
    </row>
    <row r="559" spans="1:15" ht="12.5">
      <c r="A559" s="158" t="s">
        <v>15106</v>
      </c>
      <c r="B559" s="159">
        <v>20</v>
      </c>
      <c r="C559" s="159">
        <v>31</v>
      </c>
      <c r="D559" s="159">
        <v>35</v>
      </c>
      <c r="E559" s="159">
        <v>30</v>
      </c>
      <c r="F559" s="160" t="s">
        <v>32983</v>
      </c>
      <c r="G559" s="162" t="s">
        <v>32984</v>
      </c>
      <c r="H559" s="162" t="s">
        <v>15107</v>
      </c>
      <c r="I559" s="158" t="s">
        <v>15108</v>
      </c>
      <c r="J559" s="128"/>
      <c r="K559" s="128"/>
      <c r="L559" s="128"/>
      <c r="M559" s="129"/>
      <c r="N559" s="129"/>
      <c r="O559" s="129"/>
    </row>
    <row r="560" spans="1:15" ht="12.5">
      <c r="A560" s="158" t="s">
        <v>15109</v>
      </c>
      <c r="B560" s="159">
        <v>20</v>
      </c>
      <c r="C560" s="159">
        <v>31</v>
      </c>
      <c r="D560" s="159">
        <v>35</v>
      </c>
      <c r="E560" s="159">
        <v>33</v>
      </c>
      <c r="F560" s="131"/>
      <c r="G560" s="132"/>
      <c r="H560" s="162" t="s">
        <v>15110</v>
      </c>
      <c r="I560" s="158" t="s">
        <v>15111</v>
      </c>
      <c r="J560" s="128"/>
      <c r="K560" s="128"/>
      <c r="L560" s="128"/>
      <c r="M560" s="129"/>
      <c r="N560" s="129"/>
      <c r="O560" s="129"/>
    </row>
    <row r="561" spans="1:15" ht="12.5">
      <c r="A561" s="158" t="s">
        <v>15112</v>
      </c>
      <c r="B561" s="159">
        <v>20</v>
      </c>
      <c r="C561" s="159">
        <v>31</v>
      </c>
      <c r="D561" s="159">
        <v>35</v>
      </c>
      <c r="E561" s="159">
        <v>34</v>
      </c>
      <c r="F561" s="160" t="s">
        <v>32985</v>
      </c>
      <c r="G561" s="162" t="s">
        <v>32986</v>
      </c>
      <c r="H561" s="162" t="s">
        <v>15113</v>
      </c>
      <c r="I561" s="158" t="s">
        <v>15114</v>
      </c>
      <c r="J561" s="128"/>
      <c r="K561" s="128"/>
      <c r="L561" s="128"/>
      <c r="M561" s="129"/>
      <c r="N561" s="129"/>
      <c r="O561" s="129"/>
    </row>
    <row r="562" spans="1:15" ht="12.5">
      <c r="A562" s="158" t="s">
        <v>15115</v>
      </c>
      <c r="B562" s="159">
        <v>20</v>
      </c>
      <c r="C562" s="159">
        <v>31</v>
      </c>
      <c r="D562" s="159">
        <v>35</v>
      </c>
      <c r="E562" s="159">
        <v>35</v>
      </c>
      <c r="F562" s="160" t="s">
        <v>32838</v>
      </c>
      <c r="G562" s="132"/>
      <c r="H562" s="162" t="s">
        <v>15116</v>
      </c>
      <c r="I562" s="158" t="s">
        <v>15117</v>
      </c>
      <c r="J562" s="128"/>
      <c r="K562" s="128"/>
      <c r="L562" s="128"/>
      <c r="M562" s="129"/>
      <c r="N562" s="129"/>
      <c r="O562" s="129"/>
    </row>
    <row r="563" spans="1:15" ht="12.5">
      <c r="A563" s="158" t="s">
        <v>15118</v>
      </c>
      <c r="B563" s="159">
        <v>20</v>
      </c>
      <c r="C563" s="159">
        <v>31</v>
      </c>
      <c r="D563" s="159">
        <v>35</v>
      </c>
      <c r="E563" s="159">
        <v>47</v>
      </c>
      <c r="F563" s="160" t="s">
        <v>32838</v>
      </c>
      <c r="G563" s="132"/>
      <c r="H563" s="162" t="s">
        <v>15119</v>
      </c>
      <c r="I563" s="158" t="s">
        <v>15120</v>
      </c>
      <c r="J563" s="128"/>
      <c r="K563" s="128"/>
      <c r="L563" s="128"/>
      <c r="M563" s="129"/>
      <c r="N563" s="129"/>
      <c r="O563" s="129"/>
    </row>
    <row r="564" spans="1:15" ht="12.5">
      <c r="A564" s="158" t="s">
        <v>15121</v>
      </c>
      <c r="B564" s="159">
        <v>20</v>
      </c>
      <c r="C564" s="159">
        <v>31</v>
      </c>
      <c r="D564" s="159">
        <v>35</v>
      </c>
      <c r="E564" s="159">
        <v>50</v>
      </c>
      <c r="F564" s="160" t="s">
        <v>32838</v>
      </c>
      <c r="G564" s="132"/>
      <c r="H564" s="162" t="s">
        <v>15122</v>
      </c>
      <c r="I564" s="158" t="s">
        <v>15123</v>
      </c>
      <c r="J564" s="128"/>
      <c r="K564" s="128"/>
      <c r="L564" s="128"/>
      <c r="M564" s="129"/>
      <c r="N564" s="129"/>
      <c r="O564" s="129"/>
    </row>
    <row r="565" spans="1:15" ht="12.5">
      <c r="A565" s="158" t="s">
        <v>15124</v>
      </c>
      <c r="B565" s="159">
        <v>20</v>
      </c>
      <c r="C565" s="159">
        <v>31</v>
      </c>
      <c r="D565" s="159">
        <v>35</v>
      </c>
      <c r="E565" s="159">
        <v>51</v>
      </c>
      <c r="F565" s="160" t="s">
        <v>32838</v>
      </c>
      <c r="G565" s="132"/>
      <c r="H565" s="162" t="s">
        <v>15125</v>
      </c>
      <c r="I565" s="158" t="s">
        <v>15126</v>
      </c>
      <c r="J565" s="128"/>
      <c r="K565" s="128"/>
      <c r="L565" s="128"/>
      <c r="M565" s="129"/>
      <c r="N565" s="129"/>
      <c r="O565" s="129"/>
    </row>
    <row r="566" spans="1:15" ht="12.5">
      <c r="A566" s="158" t="s">
        <v>15127</v>
      </c>
      <c r="B566" s="159">
        <v>20</v>
      </c>
      <c r="C566" s="159">
        <v>31</v>
      </c>
      <c r="D566" s="159">
        <v>35</v>
      </c>
      <c r="E566" s="159">
        <v>52</v>
      </c>
      <c r="F566" s="160" t="s">
        <v>32838</v>
      </c>
      <c r="G566" s="132"/>
      <c r="H566" s="162" t="s">
        <v>15128</v>
      </c>
      <c r="I566" s="128"/>
      <c r="J566" s="128"/>
      <c r="K566" s="128"/>
      <c r="L566" s="128"/>
      <c r="M566" s="129"/>
      <c r="N566" s="129"/>
      <c r="O566" s="129"/>
    </row>
    <row r="567" spans="1:15" ht="12.5">
      <c r="A567" s="158" t="s">
        <v>15129</v>
      </c>
      <c r="B567" s="159">
        <v>20</v>
      </c>
      <c r="C567" s="159">
        <v>31</v>
      </c>
      <c r="D567" s="159">
        <v>35</v>
      </c>
      <c r="E567" s="159">
        <v>53</v>
      </c>
      <c r="F567" s="160" t="s">
        <v>32987</v>
      </c>
      <c r="G567" s="162" t="s">
        <v>32988</v>
      </c>
      <c r="H567" s="162" t="s">
        <v>15130</v>
      </c>
      <c r="I567" s="158" t="s">
        <v>15131</v>
      </c>
      <c r="J567" s="128"/>
      <c r="K567" s="128"/>
      <c r="L567" s="128"/>
      <c r="M567" s="129"/>
      <c r="N567" s="129"/>
      <c r="O567" s="129"/>
    </row>
    <row r="568" spans="1:15" ht="12.5">
      <c r="A568" s="158" t="s">
        <v>15132</v>
      </c>
      <c r="B568" s="159">
        <v>20</v>
      </c>
      <c r="C568" s="159">
        <v>31</v>
      </c>
      <c r="D568" s="159">
        <v>35</v>
      </c>
      <c r="E568" s="159">
        <v>56</v>
      </c>
      <c r="F568" s="160" t="s">
        <v>32838</v>
      </c>
      <c r="G568" s="132"/>
      <c r="H568" s="162" t="s">
        <v>15133</v>
      </c>
      <c r="I568" s="128"/>
      <c r="J568" s="128"/>
      <c r="K568" s="128"/>
      <c r="L568" s="128"/>
      <c r="M568" s="129"/>
      <c r="N568" s="129"/>
      <c r="O568" s="129"/>
    </row>
    <row r="569" spans="1:15" ht="12.5">
      <c r="A569" s="158" t="s">
        <v>15134</v>
      </c>
      <c r="B569" s="159">
        <v>20</v>
      </c>
      <c r="C569" s="159">
        <v>31</v>
      </c>
      <c r="D569" s="159">
        <v>35</v>
      </c>
      <c r="E569" s="159">
        <v>60</v>
      </c>
      <c r="F569" s="160" t="s">
        <v>32838</v>
      </c>
      <c r="G569" s="132"/>
      <c r="H569" s="162" t="s">
        <v>15135</v>
      </c>
      <c r="I569" s="158" t="s">
        <v>15136</v>
      </c>
      <c r="J569" s="128"/>
      <c r="K569" s="128"/>
      <c r="L569" s="128"/>
      <c r="M569" s="129"/>
      <c r="N569" s="129"/>
      <c r="O569" s="129"/>
    </row>
    <row r="570" spans="1:15" ht="12.5">
      <c r="A570" s="158" t="s">
        <v>15137</v>
      </c>
      <c r="B570" s="159">
        <v>20</v>
      </c>
      <c r="C570" s="159">
        <v>31</v>
      </c>
      <c r="D570" s="159">
        <v>35</v>
      </c>
      <c r="E570" s="159">
        <v>62</v>
      </c>
      <c r="F570" s="160" t="s">
        <v>32989</v>
      </c>
      <c r="G570" s="162" t="s">
        <v>32990</v>
      </c>
      <c r="H570" s="162" t="s">
        <v>15138</v>
      </c>
      <c r="I570" s="158" t="s">
        <v>15139</v>
      </c>
      <c r="J570" s="128"/>
      <c r="K570" s="128"/>
      <c r="L570" s="128"/>
      <c r="M570" s="129"/>
      <c r="N570" s="129"/>
      <c r="O570" s="129"/>
    </row>
    <row r="571" spans="1:15" ht="12.5">
      <c r="A571" s="158" t="s">
        <v>15140</v>
      </c>
      <c r="B571" s="159">
        <v>20</v>
      </c>
      <c r="C571" s="159">
        <v>31</v>
      </c>
      <c r="D571" s="159">
        <v>35</v>
      </c>
      <c r="E571" s="159">
        <v>75</v>
      </c>
      <c r="F571" s="160" t="s">
        <v>32838</v>
      </c>
      <c r="G571" s="132"/>
      <c r="H571" s="162" t="s">
        <v>15141</v>
      </c>
      <c r="I571" s="128"/>
      <c r="J571" s="128"/>
      <c r="K571" s="128"/>
      <c r="L571" s="128"/>
      <c r="M571" s="129"/>
      <c r="N571" s="129"/>
      <c r="O571" s="129"/>
    </row>
    <row r="572" spans="1:15" ht="12.5">
      <c r="A572" s="158" t="s">
        <v>15142</v>
      </c>
      <c r="B572" s="159">
        <v>20</v>
      </c>
      <c r="C572" s="159">
        <v>31</v>
      </c>
      <c r="D572" s="159">
        <v>35</v>
      </c>
      <c r="E572" s="159">
        <v>81</v>
      </c>
      <c r="F572" s="160" t="s">
        <v>32991</v>
      </c>
      <c r="G572" s="162" t="s">
        <v>32992</v>
      </c>
      <c r="H572" s="162" t="s">
        <v>15143</v>
      </c>
      <c r="I572" s="158" t="s">
        <v>15144</v>
      </c>
      <c r="J572" s="128"/>
      <c r="K572" s="128"/>
      <c r="L572" s="128"/>
      <c r="M572" s="129"/>
      <c r="N572" s="129"/>
      <c r="O572" s="129"/>
    </row>
    <row r="573" spans="1:15" ht="12.5">
      <c r="A573" s="158" t="s">
        <v>15145</v>
      </c>
      <c r="B573" s="159">
        <v>20</v>
      </c>
      <c r="C573" s="159">
        <v>31</v>
      </c>
      <c r="D573" s="159">
        <v>35</v>
      </c>
      <c r="E573" s="159">
        <v>82</v>
      </c>
      <c r="F573" s="160" t="s">
        <v>32838</v>
      </c>
      <c r="G573" s="132"/>
      <c r="H573" s="162" t="s">
        <v>15146</v>
      </c>
      <c r="I573" s="128"/>
      <c r="J573" s="128"/>
      <c r="K573" s="128"/>
      <c r="L573" s="128"/>
      <c r="M573" s="129"/>
      <c r="N573" s="129"/>
      <c r="O573" s="129"/>
    </row>
    <row r="574" spans="1:15" ht="12.5">
      <c r="A574" s="158" t="s">
        <v>15147</v>
      </c>
      <c r="B574" s="159">
        <v>20</v>
      </c>
      <c r="C574" s="159">
        <v>31</v>
      </c>
      <c r="D574" s="159">
        <v>35</v>
      </c>
      <c r="E574" s="159">
        <v>86</v>
      </c>
      <c r="F574" s="160" t="s">
        <v>32838</v>
      </c>
      <c r="G574" s="132"/>
      <c r="H574" s="162" t="s">
        <v>15148</v>
      </c>
      <c r="I574" s="128"/>
      <c r="J574" s="128"/>
      <c r="K574" s="128"/>
      <c r="L574" s="128"/>
      <c r="M574" s="129"/>
      <c r="N574" s="129"/>
      <c r="O574" s="129"/>
    </row>
    <row r="575" spans="1:15" ht="12.5">
      <c r="A575" s="151" t="s">
        <v>15149</v>
      </c>
      <c r="B575" s="152">
        <v>20</v>
      </c>
      <c r="C575" s="152">
        <v>31</v>
      </c>
      <c r="D575" s="152">
        <v>53</v>
      </c>
      <c r="E575" s="153"/>
      <c r="F575" s="154" t="s">
        <v>32993</v>
      </c>
      <c r="G575" s="183" t="s">
        <v>32838</v>
      </c>
      <c r="H575" s="156" t="s">
        <v>15150</v>
      </c>
      <c r="I575" s="157"/>
      <c r="J575" s="128"/>
      <c r="K575" s="128"/>
      <c r="L575" s="128"/>
      <c r="M575" s="129"/>
      <c r="N575" s="129"/>
      <c r="O575" s="129"/>
    </row>
    <row r="576" spans="1:15" ht="12.5">
      <c r="A576" s="158" t="s">
        <v>15151</v>
      </c>
      <c r="B576" s="159">
        <v>20</v>
      </c>
      <c r="C576" s="159">
        <v>31</v>
      </c>
      <c r="D576" s="159">
        <v>53</v>
      </c>
      <c r="E576" s="159">
        <v>8</v>
      </c>
      <c r="F576" s="160" t="s">
        <v>32994</v>
      </c>
      <c r="G576" s="162" t="s">
        <v>32995</v>
      </c>
      <c r="H576" s="162" t="s">
        <v>15152</v>
      </c>
      <c r="I576" s="158" t="s">
        <v>15153</v>
      </c>
      <c r="J576" s="128"/>
      <c r="K576" s="128"/>
      <c r="L576" s="128"/>
      <c r="M576" s="129"/>
      <c r="N576" s="129"/>
      <c r="O576" s="129"/>
    </row>
    <row r="577" spans="1:15" ht="12.5">
      <c r="A577" s="158" t="s">
        <v>15154</v>
      </c>
      <c r="B577" s="159">
        <v>20</v>
      </c>
      <c r="C577" s="159">
        <v>31</v>
      </c>
      <c r="D577" s="159">
        <v>53</v>
      </c>
      <c r="E577" s="159">
        <v>10</v>
      </c>
      <c r="F577" s="160" t="s">
        <v>32996</v>
      </c>
      <c r="G577" s="162" t="s">
        <v>32995</v>
      </c>
      <c r="H577" s="162" t="s">
        <v>15155</v>
      </c>
      <c r="I577" s="158" t="s">
        <v>15156</v>
      </c>
      <c r="J577" s="128"/>
      <c r="K577" s="128"/>
      <c r="L577" s="128"/>
      <c r="M577" s="129"/>
      <c r="N577" s="129"/>
      <c r="O577" s="129"/>
    </row>
    <row r="578" spans="1:15" ht="12.5">
      <c r="A578" s="158" t="s">
        <v>15157</v>
      </c>
      <c r="B578" s="159">
        <v>20</v>
      </c>
      <c r="C578" s="159">
        <v>31</v>
      </c>
      <c r="D578" s="159">
        <v>53</v>
      </c>
      <c r="E578" s="159">
        <v>11</v>
      </c>
      <c r="F578" s="160" t="s">
        <v>32838</v>
      </c>
      <c r="G578" s="132"/>
      <c r="H578" s="162" t="s">
        <v>32997</v>
      </c>
      <c r="I578" s="158" t="s">
        <v>15159</v>
      </c>
      <c r="J578" s="128"/>
      <c r="K578" s="128"/>
      <c r="L578" s="128"/>
      <c r="M578" s="129"/>
      <c r="N578" s="129"/>
      <c r="O578" s="129"/>
    </row>
    <row r="579" spans="1:15" ht="12.5">
      <c r="A579" s="158" t="s">
        <v>15160</v>
      </c>
      <c r="B579" s="159">
        <v>20</v>
      </c>
      <c r="C579" s="159">
        <v>31</v>
      </c>
      <c r="D579" s="159">
        <v>53</v>
      </c>
      <c r="E579" s="159">
        <v>12</v>
      </c>
      <c r="F579" s="160" t="s">
        <v>32838</v>
      </c>
      <c r="G579" s="132"/>
      <c r="H579" s="162" t="s">
        <v>15161</v>
      </c>
      <c r="I579" s="158" t="s">
        <v>15162</v>
      </c>
      <c r="J579" s="128"/>
      <c r="K579" s="128"/>
      <c r="L579" s="128"/>
      <c r="M579" s="129"/>
      <c r="N579" s="129"/>
      <c r="O579" s="129"/>
    </row>
    <row r="580" spans="1:15" ht="12.5">
      <c r="A580" s="158" t="s">
        <v>15163</v>
      </c>
      <c r="B580" s="159">
        <v>20</v>
      </c>
      <c r="C580" s="159">
        <v>31</v>
      </c>
      <c r="D580" s="159">
        <v>53</v>
      </c>
      <c r="E580" s="159">
        <v>13</v>
      </c>
      <c r="F580" s="160" t="s">
        <v>32838</v>
      </c>
      <c r="G580" s="132"/>
      <c r="H580" s="162" t="s">
        <v>15164</v>
      </c>
      <c r="I580" s="158" t="s">
        <v>15165</v>
      </c>
      <c r="J580" s="128"/>
      <c r="K580" s="128"/>
      <c r="L580" s="128"/>
      <c r="M580" s="129"/>
      <c r="N580" s="129"/>
      <c r="O580" s="129"/>
    </row>
    <row r="581" spans="1:15" ht="12.5">
      <c r="A581" s="158" t="s">
        <v>15166</v>
      </c>
      <c r="B581" s="159">
        <v>20</v>
      </c>
      <c r="C581" s="159">
        <v>31</v>
      </c>
      <c r="D581" s="159">
        <v>53</v>
      </c>
      <c r="E581" s="159">
        <v>14</v>
      </c>
      <c r="F581" s="160" t="s">
        <v>32838</v>
      </c>
      <c r="G581" s="132"/>
      <c r="H581" s="162" t="s">
        <v>15167</v>
      </c>
      <c r="I581" s="158" t="s">
        <v>15168</v>
      </c>
      <c r="J581" s="128"/>
      <c r="K581" s="128"/>
      <c r="L581" s="128"/>
      <c r="M581" s="129"/>
      <c r="N581" s="129"/>
      <c r="O581" s="129"/>
    </row>
    <row r="582" spans="1:15" ht="12.5">
      <c r="A582" s="158" t="s">
        <v>15169</v>
      </c>
      <c r="B582" s="159">
        <v>20</v>
      </c>
      <c r="C582" s="159">
        <v>31</v>
      </c>
      <c r="D582" s="159">
        <v>53</v>
      </c>
      <c r="E582" s="159">
        <v>15</v>
      </c>
      <c r="F582" s="160" t="s">
        <v>32998</v>
      </c>
      <c r="G582" s="162" t="s">
        <v>32999</v>
      </c>
      <c r="H582" s="162" t="s">
        <v>15170</v>
      </c>
      <c r="I582" s="158" t="s">
        <v>15171</v>
      </c>
      <c r="J582" s="128"/>
      <c r="K582" s="128"/>
      <c r="L582" s="128"/>
      <c r="M582" s="129"/>
      <c r="N582" s="129"/>
      <c r="O582" s="129"/>
    </row>
    <row r="583" spans="1:15" ht="12.5">
      <c r="A583" s="158" t="s">
        <v>15172</v>
      </c>
      <c r="B583" s="159">
        <v>20</v>
      </c>
      <c r="C583" s="159">
        <v>31</v>
      </c>
      <c r="D583" s="159">
        <v>53</v>
      </c>
      <c r="E583" s="159">
        <v>18</v>
      </c>
      <c r="F583" s="160" t="s">
        <v>32838</v>
      </c>
      <c r="G583" s="132"/>
      <c r="H583" s="162" t="s">
        <v>15173</v>
      </c>
      <c r="I583" s="158" t="s">
        <v>15174</v>
      </c>
      <c r="J583" s="128"/>
      <c r="K583" s="128"/>
      <c r="L583" s="128"/>
      <c r="M583" s="129"/>
      <c r="N583" s="129"/>
      <c r="O583" s="129"/>
    </row>
    <row r="584" spans="1:15" ht="12.5">
      <c r="A584" s="158" t="s">
        <v>15175</v>
      </c>
      <c r="B584" s="159">
        <v>20</v>
      </c>
      <c r="C584" s="159">
        <v>31</v>
      </c>
      <c r="D584" s="159">
        <v>53</v>
      </c>
      <c r="E584" s="159">
        <v>26</v>
      </c>
      <c r="F584" s="160" t="s">
        <v>32838</v>
      </c>
      <c r="G584" s="132"/>
      <c r="H584" s="162" t="s">
        <v>15176</v>
      </c>
      <c r="I584" s="158" t="s">
        <v>15177</v>
      </c>
      <c r="J584" s="128"/>
      <c r="K584" s="128"/>
      <c r="L584" s="128"/>
      <c r="M584" s="129"/>
      <c r="N584" s="129"/>
      <c r="O584" s="129"/>
    </row>
    <row r="585" spans="1:15" ht="12.5">
      <c r="A585" s="158" t="s">
        <v>15178</v>
      </c>
      <c r="B585" s="159">
        <v>20</v>
      </c>
      <c r="C585" s="159">
        <v>31</v>
      </c>
      <c r="D585" s="159">
        <v>53</v>
      </c>
      <c r="E585" s="159">
        <v>27</v>
      </c>
      <c r="F585" s="160" t="s">
        <v>32838</v>
      </c>
      <c r="G585" s="132"/>
      <c r="H585" s="162" t="s">
        <v>15179</v>
      </c>
      <c r="I585" s="158" t="s">
        <v>15180</v>
      </c>
      <c r="J585" s="128"/>
      <c r="K585" s="128"/>
      <c r="L585" s="128"/>
      <c r="M585" s="129"/>
      <c r="N585" s="129"/>
      <c r="O585" s="129"/>
    </row>
    <row r="586" spans="1:15" ht="12.5">
      <c r="A586" s="158" t="s">
        <v>15181</v>
      </c>
      <c r="B586" s="159">
        <v>20</v>
      </c>
      <c r="C586" s="159">
        <v>31</v>
      </c>
      <c r="D586" s="159">
        <v>53</v>
      </c>
      <c r="E586" s="159">
        <v>28</v>
      </c>
      <c r="F586" s="160" t="s">
        <v>32838</v>
      </c>
      <c r="G586" s="132"/>
      <c r="H586" s="162" t="s">
        <v>15182</v>
      </c>
      <c r="I586" s="158" t="s">
        <v>15183</v>
      </c>
      <c r="J586" s="128"/>
      <c r="K586" s="128"/>
      <c r="L586" s="128"/>
      <c r="M586" s="129"/>
      <c r="N586" s="129"/>
      <c r="O586" s="129"/>
    </row>
    <row r="587" spans="1:15" ht="12.5">
      <c r="A587" s="158" t="s">
        <v>15184</v>
      </c>
      <c r="B587" s="159">
        <v>20</v>
      </c>
      <c r="C587" s="159">
        <v>31</v>
      </c>
      <c r="D587" s="159">
        <v>53</v>
      </c>
      <c r="E587" s="159">
        <v>30</v>
      </c>
      <c r="F587" s="160" t="s">
        <v>32838</v>
      </c>
      <c r="G587" s="132"/>
      <c r="H587" s="162" t="s">
        <v>15185</v>
      </c>
      <c r="I587" s="158" t="s">
        <v>15186</v>
      </c>
      <c r="J587" s="128"/>
      <c r="K587" s="128"/>
      <c r="L587" s="128"/>
      <c r="M587" s="129"/>
      <c r="N587" s="129"/>
      <c r="O587" s="129"/>
    </row>
    <row r="588" spans="1:15" ht="12.5">
      <c r="A588" s="158" t="s">
        <v>15187</v>
      </c>
      <c r="B588" s="159">
        <v>20</v>
      </c>
      <c r="C588" s="159">
        <v>31</v>
      </c>
      <c r="D588" s="159">
        <v>53</v>
      </c>
      <c r="E588" s="159">
        <v>31</v>
      </c>
      <c r="F588" s="160" t="s">
        <v>32838</v>
      </c>
      <c r="G588" s="132"/>
      <c r="H588" s="162" t="s">
        <v>15188</v>
      </c>
      <c r="I588" s="158" t="s">
        <v>15189</v>
      </c>
      <c r="J588" s="128"/>
      <c r="K588" s="128"/>
      <c r="L588" s="128"/>
      <c r="M588" s="129"/>
      <c r="N588" s="129"/>
      <c r="O588" s="129"/>
    </row>
    <row r="589" spans="1:15" ht="12.5">
      <c r="A589" s="158" t="s">
        <v>15190</v>
      </c>
      <c r="B589" s="159">
        <v>20</v>
      </c>
      <c r="C589" s="159">
        <v>31</v>
      </c>
      <c r="D589" s="159">
        <v>53</v>
      </c>
      <c r="E589" s="159">
        <v>32</v>
      </c>
      <c r="F589" s="160" t="s">
        <v>32838</v>
      </c>
      <c r="G589" s="132"/>
      <c r="H589" s="162" t="s">
        <v>15191</v>
      </c>
      <c r="I589" s="128"/>
      <c r="J589" s="128"/>
      <c r="K589" s="128"/>
      <c r="L589" s="128"/>
      <c r="M589" s="129"/>
      <c r="N589" s="129"/>
      <c r="O589" s="129"/>
    </row>
    <row r="590" spans="1:15" ht="12.5">
      <c r="A590" s="158" t="s">
        <v>15192</v>
      </c>
      <c r="B590" s="159">
        <v>20</v>
      </c>
      <c r="C590" s="159">
        <v>31</v>
      </c>
      <c r="D590" s="159">
        <v>53</v>
      </c>
      <c r="E590" s="159">
        <v>33</v>
      </c>
      <c r="F590" s="160" t="s">
        <v>32838</v>
      </c>
      <c r="G590" s="132"/>
      <c r="H590" s="162" t="s">
        <v>15193</v>
      </c>
      <c r="I590" s="158" t="s">
        <v>15194</v>
      </c>
      <c r="J590" s="128"/>
      <c r="K590" s="128"/>
      <c r="L590" s="128"/>
      <c r="M590" s="129"/>
      <c r="N590" s="129"/>
      <c r="O590" s="129"/>
    </row>
    <row r="591" spans="1:15" ht="12.5">
      <c r="A591" s="158" t="s">
        <v>15195</v>
      </c>
      <c r="B591" s="159">
        <v>20</v>
      </c>
      <c r="C591" s="159">
        <v>31</v>
      </c>
      <c r="D591" s="159">
        <v>53</v>
      </c>
      <c r="E591" s="159">
        <v>34</v>
      </c>
      <c r="F591" s="160" t="s">
        <v>32838</v>
      </c>
      <c r="G591" s="132"/>
      <c r="H591" s="162" t="s">
        <v>15196</v>
      </c>
      <c r="I591" s="158" t="s">
        <v>15197</v>
      </c>
      <c r="J591" s="128"/>
      <c r="K591" s="128"/>
      <c r="L591" s="128"/>
      <c r="M591" s="129"/>
      <c r="N591" s="129"/>
      <c r="O591" s="129"/>
    </row>
    <row r="592" spans="1:15" ht="12.5">
      <c r="A592" s="158" t="s">
        <v>15198</v>
      </c>
      <c r="B592" s="159">
        <v>20</v>
      </c>
      <c r="C592" s="159">
        <v>31</v>
      </c>
      <c r="D592" s="159">
        <v>53</v>
      </c>
      <c r="E592" s="159">
        <v>39</v>
      </c>
      <c r="F592" s="160" t="s">
        <v>32838</v>
      </c>
      <c r="G592" s="132"/>
      <c r="H592" s="162" t="s">
        <v>15199</v>
      </c>
      <c r="I592" s="158" t="s">
        <v>15200</v>
      </c>
      <c r="J592" s="128"/>
      <c r="K592" s="128"/>
      <c r="L592" s="128"/>
      <c r="M592" s="129"/>
      <c r="N592" s="129"/>
      <c r="O592" s="129"/>
    </row>
    <row r="593" spans="1:15" ht="12.5">
      <c r="A593" s="158" t="s">
        <v>15201</v>
      </c>
      <c r="B593" s="159">
        <v>20</v>
      </c>
      <c r="C593" s="159">
        <v>31</v>
      </c>
      <c r="D593" s="159">
        <v>53</v>
      </c>
      <c r="E593" s="159">
        <v>40</v>
      </c>
      <c r="F593" s="160" t="s">
        <v>32838</v>
      </c>
      <c r="G593" s="132"/>
      <c r="H593" s="162" t="s">
        <v>15202</v>
      </c>
      <c r="I593" s="158" t="s">
        <v>15203</v>
      </c>
      <c r="J593" s="128"/>
      <c r="K593" s="128"/>
      <c r="L593" s="128"/>
      <c r="M593" s="129"/>
      <c r="N593" s="129"/>
      <c r="O593" s="129"/>
    </row>
    <row r="594" spans="1:15" ht="12.5">
      <c r="A594" s="158" t="s">
        <v>15204</v>
      </c>
      <c r="B594" s="159">
        <v>20</v>
      </c>
      <c r="C594" s="159">
        <v>31</v>
      </c>
      <c r="D594" s="159">
        <v>53</v>
      </c>
      <c r="E594" s="159">
        <v>41</v>
      </c>
      <c r="F594" s="160" t="s">
        <v>32838</v>
      </c>
      <c r="G594" s="132"/>
      <c r="H594" s="162" t="s">
        <v>33000</v>
      </c>
      <c r="I594" s="158" t="s">
        <v>15206</v>
      </c>
      <c r="J594" s="128"/>
      <c r="K594" s="128"/>
      <c r="L594" s="128"/>
      <c r="M594" s="129"/>
      <c r="N594" s="129"/>
      <c r="O594" s="129"/>
    </row>
    <row r="595" spans="1:15" ht="12.5">
      <c r="A595" s="158" t="s">
        <v>15207</v>
      </c>
      <c r="B595" s="159">
        <v>20</v>
      </c>
      <c r="C595" s="159">
        <v>31</v>
      </c>
      <c r="D595" s="159">
        <v>53</v>
      </c>
      <c r="E595" s="159">
        <v>42</v>
      </c>
      <c r="F595" s="160" t="s">
        <v>32838</v>
      </c>
      <c r="G595" s="132"/>
      <c r="H595" s="162" t="s">
        <v>15208</v>
      </c>
      <c r="I595" s="158" t="s">
        <v>15209</v>
      </c>
      <c r="J595" s="128"/>
      <c r="K595" s="128"/>
      <c r="L595" s="128"/>
      <c r="M595" s="129"/>
      <c r="N595" s="129"/>
      <c r="O595" s="129"/>
    </row>
    <row r="596" spans="1:15" ht="12.5">
      <c r="A596" s="158" t="s">
        <v>15210</v>
      </c>
      <c r="B596" s="159">
        <v>20</v>
      </c>
      <c r="C596" s="159">
        <v>31</v>
      </c>
      <c r="D596" s="159">
        <v>53</v>
      </c>
      <c r="E596" s="159">
        <v>43</v>
      </c>
      <c r="F596" s="160" t="s">
        <v>32838</v>
      </c>
      <c r="G596" s="132"/>
      <c r="H596" s="162" t="s">
        <v>15211</v>
      </c>
      <c r="I596" s="158" t="s">
        <v>15212</v>
      </c>
      <c r="J596" s="128"/>
      <c r="K596" s="128"/>
      <c r="L596" s="128"/>
      <c r="M596" s="129"/>
      <c r="N596" s="129"/>
      <c r="O596" s="129"/>
    </row>
    <row r="597" spans="1:15" ht="12.5">
      <c r="A597" s="158" t="s">
        <v>15213</v>
      </c>
      <c r="B597" s="159">
        <v>20</v>
      </c>
      <c r="C597" s="159">
        <v>31</v>
      </c>
      <c r="D597" s="159">
        <v>53</v>
      </c>
      <c r="E597" s="159">
        <v>47</v>
      </c>
      <c r="F597" s="160" t="s">
        <v>33001</v>
      </c>
      <c r="G597" s="162" t="s">
        <v>32995</v>
      </c>
      <c r="H597" s="162" t="s">
        <v>15214</v>
      </c>
      <c r="I597" s="158" t="s">
        <v>15215</v>
      </c>
      <c r="J597" s="128"/>
      <c r="K597" s="128"/>
      <c r="L597" s="128"/>
      <c r="M597" s="129"/>
      <c r="N597" s="129"/>
      <c r="O597" s="129"/>
    </row>
    <row r="598" spans="1:15" ht="12.5">
      <c r="A598" s="158" t="s">
        <v>15216</v>
      </c>
      <c r="B598" s="159">
        <v>20</v>
      </c>
      <c r="C598" s="159">
        <v>31</v>
      </c>
      <c r="D598" s="159">
        <v>53</v>
      </c>
      <c r="E598" s="159">
        <v>50</v>
      </c>
      <c r="F598" s="160" t="s">
        <v>32838</v>
      </c>
      <c r="G598" s="132"/>
      <c r="H598" s="162" t="s">
        <v>15217</v>
      </c>
      <c r="I598" s="158" t="s">
        <v>15218</v>
      </c>
      <c r="J598" s="128"/>
      <c r="K598" s="128"/>
      <c r="L598" s="128"/>
      <c r="M598" s="129"/>
      <c r="N598" s="129"/>
      <c r="O598" s="129"/>
    </row>
    <row r="599" spans="1:15" ht="12.5">
      <c r="A599" s="158" t="s">
        <v>15219</v>
      </c>
      <c r="B599" s="159">
        <v>20</v>
      </c>
      <c r="C599" s="159">
        <v>31</v>
      </c>
      <c r="D599" s="159">
        <v>53</v>
      </c>
      <c r="E599" s="159">
        <v>52</v>
      </c>
      <c r="F599" s="160" t="s">
        <v>33002</v>
      </c>
      <c r="G599" s="162" t="s">
        <v>33003</v>
      </c>
      <c r="H599" s="162" t="s">
        <v>15220</v>
      </c>
      <c r="I599" s="158" t="s">
        <v>15221</v>
      </c>
      <c r="J599" s="128"/>
      <c r="K599" s="128"/>
      <c r="L599" s="128"/>
      <c r="M599" s="129"/>
      <c r="N599" s="129"/>
      <c r="O599" s="129"/>
    </row>
    <row r="600" spans="1:15" ht="12.5">
      <c r="A600" s="158" t="s">
        <v>15222</v>
      </c>
      <c r="B600" s="159">
        <v>20</v>
      </c>
      <c r="C600" s="159">
        <v>31</v>
      </c>
      <c r="D600" s="159">
        <v>53</v>
      </c>
      <c r="E600" s="159">
        <v>54</v>
      </c>
      <c r="F600" s="160" t="s">
        <v>33004</v>
      </c>
      <c r="G600" s="162" t="s">
        <v>32995</v>
      </c>
      <c r="H600" s="162" t="s">
        <v>15223</v>
      </c>
      <c r="I600" s="158" t="s">
        <v>15224</v>
      </c>
      <c r="J600" s="128"/>
      <c r="K600" s="128"/>
      <c r="L600" s="128"/>
      <c r="M600" s="129"/>
      <c r="N600" s="129"/>
      <c r="O600" s="129"/>
    </row>
    <row r="601" spans="1:15" ht="12.5">
      <c r="A601" s="158" t="s">
        <v>15225</v>
      </c>
      <c r="B601" s="159">
        <v>20</v>
      </c>
      <c r="C601" s="159">
        <v>31</v>
      </c>
      <c r="D601" s="159">
        <v>53</v>
      </c>
      <c r="E601" s="159">
        <v>60</v>
      </c>
      <c r="F601" s="160" t="s">
        <v>32838</v>
      </c>
      <c r="G601" s="132"/>
      <c r="H601" s="162" t="s">
        <v>15226</v>
      </c>
      <c r="I601" s="158" t="s">
        <v>15227</v>
      </c>
      <c r="J601" s="128"/>
      <c r="K601" s="128"/>
      <c r="L601" s="128"/>
      <c r="M601" s="129"/>
      <c r="N601" s="129"/>
      <c r="O601" s="129"/>
    </row>
    <row r="602" spans="1:15" ht="12.5">
      <c r="A602" s="158" t="s">
        <v>15228</v>
      </c>
      <c r="B602" s="159">
        <v>20</v>
      </c>
      <c r="C602" s="159">
        <v>31</v>
      </c>
      <c r="D602" s="159">
        <v>53</v>
      </c>
      <c r="E602" s="159">
        <v>61</v>
      </c>
      <c r="F602" s="160" t="s">
        <v>32838</v>
      </c>
      <c r="G602" s="132"/>
      <c r="H602" s="162" t="s">
        <v>15229</v>
      </c>
      <c r="I602" s="158" t="s">
        <v>15230</v>
      </c>
      <c r="J602" s="128"/>
      <c r="K602" s="128"/>
      <c r="L602" s="128"/>
      <c r="M602" s="129"/>
      <c r="N602" s="129"/>
      <c r="O602" s="129"/>
    </row>
    <row r="603" spans="1:15" ht="12.5">
      <c r="A603" s="158" t="s">
        <v>15231</v>
      </c>
      <c r="B603" s="159">
        <v>20</v>
      </c>
      <c r="C603" s="159">
        <v>31</v>
      </c>
      <c r="D603" s="159">
        <v>53</v>
      </c>
      <c r="E603" s="159">
        <v>62</v>
      </c>
      <c r="F603" s="160" t="s">
        <v>32838</v>
      </c>
      <c r="G603" s="132"/>
      <c r="H603" s="162" t="s">
        <v>15232</v>
      </c>
      <c r="I603" s="158" t="s">
        <v>15233</v>
      </c>
      <c r="J603" s="128"/>
      <c r="K603" s="128"/>
      <c r="L603" s="128"/>
      <c r="M603" s="129"/>
      <c r="N603" s="129"/>
      <c r="O603" s="129"/>
    </row>
    <row r="604" spans="1:15" ht="12.5">
      <c r="A604" s="158" t="s">
        <v>15234</v>
      </c>
      <c r="B604" s="159">
        <v>20</v>
      </c>
      <c r="C604" s="159">
        <v>31</v>
      </c>
      <c r="D604" s="159">
        <v>53</v>
      </c>
      <c r="E604" s="159">
        <v>64</v>
      </c>
      <c r="F604" s="160" t="s">
        <v>32838</v>
      </c>
      <c r="G604" s="132"/>
      <c r="H604" s="162" t="s">
        <v>15235</v>
      </c>
      <c r="I604" s="158" t="s">
        <v>15236</v>
      </c>
      <c r="J604" s="128"/>
      <c r="K604" s="128"/>
      <c r="L604" s="128"/>
      <c r="M604" s="129"/>
      <c r="N604" s="129"/>
      <c r="O604" s="129"/>
    </row>
    <row r="605" spans="1:15" ht="12.5">
      <c r="A605" s="158" t="s">
        <v>15237</v>
      </c>
      <c r="B605" s="159">
        <v>20</v>
      </c>
      <c r="C605" s="159">
        <v>31</v>
      </c>
      <c r="D605" s="159">
        <v>53</v>
      </c>
      <c r="E605" s="159">
        <v>65</v>
      </c>
      <c r="F605" s="160" t="s">
        <v>32838</v>
      </c>
      <c r="G605" s="132"/>
      <c r="H605" s="162" t="s">
        <v>15238</v>
      </c>
      <c r="I605" s="158" t="s">
        <v>15239</v>
      </c>
      <c r="J605" s="128"/>
      <c r="K605" s="128"/>
      <c r="L605" s="128"/>
      <c r="M605" s="129"/>
      <c r="N605" s="129"/>
      <c r="O605" s="129"/>
    </row>
    <row r="606" spans="1:15" ht="12.5">
      <c r="A606" s="158" t="s">
        <v>15240</v>
      </c>
      <c r="B606" s="159">
        <v>20</v>
      </c>
      <c r="C606" s="159">
        <v>31</v>
      </c>
      <c r="D606" s="159">
        <v>53</v>
      </c>
      <c r="E606" s="159">
        <v>66</v>
      </c>
      <c r="F606" s="160" t="s">
        <v>32838</v>
      </c>
      <c r="G606" s="132"/>
      <c r="H606" s="162" t="s">
        <v>15241</v>
      </c>
      <c r="I606" s="158" t="s">
        <v>15242</v>
      </c>
      <c r="J606" s="128"/>
      <c r="K606" s="128"/>
      <c r="L606" s="128"/>
      <c r="M606" s="129"/>
      <c r="N606" s="129"/>
      <c r="O606" s="129"/>
    </row>
    <row r="607" spans="1:15" ht="12.5">
      <c r="A607" s="158" t="s">
        <v>15243</v>
      </c>
      <c r="B607" s="159">
        <v>20</v>
      </c>
      <c r="C607" s="159">
        <v>31</v>
      </c>
      <c r="D607" s="159">
        <v>53</v>
      </c>
      <c r="E607" s="159">
        <v>71</v>
      </c>
      <c r="F607" s="160" t="s">
        <v>32838</v>
      </c>
      <c r="G607" s="132"/>
      <c r="H607" s="162" t="s">
        <v>15244</v>
      </c>
      <c r="I607" s="158" t="s">
        <v>15245</v>
      </c>
      <c r="J607" s="128"/>
      <c r="K607" s="128"/>
      <c r="L607" s="128"/>
      <c r="M607" s="129"/>
      <c r="N607" s="129"/>
      <c r="O607" s="129"/>
    </row>
    <row r="608" spans="1:15" ht="12.5">
      <c r="A608" s="158" t="s">
        <v>15246</v>
      </c>
      <c r="B608" s="159">
        <v>20</v>
      </c>
      <c r="C608" s="159">
        <v>31</v>
      </c>
      <c r="D608" s="159">
        <v>53</v>
      </c>
      <c r="E608" s="159">
        <v>76</v>
      </c>
      <c r="F608" s="160" t="s">
        <v>32838</v>
      </c>
      <c r="G608" s="132"/>
      <c r="H608" s="162" t="s">
        <v>15247</v>
      </c>
      <c r="I608" s="158" t="s">
        <v>15248</v>
      </c>
      <c r="J608" s="128"/>
      <c r="K608" s="128"/>
      <c r="L608" s="128"/>
      <c r="M608" s="129"/>
      <c r="N608" s="129"/>
      <c r="O608" s="129"/>
    </row>
    <row r="609" spans="1:15" ht="12.5">
      <c r="A609" s="158" t="s">
        <v>15249</v>
      </c>
      <c r="B609" s="159">
        <v>20</v>
      </c>
      <c r="C609" s="159">
        <v>31</v>
      </c>
      <c r="D609" s="159">
        <v>53</v>
      </c>
      <c r="E609" s="159">
        <v>79</v>
      </c>
      <c r="F609" s="160" t="s">
        <v>32838</v>
      </c>
      <c r="G609" s="132"/>
      <c r="H609" s="162" t="s">
        <v>15250</v>
      </c>
      <c r="I609" s="128"/>
      <c r="J609" s="128"/>
      <c r="K609" s="128"/>
      <c r="L609" s="128"/>
      <c r="M609" s="129"/>
      <c r="N609" s="129"/>
      <c r="O609" s="129"/>
    </row>
    <row r="610" spans="1:15" ht="12.5">
      <c r="A610" s="158" t="s">
        <v>15251</v>
      </c>
      <c r="B610" s="159">
        <v>20</v>
      </c>
      <c r="C610" s="159">
        <v>31</v>
      </c>
      <c r="D610" s="159">
        <v>53</v>
      </c>
      <c r="E610" s="159">
        <v>88</v>
      </c>
      <c r="F610" s="160" t="s">
        <v>33005</v>
      </c>
      <c r="G610" s="162" t="s">
        <v>32995</v>
      </c>
      <c r="H610" s="162" t="s">
        <v>15252</v>
      </c>
      <c r="I610" s="158" t="s">
        <v>15253</v>
      </c>
      <c r="J610" s="128"/>
      <c r="K610" s="128"/>
      <c r="L610" s="128"/>
      <c r="M610" s="129"/>
      <c r="N610" s="129"/>
      <c r="O610" s="129"/>
    </row>
    <row r="611" spans="1:15" ht="12.5">
      <c r="A611" s="158" t="s">
        <v>15254</v>
      </c>
      <c r="B611" s="159">
        <v>20</v>
      </c>
      <c r="C611" s="159">
        <v>31</v>
      </c>
      <c r="D611" s="159">
        <v>53</v>
      </c>
      <c r="E611" s="159">
        <v>90</v>
      </c>
      <c r="F611" s="160" t="s">
        <v>32838</v>
      </c>
      <c r="G611" s="132"/>
      <c r="H611" s="162" t="s">
        <v>15255</v>
      </c>
      <c r="I611" s="158" t="s">
        <v>15256</v>
      </c>
      <c r="J611" s="128"/>
      <c r="K611" s="128"/>
      <c r="L611" s="128"/>
      <c r="M611" s="129"/>
      <c r="N611" s="129"/>
      <c r="O611" s="129"/>
    </row>
    <row r="612" spans="1:15" ht="12.5">
      <c r="A612" s="158" t="s">
        <v>15257</v>
      </c>
      <c r="B612" s="159">
        <v>20</v>
      </c>
      <c r="C612" s="159">
        <v>31</v>
      </c>
      <c r="D612" s="159">
        <v>53</v>
      </c>
      <c r="E612" s="159">
        <v>96</v>
      </c>
      <c r="F612" s="160" t="s">
        <v>32838</v>
      </c>
      <c r="G612" s="132"/>
      <c r="H612" s="162" t="s">
        <v>15258</v>
      </c>
      <c r="I612" s="158" t="s">
        <v>15259</v>
      </c>
      <c r="J612" s="128"/>
      <c r="K612" s="128"/>
      <c r="L612" s="128"/>
      <c r="M612" s="129"/>
      <c r="N612" s="129"/>
      <c r="O612" s="129"/>
    </row>
    <row r="613" spans="1:15" ht="12.5">
      <c r="A613" s="151" t="s">
        <v>15260</v>
      </c>
      <c r="B613" s="152">
        <v>20</v>
      </c>
      <c r="C613" s="152">
        <v>31</v>
      </c>
      <c r="D613" s="152">
        <v>56</v>
      </c>
      <c r="E613" s="153"/>
      <c r="F613" s="154" t="s">
        <v>33006</v>
      </c>
      <c r="G613" s="156" t="s">
        <v>32838</v>
      </c>
      <c r="H613" s="156" t="s">
        <v>15261</v>
      </c>
      <c r="I613" s="157"/>
      <c r="J613" s="157"/>
      <c r="K613" s="128"/>
      <c r="L613" s="128"/>
      <c r="M613" s="129"/>
      <c r="N613" s="129"/>
      <c r="O613" s="129"/>
    </row>
    <row r="614" spans="1:15" ht="12.5">
      <c r="A614" s="158" t="s">
        <v>15262</v>
      </c>
      <c r="B614" s="159">
        <v>20</v>
      </c>
      <c r="C614" s="159">
        <v>31</v>
      </c>
      <c r="D614" s="159">
        <v>56</v>
      </c>
      <c r="E614" s="159">
        <v>11</v>
      </c>
      <c r="F614" s="160" t="s">
        <v>32838</v>
      </c>
      <c r="G614" s="132"/>
      <c r="H614" s="162" t="s">
        <v>15263</v>
      </c>
      <c r="I614" s="128"/>
      <c r="J614" s="128"/>
      <c r="K614" s="128"/>
      <c r="L614" s="128"/>
      <c r="M614" s="129"/>
      <c r="N614" s="129"/>
      <c r="O614" s="129"/>
    </row>
    <row r="615" spans="1:15" ht="12.5">
      <c r="A615" s="158" t="s">
        <v>15264</v>
      </c>
      <c r="B615" s="159">
        <v>20</v>
      </c>
      <c r="C615" s="159">
        <v>31</v>
      </c>
      <c r="D615" s="159">
        <v>56</v>
      </c>
      <c r="E615" s="159">
        <v>13</v>
      </c>
      <c r="F615" s="160" t="s">
        <v>32838</v>
      </c>
      <c r="G615" s="132"/>
      <c r="H615" s="162" t="s">
        <v>15265</v>
      </c>
      <c r="I615" s="128"/>
      <c r="J615" s="128"/>
      <c r="K615" s="128"/>
      <c r="L615" s="128"/>
      <c r="M615" s="129"/>
      <c r="N615" s="129"/>
      <c r="O615" s="129"/>
    </row>
    <row r="616" spans="1:15" ht="12.5">
      <c r="A616" s="158" t="s">
        <v>15266</v>
      </c>
      <c r="B616" s="159">
        <v>20</v>
      </c>
      <c r="C616" s="159">
        <v>31</v>
      </c>
      <c r="D616" s="159">
        <v>56</v>
      </c>
      <c r="E616" s="159">
        <v>16</v>
      </c>
      <c r="F616" s="160" t="s">
        <v>32838</v>
      </c>
      <c r="G616" s="132"/>
      <c r="H616" s="162" t="s">
        <v>15267</v>
      </c>
      <c r="I616" s="128"/>
      <c r="J616" s="128"/>
      <c r="K616" s="128"/>
      <c r="L616" s="128"/>
      <c r="M616" s="129"/>
      <c r="N616" s="129"/>
      <c r="O616" s="129"/>
    </row>
    <row r="617" spans="1:15" ht="12.5">
      <c r="A617" s="158" t="s">
        <v>15268</v>
      </c>
      <c r="B617" s="159">
        <v>20</v>
      </c>
      <c r="C617" s="159">
        <v>31</v>
      </c>
      <c r="D617" s="159">
        <v>56</v>
      </c>
      <c r="E617" s="159">
        <v>21</v>
      </c>
      <c r="F617" s="160" t="s">
        <v>32838</v>
      </c>
      <c r="G617" s="132"/>
      <c r="H617" s="162" t="s">
        <v>15269</v>
      </c>
      <c r="I617" s="128"/>
      <c r="J617" s="128"/>
      <c r="K617" s="128"/>
      <c r="L617" s="128"/>
      <c r="M617" s="129"/>
      <c r="N617" s="129"/>
      <c r="O617" s="129"/>
    </row>
    <row r="618" spans="1:15" ht="12.5">
      <c r="A618" s="158" t="s">
        <v>15270</v>
      </c>
      <c r="B618" s="159">
        <v>20</v>
      </c>
      <c r="C618" s="159">
        <v>31</v>
      </c>
      <c r="D618" s="159">
        <v>56</v>
      </c>
      <c r="E618" s="159">
        <v>46</v>
      </c>
      <c r="F618" s="160" t="s">
        <v>32838</v>
      </c>
      <c r="G618" s="132"/>
      <c r="H618" s="162" t="s">
        <v>15271</v>
      </c>
      <c r="I618" s="128"/>
      <c r="J618" s="128"/>
      <c r="K618" s="128"/>
      <c r="L618" s="128"/>
      <c r="M618" s="129"/>
      <c r="N618" s="129"/>
      <c r="O618" s="129"/>
    </row>
    <row r="619" spans="1:15" ht="12.5">
      <c r="A619" s="158" t="s">
        <v>15272</v>
      </c>
      <c r="B619" s="159">
        <v>20</v>
      </c>
      <c r="C619" s="159">
        <v>31</v>
      </c>
      <c r="D619" s="159">
        <v>56</v>
      </c>
      <c r="E619" s="159">
        <v>50</v>
      </c>
      <c r="F619" s="160" t="s">
        <v>32838</v>
      </c>
      <c r="G619" s="132"/>
      <c r="H619" s="162" t="s">
        <v>15273</v>
      </c>
      <c r="I619" s="128"/>
      <c r="J619" s="128"/>
      <c r="K619" s="128"/>
      <c r="L619" s="128"/>
      <c r="M619" s="129"/>
      <c r="N619" s="129"/>
      <c r="O619" s="129"/>
    </row>
    <row r="620" spans="1:15" ht="12.5">
      <c r="A620" s="158" t="s">
        <v>15274</v>
      </c>
      <c r="B620" s="159">
        <v>20</v>
      </c>
      <c r="C620" s="159">
        <v>31</v>
      </c>
      <c r="D620" s="159">
        <v>56</v>
      </c>
      <c r="E620" s="159">
        <v>77</v>
      </c>
      <c r="F620" s="160" t="s">
        <v>32838</v>
      </c>
      <c r="G620" s="132"/>
      <c r="H620" s="162" t="s">
        <v>15275</v>
      </c>
      <c r="I620" s="128"/>
      <c r="J620" s="128"/>
      <c r="K620" s="128"/>
      <c r="L620" s="128"/>
      <c r="M620" s="129"/>
      <c r="N620" s="129"/>
      <c r="O620" s="129"/>
    </row>
    <row r="621" spans="1:15" ht="12.5">
      <c r="A621" s="158" t="s">
        <v>15276</v>
      </c>
      <c r="B621" s="159">
        <v>20</v>
      </c>
      <c r="C621" s="159">
        <v>31</v>
      </c>
      <c r="D621" s="159">
        <v>56</v>
      </c>
      <c r="E621" s="159">
        <v>91</v>
      </c>
      <c r="F621" s="160" t="s">
        <v>32838</v>
      </c>
      <c r="G621" s="132"/>
      <c r="H621" s="162" t="s">
        <v>15277</v>
      </c>
      <c r="I621" s="128"/>
      <c r="J621" s="128"/>
      <c r="K621" s="128"/>
      <c r="L621" s="128"/>
      <c r="M621" s="129"/>
      <c r="N621" s="129"/>
      <c r="O621" s="129"/>
    </row>
    <row r="622" spans="1:15" ht="12.5">
      <c r="A622" s="151" t="s">
        <v>15278</v>
      </c>
      <c r="B622" s="152">
        <v>20</v>
      </c>
      <c r="C622" s="152">
        <v>31</v>
      </c>
      <c r="D622" s="152">
        <v>86</v>
      </c>
      <c r="E622" s="153"/>
      <c r="F622" s="154" t="s">
        <v>33007</v>
      </c>
      <c r="G622" s="156" t="s">
        <v>32838</v>
      </c>
      <c r="H622" s="156" t="s">
        <v>15279</v>
      </c>
      <c r="I622" s="157"/>
      <c r="J622" s="128"/>
      <c r="K622" s="128"/>
      <c r="L622" s="128"/>
      <c r="M622" s="129"/>
      <c r="N622" s="129"/>
      <c r="O622" s="129"/>
    </row>
    <row r="623" spans="1:15" ht="12.5">
      <c r="A623" s="158" t="s">
        <v>15280</v>
      </c>
      <c r="B623" s="159">
        <v>20</v>
      </c>
      <c r="C623" s="159">
        <v>31</v>
      </c>
      <c r="D623" s="159">
        <v>86</v>
      </c>
      <c r="E623" s="159">
        <v>1</v>
      </c>
      <c r="F623" s="160" t="s">
        <v>32838</v>
      </c>
      <c r="G623" s="132"/>
      <c r="H623" s="162" t="s">
        <v>15281</v>
      </c>
      <c r="I623" s="128"/>
      <c r="J623" s="128"/>
      <c r="K623" s="128"/>
      <c r="L623" s="128"/>
      <c r="M623" s="129"/>
      <c r="N623" s="129"/>
      <c r="O623" s="129"/>
    </row>
    <row r="624" spans="1:15" ht="12.5">
      <c r="A624" s="158" t="s">
        <v>15282</v>
      </c>
      <c r="B624" s="159">
        <v>20</v>
      </c>
      <c r="C624" s="159">
        <v>31</v>
      </c>
      <c r="D624" s="159">
        <v>86</v>
      </c>
      <c r="E624" s="159">
        <v>2</v>
      </c>
      <c r="F624" s="160" t="s">
        <v>32838</v>
      </c>
      <c r="G624" s="132"/>
      <c r="H624" s="162" t="s">
        <v>15283</v>
      </c>
      <c r="I624" s="158" t="s">
        <v>15284</v>
      </c>
      <c r="J624" s="128"/>
      <c r="K624" s="128"/>
      <c r="L624" s="128"/>
      <c r="M624" s="129"/>
      <c r="N624" s="129"/>
      <c r="O624" s="129"/>
    </row>
    <row r="625" spans="1:15" ht="12.5">
      <c r="A625" s="158" t="s">
        <v>15285</v>
      </c>
      <c r="B625" s="159">
        <v>20</v>
      </c>
      <c r="C625" s="159">
        <v>31</v>
      </c>
      <c r="D625" s="159">
        <v>86</v>
      </c>
      <c r="E625" s="159">
        <v>3</v>
      </c>
      <c r="F625" s="160" t="s">
        <v>32838</v>
      </c>
      <c r="G625" s="132"/>
      <c r="H625" s="162" t="s">
        <v>15286</v>
      </c>
      <c r="I625" s="128"/>
      <c r="J625" s="128"/>
      <c r="K625" s="128"/>
      <c r="L625" s="128"/>
      <c r="M625" s="129"/>
      <c r="N625" s="129"/>
      <c r="O625" s="129"/>
    </row>
    <row r="626" spans="1:15" ht="12.5">
      <c r="A626" s="158" t="s">
        <v>15287</v>
      </c>
      <c r="B626" s="159">
        <v>20</v>
      </c>
      <c r="C626" s="159">
        <v>31</v>
      </c>
      <c r="D626" s="159">
        <v>86</v>
      </c>
      <c r="E626" s="159">
        <v>4</v>
      </c>
      <c r="F626" s="160" t="s">
        <v>32838</v>
      </c>
      <c r="G626" s="132"/>
      <c r="H626" s="162" t="s">
        <v>15288</v>
      </c>
      <c r="I626" s="128"/>
      <c r="J626" s="128"/>
      <c r="K626" s="128"/>
      <c r="L626" s="128"/>
      <c r="M626" s="129"/>
      <c r="N626" s="129"/>
      <c r="O626" s="129"/>
    </row>
    <row r="627" spans="1:15" ht="12.5">
      <c r="A627" s="158" t="s">
        <v>15289</v>
      </c>
      <c r="B627" s="159">
        <v>20</v>
      </c>
      <c r="C627" s="159">
        <v>31</v>
      </c>
      <c r="D627" s="159">
        <v>86</v>
      </c>
      <c r="E627" s="159">
        <v>27</v>
      </c>
      <c r="F627" s="160" t="s">
        <v>32838</v>
      </c>
      <c r="G627" s="132"/>
      <c r="H627" s="162" t="s">
        <v>15290</v>
      </c>
      <c r="I627" s="158" t="s">
        <v>15291</v>
      </c>
      <c r="J627" s="128"/>
      <c r="K627" s="128"/>
      <c r="L627" s="128"/>
      <c r="M627" s="129"/>
      <c r="N627" s="129"/>
      <c r="O627" s="129"/>
    </row>
    <row r="628" spans="1:15" ht="12.5">
      <c r="A628" s="158" t="s">
        <v>15292</v>
      </c>
      <c r="B628" s="159">
        <v>20</v>
      </c>
      <c r="C628" s="159">
        <v>31</v>
      </c>
      <c r="D628" s="159">
        <v>86</v>
      </c>
      <c r="E628" s="159">
        <v>28</v>
      </c>
      <c r="F628" s="160" t="s">
        <v>32838</v>
      </c>
      <c r="G628" s="132"/>
      <c r="H628" s="162" t="s">
        <v>15293</v>
      </c>
      <c r="I628" s="128"/>
      <c r="J628" s="128"/>
      <c r="K628" s="128"/>
      <c r="L628" s="128"/>
      <c r="M628" s="129"/>
      <c r="N628" s="129"/>
      <c r="O628" s="129"/>
    </row>
    <row r="629" spans="1:15" ht="12.5">
      <c r="A629" s="158" t="s">
        <v>15294</v>
      </c>
      <c r="B629" s="159">
        <v>20</v>
      </c>
      <c r="C629" s="159">
        <v>31</v>
      </c>
      <c r="D629" s="159">
        <v>86</v>
      </c>
      <c r="E629" s="159">
        <v>46</v>
      </c>
      <c r="F629" s="160" t="s">
        <v>32838</v>
      </c>
      <c r="G629" s="132"/>
      <c r="H629" s="162" t="s">
        <v>15295</v>
      </c>
      <c r="I629" s="128"/>
      <c r="J629" s="128"/>
      <c r="K629" s="128"/>
      <c r="L629" s="128"/>
      <c r="M629" s="129"/>
      <c r="N629" s="129"/>
      <c r="O629" s="129"/>
    </row>
    <row r="630" spans="1:15" ht="12.5">
      <c r="A630" s="158" t="s">
        <v>15296</v>
      </c>
      <c r="B630" s="159">
        <v>20</v>
      </c>
      <c r="C630" s="159">
        <v>31</v>
      </c>
      <c r="D630" s="159">
        <v>86</v>
      </c>
      <c r="E630" s="159">
        <v>48</v>
      </c>
      <c r="F630" s="160" t="s">
        <v>32838</v>
      </c>
      <c r="G630" s="132"/>
      <c r="H630" s="162" t="s">
        <v>15297</v>
      </c>
      <c r="I630" s="128"/>
      <c r="J630" s="128"/>
      <c r="K630" s="128"/>
      <c r="L630" s="128"/>
      <c r="M630" s="129"/>
      <c r="N630" s="129"/>
      <c r="O630" s="129"/>
    </row>
    <row r="631" spans="1:15" ht="12.5">
      <c r="A631" s="158" t="s">
        <v>15298</v>
      </c>
      <c r="B631" s="159">
        <v>20</v>
      </c>
      <c r="C631" s="159">
        <v>31</v>
      </c>
      <c r="D631" s="159">
        <v>86</v>
      </c>
      <c r="E631" s="159">
        <v>51</v>
      </c>
      <c r="F631" s="160" t="s">
        <v>32838</v>
      </c>
      <c r="G631" s="132"/>
      <c r="H631" s="162" t="s">
        <v>15299</v>
      </c>
      <c r="I631" s="128"/>
      <c r="J631" s="128"/>
      <c r="K631" s="128"/>
      <c r="L631" s="128"/>
      <c r="M631" s="129"/>
      <c r="N631" s="129"/>
      <c r="O631" s="129"/>
    </row>
    <row r="632" spans="1:15" ht="12.5">
      <c r="A632" s="158" t="s">
        <v>15300</v>
      </c>
      <c r="B632" s="159">
        <v>20</v>
      </c>
      <c r="C632" s="159">
        <v>31</v>
      </c>
      <c r="D632" s="159">
        <v>86</v>
      </c>
      <c r="E632" s="159">
        <v>58</v>
      </c>
      <c r="F632" s="160" t="s">
        <v>32838</v>
      </c>
      <c r="G632" s="132"/>
      <c r="H632" s="162" t="s">
        <v>15301</v>
      </c>
      <c r="I632" s="158" t="s">
        <v>15302</v>
      </c>
      <c r="J632" s="128"/>
      <c r="K632" s="128"/>
      <c r="L632" s="128"/>
      <c r="M632" s="129"/>
      <c r="N632" s="129"/>
      <c r="O632" s="129"/>
    </row>
    <row r="633" spans="1:15" ht="12.5">
      <c r="A633" s="158" t="s">
        <v>15303</v>
      </c>
      <c r="B633" s="159">
        <v>20</v>
      </c>
      <c r="C633" s="159">
        <v>31</v>
      </c>
      <c r="D633" s="159">
        <v>86</v>
      </c>
      <c r="E633" s="159">
        <v>59</v>
      </c>
      <c r="F633" s="160" t="s">
        <v>32838</v>
      </c>
      <c r="G633" s="132"/>
      <c r="H633" s="162" t="s">
        <v>15304</v>
      </c>
      <c r="I633" s="128"/>
      <c r="J633" s="128"/>
      <c r="K633" s="128"/>
      <c r="L633" s="128"/>
      <c r="M633" s="129"/>
      <c r="N633" s="129"/>
      <c r="O633" s="129"/>
    </row>
    <row r="634" spans="1:15" ht="12.5">
      <c r="A634" s="158" t="s">
        <v>15305</v>
      </c>
      <c r="B634" s="159">
        <v>20</v>
      </c>
      <c r="C634" s="159">
        <v>31</v>
      </c>
      <c r="D634" s="159">
        <v>86</v>
      </c>
      <c r="E634" s="159">
        <v>60</v>
      </c>
      <c r="F634" s="160" t="s">
        <v>32838</v>
      </c>
      <c r="G634" s="132"/>
      <c r="H634" s="162" t="s">
        <v>15306</v>
      </c>
      <c r="I634" s="128"/>
      <c r="J634" s="128"/>
      <c r="K634" s="128"/>
      <c r="L634" s="128"/>
      <c r="M634" s="129"/>
      <c r="N634" s="129"/>
      <c r="O634" s="129"/>
    </row>
    <row r="635" spans="1:15" ht="12.5">
      <c r="A635" s="158" t="s">
        <v>15307</v>
      </c>
      <c r="B635" s="159">
        <v>20</v>
      </c>
      <c r="C635" s="159">
        <v>31</v>
      </c>
      <c r="D635" s="159">
        <v>86</v>
      </c>
      <c r="E635" s="159">
        <v>61</v>
      </c>
      <c r="F635" s="160" t="s">
        <v>32838</v>
      </c>
      <c r="G635" s="132"/>
      <c r="H635" s="162" t="s">
        <v>15308</v>
      </c>
      <c r="I635" s="158" t="s">
        <v>15302</v>
      </c>
      <c r="J635" s="128"/>
      <c r="K635" s="128"/>
      <c r="L635" s="128"/>
      <c r="M635" s="129"/>
      <c r="N635" s="129"/>
      <c r="O635" s="129"/>
    </row>
    <row r="636" spans="1:15" ht="12.5">
      <c r="A636" s="158" t="s">
        <v>15309</v>
      </c>
      <c r="B636" s="159">
        <v>20</v>
      </c>
      <c r="C636" s="159">
        <v>31</v>
      </c>
      <c r="D636" s="159">
        <v>86</v>
      </c>
      <c r="E636" s="159">
        <v>62</v>
      </c>
      <c r="F636" s="160" t="s">
        <v>32838</v>
      </c>
      <c r="G636" s="132"/>
      <c r="H636" s="162" t="s">
        <v>15310</v>
      </c>
      <c r="I636" s="128"/>
      <c r="J636" s="128"/>
      <c r="K636" s="128"/>
      <c r="L636" s="128"/>
      <c r="M636" s="129"/>
      <c r="N636" s="129"/>
      <c r="O636" s="129"/>
    </row>
    <row r="637" spans="1:15" ht="12.5">
      <c r="A637" s="158" t="s">
        <v>15311</v>
      </c>
      <c r="B637" s="159">
        <v>20</v>
      </c>
      <c r="C637" s="159">
        <v>31</v>
      </c>
      <c r="D637" s="159">
        <v>86</v>
      </c>
      <c r="E637" s="159">
        <v>63</v>
      </c>
      <c r="F637" s="160" t="s">
        <v>32838</v>
      </c>
      <c r="G637" s="132"/>
      <c r="H637" s="162" t="s">
        <v>15312</v>
      </c>
      <c r="I637" s="128"/>
      <c r="J637" s="128"/>
      <c r="K637" s="128"/>
      <c r="L637" s="128"/>
      <c r="M637" s="129"/>
      <c r="N637" s="129"/>
      <c r="O637" s="129"/>
    </row>
    <row r="638" spans="1:15" ht="12.5">
      <c r="A638" s="158" t="s">
        <v>15313</v>
      </c>
      <c r="B638" s="159">
        <v>20</v>
      </c>
      <c r="C638" s="159">
        <v>31</v>
      </c>
      <c r="D638" s="159">
        <v>86</v>
      </c>
      <c r="E638" s="159">
        <v>64</v>
      </c>
      <c r="F638" s="160" t="s">
        <v>32838</v>
      </c>
      <c r="G638" s="132"/>
      <c r="H638" s="162" t="s">
        <v>15314</v>
      </c>
      <c r="I638" s="128"/>
      <c r="J638" s="128"/>
      <c r="K638" s="128"/>
      <c r="L638" s="128"/>
      <c r="M638" s="129"/>
      <c r="N638" s="129"/>
      <c r="O638" s="129"/>
    </row>
    <row r="639" spans="1:15" ht="12.5">
      <c r="A639" s="158" t="s">
        <v>15315</v>
      </c>
      <c r="B639" s="159">
        <v>20</v>
      </c>
      <c r="C639" s="159">
        <v>31</v>
      </c>
      <c r="D639" s="159">
        <v>86</v>
      </c>
      <c r="E639" s="159">
        <v>65</v>
      </c>
      <c r="F639" s="160" t="s">
        <v>32838</v>
      </c>
      <c r="G639" s="132"/>
      <c r="H639" s="162" t="s">
        <v>15316</v>
      </c>
      <c r="I639" s="128"/>
      <c r="J639" s="128"/>
      <c r="K639" s="128"/>
      <c r="L639" s="128"/>
      <c r="M639" s="129"/>
      <c r="N639" s="129"/>
      <c r="O639" s="129"/>
    </row>
    <row r="640" spans="1:15" ht="12.5">
      <c r="A640" s="158" t="s">
        <v>15317</v>
      </c>
      <c r="B640" s="159">
        <v>20</v>
      </c>
      <c r="C640" s="159">
        <v>31</v>
      </c>
      <c r="D640" s="159">
        <v>86</v>
      </c>
      <c r="E640" s="159">
        <v>66</v>
      </c>
      <c r="F640" s="160" t="s">
        <v>32838</v>
      </c>
      <c r="G640" s="132"/>
      <c r="H640" s="162" t="s">
        <v>15318</v>
      </c>
      <c r="I640" s="128"/>
      <c r="J640" s="128"/>
      <c r="K640" s="128"/>
      <c r="L640" s="128"/>
      <c r="M640" s="129"/>
      <c r="N640" s="129"/>
      <c r="O640" s="129"/>
    </row>
    <row r="641" spans="1:15" ht="12.5">
      <c r="A641" s="158" t="s">
        <v>15319</v>
      </c>
      <c r="B641" s="159">
        <v>20</v>
      </c>
      <c r="C641" s="159">
        <v>31</v>
      </c>
      <c r="D641" s="159">
        <v>86</v>
      </c>
      <c r="E641" s="159">
        <v>67</v>
      </c>
      <c r="F641" s="160" t="s">
        <v>32838</v>
      </c>
      <c r="G641" s="132"/>
      <c r="H641" s="162" t="s">
        <v>15320</v>
      </c>
      <c r="I641" s="158" t="s">
        <v>15284</v>
      </c>
      <c r="J641" s="128"/>
      <c r="K641" s="128"/>
      <c r="L641" s="128"/>
      <c r="M641" s="129"/>
      <c r="N641" s="129"/>
      <c r="O641" s="129"/>
    </row>
    <row r="642" spans="1:15" ht="12.5">
      <c r="A642" s="158" t="s">
        <v>15321</v>
      </c>
      <c r="B642" s="159">
        <v>20</v>
      </c>
      <c r="C642" s="159">
        <v>31</v>
      </c>
      <c r="D642" s="159">
        <v>86</v>
      </c>
      <c r="E642" s="159">
        <v>68</v>
      </c>
      <c r="F642" s="160" t="s">
        <v>32838</v>
      </c>
      <c r="G642" s="132"/>
      <c r="H642" s="162" t="s">
        <v>15322</v>
      </c>
      <c r="I642" s="128"/>
      <c r="J642" s="128"/>
      <c r="K642" s="128"/>
      <c r="L642" s="128"/>
      <c r="M642" s="129"/>
      <c r="N642" s="129"/>
      <c r="O642" s="129"/>
    </row>
    <row r="643" spans="1:15" ht="12.5">
      <c r="A643" s="158" t="s">
        <v>15323</v>
      </c>
      <c r="B643" s="159">
        <v>20</v>
      </c>
      <c r="C643" s="159">
        <v>31</v>
      </c>
      <c r="D643" s="159">
        <v>86</v>
      </c>
      <c r="E643" s="159">
        <v>77</v>
      </c>
      <c r="F643" s="160" t="s">
        <v>32838</v>
      </c>
      <c r="G643" s="132"/>
      <c r="H643" s="162" t="s">
        <v>15324</v>
      </c>
      <c r="I643" s="128"/>
      <c r="J643" s="128"/>
      <c r="K643" s="128"/>
      <c r="L643" s="128"/>
      <c r="M643" s="129"/>
      <c r="N643" s="129"/>
      <c r="O643" s="129"/>
    </row>
    <row r="644" spans="1:15" ht="12.5">
      <c r="A644" s="158" t="s">
        <v>15325</v>
      </c>
      <c r="B644" s="159">
        <v>20</v>
      </c>
      <c r="C644" s="159">
        <v>31</v>
      </c>
      <c r="D644" s="159">
        <v>86</v>
      </c>
      <c r="E644" s="159">
        <v>88</v>
      </c>
      <c r="F644" s="160" t="s">
        <v>32838</v>
      </c>
      <c r="G644" s="132"/>
      <c r="H644" s="162" t="s">
        <v>15326</v>
      </c>
      <c r="I644" s="128"/>
      <c r="J644" s="128"/>
      <c r="K644" s="128"/>
      <c r="L644" s="128"/>
      <c r="M644" s="129"/>
      <c r="N644" s="129"/>
      <c r="O644" s="129"/>
    </row>
    <row r="645" spans="1:15" ht="12.5">
      <c r="A645" s="158" t="s">
        <v>15327</v>
      </c>
      <c r="B645" s="159">
        <v>20</v>
      </c>
      <c r="C645" s="159">
        <v>31</v>
      </c>
      <c r="D645" s="159">
        <v>86</v>
      </c>
      <c r="E645" s="159">
        <v>92</v>
      </c>
      <c r="F645" s="160" t="s">
        <v>32838</v>
      </c>
      <c r="G645" s="132"/>
      <c r="H645" s="162" t="s">
        <v>15328</v>
      </c>
      <c r="I645" s="128"/>
      <c r="J645" s="128"/>
      <c r="K645" s="128"/>
      <c r="L645" s="128"/>
      <c r="M645" s="129"/>
      <c r="N645" s="129"/>
      <c r="O645" s="129"/>
    </row>
    <row r="646" spans="1:15" ht="12.5">
      <c r="A646" s="158" t="s">
        <v>15329</v>
      </c>
      <c r="B646" s="159">
        <v>20</v>
      </c>
      <c r="C646" s="159">
        <v>31</v>
      </c>
      <c r="D646" s="159">
        <v>86</v>
      </c>
      <c r="E646" s="159">
        <v>93</v>
      </c>
      <c r="F646" s="160" t="s">
        <v>32838</v>
      </c>
      <c r="G646" s="132"/>
      <c r="H646" s="162" t="s">
        <v>15330</v>
      </c>
      <c r="I646" s="128"/>
      <c r="J646" s="128"/>
      <c r="K646" s="128"/>
      <c r="L646" s="128"/>
      <c r="M646" s="129"/>
      <c r="N646" s="129"/>
      <c r="O646" s="129"/>
    </row>
    <row r="647" spans="1:15" ht="12.5">
      <c r="A647" s="158" t="s">
        <v>15331</v>
      </c>
      <c r="B647" s="159">
        <v>20</v>
      </c>
      <c r="C647" s="159">
        <v>31</v>
      </c>
      <c r="D647" s="159">
        <v>86</v>
      </c>
      <c r="E647" s="159">
        <v>94</v>
      </c>
      <c r="F647" s="160" t="s">
        <v>32838</v>
      </c>
      <c r="G647" s="132"/>
      <c r="H647" s="162" t="s">
        <v>15332</v>
      </c>
      <c r="I647" s="158" t="s">
        <v>15302</v>
      </c>
      <c r="J647" s="128"/>
      <c r="K647" s="128"/>
      <c r="L647" s="128"/>
      <c r="M647" s="129"/>
      <c r="N647" s="129"/>
      <c r="O647" s="129"/>
    </row>
    <row r="648" spans="1:15" ht="12.5">
      <c r="A648" s="144" t="s">
        <v>15333</v>
      </c>
      <c r="B648" s="145">
        <v>20</v>
      </c>
      <c r="C648" s="145">
        <v>65</v>
      </c>
      <c r="D648" s="146"/>
      <c r="E648" s="146"/>
      <c r="F648" s="147" t="s">
        <v>33008</v>
      </c>
      <c r="G648" s="184" t="s">
        <v>32838</v>
      </c>
      <c r="H648" s="149" t="s">
        <v>15334</v>
      </c>
      <c r="I648" s="150"/>
      <c r="J648" s="128"/>
      <c r="K648" s="128"/>
      <c r="L648" s="128"/>
      <c r="M648" s="129"/>
      <c r="N648" s="129"/>
      <c r="O648" s="129"/>
    </row>
    <row r="649" spans="1:15" ht="12.5">
      <c r="A649" s="151" t="s">
        <v>15335</v>
      </c>
      <c r="B649" s="152">
        <v>20</v>
      </c>
      <c r="C649" s="152">
        <v>65</v>
      </c>
      <c r="D649" s="152">
        <v>34</v>
      </c>
      <c r="E649" s="153"/>
      <c r="F649" s="154" t="s">
        <v>33009</v>
      </c>
      <c r="G649" s="156" t="s">
        <v>32838</v>
      </c>
      <c r="H649" s="156" t="s">
        <v>15336</v>
      </c>
      <c r="I649" s="157"/>
      <c r="J649" s="128"/>
      <c r="K649" s="128"/>
      <c r="L649" s="128"/>
      <c r="M649" s="129"/>
      <c r="N649" s="129"/>
      <c r="O649" s="129"/>
    </row>
    <row r="650" spans="1:15" ht="12.5">
      <c r="A650" s="158" t="s">
        <v>15337</v>
      </c>
      <c r="B650" s="159">
        <v>20</v>
      </c>
      <c r="C650" s="159">
        <v>65</v>
      </c>
      <c r="D650" s="159">
        <v>34</v>
      </c>
      <c r="E650" s="159">
        <v>34</v>
      </c>
      <c r="F650" s="160" t="s">
        <v>32838</v>
      </c>
      <c r="G650" s="132"/>
      <c r="H650" s="162" t="s">
        <v>15338</v>
      </c>
      <c r="I650" s="158" t="s">
        <v>15339</v>
      </c>
      <c r="J650" s="128"/>
      <c r="K650" s="128"/>
      <c r="L650" s="128"/>
      <c r="M650" s="129"/>
      <c r="N650" s="129"/>
      <c r="O650" s="129"/>
    </row>
    <row r="651" spans="1:15" ht="12.5">
      <c r="A651" s="158" t="s">
        <v>15340</v>
      </c>
      <c r="B651" s="159">
        <v>20</v>
      </c>
      <c r="C651" s="159">
        <v>65</v>
      </c>
      <c r="D651" s="159">
        <v>34</v>
      </c>
      <c r="E651" s="159">
        <v>51</v>
      </c>
      <c r="F651" s="160" t="s">
        <v>32838</v>
      </c>
      <c r="G651" s="132"/>
      <c r="H651" s="162" t="s">
        <v>15341</v>
      </c>
      <c r="I651" s="158" t="s">
        <v>15342</v>
      </c>
      <c r="J651" s="128"/>
      <c r="K651" s="128"/>
      <c r="L651" s="128"/>
      <c r="M651" s="129"/>
      <c r="N651" s="129"/>
      <c r="O651" s="129"/>
    </row>
    <row r="652" spans="1:15" ht="12.5">
      <c r="A652" s="158" t="s">
        <v>15343</v>
      </c>
      <c r="B652" s="159">
        <v>20</v>
      </c>
      <c r="C652" s="159">
        <v>65</v>
      </c>
      <c r="D652" s="159">
        <v>34</v>
      </c>
      <c r="E652" s="159">
        <v>72</v>
      </c>
      <c r="F652" s="160" t="s">
        <v>32838</v>
      </c>
      <c r="G652" s="132"/>
      <c r="H652" s="162" t="s">
        <v>15344</v>
      </c>
      <c r="I652" s="158" t="s">
        <v>15345</v>
      </c>
      <c r="J652" s="128"/>
      <c r="K652" s="128"/>
      <c r="L652" s="128"/>
      <c r="M652" s="129"/>
      <c r="N652" s="129"/>
      <c r="O652" s="129"/>
    </row>
    <row r="653" spans="1:15" ht="12.5">
      <c r="A653" s="151" t="s">
        <v>15350</v>
      </c>
      <c r="B653" s="152">
        <v>20</v>
      </c>
      <c r="C653" s="152">
        <v>65</v>
      </c>
      <c r="D653" s="152">
        <v>60</v>
      </c>
      <c r="E653" s="153"/>
      <c r="F653" s="156" t="s">
        <v>33010</v>
      </c>
      <c r="G653" s="168"/>
      <c r="H653" s="156" t="s">
        <v>15351</v>
      </c>
      <c r="I653" s="157"/>
      <c r="J653" s="128"/>
      <c r="K653" s="128"/>
      <c r="L653" s="128"/>
      <c r="M653" s="129"/>
      <c r="N653" s="129"/>
      <c r="O653" s="129"/>
    </row>
    <row r="654" spans="1:15" ht="12.5">
      <c r="A654" s="158" t="s">
        <v>15352</v>
      </c>
      <c r="B654" s="159">
        <v>20</v>
      </c>
      <c r="C654" s="159">
        <v>65</v>
      </c>
      <c r="D654" s="159">
        <v>60</v>
      </c>
      <c r="E654" s="159">
        <v>15</v>
      </c>
      <c r="F654" s="160" t="s">
        <v>32838</v>
      </c>
      <c r="G654" s="132"/>
      <c r="H654" s="162" t="s">
        <v>15353</v>
      </c>
      <c r="I654" s="158" t="s">
        <v>15354</v>
      </c>
      <c r="J654" s="128"/>
      <c r="K654" s="128"/>
      <c r="L654" s="128"/>
      <c r="M654" s="129"/>
      <c r="N654" s="129"/>
      <c r="O654" s="129"/>
    </row>
    <row r="655" spans="1:15" ht="12.5">
      <c r="A655" s="158" t="s">
        <v>15355</v>
      </c>
      <c r="B655" s="159">
        <v>20</v>
      </c>
      <c r="C655" s="159">
        <v>65</v>
      </c>
      <c r="D655" s="159">
        <v>60</v>
      </c>
      <c r="E655" s="159">
        <v>17</v>
      </c>
      <c r="F655" s="160" t="s">
        <v>32838</v>
      </c>
      <c r="G655" s="132"/>
      <c r="H655" s="162" t="s">
        <v>15356</v>
      </c>
      <c r="I655" s="158" t="s">
        <v>15357</v>
      </c>
      <c r="J655" s="128"/>
      <c r="K655" s="128"/>
      <c r="L655" s="128"/>
      <c r="M655" s="129"/>
      <c r="N655" s="129"/>
      <c r="O655" s="129"/>
    </row>
    <row r="656" spans="1:15" ht="12.5">
      <c r="A656" s="158" t="s">
        <v>15358</v>
      </c>
      <c r="B656" s="159">
        <v>20</v>
      </c>
      <c r="C656" s="159">
        <v>65</v>
      </c>
      <c r="D656" s="159">
        <v>60</v>
      </c>
      <c r="E656" s="159">
        <v>47</v>
      </c>
      <c r="F656" s="160" t="s">
        <v>32838</v>
      </c>
      <c r="G656" s="132"/>
      <c r="H656" s="162" t="s">
        <v>15359</v>
      </c>
      <c r="I656" s="158" t="s">
        <v>15360</v>
      </c>
      <c r="J656" s="128"/>
      <c r="K656" s="128"/>
      <c r="L656" s="128"/>
      <c r="M656" s="129"/>
      <c r="N656" s="129"/>
      <c r="O656" s="129"/>
    </row>
    <row r="657" spans="1:15" ht="12.5">
      <c r="A657" s="158" t="s">
        <v>15361</v>
      </c>
      <c r="B657" s="159">
        <v>20</v>
      </c>
      <c r="C657" s="159">
        <v>65</v>
      </c>
      <c r="D657" s="159">
        <v>60</v>
      </c>
      <c r="E657" s="159">
        <v>48</v>
      </c>
      <c r="F657" s="160" t="s">
        <v>32838</v>
      </c>
      <c r="G657" s="132"/>
      <c r="H657" s="162" t="s">
        <v>15362</v>
      </c>
      <c r="I657" s="158" t="s">
        <v>15363</v>
      </c>
      <c r="J657" s="128"/>
      <c r="K657" s="128"/>
      <c r="L657" s="128"/>
      <c r="M657" s="129"/>
      <c r="N657" s="129"/>
      <c r="O657" s="129"/>
    </row>
    <row r="658" spans="1:15" ht="12.5">
      <c r="A658" s="158" t="s">
        <v>15364</v>
      </c>
      <c r="B658" s="159">
        <v>20</v>
      </c>
      <c r="C658" s="159">
        <v>65</v>
      </c>
      <c r="D658" s="159">
        <v>60</v>
      </c>
      <c r="E658" s="159">
        <v>60</v>
      </c>
      <c r="F658" s="160" t="s">
        <v>32838</v>
      </c>
      <c r="G658" s="132"/>
      <c r="H658" s="162" t="s">
        <v>15365</v>
      </c>
      <c r="I658" s="158" t="s">
        <v>15366</v>
      </c>
      <c r="J658" s="128"/>
      <c r="K658" s="128"/>
      <c r="L658" s="128"/>
      <c r="M658" s="129"/>
      <c r="N658" s="129"/>
      <c r="O658" s="129"/>
    </row>
    <row r="659" spans="1:15" ht="12.5">
      <c r="A659" s="158" t="s">
        <v>15367</v>
      </c>
      <c r="B659" s="159">
        <v>20</v>
      </c>
      <c r="C659" s="159">
        <v>65</v>
      </c>
      <c r="D659" s="159">
        <v>60</v>
      </c>
      <c r="E659" s="159">
        <v>84</v>
      </c>
      <c r="F659" s="160" t="s">
        <v>32838</v>
      </c>
      <c r="G659" s="132"/>
      <c r="H659" s="162" t="s">
        <v>15368</v>
      </c>
      <c r="I659" s="158" t="s">
        <v>15369</v>
      </c>
      <c r="J659" s="128"/>
      <c r="K659" s="128"/>
      <c r="L659" s="128"/>
      <c r="M659" s="129"/>
      <c r="N659" s="129"/>
      <c r="O659" s="129"/>
    </row>
    <row r="660" spans="1:15" ht="12.5">
      <c r="A660" s="158" t="s">
        <v>15370</v>
      </c>
      <c r="B660" s="159">
        <v>20</v>
      </c>
      <c r="C660" s="159">
        <v>65</v>
      </c>
      <c r="D660" s="159">
        <v>60</v>
      </c>
      <c r="E660" s="159">
        <v>88</v>
      </c>
      <c r="F660" s="160" t="s">
        <v>32838</v>
      </c>
      <c r="G660" s="132"/>
      <c r="H660" s="162" t="s">
        <v>15371</v>
      </c>
      <c r="I660" s="158" t="s">
        <v>15372</v>
      </c>
      <c r="J660" s="128"/>
      <c r="K660" s="128"/>
      <c r="L660" s="128"/>
      <c r="M660" s="129"/>
      <c r="N660" s="129"/>
      <c r="O660" s="129"/>
    </row>
    <row r="661" spans="1:15" ht="12.5">
      <c r="A661" s="158" t="s">
        <v>15373</v>
      </c>
      <c r="B661" s="159">
        <v>20</v>
      </c>
      <c r="C661" s="159">
        <v>65</v>
      </c>
      <c r="D661" s="159">
        <v>60</v>
      </c>
      <c r="E661" s="159">
        <v>89</v>
      </c>
      <c r="F661" s="160" t="s">
        <v>32838</v>
      </c>
      <c r="G661" s="132"/>
      <c r="H661" s="162" t="s">
        <v>15374</v>
      </c>
      <c r="I661" s="158" t="s">
        <v>15375</v>
      </c>
      <c r="J661" s="128"/>
      <c r="K661" s="128"/>
      <c r="L661" s="128"/>
      <c r="M661" s="129"/>
      <c r="N661" s="129"/>
      <c r="O661" s="129"/>
    </row>
    <row r="662" spans="1:15" ht="12.5">
      <c r="A662" s="151" t="s">
        <v>15376</v>
      </c>
      <c r="B662" s="152">
        <v>20</v>
      </c>
      <c r="C662" s="152">
        <v>65</v>
      </c>
      <c r="D662" s="152">
        <v>78</v>
      </c>
      <c r="E662" s="153"/>
      <c r="F662" s="154" t="s">
        <v>33011</v>
      </c>
      <c r="G662" s="156" t="s">
        <v>32838</v>
      </c>
      <c r="H662" s="156" t="s">
        <v>15377</v>
      </c>
      <c r="I662" s="157"/>
      <c r="J662" s="128"/>
      <c r="K662" s="128"/>
      <c r="L662" s="128"/>
      <c r="M662" s="129"/>
      <c r="N662" s="129"/>
      <c r="O662" s="129"/>
    </row>
    <row r="663" spans="1:15" ht="12.5">
      <c r="A663" s="158" t="s">
        <v>15378</v>
      </c>
      <c r="B663" s="159">
        <v>20</v>
      </c>
      <c r="C663" s="159">
        <v>65</v>
      </c>
      <c r="D663" s="159">
        <v>78</v>
      </c>
      <c r="E663" s="159">
        <v>15</v>
      </c>
      <c r="F663" s="160" t="s">
        <v>32838</v>
      </c>
      <c r="G663" s="132"/>
      <c r="H663" s="162" t="s">
        <v>15379</v>
      </c>
      <c r="I663" s="158" t="s">
        <v>15380</v>
      </c>
      <c r="J663" s="128"/>
      <c r="K663" s="128"/>
      <c r="L663" s="128"/>
      <c r="M663" s="129"/>
      <c r="N663" s="129"/>
      <c r="O663" s="129"/>
    </row>
    <row r="664" spans="1:15" ht="12.5">
      <c r="A664" s="158" t="s">
        <v>15381</v>
      </c>
      <c r="B664" s="159">
        <v>20</v>
      </c>
      <c r="C664" s="159">
        <v>65</v>
      </c>
      <c r="D664" s="159">
        <v>78</v>
      </c>
      <c r="E664" s="159">
        <v>34</v>
      </c>
      <c r="F664" s="160" t="s">
        <v>32838</v>
      </c>
      <c r="G664" s="132"/>
      <c r="H664" s="162" t="s">
        <v>15382</v>
      </c>
      <c r="I664" s="158" t="s">
        <v>15383</v>
      </c>
      <c r="J664" s="128"/>
      <c r="K664" s="128"/>
      <c r="L664" s="128"/>
      <c r="M664" s="129"/>
      <c r="N664" s="129"/>
      <c r="O664" s="129"/>
    </row>
    <row r="665" spans="1:15" ht="12.5">
      <c r="A665" s="158" t="s">
        <v>15384</v>
      </c>
      <c r="B665" s="159">
        <v>20</v>
      </c>
      <c r="C665" s="159">
        <v>65</v>
      </c>
      <c r="D665" s="159">
        <v>78</v>
      </c>
      <c r="E665" s="159">
        <v>58</v>
      </c>
      <c r="F665" s="160" t="s">
        <v>32838</v>
      </c>
      <c r="G665" s="132"/>
      <c r="H665" s="162" t="s">
        <v>15385</v>
      </c>
      <c r="I665" s="158" t="s">
        <v>15386</v>
      </c>
      <c r="J665" s="128"/>
      <c r="K665" s="128"/>
      <c r="L665" s="128"/>
      <c r="M665" s="129"/>
      <c r="N665" s="129"/>
      <c r="O665" s="129"/>
    </row>
    <row r="666" spans="1:15" ht="12.5">
      <c r="A666" s="158" t="s">
        <v>15387</v>
      </c>
      <c r="B666" s="159">
        <v>20</v>
      </c>
      <c r="C666" s="159">
        <v>65</v>
      </c>
      <c r="D666" s="159">
        <v>78</v>
      </c>
      <c r="E666" s="159">
        <v>77</v>
      </c>
      <c r="F666" s="160" t="s">
        <v>32838</v>
      </c>
      <c r="G666" s="132"/>
      <c r="H666" s="162" t="s">
        <v>15388</v>
      </c>
      <c r="I666" s="158" t="s">
        <v>15389</v>
      </c>
      <c r="J666" s="128"/>
      <c r="K666" s="128"/>
      <c r="L666" s="128"/>
      <c r="M666" s="129"/>
      <c r="N666" s="129"/>
      <c r="O666" s="129"/>
    </row>
    <row r="667" spans="1:15" ht="12.5">
      <c r="A667" s="158" t="s">
        <v>15390</v>
      </c>
      <c r="B667" s="159">
        <v>20</v>
      </c>
      <c r="C667" s="159">
        <v>65</v>
      </c>
      <c r="D667" s="159">
        <v>78</v>
      </c>
      <c r="E667" s="159">
        <v>88</v>
      </c>
      <c r="F667" s="160" t="s">
        <v>32838</v>
      </c>
      <c r="G667" s="132"/>
      <c r="H667" s="162" t="s">
        <v>15391</v>
      </c>
      <c r="I667" s="158" t="s">
        <v>15392</v>
      </c>
      <c r="J667" s="128"/>
      <c r="K667" s="128"/>
      <c r="L667" s="128"/>
      <c r="M667" s="129"/>
      <c r="N667" s="129"/>
      <c r="O667" s="129"/>
    </row>
    <row r="668" spans="1:15" ht="12.5">
      <c r="A668" s="144" t="s">
        <v>15393</v>
      </c>
      <c r="B668" s="145">
        <v>20</v>
      </c>
      <c r="C668" s="145">
        <v>76</v>
      </c>
      <c r="D668" s="146"/>
      <c r="E668" s="146"/>
      <c r="F668" s="147" t="s">
        <v>33012</v>
      </c>
      <c r="G668" s="184" t="s">
        <v>32838</v>
      </c>
      <c r="H668" s="149" t="s">
        <v>15394</v>
      </c>
      <c r="I668" s="150"/>
      <c r="J668" s="128"/>
      <c r="K668" s="128"/>
      <c r="L668" s="128"/>
      <c r="M668" s="129"/>
      <c r="N668" s="129"/>
      <c r="O668" s="129"/>
    </row>
    <row r="669" spans="1:15" ht="12.5">
      <c r="A669" s="151" t="s">
        <v>15395</v>
      </c>
      <c r="B669" s="152">
        <v>20</v>
      </c>
      <c r="C669" s="152">
        <v>76</v>
      </c>
      <c r="D669" s="152">
        <v>6</v>
      </c>
      <c r="E669" s="153"/>
      <c r="F669" s="156" t="s">
        <v>33013</v>
      </c>
      <c r="G669" s="155"/>
      <c r="H669" s="156" t="s">
        <v>15396</v>
      </c>
      <c r="I669" s="157"/>
      <c r="J669" s="128"/>
      <c r="K669" s="128"/>
      <c r="L669" s="128"/>
      <c r="M669" s="129"/>
      <c r="N669" s="129"/>
      <c r="O669" s="129"/>
    </row>
    <row r="670" spans="1:15" ht="12.5">
      <c r="A670" s="158" t="s">
        <v>15397</v>
      </c>
      <c r="B670" s="159">
        <v>20</v>
      </c>
      <c r="C670" s="159">
        <v>76</v>
      </c>
      <c r="D670" s="159">
        <v>6</v>
      </c>
      <c r="E670" s="159">
        <v>3</v>
      </c>
      <c r="F670" s="160" t="s">
        <v>32838</v>
      </c>
      <c r="G670" s="132"/>
      <c r="H670" s="162" t="s">
        <v>15398</v>
      </c>
      <c r="I670" s="128"/>
      <c r="J670" s="128"/>
      <c r="K670" s="128"/>
      <c r="L670" s="128"/>
      <c r="M670" s="129"/>
      <c r="N670" s="129"/>
      <c r="O670" s="129"/>
    </row>
    <row r="671" spans="1:15" ht="12.5">
      <c r="A671" s="158" t="s">
        <v>15399</v>
      </c>
      <c r="B671" s="159">
        <v>20</v>
      </c>
      <c r="C671" s="159">
        <v>76</v>
      </c>
      <c r="D671" s="159">
        <v>6</v>
      </c>
      <c r="E671" s="159">
        <v>11</v>
      </c>
      <c r="F671" s="160" t="s">
        <v>32838</v>
      </c>
      <c r="G671" s="132"/>
      <c r="H671" s="162" t="s">
        <v>15400</v>
      </c>
      <c r="I671" s="128"/>
      <c r="J671" s="128"/>
      <c r="K671" s="128"/>
      <c r="L671" s="128"/>
      <c r="M671" s="129"/>
      <c r="N671" s="129"/>
      <c r="O671" s="129"/>
    </row>
    <row r="672" spans="1:15" ht="12.5">
      <c r="A672" s="158" t="s">
        <v>15401</v>
      </c>
      <c r="B672" s="159">
        <v>20</v>
      </c>
      <c r="C672" s="159">
        <v>76</v>
      </c>
      <c r="D672" s="159">
        <v>6</v>
      </c>
      <c r="E672" s="159">
        <v>12</v>
      </c>
      <c r="F672" s="160" t="s">
        <v>32838</v>
      </c>
      <c r="G672" s="132"/>
      <c r="H672" s="162" t="s">
        <v>15402</v>
      </c>
      <c r="I672" s="128"/>
      <c r="J672" s="128"/>
      <c r="K672" s="128"/>
      <c r="L672" s="128"/>
      <c r="M672" s="129"/>
      <c r="N672" s="129"/>
      <c r="O672" s="129"/>
    </row>
    <row r="673" spans="1:15" ht="12.5">
      <c r="A673" s="158" t="s">
        <v>15403</v>
      </c>
      <c r="B673" s="159">
        <v>20</v>
      </c>
      <c r="C673" s="159">
        <v>76</v>
      </c>
      <c r="D673" s="159">
        <v>6</v>
      </c>
      <c r="E673" s="159">
        <v>16</v>
      </c>
      <c r="F673" s="160" t="s">
        <v>32838</v>
      </c>
      <c r="G673" s="132"/>
      <c r="H673" s="162" t="s">
        <v>15404</v>
      </c>
      <c r="I673" s="128"/>
      <c r="J673" s="128"/>
      <c r="K673" s="128"/>
      <c r="L673" s="128"/>
      <c r="M673" s="129"/>
      <c r="N673" s="129"/>
      <c r="O673" s="129"/>
    </row>
    <row r="674" spans="1:15" ht="12.5">
      <c r="A674" s="158" t="s">
        <v>15405</v>
      </c>
      <c r="B674" s="159">
        <v>20</v>
      </c>
      <c r="C674" s="159">
        <v>76</v>
      </c>
      <c r="D674" s="159">
        <v>6</v>
      </c>
      <c r="E674" s="159">
        <v>36</v>
      </c>
      <c r="F674" s="160" t="s">
        <v>32838</v>
      </c>
      <c r="G674" s="132"/>
      <c r="H674" s="162" t="s">
        <v>15406</v>
      </c>
      <c r="I674" s="128"/>
      <c r="J674" s="128"/>
      <c r="K674" s="128"/>
      <c r="L674" s="128"/>
      <c r="M674" s="129"/>
      <c r="N674" s="129"/>
      <c r="O674" s="129"/>
    </row>
    <row r="675" spans="1:15" ht="12.5">
      <c r="A675" s="158" t="s">
        <v>15407</v>
      </c>
      <c r="B675" s="159">
        <v>20</v>
      </c>
      <c r="C675" s="159">
        <v>76</v>
      </c>
      <c r="D675" s="159">
        <v>6</v>
      </c>
      <c r="E675" s="159">
        <v>63</v>
      </c>
      <c r="F675" s="160" t="s">
        <v>32838</v>
      </c>
      <c r="G675" s="132"/>
      <c r="H675" s="162" t="s">
        <v>15408</v>
      </c>
      <c r="I675" s="128"/>
      <c r="J675" s="128"/>
      <c r="K675" s="128"/>
      <c r="L675" s="128"/>
      <c r="M675" s="129"/>
      <c r="N675" s="129"/>
      <c r="O675" s="129"/>
    </row>
    <row r="676" spans="1:15" ht="12.5">
      <c r="A676" s="158" t="s">
        <v>15409</v>
      </c>
      <c r="B676" s="159">
        <v>20</v>
      </c>
      <c r="C676" s="159">
        <v>76</v>
      </c>
      <c r="D676" s="159">
        <v>6</v>
      </c>
      <c r="E676" s="159">
        <v>80</v>
      </c>
      <c r="F676" s="160" t="s">
        <v>32838</v>
      </c>
      <c r="G676" s="132"/>
      <c r="H676" s="162" t="s">
        <v>15410</v>
      </c>
      <c r="I676" s="128"/>
      <c r="J676" s="128"/>
      <c r="K676" s="128"/>
      <c r="L676" s="128"/>
      <c r="M676" s="129"/>
      <c r="N676" s="129"/>
      <c r="O676" s="129"/>
    </row>
    <row r="677" spans="1:15" ht="12.5">
      <c r="A677" s="158" t="s">
        <v>15411</v>
      </c>
      <c r="B677" s="159">
        <v>20</v>
      </c>
      <c r="C677" s="159">
        <v>76</v>
      </c>
      <c r="D677" s="159">
        <v>6</v>
      </c>
      <c r="E677" s="159">
        <v>83</v>
      </c>
      <c r="F677" s="160" t="s">
        <v>32838</v>
      </c>
      <c r="G677" s="132"/>
      <c r="H677" s="162" t="s">
        <v>15412</v>
      </c>
      <c r="I677" s="128"/>
      <c r="J677" s="128"/>
      <c r="K677" s="128"/>
      <c r="L677" s="128"/>
      <c r="M677" s="129"/>
      <c r="N677" s="129"/>
      <c r="O677" s="129"/>
    </row>
    <row r="678" spans="1:15" ht="12.5">
      <c r="A678" s="158" t="s">
        <v>15413</v>
      </c>
      <c r="B678" s="159">
        <v>20</v>
      </c>
      <c r="C678" s="159">
        <v>76</v>
      </c>
      <c r="D678" s="159">
        <v>6</v>
      </c>
      <c r="E678" s="159">
        <v>86</v>
      </c>
      <c r="F678" s="185" t="s">
        <v>33014</v>
      </c>
      <c r="G678" s="162" t="s">
        <v>33015</v>
      </c>
      <c r="H678" s="162" t="s">
        <v>15414</v>
      </c>
      <c r="I678" s="158" t="s">
        <v>15415</v>
      </c>
      <c r="J678" s="128"/>
      <c r="K678" s="128"/>
      <c r="L678" s="128"/>
      <c r="M678" s="129"/>
      <c r="N678" s="129"/>
      <c r="O678" s="129"/>
    </row>
    <row r="679" spans="1:15" ht="12.5">
      <c r="A679" s="158" t="s">
        <v>15416</v>
      </c>
      <c r="B679" s="159">
        <v>20</v>
      </c>
      <c r="C679" s="159">
        <v>76</v>
      </c>
      <c r="D679" s="159">
        <v>6</v>
      </c>
      <c r="E679" s="159">
        <v>88</v>
      </c>
      <c r="F679" s="160" t="s">
        <v>32838</v>
      </c>
      <c r="G679" s="132"/>
      <c r="H679" s="162" t="s">
        <v>15417</v>
      </c>
      <c r="I679" s="158" t="s">
        <v>15418</v>
      </c>
      <c r="J679" s="128"/>
      <c r="K679" s="128"/>
      <c r="L679" s="128"/>
      <c r="M679" s="129"/>
      <c r="N679" s="129"/>
      <c r="O679" s="129"/>
    </row>
    <row r="680" spans="1:15" ht="12.5">
      <c r="A680" s="151" t="s">
        <v>15419</v>
      </c>
      <c r="B680" s="152">
        <v>20</v>
      </c>
      <c r="C680" s="152">
        <v>76</v>
      </c>
      <c r="D680" s="152">
        <v>8</v>
      </c>
      <c r="E680" s="153"/>
      <c r="F680" s="156" t="s">
        <v>33016</v>
      </c>
      <c r="G680" s="168"/>
      <c r="H680" s="156" t="s">
        <v>15420</v>
      </c>
      <c r="I680" s="157"/>
      <c r="J680" s="128"/>
      <c r="K680" s="128"/>
      <c r="L680" s="128"/>
      <c r="M680" s="129"/>
      <c r="N680" s="129"/>
      <c r="O680" s="129"/>
    </row>
    <row r="681" spans="1:15" ht="12.5">
      <c r="A681" s="158" t="s">
        <v>15421</v>
      </c>
      <c r="B681" s="159">
        <v>20</v>
      </c>
      <c r="C681" s="159">
        <v>76</v>
      </c>
      <c r="D681" s="159">
        <v>8</v>
      </c>
      <c r="E681" s="159">
        <v>2</v>
      </c>
      <c r="F681" s="160" t="s">
        <v>32838</v>
      </c>
      <c r="G681" s="132"/>
      <c r="H681" s="162" t="s">
        <v>15422</v>
      </c>
      <c r="I681" s="158" t="s">
        <v>15423</v>
      </c>
      <c r="J681" s="128"/>
      <c r="K681" s="128"/>
      <c r="L681" s="128"/>
      <c r="M681" s="129"/>
      <c r="N681" s="129"/>
      <c r="O681" s="129"/>
    </row>
    <row r="682" spans="1:15" ht="12.5">
      <c r="A682" s="158" t="s">
        <v>15424</v>
      </c>
      <c r="B682" s="159">
        <v>20</v>
      </c>
      <c r="C682" s="159">
        <v>76</v>
      </c>
      <c r="D682" s="159">
        <v>8</v>
      </c>
      <c r="E682" s="159">
        <v>3</v>
      </c>
      <c r="F682" s="160" t="s">
        <v>32838</v>
      </c>
      <c r="G682" s="132"/>
      <c r="H682" s="162" t="s">
        <v>15425</v>
      </c>
      <c r="I682" s="158" t="s">
        <v>15426</v>
      </c>
      <c r="J682" s="128"/>
      <c r="K682" s="128"/>
      <c r="L682" s="128"/>
      <c r="M682" s="129"/>
      <c r="N682" s="129"/>
      <c r="O682" s="129"/>
    </row>
    <row r="683" spans="1:15" ht="12.5">
      <c r="A683" s="158" t="s">
        <v>15427</v>
      </c>
      <c r="B683" s="159">
        <v>20</v>
      </c>
      <c r="C683" s="159">
        <v>76</v>
      </c>
      <c r="D683" s="159">
        <v>8</v>
      </c>
      <c r="E683" s="159">
        <v>4</v>
      </c>
      <c r="F683" s="160" t="s">
        <v>32838</v>
      </c>
      <c r="G683" s="132"/>
      <c r="H683" s="162" t="s">
        <v>15428</v>
      </c>
      <c r="I683" s="158" t="s">
        <v>15429</v>
      </c>
      <c r="J683" s="128"/>
      <c r="K683" s="128"/>
      <c r="L683" s="128"/>
      <c r="M683" s="129"/>
      <c r="N683" s="129"/>
      <c r="O683" s="129"/>
    </row>
    <row r="684" spans="1:15" ht="12.5">
      <c r="A684" s="158" t="s">
        <v>15430</v>
      </c>
      <c r="B684" s="159">
        <v>20</v>
      </c>
      <c r="C684" s="159">
        <v>76</v>
      </c>
      <c r="D684" s="159">
        <v>8</v>
      </c>
      <c r="E684" s="159">
        <v>10</v>
      </c>
      <c r="F684" s="160" t="s">
        <v>32838</v>
      </c>
      <c r="G684" s="132"/>
      <c r="H684" s="162" t="s">
        <v>15431</v>
      </c>
      <c r="I684" s="158" t="s">
        <v>15432</v>
      </c>
      <c r="J684" s="128"/>
      <c r="K684" s="128"/>
      <c r="L684" s="128"/>
      <c r="M684" s="129"/>
      <c r="N684" s="129"/>
      <c r="O684" s="129"/>
    </row>
    <row r="685" spans="1:15" ht="12.5">
      <c r="A685" s="158" t="s">
        <v>15433</v>
      </c>
      <c r="B685" s="159">
        <v>20</v>
      </c>
      <c r="C685" s="159">
        <v>76</v>
      </c>
      <c r="D685" s="159">
        <v>8</v>
      </c>
      <c r="E685" s="159">
        <v>11</v>
      </c>
      <c r="F685" s="160" t="s">
        <v>32838</v>
      </c>
      <c r="G685" s="132"/>
      <c r="H685" s="162" t="s">
        <v>15434</v>
      </c>
      <c r="I685" s="158" t="s">
        <v>15435</v>
      </c>
      <c r="J685" s="128"/>
      <c r="K685" s="128"/>
      <c r="L685" s="128"/>
      <c r="M685" s="129"/>
      <c r="N685" s="129"/>
      <c r="O685" s="129"/>
    </row>
    <row r="686" spans="1:15" ht="12.5">
      <c r="A686" s="158" t="s">
        <v>15436</v>
      </c>
      <c r="B686" s="159">
        <v>20</v>
      </c>
      <c r="C686" s="159">
        <v>76</v>
      </c>
      <c r="D686" s="159">
        <v>8</v>
      </c>
      <c r="E686" s="159">
        <v>12</v>
      </c>
      <c r="F686" s="160" t="s">
        <v>32838</v>
      </c>
      <c r="G686" s="132"/>
      <c r="H686" s="162" t="s">
        <v>15437</v>
      </c>
      <c r="I686" s="158" t="s">
        <v>15438</v>
      </c>
      <c r="J686" s="128"/>
      <c r="K686" s="128"/>
      <c r="L686" s="128"/>
      <c r="M686" s="129"/>
      <c r="N686" s="129"/>
      <c r="O686" s="129"/>
    </row>
    <row r="687" spans="1:15" ht="12.5">
      <c r="A687" s="158" t="s">
        <v>15439</v>
      </c>
      <c r="B687" s="159">
        <v>20</v>
      </c>
      <c r="C687" s="159">
        <v>76</v>
      </c>
      <c r="D687" s="159">
        <v>8</v>
      </c>
      <c r="E687" s="159">
        <v>13</v>
      </c>
      <c r="F687" s="160" t="s">
        <v>32838</v>
      </c>
      <c r="G687" s="132"/>
      <c r="H687" s="162" t="s">
        <v>15440</v>
      </c>
      <c r="I687" s="158" t="s">
        <v>15441</v>
      </c>
      <c r="J687" s="128"/>
      <c r="K687" s="128"/>
      <c r="L687" s="128"/>
      <c r="M687" s="129"/>
      <c r="N687" s="129"/>
      <c r="O687" s="129"/>
    </row>
    <row r="688" spans="1:15" ht="12.5">
      <c r="A688" s="158" t="s">
        <v>15442</v>
      </c>
      <c r="B688" s="159">
        <v>20</v>
      </c>
      <c r="C688" s="159">
        <v>76</v>
      </c>
      <c r="D688" s="159">
        <v>8</v>
      </c>
      <c r="E688" s="159">
        <v>14</v>
      </c>
      <c r="F688" s="160" t="s">
        <v>32838</v>
      </c>
      <c r="G688" s="132"/>
      <c r="H688" s="162" t="s">
        <v>15443</v>
      </c>
      <c r="I688" s="158" t="s">
        <v>15444</v>
      </c>
      <c r="J688" s="128"/>
      <c r="K688" s="128"/>
      <c r="L688" s="128"/>
      <c r="M688" s="129"/>
      <c r="N688" s="129"/>
      <c r="O688" s="129"/>
    </row>
    <row r="689" spans="1:15" ht="12.5">
      <c r="A689" s="158" t="s">
        <v>15445</v>
      </c>
      <c r="B689" s="159">
        <v>20</v>
      </c>
      <c r="C689" s="159">
        <v>76</v>
      </c>
      <c r="D689" s="159">
        <v>8</v>
      </c>
      <c r="E689" s="159">
        <v>15</v>
      </c>
      <c r="F689" s="160" t="s">
        <v>32838</v>
      </c>
      <c r="G689" s="132"/>
      <c r="H689" s="162" t="s">
        <v>15446</v>
      </c>
      <c r="I689" s="128"/>
      <c r="J689" s="128"/>
      <c r="K689" s="128"/>
      <c r="L689" s="128"/>
      <c r="M689" s="129"/>
      <c r="N689" s="129"/>
      <c r="O689" s="129"/>
    </row>
    <row r="690" spans="1:15" ht="12.5">
      <c r="A690" s="158" t="s">
        <v>15447</v>
      </c>
      <c r="B690" s="159">
        <v>20</v>
      </c>
      <c r="C690" s="159">
        <v>76</v>
      </c>
      <c r="D690" s="159">
        <v>8</v>
      </c>
      <c r="E690" s="159">
        <v>16</v>
      </c>
      <c r="F690" s="160" t="s">
        <v>32838</v>
      </c>
      <c r="G690" s="132"/>
      <c r="H690" s="162" t="s">
        <v>15448</v>
      </c>
      <c r="I690" s="128"/>
      <c r="J690" s="128"/>
      <c r="K690" s="128"/>
      <c r="L690" s="128"/>
      <c r="M690" s="129"/>
      <c r="N690" s="129"/>
      <c r="O690" s="129"/>
    </row>
    <row r="691" spans="1:15" ht="12.5">
      <c r="A691" s="158" t="s">
        <v>15449</v>
      </c>
      <c r="B691" s="159">
        <v>20</v>
      </c>
      <c r="C691" s="159">
        <v>76</v>
      </c>
      <c r="D691" s="159">
        <v>8</v>
      </c>
      <c r="E691" s="159">
        <v>17</v>
      </c>
      <c r="F691" s="160" t="s">
        <v>32838</v>
      </c>
      <c r="G691" s="132"/>
      <c r="H691" s="162" t="s">
        <v>15450</v>
      </c>
      <c r="I691" s="128"/>
      <c r="J691" s="128"/>
      <c r="K691" s="128"/>
      <c r="L691" s="128"/>
      <c r="M691" s="129"/>
      <c r="N691" s="129"/>
      <c r="O691" s="129"/>
    </row>
    <row r="692" spans="1:15" ht="12.5">
      <c r="A692" s="158" t="s">
        <v>15451</v>
      </c>
      <c r="B692" s="159">
        <v>20</v>
      </c>
      <c r="C692" s="159">
        <v>76</v>
      </c>
      <c r="D692" s="159">
        <v>8</v>
      </c>
      <c r="E692" s="159">
        <v>18</v>
      </c>
      <c r="F692" s="160" t="s">
        <v>32838</v>
      </c>
      <c r="G692" s="132"/>
      <c r="H692" s="162" t="s">
        <v>15452</v>
      </c>
      <c r="I692" s="128"/>
      <c r="J692" s="128"/>
      <c r="K692" s="128"/>
      <c r="L692" s="128"/>
      <c r="M692" s="129"/>
      <c r="N692" s="129"/>
      <c r="O692" s="129"/>
    </row>
    <row r="693" spans="1:15" ht="12.5">
      <c r="A693" s="158" t="s">
        <v>15453</v>
      </c>
      <c r="B693" s="159">
        <v>20</v>
      </c>
      <c r="C693" s="159">
        <v>76</v>
      </c>
      <c r="D693" s="159">
        <v>8</v>
      </c>
      <c r="E693" s="159">
        <v>19</v>
      </c>
      <c r="F693" s="160" t="s">
        <v>32838</v>
      </c>
      <c r="G693" s="132"/>
      <c r="H693" s="162" t="s">
        <v>15454</v>
      </c>
      <c r="I693" s="128"/>
      <c r="J693" s="128"/>
      <c r="K693" s="128"/>
      <c r="L693" s="128"/>
      <c r="M693" s="129"/>
      <c r="N693" s="129"/>
      <c r="O693" s="129"/>
    </row>
    <row r="694" spans="1:15" ht="12.5">
      <c r="A694" s="158" t="s">
        <v>33017</v>
      </c>
      <c r="B694" s="159">
        <v>20</v>
      </c>
      <c r="C694" s="159">
        <v>76</v>
      </c>
      <c r="D694" s="159">
        <v>8</v>
      </c>
      <c r="E694" s="159">
        <v>20</v>
      </c>
      <c r="F694" s="160" t="s">
        <v>32838</v>
      </c>
      <c r="G694" s="132"/>
      <c r="H694" s="162" t="s">
        <v>25121</v>
      </c>
      <c r="I694" s="128"/>
      <c r="J694" s="128"/>
      <c r="K694" s="128"/>
      <c r="L694" s="128"/>
      <c r="M694" s="129"/>
      <c r="N694" s="129"/>
      <c r="O694" s="129"/>
    </row>
    <row r="695" spans="1:15" ht="12.5">
      <c r="A695" s="158" t="s">
        <v>15455</v>
      </c>
      <c r="B695" s="159">
        <v>20</v>
      </c>
      <c r="C695" s="159">
        <v>76</v>
      </c>
      <c r="D695" s="159">
        <v>8</v>
      </c>
      <c r="E695" s="159">
        <v>36</v>
      </c>
      <c r="F695" s="160" t="s">
        <v>32838</v>
      </c>
      <c r="G695" s="132"/>
      <c r="H695" s="162" t="s">
        <v>15456</v>
      </c>
      <c r="I695" s="158" t="s">
        <v>15457</v>
      </c>
      <c r="J695" s="128"/>
      <c r="K695" s="128"/>
      <c r="L695" s="128"/>
      <c r="M695" s="129"/>
      <c r="N695" s="129"/>
      <c r="O695" s="129"/>
    </row>
    <row r="696" spans="1:15" ht="12.5">
      <c r="A696" s="158" t="s">
        <v>15458</v>
      </c>
      <c r="B696" s="159">
        <v>20</v>
      </c>
      <c r="C696" s="159">
        <v>76</v>
      </c>
      <c r="D696" s="159">
        <v>8</v>
      </c>
      <c r="E696" s="159">
        <v>51</v>
      </c>
      <c r="F696" s="160" t="s">
        <v>32838</v>
      </c>
      <c r="G696" s="132"/>
      <c r="H696" s="162" t="s">
        <v>15459</v>
      </c>
      <c r="I696" s="128"/>
      <c r="J696" s="128"/>
      <c r="K696" s="128"/>
      <c r="L696" s="128"/>
      <c r="M696" s="129"/>
      <c r="N696" s="129"/>
      <c r="O696" s="129"/>
    </row>
    <row r="697" spans="1:15" ht="12.5">
      <c r="A697" s="158" t="s">
        <v>15460</v>
      </c>
      <c r="B697" s="159">
        <v>20</v>
      </c>
      <c r="C697" s="159">
        <v>76</v>
      </c>
      <c r="D697" s="159">
        <v>8</v>
      </c>
      <c r="E697" s="159">
        <v>52</v>
      </c>
      <c r="F697" s="160" t="s">
        <v>32838</v>
      </c>
      <c r="G697" s="132"/>
      <c r="H697" s="162" t="s">
        <v>15461</v>
      </c>
      <c r="I697" s="128"/>
      <c r="J697" s="128"/>
      <c r="K697" s="128"/>
      <c r="L697" s="128"/>
      <c r="M697" s="129"/>
      <c r="N697" s="129"/>
      <c r="O697" s="129"/>
    </row>
    <row r="698" spans="1:15" ht="12.5">
      <c r="A698" s="158" t="s">
        <v>15462</v>
      </c>
      <c r="B698" s="159">
        <v>20</v>
      </c>
      <c r="C698" s="159">
        <v>76</v>
      </c>
      <c r="D698" s="159">
        <v>8</v>
      </c>
      <c r="E698" s="159">
        <v>53</v>
      </c>
      <c r="F698" s="160" t="s">
        <v>32838</v>
      </c>
      <c r="G698" s="132"/>
      <c r="H698" s="162" t="s">
        <v>15463</v>
      </c>
      <c r="I698" s="128"/>
      <c r="J698" s="128"/>
      <c r="K698" s="128"/>
      <c r="L698" s="128"/>
      <c r="M698" s="129"/>
      <c r="N698" s="129"/>
      <c r="O698" s="129"/>
    </row>
    <row r="699" spans="1:15" ht="12.5">
      <c r="A699" s="158" t="s">
        <v>15464</v>
      </c>
      <c r="B699" s="159">
        <v>20</v>
      </c>
      <c r="C699" s="159">
        <v>76</v>
      </c>
      <c r="D699" s="159">
        <v>8</v>
      </c>
      <c r="E699" s="159">
        <v>60</v>
      </c>
      <c r="F699" s="160" t="s">
        <v>32838</v>
      </c>
      <c r="G699" s="132"/>
      <c r="H699" s="162" t="s">
        <v>15465</v>
      </c>
      <c r="I699" s="128"/>
      <c r="J699" s="128"/>
      <c r="K699" s="128"/>
      <c r="L699" s="128"/>
      <c r="M699" s="129"/>
      <c r="N699" s="129"/>
      <c r="O699" s="129"/>
    </row>
    <row r="700" spans="1:15" ht="12.5">
      <c r="A700" s="158" t="s">
        <v>15466</v>
      </c>
      <c r="B700" s="159">
        <v>20</v>
      </c>
      <c r="C700" s="159">
        <v>76</v>
      </c>
      <c r="D700" s="159">
        <v>8</v>
      </c>
      <c r="E700" s="159">
        <v>62</v>
      </c>
      <c r="F700" s="160" t="s">
        <v>32838</v>
      </c>
      <c r="G700" s="132"/>
      <c r="H700" s="162" t="s">
        <v>15467</v>
      </c>
      <c r="I700" s="158" t="s">
        <v>15468</v>
      </c>
      <c r="J700" s="128"/>
      <c r="K700" s="128"/>
      <c r="L700" s="128"/>
      <c r="M700" s="129"/>
      <c r="N700" s="129"/>
      <c r="O700" s="129"/>
    </row>
    <row r="701" spans="1:15" ht="12.5">
      <c r="A701" s="158" t="s">
        <v>15469</v>
      </c>
      <c r="B701" s="159">
        <v>20</v>
      </c>
      <c r="C701" s="159">
        <v>76</v>
      </c>
      <c r="D701" s="159">
        <v>8</v>
      </c>
      <c r="E701" s="159">
        <v>63</v>
      </c>
      <c r="F701" s="160" t="s">
        <v>32838</v>
      </c>
      <c r="G701" s="132"/>
      <c r="H701" s="162" t="s">
        <v>15470</v>
      </c>
      <c r="I701" s="158" t="s">
        <v>15471</v>
      </c>
      <c r="J701" s="128"/>
      <c r="K701" s="128"/>
      <c r="L701" s="128"/>
      <c r="M701" s="129"/>
      <c r="N701" s="129"/>
      <c r="O701" s="129"/>
    </row>
    <row r="702" spans="1:15" ht="12.5">
      <c r="A702" s="158" t="s">
        <v>15472</v>
      </c>
      <c r="B702" s="159">
        <v>20</v>
      </c>
      <c r="C702" s="159">
        <v>76</v>
      </c>
      <c r="D702" s="159">
        <v>8</v>
      </c>
      <c r="E702" s="159">
        <v>64</v>
      </c>
      <c r="F702" s="160" t="s">
        <v>32838</v>
      </c>
      <c r="G702" s="132"/>
      <c r="H702" s="162" t="s">
        <v>15473</v>
      </c>
      <c r="I702" s="158" t="s">
        <v>15474</v>
      </c>
      <c r="J702" s="128"/>
      <c r="K702" s="128"/>
      <c r="L702" s="128"/>
      <c r="M702" s="129"/>
      <c r="N702" s="129"/>
      <c r="O702" s="129"/>
    </row>
    <row r="703" spans="1:15" ht="12.5">
      <c r="A703" s="158" t="s">
        <v>15475</v>
      </c>
      <c r="B703" s="159">
        <v>20</v>
      </c>
      <c r="C703" s="159">
        <v>76</v>
      </c>
      <c r="D703" s="159">
        <v>8</v>
      </c>
      <c r="E703" s="159">
        <v>65</v>
      </c>
      <c r="F703" s="160" t="s">
        <v>32838</v>
      </c>
      <c r="G703" s="132"/>
      <c r="H703" s="162" t="s">
        <v>15476</v>
      </c>
      <c r="I703" s="158" t="s">
        <v>15477</v>
      </c>
      <c r="J703" s="128"/>
      <c r="K703" s="128"/>
      <c r="L703" s="128"/>
      <c r="M703" s="129"/>
      <c r="N703" s="129"/>
      <c r="O703" s="129"/>
    </row>
    <row r="704" spans="1:15" ht="12.5">
      <c r="A704" s="158" t="s">
        <v>15478</v>
      </c>
      <c r="B704" s="159">
        <v>20</v>
      </c>
      <c r="C704" s="159">
        <v>76</v>
      </c>
      <c r="D704" s="159">
        <v>8</v>
      </c>
      <c r="E704" s="159">
        <v>66</v>
      </c>
      <c r="F704" s="160" t="s">
        <v>32838</v>
      </c>
      <c r="G704" s="132"/>
      <c r="H704" s="162" t="s">
        <v>15479</v>
      </c>
      <c r="I704" s="128"/>
      <c r="J704" s="128"/>
      <c r="K704" s="128"/>
      <c r="L704" s="128"/>
      <c r="M704" s="129"/>
      <c r="N704" s="129"/>
      <c r="O704" s="129"/>
    </row>
    <row r="705" spans="1:15" ht="12.5">
      <c r="A705" s="158" t="s">
        <v>15480</v>
      </c>
      <c r="B705" s="159">
        <v>20</v>
      </c>
      <c r="C705" s="159">
        <v>76</v>
      </c>
      <c r="D705" s="159">
        <v>8</v>
      </c>
      <c r="E705" s="159">
        <v>67</v>
      </c>
      <c r="F705" s="160" t="s">
        <v>32838</v>
      </c>
      <c r="G705" s="132"/>
      <c r="H705" s="162" t="s">
        <v>15481</v>
      </c>
      <c r="I705" s="158" t="s">
        <v>15482</v>
      </c>
      <c r="J705" s="128"/>
      <c r="K705" s="128"/>
      <c r="L705" s="128"/>
      <c r="M705" s="129"/>
      <c r="N705" s="129"/>
      <c r="O705" s="129"/>
    </row>
    <row r="706" spans="1:15" ht="12.5">
      <c r="A706" s="158" t="s">
        <v>15483</v>
      </c>
      <c r="B706" s="159">
        <v>20</v>
      </c>
      <c r="C706" s="159">
        <v>76</v>
      </c>
      <c r="D706" s="159">
        <v>8</v>
      </c>
      <c r="E706" s="159">
        <v>71</v>
      </c>
      <c r="F706" s="160" t="s">
        <v>32838</v>
      </c>
      <c r="G706" s="132"/>
      <c r="H706" s="162" t="s">
        <v>15484</v>
      </c>
      <c r="I706" s="128"/>
      <c r="J706" s="128"/>
      <c r="K706" s="128"/>
      <c r="L706" s="128"/>
      <c r="M706" s="129"/>
      <c r="N706" s="129"/>
      <c r="O706" s="129"/>
    </row>
    <row r="707" spans="1:15" ht="12.5">
      <c r="A707" s="158" t="s">
        <v>15485</v>
      </c>
      <c r="B707" s="159">
        <v>20</v>
      </c>
      <c r="C707" s="159">
        <v>76</v>
      </c>
      <c r="D707" s="159">
        <v>8</v>
      </c>
      <c r="E707" s="159">
        <v>82</v>
      </c>
      <c r="F707" s="160" t="s">
        <v>32838</v>
      </c>
      <c r="G707" s="132"/>
      <c r="H707" s="162" t="s">
        <v>15486</v>
      </c>
      <c r="I707" s="158" t="s">
        <v>15487</v>
      </c>
      <c r="J707" s="128"/>
      <c r="K707" s="128"/>
      <c r="L707" s="128"/>
      <c r="M707" s="129"/>
      <c r="N707" s="129"/>
      <c r="O707" s="129"/>
    </row>
    <row r="708" spans="1:15" ht="12.5">
      <c r="A708" s="158" t="s">
        <v>15488</v>
      </c>
      <c r="B708" s="159">
        <v>20</v>
      </c>
      <c r="C708" s="159">
        <v>76</v>
      </c>
      <c r="D708" s="159">
        <v>8</v>
      </c>
      <c r="E708" s="159">
        <v>83</v>
      </c>
      <c r="F708" s="160" t="s">
        <v>32838</v>
      </c>
      <c r="G708" s="132"/>
      <c r="H708" s="162" t="s">
        <v>15489</v>
      </c>
      <c r="I708" s="158" t="s">
        <v>15490</v>
      </c>
      <c r="J708" s="128"/>
      <c r="K708" s="128"/>
      <c r="L708" s="128"/>
      <c r="M708" s="129"/>
      <c r="N708" s="129"/>
      <c r="O708" s="129"/>
    </row>
    <row r="709" spans="1:15" ht="12.5">
      <c r="A709" s="158" t="s">
        <v>15491</v>
      </c>
      <c r="B709" s="159">
        <v>20</v>
      </c>
      <c r="C709" s="159">
        <v>76</v>
      </c>
      <c r="D709" s="159">
        <v>8</v>
      </c>
      <c r="E709" s="159">
        <v>84</v>
      </c>
      <c r="F709" s="160" t="s">
        <v>32838</v>
      </c>
      <c r="G709" s="132"/>
      <c r="H709" s="162" t="s">
        <v>15492</v>
      </c>
      <c r="I709" s="158" t="s">
        <v>15493</v>
      </c>
      <c r="J709" s="128"/>
      <c r="K709" s="128"/>
      <c r="L709" s="128"/>
      <c r="M709" s="129"/>
      <c r="N709" s="129"/>
      <c r="O709" s="129"/>
    </row>
    <row r="710" spans="1:15" ht="12.5">
      <c r="A710" s="158" t="s">
        <v>15494</v>
      </c>
      <c r="B710" s="159">
        <v>20</v>
      </c>
      <c r="C710" s="159">
        <v>76</v>
      </c>
      <c r="D710" s="159">
        <v>8</v>
      </c>
      <c r="E710" s="159">
        <v>85</v>
      </c>
      <c r="F710" s="160" t="s">
        <v>32838</v>
      </c>
      <c r="G710" s="132"/>
      <c r="H710" s="162" t="s">
        <v>15495</v>
      </c>
      <c r="I710" s="158" t="s">
        <v>15496</v>
      </c>
      <c r="J710" s="128"/>
      <c r="K710" s="128"/>
      <c r="L710" s="128"/>
      <c r="M710" s="129"/>
      <c r="N710" s="129"/>
      <c r="O710" s="129"/>
    </row>
    <row r="711" spans="1:15" ht="12.5">
      <c r="A711" s="158" t="s">
        <v>15497</v>
      </c>
      <c r="B711" s="159">
        <v>20</v>
      </c>
      <c r="C711" s="159">
        <v>76</v>
      </c>
      <c r="D711" s="159">
        <v>8</v>
      </c>
      <c r="E711" s="159">
        <v>86</v>
      </c>
      <c r="F711" s="160" t="s">
        <v>32838</v>
      </c>
      <c r="G711" s="132"/>
      <c r="H711" s="162" t="s">
        <v>15498</v>
      </c>
      <c r="I711" s="128"/>
      <c r="J711" s="128"/>
      <c r="K711" s="128"/>
      <c r="L711" s="128"/>
      <c r="M711" s="129"/>
      <c r="N711" s="129"/>
      <c r="O711" s="129"/>
    </row>
    <row r="712" spans="1:15" ht="12.5">
      <c r="A712" s="158" t="s">
        <v>15499</v>
      </c>
      <c r="B712" s="159">
        <v>20</v>
      </c>
      <c r="C712" s="159">
        <v>76</v>
      </c>
      <c r="D712" s="159">
        <v>8</v>
      </c>
      <c r="E712" s="159">
        <v>88</v>
      </c>
      <c r="F712" s="160" t="s">
        <v>32838</v>
      </c>
      <c r="G712" s="132"/>
      <c r="H712" s="162" t="s">
        <v>15500</v>
      </c>
      <c r="I712" s="128"/>
      <c r="J712" s="128"/>
      <c r="K712" s="128"/>
      <c r="L712" s="128"/>
      <c r="M712" s="129"/>
      <c r="N712" s="129"/>
      <c r="O712" s="129"/>
    </row>
    <row r="713" spans="1:15" ht="12.5">
      <c r="A713" s="151" t="s">
        <v>15501</v>
      </c>
      <c r="B713" s="152">
        <v>20</v>
      </c>
      <c r="C713" s="152">
        <v>76</v>
      </c>
      <c r="D713" s="152">
        <v>51</v>
      </c>
      <c r="E713" s="153"/>
      <c r="F713" s="154" t="s">
        <v>33018</v>
      </c>
      <c r="G713" s="155"/>
      <c r="H713" s="156" t="s">
        <v>15502</v>
      </c>
      <c r="I713" s="157"/>
      <c r="J713" s="128"/>
      <c r="K713" s="128"/>
      <c r="L713" s="128"/>
      <c r="M713" s="129"/>
      <c r="N713" s="129"/>
      <c r="O713" s="129"/>
    </row>
    <row r="714" spans="1:15" ht="12.5">
      <c r="A714" s="158" t="s">
        <v>15503</v>
      </c>
      <c r="B714" s="159">
        <v>20</v>
      </c>
      <c r="C714" s="159">
        <v>76</v>
      </c>
      <c r="D714" s="159">
        <v>51</v>
      </c>
      <c r="E714" s="159">
        <v>1</v>
      </c>
      <c r="F714" s="160" t="s">
        <v>32838</v>
      </c>
      <c r="G714" s="132"/>
      <c r="H714" s="162" t="s">
        <v>15504</v>
      </c>
      <c r="I714" s="158" t="s">
        <v>15505</v>
      </c>
      <c r="J714" s="128"/>
      <c r="K714" s="128"/>
      <c r="L714" s="128"/>
      <c r="M714" s="129"/>
      <c r="N714" s="129"/>
      <c r="O714" s="129"/>
    </row>
    <row r="715" spans="1:15" ht="12.5">
      <c r="A715" s="158" t="s">
        <v>15506</v>
      </c>
      <c r="B715" s="159">
        <v>20</v>
      </c>
      <c r="C715" s="159">
        <v>76</v>
      </c>
      <c r="D715" s="159">
        <v>51</v>
      </c>
      <c r="E715" s="159">
        <v>2</v>
      </c>
      <c r="F715" s="160" t="s">
        <v>32838</v>
      </c>
      <c r="G715" s="132"/>
      <c r="H715" s="162" t="s">
        <v>15507</v>
      </c>
      <c r="I715" s="158" t="s">
        <v>15508</v>
      </c>
      <c r="J715" s="128"/>
      <c r="K715" s="128"/>
      <c r="L715" s="128"/>
      <c r="M715" s="129"/>
      <c r="N715" s="129"/>
      <c r="O715" s="129"/>
    </row>
    <row r="716" spans="1:15" ht="12.5">
      <c r="A716" s="158" t="s">
        <v>15509</v>
      </c>
      <c r="B716" s="159">
        <v>20</v>
      </c>
      <c r="C716" s="159">
        <v>76</v>
      </c>
      <c r="D716" s="159">
        <v>51</v>
      </c>
      <c r="E716" s="159">
        <v>3</v>
      </c>
      <c r="F716" s="160" t="s">
        <v>32838</v>
      </c>
      <c r="G716" s="132"/>
      <c r="H716" s="162" t="s">
        <v>15510</v>
      </c>
      <c r="I716" s="158" t="s">
        <v>15511</v>
      </c>
      <c r="J716" s="128"/>
      <c r="K716" s="128"/>
      <c r="L716" s="128"/>
      <c r="M716" s="129"/>
      <c r="N716" s="129"/>
      <c r="O716" s="129"/>
    </row>
    <row r="717" spans="1:15" ht="12.5">
      <c r="A717" s="158" t="s">
        <v>15512</v>
      </c>
      <c r="B717" s="159">
        <v>20</v>
      </c>
      <c r="C717" s="159">
        <v>76</v>
      </c>
      <c r="D717" s="159">
        <v>51</v>
      </c>
      <c r="E717" s="159">
        <v>4</v>
      </c>
      <c r="F717" s="160" t="s">
        <v>32838</v>
      </c>
      <c r="G717" s="132"/>
      <c r="H717" s="162" t="s">
        <v>15513</v>
      </c>
      <c r="I717" s="158" t="s">
        <v>15514</v>
      </c>
      <c r="J717" s="128"/>
      <c r="K717" s="128"/>
      <c r="L717" s="128"/>
      <c r="M717" s="129"/>
      <c r="N717" s="129"/>
      <c r="O717" s="129"/>
    </row>
    <row r="718" spans="1:15" ht="12.5">
      <c r="A718" s="158" t="s">
        <v>15515</v>
      </c>
      <c r="B718" s="159">
        <v>20</v>
      </c>
      <c r="C718" s="159">
        <v>76</v>
      </c>
      <c r="D718" s="159">
        <v>51</v>
      </c>
      <c r="E718" s="159">
        <v>5</v>
      </c>
      <c r="F718" s="160" t="s">
        <v>32838</v>
      </c>
      <c r="G718" s="132"/>
      <c r="H718" s="162" t="s">
        <v>15516</v>
      </c>
      <c r="I718" s="158" t="s">
        <v>15517</v>
      </c>
      <c r="J718" s="128"/>
      <c r="K718" s="128"/>
      <c r="L718" s="128"/>
      <c r="M718" s="129"/>
      <c r="N718" s="129"/>
      <c r="O718" s="129"/>
    </row>
    <row r="719" spans="1:15" ht="12.5">
      <c r="A719" s="158" t="s">
        <v>15518</v>
      </c>
      <c r="B719" s="159">
        <v>20</v>
      </c>
      <c r="C719" s="159">
        <v>76</v>
      </c>
      <c r="D719" s="159">
        <v>51</v>
      </c>
      <c r="E719" s="159">
        <v>7</v>
      </c>
      <c r="F719" s="160" t="s">
        <v>32838</v>
      </c>
      <c r="G719" s="132"/>
      <c r="H719" s="162" t="s">
        <v>15519</v>
      </c>
      <c r="I719" s="158" t="s">
        <v>15520</v>
      </c>
      <c r="J719" s="128"/>
      <c r="K719" s="128"/>
      <c r="L719" s="128"/>
      <c r="M719" s="129"/>
      <c r="N719" s="129"/>
      <c r="O719" s="129"/>
    </row>
    <row r="720" spans="1:15" ht="12.5">
      <c r="A720" s="158" t="s">
        <v>15521</v>
      </c>
      <c r="B720" s="159">
        <v>20</v>
      </c>
      <c r="C720" s="159">
        <v>76</v>
      </c>
      <c r="D720" s="159">
        <v>51</v>
      </c>
      <c r="E720" s="159">
        <v>8</v>
      </c>
      <c r="F720" s="160" t="s">
        <v>32838</v>
      </c>
      <c r="G720" s="132"/>
      <c r="H720" s="162" t="s">
        <v>15522</v>
      </c>
      <c r="I720" s="128"/>
      <c r="J720" s="128"/>
      <c r="K720" s="128"/>
      <c r="L720" s="128"/>
      <c r="M720" s="129"/>
      <c r="N720" s="129"/>
      <c r="O720" s="129"/>
    </row>
    <row r="721" spans="1:15" ht="12.5">
      <c r="A721" s="158" t="s">
        <v>15523</v>
      </c>
      <c r="B721" s="159">
        <v>20</v>
      </c>
      <c r="C721" s="159">
        <v>76</v>
      </c>
      <c r="D721" s="159">
        <v>51</v>
      </c>
      <c r="E721" s="159">
        <v>9</v>
      </c>
      <c r="F721" s="160" t="s">
        <v>32838</v>
      </c>
      <c r="G721" s="132"/>
      <c r="H721" s="162" t="s">
        <v>15524</v>
      </c>
      <c r="I721" s="128"/>
      <c r="J721" s="128"/>
      <c r="K721" s="128"/>
      <c r="L721" s="128"/>
      <c r="M721" s="129"/>
      <c r="N721" s="129"/>
      <c r="O721" s="129"/>
    </row>
    <row r="722" spans="1:15" ht="12.5">
      <c r="A722" s="158" t="s">
        <v>15525</v>
      </c>
      <c r="B722" s="159">
        <v>20</v>
      </c>
      <c r="C722" s="159">
        <v>76</v>
      </c>
      <c r="D722" s="159">
        <v>51</v>
      </c>
      <c r="E722" s="159">
        <v>10</v>
      </c>
      <c r="F722" s="160" t="s">
        <v>32838</v>
      </c>
      <c r="G722" s="132"/>
      <c r="H722" s="162" t="s">
        <v>15526</v>
      </c>
      <c r="I722" s="128"/>
      <c r="J722" s="128"/>
      <c r="K722" s="128"/>
      <c r="L722" s="128"/>
      <c r="M722" s="129"/>
      <c r="N722" s="129"/>
      <c r="O722" s="129"/>
    </row>
    <row r="723" spans="1:15" ht="12.5">
      <c r="A723" s="158" t="s">
        <v>15527</v>
      </c>
      <c r="B723" s="159">
        <v>20</v>
      </c>
      <c r="C723" s="159">
        <v>76</v>
      </c>
      <c r="D723" s="159">
        <v>51</v>
      </c>
      <c r="E723" s="159">
        <v>11</v>
      </c>
      <c r="F723" s="160" t="s">
        <v>33019</v>
      </c>
      <c r="G723" s="162" t="s">
        <v>32910</v>
      </c>
      <c r="H723" s="162" t="s">
        <v>15528</v>
      </c>
      <c r="I723" s="158" t="s">
        <v>15529</v>
      </c>
      <c r="J723" s="128"/>
      <c r="K723" s="128"/>
      <c r="L723" s="128"/>
      <c r="M723" s="129"/>
      <c r="N723" s="129"/>
      <c r="O723" s="129"/>
    </row>
    <row r="724" spans="1:15" ht="12.5">
      <c r="A724" s="158" t="s">
        <v>15530</v>
      </c>
      <c r="B724" s="159">
        <v>20</v>
      </c>
      <c r="C724" s="159">
        <v>76</v>
      </c>
      <c r="D724" s="159">
        <v>51</v>
      </c>
      <c r="E724" s="159">
        <v>12</v>
      </c>
      <c r="F724" s="160" t="s">
        <v>33020</v>
      </c>
      <c r="G724" s="162" t="s">
        <v>32910</v>
      </c>
      <c r="H724" s="162" t="s">
        <v>15531</v>
      </c>
      <c r="I724" s="158" t="s">
        <v>15532</v>
      </c>
      <c r="J724" s="128"/>
      <c r="K724" s="128"/>
      <c r="L724" s="128"/>
      <c r="M724" s="129"/>
      <c r="N724" s="129"/>
      <c r="O724" s="129"/>
    </row>
    <row r="725" spans="1:15" ht="12.5">
      <c r="A725" s="158" t="s">
        <v>15533</v>
      </c>
      <c r="B725" s="159">
        <v>20</v>
      </c>
      <c r="C725" s="159">
        <v>76</v>
      </c>
      <c r="D725" s="159">
        <v>51</v>
      </c>
      <c r="E725" s="159">
        <v>13</v>
      </c>
      <c r="F725" s="160" t="s">
        <v>32838</v>
      </c>
      <c r="G725" s="132"/>
      <c r="H725" s="162" t="s">
        <v>15534</v>
      </c>
      <c r="I725" s="128"/>
      <c r="J725" s="128"/>
      <c r="K725" s="128"/>
      <c r="L725" s="128"/>
      <c r="M725" s="129"/>
      <c r="N725" s="129"/>
      <c r="O725" s="129"/>
    </row>
    <row r="726" spans="1:15" ht="12.5">
      <c r="A726" s="158" t="s">
        <v>15535</v>
      </c>
      <c r="B726" s="159">
        <v>20</v>
      </c>
      <c r="C726" s="159">
        <v>76</v>
      </c>
      <c r="D726" s="159">
        <v>51</v>
      </c>
      <c r="E726" s="159">
        <v>14</v>
      </c>
      <c r="F726" s="160" t="s">
        <v>33021</v>
      </c>
      <c r="G726" s="162" t="s">
        <v>33022</v>
      </c>
      <c r="H726" s="162" t="s">
        <v>15536</v>
      </c>
      <c r="I726" s="158" t="s">
        <v>15537</v>
      </c>
      <c r="J726" s="128"/>
      <c r="K726" s="128"/>
      <c r="L726" s="128"/>
      <c r="M726" s="129"/>
      <c r="N726" s="129"/>
      <c r="O726" s="129"/>
    </row>
    <row r="727" spans="1:15" ht="12.5">
      <c r="A727" s="158" t="s">
        <v>15538</v>
      </c>
      <c r="B727" s="159">
        <v>20</v>
      </c>
      <c r="C727" s="159">
        <v>76</v>
      </c>
      <c r="D727" s="159">
        <v>51</v>
      </c>
      <c r="E727" s="159">
        <v>15</v>
      </c>
      <c r="F727" s="160" t="s">
        <v>32838</v>
      </c>
      <c r="G727" s="132"/>
      <c r="H727" s="162" t="s">
        <v>15539</v>
      </c>
      <c r="I727" s="158" t="s">
        <v>15540</v>
      </c>
      <c r="J727" s="128"/>
      <c r="K727" s="128"/>
      <c r="L727" s="128"/>
      <c r="M727" s="129"/>
      <c r="N727" s="129"/>
      <c r="O727" s="129"/>
    </row>
    <row r="728" spans="1:15" ht="12.5">
      <c r="A728" s="158" t="s">
        <v>15541</v>
      </c>
      <c r="B728" s="159">
        <v>20</v>
      </c>
      <c r="C728" s="159">
        <v>76</v>
      </c>
      <c r="D728" s="159">
        <v>51</v>
      </c>
      <c r="E728" s="159">
        <v>17</v>
      </c>
      <c r="F728" s="160" t="s">
        <v>32838</v>
      </c>
      <c r="G728" s="132"/>
      <c r="H728" s="162" t="s">
        <v>15542</v>
      </c>
      <c r="I728" s="158" t="s">
        <v>15543</v>
      </c>
      <c r="J728" s="128"/>
      <c r="K728" s="128"/>
      <c r="L728" s="128"/>
      <c r="M728" s="129"/>
      <c r="N728" s="129"/>
      <c r="O728" s="129"/>
    </row>
    <row r="729" spans="1:15" ht="12.5">
      <c r="A729" s="158" t="s">
        <v>15544</v>
      </c>
      <c r="B729" s="159">
        <v>20</v>
      </c>
      <c r="C729" s="159">
        <v>76</v>
      </c>
      <c r="D729" s="159">
        <v>51</v>
      </c>
      <c r="E729" s="159">
        <v>18</v>
      </c>
      <c r="F729" s="160" t="s">
        <v>32838</v>
      </c>
      <c r="G729" s="132"/>
      <c r="H729" s="162" t="s">
        <v>15545</v>
      </c>
      <c r="I729" s="158" t="s">
        <v>15546</v>
      </c>
      <c r="J729" s="128"/>
      <c r="K729" s="128"/>
      <c r="L729" s="128"/>
      <c r="M729" s="129"/>
      <c r="N729" s="129"/>
      <c r="O729" s="129"/>
    </row>
    <row r="730" spans="1:15" ht="12.5">
      <c r="A730" s="158" t="s">
        <v>15547</v>
      </c>
      <c r="B730" s="159">
        <v>20</v>
      </c>
      <c r="C730" s="159">
        <v>76</v>
      </c>
      <c r="D730" s="159">
        <v>51</v>
      </c>
      <c r="E730" s="159">
        <v>19</v>
      </c>
      <c r="F730" s="160" t="s">
        <v>32838</v>
      </c>
      <c r="G730" s="132"/>
      <c r="H730" s="162" t="s">
        <v>15548</v>
      </c>
      <c r="I730" s="128"/>
      <c r="J730" s="128"/>
      <c r="K730" s="128"/>
      <c r="L730" s="128"/>
      <c r="M730" s="129"/>
      <c r="N730" s="129"/>
      <c r="O730" s="129"/>
    </row>
    <row r="731" spans="1:15" ht="12.5">
      <c r="A731" s="158" t="s">
        <v>15549</v>
      </c>
      <c r="B731" s="159">
        <v>20</v>
      </c>
      <c r="C731" s="159">
        <v>76</v>
      </c>
      <c r="D731" s="159">
        <v>51</v>
      </c>
      <c r="E731" s="159">
        <v>20</v>
      </c>
      <c r="F731" s="160" t="s">
        <v>32838</v>
      </c>
      <c r="G731" s="132"/>
      <c r="H731" s="162" t="s">
        <v>15550</v>
      </c>
      <c r="I731" s="158" t="s">
        <v>15551</v>
      </c>
      <c r="J731" s="128"/>
      <c r="K731" s="128"/>
      <c r="L731" s="128"/>
      <c r="M731" s="129"/>
      <c r="N731" s="129"/>
      <c r="O731" s="129"/>
    </row>
    <row r="732" spans="1:15" ht="12.5">
      <c r="A732" s="158" t="s">
        <v>15552</v>
      </c>
      <c r="B732" s="159">
        <v>20</v>
      </c>
      <c r="C732" s="159">
        <v>76</v>
      </c>
      <c r="D732" s="159">
        <v>51</v>
      </c>
      <c r="E732" s="159">
        <v>21</v>
      </c>
      <c r="F732" s="160" t="s">
        <v>32838</v>
      </c>
      <c r="G732" s="132"/>
      <c r="H732" s="162" t="s">
        <v>15553</v>
      </c>
      <c r="I732" s="158" t="s">
        <v>15554</v>
      </c>
      <c r="J732" s="128"/>
      <c r="K732" s="128"/>
      <c r="L732" s="128"/>
      <c r="M732" s="129"/>
      <c r="N732" s="129"/>
      <c r="O732" s="129"/>
    </row>
    <row r="733" spans="1:15" ht="12.5">
      <c r="A733" s="158" t="s">
        <v>15555</v>
      </c>
      <c r="B733" s="159">
        <v>20</v>
      </c>
      <c r="C733" s="159">
        <v>76</v>
      </c>
      <c r="D733" s="159">
        <v>51</v>
      </c>
      <c r="E733" s="159">
        <v>22</v>
      </c>
      <c r="F733" s="160" t="s">
        <v>32838</v>
      </c>
      <c r="G733" s="132"/>
      <c r="H733" s="162" t="s">
        <v>15556</v>
      </c>
      <c r="I733" s="128"/>
      <c r="J733" s="128"/>
      <c r="K733" s="128"/>
      <c r="L733" s="128"/>
      <c r="M733" s="129"/>
      <c r="N733" s="129"/>
      <c r="O733" s="129"/>
    </row>
    <row r="734" spans="1:15" ht="12.5">
      <c r="A734" s="158" t="s">
        <v>15557</v>
      </c>
      <c r="B734" s="159">
        <v>20</v>
      </c>
      <c r="C734" s="159">
        <v>76</v>
      </c>
      <c r="D734" s="159">
        <v>51</v>
      </c>
      <c r="E734" s="159">
        <v>23</v>
      </c>
      <c r="F734" s="160" t="s">
        <v>32838</v>
      </c>
      <c r="G734" s="132"/>
      <c r="H734" s="162" t="s">
        <v>15558</v>
      </c>
      <c r="I734" s="158" t="s">
        <v>15559</v>
      </c>
      <c r="J734" s="128"/>
      <c r="K734" s="128"/>
      <c r="L734" s="128"/>
      <c r="M734" s="129"/>
      <c r="N734" s="129"/>
      <c r="O734" s="129"/>
    </row>
    <row r="735" spans="1:15" ht="12.5">
      <c r="A735" s="158" t="s">
        <v>15560</v>
      </c>
      <c r="B735" s="159">
        <v>20</v>
      </c>
      <c r="C735" s="159">
        <v>76</v>
      </c>
      <c r="D735" s="159">
        <v>51</v>
      </c>
      <c r="E735" s="159">
        <v>25</v>
      </c>
      <c r="F735" s="160" t="s">
        <v>32838</v>
      </c>
      <c r="G735" s="132"/>
      <c r="H735" s="162" t="s">
        <v>15561</v>
      </c>
      <c r="I735" s="158" t="s">
        <v>15562</v>
      </c>
      <c r="J735" s="128"/>
      <c r="K735" s="128"/>
      <c r="L735" s="128"/>
      <c r="M735" s="129"/>
      <c r="N735" s="129"/>
      <c r="O735" s="129"/>
    </row>
    <row r="736" spans="1:15" ht="12.5">
      <c r="A736" s="158" t="s">
        <v>15563</v>
      </c>
      <c r="B736" s="159">
        <v>20</v>
      </c>
      <c r="C736" s="159">
        <v>76</v>
      </c>
      <c r="D736" s="159">
        <v>51</v>
      </c>
      <c r="E736" s="159">
        <v>51</v>
      </c>
      <c r="F736" s="160" t="s">
        <v>32838</v>
      </c>
      <c r="G736" s="132"/>
      <c r="H736" s="162" t="s">
        <v>15564</v>
      </c>
      <c r="I736" s="158" t="s">
        <v>15565</v>
      </c>
      <c r="J736" s="128"/>
      <c r="K736" s="128"/>
      <c r="L736" s="128"/>
      <c r="M736" s="129"/>
      <c r="N736" s="129"/>
      <c r="O736" s="129"/>
    </row>
    <row r="737" spans="1:15" ht="12.5">
      <c r="A737" s="158" t="s">
        <v>15566</v>
      </c>
      <c r="B737" s="159">
        <v>20</v>
      </c>
      <c r="C737" s="159">
        <v>76</v>
      </c>
      <c r="D737" s="159">
        <v>51</v>
      </c>
      <c r="E737" s="159">
        <v>73</v>
      </c>
      <c r="F737" s="160" t="s">
        <v>33023</v>
      </c>
      <c r="G737" s="162" t="s">
        <v>33024</v>
      </c>
      <c r="H737" s="162" t="s">
        <v>33025</v>
      </c>
      <c r="I737" s="158" t="s">
        <v>15568</v>
      </c>
      <c r="J737" s="128"/>
      <c r="K737" s="128"/>
      <c r="L737" s="128"/>
      <c r="M737" s="129"/>
      <c r="N737" s="129"/>
      <c r="O737" s="129"/>
    </row>
    <row r="738" spans="1:15" ht="12.5">
      <c r="A738" s="158" t="s">
        <v>15569</v>
      </c>
      <c r="B738" s="159">
        <v>20</v>
      </c>
      <c r="C738" s="159">
        <v>76</v>
      </c>
      <c r="D738" s="159">
        <v>51</v>
      </c>
      <c r="E738" s="159">
        <v>77</v>
      </c>
      <c r="F738" s="160" t="s">
        <v>32838</v>
      </c>
      <c r="G738" s="132"/>
      <c r="H738" s="162" t="s">
        <v>15570</v>
      </c>
      <c r="I738" s="158" t="s">
        <v>15571</v>
      </c>
      <c r="J738" s="128"/>
      <c r="K738" s="128"/>
      <c r="L738" s="128"/>
      <c r="M738" s="129"/>
      <c r="N738" s="129"/>
      <c r="O738" s="129"/>
    </row>
    <row r="739" spans="1:15" ht="12.5">
      <c r="A739" s="158" t="s">
        <v>15572</v>
      </c>
      <c r="B739" s="159">
        <v>20</v>
      </c>
      <c r="C739" s="159">
        <v>76</v>
      </c>
      <c r="D739" s="159">
        <v>51</v>
      </c>
      <c r="E739" s="159">
        <v>81</v>
      </c>
      <c r="F739" s="160" t="s">
        <v>33026</v>
      </c>
      <c r="G739" s="162" t="s">
        <v>32874</v>
      </c>
      <c r="H739" s="162" t="s">
        <v>15573</v>
      </c>
      <c r="I739" s="158" t="s">
        <v>15574</v>
      </c>
      <c r="J739" s="128"/>
      <c r="K739" s="128"/>
      <c r="L739" s="128"/>
      <c r="M739" s="129"/>
      <c r="N739" s="129"/>
      <c r="O739" s="129"/>
    </row>
    <row r="740" spans="1:15" ht="12.5">
      <c r="A740" s="158" t="s">
        <v>15575</v>
      </c>
      <c r="B740" s="159">
        <v>20</v>
      </c>
      <c r="C740" s="159">
        <v>76</v>
      </c>
      <c r="D740" s="159">
        <v>51</v>
      </c>
      <c r="E740" s="159">
        <v>82</v>
      </c>
      <c r="F740" s="160" t="s">
        <v>32838</v>
      </c>
      <c r="G740" s="132"/>
      <c r="H740" s="162" t="s">
        <v>15576</v>
      </c>
      <c r="I740" s="158" t="s">
        <v>15577</v>
      </c>
      <c r="J740" s="128"/>
      <c r="K740" s="128"/>
      <c r="L740" s="128"/>
      <c r="M740" s="129"/>
      <c r="N740" s="129"/>
      <c r="O740" s="129"/>
    </row>
    <row r="741" spans="1:15" ht="12.5">
      <c r="A741" s="158" t="s">
        <v>15578</v>
      </c>
      <c r="B741" s="159">
        <v>20</v>
      </c>
      <c r="C741" s="159">
        <v>76</v>
      </c>
      <c r="D741" s="159">
        <v>51</v>
      </c>
      <c r="E741" s="159">
        <v>83</v>
      </c>
      <c r="F741" s="160" t="s">
        <v>33027</v>
      </c>
      <c r="G741" s="162" t="s">
        <v>33028</v>
      </c>
      <c r="H741" s="162" t="s">
        <v>15579</v>
      </c>
      <c r="I741" s="158" t="s">
        <v>15580</v>
      </c>
      <c r="J741" s="128"/>
      <c r="K741" s="128"/>
      <c r="L741" s="128"/>
      <c r="M741" s="129"/>
      <c r="N741" s="129"/>
      <c r="O741" s="129"/>
    </row>
    <row r="742" spans="1:15" ht="12.5">
      <c r="A742" s="158" t="s">
        <v>15581</v>
      </c>
      <c r="B742" s="159">
        <v>20</v>
      </c>
      <c r="C742" s="159">
        <v>76</v>
      </c>
      <c r="D742" s="159">
        <v>51</v>
      </c>
      <c r="E742" s="159">
        <v>84</v>
      </c>
      <c r="F742" s="160" t="s">
        <v>32838</v>
      </c>
      <c r="G742" s="132"/>
      <c r="H742" s="162" t="s">
        <v>15582</v>
      </c>
      <c r="I742" s="158" t="s">
        <v>15583</v>
      </c>
      <c r="J742" s="128"/>
      <c r="K742" s="128"/>
      <c r="L742" s="128"/>
      <c r="M742" s="129"/>
      <c r="N742" s="129"/>
      <c r="O742" s="129"/>
    </row>
    <row r="743" spans="1:15" ht="12.5">
      <c r="A743" s="158" t="s">
        <v>15584</v>
      </c>
      <c r="B743" s="159">
        <v>20</v>
      </c>
      <c r="C743" s="159">
        <v>76</v>
      </c>
      <c r="D743" s="159">
        <v>51</v>
      </c>
      <c r="E743" s="159">
        <v>85</v>
      </c>
      <c r="F743" s="160" t="s">
        <v>32838</v>
      </c>
      <c r="G743" s="132"/>
      <c r="H743" s="162" t="s">
        <v>15585</v>
      </c>
      <c r="I743" s="158" t="s">
        <v>15543</v>
      </c>
      <c r="J743" s="128"/>
      <c r="K743" s="128"/>
      <c r="L743" s="128"/>
      <c r="M743" s="129"/>
      <c r="N743" s="129"/>
      <c r="O743" s="129"/>
    </row>
    <row r="744" spans="1:15" ht="12.5">
      <c r="A744" s="158" t="s">
        <v>15590</v>
      </c>
      <c r="B744" s="159">
        <v>20</v>
      </c>
      <c r="C744" s="159">
        <v>76</v>
      </c>
      <c r="D744" s="159">
        <v>51</v>
      </c>
      <c r="E744" s="159">
        <v>98</v>
      </c>
      <c r="F744" s="160" t="s">
        <v>32838</v>
      </c>
      <c r="G744" s="132"/>
      <c r="H744" s="162" t="s">
        <v>15591</v>
      </c>
      <c r="I744" s="158" t="s">
        <v>15592</v>
      </c>
      <c r="J744" s="128"/>
      <c r="K744" s="128"/>
      <c r="L744" s="128"/>
      <c r="M744" s="129"/>
      <c r="N744" s="129"/>
      <c r="O744" s="129"/>
    </row>
    <row r="745" spans="1:15" ht="12.5">
      <c r="A745" s="151" t="s">
        <v>15593</v>
      </c>
      <c r="B745" s="152">
        <v>20</v>
      </c>
      <c r="C745" s="152">
        <v>76</v>
      </c>
      <c r="D745" s="152">
        <v>52</v>
      </c>
      <c r="E745" s="153"/>
      <c r="F745" s="154" t="s">
        <v>33029</v>
      </c>
      <c r="G745" s="155"/>
      <c r="H745" s="156" t="s">
        <v>15594</v>
      </c>
      <c r="I745" s="157"/>
      <c r="J745" s="128"/>
      <c r="K745" s="128"/>
      <c r="L745" s="128"/>
      <c r="M745" s="129"/>
      <c r="N745" s="129"/>
      <c r="O745" s="129"/>
    </row>
    <row r="746" spans="1:15" ht="12.5">
      <c r="A746" s="158" t="s">
        <v>15595</v>
      </c>
      <c r="B746" s="159">
        <v>20</v>
      </c>
      <c r="C746" s="159">
        <v>76</v>
      </c>
      <c r="D746" s="159">
        <v>52</v>
      </c>
      <c r="E746" s="159">
        <v>1</v>
      </c>
      <c r="F746" s="160" t="s">
        <v>32838</v>
      </c>
      <c r="G746" s="132"/>
      <c r="H746" s="162" t="s">
        <v>15596</v>
      </c>
      <c r="I746" s="128"/>
      <c r="J746" s="128"/>
      <c r="K746" s="128"/>
      <c r="L746" s="128"/>
      <c r="M746" s="129"/>
      <c r="N746" s="129"/>
      <c r="O746" s="129"/>
    </row>
    <row r="747" spans="1:15" ht="12.5">
      <c r="A747" s="158" t="s">
        <v>15597</v>
      </c>
      <c r="B747" s="159">
        <v>20</v>
      </c>
      <c r="C747" s="159">
        <v>76</v>
      </c>
      <c r="D747" s="159">
        <v>52</v>
      </c>
      <c r="E747" s="159">
        <v>3</v>
      </c>
      <c r="F747" s="160" t="s">
        <v>32838</v>
      </c>
      <c r="G747" s="132"/>
      <c r="H747" s="162" t="s">
        <v>15598</v>
      </c>
      <c r="I747" s="128"/>
      <c r="J747" s="128"/>
      <c r="K747" s="128"/>
      <c r="L747" s="128"/>
      <c r="M747" s="129"/>
      <c r="N747" s="129"/>
      <c r="O747" s="129"/>
    </row>
    <row r="748" spans="1:15" ht="12.5">
      <c r="A748" s="158" t="s">
        <v>15599</v>
      </c>
      <c r="B748" s="159">
        <v>20</v>
      </c>
      <c r="C748" s="159">
        <v>76</v>
      </c>
      <c r="D748" s="159">
        <v>52</v>
      </c>
      <c r="E748" s="159">
        <v>16</v>
      </c>
      <c r="F748" s="160" t="s">
        <v>33030</v>
      </c>
      <c r="G748" s="162" t="s">
        <v>33022</v>
      </c>
      <c r="H748" s="162" t="s">
        <v>15600</v>
      </c>
      <c r="I748" s="158" t="s">
        <v>15601</v>
      </c>
      <c r="J748" s="128"/>
      <c r="K748" s="128"/>
      <c r="L748" s="128"/>
      <c r="M748" s="129"/>
      <c r="N748" s="129"/>
      <c r="O748" s="129"/>
    </row>
    <row r="749" spans="1:15" ht="12.5">
      <c r="A749" s="158" t="s">
        <v>15602</v>
      </c>
      <c r="B749" s="159">
        <v>20</v>
      </c>
      <c r="C749" s="159">
        <v>76</v>
      </c>
      <c r="D749" s="159">
        <v>52</v>
      </c>
      <c r="E749" s="159">
        <v>19</v>
      </c>
      <c r="F749" s="160" t="s">
        <v>32838</v>
      </c>
      <c r="G749" s="132"/>
      <c r="H749" s="162" t="s">
        <v>15603</v>
      </c>
      <c r="I749" s="158" t="s">
        <v>15604</v>
      </c>
      <c r="J749" s="128"/>
      <c r="K749" s="128"/>
      <c r="L749" s="128"/>
      <c r="M749" s="129"/>
      <c r="N749" s="129"/>
      <c r="O749" s="129"/>
    </row>
    <row r="750" spans="1:15" ht="12.5">
      <c r="A750" s="158" t="s">
        <v>15605</v>
      </c>
      <c r="B750" s="159">
        <v>20</v>
      </c>
      <c r="C750" s="159">
        <v>76</v>
      </c>
      <c r="D750" s="159">
        <v>52</v>
      </c>
      <c r="E750" s="159">
        <v>20</v>
      </c>
      <c r="F750" s="160" t="s">
        <v>33031</v>
      </c>
      <c r="G750" s="162" t="s">
        <v>33032</v>
      </c>
      <c r="H750" s="162" t="s">
        <v>15606</v>
      </c>
      <c r="I750" s="158" t="s">
        <v>15607</v>
      </c>
      <c r="J750" s="128"/>
      <c r="K750" s="128"/>
      <c r="L750" s="128"/>
      <c r="M750" s="129"/>
      <c r="N750" s="129"/>
      <c r="O750" s="129"/>
    </row>
    <row r="751" spans="1:15" ht="12.5">
      <c r="A751" s="158" t="s">
        <v>15608</v>
      </c>
      <c r="B751" s="159">
        <v>20</v>
      </c>
      <c r="C751" s="159">
        <v>76</v>
      </c>
      <c r="D751" s="159">
        <v>52</v>
      </c>
      <c r="E751" s="159">
        <v>85</v>
      </c>
      <c r="F751" s="160" t="s">
        <v>32838</v>
      </c>
      <c r="G751" s="132"/>
      <c r="H751" s="162" t="s">
        <v>15609</v>
      </c>
      <c r="I751" s="158" t="s">
        <v>15610</v>
      </c>
      <c r="J751" s="128"/>
      <c r="K751" s="128"/>
      <c r="L751" s="128"/>
      <c r="M751" s="129"/>
      <c r="N751" s="129"/>
      <c r="O751" s="129"/>
    </row>
    <row r="752" spans="1:15" ht="12.5">
      <c r="A752" s="158" t="s">
        <v>15611</v>
      </c>
      <c r="B752" s="159">
        <v>20</v>
      </c>
      <c r="C752" s="159">
        <v>76</v>
      </c>
      <c r="D752" s="159">
        <v>52</v>
      </c>
      <c r="E752" s="159">
        <v>86</v>
      </c>
      <c r="F752" s="160" t="s">
        <v>32838</v>
      </c>
      <c r="G752" s="132"/>
      <c r="H752" s="162" t="s">
        <v>15612</v>
      </c>
      <c r="I752" s="158" t="s">
        <v>15613</v>
      </c>
      <c r="J752" s="128"/>
      <c r="K752" s="128"/>
      <c r="L752" s="128"/>
      <c r="M752" s="129"/>
      <c r="N752" s="129"/>
      <c r="O752" s="129"/>
    </row>
    <row r="753" spans="1:15" ht="12.5">
      <c r="A753" s="151" t="s">
        <v>15614</v>
      </c>
      <c r="B753" s="152">
        <v>20</v>
      </c>
      <c r="C753" s="152">
        <v>76</v>
      </c>
      <c r="D753" s="152">
        <v>63</v>
      </c>
      <c r="E753" s="153"/>
      <c r="F753" s="154" t="s">
        <v>33033</v>
      </c>
      <c r="G753" s="168"/>
      <c r="H753" s="156" t="s">
        <v>15615</v>
      </c>
      <c r="I753" s="157"/>
      <c r="J753" s="128"/>
      <c r="K753" s="128"/>
      <c r="L753" s="128"/>
      <c r="M753" s="129"/>
      <c r="N753" s="129"/>
      <c r="O753" s="129"/>
    </row>
    <row r="754" spans="1:15" ht="12.5">
      <c r="A754" s="158" t="s">
        <v>15616</v>
      </c>
      <c r="B754" s="159">
        <v>20</v>
      </c>
      <c r="C754" s="159">
        <v>76</v>
      </c>
      <c r="D754" s="159">
        <v>63</v>
      </c>
      <c r="E754" s="159">
        <v>30</v>
      </c>
      <c r="F754" s="160" t="s">
        <v>32838</v>
      </c>
      <c r="G754" s="132"/>
      <c r="H754" s="162" t="s">
        <v>15617</v>
      </c>
      <c r="I754" s="158" t="s">
        <v>15618</v>
      </c>
      <c r="J754" s="128"/>
      <c r="K754" s="128"/>
      <c r="L754" s="128"/>
      <c r="M754" s="129"/>
      <c r="N754" s="129"/>
      <c r="O754" s="129"/>
    </row>
    <row r="755" spans="1:15" ht="12.5">
      <c r="A755" s="158" t="s">
        <v>15619</v>
      </c>
      <c r="B755" s="159">
        <v>20</v>
      </c>
      <c r="C755" s="159">
        <v>76</v>
      </c>
      <c r="D755" s="159">
        <v>63</v>
      </c>
      <c r="E755" s="159">
        <v>63</v>
      </c>
      <c r="F755" s="160" t="s">
        <v>32838</v>
      </c>
      <c r="G755" s="132"/>
      <c r="H755" s="162" t="s">
        <v>15620</v>
      </c>
      <c r="I755" s="128"/>
      <c r="J755" s="128"/>
      <c r="K755" s="128"/>
      <c r="L755" s="128"/>
      <c r="M755" s="129"/>
      <c r="N755" s="129"/>
      <c r="O755" s="129"/>
    </row>
    <row r="756" spans="1:15" ht="12.5">
      <c r="A756" s="158" t="s">
        <v>15621</v>
      </c>
      <c r="B756" s="159">
        <v>20</v>
      </c>
      <c r="C756" s="159">
        <v>76</v>
      </c>
      <c r="D756" s="159">
        <v>63</v>
      </c>
      <c r="E756" s="159">
        <v>65</v>
      </c>
      <c r="F756" s="160" t="s">
        <v>32838</v>
      </c>
      <c r="G756" s="132"/>
      <c r="H756" s="162" t="s">
        <v>15622</v>
      </c>
      <c r="I756" s="158" t="s">
        <v>15623</v>
      </c>
      <c r="J756" s="128"/>
      <c r="K756" s="128"/>
      <c r="L756" s="128"/>
      <c r="M756" s="129"/>
      <c r="N756" s="129"/>
      <c r="O756" s="129"/>
    </row>
    <row r="757" spans="1:15" ht="12.5">
      <c r="A757" s="158" t="s">
        <v>15624</v>
      </c>
      <c r="B757" s="159">
        <v>20</v>
      </c>
      <c r="C757" s="159">
        <v>76</v>
      </c>
      <c r="D757" s="159">
        <v>63</v>
      </c>
      <c r="E757" s="159">
        <v>85</v>
      </c>
      <c r="F757" s="160" t="s">
        <v>32838</v>
      </c>
      <c r="G757" s="132"/>
      <c r="H757" s="162" t="s">
        <v>15625</v>
      </c>
      <c r="I757" s="158" t="s">
        <v>15626</v>
      </c>
      <c r="J757" s="128"/>
      <c r="K757" s="128"/>
      <c r="L757" s="128"/>
      <c r="M757" s="129"/>
      <c r="N757" s="129"/>
      <c r="O757" s="129"/>
    </row>
    <row r="758" spans="1:15" ht="12.5">
      <c r="A758" s="158" t="s">
        <v>15627</v>
      </c>
      <c r="B758" s="159">
        <v>20</v>
      </c>
      <c r="C758" s="159">
        <v>76</v>
      </c>
      <c r="D758" s="159">
        <v>63</v>
      </c>
      <c r="E758" s="159">
        <v>92</v>
      </c>
      <c r="F758" s="160" t="s">
        <v>32838</v>
      </c>
      <c r="G758" s="132"/>
      <c r="H758" s="162" t="s">
        <v>15628</v>
      </c>
      <c r="I758" s="158" t="s">
        <v>15629</v>
      </c>
      <c r="J758" s="128"/>
      <c r="K758" s="128"/>
      <c r="L758" s="128"/>
      <c r="M758" s="129"/>
      <c r="N758" s="129"/>
      <c r="O758" s="129"/>
    </row>
    <row r="759" spans="1:15" ht="12.5">
      <c r="A759" s="151" t="s">
        <v>15630</v>
      </c>
      <c r="B759" s="152">
        <v>20</v>
      </c>
      <c r="C759" s="152">
        <v>76</v>
      </c>
      <c r="D759" s="152">
        <v>64</v>
      </c>
      <c r="E759" s="153"/>
      <c r="F759" s="154" t="s">
        <v>33034</v>
      </c>
      <c r="G759" s="155"/>
      <c r="H759" s="156" t="s">
        <v>15631</v>
      </c>
      <c r="I759" s="157"/>
      <c r="J759" s="157"/>
      <c r="K759" s="128"/>
      <c r="L759" s="128"/>
      <c r="M759" s="129"/>
      <c r="N759" s="129"/>
      <c r="O759" s="129"/>
    </row>
    <row r="760" spans="1:15" ht="12.5">
      <c r="A760" s="158" t="s">
        <v>15632</v>
      </c>
      <c r="B760" s="159">
        <v>20</v>
      </c>
      <c r="C760" s="159">
        <v>76</v>
      </c>
      <c r="D760" s="159">
        <v>64</v>
      </c>
      <c r="E760" s="159">
        <v>1</v>
      </c>
      <c r="F760" s="160" t="s">
        <v>32838</v>
      </c>
      <c r="G760" s="132"/>
      <c r="H760" s="162" t="s">
        <v>15633</v>
      </c>
      <c r="I760" s="158" t="s">
        <v>15634</v>
      </c>
      <c r="J760" s="128"/>
      <c r="K760" s="128"/>
      <c r="L760" s="128"/>
      <c r="M760" s="129"/>
      <c r="N760" s="129"/>
      <c r="O760" s="129"/>
    </row>
    <row r="761" spans="1:15" ht="12.5">
      <c r="A761" s="158" t="s">
        <v>15635</v>
      </c>
      <c r="B761" s="159">
        <v>20</v>
      </c>
      <c r="C761" s="159">
        <v>76</v>
      </c>
      <c r="D761" s="159">
        <v>64</v>
      </c>
      <c r="E761" s="159">
        <v>3</v>
      </c>
      <c r="F761" s="160" t="s">
        <v>32838</v>
      </c>
      <c r="G761" s="132"/>
      <c r="H761" s="162" t="s">
        <v>15636</v>
      </c>
      <c r="I761" s="158" t="s">
        <v>15637</v>
      </c>
      <c r="J761" s="128"/>
      <c r="K761" s="128"/>
      <c r="L761" s="128"/>
      <c r="M761" s="129"/>
      <c r="N761" s="129"/>
      <c r="O761" s="129"/>
    </row>
    <row r="762" spans="1:15" ht="12.5">
      <c r="A762" s="158" t="s">
        <v>15638</v>
      </c>
      <c r="B762" s="159">
        <v>20</v>
      </c>
      <c r="C762" s="159">
        <v>76</v>
      </c>
      <c r="D762" s="159">
        <v>64</v>
      </c>
      <c r="E762" s="159">
        <v>4</v>
      </c>
      <c r="F762" s="160" t="s">
        <v>32838</v>
      </c>
      <c r="G762" s="132"/>
      <c r="H762" s="162" t="s">
        <v>15639</v>
      </c>
      <c r="I762" s="158" t="s">
        <v>15640</v>
      </c>
      <c r="J762" s="128"/>
      <c r="K762" s="128"/>
      <c r="L762" s="128"/>
      <c r="M762" s="129"/>
      <c r="N762" s="129"/>
      <c r="O762" s="129"/>
    </row>
    <row r="763" spans="1:15" ht="12.5">
      <c r="A763" s="158" t="s">
        <v>15641</v>
      </c>
      <c r="B763" s="159">
        <v>20</v>
      </c>
      <c r="C763" s="159">
        <v>76</v>
      </c>
      <c r="D763" s="159">
        <v>64</v>
      </c>
      <c r="E763" s="159">
        <v>10</v>
      </c>
      <c r="F763" s="160" t="s">
        <v>32838</v>
      </c>
      <c r="G763" s="132"/>
      <c r="H763" s="162" t="s">
        <v>15642</v>
      </c>
      <c r="I763" s="158" t="s">
        <v>15643</v>
      </c>
      <c r="J763" s="128"/>
      <c r="K763" s="128"/>
      <c r="L763" s="128"/>
      <c r="M763" s="129"/>
      <c r="N763" s="129"/>
      <c r="O763" s="129"/>
    </row>
    <row r="764" spans="1:15" ht="12.5">
      <c r="A764" s="158" t="s">
        <v>15644</v>
      </c>
      <c r="B764" s="159">
        <v>20</v>
      </c>
      <c r="C764" s="159">
        <v>76</v>
      </c>
      <c r="D764" s="159">
        <v>64</v>
      </c>
      <c r="E764" s="159">
        <v>11</v>
      </c>
      <c r="F764" s="160" t="s">
        <v>32838</v>
      </c>
      <c r="G764" s="132"/>
      <c r="H764" s="162" t="s">
        <v>15645</v>
      </c>
      <c r="I764" s="158" t="s">
        <v>15646</v>
      </c>
      <c r="J764" s="128"/>
      <c r="K764" s="128"/>
      <c r="L764" s="128"/>
      <c r="M764" s="129"/>
      <c r="N764" s="129"/>
      <c r="O764" s="129"/>
    </row>
    <row r="765" spans="1:15" ht="12.5">
      <c r="A765" s="158" t="s">
        <v>15647</v>
      </c>
      <c r="B765" s="159">
        <v>20</v>
      </c>
      <c r="C765" s="159">
        <v>76</v>
      </c>
      <c r="D765" s="159">
        <v>64</v>
      </c>
      <c r="E765" s="159">
        <v>12</v>
      </c>
      <c r="F765" s="160" t="s">
        <v>32838</v>
      </c>
      <c r="G765" s="132"/>
      <c r="H765" s="162" t="s">
        <v>15648</v>
      </c>
      <c r="I765" s="158" t="s">
        <v>15649</v>
      </c>
      <c r="J765" s="128"/>
      <c r="K765" s="128"/>
      <c r="L765" s="128"/>
      <c r="M765" s="129"/>
      <c r="N765" s="129"/>
      <c r="O765" s="129"/>
    </row>
    <row r="766" spans="1:15" ht="12.5">
      <c r="A766" s="158" t="s">
        <v>15650</v>
      </c>
      <c r="B766" s="159">
        <v>20</v>
      </c>
      <c r="C766" s="159">
        <v>76</v>
      </c>
      <c r="D766" s="159">
        <v>64</v>
      </c>
      <c r="E766" s="159">
        <v>13</v>
      </c>
      <c r="F766" s="160" t="s">
        <v>32838</v>
      </c>
      <c r="G766" s="132"/>
      <c r="H766" s="162" t="s">
        <v>15651</v>
      </c>
      <c r="I766" s="158" t="s">
        <v>15652</v>
      </c>
      <c r="J766" s="128"/>
      <c r="K766" s="128"/>
      <c r="L766" s="128"/>
      <c r="M766" s="129"/>
      <c r="N766" s="129"/>
      <c r="O766" s="129"/>
    </row>
    <row r="767" spans="1:15" ht="12.5">
      <c r="A767" s="158" t="s">
        <v>15653</v>
      </c>
      <c r="B767" s="159">
        <v>20</v>
      </c>
      <c r="C767" s="159">
        <v>76</v>
      </c>
      <c r="D767" s="159">
        <v>64</v>
      </c>
      <c r="E767" s="159">
        <v>14</v>
      </c>
      <c r="F767" s="160" t="s">
        <v>32838</v>
      </c>
      <c r="G767" s="132"/>
      <c r="H767" s="162" t="s">
        <v>15654</v>
      </c>
      <c r="I767" s="158" t="s">
        <v>15655</v>
      </c>
      <c r="J767" s="128"/>
      <c r="K767" s="128"/>
      <c r="L767" s="128"/>
      <c r="M767" s="129"/>
      <c r="N767" s="129"/>
      <c r="O767" s="129"/>
    </row>
    <row r="768" spans="1:15" ht="12.5">
      <c r="A768" s="158" t="s">
        <v>15656</v>
      </c>
      <c r="B768" s="159">
        <v>20</v>
      </c>
      <c r="C768" s="159">
        <v>76</v>
      </c>
      <c r="D768" s="159">
        <v>64</v>
      </c>
      <c r="E768" s="159">
        <v>15</v>
      </c>
      <c r="F768" s="160" t="s">
        <v>32838</v>
      </c>
      <c r="G768" s="132"/>
      <c r="H768" s="162" t="s">
        <v>15657</v>
      </c>
      <c r="I768" s="158" t="s">
        <v>15658</v>
      </c>
      <c r="J768" s="128"/>
      <c r="K768" s="128"/>
      <c r="L768" s="128"/>
      <c r="M768" s="129"/>
      <c r="N768" s="129"/>
      <c r="O768" s="129"/>
    </row>
    <row r="769" spans="1:15" ht="12.5">
      <c r="A769" s="158" t="s">
        <v>15659</v>
      </c>
      <c r="B769" s="159">
        <v>20</v>
      </c>
      <c r="C769" s="159">
        <v>76</v>
      </c>
      <c r="D769" s="159">
        <v>64</v>
      </c>
      <c r="E769" s="159">
        <v>16</v>
      </c>
      <c r="F769" s="160" t="s">
        <v>32838</v>
      </c>
      <c r="G769" s="132"/>
      <c r="H769" s="162" t="s">
        <v>15660</v>
      </c>
      <c r="I769" s="158" t="s">
        <v>15661</v>
      </c>
      <c r="J769" s="128"/>
      <c r="K769" s="128"/>
      <c r="L769" s="128"/>
      <c r="M769" s="129"/>
      <c r="N769" s="129"/>
      <c r="O769" s="129"/>
    </row>
    <row r="770" spans="1:15" ht="12.5">
      <c r="A770" s="158" t="s">
        <v>15662</v>
      </c>
      <c r="B770" s="159">
        <v>20</v>
      </c>
      <c r="C770" s="159">
        <v>76</v>
      </c>
      <c r="D770" s="159">
        <v>64</v>
      </c>
      <c r="E770" s="159">
        <v>17</v>
      </c>
      <c r="F770" s="160" t="s">
        <v>32838</v>
      </c>
      <c r="G770" s="132"/>
      <c r="H770" s="162" t="s">
        <v>15663</v>
      </c>
      <c r="I770" s="128"/>
      <c r="J770" s="128"/>
      <c r="K770" s="128"/>
      <c r="L770" s="128"/>
      <c r="M770" s="129"/>
      <c r="N770" s="129"/>
      <c r="O770" s="129"/>
    </row>
    <row r="771" spans="1:15" ht="12.5">
      <c r="A771" s="158" t="s">
        <v>15664</v>
      </c>
      <c r="B771" s="159">
        <v>20</v>
      </c>
      <c r="C771" s="159">
        <v>76</v>
      </c>
      <c r="D771" s="159">
        <v>64</v>
      </c>
      <c r="E771" s="159">
        <v>18</v>
      </c>
      <c r="F771" s="160" t="s">
        <v>32838</v>
      </c>
      <c r="G771" s="132"/>
      <c r="H771" s="162" t="s">
        <v>15665</v>
      </c>
      <c r="I771" s="128"/>
      <c r="J771" s="128"/>
      <c r="K771" s="128"/>
      <c r="L771" s="128"/>
      <c r="M771" s="129"/>
      <c r="N771" s="129"/>
      <c r="O771" s="129"/>
    </row>
    <row r="772" spans="1:15" ht="12.5">
      <c r="A772" s="158" t="s">
        <v>15666</v>
      </c>
      <c r="B772" s="159">
        <v>20</v>
      </c>
      <c r="C772" s="159">
        <v>76</v>
      </c>
      <c r="D772" s="159">
        <v>64</v>
      </c>
      <c r="E772" s="159">
        <v>19</v>
      </c>
      <c r="F772" s="160" t="s">
        <v>33035</v>
      </c>
      <c r="G772" s="162" t="s">
        <v>33036</v>
      </c>
      <c r="H772" s="162" t="s">
        <v>15667</v>
      </c>
      <c r="I772" s="158" t="s">
        <v>33037</v>
      </c>
      <c r="J772" s="128"/>
      <c r="K772" s="128"/>
      <c r="L772" s="128"/>
      <c r="M772" s="129"/>
      <c r="N772" s="129"/>
      <c r="O772" s="129"/>
    </row>
    <row r="773" spans="1:15" ht="12.5">
      <c r="A773" s="158" t="s">
        <v>15669</v>
      </c>
      <c r="B773" s="159">
        <v>20</v>
      </c>
      <c r="C773" s="159">
        <v>76</v>
      </c>
      <c r="D773" s="159">
        <v>64</v>
      </c>
      <c r="E773" s="159">
        <v>20</v>
      </c>
      <c r="F773" s="160" t="s">
        <v>32838</v>
      </c>
      <c r="G773" s="132"/>
      <c r="H773" s="162" t="s">
        <v>15670</v>
      </c>
      <c r="I773" s="158" t="s">
        <v>15671</v>
      </c>
      <c r="J773" s="128"/>
      <c r="K773" s="128"/>
      <c r="L773" s="128"/>
      <c r="M773" s="129"/>
      <c r="N773" s="129"/>
      <c r="O773" s="129"/>
    </row>
    <row r="774" spans="1:15" ht="12.5">
      <c r="A774" s="158" t="s">
        <v>15672</v>
      </c>
      <c r="B774" s="159">
        <v>20</v>
      </c>
      <c r="C774" s="159">
        <v>76</v>
      </c>
      <c r="D774" s="159">
        <v>64</v>
      </c>
      <c r="E774" s="159">
        <v>21</v>
      </c>
      <c r="F774" s="160" t="s">
        <v>33038</v>
      </c>
      <c r="G774" s="162" t="s">
        <v>33036</v>
      </c>
      <c r="H774" s="162" t="s">
        <v>15673</v>
      </c>
      <c r="I774" s="158" t="s">
        <v>33039</v>
      </c>
      <c r="J774" s="128"/>
      <c r="K774" s="128"/>
      <c r="L774" s="128"/>
      <c r="M774" s="129"/>
      <c r="N774" s="129"/>
      <c r="O774" s="129"/>
    </row>
    <row r="775" spans="1:15" ht="12.5">
      <c r="A775" s="158" t="s">
        <v>15675</v>
      </c>
      <c r="B775" s="159">
        <v>20</v>
      </c>
      <c r="C775" s="159">
        <v>76</v>
      </c>
      <c r="D775" s="159">
        <v>64</v>
      </c>
      <c r="E775" s="159">
        <v>36</v>
      </c>
      <c r="F775" s="160" t="s">
        <v>32838</v>
      </c>
      <c r="G775" s="132"/>
      <c r="H775" s="162" t="s">
        <v>15676</v>
      </c>
      <c r="I775" s="158" t="s">
        <v>15677</v>
      </c>
      <c r="J775" s="128"/>
      <c r="K775" s="128"/>
      <c r="L775" s="128"/>
      <c r="M775" s="129"/>
      <c r="N775" s="129"/>
      <c r="O775" s="129"/>
    </row>
    <row r="776" spans="1:15" ht="12.5">
      <c r="A776" s="158" t="s">
        <v>15678</v>
      </c>
      <c r="B776" s="159">
        <v>20</v>
      </c>
      <c r="C776" s="159">
        <v>76</v>
      </c>
      <c r="D776" s="159">
        <v>64</v>
      </c>
      <c r="E776" s="159">
        <v>37</v>
      </c>
      <c r="F776" s="160" t="s">
        <v>32838</v>
      </c>
      <c r="G776" s="132"/>
      <c r="H776" s="162" t="s">
        <v>15679</v>
      </c>
      <c r="I776" s="158" t="s">
        <v>15680</v>
      </c>
      <c r="J776" s="128"/>
      <c r="K776" s="128"/>
      <c r="L776" s="128"/>
      <c r="M776" s="129"/>
      <c r="N776" s="129"/>
      <c r="O776" s="129"/>
    </row>
    <row r="777" spans="1:15" ht="12.5">
      <c r="A777" s="158" t="s">
        <v>15681</v>
      </c>
      <c r="B777" s="159">
        <v>20</v>
      </c>
      <c r="C777" s="159">
        <v>76</v>
      </c>
      <c r="D777" s="159">
        <v>64</v>
      </c>
      <c r="E777" s="159">
        <v>51</v>
      </c>
      <c r="F777" s="160" t="s">
        <v>32838</v>
      </c>
      <c r="G777" s="132"/>
      <c r="H777" s="162" t="s">
        <v>15682</v>
      </c>
      <c r="I777" s="128"/>
      <c r="J777" s="128"/>
      <c r="K777" s="128"/>
      <c r="L777" s="128"/>
      <c r="M777" s="129"/>
      <c r="N777" s="129"/>
      <c r="O777" s="129"/>
    </row>
    <row r="778" spans="1:15" ht="12.5">
      <c r="A778" s="158" t="s">
        <v>15683</v>
      </c>
      <c r="B778" s="159">
        <v>20</v>
      </c>
      <c r="C778" s="159">
        <v>76</v>
      </c>
      <c r="D778" s="159">
        <v>64</v>
      </c>
      <c r="E778" s="159">
        <v>52</v>
      </c>
      <c r="F778" s="160" t="s">
        <v>32838</v>
      </c>
      <c r="G778" s="132"/>
      <c r="H778" s="162" t="s">
        <v>15684</v>
      </c>
      <c r="I778" s="128"/>
      <c r="J778" s="128"/>
      <c r="K778" s="128"/>
      <c r="L778" s="128"/>
      <c r="M778" s="129"/>
      <c r="N778" s="129"/>
      <c r="O778" s="129"/>
    </row>
    <row r="779" spans="1:15" ht="12.5">
      <c r="A779" s="158" t="s">
        <v>15685</v>
      </c>
      <c r="B779" s="159">
        <v>20</v>
      </c>
      <c r="C779" s="159">
        <v>76</v>
      </c>
      <c r="D779" s="159">
        <v>64</v>
      </c>
      <c r="E779" s="159">
        <v>53</v>
      </c>
      <c r="F779" s="160" t="s">
        <v>32838</v>
      </c>
      <c r="G779" s="132"/>
      <c r="H779" s="162" t="s">
        <v>15686</v>
      </c>
      <c r="I779" s="128"/>
      <c r="J779" s="128"/>
      <c r="K779" s="128"/>
      <c r="L779" s="128"/>
      <c r="M779" s="129"/>
      <c r="N779" s="129"/>
      <c r="O779" s="129"/>
    </row>
    <row r="780" spans="1:15" ht="12.5">
      <c r="A780" s="158" t="s">
        <v>15687</v>
      </c>
      <c r="B780" s="159">
        <v>20</v>
      </c>
      <c r="C780" s="159">
        <v>76</v>
      </c>
      <c r="D780" s="159">
        <v>64</v>
      </c>
      <c r="E780" s="159">
        <v>54</v>
      </c>
      <c r="F780" s="160" t="s">
        <v>32838</v>
      </c>
      <c r="G780" s="132"/>
      <c r="H780" s="162" t="s">
        <v>15688</v>
      </c>
      <c r="I780" s="128"/>
      <c r="J780" s="128"/>
      <c r="K780" s="128"/>
      <c r="L780" s="128"/>
      <c r="M780" s="129"/>
      <c r="N780" s="129"/>
      <c r="O780" s="129"/>
    </row>
    <row r="781" spans="1:15" ht="12.5">
      <c r="A781" s="158" t="s">
        <v>15689</v>
      </c>
      <c r="B781" s="159">
        <v>20</v>
      </c>
      <c r="C781" s="159">
        <v>76</v>
      </c>
      <c r="D781" s="159">
        <v>64</v>
      </c>
      <c r="E781" s="159">
        <v>55</v>
      </c>
      <c r="F781" s="160" t="s">
        <v>32838</v>
      </c>
      <c r="G781" s="132"/>
      <c r="H781" s="162" t="s">
        <v>15690</v>
      </c>
      <c r="I781" s="128"/>
      <c r="J781" s="128"/>
      <c r="K781" s="128"/>
      <c r="L781" s="128"/>
      <c r="M781" s="129"/>
      <c r="N781" s="129"/>
      <c r="O781" s="129"/>
    </row>
    <row r="782" spans="1:15" ht="12.5">
      <c r="A782" s="158" t="s">
        <v>15691</v>
      </c>
      <c r="B782" s="159">
        <v>20</v>
      </c>
      <c r="C782" s="159">
        <v>76</v>
      </c>
      <c r="D782" s="159">
        <v>64</v>
      </c>
      <c r="E782" s="159">
        <v>62</v>
      </c>
      <c r="F782" s="160" t="s">
        <v>32838</v>
      </c>
      <c r="G782" s="132"/>
      <c r="H782" s="162" t="s">
        <v>15692</v>
      </c>
      <c r="I782" s="158" t="s">
        <v>15693</v>
      </c>
      <c r="J782" s="128"/>
      <c r="K782" s="128"/>
      <c r="L782" s="128"/>
      <c r="M782" s="129"/>
      <c r="N782" s="129"/>
      <c r="O782" s="129"/>
    </row>
    <row r="783" spans="1:15" ht="12.5">
      <c r="A783" s="158" t="s">
        <v>15694</v>
      </c>
      <c r="B783" s="159">
        <v>20</v>
      </c>
      <c r="C783" s="159">
        <v>76</v>
      </c>
      <c r="D783" s="159">
        <v>64</v>
      </c>
      <c r="E783" s="159">
        <v>63</v>
      </c>
      <c r="F783" s="160" t="s">
        <v>32838</v>
      </c>
      <c r="G783" s="132"/>
      <c r="H783" s="162" t="s">
        <v>15695</v>
      </c>
      <c r="I783" s="158" t="s">
        <v>15696</v>
      </c>
      <c r="J783" s="128"/>
      <c r="K783" s="128"/>
      <c r="L783" s="128"/>
      <c r="M783" s="129"/>
      <c r="N783" s="129"/>
      <c r="O783" s="129"/>
    </row>
    <row r="784" spans="1:15" ht="12.5">
      <c r="A784" s="158" t="s">
        <v>15697</v>
      </c>
      <c r="B784" s="159">
        <v>20</v>
      </c>
      <c r="C784" s="159">
        <v>76</v>
      </c>
      <c r="D784" s="159">
        <v>64</v>
      </c>
      <c r="E784" s="159">
        <v>65</v>
      </c>
      <c r="F784" s="160" t="s">
        <v>32838</v>
      </c>
      <c r="G784" s="132"/>
      <c r="H784" s="162" t="s">
        <v>15698</v>
      </c>
      <c r="I784" s="128"/>
      <c r="J784" s="128"/>
      <c r="K784" s="128"/>
      <c r="L784" s="128"/>
      <c r="M784" s="129"/>
      <c r="N784" s="129"/>
      <c r="O784" s="129"/>
    </row>
    <row r="785" spans="1:15" ht="12.5">
      <c r="A785" s="158" t="s">
        <v>15699</v>
      </c>
      <c r="B785" s="159">
        <v>20</v>
      </c>
      <c r="C785" s="159">
        <v>76</v>
      </c>
      <c r="D785" s="159">
        <v>64</v>
      </c>
      <c r="E785" s="159">
        <v>66</v>
      </c>
      <c r="F785" s="160" t="s">
        <v>32838</v>
      </c>
      <c r="G785" s="132"/>
      <c r="H785" s="162" t="s">
        <v>15700</v>
      </c>
      <c r="I785" s="128"/>
      <c r="J785" s="128"/>
      <c r="K785" s="128"/>
      <c r="L785" s="128"/>
      <c r="M785" s="129"/>
      <c r="N785" s="129"/>
      <c r="O785" s="129"/>
    </row>
    <row r="786" spans="1:15" ht="12.5">
      <c r="A786" s="158" t="s">
        <v>15701</v>
      </c>
      <c r="B786" s="159">
        <v>20</v>
      </c>
      <c r="C786" s="159">
        <v>76</v>
      </c>
      <c r="D786" s="159">
        <v>64</v>
      </c>
      <c r="E786" s="159">
        <v>77</v>
      </c>
      <c r="F786" s="160" t="s">
        <v>32838</v>
      </c>
      <c r="G786" s="132"/>
      <c r="H786" s="162" t="s">
        <v>15702</v>
      </c>
      <c r="I786" s="158" t="s">
        <v>15703</v>
      </c>
      <c r="J786" s="128"/>
      <c r="K786" s="128"/>
      <c r="L786" s="128"/>
      <c r="M786" s="129"/>
      <c r="N786" s="129"/>
      <c r="O786" s="129"/>
    </row>
    <row r="787" spans="1:15" ht="12.5">
      <c r="A787" s="158" t="s">
        <v>15704</v>
      </c>
      <c r="B787" s="159">
        <v>20</v>
      </c>
      <c r="C787" s="159">
        <v>76</v>
      </c>
      <c r="D787" s="159">
        <v>64</v>
      </c>
      <c r="E787" s="159">
        <v>78</v>
      </c>
      <c r="F787" s="160" t="s">
        <v>32838</v>
      </c>
      <c r="G787" s="132"/>
      <c r="H787" s="162" t="s">
        <v>15705</v>
      </c>
      <c r="I787" s="158" t="s">
        <v>15706</v>
      </c>
      <c r="J787" s="128"/>
      <c r="K787" s="128"/>
      <c r="L787" s="128"/>
      <c r="M787" s="129"/>
      <c r="N787" s="129"/>
      <c r="O787" s="129"/>
    </row>
    <row r="788" spans="1:15" ht="12.5">
      <c r="A788" s="158" t="s">
        <v>15707</v>
      </c>
      <c r="B788" s="159">
        <v>20</v>
      </c>
      <c r="C788" s="159">
        <v>76</v>
      </c>
      <c r="D788" s="159">
        <v>64</v>
      </c>
      <c r="E788" s="159">
        <v>80</v>
      </c>
      <c r="F788" s="160" t="s">
        <v>32838</v>
      </c>
      <c r="G788" s="132"/>
      <c r="H788" s="162" t="s">
        <v>15708</v>
      </c>
      <c r="I788" s="158" t="s">
        <v>15709</v>
      </c>
      <c r="J788" s="128"/>
      <c r="K788" s="128"/>
      <c r="L788" s="128"/>
      <c r="M788" s="129"/>
      <c r="N788" s="129"/>
      <c r="O788" s="129"/>
    </row>
    <row r="789" spans="1:15" ht="12.5">
      <c r="A789" s="158" t="s">
        <v>15710</v>
      </c>
      <c r="B789" s="159">
        <v>20</v>
      </c>
      <c r="C789" s="159">
        <v>76</v>
      </c>
      <c r="D789" s="159">
        <v>64</v>
      </c>
      <c r="E789" s="159">
        <v>81</v>
      </c>
      <c r="F789" s="160" t="s">
        <v>32838</v>
      </c>
      <c r="G789" s="132"/>
      <c r="H789" s="162" t="s">
        <v>15711</v>
      </c>
      <c r="I789" s="158" t="s">
        <v>15712</v>
      </c>
      <c r="J789" s="128"/>
      <c r="K789" s="128"/>
      <c r="L789" s="128"/>
      <c r="M789" s="129"/>
      <c r="N789" s="129"/>
      <c r="O789" s="129"/>
    </row>
    <row r="790" spans="1:15" ht="12.5">
      <c r="A790" s="158" t="s">
        <v>15713</v>
      </c>
      <c r="B790" s="159">
        <v>20</v>
      </c>
      <c r="C790" s="159">
        <v>76</v>
      </c>
      <c r="D790" s="159">
        <v>64</v>
      </c>
      <c r="E790" s="159">
        <v>82</v>
      </c>
      <c r="F790" s="160" t="s">
        <v>32838</v>
      </c>
      <c r="G790" s="132"/>
      <c r="H790" s="162" t="s">
        <v>15714</v>
      </c>
      <c r="I790" s="158" t="s">
        <v>15715</v>
      </c>
      <c r="J790" s="128"/>
      <c r="K790" s="128"/>
      <c r="L790" s="128"/>
      <c r="M790" s="129"/>
      <c r="N790" s="129"/>
      <c r="O790" s="129"/>
    </row>
    <row r="791" spans="1:15" ht="12.5">
      <c r="A791" s="158" t="s">
        <v>15716</v>
      </c>
      <c r="B791" s="159">
        <v>20</v>
      </c>
      <c r="C791" s="159">
        <v>76</v>
      </c>
      <c r="D791" s="159">
        <v>64</v>
      </c>
      <c r="E791" s="159">
        <v>83</v>
      </c>
      <c r="F791" s="160" t="s">
        <v>32838</v>
      </c>
      <c r="G791" s="132"/>
      <c r="H791" s="162" t="s">
        <v>15717</v>
      </c>
      <c r="I791" s="158" t="s">
        <v>15718</v>
      </c>
      <c r="J791" s="128"/>
      <c r="K791" s="128"/>
      <c r="L791" s="128"/>
      <c r="M791" s="129"/>
      <c r="N791" s="129"/>
      <c r="O791" s="129"/>
    </row>
    <row r="792" spans="1:15" ht="12.5">
      <c r="A792" s="158" t="s">
        <v>15719</v>
      </c>
      <c r="B792" s="159">
        <v>20</v>
      </c>
      <c r="C792" s="159">
        <v>76</v>
      </c>
      <c r="D792" s="159">
        <v>64</v>
      </c>
      <c r="E792" s="159">
        <v>87</v>
      </c>
      <c r="F792" s="160" t="s">
        <v>32838</v>
      </c>
      <c r="G792" s="132"/>
      <c r="H792" s="162" t="s">
        <v>15720</v>
      </c>
      <c r="I792" s="128"/>
      <c r="J792" s="128"/>
      <c r="K792" s="128"/>
      <c r="L792" s="128"/>
      <c r="M792" s="129"/>
      <c r="N792" s="129"/>
      <c r="O792" s="129"/>
    </row>
    <row r="793" spans="1:15" ht="12.5">
      <c r="A793" s="158" t="s">
        <v>15721</v>
      </c>
      <c r="B793" s="159">
        <v>20</v>
      </c>
      <c r="C793" s="159">
        <v>76</v>
      </c>
      <c r="D793" s="159">
        <v>64</v>
      </c>
      <c r="E793" s="159">
        <v>88</v>
      </c>
      <c r="F793" s="160" t="s">
        <v>32838</v>
      </c>
      <c r="G793" s="132"/>
      <c r="H793" s="162" t="s">
        <v>15722</v>
      </c>
      <c r="I793" s="128"/>
      <c r="J793" s="128"/>
      <c r="K793" s="128"/>
      <c r="L793" s="128"/>
      <c r="M793" s="129"/>
      <c r="N793" s="129"/>
      <c r="O793" s="129"/>
    </row>
    <row r="794" spans="1:15" ht="12.5">
      <c r="A794" s="158" t="s">
        <v>15723</v>
      </c>
      <c r="B794" s="159">
        <v>20</v>
      </c>
      <c r="C794" s="159">
        <v>76</v>
      </c>
      <c r="D794" s="159">
        <v>64</v>
      </c>
      <c r="E794" s="159">
        <v>89</v>
      </c>
      <c r="F794" s="160" t="s">
        <v>32838</v>
      </c>
      <c r="G794" s="132"/>
      <c r="H794" s="162" t="s">
        <v>15724</v>
      </c>
      <c r="I794" s="128"/>
      <c r="J794" s="128"/>
      <c r="K794" s="128"/>
      <c r="L794" s="128"/>
      <c r="M794" s="129"/>
      <c r="N794" s="129"/>
      <c r="O794" s="129"/>
    </row>
    <row r="795" spans="1:15" ht="12.5">
      <c r="A795" s="158" t="s">
        <v>15725</v>
      </c>
      <c r="B795" s="159">
        <v>20</v>
      </c>
      <c r="C795" s="159">
        <v>76</v>
      </c>
      <c r="D795" s="159">
        <v>64</v>
      </c>
      <c r="E795" s="159">
        <v>95</v>
      </c>
      <c r="F795" s="160" t="s">
        <v>32838</v>
      </c>
      <c r="G795" s="132"/>
      <c r="H795" s="162" t="s">
        <v>15726</v>
      </c>
      <c r="I795" s="158" t="s">
        <v>15727</v>
      </c>
      <c r="J795" s="128"/>
      <c r="K795" s="128"/>
      <c r="L795" s="128"/>
      <c r="M795" s="129"/>
      <c r="N795" s="129"/>
      <c r="O795" s="129"/>
    </row>
    <row r="796" spans="1:15" ht="12.5">
      <c r="A796" s="158" t="s">
        <v>15728</v>
      </c>
      <c r="B796" s="159">
        <v>20</v>
      </c>
      <c r="C796" s="159">
        <v>76</v>
      </c>
      <c r="D796" s="159">
        <v>64</v>
      </c>
      <c r="E796" s="159">
        <v>96</v>
      </c>
      <c r="F796" s="160" t="s">
        <v>32838</v>
      </c>
      <c r="G796" s="132"/>
      <c r="H796" s="162" t="s">
        <v>15729</v>
      </c>
      <c r="I796" s="158" t="s">
        <v>15730</v>
      </c>
      <c r="J796" s="128"/>
      <c r="K796" s="128"/>
      <c r="L796" s="128"/>
      <c r="M796" s="129"/>
      <c r="N796" s="129"/>
      <c r="O796" s="129"/>
    </row>
    <row r="797" spans="1:15" ht="12.5">
      <c r="A797" s="151" t="s">
        <v>15731</v>
      </c>
      <c r="B797" s="152">
        <v>20</v>
      </c>
      <c r="C797" s="152">
        <v>76</v>
      </c>
      <c r="D797" s="152">
        <v>70</v>
      </c>
      <c r="E797" s="153"/>
      <c r="F797" s="156" t="s">
        <v>33040</v>
      </c>
      <c r="G797" s="168"/>
      <c r="H797" s="156" t="s">
        <v>15732</v>
      </c>
      <c r="I797" s="157"/>
      <c r="J797" s="128"/>
      <c r="K797" s="128"/>
      <c r="L797" s="128"/>
      <c r="M797" s="129"/>
      <c r="N797" s="129"/>
      <c r="O797" s="129"/>
    </row>
    <row r="798" spans="1:15" ht="12.5">
      <c r="A798" s="158" t="s">
        <v>15733</v>
      </c>
      <c r="B798" s="159">
        <v>20</v>
      </c>
      <c r="C798" s="159">
        <v>76</v>
      </c>
      <c r="D798" s="159">
        <v>70</v>
      </c>
      <c r="E798" s="159">
        <v>9</v>
      </c>
      <c r="F798" s="132"/>
      <c r="G798" s="132"/>
      <c r="H798" s="162" t="s">
        <v>15734</v>
      </c>
      <c r="I798" s="128"/>
      <c r="J798" s="128"/>
      <c r="K798" s="128"/>
      <c r="L798" s="128"/>
      <c r="M798" s="129"/>
      <c r="N798" s="129"/>
      <c r="O798" s="129"/>
    </row>
    <row r="799" spans="1:15" ht="12.5">
      <c r="A799" s="158" t="s">
        <v>15735</v>
      </c>
      <c r="B799" s="159">
        <v>20</v>
      </c>
      <c r="C799" s="159">
        <v>76</v>
      </c>
      <c r="D799" s="159">
        <v>70</v>
      </c>
      <c r="E799" s="159">
        <v>12</v>
      </c>
      <c r="F799" s="132"/>
      <c r="G799" s="132"/>
      <c r="H799" s="162" t="s">
        <v>15736</v>
      </c>
      <c r="I799" s="158" t="s">
        <v>15737</v>
      </c>
      <c r="J799" s="128"/>
      <c r="K799" s="128"/>
      <c r="L799" s="128"/>
      <c r="M799" s="129"/>
      <c r="N799" s="129"/>
      <c r="O799" s="129"/>
    </row>
    <row r="800" spans="1:15" ht="12.5">
      <c r="A800" s="158" t="s">
        <v>15738</v>
      </c>
      <c r="B800" s="159">
        <v>20</v>
      </c>
      <c r="C800" s="159">
        <v>76</v>
      </c>
      <c r="D800" s="159">
        <v>70</v>
      </c>
      <c r="E800" s="159">
        <v>15</v>
      </c>
      <c r="F800" s="132"/>
      <c r="G800" s="132"/>
      <c r="H800" s="162" t="s">
        <v>15739</v>
      </c>
      <c r="I800" s="158" t="s">
        <v>15740</v>
      </c>
      <c r="J800" s="128"/>
      <c r="K800" s="128"/>
      <c r="L800" s="128"/>
      <c r="M800" s="129"/>
      <c r="N800" s="129"/>
      <c r="O800" s="129"/>
    </row>
    <row r="801" spans="1:15" ht="12.5">
      <c r="A801" s="158" t="s">
        <v>15741</v>
      </c>
      <c r="B801" s="159">
        <v>20</v>
      </c>
      <c r="C801" s="159">
        <v>76</v>
      </c>
      <c r="D801" s="159">
        <v>70</v>
      </c>
      <c r="E801" s="159">
        <v>22</v>
      </c>
      <c r="F801" s="132"/>
      <c r="G801" s="132"/>
      <c r="H801" s="162" t="s">
        <v>15742</v>
      </c>
      <c r="I801" s="158" t="s">
        <v>15743</v>
      </c>
      <c r="J801" s="128"/>
      <c r="K801" s="128"/>
      <c r="L801" s="128"/>
      <c r="M801" s="129"/>
      <c r="N801" s="129"/>
      <c r="O801" s="129"/>
    </row>
    <row r="802" spans="1:15" ht="12.5">
      <c r="A802" s="158" t="s">
        <v>15744</v>
      </c>
      <c r="B802" s="159">
        <v>20</v>
      </c>
      <c r="C802" s="159">
        <v>76</v>
      </c>
      <c r="D802" s="159">
        <v>70</v>
      </c>
      <c r="E802" s="159">
        <v>27</v>
      </c>
      <c r="F802" s="160" t="s">
        <v>32838</v>
      </c>
      <c r="G802" s="132"/>
      <c r="H802" s="162" t="s">
        <v>15745</v>
      </c>
      <c r="I802" s="128"/>
      <c r="J802" s="128"/>
      <c r="K802" s="128"/>
      <c r="L802" s="128"/>
      <c r="M802" s="129"/>
      <c r="N802" s="129"/>
      <c r="O802" s="129"/>
    </row>
    <row r="803" spans="1:15" ht="12.5">
      <c r="A803" s="158" t="s">
        <v>15746</v>
      </c>
      <c r="B803" s="159">
        <v>20</v>
      </c>
      <c r="C803" s="159">
        <v>76</v>
      </c>
      <c r="D803" s="159">
        <v>70</v>
      </c>
      <c r="E803" s="159">
        <v>28</v>
      </c>
      <c r="F803" s="160" t="s">
        <v>32838</v>
      </c>
      <c r="G803" s="132"/>
      <c r="H803" s="162" t="s">
        <v>15747</v>
      </c>
      <c r="I803" s="128"/>
      <c r="J803" s="128"/>
      <c r="K803" s="128"/>
      <c r="L803" s="128"/>
      <c r="M803" s="129"/>
      <c r="N803" s="129"/>
      <c r="O803" s="129"/>
    </row>
    <row r="804" spans="1:15" ht="12.5">
      <c r="A804" s="158" t="s">
        <v>15748</v>
      </c>
      <c r="B804" s="159">
        <v>20</v>
      </c>
      <c r="C804" s="159">
        <v>76</v>
      </c>
      <c r="D804" s="159">
        <v>70</v>
      </c>
      <c r="E804" s="159">
        <v>30</v>
      </c>
      <c r="F804" s="160" t="s">
        <v>32838</v>
      </c>
      <c r="G804" s="132"/>
      <c r="H804" s="162" t="s">
        <v>15749</v>
      </c>
      <c r="I804" s="158" t="s">
        <v>15750</v>
      </c>
      <c r="J804" s="128"/>
      <c r="K804" s="128"/>
      <c r="L804" s="128"/>
      <c r="M804" s="129"/>
      <c r="N804" s="129"/>
      <c r="O804" s="129"/>
    </row>
    <row r="805" spans="1:15" ht="12.5">
      <c r="A805" s="158" t="s">
        <v>15751</v>
      </c>
      <c r="B805" s="159">
        <v>20</v>
      </c>
      <c r="C805" s="159">
        <v>76</v>
      </c>
      <c r="D805" s="159">
        <v>70</v>
      </c>
      <c r="E805" s="159">
        <v>34</v>
      </c>
      <c r="F805" s="160" t="s">
        <v>32838</v>
      </c>
      <c r="G805" s="132"/>
      <c r="H805" s="162" t="s">
        <v>15752</v>
      </c>
      <c r="I805" s="158" t="s">
        <v>15753</v>
      </c>
      <c r="J805" s="128"/>
      <c r="K805" s="128"/>
      <c r="L805" s="128"/>
      <c r="M805" s="129"/>
      <c r="N805" s="129"/>
      <c r="O805" s="129"/>
    </row>
    <row r="806" spans="1:15" ht="12.5">
      <c r="A806" s="158" t="s">
        <v>15756</v>
      </c>
      <c r="B806" s="159">
        <v>20</v>
      </c>
      <c r="C806" s="159">
        <v>76</v>
      </c>
      <c r="D806" s="159">
        <v>70</v>
      </c>
      <c r="E806" s="159">
        <v>67</v>
      </c>
      <c r="F806" s="160" t="s">
        <v>32838</v>
      </c>
      <c r="G806" s="132"/>
      <c r="H806" s="162" t="s">
        <v>15757</v>
      </c>
      <c r="I806" s="128"/>
      <c r="J806" s="128"/>
      <c r="K806" s="128"/>
      <c r="L806" s="128"/>
      <c r="M806" s="129"/>
      <c r="N806" s="129"/>
      <c r="O806" s="129"/>
    </row>
    <row r="807" spans="1:15" ht="12.5">
      <c r="A807" s="158" t="s">
        <v>15758</v>
      </c>
      <c r="B807" s="159">
        <v>20</v>
      </c>
      <c r="C807" s="159">
        <v>76</v>
      </c>
      <c r="D807" s="159">
        <v>70</v>
      </c>
      <c r="E807" s="159">
        <v>69</v>
      </c>
      <c r="F807" s="160" t="s">
        <v>32838</v>
      </c>
      <c r="G807" s="132"/>
      <c r="H807" s="162" t="s">
        <v>15759</v>
      </c>
      <c r="I807" s="158" t="s">
        <v>15760</v>
      </c>
      <c r="J807" s="128"/>
      <c r="K807" s="128"/>
      <c r="L807" s="128"/>
      <c r="M807" s="129"/>
      <c r="N807" s="129"/>
      <c r="O807" s="129"/>
    </row>
    <row r="808" spans="1:15" ht="12.5">
      <c r="A808" s="158" t="s">
        <v>15761</v>
      </c>
      <c r="B808" s="159">
        <v>20</v>
      </c>
      <c r="C808" s="159">
        <v>76</v>
      </c>
      <c r="D808" s="159">
        <v>70</v>
      </c>
      <c r="E808" s="159">
        <v>70</v>
      </c>
      <c r="F808" s="160" t="s">
        <v>32838</v>
      </c>
      <c r="G808" s="132"/>
      <c r="H808" s="162" t="s">
        <v>15762</v>
      </c>
      <c r="I808" s="158" t="s">
        <v>15763</v>
      </c>
      <c r="J808" s="128"/>
      <c r="K808" s="128"/>
      <c r="L808" s="128"/>
      <c r="M808" s="129"/>
      <c r="N808" s="129"/>
      <c r="O808" s="129"/>
    </row>
    <row r="809" spans="1:15" ht="12.5">
      <c r="A809" s="158" t="s">
        <v>15764</v>
      </c>
      <c r="B809" s="159">
        <v>20</v>
      </c>
      <c r="C809" s="159">
        <v>76</v>
      </c>
      <c r="D809" s="159">
        <v>70</v>
      </c>
      <c r="E809" s="159">
        <v>71</v>
      </c>
      <c r="F809" s="160" t="s">
        <v>32838</v>
      </c>
      <c r="G809" s="132"/>
      <c r="H809" s="162" t="s">
        <v>15765</v>
      </c>
      <c r="I809" s="128"/>
      <c r="J809" s="128"/>
      <c r="K809" s="128"/>
      <c r="L809" s="128"/>
      <c r="M809" s="129"/>
      <c r="N809" s="129"/>
      <c r="O809" s="129"/>
    </row>
    <row r="810" spans="1:15" ht="12.5">
      <c r="A810" s="158" t="s">
        <v>15766</v>
      </c>
      <c r="B810" s="159">
        <v>20</v>
      </c>
      <c r="C810" s="159">
        <v>76</v>
      </c>
      <c r="D810" s="159">
        <v>70</v>
      </c>
      <c r="E810" s="159">
        <v>80</v>
      </c>
      <c r="F810" s="160" t="s">
        <v>32838</v>
      </c>
      <c r="G810" s="132"/>
      <c r="H810" s="162" t="s">
        <v>15767</v>
      </c>
      <c r="I810" s="128"/>
      <c r="J810" s="128"/>
      <c r="K810" s="128"/>
      <c r="L810" s="128"/>
      <c r="M810" s="129"/>
      <c r="N810" s="129"/>
      <c r="O810" s="129"/>
    </row>
    <row r="811" spans="1:15" ht="12.5">
      <c r="A811" s="158" t="s">
        <v>15768</v>
      </c>
      <c r="B811" s="159">
        <v>20</v>
      </c>
      <c r="C811" s="159">
        <v>76</v>
      </c>
      <c r="D811" s="159">
        <v>70</v>
      </c>
      <c r="E811" s="159">
        <v>90</v>
      </c>
      <c r="F811" s="160" t="s">
        <v>32838</v>
      </c>
      <c r="G811" s="132"/>
      <c r="H811" s="162" t="s">
        <v>15769</v>
      </c>
      <c r="I811" s="158" t="s">
        <v>15770</v>
      </c>
      <c r="J811" s="128"/>
      <c r="K811" s="128"/>
      <c r="L811" s="128"/>
      <c r="M811" s="129"/>
      <c r="N811" s="129"/>
      <c r="O811" s="129"/>
    </row>
    <row r="812" spans="1:15" ht="12.5">
      <c r="A812" s="151" t="s">
        <v>15771</v>
      </c>
      <c r="B812" s="152">
        <v>20</v>
      </c>
      <c r="C812" s="152">
        <v>76</v>
      </c>
      <c r="D812" s="152">
        <v>71</v>
      </c>
      <c r="E812" s="153"/>
      <c r="F812" s="154" t="s">
        <v>33041</v>
      </c>
      <c r="G812" s="168"/>
      <c r="H812" s="156" t="s">
        <v>15772</v>
      </c>
      <c r="I812" s="157"/>
      <c r="J812" s="128"/>
      <c r="K812" s="128"/>
      <c r="L812" s="128"/>
      <c r="M812" s="129"/>
      <c r="N812" s="129"/>
      <c r="O812" s="129"/>
    </row>
    <row r="813" spans="1:15" ht="12.5">
      <c r="A813" s="158" t="s">
        <v>15773</v>
      </c>
      <c r="B813" s="159">
        <v>20</v>
      </c>
      <c r="C813" s="159">
        <v>76</v>
      </c>
      <c r="D813" s="159">
        <v>71</v>
      </c>
      <c r="E813" s="159">
        <v>15</v>
      </c>
      <c r="F813" s="160" t="s">
        <v>32838</v>
      </c>
      <c r="G813" s="132"/>
      <c r="H813" s="162" t="s">
        <v>15774</v>
      </c>
      <c r="I813" s="128"/>
      <c r="J813" s="128"/>
      <c r="K813" s="128"/>
      <c r="L813" s="128"/>
      <c r="M813" s="129"/>
      <c r="N813" s="129"/>
      <c r="O813" s="129"/>
    </row>
    <row r="814" spans="1:15" ht="12.5">
      <c r="A814" s="158" t="s">
        <v>15776</v>
      </c>
      <c r="B814" s="159">
        <v>20</v>
      </c>
      <c r="C814" s="159">
        <v>76</v>
      </c>
      <c r="D814" s="159">
        <v>71</v>
      </c>
      <c r="E814" s="159">
        <v>17</v>
      </c>
      <c r="F814" s="160" t="s">
        <v>32838</v>
      </c>
      <c r="G814" s="132"/>
      <c r="H814" s="162" t="s">
        <v>15777</v>
      </c>
      <c r="I814" s="128"/>
      <c r="J814" s="128"/>
      <c r="K814" s="128"/>
      <c r="L814" s="128"/>
      <c r="M814" s="129"/>
      <c r="N814" s="129"/>
      <c r="O814" s="129"/>
    </row>
    <row r="815" spans="1:15" ht="12.5">
      <c r="A815" s="158" t="s">
        <v>15778</v>
      </c>
      <c r="B815" s="159">
        <v>20</v>
      </c>
      <c r="C815" s="159">
        <v>76</v>
      </c>
      <c r="D815" s="159">
        <v>71</v>
      </c>
      <c r="E815" s="159">
        <v>21</v>
      </c>
      <c r="F815" s="160" t="s">
        <v>32838</v>
      </c>
      <c r="G815" s="132"/>
      <c r="H815" s="162" t="s">
        <v>15779</v>
      </c>
      <c r="I815" s="128"/>
      <c r="J815" s="128"/>
      <c r="K815" s="128"/>
      <c r="L815" s="128"/>
      <c r="M815" s="129"/>
      <c r="N815" s="129"/>
      <c r="O815" s="129"/>
    </row>
    <row r="816" spans="1:15" ht="12.5">
      <c r="A816" s="158" t="s">
        <v>15780</v>
      </c>
      <c r="B816" s="159">
        <v>20</v>
      </c>
      <c r="C816" s="159">
        <v>76</v>
      </c>
      <c r="D816" s="159">
        <v>71</v>
      </c>
      <c r="E816" s="159">
        <v>23</v>
      </c>
      <c r="F816" s="160" t="s">
        <v>32838</v>
      </c>
      <c r="G816" s="132"/>
      <c r="H816" s="162" t="s">
        <v>15781</v>
      </c>
      <c r="I816" s="158" t="s">
        <v>15775</v>
      </c>
      <c r="J816" s="128"/>
      <c r="K816" s="128"/>
      <c r="L816" s="128"/>
      <c r="M816" s="129"/>
      <c r="N816" s="129"/>
      <c r="O816" s="129"/>
    </row>
    <row r="817" spans="1:15" ht="12.5">
      <c r="A817" s="158" t="s">
        <v>15783</v>
      </c>
      <c r="B817" s="159">
        <v>20</v>
      </c>
      <c r="C817" s="159">
        <v>76</v>
      </c>
      <c r="D817" s="159">
        <v>71</v>
      </c>
      <c r="E817" s="159">
        <v>50</v>
      </c>
      <c r="F817" s="160" t="s">
        <v>32838</v>
      </c>
      <c r="G817" s="132"/>
      <c r="H817" s="162" t="s">
        <v>15784</v>
      </c>
      <c r="I817" s="128"/>
      <c r="J817" s="128"/>
      <c r="K817" s="128"/>
      <c r="L817" s="128"/>
      <c r="M817" s="129"/>
      <c r="N817" s="129"/>
      <c r="O817" s="129"/>
    </row>
    <row r="818" spans="1:15" ht="12.5">
      <c r="A818" s="158" t="s">
        <v>15785</v>
      </c>
      <c r="B818" s="159">
        <v>20</v>
      </c>
      <c r="C818" s="159">
        <v>76</v>
      </c>
      <c r="D818" s="159">
        <v>71</v>
      </c>
      <c r="E818" s="159">
        <v>58</v>
      </c>
      <c r="F818" s="160" t="s">
        <v>32838</v>
      </c>
      <c r="G818" s="132"/>
      <c r="H818" s="162" t="s">
        <v>15786</v>
      </c>
      <c r="I818" s="128"/>
      <c r="J818" s="128"/>
      <c r="K818" s="128"/>
      <c r="L818" s="128"/>
      <c r="M818" s="129"/>
      <c r="N818" s="129"/>
      <c r="O818" s="129"/>
    </row>
    <row r="819" spans="1:15" ht="12.5">
      <c r="A819" s="158" t="s">
        <v>15787</v>
      </c>
      <c r="B819" s="159">
        <v>20</v>
      </c>
      <c r="C819" s="159">
        <v>76</v>
      </c>
      <c r="D819" s="159">
        <v>71</v>
      </c>
      <c r="E819" s="159">
        <v>76</v>
      </c>
      <c r="F819" s="160" t="s">
        <v>32838</v>
      </c>
      <c r="G819" s="132"/>
      <c r="H819" s="162" t="s">
        <v>15788</v>
      </c>
      <c r="I819" s="158" t="s">
        <v>15789</v>
      </c>
      <c r="J819" s="128"/>
      <c r="K819" s="128"/>
      <c r="L819" s="128"/>
      <c r="M819" s="129"/>
      <c r="N819" s="129"/>
      <c r="O819" s="129"/>
    </row>
    <row r="820" spans="1:15" ht="12.5">
      <c r="A820" s="158" t="s">
        <v>15790</v>
      </c>
      <c r="B820" s="159">
        <v>20</v>
      </c>
      <c r="C820" s="159">
        <v>76</v>
      </c>
      <c r="D820" s="159">
        <v>71</v>
      </c>
      <c r="E820" s="159">
        <v>78</v>
      </c>
      <c r="F820" s="160" t="s">
        <v>32838</v>
      </c>
      <c r="G820" s="132"/>
      <c r="H820" s="162" t="s">
        <v>15791</v>
      </c>
      <c r="I820" s="158" t="s">
        <v>15792</v>
      </c>
      <c r="J820" s="128"/>
      <c r="K820" s="128"/>
      <c r="L820" s="128"/>
      <c r="M820" s="129"/>
      <c r="N820" s="129"/>
      <c r="O820" s="129"/>
    </row>
    <row r="821" spans="1:15" ht="12.5">
      <c r="A821" s="158" t="s">
        <v>15795</v>
      </c>
      <c r="B821" s="159">
        <v>20</v>
      </c>
      <c r="C821" s="159">
        <v>76</v>
      </c>
      <c r="D821" s="159">
        <v>71</v>
      </c>
      <c r="E821" s="159">
        <v>80</v>
      </c>
      <c r="F821" s="160" t="s">
        <v>32838</v>
      </c>
      <c r="G821" s="132"/>
      <c r="H821" s="162" t="s">
        <v>15796</v>
      </c>
      <c r="I821" s="128"/>
      <c r="J821" s="128"/>
      <c r="K821" s="128"/>
      <c r="L821" s="128"/>
      <c r="M821" s="129"/>
      <c r="N821" s="129"/>
      <c r="O821" s="129"/>
    </row>
    <row r="822" spans="1:15" ht="12.5">
      <c r="A822" s="158" t="s">
        <v>15797</v>
      </c>
      <c r="B822" s="159">
        <v>20</v>
      </c>
      <c r="C822" s="159">
        <v>76</v>
      </c>
      <c r="D822" s="159">
        <v>71</v>
      </c>
      <c r="E822" s="159">
        <v>81</v>
      </c>
      <c r="F822" s="160" t="s">
        <v>32838</v>
      </c>
      <c r="G822" s="132"/>
      <c r="H822" s="162" t="s">
        <v>15798</v>
      </c>
      <c r="I822" s="128"/>
      <c r="J822" s="128"/>
      <c r="K822" s="128"/>
      <c r="L822" s="128"/>
      <c r="M822" s="129"/>
      <c r="N822" s="129"/>
      <c r="O822" s="129"/>
    </row>
    <row r="823" spans="1:15" ht="12.5">
      <c r="A823" s="158" t="s">
        <v>15799</v>
      </c>
      <c r="B823" s="159">
        <v>20</v>
      </c>
      <c r="C823" s="159">
        <v>76</v>
      </c>
      <c r="D823" s="159">
        <v>71</v>
      </c>
      <c r="E823" s="159">
        <v>82</v>
      </c>
      <c r="F823" s="160" t="s">
        <v>32838</v>
      </c>
      <c r="G823" s="132"/>
      <c r="H823" s="162" t="s">
        <v>15800</v>
      </c>
      <c r="I823" s="128"/>
      <c r="J823" s="128"/>
      <c r="K823" s="128"/>
      <c r="L823" s="128"/>
      <c r="M823" s="129"/>
      <c r="N823" s="129"/>
      <c r="O823" s="129"/>
    </row>
    <row r="824" spans="1:15" ht="12.5">
      <c r="A824" s="158" t="s">
        <v>15801</v>
      </c>
      <c r="B824" s="159">
        <v>20</v>
      </c>
      <c r="C824" s="159">
        <v>76</v>
      </c>
      <c r="D824" s="159">
        <v>71</v>
      </c>
      <c r="E824" s="159">
        <v>83</v>
      </c>
      <c r="F824" s="160" t="s">
        <v>32838</v>
      </c>
      <c r="G824" s="132"/>
      <c r="H824" s="162" t="s">
        <v>15802</v>
      </c>
      <c r="I824" s="128"/>
      <c r="J824" s="128"/>
      <c r="K824" s="128"/>
      <c r="L824" s="128"/>
      <c r="M824" s="129"/>
      <c r="N824" s="129"/>
      <c r="O824" s="129"/>
    </row>
    <row r="825" spans="1:15" ht="12.5">
      <c r="A825" s="158" t="s">
        <v>15803</v>
      </c>
      <c r="B825" s="159">
        <v>20</v>
      </c>
      <c r="C825" s="159">
        <v>76</v>
      </c>
      <c r="D825" s="159">
        <v>71</v>
      </c>
      <c r="E825" s="159">
        <v>84</v>
      </c>
      <c r="F825" s="160" t="s">
        <v>32838</v>
      </c>
      <c r="G825" s="132"/>
      <c r="H825" s="162" t="s">
        <v>15804</v>
      </c>
      <c r="I825" s="128"/>
      <c r="J825" s="128"/>
      <c r="K825" s="128"/>
      <c r="L825" s="128"/>
      <c r="M825" s="129"/>
      <c r="N825" s="129"/>
      <c r="O825" s="129"/>
    </row>
    <row r="826" spans="1:15" ht="12.5">
      <c r="A826" s="158" t="s">
        <v>15805</v>
      </c>
      <c r="B826" s="159">
        <v>20</v>
      </c>
      <c r="C826" s="159">
        <v>76</v>
      </c>
      <c r="D826" s="159">
        <v>71</v>
      </c>
      <c r="E826" s="159">
        <v>85</v>
      </c>
      <c r="F826" s="160" t="s">
        <v>32838</v>
      </c>
      <c r="G826" s="132"/>
      <c r="H826" s="162" t="s">
        <v>15806</v>
      </c>
      <c r="I826" s="158" t="s">
        <v>15807</v>
      </c>
      <c r="J826" s="128"/>
      <c r="K826" s="128"/>
      <c r="L826" s="128"/>
      <c r="M826" s="129"/>
      <c r="N826" s="129"/>
      <c r="O826" s="129"/>
    </row>
    <row r="827" spans="1:15" ht="12.5">
      <c r="A827" s="158" t="s">
        <v>15808</v>
      </c>
      <c r="B827" s="159">
        <v>20</v>
      </c>
      <c r="C827" s="159">
        <v>76</v>
      </c>
      <c r="D827" s="159">
        <v>71</v>
      </c>
      <c r="E827" s="159">
        <v>86</v>
      </c>
      <c r="F827" s="160" t="s">
        <v>32838</v>
      </c>
      <c r="G827" s="132"/>
      <c r="H827" s="162" t="s">
        <v>15809</v>
      </c>
      <c r="I827" s="128"/>
      <c r="J827" s="128"/>
      <c r="K827" s="128"/>
      <c r="L827" s="128"/>
      <c r="M827" s="129"/>
      <c r="N827" s="129"/>
      <c r="O827" s="129"/>
    </row>
    <row r="828" spans="1:15" ht="12.5">
      <c r="A828" s="158" t="s">
        <v>15810</v>
      </c>
      <c r="B828" s="159">
        <v>20</v>
      </c>
      <c r="C828" s="159">
        <v>76</v>
      </c>
      <c r="D828" s="159">
        <v>71</v>
      </c>
      <c r="E828" s="159">
        <v>87</v>
      </c>
      <c r="F828" s="160" t="s">
        <v>32838</v>
      </c>
      <c r="G828" s="132"/>
      <c r="H828" s="162" t="s">
        <v>15811</v>
      </c>
      <c r="I828" s="128"/>
      <c r="J828" s="128"/>
      <c r="K828" s="128"/>
      <c r="L828" s="128"/>
      <c r="M828" s="129"/>
      <c r="N828" s="129"/>
      <c r="O828" s="129"/>
    </row>
    <row r="829" spans="1:15" ht="12.5">
      <c r="A829" s="158" t="s">
        <v>15812</v>
      </c>
      <c r="B829" s="159">
        <v>20</v>
      </c>
      <c r="C829" s="159">
        <v>76</v>
      </c>
      <c r="D829" s="159">
        <v>71</v>
      </c>
      <c r="E829" s="159">
        <v>90</v>
      </c>
      <c r="F829" s="160" t="s">
        <v>32838</v>
      </c>
      <c r="G829" s="132"/>
      <c r="H829" s="162" t="s">
        <v>15813</v>
      </c>
      <c r="I829" s="158" t="s">
        <v>15814</v>
      </c>
      <c r="J829" s="128"/>
      <c r="K829" s="128"/>
      <c r="L829" s="128"/>
      <c r="M829" s="129"/>
      <c r="N829" s="129"/>
      <c r="O829" s="129"/>
    </row>
    <row r="830" spans="1:15" ht="12.5">
      <c r="A830" s="158" t="s">
        <v>15815</v>
      </c>
      <c r="B830" s="159">
        <v>20</v>
      </c>
      <c r="C830" s="159">
        <v>76</v>
      </c>
      <c r="D830" s="159">
        <v>71</v>
      </c>
      <c r="E830" s="159">
        <v>91</v>
      </c>
      <c r="F830" s="160" t="s">
        <v>32838</v>
      </c>
      <c r="G830" s="132"/>
      <c r="H830" s="162" t="s">
        <v>15816</v>
      </c>
      <c r="I830" s="158" t="s">
        <v>15817</v>
      </c>
      <c r="J830" s="128"/>
      <c r="K830" s="128"/>
      <c r="L830" s="128"/>
      <c r="M830" s="129"/>
      <c r="N830" s="129"/>
      <c r="O830" s="129"/>
    </row>
    <row r="831" spans="1:15" ht="12.5">
      <c r="A831" s="151" t="s">
        <v>15818</v>
      </c>
      <c r="B831" s="152">
        <v>20</v>
      </c>
      <c r="C831" s="152">
        <v>76</v>
      </c>
      <c r="D831" s="152">
        <v>78</v>
      </c>
      <c r="E831" s="153"/>
      <c r="F831" s="154" t="s">
        <v>33042</v>
      </c>
      <c r="G831" s="168"/>
      <c r="H831" s="156" t="s">
        <v>15819</v>
      </c>
      <c r="I831" s="157"/>
      <c r="J831" s="128"/>
      <c r="K831" s="128"/>
      <c r="L831" s="128"/>
      <c r="M831" s="129"/>
      <c r="N831" s="129"/>
      <c r="O831" s="129"/>
    </row>
    <row r="832" spans="1:15" ht="12.5">
      <c r="A832" s="158" t="s">
        <v>15820</v>
      </c>
      <c r="B832" s="159">
        <v>20</v>
      </c>
      <c r="C832" s="159">
        <v>76</v>
      </c>
      <c r="D832" s="159">
        <v>78</v>
      </c>
      <c r="E832" s="159">
        <v>12</v>
      </c>
      <c r="F832" s="160" t="s">
        <v>32838</v>
      </c>
      <c r="G832" s="132"/>
      <c r="H832" s="162" t="s">
        <v>15821</v>
      </c>
      <c r="I832" s="158" t="s">
        <v>15822</v>
      </c>
      <c r="J832" s="128"/>
      <c r="K832" s="128"/>
      <c r="L832" s="128"/>
      <c r="M832" s="129"/>
      <c r="N832" s="129"/>
      <c r="O832" s="129"/>
    </row>
    <row r="833" spans="1:15" ht="12.5">
      <c r="A833" s="158" t="s">
        <v>15823</v>
      </c>
      <c r="B833" s="159">
        <v>20</v>
      </c>
      <c r="C833" s="159">
        <v>76</v>
      </c>
      <c r="D833" s="159">
        <v>78</v>
      </c>
      <c r="E833" s="159">
        <v>14</v>
      </c>
      <c r="F833" s="160" t="s">
        <v>32838</v>
      </c>
      <c r="G833" s="132"/>
      <c r="H833" s="162" t="s">
        <v>15824</v>
      </c>
      <c r="I833" s="158" t="s">
        <v>15825</v>
      </c>
      <c r="J833" s="128"/>
      <c r="K833" s="128"/>
      <c r="L833" s="128"/>
      <c r="M833" s="129"/>
      <c r="N833" s="129"/>
      <c r="O833" s="129"/>
    </row>
    <row r="834" spans="1:15" ht="12.5">
      <c r="A834" s="158" t="s">
        <v>15826</v>
      </c>
      <c r="B834" s="159">
        <v>20</v>
      </c>
      <c r="C834" s="159">
        <v>76</v>
      </c>
      <c r="D834" s="159">
        <v>78</v>
      </c>
      <c r="E834" s="159">
        <v>16</v>
      </c>
      <c r="F834" s="160" t="s">
        <v>32838</v>
      </c>
      <c r="G834" s="132"/>
      <c r="H834" s="162" t="s">
        <v>15827</v>
      </c>
      <c r="I834" s="158" t="s">
        <v>15828</v>
      </c>
      <c r="J834" s="128"/>
      <c r="K834" s="128"/>
      <c r="L834" s="128"/>
      <c r="M834" s="129"/>
      <c r="N834" s="129"/>
      <c r="O834" s="129"/>
    </row>
    <row r="835" spans="1:15" ht="12.5">
      <c r="A835" s="158" t="s">
        <v>15829</v>
      </c>
      <c r="B835" s="159">
        <v>20</v>
      </c>
      <c r="C835" s="159">
        <v>76</v>
      </c>
      <c r="D835" s="159">
        <v>78</v>
      </c>
      <c r="E835" s="159">
        <v>65</v>
      </c>
      <c r="F835" s="160" t="s">
        <v>32838</v>
      </c>
      <c r="G835" s="132"/>
      <c r="H835" s="162" t="s">
        <v>15830</v>
      </c>
      <c r="I835" s="158" t="s">
        <v>15831</v>
      </c>
      <c r="J835" s="128"/>
      <c r="K835" s="128"/>
      <c r="L835" s="128"/>
      <c r="M835" s="129"/>
      <c r="N835" s="129"/>
      <c r="O835" s="129"/>
    </row>
    <row r="836" spans="1:15" ht="12.5">
      <c r="A836" s="151" t="s">
        <v>15832</v>
      </c>
      <c r="B836" s="152">
        <v>20</v>
      </c>
      <c r="C836" s="152">
        <v>76</v>
      </c>
      <c r="D836" s="152">
        <v>88</v>
      </c>
      <c r="E836" s="153"/>
      <c r="F836" s="154" t="s">
        <v>33043</v>
      </c>
      <c r="G836" s="168"/>
      <c r="H836" s="156" t="s">
        <v>15833</v>
      </c>
      <c r="I836" s="157"/>
      <c r="J836" s="128"/>
      <c r="K836" s="128"/>
      <c r="L836" s="128"/>
      <c r="M836" s="129"/>
      <c r="N836" s="129"/>
      <c r="O836" s="129"/>
    </row>
    <row r="837" spans="1:15" ht="12.5">
      <c r="A837" s="158" t="s">
        <v>15834</v>
      </c>
      <c r="B837" s="159">
        <v>20</v>
      </c>
      <c r="C837" s="159">
        <v>76</v>
      </c>
      <c r="D837" s="159">
        <v>88</v>
      </c>
      <c r="E837" s="159">
        <v>14</v>
      </c>
      <c r="F837" s="160" t="s">
        <v>32838</v>
      </c>
      <c r="G837" s="132"/>
      <c r="H837" s="162" t="s">
        <v>15835</v>
      </c>
      <c r="I837" s="158" t="s">
        <v>15836</v>
      </c>
      <c r="J837" s="128"/>
      <c r="K837" s="128"/>
      <c r="L837" s="128"/>
      <c r="M837" s="129"/>
      <c r="N837" s="129"/>
      <c r="O837" s="129"/>
    </row>
    <row r="838" spans="1:15" ht="12.5">
      <c r="A838" s="158" t="s">
        <v>15837</v>
      </c>
      <c r="B838" s="159">
        <v>20</v>
      </c>
      <c r="C838" s="159">
        <v>76</v>
      </c>
      <c r="D838" s="159">
        <v>88</v>
      </c>
      <c r="E838" s="159">
        <v>32</v>
      </c>
      <c r="F838" s="160" t="s">
        <v>32838</v>
      </c>
      <c r="G838" s="132"/>
      <c r="H838" s="162" t="s">
        <v>15838</v>
      </c>
      <c r="I838" s="158" t="s">
        <v>15839</v>
      </c>
      <c r="J838" s="128"/>
      <c r="K838" s="128"/>
      <c r="L838" s="128"/>
      <c r="M838" s="129"/>
      <c r="N838" s="129"/>
      <c r="O838" s="129"/>
    </row>
    <row r="839" spans="1:15" ht="12.5">
      <c r="A839" s="158" t="s">
        <v>15840</v>
      </c>
      <c r="B839" s="159">
        <v>20</v>
      </c>
      <c r="C839" s="159">
        <v>76</v>
      </c>
      <c r="D839" s="159">
        <v>88</v>
      </c>
      <c r="E839" s="159">
        <v>33</v>
      </c>
      <c r="F839" s="160" t="s">
        <v>32838</v>
      </c>
      <c r="G839" s="132"/>
      <c r="H839" s="162" t="s">
        <v>15841</v>
      </c>
      <c r="I839" s="158" t="s">
        <v>15842</v>
      </c>
      <c r="J839" s="128"/>
      <c r="K839" s="128"/>
      <c r="L839" s="128"/>
      <c r="M839" s="129"/>
      <c r="N839" s="129"/>
      <c r="O839" s="129"/>
    </row>
    <row r="840" spans="1:15" ht="12.5">
      <c r="A840" s="158" t="s">
        <v>15843</v>
      </c>
      <c r="B840" s="159">
        <v>20</v>
      </c>
      <c r="C840" s="159">
        <v>76</v>
      </c>
      <c r="D840" s="159">
        <v>88</v>
      </c>
      <c r="E840" s="159">
        <v>34</v>
      </c>
      <c r="F840" s="160" t="s">
        <v>32838</v>
      </c>
      <c r="G840" s="132"/>
      <c r="H840" s="162" t="s">
        <v>15844</v>
      </c>
      <c r="I840" s="158" t="s">
        <v>15845</v>
      </c>
      <c r="J840" s="128"/>
      <c r="K840" s="128"/>
      <c r="L840" s="128"/>
      <c r="M840" s="129"/>
      <c r="N840" s="129"/>
      <c r="O840" s="129"/>
    </row>
    <row r="841" spans="1:15" ht="12.5">
      <c r="A841" s="158" t="s">
        <v>15846</v>
      </c>
      <c r="B841" s="159">
        <v>20</v>
      </c>
      <c r="C841" s="159">
        <v>76</v>
      </c>
      <c r="D841" s="159">
        <v>88</v>
      </c>
      <c r="E841" s="159">
        <v>35</v>
      </c>
      <c r="F841" s="160" t="s">
        <v>32838</v>
      </c>
      <c r="G841" s="132"/>
      <c r="H841" s="162" t="s">
        <v>15847</v>
      </c>
      <c r="I841" s="128"/>
      <c r="J841" s="128"/>
      <c r="K841" s="128"/>
      <c r="L841" s="128"/>
      <c r="M841" s="129"/>
      <c r="N841" s="129"/>
      <c r="O841" s="129"/>
    </row>
    <row r="842" spans="1:15" ht="12.5">
      <c r="A842" s="158" t="s">
        <v>15848</v>
      </c>
      <c r="B842" s="159">
        <v>20</v>
      </c>
      <c r="C842" s="159">
        <v>76</v>
      </c>
      <c r="D842" s="159">
        <v>88</v>
      </c>
      <c r="E842" s="159">
        <v>36</v>
      </c>
      <c r="F842" s="160" t="s">
        <v>32838</v>
      </c>
      <c r="G842" s="132"/>
      <c r="H842" s="162" t="s">
        <v>15849</v>
      </c>
      <c r="I842" s="128"/>
      <c r="J842" s="128"/>
      <c r="K842" s="128"/>
      <c r="L842" s="128"/>
      <c r="M842" s="129"/>
      <c r="N842" s="129"/>
      <c r="O842" s="129"/>
    </row>
    <row r="843" spans="1:15" ht="12.5">
      <c r="A843" s="158" t="s">
        <v>15850</v>
      </c>
      <c r="B843" s="159">
        <v>20</v>
      </c>
      <c r="C843" s="159">
        <v>76</v>
      </c>
      <c r="D843" s="159">
        <v>88</v>
      </c>
      <c r="E843" s="159">
        <v>37</v>
      </c>
      <c r="F843" s="160" t="s">
        <v>32838</v>
      </c>
      <c r="G843" s="132"/>
      <c r="H843" s="162" t="s">
        <v>15851</v>
      </c>
      <c r="I843" s="158" t="s">
        <v>15852</v>
      </c>
      <c r="J843" s="128"/>
      <c r="K843" s="128"/>
      <c r="L843" s="128"/>
      <c r="M843" s="129"/>
      <c r="N843" s="129"/>
      <c r="O843" s="129"/>
    </row>
    <row r="844" spans="1:15" ht="12.5">
      <c r="A844" s="158" t="s">
        <v>15853</v>
      </c>
      <c r="B844" s="159">
        <v>20</v>
      </c>
      <c r="C844" s="159">
        <v>76</v>
      </c>
      <c r="D844" s="159">
        <v>88</v>
      </c>
      <c r="E844" s="159">
        <v>40</v>
      </c>
      <c r="F844" s="160" t="s">
        <v>32838</v>
      </c>
      <c r="G844" s="132"/>
      <c r="H844" s="162" t="s">
        <v>15854</v>
      </c>
      <c r="I844" s="158" t="s">
        <v>15855</v>
      </c>
      <c r="J844" s="128"/>
      <c r="K844" s="128"/>
      <c r="L844" s="128"/>
      <c r="M844" s="129"/>
      <c r="N844" s="129"/>
      <c r="O844" s="129"/>
    </row>
    <row r="845" spans="1:15" ht="12.5">
      <c r="A845" s="158" t="s">
        <v>15856</v>
      </c>
      <c r="B845" s="159">
        <v>20</v>
      </c>
      <c r="C845" s="159">
        <v>76</v>
      </c>
      <c r="D845" s="159">
        <v>88</v>
      </c>
      <c r="E845" s="159">
        <v>41</v>
      </c>
      <c r="F845" s="160" t="s">
        <v>32838</v>
      </c>
      <c r="G845" s="132"/>
      <c r="H845" s="162" t="s">
        <v>15857</v>
      </c>
      <c r="I845" s="128"/>
      <c r="J845" s="128"/>
      <c r="K845" s="128"/>
      <c r="L845" s="128"/>
      <c r="M845" s="129"/>
      <c r="N845" s="129"/>
      <c r="O845" s="129"/>
    </row>
    <row r="846" spans="1:15" ht="12.5">
      <c r="A846" s="158" t="s">
        <v>15858</v>
      </c>
      <c r="B846" s="159">
        <v>20</v>
      </c>
      <c r="C846" s="159">
        <v>76</v>
      </c>
      <c r="D846" s="159">
        <v>88</v>
      </c>
      <c r="E846" s="159">
        <v>42</v>
      </c>
      <c r="F846" s="160" t="s">
        <v>32838</v>
      </c>
      <c r="G846" s="132"/>
      <c r="H846" s="162" t="s">
        <v>15859</v>
      </c>
      <c r="I846" s="128"/>
      <c r="J846" s="128"/>
      <c r="K846" s="128"/>
      <c r="L846" s="128"/>
      <c r="M846" s="129"/>
      <c r="N846" s="129"/>
      <c r="O846" s="129"/>
    </row>
    <row r="847" spans="1:15" ht="12.5">
      <c r="A847" s="158" t="s">
        <v>15860</v>
      </c>
      <c r="B847" s="159">
        <v>20</v>
      </c>
      <c r="C847" s="159">
        <v>76</v>
      </c>
      <c r="D847" s="159">
        <v>88</v>
      </c>
      <c r="E847" s="159">
        <v>43</v>
      </c>
      <c r="F847" s="160" t="s">
        <v>32838</v>
      </c>
      <c r="G847" s="132"/>
      <c r="H847" s="162" t="s">
        <v>15861</v>
      </c>
      <c r="I847" s="128"/>
      <c r="J847" s="128"/>
      <c r="K847" s="128"/>
      <c r="L847" s="128"/>
      <c r="M847" s="129"/>
      <c r="N847" s="129"/>
      <c r="O847" s="129"/>
    </row>
    <row r="848" spans="1:15" ht="12.5">
      <c r="A848" s="158" t="s">
        <v>15862</v>
      </c>
      <c r="B848" s="159">
        <v>20</v>
      </c>
      <c r="C848" s="159">
        <v>76</v>
      </c>
      <c r="D848" s="159">
        <v>88</v>
      </c>
      <c r="E848" s="159">
        <v>44</v>
      </c>
      <c r="F848" s="160" t="s">
        <v>32838</v>
      </c>
      <c r="G848" s="132"/>
      <c r="H848" s="162" t="s">
        <v>15863</v>
      </c>
      <c r="I848" s="158" t="s">
        <v>15864</v>
      </c>
      <c r="J848" s="128"/>
      <c r="K848" s="128"/>
      <c r="L848" s="128"/>
      <c r="M848" s="129"/>
      <c r="N848" s="129"/>
      <c r="O848" s="129"/>
    </row>
    <row r="849" spans="1:15" ht="12.5">
      <c r="A849" s="158" t="s">
        <v>15865</v>
      </c>
      <c r="B849" s="159">
        <v>20</v>
      </c>
      <c r="C849" s="159">
        <v>76</v>
      </c>
      <c r="D849" s="159">
        <v>88</v>
      </c>
      <c r="E849" s="159">
        <v>46</v>
      </c>
      <c r="F849" s="160" t="s">
        <v>32838</v>
      </c>
      <c r="G849" s="132"/>
      <c r="H849" s="162" t="s">
        <v>15866</v>
      </c>
      <c r="I849" s="128"/>
      <c r="J849" s="128"/>
      <c r="K849" s="128"/>
      <c r="L849" s="128"/>
      <c r="M849" s="129"/>
      <c r="N849" s="129"/>
      <c r="O849" s="129"/>
    </row>
    <row r="850" spans="1:15" ht="12.5">
      <c r="A850" s="158" t="s">
        <v>15867</v>
      </c>
      <c r="B850" s="159">
        <v>20</v>
      </c>
      <c r="C850" s="159">
        <v>76</v>
      </c>
      <c r="D850" s="159">
        <v>88</v>
      </c>
      <c r="E850" s="159">
        <v>48</v>
      </c>
      <c r="F850" s="160" t="s">
        <v>32838</v>
      </c>
      <c r="G850" s="132"/>
      <c r="H850" s="162" t="s">
        <v>15868</v>
      </c>
      <c r="I850" s="128"/>
      <c r="J850" s="128"/>
      <c r="K850" s="128"/>
      <c r="L850" s="128"/>
      <c r="M850" s="129"/>
      <c r="N850" s="129"/>
      <c r="O850" s="129"/>
    </row>
    <row r="851" spans="1:15" ht="12.5">
      <c r="A851" s="158" t="s">
        <v>15869</v>
      </c>
      <c r="B851" s="159">
        <v>20</v>
      </c>
      <c r="C851" s="159">
        <v>76</v>
      </c>
      <c r="D851" s="159">
        <v>88</v>
      </c>
      <c r="E851" s="159">
        <v>49</v>
      </c>
      <c r="F851" s="160" t="s">
        <v>32838</v>
      </c>
      <c r="G851" s="132"/>
      <c r="H851" s="162" t="s">
        <v>15870</v>
      </c>
      <c r="I851" s="128"/>
      <c r="J851" s="128"/>
      <c r="K851" s="128"/>
      <c r="L851" s="128"/>
      <c r="M851" s="129"/>
      <c r="N851" s="129"/>
      <c r="O851" s="129"/>
    </row>
    <row r="852" spans="1:15" ht="12.5">
      <c r="A852" s="158" t="s">
        <v>15871</v>
      </c>
      <c r="B852" s="159">
        <v>20</v>
      </c>
      <c r="C852" s="159">
        <v>76</v>
      </c>
      <c r="D852" s="159">
        <v>88</v>
      </c>
      <c r="E852" s="159">
        <v>60</v>
      </c>
      <c r="F852" s="160" t="s">
        <v>32838</v>
      </c>
      <c r="G852" s="132"/>
      <c r="H852" s="162" t="s">
        <v>15872</v>
      </c>
      <c r="I852" s="128"/>
      <c r="J852" s="128"/>
      <c r="K852" s="128"/>
      <c r="L852" s="128"/>
      <c r="M852" s="129"/>
      <c r="N852" s="129"/>
      <c r="O852" s="129"/>
    </row>
    <row r="853" spans="1:15" ht="12.5">
      <c r="A853" s="158" t="s">
        <v>15873</v>
      </c>
      <c r="B853" s="159">
        <v>20</v>
      </c>
      <c r="C853" s="159">
        <v>76</v>
      </c>
      <c r="D853" s="159">
        <v>88</v>
      </c>
      <c r="E853" s="159">
        <v>72</v>
      </c>
      <c r="F853" s="160" t="s">
        <v>32838</v>
      </c>
      <c r="G853" s="132"/>
      <c r="H853" s="162" t="s">
        <v>15874</v>
      </c>
      <c r="I853" s="158" t="s">
        <v>15875</v>
      </c>
      <c r="J853" s="128"/>
      <c r="K853" s="128"/>
      <c r="L853" s="128"/>
      <c r="M853" s="129"/>
      <c r="N853" s="129"/>
      <c r="O853" s="129"/>
    </row>
    <row r="854" spans="1:15" ht="12.5">
      <c r="A854" s="158" t="s">
        <v>15876</v>
      </c>
      <c r="B854" s="159">
        <v>20</v>
      </c>
      <c r="C854" s="159">
        <v>76</v>
      </c>
      <c r="D854" s="159">
        <v>88</v>
      </c>
      <c r="E854" s="159">
        <v>73</v>
      </c>
      <c r="F854" s="160" t="s">
        <v>32838</v>
      </c>
      <c r="G854" s="132"/>
      <c r="H854" s="162" t="s">
        <v>15877</v>
      </c>
      <c r="I854" s="158" t="s">
        <v>15878</v>
      </c>
      <c r="J854" s="128"/>
      <c r="K854" s="128"/>
      <c r="L854" s="128"/>
      <c r="M854" s="129"/>
      <c r="N854" s="129"/>
      <c r="O854" s="129"/>
    </row>
    <row r="855" spans="1:15" ht="12.5">
      <c r="A855" s="158" t="s">
        <v>15879</v>
      </c>
      <c r="B855" s="159">
        <v>20</v>
      </c>
      <c r="C855" s="159">
        <v>76</v>
      </c>
      <c r="D855" s="159">
        <v>88</v>
      </c>
      <c r="E855" s="159">
        <v>74</v>
      </c>
      <c r="F855" s="160" t="s">
        <v>32838</v>
      </c>
      <c r="G855" s="132"/>
      <c r="H855" s="162" t="s">
        <v>15880</v>
      </c>
      <c r="I855" s="158" t="s">
        <v>15881</v>
      </c>
      <c r="J855" s="128"/>
      <c r="K855" s="128"/>
      <c r="L855" s="128"/>
      <c r="M855" s="129"/>
      <c r="N855" s="129"/>
      <c r="O855" s="129"/>
    </row>
    <row r="856" spans="1:15" ht="12.5">
      <c r="A856" s="158" t="s">
        <v>15882</v>
      </c>
      <c r="B856" s="159">
        <v>20</v>
      </c>
      <c r="C856" s="159">
        <v>76</v>
      </c>
      <c r="D856" s="159">
        <v>88</v>
      </c>
      <c r="E856" s="159">
        <v>75</v>
      </c>
      <c r="F856" s="160" t="s">
        <v>32838</v>
      </c>
      <c r="G856" s="132"/>
      <c r="H856" s="162" t="s">
        <v>15883</v>
      </c>
      <c r="I856" s="158" t="s">
        <v>15884</v>
      </c>
      <c r="J856" s="128"/>
      <c r="K856" s="128"/>
      <c r="L856" s="128"/>
      <c r="M856" s="129"/>
      <c r="N856" s="129"/>
      <c r="O856" s="129"/>
    </row>
    <row r="857" spans="1:15" ht="12.5">
      <c r="A857" s="158" t="s">
        <v>15885</v>
      </c>
      <c r="B857" s="159">
        <v>20</v>
      </c>
      <c r="C857" s="159">
        <v>76</v>
      </c>
      <c r="D857" s="159">
        <v>88</v>
      </c>
      <c r="E857" s="159">
        <v>76</v>
      </c>
      <c r="F857" s="160" t="s">
        <v>32838</v>
      </c>
      <c r="G857" s="132"/>
      <c r="H857" s="162" t="s">
        <v>15886</v>
      </c>
      <c r="I857" s="158" t="s">
        <v>15887</v>
      </c>
      <c r="J857" s="128"/>
      <c r="K857" s="128"/>
      <c r="L857" s="128"/>
      <c r="M857" s="129"/>
      <c r="N857" s="129"/>
      <c r="O857" s="129"/>
    </row>
    <row r="858" spans="1:15" ht="12.5">
      <c r="A858" s="158" t="s">
        <v>15888</v>
      </c>
      <c r="B858" s="159">
        <v>20</v>
      </c>
      <c r="C858" s="159">
        <v>76</v>
      </c>
      <c r="D858" s="159">
        <v>88</v>
      </c>
      <c r="E858" s="159">
        <v>79</v>
      </c>
      <c r="F858" s="160" t="s">
        <v>32838</v>
      </c>
      <c r="G858" s="132"/>
      <c r="H858" s="162" t="s">
        <v>15889</v>
      </c>
      <c r="I858" s="158" t="s">
        <v>15890</v>
      </c>
      <c r="J858" s="128"/>
      <c r="K858" s="128"/>
      <c r="L858" s="128"/>
      <c r="M858" s="129"/>
      <c r="N858" s="129"/>
      <c r="O858" s="129"/>
    </row>
    <row r="859" spans="1:15" ht="12.5">
      <c r="A859" s="158" t="s">
        <v>15891</v>
      </c>
      <c r="B859" s="159">
        <v>20</v>
      </c>
      <c r="C859" s="159">
        <v>76</v>
      </c>
      <c r="D859" s="159">
        <v>88</v>
      </c>
      <c r="E859" s="159">
        <v>80</v>
      </c>
      <c r="F859" s="160" t="s">
        <v>32838</v>
      </c>
      <c r="G859" s="132"/>
      <c r="H859" s="162" t="s">
        <v>15892</v>
      </c>
      <c r="I859" s="128"/>
      <c r="J859" s="128"/>
      <c r="K859" s="128"/>
      <c r="L859" s="128"/>
      <c r="M859" s="129"/>
      <c r="N859" s="129"/>
      <c r="O859" s="129"/>
    </row>
    <row r="860" spans="1:15" ht="12.5">
      <c r="A860" s="158" t="s">
        <v>15893</v>
      </c>
      <c r="B860" s="159">
        <v>20</v>
      </c>
      <c r="C860" s="159">
        <v>76</v>
      </c>
      <c r="D860" s="159">
        <v>88</v>
      </c>
      <c r="E860" s="159">
        <v>81</v>
      </c>
      <c r="F860" s="160" t="s">
        <v>32838</v>
      </c>
      <c r="G860" s="132"/>
      <c r="H860" s="162" t="s">
        <v>15894</v>
      </c>
      <c r="I860" s="128"/>
      <c r="J860" s="128"/>
      <c r="K860" s="128"/>
      <c r="L860" s="128"/>
      <c r="M860" s="129"/>
      <c r="N860" s="129"/>
      <c r="O860" s="129"/>
    </row>
    <row r="861" spans="1:15" ht="12.5">
      <c r="A861" s="158" t="s">
        <v>15895</v>
      </c>
      <c r="B861" s="159">
        <v>20</v>
      </c>
      <c r="C861" s="159">
        <v>76</v>
      </c>
      <c r="D861" s="159">
        <v>88</v>
      </c>
      <c r="E861" s="159">
        <v>82</v>
      </c>
      <c r="F861" s="160" t="s">
        <v>32838</v>
      </c>
      <c r="G861" s="132"/>
      <c r="H861" s="162" t="s">
        <v>15896</v>
      </c>
      <c r="I861" s="158" t="s">
        <v>15897</v>
      </c>
      <c r="J861" s="128"/>
      <c r="K861" s="128"/>
      <c r="L861" s="128"/>
      <c r="M861" s="129"/>
      <c r="N861" s="129"/>
      <c r="O861" s="129"/>
    </row>
    <row r="862" spans="1:15" ht="12.5">
      <c r="A862" s="158" t="s">
        <v>15898</v>
      </c>
      <c r="B862" s="159">
        <v>20</v>
      </c>
      <c r="C862" s="159">
        <v>76</v>
      </c>
      <c r="D862" s="159">
        <v>88</v>
      </c>
      <c r="E862" s="159">
        <v>83</v>
      </c>
      <c r="F862" s="160" t="s">
        <v>32838</v>
      </c>
      <c r="G862" s="132"/>
      <c r="H862" s="162" t="s">
        <v>15899</v>
      </c>
      <c r="I862" s="158" t="s">
        <v>15900</v>
      </c>
      <c r="J862" s="128"/>
      <c r="K862" s="128"/>
      <c r="L862" s="128"/>
      <c r="M862" s="129"/>
      <c r="N862" s="129"/>
      <c r="O862" s="129"/>
    </row>
    <row r="863" spans="1:15" ht="12.5">
      <c r="A863" s="158" t="s">
        <v>15901</v>
      </c>
      <c r="B863" s="159">
        <v>20</v>
      </c>
      <c r="C863" s="159">
        <v>76</v>
      </c>
      <c r="D863" s="159">
        <v>88</v>
      </c>
      <c r="E863" s="159">
        <v>84</v>
      </c>
      <c r="F863" s="160" t="s">
        <v>32838</v>
      </c>
      <c r="G863" s="132"/>
      <c r="H863" s="162" t="s">
        <v>15902</v>
      </c>
      <c r="I863" s="158" t="s">
        <v>15903</v>
      </c>
      <c r="J863" s="128"/>
      <c r="K863" s="128"/>
      <c r="L863" s="128"/>
      <c r="M863" s="129"/>
      <c r="N863" s="129"/>
      <c r="O863" s="129"/>
    </row>
    <row r="864" spans="1:15" ht="12.5">
      <c r="A864" s="158" t="s">
        <v>15904</v>
      </c>
      <c r="B864" s="159">
        <v>20</v>
      </c>
      <c r="C864" s="159">
        <v>76</v>
      </c>
      <c r="D864" s="159">
        <v>88</v>
      </c>
      <c r="E864" s="159">
        <v>85</v>
      </c>
      <c r="F864" s="160" t="s">
        <v>32838</v>
      </c>
      <c r="G864" s="132"/>
      <c r="H864" s="162" t="s">
        <v>15905</v>
      </c>
      <c r="I864" s="158" t="s">
        <v>15906</v>
      </c>
      <c r="J864" s="128"/>
      <c r="K864" s="128"/>
      <c r="L864" s="128"/>
      <c r="M864" s="129"/>
      <c r="N864" s="129"/>
      <c r="O864" s="129"/>
    </row>
    <row r="865" spans="1:15" ht="12.5">
      <c r="A865" s="158" t="s">
        <v>15907</v>
      </c>
      <c r="B865" s="159">
        <v>20</v>
      </c>
      <c r="C865" s="159">
        <v>76</v>
      </c>
      <c r="D865" s="159">
        <v>88</v>
      </c>
      <c r="E865" s="159">
        <v>86</v>
      </c>
      <c r="F865" s="160" t="s">
        <v>32838</v>
      </c>
      <c r="G865" s="132"/>
      <c r="H865" s="162" t="s">
        <v>15908</v>
      </c>
      <c r="I865" s="158" t="s">
        <v>15909</v>
      </c>
      <c r="J865" s="128"/>
      <c r="K865" s="128"/>
      <c r="L865" s="128"/>
      <c r="M865" s="129"/>
      <c r="N865" s="129"/>
      <c r="O865" s="129"/>
    </row>
    <row r="866" spans="1:15" ht="12.5">
      <c r="A866" s="158" t="s">
        <v>15910</v>
      </c>
      <c r="B866" s="159">
        <v>20</v>
      </c>
      <c r="C866" s="159">
        <v>76</v>
      </c>
      <c r="D866" s="159">
        <v>88</v>
      </c>
      <c r="E866" s="159">
        <v>87</v>
      </c>
      <c r="F866" s="160" t="s">
        <v>32838</v>
      </c>
      <c r="G866" s="132"/>
      <c r="H866" s="162" t="s">
        <v>15911</v>
      </c>
      <c r="I866" s="158" t="s">
        <v>15912</v>
      </c>
      <c r="J866" s="128"/>
      <c r="K866" s="128"/>
      <c r="L866" s="128"/>
      <c r="M866" s="129"/>
      <c r="N866" s="129"/>
      <c r="O866" s="129"/>
    </row>
    <row r="867" spans="1:15" ht="12.5">
      <c r="A867" s="158" t="s">
        <v>15913</v>
      </c>
      <c r="B867" s="159">
        <v>20</v>
      </c>
      <c r="C867" s="159">
        <v>76</v>
      </c>
      <c r="D867" s="159">
        <v>88</v>
      </c>
      <c r="E867" s="159">
        <v>88</v>
      </c>
      <c r="F867" s="160" t="s">
        <v>32838</v>
      </c>
      <c r="G867" s="132"/>
      <c r="H867" s="162" t="s">
        <v>15914</v>
      </c>
      <c r="I867" s="128"/>
      <c r="J867" s="128"/>
      <c r="K867" s="128"/>
      <c r="L867" s="128"/>
      <c r="M867" s="129"/>
      <c r="N867" s="129"/>
      <c r="O867" s="129"/>
    </row>
    <row r="868" spans="1:15" ht="12.5">
      <c r="A868" s="158" t="s">
        <v>15915</v>
      </c>
      <c r="B868" s="159">
        <v>20</v>
      </c>
      <c r="C868" s="159">
        <v>76</v>
      </c>
      <c r="D868" s="159">
        <v>88</v>
      </c>
      <c r="E868" s="159">
        <v>89</v>
      </c>
      <c r="F868" s="160" t="s">
        <v>32838</v>
      </c>
      <c r="G868" s="132"/>
      <c r="H868" s="162" t="s">
        <v>15916</v>
      </c>
      <c r="I868" s="128"/>
      <c r="J868" s="128"/>
      <c r="K868" s="128"/>
      <c r="L868" s="128"/>
      <c r="M868" s="129"/>
      <c r="N868" s="129"/>
      <c r="O868" s="129"/>
    </row>
    <row r="869" spans="1:15" ht="12.5">
      <c r="A869" s="151" t="s">
        <v>15917</v>
      </c>
      <c r="B869" s="152">
        <v>20</v>
      </c>
      <c r="C869" s="152">
        <v>76</v>
      </c>
      <c r="D869" s="152">
        <v>92</v>
      </c>
      <c r="E869" s="153"/>
      <c r="F869" s="154" t="s">
        <v>33044</v>
      </c>
      <c r="G869" s="168"/>
      <c r="H869" s="156" t="s">
        <v>15918</v>
      </c>
      <c r="I869" s="157"/>
      <c r="J869" s="128"/>
      <c r="K869" s="128"/>
      <c r="L869" s="128"/>
      <c r="M869" s="129"/>
      <c r="N869" s="129"/>
      <c r="O869" s="129"/>
    </row>
    <row r="870" spans="1:15" ht="12.5">
      <c r="A870" s="158" t="s">
        <v>15919</v>
      </c>
      <c r="B870" s="159">
        <v>20</v>
      </c>
      <c r="C870" s="159">
        <v>76</v>
      </c>
      <c r="D870" s="159">
        <v>92</v>
      </c>
      <c r="E870" s="159">
        <v>65</v>
      </c>
      <c r="F870" s="160" t="s">
        <v>32838</v>
      </c>
      <c r="G870" s="132"/>
      <c r="H870" s="162" t="s">
        <v>15920</v>
      </c>
      <c r="I870" s="128"/>
      <c r="J870" s="128"/>
      <c r="K870" s="128"/>
      <c r="L870" s="128"/>
      <c r="M870" s="129"/>
      <c r="N870" s="129"/>
      <c r="O870" s="129"/>
    </row>
    <row r="871" spans="1:15" ht="12.5">
      <c r="A871" s="144" t="s">
        <v>15921</v>
      </c>
      <c r="B871" s="145">
        <v>20</v>
      </c>
      <c r="C871" s="145">
        <v>85</v>
      </c>
      <c r="D871" s="146"/>
      <c r="E871" s="146"/>
      <c r="F871" s="147" t="s">
        <v>33045</v>
      </c>
      <c r="G871" s="148"/>
      <c r="H871" s="149" t="s">
        <v>15922</v>
      </c>
      <c r="I871" s="150"/>
      <c r="J871" s="128"/>
      <c r="K871" s="128"/>
      <c r="L871" s="128"/>
      <c r="M871" s="129"/>
      <c r="N871" s="129"/>
      <c r="O871" s="129"/>
    </row>
    <row r="872" spans="1:15" ht="12.5">
      <c r="A872" s="151" t="s">
        <v>15923</v>
      </c>
      <c r="B872" s="152">
        <v>20</v>
      </c>
      <c r="C872" s="152">
        <v>85</v>
      </c>
      <c r="D872" s="152">
        <v>3</v>
      </c>
      <c r="E872" s="153"/>
      <c r="F872" s="154" t="s">
        <v>33046</v>
      </c>
      <c r="G872" s="168"/>
      <c r="H872" s="156" t="s">
        <v>15924</v>
      </c>
      <c r="I872" s="157"/>
      <c r="J872" s="128"/>
      <c r="K872" s="128"/>
      <c r="L872" s="128"/>
      <c r="M872" s="129"/>
      <c r="N872" s="129"/>
      <c r="O872" s="129"/>
    </row>
    <row r="873" spans="1:15" ht="12.5">
      <c r="A873" s="158" t="s">
        <v>15925</v>
      </c>
      <c r="B873" s="159">
        <v>20</v>
      </c>
      <c r="C873" s="159">
        <v>85</v>
      </c>
      <c r="D873" s="159">
        <v>3</v>
      </c>
      <c r="E873" s="159">
        <v>2</v>
      </c>
      <c r="F873" s="160" t="s">
        <v>32838</v>
      </c>
      <c r="G873" s="132"/>
      <c r="H873" s="162" t="s">
        <v>15926</v>
      </c>
      <c r="I873" s="128"/>
      <c r="J873" s="128"/>
      <c r="K873" s="128"/>
      <c r="L873" s="128"/>
      <c r="M873" s="129"/>
      <c r="N873" s="129"/>
      <c r="O873" s="129"/>
    </row>
    <row r="874" spans="1:15" ht="12.5">
      <c r="A874" s="158" t="s">
        <v>15927</v>
      </c>
      <c r="B874" s="159">
        <v>20</v>
      </c>
      <c r="C874" s="159">
        <v>85</v>
      </c>
      <c r="D874" s="159">
        <v>3</v>
      </c>
      <c r="E874" s="159">
        <v>11</v>
      </c>
      <c r="F874" s="160" t="s">
        <v>33047</v>
      </c>
      <c r="G874" s="162" t="s">
        <v>32910</v>
      </c>
      <c r="H874" s="162" t="s">
        <v>15928</v>
      </c>
      <c r="I874" s="158" t="s">
        <v>33048</v>
      </c>
      <c r="J874" s="128"/>
      <c r="K874" s="128"/>
      <c r="L874" s="128"/>
      <c r="M874" s="129"/>
      <c r="N874" s="129"/>
      <c r="O874" s="129"/>
    </row>
    <row r="875" spans="1:15" ht="12.5">
      <c r="A875" s="158" t="s">
        <v>15930</v>
      </c>
      <c r="B875" s="159">
        <v>20</v>
      </c>
      <c r="C875" s="159">
        <v>85</v>
      </c>
      <c r="D875" s="159">
        <v>3</v>
      </c>
      <c r="E875" s="159">
        <v>50</v>
      </c>
      <c r="F875" s="160" t="s">
        <v>32838</v>
      </c>
      <c r="G875" s="132"/>
      <c r="H875" s="162" t="s">
        <v>15931</v>
      </c>
      <c r="I875" s="158" t="s">
        <v>15932</v>
      </c>
      <c r="J875" s="128"/>
      <c r="K875" s="128"/>
      <c r="L875" s="128"/>
      <c r="M875" s="129"/>
      <c r="N875" s="129"/>
      <c r="O875" s="129"/>
    </row>
    <row r="876" spans="1:15" ht="12.5">
      <c r="A876" s="158" t="s">
        <v>15933</v>
      </c>
      <c r="B876" s="159">
        <v>20</v>
      </c>
      <c r="C876" s="159">
        <v>85</v>
      </c>
      <c r="D876" s="159">
        <v>3</v>
      </c>
      <c r="E876" s="159">
        <v>63</v>
      </c>
      <c r="F876" s="160" t="s">
        <v>33049</v>
      </c>
      <c r="G876" s="162" t="s">
        <v>32882</v>
      </c>
      <c r="H876" s="162" t="s">
        <v>15934</v>
      </c>
      <c r="I876" s="158" t="s">
        <v>33050</v>
      </c>
      <c r="J876" s="128"/>
      <c r="K876" s="128"/>
      <c r="L876" s="128"/>
      <c r="M876" s="129"/>
      <c r="N876" s="129"/>
      <c r="O876" s="129"/>
    </row>
    <row r="877" spans="1:15" ht="12.5">
      <c r="A877" s="158" t="s">
        <v>15936</v>
      </c>
      <c r="B877" s="159">
        <v>20</v>
      </c>
      <c r="C877" s="159">
        <v>85</v>
      </c>
      <c r="D877" s="159">
        <v>3</v>
      </c>
      <c r="E877" s="159">
        <v>84</v>
      </c>
      <c r="F877" s="160" t="s">
        <v>33051</v>
      </c>
      <c r="G877" s="162" t="s">
        <v>32874</v>
      </c>
      <c r="H877" s="162" t="s">
        <v>15937</v>
      </c>
      <c r="I877" s="158" t="s">
        <v>33052</v>
      </c>
      <c r="J877" s="128"/>
      <c r="K877" s="128"/>
      <c r="L877" s="128"/>
      <c r="M877" s="129"/>
      <c r="N877" s="129"/>
      <c r="O877" s="129"/>
    </row>
    <row r="878" spans="1:15" ht="12.5">
      <c r="A878" s="158" t="s">
        <v>15939</v>
      </c>
      <c r="B878" s="159">
        <v>20</v>
      </c>
      <c r="C878" s="159">
        <v>85</v>
      </c>
      <c r="D878" s="159">
        <v>3</v>
      </c>
      <c r="E878" s="159">
        <v>85</v>
      </c>
      <c r="F878" s="160" t="s">
        <v>33053</v>
      </c>
      <c r="G878" s="162" t="s">
        <v>32874</v>
      </c>
      <c r="H878" s="162" t="s">
        <v>15940</v>
      </c>
      <c r="I878" s="158" t="s">
        <v>33054</v>
      </c>
      <c r="J878" s="128"/>
      <c r="K878" s="128"/>
      <c r="L878" s="128"/>
      <c r="M878" s="129"/>
      <c r="N878" s="129"/>
      <c r="O878" s="129"/>
    </row>
    <row r="879" spans="1:15" ht="12.5">
      <c r="A879" s="151" t="s">
        <v>15942</v>
      </c>
      <c r="B879" s="152">
        <v>20</v>
      </c>
      <c r="C879" s="152">
        <v>85</v>
      </c>
      <c r="D879" s="152">
        <v>6</v>
      </c>
      <c r="E879" s="153"/>
      <c r="F879" s="154" t="s">
        <v>33055</v>
      </c>
      <c r="G879" s="168"/>
      <c r="H879" s="156" t="s">
        <v>15943</v>
      </c>
      <c r="I879" s="157"/>
      <c r="J879" s="128"/>
      <c r="K879" s="128"/>
      <c r="L879" s="128"/>
      <c r="M879" s="129"/>
      <c r="N879" s="129"/>
      <c r="O879" s="129"/>
    </row>
    <row r="880" spans="1:15" ht="12.5">
      <c r="A880" s="158" t="s">
        <v>15944</v>
      </c>
      <c r="B880" s="159">
        <v>20</v>
      </c>
      <c r="C880" s="159">
        <v>85</v>
      </c>
      <c r="D880" s="159">
        <v>6</v>
      </c>
      <c r="E880" s="159">
        <v>6</v>
      </c>
      <c r="F880" s="160" t="s">
        <v>32838</v>
      </c>
      <c r="G880" s="132"/>
      <c r="H880" s="162" t="s">
        <v>15945</v>
      </c>
      <c r="I880" s="158" t="s">
        <v>15946</v>
      </c>
      <c r="J880" s="128"/>
      <c r="K880" s="128"/>
      <c r="L880" s="128"/>
      <c r="M880" s="129"/>
      <c r="N880" s="129"/>
      <c r="O880" s="129"/>
    </row>
    <row r="881" spans="1:15" ht="12.5">
      <c r="A881" s="158" t="s">
        <v>15947</v>
      </c>
      <c r="B881" s="159">
        <v>20</v>
      </c>
      <c r="C881" s="159">
        <v>85</v>
      </c>
      <c r="D881" s="159">
        <v>6</v>
      </c>
      <c r="E881" s="159">
        <v>11</v>
      </c>
      <c r="F881" s="160" t="s">
        <v>32838</v>
      </c>
      <c r="G881" s="132"/>
      <c r="H881" s="162" t="s">
        <v>15948</v>
      </c>
      <c r="I881" s="158" t="s">
        <v>15949</v>
      </c>
      <c r="J881" s="128"/>
      <c r="K881" s="128"/>
      <c r="L881" s="128"/>
      <c r="M881" s="129"/>
      <c r="N881" s="129"/>
      <c r="O881" s="129"/>
    </row>
    <row r="882" spans="1:15" ht="12.5">
      <c r="A882" s="158" t="s">
        <v>15950</v>
      </c>
      <c r="B882" s="159">
        <v>20</v>
      </c>
      <c r="C882" s="159">
        <v>85</v>
      </c>
      <c r="D882" s="159">
        <v>6</v>
      </c>
      <c r="E882" s="159">
        <v>85</v>
      </c>
      <c r="F882" s="160" t="s">
        <v>32838</v>
      </c>
      <c r="G882" s="132"/>
      <c r="H882" s="162" t="s">
        <v>15951</v>
      </c>
      <c r="I882" s="158" t="s">
        <v>15952</v>
      </c>
      <c r="J882" s="128"/>
      <c r="K882" s="128"/>
      <c r="L882" s="128"/>
      <c r="M882" s="129"/>
      <c r="N882" s="129"/>
      <c r="O882" s="129"/>
    </row>
    <row r="883" spans="1:15" ht="12.5">
      <c r="A883" s="151" t="s">
        <v>15953</v>
      </c>
      <c r="B883" s="152">
        <v>20</v>
      </c>
      <c r="C883" s="152">
        <v>85</v>
      </c>
      <c r="D883" s="152">
        <v>7</v>
      </c>
      <c r="E883" s="153"/>
      <c r="F883" s="154" t="s">
        <v>33056</v>
      </c>
      <c r="G883" s="155"/>
      <c r="H883" s="156" t="s">
        <v>15954</v>
      </c>
      <c r="I883" s="157"/>
      <c r="J883" s="157"/>
      <c r="K883" s="128"/>
      <c r="L883" s="128"/>
      <c r="M883" s="129"/>
      <c r="N883" s="129"/>
      <c r="O883" s="129"/>
    </row>
    <row r="884" spans="1:15" ht="12.5">
      <c r="A884" s="158" t="s">
        <v>15955</v>
      </c>
      <c r="B884" s="159">
        <v>20</v>
      </c>
      <c r="C884" s="159">
        <v>85</v>
      </c>
      <c r="D884" s="159">
        <v>7</v>
      </c>
      <c r="E884" s="159">
        <v>2</v>
      </c>
      <c r="F884" s="160" t="s">
        <v>32838</v>
      </c>
      <c r="G884" s="132"/>
      <c r="H884" s="162" t="s">
        <v>15956</v>
      </c>
      <c r="I884" s="158" t="s">
        <v>15957</v>
      </c>
      <c r="J884" s="128"/>
      <c r="K884" s="128"/>
      <c r="L884" s="128"/>
      <c r="M884" s="129"/>
      <c r="N884" s="129"/>
      <c r="O884" s="129"/>
    </row>
    <row r="885" spans="1:15" ht="12.5">
      <c r="A885" s="158" t="s">
        <v>15958</v>
      </c>
      <c r="B885" s="159">
        <v>20</v>
      </c>
      <c r="C885" s="159">
        <v>85</v>
      </c>
      <c r="D885" s="159">
        <v>7</v>
      </c>
      <c r="E885" s="159">
        <v>3</v>
      </c>
      <c r="F885" s="160" t="s">
        <v>32838</v>
      </c>
      <c r="G885" s="132"/>
      <c r="H885" s="162" t="s">
        <v>15959</v>
      </c>
      <c r="I885" s="158" t="s">
        <v>15960</v>
      </c>
      <c r="J885" s="128"/>
      <c r="K885" s="128"/>
      <c r="L885" s="128"/>
      <c r="M885" s="129"/>
      <c r="N885" s="129"/>
      <c r="O885" s="129"/>
    </row>
    <row r="886" spans="1:15" ht="12.5">
      <c r="A886" s="158" t="s">
        <v>15961</v>
      </c>
      <c r="B886" s="159">
        <v>20</v>
      </c>
      <c r="C886" s="159">
        <v>85</v>
      </c>
      <c r="D886" s="159">
        <v>7</v>
      </c>
      <c r="E886" s="159">
        <v>4</v>
      </c>
      <c r="F886" s="160" t="s">
        <v>32838</v>
      </c>
      <c r="G886" s="132"/>
      <c r="H886" s="162" t="s">
        <v>15962</v>
      </c>
      <c r="I886" s="158" t="s">
        <v>15963</v>
      </c>
      <c r="J886" s="128"/>
      <c r="K886" s="128"/>
      <c r="L886" s="128"/>
      <c r="M886" s="129"/>
      <c r="N886" s="129"/>
      <c r="O886" s="129"/>
    </row>
    <row r="887" spans="1:15" ht="12.5">
      <c r="A887" s="158" t="s">
        <v>15964</v>
      </c>
      <c r="B887" s="159">
        <v>20</v>
      </c>
      <c r="C887" s="159">
        <v>85</v>
      </c>
      <c r="D887" s="159">
        <v>7</v>
      </c>
      <c r="E887" s="159">
        <v>10</v>
      </c>
      <c r="F887" s="160" t="s">
        <v>33057</v>
      </c>
      <c r="G887" s="162" t="s">
        <v>32910</v>
      </c>
      <c r="H887" s="162" t="s">
        <v>15965</v>
      </c>
      <c r="I887" s="158" t="s">
        <v>15966</v>
      </c>
      <c r="J887" s="128"/>
      <c r="K887" s="128"/>
      <c r="L887" s="128"/>
      <c r="M887" s="129"/>
      <c r="N887" s="129"/>
      <c r="O887" s="129"/>
    </row>
    <row r="888" spans="1:15" ht="12.5">
      <c r="A888" s="158" t="s">
        <v>15967</v>
      </c>
      <c r="B888" s="159">
        <v>20</v>
      </c>
      <c r="C888" s="159">
        <v>85</v>
      </c>
      <c r="D888" s="159">
        <v>7</v>
      </c>
      <c r="E888" s="159">
        <v>11</v>
      </c>
      <c r="F888" s="160" t="s">
        <v>32838</v>
      </c>
      <c r="G888" s="132"/>
      <c r="H888" s="162" t="s">
        <v>15968</v>
      </c>
      <c r="I888" s="158" t="s">
        <v>15969</v>
      </c>
      <c r="J888" s="128"/>
      <c r="K888" s="128"/>
      <c r="L888" s="128"/>
      <c r="M888" s="129"/>
      <c r="N888" s="129"/>
      <c r="O888" s="129"/>
    </row>
    <row r="889" spans="1:15" ht="12.5">
      <c r="A889" s="158" t="s">
        <v>15970</v>
      </c>
      <c r="B889" s="159">
        <v>20</v>
      </c>
      <c r="C889" s="159">
        <v>85</v>
      </c>
      <c r="D889" s="159">
        <v>7</v>
      </c>
      <c r="E889" s="159">
        <v>12</v>
      </c>
      <c r="F889" s="160" t="s">
        <v>32838</v>
      </c>
      <c r="G889" s="132"/>
      <c r="H889" s="162" t="s">
        <v>15971</v>
      </c>
      <c r="I889" s="158" t="s">
        <v>15972</v>
      </c>
      <c r="J889" s="128"/>
      <c r="K889" s="128"/>
      <c r="L889" s="128"/>
      <c r="M889" s="129"/>
      <c r="N889" s="129"/>
      <c r="O889" s="129"/>
    </row>
    <row r="890" spans="1:15" ht="12.5">
      <c r="A890" s="158" t="s">
        <v>15973</v>
      </c>
      <c r="B890" s="159">
        <v>20</v>
      </c>
      <c r="C890" s="159">
        <v>85</v>
      </c>
      <c r="D890" s="159">
        <v>7</v>
      </c>
      <c r="E890" s="159">
        <v>13</v>
      </c>
      <c r="F890" s="160" t="s">
        <v>32838</v>
      </c>
      <c r="G890" s="132"/>
      <c r="H890" s="162" t="s">
        <v>15974</v>
      </c>
      <c r="I890" s="158" t="s">
        <v>15975</v>
      </c>
      <c r="J890" s="128"/>
      <c r="K890" s="128"/>
      <c r="L890" s="128"/>
      <c r="M890" s="129"/>
      <c r="N890" s="129"/>
      <c r="O890" s="129"/>
    </row>
    <row r="891" spans="1:15" ht="12.5">
      <c r="A891" s="158" t="s">
        <v>15976</v>
      </c>
      <c r="B891" s="159">
        <v>20</v>
      </c>
      <c r="C891" s="159">
        <v>85</v>
      </c>
      <c r="D891" s="159">
        <v>7</v>
      </c>
      <c r="E891" s="159">
        <v>14</v>
      </c>
      <c r="F891" s="160" t="s">
        <v>32838</v>
      </c>
      <c r="G891" s="132"/>
      <c r="H891" s="162" t="s">
        <v>15977</v>
      </c>
      <c r="I891" s="158" t="s">
        <v>15978</v>
      </c>
      <c r="J891" s="128"/>
      <c r="K891" s="128"/>
      <c r="L891" s="128"/>
      <c r="M891" s="129"/>
      <c r="N891" s="129"/>
      <c r="O891" s="129"/>
    </row>
    <row r="892" spans="1:15" ht="12.5">
      <c r="A892" s="158" t="s">
        <v>15979</v>
      </c>
      <c r="B892" s="159">
        <v>20</v>
      </c>
      <c r="C892" s="159">
        <v>85</v>
      </c>
      <c r="D892" s="159">
        <v>7</v>
      </c>
      <c r="E892" s="159">
        <v>15</v>
      </c>
      <c r="F892" s="160" t="s">
        <v>32838</v>
      </c>
      <c r="G892" s="132"/>
      <c r="H892" s="162" t="s">
        <v>15980</v>
      </c>
      <c r="I892" s="158" t="s">
        <v>15981</v>
      </c>
      <c r="J892" s="128"/>
      <c r="K892" s="128"/>
      <c r="L892" s="128"/>
      <c r="M892" s="129"/>
      <c r="N892" s="129"/>
      <c r="O892" s="129"/>
    </row>
    <row r="893" spans="1:15" ht="12.5">
      <c r="A893" s="158" t="s">
        <v>15982</v>
      </c>
      <c r="B893" s="159">
        <v>20</v>
      </c>
      <c r="C893" s="159">
        <v>85</v>
      </c>
      <c r="D893" s="159">
        <v>7</v>
      </c>
      <c r="E893" s="159">
        <v>16</v>
      </c>
      <c r="F893" s="160" t="s">
        <v>32838</v>
      </c>
      <c r="G893" s="132"/>
      <c r="H893" s="162" t="s">
        <v>15983</v>
      </c>
      <c r="I893" s="158" t="s">
        <v>15984</v>
      </c>
      <c r="J893" s="128"/>
      <c r="K893" s="128"/>
      <c r="L893" s="128"/>
      <c r="M893" s="129"/>
      <c r="N893" s="129"/>
      <c r="O893" s="129"/>
    </row>
    <row r="894" spans="1:15" ht="12.5">
      <c r="A894" s="158" t="s">
        <v>15985</v>
      </c>
      <c r="B894" s="159">
        <v>20</v>
      </c>
      <c r="C894" s="159">
        <v>85</v>
      </c>
      <c r="D894" s="159">
        <v>7</v>
      </c>
      <c r="E894" s="159">
        <v>17</v>
      </c>
      <c r="F894" s="160" t="s">
        <v>32838</v>
      </c>
      <c r="G894" s="132"/>
      <c r="H894" s="162" t="s">
        <v>15986</v>
      </c>
      <c r="I894" s="158" t="s">
        <v>15987</v>
      </c>
      <c r="J894" s="128"/>
      <c r="K894" s="128"/>
      <c r="L894" s="128"/>
      <c r="M894" s="129"/>
      <c r="N894" s="129"/>
      <c r="O894" s="129"/>
    </row>
    <row r="895" spans="1:15" ht="12.5">
      <c r="A895" s="158" t="s">
        <v>15988</v>
      </c>
      <c r="B895" s="159">
        <v>20</v>
      </c>
      <c r="C895" s="159">
        <v>85</v>
      </c>
      <c r="D895" s="159">
        <v>7</v>
      </c>
      <c r="E895" s="159">
        <v>18</v>
      </c>
      <c r="F895" s="160" t="s">
        <v>32838</v>
      </c>
      <c r="G895" s="132"/>
      <c r="H895" s="162" t="s">
        <v>15989</v>
      </c>
      <c r="I895" s="158" t="s">
        <v>15990</v>
      </c>
      <c r="J895" s="128"/>
      <c r="K895" s="128"/>
      <c r="L895" s="128"/>
      <c r="M895" s="129"/>
      <c r="N895" s="129"/>
      <c r="O895" s="129"/>
    </row>
    <row r="896" spans="1:15" ht="12.5">
      <c r="A896" s="158" t="s">
        <v>15991</v>
      </c>
      <c r="B896" s="159">
        <v>20</v>
      </c>
      <c r="C896" s="159">
        <v>85</v>
      </c>
      <c r="D896" s="159">
        <v>7</v>
      </c>
      <c r="E896" s="159">
        <v>19</v>
      </c>
      <c r="F896" s="160" t="s">
        <v>32838</v>
      </c>
      <c r="G896" s="132"/>
      <c r="H896" s="162" t="s">
        <v>15992</v>
      </c>
      <c r="I896" s="158" t="s">
        <v>15993</v>
      </c>
      <c r="J896" s="128"/>
      <c r="K896" s="128"/>
      <c r="L896" s="128"/>
      <c r="M896" s="129"/>
      <c r="N896" s="129"/>
      <c r="O896" s="129"/>
    </row>
    <row r="897" spans="1:15" ht="12.5">
      <c r="A897" s="158" t="s">
        <v>15994</v>
      </c>
      <c r="B897" s="159">
        <v>20</v>
      </c>
      <c r="C897" s="159">
        <v>85</v>
      </c>
      <c r="D897" s="159">
        <v>7</v>
      </c>
      <c r="E897" s="159">
        <v>20</v>
      </c>
      <c r="F897" s="160" t="s">
        <v>33058</v>
      </c>
      <c r="G897" s="162" t="s">
        <v>33036</v>
      </c>
      <c r="H897" s="162" t="s">
        <v>15995</v>
      </c>
      <c r="I897" s="158" t="s">
        <v>15996</v>
      </c>
      <c r="J897" s="128"/>
      <c r="K897" s="128"/>
      <c r="L897" s="128"/>
      <c r="M897" s="129"/>
      <c r="N897" s="129"/>
      <c r="O897" s="129"/>
    </row>
    <row r="898" spans="1:15" ht="12.5">
      <c r="A898" s="158" t="s">
        <v>15997</v>
      </c>
      <c r="B898" s="159">
        <v>20</v>
      </c>
      <c r="C898" s="159">
        <v>85</v>
      </c>
      <c r="D898" s="159">
        <v>7</v>
      </c>
      <c r="E898" s="159">
        <v>63</v>
      </c>
      <c r="F898" s="160" t="s">
        <v>32838</v>
      </c>
      <c r="G898" s="132"/>
      <c r="H898" s="162" t="s">
        <v>15998</v>
      </c>
      <c r="I898" s="158" t="s">
        <v>15999</v>
      </c>
      <c r="J898" s="128"/>
      <c r="K898" s="128"/>
      <c r="L898" s="128"/>
      <c r="M898" s="129"/>
      <c r="N898" s="129"/>
      <c r="O898" s="129"/>
    </row>
    <row r="899" spans="1:15" ht="12.5">
      <c r="A899" s="158" t="s">
        <v>16000</v>
      </c>
      <c r="B899" s="159">
        <v>20</v>
      </c>
      <c r="C899" s="159">
        <v>85</v>
      </c>
      <c r="D899" s="159">
        <v>7</v>
      </c>
      <c r="E899" s="159">
        <v>65</v>
      </c>
      <c r="F899" s="160" t="s">
        <v>32838</v>
      </c>
      <c r="G899" s="132"/>
      <c r="H899" s="162" t="s">
        <v>16001</v>
      </c>
      <c r="I899" s="158" t="s">
        <v>16002</v>
      </c>
      <c r="J899" s="128"/>
      <c r="K899" s="128"/>
      <c r="L899" s="128"/>
      <c r="M899" s="129"/>
      <c r="N899" s="129"/>
      <c r="O899" s="129"/>
    </row>
    <row r="900" spans="1:15" ht="12.5">
      <c r="A900" s="158" t="s">
        <v>16003</v>
      </c>
      <c r="B900" s="159">
        <v>20</v>
      </c>
      <c r="C900" s="159">
        <v>85</v>
      </c>
      <c r="D900" s="159">
        <v>7</v>
      </c>
      <c r="E900" s="159">
        <v>83</v>
      </c>
      <c r="F900" s="160" t="s">
        <v>33059</v>
      </c>
      <c r="G900" s="162" t="s">
        <v>32874</v>
      </c>
      <c r="H900" s="162" t="s">
        <v>16004</v>
      </c>
      <c r="I900" s="158" t="s">
        <v>16005</v>
      </c>
      <c r="J900" s="128"/>
      <c r="K900" s="128"/>
      <c r="L900" s="128"/>
      <c r="M900" s="129"/>
      <c r="N900" s="129"/>
      <c r="O900" s="129"/>
    </row>
    <row r="901" spans="1:15" ht="12.5">
      <c r="A901" s="158" t="s">
        <v>16006</v>
      </c>
      <c r="B901" s="159">
        <v>20</v>
      </c>
      <c r="C901" s="159">
        <v>85</v>
      </c>
      <c r="D901" s="159">
        <v>7</v>
      </c>
      <c r="E901" s="159">
        <v>84</v>
      </c>
      <c r="F901" s="160" t="s">
        <v>32838</v>
      </c>
      <c r="G901" s="132"/>
      <c r="H901" s="162" t="s">
        <v>16007</v>
      </c>
      <c r="I901" s="158" t="s">
        <v>16008</v>
      </c>
      <c r="J901" s="128"/>
      <c r="K901" s="128"/>
      <c r="L901" s="128"/>
      <c r="M901" s="129"/>
      <c r="N901" s="129"/>
      <c r="O901" s="129"/>
    </row>
    <row r="902" spans="1:15" ht="12.5">
      <c r="A902" s="158" t="s">
        <v>16009</v>
      </c>
      <c r="B902" s="159">
        <v>20</v>
      </c>
      <c r="C902" s="159">
        <v>85</v>
      </c>
      <c r="D902" s="159">
        <v>7</v>
      </c>
      <c r="E902" s="159">
        <v>85</v>
      </c>
      <c r="F902" s="160" t="s">
        <v>32838</v>
      </c>
      <c r="G902" s="132"/>
      <c r="H902" s="162" t="s">
        <v>16010</v>
      </c>
      <c r="I902" s="158" t="s">
        <v>16011</v>
      </c>
      <c r="J902" s="128"/>
      <c r="K902" s="128"/>
      <c r="L902" s="128"/>
      <c r="M902" s="129"/>
      <c r="N902" s="129"/>
      <c r="O902" s="129"/>
    </row>
    <row r="903" spans="1:15" ht="12.5">
      <c r="A903" s="158" t="s">
        <v>16012</v>
      </c>
      <c r="B903" s="159">
        <v>20</v>
      </c>
      <c r="C903" s="159">
        <v>85</v>
      </c>
      <c r="D903" s="159">
        <v>7</v>
      </c>
      <c r="E903" s="159">
        <v>92</v>
      </c>
      <c r="F903" s="160" t="s">
        <v>32838</v>
      </c>
      <c r="G903" s="132"/>
      <c r="H903" s="162" t="s">
        <v>16013</v>
      </c>
      <c r="I903" s="158" t="s">
        <v>16014</v>
      </c>
      <c r="J903" s="128"/>
      <c r="K903" s="128"/>
      <c r="L903" s="128"/>
      <c r="M903" s="129"/>
      <c r="N903" s="129"/>
      <c r="O903" s="129"/>
    </row>
    <row r="904" spans="1:15" ht="12.5">
      <c r="A904" s="158" t="s">
        <v>16015</v>
      </c>
      <c r="B904" s="159">
        <v>20</v>
      </c>
      <c r="C904" s="159">
        <v>85</v>
      </c>
      <c r="D904" s="159">
        <v>7</v>
      </c>
      <c r="E904" s="159">
        <v>97</v>
      </c>
      <c r="F904" s="160" t="s">
        <v>32838</v>
      </c>
      <c r="G904" s="132"/>
      <c r="H904" s="162" t="s">
        <v>16016</v>
      </c>
      <c r="I904" s="158" t="s">
        <v>16017</v>
      </c>
      <c r="J904" s="128"/>
      <c r="K904" s="128"/>
      <c r="L904" s="128"/>
      <c r="M904" s="129"/>
      <c r="N904" s="129"/>
      <c r="O904" s="129"/>
    </row>
    <row r="905" spans="1:15" ht="12.5">
      <c r="A905" s="151" t="s">
        <v>16018</v>
      </c>
      <c r="B905" s="152">
        <v>20</v>
      </c>
      <c r="C905" s="152">
        <v>85</v>
      </c>
      <c r="D905" s="152">
        <v>8</v>
      </c>
      <c r="E905" s="153"/>
      <c r="F905" s="154" t="s">
        <v>33060</v>
      </c>
      <c r="G905" s="155"/>
      <c r="H905" s="156" t="s">
        <v>16019</v>
      </c>
      <c r="I905" s="157"/>
      <c r="J905" s="157"/>
      <c r="K905" s="128"/>
      <c r="L905" s="128"/>
      <c r="M905" s="129"/>
      <c r="N905" s="129"/>
      <c r="O905" s="129"/>
    </row>
    <row r="906" spans="1:15" ht="12.5">
      <c r="A906" s="158" t="s">
        <v>16020</v>
      </c>
      <c r="B906" s="159">
        <v>20</v>
      </c>
      <c r="C906" s="159">
        <v>85</v>
      </c>
      <c r="D906" s="159">
        <v>8</v>
      </c>
      <c r="E906" s="159">
        <v>2</v>
      </c>
      <c r="F906" s="160" t="s">
        <v>32838</v>
      </c>
      <c r="G906" s="132"/>
      <c r="H906" s="162" t="s">
        <v>16021</v>
      </c>
      <c r="I906" s="128"/>
      <c r="J906" s="128"/>
      <c r="K906" s="128"/>
      <c r="L906" s="128"/>
      <c r="M906" s="129"/>
      <c r="N906" s="129"/>
      <c r="O906" s="129"/>
    </row>
    <row r="907" spans="1:15" ht="12.5">
      <c r="A907" s="158" t="s">
        <v>16022</v>
      </c>
      <c r="B907" s="159">
        <v>20</v>
      </c>
      <c r="C907" s="159">
        <v>85</v>
      </c>
      <c r="D907" s="159">
        <v>8</v>
      </c>
      <c r="E907" s="159">
        <v>11</v>
      </c>
      <c r="F907" s="160" t="s">
        <v>32838</v>
      </c>
      <c r="G907" s="132"/>
      <c r="H907" s="162" t="s">
        <v>16023</v>
      </c>
      <c r="I907" s="128"/>
      <c r="J907" s="128"/>
      <c r="K907" s="128"/>
      <c r="L907" s="128"/>
      <c r="M907" s="129"/>
      <c r="N907" s="129"/>
      <c r="O907" s="129"/>
    </row>
    <row r="908" spans="1:15" ht="12.5">
      <c r="A908" s="158" t="s">
        <v>16024</v>
      </c>
      <c r="B908" s="159">
        <v>20</v>
      </c>
      <c r="C908" s="159">
        <v>85</v>
      </c>
      <c r="D908" s="159">
        <v>8</v>
      </c>
      <c r="E908" s="159">
        <v>12</v>
      </c>
      <c r="F908" s="160" t="s">
        <v>32838</v>
      </c>
      <c r="G908" s="132"/>
      <c r="H908" s="162" t="s">
        <v>16025</v>
      </c>
      <c r="I908" s="128"/>
      <c r="J908" s="128"/>
      <c r="K908" s="128"/>
      <c r="L908" s="128"/>
      <c r="M908" s="129"/>
      <c r="N908" s="129"/>
      <c r="O908" s="129"/>
    </row>
    <row r="909" spans="1:15" ht="12.5">
      <c r="A909" s="158" t="s">
        <v>16026</v>
      </c>
      <c r="B909" s="159">
        <v>20</v>
      </c>
      <c r="C909" s="159">
        <v>85</v>
      </c>
      <c r="D909" s="159">
        <v>8</v>
      </c>
      <c r="E909" s="159">
        <v>15</v>
      </c>
      <c r="F909" s="160" t="s">
        <v>33061</v>
      </c>
      <c r="G909" s="162" t="s">
        <v>33062</v>
      </c>
      <c r="H909" s="162" t="s">
        <v>16027</v>
      </c>
      <c r="I909" s="158" t="s">
        <v>16028</v>
      </c>
      <c r="J909" s="128"/>
      <c r="K909" s="128"/>
      <c r="L909" s="128"/>
      <c r="M909" s="129"/>
      <c r="N909" s="129"/>
      <c r="O909" s="129"/>
    </row>
    <row r="910" spans="1:15" ht="12.5">
      <c r="A910" s="158" t="s">
        <v>16029</v>
      </c>
      <c r="B910" s="159">
        <v>20</v>
      </c>
      <c r="C910" s="159">
        <v>85</v>
      </c>
      <c r="D910" s="159">
        <v>8</v>
      </c>
      <c r="E910" s="159">
        <v>17</v>
      </c>
      <c r="F910" s="160" t="s">
        <v>32838</v>
      </c>
      <c r="G910" s="132"/>
      <c r="H910" s="162" t="s">
        <v>16030</v>
      </c>
      <c r="I910" s="158" t="s">
        <v>16031</v>
      </c>
      <c r="J910" s="128"/>
      <c r="K910" s="128"/>
      <c r="L910" s="128"/>
      <c r="M910" s="129"/>
      <c r="N910" s="129"/>
      <c r="O910" s="129"/>
    </row>
    <row r="911" spans="1:15" ht="12.5">
      <c r="A911" s="158" t="s">
        <v>16032</v>
      </c>
      <c r="B911" s="159">
        <v>20</v>
      </c>
      <c r="C911" s="159">
        <v>85</v>
      </c>
      <c r="D911" s="159">
        <v>8</v>
      </c>
      <c r="E911" s="159">
        <v>33</v>
      </c>
      <c r="F911" s="160" t="s">
        <v>33063</v>
      </c>
      <c r="G911" s="162" t="s">
        <v>33064</v>
      </c>
      <c r="H911" s="162" t="s">
        <v>16033</v>
      </c>
      <c r="I911" s="158" t="s">
        <v>16034</v>
      </c>
      <c r="J911" s="128"/>
      <c r="K911" s="128"/>
      <c r="L911" s="128"/>
      <c r="M911" s="129"/>
      <c r="N911" s="129"/>
      <c r="O911" s="129"/>
    </row>
    <row r="912" spans="1:15" ht="12.5">
      <c r="A912" s="158" t="s">
        <v>16035</v>
      </c>
      <c r="B912" s="159">
        <v>20</v>
      </c>
      <c r="C912" s="159">
        <v>85</v>
      </c>
      <c r="D912" s="159">
        <v>8</v>
      </c>
      <c r="E912" s="159">
        <v>36</v>
      </c>
      <c r="F912" s="160" t="s">
        <v>32838</v>
      </c>
      <c r="G912" s="132"/>
      <c r="H912" s="162" t="s">
        <v>16036</v>
      </c>
      <c r="I912" s="128"/>
      <c r="J912" s="128"/>
      <c r="K912" s="128"/>
      <c r="L912" s="128"/>
      <c r="M912" s="129"/>
      <c r="N912" s="129"/>
      <c r="O912" s="129"/>
    </row>
    <row r="913" spans="1:15" ht="12.5">
      <c r="A913" s="158" t="s">
        <v>16037</v>
      </c>
      <c r="B913" s="159">
        <v>20</v>
      </c>
      <c r="C913" s="159">
        <v>85</v>
      </c>
      <c r="D913" s="159">
        <v>8</v>
      </c>
      <c r="E913" s="159">
        <v>63</v>
      </c>
      <c r="F913" s="160" t="s">
        <v>32838</v>
      </c>
      <c r="G913" s="132"/>
      <c r="H913" s="162" t="s">
        <v>16038</v>
      </c>
      <c r="I913" s="128"/>
      <c r="J913" s="128"/>
      <c r="K913" s="128"/>
      <c r="L913" s="128"/>
      <c r="M913" s="129"/>
      <c r="N913" s="129"/>
      <c r="O913" s="129"/>
    </row>
    <row r="914" spans="1:15" ht="12.5">
      <c r="A914" s="158" t="s">
        <v>16039</v>
      </c>
      <c r="B914" s="159">
        <v>20</v>
      </c>
      <c r="C914" s="159">
        <v>85</v>
      </c>
      <c r="D914" s="159">
        <v>8</v>
      </c>
      <c r="E914" s="159">
        <v>65</v>
      </c>
      <c r="F914" s="160" t="s">
        <v>32838</v>
      </c>
      <c r="G914" s="132"/>
      <c r="H914" s="162" t="s">
        <v>16040</v>
      </c>
      <c r="I914" s="128"/>
      <c r="J914" s="128"/>
      <c r="K914" s="128"/>
      <c r="L914" s="128"/>
      <c r="M914" s="129"/>
      <c r="N914" s="129"/>
      <c r="O914" s="129"/>
    </row>
    <row r="915" spans="1:15" ht="12.5">
      <c r="A915" s="158" t="s">
        <v>16041</v>
      </c>
      <c r="B915" s="159">
        <v>20</v>
      </c>
      <c r="C915" s="159">
        <v>85</v>
      </c>
      <c r="D915" s="159">
        <v>8</v>
      </c>
      <c r="E915" s="159">
        <v>66</v>
      </c>
      <c r="F915" s="160" t="s">
        <v>33065</v>
      </c>
      <c r="G915" s="162" t="s">
        <v>33062</v>
      </c>
      <c r="H915" s="162" t="s">
        <v>16042</v>
      </c>
      <c r="I915" s="158" t="s">
        <v>16043</v>
      </c>
      <c r="J915" s="128"/>
      <c r="K915" s="128"/>
      <c r="L915" s="128"/>
      <c r="M915" s="129"/>
      <c r="N915" s="129"/>
      <c r="O915" s="129"/>
    </row>
    <row r="916" spans="1:15" ht="12.5">
      <c r="A916" s="158" t="s">
        <v>16044</v>
      </c>
      <c r="B916" s="159">
        <v>20</v>
      </c>
      <c r="C916" s="159">
        <v>85</v>
      </c>
      <c r="D916" s="159">
        <v>8</v>
      </c>
      <c r="E916" s="159">
        <v>81</v>
      </c>
      <c r="F916" s="160" t="s">
        <v>32838</v>
      </c>
      <c r="G916" s="132"/>
      <c r="H916" s="162" t="s">
        <v>16045</v>
      </c>
      <c r="I916" s="128"/>
      <c r="J916" s="128"/>
      <c r="K916" s="128"/>
      <c r="L916" s="128"/>
      <c r="M916" s="129"/>
      <c r="N916" s="129"/>
      <c r="O916" s="129"/>
    </row>
    <row r="917" spans="1:15" ht="12.5">
      <c r="A917" s="158" t="s">
        <v>16046</v>
      </c>
      <c r="B917" s="159">
        <v>20</v>
      </c>
      <c r="C917" s="159">
        <v>85</v>
      </c>
      <c r="D917" s="159">
        <v>8</v>
      </c>
      <c r="E917" s="159">
        <v>83</v>
      </c>
      <c r="F917" s="160" t="s">
        <v>32838</v>
      </c>
      <c r="G917" s="132"/>
      <c r="H917" s="162" t="s">
        <v>16047</v>
      </c>
      <c r="I917" s="128"/>
      <c r="J917" s="128"/>
      <c r="K917" s="128"/>
      <c r="L917" s="128"/>
      <c r="M917" s="129"/>
      <c r="N917" s="129"/>
      <c r="O917" s="129"/>
    </row>
    <row r="918" spans="1:15" ht="12.5">
      <c r="A918" s="158" t="s">
        <v>16048</v>
      </c>
      <c r="B918" s="159">
        <v>20</v>
      </c>
      <c r="C918" s="159">
        <v>85</v>
      </c>
      <c r="D918" s="159">
        <v>8</v>
      </c>
      <c r="E918" s="159">
        <v>84</v>
      </c>
      <c r="F918" s="160" t="s">
        <v>32838</v>
      </c>
      <c r="G918" s="132"/>
      <c r="H918" s="162" t="s">
        <v>16049</v>
      </c>
      <c r="I918" s="158" t="s">
        <v>16050</v>
      </c>
      <c r="J918" s="128"/>
      <c r="K918" s="128"/>
      <c r="L918" s="128"/>
      <c r="M918" s="129"/>
      <c r="N918" s="129"/>
      <c r="O918" s="129"/>
    </row>
    <row r="919" spans="1:15" ht="12.5">
      <c r="A919" s="158" t="s">
        <v>16051</v>
      </c>
      <c r="B919" s="159">
        <v>20</v>
      </c>
      <c r="C919" s="159">
        <v>85</v>
      </c>
      <c r="D919" s="159">
        <v>8</v>
      </c>
      <c r="E919" s="159">
        <v>85</v>
      </c>
      <c r="F919" s="160" t="s">
        <v>32838</v>
      </c>
      <c r="G919" s="132"/>
      <c r="H919" s="162" t="s">
        <v>16052</v>
      </c>
      <c r="I919" s="158" t="s">
        <v>16050</v>
      </c>
      <c r="J919" s="128"/>
      <c r="K919" s="128"/>
      <c r="L919" s="128"/>
      <c r="M919" s="129"/>
      <c r="N919" s="129"/>
      <c r="O919" s="129"/>
    </row>
    <row r="920" spans="1:15" ht="12.5">
      <c r="A920" s="158" t="s">
        <v>16053</v>
      </c>
      <c r="B920" s="159">
        <v>20</v>
      </c>
      <c r="C920" s="159">
        <v>85</v>
      </c>
      <c r="D920" s="159">
        <v>8</v>
      </c>
      <c r="E920" s="159">
        <v>86</v>
      </c>
      <c r="F920" s="160" t="s">
        <v>32838</v>
      </c>
      <c r="G920" s="132"/>
      <c r="H920" s="162" t="s">
        <v>16054</v>
      </c>
      <c r="I920" s="158" t="s">
        <v>16050</v>
      </c>
      <c r="J920" s="128"/>
      <c r="K920" s="128"/>
      <c r="L920" s="128"/>
      <c r="M920" s="129"/>
      <c r="N920" s="129"/>
      <c r="O920" s="129"/>
    </row>
    <row r="921" spans="1:15" ht="12.5">
      <c r="A921" s="158" t="s">
        <v>16055</v>
      </c>
      <c r="B921" s="159">
        <v>20</v>
      </c>
      <c r="C921" s="159">
        <v>85</v>
      </c>
      <c r="D921" s="159">
        <v>8</v>
      </c>
      <c r="E921" s="159">
        <v>87</v>
      </c>
      <c r="F921" s="160" t="s">
        <v>32838</v>
      </c>
      <c r="G921" s="132"/>
      <c r="H921" s="162" t="s">
        <v>16056</v>
      </c>
      <c r="I921" s="158" t="s">
        <v>16057</v>
      </c>
      <c r="J921" s="128"/>
      <c r="K921" s="128"/>
      <c r="L921" s="128"/>
      <c r="M921" s="129"/>
      <c r="N921" s="129"/>
      <c r="O921" s="129"/>
    </row>
    <row r="922" spans="1:15" ht="12.5">
      <c r="A922" s="151" t="s">
        <v>16058</v>
      </c>
      <c r="B922" s="152">
        <v>20</v>
      </c>
      <c r="C922" s="152">
        <v>85</v>
      </c>
      <c r="D922" s="152">
        <v>9</v>
      </c>
      <c r="E922" s="153"/>
      <c r="F922" s="154" t="s">
        <v>33066</v>
      </c>
      <c r="G922" s="155"/>
      <c r="H922" s="156" t="s">
        <v>16059</v>
      </c>
      <c r="I922" s="157"/>
      <c r="J922" s="128"/>
      <c r="K922" s="128"/>
      <c r="L922" s="128"/>
      <c r="M922" s="129"/>
      <c r="N922" s="129"/>
      <c r="O922" s="129"/>
    </row>
    <row r="923" spans="1:15" ht="12.5">
      <c r="A923" s="158" t="s">
        <v>16060</v>
      </c>
      <c r="B923" s="159">
        <v>20</v>
      </c>
      <c r="C923" s="159">
        <v>85</v>
      </c>
      <c r="D923" s="159">
        <v>9</v>
      </c>
      <c r="E923" s="159">
        <v>1</v>
      </c>
      <c r="F923" s="160" t="s">
        <v>32838</v>
      </c>
      <c r="G923" s="132"/>
      <c r="H923" s="162" t="s">
        <v>16061</v>
      </c>
      <c r="I923" s="158" t="s">
        <v>16062</v>
      </c>
      <c r="J923" s="128"/>
      <c r="K923" s="128"/>
      <c r="L923" s="128"/>
      <c r="M923" s="129"/>
      <c r="N923" s="129"/>
      <c r="O923" s="129"/>
    </row>
    <row r="924" spans="1:15" ht="12.5">
      <c r="A924" s="158" t="s">
        <v>16063</v>
      </c>
      <c r="B924" s="159">
        <v>20</v>
      </c>
      <c r="C924" s="159">
        <v>85</v>
      </c>
      <c r="D924" s="159">
        <v>9</v>
      </c>
      <c r="E924" s="159">
        <v>2</v>
      </c>
      <c r="F924" s="160" t="s">
        <v>32838</v>
      </c>
      <c r="G924" s="132"/>
      <c r="H924" s="162" t="s">
        <v>16064</v>
      </c>
      <c r="I924" s="158" t="s">
        <v>16065</v>
      </c>
      <c r="J924" s="128"/>
      <c r="K924" s="128"/>
      <c r="L924" s="128"/>
      <c r="M924" s="129"/>
      <c r="N924" s="129"/>
      <c r="O924" s="129"/>
    </row>
    <row r="925" spans="1:15" ht="12.5">
      <c r="A925" s="158" t="s">
        <v>16066</v>
      </c>
      <c r="B925" s="159">
        <v>20</v>
      </c>
      <c r="C925" s="159">
        <v>85</v>
      </c>
      <c r="D925" s="159">
        <v>9</v>
      </c>
      <c r="E925" s="159">
        <v>3</v>
      </c>
      <c r="F925" s="160" t="s">
        <v>33067</v>
      </c>
      <c r="G925" s="162" t="s">
        <v>32882</v>
      </c>
      <c r="H925" s="162" t="s">
        <v>16067</v>
      </c>
      <c r="I925" s="158" t="s">
        <v>16068</v>
      </c>
      <c r="J925" s="128"/>
      <c r="K925" s="128"/>
      <c r="L925" s="128"/>
      <c r="M925" s="129"/>
      <c r="N925" s="129"/>
      <c r="O925" s="129"/>
    </row>
    <row r="926" spans="1:15" ht="12.5">
      <c r="A926" s="158" t="s">
        <v>16069</v>
      </c>
      <c r="B926" s="159">
        <v>20</v>
      </c>
      <c r="C926" s="159">
        <v>85</v>
      </c>
      <c r="D926" s="159">
        <v>9</v>
      </c>
      <c r="E926" s="159">
        <v>5</v>
      </c>
      <c r="F926" s="160" t="s">
        <v>32838</v>
      </c>
      <c r="G926" s="132"/>
      <c r="H926" s="162" t="s">
        <v>16070</v>
      </c>
      <c r="I926" s="158" t="s">
        <v>16071</v>
      </c>
      <c r="J926" s="128"/>
      <c r="K926" s="128"/>
      <c r="L926" s="128"/>
      <c r="M926" s="129"/>
      <c r="N926" s="129"/>
      <c r="O926" s="129"/>
    </row>
    <row r="927" spans="1:15" ht="12.5">
      <c r="A927" s="158" t="s">
        <v>16072</v>
      </c>
      <c r="B927" s="159">
        <v>20</v>
      </c>
      <c r="C927" s="159">
        <v>85</v>
      </c>
      <c r="D927" s="159">
        <v>9</v>
      </c>
      <c r="E927" s="159">
        <v>7</v>
      </c>
      <c r="F927" s="160" t="s">
        <v>32838</v>
      </c>
      <c r="G927" s="132"/>
      <c r="H927" s="162" t="s">
        <v>16073</v>
      </c>
      <c r="I927" s="158" t="s">
        <v>16074</v>
      </c>
      <c r="J927" s="128"/>
      <c r="K927" s="128"/>
      <c r="L927" s="128"/>
      <c r="M927" s="129"/>
      <c r="N927" s="129"/>
      <c r="O927" s="129"/>
    </row>
    <row r="928" spans="1:15" ht="12.5">
      <c r="A928" s="158" t="s">
        <v>16075</v>
      </c>
      <c r="B928" s="159">
        <v>20</v>
      </c>
      <c r="C928" s="159">
        <v>85</v>
      </c>
      <c r="D928" s="159">
        <v>9</v>
      </c>
      <c r="E928" s="159">
        <v>9</v>
      </c>
      <c r="F928" s="160" t="s">
        <v>32838</v>
      </c>
      <c r="G928" s="132"/>
      <c r="H928" s="162" t="s">
        <v>16076</v>
      </c>
      <c r="I928" s="158" t="s">
        <v>16077</v>
      </c>
      <c r="J928" s="128"/>
      <c r="K928" s="128"/>
      <c r="L928" s="128"/>
      <c r="M928" s="129"/>
      <c r="N928" s="129"/>
      <c r="O928" s="129"/>
    </row>
    <row r="929" spans="1:15" ht="12.5">
      <c r="A929" s="158" t="s">
        <v>16078</v>
      </c>
      <c r="B929" s="159">
        <v>20</v>
      </c>
      <c r="C929" s="159">
        <v>85</v>
      </c>
      <c r="D929" s="159">
        <v>9</v>
      </c>
      <c r="E929" s="159">
        <v>11</v>
      </c>
      <c r="F929" s="160" t="s">
        <v>32838</v>
      </c>
      <c r="G929" s="132"/>
      <c r="H929" s="162" t="s">
        <v>16079</v>
      </c>
      <c r="I929" s="158" t="s">
        <v>16080</v>
      </c>
      <c r="J929" s="128"/>
      <c r="K929" s="128"/>
      <c r="L929" s="128"/>
      <c r="M929" s="129"/>
      <c r="N929" s="129"/>
      <c r="O929" s="129"/>
    </row>
    <row r="930" spans="1:15" ht="12.5">
      <c r="A930" s="158" t="s">
        <v>16081</v>
      </c>
      <c r="B930" s="159">
        <v>20</v>
      </c>
      <c r="C930" s="159">
        <v>85</v>
      </c>
      <c r="D930" s="159">
        <v>9</v>
      </c>
      <c r="E930" s="159">
        <v>12</v>
      </c>
      <c r="F930" s="160" t="s">
        <v>32838</v>
      </c>
      <c r="G930" s="132"/>
      <c r="H930" s="162" t="s">
        <v>16082</v>
      </c>
      <c r="I930" s="158" t="s">
        <v>16083</v>
      </c>
      <c r="J930" s="128"/>
      <c r="K930" s="128"/>
      <c r="L930" s="128"/>
      <c r="M930" s="129"/>
      <c r="N930" s="129"/>
      <c r="O930" s="129"/>
    </row>
    <row r="931" spans="1:15" ht="12.5">
      <c r="A931" s="158" t="s">
        <v>16084</v>
      </c>
      <c r="B931" s="159">
        <v>20</v>
      </c>
      <c r="C931" s="159">
        <v>85</v>
      </c>
      <c r="D931" s="159">
        <v>9</v>
      </c>
      <c r="E931" s="159">
        <v>14</v>
      </c>
      <c r="F931" s="160" t="s">
        <v>32838</v>
      </c>
      <c r="G931" s="132"/>
      <c r="H931" s="162" t="s">
        <v>16085</v>
      </c>
      <c r="I931" s="158" t="s">
        <v>16086</v>
      </c>
      <c r="J931" s="128"/>
      <c r="K931" s="128"/>
      <c r="L931" s="128"/>
      <c r="M931" s="129"/>
      <c r="N931" s="129"/>
      <c r="O931" s="129"/>
    </row>
    <row r="932" spans="1:15" ht="12.5">
      <c r="A932" s="158" t="s">
        <v>16087</v>
      </c>
      <c r="B932" s="159">
        <v>20</v>
      </c>
      <c r="C932" s="159">
        <v>85</v>
      </c>
      <c r="D932" s="159">
        <v>9</v>
      </c>
      <c r="E932" s="159">
        <v>16</v>
      </c>
      <c r="F932" s="160" t="s">
        <v>33068</v>
      </c>
      <c r="G932" s="162" t="s">
        <v>32882</v>
      </c>
      <c r="H932" s="162" t="s">
        <v>16088</v>
      </c>
      <c r="I932" s="158" t="s">
        <v>16089</v>
      </c>
      <c r="J932" s="128"/>
      <c r="K932" s="128"/>
      <c r="L932" s="128"/>
      <c r="M932" s="129"/>
      <c r="N932" s="129"/>
      <c r="O932" s="129"/>
    </row>
    <row r="933" spans="1:15" ht="12.5">
      <c r="A933" s="158" t="s">
        <v>16090</v>
      </c>
      <c r="B933" s="159">
        <v>20</v>
      </c>
      <c r="C933" s="159">
        <v>85</v>
      </c>
      <c r="D933" s="159">
        <v>9</v>
      </c>
      <c r="E933" s="159">
        <v>17</v>
      </c>
      <c r="F933" s="160" t="s">
        <v>32838</v>
      </c>
      <c r="G933" s="132"/>
      <c r="H933" s="162" t="s">
        <v>16091</v>
      </c>
      <c r="I933" s="158" t="s">
        <v>16092</v>
      </c>
      <c r="J933" s="128"/>
      <c r="K933" s="128"/>
      <c r="L933" s="128"/>
      <c r="M933" s="129"/>
      <c r="N933" s="129"/>
      <c r="O933" s="129"/>
    </row>
    <row r="934" spans="1:15" ht="12.5">
      <c r="A934" s="158" t="s">
        <v>16093</v>
      </c>
      <c r="B934" s="159">
        <v>20</v>
      </c>
      <c r="C934" s="159">
        <v>85</v>
      </c>
      <c r="D934" s="159">
        <v>9</v>
      </c>
      <c r="E934" s="159">
        <v>18</v>
      </c>
      <c r="F934" s="160" t="s">
        <v>32838</v>
      </c>
      <c r="G934" s="132"/>
      <c r="H934" s="162" t="s">
        <v>16094</v>
      </c>
      <c r="I934" s="158" t="s">
        <v>16095</v>
      </c>
      <c r="J934" s="128"/>
      <c r="K934" s="128"/>
      <c r="L934" s="128"/>
      <c r="M934" s="129"/>
      <c r="N934" s="129"/>
      <c r="O934" s="129"/>
    </row>
    <row r="935" spans="1:15" ht="12.5">
      <c r="A935" s="158" t="s">
        <v>16096</v>
      </c>
      <c r="B935" s="159">
        <v>20</v>
      </c>
      <c r="C935" s="159">
        <v>85</v>
      </c>
      <c r="D935" s="159">
        <v>9</v>
      </c>
      <c r="E935" s="159">
        <v>19</v>
      </c>
      <c r="F935" s="160" t="s">
        <v>32838</v>
      </c>
      <c r="G935" s="132"/>
      <c r="H935" s="162" t="s">
        <v>16097</v>
      </c>
      <c r="I935" s="158" t="s">
        <v>16098</v>
      </c>
      <c r="J935" s="128"/>
      <c r="K935" s="128"/>
      <c r="L935" s="128"/>
      <c r="M935" s="129"/>
      <c r="N935" s="129"/>
      <c r="O935" s="129"/>
    </row>
    <row r="936" spans="1:15" ht="12.5">
      <c r="A936" s="158" t="s">
        <v>16099</v>
      </c>
      <c r="B936" s="159">
        <v>20</v>
      </c>
      <c r="C936" s="159">
        <v>85</v>
      </c>
      <c r="D936" s="159">
        <v>9</v>
      </c>
      <c r="E936" s="159">
        <v>20</v>
      </c>
      <c r="F936" s="160" t="s">
        <v>33069</v>
      </c>
      <c r="G936" s="162" t="s">
        <v>32882</v>
      </c>
      <c r="H936" s="162" t="s">
        <v>16100</v>
      </c>
      <c r="I936" s="158" t="s">
        <v>16101</v>
      </c>
      <c r="J936" s="128"/>
      <c r="K936" s="128"/>
      <c r="L936" s="128"/>
      <c r="M936" s="129"/>
      <c r="N936" s="129"/>
      <c r="O936" s="129"/>
    </row>
    <row r="937" spans="1:15" ht="12.5">
      <c r="A937" s="158" t="s">
        <v>16102</v>
      </c>
      <c r="B937" s="159">
        <v>20</v>
      </c>
      <c r="C937" s="159">
        <v>85</v>
      </c>
      <c r="D937" s="159">
        <v>9</v>
      </c>
      <c r="E937" s="159">
        <v>21</v>
      </c>
      <c r="F937" s="160" t="s">
        <v>32838</v>
      </c>
      <c r="G937" s="132"/>
      <c r="H937" s="162" t="s">
        <v>16103</v>
      </c>
      <c r="I937" s="158" t="s">
        <v>16104</v>
      </c>
      <c r="J937" s="128"/>
      <c r="K937" s="128"/>
      <c r="L937" s="128"/>
      <c r="M937" s="129"/>
      <c r="N937" s="129"/>
      <c r="O937" s="129"/>
    </row>
    <row r="938" spans="1:15" ht="12.5">
      <c r="A938" s="158" t="s">
        <v>16105</v>
      </c>
      <c r="B938" s="159">
        <v>20</v>
      </c>
      <c r="C938" s="159">
        <v>85</v>
      </c>
      <c r="D938" s="159">
        <v>9</v>
      </c>
      <c r="E938" s="159">
        <v>22</v>
      </c>
      <c r="F938" s="160" t="s">
        <v>32838</v>
      </c>
      <c r="G938" s="132"/>
      <c r="H938" s="162" t="s">
        <v>16106</v>
      </c>
      <c r="I938" s="158" t="s">
        <v>16107</v>
      </c>
      <c r="J938" s="128"/>
      <c r="K938" s="128"/>
      <c r="L938" s="128"/>
      <c r="M938" s="129"/>
      <c r="N938" s="129"/>
      <c r="O938" s="129"/>
    </row>
    <row r="939" spans="1:15" ht="12.5">
      <c r="A939" s="158" t="s">
        <v>16108</v>
      </c>
      <c r="B939" s="159">
        <v>20</v>
      </c>
      <c r="C939" s="159">
        <v>85</v>
      </c>
      <c r="D939" s="159">
        <v>9</v>
      </c>
      <c r="E939" s="159">
        <v>23</v>
      </c>
      <c r="F939" s="160" t="s">
        <v>32838</v>
      </c>
      <c r="G939" s="132"/>
      <c r="H939" s="162" t="s">
        <v>16109</v>
      </c>
      <c r="I939" s="158" t="s">
        <v>16110</v>
      </c>
      <c r="J939" s="128"/>
      <c r="K939" s="128"/>
      <c r="L939" s="128"/>
      <c r="M939" s="129"/>
      <c r="N939" s="129"/>
      <c r="O939" s="129"/>
    </row>
    <row r="940" spans="1:15" ht="12.5">
      <c r="A940" s="158" t="s">
        <v>16111</v>
      </c>
      <c r="B940" s="159">
        <v>20</v>
      </c>
      <c r="C940" s="159">
        <v>85</v>
      </c>
      <c r="D940" s="159">
        <v>9</v>
      </c>
      <c r="E940" s="159">
        <v>24</v>
      </c>
      <c r="F940" s="160" t="s">
        <v>32838</v>
      </c>
      <c r="G940" s="132"/>
      <c r="H940" s="162" t="s">
        <v>16112</v>
      </c>
      <c r="I940" s="128"/>
      <c r="J940" s="128"/>
      <c r="K940" s="128"/>
      <c r="L940" s="128"/>
      <c r="M940" s="129"/>
      <c r="N940" s="129"/>
      <c r="O940" s="129"/>
    </row>
    <row r="941" spans="1:15" ht="12.5">
      <c r="A941" s="158" t="s">
        <v>16113</v>
      </c>
      <c r="B941" s="159">
        <v>20</v>
      </c>
      <c r="C941" s="159">
        <v>85</v>
      </c>
      <c r="D941" s="159">
        <v>9</v>
      </c>
      <c r="E941" s="159">
        <v>26</v>
      </c>
      <c r="F941" s="160" t="s">
        <v>32838</v>
      </c>
      <c r="G941" s="132"/>
      <c r="H941" s="162" t="s">
        <v>16114</v>
      </c>
      <c r="I941" s="158" t="s">
        <v>16115</v>
      </c>
      <c r="J941" s="128"/>
      <c r="K941" s="128"/>
      <c r="L941" s="128"/>
      <c r="M941" s="129"/>
      <c r="N941" s="129"/>
      <c r="O941" s="129"/>
    </row>
    <row r="942" spans="1:15" ht="12.5">
      <c r="A942" s="158" t="s">
        <v>16116</v>
      </c>
      <c r="B942" s="159">
        <v>20</v>
      </c>
      <c r="C942" s="159">
        <v>85</v>
      </c>
      <c r="D942" s="159">
        <v>9</v>
      </c>
      <c r="E942" s="159">
        <v>28</v>
      </c>
      <c r="F942" s="160" t="s">
        <v>32838</v>
      </c>
      <c r="G942" s="132"/>
      <c r="H942" s="162" t="s">
        <v>16117</v>
      </c>
      <c r="I942" s="158" t="s">
        <v>16118</v>
      </c>
      <c r="J942" s="128"/>
      <c r="K942" s="128"/>
      <c r="L942" s="128"/>
      <c r="M942" s="129"/>
      <c r="N942" s="129"/>
      <c r="O942" s="129"/>
    </row>
    <row r="943" spans="1:15" ht="12.5">
      <c r="A943" s="158" t="s">
        <v>16119</v>
      </c>
      <c r="B943" s="159">
        <v>20</v>
      </c>
      <c r="C943" s="159">
        <v>85</v>
      </c>
      <c r="D943" s="159">
        <v>9</v>
      </c>
      <c r="E943" s="159">
        <v>30</v>
      </c>
      <c r="F943" s="160" t="s">
        <v>32838</v>
      </c>
      <c r="G943" s="132"/>
      <c r="H943" s="162" t="s">
        <v>16120</v>
      </c>
      <c r="I943" s="158" t="s">
        <v>16121</v>
      </c>
      <c r="J943" s="128"/>
      <c r="K943" s="128"/>
      <c r="L943" s="128"/>
      <c r="M943" s="129"/>
      <c r="N943" s="129"/>
      <c r="O943" s="129"/>
    </row>
    <row r="944" spans="1:15" ht="12.5">
      <c r="A944" s="158" t="s">
        <v>16122</v>
      </c>
      <c r="B944" s="159">
        <v>20</v>
      </c>
      <c r="C944" s="159">
        <v>85</v>
      </c>
      <c r="D944" s="159">
        <v>9</v>
      </c>
      <c r="E944" s="159">
        <v>31</v>
      </c>
      <c r="F944" s="160" t="s">
        <v>32838</v>
      </c>
      <c r="G944" s="132"/>
      <c r="H944" s="162" t="s">
        <v>33070</v>
      </c>
      <c r="I944" s="158" t="s">
        <v>16124</v>
      </c>
      <c r="J944" s="128"/>
      <c r="K944" s="128"/>
      <c r="L944" s="128"/>
      <c r="M944" s="129"/>
      <c r="N944" s="129"/>
      <c r="O944" s="129"/>
    </row>
    <row r="945" spans="1:15" ht="12.5">
      <c r="A945" s="158" t="s">
        <v>16125</v>
      </c>
      <c r="B945" s="159">
        <v>20</v>
      </c>
      <c r="C945" s="159">
        <v>85</v>
      </c>
      <c r="D945" s="159">
        <v>9</v>
      </c>
      <c r="E945" s="159">
        <v>32</v>
      </c>
      <c r="F945" s="160" t="s">
        <v>32838</v>
      </c>
      <c r="G945" s="132"/>
      <c r="H945" s="162" t="s">
        <v>33071</v>
      </c>
      <c r="I945" s="158" t="s">
        <v>16127</v>
      </c>
      <c r="J945" s="128"/>
      <c r="K945" s="128"/>
      <c r="L945" s="128"/>
      <c r="M945" s="129"/>
      <c r="N945" s="129"/>
      <c r="O945" s="129"/>
    </row>
    <row r="946" spans="1:15" ht="12.5">
      <c r="A946" s="158" t="s">
        <v>16128</v>
      </c>
      <c r="B946" s="159">
        <v>20</v>
      </c>
      <c r="C946" s="159">
        <v>85</v>
      </c>
      <c r="D946" s="159">
        <v>9</v>
      </c>
      <c r="E946" s="159">
        <v>33</v>
      </c>
      <c r="F946" s="160" t="s">
        <v>32838</v>
      </c>
      <c r="G946" s="132"/>
      <c r="H946" s="162" t="s">
        <v>16129</v>
      </c>
      <c r="I946" s="158" t="s">
        <v>16130</v>
      </c>
      <c r="J946" s="128"/>
      <c r="K946" s="128"/>
      <c r="L946" s="128"/>
      <c r="M946" s="129"/>
      <c r="N946" s="129"/>
      <c r="O946" s="129"/>
    </row>
    <row r="947" spans="1:15" ht="12.5">
      <c r="A947" s="158" t="s">
        <v>16131</v>
      </c>
      <c r="B947" s="159">
        <v>20</v>
      </c>
      <c r="C947" s="159">
        <v>85</v>
      </c>
      <c r="D947" s="159">
        <v>9</v>
      </c>
      <c r="E947" s="159">
        <v>37</v>
      </c>
      <c r="F947" s="160" t="s">
        <v>32838</v>
      </c>
      <c r="G947" s="132"/>
      <c r="H947" s="162" t="s">
        <v>16132</v>
      </c>
      <c r="I947" s="128"/>
      <c r="J947" s="128"/>
      <c r="K947" s="128"/>
      <c r="L947" s="128"/>
      <c r="M947" s="129"/>
      <c r="N947" s="129"/>
      <c r="O947" s="129"/>
    </row>
    <row r="948" spans="1:15" ht="12.5">
      <c r="A948" s="158" t="s">
        <v>16137</v>
      </c>
      <c r="B948" s="159">
        <v>20</v>
      </c>
      <c r="C948" s="159">
        <v>85</v>
      </c>
      <c r="D948" s="159">
        <v>9</v>
      </c>
      <c r="E948" s="159">
        <v>42</v>
      </c>
      <c r="F948" s="160" t="s">
        <v>33072</v>
      </c>
      <c r="G948" s="162" t="s">
        <v>32882</v>
      </c>
      <c r="H948" s="162" t="s">
        <v>16138</v>
      </c>
      <c r="I948" s="158" t="s">
        <v>16139</v>
      </c>
      <c r="J948" s="128"/>
      <c r="K948" s="128"/>
      <c r="L948" s="128"/>
      <c r="M948" s="129"/>
      <c r="N948" s="129"/>
      <c r="O948" s="129"/>
    </row>
    <row r="949" spans="1:15" ht="12.5">
      <c r="A949" s="158" t="s">
        <v>16144</v>
      </c>
      <c r="B949" s="159">
        <v>20</v>
      </c>
      <c r="C949" s="159">
        <v>85</v>
      </c>
      <c r="D949" s="159">
        <v>9</v>
      </c>
      <c r="E949" s="159">
        <v>48</v>
      </c>
      <c r="F949" s="160" t="s">
        <v>32838</v>
      </c>
      <c r="G949" s="132"/>
      <c r="H949" s="162" t="s">
        <v>16145</v>
      </c>
      <c r="I949" s="158" t="s">
        <v>16146</v>
      </c>
      <c r="J949" s="128"/>
      <c r="K949" s="128"/>
      <c r="L949" s="128"/>
      <c r="M949" s="129"/>
      <c r="N949" s="129"/>
      <c r="O949" s="129"/>
    </row>
    <row r="950" spans="1:15" ht="12.5">
      <c r="A950" s="158" t="s">
        <v>16147</v>
      </c>
      <c r="B950" s="159">
        <v>20</v>
      </c>
      <c r="C950" s="159">
        <v>85</v>
      </c>
      <c r="D950" s="159">
        <v>9</v>
      </c>
      <c r="E950" s="159">
        <v>52</v>
      </c>
      <c r="F950" s="160" t="s">
        <v>32838</v>
      </c>
      <c r="G950" s="132"/>
      <c r="H950" s="162" t="s">
        <v>16148</v>
      </c>
      <c r="I950" s="158" t="s">
        <v>16149</v>
      </c>
      <c r="J950" s="128"/>
      <c r="K950" s="128"/>
      <c r="L950" s="128"/>
      <c r="M950" s="129"/>
      <c r="N950" s="129"/>
      <c r="O950" s="129"/>
    </row>
    <row r="951" spans="1:15" ht="12.5">
      <c r="A951" s="158" t="s">
        <v>16152</v>
      </c>
      <c r="B951" s="159">
        <v>20</v>
      </c>
      <c r="C951" s="159">
        <v>85</v>
      </c>
      <c r="D951" s="159">
        <v>9</v>
      </c>
      <c r="E951" s="159">
        <v>62</v>
      </c>
      <c r="F951" s="160" t="s">
        <v>33073</v>
      </c>
      <c r="G951" s="162" t="s">
        <v>32882</v>
      </c>
      <c r="H951" s="162" t="s">
        <v>16153</v>
      </c>
      <c r="I951" s="158" t="s">
        <v>16154</v>
      </c>
      <c r="J951" s="128"/>
      <c r="K951" s="128"/>
      <c r="L951" s="128"/>
      <c r="M951" s="129"/>
      <c r="N951" s="129"/>
      <c r="O951" s="129"/>
    </row>
    <row r="952" spans="1:15" ht="12.5">
      <c r="A952" s="158" t="s">
        <v>16155</v>
      </c>
      <c r="B952" s="159">
        <v>20</v>
      </c>
      <c r="C952" s="159">
        <v>85</v>
      </c>
      <c r="D952" s="159">
        <v>9</v>
      </c>
      <c r="E952" s="159">
        <v>63</v>
      </c>
      <c r="F952" s="160" t="s">
        <v>32838</v>
      </c>
      <c r="G952" s="132"/>
      <c r="H952" s="162" t="s">
        <v>16156</v>
      </c>
      <c r="I952" s="128"/>
      <c r="J952" s="128"/>
      <c r="K952" s="128"/>
      <c r="L952" s="128"/>
      <c r="M952" s="129"/>
      <c r="N952" s="129"/>
      <c r="O952" s="129"/>
    </row>
    <row r="953" spans="1:15" ht="12.5">
      <c r="A953" s="158" t="s">
        <v>16157</v>
      </c>
      <c r="B953" s="159">
        <v>20</v>
      </c>
      <c r="C953" s="159">
        <v>85</v>
      </c>
      <c r="D953" s="159">
        <v>9</v>
      </c>
      <c r="E953" s="159">
        <v>72</v>
      </c>
      <c r="F953" s="160" t="s">
        <v>32838</v>
      </c>
      <c r="G953" s="132"/>
      <c r="H953" s="162" t="s">
        <v>16158</v>
      </c>
      <c r="I953" s="158" t="s">
        <v>16159</v>
      </c>
      <c r="J953" s="128"/>
      <c r="K953" s="128"/>
      <c r="L953" s="128"/>
      <c r="M953" s="129"/>
      <c r="N953" s="129"/>
      <c r="O953" s="129"/>
    </row>
    <row r="954" spans="1:15" ht="12.5">
      <c r="A954" s="158" t="s">
        <v>16160</v>
      </c>
      <c r="B954" s="159">
        <v>20</v>
      </c>
      <c r="C954" s="159">
        <v>85</v>
      </c>
      <c r="D954" s="159">
        <v>9</v>
      </c>
      <c r="E954" s="159">
        <v>81</v>
      </c>
      <c r="F954" s="160" t="s">
        <v>33074</v>
      </c>
      <c r="G954" s="162" t="s">
        <v>32874</v>
      </c>
      <c r="H954" s="162" t="s">
        <v>16161</v>
      </c>
      <c r="I954" s="158" t="s">
        <v>16162</v>
      </c>
      <c r="J954" s="128"/>
      <c r="K954" s="128"/>
      <c r="L954" s="128"/>
      <c r="M954" s="129"/>
      <c r="N954" s="129"/>
      <c r="O954" s="129"/>
    </row>
    <row r="955" spans="1:15" ht="12.5">
      <c r="A955" s="158" t="s">
        <v>16163</v>
      </c>
      <c r="B955" s="159">
        <v>20</v>
      </c>
      <c r="C955" s="159">
        <v>85</v>
      </c>
      <c r="D955" s="159">
        <v>9</v>
      </c>
      <c r="E955" s="159">
        <v>82</v>
      </c>
      <c r="F955" s="160" t="s">
        <v>33075</v>
      </c>
      <c r="G955" s="162" t="s">
        <v>32874</v>
      </c>
      <c r="H955" s="162" t="s">
        <v>16164</v>
      </c>
      <c r="I955" s="158" t="s">
        <v>16165</v>
      </c>
      <c r="J955" s="128"/>
      <c r="K955" s="128"/>
      <c r="L955" s="128"/>
      <c r="M955" s="129"/>
      <c r="N955" s="129"/>
      <c r="O955" s="129"/>
    </row>
    <row r="956" spans="1:15" ht="12.5">
      <c r="A956" s="158" t="s">
        <v>16166</v>
      </c>
      <c r="B956" s="159">
        <v>20</v>
      </c>
      <c r="C956" s="159">
        <v>85</v>
      </c>
      <c r="D956" s="159">
        <v>9</v>
      </c>
      <c r="E956" s="159">
        <v>84</v>
      </c>
      <c r="F956" s="160" t="s">
        <v>33076</v>
      </c>
      <c r="G956" s="162" t="s">
        <v>32874</v>
      </c>
      <c r="H956" s="162" t="s">
        <v>16167</v>
      </c>
      <c r="I956" s="158" t="s">
        <v>16168</v>
      </c>
      <c r="J956" s="128"/>
      <c r="K956" s="128"/>
      <c r="L956" s="128"/>
      <c r="M956" s="129"/>
      <c r="N956" s="129"/>
      <c r="O956" s="129"/>
    </row>
    <row r="957" spans="1:15" ht="12.5">
      <c r="A957" s="158" t="s">
        <v>16169</v>
      </c>
      <c r="B957" s="159">
        <v>20</v>
      </c>
      <c r="C957" s="159">
        <v>85</v>
      </c>
      <c r="D957" s="159">
        <v>9</v>
      </c>
      <c r="E957" s="159">
        <v>87</v>
      </c>
      <c r="F957" s="160" t="s">
        <v>33077</v>
      </c>
      <c r="G957" s="162" t="s">
        <v>32874</v>
      </c>
      <c r="H957" s="162" t="s">
        <v>16170</v>
      </c>
      <c r="I957" s="158" t="s">
        <v>16171</v>
      </c>
      <c r="J957" s="128"/>
      <c r="K957" s="128"/>
      <c r="L957" s="128"/>
      <c r="M957" s="129"/>
      <c r="N957" s="129"/>
      <c r="O957" s="129"/>
    </row>
    <row r="958" spans="1:15" ht="12.5">
      <c r="A958" s="158" t="s">
        <v>16172</v>
      </c>
      <c r="B958" s="159">
        <v>20</v>
      </c>
      <c r="C958" s="159">
        <v>85</v>
      </c>
      <c r="D958" s="159">
        <v>9</v>
      </c>
      <c r="E958" s="159">
        <v>88</v>
      </c>
      <c r="F958" s="160" t="s">
        <v>32838</v>
      </c>
      <c r="G958" s="132"/>
      <c r="H958" s="162" t="s">
        <v>16173</v>
      </c>
      <c r="I958" s="158" t="s">
        <v>16174</v>
      </c>
      <c r="J958" s="128"/>
      <c r="K958" s="128"/>
      <c r="L958" s="128"/>
      <c r="M958" s="129"/>
      <c r="N958" s="129"/>
      <c r="O958" s="129"/>
    </row>
    <row r="959" spans="1:15" ht="12.5">
      <c r="A959" s="158" t="s">
        <v>16175</v>
      </c>
      <c r="B959" s="159">
        <v>20</v>
      </c>
      <c r="C959" s="159">
        <v>85</v>
      </c>
      <c r="D959" s="159">
        <v>9</v>
      </c>
      <c r="E959" s="159">
        <v>92</v>
      </c>
      <c r="F959" s="160" t="s">
        <v>32838</v>
      </c>
      <c r="G959" s="132"/>
      <c r="H959" s="162" t="s">
        <v>16176</v>
      </c>
      <c r="I959" s="158" t="s">
        <v>16177</v>
      </c>
      <c r="J959" s="128"/>
      <c r="K959" s="128"/>
      <c r="L959" s="128"/>
      <c r="M959" s="129"/>
      <c r="N959" s="129"/>
      <c r="O959" s="129"/>
    </row>
    <row r="960" spans="1:15" ht="12.5">
      <c r="A960" s="158" t="s">
        <v>16178</v>
      </c>
      <c r="B960" s="159">
        <v>20</v>
      </c>
      <c r="C960" s="159">
        <v>85</v>
      </c>
      <c r="D960" s="159">
        <v>9</v>
      </c>
      <c r="E960" s="159">
        <v>93</v>
      </c>
      <c r="F960" s="160" t="s">
        <v>32838</v>
      </c>
      <c r="G960" s="132"/>
      <c r="H960" s="162" t="s">
        <v>16179</v>
      </c>
      <c r="I960" s="158" t="s">
        <v>16180</v>
      </c>
      <c r="J960" s="128"/>
      <c r="K960" s="128"/>
      <c r="L960" s="128"/>
      <c r="M960" s="129"/>
      <c r="N960" s="129"/>
      <c r="O960" s="129"/>
    </row>
    <row r="961" spans="1:15" ht="12.5">
      <c r="A961" s="158" t="s">
        <v>16181</v>
      </c>
      <c r="B961" s="159">
        <v>20</v>
      </c>
      <c r="C961" s="159">
        <v>85</v>
      </c>
      <c r="D961" s="159">
        <v>9</v>
      </c>
      <c r="E961" s="159">
        <v>96</v>
      </c>
      <c r="F961" s="160" t="s">
        <v>32838</v>
      </c>
      <c r="G961" s="132"/>
      <c r="H961" s="162" t="s">
        <v>16182</v>
      </c>
      <c r="I961" s="158" t="s">
        <v>16183</v>
      </c>
      <c r="J961" s="128"/>
      <c r="K961" s="128"/>
      <c r="L961" s="128"/>
      <c r="M961" s="129"/>
      <c r="N961" s="129"/>
      <c r="O961" s="129"/>
    </row>
    <row r="962" spans="1:15" ht="12.5">
      <c r="A962" s="158" t="s">
        <v>16184</v>
      </c>
      <c r="B962" s="159">
        <v>20</v>
      </c>
      <c r="C962" s="159">
        <v>85</v>
      </c>
      <c r="D962" s="159">
        <v>9</v>
      </c>
      <c r="E962" s="159">
        <v>98</v>
      </c>
      <c r="F962" s="160" t="s">
        <v>32838</v>
      </c>
      <c r="G962" s="132"/>
      <c r="H962" s="162" t="s">
        <v>16185</v>
      </c>
      <c r="I962" s="158" t="s">
        <v>16186</v>
      </c>
      <c r="J962" s="128"/>
      <c r="K962" s="128"/>
      <c r="L962" s="128"/>
      <c r="M962" s="129"/>
      <c r="N962" s="129"/>
      <c r="O962" s="129"/>
    </row>
    <row r="963" spans="1:15" ht="12.5">
      <c r="A963" s="151" t="s">
        <v>16187</v>
      </c>
      <c r="B963" s="152">
        <v>20</v>
      </c>
      <c r="C963" s="152">
        <v>85</v>
      </c>
      <c r="D963" s="152">
        <v>10</v>
      </c>
      <c r="E963" s="153"/>
      <c r="F963" s="154" t="s">
        <v>33078</v>
      </c>
      <c r="G963" s="155"/>
      <c r="H963" s="156" t="s">
        <v>16188</v>
      </c>
      <c r="I963" s="157"/>
      <c r="J963" s="157"/>
      <c r="K963" s="128"/>
      <c r="L963" s="128"/>
      <c r="M963" s="129"/>
      <c r="N963" s="129"/>
      <c r="O963" s="129"/>
    </row>
    <row r="964" spans="1:15" ht="12.5">
      <c r="A964" s="158" t="s">
        <v>16189</v>
      </c>
      <c r="B964" s="159">
        <v>20</v>
      </c>
      <c r="C964" s="159">
        <v>85</v>
      </c>
      <c r="D964" s="159">
        <v>10</v>
      </c>
      <c r="E964" s="159">
        <v>20</v>
      </c>
      <c r="F964" s="160" t="s">
        <v>33079</v>
      </c>
      <c r="G964" s="162" t="s">
        <v>33080</v>
      </c>
      <c r="H964" s="162" t="s">
        <v>16190</v>
      </c>
      <c r="I964" s="158" t="s">
        <v>16191</v>
      </c>
      <c r="J964" s="128"/>
      <c r="K964" s="128"/>
      <c r="L964" s="128"/>
      <c r="M964" s="129"/>
      <c r="N964" s="129"/>
      <c r="O964" s="129"/>
    </row>
    <row r="965" spans="1:15" ht="12.5">
      <c r="A965" s="158" t="s">
        <v>16192</v>
      </c>
      <c r="B965" s="159">
        <v>20</v>
      </c>
      <c r="C965" s="159">
        <v>85</v>
      </c>
      <c r="D965" s="159">
        <v>10</v>
      </c>
      <c r="E965" s="159">
        <v>27</v>
      </c>
      <c r="F965" s="160" t="s">
        <v>33081</v>
      </c>
      <c r="G965" s="162" t="s">
        <v>33080</v>
      </c>
      <c r="H965" s="162" t="s">
        <v>16193</v>
      </c>
      <c r="I965" s="158" t="s">
        <v>16194</v>
      </c>
      <c r="J965" s="128"/>
      <c r="K965" s="128"/>
      <c r="L965" s="128"/>
      <c r="M965" s="129"/>
      <c r="N965" s="129"/>
      <c r="O965" s="129"/>
    </row>
    <row r="966" spans="1:15" ht="12.5">
      <c r="A966" s="158" t="s">
        <v>16195</v>
      </c>
      <c r="B966" s="159">
        <v>20</v>
      </c>
      <c r="C966" s="159">
        <v>85</v>
      </c>
      <c r="D966" s="159">
        <v>10</v>
      </c>
      <c r="E966" s="159">
        <v>35</v>
      </c>
      <c r="F966" s="160" t="s">
        <v>33082</v>
      </c>
      <c r="G966" s="162" t="s">
        <v>33083</v>
      </c>
      <c r="H966" s="162" t="s">
        <v>16196</v>
      </c>
      <c r="I966" s="158" t="s">
        <v>16197</v>
      </c>
      <c r="J966" s="128"/>
      <c r="K966" s="128"/>
      <c r="L966" s="128"/>
      <c r="M966" s="129"/>
      <c r="N966" s="129"/>
      <c r="O966" s="129"/>
    </row>
    <row r="967" spans="1:15" ht="12.5">
      <c r="A967" s="158" t="s">
        <v>16198</v>
      </c>
      <c r="B967" s="159">
        <v>20</v>
      </c>
      <c r="C967" s="159">
        <v>85</v>
      </c>
      <c r="D967" s="159">
        <v>10</v>
      </c>
      <c r="E967" s="159">
        <v>65</v>
      </c>
      <c r="F967" s="160" t="s">
        <v>33084</v>
      </c>
      <c r="G967" s="162" t="s">
        <v>33085</v>
      </c>
      <c r="H967" s="162" t="s">
        <v>16199</v>
      </c>
      <c r="I967" s="158" t="s">
        <v>16200</v>
      </c>
      <c r="J967" s="128"/>
      <c r="K967" s="128"/>
      <c r="L967" s="128"/>
      <c r="M967" s="129"/>
      <c r="N967" s="129"/>
      <c r="O967" s="129"/>
    </row>
    <row r="968" spans="1:15" ht="12.5">
      <c r="A968" s="158" t="s">
        <v>16201</v>
      </c>
      <c r="B968" s="159">
        <v>20</v>
      </c>
      <c r="C968" s="159">
        <v>85</v>
      </c>
      <c r="D968" s="159">
        <v>10</v>
      </c>
      <c r="E968" s="159">
        <v>70</v>
      </c>
      <c r="F968" s="160" t="s">
        <v>33086</v>
      </c>
      <c r="G968" s="162" t="s">
        <v>33083</v>
      </c>
      <c r="H968" s="162" t="s">
        <v>16202</v>
      </c>
      <c r="I968" s="158" t="s">
        <v>16203</v>
      </c>
      <c r="J968" s="128"/>
      <c r="K968" s="128"/>
      <c r="L968" s="128"/>
      <c r="M968" s="129"/>
      <c r="N968" s="129"/>
      <c r="O968" s="129"/>
    </row>
    <row r="969" spans="1:15" ht="12.5">
      <c r="A969" s="158" t="s">
        <v>16204</v>
      </c>
      <c r="B969" s="159">
        <v>20</v>
      </c>
      <c r="C969" s="159">
        <v>85</v>
      </c>
      <c r="D969" s="159">
        <v>10</v>
      </c>
      <c r="E969" s="159">
        <v>72</v>
      </c>
      <c r="F969" s="160" t="s">
        <v>33087</v>
      </c>
      <c r="G969" s="162" t="s">
        <v>33088</v>
      </c>
      <c r="H969" s="162" t="s">
        <v>16205</v>
      </c>
      <c r="I969" s="158" t="s">
        <v>16206</v>
      </c>
      <c r="J969" s="128"/>
      <c r="K969" s="128"/>
      <c r="L969" s="128"/>
      <c r="M969" s="129"/>
      <c r="N969" s="129"/>
      <c r="O969" s="129"/>
    </row>
    <row r="970" spans="1:15" ht="12.5">
      <c r="A970" s="158" t="s">
        <v>16207</v>
      </c>
      <c r="B970" s="159">
        <v>20</v>
      </c>
      <c r="C970" s="159">
        <v>85</v>
      </c>
      <c r="D970" s="159">
        <v>10</v>
      </c>
      <c r="E970" s="159">
        <v>73</v>
      </c>
      <c r="F970" s="160" t="s">
        <v>33089</v>
      </c>
      <c r="G970" s="162" t="s">
        <v>33090</v>
      </c>
      <c r="H970" s="162" t="s">
        <v>16208</v>
      </c>
      <c r="I970" s="158" t="s">
        <v>16209</v>
      </c>
      <c r="J970" s="128"/>
      <c r="K970" s="128"/>
      <c r="L970" s="128"/>
      <c r="M970" s="129"/>
      <c r="N970" s="129"/>
      <c r="O970" s="129"/>
    </row>
    <row r="971" spans="1:15" ht="12.5">
      <c r="A971" s="158" t="s">
        <v>16210</v>
      </c>
      <c r="B971" s="159">
        <v>20</v>
      </c>
      <c r="C971" s="159">
        <v>85</v>
      </c>
      <c r="D971" s="159">
        <v>10</v>
      </c>
      <c r="E971" s="159">
        <v>79</v>
      </c>
      <c r="F971" s="160" t="s">
        <v>32838</v>
      </c>
      <c r="G971" s="132"/>
      <c r="H971" s="162" t="s">
        <v>16211</v>
      </c>
      <c r="I971" s="158" t="s">
        <v>16212</v>
      </c>
      <c r="J971" s="128"/>
      <c r="K971" s="128"/>
      <c r="L971" s="128"/>
      <c r="M971" s="129"/>
      <c r="N971" s="129"/>
      <c r="O971" s="129"/>
    </row>
    <row r="972" spans="1:15" ht="12.5">
      <c r="A972" s="158" t="s">
        <v>16213</v>
      </c>
      <c r="B972" s="159">
        <v>20</v>
      </c>
      <c r="C972" s="159">
        <v>85</v>
      </c>
      <c r="D972" s="159">
        <v>10</v>
      </c>
      <c r="E972" s="159">
        <v>81</v>
      </c>
      <c r="F972" s="160" t="s">
        <v>33091</v>
      </c>
      <c r="G972" s="162" t="s">
        <v>33092</v>
      </c>
      <c r="H972" s="162" t="s">
        <v>16214</v>
      </c>
      <c r="I972" s="158" t="s">
        <v>16215</v>
      </c>
      <c r="J972" s="128"/>
      <c r="K972" s="128"/>
      <c r="L972" s="128"/>
      <c r="M972" s="129"/>
      <c r="N972" s="129"/>
      <c r="O972" s="129"/>
    </row>
    <row r="973" spans="1:15" ht="12.5">
      <c r="A973" s="151" t="s">
        <v>16216</v>
      </c>
      <c r="B973" s="152">
        <v>20</v>
      </c>
      <c r="C973" s="152">
        <v>85</v>
      </c>
      <c r="D973" s="152">
        <v>11</v>
      </c>
      <c r="E973" s="153"/>
      <c r="F973" s="154" t="s">
        <v>33093</v>
      </c>
      <c r="G973" s="168"/>
      <c r="H973" s="156" t="s">
        <v>16217</v>
      </c>
      <c r="I973" s="157"/>
      <c r="J973" s="128"/>
      <c r="K973" s="128"/>
      <c r="L973" s="128"/>
      <c r="M973" s="129"/>
      <c r="N973" s="129"/>
      <c r="O973" s="129"/>
    </row>
    <row r="974" spans="1:15" ht="12.5">
      <c r="A974" s="158" t="s">
        <v>16218</v>
      </c>
      <c r="B974" s="159">
        <v>20</v>
      </c>
      <c r="C974" s="159">
        <v>85</v>
      </c>
      <c r="D974" s="159">
        <v>11</v>
      </c>
      <c r="E974" s="159">
        <v>48</v>
      </c>
      <c r="F974" s="160" t="s">
        <v>32838</v>
      </c>
      <c r="G974" s="132"/>
      <c r="H974" s="162" t="s">
        <v>16219</v>
      </c>
      <c r="I974" s="158" t="s">
        <v>16220</v>
      </c>
      <c r="J974" s="128"/>
      <c r="K974" s="128"/>
      <c r="L974" s="128"/>
      <c r="M974" s="129"/>
      <c r="N974" s="129"/>
      <c r="O974" s="129"/>
    </row>
    <row r="975" spans="1:15" ht="12.5">
      <c r="A975" s="158" t="s">
        <v>16221</v>
      </c>
      <c r="B975" s="159">
        <v>20</v>
      </c>
      <c r="C975" s="159">
        <v>85</v>
      </c>
      <c r="D975" s="159">
        <v>11</v>
      </c>
      <c r="E975" s="159">
        <v>60</v>
      </c>
      <c r="F975" s="160" t="s">
        <v>32838</v>
      </c>
      <c r="G975" s="132"/>
      <c r="H975" s="162" t="s">
        <v>16222</v>
      </c>
      <c r="I975" s="158" t="s">
        <v>16223</v>
      </c>
      <c r="J975" s="128"/>
      <c r="K975" s="128"/>
      <c r="L975" s="128"/>
      <c r="M975" s="129"/>
      <c r="N975" s="129"/>
      <c r="O975" s="129"/>
    </row>
    <row r="976" spans="1:15" ht="12.5">
      <c r="A976" s="158" t="s">
        <v>16224</v>
      </c>
      <c r="B976" s="159">
        <v>20</v>
      </c>
      <c r="C976" s="159">
        <v>85</v>
      </c>
      <c r="D976" s="159">
        <v>11</v>
      </c>
      <c r="E976" s="159">
        <v>80</v>
      </c>
      <c r="F976" s="160" t="s">
        <v>32838</v>
      </c>
      <c r="G976" s="132"/>
      <c r="H976" s="162" t="s">
        <v>16225</v>
      </c>
      <c r="I976" s="158" t="s">
        <v>16226</v>
      </c>
      <c r="J976" s="128"/>
      <c r="K976" s="128"/>
      <c r="L976" s="128"/>
      <c r="M976" s="129"/>
      <c r="N976" s="129"/>
      <c r="O976" s="129"/>
    </row>
    <row r="977" spans="1:15" ht="12.5">
      <c r="A977" s="151" t="s">
        <v>16227</v>
      </c>
      <c r="B977" s="152">
        <v>20</v>
      </c>
      <c r="C977" s="152">
        <v>85</v>
      </c>
      <c r="D977" s="152">
        <v>12</v>
      </c>
      <c r="E977" s="153"/>
      <c r="F977" s="154" t="s">
        <v>33094</v>
      </c>
      <c r="G977" s="168"/>
      <c r="H977" s="156" t="s">
        <v>16228</v>
      </c>
      <c r="I977" s="157"/>
      <c r="J977" s="128"/>
      <c r="K977" s="128"/>
      <c r="L977" s="128"/>
      <c r="M977" s="129"/>
      <c r="N977" s="129"/>
      <c r="O977" s="129"/>
    </row>
    <row r="978" spans="1:15" ht="12.5">
      <c r="A978" s="158" t="s">
        <v>16229</v>
      </c>
      <c r="B978" s="159">
        <v>20</v>
      </c>
      <c r="C978" s="159">
        <v>85</v>
      </c>
      <c r="D978" s="159">
        <v>12</v>
      </c>
      <c r="E978" s="159">
        <v>14</v>
      </c>
      <c r="F978" s="160" t="s">
        <v>32838</v>
      </c>
      <c r="G978" s="132"/>
      <c r="H978" s="162" t="s">
        <v>16230</v>
      </c>
      <c r="I978" s="158" t="s">
        <v>16231</v>
      </c>
      <c r="J978" s="128"/>
      <c r="K978" s="128"/>
      <c r="L978" s="128"/>
      <c r="M978" s="129"/>
      <c r="N978" s="129"/>
      <c r="O978" s="129"/>
    </row>
    <row r="979" spans="1:15" ht="12.5">
      <c r="A979" s="158" t="s">
        <v>16232</v>
      </c>
      <c r="B979" s="159">
        <v>20</v>
      </c>
      <c r="C979" s="159">
        <v>85</v>
      </c>
      <c r="D979" s="159">
        <v>12</v>
      </c>
      <c r="E979" s="159">
        <v>24</v>
      </c>
      <c r="F979" s="160" t="s">
        <v>32838</v>
      </c>
      <c r="G979" s="132"/>
      <c r="H979" s="162" t="s">
        <v>16233</v>
      </c>
      <c r="I979" s="158" t="s">
        <v>16234</v>
      </c>
      <c r="J979" s="128"/>
      <c r="K979" s="128"/>
      <c r="L979" s="128"/>
      <c r="M979" s="129"/>
      <c r="N979" s="129"/>
      <c r="O979" s="129"/>
    </row>
    <row r="980" spans="1:15" ht="12.5">
      <c r="A980" s="151" t="s">
        <v>16235</v>
      </c>
      <c r="B980" s="152">
        <v>20</v>
      </c>
      <c r="C980" s="152">
        <v>85</v>
      </c>
      <c r="D980" s="152">
        <v>13</v>
      </c>
      <c r="E980" s="153"/>
      <c r="F980" s="154" t="s">
        <v>33095</v>
      </c>
      <c r="G980" s="155"/>
      <c r="H980" s="156" t="s">
        <v>16236</v>
      </c>
      <c r="I980" s="157"/>
      <c r="J980" s="128"/>
      <c r="K980" s="128"/>
      <c r="L980" s="128"/>
      <c r="M980" s="129"/>
      <c r="N980" s="129"/>
      <c r="O980" s="129"/>
    </row>
    <row r="981" spans="1:15" ht="12.5">
      <c r="A981" s="158" t="s">
        <v>16237</v>
      </c>
      <c r="B981" s="159">
        <v>20</v>
      </c>
      <c r="C981" s="159">
        <v>85</v>
      </c>
      <c r="D981" s="159">
        <v>13</v>
      </c>
      <c r="E981" s="159">
        <v>29</v>
      </c>
      <c r="F981" s="160" t="s">
        <v>33096</v>
      </c>
      <c r="G981" s="162" t="s">
        <v>33036</v>
      </c>
      <c r="H981" s="162" t="s">
        <v>16238</v>
      </c>
      <c r="I981" s="158" t="s">
        <v>16239</v>
      </c>
      <c r="J981" s="128"/>
      <c r="K981" s="128"/>
      <c r="L981" s="128"/>
      <c r="M981" s="129"/>
      <c r="N981" s="129"/>
      <c r="O981" s="129"/>
    </row>
    <row r="982" spans="1:15" ht="12.5">
      <c r="A982" s="158" t="s">
        <v>16240</v>
      </c>
      <c r="B982" s="159">
        <v>20</v>
      </c>
      <c r="C982" s="159">
        <v>85</v>
      </c>
      <c r="D982" s="159">
        <v>13</v>
      </c>
      <c r="E982" s="159">
        <v>30</v>
      </c>
      <c r="F982" s="160" t="s">
        <v>32838</v>
      </c>
      <c r="G982" s="132"/>
      <c r="H982" s="162" t="s">
        <v>16241</v>
      </c>
      <c r="I982" s="128"/>
      <c r="J982" s="128"/>
      <c r="K982" s="128"/>
      <c r="L982" s="128"/>
      <c r="M982" s="129"/>
      <c r="N982" s="129"/>
      <c r="O982" s="129"/>
    </row>
    <row r="983" spans="1:15" ht="12.5">
      <c r="A983" s="158" t="s">
        <v>16242</v>
      </c>
      <c r="B983" s="159">
        <v>20</v>
      </c>
      <c r="C983" s="159">
        <v>85</v>
      </c>
      <c r="D983" s="159">
        <v>13</v>
      </c>
      <c r="E983" s="159">
        <v>32</v>
      </c>
      <c r="F983" s="160" t="s">
        <v>33097</v>
      </c>
      <c r="G983" s="162" t="s">
        <v>33098</v>
      </c>
      <c r="H983" s="162" t="s">
        <v>16243</v>
      </c>
      <c r="I983" s="158" t="s">
        <v>16244</v>
      </c>
      <c r="J983" s="128"/>
      <c r="K983" s="128"/>
      <c r="L983" s="128"/>
      <c r="M983" s="129"/>
      <c r="N983" s="129"/>
      <c r="O983" s="129"/>
    </row>
    <row r="984" spans="1:15" ht="12.5">
      <c r="A984" s="158" t="s">
        <v>16245</v>
      </c>
      <c r="B984" s="159">
        <v>20</v>
      </c>
      <c r="C984" s="159">
        <v>85</v>
      </c>
      <c r="D984" s="159">
        <v>13</v>
      </c>
      <c r="E984" s="159">
        <v>35</v>
      </c>
      <c r="F984" s="160" t="s">
        <v>32838</v>
      </c>
      <c r="G984" s="132"/>
      <c r="H984" s="162" t="s">
        <v>16246</v>
      </c>
      <c r="I984" s="158" t="s">
        <v>16247</v>
      </c>
      <c r="J984" s="128"/>
      <c r="K984" s="128"/>
      <c r="L984" s="128"/>
      <c r="M984" s="129"/>
      <c r="N984" s="129"/>
      <c r="O984" s="129"/>
    </row>
    <row r="985" spans="1:15" ht="12.5">
      <c r="A985" s="158" t="s">
        <v>16248</v>
      </c>
      <c r="B985" s="159">
        <v>20</v>
      </c>
      <c r="C985" s="159">
        <v>85</v>
      </c>
      <c r="D985" s="159">
        <v>13</v>
      </c>
      <c r="E985" s="159">
        <v>63</v>
      </c>
      <c r="F985" s="160" t="s">
        <v>32838</v>
      </c>
      <c r="G985" s="132"/>
      <c r="H985" s="162" t="s">
        <v>16249</v>
      </c>
      <c r="I985" s="158" t="s">
        <v>16250</v>
      </c>
      <c r="J985" s="128"/>
      <c r="K985" s="128"/>
      <c r="L985" s="128"/>
      <c r="M985" s="129"/>
      <c r="N985" s="129"/>
      <c r="O985" s="129"/>
    </row>
    <row r="986" spans="1:15" ht="12.5">
      <c r="A986" s="158" t="s">
        <v>16251</v>
      </c>
      <c r="B986" s="159">
        <v>20</v>
      </c>
      <c r="C986" s="159">
        <v>85</v>
      </c>
      <c r="D986" s="159">
        <v>13</v>
      </c>
      <c r="E986" s="159">
        <v>65</v>
      </c>
      <c r="F986" s="160" t="s">
        <v>33099</v>
      </c>
      <c r="G986" s="162" t="s">
        <v>33098</v>
      </c>
      <c r="H986" s="162" t="s">
        <v>16252</v>
      </c>
      <c r="I986" s="158" t="s">
        <v>16253</v>
      </c>
      <c r="J986" s="128"/>
      <c r="K986" s="128"/>
      <c r="L986" s="128"/>
      <c r="M986" s="129"/>
      <c r="N986" s="129"/>
      <c r="O986" s="129"/>
    </row>
    <row r="987" spans="1:15" ht="12.5">
      <c r="A987" s="151" t="s">
        <v>16254</v>
      </c>
      <c r="B987" s="152">
        <v>20</v>
      </c>
      <c r="C987" s="152">
        <v>85</v>
      </c>
      <c r="D987" s="152">
        <v>14</v>
      </c>
      <c r="E987" s="153"/>
      <c r="F987" s="154" t="s">
        <v>33100</v>
      </c>
      <c r="G987" s="155"/>
      <c r="H987" s="156" t="s">
        <v>16255</v>
      </c>
      <c r="I987" s="157"/>
      <c r="J987" s="128"/>
      <c r="K987" s="128"/>
      <c r="L987" s="128"/>
      <c r="M987" s="129"/>
      <c r="N987" s="129"/>
      <c r="O987" s="129"/>
    </row>
    <row r="988" spans="1:15" ht="12.5">
      <c r="A988" s="158" t="s">
        <v>16256</v>
      </c>
      <c r="B988" s="159">
        <v>20</v>
      </c>
      <c r="C988" s="159">
        <v>85</v>
      </c>
      <c r="D988" s="159">
        <v>14</v>
      </c>
      <c r="E988" s="159">
        <v>14</v>
      </c>
      <c r="F988" s="160" t="s">
        <v>33101</v>
      </c>
      <c r="G988" s="162" t="s">
        <v>33102</v>
      </c>
      <c r="H988" s="162" t="s">
        <v>16257</v>
      </c>
      <c r="I988" s="158" t="s">
        <v>16258</v>
      </c>
      <c r="J988" s="128"/>
      <c r="K988" s="128"/>
      <c r="L988" s="128"/>
      <c r="M988" s="129"/>
      <c r="N988" s="129"/>
      <c r="O988" s="129"/>
    </row>
    <row r="989" spans="1:15" ht="12.5">
      <c r="A989" s="158" t="s">
        <v>16259</v>
      </c>
      <c r="B989" s="159">
        <v>20</v>
      </c>
      <c r="C989" s="159">
        <v>85</v>
      </c>
      <c r="D989" s="159">
        <v>14</v>
      </c>
      <c r="E989" s="159">
        <v>15</v>
      </c>
      <c r="F989" s="160" t="s">
        <v>32838</v>
      </c>
      <c r="G989" s="132"/>
      <c r="H989" s="162" t="s">
        <v>16260</v>
      </c>
      <c r="I989" s="158" t="s">
        <v>16261</v>
      </c>
      <c r="J989" s="128"/>
      <c r="K989" s="128"/>
      <c r="L989" s="128"/>
      <c r="M989" s="129"/>
      <c r="N989" s="129"/>
      <c r="O989" s="129"/>
    </row>
    <row r="990" spans="1:15" ht="12.5">
      <c r="A990" s="158" t="s">
        <v>16262</v>
      </c>
      <c r="B990" s="159">
        <v>20</v>
      </c>
      <c r="C990" s="159">
        <v>85</v>
      </c>
      <c r="D990" s="159">
        <v>14</v>
      </c>
      <c r="E990" s="159">
        <v>16</v>
      </c>
      <c r="F990" s="160" t="s">
        <v>33103</v>
      </c>
      <c r="G990" s="162" t="s">
        <v>33104</v>
      </c>
      <c r="H990" s="162" t="s">
        <v>16263</v>
      </c>
      <c r="I990" s="158" t="s">
        <v>16264</v>
      </c>
      <c r="J990" s="128"/>
      <c r="K990" s="128"/>
      <c r="L990" s="128"/>
      <c r="M990" s="129"/>
      <c r="N990" s="129"/>
      <c r="O990" s="129"/>
    </row>
    <row r="991" spans="1:15" ht="12.5">
      <c r="A991" s="151" t="s">
        <v>16265</v>
      </c>
      <c r="B991" s="152">
        <v>20</v>
      </c>
      <c r="C991" s="152">
        <v>85</v>
      </c>
      <c r="D991" s="152">
        <v>16</v>
      </c>
      <c r="E991" s="153"/>
      <c r="F991" s="154" t="s">
        <v>33105</v>
      </c>
      <c r="G991" s="155"/>
      <c r="H991" s="156" t="s">
        <v>16266</v>
      </c>
      <c r="I991" s="157"/>
      <c r="J991" s="128"/>
      <c r="K991" s="128"/>
      <c r="L991" s="128"/>
      <c r="M991" s="129"/>
      <c r="N991" s="129"/>
      <c r="O991" s="129"/>
    </row>
    <row r="992" spans="1:15" ht="12.5">
      <c r="A992" s="158" t="s">
        <v>16267</v>
      </c>
      <c r="B992" s="159">
        <v>20</v>
      </c>
      <c r="C992" s="159">
        <v>85</v>
      </c>
      <c r="D992" s="159">
        <v>16</v>
      </c>
      <c r="E992" s="159">
        <v>2</v>
      </c>
      <c r="F992" s="160" t="s">
        <v>32838</v>
      </c>
      <c r="G992" s="132"/>
      <c r="H992" s="162" t="s">
        <v>16268</v>
      </c>
      <c r="I992" s="128"/>
      <c r="J992" s="128"/>
      <c r="K992" s="128"/>
      <c r="L992" s="128"/>
      <c r="M992" s="129"/>
      <c r="N992" s="129"/>
      <c r="O992" s="129"/>
    </row>
    <row r="993" spans="1:15" ht="12.5">
      <c r="A993" s="158" t="s">
        <v>16269</v>
      </c>
      <c r="B993" s="159">
        <v>20</v>
      </c>
      <c r="C993" s="159">
        <v>85</v>
      </c>
      <c r="D993" s="159">
        <v>16</v>
      </c>
      <c r="E993" s="159">
        <v>3</v>
      </c>
      <c r="F993" s="160" t="s">
        <v>32838</v>
      </c>
      <c r="G993" s="132"/>
      <c r="H993" s="162" t="s">
        <v>16270</v>
      </c>
      <c r="I993" s="128"/>
      <c r="J993" s="128"/>
      <c r="K993" s="128"/>
      <c r="L993" s="128"/>
      <c r="M993" s="129"/>
      <c r="N993" s="129"/>
      <c r="O993" s="129"/>
    </row>
    <row r="994" spans="1:15" ht="12.5">
      <c r="A994" s="158" t="s">
        <v>16271</v>
      </c>
      <c r="B994" s="159">
        <v>20</v>
      </c>
      <c r="C994" s="159">
        <v>85</v>
      </c>
      <c r="D994" s="159">
        <v>16</v>
      </c>
      <c r="E994" s="159">
        <v>11</v>
      </c>
      <c r="F994" s="160" t="s">
        <v>32838</v>
      </c>
      <c r="G994" s="132"/>
      <c r="H994" s="162" t="s">
        <v>16272</v>
      </c>
      <c r="I994" s="128"/>
      <c r="J994" s="128"/>
      <c r="K994" s="128"/>
      <c r="L994" s="128"/>
      <c r="M994" s="129"/>
      <c r="N994" s="129"/>
      <c r="O994" s="129"/>
    </row>
    <row r="995" spans="1:15" ht="12.5">
      <c r="A995" s="158" t="s">
        <v>16273</v>
      </c>
      <c r="B995" s="159">
        <v>20</v>
      </c>
      <c r="C995" s="159">
        <v>85</v>
      </c>
      <c r="D995" s="159">
        <v>16</v>
      </c>
      <c r="E995" s="159">
        <v>12</v>
      </c>
      <c r="F995" s="160" t="s">
        <v>32838</v>
      </c>
      <c r="G995" s="132"/>
      <c r="H995" s="162" t="s">
        <v>16274</v>
      </c>
      <c r="I995" s="158" t="s">
        <v>16275</v>
      </c>
      <c r="J995" s="128"/>
      <c r="K995" s="128"/>
      <c r="L995" s="128"/>
      <c r="M995" s="129"/>
      <c r="N995" s="129"/>
      <c r="O995" s="129"/>
    </row>
    <row r="996" spans="1:15" ht="12.5">
      <c r="A996" s="158" t="s">
        <v>16276</v>
      </c>
      <c r="B996" s="159">
        <v>20</v>
      </c>
      <c r="C996" s="159">
        <v>85</v>
      </c>
      <c r="D996" s="159">
        <v>16</v>
      </c>
      <c r="E996" s="159">
        <v>15</v>
      </c>
      <c r="F996" s="160" t="s">
        <v>33106</v>
      </c>
      <c r="G996" s="162" t="s">
        <v>33062</v>
      </c>
      <c r="H996" s="162" t="s">
        <v>16277</v>
      </c>
      <c r="I996" s="158" t="s">
        <v>16278</v>
      </c>
      <c r="J996" s="128"/>
      <c r="K996" s="128"/>
      <c r="L996" s="128"/>
      <c r="M996" s="129"/>
      <c r="N996" s="129"/>
      <c r="O996" s="129"/>
    </row>
    <row r="997" spans="1:15" ht="12.5">
      <c r="A997" s="158" t="s">
        <v>16279</v>
      </c>
      <c r="B997" s="159">
        <v>20</v>
      </c>
      <c r="C997" s="159">
        <v>85</v>
      </c>
      <c r="D997" s="159">
        <v>16</v>
      </c>
      <c r="E997" s="159">
        <v>36</v>
      </c>
      <c r="F997" s="160" t="s">
        <v>32838</v>
      </c>
      <c r="G997" s="132"/>
      <c r="H997" s="162" t="s">
        <v>16280</v>
      </c>
      <c r="I997" s="128"/>
      <c r="J997" s="128"/>
      <c r="K997" s="128"/>
      <c r="L997" s="128"/>
      <c r="M997" s="129"/>
      <c r="N997" s="129"/>
      <c r="O997" s="129"/>
    </row>
    <row r="998" spans="1:15" ht="12.5">
      <c r="A998" s="158" t="s">
        <v>16281</v>
      </c>
      <c r="B998" s="159">
        <v>20</v>
      </c>
      <c r="C998" s="159">
        <v>85</v>
      </c>
      <c r="D998" s="159">
        <v>16</v>
      </c>
      <c r="E998" s="159">
        <v>62</v>
      </c>
      <c r="F998" s="160" t="s">
        <v>32838</v>
      </c>
      <c r="G998" s="132"/>
      <c r="H998" s="162" t="s">
        <v>16282</v>
      </c>
      <c r="I998" s="128"/>
      <c r="J998" s="128"/>
      <c r="K998" s="128"/>
      <c r="L998" s="128"/>
      <c r="M998" s="129"/>
      <c r="N998" s="129"/>
      <c r="O998" s="129"/>
    </row>
    <row r="999" spans="1:15" ht="12.5">
      <c r="A999" s="158" t="s">
        <v>16283</v>
      </c>
      <c r="B999" s="159">
        <v>20</v>
      </c>
      <c r="C999" s="159">
        <v>85</v>
      </c>
      <c r="D999" s="159">
        <v>16</v>
      </c>
      <c r="E999" s="159">
        <v>81</v>
      </c>
      <c r="F999" s="160" t="s">
        <v>32838</v>
      </c>
      <c r="G999" s="132"/>
      <c r="H999" s="162" t="s">
        <v>16284</v>
      </c>
      <c r="I999" s="128"/>
      <c r="J999" s="128"/>
      <c r="K999" s="128"/>
      <c r="L999" s="128"/>
      <c r="M999" s="129"/>
      <c r="N999" s="129"/>
      <c r="O999" s="129"/>
    </row>
    <row r="1000" spans="1:15" ht="12.5">
      <c r="A1000" s="158" t="s">
        <v>16285</v>
      </c>
      <c r="B1000" s="159">
        <v>20</v>
      </c>
      <c r="C1000" s="159">
        <v>85</v>
      </c>
      <c r="D1000" s="159">
        <v>16</v>
      </c>
      <c r="E1000" s="159">
        <v>84</v>
      </c>
      <c r="F1000" s="160" t="s">
        <v>32838</v>
      </c>
      <c r="G1000" s="132"/>
      <c r="H1000" s="162" t="s">
        <v>16286</v>
      </c>
      <c r="I1000" s="128"/>
      <c r="J1000" s="128"/>
      <c r="K1000" s="128"/>
      <c r="L1000" s="128"/>
      <c r="M1000" s="129"/>
      <c r="N1000" s="129"/>
      <c r="O1000" s="129"/>
    </row>
    <row r="1001" spans="1:15" ht="12.5">
      <c r="A1001" s="158" t="s">
        <v>16287</v>
      </c>
      <c r="B1001" s="159">
        <v>20</v>
      </c>
      <c r="C1001" s="159">
        <v>85</v>
      </c>
      <c r="D1001" s="159">
        <v>16</v>
      </c>
      <c r="E1001" s="159">
        <v>85</v>
      </c>
      <c r="F1001" s="160" t="s">
        <v>33107</v>
      </c>
      <c r="G1001" s="162" t="s">
        <v>33028</v>
      </c>
      <c r="H1001" s="162" t="s">
        <v>16288</v>
      </c>
      <c r="I1001" s="158" t="s">
        <v>16289</v>
      </c>
      <c r="J1001" s="128"/>
      <c r="K1001" s="128"/>
      <c r="L1001" s="128"/>
      <c r="M1001" s="129"/>
      <c r="N1001" s="129"/>
      <c r="O1001" s="129"/>
    </row>
    <row r="1002" spans="1:15" ht="12.5">
      <c r="A1002" s="158" t="s">
        <v>16290</v>
      </c>
      <c r="B1002" s="159">
        <v>20</v>
      </c>
      <c r="C1002" s="159">
        <v>85</v>
      </c>
      <c r="D1002" s="159">
        <v>16</v>
      </c>
      <c r="E1002" s="159">
        <v>86</v>
      </c>
      <c r="F1002" s="131"/>
      <c r="G1002" s="132"/>
      <c r="H1002" s="162" t="s">
        <v>16291</v>
      </c>
      <c r="I1002" s="128"/>
      <c r="J1002" s="128"/>
      <c r="K1002" s="128"/>
      <c r="L1002" s="128"/>
      <c r="M1002" s="129"/>
      <c r="N1002" s="129"/>
      <c r="O1002" s="129"/>
    </row>
    <row r="1003" spans="1:15" ht="12.5">
      <c r="A1003" s="158" t="s">
        <v>16292</v>
      </c>
      <c r="B1003" s="159">
        <v>20</v>
      </c>
      <c r="C1003" s="159">
        <v>85</v>
      </c>
      <c r="D1003" s="159">
        <v>16</v>
      </c>
      <c r="E1003" s="159">
        <v>96</v>
      </c>
      <c r="F1003" s="131"/>
      <c r="G1003" s="162" t="s">
        <v>33108</v>
      </c>
      <c r="H1003" s="162" t="s">
        <v>16293</v>
      </c>
      <c r="I1003" s="158" t="s">
        <v>16294</v>
      </c>
      <c r="J1003" s="128"/>
      <c r="K1003" s="128"/>
      <c r="L1003" s="128"/>
      <c r="M1003" s="129"/>
      <c r="N1003" s="129"/>
      <c r="O1003" s="129"/>
    </row>
    <row r="1004" spans="1:15" ht="12.5">
      <c r="A1004" s="151" t="s">
        <v>16305</v>
      </c>
      <c r="B1004" s="152">
        <v>20</v>
      </c>
      <c r="C1004" s="152">
        <v>85</v>
      </c>
      <c r="D1004" s="152">
        <v>28</v>
      </c>
      <c r="E1004" s="153"/>
      <c r="F1004" s="154" t="s">
        <v>33109</v>
      </c>
      <c r="G1004" s="168"/>
      <c r="H1004" s="156" t="s">
        <v>16306</v>
      </c>
      <c r="I1004" s="157"/>
      <c r="J1004" s="128"/>
      <c r="K1004" s="128"/>
      <c r="L1004" s="128"/>
      <c r="M1004" s="129"/>
      <c r="N1004" s="129"/>
      <c r="O1004" s="129"/>
    </row>
    <row r="1005" spans="1:15" ht="12.5">
      <c r="A1005" s="158" t="s">
        <v>16307</v>
      </c>
      <c r="B1005" s="159">
        <v>20</v>
      </c>
      <c r="C1005" s="159">
        <v>85</v>
      </c>
      <c r="D1005" s="159">
        <v>28</v>
      </c>
      <c r="E1005" s="159">
        <v>9</v>
      </c>
      <c r="F1005" s="160" t="s">
        <v>32838</v>
      </c>
      <c r="G1005" s="132"/>
      <c r="H1005" s="162" t="s">
        <v>16308</v>
      </c>
      <c r="I1005" s="128"/>
      <c r="J1005" s="128"/>
      <c r="K1005" s="128"/>
      <c r="L1005" s="128"/>
      <c r="M1005" s="129"/>
      <c r="N1005" s="129"/>
      <c r="O1005" s="129"/>
    </row>
    <row r="1006" spans="1:15" ht="12.5">
      <c r="A1006" s="158" t="s">
        <v>16309</v>
      </c>
      <c r="B1006" s="159">
        <v>20</v>
      </c>
      <c r="C1006" s="159">
        <v>85</v>
      </c>
      <c r="D1006" s="159">
        <v>28</v>
      </c>
      <c r="E1006" s="159">
        <v>15</v>
      </c>
      <c r="F1006" s="160" t="s">
        <v>32838</v>
      </c>
      <c r="G1006" s="132"/>
      <c r="H1006" s="162" t="s">
        <v>16310</v>
      </c>
      <c r="I1006" s="158" t="s">
        <v>16311</v>
      </c>
      <c r="J1006" s="128"/>
      <c r="K1006" s="128"/>
      <c r="L1006" s="128"/>
      <c r="M1006" s="129"/>
      <c r="N1006" s="129"/>
      <c r="O1006" s="129"/>
    </row>
    <row r="1007" spans="1:15" ht="12.5">
      <c r="A1007" s="158" t="s">
        <v>16312</v>
      </c>
      <c r="B1007" s="159">
        <v>20</v>
      </c>
      <c r="C1007" s="159">
        <v>85</v>
      </c>
      <c r="D1007" s="159">
        <v>28</v>
      </c>
      <c r="E1007" s="159">
        <v>16</v>
      </c>
      <c r="F1007" s="160" t="s">
        <v>32838</v>
      </c>
      <c r="G1007" s="132"/>
      <c r="H1007" s="162" t="s">
        <v>16313</v>
      </c>
      <c r="I1007" s="128"/>
      <c r="J1007" s="128"/>
      <c r="K1007" s="128"/>
      <c r="L1007" s="128"/>
      <c r="M1007" s="129"/>
      <c r="N1007" s="129"/>
      <c r="O1007" s="129"/>
    </row>
    <row r="1008" spans="1:15" ht="12.5">
      <c r="A1008" s="158" t="s">
        <v>16314</v>
      </c>
      <c r="B1008" s="159">
        <v>20</v>
      </c>
      <c r="C1008" s="159">
        <v>85</v>
      </c>
      <c r="D1008" s="159">
        <v>28</v>
      </c>
      <c r="E1008" s="159">
        <v>27</v>
      </c>
      <c r="F1008" s="160" t="s">
        <v>32838</v>
      </c>
      <c r="G1008" s="132"/>
      <c r="H1008" s="162" t="s">
        <v>16315</v>
      </c>
      <c r="I1008" s="158" t="s">
        <v>16311</v>
      </c>
      <c r="J1008" s="128"/>
      <c r="K1008" s="128"/>
      <c r="L1008" s="128"/>
      <c r="M1008" s="129"/>
      <c r="N1008" s="129"/>
      <c r="O1008" s="129"/>
    </row>
    <row r="1009" spans="1:15" ht="12.5">
      <c r="A1009" s="158" t="s">
        <v>16316</v>
      </c>
      <c r="B1009" s="159">
        <v>20</v>
      </c>
      <c r="C1009" s="159">
        <v>85</v>
      </c>
      <c r="D1009" s="159">
        <v>28</v>
      </c>
      <c r="E1009" s="159">
        <v>28</v>
      </c>
      <c r="F1009" s="160" t="s">
        <v>32838</v>
      </c>
      <c r="G1009" s="132"/>
      <c r="H1009" s="162" t="s">
        <v>16317</v>
      </c>
      <c r="I1009" s="158" t="s">
        <v>16311</v>
      </c>
      <c r="J1009" s="128"/>
      <c r="K1009" s="128"/>
      <c r="L1009" s="128"/>
      <c r="M1009" s="129"/>
      <c r="N1009" s="129"/>
      <c r="O1009" s="129"/>
    </row>
    <row r="1010" spans="1:15" ht="12.5">
      <c r="A1010" s="158" t="s">
        <v>16318</v>
      </c>
      <c r="B1010" s="159">
        <v>20</v>
      </c>
      <c r="C1010" s="159">
        <v>85</v>
      </c>
      <c r="D1010" s="159">
        <v>28</v>
      </c>
      <c r="E1010" s="159">
        <v>30</v>
      </c>
      <c r="F1010" s="160" t="s">
        <v>32838</v>
      </c>
      <c r="G1010" s="132"/>
      <c r="H1010" s="162" t="s">
        <v>16319</v>
      </c>
      <c r="I1010" s="128"/>
      <c r="J1010" s="128"/>
      <c r="K1010" s="128"/>
      <c r="L1010" s="128"/>
      <c r="M1010" s="129"/>
      <c r="N1010" s="129"/>
      <c r="O1010" s="129"/>
    </row>
    <row r="1011" spans="1:15" ht="12.5">
      <c r="A1011" s="158" t="s">
        <v>16320</v>
      </c>
      <c r="B1011" s="159">
        <v>20</v>
      </c>
      <c r="C1011" s="159">
        <v>85</v>
      </c>
      <c r="D1011" s="159">
        <v>28</v>
      </c>
      <c r="E1011" s="159">
        <v>33</v>
      </c>
      <c r="F1011" s="160" t="s">
        <v>32838</v>
      </c>
      <c r="G1011" s="132"/>
      <c r="H1011" s="162" t="s">
        <v>16321</v>
      </c>
      <c r="I1011" s="158" t="s">
        <v>16322</v>
      </c>
      <c r="J1011" s="128"/>
      <c r="K1011" s="128"/>
      <c r="L1011" s="128"/>
      <c r="M1011" s="129"/>
      <c r="N1011" s="129"/>
      <c r="O1011" s="129"/>
    </row>
    <row r="1012" spans="1:15" ht="12.5">
      <c r="A1012" s="158" t="s">
        <v>16323</v>
      </c>
      <c r="B1012" s="159">
        <v>20</v>
      </c>
      <c r="C1012" s="159">
        <v>85</v>
      </c>
      <c r="D1012" s="159">
        <v>28</v>
      </c>
      <c r="E1012" s="159">
        <v>34</v>
      </c>
      <c r="F1012" s="160" t="s">
        <v>32838</v>
      </c>
      <c r="G1012" s="132"/>
      <c r="H1012" s="162" t="s">
        <v>16324</v>
      </c>
      <c r="I1012" s="158" t="s">
        <v>16325</v>
      </c>
      <c r="J1012" s="128"/>
      <c r="K1012" s="128"/>
      <c r="L1012" s="128"/>
      <c r="M1012" s="129"/>
      <c r="N1012" s="129"/>
      <c r="O1012" s="129"/>
    </row>
    <row r="1013" spans="1:15" ht="12.5">
      <c r="A1013" s="158" t="s">
        <v>16326</v>
      </c>
      <c r="B1013" s="159">
        <v>20</v>
      </c>
      <c r="C1013" s="159">
        <v>85</v>
      </c>
      <c r="D1013" s="159">
        <v>28</v>
      </c>
      <c r="E1013" s="159">
        <v>35</v>
      </c>
      <c r="F1013" s="160" t="s">
        <v>32838</v>
      </c>
      <c r="G1013" s="132"/>
      <c r="H1013" s="162" t="s">
        <v>16327</v>
      </c>
      <c r="I1013" s="158" t="s">
        <v>16328</v>
      </c>
      <c r="J1013" s="128"/>
      <c r="K1013" s="128"/>
      <c r="L1013" s="128"/>
      <c r="M1013" s="129"/>
      <c r="N1013" s="129"/>
      <c r="O1013" s="129"/>
    </row>
    <row r="1014" spans="1:15" ht="12.5">
      <c r="A1014" s="158" t="s">
        <v>16329</v>
      </c>
      <c r="B1014" s="159">
        <v>20</v>
      </c>
      <c r="C1014" s="159">
        <v>85</v>
      </c>
      <c r="D1014" s="159">
        <v>28</v>
      </c>
      <c r="E1014" s="159">
        <v>36</v>
      </c>
      <c r="F1014" s="160" t="s">
        <v>32838</v>
      </c>
      <c r="G1014" s="132"/>
      <c r="H1014" s="162" t="s">
        <v>16330</v>
      </c>
      <c r="I1014" s="158" t="s">
        <v>16331</v>
      </c>
      <c r="J1014" s="128"/>
      <c r="K1014" s="128"/>
      <c r="L1014" s="128"/>
      <c r="M1014" s="129"/>
      <c r="N1014" s="129"/>
      <c r="O1014" s="129"/>
    </row>
    <row r="1015" spans="1:15" ht="12.5">
      <c r="A1015" s="158" t="s">
        <v>16332</v>
      </c>
      <c r="B1015" s="159">
        <v>20</v>
      </c>
      <c r="C1015" s="159">
        <v>85</v>
      </c>
      <c r="D1015" s="159">
        <v>28</v>
      </c>
      <c r="E1015" s="159">
        <v>38</v>
      </c>
      <c r="F1015" s="160" t="s">
        <v>32838</v>
      </c>
      <c r="G1015" s="132"/>
      <c r="H1015" s="162" t="s">
        <v>16333</v>
      </c>
      <c r="I1015" s="158" t="s">
        <v>16334</v>
      </c>
      <c r="J1015" s="128"/>
      <c r="K1015" s="128"/>
      <c r="L1015" s="128"/>
      <c r="M1015" s="129"/>
      <c r="N1015" s="129"/>
      <c r="O1015" s="129"/>
    </row>
    <row r="1016" spans="1:15" ht="12.5">
      <c r="A1016" s="158" t="s">
        <v>16335</v>
      </c>
      <c r="B1016" s="159">
        <v>20</v>
      </c>
      <c r="C1016" s="159">
        <v>85</v>
      </c>
      <c r="D1016" s="159">
        <v>28</v>
      </c>
      <c r="E1016" s="159">
        <v>45</v>
      </c>
      <c r="F1016" s="160" t="s">
        <v>32838</v>
      </c>
      <c r="G1016" s="132"/>
      <c r="H1016" s="162" t="s">
        <v>16336</v>
      </c>
      <c r="I1016" s="128"/>
      <c r="J1016" s="128"/>
      <c r="K1016" s="128"/>
      <c r="L1016" s="128"/>
      <c r="M1016" s="129"/>
      <c r="N1016" s="129"/>
      <c r="O1016" s="129"/>
    </row>
    <row r="1017" spans="1:15" ht="12.5">
      <c r="A1017" s="158" t="s">
        <v>16337</v>
      </c>
      <c r="B1017" s="159">
        <v>20</v>
      </c>
      <c r="C1017" s="159">
        <v>85</v>
      </c>
      <c r="D1017" s="159">
        <v>28</v>
      </c>
      <c r="E1017" s="159">
        <v>46</v>
      </c>
      <c r="F1017" s="160" t="s">
        <v>32838</v>
      </c>
      <c r="G1017" s="132"/>
      <c r="H1017" s="162" t="s">
        <v>16338</v>
      </c>
      <c r="I1017" s="128"/>
      <c r="J1017" s="128"/>
      <c r="K1017" s="128"/>
      <c r="L1017" s="128"/>
      <c r="M1017" s="129"/>
      <c r="N1017" s="129"/>
      <c r="O1017" s="129"/>
    </row>
    <row r="1018" spans="1:15" ht="12.5">
      <c r="A1018" s="158" t="s">
        <v>16339</v>
      </c>
      <c r="B1018" s="159">
        <v>20</v>
      </c>
      <c r="C1018" s="159">
        <v>85</v>
      </c>
      <c r="D1018" s="159">
        <v>28</v>
      </c>
      <c r="E1018" s="159">
        <v>62</v>
      </c>
      <c r="F1018" s="160" t="s">
        <v>32838</v>
      </c>
      <c r="G1018" s="132"/>
      <c r="H1018" s="162" t="s">
        <v>16340</v>
      </c>
      <c r="I1018" s="158" t="s">
        <v>16341</v>
      </c>
      <c r="J1018" s="128"/>
      <c r="K1018" s="128"/>
      <c r="L1018" s="128"/>
      <c r="M1018" s="129"/>
      <c r="N1018" s="129"/>
      <c r="O1018" s="129"/>
    </row>
    <row r="1019" spans="1:15" ht="12.5">
      <c r="A1019" s="158" t="s">
        <v>16342</v>
      </c>
      <c r="B1019" s="159">
        <v>20</v>
      </c>
      <c r="C1019" s="159">
        <v>85</v>
      </c>
      <c r="D1019" s="159">
        <v>28</v>
      </c>
      <c r="E1019" s="159">
        <v>63</v>
      </c>
      <c r="F1019" s="160" t="s">
        <v>32838</v>
      </c>
      <c r="G1019" s="132"/>
      <c r="H1019" s="162" t="s">
        <v>16343</v>
      </c>
      <c r="I1019" s="158" t="s">
        <v>16344</v>
      </c>
      <c r="J1019" s="128"/>
      <c r="K1019" s="128"/>
      <c r="L1019" s="128"/>
      <c r="M1019" s="129"/>
      <c r="N1019" s="129"/>
      <c r="O1019" s="129"/>
    </row>
    <row r="1020" spans="1:15" ht="12.5">
      <c r="A1020" s="158" t="s">
        <v>16345</v>
      </c>
      <c r="B1020" s="159">
        <v>20</v>
      </c>
      <c r="C1020" s="159">
        <v>85</v>
      </c>
      <c r="D1020" s="159">
        <v>28</v>
      </c>
      <c r="E1020" s="159">
        <v>64</v>
      </c>
      <c r="F1020" s="160" t="s">
        <v>32838</v>
      </c>
      <c r="G1020" s="132"/>
      <c r="H1020" s="162" t="s">
        <v>16346</v>
      </c>
      <c r="I1020" s="158" t="s">
        <v>16347</v>
      </c>
      <c r="J1020" s="128"/>
      <c r="K1020" s="128"/>
      <c r="L1020" s="128"/>
      <c r="M1020" s="129"/>
      <c r="N1020" s="129"/>
      <c r="O1020" s="129"/>
    </row>
    <row r="1021" spans="1:15" ht="12.5">
      <c r="A1021" s="158" t="s">
        <v>16348</v>
      </c>
      <c r="B1021" s="159">
        <v>20</v>
      </c>
      <c r="C1021" s="159">
        <v>85</v>
      </c>
      <c r="D1021" s="159">
        <v>28</v>
      </c>
      <c r="E1021" s="159">
        <v>75</v>
      </c>
      <c r="F1021" s="160" t="s">
        <v>32838</v>
      </c>
      <c r="G1021" s="132"/>
      <c r="H1021" s="162" t="s">
        <v>16349</v>
      </c>
      <c r="I1021" s="128"/>
      <c r="J1021" s="128"/>
      <c r="K1021" s="128"/>
      <c r="L1021" s="128"/>
      <c r="M1021" s="129"/>
      <c r="N1021" s="129"/>
      <c r="O1021" s="129"/>
    </row>
    <row r="1022" spans="1:15" ht="12.5">
      <c r="A1022" s="151" t="s">
        <v>16350</v>
      </c>
      <c r="B1022" s="152">
        <v>20</v>
      </c>
      <c r="C1022" s="152">
        <v>85</v>
      </c>
      <c r="D1022" s="152">
        <v>32</v>
      </c>
      <c r="E1022" s="153"/>
      <c r="F1022" s="154" t="s">
        <v>33110</v>
      </c>
      <c r="G1022" s="155"/>
      <c r="H1022" s="156" t="s">
        <v>16351</v>
      </c>
      <c r="I1022" s="157"/>
      <c r="J1022" s="128"/>
      <c r="K1022" s="128"/>
      <c r="L1022" s="128"/>
      <c r="M1022" s="129"/>
      <c r="N1022" s="129"/>
      <c r="O1022" s="129"/>
    </row>
    <row r="1023" spans="1:15" ht="12.5">
      <c r="A1023" s="158" t="s">
        <v>16352</v>
      </c>
      <c r="B1023" s="159">
        <v>20</v>
      </c>
      <c r="C1023" s="159">
        <v>85</v>
      </c>
      <c r="D1023" s="159">
        <v>32</v>
      </c>
      <c r="E1023" s="159">
        <v>1</v>
      </c>
      <c r="F1023" s="160" t="s">
        <v>32838</v>
      </c>
      <c r="G1023" s="132"/>
      <c r="H1023" s="162" t="s">
        <v>16353</v>
      </c>
      <c r="I1023" s="128"/>
      <c r="J1023" s="128"/>
      <c r="K1023" s="128"/>
      <c r="L1023" s="128"/>
      <c r="M1023" s="129"/>
      <c r="N1023" s="129"/>
      <c r="O1023" s="129"/>
    </row>
    <row r="1024" spans="1:15" ht="12.5">
      <c r="A1024" s="158" t="s">
        <v>16354</v>
      </c>
      <c r="B1024" s="159">
        <v>20</v>
      </c>
      <c r="C1024" s="159">
        <v>85</v>
      </c>
      <c r="D1024" s="159">
        <v>32</v>
      </c>
      <c r="E1024" s="159">
        <v>2</v>
      </c>
      <c r="F1024" s="160" t="s">
        <v>32838</v>
      </c>
      <c r="G1024" s="132"/>
      <c r="H1024" s="162" t="s">
        <v>16355</v>
      </c>
      <c r="I1024" s="158" t="s">
        <v>16356</v>
      </c>
      <c r="J1024" s="128"/>
      <c r="K1024" s="128"/>
      <c r="L1024" s="128"/>
      <c r="M1024" s="129"/>
      <c r="N1024" s="129"/>
      <c r="O1024" s="129"/>
    </row>
    <row r="1025" spans="1:15" ht="12.5">
      <c r="A1025" s="158" t="s">
        <v>16357</v>
      </c>
      <c r="B1025" s="159">
        <v>20</v>
      </c>
      <c r="C1025" s="159">
        <v>85</v>
      </c>
      <c r="D1025" s="159">
        <v>32</v>
      </c>
      <c r="E1025" s="159">
        <v>4</v>
      </c>
      <c r="F1025" s="160" t="s">
        <v>32838</v>
      </c>
      <c r="G1025" s="132"/>
      <c r="H1025" s="162" t="s">
        <v>16358</v>
      </c>
      <c r="I1025" s="158" t="s">
        <v>16359</v>
      </c>
      <c r="J1025" s="128"/>
      <c r="K1025" s="128"/>
      <c r="L1025" s="128"/>
      <c r="M1025" s="129"/>
      <c r="N1025" s="129"/>
      <c r="O1025" s="129"/>
    </row>
    <row r="1026" spans="1:15" ht="12.5">
      <c r="A1026" s="158" t="s">
        <v>16362</v>
      </c>
      <c r="B1026" s="159">
        <v>20</v>
      </c>
      <c r="C1026" s="159">
        <v>85</v>
      </c>
      <c r="D1026" s="159">
        <v>32</v>
      </c>
      <c r="E1026" s="159">
        <v>11</v>
      </c>
      <c r="F1026" s="160" t="s">
        <v>33111</v>
      </c>
      <c r="G1026" s="162" t="s">
        <v>33022</v>
      </c>
      <c r="H1026" s="162" t="s">
        <v>16363</v>
      </c>
      <c r="I1026" s="158" t="s">
        <v>16364</v>
      </c>
      <c r="J1026" s="128"/>
      <c r="K1026" s="128"/>
      <c r="L1026" s="128"/>
      <c r="M1026" s="129"/>
      <c r="N1026" s="129"/>
      <c r="O1026" s="129"/>
    </row>
    <row r="1027" spans="1:15" ht="12.5">
      <c r="A1027" s="158" t="s">
        <v>16365</v>
      </c>
      <c r="B1027" s="159">
        <v>20</v>
      </c>
      <c r="C1027" s="159">
        <v>85</v>
      </c>
      <c r="D1027" s="159">
        <v>32</v>
      </c>
      <c r="E1027" s="159">
        <v>12</v>
      </c>
      <c r="F1027" s="160" t="s">
        <v>32838</v>
      </c>
      <c r="G1027" s="132"/>
      <c r="H1027" s="162" t="s">
        <v>16366</v>
      </c>
      <c r="I1027" s="158" t="s">
        <v>16367</v>
      </c>
      <c r="J1027" s="128"/>
      <c r="K1027" s="128"/>
      <c r="L1027" s="128"/>
      <c r="M1027" s="129"/>
      <c r="N1027" s="129"/>
      <c r="O1027" s="129"/>
    </row>
    <row r="1028" spans="1:15" ht="12.5">
      <c r="A1028" s="158" t="s">
        <v>16368</v>
      </c>
      <c r="B1028" s="159">
        <v>20</v>
      </c>
      <c r="C1028" s="159">
        <v>85</v>
      </c>
      <c r="D1028" s="159">
        <v>32</v>
      </c>
      <c r="E1028" s="159">
        <v>13</v>
      </c>
      <c r="F1028" s="160" t="s">
        <v>33112</v>
      </c>
      <c r="G1028" s="162" t="s">
        <v>33022</v>
      </c>
      <c r="H1028" s="162" t="s">
        <v>16369</v>
      </c>
      <c r="I1028" s="158" t="s">
        <v>16370</v>
      </c>
      <c r="J1028" s="128"/>
      <c r="K1028" s="128"/>
      <c r="L1028" s="128"/>
      <c r="M1028" s="129"/>
      <c r="N1028" s="129"/>
      <c r="O1028" s="129"/>
    </row>
    <row r="1029" spans="1:15" ht="12.5">
      <c r="A1029" s="158" t="s">
        <v>16371</v>
      </c>
      <c r="B1029" s="159">
        <v>20</v>
      </c>
      <c r="C1029" s="159">
        <v>85</v>
      </c>
      <c r="D1029" s="159">
        <v>32</v>
      </c>
      <c r="E1029" s="159">
        <v>14</v>
      </c>
      <c r="F1029" s="160" t="s">
        <v>33113</v>
      </c>
      <c r="G1029" s="162" t="s">
        <v>33022</v>
      </c>
      <c r="H1029" s="162" t="s">
        <v>16372</v>
      </c>
      <c r="I1029" s="158" t="s">
        <v>16373</v>
      </c>
      <c r="J1029" s="128"/>
      <c r="K1029" s="128"/>
      <c r="L1029" s="128"/>
      <c r="M1029" s="129"/>
      <c r="N1029" s="129"/>
      <c r="O1029" s="129"/>
    </row>
    <row r="1030" spans="1:15" ht="12.5">
      <c r="A1030" s="158" t="s">
        <v>16376</v>
      </c>
      <c r="B1030" s="159">
        <v>20</v>
      </c>
      <c r="C1030" s="159">
        <v>85</v>
      </c>
      <c r="D1030" s="159">
        <v>32</v>
      </c>
      <c r="E1030" s="159">
        <v>22</v>
      </c>
      <c r="F1030" s="160" t="s">
        <v>32838</v>
      </c>
      <c r="G1030" s="132"/>
      <c r="H1030" s="162" t="s">
        <v>16377</v>
      </c>
      <c r="I1030" s="158" t="s">
        <v>16378</v>
      </c>
      <c r="J1030" s="128"/>
      <c r="K1030" s="128"/>
      <c r="L1030" s="128"/>
      <c r="M1030" s="129"/>
      <c r="N1030" s="129"/>
      <c r="O1030" s="129"/>
    </row>
    <row r="1031" spans="1:15" ht="12.5">
      <c r="A1031" s="158" t="s">
        <v>16379</v>
      </c>
      <c r="B1031" s="159">
        <v>20</v>
      </c>
      <c r="C1031" s="159">
        <v>85</v>
      </c>
      <c r="D1031" s="159">
        <v>32</v>
      </c>
      <c r="E1031" s="159">
        <v>30</v>
      </c>
      <c r="F1031" s="160" t="s">
        <v>32838</v>
      </c>
      <c r="G1031" s="132"/>
      <c r="H1031" s="162" t="s">
        <v>16380</v>
      </c>
      <c r="I1031" s="158" t="s">
        <v>16381</v>
      </c>
      <c r="J1031" s="128"/>
      <c r="K1031" s="128"/>
      <c r="L1031" s="128"/>
      <c r="M1031" s="129"/>
      <c r="N1031" s="129"/>
      <c r="O1031" s="129"/>
    </row>
    <row r="1032" spans="1:15" ht="12.5">
      <c r="A1032" s="158" t="s">
        <v>16382</v>
      </c>
      <c r="B1032" s="159">
        <v>20</v>
      </c>
      <c r="C1032" s="159">
        <v>85</v>
      </c>
      <c r="D1032" s="159">
        <v>32</v>
      </c>
      <c r="E1032" s="159">
        <v>80</v>
      </c>
      <c r="F1032" s="160" t="s">
        <v>32838</v>
      </c>
      <c r="G1032" s="132"/>
      <c r="H1032" s="162" t="s">
        <v>16383</v>
      </c>
      <c r="I1032" s="128"/>
      <c r="J1032" s="128"/>
      <c r="K1032" s="128"/>
      <c r="L1032" s="128"/>
      <c r="M1032" s="129"/>
      <c r="N1032" s="129"/>
      <c r="O1032" s="129"/>
    </row>
    <row r="1033" spans="1:15" ht="12.5">
      <c r="A1033" s="158" t="s">
        <v>16384</v>
      </c>
      <c r="B1033" s="159">
        <v>20</v>
      </c>
      <c r="C1033" s="159">
        <v>85</v>
      </c>
      <c r="D1033" s="159">
        <v>32</v>
      </c>
      <c r="E1033" s="159">
        <v>81</v>
      </c>
      <c r="F1033" s="160" t="s">
        <v>32838</v>
      </c>
      <c r="G1033" s="132"/>
      <c r="H1033" s="162" t="s">
        <v>16385</v>
      </c>
      <c r="I1033" s="128"/>
      <c r="J1033" s="128"/>
      <c r="K1033" s="128"/>
      <c r="L1033" s="128"/>
      <c r="M1033" s="129"/>
      <c r="N1033" s="129"/>
      <c r="O1033" s="129"/>
    </row>
    <row r="1034" spans="1:15" ht="12.5">
      <c r="A1034" s="158" t="s">
        <v>16386</v>
      </c>
      <c r="B1034" s="159">
        <v>20</v>
      </c>
      <c r="C1034" s="159">
        <v>85</v>
      </c>
      <c r="D1034" s="159">
        <v>32</v>
      </c>
      <c r="E1034" s="159">
        <v>82</v>
      </c>
      <c r="F1034" s="160" t="s">
        <v>32838</v>
      </c>
      <c r="G1034" s="132"/>
      <c r="H1034" s="162" t="s">
        <v>16387</v>
      </c>
      <c r="I1034" s="128"/>
      <c r="J1034" s="128"/>
      <c r="K1034" s="128"/>
      <c r="L1034" s="128"/>
      <c r="M1034" s="129"/>
      <c r="N1034" s="129"/>
      <c r="O1034" s="129"/>
    </row>
    <row r="1035" spans="1:15" ht="12.5">
      <c r="A1035" s="158" t="s">
        <v>16388</v>
      </c>
      <c r="B1035" s="159">
        <v>20</v>
      </c>
      <c r="C1035" s="159">
        <v>85</v>
      </c>
      <c r="D1035" s="159">
        <v>32</v>
      </c>
      <c r="E1035" s="159">
        <v>84</v>
      </c>
      <c r="F1035" s="160" t="s">
        <v>33114</v>
      </c>
      <c r="G1035" s="162" t="s">
        <v>32874</v>
      </c>
      <c r="H1035" s="162" t="s">
        <v>16389</v>
      </c>
      <c r="I1035" s="158" t="s">
        <v>16390</v>
      </c>
      <c r="J1035" s="128"/>
      <c r="K1035" s="128"/>
      <c r="L1035" s="128"/>
      <c r="M1035" s="129"/>
      <c r="N1035" s="129"/>
      <c r="O1035" s="129"/>
    </row>
    <row r="1036" spans="1:15" ht="12.5">
      <c r="A1036" s="158" t="s">
        <v>16391</v>
      </c>
      <c r="B1036" s="159">
        <v>20</v>
      </c>
      <c r="C1036" s="159">
        <v>85</v>
      </c>
      <c r="D1036" s="159">
        <v>32</v>
      </c>
      <c r="E1036" s="159">
        <v>85</v>
      </c>
      <c r="F1036" s="160" t="s">
        <v>33115</v>
      </c>
      <c r="G1036" s="162" t="s">
        <v>32874</v>
      </c>
      <c r="H1036" s="162" t="s">
        <v>16392</v>
      </c>
      <c r="I1036" s="158" t="s">
        <v>16393</v>
      </c>
      <c r="J1036" s="128"/>
      <c r="K1036" s="128"/>
      <c r="L1036" s="128"/>
      <c r="M1036" s="129"/>
      <c r="N1036" s="129"/>
      <c r="O1036" s="129"/>
    </row>
    <row r="1037" spans="1:15" ht="12.5">
      <c r="A1037" s="158" t="s">
        <v>16394</v>
      </c>
      <c r="B1037" s="159">
        <v>20</v>
      </c>
      <c r="C1037" s="159">
        <v>85</v>
      </c>
      <c r="D1037" s="159">
        <v>32</v>
      </c>
      <c r="E1037" s="159">
        <v>88</v>
      </c>
      <c r="F1037" s="160" t="s">
        <v>32838</v>
      </c>
      <c r="G1037" s="132"/>
      <c r="H1037" s="162" t="s">
        <v>16395</v>
      </c>
      <c r="I1037" s="158" t="s">
        <v>16396</v>
      </c>
      <c r="J1037" s="128"/>
      <c r="K1037" s="128"/>
      <c r="L1037" s="128"/>
      <c r="M1037" s="129"/>
      <c r="N1037" s="129"/>
      <c r="O1037" s="129"/>
    </row>
    <row r="1038" spans="1:15" ht="12.5">
      <c r="A1038" s="158" t="s">
        <v>16397</v>
      </c>
      <c r="B1038" s="159">
        <v>20</v>
      </c>
      <c r="C1038" s="159">
        <v>85</v>
      </c>
      <c r="D1038" s="159">
        <v>32</v>
      </c>
      <c r="E1038" s="159">
        <v>92</v>
      </c>
      <c r="F1038" s="160" t="s">
        <v>32838</v>
      </c>
      <c r="G1038" s="132"/>
      <c r="H1038" s="162" t="s">
        <v>16398</v>
      </c>
      <c r="I1038" s="158" t="s">
        <v>16399</v>
      </c>
      <c r="J1038" s="128"/>
      <c r="K1038" s="128"/>
      <c r="L1038" s="128"/>
      <c r="M1038" s="129"/>
      <c r="N1038" s="129"/>
      <c r="O1038" s="129"/>
    </row>
    <row r="1039" spans="1:15" ht="12.5">
      <c r="A1039" s="158" t="s">
        <v>16400</v>
      </c>
      <c r="B1039" s="159">
        <v>20</v>
      </c>
      <c r="C1039" s="159">
        <v>85</v>
      </c>
      <c r="D1039" s="159">
        <v>32</v>
      </c>
      <c r="E1039" s="159">
        <v>93</v>
      </c>
      <c r="F1039" s="160" t="s">
        <v>32838</v>
      </c>
      <c r="G1039" s="132"/>
      <c r="H1039" s="162" t="s">
        <v>16401</v>
      </c>
      <c r="I1039" s="158" t="s">
        <v>16402</v>
      </c>
      <c r="J1039" s="128"/>
      <c r="K1039" s="128"/>
      <c r="L1039" s="128"/>
      <c r="M1039" s="129"/>
      <c r="N1039" s="129"/>
      <c r="O1039" s="129"/>
    </row>
    <row r="1040" spans="1:15" ht="12.5">
      <c r="A1040" s="158" t="s">
        <v>16403</v>
      </c>
      <c r="B1040" s="159">
        <v>20</v>
      </c>
      <c r="C1040" s="159">
        <v>85</v>
      </c>
      <c r="D1040" s="159">
        <v>32</v>
      </c>
      <c r="E1040" s="159">
        <v>94</v>
      </c>
      <c r="F1040" s="160" t="s">
        <v>32838</v>
      </c>
      <c r="G1040" s="132"/>
      <c r="H1040" s="162" t="s">
        <v>16404</v>
      </c>
      <c r="I1040" s="128"/>
      <c r="J1040" s="128"/>
      <c r="K1040" s="128"/>
      <c r="L1040" s="128"/>
      <c r="M1040" s="129"/>
      <c r="N1040" s="129"/>
      <c r="O1040" s="129"/>
    </row>
    <row r="1041" spans="1:15" ht="12.5">
      <c r="A1041" s="158" t="s">
        <v>16405</v>
      </c>
      <c r="B1041" s="159">
        <v>20</v>
      </c>
      <c r="C1041" s="159">
        <v>85</v>
      </c>
      <c r="D1041" s="159">
        <v>32</v>
      </c>
      <c r="E1041" s="159">
        <v>96</v>
      </c>
      <c r="F1041" s="160" t="s">
        <v>32838</v>
      </c>
      <c r="G1041" s="132"/>
      <c r="H1041" s="162" t="s">
        <v>16406</v>
      </c>
      <c r="I1041" s="158" t="s">
        <v>16407</v>
      </c>
      <c r="J1041" s="128"/>
      <c r="K1041" s="128"/>
      <c r="L1041" s="128"/>
      <c r="M1041" s="129"/>
      <c r="N1041" s="129"/>
      <c r="O1041" s="129"/>
    </row>
    <row r="1042" spans="1:15" ht="12.5">
      <c r="A1042" s="158" t="s">
        <v>16408</v>
      </c>
      <c r="B1042" s="159">
        <v>20</v>
      </c>
      <c r="C1042" s="159">
        <v>85</v>
      </c>
      <c r="D1042" s="159">
        <v>32</v>
      </c>
      <c r="E1042" s="159">
        <v>97</v>
      </c>
      <c r="F1042" s="160" t="s">
        <v>32838</v>
      </c>
      <c r="G1042" s="132"/>
      <c r="H1042" s="162" t="s">
        <v>16409</v>
      </c>
      <c r="I1042" s="158" t="s">
        <v>16410</v>
      </c>
      <c r="J1042" s="128"/>
      <c r="K1042" s="128"/>
      <c r="L1042" s="128"/>
      <c r="M1042" s="129"/>
      <c r="N1042" s="129"/>
      <c r="O1042" s="129"/>
    </row>
    <row r="1043" spans="1:15" ht="12.5">
      <c r="A1043" s="158" t="s">
        <v>16411</v>
      </c>
      <c r="B1043" s="159">
        <v>20</v>
      </c>
      <c r="C1043" s="159">
        <v>85</v>
      </c>
      <c r="D1043" s="159">
        <v>32</v>
      </c>
      <c r="E1043" s="159">
        <v>98</v>
      </c>
      <c r="F1043" s="160" t="s">
        <v>32838</v>
      </c>
      <c r="G1043" s="132"/>
      <c r="H1043" s="162" t="s">
        <v>16412</v>
      </c>
      <c r="I1043" s="128"/>
      <c r="J1043" s="128"/>
      <c r="K1043" s="128"/>
      <c r="L1043" s="128"/>
      <c r="M1043" s="129"/>
      <c r="N1043" s="129"/>
      <c r="O1043" s="129"/>
    </row>
    <row r="1044" spans="1:15" ht="12.5">
      <c r="A1044" s="151" t="s">
        <v>16419</v>
      </c>
      <c r="B1044" s="152">
        <v>20</v>
      </c>
      <c r="C1044" s="152">
        <v>85</v>
      </c>
      <c r="D1044" s="152">
        <v>46</v>
      </c>
      <c r="E1044" s="153"/>
      <c r="F1044" s="154" t="s">
        <v>33116</v>
      </c>
      <c r="G1044" s="168"/>
      <c r="H1044" s="156" t="s">
        <v>16420</v>
      </c>
      <c r="I1044" s="157"/>
      <c r="J1044" s="128"/>
      <c r="K1044" s="128"/>
      <c r="L1044" s="128"/>
      <c r="M1044" s="129"/>
      <c r="N1044" s="129"/>
      <c r="O1044" s="129"/>
    </row>
    <row r="1045" spans="1:15" ht="12.5">
      <c r="A1045" s="158" t="s">
        <v>16421</v>
      </c>
      <c r="B1045" s="159">
        <v>20</v>
      </c>
      <c r="C1045" s="159">
        <v>85</v>
      </c>
      <c r="D1045" s="159">
        <v>46</v>
      </c>
      <c r="E1045" s="159">
        <v>21</v>
      </c>
      <c r="F1045" s="160" t="s">
        <v>32838</v>
      </c>
      <c r="G1045" s="132"/>
      <c r="H1045" s="162" t="s">
        <v>33117</v>
      </c>
      <c r="I1045" s="158" t="s">
        <v>16423</v>
      </c>
      <c r="J1045" s="128"/>
      <c r="K1045" s="128"/>
      <c r="L1045" s="128"/>
      <c r="M1045" s="129"/>
      <c r="N1045" s="129"/>
      <c r="O1045" s="129"/>
    </row>
    <row r="1046" spans="1:15" ht="12.5">
      <c r="A1046" s="158" t="s">
        <v>16424</v>
      </c>
      <c r="B1046" s="159">
        <v>20</v>
      </c>
      <c r="C1046" s="159">
        <v>85</v>
      </c>
      <c r="D1046" s="159">
        <v>46</v>
      </c>
      <c r="E1046" s="159">
        <v>28</v>
      </c>
      <c r="F1046" s="160" t="s">
        <v>32838</v>
      </c>
      <c r="G1046" s="132"/>
      <c r="H1046" s="162" t="s">
        <v>16425</v>
      </c>
      <c r="I1046" s="158" t="s">
        <v>16426</v>
      </c>
      <c r="J1046" s="128"/>
      <c r="K1046" s="128"/>
      <c r="L1046" s="128"/>
      <c r="M1046" s="129"/>
      <c r="N1046" s="129"/>
      <c r="O1046" s="129"/>
    </row>
    <row r="1047" spans="1:15" ht="12.5">
      <c r="A1047" s="158" t="s">
        <v>16427</v>
      </c>
      <c r="B1047" s="159">
        <v>20</v>
      </c>
      <c r="C1047" s="159">
        <v>85</v>
      </c>
      <c r="D1047" s="159">
        <v>46</v>
      </c>
      <c r="E1047" s="159">
        <v>36</v>
      </c>
      <c r="F1047" s="160" t="s">
        <v>32838</v>
      </c>
      <c r="G1047" s="132"/>
      <c r="H1047" s="162" t="s">
        <v>16428</v>
      </c>
      <c r="I1047" s="128"/>
      <c r="J1047" s="128"/>
      <c r="K1047" s="128"/>
      <c r="L1047" s="128"/>
      <c r="M1047" s="129"/>
      <c r="N1047" s="129"/>
      <c r="O1047" s="129"/>
    </row>
    <row r="1048" spans="1:15" ht="12.5">
      <c r="A1048" s="158" t="s">
        <v>16429</v>
      </c>
      <c r="B1048" s="159">
        <v>20</v>
      </c>
      <c r="C1048" s="159">
        <v>85</v>
      </c>
      <c r="D1048" s="159">
        <v>46</v>
      </c>
      <c r="E1048" s="159">
        <v>52</v>
      </c>
      <c r="F1048" s="160" t="s">
        <v>32838</v>
      </c>
      <c r="G1048" s="132"/>
      <c r="H1048" s="162" t="s">
        <v>16430</v>
      </c>
      <c r="I1048" s="158" t="s">
        <v>16431</v>
      </c>
      <c r="J1048" s="128"/>
      <c r="K1048" s="128"/>
      <c r="L1048" s="128"/>
      <c r="M1048" s="129"/>
      <c r="N1048" s="129"/>
      <c r="O1048" s="129"/>
    </row>
    <row r="1049" spans="1:15" ht="12.5">
      <c r="A1049" s="158" t="s">
        <v>16432</v>
      </c>
      <c r="B1049" s="159">
        <v>20</v>
      </c>
      <c r="C1049" s="159">
        <v>85</v>
      </c>
      <c r="D1049" s="159">
        <v>46</v>
      </c>
      <c r="E1049" s="159">
        <v>53</v>
      </c>
      <c r="F1049" s="160" t="s">
        <v>32838</v>
      </c>
      <c r="G1049" s="132"/>
      <c r="H1049" s="162" t="s">
        <v>16433</v>
      </c>
      <c r="I1049" s="158" t="s">
        <v>16434</v>
      </c>
      <c r="J1049" s="128"/>
      <c r="K1049" s="128"/>
      <c r="L1049" s="128"/>
      <c r="M1049" s="129"/>
      <c r="N1049" s="129"/>
      <c r="O1049" s="129"/>
    </row>
    <row r="1050" spans="1:15" ht="12.5">
      <c r="A1050" s="158" t="s">
        <v>16435</v>
      </c>
      <c r="B1050" s="159">
        <v>20</v>
      </c>
      <c r="C1050" s="159">
        <v>85</v>
      </c>
      <c r="D1050" s="159">
        <v>46</v>
      </c>
      <c r="E1050" s="159">
        <v>96</v>
      </c>
      <c r="F1050" s="160" t="s">
        <v>32838</v>
      </c>
      <c r="G1050" s="132"/>
      <c r="H1050" s="162" t="s">
        <v>16436</v>
      </c>
      <c r="I1050" s="158" t="s">
        <v>16437</v>
      </c>
      <c r="J1050" s="128"/>
      <c r="K1050" s="128"/>
      <c r="L1050" s="128"/>
      <c r="M1050" s="129"/>
      <c r="N1050" s="129"/>
      <c r="O1050" s="129"/>
    </row>
    <row r="1051" spans="1:15" ht="12.5">
      <c r="A1051" s="158" t="s">
        <v>16438</v>
      </c>
      <c r="B1051" s="159">
        <v>20</v>
      </c>
      <c r="C1051" s="159">
        <v>85</v>
      </c>
      <c r="D1051" s="159">
        <v>46</v>
      </c>
      <c r="E1051" s="159">
        <v>97</v>
      </c>
      <c r="F1051" s="160" t="s">
        <v>32838</v>
      </c>
      <c r="G1051" s="132"/>
      <c r="H1051" s="162" t="s">
        <v>16439</v>
      </c>
      <c r="I1051" s="158" t="s">
        <v>16440</v>
      </c>
      <c r="J1051" s="128"/>
      <c r="K1051" s="128"/>
      <c r="L1051" s="128"/>
      <c r="M1051" s="129"/>
      <c r="N1051" s="129"/>
      <c r="O1051" s="129"/>
    </row>
    <row r="1052" spans="1:15" ht="12.5">
      <c r="A1052" s="151" t="s">
        <v>16441</v>
      </c>
      <c r="B1052" s="152">
        <v>20</v>
      </c>
      <c r="C1052" s="152">
        <v>85</v>
      </c>
      <c r="D1052" s="152">
        <v>47</v>
      </c>
      <c r="E1052" s="153"/>
      <c r="F1052" s="154" t="s">
        <v>33118</v>
      </c>
      <c r="G1052" s="168"/>
      <c r="H1052" s="156" t="s">
        <v>16442</v>
      </c>
      <c r="I1052" s="157"/>
      <c r="J1052" s="157"/>
      <c r="K1052" s="157"/>
      <c r="L1052" s="157"/>
      <c r="M1052" s="186"/>
      <c r="N1052" s="186"/>
      <c r="O1052" s="186"/>
    </row>
    <row r="1053" spans="1:15" ht="12.5">
      <c r="A1053" s="158" t="s">
        <v>16443</v>
      </c>
      <c r="B1053" s="159">
        <v>20</v>
      </c>
      <c r="C1053" s="159">
        <v>85</v>
      </c>
      <c r="D1053" s="159">
        <v>47</v>
      </c>
      <c r="E1053" s="159">
        <v>1</v>
      </c>
      <c r="F1053" s="160" t="s">
        <v>32838</v>
      </c>
      <c r="G1053" s="132"/>
      <c r="H1053" s="162" t="s">
        <v>16444</v>
      </c>
      <c r="I1053" s="158" t="s">
        <v>16445</v>
      </c>
      <c r="J1053" s="128"/>
      <c r="K1053" s="128"/>
      <c r="L1053" s="128"/>
      <c r="M1053" s="129"/>
      <c r="N1053" s="129"/>
      <c r="O1053" s="129"/>
    </row>
    <row r="1054" spans="1:15" ht="12.5">
      <c r="A1054" s="158" t="s">
        <v>16446</v>
      </c>
      <c r="B1054" s="159">
        <v>20</v>
      </c>
      <c r="C1054" s="159">
        <v>85</v>
      </c>
      <c r="D1054" s="159">
        <v>47</v>
      </c>
      <c r="E1054" s="159">
        <v>2</v>
      </c>
      <c r="F1054" s="160" t="s">
        <v>32838</v>
      </c>
      <c r="G1054" s="132"/>
      <c r="H1054" s="162" t="s">
        <v>16447</v>
      </c>
      <c r="I1054" s="158" t="s">
        <v>16448</v>
      </c>
      <c r="J1054" s="128"/>
      <c r="K1054" s="128"/>
      <c r="L1054" s="128"/>
      <c r="M1054" s="129"/>
      <c r="N1054" s="129"/>
      <c r="O1054" s="129"/>
    </row>
    <row r="1055" spans="1:15" ht="12.5">
      <c r="A1055" s="158" t="s">
        <v>16449</v>
      </c>
      <c r="B1055" s="159">
        <v>20</v>
      </c>
      <c r="C1055" s="159">
        <v>85</v>
      </c>
      <c r="D1055" s="159">
        <v>47</v>
      </c>
      <c r="E1055" s="159">
        <v>3</v>
      </c>
      <c r="F1055" s="160" t="s">
        <v>32838</v>
      </c>
      <c r="G1055" s="132"/>
      <c r="H1055" s="162" t="s">
        <v>16450</v>
      </c>
      <c r="I1055" s="158" t="s">
        <v>16451</v>
      </c>
      <c r="J1055" s="128"/>
      <c r="K1055" s="128"/>
      <c r="L1055" s="128"/>
      <c r="M1055" s="129"/>
      <c r="N1055" s="129"/>
      <c r="O1055" s="129"/>
    </row>
    <row r="1056" spans="1:15" ht="12.5">
      <c r="A1056" s="158" t="s">
        <v>16452</v>
      </c>
      <c r="B1056" s="159">
        <v>20</v>
      </c>
      <c r="C1056" s="159">
        <v>85</v>
      </c>
      <c r="D1056" s="159">
        <v>47</v>
      </c>
      <c r="E1056" s="159">
        <v>4</v>
      </c>
      <c r="F1056" s="160" t="s">
        <v>32838</v>
      </c>
      <c r="G1056" s="132"/>
      <c r="H1056" s="162" t="s">
        <v>16453</v>
      </c>
      <c r="I1056" s="158" t="s">
        <v>16454</v>
      </c>
      <c r="J1056" s="128"/>
      <c r="K1056" s="128"/>
      <c r="L1056" s="128"/>
      <c r="M1056" s="129"/>
      <c r="N1056" s="129"/>
      <c r="O1056" s="129"/>
    </row>
    <row r="1057" spans="1:15" ht="12.5">
      <c r="A1057" s="158" t="s">
        <v>16455</v>
      </c>
      <c r="B1057" s="159">
        <v>20</v>
      </c>
      <c r="C1057" s="159">
        <v>85</v>
      </c>
      <c r="D1057" s="159">
        <v>47</v>
      </c>
      <c r="E1057" s="159">
        <v>20</v>
      </c>
      <c r="F1057" s="160" t="s">
        <v>32838</v>
      </c>
      <c r="G1057" s="132"/>
      <c r="H1057" s="162" t="s">
        <v>16456</v>
      </c>
      <c r="I1057" s="158" t="s">
        <v>16457</v>
      </c>
      <c r="J1057" s="128"/>
      <c r="K1057" s="128"/>
      <c r="L1057" s="128"/>
      <c r="M1057" s="129"/>
      <c r="N1057" s="129"/>
      <c r="O1057" s="129"/>
    </row>
    <row r="1058" spans="1:15" ht="12.5">
      <c r="A1058" s="158" t="s">
        <v>16458</v>
      </c>
      <c r="B1058" s="159">
        <v>20</v>
      </c>
      <c r="C1058" s="159">
        <v>85</v>
      </c>
      <c r="D1058" s="159">
        <v>47</v>
      </c>
      <c r="E1058" s="159">
        <v>22</v>
      </c>
      <c r="F1058" s="160" t="s">
        <v>32838</v>
      </c>
      <c r="G1058" s="132"/>
      <c r="H1058" s="162" t="s">
        <v>16459</v>
      </c>
      <c r="I1058" s="158" t="s">
        <v>16460</v>
      </c>
      <c r="J1058" s="128"/>
      <c r="K1058" s="128"/>
      <c r="L1058" s="128"/>
      <c r="M1058" s="129"/>
      <c r="N1058" s="129"/>
      <c r="O1058" s="129"/>
    </row>
    <row r="1059" spans="1:15" ht="12.5">
      <c r="A1059" s="158" t="s">
        <v>16461</v>
      </c>
      <c r="B1059" s="159">
        <v>20</v>
      </c>
      <c r="C1059" s="159">
        <v>85</v>
      </c>
      <c r="D1059" s="159">
        <v>47</v>
      </c>
      <c r="E1059" s="159">
        <v>47</v>
      </c>
      <c r="F1059" s="160" t="s">
        <v>32838</v>
      </c>
      <c r="G1059" s="132"/>
      <c r="H1059" s="162" t="s">
        <v>16462</v>
      </c>
      <c r="I1059" s="158" t="s">
        <v>16463</v>
      </c>
      <c r="J1059" s="128"/>
      <c r="K1059" s="128"/>
      <c r="L1059" s="128"/>
      <c r="M1059" s="129"/>
      <c r="N1059" s="129"/>
      <c r="O1059" s="129"/>
    </row>
    <row r="1060" spans="1:15" ht="12.5">
      <c r="A1060" s="158" t="s">
        <v>16466</v>
      </c>
      <c r="B1060" s="159">
        <v>20</v>
      </c>
      <c r="C1060" s="159">
        <v>85</v>
      </c>
      <c r="D1060" s="159">
        <v>47</v>
      </c>
      <c r="E1060" s="159">
        <v>50</v>
      </c>
      <c r="F1060" s="160" t="s">
        <v>32838</v>
      </c>
      <c r="G1060" s="132"/>
      <c r="H1060" s="162" t="s">
        <v>16467</v>
      </c>
      <c r="I1060" s="128"/>
      <c r="J1060" s="128"/>
      <c r="K1060" s="128"/>
      <c r="L1060" s="128"/>
      <c r="M1060" s="129"/>
      <c r="N1060" s="129"/>
      <c r="O1060" s="129"/>
    </row>
    <row r="1061" spans="1:15" ht="12.5">
      <c r="A1061" s="158" t="s">
        <v>16468</v>
      </c>
      <c r="B1061" s="159">
        <v>20</v>
      </c>
      <c r="C1061" s="159">
        <v>85</v>
      </c>
      <c r="D1061" s="159">
        <v>47</v>
      </c>
      <c r="E1061" s="159">
        <v>51</v>
      </c>
      <c r="F1061" s="160" t="s">
        <v>32838</v>
      </c>
      <c r="G1061" s="132"/>
      <c r="H1061" s="162" t="s">
        <v>16469</v>
      </c>
      <c r="I1061" s="158" t="s">
        <v>16470</v>
      </c>
      <c r="J1061" s="128"/>
      <c r="K1061" s="128"/>
      <c r="L1061" s="128"/>
      <c r="M1061" s="129"/>
      <c r="N1061" s="129"/>
      <c r="O1061" s="129"/>
    </row>
    <row r="1062" spans="1:15" ht="12.5">
      <c r="A1062" s="158" t="s">
        <v>16471</v>
      </c>
      <c r="B1062" s="159">
        <v>20</v>
      </c>
      <c r="C1062" s="159">
        <v>85</v>
      </c>
      <c r="D1062" s="159">
        <v>47</v>
      </c>
      <c r="E1062" s="159">
        <v>84</v>
      </c>
      <c r="F1062" s="160" t="s">
        <v>32838</v>
      </c>
      <c r="G1062" s="132"/>
      <c r="H1062" s="162" t="s">
        <v>16472</v>
      </c>
      <c r="I1062" s="128"/>
      <c r="J1062" s="128"/>
      <c r="K1062" s="128"/>
      <c r="L1062" s="128"/>
      <c r="M1062" s="129"/>
      <c r="N1062" s="129"/>
      <c r="O1062" s="129"/>
    </row>
    <row r="1063" spans="1:15" ht="12.5">
      <c r="A1063" s="158" t="s">
        <v>16473</v>
      </c>
      <c r="B1063" s="159">
        <v>20</v>
      </c>
      <c r="C1063" s="159">
        <v>85</v>
      </c>
      <c r="D1063" s="159">
        <v>47</v>
      </c>
      <c r="E1063" s="159">
        <v>88</v>
      </c>
      <c r="F1063" s="160" t="s">
        <v>32838</v>
      </c>
      <c r="G1063" s="132"/>
      <c r="H1063" s="162" t="s">
        <v>16474</v>
      </c>
      <c r="I1063" s="128"/>
      <c r="J1063" s="128"/>
      <c r="K1063" s="128"/>
      <c r="L1063" s="128"/>
      <c r="M1063" s="129"/>
      <c r="N1063" s="129"/>
      <c r="O1063" s="129"/>
    </row>
    <row r="1064" spans="1:15" ht="12.5">
      <c r="A1064" s="151" t="s">
        <v>16475</v>
      </c>
      <c r="B1064" s="152">
        <v>20</v>
      </c>
      <c r="C1064" s="152">
        <v>85</v>
      </c>
      <c r="D1064" s="152">
        <v>48</v>
      </c>
      <c r="E1064" s="153"/>
      <c r="F1064" s="154" t="s">
        <v>33119</v>
      </c>
      <c r="G1064" s="155"/>
      <c r="H1064" s="156" t="s">
        <v>16476</v>
      </c>
      <c r="I1064" s="157"/>
      <c r="J1064" s="157"/>
      <c r="K1064" s="157"/>
      <c r="L1064" s="157"/>
      <c r="M1064" s="186"/>
      <c r="N1064" s="186"/>
      <c r="O1064" s="186"/>
    </row>
    <row r="1065" spans="1:15" ht="12.5">
      <c r="A1065" s="158" t="s">
        <v>16477</v>
      </c>
      <c r="B1065" s="159">
        <v>20</v>
      </c>
      <c r="C1065" s="159">
        <v>85</v>
      </c>
      <c r="D1065" s="159">
        <v>48</v>
      </c>
      <c r="E1065" s="159">
        <v>2</v>
      </c>
      <c r="F1065" s="160" t="s">
        <v>33120</v>
      </c>
      <c r="G1065" s="162" t="s">
        <v>33121</v>
      </c>
      <c r="H1065" s="162" t="s">
        <v>16478</v>
      </c>
      <c r="I1065" s="158" t="s">
        <v>16479</v>
      </c>
      <c r="J1065" s="128"/>
      <c r="K1065" s="128"/>
      <c r="L1065" s="128"/>
      <c r="M1065" s="129"/>
      <c r="N1065" s="129"/>
      <c r="O1065" s="129"/>
    </row>
    <row r="1066" spans="1:15" ht="12.5">
      <c r="A1066" s="158" t="s">
        <v>16480</v>
      </c>
      <c r="B1066" s="159">
        <v>20</v>
      </c>
      <c r="C1066" s="159">
        <v>85</v>
      </c>
      <c r="D1066" s="159">
        <v>48</v>
      </c>
      <c r="E1066" s="159">
        <v>11</v>
      </c>
      <c r="F1066" s="160" t="s">
        <v>33122</v>
      </c>
      <c r="G1066" s="162" t="s">
        <v>33121</v>
      </c>
      <c r="H1066" s="162" t="s">
        <v>16481</v>
      </c>
      <c r="I1066" s="158" t="s">
        <v>16482</v>
      </c>
      <c r="J1066" s="128"/>
      <c r="K1066" s="128"/>
      <c r="L1066" s="128"/>
      <c r="M1066" s="129"/>
      <c r="N1066" s="129"/>
      <c r="O1066" s="129"/>
    </row>
    <row r="1067" spans="1:15" ht="12.5">
      <c r="A1067" s="158" t="s">
        <v>16483</v>
      </c>
      <c r="B1067" s="159">
        <v>20</v>
      </c>
      <c r="C1067" s="159">
        <v>85</v>
      </c>
      <c r="D1067" s="159">
        <v>48</v>
      </c>
      <c r="E1067" s="159">
        <v>13</v>
      </c>
      <c r="F1067" s="160" t="s">
        <v>33123</v>
      </c>
      <c r="G1067" s="162" t="s">
        <v>33121</v>
      </c>
      <c r="H1067" s="162" t="s">
        <v>16484</v>
      </c>
      <c r="I1067" s="158" t="s">
        <v>16485</v>
      </c>
      <c r="J1067" s="128"/>
      <c r="K1067" s="128"/>
      <c r="L1067" s="128"/>
      <c r="M1067" s="129"/>
      <c r="N1067" s="129"/>
      <c r="O1067" s="129"/>
    </row>
    <row r="1068" spans="1:15" ht="12.5">
      <c r="A1068" s="158" t="s">
        <v>16486</v>
      </c>
      <c r="B1068" s="159">
        <v>20</v>
      </c>
      <c r="C1068" s="159">
        <v>85</v>
      </c>
      <c r="D1068" s="159">
        <v>48</v>
      </c>
      <c r="E1068" s="159">
        <v>15</v>
      </c>
      <c r="F1068" s="160" t="s">
        <v>33124</v>
      </c>
      <c r="G1068" s="162" t="s">
        <v>33121</v>
      </c>
      <c r="H1068" s="162" t="s">
        <v>16487</v>
      </c>
      <c r="I1068" s="158" t="s">
        <v>16488</v>
      </c>
      <c r="J1068" s="128"/>
      <c r="K1068" s="128"/>
      <c r="L1068" s="128"/>
      <c r="M1068" s="129"/>
      <c r="N1068" s="129"/>
      <c r="O1068" s="129"/>
    </row>
    <row r="1069" spans="1:15" ht="12.5">
      <c r="A1069" s="158" t="s">
        <v>16489</v>
      </c>
      <c r="B1069" s="159">
        <v>20</v>
      </c>
      <c r="C1069" s="159">
        <v>85</v>
      </c>
      <c r="D1069" s="159">
        <v>48</v>
      </c>
      <c r="E1069" s="159">
        <v>33</v>
      </c>
      <c r="F1069" s="160" t="s">
        <v>32838</v>
      </c>
      <c r="G1069" s="132"/>
      <c r="H1069" s="162" t="s">
        <v>16490</v>
      </c>
      <c r="I1069" s="158" t="s">
        <v>16491</v>
      </c>
      <c r="J1069" s="128"/>
      <c r="K1069" s="128"/>
      <c r="L1069" s="128"/>
      <c r="M1069" s="129"/>
      <c r="N1069" s="129"/>
      <c r="O1069" s="129"/>
    </row>
    <row r="1070" spans="1:15" ht="12.5">
      <c r="A1070" s="158" t="s">
        <v>16492</v>
      </c>
      <c r="B1070" s="159">
        <v>20</v>
      </c>
      <c r="C1070" s="159">
        <v>85</v>
      </c>
      <c r="D1070" s="159">
        <v>48</v>
      </c>
      <c r="E1070" s="159">
        <v>34</v>
      </c>
      <c r="F1070" s="160" t="s">
        <v>32838</v>
      </c>
      <c r="G1070" s="132"/>
      <c r="H1070" s="162" t="s">
        <v>16493</v>
      </c>
      <c r="I1070" s="158" t="s">
        <v>16494</v>
      </c>
      <c r="J1070" s="128"/>
      <c r="K1070" s="128"/>
      <c r="L1070" s="128"/>
      <c r="M1070" s="129"/>
      <c r="N1070" s="129"/>
      <c r="O1070" s="129"/>
    </row>
    <row r="1071" spans="1:15" ht="12.5">
      <c r="A1071" s="158" t="s">
        <v>16495</v>
      </c>
      <c r="B1071" s="159">
        <v>20</v>
      </c>
      <c r="C1071" s="159">
        <v>85</v>
      </c>
      <c r="D1071" s="159">
        <v>48</v>
      </c>
      <c r="E1071" s="159">
        <v>43</v>
      </c>
      <c r="F1071" s="160" t="s">
        <v>32838</v>
      </c>
      <c r="G1071" s="132"/>
      <c r="H1071" s="162" t="s">
        <v>16496</v>
      </c>
      <c r="I1071" s="158" t="s">
        <v>16497</v>
      </c>
      <c r="J1071" s="128"/>
      <c r="K1071" s="128"/>
      <c r="L1071" s="128"/>
      <c r="M1071" s="129"/>
      <c r="N1071" s="129"/>
      <c r="O1071" s="129"/>
    </row>
    <row r="1072" spans="1:15" ht="12.5">
      <c r="A1072" s="158" t="s">
        <v>16498</v>
      </c>
      <c r="B1072" s="159">
        <v>20</v>
      </c>
      <c r="C1072" s="159">
        <v>85</v>
      </c>
      <c r="D1072" s="159">
        <v>48</v>
      </c>
      <c r="E1072" s="159">
        <v>50</v>
      </c>
      <c r="F1072" s="160" t="s">
        <v>32838</v>
      </c>
      <c r="G1072" s="132"/>
      <c r="H1072" s="162" t="s">
        <v>16499</v>
      </c>
      <c r="I1072" s="158" t="s">
        <v>16500</v>
      </c>
      <c r="J1072" s="128"/>
      <c r="K1072" s="128"/>
      <c r="L1072" s="128"/>
      <c r="M1072" s="129"/>
      <c r="N1072" s="129"/>
      <c r="O1072" s="129"/>
    </row>
    <row r="1073" spans="1:15" ht="12.5">
      <c r="A1073" s="158" t="s">
        <v>16501</v>
      </c>
      <c r="B1073" s="159">
        <v>20</v>
      </c>
      <c r="C1073" s="159">
        <v>85</v>
      </c>
      <c r="D1073" s="159">
        <v>48</v>
      </c>
      <c r="E1073" s="159">
        <v>56</v>
      </c>
      <c r="F1073" s="160" t="s">
        <v>33125</v>
      </c>
      <c r="G1073" s="162" t="s">
        <v>33126</v>
      </c>
      <c r="H1073" s="162" t="s">
        <v>16502</v>
      </c>
      <c r="I1073" s="158" t="s">
        <v>16503</v>
      </c>
      <c r="J1073" s="128"/>
      <c r="K1073" s="128"/>
      <c r="L1073" s="128"/>
      <c r="M1073" s="129"/>
      <c r="N1073" s="129"/>
      <c r="O1073" s="129"/>
    </row>
    <row r="1074" spans="1:15" ht="12.5">
      <c r="A1074" s="158" t="s">
        <v>16504</v>
      </c>
      <c r="B1074" s="159">
        <v>20</v>
      </c>
      <c r="C1074" s="159">
        <v>85</v>
      </c>
      <c r="D1074" s="159">
        <v>48</v>
      </c>
      <c r="E1074" s="159">
        <v>67</v>
      </c>
      <c r="F1074" s="160" t="s">
        <v>33127</v>
      </c>
      <c r="G1074" s="162" t="s">
        <v>33121</v>
      </c>
      <c r="H1074" s="162" t="s">
        <v>16505</v>
      </c>
      <c r="I1074" s="158" t="s">
        <v>16506</v>
      </c>
      <c r="J1074" s="128"/>
      <c r="K1074" s="128"/>
      <c r="L1074" s="128"/>
      <c r="M1074" s="129"/>
      <c r="N1074" s="129"/>
      <c r="O1074" s="129"/>
    </row>
    <row r="1075" spans="1:15" ht="12.5">
      <c r="A1075" s="158" t="s">
        <v>16509</v>
      </c>
      <c r="B1075" s="159">
        <v>20</v>
      </c>
      <c r="C1075" s="159">
        <v>85</v>
      </c>
      <c r="D1075" s="159">
        <v>48</v>
      </c>
      <c r="E1075" s="159">
        <v>88</v>
      </c>
      <c r="F1075" s="131"/>
      <c r="G1075" s="132"/>
      <c r="H1075" s="162" t="s">
        <v>16510</v>
      </c>
      <c r="I1075" s="158" t="s">
        <v>16511</v>
      </c>
      <c r="J1075" s="128"/>
      <c r="K1075" s="128"/>
      <c r="L1075" s="128"/>
      <c r="M1075" s="129"/>
      <c r="N1075" s="129"/>
      <c r="O1075" s="129"/>
    </row>
    <row r="1076" spans="1:15" ht="12.5">
      <c r="A1076" s="151" t="s">
        <v>16512</v>
      </c>
      <c r="B1076" s="152">
        <v>20</v>
      </c>
      <c r="C1076" s="152">
        <v>85</v>
      </c>
      <c r="D1076" s="152">
        <v>50</v>
      </c>
      <c r="E1076" s="153"/>
      <c r="F1076" s="154" t="s">
        <v>33128</v>
      </c>
      <c r="G1076" s="168"/>
      <c r="H1076" s="156" t="s">
        <v>16513</v>
      </c>
      <c r="I1076" s="157"/>
      <c r="J1076" s="157"/>
      <c r="K1076" s="157"/>
      <c r="L1076" s="157"/>
      <c r="M1076" s="186"/>
      <c r="N1076" s="186"/>
      <c r="O1076" s="186"/>
    </row>
    <row r="1077" spans="1:15" ht="12.5">
      <c r="A1077" s="158" t="s">
        <v>16514</v>
      </c>
      <c r="B1077" s="159">
        <v>20</v>
      </c>
      <c r="C1077" s="159">
        <v>85</v>
      </c>
      <c r="D1077" s="159">
        <v>50</v>
      </c>
      <c r="E1077" s="159">
        <v>1</v>
      </c>
      <c r="F1077" s="160" t="s">
        <v>32838</v>
      </c>
      <c r="G1077" s="132"/>
      <c r="H1077" s="162" t="s">
        <v>16515</v>
      </c>
      <c r="I1077" s="158" t="s">
        <v>16516</v>
      </c>
      <c r="J1077" s="128"/>
      <c r="K1077" s="128"/>
      <c r="L1077" s="128"/>
      <c r="M1077" s="129"/>
      <c r="N1077" s="129"/>
      <c r="O1077" s="129"/>
    </row>
    <row r="1078" spans="1:15" ht="12.5">
      <c r="A1078" s="158" t="s">
        <v>16519</v>
      </c>
      <c r="B1078" s="159">
        <v>20</v>
      </c>
      <c r="C1078" s="159">
        <v>85</v>
      </c>
      <c r="D1078" s="159">
        <v>50</v>
      </c>
      <c r="E1078" s="159">
        <v>50</v>
      </c>
      <c r="F1078" s="160" t="s">
        <v>32838</v>
      </c>
      <c r="G1078" s="132"/>
      <c r="H1078" s="162" t="s">
        <v>16520</v>
      </c>
      <c r="I1078" s="158" t="s">
        <v>16521</v>
      </c>
      <c r="J1078" s="128"/>
      <c r="K1078" s="128"/>
      <c r="L1078" s="128"/>
      <c r="M1078" s="129"/>
      <c r="N1078" s="129"/>
      <c r="O1078" s="129"/>
    </row>
    <row r="1079" spans="1:15" ht="12.5">
      <c r="A1079" s="158" t="s">
        <v>16522</v>
      </c>
      <c r="B1079" s="159">
        <v>20</v>
      </c>
      <c r="C1079" s="159">
        <v>85</v>
      </c>
      <c r="D1079" s="159">
        <v>50</v>
      </c>
      <c r="E1079" s="159">
        <v>64</v>
      </c>
      <c r="F1079" s="160" t="s">
        <v>32838</v>
      </c>
      <c r="G1079" s="132"/>
      <c r="H1079" s="162" t="s">
        <v>16523</v>
      </c>
      <c r="I1079" s="158" t="s">
        <v>16524</v>
      </c>
      <c r="J1079" s="128"/>
      <c r="K1079" s="128"/>
      <c r="L1079" s="128"/>
      <c r="M1079" s="129"/>
      <c r="N1079" s="129"/>
      <c r="O1079" s="129"/>
    </row>
    <row r="1080" spans="1:15" ht="12.5">
      <c r="A1080" s="158" t="s">
        <v>16525</v>
      </c>
      <c r="B1080" s="159">
        <v>20</v>
      </c>
      <c r="C1080" s="159">
        <v>85</v>
      </c>
      <c r="D1080" s="159">
        <v>50</v>
      </c>
      <c r="E1080" s="159">
        <v>85</v>
      </c>
      <c r="F1080" s="160" t="s">
        <v>32838</v>
      </c>
      <c r="G1080" s="132"/>
      <c r="H1080" s="162" t="s">
        <v>16526</v>
      </c>
      <c r="I1080" s="158" t="s">
        <v>16527</v>
      </c>
      <c r="J1080" s="128"/>
      <c r="K1080" s="128"/>
      <c r="L1080" s="128"/>
      <c r="M1080" s="129"/>
      <c r="N1080" s="129"/>
      <c r="O1080" s="129"/>
    </row>
    <row r="1081" spans="1:15" ht="12.5">
      <c r="A1081" s="158" t="s">
        <v>16528</v>
      </c>
      <c r="B1081" s="159">
        <v>20</v>
      </c>
      <c r="C1081" s="159">
        <v>85</v>
      </c>
      <c r="D1081" s="159">
        <v>50</v>
      </c>
      <c r="E1081" s="159">
        <v>90</v>
      </c>
      <c r="F1081" s="160" t="s">
        <v>32838</v>
      </c>
      <c r="G1081" s="132"/>
      <c r="H1081" s="162" t="s">
        <v>16529</v>
      </c>
      <c r="I1081" s="158" t="s">
        <v>16530</v>
      </c>
      <c r="J1081" s="128"/>
      <c r="K1081" s="128"/>
      <c r="L1081" s="128"/>
      <c r="M1081" s="129"/>
      <c r="N1081" s="129"/>
      <c r="O1081" s="129"/>
    </row>
    <row r="1082" spans="1:15" ht="12.5">
      <c r="A1082" s="151" t="s">
        <v>16531</v>
      </c>
      <c r="B1082" s="152">
        <v>20</v>
      </c>
      <c r="C1082" s="152">
        <v>85</v>
      </c>
      <c r="D1082" s="152">
        <v>62</v>
      </c>
      <c r="E1082" s="153"/>
      <c r="F1082" s="154" t="s">
        <v>33129</v>
      </c>
      <c r="G1082" s="155"/>
      <c r="H1082" s="156" t="s">
        <v>16532</v>
      </c>
      <c r="I1082" s="157"/>
      <c r="J1082" s="157"/>
      <c r="K1082" s="157"/>
      <c r="L1082" s="157"/>
      <c r="M1082" s="186"/>
      <c r="N1082" s="186"/>
      <c r="O1082" s="186"/>
    </row>
    <row r="1083" spans="1:15" ht="12.5">
      <c r="A1083" s="158" t="s">
        <v>16533</v>
      </c>
      <c r="B1083" s="159">
        <v>20</v>
      </c>
      <c r="C1083" s="159">
        <v>85</v>
      </c>
      <c r="D1083" s="159">
        <v>62</v>
      </c>
      <c r="E1083" s="159">
        <v>10</v>
      </c>
      <c r="F1083" s="160" t="s">
        <v>32838</v>
      </c>
      <c r="G1083" s="132"/>
      <c r="H1083" s="162" t="s">
        <v>16534</v>
      </c>
      <c r="I1083" s="158" t="s">
        <v>16535</v>
      </c>
      <c r="J1083" s="128"/>
      <c r="K1083" s="128"/>
      <c r="L1083" s="128"/>
      <c r="M1083" s="129"/>
      <c r="N1083" s="129"/>
      <c r="O1083" s="129"/>
    </row>
    <row r="1084" spans="1:15" ht="12.5">
      <c r="A1084" s="158" t="s">
        <v>16536</v>
      </c>
      <c r="B1084" s="159">
        <v>20</v>
      </c>
      <c r="C1084" s="159">
        <v>85</v>
      </c>
      <c r="D1084" s="159">
        <v>62</v>
      </c>
      <c r="E1084" s="159">
        <v>11</v>
      </c>
      <c r="F1084" s="160" t="s">
        <v>32838</v>
      </c>
      <c r="G1084" s="132"/>
      <c r="H1084" s="162" t="s">
        <v>16537</v>
      </c>
      <c r="I1084" s="128"/>
      <c r="J1084" s="128"/>
      <c r="K1084" s="128"/>
      <c r="L1084" s="128"/>
      <c r="M1084" s="129"/>
      <c r="N1084" s="129"/>
      <c r="O1084" s="129"/>
    </row>
    <row r="1085" spans="1:15" ht="12.5">
      <c r="A1085" s="158" t="s">
        <v>16538</v>
      </c>
      <c r="B1085" s="159">
        <v>20</v>
      </c>
      <c r="C1085" s="159">
        <v>85</v>
      </c>
      <c r="D1085" s="159">
        <v>62</v>
      </c>
      <c r="E1085" s="159">
        <v>12</v>
      </c>
      <c r="F1085" s="160" t="s">
        <v>32838</v>
      </c>
      <c r="G1085" s="132"/>
      <c r="H1085" s="162" t="s">
        <v>16539</v>
      </c>
      <c r="I1085" s="158" t="s">
        <v>16540</v>
      </c>
      <c r="J1085" s="128"/>
      <c r="K1085" s="128"/>
      <c r="L1085" s="128"/>
      <c r="M1085" s="129"/>
      <c r="N1085" s="129"/>
      <c r="O1085" s="129"/>
    </row>
    <row r="1086" spans="1:15" ht="12.5">
      <c r="A1086" s="158" t="s">
        <v>16541</v>
      </c>
      <c r="B1086" s="159">
        <v>20</v>
      </c>
      <c r="C1086" s="159">
        <v>85</v>
      </c>
      <c r="D1086" s="159">
        <v>62</v>
      </c>
      <c r="E1086" s="159">
        <v>13</v>
      </c>
      <c r="F1086" s="160" t="s">
        <v>32838</v>
      </c>
      <c r="G1086" s="132"/>
      <c r="H1086" s="162" t="s">
        <v>16542</v>
      </c>
      <c r="I1086" s="158" t="s">
        <v>16543</v>
      </c>
      <c r="J1086" s="128"/>
      <c r="K1086" s="128"/>
      <c r="L1086" s="128"/>
      <c r="M1086" s="129"/>
      <c r="N1086" s="129"/>
      <c r="O1086" s="129"/>
    </row>
    <row r="1087" spans="1:15" ht="12.5">
      <c r="A1087" s="158" t="s">
        <v>16544</v>
      </c>
      <c r="B1087" s="159">
        <v>20</v>
      </c>
      <c r="C1087" s="159">
        <v>85</v>
      </c>
      <c r="D1087" s="159">
        <v>62</v>
      </c>
      <c r="E1087" s="159">
        <v>14</v>
      </c>
      <c r="F1087" s="160" t="s">
        <v>32838</v>
      </c>
      <c r="G1087" s="132"/>
      <c r="H1087" s="162" t="s">
        <v>16545</v>
      </c>
      <c r="I1087" s="158" t="s">
        <v>16546</v>
      </c>
      <c r="J1087" s="128"/>
      <c r="K1087" s="128"/>
      <c r="L1087" s="128"/>
      <c r="M1087" s="129"/>
      <c r="N1087" s="129"/>
      <c r="O1087" s="129"/>
    </row>
    <row r="1088" spans="1:15" ht="12.5">
      <c r="A1088" s="158" t="s">
        <v>16547</v>
      </c>
      <c r="B1088" s="159">
        <v>20</v>
      </c>
      <c r="C1088" s="159">
        <v>85</v>
      </c>
      <c r="D1088" s="159">
        <v>62</v>
      </c>
      <c r="E1088" s="159">
        <v>15</v>
      </c>
      <c r="F1088" s="160" t="s">
        <v>32838</v>
      </c>
      <c r="G1088" s="132"/>
      <c r="H1088" s="162" t="s">
        <v>16548</v>
      </c>
      <c r="I1088" s="158" t="s">
        <v>16549</v>
      </c>
      <c r="J1088" s="128"/>
      <c r="K1088" s="128"/>
      <c r="L1088" s="128"/>
      <c r="M1088" s="129"/>
      <c r="N1088" s="129"/>
      <c r="O1088" s="129"/>
    </row>
    <row r="1089" spans="1:15" ht="12.5">
      <c r="A1089" s="158" t="s">
        <v>16552</v>
      </c>
      <c r="B1089" s="159">
        <v>20</v>
      </c>
      <c r="C1089" s="159">
        <v>85</v>
      </c>
      <c r="D1089" s="159">
        <v>62</v>
      </c>
      <c r="E1089" s="159">
        <v>17</v>
      </c>
      <c r="F1089" s="160" t="s">
        <v>32838</v>
      </c>
      <c r="G1089" s="132"/>
      <c r="H1089" s="162" t="s">
        <v>16553</v>
      </c>
      <c r="I1089" s="128"/>
      <c r="J1089" s="128"/>
      <c r="K1089" s="128"/>
      <c r="L1089" s="128"/>
      <c r="M1089" s="129"/>
      <c r="N1089" s="129"/>
      <c r="O1089" s="129"/>
    </row>
    <row r="1090" spans="1:15" ht="12.5">
      <c r="A1090" s="158" t="s">
        <v>16554</v>
      </c>
      <c r="B1090" s="159">
        <v>20</v>
      </c>
      <c r="C1090" s="159">
        <v>85</v>
      </c>
      <c r="D1090" s="159">
        <v>62</v>
      </c>
      <c r="E1090" s="159">
        <v>18</v>
      </c>
      <c r="F1090" s="160" t="s">
        <v>33130</v>
      </c>
      <c r="G1090" s="162" t="s">
        <v>33131</v>
      </c>
      <c r="H1090" s="162" t="s">
        <v>16555</v>
      </c>
      <c r="I1090" s="158" t="s">
        <v>33132</v>
      </c>
      <c r="J1090" s="128"/>
      <c r="K1090" s="128"/>
      <c r="L1090" s="128"/>
      <c r="M1090" s="129"/>
      <c r="N1090" s="129"/>
      <c r="O1090" s="129"/>
    </row>
    <row r="1091" spans="1:15" ht="12.5">
      <c r="A1091" s="158" t="s">
        <v>16557</v>
      </c>
      <c r="B1091" s="159">
        <v>20</v>
      </c>
      <c r="C1091" s="159">
        <v>85</v>
      </c>
      <c r="D1091" s="159">
        <v>62</v>
      </c>
      <c r="E1091" s="159">
        <v>19</v>
      </c>
      <c r="F1091" s="160" t="s">
        <v>32838</v>
      </c>
      <c r="G1091" s="132"/>
      <c r="H1091" s="162" t="s">
        <v>16558</v>
      </c>
      <c r="I1091" s="128"/>
      <c r="J1091" s="128"/>
      <c r="K1091" s="128"/>
      <c r="L1091" s="128"/>
      <c r="M1091" s="129"/>
      <c r="N1091" s="129"/>
      <c r="O1091" s="129"/>
    </row>
    <row r="1092" spans="1:15" ht="12.5">
      <c r="A1092" s="158" t="s">
        <v>16559</v>
      </c>
      <c r="B1092" s="159">
        <v>20</v>
      </c>
      <c r="C1092" s="159">
        <v>85</v>
      </c>
      <c r="D1092" s="159">
        <v>62</v>
      </c>
      <c r="E1092" s="159">
        <v>23</v>
      </c>
      <c r="F1092" s="160" t="s">
        <v>32838</v>
      </c>
      <c r="G1092" s="132"/>
      <c r="H1092" s="162" t="s">
        <v>16560</v>
      </c>
      <c r="I1092" s="158" t="s">
        <v>16561</v>
      </c>
      <c r="J1092" s="128"/>
      <c r="K1092" s="128"/>
      <c r="L1092" s="128"/>
      <c r="M1092" s="129"/>
      <c r="N1092" s="129"/>
      <c r="O1092" s="129"/>
    </row>
    <row r="1093" spans="1:15" ht="12.5">
      <c r="A1093" s="158" t="s">
        <v>16562</v>
      </c>
      <c r="B1093" s="159">
        <v>20</v>
      </c>
      <c r="C1093" s="159">
        <v>85</v>
      </c>
      <c r="D1093" s="159">
        <v>62</v>
      </c>
      <c r="E1093" s="159">
        <v>36</v>
      </c>
      <c r="F1093" s="160" t="s">
        <v>32838</v>
      </c>
      <c r="G1093" s="132"/>
      <c r="H1093" s="162" t="s">
        <v>16563</v>
      </c>
      <c r="I1093" s="128"/>
      <c r="J1093" s="128"/>
      <c r="K1093" s="128"/>
      <c r="L1093" s="128"/>
      <c r="M1093" s="129"/>
      <c r="N1093" s="129"/>
      <c r="O1093" s="129"/>
    </row>
    <row r="1094" spans="1:15" ht="12.5">
      <c r="A1094" s="158" t="s">
        <v>16564</v>
      </c>
      <c r="B1094" s="159">
        <v>20</v>
      </c>
      <c r="C1094" s="159">
        <v>85</v>
      </c>
      <c r="D1094" s="159">
        <v>62</v>
      </c>
      <c r="E1094" s="159">
        <v>64</v>
      </c>
      <c r="F1094" s="160" t="s">
        <v>32838</v>
      </c>
      <c r="G1094" s="132"/>
      <c r="H1094" s="162" t="s">
        <v>16565</v>
      </c>
      <c r="I1094" s="158" t="s">
        <v>16566</v>
      </c>
      <c r="J1094" s="128"/>
      <c r="K1094" s="128"/>
      <c r="L1094" s="128"/>
      <c r="M1094" s="129"/>
      <c r="N1094" s="129"/>
      <c r="O1094" s="129"/>
    </row>
    <row r="1095" spans="1:15" ht="12.5">
      <c r="A1095" s="158" t="s">
        <v>16567</v>
      </c>
      <c r="B1095" s="159">
        <v>20</v>
      </c>
      <c r="C1095" s="159">
        <v>85</v>
      </c>
      <c r="D1095" s="159">
        <v>62</v>
      </c>
      <c r="E1095" s="159">
        <v>65</v>
      </c>
      <c r="F1095" s="160" t="s">
        <v>32838</v>
      </c>
      <c r="G1095" s="132"/>
      <c r="H1095" s="162" t="s">
        <v>16568</v>
      </c>
      <c r="I1095" s="158" t="s">
        <v>16569</v>
      </c>
      <c r="J1095" s="128"/>
      <c r="K1095" s="128"/>
      <c r="L1095" s="128"/>
      <c r="M1095" s="129"/>
      <c r="N1095" s="129"/>
      <c r="O1095" s="129"/>
    </row>
    <row r="1096" spans="1:15" ht="12.5">
      <c r="A1096" s="158" t="s">
        <v>16570</v>
      </c>
      <c r="B1096" s="159">
        <v>20</v>
      </c>
      <c r="C1096" s="159">
        <v>85</v>
      </c>
      <c r="D1096" s="159">
        <v>62</v>
      </c>
      <c r="E1096" s="159">
        <v>66</v>
      </c>
      <c r="F1096" s="160" t="s">
        <v>32838</v>
      </c>
      <c r="G1096" s="132"/>
      <c r="H1096" s="162" t="s">
        <v>16571</v>
      </c>
      <c r="I1096" s="158" t="s">
        <v>16572</v>
      </c>
      <c r="J1096" s="128"/>
      <c r="K1096" s="128"/>
      <c r="L1096" s="128"/>
      <c r="M1096" s="129"/>
      <c r="N1096" s="129"/>
      <c r="O1096" s="129"/>
    </row>
    <row r="1097" spans="1:15" ht="12.5">
      <c r="A1097" s="158" t="s">
        <v>16573</v>
      </c>
      <c r="B1097" s="159">
        <v>20</v>
      </c>
      <c r="C1097" s="159">
        <v>85</v>
      </c>
      <c r="D1097" s="159">
        <v>62</v>
      </c>
      <c r="E1097" s="159">
        <v>77</v>
      </c>
      <c r="F1097" s="160" t="s">
        <v>32838</v>
      </c>
      <c r="G1097" s="132"/>
      <c r="H1097" s="162" t="s">
        <v>16574</v>
      </c>
      <c r="I1097" s="158" t="s">
        <v>16575</v>
      </c>
      <c r="J1097" s="128"/>
      <c r="K1097" s="128"/>
      <c r="L1097" s="128"/>
      <c r="M1097" s="129"/>
      <c r="N1097" s="129"/>
      <c r="O1097" s="129"/>
    </row>
    <row r="1098" spans="1:15" ht="12.5">
      <c r="A1098" s="158" t="s">
        <v>16576</v>
      </c>
      <c r="B1098" s="159">
        <v>20</v>
      </c>
      <c r="C1098" s="159">
        <v>85</v>
      </c>
      <c r="D1098" s="159">
        <v>62</v>
      </c>
      <c r="E1098" s="159">
        <v>80</v>
      </c>
      <c r="F1098" s="160" t="s">
        <v>32838</v>
      </c>
      <c r="G1098" s="132"/>
      <c r="H1098" s="162" t="s">
        <v>16577</v>
      </c>
      <c r="I1098" s="128"/>
      <c r="J1098" s="128"/>
      <c r="K1098" s="128"/>
      <c r="L1098" s="128"/>
      <c r="M1098" s="129"/>
      <c r="N1098" s="129"/>
      <c r="O1098" s="129"/>
    </row>
    <row r="1099" spans="1:15" ht="12.5">
      <c r="A1099" s="151" t="s">
        <v>16578</v>
      </c>
      <c r="B1099" s="152">
        <v>20</v>
      </c>
      <c r="C1099" s="152">
        <v>85</v>
      </c>
      <c r="D1099" s="152">
        <v>65</v>
      </c>
      <c r="E1099" s="153"/>
      <c r="F1099" s="154" t="s">
        <v>33133</v>
      </c>
      <c r="G1099" s="168"/>
      <c r="H1099" s="156" t="s">
        <v>16579</v>
      </c>
      <c r="I1099" s="157"/>
      <c r="J1099" s="157"/>
      <c r="K1099" s="157"/>
      <c r="L1099" s="157"/>
      <c r="M1099" s="186"/>
      <c r="N1099" s="186"/>
      <c r="O1099" s="186"/>
    </row>
    <row r="1100" spans="1:15" ht="12.5">
      <c r="A1100" s="158" t="s">
        <v>16580</v>
      </c>
      <c r="B1100" s="159">
        <v>20</v>
      </c>
      <c r="C1100" s="159">
        <v>85</v>
      </c>
      <c r="D1100" s="159">
        <v>65</v>
      </c>
      <c r="E1100" s="159">
        <v>11</v>
      </c>
      <c r="F1100" s="160" t="s">
        <v>32838</v>
      </c>
      <c r="G1100" s="132"/>
      <c r="H1100" s="162" t="s">
        <v>16581</v>
      </c>
      <c r="I1100" s="158" t="s">
        <v>16582</v>
      </c>
      <c r="J1100" s="128"/>
      <c r="K1100" s="128"/>
      <c r="L1100" s="128"/>
      <c r="M1100" s="129"/>
      <c r="N1100" s="129"/>
      <c r="O1100" s="129"/>
    </row>
    <row r="1101" spans="1:15" ht="12.5">
      <c r="A1101" s="158" t="s">
        <v>16583</v>
      </c>
      <c r="B1101" s="159">
        <v>20</v>
      </c>
      <c r="C1101" s="159">
        <v>85</v>
      </c>
      <c r="D1101" s="159">
        <v>65</v>
      </c>
      <c r="E1101" s="159">
        <v>13</v>
      </c>
      <c r="F1101" s="160" t="s">
        <v>32838</v>
      </c>
      <c r="G1101" s="132"/>
      <c r="H1101" s="162" t="s">
        <v>16584</v>
      </c>
      <c r="I1101" s="158" t="s">
        <v>16585</v>
      </c>
      <c r="J1101" s="128"/>
      <c r="K1101" s="128"/>
      <c r="L1101" s="128"/>
      <c r="M1101" s="129"/>
      <c r="N1101" s="129"/>
      <c r="O1101" s="129"/>
    </row>
    <row r="1102" spans="1:15" ht="12.5">
      <c r="A1102" s="158" t="s">
        <v>16586</v>
      </c>
      <c r="B1102" s="159">
        <v>20</v>
      </c>
      <c r="C1102" s="159">
        <v>85</v>
      </c>
      <c r="D1102" s="159">
        <v>65</v>
      </c>
      <c r="E1102" s="159">
        <v>15</v>
      </c>
      <c r="F1102" s="160" t="s">
        <v>32838</v>
      </c>
      <c r="G1102" s="132"/>
      <c r="H1102" s="162" t="s">
        <v>16587</v>
      </c>
      <c r="I1102" s="158" t="s">
        <v>16588</v>
      </c>
      <c r="J1102" s="128"/>
      <c r="K1102" s="128"/>
      <c r="L1102" s="128"/>
      <c r="M1102" s="129"/>
      <c r="N1102" s="129"/>
      <c r="O1102" s="129"/>
    </row>
    <row r="1103" spans="1:15" ht="12.5">
      <c r="A1103" s="158" t="s">
        <v>16589</v>
      </c>
      <c r="B1103" s="159">
        <v>20</v>
      </c>
      <c r="C1103" s="159">
        <v>85</v>
      </c>
      <c r="D1103" s="159">
        <v>65</v>
      </c>
      <c r="E1103" s="159">
        <v>17</v>
      </c>
      <c r="F1103" s="160" t="s">
        <v>32838</v>
      </c>
      <c r="G1103" s="132"/>
      <c r="H1103" s="162" t="s">
        <v>16590</v>
      </c>
      <c r="I1103" s="158" t="s">
        <v>16591</v>
      </c>
      <c r="J1103" s="128"/>
      <c r="K1103" s="128"/>
      <c r="L1103" s="128"/>
      <c r="M1103" s="129"/>
      <c r="N1103" s="129"/>
      <c r="O1103" s="129"/>
    </row>
    <row r="1104" spans="1:15" ht="12.5">
      <c r="A1104" s="158" t="s">
        <v>16592</v>
      </c>
      <c r="B1104" s="159">
        <v>20</v>
      </c>
      <c r="C1104" s="159">
        <v>85</v>
      </c>
      <c r="D1104" s="159">
        <v>65</v>
      </c>
      <c r="E1104" s="159">
        <v>34</v>
      </c>
      <c r="F1104" s="160" t="s">
        <v>32838</v>
      </c>
      <c r="G1104" s="132"/>
      <c r="H1104" s="162" t="s">
        <v>16593</v>
      </c>
      <c r="I1104" s="158" t="s">
        <v>16594</v>
      </c>
      <c r="J1104" s="128"/>
      <c r="K1104" s="128"/>
      <c r="L1104" s="128"/>
      <c r="M1104" s="129"/>
      <c r="N1104" s="129"/>
      <c r="O1104" s="129"/>
    </row>
    <row r="1105" spans="1:15" ht="12.5">
      <c r="A1105" s="151" t="s">
        <v>16595</v>
      </c>
      <c r="B1105" s="152">
        <v>20</v>
      </c>
      <c r="C1105" s="152">
        <v>85</v>
      </c>
      <c r="D1105" s="152">
        <v>70</v>
      </c>
      <c r="E1105" s="153"/>
      <c r="F1105" s="154" t="s">
        <v>33134</v>
      </c>
      <c r="G1105" s="168"/>
      <c r="H1105" s="156" t="s">
        <v>16596</v>
      </c>
      <c r="I1105" s="157"/>
      <c r="J1105" s="157"/>
      <c r="K1105" s="157"/>
      <c r="L1105" s="157"/>
      <c r="M1105" s="186"/>
      <c r="N1105" s="186"/>
      <c r="O1105" s="186"/>
    </row>
    <row r="1106" spans="1:15" ht="12.5">
      <c r="A1106" s="158" t="s">
        <v>16599</v>
      </c>
      <c r="B1106" s="159">
        <v>20</v>
      </c>
      <c r="C1106" s="159">
        <v>85</v>
      </c>
      <c r="D1106" s="159">
        <v>70</v>
      </c>
      <c r="E1106" s="159">
        <v>10</v>
      </c>
      <c r="F1106" s="160" t="s">
        <v>32838</v>
      </c>
      <c r="G1106" s="132"/>
      <c r="H1106" s="162" t="s">
        <v>16600</v>
      </c>
      <c r="I1106" s="128"/>
      <c r="J1106" s="128"/>
      <c r="K1106" s="128"/>
      <c r="L1106" s="128"/>
      <c r="M1106" s="129"/>
      <c r="N1106" s="129"/>
      <c r="O1106" s="129"/>
    </row>
    <row r="1107" spans="1:15" ht="12.5">
      <c r="A1107" s="158" t="s">
        <v>16601</v>
      </c>
      <c r="B1107" s="159">
        <v>20</v>
      </c>
      <c r="C1107" s="159">
        <v>85</v>
      </c>
      <c r="D1107" s="159">
        <v>70</v>
      </c>
      <c r="E1107" s="159">
        <v>12</v>
      </c>
      <c r="F1107" s="160" t="s">
        <v>32838</v>
      </c>
      <c r="G1107" s="132"/>
      <c r="H1107" s="162" t="s">
        <v>16602</v>
      </c>
      <c r="I1107" s="128"/>
      <c r="J1107" s="128"/>
      <c r="K1107" s="128"/>
      <c r="L1107" s="128"/>
      <c r="M1107" s="129"/>
      <c r="N1107" s="129"/>
      <c r="O1107" s="129"/>
    </row>
    <row r="1108" spans="1:15" ht="12.5">
      <c r="A1108" s="158" t="s">
        <v>16603</v>
      </c>
      <c r="B1108" s="159">
        <v>20</v>
      </c>
      <c r="C1108" s="159">
        <v>85</v>
      </c>
      <c r="D1108" s="159">
        <v>70</v>
      </c>
      <c r="E1108" s="159">
        <v>13</v>
      </c>
      <c r="F1108" s="160" t="s">
        <v>32838</v>
      </c>
      <c r="G1108" s="132"/>
      <c r="H1108" s="162" t="s">
        <v>16604</v>
      </c>
      <c r="I1108" s="128"/>
      <c r="J1108" s="128"/>
      <c r="K1108" s="128"/>
      <c r="L1108" s="128"/>
      <c r="M1108" s="129"/>
      <c r="N1108" s="129"/>
      <c r="O1108" s="129"/>
    </row>
    <row r="1109" spans="1:15" ht="12.5">
      <c r="A1109" s="158" t="s">
        <v>16605</v>
      </c>
      <c r="B1109" s="159">
        <v>20</v>
      </c>
      <c r="C1109" s="159">
        <v>85</v>
      </c>
      <c r="D1109" s="159">
        <v>70</v>
      </c>
      <c r="E1109" s="159">
        <v>24</v>
      </c>
      <c r="F1109" s="160" t="s">
        <v>32838</v>
      </c>
      <c r="G1109" s="132"/>
      <c r="H1109" s="162" t="s">
        <v>16606</v>
      </c>
      <c r="I1109" s="158" t="s">
        <v>16607</v>
      </c>
      <c r="J1109" s="128"/>
      <c r="K1109" s="128"/>
      <c r="L1109" s="128"/>
      <c r="M1109" s="129"/>
      <c r="N1109" s="129"/>
      <c r="O1109" s="129"/>
    </row>
    <row r="1110" spans="1:15" ht="12.5">
      <c r="A1110" s="158" t="s">
        <v>16608</v>
      </c>
      <c r="B1110" s="159">
        <v>20</v>
      </c>
      <c r="C1110" s="159">
        <v>85</v>
      </c>
      <c r="D1110" s="159">
        <v>70</v>
      </c>
      <c r="E1110" s="159">
        <v>30</v>
      </c>
      <c r="F1110" s="160" t="s">
        <v>32838</v>
      </c>
      <c r="G1110" s="132"/>
      <c r="H1110" s="162" t="s">
        <v>16609</v>
      </c>
      <c r="I1110" s="128"/>
      <c r="J1110" s="128"/>
      <c r="K1110" s="128"/>
      <c r="L1110" s="128"/>
      <c r="M1110" s="129"/>
      <c r="N1110" s="129"/>
      <c r="O1110" s="129"/>
    </row>
    <row r="1111" spans="1:15" ht="12.5">
      <c r="A1111" s="158" t="s">
        <v>16610</v>
      </c>
      <c r="B1111" s="159">
        <v>20</v>
      </c>
      <c r="C1111" s="159">
        <v>85</v>
      </c>
      <c r="D1111" s="159">
        <v>70</v>
      </c>
      <c r="E1111" s="159">
        <v>44</v>
      </c>
      <c r="F1111" s="160" t="s">
        <v>32838</v>
      </c>
      <c r="G1111" s="132"/>
      <c r="H1111" s="162" t="s">
        <v>16611</v>
      </c>
      <c r="I1111" s="158" t="s">
        <v>16612</v>
      </c>
      <c r="J1111" s="128"/>
      <c r="K1111" s="128"/>
      <c r="L1111" s="128"/>
      <c r="M1111" s="129"/>
      <c r="N1111" s="129"/>
      <c r="O1111" s="129"/>
    </row>
    <row r="1112" spans="1:15" ht="12.5">
      <c r="A1112" s="158" t="s">
        <v>16613</v>
      </c>
      <c r="B1112" s="159">
        <v>20</v>
      </c>
      <c r="C1112" s="159">
        <v>85</v>
      </c>
      <c r="D1112" s="159">
        <v>70</v>
      </c>
      <c r="E1112" s="159">
        <v>45</v>
      </c>
      <c r="F1112" s="160" t="s">
        <v>32838</v>
      </c>
      <c r="G1112" s="132"/>
      <c r="H1112" s="162" t="s">
        <v>16614</v>
      </c>
      <c r="I1112" s="128"/>
      <c r="J1112" s="128"/>
      <c r="K1112" s="128"/>
      <c r="L1112" s="128"/>
      <c r="M1112" s="129"/>
      <c r="N1112" s="129"/>
      <c r="O1112" s="129"/>
    </row>
    <row r="1113" spans="1:15" ht="12.5">
      <c r="A1113" s="158" t="s">
        <v>16615</v>
      </c>
      <c r="B1113" s="159">
        <v>20</v>
      </c>
      <c r="C1113" s="159">
        <v>85</v>
      </c>
      <c r="D1113" s="159">
        <v>70</v>
      </c>
      <c r="E1113" s="159">
        <v>46</v>
      </c>
      <c r="F1113" s="160" t="s">
        <v>32838</v>
      </c>
      <c r="G1113" s="132"/>
      <c r="H1113" s="162" t="s">
        <v>16616</v>
      </c>
      <c r="I1113" s="128"/>
      <c r="J1113" s="128"/>
      <c r="K1113" s="128"/>
      <c r="L1113" s="128"/>
      <c r="M1113" s="129"/>
      <c r="N1113" s="129"/>
      <c r="O1113" s="129"/>
    </row>
    <row r="1114" spans="1:15" ht="12.5">
      <c r="A1114" s="158" t="s">
        <v>16617</v>
      </c>
      <c r="B1114" s="159">
        <v>20</v>
      </c>
      <c r="C1114" s="159">
        <v>85</v>
      </c>
      <c r="D1114" s="159">
        <v>70</v>
      </c>
      <c r="E1114" s="159">
        <v>47</v>
      </c>
      <c r="F1114" s="160" t="s">
        <v>32838</v>
      </c>
      <c r="G1114" s="132"/>
      <c r="H1114" s="162" t="s">
        <v>16618</v>
      </c>
      <c r="I1114" s="128"/>
      <c r="J1114" s="128"/>
      <c r="K1114" s="128"/>
      <c r="L1114" s="128"/>
      <c r="M1114" s="129"/>
      <c r="N1114" s="129"/>
      <c r="O1114" s="129"/>
    </row>
    <row r="1115" spans="1:15" ht="12.5">
      <c r="A1115" s="158" t="s">
        <v>16619</v>
      </c>
      <c r="B1115" s="159">
        <v>20</v>
      </c>
      <c r="C1115" s="159">
        <v>85</v>
      </c>
      <c r="D1115" s="159">
        <v>70</v>
      </c>
      <c r="E1115" s="159">
        <v>48</v>
      </c>
      <c r="F1115" s="160" t="s">
        <v>32838</v>
      </c>
      <c r="G1115" s="132"/>
      <c r="H1115" s="162" t="s">
        <v>16620</v>
      </c>
      <c r="I1115" s="128"/>
      <c r="J1115" s="128"/>
      <c r="K1115" s="128"/>
      <c r="L1115" s="128"/>
      <c r="M1115" s="129"/>
      <c r="N1115" s="129"/>
      <c r="O1115" s="129"/>
    </row>
    <row r="1116" spans="1:15" ht="12.5">
      <c r="A1116" s="158" t="s">
        <v>16621</v>
      </c>
      <c r="B1116" s="159">
        <v>20</v>
      </c>
      <c r="C1116" s="159">
        <v>85</v>
      </c>
      <c r="D1116" s="159">
        <v>70</v>
      </c>
      <c r="E1116" s="159">
        <v>49</v>
      </c>
      <c r="F1116" s="160" t="s">
        <v>32838</v>
      </c>
      <c r="G1116" s="132"/>
      <c r="H1116" s="162" t="s">
        <v>16622</v>
      </c>
      <c r="I1116" s="128"/>
      <c r="J1116" s="128"/>
      <c r="K1116" s="128"/>
      <c r="L1116" s="128"/>
      <c r="M1116" s="129"/>
      <c r="N1116" s="129"/>
      <c r="O1116" s="129"/>
    </row>
    <row r="1117" spans="1:15" ht="12.5">
      <c r="A1117" s="158" t="s">
        <v>16625</v>
      </c>
      <c r="B1117" s="159">
        <v>20</v>
      </c>
      <c r="C1117" s="159">
        <v>85</v>
      </c>
      <c r="D1117" s="159">
        <v>70</v>
      </c>
      <c r="E1117" s="159">
        <v>63</v>
      </c>
      <c r="F1117" s="160" t="s">
        <v>32838</v>
      </c>
      <c r="G1117" s="132"/>
      <c r="H1117" s="162" t="s">
        <v>16626</v>
      </c>
      <c r="I1117" s="128"/>
      <c r="J1117" s="128"/>
      <c r="K1117" s="128"/>
      <c r="L1117" s="128"/>
      <c r="M1117" s="129"/>
      <c r="N1117" s="129"/>
      <c r="O1117" s="129"/>
    </row>
    <row r="1118" spans="1:15" ht="12.5">
      <c r="A1118" s="158" t="s">
        <v>16627</v>
      </c>
      <c r="B1118" s="159">
        <v>20</v>
      </c>
      <c r="C1118" s="159">
        <v>85</v>
      </c>
      <c r="D1118" s="159">
        <v>70</v>
      </c>
      <c r="E1118" s="159">
        <v>64</v>
      </c>
      <c r="F1118" s="160" t="s">
        <v>32838</v>
      </c>
      <c r="G1118" s="132"/>
      <c r="H1118" s="162" t="s">
        <v>16628</v>
      </c>
      <c r="I1118" s="158" t="s">
        <v>16629</v>
      </c>
      <c r="J1118" s="128"/>
      <c r="K1118" s="128"/>
      <c r="L1118" s="128"/>
      <c r="M1118" s="129"/>
      <c r="N1118" s="129"/>
      <c r="O1118" s="129"/>
    </row>
    <row r="1119" spans="1:15" ht="12.5">
      <c r="A1119" s="158" t="s">
        <v>16630</v>
      </c>
      <c r="B1119" s="159">
        <v>20</v>
      </c>
      <c r="C1119" s="159">
        <v>85</v>
      </c>
      <c r="D1119" s="159">
        <v>70</v>
      </c>
      <c r="E1119" s="159">
        <v>65</v>
      </c>
      <c r="F1119" s="160" t="s">
        <v>32838</v>
      </c>
      <c r="G1119" s="132"/>
      <c r="H1119" s="162" t="s">
        <v>16631</v>
      </c>
      <c r="I1119" s="158" t="s">
        <v>16632</v>
      </c>
      <c r="J1119" s="128"/>
      <c r="K1119" s="128"/>
      <c r="L1119" s="128"/>
      <c r="M1119" s="129"/>
      <c r="N1119" s="129"/>
      <c r="O1119" s="129"/>
    </row>
    <row r="1120" spans="1:15" ht="12.5">
      <c r="A1120" s="158" t="s">
        <v>16633</v>
      </c>
      <c r="B1120" s="159">
        <v>20</v>
      </c>
      <c r="C1120" s="159">
        <v>85</v>
      </c>
      <c r="D1120" s="159">
        <v>70</v>
      </c>
      <c r="E1120" s="159">
        <v>70</v>
      </c>
      <c r="F1120" s="160" t="s">
        <v>32838</v>
      </c>
      <c r="G1120" s="132"/>
      <c r="H1120" s="162" t="s">
        <v>16634</v>
      </c>
      <c r="I1120" s="158" t="s">
        <v>16635</v>
      </c>
      <c r="J1120" s="128"/>
      <c r="K1120" s="128"/>
      <c r="L1120" s="128"/>
      <c r="M1120" s="129"/>
      <c r="N1120" s="129"/>
      <c r="O1120" s="129"/>
    </row>
    <row r="1121" spans="1:15" ht="12.5">
      <c r="A1121" s="158" t="s">
        <v>16636</v>
      </c>
      <c r="B1121" s="159">
        <v>20</v>
      </c>
      <c r="C1121" s="159">
        <v>85</v>
      </c>
      <c r="D1121" s="159">
        <v>70</v>
      </c>
      <c r="E1121" s="159">
        <v>71</v>
      </c>
      <c r="F1121" s="160" t="s">
        <v>32838</v>
      </c>
      <c r="G1121" s="132"/>
      <c r="H1121" s="162" t="s">
        <v>16637</v>
      </c>
      <c r="I1121" s="128"/>
      <c r="J1121" s="128"/>
      <c r="K1121" s="128"/>
      <c r="L1121" s="128"/>
      <c r="M1121" s="129"/>
      <c r="N1121" s="129"/>
      <c r="O1121" s="129"/>
    </row>
    <row r="1122" spans="1:15" ht="12.5">
      <c r="A1122" s="158" t="s">
        <v>16638</v>
      </c>
      <c r="B1122" s="159">
        <v>20</v>
      </c>
      <c r="C1122" s="159">
        <v>85</v>
      </c>
      <c r="D1122" s="159">
        <v>70</v>
      </c>
      <c r="E1122" s="159">
        <v>74</v>
      </c>
      <c r="F1122" s="160" t="s">
        <v>32838</v>
      </c>
      <c r="G1122" s="132"/>
      <c r="H1122" s="162" t="s">
        <v>16639</v>
      </c>
      <c r="I1122" s="158" t="s">
        <v>16640</v>
      </c>
      <c r="J1122" s="128"/>
      <c r="K1122" s="128"/>
      <c r="L1122" s="128"/>
      <c r="M1122" s="129"/>
      <c r="N1122" s="129"/>
      <c r="O1122" s="129"/>
    </row>
    <row r="1123" spans="1:15" ht="12.5">
      <c r="A1123" s="158" t="s">
        <v>16641</v>
      </c>
      <c r="B1123" s="159">
        <v>20</v>
      </c>
      <c r="C1123" s="159">
        <v>85</v>
      </c>
      <c r="D1123" s="159">
        <v>70</v>
      </c>
      <c r="E1123" s="159">
        <v>76</v>
      </c>
      <c r="F1123" s="160" t="s">
        <v>32838</v>
      </c>
      <c r="G1123" s="132"/>
      <c r="H1123" s="162" t="s">
        <v>16642</v>
      </c>
      <c r="I1123" s="158" t="s">
        <v>16643</v>
      </c>
      <c r="J1123" s="128"/>
      <c r="K1123" s="128"/>
      <c r="L1123" s="128"/>
      <c r="M1123" s="129"/>
      <c r="N1123" s="129"/>
      <c r="O1123" s="129"/>
    </row>
    <row r="1124" spans="1:15" ht="12.5">
      <c r="A1124" s="158" t="s">
        <v>16644</v>
      </c>
      <c r="B1124" s="159">
        <v>20</v>
      </c>
      <c r="C1124" s="159">
        <v>85</v>
      </c>
      <c r="D1124" s="159">
        <v>70</v>
      </c>
      <c r="E1124" s="159">
        <v>80</v>
      </c>
      <c r="F1124" s="160" t="s">
        <v>32838</v>
      </c>
      <c r="G1124" s="132"/>
      <c r="H1124" s="162" t="s">
        <v>16645</v>
      </c>
      <c r="I1124" s="128"/>
      <c r="J1124" s="128"/>
      <c r="K1124" s="128"/>
      <c r="L1124" s="128"/>
      <c r="M1124" s="129"/>
      <c r="N1124" s="129"/>
      <c r="O1124" s="129"/>
    </row>
    <row r="1125" spans="1:15" ht="12.5">
      <c r="A1125" s="158" t="s">
        <v>16646</v>
      </c>
      <c r="B1125" s="159">
        <v>20</v>
      </c>
      <c r="C1125" s="159">
        <v>85</v>
      </c>
      <c r="D1125" s="159">
        <v>70</v>
      </c>
      <c r="E1125" s="159">
        <v>82</v>
      </c>
      <c r="F1125" s="160" t="s">
        <v>32838</v>
      </c>
      <c r="G1125" s="132"/>
      <c r="H1125" s="162" t="s">
        <v>16647</v>
      </c>
      <c r="I1125" s="158" t="s">
        <v>16648</v>
      </c>
      <c r="J1125" s="128"/>
      <c r="K1125" s="128"/>
      <c r="L1125" s="128"/>
      <c r="M1125" s="129"/>
      <c r="N1125" s="129"/>
      <c r="O1125" s="129"/>
    </row>
    <row r="1126" spans="1:15" ht="12.5">
      <c r="A1126" s="151" t="s">
        <v>16649</v>
      </c>
      <c r="B1126" s="152">
        <v>20</v>
      </c>
      <c r="C1126" s="152">
        <v>85</v>
      </c>
      <c r="D1126" s="152">
        <v>71</v>
      </c>
      <c r="E1126" s="153"/>
      <c r="F1126" s="154" t="s">
        <v>33135</v>
      </c>
      <c r="G1126" s="168"/>
      <c r="H1126" s="156" t="s">
        <v>16650</v>
      </c>
      <c r="I1126" s="157"/>
      <c r="J1126" s="157"/>
      <c r="K1126" s="157"/>
      <c r="L1126" s="157"/>
      <c r="M1126" s="186"/>
      <c r="N1126" s="186"/>
      <c r="O1126" s="186"/>
    </row>
    <row r="1127" spans="1:15" ht="12.5">
      <c r="A1127" s="158" t="s">
        <v>16651</v>
      </c>
      <c r="B1127" s="159">
        <v>20</v>
      </c>
      <c r="C1127" s="159">
        <v>85</v>
      </c>
      <c r="D1127" s="159">
        <v>71</v>
      </c>
      <c r="E1127" s="159">
        <v>11</v>
      </c>
      <c r="F1127" s="160" t="s">
        <v>32838</v>
      </c>
      <c r="G1127" s="132"/>
      <c r="H1127" s="162" t="s">
        <v>16652</v>
      </c>
      <c r="I1127" s="128"/>
      <c r="J1127" s="128"/>
      <c r="K1127" s="128"/>
      <c r="L1127" s="128"/>
      <c r="M1127" s="129"/>
      <c r="N1127" s="129"/>
      <c r="O1127" s="129"/>
    </row>
    <row r="1128" spans="1:15" ht="12.5">
      <c r="A1128" s="158" t="s">
        <v>16653</v>
      </c>
      <c r="B1128" s="159">
        <v>20</v>
      </c>
      <c r="C1128" s="159">
        <v>85</v>
      </c>
      <c r="D1128" s="159">
        <v>71</v>
      </c>
      <c r="E1128" s="159">
        <v>12</v>
      </c>
      <c r="F1128" s="160" t="s">
        <v>32838</v>
      </c>
      <c r="G1128" s="132"/>
      <c r="H1128" s="162" t="s">
        <v>16654</v>
      </c>
      <c r="I1128" s="128"/>
      <c r="J1128" s="128"/>
      <c r="K1128" s="128"/>
      <c r="L1128" s="128"/>
      <c r="M1128" s="129"/>
      <c r="N1128" s="129"/>
      <c r="O1128" s="129"/>
    </row>
    <row r="1129" spans="1:15" ht="12.5">
      <c r="A1129" s="158" t="s">
        <v>16655</v>
      </c>
      <c r="B1129" s="159">
        <v>20</v>
      </c>
      <c r="C1129" s="159">
        <v>85</v>
      </c>
      <c r="D1129" s="159">
        <v>71</v>
      </c>
      <c r="E1129" s="159">
        <v>13</v>
      </c>
      <c r="F1129" s="160" t="s">
        <v>32838</v>
      </c>
      <c r="G1129" s="132"/>
      <c r="H1129" s="162" t="s">
        <v>16656</v>
      </c>
      <c r="I1129" s="128"/>
      <c r="J1129" s="128"/>
      <c r="K1129" s="128"/>
      <c r="L1129" s="128"/>
      <c r="M1129" s="129"/>
      <c r="N1129" s="129"/>
      <c r="O1129" s="129"/>
    </row>
    <row r="1130" spans="1:15" ht="12.5">
      <c r="A1130" s="158" t="s">
        <v>16657</v>
      </c>
      <c r="B1130" s="159">
        <v>20</v>
      </c>
      <c r="C1130" s="159">
        <v>85</v>
      </c>
      <c r="D1130" s="159">
        <v>71</v>
      </c>
      <c r="E1130" s="159">
        <v>15</v>
      </c>
      <c r="F1130" s="160" t="s">
        <v>32838</v>
      </c>
      <c r="G1130" s="132"/>
      <c r="H1130" s="162" t="s">
        <v>16658</v>
      </c>
      <c r="I1130" s="128"/>
      <c r="J1130" s="128"/>
      <c r="K1130" s="128"/>
      <c r="L1130" s="128"/>
      <c r="M1130" s="129"/>
      <c r="N1130" s="129"/>
      <c r="O1130" s="129"/>
    </row>
    <row r="1131" spans="1:15" ht="12.5">
      <c r="A1131" s="158" t="s">
        <v>16659</v>
      </c>
      <c r="B1131" s="159">
        <v>20</v>
      </c>
      <c r="C1131" s="159">
        <v>85</v>
      </c>
      <c r="D1131" s="159">
        <v>71</v>
      </c>
      <c r="E1131" s="159">
        <v>16</v>
      </c>
      <c r="F1131" s="160" t="s">
        <v>32838</v>
      </c>
      <c r="G1131" s="132"/>
      <c r="H1131" s="162" t="s">
        <v>16660</v>
      </c>
      <c r="I1131" s="128"/>
      <c r="J1131" s="128"/>
      <c r="K1131" s="128"/>
      <c r="L1131" s="128"/>
      <c r="M1131" s="129"/>
      <c r="N1131" s="129"/>
      <c r="O1131" s="129"/>
    </row>
    <row r="1132" spans="1:15" ht="12.5">
      <c r="A1132" s="158" t="s">
        <v>16661</v>
      </c>
      <c r="B1132" s="159">
        <v>20</v>
      </c>
      <c r="C1132" s="159">
        <v>85</v>
      </c>
      <c r="D1132" s="159">
        <v>71</v>
      </c>
      <c r="E1132" s="159">
        <v>57</v>
      </c>
      <c r="F1132" s="160" t="s">
        <v>32838</v>
      </c>
      <c r="G1132" s="132"/>
      <c r="H1132" s="162" t="s">
        <v>16662</v>
      </c>
      <c r="I1132" s="128"/>
      <c r="J1132" s="128"/>
      <c r="K1132" s="128"/>
      <c r="L1132" s="128"/>
      <c r="M1132" s="129"/>
      <c r="N1132" s="129"/>
      <c r="O1132" s="129"/>
    </row>
    <row r="1133" spans="1:15" ht="12.5">
      <c r="A1133" s="151" t="s">
        <v>16663</v>
      </c>
      <c r="B1133" s="152">
        <v>20</v>
      </c>
      <c r="C1133" s="152">
        <v>85</v>
      </c>
      <c r="D1133" s="152">
        <v>72</v>
      </c>
      <c r="E1133" s="153"/>
      <c r="F1133" s="154" t="s">
        <v>33136</v>
      </c>
      <c r="G1133" s="168"/>
      <c r="H1133" s="156" t="s">
        <v>16664</v>
      </c>
      <c r="I1133" s="157"/>
      <c r="J1133" s="157"/>
      <c r="K1133" s="157"/>
      <c r="L1133" s="157"/>
      <c r="M1133" s="186"/>
      <c r="N1133" s="186"/>
      <c r="O1133" s="186"/>
    </row>
    <row r="1134" spans="1:15" ht="12.5">
      <c r="A1134" s="158" t="s">
        <v>16665</v>
      </c>
      <c r="B1134" s="159">
        <v>20</v>
      </c>
      <c r="C1134" s="159">
        <v>85</v>
      </c>
      <c r="D1134" s="159">
        <v>72</v>
      </c>
      <c r="E1134" s="159">
        <v>17</v>
      </c>
      <c r="F1134" s="160" t="s">
        <v>32838</v>
      </c>
      <c r="G1134" s="132"/>
      <c r="H1134" s="162" t="s">
        <v>16666</v>
      </c>
      <c r="I1134" s="128"/>
      <c r="J1134" s="128"/>
      <c r="K1134" s="128"/>
      <c r="L1134" s="128"/>
      <c r="M1134" s="129"/>
      <c r="N1134" s="129"/>
      <c r="O1134" s="129"/>
    </row>
    <row r="1135" spans="1:15" ht="12.5">
      <c r="A1135" s="158" t="s">
        <v>16667</v>
      </c>
      <c r="B1135" s="159">
        <v>20</v>
      </c>
      <c r="C1135" s="159">
        <v>85</v>
      </c>
      <c r="D1135" s="159">
        <v>72</v>
      </c>
      <c r="E1135" s="159">
        <v>18</v>
      </c>
      <c r="F1135" s="160" t="s">
        <v>32838</v>
      </c>
      <c r="G1135" s="132"/>
      <c r="H1135" s="162" t="s">
        <v>16668</v>
      </c>
      <c r="I1135" s="128"/>
      <c r="J1135" s="128"/>
      <c r="K1135" s="128"/>
      <c r="L1135" s="128"/>
      <c r="M1135" s="129"/>
      <c r="N1135" s="129"/>
      <c r="O1135" s="129"/>
    </row>
    <row r="1136" spans="1:15" ht="12.5">
      <c r="A1136" s="158" t="s">
        <v>16669</v>
      </c>
      <c r="B1136" s="159">
        <v>20</v>
      </c>
      <c r="C1136" s="159">
        <v>85</v>
      </c>
      <c r="D1136" s="159">
        <v>72</v>
      </c>
      <c r="E1136" s="159">
        <v>20</v>
      </c>
      <c r="F1136" s="160" t="s">
        <v>32838</v>
      </c>
      <c r="G1136" s="132"/>
      <c r="H1136" s="162" t="s">
        <v>16670</v>
      </c>
      <c r="I1136" s="158" t="s">
        <v>16671</v>
      </c>
      <c r="J1136" s="128"/>
      <c r="K1136" s="128"/>
      <c r="L1136" s="128"/>
      <c r="M1136" s="129"/>
      <c r="N1136" s="129"/>
      <c r="O1136" s="129"/>
    </row>
    <row r="1137" spans="1:15" ht="12.5">
      <c r="A1137" s="158" t="s">
        <v>16672</v>
      </c>
      <c r="B1137" s="159">
        <v>20</v>
      </c>
      <c r="C1137" s="159">
        <v>85</v>
      </c>
      <c r="D1137" s="159">
        <v>72</v>
      </c>
      <c r="E1137" s="159">
        <v>21</v>
      </c>
      <c r="F1137" s="160" t="s">
        <v>32838</v>
      </c>
      <c r="G1137" s="132"/>
      <c r="H1137" s="162" t="s">
        <v>16673</v>
      </c>
      <c r="I1137" s="158" t="s">
        <v>16674</v>
      </c>
      <c r="J1137" s="128"/>
      <c r="K1137" s="128"/>
      <c r="L1137" s="128"/>
      <c r="M1137" s="129"/>
      <c r="N1137" s="129"/>
      <c r="O1137" s="129"/>
    </row>
    <row r="1138" spans="1:15" ht="12.5">
      <c r="A1138" s="158" t="s">
        <v>16675</v>
      </c>
      <c r="B1138" s="159">
        <v>20</v>
      </c>
      <c r="C1138" s="159">
        <v>85</v>
      </c>
      <c r="D1138" s="159">
        <v>72</v>
      </c>
      <c r="E1138" s="159">
        <v>22</v>
      </c>
      <c r="F1138" s="160" t="s">
        <v>32838</v>
      </c>
      <c r="G1138" s="132"/>
      <c r="H1138" s="162" t="s">
        <v>16676</v>
      </c>
      <c r="I1138" s="158" t="s">
        <v>16677</v>
      </c>
      <c r="J1138" s="128"/>
      <c r="K1138" s="128"/>
      <c r="L1138" s="128"/>
      <c r="M1138" s="129"/>
      <c r="N1138" s="129"/>
      <c r="O1138" s="129"/>
    </row>
    <row r="1139" spans="1:15" ht="12.5">
      <c r="A1139" s="158" t="s">
        <v>16678</v>
      </c>
      <c r="B1139" s="159">
        <v>20</v>
      </c>
      <c r="C1139" s="159">
        <v>85</v>
      </c>
      <c r="D1139" s="159">
        <v>72</v>
      </c>
      <c r="E1139" s="159">
        <v>47</v>
      </c>
      <c r="F1139" s="160" t="s">
        <v>32838</v>
      </c>
      <c r="G1139" s="132"/>
      <c r="H1139" s="162" t="s">
        <v>16679</v>
      </c>
      <c r="I1139" s="128"/>
      <c r="J1139" s="128"/>
      <c r="K1139" s="128"/>
      <c r="L1139" s="128"/>
      <c r="M1139" s="129"/>
      <c r="N1139" s="129"/>
      <c r="O1139" s="129"/>
    </row>
    <row r="1140" spans="1:15" ht="12.5">
      <c r="A1140" s="158" t="s">
        <v>16680</v>
      </c>
      <c r="B1140" s="159">
        <v>20</v>
      </c>
      <c r="C1140" s="159">
        <v>85</v>
      </c>
      <c r="D1140" s="159">
        <v>72</v>
      </c>
      <c r="E1140" s="159">
        <v>50</v>
      </c>
      <c r="F1140" s="160" t="s">
        <v>32838</v>
      </c>
      <c r="G1140" s="132"/>
      <c r="H1140" s="162" t="s">
        <v>16681</v>
      </c>
      <c r="I1140" s="128"/>
      <c r="J1140" s="128"/>
      <c r="K1140" s="128"/>
      <c r="L1140" s="128"/>
      <c r="M1140" s="129"/>
      <c r="N1140" s="129"/>
      <c r="O1140" s="129"/>
    </row>
    <row r="1141" spans="1:15" ht="12.5">
      <c r="A1141" s="158" t="s">
        <v>16684</v>
      </c>
      <c r="B1141" s="159">
        <v>20</v>
      </c>
      <c r="C1141" s="159">
        <v>85</v>
      </c>
      <c r="D1141" s="159">
        <v>72</v>
      </c>
      <c r="E1141" s="159">
        <v>80</v>
      </c>
      <c r="F1141" s="160" t="s">
        <v>32838</v>
      </c>
      <c r="G1141" s="132"/>
      <c r="H1141" s="162" t="s">
        <v>16685</v>
      </c>
      <c r="I1141" s="158" t="s">
        <v>16686</v>
      </c>
      <c r="J1141" s="128"/>
      <c r="K1141" s="128"/>
      <c r="L1141" s="128"/>
      <c r="M1141" s="129"/>
      <c r="N1141" s="129"/>
      <c r="O1141" s="129"/>
    </row>
    <row r="1142" spans="1:15" ht="12.5">
      <c r="A1142" s="158" t="s">
        <v>16687</v>
      </c>
      <c r="B1142" s="159">
        <v>20</v>
      </c>
      <c r="C1142" s="159">
        <v>85</v>
      </c>
      <c r="D1142" s="159">
        <v>72</v>
      </c>
      <c r="E1142" s="159">
        <v>85</v>
      </c>
      <c r="F1142" s="160" t="s">
        <v>32838</v>
      </c>
      <c r="G1142" s="132"/>
      <c r="H1142" s="162" t="s">
        <v>16688</v>
      </c>
      <c r="I1142" s="158" t="s">
        <v>16689</v>
      </c>
      <c r="J1142" s="128"/>
      <c r="K1142" s="128"/>
      <c r="L1142" s="128"/>
      <c r="M1142" s="129"/>
      <c r="N1142" s="129"/>
      <c r="O1142" s="129"/>
    </row>
    <row r="1143" spans="1:15" ht="12.5">
      <c r="A1143" s="158" t="s">
        <v>16690</v>
      </c>
      <c r="B1143" s="159">
        <v>20</v>
      </c>
      <c r="C1143" s="159">
        <v>85</v>
      </c>
      <c r="D1143" s="159">
        <v>72</v>
      </c>
      <c r="E1143" s="159">
        <v>88</v>
      </c>
      <c r="F1143" s="160" t="s">
        <v>32838</v>
      </c>
      <c r="G1143" s="132"/>
      <c r="H1143" s="162" t="s">
        <v>16691</v>
      </c>
      <c r="I1143" s="158" t="s">
        <v>16692</v>
      </c>
      <c r="J1143" s="128"/>
      <c r="K1143" s="128"/>
      <c r="L1143" s="128"/>
      <c r="M1143" s="129"/>
      <c r="N1143" s="129"/>
      <c r="O1143" s="129"/>
    </row>
    <row r="1144" spans="1:15" ht="12.5">
      <c r="A1144" s="158" t="s">
        <v>16693</v>
      </c>
      <c r="B1144" s="159">
        <v>20</v>
      </c>
      <c r="C1144" s="159">
        <v>85</v>
      </c>
      <c r="D1144" s="159">
        <v>72</v>
      </c>
      <c r="E1144" s="159">
        <v>89</v>
      </c>
      <c r="F1144" s="160" t="s">
        <v>32838</v>
      </c>
      <c r="G1144" s="132"/>
      <c r="H1144" s="162" t="s">
        <v>16694</v>
      </c>
      <c r="I1144" s="158" t="s">
        <v>16695</v>
      </c>
      <c r="J1144" s="128"/>
      <c r="K1144" s="128"/>
      <c r="L1144" s="128"/>
      <c r="M1144" s="129"/>
      <c r="N1144" s="129"/>
      <c r="O1144" s="129"/>
    </row>
    <row r="1145" spans="1:15" ht="12.5">
      <c r="A1145" s="151" t="s">
        <v>16696</v>
      </c>
      <c r="B1145" s="152">
        <v>20</v>
      </c>
      <c r="C1145" s="152">
        <v>85</v>
      </c>
      <c r="D1145" s="152">
        <v>74</v>
      </c>
      <c r="E1145" s="153"/>
      <c r="F1145" s="154" t="s">
        <v>33137</v>
      </c>
      <c r="G1145" s="168"/>
      <c r="H1145" s="156" t="s">
        <v>16697</v>
      </c>
      <c r="I1145" s="157"/>
      <c r="J1145" s="157"/>
      <c r="K1145" s="157"/>
      <c r="L1145" s="157"/>
      <c r="M1145" s="186"/>
      <c r="N1145" s="186"/>
      <c r="O1145" s="186"/>
    </row>
    <row r="1146" spans="1:15" ht="12.5">
      <c r="A1146" s="158" t="s">
        <v>16698</v>
      </c>
      <c r="B1146" s="159">
        <v>20</v>
      </c>
      <c r="C1146" s="159">
        <v>85</v>
      </c>
      <c r="D1146" s="159">
        <v>74</v>
      </c>
      <c r="E1146" s="159">
        <v>6</v>
      </c>
      <c r="F1146" s="160" t="s">
        <v>32838</v>
      </c>
      <c r="G1146" s="132"/>
      <c r="H1146" s="162" t="s">
        <v>16699</v>
      </c>
      <c r="I1146" s="128"/>
      <c r="J1146" s="128"/>
      <c r="K1146" s="128"/>
      <c r="L1146" s="128"/>
      <c r="M1146" s="129"/>
      <c r="N1146" s="129"/>
      <c r="O1146" s="129"/>
    </row>
    <row r="1147" spans="1:15" ht="12.5">
      <c r="A1147" s="158" t="s">
        <v>16700</v>
      </c>
      <c r="B1147" s="159">
        <v>20</v>
      </c>
      <c r="C1147" s="159">
        <v>85</v>
      </c>
      <c r="D1147" s="159">
        <v>74</v>
      </c>
      <c r="E1147" s="159">
        <v>27</v>
      </c>
      <c r="F1147" s="160" t="s">
        <v>32838</v>
      </c>
      <c r="G1147" s="132"/>
      <c r="H1147" s="162" t="s">
        <v>16701</v>
      </c>
      <c r="I1147" s="158" t="s">
        <v>16702</v>
      </c>
      <c r="J1147" s="128"/>
      <c r="K1147" s="128"/>
      <c r="L1147" s="128"/>
      <c r="M1147" s="129"/>
      <c r="N1147" s="129"/>
      <c r="O1147" s="129"/>
    </row>
    <row r="1148" spans="1:15" ht="12.5">
      <c r="A1148" s="158" t="s">
        <v>16703</v>
      </c>
      <c r="B1148" s="159">
        <v>20</v>
      </c>
      <c r="C1148" s="159">
        <v>85</v>
      </c>
      <c r="D1148" s="159">
        <v>74</v>
      </c>
      <c r="E1148" s="159">
        <v>70</v>
      </c>
      <c r="F1148" s="160" t="s">
        <v>32838</v>
      </c>
      <c r="G1148" s="132"/>
      <c r="H1148" s="162" t="s">
        <v>16704</v>
      </c>
      <c r="I1148" s="128"/>
      <c r="J1148" s="128"/>
      <c r="K1148" s="128"/>
      <c r="L1148" s="128"/>
      <c r="M1148" s="129"/>
      <c r="N1148" s="129"/>
      <c r="O1148" s="129"/>
    </row>
    <row r="1149" spans="1:15" ht="12.5">
      <c r="A1149" s="158" t="s">
        <v>16705</v>
      </c>
      <c r="B1149" s="159">
        <v>20</v>
      </c>
      <c r="C1149" s="159">
        <v>85</v>
      </c>
      <c r="D1149" s="159">
        <v>74</v>
      </c>
      <c r="E1149" s="159">
        <v>71</v>
      </c>
      <c r="F1149" s="160" t="s">
        <v>32838</v>
      </c>
      <c r="G1149" s="132"/>
      <c r="H1149" s="162" t="s">
        <v>16706</v>
      </c>
      <c r="I1149" s="128"/>
      <c r="J1149" s="128"/>
      <c r="K1149" s="128"/>
      <c r="L1149" s="128"/>
      <c r="M1149" s="129"/>
      <c r="N1149" s="129"/>
      <c r="O1149" s="129"/>
    </row>
    <row r="1150" spans="1:15" ht="12.5">
      <c r="A1150" s="158" t="s">
        <v>16707</v>
      </c>
      <c r="B1150" s="159">
        <v>20</v>
      </c>
      <c r="C1150" s="159">
        <v>85</v>
      </c>
      <c r="D1150" s="159">
        <v>74</v>
      </c>
      <c r="E1150" s="159">
        <v>73</v>
      </c>
      <c r="F1150" s="160" t="s">
        <v>32838</v>
      </c>
      <c r="G1150" s="132"/>
      <c r="H1150" s="162" t="s">
        <v>16708</v>
      </c>
      <c r="I1150" s="128"/>
      <c r="J1150" s="128"/>
      <c r="K1150" s="128"/>
      <c r="L1150" s="128"/>
      <c r="M1150" s="129"/>
      <c r="N1150" s="129"/>
      <c r="O1150" s="129"/>
    </row>
    <row r="1151" spans="1:15" ht="12.5">
      <c r="A1151" s="158" t="s">
        <v>16709</v>
      </c>
      <c r="B1151" s="159">
        <v>20</v>
      </c>
      <c r="C1151" s="159">
        <v>85</v>
      </c>
      <c r="D1151" s="159">
        <v>74</v>
      </c>
      <c r="E1151" s="159">
        <v>74</v>
      </c>
      <c r="F1151" s="160" t="s">
        <v>32838</v>
      </c>
      <c r="G1151" s="132"/>
      <c r="H1151" s="162" t="s">
        <v>16710</v>
      </c>
      <c r="I1151" s="128"/>
      <c r="J1151" s="128"/>
      <c r="K1151" s="128"/>
      <c r="L1151" s="128"/>
      <c r="M1151" s="129"/>
      <c r="N1151" s="129"/>
      <c r="O1151" s="129"/>
    </row>
    <row r="1152" spans="1:15" ht="12.5">
      <c r="A1152" s="158" t="s">
        <v>16711</v>
      </c>
      <c r="B1152" s="159">
        <v>20</v>
      </c>
      <c r="C1152" s="159">
        <v>85</v>
      </c>
      <c r="D1152" s="159">
        <v>74</v>
      </c>
      <c r="E1152" s="159">
        <v>76</v>
      </c>
      <c r="F1152" s="160" t="s">
        <v>32838</v>
      </c>
      <c r="G1152" s="132"/>
      <c r="H1152" s="162" t="s">
        <v>16712</v>
      </c>
      <c r="I1152" s="128"/>
      <c r="J1152" s="128"/>
      <c r="K1152" s="128"/>
      <c r="L1152" s="128"/>
      <c r="M1152" s="129"/>
      <c r="N1152" s="129"/>
      <c r="O1152" s="129"/>
    </row>
    <row r="1153" spans="1:15" ht="12.5">
      <c r="A1153" s="158" t="s">
        <v>16713</v>
      </c>
      <c r="B1153" s="159">
        <v>20</v>
      </c>
      <c r="C1153" s="159">
        <v>85</v>
      </c>
      <c r="D1153" s="159">
        <v>74</v>
      </c>
      <c r="E1153" s="159">
        <v>78</v>
      </c>
      <c r="F1153" s="160" t="s">
        <v>32838</v>
      </c>
      <c r="G1153" s="132"/>
      <c r="H1153" s="162" t="s">
        <v>16714</v>
      </c>
      <c r="I1153" s="158" t="s">
        <v>16715</v>
      </c>
      <c r="J1153" s="128"/>
      <c r="K1153" s="128"/>
      <c r="L1153" s="128"/>
      <c r="M1153" s="129"/>
      <c r="N1153" s="129"/>
      <c r="O1153" s="129"/>
    </row>
    <row r="1154" spans="1:15" ht="12.5">
      <c r="A1154" s="158" t="s">
        <v>16716</v>
      </c>
      <c r="B1154" s="159">
        <v>20</v>
      </c>
      <c r="C1154" s="159">
        <v>85</v>
      </c>
      <c r="D1154" s="159">
        <v>74</v>
      </c>
      <c r="E1154" s="159">
        <v>79</v>
      </c>
      <c r="F1154" s="160" t="s">
        <v>32838</v>
      </c>
      <c r="G1154" s="132"/>
      <c r="H1154" s="162" t="s">
        <v>16717</v>
      </c>
      <c r="I1154" s="158" t="s">
        <v>16718</v>
      </c>
      <c r="J1154" s="128"/>
      <c r="K1154" s="128"/>
      <c r="L1154" s="128"/>
      <c r="M1154" s="129"/>
      <c r="N1154" s="129"/>
      <c r="O1154" s="129"/>
    </row>
    <row r="1155" spans="1:15" ht="12.5">
      <c r="A1155" s="151" t="s">
        <v>16719</v>
      </c>
      <c r="B1155" s="152">
        <v>20</v>
      </c>
      <c r="C1155" s="152">
        <v>85</v>
      </c>
      <c r="D1155" s="152">
        <v>76</v>
      </c>
      <c r="E1155" s="153"/>
      <c r="F1155" s="154" t="s">
        <v>33138</v>
      </c>
      <c r="G1155" s="168"/>
      <c r="H1155" s="156" t="s">
        <v>16720</v>
      </c>
      <c r="I1155" s="157"/>
      <c r="J1155" s="157"/>
      <c r="K1155" s="157"/>
      <c r="L1155" s="157"/>
      <c r="M1155" s="186"/>
      <c r="N1155" s="186"/>
      <c r="O1155" s="186"/>
    </row>
    <row r="1156" spans="1:15" ht="12.5">
      <c r="A1156" s="158" t="s">
        <v>16721</v>
      </c>
      <c r="B1156" s="159">
        <v>20</v>
      </c>
      <c r="C1156" s="159">
        <v>85</v>
      </c>
      <c r="D1156" s="159">
        <v>76</v>
      </c>
      <c r="E1156" s="159">
        <v>9</v>
      </c>
      <c r="F1156" s="160" t="s">
        <v>32838</v>
      </c>
      <c r="G1156" s="132"/>
      <c r="H1156" s="162" t="s">
        <v>16722</v>
      </c>
      <c r="I1156" s="128"/>
      <c r="J1156" s="128"/>
      <c r="K1156" s="128"/>
      <c r="L1156" s="128"/>
      <c r="M1156" s="129"/>
      <c r="N1156" s="129"/>
      <c r="O1156" s="129"/>
    </row>
    <row r="1157" spans="1:15" ht="12.5">
      <c r="A1157" s="158" t="s">
        <v>16723</v>
      </c>
      <c r="B1157" s="159">
        <v>20</v>
      </c>
      <c r="C1157" s="159">
        <v>85</v>
      </c>
      <c r="D1157" s="159">
        <v>76</v>
      </c>
      <c r="E1157" s="159">
        <v>76</v>
      </c>
      <c r="F1157" s="160" t="s">
        <v>32838</v>
      </c>
      <c r="G1157" s="132"/>
      <c r="H1157" s="162" t="s">
        <v>16724</v>
      </c>
      <c r="I1157" s="128"/>
      <c r="J1157" s="128"/>
      <c r="K1157" s="128"/>
      <c r="L1157" s="128"/>
      <c r="M1157" s="129"/>
      <c r="N1157" s="129"/>
      <c r="O1157" s="129"/>
    </row>
    <row r="1158" spans="1:15" ht="12.5">
      <c r="A1158" s="151" t="s">
        <v>16725</v>
      </c>
      <c r="B1158" s="152">
        <v>20</v>
      </c>
      <c r="C1158" s="152">
        <v>85</v>
      </c>
      <c r="D1158" s="152">
        <v>84</v>
      </c>
      <c r="E1158" s="153"/>
      <c r="F1158" s="154" t="s">
        <v>33139</v>
      </c>
      <c r="G1158" s="155"/>
      <c r="H1158" s="156" t="s">
        <v>16726</v>
      </c>
      <c r="I1158" s="157"/>
      <c r="J1158" s="157"/>
      <c r="K1158" s="157"/>
      <c r="L1158" s="157"/>
      <c r="M1158" s="186"/>
      <c r="N1158" s="186"/>
      <c r="O1158" s="186"/>
    </row>
    <row r="1159" spans="1:15" ht="12.5">
      <c r="A1159" s="158" t="s">
        <v>16727</v>
      </c>
      <c r="B1159" s="159">
        <v>20</v>
      </c>
      <c r="C1159" s="159">
        <v>85</v>
      </c>
      <c r="D1159" s="159">
        <v>84</v>
      </c>
      <c r="E1159" s="159">
        <v>2</v>
      </c>
      <c r="F1159" s="160" t="s">
        <v>32838</v>
      </c>
      <c r="G1159" s="132"/>
      <c r="H1159" s="162" t="s">
        <v>16728</v>
      </c>
      <c r="I1159" s="128"/>
      <c r="J1159" s="128"/>
      <c r="K1159" s="128"/>
      <c r="L1159" s="128"/>
      <c r="M1159" s="129"/>
      <c r="N1159" s="129"/>
      <c r="O1159" s="129"/>
    </row>
    <row r="1160" spans="1:15" ht="12.5">
      <c r="A1160" s="158" t="s">
        <v>16729</v>
      </c>
      <c r="B1160" s="159">
        <v>20</v>
      </c>
      <c r="C1160" s="159">
        <v>85</v>
      </c>
      <c r="D1160" s="159">
        <v>84</v>
      </c>
      <c r="E1160" s="159">
        <v>4</v>
      </c>
      <c r="F1160" s="160" t="s">
        <v>32838</v>
      </c>
      <c r="G1160" s="132"/>
      <c r="H1160" s="162" t="s">
        <v>16730</v>
      </c>
      <c r="I1160" s="128"/>
      <c r="J1160" s="128"/>
      <c r="K1160" s="128"/>
      <c r="L1160" s="128"/>
      <c r="M1160" s="129"/>
      <c r="N1160" s="129"/>
      <c r="O1160" s="129"/>
    </row>
    <row r="1161" spans="1:15" ht="12.5">
      <c r="A1161" s="158" t="s">
        <v>16731</v>
      </c>
      <c r="B1161" s="159">
        <v>20</v>
      </c>
      <c r="C1161" s="159">
        <v>85</v>
      </c>
      <c r="D1161" s="159">
        <v>84</v>
      </c>
      <c r="E1161" s="159">
        <v>11</v>
      </c>
      <c r="F1161" s="160" t="s">
        <v>32838</v>
      </c>
      <c r="G1161" s="132"/>
      <c r="H1161" s="162" t="s">
        <v>16732</v>
      </c>
      <c r="I1161" s="158" t="s">
        <v>16733</v>
      </c>
      <c r="J1161" s="128"/>
      <c r="K1161" s="128"/>
      <c r="L1161" s="128"/>
      <c r="M1161" s="129"/>
      <c r="N1161" s="129"/>
      <c r="O1161" s="129"/>
    </row>
    <row r="1162" spans="1:15" ht="12.5">
      <c r="A1162" s="158" t="s">
        <v>16734</v>
      </c>
      <c r="B1162" s="159">
        <v>20</v>
      </c>
      <c r="C1162" s="159">
        <v>85</v>
      </c>
      <c r="D1162" s="159">
        <v>84</v>
      </c>
      <c r="E1162" s="159">
        <v>12</v>
      </c>
      <c r="F1162" s="160" t="s">
        <v>32838</v>
      </c>
      <c r="G1162" s="132"/>
      <c r="H1162" s="162" t="s">
        <v>16735</v>
      </c>
      <c r="I1162" s="128"/>
      <c r="J1162" s="128"/>
      <c r="K1162" s="128"/>
      <c r="L1162" s="128"/>
      <c r="M1162" s="129"/>
      <c r="N1162" s="129"/>
      <c r="O1162" s="129"/>
    </row>
    <row r="1163" spans="1:15" ht="12.5">
      <c r="A1163" s="158" t="s">
        <v>16736</v>
      </c>
      <c r="B1163" s="159">
        <v>20</v>
      </c>
      <c r="C1163" s="159">
        <v>85</v>
      </c>
      <c r="D1163" s="159">
        <v>84</v>
      </c>
      <c r="E1163" s="159">
        <v>13</v>
      </c>
      <c r="F1163" s="160" t="s">
        <v>33140</v>
      </c>
      <c r="G1163" s="162" t="s">
        <v>32882</v>
      </c>
      <c r="H1163" s="162" t="s">
        <v>16737</v>
      </c>
      <c r="I1163" s="158" t="s">
        <v>33141</v>
      </c>
      <c r="J1163" s="128"/>
      <c r="K1163" s="128"/>
      <c r="L1163" s="128"/>
      <c r="M1163" s="129"/>
      <c r="N1163" s="129"/>
      <c r="O1163" s="129"/>
    </row>
    <row r="1164" spans="1:15" ht="12.5">
      <c r="A1164" s="158" t="s">
        <v>16739</v>
      </c>
      <c r="B1164" s="159">
        <v>20</v>
      </c>
      <c r="C1164" s="159">
        <v>85</v>
      </c>
      <c r="D1164" s="159">
        <v>84</v>
      </c>
      <c r="E1164" s="159">
        <v>14</v>
      </c>
      <c r="F1164" s="160" t="s">
        <v>32838</v>
      </c>
      <c r="G1164" s="132"/>
      <c r="H1164" s="162" t="s">
        <v>16740</v>
      </c>
      <c r="I1164" s="128"/>
      <c r="J1164" s="128"/>
      <c r="K1164" s="128"/>
      <c r="L1164" s="128"/>
      <c r="M1164" s="129"/>
      <c r="N1164" s="129"/>
      <c r="O1164" s="129"/>
    </row>
    <row r="1165" spans="1:15" ht="12.5">
      <c r="A1165" s="158" t="s">
        <v>16741</v>
      </c>
      <c r="B1165" s="159">
        <v>20</v>
      </c>
      <c r="C1165" s="159">
        <v>85</v>
      </c>
      <c r="D1165" s="159">
        <v>84</v>
      </c>
      <c r="E1165" s="159">
        <v>15</v>
      </c>
      <c r="F1165" s="160" t="s">
        <v>32838</v>
      </c>
      <c r="G1165" s="132"/>
      <c r="H1165" s="162" t="s">
        <v>16742</v>
      </c>
      <c r="I1165" s="158" t="s">
        <v>16743</v>
      </c>
      <c r="J1165" s="128"/>
      <c r="K1165" s="128"/>
      <c r="L1165" s="128"/>
      <c r="M1165" s="129"/>
      <c r="N1165" s="129"/>
      <c r="O1165" s="129"/>
    </row>
    <row r="1166" spans="1:15" ht="12.5">
      <c r="A1166" s="158" t="s">
        <v>16744</v>
      </c>
      <c r="B1166" s="159">
        <v>20</v>
      </c>
      <c r="C1166" s="159">
        <v>85</v>
      </c>
      <c r="D1166" s="159">
        <v>84</v>
      </c>
      <c r="E1166" s="159">
        <v>16</v>
      </c>
      <c r="F1166" s="160" t="s">
        <v>32838</v>
      </c>
      <c r="G1166" s="132"/>
      <c r="H1166" s="162" t="s">
        <v>16745</v>
      </c>
      <c r="I1166" s="158" t="s">
        <v>16746</v>
      </c>
      <c r="J1166" s="128"/>
      <c r="K1166" s="128"/>
      <c r="L1166" s="128"/>
      <c r="M1166" s="129"/>
      <c r="N1166" s="129"/>
      <c r="O1166" s="129"/>
    </row>
    <row r="1167" spans="1:15" ht="12.5">
      <c r="A1167" s="158" t="s">
        <v>16747</v>
      </c>
      <c r="B1167" s="159">
        <v>20</v>
      </c>
      <c r="C1167" s="159">
        <v>85</v>
      </c>
      <c r="D1167" s="159">
        <v>84</v>
      </c>
      <c r="E1167" s="159">
        <v>17</v>
      </c>
      <c r="F1167" s="160" t="s">
        <v>33142</v>
      </c>
      <c r="G1167" s="162" t="s">
        <v>32882</v>
      </c>
      <c r="H1167" s="162" t="s">
        <v>16748</v>
      </c>
      <c r="I1167" s="158" t="s">
        <v>33143</v>
      </c>
      <c r="J1167" s="128"/>
      <c r="K1167" s="128"/>
      <c r="L1167" s="128"/>
      <c r="M1167" s="129"/>
      <c r="N1167" s="129"/>
      <c r="O1167" s="129"/>
    </row>
    <row r="1168" spans="1:15" ht="12.5">
      <c r="A1168" s="158" t="s">
        <v>16750</v>
      </c>
      <c r="B1168" s="159">
        <v>20</v>
      </c>
      <c r="C1168" s="159">
        <v>85</v>
      </c>
      <c r="D1168" s="159">
        <v>84</v>
      </c>
      <c r="E1168" s="159">
        <v>18</v>
      </c>
      <c r="F1168" s="160" t="s">
        <v>32838</v>
      </c>
      <c r="G1168" s="132"/>
      <c r="H1168" s="162" t="s">
        <v>16751</v>
      </c>
      <c r="I1168" s="128"/>
      <c r="J1168" s="128"/>
      <c r="K1168" s="128"/>
      <c r="L1168" s="128"/>
      <c r="M1168" s="129"/>
      <c r="N1168" s="129"/>
      <c r="O1168" s="129"/>
    </row>
    <row r="1169" spans="1:15" ht="12.5">
      <c r="A1169" s="158" t="s">
        <v>16752</v>
      </c>
      <c r="B1169" s="159">
        <v>20</v>
      </c>
      <c r="C1169" s="159">
        <v>85</v>
      </c>
      <c r="D1169" s="159">
        <v>84</v>
      </c>
      <c r="E1169" s="159">
        <v>19</v>
      </c>
      <c r="F1169" s="160" t="s">
        <v>33144</v>
      </c>
      <c r="G1169" s="162" t="s">
        <v>32882</v>
      </c>
      <c r="H1169" s="162" t="s">
        <v>16753</v>
      </c>
      <c r="I1169" s="158" t="s">
        <v>33145</v>
      </c>
      <c r="J1169" s="128"/>
      <c r="K1169" s="128"/>
      <c r="L1169" s="128"/>
      <c r="M1169" s="129"/>
      <c r="N1169" s="129"/>
      <c r="O1169" s="129"/>
    </row>
    <row r="1170" spans="1:15" ht="12.5">
      <c r="A1170" s="158" t="s">
        <v>16755</v>
      </c>
      <c r="B1170" s="159">
        <v>20</v>
      </c>
      <c r="C1170" s="159">
        <v>85</v>
      </c>
      <c r="D1170" s="159">
        <v>84</v>
      </c>
      <c r="E1170" s="159">
        <v>20</v>
      </c>
      <c r="F1170" s="160" t="s">
        <v>33146</v>
      </c>
      <c r="G1170" s="162" t="s">
        <v>32882</v>
      </c>
      <c r="H1170" s="162" t="s">
        <v>16756</v>
      </c>
      <c r="I1170" s="158" t="s">
        <v>33147</v>
      </c>
      <c r="J1170" s="128"/>
      <c r="K1170" s="128"/>
      <c r="L1170" s="128"/>
      <c r="M1170" s="129"/>
      <c r="N1170" s="129"/>
      <c r="O1170" s="129"/>
    </row>
    <row r="1171" spans="1:15" ht="12.5">
      <c r="A1171" s="158" t="s">
        <v>16758</v>
      </c>
      <c r="B1171" s="159">
        <v>20</v>
      </c>
      <c r="C1171" s="159">
        <v>85</v>
      </c>
      <c r="D1171" s="159">
        <v>84</v>
      </c>
      <c r="E1171" s="159">
        <v>21</v>
      </c>
      <c r="F1171" s="160" t="s">
        <v>32838</v>
      </c>
      <c r="G1171" s="132"/>
      <c r="H1171" s="162" t="s">
        <v>16759</v>
      </c>
      <c r="I1171" s="128"/>
      <c r="J1171" s="128"/>
      <c r="K1171" s="128"/>
      <c r="L1171" s="128"/>
      <c r="M1171" s="129"/>
      <c r="N1171" s="129"/>
      <c r="O1171" s="129"/>
    </row>
    <row r="1172" spans="1:15" ht="12.5">
      <c r="A1172" s="158" t="s">
        <v>16760</v>
      </c>
      <c r="B1172" s="159">
        <v>20</v>
      </c>
      <c r="C1172" s="159">
        <v>85</v>
      </c>
      <c r="D1172" s="159">
        <v>84</v>
      </c>
      <c r="E1172" s="159">
        <v>22</v>
      </c>
      <c r="F1172" s="160" t="s">
        <v>32838</v>
      </c>
      <c r="G1172" s="132"/>
      <c r="H1172" s="162" t="s">
        <v>16761</v>
      </c>
      <c r="I1172" s="128"/>
      <c r="J1172" s="128"/>
      <c r="K1172" s="128"/>
      <c r="L1172" s="128"/>
      <c r="M1172" s="129"/>
      <c r="N1172" s="129"/>
      <c r="O1172" s="129"/>
    </row>
    <row r="1173" spans="1:15" ht="12.5">
      <c r="A1173" s="158" t="s">
        <v>16762</v>
      </c>
      <c r="B1173" s="159">
        <v>20</v>
      </c>
      <c r="C1173" s="159">
        <v>85</v>
      </c>
      <c r="D1173" s="159">
        <v>84</v>
      </c>
      <c r="E1173" s="159">
        <v>28</v>
      </c>
      <c r="F1173" s="160" t="s">
        <v>32838</v>
      </c>
      <c r="G1173" s="132"/>
      <c r="H1173" s="162" t="s">
        <v>16763</v>
      </c>
      <c r="I1173" s="128"/>
      <c r="J1173" s="128"/>
      <c r="K1173" s="128"/>
      <c r="L1173" s="128"/>
      <c r="M1173" s="129"/>
      <c r="N1173" s="129"/>
      <c r="O1173" s="129"/>
    </row>
    <row r="1174" spans="1:15" ht="12.5">
      <c r="A1174" s="158" t="s">
        <v>16764</v>
      </c>
      <c r="B1174" s="159">
        <v>20</v>
      </c>
      <c r="C1174" s="159">
        <v>85</v>
      </c>
      <c r="D1174" s="159">
        <v>84</v>
      </c>
      <c r="E1174" s="159">
        <v>33</v>
      </c>
      <c r="F1174" s="160" t="s">
        <v>33148</v>
      </c>
      <c r="G1174" s="162" t="s">
        <v>32882</v>
      </c>
      <c r="H1174" s="162" t="s">
        <v>16765</v>
      </c>
      <c r="I1174" s="158" t="s">
        <v>33149</v>
      </c>
      <c r="J1174" s="128"/>
      <c r="K1174" s="128"/>
      <c r="L1174" s="128"/>
      <c r="M1174" s="129"/>
      <c r="N1174" s="129"/>
      <c r="O1174" s="129"/>
    </row>
    <row r="1175" spans="1:15" ht="12.5">
      <c r="A1175" s="158" t="s">
        <v>16767</v>
      </c>
      <c r="B1175" s="159">
        <v>20</v>
      </c>
      <c r="C1175" s="159">
        <v>85</v>
      </c>
      <c r="D1175" s="159">
        <v>84</v>
      </c>
      <c r="E1175" s="159">
        <v>36</v>
      </c>
      <c r="F1175" s="160" t="s">
        <v>32838</v>
      </c>
      <c r="G1175" s="132"/>
      <c r="H1175" s="162" t="s">
        <v>16768</v>
      </c>
      <c r="I1175" s="158" t="s">
        <v>16769</v>
      </c>
      <c r="J1175" s="128"/>
      <c r="K1175" s="128"/>
      <c r="L1175" s="128"/>
      <c r="M1175" s="129"/>
      <c r="N1175" s="129"/>
      <c r="O1175" s="129"/>
    </row>
    <row r="1176" spans="1:15" ht="12.5">
      <c r="A1176" s="158" t="s">
        <v>16770</v>
      </c>
      <c r="B1176" s="159">
        <v>20</v>
      </c>
      <c r="C1176" s="159">
        <v>85</v>
      </c>
      <c r="D1176" s="159">
        <v>84</v>
      </c>
      <c r="E1176" s="159">
        <v>46</v>
      </c>
      <c r="F1176" s="160" t="s">
        <v>32838</v>
      </c>
      <c r="G1176" s="132"/>
      <c r="H1176" s="162" t="s">
        <v>16771</v>
      </c>
      <c r="I1176" s="158" t="s">
        <v>16772</v>
      </c>
      <c r="J1176" s="128"/>
      <c r="K1176" s="128"/>
      <c r="L1176" s="128"/>
      <c r="M1176" s="129"/>
      <c r="N1176" s="129"/>
      <c r="O1176" s="129"/>
    </row>
    <row r="1177" spans="1:15" ht="12.5">
      <c r="A1177" s="158" t="s">
        <v>16773</v>
      </c>
      <c r="B1177" s="159">
        <v>20</v>
      </c>
      <c r="C1177" s="159">
        <v>85</v>
      </c>
      <c r="D1177" s="159">
        <v>84</v>
      </c>
      <c r="E1177" s="159">
        <v>50</v>
      </c>
      <c r="F1177" s="160" t="s">
        <v>32838</v>
      </c>
      <c r="G1177" s="132"/>
      <c r="H1177" s="162" t="s">
        <v>16774</v>
      </c>
      <c r="I1177" s="158" t="s">
        <v>16775</v>
      </c>
      <c r="J1177" s="128"/>
      <c r="K1177" s="128"/>
      <c r="L1177" s="128"/>
      <c r="M1177" s="129"/>
      <c r="N1177" s="129"/>
      <c r="O1177" s="129"/>
    </row>
    <row r="1178" spans="1:15" ht="12.5">
      <c r="A1178" s="158" t="s">
        <v>16776</v>
      </c>
      <c r="B1178" s="159">
        <v>20</v>
      </c>
      <c r="C1178" s="159">
        <v>85</v>
      </c>
      <c r="D1178" s="159">
        <v>84</v>
      </c>
      <c r="E1178" s="159">
        <v>57</v>
      </c>
      <c r="F1178" s="160" t="s">
        <v>32838</v>
      </c>
      <c r="G1178" s="132"/>
      <c r="H1178" s="162" t="s">
        <v>16777</v>
      </c>
      <c r="I1178" s="158" t="s">
        <v>16778</v>
      </c>
      <c r="J1178" s="128"/>
      <c r="K1178" s="128"/>
      <c r="L1178" s="128"/>
      <c r="M1178" s="129"/>
      <c r="N1178" s="129"/>
      <c r="O1178" s="129"/>
    </row>
    <row r="1179" spans="1:15" ht="12.5">
      <c r="A1179" s="158" t="s">
        <v>16779</v>
      </c>
      <c r="B1179" s="159">
        <v>20</v>
      </c>
      <c r="C1179" s="159">
        <v>85</v>
      </c>
      <c r="D1179" s="159">
        <v>84</v>
      </c>
      <c r="E1179" s="159">
        <v>61</v>
      </c>
      <c r="F1179" s="160" t="s">
        <v>32838</v>
      </c>
      <c r="G1179" s="132"/>
      <c r="H1179" s="162" t="s">
        <v>16780</v>
      </c>
      <c r="I1179" s="158" t="s">
        <v>16781</v>
      </c>
      <c r="J1179" s="128"/>
      <c r="K1179" s="128"/>
      <c r="L1179" s="128"/>
      <c r="M1179" s="129"/>
      <c r="N1179" s="129"/>
      <c r="O1179" s="129"/>
    </row>
    <row r="1180" spans="1:15" ht="12.5">
      <c r="A1180" s="158" t="s">
        <v>16782</v>
      </c>
      <c r="B1180" s="159">
        <v>20</v>
      </c>
      <c r="C1180" s="159">
        <v>85</v>
      </c>
      <c r="D1180" s="159">
        <v>84</v>
      </c>
      <c r="E1180" s="159">
        <v>62</v>
      </c>
      <c r="F1180" s="160" t="s">
        <v>32838</v>
      </c>
      <c r="G1180" s="132"/>
      <c r="H1180" s="162" t="s">
        <v>16783</v>
      </c>
      <c r="I1180" s="128"/>
      <c r="J1180" s="128"/>
      <c r="K1180" s="128"/>
      <c r="L1180" s="128"/>
      <c r="M1180" s="129"/>
      <c r="N1180" s="129"/>
      <c r="O1180" s="129"/>
    </row>
    <row r="1181" spans="1:15" ht="12.5">
      <c r="A1181" s="158" t="s">
        <v>16784</v>
      </c>
      <c r="B1181" s="159">
        <v>20</v>
      </c>
      <c r="C1181" s="159">
        <v>85</v>
      </c>
      <c r="D1181" s="159">
        <v>84</v>
      </c>
      <c r="E1181" s="159">
        <v>63</v>
      </c>
      <c r="F1181" s="160" t="s">
        <v>32838</v>
      </c>
      <c r="G1181" s="132"/>
      <c r="H1181" s="162" t="s">
        <v>16785</v>
      </c>
      <c r="I1181" s="128"/>
      <c r="J1181" s="128"/>
      <c r="K1181" s="128"/>
      <c r="L1181" s="128"/>
      <c r="M1181" s="129"/>
      <c r="N1181" s="129"/>
      <c r="O1181" s="129"/>
    </row>
    <row r="1182" spans="1:15" ht="12.5">
      <c r="A1182" s="158" t="s">
        <v>16786</v>
      </c>
      <c r="B1182" s="159">
        <v>20</v>
      </c>
      <c r="C1182" s="159">
        <v>85</v>
      </c>
      <c r="D1182" s="159">
        <v>84</v>
      </c>
      <c r="E1182" s="159">
        <v>64</v>
      </c>
      <c r="F1182" s="160" t="s">
        <v>32838</v>
      </c>
      <c r="G1182" s="132"/>
      <c r="H1182" s="162" t="s">
        <v>16787</v>
      </c>
      <c r="I1182" s="128"/>
      <c r="J1182" s="128"/>
      <c r="K1182" s="128"/>
      <c r="L1182" s="128"/>
      <c r="M1182" s="129"/>
      <c r="N1182" s="129"/>
      <c r="O1182" s="129"/>
    </row>
    <row r="1183" spans="1:15" ht="12.5">
      <c r="A1183" s="158" t="s">
        <v>16790</v>
      </c>
      <c r="B1183" s="159">
        <v>20</v>
      </c>
      <c r="C1183" s="159">
        <v>85</v>
      </c>
      <c r="D1183" s="159">
        <v>84</v>
      </c>
      <c r="E1183" s="159">
        <v>69</v>
      </c>
      <c r="F1183" s="160" t="s">
        <v>32838</v>
      </c>
      <c r="G1183" s="132"/>
      <c r="H1183" s="162" t="s">
        <v>16791</v>
      </c>
      <c r="I1183" s="128"/>
      <c r="J1183" s="128"/>
      <c r="K1183" s="128"/>
      <c r="L1183" s="128"/>
      <c r="M1183" s="129"/>
      <c r="N1183" s="129"/>
      <c r="O1183" s="129"/>
    </row>
    <row r="1184" spans="1:15" ht="12.5">
      <c r="A1184" s="158" t="s">
        <v>16792</v>
      </c>
      <c r="B1184" s="159">
        <v>20</v>
      </c>
      <c r="C1184" s="159">
        <v>85</v>
      </c>
      <c r="D1184" s="159">
        <v>84</v>
      </c>
      <c r="E1184" s="159">
        <v>70</v>
      </c>
      <c r="F1184" s="160" t="s">
        <v>32838</v>
      </c>
      <c r="G1184" s="132"/>
      <c r="H1184" s="162" t="s">
        <v>16793</v>
      </c>
      <c r="I1184" s="128"/>
      <c r="J1184" s="128"/>
      <c r="K1184" s="128"/>
      <c r="L1184" s="128"/>
      <c r="M1184" s="129"/>
      <c r="N1184" s="129"/>
      <c r="O1184" s="129"/>
    </row>
    <row r="1185" spans="1:15" ht="12.5">
      <c r="A1185" s="158" t="s">
        <v>16794</v>
      </c>
      <c r="B1185" s="159">
        <v>20</v>
      </c>
      <c r="C1185" s="159">
        <v>85</v>
      </c>
      <c r="D1185" s="159">
        <v>84</v>
      </c>
      <c r="E1185" s="159">
        <v>73</v>
      </c>
      <c r="F1185" s="160" t="s">
        <v>33150</v>
      </c>
      <c r="G1185" s="162" t="s">
        <v>32882</v>
      </c>
      <c r="H1185" s="162" t="s">
        <v>16795</v>
      </c>
      <c r="I1185" s="158" t="s">
        <v>33151</v>
      </c>
      <c r="J1185" s="128"/>
      <c r="K1185" s="128"/>
      <c r="L1185" s="128"/>
      <c r="M1185" s="129"/>
      <c r="N1185" s="129"/>
      <c r="O1185" s="129"/>
    </row>
    <row r="1186" spans="1:15" ht="12.5">
      <c r="A1186" s="158" t="s">
        <v>16797</v>
      </c>
      <c r="B1186" s="159">
        <v>20</v>
      </c>
      <c r="C1186" s="159">
        <v>85</v>
      </c>
      <c r="D1186" s="159">
        <v>84</v>
      </c>
      <c r="E1186" s="159">
        <v>74</v>
      </c>
      <c r="F1186" s="160" t="s">
        <v>32838</v>
      </c>
      <c r="G1186" s="132"/>
      <c r="H1186" s="162" t="s">
        <v>16798</v>
      </c>
      <c r="I1186" s="158" t="s">
        <v>16799</v>
      </c>
      <c r="J1186" s="128"/>
      <c r="K1186" s="128"/>
      <c r="L1186" s="128"/>
      <c r="M1186" s="129"/>
      <c r="N1186" s="129"/>
      <c r="O1186" s="129"/>
    </row>
    <row r="1187" spans="1:15" ht="12.5">
      <c r="A1187" s="158" t="s">
        <v>16800</v>
      </c>
      <c r="B1187" s="159">
        <v>20</v>
      </c>
      <c r="C1187" s="159">
        <v>85</v>
      </c>
      <c r="D1187" s="159">
        <v>84</v>
      </c>
      <c r="E1187" s="159">
        <v>75</v>
      </c>
      <c r="F1187" s="160" t="s">
        <v>33152</v>
      </c>
      <c r="G1187" s="162" t="s">
        <v>32882</v>
      </c>
      <c r="H1187" s="162" t="s">
        <v>16801</v>
      </c>
      <c r="I1187" s="158" t="s">
        <v>33153</v>
      </c>
      <c r="J1187" s="128"/>
      <c r="K1187" s="128"/>
      <c r="L1187" s="128"/>
      <c r="M1187" s="129"/>
      <c r="N1187" s="129"/>
      <c r="O1187" s="129"/>
    </row>
    <row r="1188" spans="1:15" ht="12.5">
      <c r="A1188" s="158" t="s">
        <v>16803</v>
      </c>
      <c r="B1188" s="159">
        <v>20</v>
      </c>
      <c r="C1188" s="159">
        <v>85</v>
      </c>
      <c r="D1188" s="159">
        <v>84</v>
      </c>
      <c r="E1188" s="159">
        <v>76</v>
      </c>
      <c r="F1188" s="160" t="s">
        <v>32838</v>
      </c>
      <c r="G1188" s="132"/>
      <c r="H1188" s="162" t="s">
        <v>16804</v>
      </c>
      <c r="I1188" s="128"/>
      <c r="J1188" s="128"/>
      <c r="K1188" s="128"/>
      <c r="L1188" s="128"/>
      <c r="M1188" s="129"/>
      <c r="N1188" s="129"/>
      <c r="O1188" s="129"/>
    </row>
    <row r="1189" spans="1:15" ht="12.5">
      <c r="A1189" s="158" t="s">
        <v>16805</v>
      </c>
      <c r="B1189" s="159">
        <v>20</v>
      </c>
      <c r="C1189" s="159">
        <v>85</v>
      </c>
      <c r="D1189" s="159">
        <v>84</v>
      </c>
      <c r="E1189" s="159">
        <v>77</v>
      </c>
      <c r="F1189" s="160" t="s">
        <v>32838</v>
      </c>
      <c r="G1189" s="132"/>
      <c r="H1189" s="162" t="s">
        <v>16806</v>
      </c>
      <c r="I1189" s="158" t="s">
        <v>16807</v>
      </c>
      <c r="J1189" s="128"/>
      <c r="K1189" s="128"/>
      <c r="L1189" s="128"/>
      <c r="M1189" s="129"/>
      <c r="N1189" s="129"/>
      <c r="O1189" s="129"/>
    </row>
    <row r="1190" spans="1:15" ht="12.5">
      <c r="A1190" s="158" t="s">
        <v>16808</v>
      </c>
      <c r="B1190" s="159">
        <v>20</v>
      </c>
      <c r="C1190" s="159">
        <v>85</v>
      </c>
      <c r="D1190" s="159">
        <v>84</v>
      </c>
      <c r="E1190" s="159">
        <v>78</v>
      </c>
      <c r="F1190" s="160" t="s">
        <v>32838</v>
      </c>
      <c r="G1190" s="132"/>
      <c r="H1190" s="162" t="s">
        <v>16809</v>
      </c>
      <c r="I1190" s="158" t="s">
        <v>16810</v>
      </c>
      <c r="J1190" s="128"/>
      <c r="K1190" s="128"/>
      <c r="L1190" s="128"/>
      <c r="M1190" s="129"/>
      <c r="N1190" s="129"/>
      <c r="O1190" s="129"/>
    </row>
    <row r="1191" spans="1:15" ht="12.5">
      <c r="A1191" s="158" t="s">
        <v>16811</v>
      </c>
      <c r="B1191" s="159">
        <v>20</v>
      </c>
      <c r="C1191" s="159">
        <v>85</v>
      </c>
      <c r="D1191" s="159">
        <v>84</v>
      </c>
      <c r="E1191" s="159">
        <v>79</v>
      </c>
      <c r="F1191" s="160" t="s">
        <v>33154</v>
      </c>
      <c r="G1191" s="162" t="s">
        <v>32882</v>
      </c>
      <c r="H1191" s="162" t="s">
        <v>16812</v>
      </c>
      <c r="I1191" s="158" t="s">
        <v>33155</v>
      </c>
      <c r="J1191" s="128"/>
      <c r="K1191" s="128"/>
      <c r="L1191" s="128"/>
      <c r="M1191" s="129"/>
      <c r="N1191" s="129"/>
      <c r="O1191" s="129"/>
    </row>
    <row r="1192" spans="1:15" ht="12.5">
      <c r="A1192" s="158" t="s">
        <v>16814</v>
      </c>
      <c r="B1192" s="159">
        <v>20</v>
      </c>
      <c r="C1192" s="159">
        <v>85</v>
      </c>
      <c r="D1192" s="159">
        <v>84</v>
      </c>
      <c r="E1192" s="159">
        <v>80</v>
      </c>
      <c r="F1192" s="160" t="s">
        <v>32838</v>
      </c>
      <c r="G1192" s="132"/>
      <c r="H1192" s="162" t="s">
        <v>16815</v>
      </c>
      <c r="I1192" s="128"/>
      <c r="J1192" s="128"/>
      <c r="K1192" s="128"/>
      <c r="L1192" s="128"/>
      <c r="M1192" s="129"/>
      <c r="N1192" s="129"/>
      <c r="O1192" s="129"/>
    </row>
    <row r="1193" spans="1:15" ht="12.5">
      <c r="A1193" s="158" t="s">
        <v>16816</v>
      </c>
      <c r="B1193" s="159">
        <v>20</v>
      </c>
      <c r="C1193" s="159">
        <v>85</v>
      </c>
      <c r="D1193" s="159">
        <v>84</v>
      </c>
      <c r="E1193" s="159">
        <v>81</v>
      </c>
      <c r="F1193" s="160" t="s">
        <v>33156</v>
      </c>
      <c r="G1193" s="162" t="s">
        <v>33028</v>
      </c>
      <c r="H1193" s="162" t="s">
        <v>16817</v>
      </c>
      <c r="I1193" s="158" t="s">
        <v>33157</v>
      </c>
      <c r="J1193" s="128"/>
      <c r="K1193" s="128"/>
      <c r="L1193" s="128"/>
      <c r="M1193" s="129"/>
      <c r="N1193" s="129"/>
      <c r="O1193" s="129"/>
    </row>
    <row r="1194" spans="1:15" ht="12.5">
      <c r="A1194" s="158" t="s">
        <v>16819</v>
      </c>
      <c r="B1194" s="159">
        <v>20</v>
      </c>
      <c r="C1194" s="159">
        <v>85</v>
      </c>
      <c r="D1194" s="159">
        <v>84</v>
      </c>
      <c r="E1194" s="159">
        <v>82</v>
      </c>
      <c r="F1194" s="160" t="s">
        <v>33158</v>
      </c>
      <c r="G1194" s="162" t="s">
        <v>33028</v>
      </c>
      <c r="H1194" s="162" t="s">
        <v>16820</v>
      </c>
      <c r="I1194" s="158" t="s">
        <v>33159</v>
      </c>
      <c r="J1194" s="128"/>
      <c r="K1194" s="128"/>
      <c r="L1194" s="128"/>
      <c r="M1194" s="129"/>
      <c r="N1194" s="129"/>
      <c r="O1194" s="129"/>
    </row>
    <row r="1195" spans="1:15" ht="12.5">
      <c r="A1195" s="158" t="s">
        <v>16822</v>
      </c>
      <c r="B1195" s="159">
        <v>20</v>
      </c>
      <c r="C1195" s="159">
        <v>85</v>
      </c>
      <c r="D1195" s="159">
        <v>84</v>
      </c>
      <c r="E1195" s="159">
        <v>83</v>
      </c>
      <c r="F1195" s="160" t="s">
        <v>33160</v>
      </c>
      <c r="G1195" s="162" t="s">
        <v>33028</v>
      </c>
      <c r="H1195" s="162" t="s">
        <v>16823</v>
      </c>
      <c r="I1195" s="158" t="s">
        <v>33161</v>
      </c>
      <c r="J1195" s="128"/>
      <c r="K1195" s="128"/>
      <c r="L1195" s="128"/>
      <c r="M1195" s="129"/>
      <c r="N1195" s="129"/>
      <c r="O1195" s="129"/>
    </row>
    <row r="1196" spans="1:15" ht="12.5">
      <c r="A1196" s="158" t="s">
        <v>16825</v>
      </c>
      <c r="B1196" s="159">
        <v>20</v>
      </c>
      <c r="C1196" s="159">
        <v>85</v>
      </c>
      <c r="D1196" s="159">
        <v>84</v>
      </c>
      <c r="E1196" s="159">
        <v>84</v>
      </c>
      <c r="F1196" s="160" t="s">
        <v>33162</v>
      </c>
      <c r="G1196" s="162" t="s">
        <v>33028</v>
      </c>
      <c r="H1196" s="162" t="s">
        <v>16826</v>
      </c>
      <c r="I1196" s="158" t="s">
        <v>33163</v>
      </c>
      <c r="J1196" s="128"/>
      <c r="K1196" s="128"/>
      <c r="L1196" s="128"/>
      <c r="M1196" s="129"/>
      <c r="N1196" s="129"/>
      <c r="O1196" s="129"/>
    </row>
    <row r="1197" spans="1:15" ht="12.5">
      <c r="A1197" s="158" t="s">
        <v>16828</v>
      </c>
      <c r="B1197" s="159">
        <v>20</v>
      </c>
      <c r="C1197" s="159">
        <v>85</v>
      </c>
      <c r="D1197" s="159">
        <v>84</v>
      </c>
      <c r="E1197" s="159">
        <v>85</v>
      </c>
      <c r="F1197" s="160" t="s">
        <v>33164</v>
      </c>
      <c r="G1197" s="162" t="s">
        <v>32874</v>
      </c>
      <c r="H1197" s="162" t="s">
        <v>16829</v>
      </c>
      <c r="I1197" s="158" t="s">
        <v>33165</v>
      </c>
      <c r="J1197" s="128"/>
      <c r="K1197" s="128"/>
      <c r="L1197" s="128"/>
      <c r="M1197" s="129"/>
      <c r="N1197" s="129"/>
      <c r="O1197" s="129"/>
    </row>
    <row r="1198" spans="1:15" ht="12.5">
      <c r="A1198" s="158" t="s">
        <v>16831</v>
      </c>
      <c r="B1198" s="159">
        <v>20</v>
      </c>
      <c r="C1198" s="159">
        <v>85</v>
      </c>
      <c r="D1198" s="159">
        <v>84</v>
      </c>
      <c r="E1198" s="159">
        <v>86</v>
      </c>
      <c r="F1198" s="160" t="s">
        <v>33166</v>
      </c>
      <c r="G1198" s="162" t="s">
        <v>32874</v>
      </c>
      <c r="H1198" s="162" t="s">
        <v>16832</v>
      </c>
      <c r="I1198" s="158" t="s">
        <v>33165</v>
      </c>
      <c r="J1198" s="128"/>
      <c r="K1198" s="128"/>
      <c r="L1198" s="128"/>
      <c r="M1198" s="129"/>
      <c r="N1198" s="129"/>
      <c r="O1198" s="129"/>
    </row>
    <row r="1199" spans="1:15" ht="12.5">
      <c r="A1199" s="158" t="s">
        <v>16833</v>
      </c>
      <c r="B1199" s="159">
        <v>20</v>
      </c>
      <c r="C1199" s="159">
        <v>85</v>
      </c>
      <c r="D1199" s="159">
        <v>84</v>
      </c>
      <c r="E1199" s="159">
        <v>87</v>
      </c>
      <c r="F1199" s="160" t="s">
        <v>2011</v>
      </c>
      <c r="G1199" s="162" t="s">
        <v>32882</v>
      </c>
      <c r="H1199" s="162" t="s">
        <v>16834</v>
      </c>
      <c r="I1199" s="158" t="s">
        <v>33167</v>
      </c>
      <c r="J1199" s="128"/>
      <c r="K1199" s="128"/>
      <c r="L1199" s="128"/>
      <c r="M1199" s="129"/>
      <c r="N1199" s="129"/>
      <c r="O1199" s="129"/>
    </row>
    <row r="1200" spans="1:15" ht="12.5">
      <c r="A1200" s="158" t="s">
        <v>16836</v>
      </c>
      <c r="B1200" s="159">
        <v>20</v>
      </c>
      <c r="C1200" s="159">
        <v>85</v>
      </c>
      <c r="D1200" s="159">
        <v>84</v>
      </c>
      <c r="E1200" s="159">
        <v>88</v>
      </c>
      <c r="F1200" s="160" t="s">
        <v>32838</v>
      </c>
      <c r="G1200" s="132"/>
      <c r="H1200" s="162" t="s">
        <v>16837</v>
      </c>
      <c r="I1200" s="128"/>
      <c r="J1200" s="128"/>
      <c r="K1200" s="128"/>
      <c r="L1200" s="128"/>
      <c r="M1200" s="129"/>
      <c r="N1200" s="129"/>
      <c r="O1200" s="129"/>
    </row>
    <row r="1201" spans="1:15" ht="12.5">
      <c r="A1201" s="158" t="s">
        <v>16839</v>
      </c>
      <c r="B1201" s="159">
        <v>20</v>
      </c>
      <c r="C1201" s="159">
        <v>85</v>
      </c>
      <c r="D1201" s="159">
        <v>84</v>
      </c>
      <c r="E1201" s="159">
        <v>89</v>
      </c>
      <c r="F1201" s="160" t="s">
        <v>33168</v>
      </c>
      <c r="G1201" s="162" t="s">
        <v>32882</v>
      </c>
      <c r="H1201" s="162" t="s">
        <v>16840</v>
      </c>
      <c r="I1201" s="158" t="s">
        <v>33169</v>
      </c>
      <c r="J1201" s="128"/>
      <c r="K1201" s="128"/>
      <c r="L1201" s="128"/>
      <c r="M1201" s="129"/>
      <c r="N1201" s="129"/>
      <c r="O1201" s="129"/>
    </row>
    <row r="1202" spans="1:15" ht="12.5">
      <c r="A1202" s="158" t="s">
        <v>16842</v>
      </c>
      <c r="B1202" s="159">
        <v>20</v>
      </c>
      <c r="C1202" s="159">
        <v>85</v>
      </c>
      <c r="D1202" s="159">
        <v>84</v>
      </c>
      <c r="E1202" s="159">
        <v>95</v>
      </c>
      <c r="F1202" s="160" t="s">
        <v>33170</v>
      </c>
      <c r="G1202" s="162" t="s">
        <v>32882</v>
      </c>
      <c r="H1202" s="162" t="s">
        <v>16843</v>
      </c>
      <c r="I1202" s="158" t="s">
        <v>33171</v>
      </c>
      <c r="J1202" s="128"/>
      <c r="K1202" s="128"/>
      <c r="L1202" s="128"/>
      <c r="M1202" s="129"/>
      <c r="N1202" s="129"/>
      <c r="O1202" s="129"/>
    </row>
    <row r="1203" spans="1:15" ht="12.5">
      <c r="A1203" s="158" t="s">
        <v>16845</v>
      </c>
      <c r="B1203" s="159">
        <v>20</v>
      </c>
      <c r="C1203" s="159">
        <v>85</v>
      </c>
      <c r="D1203" s="159">
        <v>84</v>
      </c>
      <c r="E1203" s="159">
        <v>97</v>
      </c>
      <c r="F1203" s="160" t="s">
        <v>32838</v>
      </c>
      <c r="G1203" s="132"/>
      <c r="H1203" s="162" t="s">
        <v>16846</v>
      </c>
      <c r="I1203" s="158" t="s">
        <v>16847</v>
      </c>
      <c r="J1203" s="128"/>
      <c r="K1203" s="128"/>
      <c r="L1203" s="128"/>
      <c r="M1203" s="129"/>
      <c r="N1203" s="129"/>
      <c r="O1203" s="129"/>
    </row>
    <row r="1204" spans="1:15" ht="12.5">
      <c r="A1204" s="151" t="s">
        <v>16848</v>
      </c>
      <c r="B1204" s="152">
        <v>20</v>
      </c>
      <c r="C1204" s="152">
        <v>85</v>
      </c>
      <c r="D1204" s="152">
        <v>85</v>
      </c>
      <c r="E1204" s="153"/>
      <c r="F1204" s="154" t="s">
        <v>33172</v>
      </c>
      <c r="G1204" s="155"/>
      <c r="H1204" s="156" t="s">
        <v>16849</v>
      </c>
      <c r="I1204" s="157"/>
      <c r="J1204" s="157"/>
      <c r="K1204" s="157"/>
      <c r="L1204" s="157"/>
      <c r="M1204" s="186"/>
      <c r="N1204" s="186"/>
      <c r="O1204" s="186"/>
    </row>
    <row r="1205" spans="1:15" ht="12.5">
      <c r="A1205" s="158" t="s">
        <v>16856</v>
      </c>
      <c r="B1205" s="159">
        <v>20</v>
      </c>
      <c r="C1205" s="159">
        <v>85</v>
      </c>
      <c r="D1205" s="159">
        <v>85</v>
      </c>
      <c r="E1205" s="159">
        <v>11</v>
      </c>
      <c r="F1205" s="160" t="s">
        <v>32838</v>
      </c>
      <c r="G1205" s="132"/>
      <c r="H1205" s="162" t="s">
        <v>16857</v>
      </c>
      <c r="I1205" s="158" t="s">
        <v>16858</v>
      </c>
      <c r="J1205" s="128"/>
      <c r="K1205" s="128"/>
      <c r="L1205" s="128"/>
      <c r="M1205" s="129"/>
      <c r="N1205" s="129"/>
      <c r="O1205" s="129"/>
    </row>
    <row r="1206" spans="1:15" ht="12.5">
      <c r="A1206" s="158" t="s">
        <v>16859</v>
      </c>
      <c r="B1206" s="159">
        <v>20</v>
      </c>
      <c r="C1206" s="159">
        <v>85</v>
      </c>
      <c r="D1206" s="159">
        <v>85</v>
      </c>
      <c r="E1206" s="159">
        <v>30</v>
      </c>
      <c r="F1206" s="160" t="s">
        <v>32838</v>
      </c>
      <c r="G1206" s="132"/>
      <c r="H1206" s="162" t="s">
        <v>16860</v>
      </c>
      <c r="I1206" s="158" t="s">
        <v>16861</v>
      </c>
      <c r="J1206" s="128"/>
      <c r="K1206" s="128"/>
      <c r="L1206" s="128"/>
      <c r="M1206" s="129"/>
      <c r="N1206" s="129"/>
      <c r="O1206" s="129"/>
    </row>
    <row r="1207" spans="1:15" ht="12.5">
      <c r="A1207" s="158" t="s">
        <v>16865</v>
      </c>
      <c r="B1207" s="159">
        <v>20</v>
      </c>
      <c r="C1207" s="159">
        <v>85</v>
      </c>
      <c r="D1207" s="159">
        <v>85</v>
      </c>
      <c r="E1207" s="159">
        <v>74</v>
      </c>
      <c r="F1207" s="160" t="s">
        <v>33170</v>
      </c>
      <c r="G1207" s="162" t="s">
        <v>33173</v>
      </c>
      <c r="H1207" s="162" t="s">
        <v>16866</v>
      </c>
      <c r="I1207" s="158" t="s">
        <v>33174</v>
      </c>
      <c r="J1207" s="128"/>
      <c r="K1207" s="128"/>
      <c r="L1207" s="128"/>
      <c r="M1207" s="129"/>
      <c r="N1207" s="129"/>
      <c r="O1207" s="129"/>
    </row>
    <row r="1208" spans="1:15" ht="12.5">
      <c r="A1208" s="158" t="s">
        <v>16868</v>
      </c>
      <c r="B1208" s="159">
        <v>20</v>
      </c>
      <c r="C1208" s="159">
        <v>85</v>
      </c>
      <c r="D1208" s="159">
        <v>85</v>
      </c>
      <c r="E1208" s="159">
        <v>80</v>
      </c>
      <c r="F1208" s="160" t="s">
        <v>33170</v>
      </c>
      <c r="G1208" s="162" t="s">
        <v>33175</v>
      </c>
      <c r="H1208" s="162" t="s">
        <v>16869</v>
      </c>
      <c r="I1208" s="158" t="s">
        <v>33176</v>
      </c>
      <c r="J1208" s="128"/>
      <c r="K1208" s="128"/>
      <c r="L1208" s="128"/>
      <c r="M1208" s="129"/>
      <c r="N1208" s="129"/>
      <c r="O1208" s="129"/>
    </row>
    <row r="1209" spans="1:15" ht="12.5">
      <c r="A1209" s="158" t="s">
        <v>16871</v>
      </c>
      <c r="B1209" s="159">
        <v>20</v>
      </c>
      <c r="C1209" s="159">
        <v>85</v>
      </c>
      <c r="D1209" s="159">
        <v>85</v>
      </c>
      <c r="E1209" s="159">
        <v>84</v>
      </c>
      <c r="F1209" s="160" t="s">
        <v>33170</v>
      </c>
      <c r="G1209" s="162" t="s">
        <v>33177</v>
      </c>
      <c r="H1209" s="162" t="s">
        <v>16872</v>
      </c>
      <c r="I1209" s="158" t="s">
        <v>33178</v>
      </c>
      <c r="J1209" s="128"/>
      <c r="K1209" s="128"/>
      <c r="L1209" s="128"/>
      <c r="M1209" s="129"/>
      <c r="N1209" s="129"/>
      <c r="O1209" s="129"/>
    </row>
    <row r="1210" spans="1:15" ht="12.5">
      <c r="A1210" s="151" t="s">
        <v>16874</v>
      </c>
      <c r="B1210" s="152">
        <v>20</v>
      </c>
      <c r="C1210" s="152">
        <v>85</v>
      </c>
      <c r="D1210" s="152">
        <v>86</v>
      </c>
      <c r="E1210" s="153"/>
      <c r="F1210" s="154" t="s">
        <v>33170</v>
      </c>
      <c r="G1210" s="155"/>
      <c r="H1210" s="156" t="s">
        <v>16875</v>
      </c>
      <c r="I1210" s="157"/>
      <c r="J1210" s="157"/>
      <c r="K1210" s="157"/>
      <c r="L1210" s="157"/>
      <c r="M1210" s="186"/>
      <c r="N1210" s="186"/>
      <c r="O1210" s="186"/>
    </row>
    <row r="1211" spans="1:15" ht="12.5">
      <c r="A1211" s="158" t="s">
        <v>16876</v>
      </c>
      <c r="B1211" s="159">
        <v>20</v>
      </c>
      <c r="C1211" s="159">
        <v>85</v>
      </c>
      <c r="D1211" s="159">
        <v>86</v>
      </c>
      <c r="E1211" s="159">
        <v>11</v>
      </c>
      <c r="F1211" s="160" t="s">
        <v>32838</v>
      </c>
      <c r="G1211" s="132"/>
      <c r="H1211" s="162" t="s">
        <v>16877</v>
      </c>
      <c r="I1211" s="158" t="s">
        <v>16878</v>
      </c>
      <c r="J1211" s="128"/>
      <c r="K1211" s="128"/>
      <c r="L1211" s="128"/>
      <c r="M1211" s="129"/>
      <c r="N1211" s="129"/>
      <c r="O1211" s="129"/>
    </row>
    <row r="1212" spans="1:15" ht="12.5">
      <c r="A1212" s="158" t="s">
        <v>16879</v>
      </c>
      <c r="B1212" s="159">
        <v>20</v>
      </c>
      <c r="C1212" s="159">
        <v>85</v>
      </c>
      <c r="D1212" s="159">
        <v>86</v>
      </c>
      <c r="E1212" s="159">
        <v>30</v>
      </c>
      <c r="F1212" s="160" t="s">
        <v>32838</v>
      </c>
      <c r="G1212" s="132"/>
      <c r="H1212" s="162" t="s">
        <v>16880</v>
      </c>
      <c r="I1212" s="158" t="s">
        <v>16881</v>
      </c>
      <c r="J1212" s="128"/>
      <c r="K1212" s="128"/>
      <c r="L1212" s="128"/>
      <c r="M1212" s="129"/>
      <c r="N1212" s="129"/>
      <c r="O1212" s="129"/>
    </row>
    <row r="1213" spans="1:15" ht="12.5">
      <c r="A1213" s="158" t="s">
        <v>16882</v>
      </c>
      <c r="B1213" s="159">
        <v>20</v>
      </c>
      <c r="C1213" s="159">
        <v>85</v>
      </c>
      <c r="D1213" s="159">
        <v>86</v>
      </c>
      <c r="E1213" s="159">
        <v>31</v>
      </c>
      <c r="F1213" s="160" t="s">
        <v>32838</v>
      </c>
      <c r="G1213" s="132"/>
      <c r="H1213" s="162" t="s">
        <v>16883</v>
      </c>
      <c r="I1213" s="158" t="s">
        <v>16881</v>
      </c>
      <c r="J1213" s="128"/>
      <c r="K1213" s="128"/>
      <c r="L1213" s="128"/>
      <c r="M1213" s="129"/>
      <c r="N1213" s="129"/>
      <c r="O1213" s="129"/>
    </row>
    <row r="1214" spans="1:15" ht="12.5">
      <c r="A1214" s="158" t="s">
        <v>16884</v>
      </c>
      <c r="B1214" s="159">
        <v>20</v>
      </c>
      <c r="C1214" s="159">
        <v>85</v>
      </c>
      <c r="D1214" s="159">
        <v>86</v>
      </c>
      <c r="E1214" s="159">
        <v>76</v>
      </c>
      <c r="F1214" s="160" t="s">
        <v>32838</v>
      </c>
      <c r="G1214" s="132"/>
      <c r="H1214" s="162" t="s">
        <v>16885</v>
      </c>
      <c r="I1214" s="128"/>
      <c r="J1214" s="128"/>
      <c r="K1214" s="128"/>
      <c r="L1214" s="128"/>
      <c r="M1214" s="129"/>
      <c r="N1214" s="129"/>
      <c r="O1214" s="129"/>
    </row>
    <row r="1215" spans="1:15" ht="12.5">
      <c r="A1215" s="187" t="s">
        <v>16886</v>
      </c>
      <c r="B1215" s="159">
        <v>20</v>
      </c>
      <c r="C1215" s="159">
        <v>85</v>
      </c>
      <c r="D1215" s="159">
        <v>86</v>
      </c>
      <c r="E1215" s="159">
        <v>84</v>
      </c>
      <c r="F1215" s="160" t="s">
        <v>33170</v>
      </c>
      <c r="G1215" s="162" t="s">
        <v>33108</v>
      </c>
      <c r="H1215" s="162" t="s">
        <v>16887</v>
      </c>
      <c r="I1215" s="158" t="s">
        <v>33179</v>
      </c>
      <c r="J1215" s="128"/>
      <c r="K1215" s="128"/>
      <c r="L1215" s="128"/>
      <c r="M1215" s="129"/>
      <c r="N1215" s="129"/>
      <c r="O1215" s="129"/>
    </row>
    <row r="1216" spans="1:15" ht="12.5">
      <c r="A1216" s="158" t="s">
        <v>16889</v>
      </c>
      <c r="B1216" s="159">
        <v>20</v>
      </c>
      <c r="C1216" s="159">
        <v>85</v>
      </c>
      <c r="D1216" s="159">
        <v>86</v>
      </c>
      <c r="E1216" s="159">
        <v>89</v>
      </c>
      <c r="F1216" s="160" t="s">
        <v>32838</v>
      </c>
      <c r="G1216" s="132"/>
      <c r="H1216" s="162" t="s">
        <v>16890</v>
      </c>
      <c r="I1216" s="128"/>
      <c r="J1216" s="128"/>
      <c r="K1216" s="128"/>
      <c r="L1216" s="128"/>
      <c r="M1216" s="129"/>
      <c r="N1216" s="129"/>
      <c r="O1216" s="129"/>
    </row>
    <row r="1217" spans="1:15" ht="12.5">
      <c r="A1217" s="158" t="s">
        <v>16891</v>
      </c>
      <c r="B1217" s="159">
        <v>20</v>
      </c>
      <c r="C1217" s="159">
        <v>85</v>
      </c>
      <c r="D1217" s="159">
        <v>86</v>
      </c>
      <c r="E1217" s="159">
        <v>90</v>
      </c>
      <c r="F1217" s="160" t="s">
        <v>32838</v>
      </c>
      <c r="G1217" s="132"/>
      <c r="H1217" s="162" t="s">
        <v>16892</v>
      </c>
      <c r="I1217" s="128"/>
      <c r="J1217" s="128"/>
      <c r="K1217" s="128"/>
      <c r="L1217" s="128"/>
      <c r="M1217" s="129"/>
      <c r="N1217" s="129"/>
      <c r="O1217" s="129"/>
    </row>
    <row r="1218" spans="1:15" ht="12.5">
      <c r="A1218" s="158" t="s">
        <v>16893</v>
      </c>
      <c r="B1218" s="159">
        <v>20</v>
      </c>
      <c r="C1218" s="159">
        <v>85</v>
      </c>
      <c r="D1218" s="159">
        <v>86</v>
      </c>
      <c r="E1218" s="159">
        <v>91</v>
      </c>
      <c r="F1218" s="160" t="s">
        <v>32838</v>
      </c>
      <c r="G1218" s="132"/>
      <c r="H1218" s="162" t="s">
        <v>16894</v>
      </c>
      <c r="I1218" s="128"/>
      <c r="J1218" s="128"/>
      <c r="K1218" s="128"/>
      <c r="L1218" s="128"/>
      <c r="M1218" s="129"/>
      <c r="N1218" s="129"/>
      <c r="O1218" s="129"/>
    </row>
    <row r="1219" spans="1:15" ht="12.5">
      <c r="A1219" s="151" t="s">
        <v>16895</v>
      </c>
      <c r="B1219" s="152">
        <v>20</v>
      </c>
      <c r="C1219" s="152">
        <v>85</v>
      </c>
      <c r="D1219" s="152">
        <v>88</v>
      </c>
      <c r="E1219" s="153"/>
      <c r="F1219" s="188" t="s">
        <v>2011</v>
      </c>
      <c r="G1219" s="189"/>
      <c r="H1219" s="156" t="s">
        <v>16896</v>
      </c>
      <c r="I1219" s="157"/>
      <c r="J1219" s="157"/>
      <c r="K1219" s="157"/>
      <c r="L1219" s="157"/>
      <c r="M1219" s="186"/>
      <c r="N1219" s="186"/>
      <c r="O1219" s="186"/>
    </row>
    <row r="1220" spans="1:15" ht="12.5">
      <c r="A1220" s="158" t="s">
        <v>16897</v>
      </c>
      <c r="B1220" s="159">
        <v>20</v>
      </c>
      <c r="C1220" s="159">
        <v>85</v>
      </c>
      <c r="D1220" s="159">
        <v>88</v>
      </c>
      <c r="E1220" s="159">
        <v>6</v>
      </c>
      <c r="F1220" s="160" t="s">
        <v>32838</v>
      </c>
      <c r="G1220" s="132"/>
      <c r="H1220" s="162" t="s">
        <v>16898</v>
      </c>
      <c r="I1220" s="128"/>
      <c r="J1220" s="128"/>
      <c r="K1220" s="128"/>
      <c r="L1220" s="128"/>
      <c r="M1220" s="129"/>
      <c r="N1220" s="129"/>
      <c r="O1220" s="129"/>
    </row>
    <row r="1221" spans="1:15" ht="12.5">
      <c r="A1221" s="158" t="s">
        <v>16899</v>
      </c>
      <c r="B1221" s="159">
        <v>20</v>
      </c>
      <c r="C1221" s="159">
        <v>85</v>
      </c>
      <c r="D1221" s="159">
        <v>88</v>
      </c>
      <c r="E1221" s="159">
        <v>7</v>
      </c>
      <c r="F1221" s="160" t="s">
        <v>32838</v>
      </c>
      <c r="G1221" s="132"/>
      <c r="H1221" s="162" t="s">
        <v>16900</v>
      </c>
      <c r="I1221" s="128"/>
      <c r="J1221" s="128"/>
      <c r="K1221" s="128"/>
      <c r="L1221" s="128"/>
      <c r="M1221" s="129"/>
      <c r="N1221" s="129"/>
      <c r="O1221" s="129"/>
    </row>
    <row r="1222" spans="1:15" ht="12.5">
      <c r="A1222" s="158" t="s">
        <v>16901</v>
      </c>
      <c r="B1222" s="159">
        <v>20</v>
      </c>
      <c r="C1222" s="159">
        <v>85</v>
      </c>
      <c r="D1222" s="159">
        <v>88</v>
      </c>
      <c r="E1222" s="159">
        <v>17</v>
      </c>
      <c r="F1222" s="160" t="s">
        <v>32838</v>
      </c>
      <c r="G1222" s="132"/>
      <c r="H1222" s="162" t="s">
        <v>16902</v>
      </c>
      <c r="I1222" s="158" t="s">
        <v>16903</v>
      </c>
      <c r="J1222" s="128"/>
      <c r="K1222" s="128"/>
      <c r="L1222" s="128"/>
      <c r="M1222" s="129"/>
      <c r="N1222" s="129"/>
      <c r="O1222" s="129"/>
    </row>
    <row r="1223" spans="1:15" ht="12.5">
      <c r="A1223" s="151" t="s">
        <v>16904</v>
      </c>
      <c r="B1223" s="152">
        <v>20</v>
      </c>
      <c r="C1223" s="152">
        <v>85</v>
      </c>
      <c r="D1223" s="152">
        <v>89</v>
      </c>
      <c r="E1223" s="153"/>
      <c r="F1223" s="154" t="s">
        <v>2011</v>
      </c>
      <c r="G1223" s="168"/>
      <c r="H1223" s="156" t="s">
        <v>16905</v>
      </c>
      <c r="I1223" s="157"/>
      <c r="J1223" s="157"/>
      <c r="K1223" s="157"/>
      <c r="L1223" s="157"/>
      <c r="M1223" s="186"/>
      <c r="N1223" s="186"/>
      <c r="O1223" s="186"/>
    </row>
    <row r="1224" spans="1:15" ht="12.5">
      <c r="A1224" s="158" t="s">
        <v>16906</v>
      </c>
      <c r="B1224" s="159">
        <v>20</v>
      </c>
      <c r="C1224" s="159">
        <v>85</v>
      </c>
      <c r="D1224" s="159">
        <v>89</v>
      </c>
      <c r="E1224" s="159">
        <v>30</v>
      </c>
      <c r="F1224" s="160" t="s">
        <v>32838</v>
      </c>
      <c r="G1224" s="132"/>
      <c r="H1224" s="162" t="s">
        <v>16907</v>
      </c>
      <c r="I1224" s="158" t="s">
        <v>16908</v>
      </c>
      <c r="J1224" s="128"/>
      <c r="K1224" s="128"/>
      <c r="L1224" s="128"/>
      <c r="M1224" s="129"/>
      <c r="N1224" s="129"/>
      <c r="O1224" s="129"/>
    </row>
    <row r="1225" spans="1:15" ht="12.5">
      <c r="A1225" s="158" t="s">
        <v>16909</v>
      </c>
      <c r="B1225" s="159">
        <v>20</v>
      </c>
      <c r="C1225" s="159">
        <v>85</v>
      </c>
      <c r="D1225" s="159">
        <v>89</v>
      </c>
      <c r="E1225" s="159">
        <v>31</v>
      </c>
      <c r="F1225" s="160" t="s">
        <v>32838</v>
      </c>
      <c r="G1225" s="132"/>
      <c r="H1225" s="162" t="s">
        <v>16910</v>
      </c>
      <c r="I1225" s="158" t="s">
        <v>16911</v>
      </c>
      <c r="J1225" s="128"/>
      <c r="K1225" s="128"/>
      <c r="L1225" s="128"/>
      <c r="M1225" s="129"/>
      <c r="N1225" s="129"/>
      <c r="O1225" s="129"/>
    </row>
    <row r="1226" spans="1:15" ht="12.5">
      <c r="A1226" s="158" t="s">
        <v>16912</v>
      </c>
      <c r="B1226" s="159">
        <v>20</v>
      </c>
      <c r="C1226" s="159">
        <v>85</v>
      </c>
      <c r="D1226" s="159">
        <v>89</v>
      </c>
      <c r="E1226" s="159">
        <v>39</v>
      </c>
      <c r="F1226" s="160" t="s">
        <v>32838</v>
      </c>
      <c r="G1226" s="132"/>
      <c r="H1226" s="162" t="s">
        <v>16913</v>
      </c>
      <c r="I1226" s="158" t="s">
        <v>16914</v>
      </c>
      <c r="J1226" s="128"/>
      <c r="K1226" s="128"/>
      <c r="L1226" s="128"/>
      <c r="M1226" s="129"/>
      <c r="N1226" s="129"/>
      <c r="O1226" s="129"/>
    </row>
    <row r="1227" spans="1:15" ht="12.5">
      <c r="A1227" s="151" t="s">
        <v>16915</v>
      </c>
      <c r="B1227" s="152">
        <v>20</v>
      </c>
      <c r="C1227" s="152">
        <v>85</v>
      </c>
      <c r="D1227" s="152">
        <v>90</v>
      </c>
      <c r="E1227" s="153"/>
      <c r="F1227" s="154" t="s">
        <v>2011</v>
      </c>
      <c r="G1227" s="168"/>
      <c r="H1227" s="156" t="s">
        <v>16916</v>
      </c>
      <c r="I1227" s="157"/>
      <c r="J1227" s="157"/>
      <c r="K1227" s="157"/>
      <c r="L1227" s="157"/>
      <c r="M1227" s="186"/>
      <c r="N1227" s="186"/>
      <c r="O1227" s="186"/>
    </row>
    <row r="1228" spans="1:15" ht="12.5">
      <c r="A1228" s="158" t="s">
        <v>16917</v>
      </c>
      <c r="B1228" s="159">
        <v>20</v>
      </c>
      <c r="C1228" s="159">
        <v>85</v>
      </c>
      <c r="D1228" s="159">
        <v>90</v>
      </c>
      <c r="E1228" s="159">
        <v>2</v>
      </c>
      <c r="F1228" s="160" t="s">
        <v>32838</v>
      </c>
      <c r="G1228" s="132"/>
      <c r="H1228" s="162" t="s">
        <v>16918</v>
      </c>
      <c r="I1228" s="158" t="s">
        <v>16919</v>
      </c>
      <c r="J1228" s="128"/>
      <c r="K1228" s="128"/>
      <c r="L1228" s="128"/>
      <c r="M1228" s="129"/>
      <c r="N1228" s="129"/>
      <c r="O1228" s="129"/>
    </row>
    <row r="1229" spans="1:15" ht="12.5">
      <c r="A1229" s="158" t="s">
        <v>16920</v>
      </c>
      <c r="B1229" s="159">
        <v>20</v>
      </c>
      <c r="C1229" s="159">
        <v>85</v>
      </c>
      <c r="D1229" s="159">
        <v>90</v>
      </c>
      <c r="E1229" s="159">
        <v>11</v>
      </c>
      <c r="F1229" s="160" t="s">
        <v>32838</v>
      </c>
      <c r="G1229" s="132"/>
      <c r="H1229" s="162" t="s">
        <v>16921</v>
      </c>
      <c r="I1229" s="158" t="s">
        <v>16922</v>
      </c>
      <c r="J1229" s="128"/>
      <c r="K1229" s="128"/>
      <c r="L1229" s="128"/>
      <c r="M1229" s="129"/>
      <c r="N1229" s="129"/>
      <c r="O1229" s="129"/>
    </row>
    <row r="1230" spans="1:15" ht="12.5">
      <c r="A1230" s="158" t="s">
        <v>16923</v>
      </c>
      <c r="B1230" s="159">
        <v>20</v>
      </c>
      <c r="C1230" s="159">
        <v>85</v>
      </c>
      <c r="D1230" s="159">
        <v>90</v>
      </c>
      <c r="E1230" s="159">
        <v>12</v>
      </c>
      <c r="F1230" s="160" t="s">
        <v>32838</v>
      </c>
      <c r="G1230" s="132"/>
      <c r="H1230" s="162" t="s">
        <v>16924</v>
      </c>
      <c r="I1230" s="158" t="s">
        <v>16925</v>
      </c>
      <c r="J1230" s="128"/>
      <c r="K1230" s="128"/>
      <c r="L1230" s="128"/>
      <c r="M1230" s="129"/>
      <c r="N1230" s="129"/>
      <c r="O1230" s="129"/>
    </row>
    <row r="1231" spans="1:15" ht="12.5">
      <c r="A1231" s="158" t="s">
        <v>16926</v>
      </c>
      <c r="B1231" s="159">
        <v>20</v>
      </c>
      <c r="C1231" s="159">
        <v>85</v>
      </c>
      <c r="D1231" s="159">
        <v>90</v>
      </c>
      <c r="E1231" s="159">
        <v>36</v>
      </c>
      <c r="F1231" s="160" t="s">
        <v>32838</v>
      </c>
      <c r="G1231" s="132"/>
      <c r="H1231" s="162" t="s">
        <v>16927</v>
      </c>
      <c r="I1231" s="128"/>
      <c r="J1231" s="128"/>
      <c r="K1231" s="128"/>
      <c r="L1231" s="128"/>
      <c r="M1231" s="129"/>
      <c r="N1231" s="129"/>
      <c r="O1231" s="129"/>
    </row>
    <row r="1232" spans="1:15" ht="12.5">
      <c r="A1232" s="158" t="s">
        <v>16928</v>
      </c>
      <c r="B1232" s="159">
        <v>20</v>
      </c>
      <c r="C1232" s="159">
        <v>85</v>
      </c>
      <c r="D1232" s="159">
        <v>90</v>
      </c>
      <c r="E1232" s="159">
        <v>37</v>
      </c>
      <c r="F1232" s="160" t="s">
        <v>32838</v>
      </c>
      <c r="G1232" s="132"/>
      <c r="H1232" s="162" t="s">
        <v>16929</v>
      </c>
      <c r="I1232" s="128"/>
      <c r="J1232" s="128"/>
      <c r="K1232" s="128"/>
      <c r="L1232" s="128"/>
      <c r="M1232" s="129"/>
      <c r="N1232" s="129"/>
      <c r="O1232" s="129"/>
    </row>
    <row r="1233" spans="1:15" ht="12.5">
      <c r="A1233" s="158" t="s">
        <v>16930</v>
      </c>
      <c r="B1233" s="159">
        <v>20</v>
      </c>
      <c r="C1233" s="159">
        <v>85</v>
      </c>
      <c r="D1233" s="159">
        <v>90</v>
      </c>
      <c r="E1233" s="159">
        <v>38</v>
      </c>
      <c r="F1233" s="160" t="s">
        <v>32838</v>
      </c>
      <c r="G1233" s="132"/>
      <c r="H1233" s="162" t="s">
        <v>16931</v>
      </c>
      <c r="I1233" s="128"/>
      <c r="J1233" s="128"/>
      <c r="K1233" s="128"/>
      <c r="L1233" s="128"/>
      <c r="M1233" s="129"/>
      <c r="N1233" s="129"/>
      <c r="O1233" s="129"/>
    </row>
    <row r="1234" spans="1:15" ht="12.5">
      <c r="A1234" s="158" t="s">
        <v>16932</v>
      </c>
      <c r="B1234" s="159">
        <v>20</v>
      </c>
      <c r="C1234" s="159">
        <v>85</v>
      </c>
      <c r="D1234" s="159">
        <v>90</v>
      </c>
      <c r="E1234" s="159">
        <v>81</v>
      </c>
      <c r="F1234" s="160" t="s">
        <v>32838</v>
      </c>
      <c r="G1234" s="132"/>
      <c r="H1234" s="162" t="s">
        <v>16933</v>
      </c>
      <c r="I1234" s="128"/>
      <c r="J1234" s="128"/>
      <c r="K1234" s="128"/>
      <c r="L1234" s="128"/>
      <c r="M1234" s="129"/>
      <c r="N1234" s="129"/>
      <c r="O1234" s="129"/>
    </row>
    <row r="1235" spans="1:15" ht="12.5">
      <c r="A1235" s="158" t="s">
        <v>16934</v>
      </c>
      <c r="B1235" s="159">
        <v>20</v>
      </c>
      <c r="C1235" s="159">
        <v>85</v>
      </c>
      <c r="D1235" s="159">
        <v>90</v>
      </c>
      <c r="E1235" s="159">
        <v>82</v>
      </c>
      <c r="F1235" s="160" t="s">
        <v>32838</v>
      </c>
      <c r="G1235" s="132"/>
      <c r="H1235" s="162" t="s">
        <v>16935</v>
      </c>
      <c r="I1235" s="158" t="s">
        <v>16936</v>
      </c>
      <c r="J1235" s="128"/>
      <c r="K1235" s="128"/>
      <c r="L1235" s="128"/>
      <c r="M1235" s="129"/>
      <c r="N1235" s="129"/>
      <c r="O1235" s="129"/>
    </row>
    <row r="1236" spans="1:15" ht="12.5">
      <c r="A1236" s="144" t="s">
        <v>16939</v>
      </c>
      <c r="B1236" s="145">
        <v>20</v>
      </c>
      <c r="C1236" s="145">
        <v>93</v>
      </c>
      <c r="D1236" s="146"/>
      <c r="E1236" s="146"/>
      <c r="F1236" s="147" t="s">
        <v>33180</v>
      </c>
      <c r="G1236" s="190"/>
      <c r="H1236" s="149" t="s">
        <v>16940</v>
      </c>
      <c r="I1236" s="150"/>
      <c r="J1236" s="150"/>
      <c r="K1236" s="150"/>
      <c r="L1236" s="150"/>
      <c r="M1236" s="191"/>
      <c r="N1236" s="191"/>
      <c r="O1236" s="191"/>
    </row>
    <row r="1237" spans="1:15" ht="12.5">
      <c r="A1237" s="151" t="s">
        <v>16941</v>
      </c>
      <c r="B1237" s="152">
        <v>20</v>
      </c>
      <c r="C1237" s="152">
        <v>93</v>
      </c>
      <c r="D1237" s="152">
        <v>33</v>
      </c>
      <c r="E1237" s="153"/>
      <c r="F1237" s="154" t="s">
        <v>2011</v>
      </c>
      <c r="G1237" s="155"/>
      <c r="H1237" s="156" t="s">
        <v>16942</v>
      </c>
      <c r="I1237" s="157"/>
      <c r="J1237" s="157"/>
      <c r="K1237" s="157"/>
      <c r="L1237" s="157"/>
      <c r="M1237" s="186"/>
      <c r="N1237" s="186"/>
      <c r="O1237" s="186"/>
    </row>
    <row r="1238" spans="1:15" ht="12.5">
      <c r="A1238" s="158" t="s">
        <v>16943</v>
      </c>
      <c r="B1238" s="159">
        <v>20</v>
      </c>
      <c r="C1238" s="159">
        <v>93</v>
      </c>
      <c r="D1238" s="159">
        <v>33</v>
      </c>
      <c r="E1238" s="159">
        <v>12</v>
      </c>
      <c r="F1238" s="160" t="s">
        <v>33170</v>
      </c>
      <c r="G1238" s="162" t="s">
        <v>33181</v>
      </c>
      <c r="H1238" s="162" t="s">
        <v>16944</v>
      </c>
      <c r="I1238" s="158" t="s">
        <v>33182</v>
      </c>
      <c r="J1238" s="128"/>
      <c r="K1238" s="128"/>
      <c r="L1238" s="128"/>
      <c r="M1238" s="129"/>
      <c r="N1238" s="129"/>
      <c r="O1238" s="129"/>
    </row>
    <row r="1239" spans="1:15" ht="12.5">
      <c r="A1239" s="158" t="s">
        <v>16946</v>
      </c>
      <c r="B1239" s="159">
        <v>20</v>
      </c>
      <c r="C1239" s="159">
        <v>93</v>
      </c>
      <c r="D1239" s="159">
        <v>33</v>
      </c>
      <c r="E1239" s="159">
        <v>30</v>
      </c>
      <c r="F1239" s="160" t="s">
        <v>32838</v>
      </c>
      <c r="G1239" s="132"/>
      <c r="H1239" s="162" t="s">
        <v>16947</v>
      </c>
      <c r="I1239" s="158" t="s">
        <v>16948</v>
      </c>
      <c r="J1239" s="128"/>
      <c r="K1239" s="128"/>
      <c r="L1239" s="128"/>
      <c r="M1239" s="129"/>
      <c r="N1239" s="129"/>
      <c r="O1239" s="129"/>
    </row>
    <row r="1240" spans="1:15" ht="12.5">
      <c r="A1240" s="158" t="s">
        <v>16949</v>
      </c>
      <c r="B1240" s="159">
        <v>20</v>
      </c>
      <c r="C1240" s="159">
        <v>93</v>
      </c>
      <c r="D1240" s="159">
        <v>33</v>
      </c>
      <c r="E1240" s="159">
        <v>31</v>
      </c>
      <c r="F1240" s="160" t="s">
        <v>32838</v>
      </c>
      <c r="G1240" s="132"/>
      <c r="H1240" s="162" t="s">
        <v>16950</v>
      </c>
      <c r="I1240" s="158" t="s">
        <v>16951</v>
      </c>
      <c r="J1240" s="128"/>
      <c r="K1240" s="128"/>
      <c r="L1240" s="128"/>
      <c r="M1240" s="129"/>
      <c r="N1240" s="129"/>
      <c r="O1240" s="129"/>
    </row>
    <row r="1241" spans="1:15" ht="12.5">
      <c r="A1241" s="158" t="s">
        <v>16952</v>
      </c>
      <c r="B1241" s="159">
        <v>20</v>
      </c>
      <c r="C1241" s="159">
        <v>93</v>
      </c>
      <c r="D1241" s="159">
        <v>33</v>
      </c>
      <c r="E1241" s="159">
        <v>32</v>
      </c>
      <c r="F1241" s="160" t="s">
        <v>32838</v>
      </c>
      <c r="G1241" s="132"/>
      <c r="H1241" s="162" t="s">
        <v>16953</v>
      </c>
      <c r="I1241" s="158" t="s">
        <v>16954</v>
      </c>
      <c r="J1241" s="128"/>
      <c r="K1241" s="128"/>
      <c r="L1241" s="128"/>
      <c r="M1241" s="129"/>
      <c r="N1241" s="129"/>
      <c r="O1241" s="129"/>
    </row>
    <row r="1242" spans="1:15" ht="12.5">
      <c r="A1242" s="158" t="s">
        <v>16955</v>
      </c>
      <c r="B1242" s="159">
        <v>20</v>
      </c>
      <c r="C1242" s="159">
        <v>93</v>
      </c>
      <c r="D1242" s="159">
        <v>33</v>
      </c>
      <c r="E1242" s="159">
        <v>33</v>
      </c>
      <c r="F1242" s="160" t="s">
        <v>32838</v>
      </c>
      <c r="G1242" s="132"/>
      <c r="H1242" s="162" t="s">
        <v>16956</v>
      </c>
      <c r="I1242" s="158" t="s">
        <v>16957</v>
      </c>
      <c r="J1242" s="128"/>
      <c r="K1242" s="128"/>
      <c r="L1242" s="128"/>
      <c r="M1242" s="129"/>
      <c r="N1242" s="129"/>
      <c r="O1242" s="129"/>
    </row>
    <row r="1243" spans="1:15" ht="12.5">
      <c r="A1243" s="158" t="s">
        <v>16958</v>
      </c>
      <c r="B1243" s="159">
        <v>20</v>
      </c>
      <c r="C1243" s="159">
        <v>93</v>
      </c>
      <c r="D1243" s="159">
        <v>33</v>
      </c>
      <c r="E1243" s="159">
        <v>34</v>
      </c>
      <c r="F1243" s="160" t="s">
        <v>32838</v>
      </c>
      <c r="G1243" s="132"/>
      <c r="H1243" s="162" t="s">
        <v>16959</v>
      </c>
      <c r="I1243" s="158" t="s">
        <v>16960</v>
      </c>
      <c r="J1243" s="128"/>
      <c r="K1243" s="128"/>
      <c r="L1243" s="128"/>
      <c r="M1243" s="129"/>
      <c r="N1243" s="129"/>
      <c r="O1243" s="129"/>
    </row>
    <row r="1244" spans="1:15" ht="12.5">
      <c r="A1244" s="158" t="s">
        <v>16961</v>
      </c>
      <c r="B1244" s="159">
        <v>20</v>
      </c>
      <c r="C1244" s="159">
        <v>93</v>
      </c>
      <c r="D1244" s="159">
        <v>33</v>
      </c>
      <c r="E1244" s="159">
        <v>52</v>
      </c>
      <c r="F1244" s="160" t="s">
        <v>32838</v>
      </c>
      <c r="G1244" s="132"/>
      <c r="H1244" s="162" t="s">
        <v>16962</v>
      </c>
      <c r="I1244" s="158" t="s">
        <v>16963</v>
      </c>
      <c r="J1244" s="128"/>
      <c r="K1244" s="128"/>
      <c r="L1244" s="128"/>
      <c r="M1244" s="129"/>
      <c r="N1244" s="129"/>
      <c r="O1244" s="129"/>
    </row>
    <row r="1245" spans="1:15" ht="12.5">
      <c r="A1245" s="158" t="s">
        <v>16964</v>
      </c>
      <c r="B1245" s="159">
        <v>20</v>
      </c>
      <c r="C1245" s="159">
        <v>93</v>
      </c>
      <c r="D1245" s="159">
        <v>33</v>
      </c>
      <c r="E1245" s="159">
        <v>53</v>
      </c>
      <c r="F1245" s="160" t="s">
        <v>32838</v>
      </c>
      <c r="G1245" s="132"/>
      <c r="H1245" s="162" t="s">
        <v>16965</v>
      </c>
      <c r="I1245" s="158" t="s">
        <v>16966</v>
      </c>
      <c r="J1245" s="128"/>
      <c r="K1245" s="128"/>
      <c r="L1245" s="128"/>
      <c r="M1245" s="129"/>
      <c r="N1245" s="129"/>
      <c r="O1245" s="129"/>
    </row>
    <row r="1246" spans="1:15" ht="12.5">
      <c r="A1246" s="158" t="s">
        <v>16967</v>
      </c>
      <c r="B1246" s="159">
        <v>20</v>
      </c>
      <c r="C1246" s="159">
        <v>93</v>
      </c>
      <c r="D1246" s="159">
        <v>33</v>
      </c>
      <c r="E1246" s="159">
        <v>76</v>
      </c>
      <c r="F1246" s="160" t="s">
        <v>32838</v>
      </c>
      <c r="G1246" s="132"/>
      <c r="H1246" s="162" t="s">
        <v>33183</v>
      </c>
      <c r="I1246" s="158" t="s">
        <v>16969</v>
      </c>
      <c r="J1246" s="128"/>
      <c r="K1246" s="128"/>
      <c r="L1246" s="128"/>
      <c r="M1246" s="129"/>
      <c r="N1246" s="129"/>
      <c r="O1246" s="129"/>
    </row>
    <row r="1247" spans="1:15" ht="12.5">
      <c r="A1247" s="151" t="s">
        <v>16970</v>
      </c>
      <c r="B1247" s="152">
        <v>20</v>
      </c>
      <c r="C1247" s="152">
        <v>93</v>
      </c>
      <c r="D1247" s="152">
        <v>37</v>
      </c>
      <c r="E1247" s="153"/>
      <c r="F1247" s="154" t="s">
        <v>2011</v>
      </c>
      <c r="G1247" s="168"/>
      <c r="H1247" s="156" t="s">
        <v>16971</v>
      </c>
      <c r="I1247" s="157"/>
      <c r="J1247" s="157"/>
      <c r="K1247" s="157"/>
      <c r="L1247" s="157"/>
      <c r="M1247" s="186"/>
      <c r="N1247" s="186"/>
      <c r="O1247" s="186"/>
    </row>
    <row r="1248" spans="1:15" ht="12.5">
      <c r="A1248" s="158" t="s">
        <v>16972</v>
      </c>
      <c r="B1248" s="159">
        <v>20</v>
      </c>
      <c r="C1248" s="159">
        <v>93</v>
      </c>
      <c r="D1248" s="159">
        <v>37</v>
      </c>
      <c r="E1248" s="159">
        <v>62</v>
      </c>
      <c r="F1248" s="160" t="s">
        <v>32838</v>
      </c>
      <c r="G1248" s="132"/>
      <c r="H1248" s="162" t="s">
        <v>16973</v>
      </c>
      <c r="I1248" s="158" t="s">
        <v>16974</v>
      </c>
      <c r="J1248" s="128"/>
      <c r="K1248" s="128"/>
      <c r="L1248" s="128"/>
      <c r="M1248" s="129"/>
      <c r="N1248" s="129"/>
      <c r="O1248" s="129"/>
    </row>
    <row r="1249" spans="1:15" ht="12.5">
      <c r="A1249" s="158" t="s">
        <v>16975</v>
      </c>
      <c r="B1249" s="159">
        <v>20</v>
      </c>
      <c r="C1249" s="159">
        <v>93</v>
      </c>
      <c r="D1249" s="159">
        <v>37</v>
      </c>
      <c r="E1249" s="159">
        <v>63</v>
      </c>
      <c r="F1249" s="160" t="s">
        <v>32838</v>
      </c>
      <c r="G1249" s="132"/>
      <c r="H1249" s="162" t="s">
        <v>16976</v>
      </c>
      <c r="I1249" s="158" t="s">
        <v>16977</v>
      </c>
      <c r="J1249" s="128"/>
      <c r="K1249" s="128"/>
      <c r="L1249" s="128"/>
      <c r="M1249" s="129"/>
      <c r="N1249" s="129"/>
      <c r="O1249" s="129"/>
    </row>
    <row r="1250" spans="1:15" ht="12.5">
      <c r="A1250" s="158" t="s">
        <v>16978</v>
      </c>
      <c r="B1250" s="159">
        <v>20</v>
      </c>
      <c r="C1250" s="159">
        <v>93</v>
      </c>
      <c r="D1250" s="159">
        <v>37</v>
      </c>
      <c r="E1250" s="159">
        <v>65</v>
      </c>
      <c r="F1250" s="160" t="s">
        <v>32838</v>
      </c>
      <c r="G1250" s="132"/>
      <c r="H1250" s="162" t="s">
        <v>16979</v>
      </c>
      <c r="I1250" s="158" t="s">
        <v>16980</v>
      </c>
      <c r="J1250" s="128"/>
      <c r="K1250" s="128"/>
      <c r="L1250" s="128"/>
      <c r="M1250" s="129"/>
      <c r="N1250" s="129"/>
      <c r="O1250" s="129"/>
    </row>
    <row r="1251" spans="1:15" ht="12.5">
      <c r="A1251" s="158" t="s">
        <v>16981</v>
      </c>
      <c r="B1251" s="159">
        <v>20</v>
      </c>
      <c r="C1251" s="159">
        <v>93</v>
      </c>
      <c r="D1251" s="159">
        <v>37</v>
      </c>
      <c r="E1251" s="159">
        <v>66</v>
      </c>
      <c r="F1251" s="160" t="s">
        <v>32838</v>
      </c>
      <c r="G1251" s="132"/>
      <c r="H1251" s="162" t="s">
        <v>16982</v>
      </c>
      <c r="I1251" s="158" t="s">
        <v>16983</v>
      </c>
      <c r="J1251" s="128"/>
      <c r="K1251" s="128"/>
      <c r="L1251" s="128"/>
      <c r="M1251" s="129"/>
      <c r="N1251" s="129"/>
      <c r="O1251" s="129"/>
    </row>
    <row r="1252" spans="1:15" ht="12.5">
      <c r="A1252" s="151" t="s">
        <v>16984</v>
      </c>
      <c r="B1252" s="152">
        <v>20</v>
      </c>
      <c r="C1252" s="152">
        <v>93</v>
      </c>
      <c r="D1252" s="152">
        <v>51</v>
      </c>
      <c r="E1252" s="153"/>
      <c r="F1252" s="154" t="s">
        <v>33170</v>
      </c>
      <c r="G1252" s="155"/>
      <c r="H1252" s="156" t="s">
        <v>16985</v>
      </c>
      <c r="I1252" s="157"/>
      <c r="J1252" s="157"/>
      <c r="K1252" s="157"/>
      <c r="L1252" s="157"/>
      <c r="M1252" s="186"/>
      <c r="N1252" s="186"/>
      <c r="O1252" s="186"/>
    </row>
    <row r="1253" spans="1:15" ht="12.5">
      <c r="A1253" s="158" t="s">
        <v>16986</v>
      </c>
      <c r="B1253" s="159">
        <v>20</v>
      </c>
      <c r="C1253" s="159">
        <v>93</v>
      </c>
      <c r="D1253" s="159">
        <v>51</v>
      </c>
      <c r="E1253" s="159">
        <v>2</v>
      </c>
      <c r="F1253" s="160" t="s">
        <v>33170</v>
      </c>
      <c r="G1253" s="162" t="s">
        <v>33184</v>
      </c>
      <c r="H1253" s="162" t="s">
        <v>16987</v>
      </c>
      <c r="I1253" s="158" t="s">
        <v>33185</v>
      </c>
      <c r="J1253" s="128"/>
      <c r="K1253" s="128"/>
      <c r="L1253" s="128"/>
      <c r="M1253" s="129"/>
      <c r="N1253" s="129"/>
      <c r="O1253" s="129"/>
    </row>
    <row r="1254" spans="1:15" ht="12.5">
      <c r="A1254" s="158" t="s">
        <v>16989</v>
      </c>
      <c r="B1254" s="159">
        <v>20</v>
      </c>
      <c r="C1254" s="159">
        <v>93</v>
      </c>
      <c r="D1254" s="159">
        <v>51</v>
      </c>
      <c r="E1254" s="159">
        <v>5</v>
      </c>
      <c r="F1254" s="160" t="s">
        <v>33170</v>
      </c>
      <c r="G1254" s="162" t="s">
        <v>33186</v>
      </c>
      <c r="H1254" s="162" t="s">
        <v>16990</v>
      </c>
      <c r="I1254" s="158" t="s">
        <v>33187</v>
      </c>
      <c r="J1254" s="128"/>
      <c r="K1254" s="128"/>
      <c r="L1254" s="128"/>
      <c r="M1254" s="129"/>
      <c r="N1254" s="129"/>
      <c r="O1254" s="129"/>
    </row>
    <row r="1255" spans="1:15" ht="12.5">
      <c r="A1255" s="158" t="s">
        <v>16992</v>
      </c>
      <c r="B1255" s="159">
        <v>20</v>
      </c>
      <c r="C1255" s="159">
        <v>93</v>
      </c>
      <c r="D1255" s="159">
        <v>51</v>
      </c>
      <c r="E1255" s="159">
        <v>28</v>
      </c>
      <c r="F1255" s="160" t="s">
        <v>33170</v>
      </c>
      <c r="G1255" s="162" t="s">
        <v>33188</v>
      </c>
      <c r="H1255" s="162" t="s">
        <v>16993</v>
      </c>
      <c r="I1255" s="158" t="s">
        <v>33189</v>
      </c>
      <c r="J1255" s="128"/>
      <c r="K1255" s="128"/>
      <c r="L1255" s="128"/>
      <c r="M1255" s="129"/>
      <c r="N1255" s="129"/>
      <c r="O1255" s="129"/>
    </row>
    <row r="1256" spans="1:15" ht="12.5">
      <c r="A1256" s="151" t="s">
        <v>16995</v>
      </c>
      <c r="B1256" s="152">
        <v>20</v>
      </c>
      <c r="C1256" s="152">
        <v>93</v>
      </c>
      <c r="D1256" s="152">
        <v>52</v>
      </c>
      <c r="E1256" s="153"/>
      <c r="F1256" s="154" t="s">
        <v>33190</v>
      </c>
      <c r="G1256" s="155"/>
      <c r="H1256" s="156" t="s">
        <v>16996</v>
      </c>
      <c r="I1256" s="157"/>
      <c r="J1256" s="157"/>
      <c r="K1256" s="157"/>
      <c r="L1256" s="157"/>
      <c r="M1256" s="186"/>
      <c r="N1256" s="186"/>
      <c r="O1256" s="186"/>
    </row>
    <row r="1257" spans="1:15" ht="12.5">
      <c r="A1257" s="158" t="s">
        <v>16997</v>
      </c>
      <c r="B1257" s="159">
        <v>20</v>
      </c>
      <c r="C1257" s="159">
        <v>93</v>
      </c>
      <c r="D1257" s="159">
        <v>52</v>
      </c>
      <c r="E1257" s="159">
        <v>1</v>
      </c>
      <c r="F1257" s="160" t="s">
        <v>33191</v>
      </c>
      <c r="G1257" s="162" t="s">
        <v>33192</v>
      </c>
      <c r="H1257" s="162" t="s">
        <v>16998</v>
      </c>
      <c r="I1257" s="158" t="s">
        <v>33193</v>
      </c>
      <c r="J1257" s="128"/>
      <c r="K1257" s="128"/>
      <c r="L1257" s="128"/>
      <c r="M1257" s="129"/>
      <c r="N1257" s="129"/>
      <c r="O1257" s="129"/>
    </row>
    <row r="1258" spans="1:15" ht="12.5">
      <c r="A1258" s="158" t="s">
        <v>17000</v>
      </c>
      <c r="B1258" s="159">
        <v>20</v>
      </c>
      <c r="C1258" s="159">
        <v>93</v>
      </c>
      <c r="D1258" s="159">
        <v>52</v>
      </c>
      <c r="E1258" s="159">
        <v>2</v>
      </c>
      <c r="F1258" s="160" t="s">
        <v>33170</v>
      </c>
      <c r="G1258" s="162" t="s">
        <v>33192</v>
      </c>
      <c r="H1258" s="162" t="s">
        <v>17001</v>
      </c>
      <c r="I1258" s="158" t="s">
        <v>33194</v>
      </c>
      <c r="J1258" s="128"/>
      <c r="K1258" s="128"/>
      <c r="L1258" s="128"/>
      <c r="M1258" s="129"/>
      <c r="N1258" s="129"/>
      <c r="O1258" s="129"/>
    </row>
    <row r="1259" spans="1:15" ht="12.5">
      <c r="A1259" s="158" t="s">
        <v>17003</v>
      </c>
      <c r="B1259" s="159">
        <v>20</v>
      </c>
      <c r="C1259" s="159">
        <v>93</v>
      </c>
      <c r="D1259" s="159">
        <v>52</v>
      </c>
      <c r="E1259" s="159">
        <v>5</v>
      </c>
      <c r="F1259" s="160" t="s">
        <v>33195</v>
      </c>
      <c r="G1259" s="162" t="s">
        <v>33196</v>
      </c>
      <c r="H1259" s="162" t="s">
        <v>17004</v>
      </c>
      <c r="I1259" s="158" t="s">
        <v>33197</v>
      </c>
      <c r="J1259" s="128"/>
      <c r="K1259" s="128"/>
      <c r="L1259" s="128"/>
      <c r="M1259" s="129"/>
      <c r="N1259" s="129"/>
      <c r="O1259" s="129"/>
    </row>
    <row r="1260" spans="1:15" ht="12.5">
      <c r="A1260" s="158" t="s">
        <v>17006</v>
      </c>
      <c r="B1260" s="159">
        <v>20</v>
      </c>
      <c r="C1260" s="159">
        <v>93</v>
      </c>
      <c r="D1260" s="159">
        <v>52</v>
      </c>
      <c r="E1260" s="159">
        <v>11</v>
      </c>
      <c r="F1260" s="160" t="s">
        <v>32838</v>
      </c>
      <c r="G1260" s="132"/>
      <c r="H1260" s="162" t="s">
        <v>17007</v>
      </c>
      <c r="I1260" s="128"/>
      <c r="J1260" s="128"/>
      <c r="K1260" s="128"/>
      <c r="L1260" s="128"/>
      <c r="M1260" s="129"/>
      <c r="N1260" s="129"/>
      <c r="O1260" s="129"/>
    </row>
    <row r="1261" spans="1:15" ht="12.5">
      <c r="A1261" s="158" t="s">
        <v>17008</v>
      </c>
      <c r="B1261" s="159">
        <v>20</v>
      </c>
      <c r="C1261" s="159">
        <v>93</v>
      </c>
      <c r="D1261" s="159">
        <v>52</v>
      </c>
      <c r="E1261" s="159">
        <v>12</v>
      </c>
      <c r="F1261" s="160" t="s">
        <v>32838</v>
      </c>
      <c r="G1261" s="132"/>
      <c r="H1261" s="162" t="s">
        <v>17009</v>
      </c>
      <c r="I1261" s="128"/>
      <c r="J1261" s="128"/>
      <c r="K1261" s="128"/>
      <c r="L1261" s="128"/>
      <c r="M1261" s="129"/>
      <c r="N1261" s="129"/>
      <c r="O1261" s="129"/>
    </row>
    <row r="1262" spans="1:15" ht="12.5">
      <c r="A1262" s="158" t="s">
        <v>17010</v>
      </c>
      <c r="B1262" s="159">
        <v>20</v>
      </c>
      <c r="C1262" s="159">
        <v>93</v>
      </c>
      <c r="D1262" s="159">
        <v>52</v>
      </c>
      <c r="E1262" s="159">
        <v>13</v>
      </c>
      <c r="F1262" s="160" t="s">
        <v>32838</v>
      </c>
      <c r="G1262" s="132"/>
      <c r="H1262" s="162" t="s">
        <v>17011</v>
      </c>
      <c r="I1262" s="158" t="s">
        <v>17012</v>
      </c>
      <c r="J1262" s="128"/>
      <c r="K1262" s="128"/>
      <c r="L1262" s="128"/>
      <c r="M1262" s="129"/>
      <c r="N1262" s="129"/>
      <c r="O1262" s="129"/>
    </row>
    <row r="1263" spans="1:15" ht="12.5">
      <c r="A1263" s="158" t="s">
        <v>17013</v>
      </c>
      <c r="B1263" s="159">
        <v>20</v>
      </c>
      <c r="C1263" s="159">
        <v>93</v>
      </c>
      <c r="D1263" s="159">
        <v>52</v>
      </c>
      <c r="E1263" s="159">
        <v>14</v>
      </c>
      <c r="F1263" s="160" t="s">
        <v>33170</v>
      </c>
      <c r="G1263" s="162" t="s">
        <v>33198</v>
      </c>
      <c r="H1263" s="162" t="s">
        <v>17014</v>
      </c>
      <c r="I1263" s="158" t="s">
        <v>33199</v>
      </c>
      <c r="J1263" s="128"/>
      <c r="K1263" s="128"/>
      <c r="L1263" s="128"/>
      <c r="M1263" s="129"/>
      <c r="N1263" s="129"/>
      <c r="O1263" s="129"/>
    </row>
    <row r="1264" spans="1:15" ht="12.5">
      <c r="A1264" s="158" t="s">
        <v>17016</v>
      </c>
      <c r="B1264" s="159">
        <v>20</v>
      </c>
      <c r="C1264" s="159">
        <v>93</v>
      </c>
      <c r="D1264" s="159">
        <v>52</v>
      </c>
      <c r="E1264" s="159">
        <v>15</v>
      </c>
      <c r="F1264" s="160" t="s">
        <v>33170</v>
      </c>
      <c r="G1264" s="162" t="s">
        <v>33198</v>
      </c>
      <c r="H1264" s="162" t="s">
        <v>17017</v>
      </c>
      <c r="I1264" s="158" t="s">
        <v>33200</v>
      </c>
      <c r="J1264" s="128"/>
      <c r="K1264" s="128"/>
      <c r="L1264" s="128"/>
      <c r="M1264" s="129"/>
      <c r="N1264" s="129"/>
      <c r="O1264" s="129"/>
    </row>
    <row r="1265" spans="1:15" ht="12.5">
      <c r="A1265" s="158" t="s">
        <v>17019</v>
      </c>
      <c r="B1265" s="159">
        <v>20</v>
      </c>
      <c r="C1265" s="159">
        <v>93</v>
      </c>
      <c r="D1265" s="159">
        <v>52</v>
      </c>
      <c r="E1265" s="159">
        <v>23</v>
      </c>
      <c r="F1265" s="160" t="s">
        <v>32838</v>
      </c>
      <c r="G1265" s="132"/>
      <c r="H1265" s="162" t="s">
        <v>33201</v>
      </c>
      <c r="I1265" s="128"/>
      <c r="J1265" s="128"/>
      <c r="K1265" s="128"/>
      <c r="L1265" s="128"/>
      <c r="M1265" s="129"/>
      <c r="N1265" s="129"/>
      <c r="O1265" s="129"/>
    </row>
    <row r="1266" spans="1:15" ht="12.5">
      <c r="A1266" s="158" t="s">
        <v>17021</v>
      </c>
      <c r="B1266" s="159">
        <v>20</v>
      </c>
      <c r="C1266" s="159">
        <v>93</v>
      </c>
      <c r="D1266" s="159">
        <v>52</v>
      </c>
      <c r="E1266" s="159">
        <v>27</v>
      </c>
      <c r="F1266" s="160" t="s">
        <v>32838</v>
      </c>
      <c r="G1266" s="132"/>
      <c r="H1266" s="162" t="s">
        <v>17022</v>
      </c>
      <c r="I1266" s="128"/>
      <c r="J1266" s="128"/>
      <c r="K1266" s="128"/>
      <c r="L1266" s="128"/>
      <c r="M1266" s="129"/>
      <c r="N1266" s="129"/>
      <c r="O1266" s="129"/>
    </row>
    <row r="1267" spans="1:15" ht="12.5">
      <c r="A1267" s="158" t="s">
        <v>17023</v>
      </c>
      <c r="B1267" s="159">
        <v>20</v>
      </c>
      <c r="C1267" s="159">
        <v>93</v>
      </c>
      <c r="D1267" s="159">
        <v>52</v>
      </c>
      <c r="E1267" s="159">
        <v>33</v>
      </c>
      <c r="F1267" s="160" t="s">
        <v>32838</v>
      </c>
      <c r="G1267" s="132"/>
      <c r="H1267" s="162" t="s">
        <v>17024</v>
      </c>
      <c r="I1267" s="128"/>
      <c r="J1267" s="128"/>
      <c r="K1267" s="128"/>
      <c r="L1267" s="128"/>
      <c r="M1267" s="129"/>
      <c r="N1267" s="129"/>
      <c r="O1267" s="129"/>
    </row>
    <row r="1268" spans="1:15" ht="12.5">
      <c r="A1268" s="158" t="s">
        <v>17025</v>
      </c>
      <c r="B1268" s="159">
        <v>20</v>
      </c>
      <c r="C1268" s="159">
        <v>93</v>
      </c>
      <c r="D1268" s="159">
        <v>52</v>
      </c>
      <c r="E1268" s="159">
        <v>34</v>
      </c>
      <c r="F1268" s="160" t="s">
        <v>32838</v>
      </c>
      <c r="G1268" s="132"/>
      <c r="H1268" s="162" t="s">
        <v>17026</v>
      </c>
      <c r="I1268" s="128"/>
      <c r="J1268" s="128"/>
      <c r="K1268" s="128"/>
      <c r="L1268" s="128"/>
      <c r="M1268" s="129"/>
      <c r="N1268" s="129"/>
      <c r="O1268" s="129"/>
    </row>
    <row r="1269" spans="1:15" ht="12.5">
      <c r="A1269" s="158" t="s">
        <v>17027</v>
      </c>
      <c r="B1269" s="159">
        <v>20</v>
      </c>
      <c r="C1269" s="159">
        <v>93</v>
      </c>
      <c r="D1269" s="159">
        <v>52</v>
      </c>
      <c r="E1269" s="159">
        <v>35</v>
      </c>
      <c r="F1269" s="160" t="s">
        <v>32838</v>
      </c>
      <c r="G1269" s="132"/>
      <c r="H1269" s="162" t="s">
        <v>17028</v>
      </c>
      <c r="I1269" s="128"/>
      <c r="J1269" s="128"/>
      <c r="K1269" s="128"/>
      <c r="L1269" s="128"/>
      <c r="M1269" s="129"/>
      <c r="N1269" s="129"/>
      <c r="O1269" s="129"/>
    </row>
    <row r="1270" spans="1:15" ht="12.5">
      <c r="A1270" s="158" t="s">
        <v>17029</v>
      </c>
      <c r="B1270" s="159">
        <v>20</v>
      </c>
      <c r="C1270" s="159">
        <v>93</v>
      </c>
      <c r="D1270" s="159">
        <v>52</v>
      </c>
      <c r="E1270" s="159">
        <v>36</v>
      </c>
      <c r="F1270" s="160" t="s">
        <v>2011</v>
      </c>
      <c r="G1270" s="162" t="s">
        <v>33202</v>
      </c>
      <c r="H1270" s="162" t="s">
        <v>17030</v>
      </c>
      <c r="I1270" s="158" t="s">
        <v>33203</v>
      </c>
      <c r="J1270" s="128"/>
      <c r="K1270" s="128"/>
      <c r="L1270" s="128"/>
      <c r="M1270" s="129"/>
      <c r="N1270" s="129"/>
      <c r="O1270" s="129"/>
    </row>
    <row r="1271" spans="1:15" ht="12.5">
      <c r="A1271" s="158" t="s">
        <v>17032</v>
      </c>
      <c r="B1271" s="159">
        <v>20</v>
      </c>
      <c r="C1271" s="159">
        <v>93</v>
      </c>
      <c r="D1271" s="159">
        <v>52</v>
      </c>
      <c r="E1271" s="159">
        <v>42</v>
      </c>
      <c r="F1271" s="160" t="s">
        <v>32838</v>
      </c>
      <c r="G1271" s="132"/>
      <c r="H1271" s="162" t="s">
        <v>17033</v>
      </c>
      <c r="I1271" s="128"/>
      <c r="J1271" s="128"/>
      <c r="K1271" s="128"/>
      <c r="L1271" s="128"/>
      <c r="M1271" s="129"/>
      <c r="N1271" s="129"/>
      <c r="O1271" s="129"/>
    </row>
    <row r="1272" spans="1:15" ht="12.5">
      <c r="A1272" s="158" t="s">
        <v>17034</v>
      </c>
      <c r="B1272" s="159">
        <v>20</v>
      </c>
      <c r="C1272" s="159">
        <v>93</v>
      </c>
      <c r="D1272" s="159">
        <v>52</v>
      </c>
      <c r="E1272" s="159">
        <v>50</v>
      </c>
      <c r="F1272" s="160" t="s">
        <v>33170</v>
      </c>
      <c r="G1272" s="162" t="s">
        <v>33204</v>
      </c>
      <c r="H1272" s="162" t="s">
        <v>17035</v>
      </c>
      <c r="I1272" s="158" t="s">
        <v>33205</v>
      </c>
      <c r="J1272" s="128"/>
      <c r="K1272" s="128"/>
      <c r="L1272" s="128"/>
      <c r="M1272" s="129"/>
      <c r="N1272" s="129"/>
      <c r="O1272" s="129"/>
    </row>
    <row r="1273" spans="1:15" ht="12.5">
      <c r="A1273" s="158" t="s">
        <v>17037</v>
      </c>
      <c r="B1273" s="159">
        <v>20</v>
      </c>
      <c r="C1273" s="159">
        <v>93</v>
      </c>
      <c r="D1273" s="159">
        <v>52</v>
      </c>
      <c r="E1273" s="159">
        <v>56</v>
      </c>
      <c r="F1273" s="160" t="s">
        <v>33170</v>
      </c>
      <c r="G1273" s="162" t="s">
        <v>33206</v>
      </c>
      <c r="H1273" s="162" t="s">
        <v>17038</v>
      </c>
      <c r="I1273" s="158" t="s">
        <v>33207</v>
      </c>
      <c r="J1273" s="128"/>
      <c r="K1273" s="128"/>
      <c r="L1273" s="128"/>
      <c r="M1273" s="129"/>
      <c r="N1273" s="129"/>
      <c r="O1273" s="129"/>
    </row>
    <row r="1274" spans="1:15" ht="12.5">
      <c r="A1274" s="158" t="s">
        <v>17040</v>
      </c>
      <c r="B1274" s="159">
        <v>20</v>
      </c>
      <c r="C1274" s="159">
        <v>93</v>
      </c>
      <c r="D1274" s="159">
        <v>52</v>
      </c>
      <c r="E1274" s="159">
        <v>57</v>
      </c>
      <c r="F1274" s="160" t="s">
        <v>33170</v>
      </c>
      <c r="G1274" s="162" t="s">
        <v>33206</v>
      </c>
      <c r="H1274" s="162" t="s">
        <v>17041</v>
      </c>
      <c r="I1274" s="158" t="s">
        <v>33208</v>
      </c>
      <c r="J1274" s="128"/>
      <c r="K1274" s="128"/>
      <c r="L1274" s="128"/>
      <c r="M1274" s="129"/>
      <c r="N1274" s="129"/>
      <c r="O1274" s="129"/>
    </row>
    <row r="1275" spans="1:15" ht="12.5">
      <c r="A1275" s="158" t="s">
        <v>17043</v>
      </c>
      <c r="B1275" s="159">
        <v>20</v>
      </c>
      <c r="C1275" s="159">
        <v>93</v>
      </c>
      <c r="D1275" s="159">
        <v>52</v>
      </c>
      <c r="E1275" s="159">
        <v>58</v>
      </c>
      <c r="F1275" s="160" t="s">
        <v>33170</v>
      </c>
      <c r="G1275" s="162" t="s">
        <v>33206</v>
      </c>
      <c r="H1275" s="162" t="s">
        <v>17044</v>
      </c>
      <c r="I1275" s="158" t="s">
        <v>33209</v>
      </c>
      <c r="J1275" s="128"/>
      <c r="K1275" s="128"/>
      <c r="L1275" s="128"/>
      <c r="M1275" s="129"/>
      <c r="N1275" s="129"/>
      <c r="O1275" s="129"/>
    </row>
    <row r="1276" spans="1:15" ht="12.5">
      <c r="A1276" s="158" t="s">
        <v>17046</v>
      </c>
      <c r="B1276" s="159">
        <v>20</v>
      </c>
      <c r="C1276" s="159">
        <v>93</v>
      </c>
      <c r="D1276" s="159">
        <v>52</v>
      </c>
      <c r="E1276" s="159">
        <v>71</v>
      </c>
      <c r="F1276" s="160" t="s">
        <v>32838</v>
      </c>
      <c r="G1276" s="132"/>
      <c r="H1276" s="162" t="s">
        <v>17047</v>
      </c>
      <c r="I1276" s="158" t="s">
        <v>17048</v>
      </c>
      <c r="J1276" s="128"/>
      <c r="K1276" s="128"/>
      <c r="L1276" s="128"/>
      <c r="M1276" s="129"/>
      <c r="N1276" s="129"/>
      <c r="O1276" s="129"/>
    </row>
    <row r="1277" spans="1:15" ht="12.5">
      <c r="A1277" s="158" t="s">
        <v>17049</v>
      </c>
      <c r="B1277" s="159">
        <v>20</v>
      </c>
      <c r="C1277" s="159">
        <v>93</v>
      </c>
      <c r="D1277" s="159">
        <v>52</v>
      </c>
      <c r="E1277" s="159">
        <v>73</v>
      </c>
      <c r="F1277" s="160" t="s">
        <v>32838</v>
      </c>
      <c r="G1277" s="132"/>
      <c r="H1277" s="162" t="s">
        <v>17050</v>
      </c>
      <c r="I1277" s="128"/>
      <c r="J1277" s="128"/>
      <c r="K1277" s="128"/>
      <c r="L1277" s="128"/>
      <c r="M1277" s="129"/>
      <c r="N1277" s="129"/>
      <c r="O1277" s="129"/>
    </row>
    <row r="1278" spans="1:15" ht="12.5">
      <c r="A1278" s="158" t="s">
        <v>17051</v>
      </c>
      <c r="B1278" s="159">
        <v>20</v>
      </c>
      <c r="C1278" s="159">
        <v>93</v>
      </c>
      <c r="D1278" s="159">
        <v>52</v>
      </c>
      <c r="E1278" s="159">
        <v>74</v>
      </c>
      <c r="F1278" s="160" t="s">
        <v>32838</v>
      </c>
      <c r="G1278" s="132"/>
      <c r="H1278" s="162" t="s">
        <v>17052</v>
      </c>
      <c r="I1278" s="128"/>
      <c r="J1278" s="128"/>
      <c r="K1278" s="128"/>
      <c r="L1278" s="128"/>
      <c r="M1278" s="129"/>
      <c r="N1278" s="129"/>
      <c r="O1278" s="129"/>
    </row>
    <row r="1279" spans="1:15" ht="12.5">
      <c r="A1279" s="158" t="s">
        <v>17053</v>
      </c>
      <c r="B1279" s="159">
        <v>20</v>
      </c>
      <c r="C1279" s="159">
        <v>93</v>
      </c>
      <c r="D1279" s="159">
        <v>52</v>
      </c>
      <c r="E1279" s="159">
        <v>75</v>
      </c>
      <c r="F1279" s="160" t="s">
        <v>32838</v>
      </c>
      <c r="G1279" s="132"/>
      <c r="H1279" s="162" t="s">
        <v>17054</v>
      </c>
      <c r="I1279" s="158" t="s">
        <v>17055</v>
      </c>
      <c r="J1279" s="128"/>
      <c r="K1279" s="128"/>
      <c r="L1279" s="128"/>
      <c r="M1279" s="129"/>
      <c r="N1279" s="129"/>
      <c r="O1279" s="129"/>
    </row>
    <row r="1280" spans="1:15" ht="12.5">
      <c r="A1280" s="158" t="s">
        <v>17056</v>
      </c>
      <c r="B1280" s="159">
        <v>20</v>
      </c>
      <c r="C1280" s="159">
        <v>93</v>
      </c>
      <c r="D1280" s="159">
        <v>52</v>
      </c>
      <c r="E1280" s="159">
        <v>87</v>
      </c>
      <c r="F1280" s="160" t="s">
        <v>32838</v>
      </c>
      <c r="G1280" s="132"/>
      <c r="H1280" s="162" t="s">
        <v>17057</v>
      </c>
      <c r="I1280" s="158" t="s">
        <v>17058</v>
      </c>
      <c r="J1280" s="128"/>
      <c r="K1280" s="128"/>
      <c r="L1280" s="128"/>
      <c r="M1280" s="129"/>
      <c r="N1280" s="129"/>
      <c r="O1280" s="129"/>
    </row>
    <row r="1281" spans="1:15" ht="12.5">
      <c r="A1281" s="158" t="s">
        <v>17059</v>
      </c>
      <c r="B1281" s="159">
        <v>20</v>
      </c>
      <c r="C1281" s="159">
        <v>93</v>
      </c>
      <c r="D1281" s="159">
        <v>52</v>
      </c>
      <c r="E1281" s="159">
        <v>89</v>
      </c>
      <c r="F1281" s="160" t="s">
        <v>33170</v>
      </c>
      <c r="G1281" s="162" t="s">
        <v>33186</v>
      </c>
      <c r="H1281" s="162" t="s">
        <v>17060</v>
      </c>
      <c r="I1281" s="158" t="s">
        <v>33210</v>
      </c>
      <c r="J1281" s="128"/>
      <c r="K1281" s="128"/>
      <c r="L1281" s="128"/>
      <c r="M1281" s="129"/>
      <c r="N1281" s="129"/>
      <c r="O1281" s="129"/>
    </row>
    <row r="1282" spans="1:15" ht="12.5">
      <c r="A1282" s="151" t="s">
        <v>17062</v>
      </c>
      <c r="B1282" s="152">
        <v>20</v>
      </c>
      <c r="C1282" s="152">
        <v>93</v>
      </c>
      <c r="D1282" s="152">
        <v>71</v>
      </c>
      <c r="E1282" s="153"/>
      <c r="F1282" s="154" t="s">
        <v>33170</v>
      </c>
      <c r="G1282" s="155"/>
      <c r="H1282" s="156" t="s">
        <v>17063</v>
      </c>
      <c r="I1282" s="157"/>
      <c r="J1282" s="157"/>
      <c r="K1282" s="157"/>
      <c r="L1282" s="157"/>
      <c r="M1282" s="186"/>
      <c r="N1282" s="186"/>
      <c r="O1282" s="186"/>
    </row>
    <row r="1283" spans="1:15" ht="12.5">
      <c r="A1283" s="158" t="s">
        <v>17064</v>
      </c>
      <c r="B1283" s="159">
        <v>20</v>
      </c>
      <c r="C1283" s="159">
        <v>93</v>
      </c>
      <c r="D1283" s="159">
        <v>71</v>
      </c>
      <c r="E1283" s="159">
        <v>15</v>
      </c>
      <c r="F1283" s="160" t="s">
        <v>32838</v>
      </c>
      <c r="G1283" s="132"/>
      <c r="H1283" s="162" t="s">
        <v>17065</v>
      </c>
      <c r="I1283" s="158" t="s">
        <v>17066</v>
      </c>
      <c r="J1283" s="128"/>
      <c r="K1283" s="128"/>
      <c r="L1283" s="128"/>
      <c r="M1283" s="129"/>
      <c r="N1283" s="129"/>
      <c r="O1283" s="129"/>
    </row>
    <row r="1284" spans="1:15" ht="12.5">
      <c r="A1284" s="158" t="s">
        <v>17067</v>
      </c>
      <c r="B1284" s="159">
        <v>20</v>
      </c>
      <c r="C1284" s="159">
        <v>93</v>
      </c>
      <c r="D1284" s="159">
        <v>71</v>
      </c>
      <c r="E1284" s="159">
        <v>16</v>
      </c>
      <c r="F1284" s="160" t="s">
        <v>32838</v>
      </c>
      <c r="G1284" s="132"/>
      <c r="H1284" s="162" t="s">
        <v>17068</v>
      </c>
      <c r="I1284" s="158" t="s">
        <v>17069</v>
      </c>
      <c r="J1284" s="128"/>
      <c r="K1284" s="128"/>
      <c r="L1284" s="128"/>
      <c r="M1284" s="129"/>
      <c r="N1284" s="129"/>
      <c r="O1284" s="129"/>
    </row>
    <row r="1285" spans="1:15" ht="12.5">
      <c r="A1285" s="158" t="s">
        <v>17070</v>
      </c>
      <c r="B1285" s="159">
        <v>20</v>
      </c>
      <c r="C1285" s="159">
        <v>93</v>
      </c>
      <c r="D1285" s="159">
        <v>71</v>
      </c>
      <c r="E1285" s="159">
        <v>17</v>
      </c>
      <c r="F1285" s="160" t="s">
        <v>32838</v>
      </c>
      <c r="G1285" s="132"/>
      <c r="H1285" s="162" t="s">
        <v>17071</v>
      </c>
      <c r="I1285" s="158" t="s">
        <v>17072</v>
      </c>
      <c r="J1285" s="128"/>
      <c r="K1285" s="128"/>
      <c r="L1285" s="128"/>
      <c r="M1285" s="129"/>
      <c r="N1285" s="129"/>
      <c r="O1285" s="129"/>
    </row>
    <row r="1286" spans="1:15" ht="12.5">
      <c r="A1286" s="158" t="s">
        <v>17073</v>
      </c>
      <c r="B1286" s="159">
        <v>20</v>
      </c>
      <c r="C1286" s="159">
        <v>93</v>
      </c>
      <c r="D1286" s="159">
        <v>71</v>
      </c>
      <c r="E1286" s="159">
        <v>18</v>
      </c>
      <c r="F1286" s="160" t="s">
        <v>32838</v>
      </c>
      <c r="G1286" s="132"/>
      <c r="H1286" s="162" t="s">
        <v>17074</v>
      </c>
      <c r="I1286" s="158" t="s">
        <v>17075</v>
      </c>
      <c r="J1286" s="128"/>
      <c r="K1286" s="128"/>
      <c r="L1286" s="128"/>
      <c r="M1286" s="129"/>
      <c r="N1286" s="129"/>
      <c r="O1286" s="129"/>
    </row>
    <row r="1287" spans="1:15" ht="12.5">
      <c r="A1287" s="158" t="s">
        <v>17076</v>
      </c>
      <c r="B1287" s="159">
        <v>20</v>
      </c>
      <c r="C1287" s="159">
        <v>93</v>
      </c>
      <c r="D1287" s="159">
        <v>71</v>
      </c>
      <c r="E1287" s="159">
        <v>53</v>
      </c>
      <c r="F1287" s="160" t="s">
        <v>33170</v>
      </c>
      <c r="G1287" s="162" t="s">
        <v>33211</v>
      </c>
      <c r="H1287" s="162" t="s">
        <v>17077</v>
      </c>
      <c r="I1287" s="158" t="s">
        <v>33212</v>
      </c>
      <c r="J1287" s="128"/>
      <c r="K1287" s="128"/>
      <c r="L1287" s="128"/>
      <c r="M1287" s="129"/>
      <c r="N1287" s="129"/>
      <c r="O1287" s="129"/>
    </row>
    <row r="1288" spans="1:15" ht="12.5">
      <c r="A1288" s="158" t="s">
        <v>17079</v>
      </c>
      <c r="B1288" s="159">
        <v>20</v>
      </c>
      <c r="C1288" s="159">
        <v>93</v>
      </c>
      <c r="D1288" s="159">
        <v>71</v>
      </c>
      <c r="E1288" s="159">
        <v>75</v>
      </c>
      <c r="F1288" s="160" t="s">
        <v>32838</v>
      </c>
      <c r="G1288" s="132"/>
      <c r="H1288" s="162" t="s">
        <v>17080</v>
      </c>
      <c r="I1288" s="158" t="s">
        <v>17081</v>
      </c>
      <c r="J1288" s="128"/>
      <c r="K1288" s="128"/>
      <c r="L1288" s="128"/>
      <c r="M1288" s="129"/>
      <c r="N1288" s="129"/>
      <c r="O1288" s="129"/>
    </row>
    <row r="1289" spans="1:15" ht="12.5">
      <c r="A1289" s="151" t="s">
        <v>17082</v>
      </c>
      <c r="B1289" s="152">
        <v>20</v>
      </c>
      <c r="C1289" s="152">
        <v>93</v>
      </c>
      <c r="D1289" s="152">
        <v>76</v>
      </c>
      <c r="E1289" s="153"/>
      <c r="F1289" s="154" t="s">
        <v>2011</v>
      </c>
      <c r="G1289" s="168"/>
      <c r="H1289" s="156" t="s">
        <v>17083</v>
      </c>
      <c r="I1289" s="157"/>
      <c r="J1289" s="157"/>
      <c r="K1289" s="157"/>
      <c r="L1289" s="157"/>
      <c r="M1289" s="186"/>
      <c r="N1289" s="186"/>
      <c r="O1289" s="186"/>
    </row>
    <row r="1290" spans="1:15" ht="12.5">
      <c r="A1290" s="158" t="s">
        <v>17084</v>
      </c>
      <c r="B1290" s="159">
        <v>20</v>
      </c>
      <c r="C1290" s="159">
        <v>93</v>
      </c>
      <c r="D1290" s="159">
        <v>76</v>
      </c>
      <c r="E1290" s="159">
        <v>11</v>
      </c>
      <c r="F1290" s="160" t="s">
        <v>32838</v>
      </c>
      <c r="G1290" s="132"/>
      <c r="H1290" s="162" t="s">
        <v>17085</v>
      </c>
      <c r="I1290" s="128"/>
      <c r="J1290" s="128"/>
      <c r="K1290" s="128"/>
      <c r="L1290" s="128"/>
      <c r="M1290" s="129"/>
      <c r="N1290" s="129"/>
      <c r="O1290" s="129"/>
    </row>
    <row r="1291" spans="1:15" ht="12.5">
      <c r="A1291" s="158" t="s">
        <v>17086</v>
      </c>
      <c r="B1291" s="159">
        <v>20</v>
      </c>
      <c r="C1291" s="159">
        <v>93</v>
      </c>
      <c r="D1291" s="159">
        <v>76</v>
      </c>
      <c r="E1291" s="159">
        <v>12</v>
      </c>
      <c r="F1291" s="160" t="s">
        <v>32838</v>
      </c>
      <c r="G1291" s="132"/>
      <c r="H1291" s="162" t="s">
        <v>17087</v>
      </c>
      <c r="I1291" s="128"/>
      <c r="J1291" s="128"/>
      <c r="K1291" s="128"/>
      <c r="L1291" s="128"/>
      <c r="M1291" s="129"/>
      <c r="N1291" s="129"/>
      <c r="O1291" s="129"/>
    </row>
    <row r="1292" spans="1:15" ht="12.5">
      <c r="A1292" s="158" t="s">
        <v>17088</v>
      </c>
      <c r="B1292" s="159">
        <v>20</v>
      </c>
      <c r="C1292" s="159">
        <v>93</v>
      </c>
      <c r="D1292" s="159">
        <v>76</v>
      </c>
      <c r="E1292" s="159">
        <v>15</v>
      </c>
      <c r="F1292" s="160" t="s">
        <v>32838</v>
      </c>
      <c r="G1292" s="132"/>
      <c r="H1292" s="162" t="s">
        <v>17089</v>
      </c>
      <c r="I1292" s="128"/>
      <c r="J1292" s="128"/>
      <c r="K1292" s="128"/>
      <c r="L1292" s="128"/>
      <c r="M1292" s="129"/>
      <c r="N1292" s="129"/>
      <c r="O1292" s="129"/>
    </row>
    <row r="1293" spans="1:15" ht="12.5">
      <c r="A1293" s="158" t="s">
        <v>17090</v>
      </c>
      <c r="B1293" s="159">
        <v>20</v>
      </c>
      <c r="C1293" s="159">
        <v>93</v>
      </c>
      <c r="D1293" s="159">
        <v>76</v>
      </c>
      <c r="E1293" s="159">
        <v>80</v>
      </c>
      <c r="F1293" s="160" t="s">
        <v>32838</v>
      </c>
      <c r="G1293" s="132"/>
      <c r="H1293" s="162" t="s">
        <v>17091</v>
      </c>
      <c r="I1293" s="128"/>
      <c r="J1293" s="128"/>
      <c r="K1293" s="128"/>
      <c r="L1293" s="128"/>
      <c r="M1293" s="129"/>
      <c r="N1293" s="129"/>
      <c r="O1293" s="129"/>
    </row>
    <row r="1294" spans="1:15" ht="12.5">
      <c r="A1294" s="151" t="s">
        <v>17092</v>
      </c>
      <c r="B1294" s="152">
        <v>20</v>
      </c>
      <c r="C1294" s="152">
        <v>93</v>
      </c>
      <c r="D1294" s="152">
        <v>84</v>
      </c>
      <c r="E1294" s="153"/>
      <c r="F1294" s="154" t="s">
        <v>33170</v>
      </c>
      <c r="G1294" s="155"/>
      <c r="H1294" s="156" t="s">
        <v>17093</v>
      </c>
      <c r="I1294" s="157"/>
      <c r="J1294" s="157"/>
      <c r="K1294" s="157"/>
      <c r="L1294" s="157"/>
      <c r="M1294" s="186"/>
      <c r="N1294" s="186"/>
      <c r="O1294" s="186"/>
    </row>
    <row r="1295" spans="1:15" ht="12.5">
      <c r="A1295" s="158" t="s">
        <v>17094</v>
      </c>
      <c r="B1295" s="159">
        <v>20</v>
      </c>
      <c r="C1295" s="159">
        <v>93</v>
      </c>
      <c r="D1295" s="159">
        <v>84</v>
      </c>
      <c r="E1295" s="159">
        <v>15</v>
      </c>
      <c r="F1295" s="160" t="s">
        <v>33170</v>
      </c>
      <c r="G1295" s="162" t="s">
        <v>33213</v>
      </c>
      <c r="H1295" s="162" t="s">
        <v>17095</v>
      </c>
      <c r="I1295" s="158" t="s">
        <v>33214</v>
      </c>
      <c r="J1295" s="128"/>
      <c r="K1295" s="128"/>
      <c r="L1295" s="128"/>
      <c r="M1295" s="129"/>
      <c r="N1295" s="129"/>
      <c r="O1295" s="129"/>
    </row>
    <row r="1296" spans="1:15" ht="12.5">
      <c r="A1296" s="158" t="s">
        <v>17097</v>
      </c>
      <c r="B1296" s="159">
        <v>20</v>
      </c>
      <c r="C1296" s="159">
        <v>93</v>
      </c>
      <c r="D1296" s="159">
        <v>84</v>
      </c>
      <c r="E1296" s="159">
        <v>16</v>
      </c>
      <c r="F1296" s="160" t="s">
        <v>33170</v>
      </c>
      <c r="G1296" s="162" t="s">
        <v>33213</v>
      </c>
      <c r="H1296" s="162" t="s">
        <v>17098</v>
      </c>
      <c r="I1296" s="158" t="s">
        <v>33215</v>
      </c>
      <c r="J1296" s="128"/>
      <c r="K1296" s="128"/>
      <c r="L1296" s="128"/>
      <c r="M1296" s="129"/>
      <c r="N1296" s="129"/>
      <c r="O1296" s="129"/>
    </row>
    <row r="1297" spans="1:15" ht="12.5">
      <c r="A1297" s="158" t="s">
        <v>17100</v>
      </c>
      <c r="B1297" s="159">
        <v>20</v>
      </c>
      <c r="C1297" s="159">
        <v>93</v>
      </c>
      <c r="D1297" s="159">
        <v>84</v>
      </c>
      <c r="E1297" s="159">
        <v>84</v>
      </c>
      <c r="F1297" s="160" t="s">
        <v>32838</v>
      </c>
      <c r="G1297" s="132"/>
      <c r="H1297" s="162" t="s">
        <v>17101</v>
      </c>
      <c r="I1297" s="158" t="s">
        <v>17102</v>
      </c>
      <c r="J1297" s="128"/>
      <c r="K1297" s="128"/>
      <c r="L1297" s="128"/>
      <c r="M1297" s="129"/>
      <c r="N1297" s="129"/>
      <c r="O1297" s="129"/>
    </row>
    <row r="1298" spans="1:15" ht="12.5">
      <c r="A1298" s="151" t="s">
        <v>17103</v>
      </c>
      <c r="B1298" s="152">
        <v>20</v>
      </c>
      <c r="C1298" s="152">
        <v>93</v>
      </c>
      <c r="D1298" s="152">
        <v>85</v>
      </c>
      <c r="E1298" s="153"/>
      <c r="F1298" s="154" t="s">
        <v>33170</v>
      </c>
      <c r="G1298" s="155"/>
      <c r="H1298" s="156" t="s">
        <v>17104</v>
      </c>
      <c r="I1298" s="157"/>
      <c r="J1298" s="157"/>
      <c r="K1298" s="157"/>
      <c r="L1298" s="157"/>
      <c r="M1298" s="186"/>
      <c r="N1298" s="186"/>
      <c r="O1298" s="186"/>
    </row>
    <row r="1299" spans="1:15" ht="12.5">
      <c r="A1299" s="158" t="s">
        <v>17105</v>
      </c>
      <c r="B1299" s="159">
        <v>20</v>
      </c>
      <c r="C1299" s="159">
        <v>93</v>
      </c>
      <c r="D1299" s="159">
        <v>85</v>
      </c>
      <c r="E1299" s="159">
        <v>14</v>
      </c>
      <c r="F1299" s="160" t="s">
        <v>33170</v>
      </c>
      <c r="G1299" s="162" t="s">
        <v>33216</v>
      </c>
      <c r="H1299" s="162" t="s">
        <v>17106</v>
      </c>
      <c r="I1299" s="158" t="s">
        <v>33217</v>
      </c>
      <c r="J1299" s="128"/>
      <c r="K1299" s="128"/>
      <c r="L1299" s="128"/>
      <c r="M1299" s="129"/>
      <c r="N1299" s="129"/>
      <c r="O1299" s="129"/>
    </row>
    <row r="1300" spans="1:15" ht="12.5">
      <c r="A1300" s="158" t="s">
        <v>17108</v>
      </c>
      <c r="B1300" s="159">
        <v>20</v>
      </c>
      <c r="C1300" s="159">
        <v>93</v>
      </c>
      <c r="D1300" s="159">
        <v>85</v>
      </c>
      <c r="E1300" s="159">
        <v>16</v>
      </c>
      <c r="F1300" s="160" t="s">
        <v>32838</v>
      </c>
      <c r="G1300" s="132"/>
      <c r="H1300" s="162" t="s">
        <v>17109</v>
      </c>
      <c r="I1300" s="158" t="s">
        <v>17110</v>
      </c>
      <c r="J1300" s="128"/>
      <c r="K1300" s="128"/>
      <c r="L1300" s="128"/>
      <c r="M1300" s="129"/>
      <c r="N1300" s="129"/>
      <c r="O1300" s="129"/>
    </row>
    <row r="1301" spans="1:15" ht="12.5">
      <c r="A1301" s="158" t="s">
        <v>17111</v>
      </c>
      <c r="B1301" s="159">
        <v>20</v>
      </c>
      <c r="C1301" s="159">
        <v>93</v>
      </c>
      <c r="D1301" s="159">
        <v>85</v>
      </c>
      <c r="E1301" s="159">
        <v>84</v>
      </c>
      <c r="F1301" s="160" t="s">
        <v>32838</v>
      </c>
      <c r="G1301" s="132"/>
      <c r="H1301" s="162" t="s">
        <v>17112</v>
      </c>
      <c r="I1301" s="158" t="s">
        <v>17113</v>
      </c>
      <c r="J1301" s="128"/>
      <c r="K1301" s="128"/>
      <c r="L1301" s="128"/>
      <c r="M1301" s="129"/>
      <c r="N1301" s="129"/>
      <c r="O1301" s="129"/>
    </row>
    <row r="1302" spans="1:15" ht="12.5">
      <c r="A1302" s="158" t="s">
        <v>17114</v>
      </c>
      <c r="B1302" s="159">
        <v>20</v>
      </c>
      <c r="C1302" s="159">
        <v>93</v>
      </c>
      <c r="D1302" s="159">
        <v>85</v>
      </c>
      <c r="E1302" s="159">
        <v>88</v>
      </c>
      <c r="F1302" s="160" t="s">
        <v>32838</v>
      </c>
      <c r="G1302" s="132"/>
      <c r="H1302" s="162" t="s">
        <v>17115</v>
      </c>
      <c r="I1302" s="158" t="s">
        <v>17116</v>
      </c>
      <c r="J1302" s="128"/>
      <c r="K1302" s="128"/>
      <c r="L1302" s="128"/>
      <c r="M1302" s="129"/>
      <c r="N1302" s="129"/>
      <c r="O1302" s="129"/>
    </row>
    <row r="1303" spans="1:15" ht="12.5">
      <c r="A1303" s="151" t="s">
        <v>17117</v>
      </c>
      <c r="B1303" s="152">
        <v>20</v>
      </c>
      <c r="C1303" s="152">
        <v>93</v>
      </c>
      <c r="D1303" s="152">
        <v>90</v>
      </c>
      <c r="E1303" s="153"/>
      <c r="F1303" s="154" t="s">
        <v>2011</v>
      </c>
      <c r="G1303" s="168"/>
      <c r="H1303" s="156" t="s">
        <v>17118</v>
      </c>
      <c r="I1303" s="157"/>
      <c r="J1303" s="157"/>
      <c r="K1303" s="157"/>
      <c r="L1303" s="157"/>
      <c r="M1303" s="186"/>
      <c r="N1303" s="186"/>
      <c r="O1303" s="186"/>
    </row>
    <row r="1304" spans="1:15" ht="12.5">
      <c r="A1304" s="158" t="s">
        <v>17119</v>
      </c>
      <c r="B1304" s="159">
        <v>20</v>
      </c>
      <c r="C1304" s="159">
        <v>93</v>
      </c>
      <c r="D1304" s="159">
        <v>90</v>
      </c>
      <c r="E1304" s="159">
        <v>11</v>
      </c>
      <c r="F1304" s="160" t="s">
        <v>32838</v>
      </c>
      <c r="G1304" s="132"/>
      <c r="H1304" s="162" t="s">
        <v>17120</v>
      </c>
      <c r="I1304" s="158" t="s">
        <v>17121</v>
      </c>
      <c r="J1304" s="128"/>
      <c r="K1304" s="128"/>
      <c r="L1304" s="128"/>
      <c r="M1304" s="129"/>
      <c r="N1304" s="129"/>
      <c r="O1304" s="129"/>
    </row>
    <row r="1305" spans="1:15" ht="12.5">
      <c r="A1305" s="158" t="s">
        <v>17122</v>
      </c>
      <c r="B1305" s="159">
        <v>20</v>
      </c>
      <c r="C1305" s="159">
        <v>93</v>
      </c>
      <c r="D1305" s="159">
        <v>90</v>
      </c>
      <c r="E1305" s="159">
        <v>12</v>
      </c>
      <c r="F1305" s="160" t="s">
        <v>32838</v>
      </c>
      <c r="G1305" s="132"/>
      <c r="H1305" s="162" t="s">
        <v>17123</v>
      </c>
      <c r="I1305" s="158" t="s">
        <v>17124</v>
      </c>
      <c r="J1305" s="128"/>
      <c r="K1305" s="128"/>
      <c r="L1305" s="128"/>
      <c r="M1305" s="129"/>
      <c r="N1305" s="129"/>
      <c r="O1305" s="129"/>
    </row>
    <row r="1306" spans="1:15" ht="12.5">
      <c r="A1306" s="158" t="s">
        <v>17125</v>
      </c>
      <c r="B1306" s="159">
        <v>20</v>
      </c>
      <c r="C1306" s="159">
        <v>93</v>
      </c>
      <c r="D1306" s="159">
        <v>90</v>
      </c>
      <c r="E1306" s="159">
        <v>15</v>
      </c>
      <c r="F1306" s="160" t="s">
        <v>32838</v>
      </c>
      <c r="G1306" s="132"/>
      <c r="H1306" s="162" t="s">
        <v>17126</v>
      </c>
      <c r="I1306" s="158" t="s">
        <v>17127</v>
      </c>
      <c r="J1306" s="128"/>
      <c r="K1306" s="128"/>
      <c r="L1306" s="128"/>
      <c r="M1306" s="129"/>
      <c r="N1306" s="129"/>
      <c r="O1306" s="129"/>
    </row>
    <row r="1307" spans="1:15" ht="12.5">
      <c r="A1307" s="158" t="s">
        <v>17128</v>
      </c>
      <c r="B1307" s="159">
        <v>20</v>
      </c>
      <c r="C1307" s="159">
        <v>93</v>
      </c>
      <c r="D1307" s="159">
        <v>90</v>
      </c>
      <c r="E1307" s="159">
        <v>80</v>
      </c>
      <c r="F1307" s="160" t="s">
        <v>32838</v>
      </c>
      <c r="G1307" s="132"/>
      <c r="H1307" s="162" t="s">
        <v>17129</v>
      </c>
      <c r="I1307" s="158" t="s">
        <v>17130</v>
      </c>
      <c r="J1307" s="128"/>
      <c r="K1307" s="128"/>
      <c r="L1307" s="128"/>
      <c r="M1307" s="129"/>
      <c r="N1307" s="129"/>
      <c r="O1307" s="129"/>
    </row>
    <row r="1308" spans="1:15" ht="12.5">
      <c r="A1308" s="144" t="s">
        <v>17141</v>
      </c>
      <c r="B1308" s="145">
        <v>20</v>
      </c>
      <c r="C1308" s="145">
        <v>96</v>
      </c>
      <c r="D1308" s="146"/>
      <c r="E1308" s="146"/>
      <c r="F1308" s="147" t="s">
        <v>33218</v>
      </c>
      <c r="G1308" s="190"/>
      <c r="H1308" s="149" t="s">
        <v>17142</v>
      </c>
      <c r="I1308" s="150"/>
      <c r="J1308" s="150"/>
      <c r="K1308" s="150"/>
      <c r="L1308" s="150"/>
      <c r="M1308" s="191"/>
      <c r="N1308" s="191"/>
      <c r="O1308" s="191"/>
    </row>
    <row r="1309" spans="1:15" ht="12.5">
      <c r="A1309" s="151" t="s">
        <v>17143</v>
      </c>
      <c r="B1309" s="152">
        <v>20</v>
      </c>
      <c r="C1309" s="152">
        <v>96</v>
      </c>
      <c r="D1309" s="152">
        <v>71</v>
      </c>
      <c r="E1309" s="153"/>
      <c r="F1309" s="154" t="s">
        <v>2011</v>
      </c>
      <c r="G1309" s="168"/>
      <c r="H1309" s="156" t="s">
        <v>17144</v>
      </c>
      <c r="I1309" s="157"/>
      <c r="J1309" s="157"/>
      <c r="K1309" s="157"/>
      <c r="L1309" s="157"/>
      <c r="M1309" s="186"/>
      <c r="N1309" s="186"/>
      <c r="O1309" s="186"/>
    </row>
    <row r="1310" spans="1:15" ht="12.5">
      <c r="A1310" s="158" t="s">
        <v>17145</v>
      </c>
      <c r="B1310" s="159">
        <v>20</v>
      </c>
      <c r="C1310" s="159">
        <v>96</v>
      </c>
      <c r="D1310" s="159">
        <v>71</v>
      </c>
      <c r="E1310" s="159">
        <v>10</v>
      </c>
      <c r="F1310" s="160" t="s">
        <v>33170</v>
      </c>
      <c r="G1310" s="162" t="s">
        <v>33219</v>
      </c>
      <c r="H1310" s="162" t="s">
        <v>17146</v>
      </c>
      <c r="I1310" s="158" t="s">
        <v>33220</v>
      </c>
      <c r="J1310" s="128"/>
      <c r="K1310" s="128"/>
      <c r="L1310" s="128"/>
      <c r="M1310" s="129"/>
      <c r="N1310" s="129"/>
      <c r="O1310" s="129"/>
    </row>
    <row r="1311" spans="1:15" ht="12.5">
      <c r="A1311" s="158" t="s">
        <v>17148</v>
      </c>
      <c r="B1311" s="159">
        <v>20</v>
      </c>
      <c r="C1311" s="159">
        <v>96</v>
      </c>
      <c r="D1311" s="159">
        <v>71</v>
      </c>
      <c r="E1311" s="159">
        <v>11</v>
      </c>
      <c r="F1311" s="160" t="s">
        <v>32838</v>
      </c>
      <c r="G1311" s="132"/>
      <c r="H1311" s="162" t="s">
        <v>17149</v>
      </c>
      <c r="I1311" s="128"/>
      <c r="J1311" s="128"/>
      <c r="K1311" s="128"/>
      <c r="L1311" s="128"/>
      <c r="M1311" s="129"/>
      <c r="N1311" s="129"/>
      <c r="O1311" s="129"/>
    </row>
    <row r="1312" spans="1:15" ht="12.5">
      <c r="A1312" s="158" t="s">
        <v>17150</v>
      </c>
      <c r="B1312" s="159">
        <v>20</v>
      </c>
      <c r="C1312" s="159">
        <v>96</v>
      </c>
      <c r="D1312" s="159">
        <v>71</v>
      </c>
      <c r="E1312" s="159">
        <v>12</v>
      </c>
      <c r="F1312" s="160" t="s">
        <v>32838</v>
      </c>
      <c r="G1312" s="132"/>
      <c r="H1312" s="162" t="s">
        <v>17151</v>
      </c>
      <c r="I1312" s="158" t="s">
        <v>17152</v>
      </c>
      <c r="J1312" s="128"/>
      <c r="K1312" s="128"/>
      <c r="L1312" s="128"/>
      <c r="M1312" s="129"/>
      <c r="N1312" s="129"/>
      <c r="O1312" s="129"/>
    </row>
    <row r="1313" spans="1:15" ht="12.5">
      <c r="A1313" s="158" t="s">
        <v>17153</v>
      </c>
      <c r="B1313" s="159">
        <v>20</v>
      </c>
      <c r="C1313" s="159">
        <v>96</v>
      </c>
      <c r="D1313" s="159">
        <v>71</v>
      </c>
      <c r="E1313" s="159">
        <v>13</v>
      </c>
      <c r="F1313" s="160" t="s">
        <v>32838</v>
      </c>
      <c r="G1313" s="132"/>
      <c r="H1313" s="162" t="s">
        <v>17154</v>
      </c>
      <c r="I1313" s="158" t="s">
        <v>17155</v>
      </c>
      <c r="J1313" s="128"/>
      <c r="K1313" s="128"/>
      <c r="L1313" s="128"/>
      <c r="M1313" s="129"/>
      <c r="N1313" s="129"/>
      <c r="O1313" s="129"/>
    </row>
    <row r="1314" spans="1:15" ht="12.5">
      <c r="A1314" s="158" t="s">
        <v>17156</v>
      </c>
      <c r="B1314" s="159">
        <v>20</v>
      </c>
      <c r="C1314" s="159">
        <v>96</v>
      </c>
      <c r="D1314" s="159">
        <v>71</v>
      </c>
      <c r="E1314" s="159">
        <v>14</v>
      </c>
      <c r="F1314" s="160" t="s">
        <v>32838</v>
      </c>
      <c r="G1314" s="132"/>
      <c r="H1314" s="162" t="s">
        <v>17157</v>
      </c>
      <c r="I1314" s="158" t="s">
        <v>17158</v>
      </c>
      <c r="J1314" s="128"/>
      <c r="K1314" s="128"/>
      <c r="L1314" s="128"/>
      <c r="M1314" s="129"/>
      <c r="N1314" s="129"/>
      <c r="O1314" s="129"/>
    </row>
    <row r="1315" spans="1:15" ht="12.5">
      <c r="A1315" s="158" t="s">
        <v>17159</v>
      </c>
      <c r="B1315" s="159">
        <v>20</v>
      </c>
      <c r="C1315" s="159">
        <v>96</v>
      </c>
      <c r="D1315" s="159">
        <v>71</v>
      </c>
      <c r="E1315" s="159">
        <v>15</v>
      </c>
      <c r="F1315" s="160" t="s">
        <v>32838</v>
      </c>
      <c r="G1315" s="132"/>
      <c r="H1315" s="162" t="s">
        <v>17160</v>
      </c>
      <c r="I1315" s="158" t="s">
        <v>17161</v>
      </c>
      <c r="J1315" s="128"/>
      <c r="K1315" s="128"/>
      <c r="L1315" s="128"/>
      <c r="M1315" s="129"/>
      <c r="N1315" s="129"/>
      <c r="O1315" s="129"/>
    </row>
    <row r="1316" spans="1:15" ht="12.5">
      <c r="A1316" s="158" t="s">
        <v>17162</v>
      </c>
      <c r="B1316" s="159">
        <v>20</v>
      </c>
      <c r="C1316" s="159">
        <v>96</v>
      </c>
      <c r="D1316" s="159">
        <v>71</v>
      </c>
      <c r="E1316" s="159">
        <v>16</v>
      </c>
      <c r="F1316" s="160" t="s">
        <v>32838</v>
      </c>
      <c r="G1316" s="132"/>
      <c r="H1316" s="162" t="s">
        <v>17163</v>
      </c>
      <c r="I1316" s="158" t="s">
        <v>17164</v>
      </c>
      <c r="J1316" s="128"/>
      <c r="K1316" s="128"/>
      <c r="L1316" s="128"/>
      <c r="M1316" s="129"/>
      <c r="N1316" s="129"/>
      <c r="O1316" s="129"/>
    </row>
    <row r="1317" spans="1:15" ht="12.5">
      <c r="A1317" s="158" t="s">
        <v>17165</v>
      </c>
      <c r="B1317" s="159">
        <v>20</v>
      </c>
      <c r="C1317" s="159">
        <v>96</v>
      </c>
      <c r="D1317" s="159">
        <v>71</v>
      </c>
      <c r="E1317" s="159">
        <v>17</v>
      </c>
      <c r="F1317" s="160" t="s">
        <v>32838</v>
      </c>
      <c r="G1317" s="132"/>
      <c r="H1317" s="162" t="s">
        <v>17166</v>
      </c>
      <c r="I1317" s="158" t="s">
        <v>17167</v>
      </c>
      <c r="J1317" s="128"/>
      <c r="K1317" s="128"/>
      <c r="L1317" s="128"/>
      <c r="M1317" s="129"/>
      <c r="N1317" s="129"/>
      <c r="O1317" s="129"/>
    </row>
    <row r="1318" spans="1:15" ht="12.5">
      <c r="A1318" s="158" t="s">
        <v>17168</v>
      </c>
      <c r="B1318" s="159">
        <v>20</v>
      </c>
      <c r="C1318" s="159">
        <v>96</v>
      </c>
      <c r="D1318" s="159">
        <v>71</v>
      </c>
      <c r="E1318" s="159">
        <v>28</v>
      </c>
      <c r="F1318" s="160" t="s">
        <v>32838</v>
      </c>
      <c r="G1318" s="132"/>
      <c r="H1318" s="162" t="s">
        <v>17169</v>
      </c>
      <c r="I1318" s="158" t="s">
        <v>17170</v>
      </c>
      <c r="J1318" s="128"/>
      <c r="K1318" s="128"/>
      <c r="L1318" s="128"/>
      <c r="M1318" s="129"/>
      <c r="N1318" s="129"/>
      <c r="O1318" s="129"/>
    </row>
    <row r="1319" spans="1:15" ht="12.5">
      <c r="A1319" s="158" t="s">
        <v>17171</v>
      </c>
      <c r="B1319" s="159">
        <v>20</v>
      </c>
      <c r="C1319" s="159">
        <v>96</v>
      </c>
      <c r="D1319" s="159">
        <v>71</v>
      </c>
      <c r="E1319" s="159">
        <v>30</v>
      </c>
      <c r="F1319" s="160" t="s">
        <v>32838</v>
      </c>
      <c r="G1319" s="132"/>
      <c r="H1319" s="162" t="s">
        <v>17172</v>
      </c>
      <c r="I1319" s="158" t="s">
        <v>17173</v>
      </c>
      <c r="J1319" s="128"/>
      <c r="K1319" s="128"/>
      <c r="L1319" s="128"/>
      <c r="M1319" s="129"/>
      <c r="N1319" s="129"/>
      <c r="O1319" s="129"/>
    </row>
    <row r="1320" spans="1:15" ht="12.5">
      <c r="A1320" s="158" t="s">
        <v>17174</v>
      </c>
      <c r="B1320" s="159">
        <v>20</v>
      </c>
      <c r="C1320" s="159">
        <v>96</v>
      </c>
      <c r="D1320" s="159">
        <v>71</v>
      </c>
      <c r="E1320" s="159">
        <v>33</v>
      </c>
      <c r="F1320" s="160" t="s">
        <v>32838</v>
      </c>
      <c r="G1320" s="132"/>
      <c r="H1320" s="162" t="s">
        <v>17175</v>
      </c>
      <c r="I1320" s="158" t="s">
        <v>17176</v>
      </c>
      <c r="J1320" s="128"/>
      <c r="K1320" s="128"/>
      <c r="L1320" s="128"/>
      <c r="M1320" s="129"/>
      <c r="N1320" s="129"/>
      <c r="O1320" s="129"/>
    </row>
    <row r="1321" spans="1:15" ht="12.5">
      <c r="A1321" s="158" t="s">
        <v>17177</v>
      </c>
      <c r="B1321" s="159">
        <v>20</v>
      </c>
      <c r="C1321" s="159">
        <v>96</v>
      </c>
      <c r="D1321" s="159">
        <v>71</v>
      </c>
      <c r="E1321" s="159">
        <v>34</v>
      </c>
      <c r="F1321" s="160" t="s">
        <v>32838</v>
      </c>
      <c r="G1321" s="132"/>
      <c r="H1321" s="162" t="s">
        <v>17178</v>
      </c>
      <c r="I1321" s="158" t="s">
        <v>17179</v>
      </c>
      <c r="J1321" s="128"/>
      <c r="K1321" s="128"/>
      <c r="L1321" s="128"/>
      <c r="M1321" s="129"/>
      <c r="N1321" s="129"/>
      <c r="O1321" s="129"/>
    </row>
    <row r="1322" spans="1:15" ht="12.5">
      <c r="A1322" s="158" t="s">
        <v>17180</v>
      </c>
      <c r="B1322" s="159">
        <v>20</v>
      </c>
      <c r="C1322" s="159">
        <v>96</v>
      </c>
      <c r="D1322" s="159">
        <v>71</v>
      </c>
      <c r="E1322" s="159">
        <v>35</v>
      </c>
      <c r="F1322" s="160" t="s">
        <v>32838</v>
      </c>
      <c r="G1322" s="132"/>
      <c r="H1322" s="162" t="s">
        <v>17181</v>
      </c>
      <c r="I1322" s="158" t="s">
        <v>17182</v>
      </c>
      <c r="J1322" s="128"/>
      <c r="K1322" s="128"/>
      <c r="L1322" s="128"/>
      <c r="M1322" s="129"/>
      <c r="N1322" s="129"/>
      <c r="O1322" s="129"/>
    </row>
    <row r="1323" spans="1:15" ht="12.5">
      <c r="A1323" s="158" t="s">
        <v>17183</v>
      </c>
      <c r="B1323" s="159">
        <v>20</v>
      </c>
      <c r="C1323" s="159">
        <v>96</v>
      </c>
      <c r="D1323" s="159">
        <v>71</v>
      </c>
      <c r="E1323" s="159">
        <v>36</v>
      </c>
      <c r="F1323" s="160" t="s">
        <v>32838</v>
      </c>
      <c r="G1323" s="132"/>
      <c r="H1323" s="162" t="s">
        <v>17184</v>
      </c>
      <c r="I1323" s="128"/>
      <c r="J1323" s="128"/>
      <c r="K1323" s="128"/>
      <c r="L1323" s="128"/>
      <c r="M1323" s="129"/>
      <c r="N1323" s="129"/>
      <c r="O1323" s="129"/>
    </row>
    <row r="1324" spans="1:15" ht="12.5">
      <c r="A1324" s="158" t="s">
        <v>17185</v>
      </c>
      <c r="B1324" s="159">
        <v>20</v>
      </c>
      <c r="C1324" s="159">
        <v>96</v>
      </c>
      <c r="D1324" s="159">
        <v>71</v>
      </c>
      <c r="E1324" s="159">
        <v>51</v>
      </c>
      <c r="F1324" s="160" t="s">
        <v>32838</v>
      </c>
      <c r="G1324" s="132"/>
      <c r="H1324" s="162" t="s">
        <v>17186</v>
      </c>
      <c r="I1324" s="158" t="s">
        <v>17187</v>
      </c>
      <c r="J1324" s="128"/>
      <c r="K1324" s="128"/>
      <c r="L1324" s="128"/>
      <c r="M1324" s="129"/>
      <c r="N1324" s="129"/>
      <c r="O1324" s="129"/>
    </row>
    <row r="1325" spans="1:15" ht="12.5">
      <c r="A1325" s="158" t="s">
        <v>17188</v>
      </c>
      <c r="B1325" s="159">
        <v>20</v>
      </c>
      <c r="C1325" s="159">
        <v>96</v>
      </c>
      <c r="D1325" s="159">
        <v>71</v>
      </c>
      <c r="E1325" s="159">
        <v>52</v>
      </c>
      <c r="F1325" s="160" t="s">
        <v>32838</v>
      </c>
      <c r="G1325" s="132"/>
      <c r="H1325" s="162" t="s">
        <v>17189</v>
      </c>
      <c r="I1325" s="128"/>
      <c r="J1325" s="128"/>
      <c r="K1325" s="128"/>
      <c r="L1325" s="128"/>
      <c r="M1325" s="129"/>
      <c r="N1325" s="129"/>
      <c r="O1325" s="129"/>
    </row>
    <row r="1326" spans="1:15" ht="12.5">
      <c r="A1326" s="158" t="s">
        <v>17190</v>
      </c>
      <c r="B1326" s="159">
        <v>20</v>
      </c>
      <c r="C1326" s="159">
        <v>96</v>
      </c>
      <c r="D1326" s="159">
        <v>71</v>
      </c>
      <c r="E1326" s="159">
        <v>62</v>
      </c>
      <c r="F1326" s="160" t="s">
        <v>32838</v>
      </c>
      <c r="G1326" s="132"/>
      <c r="H1326" s="162" t="s">
        <v>17191</v>
      </c>
      <c r="I1326" s="128"/>
      <c r="J1326" s="128"/>
      <c r="K1326" s="128"/>
      <c r="L1326" s="128"/>
      <c r="M1326" s="129"/>
      <c r="N1326" s="129"/>
      <c r="O1326" s="129"/>
    </row>
    <row r="1327" spans="1:15" ht="12.5">
      <c r="A1327" s="158" t="s">
        <v>17192</v>
      </c>
      <c r="B1327" s="159">
        <v>20</v>
      </c>
      <c r="C1327" s="159">
        <v>96</v>
      </c>
      <c r="D1327" s="159">
        <v>71</v>
      </c>
      <c r="E1327" s="159">
        <v>64</v>
      </c>
      <c r="F1327" s="160" t="s">
        <v>32838</v>
      </c>
      <c r="G1327" s="132"/>
      <c r="H1327" s="162" t="s">
        <v>17193</v>
      </c>
      <c r="I1327" s="158" t="s">
        <v>17194</v>
      </c>
      <c r="J1327" s="128"/>
      <c r="K1327" s="128"/>
      <c r="L1327" s="128"/>
      <c r="M1327" s="129"/>
      <c r="N1327" s="129"/>
      <c r="O1327" s="129"/>
    </row>
    <row r="1328" spans="1:15" ht="12.5">
      <c r="A1328" s="158" t="s">
        <v>17195</v>
      </c>
      <c r="B1328" s="159">
        <v>20</v>
      </c>
      <c r="C1328" s="159">
        <v>96</v>
      </c>
      <c r="D1328" s="159">
        <v>71</v>
      </c>
      <c r="E1328" s="159">
        <v>66</v>
      </c>
      <c r="F1328" s="160" t="s">
        <v>32838</v>
      </c>
      <c r="G1328" s="132"/>
      <c r="H1328" s="162" t="s">
        <v>17196</v>
      </c>
      <c r="I1328" s="158" t="s">
        <v>17197</v>
      </c>
      <c r="J1328" s="128"/>
      <c r="K1328" s="128"/>
      <c r="L1328" s="128"/>
      <c r="M1328" s="129"/>
      <c r="N1328" s="129"/>
      <c r="O1328" s="129"/>
    </row>
    <row r="1329" spans="1:15" ht="12.5">
      <c r="A1329" s="158" t="s">
        <v>17198</v>
      </c>
      <c r="B1329" s="159">
        <v>20</v>
      </c>
      <c r="C1329" s="159">
        <v>96</v>
      </c>
      <c r="D1329" s="159">
        <v>71</v>
      </c>
      <c r="E1329" s="159">
        <v>67</v>
      </c>
      <c r="F1329" s="160" t="s">
        <v>32838</v>
      </c>
      <c r="G1329" s="132"/>
      <c r="H1329" s="162" t="s">
        <v>17199</v>
      </c>
      <c r="I1329" s="158" t="s">
        <v>17200</v>
      </c>
      <c r="J1329" s="128"/>
      <c r="K1329" s="128"/>
      <c r="L1329" s="128"/>
      <c r="M1329" s="129"/>
      <c r="N1329" s="129"/>
      <c r="O1329" s="129"/>
    </row>
    <row r="1330" spans="1:15" ht="12.5">
      <c r="A1330" s="158" t="s">
        <v>17201</v>
      </c>
      <c r="B1330" s="159">
        <v>20</v>
      </c>
      <c r="C1330" s="159">
        <v>96</v>
      </c>
      <c r="D1330" s="159">
        <v>71</v>
      </c>
      <c r="E1330" s="159">
        <v>83</v>
      </c>
      <c r="F1330" s="160" t="s">
        <v>2011</v>
      </c>
      <c r="G1330" s="162" t="s">
        <v>33219</v>
      </c>
      <c r="H1330" s="162" t="s">
        <v>17202</v>
      </c>
      <c r="I1330" s="158" t="s">
        <v>33221</v>
      </c>
      <c r="J1330" s="128"/>
      <c r="K1330" s="128"/>
      <c r="L1330" s="128"/>
      <c r="M1330" s="129"/>
      <c r="N1330" s="129"/>
      <c r="O1330" s="129"/>
    </row>
    <row r="1331" spans="1:15" ht="12.5">
      <c r="A1331" s="158" t="s">
        <v>17204</v>
      </c>
      <c r="B1331" s="159">
        <v>20</v>
      </c>
      <c r="C1331" s="159">
        <v>96</v>
      </c>
      <c r="D1331" s="159">
        <v>71</v>
      </c>
      <c r="E1331" s="159">
        <v>84</v>
      </c>
      <c r="F1331" s="160" t="s">
        <v>32838</v>
      </c>
      <c r="G1331" s="132"/>
      <c r="H1331" s="162" t="s">
        <v>17205</v>
      </c>
      <c r="I1331" s="158" t="s">
        <v>17206</v>
      </c>
      <c r="J1331" s="128"/>
      <c r="K1331" s="128"/>
      <c r="L1331" s="128"/>
      <c r="M1331" s="129"/>
      <c r="N1331" s="129"/>
      <c r="O1331" s="129"/>
    </row>
    <row r="1332" spans="1:15" ht="12.5">
      <c r="A1332" s="158" t="s">
        <v>17207</v>
      </c>
      <c r="B1332" s="159">
        <v>20</v>
      </c>
      <c r="C1332" s="159">
        <v>96</v>
      </c>
      <c r="D1332" s="159">
        <v>71</v>
      </c>
      <c r="E1332" s="159">
        <v>85</v>
      </c>
      <c r="F1332" s="160" t="s">
        <v>33170</v>
      </c>
      <c r="G1332" s="162" t="s">
        <v>33177</v>
      </c>
      <c r="H1332" s="162" t="s">
        <v>17208</v>
      </c>
      <c r="I1332" s="158" t="s">
        <v>33222</v>
      </c>
      <c r="J1332" s="128"/>
      <c r="K1332" s="128"/>
      <c r="L1332" s="128"/>
      <c r="M1332" s="129"/>
      <c r="N1332" s="129"/>
      <c r="O1332" s="129"/>
    </row>
    <row r="1333" spans="1:15" ht="12.5">
      <c r="A1333" s="158" t="s">
        <v>17210</v>
      </c>
      <c r="B1333" s="159">
        <v>20</v>
      </c>
      <c r="C1333" s="159">
        <v>96</v>
      </c>
      <c r="D1333" s="159">
        <v>71</v>
      </c>
      <c r="E1333" s="159">
        <v>86</v>
      </c>
      <c r="F1333" s="160" t="s">
        <v>32838</v>
      </c>
      <c r="G1333" s="132"/>
      <c r="H1333" s="162" t="s">
        <v>17211</v>
      </c>
      <c r="I1333" s="158" t="s">
        <v>17212</v>
      </c>
      <c r="J1333" s="128"/>
      <c r="K1333" s="128"/>
      <c r="L1333" s="128"/>
      <c r="M1333" s="129"/>
      <c r="N1333" s="129"/>
      <c r="O1333" s="129"/>
    </row>
    <row r="1334" spans="1:15" ht="12.5">
      <c r="A1334" s="158" t="s">
        <v>17213</v>
      </c>
      <c r="B1334" s="159">
        <v>20</v>
      </c>
      <c r="C1334" s="159">
        <v>96</v>
      </c>
      <c r="D1334" s="159">
        <v>71</v>
      </c>
      <c r="E1334" s="159">
        <v>87</v>
      </c>
      <c r="F1334" s="160" t="s">
        <v>32838</v>
      </c>
      <c r="G1334" s="132"/>
      <c r="H1334" s="162" t="s">
        <v>17214</v>
      </c>
      <c r="I1334" s="158" t="s">
        <v>17215</v>
      </c>
      <c r="J1334" s="128"/>
      <c r="K1334" s="128"/>
      <c r="L1334" s="128"/>
      <c r="M1334" s="129"/>
      <c r="N1334" s="129"/>
      <c r="O1334" s="129"/>
    </row>
    <row r="1335" spans="1:15" ht="12.5">
      <c r="A1335" s="158" t="s">
        <v>17216</v>
      </c>
      <c r="B1335" s="159">
        <v>20</v>
      </c>
      <c r="C1335" s="159">
        <v>96</v>
      </c>
      <c r="D1335" s="159">
        <v>71</v>
      </c>
      <c r="E1335" s="159">
        <v>97</v>
      </c>
      <c r="F1335" s="160" t="s">
        <v>32838</v>
      </c>
      <c r="G1335" s="132"/>
      <c r="H1335" s="162" t="s">
        <v>17217</v>
      </c>
      <c r="I1335" s="158" t="s">
        <v>17218</v>
      </c>
      <c r="J1335" s="128"/>
      <c r="K1335" s="128"/>
      <c r="L1335" s="128"/>
      <c r="M1335" s="129"/>
      <c r="N1335" s="129"/>
      <c r="O1335" s="129"/>
    </row>
    <row r="1336" spans="1:15" ht="12.5">
      <c r="A1336" s="151" t="s">
        <v>17219</v>
      </c>
      <c r="B1336" s="152">
        <v>20</v>
      </c>
      <c r="C1336" s="152">
        <v>96</v>
      </c>
      <c r="D1336" s="152">
        <v>96</v>
      </c>
      <c r="E1336" s="153"/>
      <c r="F1336" s="154" t="s">
        <v>2011</v>
      </c>
      <c r="G1336" s="168"/>
      <c r="H1336" s="156" t="s">
        <v>17220</v>
      </c>
      <c r="I1336" s="157"/>
      <c r="J1336" s="157"/>
      <c r="K1336" s="157"/>
      <c r="L1336" s="157"/>
      <c r="M1336" s="186"/>
      <c r="N1336" s="186"/>
      <c r="O1336" s="186"/>
    </row>
    <row r="1337" spans="1:15" ht="12.5">
      <c r="A1337" s="158" t="s">
        <v>17221</v>
      </c>
      <c r="B1337" s="159">
        <v>20</v>
      </c>
      <c r="C1337" s="159">
        <v>96</v>
      </c>
      <c r="D1337" s="159">
        <v>96</v>
      </c>
      <c r="E1337" s="159">
        <v>11</v>
      </c>
      <c r="F1337" s="160" t="s">
        <v>32838</v>
      </c>
      <c r="G1337" s="132"/>
      <c r="H1337" s="162" t="s">
        <v>17222</v>
      </c>
      <c r="I1337" s="158" t="s">
        <v>17223</v>
      </c>
      <c r="J1337" s="128"/>
      <c r="K1337" s="128"/>
      <c r="L1337" s="128"/>
      <c r="M1337" s="129"/>
      <c r="N1337" s="129"/>
      <c r="O1337" s="129"/>
    </row>
    <row r="1338" spans="1:15" ht="12.5">
      <c r="A1338" s="158" t="s">
        <v>17224</v>
      </c>
      <c r="B1338" s="159">
        <v>20</v>
      </c>
      <c r="C1338" s="159">
        <v>96</v>
      </c>
      <c r="D1338" s="159">
        <v>96</v>
      </c>
      <c r="E1338" s="159">
        <v>12</v>
      </c>
      <c r="F1338" s="160" t="s">
        <v>32838</v>
      </c>
      <c r="G1338" s="132"/>
      <c r="H1338" s="162" t="s">
        <v>17225</v>
      </c>
      <c r="I1338" s="158" t="s">
        <v>17226</v>
      </c>
      <c r="J1338" s="128"/>
      <c r="K1338" s="128"/>
      <c r="L1338" s="128"/>
      <c r="M1338" s="129"/>
      <c r="N1338" s="129"/>
      <c r="O1338" s="129"/>
    </row>
    <row r="1339" spans="1:15" ht="12.5">
      <c r="A1339" s="158" t="s">
        <v>17227</v>
      </c>
      <c r="B1339" s="159">
        <v>20</v>
      </c>
      <c r="C1339" s="159">
        <v>96</v>
      </c>
      <c r="D1339" s="159">
        <v>96</v>
      </c>
      <c r="E1339" s="159">
        <v>13</v>
      </c>
      <c r="F1339" s="160" t="s">
        <v>32838</v>
      </c>
      <c r="G1339" s="132"/>
      <c r="H1339" s="162" t="s">
        <v>17228</v>
      </c>
      <c r="I1339" s="158" t="s">
        <v>17229</v>
      </c>
      <c r="J1339" s="128"/>
      <c r="K1339" s="128"/>
      <c r="L1339" s="128"/>
      <c r="M1339" s="129"/>
      <c r="N1339" s="129"/>
      <c r="O1339" s="129"/>
    </row>
    <row r="1340" spans="1:15" ht="12.5">
      <c r="A1340" s="158" t="s">
        <v>17230</v>
      </c>
      <c r="B1340" s="159">
        <v>20</v>
      </c>
      <c r="C1340" s="159">
        <v>96</v>
      </c>
      <c r="D1340" s="159">
        <v>96</v>
      </c>
      <c r="E1340" s="159">
        <v>14</v>
      </c>
      <c r="F1340" s="160" t="s">
        <v>32838</v>
      </c>
      <c r="G1340" s="132"/>
      <c r="H1340" s="162" t="s">
        <v>17231</v>
      </c>
      <c r="I1340" s="158" t="s">
        <v>17232</v>
      </c>
      <c r="J1340" s="128"/>
      <c r="K1340" s="128"/>
      <c r="L1340" s="128"/>
      <c r="M1340" s="129"/>
      <c r="N1340" s="129"/>
      <c r="O1340" s="129"/>
    </row>
    <row r="1341" spans="1:15" ht="12.5">
      <c r="A1341" s="158" t="s">
        <v>17233</v>
      </c>
      <c r="B1341" s="159">
        <v>20</v>
      </c>
      <c r="C1341" s="159">
        <v>96</v>
      </c>
      <c r="D1341" s="159">
        <v>96</v>
      </c>
      <c r="E1341" s="159">
        <v>15</v>
      </c>
      <c r="F1341" s="160" t="s">
        <v>32838</v>
      </c>
      <c r="G1341" s="132"/>
      <c r="H1341" s="162" t="s">
        <v>17234</v>
      </c>
      <c r="I1341" s="158" t="s">
        <v>17235</v>
      </c>
      <c r="J1341" s="128"/>
      <c r="K1341" s="128"/>
      <c r="L1341" s="128"/>
      <c r="M1341" s="129"/>
      <c r="N1341" s="129"/>
      <c r="O1341" s="129"/>
    </row>
    <row r="1342" spans="1:15" ht="12.5">
      <c r="A1342" s="158" t="s">
        <v>17236</v>
      </c>
      <c r="B1342" s="159">
        <v>20</v>
      </c>
      <c r="C1342" s="159">
        <v>96</v>
      </c>
      <c r="D1342" s="159">
        <v>96</v>
      </c>
      <c r="E1342" s="159">
        <v>16</v>
      </c>
      <c r="F1342" s="160" t="s">
        <v>32838</v>
      </c>
      <c r="G1342" s="132"/>
      <c r="H1342" s="162" t="s">
        <v>17237</v>
      </c>
      <c r="I1342" s="158" t="s">
        <v>17238</v>
      </c>
      <c r="J1342" s="128"/>
      <c r="K1342" s="128"/>
      <c r="L1342" s="128"/>
      <c r="M1342" s="129"/>
      <c r="N1342" s="129"/>
      <c r="O1342" s="129"/>
    </row>
    <row r="1343" spans="1:15" ht="12.5">
      <c r="A1343" s="158" t="s">
        <v>17239</v>
      </c>
      <c r="B1343" s="159">
        <v>20</v>
      </c>
      <c r="C1343" s="159">
        <v>96</v>
      </c>
      <c r="D1343" s="159">
        <v>96</v>
      </c>
      <c r="E1343" s="159">
        <v>17</v>
      </c>
      <c r="F1343" s="160" t="s">
        <v>32838</v>
      </c>
      <c r="G1343" s="132"/>
      <c r="H1343" s="162" t="s">
        <v>17240</v>
      </c>
      <c r="I1343" s="158" t="s">
        <v>17241</v>
      </c>
      <c r="J1343" s="128"/>
      <c r="K1343" s="128"/>
      <c r="L1343" s="128"/>
      <c r="M1343" s="129"/>
      <c r="N1343" s="129"/>
      <c r="O1343" s="129"/>
    </row>
    <row r="1344" spans="1:15" ht="12.5">
      <c r="A1344" s="158" t="s">
        <v>17242</v>
      </c>
      <c r="B1344" s="159">
        <v>20</v>
      </c>
      <c r="C1344" s="159">
        <v>96</v>
      </c>
      <c r="D1344" s="159">
        <v>96</v>
      </c>
      <c r="E1344" s="159">
        <v>72</v>
      </c>
      <c r="F1344" s="160" t="s">
        <v>32838</v>
      </c>
      <c r="G1344" s="132"/>
      <c r="H1344" s="162" t="s">
        <v>17243</v>
      </c>
      <c r="I1344" s="158" t="s">
        <v>17244</v>
      </c>
      <c r="J1344" s="128"/>
      <c r="K1344" s="128"/>
      <c r="L1344" s="128"/>
      <c r="M1344" s="129"/>
      <c r="N1344" s="129"/>
      <c r="O1344" s="129"/>
    </row>
    <row r="1345" spans="1:15" ht="12.5">
      <c r="A1345" s="151" t="s">
        <v>17245</v>
      </c>
      <c r="B1345" s="152">
        <v>20</v>
      </c>
      <c r="C1345" s="152">
        <v>96</v>
      </c>
      <c r="D1345" s="152">
        <v>97</v>
      </c>
      <c r="E1345" s="153"/>
      <c r="F1345" s="154" t="s">
        <v>2011</v>
      </c>
      <c r="G1345" s="168"/>
      <c r="H1345" s="156" t="s">
        <v>17246</v>
      </c>
      <c r="I1345" s="157"/>
      <c r="J1345" s="157"/>
      <c r="K1345" s="157"/>
      <c r="L1345" s="157"/>
      <c r="M1345" s="186"/>
      <c r="N1345" s="186"/>
      <c r="O1345" s="186"/>
    </row>
    <row r="1346" spans="1:15" ht="12.5">
      <c r="A1346" s="158" t="s">
        <v>17247</v>
      </c>
      <c r="B1346" s="159">
        <v>20</v>
      </c>
      <c r="C1346" s="159">
        <v>96</v>
      </c>
      <c r="D1346" s="159">
        <v>97</v>
      </c>
      <c r="E1346" s="159">
        <v>2</v>
      </c>
      <c r="F1346" s="160" t="s">
        <v>32838</v>
      </c>
      <c r="G1346" s="132"/>
      <c r="H1346" s="162" t="s">
        <v>17248</v>
      </c>
      <c r="I1346" s="158" t="s">
        <v>17249</v>
      </c>
      <c r="J1346" s="128"/>
      <c r="K1346" s="128"/>
      <c r="L1346" s="128"/>
      <c r="M1346" s="129"/>
      <c r="N1346" s="129"/>
      <c r="O1346" s="129"/>
    </row>
    <row r="1347" spans="1:15" ht="12.5">
      <c r="A1347" s="158" t="s">
        <v>17250</v>
      </c>
      <c r="B1347" s="159">
        <v>20</v>
      </c>
      <c r="C1347" s="159">
        <v>96</v>
      </c>
      <c r="D1347" s="159">
        <v>97</v>
      </c>
      <c r="E1347" s="159">
        <v>11</v>
      </c>
      <c r="F1347" s="160" t="s">
        <v>32838</v>
      </c>
      <c r="G1347" s="132"/>
      <c r="H1347" s="162" t="s">
        <v>17251</v>
      </c>
      <c r="I1347" s="158" t="s">
        <v>17252</v>
      </c>
      <c r="J1347" s="128"/>
      <c r="K1347" s="128"/>
      <c r="L1347" s="128"/>
      <c r="M1347" s="129"/>
      <c r="N1347" s="129"/>
      <c r="O1347" s="129"/>
    </row>
    <row r="1348" spans="1:15" ht="12.5">
      <c r="A1348" s="158" t="s">
        <v>17253</v>
      </c>
      <c r="B1348" s="159">
        <v>20</v>
      </c>
      <c r="C1348" s="159">
        <v>96</v>
      </c>
      <c r="D1348" s="159">
        <v>97</v>
      </c>
      <c r="E1348" s="159">
        <v>12</v>
      </c>
      <c r="F1348" s="160" t="s">
        <v>32838</v>
      </c>
      <c r="G1348" s="132"/>
      <c r="H1348" s="162" t="s">
        <v>17254</v>
      </c>
      <c r="I1348" s="158" t="s">
        <v>17255</v>
      </c>
      <c r="J1348" s="128"/>
      <c r="K1348" s="128"/>
      <c r="L1348" s="128"/>
      <c r="M1348" s="129"/>
      <c r="N1348" s="129"/>
      <c r="O1348" s="129"/>
    </row>
    <row r="1349" spans="1:15" ht="12.5">
      <c r="A1349" s="158" t="s">
        <v>17256</v>
      </c>
      <c r="B1349" s="159">
        <v>20</v>
      </c>
      <c r="C1349" s="159">
        <v>96</v>
      </c>
      <c r="D1349" s="159">
        <v>97</v>
      </c>
      <c r="E1349" s="159">
        <v>13</v>
      </c>
      <c r="F1349" s="160" t="s">
        <v>32838</v>
      </c>
      <c r="G1349" s="132"/>
      <c r="H1349" s="162" t="s">
        <v>17257</v>
      </c>
      <c r="I1349" s="158" t="s">
        <v>17258</v>
      </c>
      <c r="J1349" s="128"/>
      <c r="K1349" s="128"/>
      <c r="L1349" s="128"/>
      <c r="M1349" s="129"/>
      <c r="N1349" s="129"/>
      <c r="O1349" s="129"/>
    </row>
    <row r="1350" spans="1:15" ht="12.5">
      <c r="A1350" s="158" t="s">
        <v>17259</v>
      </c>
      <c r="B1350" s="159">
        <v>20</v>
      </c>
      <c r="C1350" s="159">
        <v>96</v>
      </c>
      <c r="D1350" s="159">
        <v>97</v>
      </c>
      <c r="E1350" s="159">
        <v>14</v>
      </c>
      <c r="F1350" s="160" t="s">
        <v>32838</v>
      </c>
      <c r="G1350" s="132"/>
      <c r="H1350" s="162" t="s">
        <v>17260</v>
      </c>
      <c r="I1350" s="158" t="s">
        <v>17261</v>
      </c>
      <c r="J1350" s="128"/>
      <c r="K1350" s="128"/>
      <c r="L1350" s="128"/>
      <c r="M1350" s="129"/>
      <c r="N1350" s="129"/>
      <c r="O1350" s="129"/>
    </row>
    <row r="1351" spans="1:15" ht="12.5">
      <c r="A1351" s="158" t="s">
        <v>17262</v>
      </c>
      <c r="B1351" s="159">
        <v>20</v>
      </c>
      <c r="C1351" s="159">
        <v>96</v>
      </c>
      <c r="D1351" s="159">
        <v>97</v>
      </c>
      <c r="E1351" s="159">
        <v>15</v>
      </c>
      <c r="F1351" s="160" t="s">
        <v>32838</v>
      </c>
      <c r="G1351" s="132"/>
      <c r="H1351" s="162" t="s">
        <v>17263</v>
      </c>
      <c r="I1351" s="158" t="s">
        <v>17264</v>
      </c>
      <c r="J1351" s="128"/>
      <c r="K1351" s="128"/>
      <c r="L1351" s="128"/>
      <c r="M1351" s="129"/>
      <c r="N1351" s="129"/>
      <c r="O1351" s="129"/>
    </row>
    <row r="1352" spans="1:15" ht="12.5">
      <c r="A1352" s="158" t="s">
        <v>17265</v>
      </c>
      <c r="B1352" s="159">
        <v>20</v>
      </c>
      <c r="C1352" s="159">
        <v>96</v>
      </c>
      <c r="D1352" s="159">
        <v>97</v>
      </c>
      <c r="E1352" s="159">
        <v>16</v>
      </c>
      <c r="F1352" s="160" t="s">
        <v>32838</v>
      </c>
      <c r="G1352" s="132"/>
      <c r="H1352" s="162" t="s">
        <v>17266</v>
      </c>
      <c r="I1352" s="158" t="s">
        <v>17267</v>
      </c>
      <c r="J1352" s="128"/>
      <c r="K1352" s="128"/>
      <c r="L1352" s="128"/>
      <c r="M1352" s="129"/>
      <c r="N1352" s="129"/>
      <c r="O1352" s="129"/>
    </row>
    <row r="1353" spans="1:15" ht="12.5">
      <c r="A1353" s="158" t="s">
        <v>17268</v>
      </c>
      <c r="B1353" s="159">
        <v>20</v>
      </c>
      <c r="C1353" s="159">
        <v>96</v>
      </c>
      <c r="D1353" s="159">
        <v>97</v>
      </c>
      <c r="E1353" s="159">
        <v>17</v>
      </c>
      <c r="F1353" s="160" t="s">
        <v>32838</v>
      </c>
      <c r="G1353" s="132"/>
      <c r="H1353" s="162" t="s">
        <v>17269</v>
      </c>
      <c r="I1353" s="158" t="s">
        <v>17270</v>
      </c>
      <c r="J1353" s="128"/>
      <c r="K1353" s="128"/>
      <c r="L1353" s="128"/>
      <c r="M1353" s="129"/>
      <c r="N1353" s="129"/>
      <c r="O1353" s="129"/>
    </row>
    <row r="1354" spans="1:15" ht="12.5">
      <c r="A1354" s="158" t="s">
        <v>17271</v>
      </c>
      <c r="B1354" s="159">
        <v>20</v>
      </c>
      <c r="C1354" s="159">
        <v>96</v>
      </c>
      <c r="D1354" s="159">
        <v>97</v>
      </c>
      <c r="E1354" s="159">
        <v>18</v>
      </c>
      <c r="F1354" s="160" t="s">
        <v>32838</v>
      </c>
      <c r="G1354" s="132"/>
      <c r="H1354" s="162" t="s">
        <v>17272</v>
      </c>
      <c r="I1354" s="158" t="s">
        <v>17273</v>
      </c>
      <c r="J1354" s="128"/>
      <c r="K1354" s="128"/>
      <c r="L1354" s="128"/>
      <c r="M1354" s="129"/>
      <c r="N1354" s="129"/>
      <c r="O1354" s="129"/>
    </row>
    <row r="1355" spans="1:15" ht="12.5">
      <c r="A1355" s="158" t="s">
        <v>17274</v>
      </c>
      <c r="B1355" s="159">
        <v>20</v>
      </c>
      <c r="C1355" s="159">
        <v>96</v>
      </c>
      <c r="D1355" s="159">
        <v>97</v>
      </c>
      <c r="E1355" s="159">
        <v>19</v>
      </c>
      <c r="F1355" s="160" t="s">
        <v>32838</v>
      </c>
      <c r="G1355" s="132"/>
      <c r="H1355" s="162" t="s">
        <v>17275</v>
      </c>
      <c r="I1355" s="158" t="s">
        <v>17276</v>
      </c>
      <c r="J1355" s="128"/>
      <c r="K1355" s="128"/>
      <c r="L1355" s="128"/>
      <c r="M1355" s="129"/>
      <c r="N1355" s="129"/>
      <c r="O1355" s="129"/>
    </row>
    <row r="1356" spans="1:15" ht="12.5">
      <c r="A1356" s="158" t="s">
        <v>17277</v>
      </c>
      <c r="B1356" s="159">
        <v>20</v>
      </c>
      <c r="C1356" s="159">
        <v>96</v>
      </c>
      <c r="D1356" s="159">
        <v>97</v>
      </c>
      <c r="E1356" s="159">
        <v>21</v>
      </c>
      <c r="F1356" s="160" t="s">
        <v>32838</v>
      </c>
      <c r="G1356" s="132"/>
      <c r="H1356" s="162" t="s">
        <v>17278</v>
      </c>
      <c r="I1356" s="158" t="s">
        <v>17279</v>
      </c>
      <c r="J1356" s="128"/>
      <c r="K1356" s="128"/>
      <c r="L1356" s="128"/>
      <c r="M1356" s="129"/>
      <c r="N1356" s="129"/>
      <c r="O1356" s="129"/>
    </row>
    <row r="1357" spans="1:15" ht="12.5">
      <c r="A1357" s="158" t="s">
        <v>17280</v>
      </c>
      <c r="B1357" s="159">
        <v>20</v>
      </c>
      <c r="C1357" s="159">
        <v>96</v>
      </c>
      <c r="D1357" s="159">
        <v>97</v>
      </c>
      <c r="E1357" s="159">
        <v>27</v>
      </c>
      <c r="F1357" s="160" t="s">
        <v>32838</v>
      </c>
      <c r="G1357" s="132"/>
      <c r="H1357" s="162" t="s">
        <v>17281</v>
      </c>
      <c r="I1357" s="158" t="s">
        <v>17282</v>
      </c>
      <c r="J1357" s="128"/>
      <c r="K1357" s="128"/>
      <c r="L1357" s="128"/>
      <c r="M1357" s="129"/>
      <c r="N1357" s="129"/>
      <c r="O1357" s="129"/>
    </row>
    <row r="1358" spans="1:15" ht="12.5">
      <c r="A1358" s="158" t="s">
        <v>17283</v>
      </c>
      <c r="B1358" s="159">
        <v>20</v>
      </c>
      <c r="C1358" s="159">
        <v>96</v>
      </c>
      <c r="D1358" s="159">
        <v>97</v>
      </c>
      <c r="E1358" s="159">
        <v>51</v>
      </c>
      <c r="F1358" s="160" t="s">
        <v>32838</v>
      </c>
      <c r="G1358" s="132"/>
      <c r="H1358" s="162" t="s">
        <v>17284</v>
      </c>
      <c r="I1358" s="128"/>
      <c r="J1358" s="128"/>
      <c r="K1358" s="128"/>
      <c r="L1358" s="128"/>
      <c r="M1358" s="129"/>
      <c r="N1358" s="129"/>
      <c r="O1358" s="129"/>
    </row>
    <row r="1359" spans="1:15" ht="12.5">
      <c r="A1359" s="158" t="s">
        <v>17285</v>
      </c>
      <c r="B1359" s="159">
        <v>20</v>
      </c>
      <c r="C1359" s="159">
        <v>96</v>
      </c>
      <c r="D1359" s="159">
        <v>97</v>
      </c>
      <c r="E1359" s="159">
        <v>56</v>
      </c>
      <c r="F1359" s="160" t="s">
        <v>32838</v>
      </c>
      <c r="G1359" s="132"/>
      <c r="H1359" s="162" t="s">
        <v>17286</v>
      </c>
      <c r="I1359" s="158" t="s">
        <v>17287</v>
      </c>
      <c r="J1359" s="128"/>
      <c r="K1359" s="128"/>
      <c r="L1359" s="128"/>
      <c r="M1359" s="129"/>
      <c r="N1359" s="129"/>
      <c r="O1359" s="129"/>
    </row>
    <row r="1360" spans="1:15" ht="12.5">
      <c r="A1360" s="158" t="s">
        <v>17288</v>
      </c>
      <c r="B1360" s="159">
        <v>20</v>
      </c>
      <c r="C1360" s="159">
        <v>96</v>
      </c>
      <c r="D1360" s="159">
        <v>97</v>
      </c>
      <c r="E1360" s="159">
        <v>57</v>
      </c>
      <c r="F1360" s="160" t="s">
        <v>32838</v>
      </c>
      <c r="G1360" s="132"/>
      <c r="H1360" s="162" t="s">
        <v>17289</v>
      </c>
      <c r="I1360" s="128"/>
      <c r="J1360" s="128"/>
      <c r="K1360" s="128"/>
      <c r="L1360" s="128"/>
      <c r="M1360" s="129"/>
      <c r="N1360" s="129"/>
      <c r="O1360" s="129"/>
    </row>
    <row r="1361" spans="1:15" ht="12.5">
      <c r="A1361" s="158" t="s">
        <v>17290</v>
      </c>
      <c r="B1361" s="159">
        <v>20</v>
      </c>
      <c r="C1361" s="159">
        <v>96</v>
      </c>
      <c r="D1361" s="159">
        <v>97</v>
      </c>
      <c r="E1361" s="159">
        <v>58</v>
      </c>
      <c r="F1361" s="160" t="s">
        <v>32838</v>
      </c>
      <c r="G1361" s="132"/>
      <c r="H1361" s="162" t="s">
        <v>17291</v>
      </c>
      <c r="I1361" s="158" t="s">
        <v>17292</v>
      </c>
      <c r="J1361" s="128"/>
      <c r="K1361" s="128"/>
      <c r="L1361" s="128"/>
      <c r="M1361" s="129"/>
      <c r="N1361" s="129"/>
      <c r="O1361" s="129"/>
    </row>
    <row r="1362" spans="1:15" ht="12.5">
      <c r="A1362" s="158" t="s">
        <v>17293</v>
      </c>
      <c r="B1362" s="159">
        <v>20</v>
      </c>
      <c r="C1362" s="159">
        <v>96</v>
      </c>
      <c r="D1362" s="159">
        <v>97</v>
      </c>
      <c r="E1362" s="159">
        <v>60</v>
      </c>
      <c r="F1362" s="160" t="s">
        <v>32838</v>
      </c>
      <c r="G1362" s="132"/>
      <c r="H1362" s="162" t="s">
        <v>17294</v>
      </c>
      <c r="I1362" s="158" t="s">
        <v>17295</v>
      </c>
      <c r="J1362" s="128"/>
      <c r="K1362" s="128"/>
      <c r="L1362" s="128"/>
      <c r="M1362" s="129"/>
      <c r="N1362" s="129"/>
      <c r="O1362" s="129"/>
    </row>
    <row r="1363" spans="1:15" ht="12.5">
      <c r="A1363" s="158" t="s">
        <v>17296</v>
      </c>
      <c r="B1363" s="159">
        <v>20</v>
      </c>
      <c r="C1363" s="159">
        <v>96</v>
      </c>
      <c r="D1363" s="159">
        <v>97</v>
      </c>
      <c r="E1363" s="159">
        <v>62</v>
      </c>
      <c r="F1363" s="160" t="s">
        <v>32838</v>
      </c>
      <c r="G1363" s="132"/>
      <c r="H1363" s="162" t="s">
        <v>17297</v>
      </c>
      <c r="I1363" s="128"/>
      <c r="J1363" s="128"/>
      <c r="K1363" s="128"/>
      <c r="L1363" s="128"/>
      <c r="M1363" s="129"/>
      <c r="N1363" s="129"/>
      <c r="O1363" s="129"/>
    </row>
    <row r="1364" spans="1:15" ht="12.5">
      <c r="A1364" s="158" t="s">
        <v>17298</v>
      </c>
      <c r="B1364" s="159">
        <v>20</v>
      </c>
      <c r="C1364" s="159">
        <v>96</v>
      </c>
      <c r="D1364" s="159">
        <v>97</v>
      </c>
      <c r="E1364" s="159">
        <v>63</v>
      </c>
      <c r="F1364" s="160" t="s">
        <v>32838</v>
      </c>
      <c r="G1364" s="132"/>
      <c r="H1364" s="162" t="s">
        <v>17299</v>
      </c>
      <c r="I1364" s="128"/>
      <c r="J1364" s="128"/>
      <c r="K1364" s="128"/>
      <c r="L1364" s="128"/>
      <c r="M1364" s="129"/>
      <c r="N1364" s="129"/>
      <c r="O1364" s="129"/>
    </row>
    <row r="1365" spans="1:15" ht="12.5">
      <c r="A1365" s="158" t="s">
        <v>17300</v>
      </c>
      <c r="B1365" s="159">
        <v>20</v>
      </c>
      <c r="C1365" s="159">
        <v>96</v>
      </c>
      <c r="D1365" s="159">
        <v>97</v>
      </c>
      <c r="E1365" s="159">
        <v>73</v>
      </c>
      <c r="F1365" s="160" t="s">
        <v>32838</v>
      </c>
      <c r="G1365" s="132"/>
      <c r="H1365" s="162" t="s">
        <v>17301</v>
      </c>
      <c r="I1365" s="128"/>
      <c r="J1365" s="128"/>
      <c r="K1365" s="128"/>
      <c r="L1365" s="128"/>
      <c r="M1365" s="129"/>
      <c r="N1365" s="129"/>
      <c r="O1365" s="129"/>
    </row>
    <row r="1366" spans="1:15" ht="12.5">
      <c r="A1366" s="158" t="s">
        <v>17302</v>
      </c>
      <c r="B1366" s="159">
        <v>20</v>
      </c>
      <c r="C1366" s="159">
        <v>96</v>
      </c>
      <c r="D1366" s="159">
        <v>97</v>
      </c>
      <c r="E1366" s="159">
        <v>74</v>
      </c>
      <c r="F1366" s="160" t="s">
        <v>32838</v>
      </c>
      <c r="G1366" s="132"/>
      <c r="H1366" s="162" t="s">
        <v>17303</v>
      </c>
      <c r="I1366" s="158" t="s">
        <v>17304</v>
      </c>
      <c r="J1366" s="128"/>
      <c r="K1366" s="128"/>
      <c r="L1366" s="128"/>
      <c r="M1366" s="129"/>
      <c r="N1366" s="129"/>
      <c r="O1366" s="129"/>
    </row>
    <row r="1367" spans="1:15" ht="12.5">
      <c r="A1367" s="158" t="s">
        <v>17305</v>
      </c>
      <c r="B1367" s="159">
        <v>20</v>
      </c>
      <c r="C1367" s="159">
        <v>96</v>
      </c>
      <c r="D1367" s="159">
        <v>97</v>
      </c>
      <c r="E1367" s="159">
        <v>75</v>
      </c>
      <c r="F1367" s="160" t="s">
        <v>32838</v>
      </c>
      <c r="G1367" s="132"/>
      <c r="H1367" s="162" t="s">
        <v>17306</v>
      </c>
      <c r="I1367" s="158" t="s">
        <v>17307</v>
      </c>
      <c r="J1367" s="128"/>
      <c r="K1367" s="128"/>
      <c r="L1367" s="128"/>
      <c r="M1367" s="129"/>
      <c r="N1367" s="129"/>
      <c r="O1367" s="129"/>
    </row>
    <row r="1368" spans="1:15" ht="12.5">
      <c r="A1368" s="158" t="s">
        <v>17308</v>
      </c>
      <c r="B1368" s="159">
        <v>20</v>
      </c>
      <c r="C1368" s="159">
        <v>96</v>
      </c>
      <c r="D1368" s="159">
        <v>97</v>
      </c>
      <c r="E1368" s="159">
        <v>76</v>
      </c>
      <c r="F1368" s="160" t="s">
        <v>32838</v>
      </c>
      <c r="G1368" s="132"/>
      <c r="H1368" s="162" t="s">
        <v>17309</v>
      </c>
      <c r="I1368" s="158" t="s">
        <v>17310</v>
      </c>
      <c r="J1368" s="128"/>
      <c r="K1368" s="128"/>
      <c r="L1368" s="128"/>
      <c r="M1368" s="129"/>
      <c r="N1368" s="129"/>
      <c r="O1368" s="129"/>
    </row>
    <row r="1369" spans="1:15" ht="12.5">
      <c r="A1369" s="158" t="s">
        <v>17311</v>
      </c>
      <c r="B1369" s="159">
        <v>20</v>
      </c>
      <c r="C1369" s="159">
        <v>96</v>
      </c>
      <c r="D1369" s="159">
        <v>97</v>
      </c>
      <c r="E1369" s="159">
        <v>77</v>
      </c>
      <c r="F1369" s="160" t="s">
        <v>32838</v>
      </c>
      <c r="G1369" s="132"/>
      <c r="H1369" s="162" t="s">
        <v>17312</v>
      </c>
      <c r="I1369" s="128"/>
      <c r="J1369" s="128"/>
      <c r="K1369" s="128"/>
      <c r="L1369" s="128"/>
      <c r="M1369" s="129"/>
      <c r="N1369" s="129"/>
      <c r="O1369" s="129"/>
    </row>
    <row r="1370" spans="1:15" ht="12.5">
      <c r="A1370" s="158" t="s">
        <v>17313</v>
      </c>
      <c r="B1370" s="159">
        <v>20</v>
      </c>
      <c r="C1370" s="159">
        <v>96</v>
      </c>
      <c r="D1370" s="159">
        <v>97</v>
      </c>
      <c r="E1370" s="159">
        <v>78</v>
      </c>
      <c r="F1370" s="160" t="s">
        <v>32838</v>
      </c>
      <c r="G1370" s="132"/>
      <c r="H1370" s="162" t="s">
        <v>17314</v>
      </c>
      <c r="I1370" s="128"/>
      <c r="J1370" s="128"/>
      <c r="K1370" s="128"/>
      <c r="L1370" s="128"/>
      <c r="M1370" s="129"/>
      <c r="N1370" s="129"/>
      <c r="O1370" s="129"/>
    </row>
    <row r="1371" spans="1:15" ht="12.5">
      <c r="A1371" s="158" t="s">
        <v>17315</v>
      </c>
      <c r="B1371" s="159">
        <v>20</v>
      </c>
      <c r="C1371" s="159">
        <v>96</v>
      </c>
      <c r="D1371" s="159">
        <v>97</v>
      </c>
      <c r="E1371" s="159">
        <v>79</v>
      </c>
      <c r="F1371" s="160" t="s">
        <v>32838</v>
      </c>
      <c r="G1371" s="132"/>
      <c r="H1371" s="162" t="s">
        <v>17316</v>
      </c>
      <c r="I1371" s="158" t="s">
        <v>17317</v>
      </c>
      <c r="J1371" s="128"/>
      <c r="K1371" s="128"/>
      <c r="L1371" s="128"/>
      <c r="M1371" s="129"/>
      <c r="N1371" s="129"/>
      <c r="O1371" s="129"/>
    </row>
    <row r="1372" spans="1:15" ht="12.5">
      <c r="A1372" s="158" t="s">
        <v>17318</v>
      </c>
      <c r="B1372" s="159">
        <v>20</v>
      </c>
      <c r="C1372" s="159">
        <v>96</v>
      </c>
      <c r="D1372" s="159">
        <v>97</v>
      </c>
      <c r="E1372" s="159">
        <v>80</v>
      </c>
      <c r="F1372" s="160" t="s">
        <v>32838</v>
      </c>
      <c r="G1372" s="132"/>
      <c r="H1372" s="162" t="s">
        <v>17319</v>
      </c>
      <c r="I1372" s="128"/>
      <c r="J1372" s="128"/>
      <c r="K1372" s="128"/>
      <c r="L1372" s="128"/>
      <c r="M1372" s="129"/>
      <c r="N1372" s="129"/>
      <c r="O1372" s="129"/>
    </row>
    <row r="1373" spans="1:15" ht="12.5">
      <c r="A1373" s="158" t="s">
        <v>17320</v>
      </c>
      <c r="B1373" s="159">
        <v>20</v>
      </c>
      <c r="C1373" s="159">
        <v>96</v>
      </c>
      <c r="D1373" s="159">
        <v>97</v>
      </c>
      <c r="E1373" s="159">
        <v>81</v>
      </c>
      <c r="F1373" s="160" t="s">
        <v>32838</v>
      </c>
      <c r="G1373" s="132"/>
      <c r="H1373" s="162" t="s">
        <v>17321</v>
      </c>
      <c r="I1373" s="158" t="s">
        <v>17322</v>
      </c>
      <c r="J1373" s="128"/>
      <c r="K1373" s="128"/>
      <c r="L1373" s="128"/>
      <c r="M1373" s="129"/>
      <c r="N1373" s="129"/>
      <c r="O1373" s="129"/>
    </row>
    <row r="1374" spans="1:15" ht="12.5">
      <c r="A1374" s="158" t="s">
        <v>17323</v>
      </c>
      <c r="B1374" s="159">
        <v>20</v>
      </c>
      <c r="C1374" s="159">
        <v>96</v>
      </c>
      <c r="D1374" s="159">
        <v>97</v>
      </c>
      <c r="E1374" s="159">
        <v>82</v>
      </c>
      <c r="F1374" s="160" t="s">
        <v>32838</v>
      </c>
      <c r="G1374" s="132"/>
      <c r="H1374" s="162" t="s">
        <v>17324</v>
      </c>
      <c r="I1374" s="158" t="s">
        <v>17325</v>
      </c>
      <c r="J1374" s="128"/>
      <c r="K1374" s="128"/>
      <c r="L1374" s="128"/>
      <c r="M1374" s="129"/>
      <c r="N1374" s="129"/>
      <c r="O1374" s="129"/>
    </row>
    <row r="1375" spans="1:15" ht="12.5">
      <c r="A1375" s="158" t="s">
        <v>17326</v>
      </c>
      <c r="B1375" s="159">
        <v>20</v>
      </c>
      <c r="C1375" s="159">
        <v>96</v>
      </c>
      <c r="D1375" s="159">
        <v>97</v>
      </c>
      <c r="E1375" s="159">
        <v>83</v>
      </c>
      <c r="F1375" s="160" t="s">
        <v>32838</v>
      </c>
      <c r="G1375" s="132"/>
      <c r="H1375" s="162" t="s">
        <v>17327</v>
      </c>
      <c r="I1375" s="158" t="s">
        <v>17328</v>
      </c>
      <c r="J1375" s="128"/>
      <c r="K1375" s="128"/>
      <c r="L1375" s="128"/>
      <c r="M1375" s="129"/>
      <c r="N1375" s="129"/>
      <c r="O1375" s="129"/>
    </row>
    <row r="1376" spans="1:15" ht="12.5">
      <c r="A1376" s="158" t="s">
        <v>17329</v>
      </c>
      <c r="B1376" s="159">
        <v>20</v>
      </c>
      <c r="C1376" s="159">
        <v>96</v>
      </c>
      <c r="D1376" s="159">
        <v>97</v>
      </c>
      <c r="E1376" s="159">
        <v>84</v>
      </c>
      <c r="F1376" s="160" t="s">
        <v>32838</v>
      </c>
      <c r="G1376" s="132"/>
      <c r="H1376" s="162" t="s">
        <v>17330</v>
      </c>
      <c r="I1376" s="158" t="s">
        <v>17331</v>
      </c>
      <c r="J1376" s="128"/>
      <c r="K1376" s="128"/>
      <c r="L1376" s="128"/>
      <c r="M1376" s="129"/>
      <c r="N1376" s="129"/>
      <c r="O1376" s="129"/>
    </row>
    <row r="1377" spans="1:15" ht="12.5">
      <c r="A1377" s="158" t="s">
        <v>17332</v>
      </c>
      <c r="B1377" s="159">
        <v>20</v>
      </c>
      <c r="C1377" s="159">
        <v>96</v>
      </c>
      <c r="D1377" s="159">
        <v>97</v>
      </c>
      <c r="E1377" s="159">
        <v>85</v>
      </c>
      <c r="F1377" s="160" t="s">
        <v>32838</v>
      </c>
      <c r="G1377" s="132"/>
      <c r="H1377" s="162" t="s">
        <v>17333</v>
      </c>
      <c r="I1377" s="158" t="s">
        <v>17334</v>
      </c>
      <c r="J1377" s="128"/>
      <c r="K1377" s="128"/>
      <c r="L1377" s="128"/>
      <c r="M1377" s="129"/>
      <c r="N1377" s="129"/>
      <c r="O1377" s="129"/>
    </row>
    <row r="1378" spans="1:15" ht="12.5">
      <c r="A1378" s="158" t="s">
        <v>17335</v>
      </c>
      <c r="B1378" s="159">
        <v>20</v>
      </c>
      <c r="C1378" s="159">
        <v>96</v>
      </c>
      <c r="D1378" s="159">
        <v>97</v>
      </c>
      <c r="E1378" s="159">
        <v>86</v>
      </c>
      <c r="F1378" s="160" t="s">
        <v>32838</v>
      </c>
      <c r="G1378" s="132"/>
      <c r="H1378" s="162" t="s">
        <v>17336</v>
      </c>
      <c r="I1378" s="158" t="s">
        <v>17337</v>
      </c>
      <c r="J1378" s="128"/>
      <c r="K1378" s="128"/>
      <c r="L1378" s="128"/>
      <c r="M1378" s="129"/>
      <c r="N1378" s="129"/>
      <c r="O1378" s="129"/>
    </row>
    <row r="1379" spans="1:15" ht="12.5">
      <c r="A1379" s="158" t="s">
        <v>17338</v>
      </c>
      <c r="B1379" s="159">
        <v>20</v>
      </c>
      <c r="C1379" s="159">
        <v>96</v>
      </c>
      <c r="D1379" s="159">
        <v>97</v>
      </c>
      <c r="E1379" s="159">
        <v>87</v>
      </c>
      <c r="F1379" s="160" t="s">
        <v>32838</v>
      </c>
      <c r="G1379" s="132"/>
      <c r="H1379" s="162" t="s">
        <v>17339</v>
      </c>
      <c r="I1379" s="158" t="s">
        <v>17340</v>
      </c>
      <c r="J1379" s="128"/>
      <c r="K1379" s="128"/>
      <c r="L1379" s="128"/>
      <c r="M1379" s="129"/>
      <c r="N1379" s="129"/>
      <c r="O1379" s="129"/>
    </row>
    <row r="1380" spans="1:15" ht="12.5">
      <c r="A1380" s="158" t="s">
        <v>17341</v>
      </c>
      <c r="B1380" s="159">
        <v>20</v>
      </c>
      <c r="C1380" s="159">
        <v>96</v>
      </c>
      <c r="D1380" s="159">
        <v>97</v>
      </c>
      <c r="E1380" s="159">
        <v>88</v>
      </c>
      <c r="F1380" s="160" t="s">
        <v>32838</v>
      </c>
      <c r="G1380" s="132"/>
      <c r="H1380" s="162" t="s">
        <v>17342</v>
      </c>
      <c r="I1380" s="158" t="s">
        <v>17343</v>
      </c>
      <c r="J1380" s="128"/>
      <c r="K1380" s="128"/>
      <c r="L1380" s="128"/>
      <c r="M1380" s="129"/>
      <c r="N1380" s="129"/>
      <c r="O1380" s="129"/>
    </row>
    <row r="1381" spans="1:15" ht="12.5">
      <c r="A1381" s="158" t="s">
        <v>17344</v>
      </c>
      <c r="B1381" s="159">
        <v>20</v>
      </c>
      <c r="C1381" s="159">
        <v>96</v>
      </c>
      <c r="D1381" s="159">
        <v>97</v>
      </c>
      <c r="E1381" s="159">
        <v>89</v>
      </c>
      <c r="F1381" s="160" t="s">
        <v>32838</v>
      </c>
      <c r="G1381" s="132"/>
      <c r="H1381" s="162" t="s">
        <v>17345</v>
      </c>
      <c r="I1381" s="158" t="s">
        <v>17346</v>
      </c>
      <c r="J1381" s="128"/>
      <c r="K1381" s="128"/>
      <c r="L1381" s="128"/>
      <c r="M1381" s="129"/>
      <c r="N1381" s="129"/>
      <c r="O1381" s="129"/>
    </row>
    <row r="1382" spans="1:15" ht="12.5">
      <c r="A1382" s="137" t="s">
        <v>17347</v>
      </c>
      <c r="B1382" s="138">
        <v>25</v>
      </c>
      <c r="C1382" s="139"/>
      <c r="D1382" s="139"/>
      <c r="E1382" s="139"/>
      <c r="F1382" s="140" t="s">
        <v>33223</v>
      </c>
      <c r="G1382" s="141"/>
      <c r="H1382" s="142" t="s">
        <v>17348</v>
      </c>
      <c r="I1382" s="143"/>
      <c r="J1382" s="143"/>
      <c r="K1382" s="143"/>
      <c r="L1382" s="143"/>
      <c r="M1382" s="192"/>
      <c r="N1382" s="192"/>
      <c r="O1382" s="192"/>
    </row>
    <row r="1383" spans="1:15" ht="12.5">
      <c r="A1383" s="144" t="s">
        <v>17349</v>
      </c>
      <c r="B1383" s="145">
        <v>25</v>
      </c>
      <c r="C1383" s="145">
        <v>30</v>
      </c>
      <c r="D1383" s="146"/>
      <c r="E1383" s="146"/>
      <c r="F1383" s="147" t="s">
        <v>33224</v>
      </c>
      <c r="G1383" s="148"/>
      <c r="H1383" s="149" t="s">
        <v>17350</v>
      </c>
      <c r="I1383" s="128"/>
      <c r="J1383" s="128"/>
      <c r="K1383" s="128"/>
      <c r="L1383" s="128"/>
      <c r="M1383" s="129"/>
      <c r="N1383" s="129"/>
      <c r="O1383" s="129"/>
    </row>
    <row r="1384" spans="1:15" ht="12.5">
      <c r="A1384" s="151" t="s">
        <v>17351</v>
      </c>
      <c r="B1384" s="152">
        <v>25</v>
      </c>
      <c r="C1384" s="152">
        <v>30</v>
      </c>
      <c r="D1384" s="152">
        <v>30</v>
      </c>
      <c r="E1384" s="153"/>
      <c r="F1384" s="154" t="s">
        <v>33170</v>
      </c>
      <c r="G1384" s="155"/>
      <c r="H1384" s="156" t="s">
        <v>17352</v>
      </c>
      <c r="I1384" s="157"/>
      <c r="J1384" s="128"/>
      <c r="K1384" s="128"/>
      <c r="L1384" s="128"/>
      <c r="M1384" s="129"/>
      <c r="N1384" s="129"/>
      <c r="O1384" s="129"/>
    </row>
    <row r="1385" spans="1:15" ht="12.5">
      <c r="A1385" s="158" t="s">
        <v>17353</v>
      </c>
      <c r="B1385" s="159">
        <v>25</v>
      </c>
      <c r="C1385" s="159">
        <v>30</v>
      </c>
      <c r="D1385" s="159">
        <v>30</v>
      </c>
      <c r="E1385" s="159">
        <v>1</v>
      </c>
      <c r="F1385" s="193" t="s">
        <v>32838</v>
      </c>
      <c r="G1385" s="194"/>
      <c r="H1385" s="162" t="s">
        <v>17354</v>
      </c>
      <c r="I1385" s="158" t="s">
        <v>17355</v>
      </c>
      <c r="J1385" s="128"/>
      <c r="K1385" s="128"/>
      <c r="L1385" s="128"/>
      <c r="M1385" s="129"/>
      <c r="N1385" s="129"/>
      <c r="O1385" s="129"/>
    </row>
    <row r="1386" spans="1:15" ht="12.5">
      <c r="A1386" s="158" t="s">
        <v>17356</v>
      </c>
      <c r="B1386" s="159">
        <v>25</v>
      </c>
      <c r="C1386" s="159">
        <v>30</v>
      </c>
      <c r="D1386" s="159">
        <v>30</v>
      </c>
      <c r="E1386" s="159">
        <v>2</v>
      </c>
      <c r="F1386" s="160" t="s">
        <v>32838</v>
      </c>
      <c r="G1386" s="132"/>
      <c r="H1386" s="162" t="s">
        <v>17357</v>
      </c>
      <c r="I1386" s="128"/>
      <c r="J1386" s="128"/>
      <c r="K1386" s="128"/>
      <c r="L1386" s="128"/>
      <c r="M1386" s="129"/>
      <c r="N1386" s="129"/>
      <c r="O1386" s="129"/>
    </row>
    <row r="1387" spans="1:15" ht="12.5">
      <c r="A1387" s="158" t="s">
        <v>17358</v>
      </c>
      <c r="B1387" s="159">
        <v>25</v>
      </c>
      <c r="C1387" s="159">
        <v>30</v>
      </c>
      <c r="D1387" s="159">
        <v>30</v>
      </c>
      <c r="E1387" s="159">
        <v>3</v>
      </c>
      <c r="F1387" s="160" t="s">
        <v>32838</v>
      </c>
      <c r="G1387" s="132"/>
      <c r="H1387" s="162" t="s">
        <v>17359</v>
      </c>
      <c r="I1387" s="158" t="s">
        <v>17360</v>
      </c>
      <c r="J1387" s="128"/>
      <c r="K1387" s="128"/>
      <c r="L1387" s="128"/>
      <c r="M1387" s="129"/>
      <c r="N1387" s="129"/>
      <c r="O1387" s="129"/>
    </row>
    <row r="1388" spans="1:15" ht="12.5">
      <c r="A1388" s="158" t="s">
        <v>17361</v>
      </c>
      <c r="B1388" s="159">
        <v>25</v>
      </c>
      <c r="C1388" s="159">
        <v>30</v>
      </c>
      <c r="D1388" s="159">
        <v>30</v>
      </c>
      <c r="E1388" s="159">
        <v>4</v>
      </c>
      <c r="F1388" s="160" t="s">
        <v>32838</v>
      </c>
      <c r="G1388" s="132"/>
      <c r="H1388" s="162" t="s">
        <v>17362</v>
      </c>
      <c r="I1388" s="158" t="s">
        <v>17363</v>
      </c>
      <c r="J1388" s="128"/>
      <c r="K1388" s="128"/>
      <c r="L1388" s="128"/>
      <c r="M1388" s="129"/>
      <c r="N1388" s="129"/>
      <c r="O1388" s="129"/>
    </row>
    <row r="1389" spans="1:15" ht="12.5">
      <c r="A1389" s="158" t="s">
        <v>17364</v>
      </c>
      <c r="B1389" s="159">
        <v>25</v>
      </c>
      <c r="C1389" s="159">
        <v>30</v>
      </c>
      <c r="D1389" s="159">
        <v>30</v>
      </c>
      <c r="E1389" s="159">
        <v>5</v>
      </c>
      <c r="F1389" s="160" t="s">
        <v>32838</v>
      </c>
      <c r="G1389" s="132"/>
      <c r="H1389" s="162" t="s">
        <v>17365</v>
      </c>
      <c r="I1389" s="158" t="s">
        <v>17366</v>
      </c>
      <c r="J1389" s="128"/>
      <c r="K1389" s="128"/>
      <c r="L1389" s="128"/>
      <c r="M1389" s="129"/>
      <c r="N1389" s="129"/>
      <c r="O1389" s="129"/>
    </row>
    <row r="1390" spans="1:15" ht="12.5">
      <c r="A1390" s="158" t="s">
        <v>17367</v>
      </c>
      <c r="B1390" s="159">
        <v>25</v>
      </c>
      <c r="C1390" s="159">
        <v>30</v>
      </c>
      <c r="D1390" s="159">
        <v>30</v>
      </c>
      <c r="E1390" s="159">
        <v>6</v>
      </c>
      <c r="F1390" s="160" t="s">
        <v>32838</v>
      </c>
      <c r="G1390" s="132"/>
      <c r="H1390" s="162" t="s">
        <v>17368</v>
      </c>
      <c r="I1390" s="158" t="s">
        <v>17369</v>
      </c>
      <c r="J1390" s="128"/>
      <c r="K1390" s="128"/>
      <c r="L1390" s="128"/>
      <c r="M1390" s="129"/>
      <c r="N1390" s="129"/>
      <c r="O1390" s="129"/>
    </row>
    <row r="1391" spans="1:15" ht="12.5">
      <c r="A1391" s="158" t="s">
        <v>17370</v>
      </c>
      <c r="B1391" s="159">
        <v>25</v>
      </c>
      <c r="C1391" s="159">
        <v>30</v>
      </c>
      <c r="D1391" s="159">
        <v>30</v>
      </c>
      <c r="E1391" s="159">
        <v>12</v>
      </c>
      <c r="F1391" s="160" t="s">
        <v>32838</v>
      </c>
      <c r="G1391" s="132"/>
      <c r="H1391" s="162" t="s">
        <v>17371</v>
      </c>
      <c r="I1391" s="158" t="s">
        <v>17372</v>
      </c>
      <c r="J1391" s="128"/>
      <c r="K1391" s="128"/>
      <c r="L1391" s="128"/>
      <c r="M1391" s="129"/>
      <c r="N1391" s="129"/>
      <c r="O1391" s="129"/>
    </row>
    <row r="1392" spans="1:15" ht="12.5">
      <c r="A1392" s="158" t="s">
        <v>17373</v>
      </c>
      <c r="B1392" s="159">
        <v>25</v>
      </c>
      <c r="C1392" s="159">
        <v>30</v>
      </c>
      <c r="D1392" s="159">
        <v>30</v>
      </c>
      <c r="E1392" s="159">
        <v>14</v>
      </c>
      <c r="F1392" s="160" t="s">
        <v>32838</v>
      </c>
      <c r="G1392" s="132"/>
      <c r="H1392" s="162" t="s">
        <v>17374</v>
      </c>
      <c r="I1392" s="158" t="s">
        <v>17375</v>
      </c>
      <c r="J1392" s="128"/>
      <c r="K1392" s="128"/>
      <c r="L1392" s="128"/>
      <c r="M1392" s="129"/>
      <c r="N1392" s="129"/>
      <c r="O1392" s="129"/>
    </row>
    <row r="1393" spans="1:15" ht="12.5">
      <c r="A1393" s="158" t="s">
        <v>17376</v>
      </c>
      <c r="B1393" s="159">
        <v>25</v>
      </c>
      <c r="C1393" s="159">
        <v>30</v>
      </c>
      <c r="D1393" s="159">
        <v>30</v>
      </c>
      <c r="E1393" s="159">
        <v>16</v>
      </c>
      <c r="F1393" s="160" t="s">
        <v>32838</v>
      </c>
      <c r="G1393" s="132"/>
      <c r="H1393" s="162" t="s">
        <v>17377</v>
      </c>
      <c r="I1393" s="158" t="s">
        <v>17378</v>
      </c>
      <c r="J1393" s="128"/>
      <c r="K1393" s="128"/>
      <c r="L1393" s="128"/>
      <c r="M1393" s="129"/>
      <c r="N1393" s="129"/>
      <c r="O1393" s="129"/>
    </row>
    <row r="1394" spans="1:15" ht="12.5">
      <c r="A1394" s="158" t="s">
        <v>17379</v>
      </c>
      <c r="B1394" s="159">
        <v>25</v>
      </c>
      <c r="C1394" s="159">
        <v>30</v>
      </c>
      <c r="D1394" s="159">
        <v>30</v>
      </c>
      <c r="E1394" s="159">
        <v>18</v>
      </c>
      <c r="F1394" s="160" t="s">
        <v>32838</v>
      </c>
      <c r="G1394" s="132"/>
      <c r="H1394" s="162" t="s">
        <v>17380</v>
      </c>
      <c r="I1394" s="158" t="s">
        <v>17381</v>
      </c>
      <c r="J1394" s="128"/>
      <c r="K1394" s="128"/>
      <c r="L1394" s="128"/>
      <c r="M1394" s="129"/>
      <c r="N1394" s="129"/>
      <c r="O1394" s="129"/>
    </row>
    <row r="1395" spans="1:15" ht="12.5">
      <c r="A1395" s="158" t="s">
        <v>17382</v>
      </c>
      <c r="B1395" s="159">
        <v>25</v>
      </c>
      <c r="C1395" s="159">
        <v>30</v>
      </c>
      <c r="D1395" s="159">
        <v>30</v>
      </c>
      <c r="E1395" s="159">
        <v>20</v>
      </c>
      <c r="F1395" s="160" t="s">
        <v>32838</v>
      </c>
      <c r="G1395" s="132"/>
      <c r="H1395" s="162" t="s">
        <v>17383</v>
      </c>
      <c r="I1395" s="128"/>
      <c r="J1395" s="128"/>
      <c r="K1395" s="128"/>
      <c r="L1395" s="128"/>
      <c r="M1395" s="129"/>
      <c r="N1395" s="129"/>
      <c r="O1395" s="129"/>
    </row>
    <row r="1396" spans="1:15" ht="12.5">
      <c r="A1396" s="158" t="s">
        <v>17384</v>
      </c>
      <c r="B1396" s="159">
        <v>25</v>
      </c>
      <c r="C1396" s="159">
        <v>30</v>
      </c>
      <c r="D1396" s="159">
        <v>30</v>
      </c>
      <c r="E1396" s="159">
        <v>22</v>
      </c>
      <c r="F1396" s="160" t="s">
        <v>32838</v>
      </c>
      <c r="G1396" s="132"/>
      <c r="H1396" s="162" t="s">
        <v>17385</v>
      </c>
      <c r="I1396" s="128"/>
      <c r="J1396" s="128"/>
      <c r="K1396" s="128"/>
      <c r="L1396" s="128"/>
      <c r="M1396" s="129"/>
      <c r="N1396" s="129"/>
      <c r="O1396" s="129"/>
    </row>
    <row r="1397" spans="1:15" ht="12.5">
      <c r="A1397" s="158" t="s">
        <v>17386</v>
      </c>
      <c r="B1397" s="159">
        <v>25</v>
      </c>
      <c r="C1397" s="159">
        <v>30</v>
      </c>
      <c r="D1397" s="159">
        <v>30</v>
      </c>
      <c r="E1397" s="159">
        <v>34</v>
      </c>
      <c r="F1397" s="160" t="s">
        <v>32838</v>
      </c>
      <c r="G1397" s="132"/>
      <c r="H1397" s="162" t="s">
        <v>17387</v>
      </c>
      <c r="I1397" s="158" t="s">
        <v>17388</v>
      </c>
      <c r="J1397" s="128"/>
      <c r="K1397" s="128"/>
      <c r="L1397" s="128"/>
      <c r="M1397" s="129"/>
      <c r="N1397" s="129"/>
      <c r="O1397" s="129"/>
    </row>
    <row r="1398" spans="1:15" ht="12.5">
      <c r="A1398" s="158" t="s">
        <v>17389</v>
      </c>
      <c r="B1398" s="159">
        <v>25</v>
      </c>
      <c r="C1398" s="159">
        <v>30</v>
      </c>
      <c r="D1398" s="159">
        <v>30</v>
      </c>
      <c r="E1398" s="159">
        <v>36</v>
      </c>
      <c r="F1398" s="160" t="s">
        <v>32838</v>
      </c>
      <c r="G1398" s="132"/>
      <c r="H1398" s="162" t="s">
        <v>17390</v>
      </c>
      <c r="I1398" s="128"/>
      <c r="J1398" s="128"/>
      <c r="K1398" s="128"/>
      <c r="L1398" s="128"/>
      <c r="M1398" s="129"/>
      <c r="N1398" s="129"/>
      <c r="O1398" s="129"/>
    </row>
    <row r="1399" spans="1:15" ht="12.5">
      <c r="A1399" s="158" t="s">
        <v>17391</v>
      </c>
      <c r="B1399" s="159">
        <v>25</v>
      </c>
      <c r="C1399" s="159">
        <v>30</v>
      </c>
      <c r="D1399" s="159">
        <v>30</v>
      </c>
      <c r="E1399" s="159">
        <v>58</v>
      </c>
      <c r="F1399" s="160" t="s">
        <v>32838</v>
      </c>
      <c r="G1399" s="132"/>
      <c r="H1399" s="162" t="s">
        <v>17392</v>
      </c>
      <c r="I1399" s="158" t="s">
        <v>17393</v>
      </c>
      <c r="J1399" s="128"/>
      <c r="K1399" s="128"/>
      <c r="L1399" s="128"/>
      <c r="M1399" s="129"/>
      <c r="N1399" s="129"/>
      <c r="O1399" s="129"/>
    </row>
    <row r="1400" spans="1:15" ht="12.5">
      <c r="A1400" s="158" t="s">
        <v>17394</v>
      </c>
      <c r="B1400" s="159">
        <v>25</v>
      </c>
      <c r="C1400" s="159">
        <v>30</v>
      </c>
      <c r="D1400" s="159">
        <v>30</v>
      </c>
      <c r="E1400" s="159">
        <v>63</v>
      </c>
      <c r="F1400" s="160" t="s">
        <v>32838</v>
      </c>
      <c r="G1400" s="132"/>
      <c r="H1400" s="162" t="s">
        <v>17395</v>
      </c>
      <c r="I1400" s="128"/>
      <c r="J1400" s="128"/>
      <c r="K1400" s="128"/>
      <c r="L1400" s="128"/>
      <c r="M1400" s="129"/>
      <c r="N1400" s="129"/>
      <c r="O1400" s="129"/>
    </row>
    <row r="1401" spans="1:15" ht="12.5">
      <c r="A1401" s="158" t="s">
        <v>17396</v>
      </c>
      <c r="B1401" s="159">
        <v>25</v>
      </c>
      <c r="C1401" s="159">
        <v>30</v>
      </c>
      <c r="D1401" s="159">
        <v>30</v>
      </c>
      <c r="E1401" s="159">
        <v>80</v>
      </c>
      <c r="F1401" s="160" t="s">
        <v>32838</v>
      </c>
      <c r="G1401" s="132"/>
      <c r="H1401" s="162" t="s">
        <v>17397</v>
      </c>
      <c r="I1401" s="128"/>
      <c r="J1401" s="128"/>
      <c r="K1401" s="128"/>
      <c r="L1401" s="128"/>
      <c r="M1401" s="129"/>
      <c r="N1401" s="129"/>
      <c r="O1401" s="129"/>
    </row>
    <row r="1402" spans="1:15" ht="12.5">
      <c r="A1402" s="158" t="s">
        <v>17398</v>
      </c>
      <c r="B1402" s="159">
        <v>25</v>
      </c>
      <c r="C1402" s="159">
        <v>30</v>
      </c>
      <c r="D1402" s="159">
        <v>30</v>
      </c>
      <c r="E1402" s="159">
        <v>81</v>
      </c>
      <c r="F1402" s="160" t="s">
        <v>32838</v>
      </c>
      <c r="G1402" s="132"/>
      <c r="H1402" s="162" t="s">
        <v>17399</v>
      </c>
      <c r="I1402" s="158" t="s">
        <v>17400</v>
      </c>
      <c r="J1402" s="128"/>
      <c r="K1402" s="128"/>
      <c r="L1402" s="128"/>
      <c r="M1402" s="129"/>
      <c r="N1402" s="129"/>
      <c r="O1402" s="129"/>
    </row>
    <row r="1403" spans="1:15" ht="12.5">
      <c r="A1403" s="158" t="s">
        <v>17401</v>
      </c>
      <c r="B1403" s="159">
        <v>25</v>
      </c>
      <c r="C1403" s="159">
        <v>30</v>
      </c>
      <c r="D1403" s="159">
        <v>30</v>
      </c>
      <c r="E1403" s="159">
        <v>82</v>
      </c>
      <c r="F1403" s="160" t="s">
        <v>32838</v>
      </c>
      <c r="G1403" s="132"/>
      <c r="H1403" s="162" t="s">
        <v>17402</v>
      </c>
      <c r="I1403" s="158" t="s">
        <v>17403</v>
      </c>
      <c r="J1403" s="128"/>
      <c r="K1403" s="128"/>
      <c r="L1403" s="128"/>
      <c r="M1403" s="129"/>
      <c r="N1403" s="129"/>
      <c r="O1403" s="129"/>
    </row>
    <row r="1404" spans="1:15" ht="12.5">
      <c r="A1404" s="158" t="s">
        <v>17404</v>
      </c>
      <c r="B1404" s="159">
        <v>25</v>
      </c>
      <c r="C1404" s="159">
        <v>30</v>
      </c>
      <c r="D1404" s="159">
        <v>30</v>
      </c>
      <c r="E1404" s="159">
        <v>83</v>
      </c>
      <c r="F1404" s="160" t="s">
        <v>32838</v>
      </c>
      <c r="G1404" s="132"/>
      <c r="H1404" s="162" t="s">
        <v>17405</v>
      </c>
      <c r="I1404" s="158" t="s">
        <v>17406</v>
      </c>
      <c r="J1404" s="128"/>
      <c r="K1404" s="128"/>
      <c r="L1404" s="128"/>
      <c r="M1404" s="129"/>
      <c r="N1404" s="129"/>
      <c r="O1404" s="129"/>
    </row>
    <row r="1405" spans="1:15" ht="12.5">
      <c r="A1405" s="158" t="s">
        <v>17407</v>
      </c>
      <c r="B1405" s="159">
        <v>25</v>
      </c>
      <c r="C1405" s="159">
        <v>30</v>
      </c>
      <c r="D1405" s="159">
        <v>30</v>
      </c>
      <c r="E1405" s="159">
        <v>84</v>
      </c>
      <c r="F1405" s="160" t="s">
        <v>32838</v>
      </c>
      <c r="G1405" s="132"/>
      <c r="H1405" s="162" t="s">
        <v>17408</v>
      </c>
      <c r="I1405" s="158" t="s">
        <v>17409</v>
      </c>
      <c r="J1405" s="128"/>
      <c r="K1405" s="128"/>
      <c r="L1405" s="128"/>
      <c r="M1405" s="129"/>
      <c r="N1405" s="129"/>
      <c r="O1405" s="129"/>
    </row>
    <row r="1406" spans="1:15" ht="12.5">
      <c r="A1406" s="158" t="s">
        <v>17410</v>
      </c>
      <c r="B1406" s="159">
        <v>25</v>
      </c>
      <c r="C1406" s="159">
        <v>30</v>
      </c>
      <c r="D1406" s="159">
        <v>30</v>
      </c>
      <c r="E1406" s="159">
        <v>85</v>
      </c>
      <c r="F1406" s="160" t="s">
        <v>32838</v>
      </c>
      <c r="G1406" s="132"/>
      <c r="H1406" s="162" t="s">
        <v>17411</v>
      </c>
      <c r="I1406" s="158" t="s">
        <v>17412</v>
      </c>
      <c r="J1406" s="128"/>
      <c r="K1406" s="128"/>
      <c r="L1406" s="128"/>
      <c r="M1406" s="129"/>
      <c r="N1406" s="129"/>
      <c r="O1406" s="129"/>
    </row>
    <row r="1407" spans="1:15" ht="12.5">
      <c r="A1407" s="158" t="s">
        <v>17413</v>
      </c>
      <c r="B1407" s="159">
        <v>25</v>
      </c>
      <c r="C1407" s="159">
        <v>30</v>
      </c>
      <c r="D1407" s="159">
        <v>30</v>
      </c>
      <c r="E1407" s="159">
        <v>86</v>
      </c>
      <c r="F1407" s="160" t="s">
        <v>32838</v>
      </c>
      <c r="G1407" s="132"/>
      <c r="H1407" s="162" t="s">
        <v>17414</v>
      </c>
      <c r="I1407" s="128"/>
      <c r="J1407" s="128"/>
      <c r="K1407" s="128"/>
      <c r="L1407" s="128"/>
      <c r="M1407" s="129"/>
      <c r="N1407" s="129"/>
      <c r="O1407" s="129"/>
    </row>
    <row r="1408" spans="1:15" ht="12.5">
      <c r="A1408" s="151" t="s">
        <v>17415</v>
      </c>
      <c r="B1408" s="152">
        <v>25</v>
      </c>
      <c r="C1408" s="152">
        <v>30</v>
      </c>
      <c r="D1408" s="152">
        <v>36</v>
      </c>
      <c r="E1408" s="153"/>
      <c r="F1408" s="154" t="s">
        <v>33225</v>
      </c>
      <c r="G1408" s="155"/>
      <c r="H1408" s="156" t="s">
        <v>17416</v>
      </c>
      <c r="I1408" s="157"/>
      <c r="J1408" s="128"/>
      <c r="K1408" s="128"/>
      <c r="L1408" s="128"/>
      <c r="M1408" s="129"/>
      <c r="N1408" s="129"/>
      <c r="O1408" s="129"/>
    </row>
    <row r="1409" spans="1:15" ht="12.5">
      <c r="A1409" s="158" t="s">
        <v>17417</v>
      </c>
      <c r="B1409" s="159">
        <v>25</v>
      </c>
      <c r="C1409" s="159">
        <v>30</v>
      </c>
      <c r="D1409" s="159">
        <v>36</v>
      </c>
      <c r="E1409" s="159">
        <v>3</v>
      </c>
      <c r="F1409" s="160" t="s">
        <v>32838</v>
      </c>
      <c r="G1409" s="132"/>
      <c r="H1409" s="162" t="s">
        <v>17418</v>
      </c>
      <c r="I1409" s="158" t="s">
        <v>17419</v>
      </c>
      <c r="J1409" s="128"/>
      <c r="K1409" s="128"/>
      <c r="L1409" s="128"/>
      <c r="M1409" s="129"/>
      <c r="N1409" s="129"/>
      <c r="O1409" s="129"/>
    </row>
    <row r="1410" spans="1:15" ht="12.5">
      <c r="A1410" s="158" t="s">
        <v>17420</v>
      </c>
      <c r="B1410" s="159">
        <v>25</v>
      </c>
      <c r="C1410" s="159">
        <v>30</v>
      </c>
      <c r="D1410" s="159">
        <v>36</v>
      </c>
      <c r="E1410" s="159">
        <v>11</v>
      </c>
      <c r="F1410" s="160" t="s">
        <v>32838</v>
      </c>
      <c r="G1410" s="132"/>
      <c r="H1410" s="162" t="s">
        <v>17421</v>
      </c>
      <c r="I1410" s="158" t="s">
        <v>17422</v>
      </c>
      <c r="J1410" s="128"/>
      <c r="K1410" s="128"/>
      <c r="L1410" s="128"/>
      <c r="M1410" s="129"/>
      <c r="N1410" s="129"/>
      <c r="O1410" s="129"/>
    </row>
    <row r="1411" spans="1:15" ht="12.5">
      <c r="A1411" s="158" t="s">
        <v>17427</v>
      </c>
      <c r="B1411" s="159">
        <v>25</v>
      </c>
      <c r="C1411" s="159">
        <v>30</v>
      </c>
      <c r="D1411" s="159">
        <v>36</v>
      </c>
      <c r="E1411" s="159">
        <v>50</v>
      </c>
      <c r="F1411" s="160" t="s">
        <v>33226</v>
      </c>
      <c r="G1411" s="162" t="s">
        <v>33204</v>
      </c>
      <c r="H1411" s="162" t="s">
        <v>17428</v>
      </c>
      <c r="I1411" s="158" t="s">
        <v>33227</v>
      </c>
      <c r="J1411" s="128"/>
      <c r="K1411" s="128"/>
      <c r="L1411" s="128"/>
      <c r="M1411" s="129"/>
      <c r="N1411" s="129"/>
      <c r="O1411" s="129"/>
    </row>
    <row r="1412" spans="1:15" ht="12.5">
      <c r="A1412" s="158" t="s">
        <v>17430</v>
      </c>
      <c r="B1412" s="159">
        <v>25</v>
      </c>
      <c r="C1412" s="159">
        <v>30</v>
      </c>
      <c r="D1412" s="159">
        <v>36</v>
      </c>
      <c r="E1412" s="159">
        <v>63</v>
      </c>
      <c r="F1412" s="160" t="s">
        <v>32838</v>
      </c>
      <c r="G1412" s="132"/>
      <c r="H1412" s="162" t="s">
        <v>17431</v>
      </c>
      <c r="I1412" s="128"/>
      <c r="J1412" s="128"/>
      <c r="K1412" s="128"/>
      <c r="L1412" s="128"/>
      <c r="M1412" s="129"/>
      <c r="N1412" s="129"/>
      <c r="O1412" s="129"/>
    </row>
    <row r="1413" spans="1:15" ht="12.5">
      <c r="A1413" s="158" t="s">
        <v>17432</v>
      </c>
      <c r="B1413" s="159">
        <v>25</v>
      </c>
      <c r="C1413" s="159">
        <v>30</v>
      </c>
      <c r="D1413" s="159">
        <v>36</v>
      </c>
      <c r="E1413" s="159">
        <v>84</v>
      </c>
      <c r="F1413" s="160" t="s">
        <v>32838</v>
      </c>
      <c r="G1413" s="132"/>
      <c r="H1413" s="162" t="s">
        <v>17433</v>
      </c>
      <c r="I1413" s="158" t="s">
        <v>17434</v>
      </c>
      <c r="J1413" s="128"/>
      <c r="K1413" s="128"/>
      <c r="L1413" s="128"/>
      <c r="M1413" s="129"/>
      <c r="N1413" s="129"/>
      <c r="O1413" s="129"/>
    </row>
    <row r="1414" spans="1:15" ht="12.5">
      <c r="A1414" s="158" t="s">
        <v>17435</v>
      </c>
      <c r="B1414" s="159">
        <v>25</v>
      </c>
      <c r="C1414" s="159">
        <v>30</v>
      </c>
      <c r="D1414" s="159">
        <v>36</v>
      </c>
      <c r="E1414" s="159">
        <v>96</v>
      </c>
      <c r="F1414" s="160" t="s">
        <v>32838</v>
      </c>
      <c r="G1414" s="132"/>
      <c r="H1414" s="162" t="s">
        <v>17436</v>
      </c>
      <c r="I1414" s="158" t="s">
        <v>17437</v>
      </c>
      <c r="J1414" s="128"/>
      <c r="K1414" s="128"/>
      <c r="L1414" s="128"/>
      <c r="M1414" s="129"/>
      <c r="N1414" s="129"/>
      <c r="O1414" s="129"/>
    </row>
    <row r="1415" spans="1:15" ht="12.5">
      <c r="A1415" s="151" t="s">
        <v>17438</v>
      </c>
      <c r="B1415" s="152">
        <v>25</v>
      </c>
      <c r="C1415" s="152">
        <v>30</v>
      </c>
      <c r="D1415" s="152">
        <v>75</v>
      </c>
      <c r="E1415" s="153"/>
      <c r="F1415" s="154" t="s">
        <v>33228</v>
      </c>
      <c r="G1415" s="168"/>
      <c r="H1415" s="156" t="s">
        <v>17439</v>
      </c>
      <c r="I1415" s="157"/>
      <c r="J1415" s="128"/>
      <c r="K1415" s="128"/>
      <c r="L1415" s="128"/>
      <c r="M1415" s="129"/>
      <c r="N1415" s="129"/>
      <c r="O1415" s="129"/>
    </row>
    <row r="1416" spans="1:15" ht="12.5">
      <c r="A1416" s="158" t="s">
        <v>17440</v>
      </c>
      <c r="B1416" s="159">
        <v>25</v>
      </c>
      <c r="C1416" s="159">
        <v>30</v>
      </c>
      <c r="D1416" s="159">
        <v>75</v>
      </c>
      <c r="E1416" s="159">
        <v>2</v>
      </c>
      <c r="F1416" s="160" t="s">
        <v>32838</v>
      </c>
      <c r="G1416" s="132"/>
      <c r="H1416" s="162" t="s">
        <v>17441</v>
      </c>
      <c r="I1416" s="158" t="s">
        <v>17442</v>
      </c>
      <c r="J1416" s="128"/>
      <c r="K1416" s="128"/>
      <c r="L1416" s="128"/>
      <c r="M1416" s="129"/>
      <c r="N1416" s="129"/>
      <c r="O1416" s="129"/>
    </row>
    <row r="1417" spans="1:15" ht="12.5">
      <c r="A1417" s="158" t="s">
        <v>17443</v>
      </c>
      <c r="B1417" s="159">
        <v>25</v>
      </c>
      <c r="C1417" s="159">
        <v>30</v>
      </c>
      <c r="D1417" s="159">
        <v>75</v>
      </c>
      <c r="E1417" s="159">
        <v>15</v>
      </c>
      <c r="F1417" s="160" t="s">
        <v>32838</v>
      </c>
      <c r="G1417" s="132"/>
      <c r="H1417" s="162" t="s">
        <v>17444</v>
      </c>
      <c r="I1417" s="158" t="s">
        <v>17445</v>
      </c>
      <c r="J1417" s="128"/>
      <c r="K1417" s="128"/>
      <c r="L1417" s="128"/>
      <c r="M1417" s="129"/>
      <c r="N1417" s="129"/>
      <c r="O1417" s="129"/>
    </row>
    <row r="1418" spans="1:15" ht="12.5">
      <c r="A1418" s="158" t="s">
        <v>17446</v>
      </c>
      <c r="B1418" s="159">
        <v>25</v>
      </c>
      <c r="C1418" s="159">
        <v>30</v>
      </c>
      <c r="D1418" s="159">
        <v>75</v>
      </c>
      <c r="E1418" s="159">
        <v>80</v>
      </c>
      <c r="F1418" s="160" t="s">
        <v>32838</v>
      </c>
      <c r="G1418" s="132"/>
      <c r="H1418" s="162" t="s">
        <v>17447</v>
      </c>
      <c r="I1418" s="158" t="s">
        <v>17448</v>
      </c>
      <c r="J1418" s="128"/>
      <c r="K1418" s="128"/>
      <c r="L1418" s="128"/>
      <c r="M1418" s="129"/>
      <c r="N1418" s="129"/>
      <c r="O1418" s="129"/>
    </row>
    <row r="1419" spans="1:15" ht="12.5">
      <c r="A1419" s="151" t="s">
        <v>17449</v>
      </c>
      <c r="B1419" s="152">
        <v>25</v>
      </c>
      <c r="C1419" s="152">
        <v>30</v>
      </c>
      <c r="D1419" s="152">
        <v>85</v>
      </c>
      <c r="E1419" s="153"/>
      <c r="F1419" s="154" t="s">
        <v>33229</v>
      </c>
      <c r="G1419" s="155"/>
      <c r="H1419" s="156" t="s">
        <v>17450</v>
      </c>
      <c r="I1419" s="157"/>
      <c r="J1419" s="128"/>
      <c r="K1419" s="128"/>
      <c r="L1419" s="128"/>
      <c r="M1419" s="129"/>
      <c r="N1419" s="129"/>
      <c r="O1419" s="129"/>
    </row>
    <row r="1420" spans="1:15" ht="12.5">
      <c r="A1420" s="158" t="s">
        <v>17451</v>
      </c>
      <c r="B1420" s="159">
        <v>25</v>
      </c>
      <c r="C1420" s="159">
        <v>30</v>
      </c>
      <c r="D1420" s="159">
        <v>85</v>
      </c>
      <c r="E1420" s="159">
        <v>2</v>
      </c>
      <c r="F1420" s="160" t="s">
        <v>32838</v>
      </c>
      <c r="G1420" s="132"/>
      <c r="H1420" s="162" t="s">
        <v>17452</v>
      </c>
      <c r="I1420" s="128"/>
      <c r="J1420" s="128"/>
      <c r="K1420" s="128"/>
      <c r="L1420" s="128"/>
      <c r="M1420" s="129"/>
      <c r="N1420" s="129"/>
      <c r="O1420" s="129"/>
    </row>
    <row r="1421" spans="1:15" ht="12.5">
      <c r="A1421" s="158" t="s">
        <v>17453</v>
      </c>
      <c r="B1421" s="159">
        <v>25</v>
      </c>
      <c r="C1421" s="159">
        <v>30</v>
      </c>
      <c r="D1421" s="159">
        <v>85</v>
      </c>
      <c r="E1421" s="159">
        <v>3</v>
      </c>
      <c r="F1421" s="160" t="s">
        <v>32838</v>
      </c>
      <c r="G1421" s="132"/>
      <c r="H1421" s="162" t="s">
        <v>17454</v>
      </c>
      <c r="I1421" s="158" t="s">
        <v>17455</v>
      </c>
      <c r="J1421" s="128"/>
      <c r="K1421" s="128"/>
      <c r="L1421" s="128"/>
      <c r="M1421" s="129"/>
      <c r="N1421" s="129"/>
      <c r="O1421" s="129"/>
    </row>
    <row r="1422" spans="1:15" ht="12.5">
      <c r="A1422" s="158" t="s">
        <v>17456</v>
      </c>
      <c r="B1422" s="159">
        <v>25</v>
      </c>
      <c r="C1422" s="159">
        <v>30</v>
      </c>
      <c r="D1422" s="159">
        <v>85</v>
      </c>
      <c r="E1422" s="159">
        <v>11</v>
      </c>
      <c r="F1422" s="160" t="s">
        <v>32838</v>
      </c>
      <c r="G1422" s="132"/>
      <c r="H1422" s="162" t="s">
        <v>17457</v>
      </c>
      <c r="I1422" s="128"/>
      <c r="J1422" s="128"/>
      <c r="K1422" s="128"/>
      <c r="L1422" s="128"/>
      <c r="M1422" s="129"/>
      <c r="N1422" s="129"/>
      <c r="O1422" s="129"/>
    </row>
    <row r="1423" spans="1:15" ht="12.5">
      <c r="A1423" s="158" t="s">
        <v>17458</v>
      </c>
      <c r="B1423" s="159">
        <v>25</v>
      </c>
      <c r="C1423" s="159">
        <v>30</v>
      </c>
      <c r="D1423" s="159">
        <v>85</v>
      </c>
      <c r="E1423" s="159">
        <v>16</v>
      </c>
      <c r="F1423" s="160" t="s">
        <v>32838</v>
      </c>
      <c r="G1423" s="132"/>
      <c r="H1423" s="162" t="s">
        <v>17459</v>
      </c>
      <c r="I1423" s="158" t="s">
        <v>17460</v>
      </c>
      <c r="J1423" s="128"/>
      <c r="K1423" s="128"/>
      <c r="L1423" s="128"/>
      <c r="M1423" s="129"/>
      <c r="N1423" s="129"/>
      <c r="O1423" s="129"/>
    </row>
    <row r="1424" spans="1:15" ht="12.5">
      <c r="A1424" s="158" t="s">
        <v>17461</v>
      </c>
      <c r="B1424" s="159">
        <v>25</v>
      </c>
      <c r="C1424" s="159">
        <v>30</v>
      </c>
      <c r="D1424" s="159">
        <v>85</v>
      </c>
      <c r="E1424" s="159">
        <v>22</v>
      </c>
      <c r="F1424" s="160" t="s">
        <v>32838</v>
      </c>
      <c r="G1424" s="132"/>
      <c r="H1424" s="162" t="s">
        <v>17462</v>
      </c>
      <c r="I1424" s="158" t="s">
        <v>17463</v>
      </c>
      <c r="J1424" s="128"/>
      <c r="K1424" s="128"/>
      <c r="L1424" s="128"/>
      <c r="M1424" s="129"/>
      <c r="N1424" s="129"/>
      <c r="O1424" s="129"/>
    </row>
    <row r="1425" spans="1:15" ht="12.5">
      <c r="A1425" s="158" t="s">
        <v>17464</v>
      </c>
      <c r="B1425" s="159">
        <v>25</v>
      </c>
      <c r="C1425" s="159">
        <v>30</v>
      </c>
      <c r="D1425" s="159">
        <v>85</v>
      </c>
      <c r="E1425" s="159">
        <v>23</v>
      </c>
      <c r="F1425" s="160" t="s">
        <v>33170</v>
      </c>
      <c r="G1425" s="162" t="s">
        <v>33230</v>
      </c>
      <c r="H1425" s="162" t="s">
        <v>17465</v>
      </c>
      <c r="I1425" s="158" t="s">
        <v>33231</v>
      </c>
      <c r="J1425" s="128"/>
      <c r="K1425" s="128"/>
      <c r="L1425" s="128"/>
      <c r="M1425" s="129"/>
      <c r="N1425" s="129"/>
      <c r="O1425" s="129"/>
    </row>
    <row r="1426" spans="1:15" ht="12.5">
      <c r="A1426" s="158" t="s">
        <v>17467</v>
      </c>
      <c r="B1426" s="159">
        <v>25</v>
      </c>
      <c r="C1426" s="159">
        <v>30</v>
      </c>
      <c r="D1426" s="159">
        <v>85</v>
      </c>
      <c r="E1426" s="159">
        <v>36</v>
      </c>
      <c r="F1426" s="160" t="s">
        <v>32838</v>
      </c>
      <c r="G1426" s="132"/>
      <c r="H1426" s="162" t="s">
        <v>17468</v>
      </c>
      <c r="I1426" s="158" t="s">
        <v>17469</v>
      </c>
      <c r="J1426" s="128"/>
      <c r="K1426" s="128"/>
      <c r="L1426" s="128"/>
      <c r="M1426" s="129"/>
      <c r="N1426" s="129"/>
      <c r="O1426" s="129"/>
    </row>
    <row r="1427" spans="1:15" ht="12.5">
      <c r="A1427" s="158" t="s">
        <v>17470</v>
      </c>
      <c r="B1427" s="159">
        <v>25</v>
      </c>
      <c r="C1427" s="159">
        <v>30</v>
      </c>
      <c r="D1427" s="159">
        <v>85</v>
      </c>
      <c r="E1427" s="159">
        <v>48</v>
      </c>
      <c r="F1427" s="160" t="s">
        <v>32838</v>
      </c>
      <c r="G1427" s="132"/>
      <c r="H1427" s="162" t="s">
        <v>17471</v>
      </c>
      <c r="I1427" s="158" t="s">
        <v>17472</v>
      </c>
      <c r="J1427" s="128"/>
      <c r="K1427" s="128"/>
      <c r="L1427" s="128"/>
      <c r="M1427" s="129"/>
      <c r="N1427" s="129"/>
      <c r="O1427" s="129"/>
    </row>
    <row r="1428" spans="1:15" ht="12.5">
      <c r="A1428" s="158" t="s">
        <v>17473</v>
      </c>
      <c r="B1428" s="159">
        <v>25</v>
      </c>
      <c r="C1428" s="159">
        <v>30</v>
      </c>
      <c r="D1428" s="159">
        <v>85</v>
      </c>
      <c r="E1428" s="159">
        <v>64</v>
      </c>
      <c r="F1428" s="160" t="s">
        <v>32838</v>
      </c>
      <c r="G1428" s="132"/>
      <c r="H1428" s="162" t="s">
        <v>17474</v>
      </c>
      <c r="I1428" s="158" t="s">
        <v>17475</v>
      </c>
      <c r="J1428" s="128"/>
      <c r="K1428" s="128"/>
      <c r="L1428" s="128"/>
      <c r="M1428" s="129"/>
      <c r="N1428" s="129"/>
      <c r="O1428" s="129"/>
    </row>
    <row r="1429" spans="1:15" ht="12.5">
      <c r="A1429" s="158" t="s">
        <v>17476</v>
      </c>
      <c r="B1429" s="159">
        <v>25</v>
      </c>
      <c r="C1429" s="159">
        <v>30</v>
      </c>
      <c r="D1429" s="159">
        <v>85</v>
      </c>
      <c r="E1429" s="159">
        <v>65</v>
      </c>
      <c r="F1429" s="160" t="s">
        <v>32838</v>
      </c>
      <c r="G1429" s="132"/>
      <c r="H1429" s="162" t="s">
        <v>17477</v>
      </c>
      <c r="I1429" s="158" t="s">
        <v>17478</v>
      </c>
      <c r="J1429" s="128"/>
      <c r="K1429" s="128"/>
      <c r="L1429" s="128"/>
      <c r="M1429" s="129"/>
      <c r="N1429" s="129"/>
      <c r="O1429" s="129"/>
    </row>
    <row r="1430" spans="1:15" ht="12.5">
      <c r="A1430" s="158" t="s">
        <v>17479</v>
      </c>
      <c r="B1430" s="159">
        <v>25</v>
      </c>
      <c r="C1430" s="159">
        <v>30</v>
      </c>
      <c r="D1430" s="159">
        <v>85</v>
      </c>
      <c r="E1430" s="159">
        <v>73</v>
      </c>
      <c r="F1430" s="160" t="s">
        <v>32838</v>
      </c>
      <c r="G1430" s="132"/>
      <c r="H1430" s="162" t="s">
        <v>17480</v>
      </c>
      <c r="I1430" s="128"/>
      <c r="J1430" s="128"/>
      <c r="K1430" s="128"/>
      <c r="L1430" s="128"/>
      <c r="M1430" s="129"/>
      <c r="N1430" s="129"/>
      <c r="O1430" s="129"/>
    </row>
    <row r="1431" spans="1:15" ht="12.5">
      <c r="A1431" s="158" t="s">
        <v>17481</v>
      </c>
      <c r="B1431" s="159">
        <v>25</v>
      </c>
      <c r="C1431" s="159">
        <v>30</v>
      </c>
      <c r="D1431" s="159">
        <v>85</v>
      </c>
      <c r="E1431" s="159">
        <v>79</v>
      </c>
      <c r="F1431" s="160" t="s">
        <v>32838</v>
      </c>
      <c r="G1431" s="132"/>
      <c r="H1431" s="162" t="s">
        <v>17482</v>
      </c>
      <c r="I1431" s="128"/>
      <c r="J1431" s="128"/>
      <c r="K1431" s="128"/>
      <c r="L1431" s="128"/>
      <c r="M1431" s="129"/>
      <c r="N1431" s="129"/>
      <c r="O1431" s="129"/>
    </row>
    <row r="1432" spans="1:15" ht="12.5">
      <c r="A1432" s="158" t="s">
        <v>17483</v>
      </c>
      <c r="B1432" s="159">
        <v>25</v>
      </c>
      <c r="C1432" s="159">
        <v>30</v>
      </c>
      <c r="D1432" s="159">
        <v>85</v>
      </c>
      <c r="E1432" s="159">
        <v>84</v>
      </c>
      <c r="F1432" s="160" t="s">
        <v>32838</v>
      </c>
      <c r="G1432" s="132"/>
      <c r="H1432" s="162" t="s">
        <v>17484</v>
      </c>
      <c r="I1432" s="128"/>
      <c r="J1432" s="128"/>
      <c r="K1432" s="128"/>
      <c r="L1432" s="128"/>
      <c r="M1432" s="129"/>
      <c r="N1432" s="129"/>
      <c r="O1432" s="129"/>
    </row>
    <row r="1433" spans="1:15" ht="12.5">
      <c r="A1433" s="158" t="s">
        <v>17485</v>
      </c>
      <c r="B1433" s="159">
        <v>25</v>
      </c>
      <c r="C1433" s="159">
        <v>30</v>
      </c>
      <c r="D1433" s="159">
        <v>85</v>
      </c>
      <c r="E1433" s="159">
        <v>85</v>
      </c>
      <c r="F1433" s="160" t="s">
        <v>32838</v>
      </c>
      <c r="G1433" s="132"/>
      <c r="H1433" s="162" t="s">
        <v>17486</v>
      </c>
      <c r="I1433" s="128"/>
      <c r="J1433" s="128"/>
      <c r="K1433" s="128"/>
      <c r="L1433" s="128"/>
      <c r="M1433" s="129"/>
      <c r="N1433" s="129"/>
      <c r="O1433" s="129"/>
    </row>
    <row r="1434" spans="1:15" ht="12.5">
      <c r="A1434" s="158" t="s">
        <v>17487</v>
      </c>
      <c r="B1434" s="159">
        <v>25</v>
      </c>
      <c r="C1434" s="159">
        <v>30</v>
      </c>
      <c r="D1434" s="159">
        <v>85</v>
      </c>
      <c r="E1434" s="159">
        <v>86</v>
      </c>
      <c r="F1434" s="160" t="s">
        <v>32838</v>
      </c>
      <c r="G1434" s="132"/>
      <c r="H1434" s="162" t="s">
        <v>17488</v>
      </c>
      <c r="I1434" s="158" t="s">
        <v>17489</v>
      </c>
      <c r="J1434" s="128"/>
      <c r="K1434" s="128"/>
      <c r="L1434" s="128"/>
      <c r="M1434" s="129"/>
      <c r="N1434" s="129"/>
      <c r="O1434" s="129"/>
    </row>
    <row r="1435" spans="1:15" ht="12.5">
      <c r="A1435" s="158" t="s">
        <v>17490</v>
      </c>
      <c r="B1435" s="159">
        <v>25</v>
      </c>
      <c r="C1435" s="159">
        <v>30</v>
      </c>
      <c r="D1435" s="159">
        <v>85</v>
      </c>
      <c r="E1435" s="159">
        <v>90</v>
      </c>
      <c r="F1435" s="160" t="s">
        <v>32838</v>
      </c>
      <c r="G1435" s="132"/>
      <c r="H1435" s="162" t="s">
        <v>17491</v>
      </c>
      <c r="I1435" s="158" t="s">
        <v>17492</v>
      </c>
      <c r="J1435" s="128"/>
      <c r="K1435" s="128"/>
      <c r="L1435" s="128"/>
      <c r="M1435" s="129"/>
      <c r="N1435" s="129"/>
      <c r="O1435" s="129"/>
    </row>
    <row r="1436" spans="1:15" ht="12.5">
      <c r="A1436" s="151" t="s">
        <v>17493</v>
      </c>
      <c r="B1436" s="152">
        <v>25</v>
      </c>
      <c r="C1436" s="152">
        <v>30</v>
      </c>
      <c r="D1436" s="152">
        <v>86</v>
      </c>
      <c r="E1436" s="153"/>
      <c r="F1436" s="154" t="s">
        <v>2011</v>
      </c>
      <c r="G1436" s="168"/>
      <c r="H1436" s="156" t="s">
        <v>17494</v>
      </c>
      <c r="I1436" s="157"/>
      <c r="J1436" s="128"/>
      <c r="K1436" s="128"/>
      <c r="L1436" s="128"/>
      <c r="M1436" s="129"/>
      <c r="N1436" s="129"/>
      <c r="O1436" s="129"/>
    </row>
    <row r="1437" spans="1:15" ht="12.5">
      <c r="A1437" s="158" t="s">
        <v>17495</v>
      </c>
      <c r="B1437" s="159">
        <v>25</v>
      </c>
      <c r="C1437" s="159">
        <v>30</v>
      </c>
      <c r="D1437" s="159">
        <v>86</v>
      </c>
      <c r="E1437" s="159">
        <v>3</v>
      </c>
      <c r="F1437" s="160" t="s">
        <v>32838</v>
      </c>
      <c r="G1437" s="132"/>
      <c r="H1437" s="162" t="s">
        <v>17496</v>
      </c>
      <c r="I1437" s="158" t="s">
        <v>17497</v>
      </c>
      <c r="J1437" s="128"/>
      <c r="K1437" s="128"/>
      <c r="L1437" s="128"/>
      <c r="M1437" s="129"/>
      <c r="N1437" s="129"/>
      <c r="O1437" s="129"/>
    </row>
    <row r="1438" spans="1:15" ht="12.5">
      <c r="A1438" s="158" t="s">
        <v>17498</v>
      </c>
      <c r="B1438" s="159">
        <v>25</v>
      </c>
      <c r="C1438" s="159">
        <v>30</v>
      </c>
      <c r="D1438" s="159">
        <v>86</v>
      </c>
      <c r="E1438" s="159">
        <v>4</v>
      </c>
      <c r="F1438" s="160" t="s">
        <v>32838</v>
      </c>
      <c r="G1438" s="132"/>
      <c r="H1438" s="162" t="s">
        <v>17499</v>
      </c>
      <c r="I1438" s="158" t="s">
        <v>17500</v>
      </c>
      <c r="J1438" s="128"/>
      <c r="K1438" s="128"/>
      <c r="L1438" s="128"/>
      <c r="M1438" s="129"/>
      <c r="N1438" s="129"/>
      <c r="O1438" s="129"/>
    </row>
    <row r="1439" spans="1:15" ht="12.5">
      <c r="A1439" s="158" t="s">
        <v>17501</v>
      </c>
      <c r="B1439" s="159">
        <v>25</v>
      </c>
      <c r="C1439" s="159">
        <v>30</v>
      </c>
      <c r="D1439" s="159">
        <v>86</v>
      </c>
      <c r="E1439" s="159">
        <v>11</v>
      </c>
      <c r="F1439" s="160" t="s">
        <v>32838</v>
      </c>
      <c r="G1439" s="132"/>
      <c r="H1439" s="162" t="s">
        <v>17502</v>
      </c>
      <c r="I1439" s="158" t="s">
        <v>17503</v>
      </c>
      <c r="J1439" s="128"/>
      <c r="K1439" s="128"/>
      <c r="L1439" s="128"/>
      <c r="M1439" s="129"/>
      <c r="N1439" s="129"/>
      <c r="O1439" s="129"/>
    </row>
    <row r="1440" spans="1:15" ht="12.5">
      <c r="A1440" s="158" t="s">
        <v>17504</v>
      </c>
      <c r="B1440" s="159">
        <v>25</v>
      </c>
      <c r="C1440" s="159">
        <v>30</v>
      </c>
      <c r="D1440" s="159">
        <v>86</v>
      </c>
      <c r="E1440" s="159">
        <v>12</v>
      </c>
      <c r="F1440" s="160" t="s">
        <v>32838</v>
      </c>
      <c r="G1440" s="132"/>
      <c r="H1440" s="162" t="s">
        <v>17505</v>
      </c>
      <c r="I1440" s="158" t="s">
        <v>17506</v>
      </c>
      <c r="J1440" s="128"/>
      <c r="K1440" s="128"/>
      <c r="L1440" s="128"/>
      <c r="M1440" s="129"/>
      <c r="N1440" s="129"/>
      <c r="O1440" s="129"/>
    </row>
    <row r="1441" spans="1:15" ht="12.5">
      <c r="A1441" s="158" t="s">
        <v>17507</v>
      </c>
      <c r="B1441" s="159">
        <v>25</v>
      </c>
      <c r="C1441" s="159">
        <v>30</v>
      </c>
      <c r="D1441" s="159">
        <v>86</v>
      </c>
      <c r="E1441" s="159">
        <v>15</v>
      </c>
      <c r="F1441" s="160" t="s">
        <v>32838</v>
      </c>
      <c r="G1441" s="132"/>
      <c r="H1441" s="162" t="s">
        <v>17508</v>
      </c>
      <c r="I1441" s="158" t="s">
        <v>17509</v>
      </c>
      <c r="J1441" s="128"/>
      <c r="K1441" s="128"/>
      <c r="L1441" s="128"/>
      <c r="M1441" s="129"/>
      <c r="N1441" s="129"/>
      <c r="O1441" s="129"/>
    </row>
    <row r="1442" spans="1:15" ht="12.5">
      <c r="A1442" s="158" t="s">
        <v>17510</v>
      </c>
      <c r="B1442" s="159">
        <v>25</v>
      </c>
      <c r="C1442" s="159">
        <v>30</v>
      </c>
      <c r="D1442" s="159">
        <v>86</v>
      </c>
      <c r="E1442" s="159">
        <v>60</v>
      </c>
      <c r="F1442" s="160" t="s">
        <v>32838</v>
      </c>
      <c r="G1442" s="132"/>
      <c r="H1442" s="162" t="s">
        <v>17511</v>
      </c>
      <c r="I1442" s="158" t="s">
        <v>17512</v>
      </c>
      <c r="J1442" s="128"/>
      <c r="K1442" s="128"/>
      <c r="L1442" s="128"/>
      <c r="M1442" s="129"/>
      <c r="N1442" s="129"/>
      <c r="O1442" s="129"/>
    </row>
    <row r="1443" spans="1:15" ht="12.5">
      <c r="A1443" s="158" t="s">
        <v>17513</v>
      </c>
      <c r="B1443" s="159">
        <v>25</v>
      </c>
      <c r="C1443" s="159">
        <v>30</v>
      </c>
      <c r="D1443" s="159">
        <v>86</v>
      </c>
      <c r="E1443" s="159">
        <v>72</v>
      </c>
      <c r="F1443" s="160" t="s">
        <v>32838</v>
      </c>
      <c r="G1443" s="132"/>
      <c r="H1443" s="162" t="s">
        <v>17514</v>
      </c>
      <c r="I1443" s="158" t="s">
        <v>17515</v>
      </c>
      <c r="J1443" s="128"/>
      <c r="K1443" s="128"/>
      <c r="L1443" s="128"/>
      <c r="M1443" s="129"/>
      <c r="N1443" s="129"/>
      <c r="O1443" s="129"/>
    </row>
    <row r="1444" spans="1:15" ht="12.5">
      <c r="A1444" s="158" t="s">
        <v>17516</v>
      </c>
      <c r="B1444" s="159">
        <v>25</v>
      </c>
      <c r="C1444" s="159">
        <v>30</v>
      </c>
      <c r="D1444" s="159">
        <v>86</v>
      </c>
      <c r="E1444" s="159">
        <v>73</v>
      </c>
      <c r="F1444" s="160" t="s">
        <v>32838</v>
      </c>
      <c r="G1444" s="132"/>
      <c r="H1444" s="162" t="s">
        <v>17517</v>
      </c>
      <c r="I1444" s="128"/>
      <c r="J1444" s="128"/>
      <c r="K1444" s="128"/>
      <c r="L1444" s="128"/>
      <c r="M1444" s="129"/>
      <c r="N1444" s="129"/>
      <c r="O1444" s="129"/>
    </row>
    <row r="1445" spans="1:15" ht="12.5">
      <c r="A1445" s="158" t="s">
        <v>17518</v>
      </c>
      <c r="B1445" s="159">
        <v>25</v>
      </c>
      <c r="C1445" s="159">
        <v>30</v>
      </c>
      <c r="D1445" s="159">
        <v>86</v>
      </c>
      <c r="E1445" s="159">
        <v>74</v>
      </c>
      <c r="F1445" s="160" t="s">
        <v>32838</v>
      </c>
      <c r="G1445" s="132"/>
      <c r="H1445" s="162" t="s">
        <v>17519</v>
      </c>
      <c r="I1445" s="128"/>
      <c r="J1445" s="128"/>
      <c r="K1445" s="128"/>
      <c r="L1445" s="128"/>
      <c r="M1445" s="129"/>
      <c r="N1445" s="129"/>
      <c r="O1445" s="129"/>
    </row>
    <row r="1446" spans="1:15" ht="12.5">
      <c r="A1446" s="158" t="s">
        <v>17520</v>
      </c>
      <c r="B1446" s="159">
        <v>25</v>
      </c>
      <c r="C1446" s="159">
        <v>30</v>
      </c>
      <c r="D1446" s="159">
        <v>86</v>
      </c>
      <c r="E1446" s="159">
        <v>75</v>
      </c>
      <c r="F1446" s="160" t="s">
        <v>32838</v>
      </c>
      <c r="G1446" s="132"/>
      <c r="H1446" s="162" t="s">
        <v>17521</v>
      </c>
      <c r="I1446" s="158" t="s">
        <v>17522</v>
      </c>
      <c r="J1446" s="128"/>
      <c r="K1446" s="128"/>
      <c r="L1446" s="128"/>
      <c r="M1446" s="129"/>
      <c r="N1446" s="129"/>
      <c r="O1446" s="129"/>
    </row>
    <row r="1447" spans="1:15" ht="12.5">
      <c r="A1447" s="158" t="s">
        <v>17523</v>
      </c>
      <c r="B1447" s="159">
        <v>25</v>
      </c>
      <c r="C1447" s="159">
        <v>30</v>
      </c>
      <c r="D1447" s="159">
        <v>86</v>
      </c>
      <c r="E1447" s="159">
        <v>83</v>
      </c>
      <c r="F1447" s="160" t="s">
        <v>32838</v>
      </c>
      <c r="G1447" s="132"/>
      <c r="H1447" s="162" t="s">
        <v>17524</v>
      </c>
      <c r="I1447" s="158" t="s">
        <v>17525</v>
      </c>
      <c r="J1447" s="128"/>
      <c r="K1447" s="128"/>
      <c r="L1447" s="128"/>
      <c r="M1447" s="129"/>
      <c r="N1447" s="129"/>
      <c r="O1447" s="129"/>
    </row>
    <row r="1448" spans="1:15" ht="12.5">
      <c r="A1448" s="158" t="s">
        <v>17526</v>
      </c>
      <c r="B1448" s="159">
        <v>25</v>
      </c>
      <c r="C1448" s="159">
        <v>30</v>
      </c>
      <c r="D1448" s="159">
        <v>86</v>
      </c>
      <c r="E1448" s="159">
        <v>88</v>
      </c>
      <c r="F1448" s="160" t="s">
        <v>32838</v>
      </c>
      <c r="G1448" s="132"/>
      <c r="H1448" s="162" t="s">
        <v>17527</v>
      </c>
      <c r="I1448" s="158" t="s">
        <v>17528</v>
      </c>
      <c r="J1448" s="128"/>
      <c r="K1448" s="128"/>
      <c r="L1448" s="128"/>
      <c r="M1448" s="129"/>
      <c r="N1448" s="129"/>
      <c r="O1448" s="129"/>
    </row>
    <row r="1449" spans="1:15" ht="12.5">
      <c r="A1449" s="158" t="s">
        <v>17529</v>
      </c>
      <c r="B1449" s="159">
        <v>25</v>
      </c>
      <c r="C1449" s="159">
        <v>30</v>
      </c>
      <c r="D1449" s="159">
        <v>86</v>
      </c>
      <c r="E1449" s="159">
        <v>90</v>
      </c>
      <c r="F1449" s="160" t="s">
        <v>32838</v>
      </c>
      <c r="G1449" s="132"/>
      <c r="H1449" s="162" t="s">
        <v>17530</v>
      </c>
      <c r="I1449" s="158" t="s">
        <v>17531</v>
      </c>
      <c r="J1449" s="128"/>
      <c r="K1449" s="128"/>
      <c r="L1449" s="128"/>
      <c r="M1449" s="129"/>
      <c r="N1449" s="129"/>
      <c r="O1449" s="129"/>
    </row>
    <row r="1450" spans="1:15" ht="12.5">
      <c r="A1450" s="158" t="s">
        <v>17532</v>
      </c>
      <c r="B1450" s="159">
        <v>25</v>
      </c>
      <c r="C1450" s="159">
        <v>30</v>
      </c>
      <c r="D1450" s="159">
        <v>86</v>
      </c>
      <c r="E1450" s="159">
        <v>91</v>
      </c>
      <c r="F1450" s="160" t="s">
        <v>32838</v>
      </c>
      <c r="G1450" s="132"/>
      <c r="H1450" s="162" t="s">
        <v>17533</v>
      </c>
      <c r="I1450" s="158" t="s">
        <v>17534</v>
      </c>
      <c r="J1450" s="128"/>
      <c r="K1450" s="128"/>
      <c r="L1450" s="128"/>
      <c r="M1450" s="129"/>
      <c r="N1450" s="129"/>
      <c r="O1450" s="129"/>
    </row>
    <row r="1451" spans="1:15" ht="12.5">
      <c r="A1451" s="151" t="s">
        <v>17535</v>
      </c>
      <c r="B1451" s="152">
        <v>25</v>
      </c>
      <c r="C1451" s="152">
        <v>30</v>
      </c>
      <c r="D1451" s="152">
        <v>90</v>
      </c>
      <c r="E1451" s="153"/>
      <c r="F1451" s="154" t="s">
        <v>2011</v>
      </c>
      <c r="G1451" s="168"/>
      <c r="H1451" s="156" t="s">
        <v>17536</v>
      </c>
      <c r="I1451" s="157"/>
      <c r="J1451" s="128"/>
      <c r="K1451" s="128"/>
      <c r="L1451" s="128"/>
      <c r="M1451" s="129"/>
      <c r="N1451" s="129"/>
      <c r="O1451" s="129"/>
    </row>
    <row r="1452" spans="1:15" ht="12.5">
      <c r="A1452" s="158" t="s">
        <v>17537</v>
      </c>
      <c r="B1452" s="159">
        <v>25</v>
      </c>
      <c r="C1452" s="159">
        <v>30</v>
      </c>
      <c r="D1452" s="159">
        <v>90</v>
      </c>
      <c r="E1452" s="159">
        <v>10</v>
      </c>
      <c r="F1452" s="160" t="s">
        <v>32838</v>
      </c>
      <c r="G1452" s="132"/>
      <c r="H1452" s="162" t="s">
        <v>17538</v>
      </c>
      <c r="I1452" s="158" t="s">
        <v>17539</v>
      </c>
      <c r="J1452" s="128"/>
      <c r="K1452" s="128"/>
      <c r="L1452" s="128"/>
      <c r="M1452" s="129"/>
      <c r="N1452" s="129"/>
      <c r="O1452" s="129"/>
    </row>
    <row r="1453" spans="1:15" ht="12.5">
      <c r="A1453" s="158" t="s">
        <v>17540</v>
      </c>
      <c r="B1453" s="159">
        <v>25</v>
      </c>
      <c r="C1453" s="159">
        <v>30</v>
      </c>
      <c r="D1453" s="159">
        <v>90</v>
      </c>
      <c r="E1453" s="159">
        <v>11</v>
      </c>
      <c r="F1453" s="160" t="s">
        <v>33170</v>
      </c>
      <c r="G1453" s="162" t="s">
        <v>33232</v>
      </c>
      <c r="H1453" s="162" t="s">
        <v>17541</v>
      </c>
      <c r="I1453" s="158" t="s">
        <v>33233</v>
      </c>
      <c r="J1453" s="128"/>
      <c r="K1453" s="128"/>
      <c r="L1453" s="128"/>
      <c r="M1453" s="129"/>
      <c r="N1453" s="129"/>
      <c r="O1453" s="129"/>
    </row>
    <row r="1454" spans="1:15" ht="12.5">
      <c r="A1454" s="158" t="s">
        <v>17543</v>
      </c>
      <c r="B1454" s="159">
        <v>25</v>
      </c>
      <c r="C1454" s="159">
        <v>30</v>
      </c>
      <c r="D1454" s="159">
        <v>90</v>
      </c>
      <c r="E1454" s="159">
        <v>12</v>
      </c>
      <c r="F1454" s="160" t="s">
        <v>32838</v>
      </c>
      <c r="G1454" s="132"/>
      <c r="H1454" s="162" t="s">
        <v>17544</v>
      </c>
      <c r="I1454" s="158" t="s">
        <v>17545</v>
      </c>
      <c r="J1454" s="128"/>
      <c r="K1454" s="128"/>
      <c r="L1454" s="128"/>
      <c r="M1454" s="129"/>
      <c r="N1454" s="129"/>
      <c r="O1454" s="129"/>
    </row>
    <row r="1455" spans="1:15" ht="12.5">
      <c r="A1455" s="158" t="s">
        <v>17546</v>
      </c>
      <c r="B1455" s="159">
        <v>25</v>
      </c>
      <c r="C1455" s="159">
        <v>30</v>
      </c>
      <c r="D1455" s="159">
        <v>90</v>
      </c>
      <c r="E1455" s="159">
        <v>13</v>
      </c>
      <c r="F1455" s="160" t="s">
        <v>33234</v>
      </c>
      <c r="G1455" s="162" t="s">
        <v>33235</v>
      </c>
      <c r="H1455" s="162" t="s">
        <v>17547</v>
      </c>
      <c r="I1455" s="158" t="s">
        <v>33236</v>
      </c>
      <c r="J1455" s="128"/>
      <c r="K1455" s="128"/>
      <c r="L1455" s="128"/>
      <c r="M1455" s="129"/>
      <c r="N1455" s="129"/>
      <c r="O1455" s="129"/>
    </row>
    <row r="1456" spans="1:15" ht="12.5">
      <c r="A1456" s="158" t="s">
        <v>17549</v>
      </c>
      <c r="B1456" s="159">
        <v>25</v>
      </c>
      <c r="C1456" s="159">
        <v>30</v>
      </c>
      <c r="D1456" s="159">
        <v>90</v>
      </c>
      <c r="E1456" s="159">
        <v>14</v>
      </c>
      <c r="F1456" s="160" t="s">
        <v>33237</v>
      </c>
      <c r="G1456" s="162" t="s">
        <v>33235</v>
      </c>
      <c r="H1456" s="162" t="s">
        <v>17550</v>
      </c>
      <c r="I1456" s="158" t="s">
        <v>33238</v>
      </c>
      <c r="J1456" s="128"/>
      <c r="K1456" s="128"/>
      <c r="L1456" s="128"/>
      <c r="M1456" s="129"/>
      <c r="N1456" s="129"/>
      <c r="O1456" s="129"/>
    </row>
    <row r="1457" spans="1:15" ht="12.5">
      <c r="A1457" s="158" t="s">
        <v>17552</v>
      </c>
      <c r="B1457" s="159">
        <v>25</v>
      </c>
      <c r="C1457" s="159">
        <v>30</v>
      </c>
      <c r="D1457" s="159">
        <v>90</v>
      </c>
      <c r="E1457" s="159">
        <v>15</v>
      </c>
      <c r="F1457" s="160" t="s">
        <v>33239</v>
      </c>
      <c r="G1457" s="162" t="s">
        <v>33235</v>
      </c>
      <c r="H1457" s="162" t="s">
        <v>17553</v>
      </c>
      <c r="I1457" s="158" t="s">
        <v>33240</v>
      </c>
      <c r="J1457" s="128"/>
      <c r="K1457" s="128"/>
      <c r="L1457" s="128"/>
      <c r="M1457" s="129"/>
      <c r="N1457" s="129"/>
      <c r="O1457" s="129"/>
    </row>
    <row r="1458" spans="1:15" ht="12.5">
      <c r="A1458" s="158" t="s">
        <v>17555</v>
      </c>
      <c r="B1458" s="159">
        <v>25</v>
      </c>
      <c r="C1458" s="159">
        <v>30</v>
      </c>
      <c r="D1458" s="159">
        <v>90</v>
      </c>
      <c r="E1458" s="159">
        <v>16</v>
      </c>
      <c r="F1458" s="160" t="s">
        <v>33241</v>
      </c>
      <c r="G1458" s="162" t="s">
        <v>33235</v>
      </c>
      <c r="H1458" s="162" t="s">
        <v>17556</v>
      </c>
      <c r="I1458" s="158" t="s">
        <v>33242</v>
      </c>
      <c r="J1458" s="128"/>
      <c r="K1458" s="128"/>
      <c r="L1458" s="128"/>
      <c r="M1458" s="129"/>
      <c r="N1458" s="129"/>
      <c r="O1458" s="129"/>
    </row>
    <row r="1459" spans="1:15" ht="12.5">
      <c r="A1459" s="158" t="s">
        <v>17558</v>
      </c>
      <c r="B1459" s="159">
        <v>25</v>
      </c>
      <c r="C1459" s="159">
        <v>30</v>
      </c>
      <c r="D1459" s="159">
        <v>90</v>
      </c>
      <c r="E1459" s="159">
        <v>17</v>
      </c>
      <c r="F1459" s="160" t="s">
        <v>33243</v>
      </c>
      <c r="G1459" s="162" t="s">
        <v>33235</v>
      </c>
      <c r="H1459" s="162" t="s">
        <v>17559</v>
      </c>
      <c r="I1459" s="158" t="s">
        <v>33244</v>
      </c>
      <c r="J1459" s="128"/>
      <c r="K1459" s="128"/>
      <c r="L1459" s="128"/>
      <c r="M1459" s="129"/>
      <c r="N1459" s="129"/>
      <c r="O1459" s="129"/>
    </row>
    <row r="1460" spans="1:15" ht="12.5">
      <c r="A1460" s="158" t="s">
        <v>17561</v>
      </c>
      <c r="B1460" s="159">
        <v>25</v>
      </c>
      <c r="C1460" s="159">
        <v>30</v>
      </c>
      <c r="D1460" s="159">
        <v>90</v>
      </c>
      <c r="E1460" s="159">
        <v>18</v>
      </c>
      <c r="F1460" s="160" t="s">
        <v>33245</v>
      </c>
      <c r="G1460" s="162" t="s">
        <v>33235</v>
      </c>
      <c r="H1460" s="162" t="s">
        <v>17562</v>
      </c>
      <c r="I1460" s="158" t="s">
        <v>33246</v>
      </c>
      <c r="J1460" s="128"/>
      <c r="K1460" s="128"/>
      <c r="L1460" s="128"/>
      <c r="M1460" s="129"/>
      <c r="N1460" s="129"/>
      <c r="O1460" s="129"/>
    </row>
    <row r="1461" spans="1:15" ht="12.5">
      <c r="A1461" s="158" t="s">
        <v>17564</v>
      </c>
      <c r="B1461" s="159">
        <v>25</v>
      </c>
      <c r="C1461" s="159">
        <v>30</v>
      </c>
      <c r="D1461" s="159">
        <v>90</v>
      </c>
      <c r="E1461" s="159">
        <v>33</v>
      </c>
      <c r="F1461" s="160" t="s">
        <v>32838</v>
      </c>
      <c r="G1461" s="132"/>
      <c r="H1461" s="162" t="s">
        <v>17565</v>
      </c>
      <c r="I1461" s="158" t="s">
        <v>17566</v>
      </c>
      <c r="J1461" s="128"/>
      <c r="K1461" s="128"/>
      <c r="L1461" s="128"/>
      <c r="M1461" s="129"/>
      <c r="N1461" s="129"/>
      <c r="O1461" s="129"/>
    </row>
    <row r="1462" spans="1:15" ht="12.5">
      <c r="A1462" s="158" t="s">
        <v>17567</v>
      </c>
      <c r="B1462" s="159">
        <v>25</v>
      </c>
      <c r="C1462" s="159">
        <v>30</v>
      </c>
      <c r="D1462" s="159">
        <v>90</v>
      </c>
      <c r="E1462" s="159">
        <v>36</v>
      </c>
      <c r="F1462" s="160" t="s">
        <v>32838</v>
      </c>
      <c r="G1462" s="132"/>
      <c r="H1462" s="162" t="s">
        <v>17568</v>
      </c>
      <c r="I1462" s="128"/>
      <c r="J1462" s="128"/>
      <c r="K1462" s="128"/>
      <c r="L1462" s="128"/>
      <c r="M1462" s="129"/>
      <c r="N1462" s="129"/>
      <c r="O1462" s="129"/>
    </row>
    <row r="1463" spans="1:15" ht="12.5">
      <c r="A1463" s="158" t="s">
        <v>17569</v>
      </c>
      <c r="B1463" s="159">
        <v>25</v>
      </c>
      <c r="C1463" s="159">
        <v>30</v>
      </c>
      <c r="D1463" s="159">
        <v>90</v>
      </c>
      <c r="E1463" s="159">
        <v>63</v>
      </c>
      <c r="F1463" s="160" t="s">
        <v>32838</v>
      </c>
      <c r="G1463" s="132"/>
      <c r="H1463" s="162" t="s">
        <v>17570</v>
      </c>
      <c r="I1463" s="128"/>
      <c r="J1463" s="128"/>
      <c r="K1463" s="128"/>
      <c r="L1463" s="128"/>
      <c r="M1463" s="129"/>
      <c r="N1463" s="129"/>
      <c r="O1463" s="129"/>
    </row>
    <row r="1464" spans="1:15" ht="12.5">
      <c r="A1464" s="158" t="s">
        <v>17571</v>
      </c>
      <c r="B1464" s="159">
        <v>25</v>
      </c>
      <c r="C1464" s="159">
        <v>30</v>
      </c>
      <c r="D1464" s="159">
        <v>90</v>
      </c>
      <c r="E1464" s="159">
        <v>81</v>
      </c>
      <c r="F1464" s="160" t="s">
        <v>32838</v>
      </c>
      <c r="G1464" s="132"/>
      <c r="H1464" s="162" t="s">
        <v>17572</v>
      </c>
      <c r="I1464" s="128"/>
      <c r="J1464" s="128"/>
      <c r="K1464" s="128"/>
      <c r="L1464" s="128"/>
      <c r="M1464" s="129"/>
      <c r="N1464" s="129"/>
      <c r="O1464" s="129"/>
    </row>
    <row r="1465" spans="1:15" ht="12.5">
      <c r="A1465" s="158" t="s">
        <v>17573</v>
      </c>
      <c r="B1465" s="159">
        <v>25</v>
      </c>
      <c r="C1465" s="159">
        <v>30</v>
      </c>
      <c r="D1465" s="159">
        <v>90</v>
      </c>
      <c r="E1465" s="159">
        <v>83</v>
      </c>
      <c r="F1465" s="160" t="s">
        <v>32838</v>
      </c>
      <c r="G1465" s="132"/>
      <c r="H1465" s="162" t="s">
        <v>17574</v>
      </c>
      <c r="I1465" s="158" t="s">
        <v>17575</v>
      </c>
      <c r="J1465" s="128"/>
      <c r="K1465" s="128"/>
      <c r="L1465" s="128"/>
      <c r="M1465" s="129"/>
      <c r="N1465" s="129"/>
      <c r="O1465" s="129"/>
    </row>
    <row r="1466" spans="1:15" ht="12.5">
      <c r="A1466" s="158" t="s">
        <v>17576</v>
      </c>
      <c r="B1466" s="159">
        <v>25</v>
      </c>
      <c r="C1466" s="159">
        <v>30</v>
      </c>
      <c r="D1466" s="159">
        <v>90</v>
      </c>
      <c r="E1466" s="159">
        <v>84</v>
      </c>
      <c r="F1466" s="160" t="s">
        <v>32838</v>
      </c>
      <c r="G1466" s="132"/>
      <c r="H1466" s="162" t="s">
        <v>17577</v>
      </c>
      <c r="I1466" s="128"/>
      <c r="J1466" s="128"/>
      <c r="K1466" s="128"/>
      <c r="L1466" s="128"/>
      <c r="M1466" s="129"/>
      <c r="N1466" s="129"/>
      <c r="O1466" s="129"/>
    </row>
    <row r="1467" spans="1:15" ht="12.5">
      <c r="A1467" s="158" t="s">
        <v>17578</v>
      </c>
      <c r="B1467" s="159">
        <v>25</v>
      </c>
      <c r="C1467" s="159">
        <v>30</v>
      </c>
      <c r="D1467" s="159">
        <v>90</v>
      </c>
      <c r="E1467" s="159">
        <v>85</v>
      </c>
      <c r="F1467" s="160" t="s">
        <v>33247</v>
      </c>
      <c r="G1467" s="162" t="s">
        <v>33015</v>
      </c>
      <c r="H1467" s="162" t="s">
        <v>17579</v>
      </c>
      <c r="I1467" s="158" t="s">
        <v>33248</v>
      </c>
      <c r="J1467" s="128"/>
      <c r="K1467" s="128"/>
      <c r="L1467" s="128"/>
      <c r="M1467" s="129"/>
      <c r="N1467" s="129"/>
      <c r="O1467" s="129"/>
    </row>
    <row r="1468" spans="1:15" ht="12.5">
      <c r="A1468" s="144" t="s">
        <v>17581</v>
      </c>
      <c r="B1468" s="145">
        <v>25</v>
      </c>
      <c r="C1468" s="145">
        <v>31</v>
      </c>
      <c r="D1468" s="146"/>
      <c r="E1468" s="146"/>
      <c r="F1468" s="147" t="s">
        <v>33249</v>
      </c>
      <c r="G1468" s="190"/>
      <c r="H1468" s="149" t="s">
        <v>17582</v>
      </c>
      <c r="I1468" s="150"/>
      <c r="J1468" s="150"/>
      <c r="K1468" s="150"/>
      <c r="L1468" s="150"/>
      <c r="M1468" s="191"/>
      <c r="N1468" s="191"/>
      <c r="O1468" s="191"/>
    </row>
    <row r="1469" spans="1:15" ht="12.5">
      <c r="A1469" s="151" t="s">
        <v>17583</v>
      </c>
      <c r="B1469" s="152">
        <v>25</v>
      </c>
      <c r="C1469" s="152">
        <v>31</v>
      </c>
      <c r="D1469" s="152">
        <v>28</v>
      </c>
      <c r="E1469" s="153"/>
      <c r="F1469" s="154" t="s">
        <v>33250</v>
      </c>
      <c r="G1469" s="168"/>
      <c r="H1469" s="156" t="s">
        <v>17584</v>
      </c>
      <c r="I1469" s="157"/>
      <c r="J1469" s="157"/>
      <c r="K1469" s="128"/>
      <c r="L1469" s="128"/>
      <c r="M1469" s="129"/>
      <c r="N1469" s="129"/>
      <c r="O1469" s="129"/>
    </row>
    <row r="1470" spans="1:15" ht="12.5">
      <c r="A1470" s="158" t="s">
        <v>17585</v>
      </c>
      <c r="B1470" s="159">
        <v>25</v>
      </c>
      <c r="C1470" s="159">
        <v>31</v>
      </c>
      <c r="D1470" s="159">
        <v>28</v>
      </c>
      <c r="E1470" s="159">
        <v>65</v>
      </c>
      <c r="F1470" s="160" t="s">
        <v>32838</v>
      </c>
      <c r="G1470" s="132"/>
      <c r="H1470" s="162" t="s">
        <v>17586</v>
      </c>
      <c r="I1470" s="158" t="s">
        <v>17587</v>
      </c>
      <c r="J1470" s="128"/>
      <c r="K1470" s="128"/>
      <c r="L1470" s="128"/>
      <c r="M1470" s="129"/>
      <c r="N1470" s="129"/>
      <c r="O1470" s="129"/>
    </row>
    <row r="1471" spans="1:15" ht="12.5">
      <c r="A1471" s="158" t="s">
        <v>17588</v>
      </c>
      <c r="B1471" s="159">
        <v>25</v>
      </c>
      <c r="C1471" s="159">
        <v>31</v>
      </c>
      <c r="D1471" s="159">
        <v>28</v>
      </c>
      <c r="E1471" s="159">
        <v>66</v>
      </c>
      <c r="F1471" s="160" t="s">
        <v>32838</v>
      </c>
      <c r="G1471" s="132"/>
      <c r="H1471" s="162" t="s">
        <v>17589</v>
      </c>
      <c r="I1471" s="158" t="s">
        <v>17590</v>
      </c>
      <c r="J1471" s="128"/>
      <c r="K1471" s="128"/>
      <c r="L1471" s="128"/>
      <c r="M1471" s="129"/>
      <c r="N1471" s="129"/>
      <c r="O1471" s="129"/>
    </row>
    <row r="1472" spans="1:15" ht="12.5">
      <c r="A1472" s="158" t="s">
        <v>17591</v>
      </c>
      <c r="B1472" s="159">
        <v>25</v>
      </c>
      <c r="C1472" s="159">
        <v>31</v>
      </c>
      <c r="D1472" s="159">
        <v>28</v>
      </c>
      <c r="E1472" s="159">
        <v>67</v>
      </c>
      <c r="F1472" s="160" t="s">
        <v>32838</v>
      </c>
      <c r="G1472" s="132"/>
      <c r="H1472" s="162" t="s">
        <v>17592</v>
      </c>
      <c r="I1472" s="158" t="s">
        <v>17593</v>
      </c>
      <c r="J1472" s="128"/>
      <c r="K1472" s="128"/>
      <c r="L1472" s="128"/>
      <c r="M1472" s="129"/>
      <c r="N1472" s="129"/>
      <c r="O1472" s="129"/>
    </row>
    <row r="1473" spans="1:15" ht="12.5">
      <c r="A1473" s="158" t="s">
        <v>17594</v>
      </c>
      <c r="B1473" s="159">
        <v>25</v>
      </c>
      <c r="C1473" s="159">
        <v>31</v>
      </c>
      <c r="D1473" s="159">
        <v>28</v>
      </c>
      <c r="E1473" s="159">
        <v>93</v>
      </c>
      <c r="F1473" s="160" t="s">
        <v>32838</v>
      </c>
      <c r="G1473" s="132"/>
      <c r="H1473" s="162" t="s">
        <v>17595</v>
      </c>
      <c r="I1473" s="158" t="s">
        <v>17596</v>
      </c>
      <c r="J1473" s="128"/>
      <c r="K1473" s="128"/>
      <c r="L1473" s="128"/>
      <c r="M1473" s="129"/>
      <c r="N1473" s="129"/>
      <c r="O1473" s="129"/>
    </row>
    <row r="1474" spans="1:15" ht="12.5">
      <c r="A1474" s="158" t="s">
        <v>17597</v>
      </c>
      <c r="B1474" s="159">
        <v>25</v>
      </c>
      <c r="C1474" s="159">
        <v>31</v>
      </c>
      <c r="D1474" s="159">
        <v>28</v>
      </c>
      <c r="E1474" s="159">
        <v>94</v>
      </c>
      <c r="F1474" s="160" t="s">
        <v>32838</v>
      </c>
      <c r="G1474" s="132"/>
      <c r="H1474" s="162" t="s">
        <v>17598</v>
      </c>
      <c r="I1474" s="128"/>
      <c r="J1474" s="128"/>
      <c r="K1474" s="128"/>
      <c r="L1474" s="128"/>
      <c r="M1474" s="129"/>
      <c r="N1474" s="129"/>
      <c r="O1474" s="129"/>
    </row>
    <row r="1475" spans="1:15" ht="12.5">
      <c r="A1475" s="151" t="s">
        <v>17599</v>
      </c>
      <c r="B1475" s="152">
        <v>25</v>
      </c>
      <c r="C1475" s="152">
        <v>31</v>
      </c>
      <c r="D1475" s="152">
        <v>48</v>
      </c>
      <c r="E1475" s="153"/>
      <c r="F1475" s="154" t="s">
        <v>33251</v>
      </c>
      <c r="G1475" s="168"/>
      <c r="H1475" s="156" t="s">
        <v>17600</v>
      </c>
      <c r="I1475" s="157"/>
      <c r="J1475" s="128"/>
      <c r="K1475" s="128"/>
      <c r="L1475" s="128"/>
      <c r="M1475" s="129"/>
      <c r="N1475" s="129"/>
      <c r="O1475" s="129"/>
    </row>
    <row r="1476" spans="1:15" ht="12.5">
      <c r="A1476" s="158" t="s">
        <v>17601</v>
      </c>
      <c r="B1476" s="159">
        <v>25</v>
      </c>
      <c r="C1476" s="159">
        <v>31</v>
      </c>
      <c r="D1476" s="159">
        <v>48</v>
      </c>
      <c r="E1476" s="159">
        <v>12</v>
      </c>
      <c r="F1476" s="160" t="s">
        <v>32838</v>
      </c>
      <c r="G1476" s="132"/>
      <c r="H1476" s="162" t="s">
        <v>17602</v>
      </c>
      <c r="I1476" s="158" t="s">
        <v>17603</v>
      </c>
      <c r="J1476" s="128"/>
      <c r="K1476" s="128"/>
      <c r="L1476" s="128"/>
      <c r="M1476" s="129"/>
      <c r="N1476" s="129"/>
      <c r="O1476" s="129"/>
    </row>
    <row r="1477" spans="1:15" ht="12.5">
      <c r="A1477" s="158" t="s">
        <v>17604</v>
      </c>
      <c r="B1477" s="159">
        <v>25</v>
      </c>
      <c r="C1477" s="159">
        <v>31</v>
      </c>
      <c r="D1477" s="159">
        <v>48</v>
      </c>
      <c r="E1477" s="159">
        <v>27</v>
      </c>
      <c r="F1477" s="160" t="s">
        <v>32838</v>
      </c>
      <c r="G1477" s="132"/>
      <c r="H1477" s="162" t="s">
        <v>17605</v>
      </c>
      <c r="I1477" s="158" t="s">
        <v>17606</v>
      </c>
      <c r="J1477" s="128"/>
      <c r="K1477" s="128"/>
      <c r="L1477" s="128"/>
      <c r="M1477" s="129"/>
      <c r="N1477" s="129"/>
      <c r="O1477" s="129"/>
    </row>
    <row r="1478" spans="1:15" ht="12.5">
      <c r="A1478" s="158" t="s">
        <v>17607</v>
      </c>
      <c r="B1478" s="159">
        <v>25</v>
      </c>
      <c r="C1478" s="159">
        <v>31</v>
      </c>
      <c r="D1478" s="159">
        <v>48</v>
      </c>
      <c r="E1478" s="159">
        <v>28</v>
      </c>
      <c r="F1478" s="160" t="s">
        <v>32838</v>
      </c>
      <c r="G1478" s="132"/>
      <c r="H1478" s="162" t="s">
        <v>17608</v>
      </c>
      <c r="I1478" s="158" t="s">
        <v>17609</v>
      </c>
      <c r="J1478" s="128"/>
      <c r="K1478" s="128"/>
      <c r="L1478" s="128"/>
      <c r="M1478" s="129"/>
      <c r="N1478" s="129"/>
      <c r="O1478" s="129"/>
    </row>
    <row r="1479" spans="1:15" ht="12.5">
      <c r="A1479" s="158" t="s">
        <v>17610</v>
      </c>
      <c r="B1479" s="159">
        <v>25</v>
      </c>
      <c r="C1479" s="159">
        <v>31</v>
      </c>
      <c r="D1479" s="159">
        <v>48</v>
      </c>
      <c r="E1479" s="159">
        <v>34</v>
      </c>
      <c r="F1479" s="160" t="s">
        <v>32838</v>
      </c>
      <c r="G1479" s="132"/>
      <c r="H1479" s="162" t="s">
        <v>17611</v>
      </c>
      <c r="I1479" s="158" t="s">
        <v>17612</v>
      </c>
      <c r="J1479" s="128"/>
      <c r="K1479" s="128"/>
      <c r="L1479" s="128"/>
      <c r="M1479" s="129"/>
      <c r="N1479" s="129"/>
      <c r="O1479" s="129"/>
    </row>
    <row r="1480" spans="1:15" ht="12.5">
      <c r="A1480" s="158" t="s">
        <v>17613</v>
      </c>
      <c r="B1480" s="159">
        <v>25</v>
      </c>
      <c r="C1480" s="159">
        <v>31</v>
      </c>
      <c r="D1480" s="159">
        <v>48</v>
      </c>
      <c r="E1480" s="159">
        <v>61</v>
      </c>
      <c r="F1480" s="160" t="s">
        <v>32838</v>
      </c>
      <c r="G1480" s="132"/>
      <c r="H1480" s="162" t="s">
        <v>17614</v>
      </c>
      <c r="I1480" s="158" t="s">
        <v>17615</v>
      </c>
      <c r="J1480" s="128"/>
      <c r="K1480" s="128"/>
      <c r="L1480" s="128"/>
      <c r="M1480" s="129"/>
      <c r="N1480" s="129"/>
      <c r="O1480" s="129"/>
    </row>
    <row r="1481" spans="1:15" ht="12.5">
      <c r="A1481" s="158" t="s">
        <v>17616</v>
      </c>
      <c r="B1481" s="159">
        <v>25</v>
      </c>
      <c r="C1481" s="159">
        <v>31</v>
      </c>
      <c r="D1481" s="159">
        <v>48</v>
      </c>
      <c r="E1481" s="159">
        <v>66</v>
      </c>
      <c r="F1481" s="160" t="s">
        <v>32838</v>
      </c>
      <c r="G1481" s="132"/>
      <c r="H1481" s="162" t="s">
        <v>17617</v>
      </c>
      <c r="I1481" s="128"/>
      <c r="J1481" s="128"/>
      <c r="K1481" s="128"/>
      <c r="L1481" s="128"/>
      <c r="M1481" s="129"/>
      <c r="N1481" s="129"/>
      <c r="O1481" s="129"/>
    </row>
    <row r="1482" spans="1:15" ht="12.5">
      <c r="A1482" s="158" t="s">
        <v>17618</v>
      </c>
      <c r="B1482" s="159">
        <v>25</v>
      </c>
      <c r="C1482" s="159">
        <v>31</v>
      </c>
      <c r="D1482" s="159">
        <v>48</v>
      </c>
      <c r="E1482" s="159">
        <v>71</v>
      </c>
      <c r="F1482" s="160" t="s">
        <v>32838</v>
      </c>
      <c r="G1482" s="132"/>
      <c r="H1482" s="162" t="s">
        <v>17619</v>
      </c>
      <c r="I1482" s="128"/>
      <c r="J1482" s="128"/>
      <c r="K1482" s="128"/>
      <c r="L1482" s="128"/>
      <c r="M1482" s="129"/>
      <c r="N1482" s="129"/>
      <c r="O1482" s="129"/>
    </row>
    <row r="1483" spans="1:15" ht="12.5">
      <c r="A1483" s="158" t="s">
        <v>17620</v>
      </c>
      <c r="B1483" s="159">
        <v>25</v>
      </c>
      <c r="C1483" s="159">
        <v>31</v>
      </c>
      <c r="D1483" s="159">
        <v>48</v>
      </c>
      <c r="E1483" s="159">
        <v>76</v>
      </c>
      <c r="F1483" s="160" t="s">
        <v>32838</v>
      </c>
      <c r="G1483" s="132"/>
      <c r="H1483" s="162" t="s">
        <v>17621</v>
      </c>
      <c r="I1483" s="128"/>
      <c r="J1483" s="128"/>
      <c r="K1483" s="128"/>
      <c r="L1483" s="128"/>
      <c r="M1483" s="129"/>
      <c r="N1483" s="129"/>
      <c r="O1483" s="129"/>
    </row>
    <row r="1484" spans="1:15" ht="12.5">
      <c r="A1484" s="158" t="s">
        <v>17622</v>
      </c>
      <c r="B1484" s="159">
        <v>25</v>
      </c>
      <c r="C1484" s="159">
        <v>31</v>
      </c>
      <c r="D1484" s="159">
        <v>48</v>
      </c>
      <c r="E1484" s="159">
        <v>94</v>
      </c>
      <c r="F1484" s="160" t="s">
        <v>32838</v>
      </c>
      <c r="G1484" s="132"/>
      <c r="H1484" s="162" t="s">
        <v>17623</v>
      </c>
      <c r="I1484" s="158" t="s">
        <v>17624</v>
      </c>
      <c r="J1484" s="128"/>
      <c r="K1484" s="128"/>
      <c r="L1484" s="128"/>
      <c r="M1484" s="129"/>
      <c r="N1484" s="129"/>
      <c r="O1484" s="129"/>
    </row>
    <row r="1485" spans="1:15" ht="12.5">
      <c r="A1485" s="144" t="s">
        <v>17625</v>
      </c>
      <c r="B1485" s="145">
        <v>25</v>
      </c>
      <c r="C1485" s="145">
        <v>57</v>
      </c>
      <c r="D1485" s="146"/>
      <c r="E1485" s="146"/>
      <c r="F1485" s="147" t="s">
        <v>33252</v>
      </c>
      <c r="G1485" s="148"/>
      <c r="H1485" s="149" t="s">
        <v>17626</v>
      </c>
      <c r="I1485" s="150"/>
      <c r="J1485" s="150"/>
      <c r="K1485" s="150"/>
      <c r="L1485" s="150"/>
      <c r="M1485" s="191"/>
      <c r="N1485" s="191"/>
      <c r="O1485" s="191"/>
    </row>
    <row r="1486" spans="1:15" ht="12.5">
      <c r="A1486" s="151" t="s">
        <v>17627</v>
      </c>
      <c r="B1486" s="152">
        <v>25</v>
      </c>
      <c r="C1486" s="152">
        <v>57</v>
      </c>
      <c r="D1486" s="152">
        <v>6</v>
      </c>
      <c r="E1486" s="153"/>
      <c r="F1486" s="154" t="s">
        <v>33170</v>
      </c>
      <c r="G1486" s="155"/>
      <c r="H1486" s="156" t="s">
        <v>17628</v>
      </c>
      <c r="I1486" s="128"/>
      <c r="J1486" s="128"/>
      <c r="K1486" s="128"/>
      <c r="L1486" s="128"/>
      <c r="M1486" s="129"/>
      <c r="N1486" s="129"/>
      <c r="O1486" s="129"/>
    </row>
    <row r="1487" spans="1:15" ht="12.5">
      <c r="A1487" s="158" t="s">
        <v>17629</v>
      </c>
      <c r="B1487" s="159">
        <v>25</v>
      </c>
      <c r="C1487" s="159">
        <v>57</v>
      </c>
      <c r="D1487" s="159">
        <v>6</v>
      </c>
      <c r="E1487" s="159">
        <v>2</v>
      </c>
      <c r="F1487" s="160" t="s">
        <v>32838</v>
      </c>
      <c r="G1487" s="132"/>
      <c r="H1487" s="162" t="s">
        <v>17630</v>
      </c>
      <c r="I1487" s="158" t="s">
        <v>17631</v>
      </c>
      <c r="J1487" s="128"/>
      <c r="K1487" s="128"/>
      <c r="L1487" s="128"/>
      <c r="M1487" s="129"/>
      <c r="N1487" s="129"/>
      <c r="O1487" s="129"/>
    </row>
    <row r="1488" spans="1:15" ht="12.5">
      <c r="A1488" s="158" t="s">
        <v>17632</v>
      </c>
      <c r="B1488" s="159">
        <v>25</v>
      </c>
      <c r="C1488" s="159">
        <v>57</v>
      </c>
      <c r="D1488" s="159">
        <v>6</v>
      </c>
      <c r="E1488" s="159">
        <v>15</v>
      </c>
      <c r="F1488" s="160" t="s">
        <v>32838</v>
      </c>
      <c r="G1488" s="132"/>
      <c r="H1488" s="162" t="s">
        <v>17633</v>
      </c>
      <c r="I1488" s="158" t="s">
        <v>17634</v>
      </c>
      <c r="J1488" s="128"/>
      <c r="K1488" s="128"/>
      <c r="L1488" s="128"/>
      <c r="M1488" s="129"/>
      <c r="N1488" s="129"/>
      <c r="O1488" s="129"/>
    </row>
    <row r="1489" spans="1:15" ht="12.5">
      <c r="A1489" s="158" t="s">
        <v>17635</v>
      </c>
      <c r="B1489" s="159">
        <v>25</v>
      </c>
      <c r="C1489" s="159">
        <v>57</v>
      </c>
      <c r="D1489" s="159">
        <v>6</v>
      </c>
      <c r="E1489" s="159">
        <v>28</v>
      </c>
      <c r="F1489" s="160" t="s">
        <v>32838</v>
      </c>
      <c r="G1489" s="132"/>
      <c r="H1489" s="162" t="s">
        <v>17636</v>
      </c>
      <c r="I1489" s="158" t="s">
        <v>17637</v>
      </c>
      <c r="J1489" s="128"/>
      <c r="K1489" s="128"/>
      <c r="L1489" s="128"/>
      <c r="M1489" s="129"/>
      <c r="N1489" s="129"/>
      <c r="O1489" s="129"/>
    </row>
    <row r="1490" spans="1:15" ht="12.5">
      <c r="A1490" s="158" t="s">
        <v>17638</v>
      </c>
      <c r="B1490" s="159">
        <v>25</v>
      </c>
      <c r="C1490" s="159">
        <v>57</v>
      </c>
      <c r="D1490" s="159">
        <v>6</v>
      </c>
      <c r="E1490" s="159">
        <v>30</v>
      </c>
      <c r="F1490" s="160" t="s">
        <v>32838</v>
      </c>
      <c r="G1490" s="132"/>
      <c r="H1490" s="162" t="s">
        <v>17639</v>
      </c>
      <c r="I1490" s="158" t="s">
        <v>17640</v>
      </c>
      <c r="J1490" s="128"/>
      <c r="K1490" s="128"/>
      <c r="L1490" s="128"/>
      <c r="M1490" s="129"/>
      <c r="N1490" s="129"/>
      <c r="O1490" s="129"/>
    </row>
    <row r="1491" spans="1:15" ht="12.5">
      <c r="A1491" s="158" t="s">
        <v>17641</v>
      </c>
      <c r="B1491" s="159">
        <v>25</v>
      </c>
      <c r="C1491" s="159">
        <v>57</v>
      </c>
      <c r="D1491" s="159">
        <v>6</v>
      </c>
      <c r="E1491" s="159">
        <v>31</v>
      </c>
      <c r="F1491" s="160" t="s">
        <v>33170</v>
      </c>
      <c r="G1491" s="162" t="s">
        <v>33253</v>
      </c>
      <c r="H1491" s="162" t="s">
        <v>17642</v>
      </c>
      <c r="I1491" s="158" t="s">
        <v>33254</v>
      </c>
      <c r="J1491" s="128"/>
      <c r="K1491" s="128"/>
      <c r="L1491" s="128"/>
      <c r="M1491" s="129"/>
      <c r="N1491" s="129"/>
      <c r="O1491" s="129"/>
    </row>
    <row r="1492" spans="1:15" ht="12.5">
      <c r="A1492" s="158" t="s">
        <v>17644</v>
      </c>
      <c r="B1492" s="159">
        <v>25</v>
      </c>
      <c r="C1492" s="159">
        <v>57</v>
      </c>
      <c r="D1492" s="159">
        <v>6</v>
      </c>
      <c r="E1492" s="159">
        <v>32</v>
      </c>
      <c r="F1492" s="160" t="s">
        <v>32838</v>
      </c>
      <c r="G1492" s="132"/>
      <c r="H1492" s="162" t="s">
        <v>17645</v>
      </c>
      <c r="I1492" s="128"/>
      <c r="J1492" s="128"/>
      <c r="K1492" s="128"/>
      <c r="L1492" s="128"/>
      <c r="M1492" s="129"/>
      <c r="N1492" s="129"/>
      <c r="O1492" s="129"/>
    </row>
    <row r="1493" spans="1:15" ht="12.5">
      <c r="A1493" s="158" t="s">
        <v>17646</v>
      </c>
      <c r="B1493" s="159">
        <v>25</v>
      </c>
      <c r="C1493" s="159">
        <v>57</v>
      </c>
      <c r="D1493" s="159">
        <v>6</v>
      </c>
      <c r="E1493" s="159">
        <v>34</v>
      </c>
      <c r="F1493" s="160" t="s">
        <v>33170</v>
      </c>
      <c r="G1493" s="162" t="s">
        <v>33253</v>
      </c>
      <c r="H1493" s="162" t="s">
        <v>17647</v>
      </c>
      <c r="I1493" s="158" t="s">
        <v>33255</v>
      </c>
      <c r="J1493" s="128"/>
      <c r="K1493" s="128"/>
      <c r="L1493" s="128"/>
      <c r="M1493" s="129"/>
      <c r="N1493" s="129"/>
      <c r="O1493" s="129"/>
    </row>
    <row r="1494" spans="1:15" ht="12.5">
      <c r="A1494" s="158" t="s">
        <v>17649</v>
      </c>
      <c r="B1494" s="159">
        <v>25</v>
      </c>
      <c r="C1494" s="159">
        <v>57</v>
      </c>
      <c r="D1494" s="159">
        <v>6</v>
      </c>
      <c r="E1494" s="159">
        <v>37</v>
      </c>
      <c r="F1494" s="160" t="s">
        <v>32838</v>
      </c>
      <c r="G1494" s="132"/>
      <c r="H1494" s="162" t="s">
        <v>17650</v>
      </c>
      <c r="I1494" s="158" t="s">
        <v>17651</v>
      </c>
      <c r="J1494" s="128"/>
      <c r="K1494" s="128"/>
      <c r="L1494" s="128"/>
      <c r="M1494" s="129"/>
      <c r="N1494" s="129"/>
      <c r="O1494" s="129"/>
    </row>
    <row r="1495" spans="1:15" ht="12.5">
      <c r="A1495" s="158" t="s">
        <v>17652</v>
      </c>
      <c r="B1495" s="159">
        <v>25</v>
      </c>
      <c r="C1495" s="159">
        <v>57</v>
      </c>
      <c r="D1495" s="159">
        <v>6</v>
      </c>
      <c r="E1495" s="159">
        <v>47</v>
      </c>
      <c r="F1495" s="160" t="s">
        <v>32838</v>
      </c>
      <c r="G1495" s="132"/>
      <c r="H1495" s="162" t="s">
        <v>17653</v>
      </c>
      <c r="I1495" s="158" t="s">
        <v>17654</v>
      </c>
      <c r="J1495" s="128"/>
      <c r="K1495" s="128"/>
      <c r="L1495" s="128"/>
      <c r="M1495" s="129"/>
      <c r="N1495" s="129"/>
      <c r="O1495" s="129"/>
    </row>
    <row r="1496" spans="1:15" ht="12.5">
      <c r="A1496" s="158" t="s">
        <v>17655</v>
      </c>
      <c r="B1496" s="159">
        <v>25</v>
      </c>
      <c r="C1496" s="159">
        <v>57</v>
      </c>
      <c r="D1496" s="159">
        <v>6</v>
      </c>
      <c r="E1496" s="159">
        <v>50</v>
      </c>
      <c r="F1496" s="160" t="s">
        <v>32838</v>
      </c>
      <c r="G1496" s="132"/>
      <c r="H1496" s="162" t="s">
        <v>17656</v>
      </c>
      <c r="I1496" s="158" t="s">
        <v>17657</v>
      </c>
      <c r="J1496" s="128"/>
      <c r="K1496" s="128"/>
      <c r="L1496" s="128"/>
      <c r="M1496" s="129"/>
      <c r="N1496" s="129"/>
      <c r="O1496" s="129"/>
    </row>
    <row r="1497" spans="1:15" ht="12.5">
      <c r="A1497" s="158" t="s">
        <v>17658</v>
      </c>
      <c r="B1497" s="159">
        <v>25</v>
      </c>
      <c r="C1497" s="159">
        <v>57</v>
      </c>
      <c r="D1497" s="159">
        <v>6</v>
      </c>
      <c r="E1497" s="159">
        <v>51</v>
      </c>
      <c r="F1497" s="160" t="s">
        <v>32838</v>
      </c>
      <c r="G1497" s="132"/>
      <c r="H1497" s="162" t="s">
        <v>17659</v>
      </c>
      <c r="I1497" s="158" t="s">
        <v>17660</v>
      </c>
      <c r="J1497" s="128"/>
      <c r="K1497" s="128"/>
      <c r="L1497" s="128"/>
      <c r="M1497" s="129"/>
      <c r="N1497" s="129"/>
      <c r="O1497" s="129"/>
    </row>
    <row r="1498" spans="1:15" ht="12.5">
      <c r="A1498" s="158" t="s">
        <v>17661</v>
      </c>
      <c r="B1498" s="159">
        <v>25</v>
      </c>
      <c r="C1498" s="159">
        <v>57</v>
      </c>
      <c r="D1498" s="159">
        <v>6</v>
      </c>
      <c r="E1498" s="159">
        <v>52</v>
      </c>
      <c r="F1498" s="160" t="s">
        <v>32838</v>
      </c>
      <c r="G1498" s="132"/>
      <c r="H1498" s="162" t="s">
        <v>17662</v>
      </c>
      <c r="I1498" s="128"/>
      <c r="J1498" s="128"/>
      <c r="K1498" s="128"/>
      <c r="L1498" s="128"/>
      <c r="M1498" s="129"/>
      <c r="N1498" s="129"/>
      <c r="O1498" s="129"/>
    </row>
    <row r="1499" spans="1:15" ht="12.5">
      <c r="A1499" s="158" t="s">
        <v>17663</v>
      </c>
      <c r="B1499" s="159">
        <v>25</v>
      </c>
      <c r="C1499" s="159">
        <v>57</v>
      </c>
      <c r="D1499" s="159">
        <v>6</v>
      </c>
      <c r="E1499" s="159">
        <v>53</v>
      </c>
      <c r="F1499" s="160" t="s">
        <v>32838</v>
      </c>
      <c r="G1499" s="132"/>
      <c r="H1499" s="162" t="s">
        <v>17664</v>
      </c>
      <c r="I1499" s="158" t="s">
        <v>17665</v>
      </c>
      <c r="J1499" s="128"/>
      <c r="K1499" s="128"/>
      <c r="L1499" s="128"/>
      <c r="M1499" s="129"/>
      <c r="N1499" s="129"/>
      <c r="O1499" s="129"/>
    </row>
    <row r="1500" spans="1:15" ht="12.5">
      <c r="A1500" s="158" t="s">
        <v>17666</v>
      </c>
      <c r="B1500" s="159">
        <v>25</v>
      </c>
      <c r="C1500" s="159">
        <v>57</v>
      </c>
      <c r="D1500" s="159">
        <v>6</v>
      </c>
      <c r="E1500" s="159">
        <v>54</v>
      </c>
      <c r="F1500" s="160" t="s">
        <v>32838</v>
      </c>
      <c r="G1500" s="132"/>
      <c r="H1500" s="162" t="s">
        <v>17667</v>
      </c>
      <c r="I1500" s="158" t="s">
        <v>17668</v>
      </c>
      <c r="J1500" s="128"/>
      <c r="K1500" s="128"/>
      <c r="L1500" s="128"/>
      <c r="M1500" s="129"/>
      <c r="N1500" s="129"/>
      <c r="O1500" s="129"/>
    </row>
    <row r="1501" spans="1:15" ht="12.5">
      <c r="A1501" s="158" t="s">
        <v>17669</v>
      </c>
      <c r="B1501" s="159">
        <v>25</v>
      </c>
      <c r="C1501" s="159">
        <v>57</v>
      </c>
      <c r="D1501" s="159">
        <v>6</v>
      </c>
      <c r="E1501" s="159">
        <v>55</v>
      </c>
      <c r="F1501" s="160" t="s">
        <v>32838</v>
      </c>
      <c r="G1501" s="132"/>
      <c r="H1501" s="162" t="s">
        <v>17670</v>
      </c>
      <c r="I1501" s="158" t="s">
        <v>17671</v>
      </c>
      <c r="J1501" s="128"/>
      <c r="K1501" s="128"/>
      <c r="L1501" s="128"/>
      <c r="M1501" s="129"/>
      <c r="N1501" s="129"/>
      <c r="O1501" s="129"/>
    </row>
    <row r="1502" spans="1:15" ht="12.5">
      <c r="A1502" s="158" t="s">
        <v>17672</v>
      </c>
      <c r="B1502" s="159">
        <v>25</v>
      </c>
      <c r="C1502" s="159">
        <v>57</v>
      </c>
      <c r="D1502" s="159">
        <v>6</v>
      </c>
      <c r="E1502" s="159">
        <v>56</v>
      </c>
      <c r="F1502" s="160" t="s">
        <v>33170</v>
      </c>
      <c r="G1502" s="162" t="s">
        <v>33256</v>
      </c>
      <c r="H1502" s="162" t="s">
        <v>17673</v>
      </c>
      <c r="I1502" s="158" t="s">
        <v>33257</v>
      </c>
      <c r="J1502" s="128"/>
      <c r="K1502" s="128"/>
      <c r="L1502" s="128"/>
      <c r="M1502" s="129"/>
      <c r="N1502" s="129"/>
      <c r="O1502" s="129"/>
    </row>
    <row r="1503" spans="1:15" ht="12.5">
      <c r="A1503" s="158" t="s">
        <v>17675</v>
      </c>
      <c r="B1503" s="159">
        <v>25</v>
      </c>
      <c r="C1503" s="159">
        <v>57</v>
      </c>
      <c r="D1503" s="159">
        <v>6</v>
      </c>
      <c r="E1503" s="159">
        <v>57</v>
      </c>
      <c r="F1503" s="160" t="s">
        <v>32838</v>
      </c>
      <c r="G1503" s="132"/>
      <c r="H1503" s="162" t="s">
        <v>17676</v>
      </c>
      <c r="I1503" s="158" t="s">
        <v>17677</v>
      </c>
      <c r="J1503" s="128"/>
      <c r="K1503" s="128"/>
      <c r="L1503" s="128"/>
      <c r="M1503" s="129"/>
      <c r="N1503" s="129"/>
      <c r="O1503" s="129"/>
    </row>
    <row r="1504" spans="1:15" ht="12.5">
      <c r="A1504" s="158" t="s">
        <v>17680</v>
      </c>
      <c r="B1504" s="159">
        <v>25</v>
      </c>
      <c r="C1504" s="159">
        <v>57</v>
      </c>
      <c r="D1504" s="159">
        <v>6</v>
      </c>
      <c r="E1504" s="159">
        <v>71</v>
      </c>
      <c r="F1504" s="160" t="s">
        <v>32838</v>
      </c>
      <c r="G1504" s="132"/>
      <c r="H1504" s="162" t="s">
        <v>17681</v>
      </c>
      <c r="I1504" s="158" t="s">
        <v>17682</v>
      </c>
      <c r="J1504" s="128"/>
      <c r="K1504" s="128"/>
      <c r="L1504" s="128"/>
      <c r="M1504" s="129"/>
      <c r="N1504" s="129"/>
      <c r="O1504" s="129"/>
    </row>
    <row r="1505" spans="1:15" ht="12.5">
      <c r="A1505" s="158" t="s">
        <v>17683</v>
      </c>
      <c r="B1505" s="159">
        <v>25</v>
      </c>
      <c r="C1505" s="159">
        <v>57</v>
      </c>
      <c r="D1505" s="159">
        <v>6</v>
      </c>
      <c r="E1505" s="159">
        <v>76</v>
      </c>
      <c r="F1505" s="160" t="s">
        <v>32838</v>
      </c>
      <c r="G1505" s="132"/>
      <c r="H1505" s="162" t="s">
        <v>17684</v>
      </c>
      <c r="I1505" s="158" t="s">
        <v>17685</v>
      </c>
      <c r="J1505" s="128"/>
      <c r="K1505" s="128"/>
      <c r="L1505" s="128"/>
      <c r="M1505" s="129"/>
      <c r="N1505" s="129"/>
      <c r="O1505" s="129"/>
    </row>
    <row r="1506" spans="1:15" ht="12.5">
      <c r="A1506" s="158" t="s">
        <v>17686</v>
      </c>
      <c r="B1506" s="159">
        <v>25</v>
      </c>
      <c r="C1506" s="159">
        <v>57</v>
      </c>
      <c r="D1506" s="159">
        <v>6</v>
      </c>
      <c r="E1506" s="159">
        <v>94</v>
      </c>
      <c r="F1506" s="160" t="s">
        <v>32838</v>
      </c>
      <c r="G1506" s="132"/>
      <c r="H1506" s="162" t="s">
        <v>17687</v>
      </c>
      <c r="I1506" s="158" t="s">
        <v>17688</v>
      </c>
      <c r="J1506" s="128"/>
      <c r="K1506" s="128"/>
      <c r="L1506" s="128"/>
      <c r="M1506" s="129"/>
      <c r="N1506" s="129"/>
      <c r="O1506" s="129"/>
    </row>
    <row r="1507" spans="1:15" ht="12.5">
      <c r="A1507" s="158" t="s">
        <v>17689</v>
      </c>
      <c r="B1507" s="159">
        <v>25</v>
      </c>
      <c r="C1507" s="159">
        <v>57</v>
      </c>
      <c r="D1507" s="159">
        <v>6</v>
      </c>
      <c r="E1507" s="159">
        <v>97</v>
      </c>
      <c r="F1507" s="160" t="s">
        <v>33170</v>
      </c>
      <c r="G1507" s="162" t="s">
        <v>33258</v>
      </c>
      <c r="H1507" s="162" t="s">
        <v>17690</v>
      </c>
      <c r="I1507" s="158" t="s">
        <v>33259</v>
      </c>
      <c r="J1507" s="128"/>
      <c r="K1507" s="128"/>
      <c r="L1507" s="128"/>
      <c r="M1507" s="129"/>
      <c r="N1507" s="129"/>
      <c r="O1507" s="129"/>
    </row>
    <row r="1508" spans="1:15" ht="12.5">
      <c r="A1508" s="151" t="s">
        <v>17692</v>
      </c>
      <c r="B1508" s="152">
        <v>25</v>
      </c>
      <c r="C1508" s="152">
        <v>57</v>
      </c>
      <c r="D1508" s="152">
        <v>8</v>
      </c>
      <c r="E1508" s="153"/>
      <c r="F1508" s="154" t="s">
        <v>2011</v>
      </c>
      <c r="G1508" s="168"/>
      <c r="H1508" s="156" t="s">
        <v>17693</v>
      </c>
      <c r="I1508" s="157"/>
      <c r="J1508" s="157"/>
      <c r="K1508" s="128"/>
      <c r="L1508" s="128"/>
      <c r="M1508" s="129"/>
      <c r="N1508" s="129"/>
      <c r="O1508" s="129"/>
    </row>
    <row r="1509" spans="1:15" ht="12.5">
      <c r="A1509" s="158" t="s">
        <v>17694</v>
      </c>
      <c r="B1509" s="159">
        <v>25</v>
      </c>
      <c r="C1509" s="159">
        <v>57</v>
      </c>
      <c r="D1509" s="159">
        <v>8</v>
      </c>
      <c r="E1509" s="159">
        <v>8</v>
      </c>
      <c r="F1509" s="160" t="s">
        <v>32838</v>
      </c>
      <c r="G1509" s="132"/>
      <c r="H1509" s="162" t="s">
        <v>17695</v>
      </c>
      <c r="I1509" s="158" t="s">
        <v>17696</v>
      </c>
      <c r="J1509" s="128"/>
      <c r="K1509" s="128"/>
      <c r="L1509" s="128"/>
      <c r="M1509" s="129"/>
      <c r="N1509" s="129"/>
      <c r="O1509" s="129"/>
    </row>
    <row r="1510" spans="1:15" ht="12.5">
      <c r="A1510" s="158" t="s">
        <v>17697</v>
      </c>
      <c r="B1510" s="159">
        <v>25</v>
      </c>
      <c r="C1510" s="159">
        <v>57</v>
      </c>
      <c r="D1510" s="159">
        <v>8</v>
      </c>
      <c r="E1510" s="159">
        <v>58</v>
      </c>
      <c r="F1510" s="160" t="s">
        <v>32838</v>
      </c>
      <c r="G1510" s="132"/>
      <c r="H1510" s="162" t="s">
        <v>17698</v>
      </c>
      <c r="I1510" s="158" t="s">
        <v>17699</v>
      </c>
      <c r="J1510" s="128"/>
      <c r="K1510" s="128"/>
      <c r="L1510" s="128"/>
      <c r="M1510" s="129"/>
      <c r="N1510" s="129"/>
      <c r="O1510" s="129"/>
    </row>
    <row r="1511" spans="1:15" ht="12.5">
      <c r="A1511" s="158" t="s">
        <v>17700</v>
      </c>
      <c r="B1511" s="159">
        <v>25</v>
      </c>
      <c r="C1511" s="159">
        <v>57</v>
      </c>
      <c r="D1511" s="159">
        <v>8</v>
      </c>
      <c r="E1511" s="159">
        <v>71</v>
      </c>
      <c r="F1511" s="160" t="s">
        <v>32838</v>
      </c>
      <c r="G1511" s="132"/>
      <c r="H1511" s="162" t="s">
        <v>17701</v>
      </c>
      <c r="I1511" s="158" t="s">
        <v>17702</v>
      </c>
      <c r="J1511" s="128"/>
      <c r="K1511" s="128"/>
      <c r="L1511" s="128"/>
      <c r="M1511" s="129"/>
      <c r="N1511" s="129"/>
      <c r="O1511" s="129"/>
    </row>
    <row r="1512" spans="1:15" ht="12.5">
      <c r="A1512" s="158" t="s">
        <v>17703</v>
      </c>
      <c r="B1512" s="159">
        <v>25</v>
      </c>
      <c r="C1512" s="159">
        <v>57</v>
      </c>
      <c r="D1512" s="159">
        <v>8</v>
      </c>
      <c r="E1512" s="159">
        <v>75</v>
      </c>
      <c r="F1512" s="160" t="s">
        <v>32838</v>
      </c>
      <c r="G1512" s="132"/>
      <c r="H1512" s="162" t="s">
        <v>17704</v>
      </c>
      <c r="I1512" s="158" t="s">
        <v>17705</v>
      </c>
      <c r="J1512" s="128"/>
      <c r="K1512" s="128"/>
      <c r="L1512" s="128"/>
      <c r="M1512" s="129"/>
      <c r="N1512" s="129"/>
      <c r="O1512" s="129"/>
    </row>
    <row r="1513" spans="1:15" ht="12.5">
      <c r="A1513" s="151" t="s">
        <v>17706</v>
      </c>
      <c r="B1513" s="152">
        <v>25</v>
      </c>
      <c r="C1513" s="152">
        <v>57</v>
      </c>
      <c r="D1513" s="152">
        <v>10</v>
      </c>
      <c r="E1513" s="153"/>
      <c r="F1513" s="154" t="s">
        <v>2011</v>
      </c>
      <c r="G1513" s="195"/>
      <c r="H1513" s="156" t="s">
        <v>17707</v>
      </c>
      <c r="I1513" s="157"/>
      <c r="J1513" s="128"/>
      <c r="K1513" s="128"/>
      <c r="L1513" s="128"/>
      <c r="M1513" s="129"/>
      <c r="N1513" s="129"/>
      <c r="O1513" s="129"/>
    </row>
    <row r="1514" spans="1:15" ht="12.5">
      <c r="A1514" s="158" t="s">
        <v>17708</v>
      </c>
      <c r="B1514" s="159">
        <v>25</v>
      </c>
      <c r="C1514" s="159">
        <v>57</v>
      </c>
      <c r="D1514" s="159">
        <v>10</v>
      </c>
      <c r="E1514" s="159">
        <v>4</v>
      </c>
      <c r="F1514" s="160" t="s">
        <v>32838</v>
      </c>
      <c r="G1514" s="132"/>
      <c r="H1514" s="162" t="s">
        <v>17709</v>
      </c>
      <c r="I1514" s="128"/>
      <c r="J1514" s="128"/>
      <c r="K1514" s="128"/>
      <c r="L1514" s="128"/>
      <c r="M1514" s="129"/>
      <c r="N1514" s="129"/>
      <c r="O1514" s="129"/>
    </row>
    <row r="1515" spans="1:15" ht="12.5">
      <c r="A1515" s="158" t="s">
        <v>17710</v>
      </c>
      <c r="B1515" s="159">
        <v>25</v>
      </c>
      <c r="C1515" s="159">
        <v>57</v>
      </c>
      <c r="D1515" s="159">
        <v>10</v>
      </c>
      <c r="E1515" s="159">
        <v>8</v>
      </c>
      <c r="F1515" s="160" t="s">
        <v>32838</v>
      </c>
      <c r="G1515" s="132"/>
      <c r="H1515" s="162" t="s">
        <v>17711</v>
      </c>
      <c r="I1515" s="128"/>
      <c r="J1515" s="128"/>
      <c r="K1515" s="128"/>
      <c r="L1515" s="128"/>
      <c r="M1515" s="129"/>
      <c r="N1515" s="129"/>
      <c r="O1515" s="129"/>
    </row>
    <row r="1516" spans="1:15" ht="12.5">
      <c r="A1516" s="158" t="s">
        <v>17712</v>
      </c>
      <c r="B1516" s="159">
        <v>25</v>
      </c>
      <c r="C1516" s="159">
        <v>57</v>
      </c>
      <c r="D1516" s="159">
        <v>10</v>
      </c>
      <c r="E1516" s="159">
        <v>9</v>
      </c>
      <c r="F1516" s="160" t="s">
        <v>32838</v>
      </c>
      <c r="G1516" s="132"/>
      <c r="H1516" s="162" t="s">
        <v>17713</v>
      </c>
      <c r="I1516" s="158" t="s">
        <v>17714</v>
      </c>
      <c r="J1516" s="128"/>
      <c r="K1516" s="128"/>
      <c r="L1516" s="128"/>
      <c r="M1516" s="129"/>
      <c r="N1516" s="129"/>
      <c r="O1516" s="129"/>
    </row>
    <row r="1517" spans="1:15" ht="12.5">
      <c r="A1517" s="158" t="s">
        <v>17715</v>
      </c>
      <c r="B1517" s="159">
        <v>25</v>
      </c>
      <c r="C1517" s="159">
        <v>57</v>
      </c>
      <c r="D1517" s="159">
        <v>10</v>
      </c>
      <c r="E1517" s="159">
        <v>12</v>
      </c>
      <c r="F1517" s="160" t="s">
        <v>32838</v>
      </c>
      <c r="G1517" s="132"/>
      <c r="H1517" s="162" t="s">
        <v>17716</v>
      </c>
      <c r="I1517" s="128"/>
      <c r="J1517" s="128"/>
      <c r="K1517" s="128"/>
      <c r="L1517" s="128"/>
      <c r="M1517" s="129"/>
      <c r="N1517" s="129"/>
      <c r="O1517" s="129"/>
    </row>
    <row r="1518" spans="1:15" ht="12.5">
      <c r="A1518" s="158" t="s">
        <v>17717</v>
      </c>
      <c r="B1518" s="159">
        <v>25</v>
      </c>
      <c r="C1518" s="159">
        <v>57</v>
      </c>
      <c r="D1518" s="159">
        <v>10</v>
      </c>
      <c r="E1518" s="159">
        <v>37</v>
      </c>
      <c r="F1518" s="160" t="s">
        <v>32838</v>
      </c>
      <c r="G1518" s="132"/>
      <c r="H1518" s="162" t="s">
        <v>17718</v>
      </c>
      <c r="I1518" s="128"/>
      <c r="J1518" s="128"/>
      <c r="K1518" s="128"/>
      <c r="L1518" s="128"/>
      <c r="M1518" s="129"/>
      <c r="N1518" s="129"/>
      <c r="O1518" s="129"/>
    </row>
    <row r="1519" spans="1:15" ht="12.5">
      <c r="A1519" s="158" t="s">
        <v>17719</v>
      </c>
      <c r="B1519" s="159">
        <v>25</v>
      </c>
      <c r="C1519" s="159">
        <v>57</v>
      </c>
      <c r="D1519" s="159">
        <v>10</v>
      </c>
      <c r="E1519" s="159">
        <v>45</v>
      </c>
      <c r="F1519" s="160" t="s">
        <v>32838</v>
      </c>
      <c r="G1519" s="132"/>
      <c r="H1519" s="162" t="s">
        <v>17720</v>
      </c>
      <c r="I1519" s="128"/>
      <c r="J1519" s="128"/>
      <c r="K1519" s="128"/>
      <c r="L1519" s="128"/>
      <c r="M1519" s="129"/>
      <c r="N1519" s="129"/>
      <c r="O1519" s="129"/>
    </row>
    <row r="1520" spans="1:15" ht="12.5">
      <c r="A1520" s="158" t="s">
        <v>17721</v>
      </c>
      <c r="B1520" s="159">
        <v>25</v>
      </c>
      <c r="C1520" s="159">
        <v>57</v>
      </c>
      <c r="D1520" s="159">
        <v>10</v>
      </c>
      <c r="E1520" s="159">
        <v>47</v>
      </c>
      <c r="F1520" s="160" t="s">
        <v>32838</v>
      </c>
      <c r="G1520" s="132"/>
      <c r="H1520" s="162" t="s">
        <v>17722</v>
      </c>
      <c r="I1520" s="128"/>
      <c r="J1520" s="128"/>
      <c r="K1520" s="128"/>
      <c r="L1520" s="128"/>
      <c r="M1520" s="129"/>
      <c r="N1520" s="129"/>
      <c r="O1520" s="129"/>
    </row>
    <row r="1521" spans="1:15" ht="12.5">
      <c r="A1521" s="158" t="s">
        <v>17723</v>
      </c>
      <c r="B1521" s="159">
        <v>25</v>
      </c>
      <c r="C1521" s="159">
        <v>57</v>
      </c>
      <c r="D1521" s="159">
        <v>10</v>
      </c>
      <c r="E1521" s="159">
        <v>62</v>
      </c>
      <c r="F1521" s="160" t="s">
        <v>32838</v>
      </c>
      <c r="G1521" s="132"/>
      <c r="H1521" s="162" t="s">
        <v>17724</v>
      </c>
      <c r="I1521" s="128"/>
      <c r="J1521" s="128"/>
      <c r="K1521" s="128"/>
      <c r="L1521" s="128"/>
      <c r="M1521" s="129"/>
      <c r="N1521" s="129"/>
      <c r="O1521" s="129"/>
    </row>
    <row r="1522" spans="1:15" ht="12.5">
      <c r="A1522" s="158" t="s">
        <v>17725</v>
      </c>
      <c r="B1522" s="159">
        <v>25</v>
      </c>
      <c r="C1522" s="159">
        <v>57</v>
      </c>
      <c r="D1522" s="159">
        <v>10</v>
      </c>
      <c r="E1522" s="159">
        <v>64</v>
      </c>
      <c r="F1522" s="160" t="s">
        <v>32838</v>
      </c>
      <c r="G1522" s="132"/>
      <c r="H1522" s="162" t="s">
        <v>17726</v>
      </c>
      <c r="I1522" s="128"/>
      <c r="J1522" s="128"/>
      <c r="K1522" s="128"/>
      <c r="L1522" s="128"/>
      <c r="M1522" s="129"/>
      <c r="N1522" s="129"/>
      <c r="O1522" s="129"/>
    </row>
    <row r="1523" spans="1:15" ht="12.5">
      <c r="A1523" s="158" t="s">
        <v>17727</v>
      </c>
      <c r="B1523" s="159">
        <v>25</v>
      </c>
      <c r="C1523" s="159">
        <v>57</v>
      </c>
      <c r="D1523" s="159">
        <v>10</v>
      </c>
      <c r="E1523" s="159">
        <v>66</v>
      </c>
      <c r="F1523" s="160" t="s">
        <v>32838</v>
      </c>
      <c r="G1523" s="132"/>
      <c r="H1523" s="162" t="s">
        <v>17728</v>
      </c>
      <c r="I1523" s="128"/>
      <c r="J1523" s="128"/>
      <c r="K1523" s="128"/>
      <c r="L1523" s="128"/>
      <c r="M1523" s="129"/>
      <c r="N1523" s="129"/>
      <c r="O1523" s="129"/>
    </row>
    <row r="1524" spans="1:15" ht="12.5">
      <c r="A1524" s="158" t="s">
        <v>17729</v>
      </c>
      <c r="B1524" s="159">
        <v>25</v>
      </c>
      <c r="C1524" s="159">
        <v>57</v>
      </c>
      <c r="D1524" s="159">
        <v>10</v>
      </c>
      <c r="E1524" s="159">
        <v>68</v>
      </c>
      <c r="F1524" s="160" t="s">
        <v>32838</v>
      </c>
      <c r="G1524" s="132"/>
      <c r="H1524" s="162" t="s">
        <v>17730</v>
      </c>
      <c r="I1524" s="128"/>
      <c r="J1524" s="128"/>
      <c r="K1524" s="128"/>
      <c r="L1524" s="128"/>
      <c r="M1524" s="129"/>
      <c r="N1524" s="129"/>
      <c r="O1524" s="129"/>
    </row>
    <row r="1525" spans="1:15" ht="12.5">
      <c r="A1525" s="158" t="s">
        <v>17731</v>
      </c>
      <c r="B1525" s="159">
        <v>25</v>
      </c>
      <c r="C1525" s="159">
        <v>57</v>
      </c>
      <c r="D1525" s="159">
        <v>10</v>
      </c>
      <c r="E1525" s="159">
        <v>94</v>
      </c>
      <c r="F1525" s="160" t="s">
        <v>33170</v>
      </c>
      <c r="G1525" s="162" t="s">
        <v>33260</v>
      </c>
      <c r="H1525" s="162" t="s">
        <v>17732</v>
      </c>
      <c r="I1525" s="158" t="s">
        <v>33261</v>
      </c>
      <c r="J1525" s="128"/>
      <c r="K1525" s="128"/>
      <c r="L1525" s="128"/>
      <c r="M1525" s="129"/>
      <c r="N1525" s="129"/>
      <c r="O1525" s="129"/>
    </row>
    <row r="1526" spans="1:15" ht="12.5">
      <c r="A1526" s="151" t="s">
        <v>17734</v>
      </c>
      <c r="B1526" s="152">
        <v>25</v>
      </c>
      <c r="C1526" s="152">
        <v>57</v>
      </c>
      <c r="D1526" s="152">
        <v>21</v>
      </c>
      <c r="E1526" s="153"/>
      <c r="F1526" s="154" t="s">
        <v>33262</v>
      </c>
      <c r="G1526" s="155"/>
      <c r="H1526" s="156" t="s">
        <v>33263</v>
      </c>
      <c r="I1526" s="157"/>
      <c r="J1526" s="128"/>
      <c r="K1526" s="128"/>
      <c r="L1526" s="128"/>
      <c r="M1526" s="129"/>
      <c r="N1526" s="129"/>
      <c r="O1526" s="129"/>
    </row>
    <row r="1527" spans="1:15" ht="12.5">
      <c r="A1527" s="158" t="s">
        <v>17738</v>
      </c>
      <c r="B1527" s="159">
        <v>25</v>
      </c>
      <c r="C1527" s="159">
        <v>57</v>
      </c>
      <c r="D1527" s="159">
        <v>21</v>
      </c>
      <c r="E1527" s="159">
        <v>6</v>
      </c>
      <c r="F1527" s="160" t="s">
        <v>33170</v>
      </c>
      <c r="G1527" s="162" t="s">
        <v>33264</v>
      </c>
      <c r="H1527" s="162" t="s">
        <v>33265</v>
      </c>
      <c r="I1527" s="158" t="s">
        <v>33266</v>
      </c>
      <c r="J1527" s="128"/>
      <c r="K1527" s="128"/>
      <c r="L1527" s="128"/>
      <c r="M1527" s="129"/>
      <c r="N1527" s="129"/>
      <c r="O1527" s="129"/>
    </row>
    <row r="1528" spans="1:15" ht="12.5">
      <c r="A1528" s="158" t="s">
        <v>17741</v>
      </c>
      <c r="B1528" s="159">
        <v>25</v>
      </c>
      <c r="C1528" s="159">
        <v>57</v>
      </c>
      <c r="D1528" s="159">
        <v>21</v>
      </c>
      <c r="E1528" s="159">
        <v>8</v>
      </c>
      <c r="F1528" s="160" t="s">
        <v>33170</v>
      </c>
      <c r="G1528" s="162" t="s">
        <v>33264</v>
      </c>
      <c r="H1528" s="162" t="s">
        <v>33267</v>
      </c>
      <c r="I1528" s="158" t="s">
        <v>33268</v>
      </c>
      <c r="J1528" s="128"/>
      <c r="K1528" s="128"/>
      <c r="L1528" s="128"/>
      <c r="M1528" s="129"/>
      <c r="N1528" s="129"/>
      <c r="O1528" s="129"/>
    </row>
    <row r="1529" spans="1:15" ht="12.5">
      <c r="A1529" s="158" t="s">
        <v>17746</v>
      </c>
      <c r="B1529" s="159">
        <v>25</v>
      </c>
      <c r="C1529" s="159">
        <v>57</v>
      </c>
      <c r="D1529" s="159">
        <v>21</v>
      </c>
      <c r="E1529" s="159">
        <v>12</v>
      </c>
      <c r="F1529" s="160" t="s">
        <v>33170</v>
      </c>
      <c r="G1529" s="162" t="s">
        <v>33264</v>
      </c>
      <c r="H1529" s="162" t="s">
        <v>33269</v>
      </c>
      <c r="I1529" s="158" t="s">
        <v>33266</v>
      </c>
      <c r="J1529" s="128"/>
      <c r="K1529" s="128"/>
      <c r="L1529" s="128"/>
      <c r="M1529" s="129"/>
      <c r="N1529" s="129"/>
      <c r="O1529" s="129"/>
    </row>
    <row r="1530" spans="1:15" ht="12.5">
      <c r="A1530" s="158" t="s">
        <v>17748</v>
      </c>
      <c r="B1530" s="159">
        <v>25</v>
      </c>
      <c r="C1530" s="159">
        <v>57</v>
      </c>
      <c r="D1530" s="159">
        <v>21</v>
      </c>
      <c r="E1530" s="159">
        <v>13</v>
      </c>
      <c r="F1530" s="160" t="s">
        <v>32838</v>
      </c>
      <c r="G1530" s="132"/>
      <c r="H1530" s="162" t="s">
        <v>33270</v>
      </c>
      <c r="I1530" s="128"/>
      <c r="J1530" s="128"/>
      <c r="K1530" s="128"/>
      <c r="L1530" s="128"/>
      <c r="M1530" s="129"/>
      <c r="N1530" s="129"/>
      <c r="O1530" s="129"/>
    </row>
    <row r="1531" spans="1:15" ht="12.5">
      <c r="A1531" s="158" t="s">
        <v>17750</v>
      </c>
      <c r="B1531" s="159">
        <v>25</v>
      </c>
      <c r="C1531" s="159">
        <v>57</v>
      </c>
      <c r="D1531" s="159">
        <v>21</v>
      </c>
      <c r="E1531" s="159">
        <v>14</v>
      </c>
      <c r="F1531" s="160" t="s">
        <v>32838</v>
      </c>
      <c r="G1531" s="132"/>
      <c r="H1531" s="162" t="s">
        <v>33271</v>
      </c>
      <c r="I1531" s="128"/>
      <c r="J1531" s="128"/>
      <c r="K1531" s="128"/>
      <c r="L1531" s="128"/>
      <c r="M1531" s="129"/>
      <c r="N1531" s="129"/>
      <c r="O1531" s="129"/>
    </row>
    <row r="1532" spans="1:15" ht="12.5">
      <c r="A1532" s="158" t="s">
        <v>17752</v>
      </c>
      <c r="B1532" s="159">
        <v>25</v>
      </c>
      <c r="C1532" s="159">
        <v>57</v>
      </c>
      <c r="D1532" s="159">
        <v>21</v>
      </c>
      <c r="E1532" s="159">
        <v>16</v>
      </c>
      <c r="F1532" s="160" t="s">
        <v>32838</v>
      </c>
      <c r="G1532" s="132"/>
      <c r="H1532" s="162" t="s">
        <v>33272</v>
      </c>
      <c r="I1532" s="128"/>
      <c r="J1532" s="128"/>
      <c r="K1532" s="128"/>
      <c r="L1532" s="128"/>
      <c r="M1532" s="129"/>
      <c r="N1532" s="129"/>
      <c r="O1532" s="129"/>
    </row>
    <row r="1533" spans="1:15" ht="12.5">
      <c r="A1533" s="158" t="s">
        <v>17754</v>
      </c>
      <c r="B1533" s="159">
        <v>25</v>
      </c>
      <c r="C1533" s="159">
        <v>57</v>
      </c>
      <c r="D1533" s="159">
        <v>21</v>
      </c>
      <c r="E1533" s="159">
        <v>18</v>
      </c>
      <c r="F1533" s="160" t="s">
        <v>32838</v>
      </c>
      <c r="G1533" s="132"/>
      <c r="H1533" s="162" t="s">
        <v>33273</v>
      </c>
      <c r="I1533" s="158" t="s">
        <v>17756</v>
      </c>
      <c r="J1533" s="128"/>
      <c r="K1533" s="128"/>
      <c r="L1533" s="128"/>
      <c r="M1533" s="129"/>
      <c r="N1533" s="129"/>
      <c r="O1533" s="129"/>
    </row>
    <row r="1534" spans="1:15" ht="12.5">
      <c r="A1534" s="158" t="s">
        <v>17757</v>
      </c>
      <c r="B1534" s="159">
        <v>25</v>
      </c>
      <c r="C1534" s="159">
        <v>57</v>
      </c>
      <c r="D1534" s="159">
        <v>21</v>
      </c>
      <c r="E1534" s="159">
        <v>27</v>
      </c>
      <c r="F1534" s="160" t="s">
        <v>33170</v>
      </c>
      <c r="G1534" s="162" t="s">
        <v>33274</v>
      </c>
      <c r="H1534" s="162" t="s">
        <v>33275</v>
      </c>
      <c r="I1534" s="158" t="s">
        <v>33276</v>
      </c>
      <c r="J1534" s="128"/>
      <c r="K1534" s="128"/>
      <c r="L1534" s="128"/>
      <c r="M1534" s="129"/>
      <c r="N1534" s="129"/>
      <c r="O1534" s="129"/>
    </row>
    <row r="1535" spans="1:15" ht="12.5">
      <c r="A1535" s="158" t="s">
        <v>17760</v>
      </c>
      <c r="B1535" s="159">
        <v>25</v>
      </c>
      <c r="C1535" s="159">
        <v>57</v>
      </c>
      <c r="D1535" s="159">
        <v>21</v>
      </c>
      <c r="E1535" s="159">
        <v>33</v>
      </c>
      <c r="F1535" s="160" t="s">
        <v>32838</v>
      </c>
      <c r="G1535" s="132"/>
      <c r="H1535" s="162" t="s">
        <v>17761</v>
      </c>
      <c r="I1535" s="158" t="s">
        <v>17762</v>
      </c>
      <c r="J1535" s="128"/>
      <c r="K1535" s="128"/>
      <c r="L1535" s="128"/>
      <c r="M1535" s="129"/>
      <c r="N1535" s="129"/>
      <c r="O1535" s="129"/>
    </row>
    <row r="1536" spans="1:15" ht="12.5">
      <c r="A1536" s="158" t="s">
        <v>17763</v>
      </c>
      <c r="B1536" s="159">
        <v>25</v>
      </c>
      <c r="C1536" s="159">
        <v>57</v>
      </c>
      <c r="D1536" s="159">
        <v>21</v>
      </c>
      <c r="E1536" s="159">
        <v>34</v>
      </c>
      <c r="F1536" s="160" t="s">
        <v>32838</v>
      </c>
      <c r="G1536" s="132"/>
      <c r="H1536" s="162" t="s">
        <v>17764</v>
      </c>
      <c r="I1536" s="128"/>
      <c r="J1536" s="128"/>
      <c r="K1536" s="128"/>
      <c r="L1536" s="128"/>
      <c r="M1536" s="129"/>
      <c r="N1536" s="129"/>
      <c r="O1536" s="129"/>
    </row>
    <row r="1537" spans="1:15" ht="12.5">
      <c r="A1537" s="158" t="s">
        <v>17765</v>
      </c>
      <c r="B1537" s="159">
        <v>25</v>
      </c>
      <c r="C1537" s="159">
        <v>57</v>
      </c>
      <c r="D1537" s="159">
        <v>21</v>
      </c>
      <c r="E1537" s="159">
        <v>35</v>
      </c>
      <c r="F1537" s="160" t="s">
        <v>32838</v>
      </c>
      <c r="G1537" s="132"/>
      <c r="H1537" s="162" t="s">
        <v>33277</v>
      </c>
      <c r="I1537" s="158" t="s">
        <v>17767</v>
      </c>
      <c r="J1537" s="128"/>
      <c r="K1537" s="128"/>
      <c r="L1537" s="128"/>
      <c r="M1537" s="129"/>
      <c r="N1537" s="129"/>
      <c r="O1537" s="129"/>
    </row>
    <row r="1538" spans="1:15" ht="12.5">
      <c r="A1538" s="158" t="s">
        <v>17768</v>
      </c>
      <c r="B1538" s="159">
        <v>25</v>
      </c>
      <c r="C1538" s="159">
        <v>57</v>
      </c>
      <c r="D1538" s="159">
        <v>21</v>
      </c>
      <c r="E1538" s="159">
        <v>36</v>
      </c>
      <c r="F1538" s="160" t="s">
        <v>32838</v>
      </c>
      <c r="G1538" s="132"/>
      <c r="H1538" s="162" t="s">
        <v>33278</v>
      </c>
      <c r="I1538" s="128"/>
      <c r="J1538" s="128"/>
      <c r="K1538" s="128"/>
      <c r="L1538" s="128"/>
      <c r="M1538" s="129"/>
      <c r="N1538" s="129"/>
      <c r="O1538" s="129"/>
    </row>
    <row r="1539" spans="1:15" ht="12.5">
      <c r="A1539" s="158" t="s">
        <v>17770</v>
      </c>
      <c r="B1539" s="159">
        <v>25</v>
      </c>
      <c r="C1539" s="159">
        <v>57</v>
      </c>
      <c r="D1539" s="159">
        <v>21</v>
      </c>
      <c r="E1539" s="159">
        <v>42</v>
      </c>
      <c r="F1539" s="160" t="s">
        <v>32838</v>
      </c>
      <c r="G1539" s="132"/>
      <c r="H1539" s="162" t="s">
        <v>17771</v>
      </c>
      <c r="I1539" s="158" t="s">
        <v>17772</v>
      </c>
      <c r="J1539" s="128"/>
      <c r="K1539" s="128"/>
      <c r="L1539" s="128"/>
      <c r="M1539" s="129"/>
      <c r="N1539" s="129"/>
      <c r="O1539" s="129"/>
    </row>
    <row r="1540" spans="1:15" ht="12.5">
      <c r="A1540" s="158" t="s">
        <v>17773</v>
      </c>
      <c r="B1540" s="159">
        <v>25</v>
      </c>
      <c r="C1540" s="159">
        <v>57</v>
      </c>
      <c r="D1540" s="159">
        <v>21</v>
      </c>
      <c r="E1540" s="159">
        <v>43</v>
      </c>
      <c r="F1540" s="160" t="s">
        <v>2011</v>
      </c>
      <c r="G1540" s="162" t="s">
        <v>33274</v>
      </c>
      <c r="H1540" s="162" t="s">
        <v>17774</v>
      </c>
      <c r="I1540" s="158" t="s">
        <v>33279</v>
      </c>
      <c r="J1540" s="128"/>
      <c r="K1540" s="128"/>
      <c r="L1540" s="128"/>
      <c r="M1540" s="129"/>
      <c r="N1540" s="129"/>
      <c r="O1540" s="129"/>
    </row>
    <row r="1541" spans="1:15" ht="12.5">
      <c r="A1541" s="158" t="s">
        <v>17776</v>
      </c>
      <c r="B1541" s="159">
        <v>25</v>
      </c>
      <c r="C1541" s="159">
        <v>57</v>
      </c>
      <c r="D1541" s="159">
        <v>21</v>
      </c>
      <c r="E1541" s="159">
        <v>44</v>
      </c>
      <c r="F1541" s="160" t="s">
        <v>32838</v>
      </c>
      <c r="G1541" s="132"/>
      <c r="H1541" s="162" t="s">
        <v>17777</v>
      </c>
      <c r="I1541" s="158" t="s">
        <v>17778</v>
      </c>
      <c r="J1541" s="128"/>
      <c r="K1541" s="128"/>
      <c r="L1541" s="128"/>
      <c r="M1541" s="129"/>
      <c r="N1541" s="129"/>
      <c r="O1541" s="129"/>
    </row>
    <row r="1542" spans="1:15" ht="12.5">
      <c r="A1542" s="158" t="s">
        <v>17779</v>
      </c>
      <c r="B1542" s="159">
        <v>25</v>
      </c>
      <c r="C1542" s="159">
        <v>57</v>
      </c>
      <c r="D1542" s="159">
        <v>21</v>
      </c>
      <c r="E1542" s="159">
        <v>48</v>
      </c>
      <c r="F1542" s="160" t="s">
        <v>32838</v>
      </c>
      <c r="G1542" s="132"/>
      <c r="H1542" s="162" t="s">
        <v>33280</v>
      </c>
      <c r="I1542" s="158" t="s">
        <v>17781</v>
      </c>
      <c r="J1542" s="128"/>
      <c r="K1542" s="128"/>
      <c r="L1542" s="128"/>
      <c r="M1542" s="129"/>
      <c r="N1542" s="129"/>
      <c r="O1542" s="129"/>
    </row>
    <row r="1543" spans="1:15" ht="12.5">
      <c r="A1543" s="158" t="s">
        <v>17782</v>
      </c>
      <c r="B1543" s="159">
        <v>25</v>
      </c>
      <c r="C1543" s="159">
        <v>57</v>
      </c>
      <c r="D1543" s="159">
        <v>21</v>
      </c>
      <c r="E1543" s="159">
        <v>50</v>
      </c>
      <c r="F1543" s="160" t="s">
        <v>32838</v>
      </c>
      <c r="G1543" s="132"/>
      <c r="H1543" s="162" t="s">
        <v>33281</v>
      </c>
      <c r="I1543" s="158" t="s">
        <v>17784</v>
      </c>
      <c r="J1543" s="128"/>
      <c r="K1543" s="128"/>
      <c r="L1543" s="128"/>
      <c r="M1543" s="129"/>
      <c r="N1543" s="129"/>
      <c r="O1543" s="129"/>
    </row>
    <row r="1544" spans="1:15" ht="12.5">
      <c r="A1544" s="158" t="s">
        <v>17785</v>
      </c>
      <c r="B1544" s="159">
        <v>25</v>
      </c>
      <c r="C1544" s="159">
        <v>57</v>
      </c>
      <c r="D1544" s="159">
        <v>21</v>
      </c>
      <c r="E1544" s="159">
        <v>61</v>
      </c>
      <c r="F1544" s="160" t="s">
        <v>32838</v>
      </c>
      <c r="G1544" s="132"/>
      <c r="H1544" s="162" t="s">
        <v>33282</v>
      </c>
      <c r="I1544" s="158" t="s">
        <v>17787</v>
      </c>
      <c r="J1544" s="128"/>
      <c r="K1544" s="128"/>
      <c r="L1544" s="128"/>
      <c r="M1544" s="129"/>
      <c r="N1544" s="129"/>
      <c r="O1544" s="129"/>
    </row>
    <row r="1545" spans="1:15" ht="12.5">
      <c r="A1545" s="158" t="s">
        <v>17788</v>
      </c>
      <c r="B1545" s="159">
        <v>25</v>
      </c>
      <c r="C1545" s="159">
        <v>57</v>
      </c>
      <c r="D1545" s="159">
        <v>21</v>
      </c>
      <c r="E1545" s="159">
        <v>63</v>
      </c>
      <c r="F1545" s="160" t="s">
        <v>33170</v>
      </c>
      <c r="G1545" s="162" t="s">
        <v>33274</v>
      </c>
      <c r="H1545" s="162" t="s">
        <v>33283</v>
      </c>
      <c r="I1545" s="158" t="s">
        <v>33276</v>
      </c>
      <c r="J1545" s="128"/>
      <c r="K1545" s="128"/>
      <c r="L1545" s="128"/>
      <c r="M1545" s="129"/>
      <c r="N1545" s="129"/>
      <c r="O1545" s="129"/>
    </row>
    <row r="1546" spans="1:15" ht="12.5">
      <c r="A1546" s="158" t="s">
        <v>17790</v>
      </c>
      <c r="B1546" s="159">
        <v>25</v>
      </c>
      <c r="C1546" s="159">
        <v>57</v>
      </c>
      <c r="D1546" s="159">
        <v>21</v>
      </c>
      <c r="E1546" s="159">
        <v>64</v>
      </c>
      <c r="F1546" s="160" t="s">
        <v>33170</v>
      </c>
      <c r="G1546" s="162" t="s">
        <v>33274</v>
      </c>
      <c r="H1546" s="162" t="s">
        <v>33284</v>
      </c>
      <c r="I1546" s="158" t="s">
        <v>33276</v>
      </c>
      <c r="J1546" s="128"/>
      <c r="K1546" s="128"/>
      <c r="L1546" s="128"/>
      <c r="M1546" s="129"/>
      <c r="N1546" s="129"/>
      <c r="O1546" s="129"/>
    </row>
    <row r="1547" spans="1:15" ht="12.5">
      <c r="A1547" s="158" t="s">
        <v>17792</v>
      </c>
      <c r="B1547" s="159">
        <v>25</v>
      </c>
      <c r="C1547" s="159">
        <v>57</v>
      </c>
      <c r="D1547" s="159">
        <v>21</v>
      </c>
      <c r="E1547" s="159">
        <v>65</v>
      </c>
      <c r="F1547" s="160" t="s">
        <v>32838</v>
      </c>
      <c r="G1547" s="132"/>
      <c r="H1547" s="162" t="s">
        <v>17793</v>
      </c>
      <c r="I1547" s="128"/>
      <c r="J1547" s="128"/>
      <c r="K1547" s="128"/>
      <c r="L1547" s="128"/>
      <c r="M1547" s="129"/>
      <c r="N1547" s="129"/>
      <c r="O1547" s="129"/>
    </row>
    <row r="1548" spans="1:15" ht="12.5">
      <c r="A1548" s="158" t="s">
        <v>17794</v>
      </c>
      <c r="B1548" s="159">
        <v>25</v>
      </c>
      <c r="C1548" s="159">
        <v>57</v>
      </c>
      <c r="D1548" s="159">
        <v>21</v>
      </c>
      <c r="E1548" s="159">
        <v>66</v>
      </c>
      <c r="F1548" s="160" t="s">
        <v>32838</v>
      </c>
      <c r="G1548" s="132"/>
      <c r="H1548" s="162" t="s">
        <v>17795</v>
      </c>
      <c r="I1548" s="158" t="s">
        <v>17796</v>
      </c>
      <c r="J1548" s="128"/>
      <c r="K1548" s="128"/>
      <c r="L1548" s="128"/>
      <c r="M1548" s="129"/>
      <c r="N1548" s="129"/>
      <c r="O1548" s="129"/>
    </row>
    <row r="1549" spans="1:15" ht="12.5">
      <c r="A1549" s="158" t="s">
        <v>17797</v>
      </c>
      <c r="B1549" s="159">
        <v>25</v>
      </c>
      <c r="C1549" s="159">
        <v>57</v>
      </c>
      <c r="D1549" s="159">
        <v>21</v>
      </c>
      <c r="E1549" s="159">
        <v>67</v>
      </c>
      <c r="F1549" s="160" t="s">
        <v>32838</v>
      </c>
      <c r="G1549" s="132"/>
      <c r="H1549" s="162" t="s">
        <v>17798</v>
      </c>
      <c r="I1549" s="128"/>
      <c r="J1549" s="128"/>
      <c r="K1549" s="128"/>
      <c r="L1549" s="128"/>
      <c r="M1549" s="129"/>
      <c r="N1549" s="129"/>
      <c r="O1549" s="129"/>
    </row>
    <row r="1550" spans="1:15" ht="12.5">
      <c r="A1550" s="158" t="s">
        <v>17799</v>
      </c>
      <c r="B1550" s="159">
        <v>25</v>
      </c>
      <c r="C1550" s="159">
        <v>57</v>
      </c>
      <c r="D1550" s="159">
        <v>21</v>
      </c>
      <c r="E1550" s="159">
        <v>68</v>
      </c>
      <c r="F1550" s="160" t="s">
        <v>32838</v>
      </c>
      <c r="G1550" s="132"/>
      <c r="H1550" s="162" t="s">
        <v>33285</v>
      </c>
      <c r="I1550" s="158" t="s">
        <v>17801</v>
      </c>
      <c r="J1550" s="128"/>
      <c r="K1550" s="128"/>
      <c r="L1550" s="128"/>
      <c r="M1550" s="129"/>
      <c r="N1550" s="129"/>
      <c r="O1550" s="129"/>
    </row>
    <row r="1551" spans="1:15" ht="12.5">
      <c r="A1551" s="158" t="s">
        <v>17802</v>
      </c>
      <c r="B1551" s="159">
        <v>25</v>
      </c>
      <c r="C1551" s="159">
        <v>57</v>
      </c>
      <c r="D1551" s="159">
        <v>21</v>
      </c>
      <c r="E1551" s="159">
        <v>72</v>
      </c>
      <c r="F1551" s="160" t="s">
        <v>32838</v>
      </c>
      <c r="G1551" s="132"/>
      <c r="H1551" s="162" t="s">
        <v>17803</v>
      </c>
      <c r="I1551" s="158" t="s">
        <v>17804</v>
      </c>
      <c r="J1551" s="128"/>
      <c r="K1551" s="128"/>
      <c r="L1551" s="128"/>
      <c r="M1551" s="129"/>
      <c r="N1551" s="129"/>
      <c r="O1551" s="129"/>
    </row>
    <row r="1552" spans="1:15" ht="12.5">
      <c r="A1552" s="158" t="s">
        <v>17805</v>
      </c>
      <c r="B1552" s="159">
        <v>25</v>
      </c>
      <c r="C1552" s="159">
        <v>57</v>
      </c>
      <c r="D1552" s="159">
        <v>21</v>
      </c>
      <c r="E1552" s="159">
        <v>80</v>
      </c>
      <c r="F1552" s="160" t="s">
        <v>32838</v>
      </c>
      <c r="G1552" s="132"/>
      <c r="H1552" s="162" t="s">
        <v>33286</v>
      </c>
      <c r="I1552" s="128"/>
      <c r="J1552" s="128"/>
      <c r="K1552" s="128"/>
      <c r="L1552" s="128"/>
      <c r="M1552" s="129"/>
      <c r="N1552" s="129"/>
      <c r="O1552" s="129"/>
    </row>
    <row r="1553" spans="1:15" ht="12.5">
      <c r="A1553" s="151" t="s">
        <v>17809</v>
      </c>
      <c r="B1553" s="152">
        <v>25</v>
      </c>
      <c r="C1553" s="152">
        <v>57</v>
      </c>
      <c r="D1553" s="152">
        <v>51</v>
      </c>
      <c r="E1553" s="153"/>
      <c r="F1553" s="154" t="s">
        <v>33287</v>
      </c>
      <c r="G1553" s="168"/>
      <c r="H1553" s="156" t="s">
        <v>17810</v>
      </c>
      <c r="I1553" s="157"/>
      <c r="J1553" s="128"/>
      <c r="K1553" s="128"/>
      <c r="L1553" s="128"/>
      <c r="M1553" s="129"/>
      <c r="N1553" s="129"/>
      <c r="O1553" s="129"/>
    </row>
    <row r="1554" spans="1:15" ht="12.5">
      <c r="A1554" s="158" t="s">
        <v>17811</v>
      </c>
      <c r="B1554" s="159">
        <v>25</v>
      </c>
      <c r="C1554" s="159">
        <v>57</v>
      </c>
      <c r="D1554" s="159">
        <v>51</v>
      </c>
      <c r="E1554" s="159">
        <v>2</v>
      </c>
      <c r="F1554" s="160" t="s">
        <v>33288</v>
      </c>
      <c r="G1554" s="162" t="s">
        <v>33289</v>
      </c>
      <c r="H1554" s="162" t="s">
        <v>17812</v>
      </c>
      <c r="I1554" s="158" t="s">
        <v>33290</v>
      </c>
      <c r="J1554" s="128"/>
      <c r="K1554" s="128"/>
      <c r="L1554" s="128"/>
      <c r="M1554" s="129"/>
      <c r="N1554" s="129"/>
      <c r="O1554" s="129"/>
    </row>
    <row r="1555" spans="1:15" ht="12.5">
      <c r="A1555" s="158" t="s">
        <v>17814</v>
      </c>
      <c r="B1555" s="159">
        <v>25</v>
      </c>
      <c r="C1555" s="159">
        <v>57</v>
      </c>
      <c r="D1555" s="159">
        <v>51</v>
      </c>
      <c r="E1555" s="159">
        <v>10</v>
      </c>
      <c r="F1555" s="160" t="s">
        <v>32838</v>
      </c>
      <c r="G1555" s="132"/>
      <c r="H1555" s="162" t="s">
        <v>17815</v>
      </c>
      <c r="I1555" s="128"/>
      <c r="J1555" s="128"/>
      <c r="K1555" s="128"/>
      <c r="L1555" s="128"/>
      <c r="M1555" s="129"/>
      <c r="N1555" s="129"/>
      <c r="O1555" s="129"/>
    </row>
    <row r="1556" spans="1:15" ht="12.5">
      <c r="A1556" s="158" t="s">
        <v>17816</v>
      </c>
      <c r="B1556" s="159">
        <v>25</v>
      </c>
      <c r="C1556" s="159">
        <v>57</v>
      </c>
      <c r="D1556" s="159">
        <v>51</v>
      </c>
      <c r="E1556" s="159">
        <v>11</v>
      </c>
      <c r="F1556" s="160" t="s">
        <v>32838</v>
      </c>
      <c r="G1556" s="132"/>
      <c r="H1556" s="162" t="s">
        <v>33291</v>
      </c>
      <c r="I1556" s="128"/>
      <c r="J1556" s="128"/>
      <c r="K1556" s="128"/>
      <c r="L1556" s="128"/>
      <c r="M1556" s="129"/>
      <c r="N1556" s="129"/>
      <c r="O1556" s="129"/>
    </row>
    <row r="1557" spans="1:15" ht="12.5">
      <c r="A1557" s="158" t="s">
        <v>17818</v>
      </c>
      <c r="B1557" s="159">
        <v>25</v>
      </c>
      <c r="C1557" s="159">
        <v>57</v>
      </c>
      <c r="D1557" s="159">
        <v>51</v>
      </c>
      <c r="E1557" s="159">
        <v>13</v>
      </c>
      <c r="F1557" s="160" t="s">
        <v>32838</v>
      </c>
      <c r="G1557" s="132"/>
      <c r="H1557" s="162" t="s">
        <v>17819</v>
      </c>
      <c r="I1557" s="128"/>
      <c r="J1557" s="128"/>
      <c r="K1557" s="128"/>
      <c r="L1557" s="128"/>
      <c r="M1557" s="129"/>
      <c r="N1557" s="129"/>
      <c r="O1557" s="129"/>
    </row>
    <row r="1558" spans="1:15" ht="12.5">
      <c r="A1558" s="158" t="s">
        <v>17820</v>
      </c>
      <c r="B1558" s="159">
        <v>25</v>
      </c>
      <c r="C1558" s="159">
        <v>57</v>
      </c>
      <c r="D1558" s="159">
        <v>51</v>
      </c>
      <c r="E1558" s="159">
        <v>14</v>
      </c>
      <c r="F1558" s="160" t="s">
        <v>32838</v>
      </c>
      <c r="G1558" s="132"/>
      <c r="H1558" s="162" t="s">
        <v>17821</v>
      </c>
      <c r="I1558" s="128"/>
      <c r="J1558" s="128"/>
      <c r="K1558" s="128"/>
      <c r="L1558" s="128"/>
      <c r="M1558" s="129"/>
      <c r="N1558" s="129"/>
      <c r="O1558" s="129"/>
    </row>
    <row r="1559" spans="1:15" ht="12.5">
      <c r="A1559" s="158" t="s">
        <v>17822</v>
      </c>
      <c r="B1559" s="159">
        <v>25</v>
      </c>
      <c r="C1559" s="159">
        <v>57</v>
      </c>
      <c r="D1559" s="159">
        <v>51</v>
      </c>
      <c r="E1559" s="159">
        <v>16</v>
      </c>
      <c r="F1559" s="160" t="s">
        <v>32838</v>
      </c>
      <c r="G1559" s="132"/>
      <c r="H1559" s="162" t="s">
        <v>17823</v>
      </c>
      <c r="I1559" s="128"/>
      <c r="J1559" s="128"/>
      <c r="K1559" s="128"/>
      <c r="L1559" s="128"/>
      <c r="M1559" s="129"/>
      <c r="N1559" s="129"/>
      <c r="O1559" s="129"/>
    </row>
    <row r="1560" spans="1:15" ht="12.5">
      <c r="A1560" s="158" t="s">
        <v>17824</v>
      </c>
      <c r="B1560" s="159">
        <v>25</v>
      </c>
      <c r="C1560" s="159">
        <v>57</v>
      </c>
      <c r="D1560" s="159">
        <v>51</v>
      </c>
      <c r="E1560" s="159">
        <v>27</v>
      </c>
      <c r="F1560" s="160" t="s">
        <v>32838</v>
      </c>
      <c r="G1560" s="132"/>
      <c r="H1560" s="162" t="s">
        <v>17825</v>
      </c>
      <c r="I1560" s="128"/>
      <c r="J1560" s="128"/>
      <c r="K1560" s="128"/>
      <c r="L1560" s="128"/>
      <c r="M1560" s="129"/>
      <c r="N1560" s="129"/>
      <c r="O1560" s="129"/>
    </row>
    <row r="1561" spans="1:15" ht="12.5">
      <c r="A1561" s="158" t="s">
        <v>17826</v>
      </c>
      <c r="B1561" s="159">
        <v>25</v>
      </c>
      <c r="C1561" s="159">
        <v>57</v>
      </c>
      <c r="D1561" s="159">
        <v>51</v>
      </c>
      <c r="E1561" s="159">
        <v>30</v>
      </c>
      <c r="F1561" s="160" t="s">
        <v>32838</v>
      </c>
      <c r="G1561" s="132"/>
      <c r="H1561" s="162" t="s">
        <v>17827</v>
      </c>
      <c r="I1561" s="158" t="s">
        <v>17828</v>
      </c>
      <c r="J1561" s="128"/>
      <c r="K1561" s="128"/>
      <c r="L1561" s="128"/>
      <c r="M1561" s="129"/>
      <c r="N1561" s="129"/>
      <c r="O1561" s="129"/>
    </row>
    <row r="1562" spans="1:15" ht="12.5">
      <c r="A1562" s="158" t="s">
        <v>17829</v>
      </c>
      <c r="B1562" s="159">
        <v>25</v>
      </c>
      <c r="C1562" s="159">
        <v>57</v>
      </c>
      <c r="D1562" s="159">
        <v>51</v>
      </c>
      <c r="E1562" s="159">
        <v>31</v>
      </c>
      <c r="F1562" s="160" t="s">
        <v>32838</v>
      </c>
      <c r="G1562" s="132"/>
      <c r="H1562" s="162" t="s">
        <v>17830</v>
      </c>
      <c r="I1562" s="128"/>
      <c r="J1562" s="128"/>
      <c r="K1562" s="128"/>
      <c r="L1562" s="128"/>
      <c r="M1562" s="129"/>
      <c r="N1562" s="129"/>
      <c r="O1562" s="129"/>
    </row>
    <row r="1563" spans="1:15" ht="12.5">
      <c r="A1563" s="158" t="s">
        <v>17831</v>
      </c>
      <c r="B1563" s="159">
        <v>25</v>
      </c>
      <c r="C1563" s="159">
        <v>57</v>
      </c>
      <c r="D1563" s="159">
        <v>51</v>
      </c>
      <c r="E1563" s="159">
        <v>33</v>
      </c>
      <c r="F1563" s="160" t="s">
        <v>32838</v>
      </c>
      <c r="G1563" s="132"/>
      <c r="H1563" s="162" t="s">
        <v>17832</v>
      </c>
      <c r="I1563" s="158" t="s">
        <v>17833</v>
      </c>
      <c r="J1563" s="128"/>
      <c r="K1563" s="128"/>
      <c r="L1563" s="128"/>
      <c r="M1563" s="129"/>
      <c r="N1563" s="129"/>
      <c r="O1563" s="129"/>
    </row>
    <row r="1564" spans="1:15" ht="12.5">
      <c r="A1564" s="158" t="s">
        <v>17834</v>
      </c>
      <c r="B1564" s="159">
        <v>25</v>
      </c>
      <c r="C1564" s="159">
        <v>57</v>
      </c>
      <c r="D1564" s="159">
        <v>51</v>
      </c>
      <c r="E1564" s="159">
        <v>35</v>
      </c>
      <c r="F1564" s="160" t="s">
        <v>32838</v>
      </c>
      <c r="G1564" s="132"/>
      <c r="H1564" s="162" t="s">
        <v>17835</v>
      </c>
      <c r="I1564" s="158" t="s">
        <v>17836</v>
      </c>
      <c r="J1564" s="128"/>
      <c r="K1564" s="128"/>
      <c r="L1564" s="128"/>
      <c r="M1564" s="129"/>
      <c r="N1564" s="129"/>
      <c r="O1564" s="129"/>
    </row>
    <row r="1565" spans="1:15" ht="12.5">
      <c r="A1565" s="158" t="s">
        <v>17837</v>
      </c>
      <c r="B1565" s="159">
        <v>25</v>
      </c>
      <c r="C1565" s="159">
        <v>57</v>
      </c>
      <c r="D1565" s="159">
        <v>51</v>
      </c>
      <c r="E1565" s="159">
        <v>36</v>
      </c>
      <c r="F1565" s="160" t="s">
        <v>32838</v>
      </c>
      <c r="G1565" s="132"/>
      <c r="H1565" s="162" t="s">
        <v>17838</v>
      </c>
      <c r="I1565" s="128"/>
      <c r="J1565" s="128"/>
      <c r="K1565" s="128"/>
      <c r="L1565" s="128"/>
      <c r="M1565" s="129"/>
      <c r="N1565" s="129"/>
      <c r="O1565" s="129"/>
    </row>
    <row r="1566" spans="1:15" ht="12.5">
      <c r="A1566" s="158" t="s">
        <v>17839</v>
      </c>
      <c r="B1566" s="159">
        <v>25</v>
      </c>
      <c r="C1566" s="159">
        <v>57</v>
      </c>
      <c r="D1566" s="159">
        <v>51</v>
      </c>
      <c r="E1566" s="159">
        <v>38</v>
      </c>
      <c r="F1566" s="160" t="s">
        <v>32838</v>
      </c>
      <c r="G1566" s="132"/>
      <c r="H1566" s="162" t="s">
        <v>17840</v>
      </c>
      <c r="I1566" s="128"/>
      <c r="J1566" s="128"/>
      <c r="K1566" s="128"/>
      <c r="L1566" s="128"/>
      <c r="M1566" s="129"/>
      <c r="N1566" s="129"/>
      <c r="O1566" s="129"/>
    </row>
    <row r="1567" spans="1:15" ht="12.5">
      <c r="A1567" s="158" t="s">
        <v>17841</v>
      </c>
      <c r="B1567" s="159">
        <v>25</v>
      </c>
      <c r="C1567" s="159">
        <v>57</v>
      </c>
      <c r="D1567" s="159">
        <v>51</v>
      </c>
      <c r="E1567" s="159">
        <v>42</v>
      </c>
      <c r="F1567" s="160" t="s">
        <v>32838</v>
      </c>
      <c r="G1567" s="132"/>
      <c r="H1567" s="162" t="s">
        <v>17842</v>
      </c>
      <c r="I1567" s="128"/>
      <c r="J1567" s="128"/>
      <c r="K1567" s="128"/>
      <c r="L1567" s="128"/>
      <c r="M1567" s="129"/>
      <c r="N1567" s="129"/>
      <c r="O1567" s="129"/>
    </row>
    <row r="1568" spans="1:15" ht="12.5">
      <c r="A1568" s="158" t="s">
        <v>17843</v>
      </c>
      <c r="B1568" s="159">
        <v>25</v>
      </c>
      <c r="C1568" s="159">
        <v>57</v>
      </c>
      <c r="D1568" s="159">
        <v>51</v>
      </c>
      <c r="E1568" s="159">
        <v>51</v>
      </c>
      <c r="F1568" s="160" t="s">
        <v>32838</v>
      </c>
      <c r="G1568" s="132"/>
      <c r="H1568" s="162" t="s">
        <v>17844</v>
      </c>
      <c r="I1568" s="158" t="s">
        <v>17845</v>
      </c>
      <c r="J1568" s="128"/>
      <c r="K1568" s="128"/>
      <c r="L1568" s="128"/>
      <c r="M1568" s="129"/>
      <c r="N1568" s="129"/>
      <c r="O1568" s="129"/>
    </row>
    <row r="1569" spans="1:15" ht="12.5">
      <c r="A1569" s="158" t="s">
        <v>17846</v>
      </c>
      <c r="B1569" s="159">
        <v>25</v>
      </c>
      <c r="C1569" s="159">
        <v>57</v>
      </c>
      <c r="D1569" s="159">
        <v>51</v>
      </c>
      <c r="E1569" s="159">
        <v>52</v>
      </c>
      <c r="F1569" s="160" t="s">
        <v>32838</v>
      </c>
      <c r="G1569" s="132"/>
      <c r="H1569" s="162" t="s">
        <v>17847</v>
      </c>
      <c r="I1569" s="128"/>
      <c r="J1569" s="128"/>
      <c r="K1569" s="128"/>
      <c r="L1569" s="128"/>
      <c r="M1569" s="129"/>
      <c r="N1569" s="129"/>
      <c r="O1569" s="129"/>
    </row>
    <row r="1570" spans="1:15" ht="12.5">
      <c r="A1570" s="158" t="s">
        <v>17848</v>
      </c>
      <c r="B1570" s="159">
        <v>25</v>
      </c>
      <c r="C1570" s="159">
        <v>57</v>
      </c>
      <c r="D1570" s="159">
        <v>51</v>
      </c>
      <c r="E1570" s="159">
        <v>54</v>
      </c>
      <c r="F1570" s="160" t="s">
        <v>32838</v>
      </c>
      <c r="G1570" s="132"/>
      <c r="H1570" s="162" t="s">
        <v>17849</v>
      </c>
      <c r="I1570" s="128"/>
      <c r="J1570" s="128"/>
      <c r="K1570" s="128"/>
      <c r="L1570" s="128"/>
      <c r="M1570" s="129"/>
      <c r="N1570" s="129"/>
      <c r="O1570" s="129"/>
    </row>
    <row r="1571" spans="1:15" ht="12.5">
      <c r="A1571" s="158" t="s">
        <v>17850</v>
      </c>
      <c r="B1571" s="159">
        <v>25</v>
      </c>
      <c r="C1571" s="159">
        <v>57</v>
      </c>
      <c r="D1571" s="159">
        <v>51</v>
      </c>
      <c r="E1571" s="159">
        <v>60</v>
      </c>
      <c r="F1571" s="160" t="s">
        <v>32838</v>
      </c>
      <c r="G1571" s="132"/>
      <c r="H1571" s="162" t="s">
        <v>17851</v>
      </c>
      <c r="I1571" s="158" t="s">
        <v>17852</v>
      </c>
      <c r="J1571" s="128"/>
      <c r="K1571" s="128"/>
      <c r="L1571" s="128"/>
      <c r="M1571" s="129"/>
      <c r="N1571" s="129"/>
      <c r="O1571" s="129"/>
    </row>
    <row r="1572" spans="1:15" ht="12.5">
      <c r="A1572" s="158" t="s">
        <v>17853</v>
      </c>
      <c r="B1572" s="159">
        <v>25</v>
      </c>
      <c r="C1572" s="159">
        <v>57</v>
      </c>
      <c r="D1572" s="159">
        <v>51</v>
      </c>
      <c r="E1572" s="159">
        <v>61</v>
      </c>
      <c r="F1572" s="160" t="s">
        <v>32838</v>
      </c>
      <c r="G1572" s="132"/>
      <c r="H1572" s="162" t="s">
        <v>17854</v>
      </c>
      <c r="I1572" s="158" t="s">
        <v>17855</v>
      </c>
      <c r="J1572" s="128"/>
      <c r="K1572" s="128"/>
      <c r="L1572" s="128"/>
      <c r="M1572" s="129"/>
      <c r="N1572" s="129"/>
      <c r="O1572" s="129"/>
    </row>
    <row r="1573" spans="1:15" ht="12.5">
      <c r="A1573" s="158" t="s">
        <v>17856</v>
      </c>
      <c r="B1573" s="159">
        <v>25</v>
      </c>
      <c r="C1573" s="159">
        <v>57</v>
      </c>
      <c r="D1573" s="159">
        <v>51</v>
      </c>
      <c r="E1573" s="159">
        <v>66</v>
      </c>
      <c r="F1573" s="160" t="s">
        <v>33292</v>
      </c>
      <c r="G1573" s="162" t="s">
        <v>33293</v>
      </c>
      <c r="H1573" s="162" t="s">
        <v>17857</v>
      </c>
      <c r="I1573" s="158" t="s">
        <v>33294</v>
      </c>
      <c r="J1573" s="128"/>
      <c r="K1573" s="128"/>
      <c r="L1573" s="128"/>
      <c r="M1573" s="129"/>
      <c r="N1573" s="129"/>
      <c r="O1573" s="129"/>
    </row>
    <row r="1574" spans="1:15" ht="12.5">
      <c r="A1574" s="158" t="s">
        <v>17859</v>
      </c>
      <c r="B1574" s="159">
        <v>25</v>
      </c>
      <c r="C1574" s="159">
        <v>57</v>
      </c>
      <c r="D1574" s="159">
        <v>51</v>
      </c>
      <c r="E1574" s="159">
        <v>67</v>
      </c>
      <c r="F1574" s="160" t="s">
        <v>32838</v>
      </c>
      <c r="G1574" s="132"/>
      <c r="H1574" s="162" t="s">
        <v>17860</v>
      </c>
      <c r="I1574" s="128"/>
      <c r="J1574" s="128"/>
      <c r="K1574" s="128"/>
      <c r="L1574" s="128"/>
      <c r="M1574" s="129"/>
      <c r="N1574" s="129"/>
      <c r="O1574" s="129"/>
    </row>
    <row r="1575" spans="1:15" ht="12.5">
      <c r="A1575" s="158" t="s">
        <v>17861</v>
      </c>
      <c r="B1575" s="159">
        <v>25</v>
      </c>
      <c r="C1575" s="159">
        <v>57</v>
      </c>
      <c r="D1575" s="159">
        <v>51</v>
      </c>
      <c r="E1575" s="159">
        <v>68</v>
      </c>
      <c r="F1575" s="160" t="s">
        <v>33295</v>
      </c>
      <c r="G1575" s="162" t="s">
        <v>33289</v>
      </c>
      <c r="H1575" s="162" t="s">
        <v>17862</v>
      </c>
      <c r="I1575" s="158" t="s">
        <v>33290</v>
      </c>
      <c r="J1575" s="128"/>
      <c r="K1575" s="128"/>
      <c r="L1575" s="128"/>
      <c r="M1575" s="129"/>
      <c r="N1575" s="129"/>
      <c r="O1575" s="129"/>
    </row>
    <row r="1576" spans="1:15" ht="12.5">
      <c r="A1576" s="158" t="s">
        <v>17863</v>
      </c>
      <c r="B1576" s="159">
        <v>25</v>
      </c>
      <c r="C1576" s="159">
        <v>57</v>
      </c>
      <c r="D1576" s="159">
        <v>51</v>
      </c>
      <c r="E1576" s="159">
        <v>70</v>
      </c>
      <c r="F1576" s="160" t="s">
        <v>32838</v>
      </c>
      <c r="G1576" s="132"/>
      <c r="H1576" s="162" t="s">
        <v>17864</v>
      </c>
      <c r="I1576" s="128"/>
      <c r="J1576" s="128"/>
      <c r="K1576" s="128"/>
      <c r="L1576" s="128"/>
      <c r="M1576" s="129"/>
      <c r="N1576" s="129"/>
      <c r="O1576" s="129"/>
    </row>
    <row r="1577" spans="1:15" ht="12.5">
      <c r="A1577" s="158" t="s">
        <v>17865</v>
      </c>
      <c r="B1577" s="159">
        <v>25</v>
      </c>
      <c r="C1577" s="159">
        <v>57</v>
      </c>
      <c r="D1577" s="159">
        <v>51</v>
      </c>
      <c r="E1577" s="159">
        <v>74</v>
      </c>
      <c r="F1577" s="160" t="s">
        <v>33296</v>
      </c>
      <c r="G1577" s="162" t="s">
        <v>33289</v>
      </c>
      <c r="H1577" s="162" t="s">
        <v>17866</v>
      </c>
      <c r="I1577" s="158" t="s">
        <v>33290</v>
      </c>
      <c r="J1577" s="128"/>
      <c r="K1577" s="128"/>
      <c r="L1577" s="128"/>
      <c r="M1577" s="129"/>
      <c r="N1577" s="129"/>
      <c r="O1577" s="129"/>
    </row>
    <row r="1578" spans="1:15" ht="12.5">
      <c r="A1578" s="158" t="s">
        <v>17867</v>
      </c>
      <c r="B1578" s="159">
        <v>25</v>
      </c>
      <c r="C1578" s="159">
        <v>57</v>
      </c>
      <c r="D1578" s="159">
        <v>51</v>
      </c>
      <c r="E1578" s="159">
        <v>79</v>
      </c>
      <c r="F1578" s="160" t="s">
        <v>32838</v>
      </c>
      <c r="G1578" s="132"/>
      <c r="H1578" s="162" t="s">
        <v>17868</v>
      </c>
      <c r="I1578" s="158" t="s">
        <v>17869</v>
      </c>
      <c r="J1578" s="128"/>
      <c r="K1578" s="128"/>
      <c r="L1578" s="128"/>
      <c r="M1578" s="129"/>
      <c r="N1578" s="129"/>
      <c r="O1578" s="129"/>
    </row>
    <row r="1579" spans="1:15" ht="12.5">
      <c r="A1579" s="158" t="s">
        <v>17870</v>
      </c>
      <c r="B1579" s="159">
        <v>25</v>
      </c>
      <c r="C1579" s="159">
        <v>57</v>
      </c>
      <c r="D1579" s="159">
        <v>51</v>
      </c>
      <c r="E1579" s="159">
        <v>88</v>
      </c>
      <c r="F1579" s="160" t="s">
        <v>32838</v>
      </c>
      <c r="G1579" s="132"/>
      <c r="H1579" s="162" t="s">
        <v>17871</v>
      </c>
      <c r="I1579" s="128"/>
      <c r="J1579" s="128"/>
      <c r="K1579" s="128"/>
      <c r="L1579" s="128"/>
      <c r="M1579" s="129"/>
      <c r="N1579" s="129"/>
      <c r="O1579" s="129"/>
    </row>
    <row r="1580" spans="1:15" ht="12.5">
      <c r="A1580" s="158" t="s">
        <v>17872</v>
      </c>
      <c r="B1580" s="159">
        <v>25</v>
      </c>
      <c r="C1580" s="159">
        <v>57</v>
      </c>
      <c r="D1580" s="159">
        <v>51</v>
      </c>
      <c r="E1580" s="159">
        <v>95</v>
      </c>
      <c r="F1580" s="160" t="s">
        <v>32838</v>
      </c>
      <c r="G1580" s="132"/>
      <c r="H1580" s="162" t="s">
        <v>17873</v>
      </c>
      <c r="I1580" s="128"/>
      <c r="J1580" s="128"/>
      <c r="K1580" s="128"/>
      <c r="L1580" s="128"/>
      <c r="M1580" s="129"/>
      <c r="N1580" s="129"/>
      <c r="O1580" s="129"/>
    </row>
    <row r="1581" spans="1:15" ht="12.5">
      <c r="A1581" s="151" t="s">
        <v>17874</v>
      </c>
      <c r="B1581" s="152">
        <v>25</v>
      </c>
      <c r="C1581" s="152">
        <v>57</v>
      </c>
      <c r="D1581" s="152">
        <v>53</v>
      </c>
      <c r="E1581" s="153"/>
      <c r="F1581" s="154" t="s">
        <v>33297</v>
      </c>
      <c r="G1581" s="168"/>
      <c r="H1581" s="156" t="s">
        <v>17875</v>
      </c>
      <c r="I1581" s="157"/>
      <c r="J1581" s="128"/>
      <c r="K1581" s="128"/>
      <c r="L1581" s="128"/>
      <c r="M1581" s="129"/>
      <c r="N1581" s="129"/>
      <c r="O1581" s="129"/>
    </row>
    <row r="1582" spans="1:15" ht="12.5">
      <c r="A1582" s="158" t="s">
        <v>17876</v>
      </c>
      <c r="B1582" s="159">
        <v>25</v>
      </c>
      <c r="C1582" s="159">
        <v>57</v>
      </c>
      <c r="D1582" s="159">
        <v>53</v>
      </c>
      <c r="E1582" s="159">
        <v>30</v>
      </c>
      <c r="F1582" s="160" t="s">
        <v>32838</v>
      </c>
      <c r="G1582" s="132"/>
      <c r="H1582" s="162" t="s">
        <v>17877</v>
      </c>
      <c r="I1582" s="128"/>
      <c r="J1582" s="128"/>
      <c r="K1582" s="128"/>
      <c r="L1582" s="128"/>
      <c r="M1582" s="129"/>
      <c r="N1582" s="129"/>
      <c r="O1582" s="129"/>
    </row>
    <row r="1583" spans="1:15" ht="12.5">
      <c r="A1583" s="158" t="s">
        <v>17878</v>
      </c>
      <c r="B1583" s="159">
        <v>25</v>
      </c>
      <c r="C1583" s="159">
        <v>57</v>
      </c>
      <c r="D1583" s="159">
        <v>53</v>
      </c>
      <c r="E1583" s="159">
        <v>50</v>
      </c>
      <c r="F1583" s="160" t="s">
        <v>32838</v>
      </c>
      <c r="G1583" s="132"/>
      <c r="H1583" s="162" t="s">
        <v>17879</v>
      </c>
      <c r="I1583" s="128"/>
      <c r="J1583" s="128"/>
      <c r="K1583" s="128"/>
      <c r="L1583" s="128"/>
      <c r="M1583" s="129"/>
      <c r="N1583" s="129"/>
      <c r="O1583" s="129"/>
    </row>
    <row r="1584" spans="1:15" ht="12.5">
      <c r="A1584" s="158" t="s">
        <v>17880</v>
      </c>
      <c r="B1584" s="159">
        <v>25</v>
      </c>
      <c r="C1584" s="159">
        <v>57</v>
      </c>
      <c r="D1584" s="159">
        <v>53</v>
      </c>
      <c r="E1584" s="159">
        <v>62</v>
      </c>
      <c r="F1584" s="160" t="s">
        <v>32838</v>
      </c>
      <c r="G1584" s="132"/>
      <c r="H1584" s="162" t="s">
        <v>17881</v>
      </c>
      <c r="I1584" s="128"/>
      <c r="J1584" s="128"/>
      <c r="K1584" s="128"/>
      <c r="L1584" s="128"/>
      <c r="M1584" s="129"/>
      <c r="N1584" s="129"/>
      <c r="O1584" s="129"/>
    </row>
    <row r="1585" spans="1:15" ht="12.5">
      <c r="A1585" s="158" t="s">
        <v>17882</v>
      </c>
      <c r="B1585" s="159">
        <v>25</v>
      </c>
      <c r="C1585" s="159">
        <v>57</v>
      </c>
      <c r="D1585" s="159">
        <v>53</v>
      </c>
      <c r="E1585" s="159">
        <v>63</v>
      </c>
      <c r="F1585" s="160" t="s">
        <v>32838</v>
      </c>
      <c r="G1585" s="132"/>
      <c r="H1585" s="162" t="s">
        <v>17883</v>
      </c>
      <c r="I1585" s="128"/>
      <c r="J1585" s="128"/>
      <c r="K1585" s="128"/>
      <c r="L1585" s="128"/>
      <c r="M1585" s="129"/>
      <c r="N1585" s="129"/>
      <c r="O1585" s="129"/>
    </row>
    <row r="1586" spans="1:15" ht="12.5">
      <c r="A1586" s="158" t="s">
        <v>17884</v>
      </c>
      <c r="B1586" s="159">
        <v>25</v>
      </c>
      <c r="C1586" s="159">
        <v>57</v>
      </c>
      <c r="D1586" s="159">
        <v>53</v>
      </c>
      <c r="E1586" s="159">
        <v>65</v>
      </c>
      <c r="F1586" s="160" t="s">
        <v>32838</v>
      </c>
      <c r="G1586" s="132"/>
      <c r="H1586" s="162" t="s">
        <v>17885</v>
      </c>
      <c r="I1586" s="128"/>
      <c r="J1586" s="128"/>
      <c r="K1586" s="128"/>
      <c r="L1586" s="128"/>
      <c r="M1586" s="129"/>
      <c r="N1586" s="129"/>
      <c r="O1586" s="129"/>
    </row>
    <row r="1587" spans="1:15" ht="12.5">
      <c r="A1587" s="151" t="s">
        <v>17886</v>
      </c>
      <c r="B1587" s="152">
        <v>25</v>
      </c>
      <c r="C1587" s="152">
        <v>57</v>
      </c>
      <c r="D1587" s="152">
        <v>56</v>
      </c>
      <c r="E1587" s="153"/>
      <c r="F1587" s="154" t="s">
        <v>33298</v>
      </c>
      <c r="G1587" s="168"/>
      <c r="H1587" s="156" t="s">
        <v>17887</v>
      </c>
      <c r="I1587" s="157"/>
      <c r="J1587" s="128"/>
      <c r="K1587" s="128"/>
      <c r="L1587" s="128"/>
      <c r="M1587" s="129"/>
      <c r="N1587" s="129"/>
      <c r="O1587" s="129"/>
    </row>
    <row r="1588" spans="1:15" ht="12.5">
      <c r="A1588" s="158" t="s">
        <v>17888</v>
      </c>
      <c r="B1588" s="159">
        <v>25</v>
      </c>
      <c r="C1588" s="159">
        <v>57</v>
      </c>
      <c r="D1588" s="159">
        <v>56</v>
      </c>
      <c r="E1588" s="159">
        <v>7</v>
      </c>
      <c r="F1588" s="160" t="s">
        <v>32838</v>
      </c>
      <c r="G1588" s="132"/>
      <c r="H1588" s="162" t="s">
        <v>17889</v>
      </c>
      <c r="I1588" s="158" t="s">
        <v>17890</v>
      </c>
      <c r="J1588" s="128"/>
      <c r="K1588" s="128"/>
      <c r="L1588" s="128"/>
      <c r="M1588" s="129"/>
      <c r="N1588" s="129"/>
      <c r="O1588" s="129"/>
    </row>
    <row r="1589" spans="1:15" ht="12.5">
      <c r="A1589" s="158" t="s">
        <v>17891</v>
      </c>
      <c r="B1589" s="159">
        <v>25</v>
      </c>
      <c r="C1589" s="159">
        <v>57</v>
      </c>
      <c r="D1589" s="159">
        <v>56</v>
      </c>
      <c r="E1589" s="159">
        <v>14</v>
      </c>
      <c r="F1589" s="160" t="s">
        <v>32838</v>
      </c>
      <c r="G1589" s="132"/>
      <c r="H1589" s="162" t="s">
        <v>17892</v>
      </c>
      <c r="I1589" s="158" t="s">
        <v>17893</v>
      </c>
      <c r="J1589" s="128"/>
      <c r="K1589" s="128"/>
      <c r="L1589" s="128"/>
      <c r="M1589" s="129"/>
      <c r="N1589" s="129"/>
      <c r="O1589" s="129"/>
    </row>
    <row r="1590" spans="1:15" ht="12.5">
      <c r="A1590" s="158" t="s">
        <v>17894</v>
      </c>
      <c r="B1590" s="159">
        <v>25</v>
      </c>
      <c r="C1590" s="159">
        <v>57</v>
      </c>
      <c r="D1590" s="159">
        <v>56</v>
      </c>
      <c r="E1590" s="159">
        <v>15</v>
      </c>
      <c r="F1590" s="160" t="s">
        <v>32838</v>
      </c>
      <c r="G1590" s="132"/>
      <c r="H1590" s="162" t="s">
        <v>17895</v>
      </c>
      <c r="I1590" s="158" t="s">
        <v>17896</v>
      </c>
      <c r="J1590" s="128"/>
      <c r="K1590" s="128"/>
      <c r="L1590" s="128"/>
      <c r="M1590" s="129"/>
      <c r="N1590" s="129"/>
      <c r="O1590" s="129"/>
    </row>
    <row r="1591" spans="1:15" ht="12.5">
      <c r="A1591" s="158" t="s">
        <v>17897</v>
      </c>
      <c r="B1591" s="159">
        <v>25</v>
      </c>
      <c r="C1591" s="159">
        <v>57</v>
      </c>
      <c r="D1591" s="159">
        <v>56</v>
      </c>
      <c r="E1591" s="159">
        <v>16</v>
      </c>
      <c r="F1591" s="160" t="s">
        <v>32838</v>
      </c>
      <c r="G1591" s="132"/>
      <c r="H1591" s="162" t="s">
        <v>17898</v>
      </c>
      <c r="I1591" s="128"/>
      <c r="J1591" s="128"/>
      <c r="K1591" s="128"/>
      <c r="L1591" s="128"/>
      <c r="M1591" s="129"/>
      <c r="N1591" s="129"/>
      <c r="O1591" s="129"/>
    </row>
    <row r="1592" spans="1:15" ht="12.5">
      <c r="A1592" s="158" t="s">
        <v>17899</v>
      </c>
      <c r="B1592" s="159">
        <v>25</v>
      </c>
      <c r="C1592" s="159">
        <v>57</v>
      </c>
      <c r="D1592" s="159">
        <v>56</v>
      </c>
      <c r="E1592" s="159">
        <v>27</v>
      </c>
      <c r="F1592" s="160" t="s">
        <v>32838</v>
      </c>
      <c r="G1592" s="132"/>
      <c r="H1592" s="162" t="s">
        <v>17900</v>
      </c>
      <c r="I1592" s="158" t="s">
        <v>17901</v>
      </c>
      <c r="J1592" s="128"/>
      <c r="K1592" s="128"/>
      <c r="L1592" s="128"/>
      <c r="M1592" s="129"/>
      <c r="N1592" s="129"/>
      <c r="O1592" s="129"/>
    </row>
    <row r="1593" spans="1:15" ht="12.5">
      <c r="A1593" s="158" t="s">
        <v>17902</v>
      </c>
      <c r="B1593" s="159">
        <v>25</v>
      </c>
      <c r="C1593" s="159">
        <v>57</v>
      </c>
      <c r="D1593" s="159">
        <v>56</v>
      </c>
      <c r="E1593" s="159">
        <v>28</v>
      </c>
      <c r="F1593" s="160" t="s">
        <v>32838</v>
      </c>
      <c r="G1593" s="132"/>
      <c r="H1593" s="162" t="s">
        <v>17903</v>
      </c>
      <c r="I1593" s="128"/>
      <c r="J1593" s="128"/>
      <c r="K1593" s="128"/>
      <c r="L1593" s="128"/>
      <c r="M1593" s="129"/>
      <c r="N1593" s="129"/>
      <c r="O1593" s="129"/>
    </row>
    <row r="1594" spans="1:15" ht="12.5">
      <c r="A1594" s="158" t="s">
        <v>17904</v>
      </c>
      <c r="B1594" s="159">
        <v>25</v>
      </c>
      <c r="C1594" s="159">
        <v>57</v>
      </c>
      <c r="D1594" s="159">
        <v>56</v>
      </c>
      <c r="E1594" s="159">
        <v>29</v>
      </c>
      <c r="F1594" s="160" t="s">
        <v>32838</v>
      </c>
      <c r="G1594" s="132"/>
      <c r="H1594" s="162" t="s">
        <v>17905</v>
      </c>
      <c r="I1594" s="128"/>
      <c r="J1594" s="128"/>
      <c r="K1594" s="128"/>
      <c r="L1594" s="128"/>
      <c r="M1594" s="129"/>
      <c r="N1594" s="129"/>
      <c r="O1594" s="129"/>
    </row>
    <row r="1595" spans="1:15" ht="12.5">
      <c r="A1595" s="158" t="s">
        <v>17906</v>
      </c>
      <c r="B1595" s="159">
        <v>25</v>
      </c>
      <c r="C1595" s="159">
        <v>57</v>
      </c>
      <c r="D1595" s="159">
        <v>56</v>
      </c>
      <c r="E1595" s="159">
        <v>34</v>
      </c>
      <c r="F1595" s="160" t="s">
        <v>32838</v>
      </c>
      <c r="G1595" s="132"/>
      <c r="H1595" s="162" t="s">
        <v>17907</v>
      </c>
      <c r="I1595" s="158" t="s">
        <v>33299</v>
      </c>
      <c r="J1595" s="128"/>
      <c r="K1595" s="128"/>
      <c r="L1595" s="128"/>
      <c r="M1595" s="129"/>
      <c r="N1595" s="129"/>
      <c r="O1595" s="129"/>
    </row>
    <row r="1596" spans="1:15" ht="12.5">
      <c r="A1596" s="158" t="s">
        <v>17909</v>
      </c>
      <c r="B1596" s="159">
        <v>25</v>
      </c>
      <c r="C1596" s="159">
        <v>57</v>
      </c>
      <c r="D1596" s="159">
        <v>56</v>
      </c>
      <c r="E1596" s="159">
        <v>52</v>
      </c>
      <c r="F1596" s="160" t="s">
        <v>32838</v>
      </c>
      <c r="G1596" s="132"/>
      <c r="H1596" s="162" t="s">
        <v>17910</v>
      </c>
      <c r="I1596" s="158" t="s">
        <v>17911</v>
      </c>
      <c r="J1596" s="128"/>
      <c r="K1596" s="128"/>
      <c r="L1596" s="128"/>
      <c r="M1596" s="129"/>
      <c r="N1596" s="129"/>
      <c r="O1596" s="129"/>
    </row>
    <row r="1597" spans="1:15" ht="12.5">
      <c r="A1597" s="158" t="s">
        <v>17912</v>
      </c>
      <c r="B1597" s="159">
        <v>25</v>
      </c>
      <c r="C1597" s="159">
        <v>57</v>
      </c>
      <c r="D1597" s="159">
        <v>56</v>
      </c>
      <c r="E1597" s="159">
        <v>56</v>
      </c>
      <c r="F1597" s="160" t="s">
        <v>32838</v>
      </c>
      <c r="G1597" s="132"/>
      <c r="H1597" s="162" t="s">
        <v>17913</v>
      </c>
      <c r="I1597" s="158" t="s">
        <v>17914</v>
      </c>
      <c r="J1597" s="128"/>
      <c r="K1597" s="128"/>
      <c r="L1597" s="128"/>
      <c r="M1597" s="129"/>
      <c r="N1597" s="129"/>
      <c r="O1597" s="129"/>
    </row>
    <row r="1598" spans="1:15" ht="12.5">
      <c r="A1598" s="158" t="s">
        <v>17915</v>
      </c>
      <c r="B1598" s="159">
        <v>25</v>
      </c>
      <c r="C1598" s="159">
        <v>57</v>
      </c>
      <c r="D1598" s="159">
        <v>56</v>
      </c>
      <c r="E1598" s="159">
        <v>61</v>
      </c>
      <c r="F1598" s="160" t="s">
        <v>32838</v>
      </c>
      <c r="G1598" s="132"/>
      <c r="H1598" s="162" t="s">
        <v>17916</v>
      </c>
      <c r="I1598" s="158" t="s">
        <v>17917</v>
      </c>
      <c r="J1598" s="128"/>
      <c r="K1598" s="128"/>
      <c r="L1598" s="128"/>
      <c r="M1598" s="129"/>
      <c r="N1598" s="129"/>
      <c r="O1598" s="129"/>
    </row>
    <row r="1599" spans="1:15" ht="12.5">
      <c r="A1599" s="158" t="s">
        <v>17918</v>
      </c>
      <c r="B1599" s="159">
        <v>25</v>
      </c>
      <c r="C1599" s="159">
        <v>57</v>
      </c>
      <c r="D1599" s="159">
        <v>56</v>
      </c>
      <c r="E1599" s="159">
        <v>64</v>
      </c>
      <c r="F1599" s="160" t="s">
        <v>32838</v>
      </c>
      <c r="G1599" s="132"/>
      <c r="H1599" s="162" t="s">
        <v>17919</v>
      </c>
      <c r="I1599" s="158" t="s">
        <v>17920</v>
      </c>
      <c r="J1599" s="128"/>
      <c r="K1599" s="128"/>
      <c r="L1599" s="128"/>
      <c r="M1599" s="129"/>
      <c r="N1599" s="129"/>
      <c r="O1599" s="129"/>
    </row>
    <row r="1600" spans="1:15" ht="12.5">
      <c r="A1600" s="158" t="s">
        <v>17921</v>
      </c>
      <c r="B1600" s="159">
        <v>25</v>
      </c>
      <c r="C1600" s="159">
        <v>57</v>
      </c>
      <c r="D1600" s="159">
        <v>56</v>
      </c>
      <c r="E1600" s="159">
        <v>85</v>
      </c>
      <c r="F1600" s="160" t="s">
        <v>32838</v>
      </c>
      <c r="G1600" s="132"/>
      <c r="H1600" s="162" t="s">
        <v>17922</v>
      </c>
      <c r="I1600" s="158" t="s">
        <v>17923</v>
      </c>
      <c r="J1600" s="128"/>
      <c r="K1600" s="128"/>
      <c r="L1600" s="128"/>
      <c r="M1600" s="129"/>
      <c r="N1600" s="129"/>
      <c r="O1600" s="129"/>
    </row>
    <row r="1601" spans="1:15" ht="12.5">
      <c r="A1601" s="158" t="s">
        <v>17924</v>
      </c>
      <c r="B1601" s="159">
        <v>25</v>
      </c>
      <c r="C1601" s="159">
        <v>57</v>
      </c>
      <c r="D1601" s="159">
        <v>56</v>
      </c>
      <c r="E1601" s="159">
        <v>95</v>
      </c>
      <c r="F1601" s="160" t="s">
        <v>32838</v>
      </c>
      <c r="G1601" s="132"/>
      <c r="H1601" s="162" t="s">
        <v>17925</v>
      </c>
      <c r="I1601" s="158" t="s">
        <v>17926</v>
      </c>
      <c r="J1601" s="128"/>
      <c r="K1601" s="128"/>
      <c r="L1601" s="128"/>
      <c r="M1601" s="129"/>
      <c r="N1601" s="129"/>
      <c r="O1601" s="129"/>
    </row>
    <row r="1602" spans="1:15" ht="12.5">
      <c r="A1602" s="158" t="s">
        <v>17927</v>
      </c>
      <c r="B1602" s="159">
        <v>25</v>
      </c>
      <c r="C1602" s="159">
        <v>57</v>
      </c>
      <c r="D1602" s="159">
        <v>56</v>
      </c>
      <c r="E1602" s="159">
        <v>96</v>
      </c>
      <c r="F1602" s="160" t="s">
        <v>32838</v>
      </c>
      <c r="G1602" s="132"/>
      <c r="H1602" s="162" t="s">
        <v>17928</v>
      </c>
      <c r="I1602" s="128"/>
      <c r="J1602" s="128"/>
      <c r="K1602" s="128"/>
      <c r="L1602" s="128"/>
      <c r="M1602" s="129"/>
      <c r="N1602" s="129"/>
      <c r="O1602" s="129"/>
    </row>
    <row r="1603" spans="1:15" ht="12.5">
      <c r="A1603" s="158" t="s">
        <v>17930</v>
      </c>
      <c r="B1603" s="159">
        <v>25</v>
      </c>
      <c r="C1603" s="159">
        <v>57</v>
      </c>
      <c r="D1603" s="159">
        <v>56</v>
      </c>
      <c r="E1603" s="159">
        <v>97</v>
      </c>
      <c r="F1603" s="160" t="s">
        <v>32838</v>
      </c>
      <c r="G1603" s="132"/>
      <c r="H1603" s="162" t="s">
        <v>17931</v>
      </c>
      <c r="I1603" s="158" t="s">
        <v>17932</v>
      </c>
      <c r="J1603" s="128"/>
      <c r="K1603" s="128"/>
      <c r="L1603" s="128"/>
      <c r="M1603" s="129"/>
      <c r="N1603" s="129"/>
      <c r="O1603" s="129"/>
    </row>
    <row r="1604" spans="1:15" ht="12.5">
      <c r="A1604" s="151" t="s">
        <v>17933</v>
      </c>
      <c r="B1604" s="152">
        <v>25</v>
      </c>
      <c r="C1604" s="152">
        <v>57</v>
      </c>
      <c r="D1604" s="152">
        <v>61</v>
      </c>
      <c r="E1604" s="153"/>
      <c r="F1604" s="154" t="s">
        <v>33300</v>
      </c>
      <c r="G1604" s="168"/>
      <c r="H1604" s="156" t="s">
        <v>17934</v>
      </c>
      <c r="I1604" s="157"/>
      <c r="J1604" s="128"/>
      <c r="K1604" s="128"/>
      <c r="L1604" s="128"/>
      <c r="M1604" s="129"/>
      <c r="N1604" s="129"/>
      <c r="O1604" s="129"/>
    </row>
    <row r="1605" spans="1:15" ht="12.5">
      <c r="A1605" s="158" t="s">
        <v>17935</v>
      </c>
      <c r="B1605" s="159">
        <v>25</v>
      </c>
      <c r="C1605" s="159">
        <v>57</v>
      </c>
      <c r="D1605" s="159">
        <v>61</v>
      </c>
      <c r="E1605" s="159">
        <v>15</v>
      </c>
      <c r="F1605" s="160" t="s">
        <v>32838</v>
      </c>
      <c r="G1605" s="132"/>
      <c r="H1605" s="162" t="s">
        <v>17936</v>
      </c>
      <c r="I1605" s="128"/>
      <c r="J1605" s="128"/>
      <c r="K1605" s="128"/>
      <c r="L1605" s="128"/>
      <c r="M1605" s="129"/>
      <c r="N1605" s="129"/>
      <c r="O1605" s="129"/>
    </row>
    <row r="1606" spans="1:15" ht="12.5">
      <c r="A1606" s="158" t="s">
        <v>17937</v>
      </c>
      <c r="B1606" s="159">
        <v>25</v>
      </c>
      <c r="C1606" s="159">
        <v>57</v>
      </c>
      <c r="D1606" s="159">
        <v>61</v>
      </c>
      <c r="E1606" s="159">
        <v>29</v>
      </c>
      <c r="F1606" s="160" t="s">
        <v>32838</v>
      </c>
      <c r="G1606" s="132"/>
      <c r="H1606" s="162" t="s">
        <v>17938</v>
      </c>
      <c r="I1606" s="128"/>
      <c r="J1606" s="128"/>
      <c r="K1606" s="128"/>
      <c r="L1606" s="128"/>
      <c r="M1606" s="129"/>
      <c r="N1606" s="129"/>
      <c r="O1606" s="129"/>
    </row>
    <row r="1607" spans="1:15" ht="12.5">
      <c r="A1607" s="158" t="s">
        <v>17939</v>
      </c>
      <c r="B1607" s="159">
        <v>25</v>
      </c>
      <c r="C1607" s="159">
        <v>57</v>
      </c>
      <c r="D1607" s="159">
        <v>61</v>
      </c>
      <c r="E1607" s="159">
        <v>37</v>
      </c>
      <c r="F1607" s="160" t="s">
        <v>32838</v>
      </c>
      <c r="G1607" s="132"/>
      <c r="H1607" s="162" t="s">
        <v>17940</v>
      </c>
      <c r="I1607" s="128"/>
      <c r="J1607" s="128"/>
      <c r="K1607" s="128"/>
      <c r="L1607" s="128"/>
      <c r="M1607" s="129"/>
      <c r="N1607" s="129"/>
      <c r="O1607" s="129"/>
    </row>
    <row r="1608" spans="1:15" ht="12.5">
      <c r="A1608" s="158" t="s">
        <v>17941</v>
      </c>
      <c r="B1608" s="159">
        <v>25</v>
      </c>
      <c r="C1608" s="159">
        <v>57</v>
      </c>
      <c r="D1608" s="159">
        <v>61</v>
      </c>
      <c r="E1608" s="159">
        <v>44</v>
      </c>
      <c r="F1608" s="160" t="s">
        <v>32838</v>
      </c>
      <c r="G1608" s="132"/>
      <c r="H1608" s="162" t="s">
        <v>17942</v>
      </c>
      <c r="I1608" s="128"/>
      <c r="J1608" s="128"/>
      <c r="K1608" s="128"/>
      <c r="L1608" s="128"/>
      <c r="M1608" s="129"/>
      <c r="N1608" s="129"/>
      <c r="O1608" s="129"/>
    </row>
    <row r="1609" spans="1:15" ht="12.5">
      <c r="A1609" s="158" t="s">
        <v>17943</v>
      </c>
      <c r="B1609" s="159">
        <v>25</v>
      </c>
      <c r="C1609" s="159">
        <v>57</v>
      </c>
      <c r="D1609" s="159">
        <v>61</v>
      </c>
      <c r="E1609" s="159">
        <v>59</v>
      </c>
      <c r="F1609" s="160" t="s">
        <v>32838</v>
      </c>
      <c r="G1609" s="132"/>
      <c r="H1609" s="162" t="s">
        <v>17944</v>
      </c>
      <c r="I1609" s="158" t="s">
        <v>17945</v>
      </c>
      <c r="J1609" s="128"/>
      <c r="K1609" s="128"/>
      <c r="L1609" s="128"/>
      <c r="M1609" s="129"/>
      <c r="N1609" s="129"/>
      <c r="O1609" s="129"/>
    </row>
    <row r="1610" spans="1:15" ht="12.5">
      <c r="A1610" s="158" t="s">
        <v>17946</v>
      </c>
      <c r="B1610" s="159">
        <v>25</v>
      </c>
      <c r="C1610" s="159">
        <v>57</v>
      </c>
      <c r="D1610" s="159">
        <v>61</v>
      </c>
      <c r="E1610" s="159">
        <v>60</v>
      </c>
      <c r="F1610" s="160" t="s">
        <v>32838</v>
      </c>
      <c r="G1610" s="132"/>
      <c r="H1610" s="162" t="s">
        <v>17947</v>
      </c>
      <c r="I1610" s="128"/>
      <c r="J1610" s="128"/>
      <c r="K1610" s="128"/>
      <c r="L1610" s="128"/>
      <c r="M1610" s="129"/>
      <c r="N1610" s="129"/>
      <c r="O1610" s="129"/>
    </row>
    <row r="1611" spans="1:15" ht="12.5">
      <c r="A1611" s="158" t="s">
        <v>17948</v>
      </c>
      <c r="B1611" s="159">
        <v>25</v>
      </c>
      <c r="C1611" s="159">
        <v>57</v>
      </c>
      <c r="D1611" s="159">
        <v>61</v>
      </c>
      <c r="E1611" s="159">
        <v>79</v>
      </c>
      <c r="F1611" s="160" t="s">
        <v>32838</v>
      </c>
      <c r="G1611" s="132"/>
      <c r="H1611" s="162" t="s">
        <v>17949</v>
      </c>
      <c r="I1611" s="128"/>
      <c r="J1611" s="128"/>
      <c r="K1611" s="128"/>
      <c r="L1611" s="128"/>
      <c r="M1611" s="129"/>
      <c r="N1611" s="129"/>
      <c r="O1611" s="129"/>
    </row>
    <row r="1612" spans="1:15" ht="12.5">
      <c r="A1612" s="158" t="s">
        <v>17950</v>
      </c>
      <c r="B1612" s="159">
        <v>25</v>
      </c>
      <c r="C1612" s="159">
        <v>57</v>
      </c>
      <c r="D1612" s="159">
        <v>61</v>
      </c>
      <c r="E1612" s="159">
        <v>80</v>
      </c>
      <c r="F1612" s="160" t="s">
        <v>32838</v>
      </c>
      <c r="G1612" s="132"/>
      <c r="H1612" s="162" t="s">
        <v>17951</v>
      </c>
      <c r="I1612" s="128"/>
      <c r="J1612" s="128"/>
      <c r="K1612" s="128"/>
      <c r="L1612" s="128"/>
      <c r="M1612" s="129"/>
      <c r="N1612" s="129"/>
      <c r="O1612" s="129"/>
    </row>
    <row r="1613" spans="1:15" ht="12.5">
      <c r="A1613" s="158" t="s">
        <v>17952</v>
      </c>
      <c r="B1613" s="159">
        <v>25</v>
      </c>
      <c r="C1613" s="159">
        <v>57</v>
      </c>
      <c r="D1613" s="159">
        <v>61</v>
      </c>
      <c r="E1613" s="159">
        <v>95</v>
      </c>
      <c r="F1613" s="160" t="s">
        <v>32838</v>
      </c>
      <c r="G1613" s="132"/>
      <c r="H1613" s="162" t="s">
        <v>17953</v>
      </c>
      <c r="I1613" s="128"/>
      <c r="J1613" s="128"/>
      <c r="K1613" s="128"/>
      <c r="L1613" s="128"/>
      <c r="M1613" s="129"/>
      <c r="N1613" s="129"/>
      <c r="O1613" s="129"/>
    </row>
    <row r="1614" spans="1:15" ht="12.5">
      <c r="A1614" s="158" t="s">
        <v>17954</v>
      </c>
      <c r="B1614" s="159">
        <v>25</v>
      </c>
      <c r="C1614" s="159">
        <v>57</v>
      </c>
      <c r="D1614" s="159">
        <v>61</v>
      </c>
      <c r="E1614" s="159">
        <v>97</v>
      </c>
      <c r="F1614" s="160" t="s">
        <v>32838</v>
      </c>
      <c r="G1614" s="132"/>
      <c r="H1614" s="162" t="s">
        <v>17955</v>
      </c>
      <c r="I1614" s="128"/>
      <c r="J1614" s="128"/>
      <c r="K1614" s="128"/>
      <c r="L1614" s="128"/>
      <c r="M1614" s="129"/>
      <c r="N1614" s="129"/>
      <c r="O1614" s="129"/>
    </row>
    <row r="1615" spans="1:15" ht="12.5">
      <c r="A1615" s="158" t="s">
        <v>17956</v>
      </c>
      <c r="B1615" s="159">
        <v>25</v>
      </c>
      <c r="C1615" s="159">
        <v>57</v>
      </c>
      <c r="D1615" s="159">
        <v>61</v>
      </c>
      <c r="E1615" s="159">
        <v>98</v>
      </c>
      <c r="F1615" s="160" t="s">
        <v>32838</v>
      </c>
      <c r="G1615" s="132"/>
      <c r="H1615" s="162" t="s">
        <v>17957</v>
      </c>
      <c r="I1615" s="128"/>
      <c r="J1615" s="128"/>
      <c r="K1615" s="128"/>
      <c r="L1615" s="128"/>
      <c r="M1615" s="129"/>
      <c r="N1615" s="129"/>
      <c r="O1615" s="129"/>
    </row>
    <row r="1616" spans="1:15" ht="12.5">
      <c r="A1616" s="151" t="s">
        <v>17958</v>
      </c>
      <c r="B1616" s="152">
        <v>25</v>
      </c>
      <c r="C1616" s="152">
        <v>57</v>
      </c>
      <c r="D1616" s="152">
        <v>65</v>
      </c>
      <c r="E1616" s="153"/>
      <c r="F1616" s="154" t="s">
        <v>33301</v>
      </c>
      <c r="G1616" s="155"/>
      <c r="H1616" s="156" t="s">
        <v>17959</v>
      </c>
      <c r="I1616" s="157"/>
      <c r="J1616" s="128"/>
      <c r="K1616" s="128"/>
      <c r="L1616" s="128"/>
      <c r="M1616" s="129"/>
      <c r="N1616" s="129"/>
      <c r="O1616" s="129"/>
    </row>
    <row r="1617" spans="1:15" ht="12.5">
      <c r="A1617" s="158" t="s">
        <v>17960</v>
      </c>
      <c r="B1617" s="159">
        <v>25</v>
      </c>
      <c r="C1617" s="159">
        <v>57</v>
      </c>
      <c r="D1617" s="159">
        <v>65</v>
      </c>
      <c r="E1617" s="159">
        <v>37</v>
      </c>
      <c r="F1617" s="160" t="s">
        <v>32838</v>
      </c>
      <c r="G1617" s="132"/>
      <c r="H1617" s="162" t="s">
        <v>17961</v>
      </c>
      <c r="I1617" s="128"/>
      <c r="J1617" s="128"/>
      <c r="K1617" s="128"/>
      <c r="L1617" s="128"/>
      <c r="M1617" s="129"/>
      <c r="N1617" s="129"/>
      <c r="O1617" s="129"/>
    </row>
    <row r="1618" spans="1:15" ht="12.5">
      <c r="A1618" s="158" t="s">
        <v>17962</v>
      </c>
      <c r="B1618" s="159">
        <v>25</v>
      </c>
      <c r="C1618" s="159">
        <v>57</v>
      </c>
      <c r="D1618" s="159">
        <v>65</v>
      </c>
      <c r="E1618" s="159">
        <v>47</v>
      </c>
      <c r="F1618" s="160" t="s">
        <v>32838</v>
      </c>
      <c r="G1618" s="132"/>
      <c r="H1618" s="162" t="s">
        <v>17963</v>
      </c>
      <c r="I1618" s="128"/>
      <c r="J1618" s="128"/>
      <c r="K1618" s="128"/>
      <c r="L1618" s="128"/>
      <c r="M1618" s="129"/>
      <c r="N1618" s="129"/>
      <c r="O1618" s="129"/>
    </row>
    <row r="1619" spans="1:15" ht="12.5">
      <c r="A1619" s="158" t="s">
        <v>17964</v>
      </c>
      <c r="B1619" s="159">
        <v>25</v>
      </c>
      <c r="C1619" s="159">
        <v>57</v>
      </c>
      <c r="D1619" s="159">
        <v>65</v>
      </c>
      <c r="E1619" s="159">
        <v>60</v>
      </c>
      <c r="F1619" s="160" t="s">
        <v>33302</v>
      </c>
      <c r="G1619" s="162" t="s">
        <v>33303</v>
      </c>
      <c r="H1619" s="162" t="s">
        <v>17965</v>
      </c>
      <c r="I1619" s="158" t="s">
        <v>33304</v>
      </c>
      <c r="J1619" s="128"/>
      <c r="K1619" s="128"/>
      <c r="L1619" s="128"/>
      <c r="M1619" s="129"/>
      <c r="N1619" s="129"/>
      <c r="O1619" s="129"/>
    </row>
    <row r="1620" spans="1:15" ht="12.5">
      <c r="A1620" s="158" t="s">
        <v>17967</v>
      </c>
      <c r="B1620" s="159">
        <v>25</v>
      </c>
      <c r="C1620" s="159">
        <v>57</v>
      </c>
      <c r="D1620" s="159">
        <v>65</v>
      </c>
      <c r="E1620" s="159">
        <v>62</v>
      </c>
      <c r="F1620" s="160" t="s">
        <v>32838</v>
      </c>
      <c r="G1620" s="132"/>
      <c r="H1620" s="162" t="s">
        <v>17968</v>
      </c>
      <c r="I1620" s="128"/>
      <c r="J1620" s="128"/>
      <c r="K1620" s="128"/>
      <c r="L1620" s="128"/>
      <c r="M1620" s="129"/>
      <c r="N1620" s="129"/>
      <c r="O1620" s="129"/>
    </row>
    <row r="1621" spans="1:15" ht="12.5">
      <c r="A1621" s="158" t="s">
        <v>17969</v>
      </c>
      <c r="B1621" s="159">
        <v>25</v>
      </c>
      <c r="C1621" s="159">
        <v>57</v>
      </c>
      <c r="D1621" s="159">
        <v>65</v>
      </c>
      <c r="E1621" s="159">
        <v>63</v>
      </c>
      <c r="F1621" s="160" t="s">
        <v>32838</v>
      </c>
      <c r="G1621" s="132"/>
      <c r="H1621" s="162" t="s">
        <v>17970</v>
      </c>
      <c r="I1621" s="128"/>
      <c r="J1621" s="128"/>
      <c r="K1621" s="128"/>
      <c r="L1621" s="128"/>
      <c r="M1621" s="129"/>
      <c r="N1621" s="129"/>
      <c r="O1621" s="129"/>
    </row>
    <row r="1622" spans="1:15" ht="12.5">
      <c r="A1622" s="158" t="s">
        <v>17971</v>
      </c>
      <c r="B1622" s="159">
        <v>25</v>
      </c>
      <c r="C1622" s="159">
        <v>57</v>
      </c>
      <c r="D1622" s="159">
        <v>65</v>
      </c>
      <c r="E1622" s="159">
        <v>65</v>
      </c>
      <c r="F1622" s="160" t="s">
        <v>32838</v>
      </c>
      <c r="G1622" s="132"/>
      <c r="H1622" s="162" t="s">
        <v>17972</v>
      </c>
      <c r="I1622" s="128"/>
      <c r="J1622" s="128"/>
      <c r="K1622" s="128"/>
      <c r="L1622" s="128"/>
      <c r="M1622" s="129"/>
      <c r="N1622" s="129"/>
      <c r="O1622" s="129"/>
    </row>
    <row r="1623" spans="1:15" ht="12.5">
      <c r="A1623" s="158" t="s">
        <v>17973</v>
      </c>
      <c r="B1623" s="159">
        <v>25</v>
      </c>
      <c r="C1623" s="159">
        <v>57</v>
      </c>
      <c r="D1623" s="159">
        <v>65</v>
      </c>
      <c r="E1623" s="159">
        <v>66</v>
      </c>
      <c r="F1623" s="160" t="s">
        <v>32838</v>
      </c>
      <c r="G1623" s="132"/>
      <c r="H1623" s="162" t="s">
        <v>17974</v>
      </c>
      <c r="I1623" s="128"/>
      <c r="J1623" s="128"/>
      <c r="K1623" s="128"/>
      <c r="L1623" s="128"/>
      <c r="M1623" s="129"/>
      <c r="N1623" s="129"/>
      <c r="O1623" s="129"/>
    </row>
    <row r="1624" spans="1:15" ht="12.5">
      <c r="A1624" s="158" t="s">
        <v>17975</v>
      </c>
      <c r="B1624" s="159">
        <v>25</v>
      </c>
      <c r="C1624" s="159">
        <v>57</v>
      </c>
      <c r="D1624" s="159">
        <v>65</v>
      </c>
      <c r="E1624" s="159">
        <v>67</v>
      </c>
      <c r="F1624" s="160" t="s">
        <v>32838</v>
      </c>
      <c r="G1624" s="132"/>
      <c r="H1624" s="162" t="s">
        <v>17976</v>
      </c>
      <c r="I1624" s="128"/>
      <c r="J1624" s="128"/>
      <c r="K1624" s="128"/>
      <c r="L1624" s="128"/>
      <c r="M1624" s="129"/>
      <c r="N1624" s="129"/>
      <c r="O1624" s="129"/>
    </row>
    <row r="1625" spans="1:15" ht="12.5">
      <c r="A1625" s="158" t="s">
        <v>17977</v>
      </c>
      <c r="B1625" s="159">
        <v>25</v>
      </c>
      <c r="C1625" s="159">
        <v>57</v>
      </c>
      <c r="D1625" s="159">
        <v>65</v>
      </c>
      <c r="E1625" s="159">
        <v>70</v>
      </c>
      <c r="F1625" s="160" t="s">
        <v>32838</v>
      </c>
      <c r="G1625" s="132"/>
      <c r="H1625" s="162" t="s">
        <v>17978</v>
      </c>
      <c r="I1625" s="128"/>
      <c r="J1625" s="128"/>
      <c r="K1625" s="128"/>
      <c r="L1625" s="128"/>
      <c r="M1625" s="129"/>
      <c r="N1625" s="129"/>
      <c r="O1625" s="129"/>
    </row>
    <row r="1626" spans="1:15" ht="12.5">
      <c r="A1626" s="158" t="s">
        <v>17979</v>
      </c>
      <c r="B1626" s="159">
        <v>25</v>
      </c>
      <c r="C1626" s="159">
        <v>57</v>
      </c>
      <c r="D1626" s="159">
        <v>65</v>
      </c>
      <c r="E1626" s="159">
        <v>92</v>
      </c>
      <c r="F1626" s="160" t="s">
        <v>32838</v>
      </c>
      <c r="G1626" s="132"/>
      <c r="H1626" s="162" t="s">
        <v>17980</v>
      </c>
      <c r="I1626" s="128"/>
      <c r="J1626" s="128"/>
      <c r="K1626" s="128"/>
      <c r="L1626" s="128"/>
      <c r="M1626" s="129"/>
      <c r="N1626" s="129"/>
      <c r="O1626" s="129"/>
    </row>
    <row r="1627" spans="1:15" ht="12.5">
      <c r="A1627" s="151" t="s">
        <v>17981</v>
      </c>
      <c r="B1627" s="152">
        <v>25</v>
      </c>
      <c r="C1627" s="152">
        <v>57</v>
      </c>
      <c r="D1627" s="152">
        <v>85</v>
      </c>
      <c r="E1627" s="153"/>
      <c r="F1627" s="154" t="s">
        <v>33305</v>
      </c>
      <c r="G1627" s="168"/>
      <c r="H1627" s="156" t="s">
        <v>17982</v>
      </c>
      <c r="I1627" s="157"/>
      <c r="J1627" s="128"/>
      <c r="K1627" s="128"/>
      <c r="L1627" s="128"/>
      <c r="M1627" s="129"/>
      <c r="N1627" s="129"/>
      <c r="O1627" s="129"/>
    </row>
    <row r="1628" spans="1:15" ht="12.5">
      <c r="A1628" s="158" t="s">
        <v>17983</v>
      </c>
      <c r="B1628" s="159">
        <v>25</v>
      </c>
      <c r="C1628" s="159">
        <v>57</v>
      </c>
      <c r="D1628" s="159">
        <v>85</v>
      </c>
      <c r="E1628" s="159">
        <v>10</v>
      </c>
      <c r="F1628" s="160" t="s">
        <v>32838</v>
      </c>
      <c r="G1628" s="132"/>
      <c r="H1628" s="162" t="s">
        <v>17984</v>
      </c>
      <c r="I1628" s="128"/>
      <c r="J1628" s="128"/>
      <c r="K1628" s="128"/>
      <c r="L1628" s="128"/>
      <c r="M1628" s="129"/>
      <c r="N1628" s="129"/>
      <c r="O1628" s="129"/>
    </row>
    <row r="1629" spans="1:15" ht="12.5">
      <c r="A1629" s="158" t="s">
        <v>17985</v>
      </c>
      <c r="B1629" s="159">
        <v>25</v>
      </c>
      <c r="C1629" s="159">
        <v>57</v>
      </c>
      <c r="D1629" s="159">
        <v>85</v>
      </c>
      <c r="E1629" s="159">
        <v>62</v>
      </c>
      <c r="F1629" s="160" t="s">
        <v>32838</v>
      </c>
      <c r="G1629" s="132"/>
      <c r="H1629" s="162" t="s">
        <v>17986</v>
      </c>
      <c r="I1629" s="128"/>
      <c r="J1629" s="128"/>
      <c r="K1629" s="128"/>
      <c r="L1629" s="128"/>
      <c r="M1629" s="129"/>
      <c r="N1629" s="129"/>
      <c r="O1629" s="129"/>
    </row>
    <row r="1630" spans="1:15" ht="12.5">
      <c r="A1630" s="158" t="s">
        <v>17987</v>
      </c>
      <c r="B1630" s="159">
        <v>25</v>
      </c>
      <c r="C1630" s="159">
        <v>57</v>
      </c>
      <c r="D1630" s="159">
        <v>85</v>
      </c>
      <c r="E1630" s="159">
        <v>64</v>
      </c>
      <c r="F1630" s="160" t="s">
        <v>32838</v>
      </c>
      <c r="G1630" s="132"/>
      <c r="H1630" s="162" t="s">
        <v>17988</v>
      </c>
      <c r="I1630" s="128"/>
      <c r="J1630" s="128"/>
      <c r="K1630" s="128"/>
      <c r="L1630" s="128"/>
      <c r="M1630" s="129"/>
      <c r="N1630" s="129"/>
      <c r="O1630" s="129"/>
    </row>
    <row r="1631" spans="1:15" ht="12.5">
      <c r="A1631" s="158" t="s">
        <v>17989</v>
      </c>
      <c r="B1631" s="159">
        <v>25</v>
      </c>
      <c r="C1631" s="159">
        <v>57</v>
      </c>
      <c r="D1631" s="159">
        <v>85</v>
      </c>
      <c r="E1631" s="159">
        <v>66</v>
      </c>
      <c r="F1631" s="160" t="s">
        <v>32838</v>
      </c>
      <c r="G1631" s="132"/>
      <c r="H1631" s="162" t="s">
        <v>17990</v>
      </c>
      <c r="I1631" s="128"/>
      <c r="J1631" s="128"/>
      <c r="K1631" s="128"/>
      <c r="L1631" s="128"/>
      <c r="M1631" s="129"/>
      <c r="N1631" s="129"/>
      <c r="O1631" s="129"/>
    </row>
    <row r="1632" spans="1:15" ht="12.5">
      <c r="A1632" s="158" t="s">
        <v>17991</v>
      </c>
      <c r="B1632" s="159">
        <v>25</v>
      </c>
      <c r="C1632" s="159">
        <v>57</v>
      </c>
      <c r="D1632" s="159">
        <v>85</v>
      </c>
      <c r="E1632" s="159">
        <v>68</v>
      </c>
      <c r="F1632" s="160" t="s">
        <v>32838</v>
      </c>
      <c r="G1632" s="132"/>
      <c r="H1632" s="162" t="s">
        <v>17992</v>
      </c>
      <c r="I1632" s="128"/>
      <c r="J1632" s="128"/>
      <c r="K1632" s="128"/>
      <c r="L1632" s="128"/>
      <c r="M1632" s="129"/>
      <c r="N1632" s="129"/>
      <c r="O1632" s="129"/>
    </row>
    <row r="1633" spans="1:15" ht="12.5">
      <c r="A1633" s="158" t="s">
        <v>17993</v>
      </c>
      <c r="B1633" s="159">
        <v>25</v>
      </c>
      <c r="C1633" s="159">
        <v>57</v>
      </c>
      <c r="D1633" s="159">
        <v>85</v>
      </c>
      <c r="E1633" s="159">
        <v>70</v>
      </c>
      <c r="F1633" s="160" t="s">
        <v>32838</v>
      </c>
      <c r="G1633" s="132"/>
      <c r="H1633" s="162" t="s">
        <v>17994</v>
      </c>
      <c r="I1633" s="128"/>
      <c r="J1633" s="128"/>
      <c r="K1633" s="128"/>
      <c r="L1633" s="128"/>
      <c r="M1633" s="129"/>
      <c r="N1633" s="129"/>
      <c r="O1633" s="129"/>
    </row>
    <row r="1634" spans="1:15" ht="12.5">
      <c r="A1634" s="151" t="s">
        <v>17995</v>
      </c>
      <c r="B1634" s="152">
        <v>25</v>
      </c>
      <c r="C1634" s="152">
        <v>57</v>
      </c>
      <c r="D1634" s="152">
        <v>90</v>
      </c>
      <c r="E1634" s="153"/>
      <c r="F1634" s="154" t="s">
        <v>33306</v>
      </c>
      <c r="G1634" s="168"/>
      <c r="H1634" s="156" t="s">
        <v>17996</v>
      </c>
      <c r="I1634" s="128"/>
      <c r="J1634" s="128"/>
      <c r="K1634" s="128"/>
      <c r="L1634" s="128"/>
      <c r="M1634" s="129"/>
      <c r="N1634" s="129"/>
      <c r="O1634" s="129"/>
    </row>
    <row r="1635" spans="1:15" ht="12.5">
      <c r="A1635" s="158" t="s">
        <v>17997</v>
      </c>
      <c r="B1635" s="159">
        <v>25</v>
      </c>
      <c r="C1635" s="159">
        <v>57</v>
      </c>
      <c r="D1635" s="159">
        <v>90</v>
      </c>
      <c r="E1635" s="159">
        <v>3</v>
      </c>
      <c r="F1635" s="160" t="s">
        <v>32838</v>
      </c>
      <c r="G1635" s="132"/>
      <c r="H1635" s="162" t="s">
        <v>17998</v>
      </c>
      <c r="I1635" s="128"/>
      <c r="J1635" s="128"/>
      <c r="K1635" s="128"/>
      <c r="L1635" s="128"/>
      <c r="M1635" s="129"/>
      <c r="N1635" s="129"/>
      <c r="O1635" s="129"/>
    </row>
    <row r="1636" spans="1:15" ht="12.5">
      <c r="A1636" s="158" t="s">
        <v>17999</v>
      </c>
      <c r="B1636" s="159">
        <v>25</v>
      </c>
      <c r="C1636" s="159">
        <v>57</v>
      </c>
      <c r="D1636" s="159">
        <v>90</v>
      </c>
      <c r="E1636" s="159">
        <v>15</v>
      </c>
      <c r="F1636" s="160" t="s">
        <v>32838</v>
      </c>
      <c r="G1636" s="132"/>
      <c r="H1636" s="162" t="s">
        <v>18000</v>
      </c>
      <c r="I1636" s="128"/>
      <c r="J1636" s="128"/>
      <c r="K1636" s="128"/>
      <c r="L1636" s="128"/>
      <c r="M1636" s="129"/>
      <c r="N1636" s="129"/>
      <c r="O1636" s="129"/>
    </row>
    <row r="1637" spans="1:15" ht="12.5">
      <c r="A1637" s="158" t="s">
        <v>18001</v>
      </c>
      <c r="B1637" s="159">
        <v>25</v>
      </c>
      <c r="C1637" s="159">
        <v>57</v>
      </c>
      <c r="D1637" s="159">
        <v>90</v>
      </c>
      <c r="E1637" s="159">
        <v>29</v>
      </c>
      <c r="F1637" s="160" t="s">
        <v>32838</v>
      </c>
      <c r="G1637" s="132"/>
      <c r="H1637" s="162" t="s">
        <v>18002</v>
      </c>
      <c r="I1637" s="158" t="s">
        <v>18003</v>
      </c>
      <c r="J1637" s="128"/>
      <c r="K1637" s="128"/>
      <c r="L1637" s="128"/>
      <c r="M1637" s="129"/>
      <c r="N1637" s="129"/>
      <c r="O1637" s="129"/>
    </row>
    <row r="1638" spans="1:15" ht="12.5">
      <c r="A1638" s="158" t="s">
        <v>18004</v>
      </c>
      <c r="B1638" s="159">
        <v>25</v>
      </c>
      <c r="C1638" s="159">
        <v>57</v>
      </c>
      <c r="D1638" s="159">
        <v>90</v>
      </c>
      <c r="E1638" s="159">
        <v>34</v>
      </c>
      <c r="F1638" s="160" t="s">
        <v>32838</v>
      </c>
      <c r="G1638" s="132"/>
      <c r="H1638" s="162" t="s">
        <v>18005</v>
      </c>
      <c r="I1638" s="128"/>
      <c r="J1638" s="128"/>
      <c r="K1638" s="128"/>
      <c r="L1638" s="128"/>
      <c r="M1638" s="129"/>
      <c r="N1638" s="129"/>
      <c r="O1638" s="129"/>
    </row>
    <row r="1639" spans="1:15" ht="12.5">
      <c r="A1639" s="158" t="s">
        <v>18006</v>
      </c>
      <c r="B1639" s="159">
        <v>25</v>
      </c>
      <c r="C1639" s="159">
        <v>57</v>
      </c>
      <c r="D1639" s="159">
        <v>90</v>
      </c>
      <c r="E1639" s="159">
        <v>63</v>
      </c>
      <c r="F1639" s="160" t="s">
        <v>32838</v>
      </c>
      <c r="G1639" s="132"/>
      <c r="H1639" s="162" t="s">
        <v>18007</v>
      </c>
      <c r="I1639" s="128"/>
      <c r="J1639" s="128"/>
      <c r="K1639" s="128"/>
      <c r="L1639" s="128"/>
      <c r="M1639" s="129"/>
      <c r="N1639" s="129"/>
      <c r="O1639" s="129"/>
    </row>
    <row r="1640" spans="1:15" ht="12.5">
      <c r="A1640" s="158" t="s">
        <v>18008</v>
      </c>
      <c r="B1640" s="159">
        <v>25</v>
      </c>
      <c r="C1640" s="159">
        <v>57</v>
      </c>
      <c r="D1640" s="159">
        <v>90</v>
      </c>
      <c r="E1640" s="159">
        <v>67</v>
      </c>
      <c r="F1640" s="160" t="s">
        <v>32838</v>
      </c>
      <c r="G1640" s="132"/>
      <c r="H1640" s="162" t="s">
        <v>18009</v>
      </c>
      <c r="I1640" s="128"/>
      <c r="J1640" s="128"/>
      <c r="K1640" s="128"/>
      <c r="L1640" s="128"/>
      <c r="M1640" s="129"/>
      <c r="N1640" s="129"/>
      <c r="O1640" s="129"/>
    </row>
    <row r="1641" spans="1:15" ht="12.5">
      <c r="A1641" s="158" t="s">
        <v>18010</v>
      </c>
      <c r="B1641" s="159">
        <v>25</v>
      </c>
      <c r="C1641" s="159">
        <v>57</v>
      </c>
      <c r="D1641" s="159">
        <v>90</v>
      </c>
      <c r="E1641" s="159">
        <v>69</v>
      </c>
      <c r="F1641" s="160" t="s">
        <v>32838</v>
      </c>
      <c r="G1641" s="132"/>
      <c r="H1641" s="162" t="s">
        <v>18011</v>
      </c>
      <c r="I1641" s="128"/>
      <c r="J1641" s="128"/>
      <c r="K1641" s="128"/>
      <c r="L1641" s="128"/>
      <c r="M1641" s="129"/>
      <c r="N1641" s="129"/>
      <c r="O1641" s="129"/>
    </row>
    <row r="1642" spans="1:15" ht="12.5">
      <c r="A1642" s="158" t="s">
        <v>18012</v>
      </c>
      <c r="B1642" s="159">
        <v>25</v>
      </c>
      <c r="C1642" s="159">
        <v>57</v>
      </c>
      <c r="D1642" s="159">
        <v>90</v>
      </c>
      <c r="E1642" s="159">
        <v>71</v>
      </c>
      <c r="F1642" s="160" t="s">
        <v>32838</v>
      </c>
      <c r="G1642" s="132"/>
      <c r="H1642" s="162" t="s">
        <v>18013</v>
      </c>
      <c r="I1642" s="128"/>
      <c r="J1642" s="128"/>
      <c r="K1642" s="128"/>
      <c r="L1642" s="128"/>
      <c r="M1642" s="129"/>
      <c r="N1642" s="129"/>
      <c r="O1642" s="129"/>
    </row>
    <row r="1643" spans="1:15" ht="12.5">
      <c r="A1643" s="158" t="s">
        <v>18014</v>
      </c>
      <c r="B1643" s="159">
        <v>25</v>
      </c>
      <c r="C1643" s="159">
        <v>57</v>
      </c>
      <c r="D1643" s="159">
        <v>90</v>
      </c>
      <c r="E1643" s="159">
        <v>75</v>
      </c>
      <c r="F1643" s="160" t="s">
        <v>32838</v>
      </c>
      <c r="G1643" s="132"/>
      <c r="H1643" s="162" t="s">
        <v>18015</v>
      </c>
      <c r="I1643" s="128"/>
      <c r="J1643" s="128"/>
      <c r="K1643" s="128"/>
      <c r="L1643" s="128"/>
      <c r="M1643" s="129"/>
      <c r="N1643" s="129"/>
      <c r="O1643" s="129"/>
    </row>
    <row r="1644" spans="1:15" ht="12.5">
      <c r="A1644" s="158" t="s">
        <v>18016</v>
      </c>
      <c r="B1644" s="159">
        <v>25</v>
      </c>
      <c r="C1644" s="159">
        <v>57</v>
      </c>
      <c r="D1644" s="159">
        <v>90</v>
      </c>
      <c r="E1644" s="159">
        <v>81</v>
      </c>
      <c r="F1644" s="160" t="s">
        <v>32838</v>
      </c>
      <c r="G1644" s="132"/>
      <c r="H1644" s="162" t="s">
        <v>18017</v>
      </c>
      <c r="I1644" s="128"/>
      <c r="J1644" s="128"/>
      <c r="K1644" s="128"/>
      <c r="L1644" s="128"/>
      <c r="M1644" s="129"/>
      <c r="N1644" s="129"/>
      <c r="O1644" s="129"/>
    </row>
    <row r="1645" spans="1:15" ht="12.5">
      <c r="A1645" s="158" t="s">
        <v>18018</v>
      </c>
      <c r="B1645" s="159">
        <v>25</v>
      </c>
      <c r="C1645" s="159">
        <v>57</v>
      </c>
      <c r="D1645" s="159">
        <v>90</v>
      </c>
      <c r="E1645" s="159">
        <v>84</v>
      </c>
      <c r="F1645" s="160" t="s">
        <v>32838</v>
      </c>
      <c r="G1645" s="132"/>
      <c r="H1645" s="162" t="s">
        <v>18019</v>
      </c>
      <c r="I1645" s="158" t="s">
        <v>18020</v>
      </c>
      <c r="J1645" s="128"/>
      <c r="K1645" s="128"/>
      <c r="L1645" s="128"/>
      <c r="M1645" s="129"/>
      <c r="N1645" s="129"/>
      <c r="O1645" s="129"/>
    </row>
    <row r="1646" spans="1:15" ht="12.5">
      <c r="A1646" s="158" t="s">
        <v>18021</v>
      </c>
      <c r="B1646" s="159">
        <v>25</v>
      </c>
      <c r="C1646" s="159">
        <v>57</v>
      </c>
      <c r="D1646" s="159">
        <v>90</v>
      </c>
      <c r="E1646" s="159">
        <v>85</v>
      </c>
      <c r="F1646" s="160" t="s">
        <v>32838</v>
      </c>
      <c r="G1646" s="132"/>
      <c r="H1646" s="162" t="s">
        <v>18022</v>
      </c>
      <c r="I1646" s="158" t="s">
        <v>18023</v>
      </c>
      <c r="J1646" s="128"/>
      <c r="K1646" s="128"/>
      <c r="L1646" s="128"/>
      <c r="M1646" s="129"/>
      <c r="N1646" s="129"/>
      <c r="O1646" s="129"/>
    </row>
    <row r="1647" spans="1:15" ht="12.5">
      <c r="A1647" s="144" t="s">
        <v>18024</v>
      </c>
      <c r="B1647" s="145">
        <v>25</v>
      </c>
      <c r="C1647" s="145">
        <v>71</v>
      </c>
      <c r="D1647" s="146"/>
      <c r="E1647" s="146"/>
      <c r="F1647" s="147" t="s">
        <v>33307</v>
      </c>
      <c r="G1647" s="148"/>
      <c r="H1647" s="149" t="s">
        <v>18025</v>
      </c>
      <c r="I1647" s="150"/>
      <c r="J1647" s="150"/>
      <c r="K1647" s="150"/>
      <c r="L1647" s="150"/>
      <c r="M1647" s="191"/>
      <c r="N1647" s="191"/>
      <c r="O1647" s="191"/>
    </row>
    <row r="1648" spans="1:15" ht="12.5">
      <c r="A1648" s="151" t="s">
        <v>18026</v>
      </c>
      <c r="B1648" s="152">
        <v>25</v>
      </c>
      <c r="C1648" s="152">
        <v>71</v>
      </c>
      <c r="D1648" s="152">
        <v>14</v>
      </c>
      <c r="E1648" s="153"/>
      <c r="F1648" s="154" t="s">
        <v>33308</v>
      </c>
      <c r="G1648" s="155"/>
      <c r="H1648" s="156" t="s">
        <v>18027</v>
      </c>
      <c r="I1648" s="157"/>
      <c r="J1648" s="128"/>
      <c r="K1648" s="128"/>
      <c r="L1648" s="128"/>
      <c r="M1648" s="129"/>
      <c r="N1648" s="129"/>
      <c r="O1648" s="129"/>
    </row>
    <row r="1649" spans="1:15" ht="12.5">
      <c r="A1649" s="158" t="s">
        <v>18028</v>
      </c>
      <c r="B1649" s="159">
        <v>25</v>
      </c>
      <c r="C1649" s="159">
        <v>71</v>
      </c>
      <c r="D1649" s="159">
        <v>14</v>
      </c>
      <c r="E1649" s="159">
        <v>1</v>
      </c>
      <c r="F1649" s="160" t="s">
        <v>32838</v>
      </c>
      <c r="G1649" s="132"/>
      <c r="H1649" s="162" t="s">
        <v>18029</v>
      </c>
      <c r="I1649" s="158" t="s">
        <v>18030</v>
      </c>
      <c r="J1649" s="128"/>
      <c r="K1649" s="128"/>
      <c r="L1649" s="128"/>
      <c r="M1649" s="129"/>
      <c r="N1649" s="129"/>
      <c r="O1649" s="129"/>
    </row>
    <row r="1650" spans="1:15" ht="12.5">
      <c r="A1650" s="158" t="s">
        <v>18031</v>
      </c>
      <c r="B1650" s="159">
        <v>25</v>
      </c>
      <c r="C1650" s="159">
        <v>71</v>
      </c>
      <c r="D1650" s="159">
        <v>14</v>
      </c>
      <c r="E1650" s="159">
        <v>2</v>
      </c>
      <c r="F1650" s="160" t="s">
        <v>32838</v>
      </c>
      <c r="G1650" s="132"/>
      <c r="H1650" s="162" t="s">
        <v>18032</v>
      </c>
      <c r="I1650" s="158" t="s">
        <v>18033</v>
      </c>
      <c r="J1650" s="128"/>
      <c r="K1650" s="128"/>
      <c r="L1650" s="128"/>
      <c r="M1650" s="129"/>
      <c r="N1650" s="129"/>
      <c r="O1650" s="129"/>
    </row>
    <row r="1651" spans="1:15" ht="12.5">
      <c r="A1651" s="158" t="s">
        <v>18039</v>
      </c>
      <c r="B1651" s="159">
        <v>25</v>
      </c>
      <c r="C1651" s="159">
        <v>71</v>
      </c>
      <c r="D1651" s="159">
        <v>14</v>
      </c>
      <c r="E1651" s="159">
        <v>5</v>
      </c>
      <c r="F1651" s="160" t="s">
        <v>32838</v>
      </c>
      <c r="G1651" s="132"/>
      <c r="H1651" s="162" t="s">
        <v>18040</v>
      </c>
      <c r="I1651" s="158" t="s">
        <v>18041</v>
      </c>
      <c r="J1651" s="128"/>
      <c r="K1651" s="128"/>
      <c r="L1651" s="128"/>
      <c r="M1651" s="129"/>
      <c r="N1651" s="129"/>
      <c r="O1651" s="129"/>
    </row>
    <row r="1652" spans="1:15" ht="12.5">
      <c r="A1652" s="158" t="s">
        <v>18042</v>
      </c>
      <c r="B1652" s="159">
        <v>25</v>
      </c>
      <c r="C1652" s="159">
        <v>71</v>
      </c>
      <c r="D1652" s="159">
        <v>14</v>
      </c>
      <c r="E1652" s="159">
        <v>6</v>
      </c>
      <c r="F1652" s="160" t="s">
        <v>32838</v>
      </c>
      <c r="G1652" s="132"/>
      <c r="H1652" s="162" t="s">
        <v>18043</v>
      </c>
      <c r="I1652" s="158" t="s">
        <v>33309</v>
      </c>
      <c r="J1652" s="128"/>
      <c r="K1652" s="128"/>
      <c r="L1652" s="128"/>
      <c r="M1652" s="129"/>
      <c r="N1652" s="129"/>
      <c r="O1652" s="129"/>
    </row>
    <row r="1653" spans="1:15" ht="12.5">
      <c r="A1653" s="158" t="s">
        <v>18044</v>
      </c>
      <c r="B1653" s="159">
        <v>25</v>
      </c>
      <c r="C1653" s="159">
        <v>71</v>
      </c>
      <c r="D1653" s="159">
        <v>14</v>
      </c>
      <c r="E1653" s="159">
        <v>7</v>
      </c>
      <c r="F1653" s="160" t="s">
        <v>33310</v>
      </c>
      <c r="G1653" s="162" t="s">
        <v>33311</v>
      </c>
      <c r="H1653" s="162" t="s">
        <v>18045</v>
      </c>
      <c r="I1653" s="158" t="s">
        <v>33312</v>
      </c>
      <c r="J1653" s="128"/>
      <c r="K1653" s="128"/>
      <c r="L1653" s="128"/>
      <c r="M1653" s="129"/>
      <c r="N1653" s="129"/>
      <c r="O1653" s="129"/>
    </row>
    <row r="1654" spans="1:15" ht="12.5">
      <c r="A1654" s="158" t="s">
        <v>18047</v>
      </c>
      <c r="B1654" s="159">
        <v>25</v>
      </c>
      <c r="C1654" s="159">
        <v>71</v>
      </c>
      <c r="D1654" s="159">
        <v>14</v>
      </c>
      <c r="E1654" s="159">
        <v>8</v>
      </c>
      <c r="F1654" s="160" t="s">
        <v>32838</v>
      </c>
      <c r="G1654" s="132"/>
      <c r="H1654" s="162" t="s">
        <v>18048</v>
      </c>
      <c r="I1654" s="158" t="s">
        <v>18049</v>
      </c>
      <c r="J1654" s="128"/>
      <c r="K1654" s="128"/>
      <c r="L1654" s="128"/>
      <c r="M1654" s="129"/>
      <c r="N1654" s="129"/>
      <c r="O1654" s="129"/>
    </row>
    <row r="1655" spans="1:15" ht="12.5">
      <c r="A1655" s="158" t="s">
        <v>18050</v>
      </c>
      <c r="B1655" s="159">
        <v>25</v>
      </c>
      <c r="C1655" s="159">
        <v>71</v>
      </c>
      <c r="D1655" s="159">
        <v>14</v>
      </c>
      <c r="E1655" s="159">
        <v>9</v>
      </c>
      <c r="F1655" s="160" t="s">
        <v>33313</v>
      </c>
      <c r="G1655" s="162" t="s">
        <v>33311</v>
      </c>
      <c r="H1655" s="162" t="s">
        <v>18051</v>
      </c>
      <c r="I1655" s="158" t="s">
        <v>33314</v>
      </c>
      <c r="J1655" s="128"/>
      <c r="K1655" s="128"/>
      <c r="L1655" s="128"/>
      <c r="M1655" s="129"/>
      <c r="N1655" s="129"/>
      <c r="O1655" s="129"/>
    </row>
    <row r="1656" spans="1:15" ht="12.5">
      <c r="A1656" s="158" t="s">
        <v>18053</v>
      </c>
      <c r="B1656" s="159">
        <v>25</v>
      </c>
      <c r="C1656" s="159">
        <v>71</v>
      </c>
      <c r="D1656" s="159">
        <v>14</v>
      </c>
      <c r="E1656" s="159">
        <v>10</v>
      </c>
      <c r="F1656" s="160" t="s">
        <v>32838</v>
      </c>
      <c r="G1656" s="132"/>
      <c r="H1656" s="162" t="s">
        <v>18054</v>
      </c>
      <c r="I1656" s="128"/>
      <c r="J1656" s="128"/>
      <c r="K1656" s="128"/>
      <c r="L1656" s="128"/>
      <c r="M1656" s="129"/>
      <c r="N1656" s="129"/>
      <c r="O1656" s="129"/>
    </row>
    <row r="1657" spans="1:15" ht="12.5">
      <c r="A1657" s="158" t="s">
        <v>18056</v>
      </c>
      <c r="B1657" s="159">
        <v>25</v>
      </c>
      <c r="C1657" s="159">
        <v>71</v>
      </c>
      <c r="D1657" s="159">
        <v>14</v>
      </c>
      <c r="E1657" s="159">
        <v>11</v>
      </c>
      <c r="F1657" s="160" t="s">
        <v>32838</v>
      </c>
      <c r="G1657" s="132"/>
      <c r="H1657" s="162" t="s">
        <v>18057</v>
      </c>
      <c r="I1657" s="158" t="s">
        <v>33315</v>
      </c>
      <c r="J1657" s="128"/>
      <c r="K1657" s="128"/>
      <c r="L1657" s="128"/>
      <c r="M1657" s="129"/>
      <c r="N1657" s="129"/>
      <c r="O1657" s="129"/>
    </row>
    <row r="1658" spans="1:15" ht="12.5">
      <c r="A1658" s="158" t="s">
        <v>18058</v>
      </c>
      <c r="B1658" s="159">
        <v>25</v>
      </c>
      <c r="C1658" s="159">
        <v>71</v>
      </c>
      <c r="D1658" s="159">
        <v>14</v>
      </c>
      <c r="E1658" s="159">
        <v>12</v>
      </c>
      <c r="F1658" s="160" t="s">
        <v>33316</v>
      </c>
      <c r="G1658" s="162" t="s">
        <v>33311</v>
      </c>
      <c r="H1658" s="162" t="s">
        <v>18059</v>
      </c>
      <c r="I1658" s="158" t="s">
        <v>33317</v>
      </c>
      <c r="J1658" s="128"/>
      <c r="K1658" s="128"/>
      <c r="L1658" s="128"/>
      <c r="M1658" s="129"/>
      <c r="N1658" s="129"/>
      <c r="O1658" s="129"/>
    </row>
    <row r="1659" spans="1:15" ht="12.5">
      <c r="A1659" s="158" t="s">
        <v>18061</v>
      </c>
      <c r="B1659" s="159">
        <v>25</v>
      </c>
      <c r="C1659" s="159">
        <v>71</v>
      </c>
      <c r="D1659" s="159">
        <v>14</v>
      </c>
      <c r="E1659" s="159">
        <v>13</v>
      </c>
      <c r="F1659" s="160" t="s">
        <v>32838</v>
      </c>
      <c r="G1659" s="132"/>
      <c r="H1659" s="162" t="s">
        <v>18062</v>
      </c>
      <c r="I1659" s="158" t="s">
        <v>18063</v>
      </c>
      <c r="J1659" s="128"/>
      <c r="K1659" s="128"/>
      <c r="L1659" s="128"/>
      <c r="M1659" s="129"/>
      <c r="N1659" s="129"/>
      <c r="O1659" s="129"/>
    </row>
    <row r="1660" spans="1:15" ht="12.5">
      <c r="A1660" s="158" t="s">
        <v>18064</v>
      </c>
      <c r="B1660" s="159">
        <v>25</v>
      </c>
      <c r="C1660" s="159">
        <v>71</v>
      </c>
      <c r="D1660" s="159">
        <v>14</v>
      </c>
      <c r="E1660" s="159">
        <v>14</v>
      </c>
      <c r="F1660" s="160" t="s">
        <v>33318</v>
      </c>
      <c r="G1660" s="162" t="s">
        <v>33311</v>
      </c>
      <c r="H1660" s="162" t="s">
        <v>18065</v>
      </c>
      <c r="I1660" s="158" t="s">
        <v>33319</v>
      </c>
      <c r="J1660" s="128"/>
      <c r="K1660" s="128"/>
      <c r="L1660" s="128"/>
      <c r="M1660" s="129"/>
      <c r="N1660" s="129"/>
      <c r="O1660" s="129"/>
    </row>
    <row r="1661" spans="1:15" ht="12.5">
      <c r="A1661" s="158" t="s">
        <v>18067</v>
      </c>
      <c r="B1661" s="159">
        <v>25</v>
      </c>
      <c r="C1661" s="159">
        <v>71</v>
      </c>
      <c r="D1661" s="159">
        <v>14</v>
      </c>
      <c r="E1661" s="159">
        <v>15</v>
      </c>
      <c r="F1661" s="160" t="s">
        <v>32838</v>
      </c>
      <c r="G1661" s="132"/>
      <c r="H1661" s="162" t="s">
        <v>18068</v>
      </c>
      <c r="I1661" s="158" t="s">
        <v>18069</v>
      </c>
      <c r="J1661" s="128"/>
      <c r="K1661" s="128"/>
      <c r="L1661" s="128"/>
      <c r="M1661" s="129"/>
      <c r="N1661" s="129"/>
      <c r="O1661" s="129"/>
    </row>
    <row r="1662" spans="1:15" ht="12.5">
      <c r="A1662" s="158" t="s">
        <v>18070</v>
      </c>
      <c r="B1662" s="159">
        <v>25</v>
      </c>
      <c r="C1662" s="159">
        <v>71</v>
      </c>
      <c r="D1662" s="159">
        <v>14</v>
      </c>
      <c r="E1662" s="159">
        <v>16</v>
      </c>
      <c r="F1662" s="160" t="s">
        <v>32838</v>
      </c>
      <c r="G1662" s="132"/>
      <c r="H1662" s="162" t="s">
        <v>18071</v>
      </c>
      <c r="I1662" s="128"/>
      <c r="J1662" s="128"/>
      <c r="K1662" s="128"/>
      <c r="L1662" s="128"/>
      <c r="M1662" s="129"/>
      <c r="N1662" s="129"/>
      <c r="O1662" s="129"/>
    </row>
    <row r="1663" spans="1:15" ht="12.5">
      <c r="A1663" s="158" t="s">
        <v>18072</v>
      </c>
      <c r="B1663" s="159">
        <v>25</v>
      </c>
      <c r="C1663" s="159">
        <v>71</v>
      </c>
      <c r="D1663" s="159">
        <v>14</v>
      </c>
      <c r="E1663" s="159">
        <v>17</v>
      </c>
      <c r="F1663" s="160" t="s">
        <v>32838</v>
      </c>
      <c r="G1663" s="132"/>
      <c r="H1663" s="162" t="s">
        <v>18073</v>
      </c>
      <c r="I1663" s="128"/>
      <c r="J1663" s="128"/>
      <c r="K1663" s="128"/>
      <c r="L1663" s="128"/>
      <c r="M1663" s="129"/>
      <c r="N1663" s="129"/>
      <c r="O1663" s="129"/>
    </row>
    <row r="1664" spans="1:15" ht="12.5">
      <c r="A1664" s="158" t="s">
        <v>18074</v>
      </c>
      <c r="B1664" s="159">
        <v>25</v>
      </c>
      <c r="C1664" s="159">
        <v>71</v>
      </c>
      <c r="D1664" s="159">
        <v>14</v>
      </c>
      <c r="E1664" s="159">
        <v>18</v>
      </c>
      <c r="F1664" s="160" t="s">
        <v>32838</v>
      </c>
      <c r="G1664" s="132"/>
      <c r="H1664" s="162" t="s">
        <v>18075</v>
      </c>
      <c r="I1664" s="158" t="s">
        <v>18076</v>
      </c>
      <c r="J1664" s="128"/>
      <c r="K1664" s="128"/>
      <c r="L1664" s="128"/>
      <c r="M1664" s="129"/>
      <c r="N1664" s="129"/>
      <c r="O1664" s="129"/>
    </row>
    <row r="1665" spans="1:15" ht="12.5">
      <c r="A1665" s="158" t="s">
        <v>18077</v>
      </c>
      <c r="B1665" s="159">
        <v>25</v>
      </c>
      <c r="C1665" s="159">
        <v>71</v>
      </c>
      <c r="D1665" s="159">
        <v>14</v>
      </c>
      <c r="E1665" s="159">
        <v>19</v>
      </c>
      <c r="F1665" s="160" t="s">
        <v>32838</v>
      </c>
      <c r="G1665" s="132"/>
      <c r="H1665" s="162" t="s">
        <v>18078</v>
      </c>
      <c r="I1665" s="158" t="s">
        <v>18079</v>
      </c>
      <c r="J1665" s="128"/>
      <c r="K1665" s="128"/>
      <c r="L1665" s="128"/>
      <c r="M1665" s="129"/>
      <c r="N1665" s="129"/>
      <c r="O1665" s="129"/>
    </row>
    <row r="1666" spans="1:15" ht="12.5">
      <c r="A1666" s="158" t="s">
        <v>18080</v>
      </c>
      <c r="B1666" s="159">
        <v>25</v>
      </c>
      <c r="C1666" s="159">
        <v>71</v>
      </c>
      <c r="D1666" s="159">
        <v>14</v>
      </c>
      <c r="E1666" s="159">
        <v>20</v>
      </c>
      <c r="F1666" s="160" t="s">
        <v>32838</v>
      </c>
      <c r="G1666" s="132"/>
      <c r="H1666" s="162" t="s">
        <v>18081</v>
      </c>
      <c r="I1666" s="158" t="s">
        <v>18082</v>
      </c>
      <c r="J1666" s="128"/>
      <c r="K1666" s="128"/>
      <c r="L1666" s="128"/>
      <c r="M1666" s="129"/>
      <c r="N1666" s="129"/>
      <c r="O1666" s="129"/>
    </row>
    <row r="1667" spans="1:15" ht="12.5">
      <c r="A1667" s="158" t="s">
        <v>18083</v>
      </c>
      <c r="B1667" s="159">
        <v>25</v>
      </c>
      <c r="C1667" s="159">
        <v>71</v>
      </c>
      <c r="D1667" s="159">
        <v>14</v>
      </c>
      <c r="E1667" s="159">
        <v>21</v>
      </c>
      <c r="F1667" s="160" t="s">
        <v>32838</v>
      </c>
      <c r="G1667" s="132"/>
      <c r="H1667" s="162" t="s">
        <v>18084</v>
      </c>
      <c r="I1667" s="128"/>
      <c r="J1667" s="128"/>
      <c r="K1667" s="128"/>
      <c r="L1667" s="128"/>
      <c r="M1667" s="129"/>
      <c r="N1667" s="129"/>
      <c r="O1667" s="129"/>
    </row>
    <row r="1668" spans="1:15" ht="12.5">
      <c r="A1668" s="158" t="s">
        <v>18088</v>
      </c>
      <c r="B1668" s="159">
        <v>25</v>
      </c>
      <c r="C1668" s="159">
        <v>71</v>
      </c>
      <c r="D1668" s="159">
        <v>14</v>
      </c>
      <c r="E1668" s="159">
        <v>30</v>
      </c>
      <c r="F1668" s="160" t="s">
        <v>32838</v>
      </c>
      <c r="G1668" s="132"/>
      <c r="H1668" s="162" t="s">
        <v>18089</v>
      </c>
      <c r="I1668" s="128"/>
      <c r="J1668" s="128"/>
      <c r="K1668" s="128"/>
      <c r="L1668" s="128"/>
      <c r="M1668" s="129"/>
      <c r="N1668" s="129"/>
      <c r="O1668" s="129"/>
    </row>
    <row r="1669" spans="1:15" ht="12.5">
      <c r="A1669" s="158" t="s">
        <v>18090</v>
      </c>
      <c r="B1669" s="159">
        <v>25</v>
      </c>
      <c r="C1669" s="159">
        <v>71</v>
      </c>
      <c r="D1669" s="159">
        <v>14</v>
      </c>
      <c r="E1669" s="159">
        <v>31</v>
      </c>
      <c r="F1669" s="160" t="s">
        <v>32838</v>
      </c>
      <c r="G1669" s="132"/>
      <c r="H1669" s="162" t="s">
        <v>18091</v>
      </c>
      <c r="I1669" s="128"/>
      <c r="J1669" s="128"/>
      <c r="K1669" s="128"/>
      <c r="L1669" s="128"/>
      <c r="M1669" s="129"/>
      <c r="N1669" s="129"/>
      <c r="O1669" s="129"/>
    </row>
    <row r="1670" spans="1:15" ht="12.5">
      <c r="A1670" s="158" t="s">
        <v>18092</v>
      </c>
      <c r="B1670" s="159">
        <v>25</v>
      </c>
      <c r="C1670" s="159">
        <v>71</v>
      </c>
      <c r="D1670" s="159">
        <v>14</v>
      </c>
      <c r="E1670" s="159">
        <v>33</v>
      </c>
      <c r="F1670" s="160" t="s">
        <v>32838</v>
      </c>
      <c r="G1670" s="132"/>
      <c r="H1670" s="162" t="s">
        <v>18093</v>
      </c>
      <c r="I1670" s="128"/>
      <c r="J1670" s="128"/>
      <c r="K1670" s="128"/>
      <c r="L1670" s="128"/>
      <c r="M1670" s="129"/>
      <c r="N1670" s="129"/>
      <c r="O1670" s="129"/>
    </row>
    <row r="1671" spans="1:15" ht="12.5">
      <c r="A1671" s="158" t="s">
        <v>18094</v>
      </c>
      <c r="B1671" s="159">
        <v>25</v>
      </c>
      <c r="C1671" s="159">
        <v>71</v>
      </c>
      <c r="D1671" s="159">
        <v>14</v>
      </c>
      <c r="E1671" s="159">
        <v>34</v>
      </c>
      <c r="F1671" s="160" t="s">
        <v>32838</v>
      </c>
      <c r="G1671" s="132"/>
      <c r="H1671" s="162" t="s">
        <v>18095</v>
      </c>
      <c r="I1671" s="128"/>
      <c r="J1671" s="128"/>
      <c r="K1671" s="128"/>
      <c r="L1671" s="128"/>
      <c r="M1671" s="129"/>
      <c r="N1671" s="129"/>
      <c r="O1671" s="129"/>
    </row>
    <row r="1672" spans="1:15" ht="12.5">
      <c r="A1672" s="158" t="s">
        <v>18098</v>
      </c>
      <c r="B1672" s="159">
        <v>25</v>
      </c>
      <c r="C1672" s="159">
        <v>71</v>
      </c>
      <c r="D1672" s="159">
        <v>14</v>
      </c>
      <c r="E1672" s="159">
        <v>56</v>
      </c>
      <c r="F1672" s="160" t="s">
        <v>32838</v>
      </c>
      <c r="G1672" s="132"/>
      <c r="H1672" s="162" t="s">
        <v>18099</v>
      </c>
      <c r="I1672" s="158" t="s">
        <v>18100</v>
      </c>
      <c r="J1672" s="128"/>
      <c r="K1672" s="128"/>
      <c r="L1672" s="128"/>
      <c r="M1672" s="129"/>
      <c r="N1672" s="129"/>
      <c r="O1672" s="129"/>
    </row>
    <row r="1673" spans="1:15" ht="12.5">
      <c r="A1673" s="158" t="s">
        <v>18101</v>
      </c>
      <c r="B1673" s="159">
        <v>25</v>
      </c>
      <c r="C1673" s="159">
        <v>71</v>
      </c>
      <c r="D1673" s="159">
        <v>14</v>
      </c>
      <c r="E1673" s="159">
        <v>57</v>
      </c>
      <c r="F1673" s="160" t="s">
        <v>32838</v>
      </c>
      <c r="G1673" s="132"/>
      <c r="H1673" s="162" t="s">
        <v>18102</v>
      </c>
      <c r="I1673" s="128"/>
      <c r="J1673" s="128"/>
      <c r="K1673" s="128"/>
      <c r="L1673" s="128"/>
      <c r="M1673" s="129"/>
      <c r="N1673" s="129"/>
      <c r="O1673" s="129"/>
    </row>
    <row r="1674" spans="1:15" ht="12.5">
      <c r="A1674" s="158" t="s">
        <v>18103</v>
      </c>
      <c r="B1674" s="159">
        <v>25</v>
      </c>
      <c r="C1674" s="159">
        <v>71</v>
      </c>
      <c r="D1674" s="159">
        <v>14</v>
      </c>
      <c r="E1674" s="159">
        <v>62</v>
      </c>
      <c r="F1674" s="160" t="s">
        <v>32838</v>
      </c>
      <c r="G1674" s="132"/>
      <c r="H1674" s="162" t="s">
        <v>18104</v>
      </c>
      <c r="I1674" s="158" t="s">
        <v>18105</v>
      </c>
      <c r="J1674" s="128"/>
      <c r="K1674" s="128"/>
      <c r="L1674" s="128"/>
      <c r="M1674" s="129"/>
      <c r="N1674" s="129"/>
      <c r="O1674" s="129"/>
    </row>
    <row r="1675" spans="1:15" ht="12.5">
      <c r="A1675" s="158" t="s">
        <v>18106</v>
      </c>
      <c r="B1675" s="159">
        <v>25</v>
      </c>
      <c r="C1675" s="159">
        <v>71</v>
      </c>
      <c r="D1675" s="159">
        <v>14</v>
      </c>
      <c r="E1675" s="159">
        <v>63</v>
      </c>
      <c r="F1675" s="160" t="s">
        <v>32838</v>
      </c>
      <c r="G1675" s="132"/>
      <c r="H1675" s="162" t="s">
        <v>18107</v>
      </c>
      <c r="I1675" s="128"/>
      <c r="J1675" s="128"/>
      <c r="K1675" s="128"/>
      <c r="L1675" s="128"/>
      <c r="M1675" s="129"/>
      <c r="N1675" s="129"/>
      <c r="O1675" s="129"/>
    </row>
    <row r="1676" spans="1:15" ht="12.5">
      <c r="A1676" s="158" t="s">
        <v>18108</v>
      </c>
      <c r="B1676" s="159">
        <v>25</v>
      </c>
      <c r="C1676" s="159">
        <v>71</v>
      </c>
      <c r="D1676" s="159">
        <v>14</v>
      </c>
      <c r="E1676" s="159">
        <v>65</v>
      </c>
      <c r="F1676" s="160" t="s">
        <v>32838</v>
      </c>
      <c r="G1676" s="132"/>
      <c r="H1676" s="162" t="s">
        <v>18109</v>
      </c>
      <c r="I1676" s="158" t="s">
        <v>18110</v>
      </c>
      <c r="J1676" s="128"/>
      <c r="K1676" s="128"/>
      <c r="L1676" s="128"/>
      <c r="M1676" s="129"/>
      <c r="N1676" s="129"/>
      <c r="O1676" s="129"/>
    </row>
    <row r="1677" spans="1:15" ht="12.5">
      <c r="A1677" s="158" t="s">
        <v>18117</v>
      </c>
      <c r="B1677" s="159">
        <v>25</v>
      </c>
      <c r="C1677" s="159">
        <v>71</v>
      </c>
      <c r="D1677" s="159">
        <v>14</v>
      </c>
      <c r="E1677" s="159">
        <v>81</v>
      </c>
      <c r="F1677" s="160" t="s">
        <v>32838</v>
      </c>
      <c r="G1677" s="132"/>
      <c r="H1677" s="162" t="s">
        <v>18118</v>
      </c>
      <c r="I1677" s="128"/>
      <c r="J1677" s="128"/>
      <c r="K1677" s="128"/>
      <c r="L1677" s="128"/>
      <c r="M1677" s="129"/>
      <c r="N1677" s="129"/>
      <c r="O1677" s="129"/>
    </row>
    <row r="1678" spans="1:15" ht="12.5">
      <c r="A1678" s="158" t="s">
        <v>18119</v>
      </c>
      <c r="B1678" s="159">
        <v>25</v>
      </c>
      <c r="C1678" s="159">
        <v>71</v>
      </c>
      <c r="D1678" s="159">
        <v>14</v>
      </c>
      <c r="E1678" s="159">
        <v>82</v>
      </c>
      <c r="F1678" s="160" t="s">
        <v>32838</v>
      </c>
      <c r="G1678" s="132"/>
      <c r="H1678" s="162" t="s">
        <v>18120</v>
      </c>
      <c r="I1678" s="158" t="s">
        <v>18121</v>
      </c>
      <c r="J1678" s="128"/>
      <c r="K1678" s="128"/>
      <c r="L1678" s="128"/>
      <c r="M1678" s="129"/>
      <c r="N1678" s="129"/>
      <c r="O1678" s="129"/>
    </row>
    <row r="1679" spans="1:15" ht="12.5">
      <c r="A1679" s="158" t="s">
        <v>18122</v>
      </c>
      <c r="B1679" s="159">
        <v>25</v>
      </c>
      <c r="C1679" s="159">
        <v>71</v>
      </c>
      <c r="D1679" s="159">
        <v>14</v>
      </c>
      <c r="E1679" s="159">
        <v>83</v>
      </c>
      <c r="F1679" s="160" t="s">
        <v>32838</v>
      </c>
      <c r="G1679" s="132"/>
      <c r="H1679" s="162" t="s">
        <v>18123</v>
      </c>
      <c r="I1679" s="158" t="s">
        <v>33320</v>
      </c>
      <c r="J1679" s="128"/>
      <c r="K1679" s="128"/>
      <c r="L1679" s="128"/>
      <c r="M1679" s="129"/>
      <c r="N1679" s="129"/>
      <c r="O1679" s="129"/>
    </row>
    <row r="1680" spans="1:15" ht="12.5">
      <c r="A1680" s="158" t="s">
        <v>18124</v>
      </c>
      <c r="B1680" s="159">
        <v>25</v>
      </c>
      <c r="C1680" s="159">
        <v>71</v>
      </c>
      <c r="D1680" s="159">
        <v>14</v>
      </c>
      <c r="E1680" s="159">
        <v>84</v>
      </c>
      <c r="F1680" s="160" t="s">
        <v>32838</v>
      </c>
      <c r="G1680" s="132"/>
      <c r="H1680" s="162" t="s">
        <v>18125</v>
      </c>
      <c r="I1680" s="158" t="s">
        <v>18126</v>
      </c>
      <c r="J1680" s="128"/>
      <c r="K1680" s="128"/>
      <c r="L1680" s="128"/>
      <c r="M1680" s="129"/>
      <c r="N1680" s="129"/>
      <c r="O1680" s="129"/>
    </row>
    <row r="1681" spans="1:15" ht="12.5">
      <c r="A1681" s="158" t="s">
        <v>18127</v>
      </c>
      <c r="B1681" s="159">
        <v>25</v>
      </c>
      <c r="C1681" s="159">
        <v>71</v>
      </c>
      <c r="D1681" s="159">
        <v>14</v>
      </c>
      <c r="E1681" s="159">
        <v>85</v>
      </c>
      <c r="F1681" s="160" t="s">
        <v>32838</v>
      </c>
      <c r="G1681" s="132"/>
      <c r="H1681" s="162" t="s">
        <v>18128</v>
      </c>
      <c r="I1681" s="158" t="s">
        <v>18129</v>
      </c>
      <c r="J1681" s="128"/>
      <c r="K1681" s="128"/>
      <c r="L1681" s="128"/>
      <c r="M1681" s="129"/>
      <c r="N1681" s="129"/>
      <c r="O1681" s="129"/>
    </row>
    <row r="1682" spans="1:15" ht="12.5">
      <c r="A1682" s="158" t="s">
        <v>18130</v>
      </c>
      <c r="B1682" s="159">
        <v>25</v>
      </c>
      <c r="C1682" s="159">
        <v>71</v>
      </c>
      <c r="D1682" s="159">
        <v>14</v>
      </c>
      <c r="E1682" s="159">
        <v>86</v>
      </c>
      <c r="F1682" s="160" t="s">
        <v>32838</v>
      </c>
      <c r="G1682" s="132"/>
      <c r="H1682" s="162" t="s">
        <v>18131</v>
      </c>
      <c r="I1682" s="158" t="s">
        <v>18132</v>
      </c>
      <c r="J1682" s="128"/>
      <c r="K1682" s="128"/>
      <c r="L1682" s="128"/>
      <c r="M1682" s="129"/>
      <c r="N1682" s="129"/>
      <c r="O1682" s="129"/>
    </row>
    <row r="1683" spans="1:15" ht="12.5">
      <c r="A1683" s="158" t="s">
        <v>18136</v>
      </c>
      <c r="B1683" s="159">
        <v>25</v>
      </c>
      <c r="C1683" s="159">
        <v>71</v>
      </c>
      <c r="D1683" s="159">
        <v>14</v>
      </c>
      <c r="E1683" s="159">
        <v>88</v>
      </c>
      <c r="F1683" s="160" t="s">
        <v>33321</v>
      </c>
      <c r="G1683" s="162" t="s">
        <v>33322</v>
      </c>
      <c r="H1683" s="162" t="s">
        <v>18137</v>
      </c>
      <c r="I1683" s="158" t="s">
        <v>33323</v>
      </c>
      <c r="J1683" s="128"/>
      <c r="K1683" s="128"/>
      <c r="L1683" s="128"/>
      <c r="M1683" s="129"/>
      <c r="N1683" s="129"/>
      <c r="O1683" s="129"/>
    </row>
    <row r="1684" spans="1:15" ht="12.5">
      <c r="A1684" s="158" t="s">
        <v>18139</v>
      </c>
      <c r="B1684" s="159">
        <v>25</v>
      </c>
      <c r="C1684" s="159">
        <v>71</v>
      </c>
      <c r="D1684" s="159">
        <v>14</v>
      </c>
      <c r="E1684" s="159">
        <v>90</v>
      </c>
      <c r="F1684" s="160" t="s">
        <v>32838</v>
      </c>
      <c r="G1684" s="132"/>
      <c r="H1684" s="162" t="s">
        <v>18140</v>
      </c>
      <c r="I1684" s="128"/>
      <c r="J1684" s="128"/>
      <c r="K1684" s="128"/>
      <c r="L1684" s="128"/>
      <c r="M1684" s="129"/>
      <c r="N1684" s="129"/>
      <c r="O1684" s="129"/>
    </row>
    <row r="1685" spans="1:15" ht="12.5">
      <c r="A1685" s="158" t="s">
        <v>18141</v>
      </c>
      <c r="B1685" s="159">
        <v>25</v>
      </c>
      <c r="C1685" s="159">
        <v>71</v>
      </c>
      <c r="D1685" s="159">
        <v>14</v>
      </c>
      <c r="E1685" s="159">
        <v>98</v>
      </c>
      <c r="F1685" s="160" t="s">
        <v>32838</v>
      </c>
      <c r="G1685" s="132"/>
      <c r="H1685" s="162" t="s">
        <v>18142</v>
      </c>
      <c r="I1685" s="158" t="s">
        <v>18143</v>
      </c>
      <c r="J1685" s="128"/>
      <c r="K1685" s="128"/>
      <c r="L1685" s="128"/>
      <c r="M1685" s="129"/>
      <c r="N1685" s="129"/>
      <c r="O1685" s="129"/>
    </row>
    <row r="1686" spans="1:15" ht="12.5">
      <c r="A1686" s="158" t="s">
        <v>18144</v>
      </c>
      <c r="B1686" s="159">
        <v>25</v>
      </c>
      <c r="C1686" s="159">
        <v>71</v>
      </c>
      <c r="D1686" s="159">
        <v>14</v>
      </c>
      <c r="E1686" s="159">
        <v>99</v>
      </c>
      <c r="F1686" s="160" t="s">
        <v>32838</v>
      </c>
      <c r="G1686" s="132"/>
      <c r="H1686" s="162" t="s">
        <v>18145</v>
      </c>
      <c r="I1686" s="128"/>
      <c r="J1686" s="128"/>
      <c r="K1686" s="128"/>
      <c r="L1686" s="128"/>
      <c r="M1686" s="129"/>
      <c r="N1686" s="129"/>
      <c r="O1686" s="129"/>
    </row>
    <row r="1687" spans="1:15" ht="12.5">
      <c r="A1687" s="151" t="s">
        <v>18146</v>
      </c>
      <c r="B1687" s="152">
        <v>25</v>
      </c>
      <c r="C1687" s="152">
        <v>71</v>
      </c>
      <c r="D1687" s="152">
        <v>29</v>
      </c>
      <c r="E1687" s="153"/>
      <c r="F1687" s="154" t="s">
        <v>33324</v>
      </c>
      <c r="G1687" s="155"/>
      <c r="H1687" s="156" t="s">
        <v>18147</v>
      </c>
      <c r="I1687" s="157"/>
      <c r="J1687" s="128"/>
      <c r="K1687" s="128"/>
      <c r="L1687" s="128"/>
      <c r="M1687" s="129"/>
      <c r="N1687" s="129"/>
      <c r="O1687" s="129"/>
    </row>
    <row r="1688" spans="1:15" ht="12.5">
      <c r="A1688" s="158" t="s">
        <v>18148</v>
      </c>
      <c r="B1688" s="159">
        <v>25</v>
      </c>
      <c r="C1688" s="159">
        <v>71</v>
      </c>
      <c r="D1688" s="159">
        <v>29</v>
      </c>
      <c r="E1688" s="159">
        <v>4</v>
      </c>
      <c r="F1688" s="160" t="s">
        <v>32838</v>
      </c>
      <c r="G1688" s="132"/>
      <c r="H1688" s="162" t="s">
        <v>18149</v>
      </c>
      <c r="I1688" s="158" t="s">
        <v>18150</v>
      </c>
      <c r="J1688" s="128"/>
      <c r="K1688" s="128"/>
      <c r="L1688" s="128"/>
      <c r="M1688" s="129"/>
      <c r="N1688" s="129"/>
      <c r="O1688" s="129"/>
    </row>
    <row r="1689" spans="1:15" ht="12.5">
      <c r="A1689" s="158" t="s">
        <v>18151</v>
      </c>
      <c r="B1689" s="159">
        <v>25</v>
      </c>
      <c r="C1689" s="159">
        <v>71</v>
      </c>
      <c r="D1689" s="159">
        <v>29</v>
      </c>
      <c r="E1689" s="159">
        <v>11</v>
      </c>
      <c r="F1689" s="160" t="s">
        <v>32838</v>
      </c>
      <c r="G1689" s="132"/>
      <c r="H1689" s="162" t="s">
        <v>18152</v>
      </c>
      <c r="I1689" s="158" t="s">
        <v>18153</v>
      </c>
      <c r="J1689" s="128"/>
      <c r="K1689" s="128"/>
      <c r="L1689" s="128"/>
      <c r="M1689" s="129"/>
      <c r="N1689" s="129"/>
      <c r="O1689" s="129"/>
    </row>
    <row r="1690" spans="1:15" ht="12.5">
      <c r="A1690" s="158" t="s">
        <v>18154</v>
      </c>
      <c r="B1690" s="159">
        <v>25</v>
      </c>
      <c r="C1690" s="159">
        <v>71</v>
      </c>
      <c r="D1690" s="159">
        <v>29</v>
      </c>
      <c r="E1690" s="159">
        <v>14</v>
      </c>
      <c r="F1690" s="160" t="s">
        <v>32838</v>
      </c>
      <c r="G1690" s="132"/>
      <c r="H1690" s="162" t="s">
        <v>18155</v>
      </c>
      <c r="I1690" s="158" t="s">
        <v>18156</v>
      </c>
      <c r="J1690" s="128"/>
      <c r="K1690" s="128"/>
      <c r="L1690" s="128"/>
      <c r="M1690" s="129"/>
      <c r="N1690" s="129"/>
      <c r="O1690" s="129"/>
    </row>
    <row r="1691" spans="1:15" ht="12.5">
      <c r="A1691" s="158" t="s">
        <v>18157</v>
      </c>
      <c r="B1691" s="159">
        <v>25</v>
      </c>
      <c r="C1691" s="159">
        <v>71</v>
      </c>
      <c r="D1691" s="159">
        <v>29</v>
      </c>
      <c r="E1691" s="159">
        <v>15</v>
      </c>
      <c r="F1691" s="160" t="s">
        <v>32838</v>
      </c>
      <c r="G1691" s="132"/>
      <c r="H1691" s="162" t="s">
        <v>18158</v>
      </c>
      <c r="I1691" s="158" t="s">
        <v>18159</v>
      </c>
      <c r="J1691" s="128"/>
      <c r="K1691" s="128"/>
      <c r="L1691" s="128"/>
      <c r="M1691" s="129"/>
      <c r="N1691" s="129"/>
      <c r="O1691" s="129"/>
    </row>
    <row r="1692" spans="1:15" ht="12.5">
      <c r="A1692" s="158" t="s">
        <v>18160</v>
      </c>
      <c r="B1692" s="159">
        <v>25</v>
      </c>
      <c r="C1692" s="159">
        <v>71</v>
      </c>
      <c r="D1692" s="159">
        <v>29</v>
      </c>
      <c r="E1692" s="159">
        <v>16</v>
      </c>
      <c r="F1692" s="160" t="s">
        <v>32838</v>
      </c>
      <c r="G1692" s="132"/>
      <c r="H1692" s="162" t="s">
        <v>18161</v>
      </c>
      <c r="I1692" s="158" t="s">
        <v>18162</v>
      </c>
      <c r="J1692" s="128"/>
      <c r="K1692" s="128"/>
      <c r="L1692" s="128"/>
      <c r="M1692" s="129"/>
      <c r="N1692" s="129"/>
      <c r="O1692" s="129"/>
    </row>
    <row r="1693" spans="1:15" ht="12.5">
      <c r="A1693" s="158" t="s">
        <v>18163</v>
      </c>
      <c r="B1693" s="159">
        <v>25</v>
      </c>
      <c r="C1693" s="159">
        <v>71</v>
      </c>
      <c r="D1693" s="159">
        <v>29</v>
      </c>
      <c r="E1693" s="159">
        <v>17</v>
      </c>
      <c r="F1693" s="160" t="s">
        <v>32838</v>
      </c>
      <c r="G1693" s="132"/>
      <c r="H1693" s="162" t="s">
        <v>18164</v>
      </c>
      <c r="I1693" s="158" t="s">
        <v>18165</v>
      </c>
      <c r="J1693" s="128"/>
      <c r="K1693" s="128"/>
      <c r="L1693" s="128"/>
      <c r="M1693" s="129"/>
      <c r="N1693" s="129"/>
      <c r="O1693" s="129"/>
    </row>
    <row r="1694" spans="1:15" ht="12.5">
      <c r="A1694" s="158" t="s">
        <v>18166</v>
      </c>
      <c r="B1694" s="159">
        <v>25</v>
      </c>
      <c r="C1694" s="159">
        <v>71</v>
      </c>
      <c r="D1694" s="159">
        <v>29</v>
      </c>
      <c r="E1694" s="159">
        <v>24</v>
      </c>
      <c r="F1694" s="160" t="s">
        <v>33325</v>
      </c>
      <c r="G1694" s="162" t="s">
        <v>33326</v>
      </c>
      <c r="H1694" s="162" t="s">
        <v>18167</v>
      </c>
      <c r="I1694" s="158" t="s">
        <v>33327</v>
      </c>
      <c r="J1694" s="128"/>
      <c r="K1694" s="128"/>
      <c r="L1694" s="128"/>
      <c r="M1694" s="129"/>
      <c r="N1694" s="129"/>
      <c r="O1694" s="129"/>
    </row>
    <row r="1695" spans="1:15" ht="12.5">
      <c r="A1695" s="158" t="s">
        <v>18169</v>
      </c>
      <c r="B1695" s="159">
        <v>25</v>
      </c>
      <c r="C1695" s="159">
        <v>71</v>
      </c>
      <c r="D1695" s="159">
        <v>29</v>
      </c>
      <c r="E1695" s="159">
        <v>28</v>
      </c>
      <c r="F1695" s="160" t="s">
        <v>32838</v>
      </c>
      <c r="G1695" s="132"/>
      <c r="H1695" s="162" t="s">
        <v>18170</v>
      </c>
      <c r="I1695" s="158" t="s">
        <v>18171</v>
      </c>
      <c r="J1695" s="128"/>
      <c r="K1695" s="128"/>
      <c r="L1695" s="128"/>
      <c r="M1695" s="129"/>
      <c r="N1695" s="129"/>
      <c r="O1695" s="129"/>
    </row>
    <row r="1696" spans="1:15" ht="12.5">
      <c r="A1696" s="158" t="s">
        <v>18172</v>
      </c>
      <c r="B1696" s="159">
        <v>25</v>
      </c>
      <c r="C1696" s="159">
        <v>71</v>
      </c>
      <c r="D1696" s="159">
        <v>29</v>
      </c>
      <c r="E1696" s="159">
        <v>37</v>
      </c>
      <c r="F1696" s="160" t="s">
        <v>32838</v>
      </c>
      <c r="G1696" s="132"/>
      <c r="H1696" s="162" t="s">
        <v>18173</v>
      </c>
      <c r="I1696" s="158" t="s">
        <v>18174</v>
      </c>
      <c r="J1696" s="128"/>
      <c r="K1696" s="128"/>
      <c r="L1696" s="128"/>
      <c r="M1696" s="129"/>
      <c r="N1696" s="129"/>
      <c r="O1696" s="129"/>
    </row>
    <row r="1697" spans="1:15" ht="12.5">
      <c r="A1697" s="158" t="s">
        <v>18175</v>
      </c>
      <c r="B1697" s="159">
        <v>25</v>
      </c>
      <c r="C1697" s="159">
        <v>71</v>
      </c>
      <c r="D1697" s="159">
        <v>29</v>
      </c>
      <c r="E1697" s="159">
        <v>56</v>
      </c>
      <c r="F1697" s="160" t="s">
        <v>32838</v>
      </c>
      <c r="G1697" s="132"/>
      <c r="H1697" s="162" t="s">
        <v>18176</v>
      </c>
      <c r="I1697" s="158" t="s">
        <v>18177</v>
      </c>
      <c r="J1697" s="128"/>
      <c r="K1697" s="128"/>
      <c r="L1697" s="128"/>
      <c r="M1697" s="129"/>
      <c r="N1697" s="129"/>
      <c r="O1697" s="129"/>
    </row>
    <row r="1698" spans="1:15" ht="12.5">
      <c r="A1698" s="158" t="s">
        <v>18178</v>
      </c>
      <c r="B1698" s="159">
        <v>25</v>
      </c>
      <c r="C1698" s="159">
        <v>71</v>
      </c>
      <c r="D1698" s="159">
        <v>29</v>
      </c>
      <c r="E1698" s="159">
        <v>60</v>
      </c>
      <c r="F1698" s="160" t="s">
        <v>32838</v>
      </c>
      <c r="G1698" s="132"/>
      <c r="H1698" s="162" t="s">
        <v>18179</v>
      </c>
      <c r="I1698" s="158" t="s">
        <v>18180</v>
      </c>
      <c r="J1698" s="128"/>
      <c r="K1698" s="128"/>
      <c r="L1698" s="128"/>
      <c r="M1698" s="129"/>
      <c r="N1698" s="129"/>
      <c r="O1698" s="129"/>
    </row>
    <row r="1699" spans="1:15" ht="12.5">
      <c r="A1699" s="158" t="s">
        <v>18181</v>
      </c>
      <c r="B1699" s="159">
        <v>25</v>
      </c>
      <c r="C1699" s="159">
        <v>71</v>
      </c>
      <c r="D1699" s="159">
        <v>29</v>
      </c>
      <c r="E1699" s="159">
        <v>62</v>
      </c>
      <c r="F1699" s="160" t="s">
        <v>33328</v>
      </c>
      <c r="G1699" s="162" t="s">
        <v>33329</v>
      </c>
      <c r="H1699" s="162" t="s">
        <v>18182</v>
      </c>
      <c r="I1699" s="158" t="s">
        <v>33330</v>
      </c>
      <c r="J1699" s="128"/>
      <c r="K1699" s="128"/>
      <c r="L1699" s="128"/>
      <c r="M1699" s="129"/>
      <c r="N1699" s="129"/>
      <c r="O1699" s="129"/>
    </row>
    <row r="1700" spans="1:15" ht="12.5">
      <c r="A1700" s="158" t="s">
        <v>18184</v>
      </c>
      <c r="B1700" s="159">
        <v>25</v>
      </c>
      <c r="C1700" s="159">
        <v>71</v>
      </c>
      <c r="D1700" s="159">
        <v>29</v>
      </c>
      <c r="E1700" s="159">
        <v>64</v>
      </c>
      <c r="F1700" s="160" t="s">
        <v>32838</v>
      </c>
      <c r="G1700" s="132"/>
      <c r="H1700" s="162" t="s">
        <v>18185</v>
      </c>
      <c r="I1700" s="158" t="s">
        <v>18186</v>
      </c>
      <c r="J1700" s="128"/>
      <c r="K1700" s="128"/>
      <c r="L1700" s="128"/>
      <c r="M1700" s="129"/>
      <c r="N1700" s="129"/>
      <c r="O1700" s="129"/>
    </row>
    <row r="1701" spans="1:15" ht="12.5">
      <c r="A1701" s="158" t="s">
        <v>18187</v>
      </c>
      <c r="B1701" s="159">
        <v>25</v>
      </c>
      <c r="C1701" s="159">
        <v>71</v>
      </c>
      <c r="D1701" s="159">
        <v>29</v>
      </c>
      <c r="E1701" s="159">
        <v>72</v>
      </c>
      <c r="F1701" s="160" t="s">
        <v>32838</v>
      </c>
      <c r="G1701" s="132"/>
      <c r="H1701" s="162" t="s">
        <v>18188</v>
      </c>
      <c r="I1701" s="158" t="s">
        <v>18189</v>
      </c>
      <c r="J1701" s="128"/>
      <c r="K1701" s="128"/>
      <c r="L1701" s="128"/>
      <c r="M1701" s="129"/>
      <c r="N1701" s="129"/>
      <c r="O1701" s="129"/>
    </row>
    <row r="1702" spans="1:15" ht="12.5">
      <c r="A1702" s="158" t="s">
        <v>18190</v>
      </c>
      <c r="B1702" s="159">
        <v>25</v>
      </c>
      <c r="C1702" s="159">
        <v>71</v>
      </c>
      <c r="D1702" s="159">
        <v>29</v>
      </c>
      <c r="E1702" s="159">
        <v>76</v>
      </c>
      <c r="F1702" s="160" t="s">
        <v>32838</v>
      </c>
      <c r="G1702" s="132"/>
      <c r="H1702" s="162" t="s">
        <v>18191</v>
      </c>
      <c r="I1702" s="158" t="s">
        <v>18192</v>
      </c>
      <c r="J1702" s="128"/>
      <c r="K1702" s="128"/>
      <c r="L1702" s="128"/>
      <c r="M1702" s="129"/>
      <c r="N1702" s="129"/>
      <c r="O1702" s="129"/>
    </row>
    <row r="1703" spans="1:15" ht="12.5">
      <c r="A1703" s="158" t="s">
        <v>18193</v>
      </c>
      <c r="B1703" s="159">
        <v>25</v>
      </c>
      <c r="C1703" s="159">
        <v>71</v>
      </c>
      <c r="D1703" s="159">
        <v>29</v>
      </c>
      <c r="E1703" s="159">
        <v>86</v>
      </c>
      <c r="F1703" s="160" t="s">
        <v>32838</v>
      </c>
      <c r="G1703" s="132"/>
      <c r="H1703" s="162" t="s">
        <v>18194</v>
      </c>
      <c r="I1703" s="158" t="s">
        <v>18195</v>
      </c>
      <c r="J1703" s="128"/>
      <c r="K1703" s="128"/>
      <c r="L1703" s="128"/>
      <c r="M1703" s="129"/>
      <c r="N1703" s="129"/>
      <c r="O1703" s="129"/>
    </row>
    <row r="1704" spans="1:15" ht="12.5">
      <c r="A1704" s="158" t="s">
        <v>18196</v>
      </c>
      <c r="B1704" s="159">
        <v>25</v>
      </c>
      <c r="C1704" s="159">
        <v>71</v>
      </c>
      <c r="D1704" s="159">
        <v>29</v>
      </c>
      <c r="E1704" s="159">
        <v>88</v>
      </c>
      <c r="F1704" s="160" t="s">
        <v>32838</v>
      </c>
      <c r="G1704" s="132"/>
      <c r="H1704" s="162" t="s">
        <v>18197</v>
      </c>
      <c r="I1704" s="158" t="s">
        <v>18198</v>
      </c>
      <c r="J1704" s="128"/>
      <c r="K1704" s="128"/>
      <c r="L1704" s="128"/>
      <c r="M1704" s="129"/>
      <c r="N1704" s="129"/>
      <c r="O1704" s="129"/>
    </row>
    <row r="1705" spans="1:15" ht="12.5">
      <c r="A1705" s="151" t="s">
        <v>18199</v>
      </c>
      <c r="B1705" s="152">
        <v>25</v>
      </c>
      <c r="C1705" s="152">
        <v>71</v>
      </c>
      <c r="D1705" s="152">
        <v>33</v>
      </c>
      <c r="E1705" s="153"/>
      <c r="F1705" s="154" t="s">
        <v>33331</v>
      </c>
      <c r="G1705" s="168"/>
      <c r="H1705" s="156" t="s">
        <v>18200</v>
      </c>
      <c r="I1705" s="157"/>
      <c r="J1705" s="128"/>
      <c r="K1705" s="128"/>
      <c r="L1705" s="128"/>
      <c r="M1705" s="129"/>
      <c r="N1705" s="129"/>
      <c r="O1705" s="129"/>
    </row>
    <row r="1706" spans="1:15" ht="12.5">
      <c r="A1706" s="158" t="s">
        <v>18201</v>
      </c>
      <c r="B1706" s="159">
        <v>25</v>
      </c>
      <c r="C1706" s="159">
        <v>71</v>
      </c>
      <c r="D1706" s="159">
        <v>33</v>
      </c>
      <c r="E1706" s="159">
        <v>2</v>
      </c>
      <c r="F1706" s="160" t="s">
        <v>33332</v>
      </c>
      <c r="G1706" s="162" t="s">
        <v>33333</v>
      </c>
      <c r="H1706" s="162" t="s">
        <v>18202</v>
      </c>
      <c r="I1706" s="158" t="s">
        <v>33334</v>
      </c>
      <c r="J1706" s="128"/>
      <c r="K1706" s="128"/>
      <c r="L1706" s="128"/>
      <c r="M1706" s="129"/>
      <c r="N1706" s="129"/>
      <c r="O1706" s="129"/>
    </row>
    <row r="1707" spans="1:15" ht="12.5">
      <c r="A1707" s="158" t="s">
        <v>18209</v>
      </c>
      <c r="B1707" s="159">
        <v>25</v>
      </c>
      <c r="C1707" s="159">
        <v>71</v>
      </c>
      <c r="D1707" s="159">
        <v>33</v>
      </c>
      <c r="E1707" s="159">
        <v>16</v>
      </c>
      <c r="F1707" s="160" t="s">
        <v>32838</v>
      </c>
      <c r="G1707" s="132"/>
      <c r="H1707" s="162" t="s">
        <v>18210</v>
      </c>
      <c r="I1707" s="128"/>
      <c r="J1707" s="128"/>
      <c r="K1707" s="128"/>
      <c r="L1707" s="128"/>
      <c r="M1707" s="129"/>
      <c r="N1707" s="129"/>
      <c r="O1707" s="129"/>
    </row>
    <row r="1708" spans="1:15" ht="12.5">
      <c r="A1708" s="158" t="s">
        <v>18213</v>
      </c>
      <c r="B1708" s="159">
        <v>25</v>
      </c>
      <c r="C1708" s="159">
        <v>71</v>
      </c>
      <c r="D1708" s="159">
        <v>33</v>
      </c>
      <c r="E1708" s="159">
        <v>33</v>
      </c>
      <c r="F1708" s="160" t="s">
        <v>33335</v>
      </c>
      <c r="G1708" s="162" t="s">
        <v>33333</v>
      </c>
      <c r="H1708" s="162" t="s">
        <v>18214</v>
      </c>
      <c r="I1708" s="158" t="s">
        <v>33336</v>
      </c>
      <c r="J1708" s="128"/>
      <c r="K1708" s="128"/>
      <c r="L1708" s="128"/>
      <c r="M1708" s="129"/>
      <c r="N1708" s="129"/>
      <c r="O1708" s="129"/>
    </row>
    <row r="1709" spans="1:15" ht="12.5">
      <c r="A1709" s="158" t="s">
        <v>18216</v>
      </c>
      <c r="B1709" s="159">
        <v>25</v>
      </c>
      <c r="C1709" s="159">
        <v>71</v>
      </c>
      <c r="D1709" s="159">
        <v>33</v>
      </c>
      <c r="E1709" s="159">
        <v>34</v>
      </c>
      <c r="F1709" s="160" t="s">
        <v>33337</v>
      </c>
      <c r="G1709" s="162" t="s">
        <v>33333</v>
      </c>
      <c r="H1709" s="162" t="s">
        <v>18217</v>
      </c>
      <c r="I1709" s="158" t="s">
        <v>33338</v>
      </c>
      <c r="J1709" s="128"/>
      <c r="K1709" s="128"/>
      <c r="L1709" s="128"/>
      <c r="M1709" s="129"/>
      <c r="N1709" s="129"/>
      <c r="O1709" s="129"/>
    </row>
    <row r="1710" spans="1:15" ht="12.5">
      <c r="A1710" s="158" t="s">
        <v>18219</v>
      </c>
      <c r="B1710" s="159">
        <v>25</v>
      </c>
      <c r="C1710" s="159">
        <v>71</v>
      </c>
      <c r="D1710" s="159">
        <v>33</v>
      </c>
      <c r="E1710" s="159">
        <v>35</v>
      </c>
      <c r="F1710" s="160" t="s">
        <v>32838</v>
      </c>
      <c r="G1710" s="132"/>
      <c r="H1710" s="162" t="s">
        <v>18220</v>
      </c>
      <c r="I1710" s="158" t="s">
        <v>18221</v>
      </c>
      <c r="J1710" s="128"/>
      <c r="K1710" s="128"/>
      <c r="L1710" s="128"/>
      <c r="M1710" s="129"/>
      <c r="N1710" s="129"/>
      <c r="O1710" s="129"/>
    </row>
    <row r="1711" spans="1:15" ht="12.5">
      <c r="A1711" s="158" t="s">
        <v>18224</v>
      </c>
      <c r="B1711" s="159">
        <v>25</v>
      </c>
      <c r="C1711" s="159">
        <v>71</v>
      </c>
      <c r="D1711" s="159">
        <v>33</v>
      </c>
      <c r="E1711" s="159">
        <v>37</v>
      </c>
      <c r="F1711" s="160" t="s">
        <v>33339</v>
      </c>
      <c r="G1711" s="162" t="s">
        <v>33333</v>
      </c>
      <c r="H1711" s="162" t="s">
        <v>18225</v>
      </c>
      <c r="I1711" s="158" t="s">
        <v>33340</v>
      </c>
      <c r="J1711" s="128"/>
      <c r="K1711" s="128"/>
      <c r="L1711" s="128"/>
      <c r="M1711" s="129"/>
      <c r="N1711" s="129"/>
      <c r="O1711" s="129"/>
    </row>
    <row r="1712" spans="1:15" ht="12.5">
      <c r="A1712" s="158" t="s">
        <v>18227</v>
      </c>
      <c r="B1712" s="159">
        <v>25</v>
      </c>
      <c r="C1712" s="159">
        <v>71</v>
      </c>
      <c r="D1712" s="159">
        <v>33</v>
      </c>
      <c r="E1712" s="159">
        <v>42</v>
      </c>
      <c r="F1712" s="160" t="s">
        <v>33341</v>
      </c>
      <c r="G1712" s="162" t="s">
        <v>33333</v>
      </c>
      <c r="H1712" s="162" t="s">
        <v>18228</v>
      </c>
      <c r="I1712" s="158" t="s">
        <v>33342</v>
      </c>
      <c r="J1712" s="128"/>
      <c r="K1712" s="128"/>
      <c r="L1712" s="128"/>
      <c r="M1712" s="129"/>
      <c r="N1712" s="129"/>
      <c r="O1712" s="129"/>
    </row>
    <row r="1713" spans="1:15" ht="12.5">
      <c r="A1713" s="158" t="s">
        <v>18230</v>
      </c>
      <c r="B1713" s="159">
        <v>25</v>
      </c>
      <c r="C1713" s="159">
        <v>71</v>
      </c>
      <c r="D1713" s="159">
        <v>33</v>
      </c>
      <c r="E1713" s="159">
        <v>46</v>
      </c>
      <c r="F1713" s="160" t="s">
        <v>33343</v>
      </c>
      <c r="G1713" s="162" t="s">
        <v>33333</v>
      </c>
      <c r="H1713" s="162" t="s">
        <v>18231</v>
      </c>
      <c r="I1713" s="158" t="s">
        <v>33344</v>
      </c>
      <c r="J1713" s="128"/>
      <c r="K1713" s="128"/>
      <c r="L1713" s="128"/>
      <c r="M1713" s="129"/>
      <c r="N1713" s="129"/>
      <c r="O1713" s="129"/>
    </row>
    <row r="1714" spans="1:15" ht="12.5">
      <c r="A1714" s="158" t="s">
        <v>18233</v>
      </c>
      <c r="B1714" s="159">
        <v>25</v>
      </c>
      <c r="C1714" s="159">
        <v>71</v>
      </c>
      <c r="D1714" s="159">
        <v>33</v>
      </c>
      <c r="E1714" s="159">
        <v>47</v>
      </c>
      <c r="F1714" s="160" t="s">
        <v>33345</v>
      </c>
      <c r="G1714" s="162" t="s">
        <v>33333</v>
      </c>
      <c r="H1714" s="162" t="s">
        <v>18234</v>
      </c>
      <c r="I1714" s="158" t="s">
        <v>33346</v>
      </c>
      <c r="J1714" s="128"/>
      <c r="K1714" s="128"/>
      <c r="L1714" s="128"/>
      <c r="M1714" s="129"/>
      <c r="N1714" s="129"/>
      <c r="O1714" s="129"/>
    </row>
    <row r="1715" spans="1:15" ht="12.5">
      <c r="A1715" s="158" t="s">
        <v>18236</v>
      </c>
      <c r="B1715" s="159">
        <v>25</v>
      </c>
      <c r="C1715" s="159">
        <v>71</v>
      </c>
      <c r="D1715" s="159">
        <v>33</v>
      </c>
      <c r="E1715" s="159">
        <v>65</v>
      </c>
      <c r="F1715" s="160" t="s">
        <v>32838</v>
      </c>
      <c r="G1715" s="132"/>
      <c r="H1715" s="162" t="s">
        <v>18237</v>
      </c>
      <c r="I1715" s="158" t="s">
        <v>18238</v>
      </c>
      <c r="J1715" s="128"/>
      <c r="K1715" s="128"/>
      <c r="L1715" s="128"/>
      <c r="M1715" s="129"/>
      <c r="N1715" s="129"/>
      <c r="O1715" s="129"/>
    </row>
    <row r="1716" spans="1:15" ht="12.5">
      <c r="A1716" s="158" t="s">
        <v>18241</v>
      </c>
      <c r="B1716" s="159">
        <v>25</v>
      </c>
      <c r="C1716" s="159">
        <v>71</v>
      </c>
      <c r="D1716" s="159">
        <v>33</v>
      </c>
      <c r="E1716" s="159">
        <v>77</v>
      </c>
      <c r="F1716" s="160" t="s">
        <v>32838</v>
      </c>
      <c r="G1716" s="132"/>
      <c r="H1716" s="162" t="s">
        <v>18242</v>
      </c>
      <c r="I1716" s="128"/>
      <c r="J1716" s="128"/>
      <c r="K1716" s="128"/>
      <c r="L1716" s="128"/>
      <c r="M1716" s="129"/>
      <c r="N1716" s="129"/>
      <c r="O1716" s="129"/>
    </row>
    <row r="1717" spans="1:15" ht="12.5">
      <c r="A1717" s="158" t="s">
        <v>18243</v>
      </c>
      <c r="B1717" s="159">
        <v>25</v>
      </c>
      <c r="C1717" s="159">
        <v>71</v>
      </c>
      <c r="D1717" s="159">
        <v>33</v>
      </c>
      <c r="E1717" s="159">
        <v>84</v>
      </c>
      <c r="F1717" s="160" t="s">
        <v>32838</v>
      </c>
      <c r="G1717" s="132"/>
      <c r="H1717" s="162" t="s">
        <v>18244</v>
      </c>
      <c r="I1717" s="128"/>
      <c r="J1717" s="128"/>
      <c r="K1717" s="128"/>
      <c r="L1717" s="128"/>
      <c r="M1717" s="129"/>
      <c r="N1717" s="129"/>
      <c r="O1717" s="129"/>
    </row>
    <row r="1718" spans="1:15" ht="12.5">
      <c r="A1718" s="158" t="s">
        <v>18245</v>
      </c>
      <c r="B1718" s="159">
        <v>25</v>
      </c>
      <c r="C1718" s="159">
        <v>71</v>
      </c>
      <c r="D1718" s="159">
        <v>33</v>
      </c>
      <c r="E1718" s="159">
        <v>88</v>
      </c>
      <c r="F1718" s="160" t="s">
        <v>33347</v>
      </c>
      <c r="G1718" s="162" t="s">
        <v>33333</v>
      </c>
      <c r="H1718" s="162" t="s">
        <v>18246</v>
      </c>
      <c r="I1718" s="158" t="s">
        <v>33348</v>
      </c>
      <c r="J1718" s="128"/>
      <c r="K1718" s="128"/>
      <c r="L1718" s="128"/>
      <c r="M1718" s="129"/>
      <c r="N1718" s="129"/>
      <c r="O1718" s="129"/>
    </row>
    <row r="1719" spans="1:15" ht="12.5">
      <c r="A1719" s="158" t="s">
        <v>18248</v>
      </c>
      <c r="B1719" s="159">
        <v>25</v>
      </c>
      <c r="C1719" s="159">
        <v>71</v>
      </c>
      <c r="D1719" s="159">
        <v>33</v>
      </c>
      <c r="E1719" s="159">
        <v>92</v>
      </c>
      <c r="F1719" s="160" t="s">
        <v>33349</v>
      </c>
      <c r="G1719" s="162" t="s">
        <v>33333</v>
      </c>
      <c r="H1719" s="162" t="s">
        <v>18249</v>
      </c>
      <c r="I1719" s="158" t="s">
        <v>33350</v>
      </c>
      <c r="J1719" s="128"/>
      <c r="K1719" s="128"/>
      <c r="L1719" s="128"/>
      <c r="M1719" s="129"/>
      <c r="N1719" s="129"/>
      <c r="O1719" s="129"/>
    </row>
    <row r="1720" spans="1:15" ht="12.5">
      <c r="A1720" s="158" t="s">
        <v>18251</v>
      </c>
      <c r="B1720" s="159">
        <v>25</v>
      </c>
      <c r="C1720" s="159">
        <v>71</v>
      </c>
      <c r="D1720" s="159">
        <v>33</v>
      </c>
      <c r="E1720" s="159">
        <v>97</v>
      </c>
      <c r="F1720" s="160" t="s">
        <v>33351</v>
      </c>
      <c r="G1720" s="162" t="s">
        <v>33333</v>
      </c>
      <c r="H1720" s="162" t="s">
        <v>18252</v>
      </c>
      <c r="I1720" s="158" t="s">
        <v>33352</v>
      </c>
      <c r="J1720" s="128"/>
      <c r="K1720" s="128"/>
      <c r="L1720" s="128"/>
      <c r="M1720" s="129"/>
      <c r="N1720" s="129"/>
      <c r="O1720" s="129"/>
    </row>
    <row r="1721" spans="1:15" ht="12.5">
      <c r="A1721" s="151" t="s">
        <v>18254</v>
      </c>
      <c r="B1721" s="152">
        <v>25</v>
      </c>
      <c r="C1721" s="152">
        <v>71</v>
      </c>
      <c r="D1721" s="152">
        <v>42</v>
      </c>
      <c r="E1721" s="153"/>
      <c r="F1721" s="154" t="s">
        <v>33353</v>
      </c>
      <c r="G1721" s="168"/>
      <c r="H1721" s="156" t="s">
        <v>18255</v>
      </c>
      <c r="I1721" s="157"/>
      <c r="J1721" s="157"/>
      <c r="K1721" s="128"/>
      <c r="L1721" s="128"/>
      <c r="M1721" s="129"/>
      <c r="N1721" s="129"/>
      <c r="O1721" s="129"/>
    </row>
    <row r="1722" spans="1:15" ht="12.5">
      <c r="A1722" s="158" t="s">
        <v>18256</v>
      </c>
      <c r="B1722" s="159">
        <v>25</v>
      </c>
      <c r="C1722" s="159">
        <v>71</v>
      </c>
      <c r="D1722" s="159">
        <v>42</v>
      </c>
      <c r="E1722" s="159">
        <v>12</v>
      </c>
      <c r="F1722" s="160" t="s">
        <v>32838</v>
      </c>
      <c r="G1722" s="132"/>
      <c r="H1722" s="162" t="s">
        <v>18257</v>
      </c>
      <c r="I1722" s="128"/>
      <c r="J1722" s="128"/>
      <c r="K1722" s="128"/>
      <c r="L1722" s="128"/>
      <c r="M1722" s="129"/>
      <c r="N1722" s="129"/>
      <c r="O1722" s="129"/>
    </row>
    <row r="1723" spans="1:15" ht="12.5">
      <c r="A1723" s="158" t="s">
        <v>18258</v>
      </c>
      <c r="B1723" s="159">
        <v>25</v>
      </c>
      <c r="C1723" s="159">
        <v>71</v>
      </c>
      <c r="D1723" s="159">
        <v>42</v>
      </c>
      <c r="E1723" s="159">
        <v>52</v>
      </c>
      <c r="F1723" s="160" t="s">
        <v>32838</v>
      </c>
      <c r="G1723" s="132"/>
      <c r="H1723" s="162" t="s">
        <v>18259</v>
      </c>
      <c r="I1723" s="128"/>
      <c r="J1723" s="128"/>
      <c r="K1723" s="128"/>
      <c r="L1723" s="128"/>
      <c r="M1723" s="129"/>
      <c r="N1723" s="129"/>
      <c r="O1723" s="129"/>
    </row>
    <row r="1724" spans="1:15" ht="12.5">
      <c r="A1724" s="158" t="s">
        <v>18260</v>
      </c>
      <c r="B1724" s="159">
        <v>25</v>
      </c>
      <c r="C1724" s="159">
        <v>71</v>
      </c>
      <c r="D1724" s="159">
        <v>42</v>
      </c>
      <c r="E1724" s="159">
        <v>54</v>
      </c>
      <c r="F1724" s="160" t="s">
        <v>32838</v>
      </c>
      <c r="G1724" s="132"/>
      <c r="H1724" s="162" t="s">
        <v>18261</v>
      </c>
      <c r="I1724" s="128"/>
      <c r="J1724" s="128"/>
      <c r="K1724" s="128"/>
      <c r="L1724" s="128"/>
      <c r="M1724" s="129"/>
      <c r="N1724" s="129"/>
      <c r="O1724" s="129"/>
    </row>
    <row r="1725" spans="1:15" ht="12.5">
      <c r="A1725" s="158" t="s">
        <v>18262</v>
      </c>
      <c r="B1725" s="159">
        <v>25</v>
      </c>
      <c r="C1725" s="159">
        <v>71</v>
      </c>
      <c r="D1725" s="159">
        <v>42</v>
      </c>
      <c r="E1725" s="159">
        <v>59</v>
      </c>
      <c r="F1725" s="160" t="s">
        <v>32838</v>
      </c>
      <c r="G1725" s="132"/>
      <c r="H1725" s="162" t="s">
        <v>18263</v>
      </c>
      <c r="I1725" s="128"/>
      <c r="J1725" s="128"/>
      <c r="K1725" s="128"/>
      <c r="L1725" s="128"/>
      <c r="M1725" s="129"/>
      <c r="N1725" s="129"/>
      <c r="O1725" s="129"/>
    </row>
    <row r="1726" spans="1:15" ht="12.5">
      <c r="A1726" s="158" t="s">
        <v>18264</v>
      </c>
      <c r="B1726" s="159">
        <v>25</v>
      </c>
      <c r="C1726" s="159">
        <v>71</v>
      </c>
      <c r="D1726" s="159">
        <v>42</v>
      </c>
      <c r="E1726" s="159">
        <v>60</v>
      </c>
      <c r="F1726" s="160" t="s">
        <v>32838</v>
      </c>
      <c r="G1726" s="132"/>
      <c r="H1726" s="162" t="s">
        <v>18265</v>
      </c>
      <c r="I1726" s="128"/>
      <c r="J1726" s="128"/>
      <c r="K1726" s="128"/>
      <c r="L1726" s="128"/>
      <c r="M1726" s="129"/>
      <c r="N1726" s="129"/>
      <c r="O1726" s="129"/>
    </row>
    <row r="1727" spans="1:15" ht="12.5">
      <c r="A1727" s="158" t="s">
        <v>18266</v>
      </c>
      <c r="B1727" s="159">
        <v>25</v>
      </c>
      <c r="C1727" s="159">
        <v>71</v>
      </c>
      <c r="D1727" s="159">
        <v>42</v>
      </c>
      <c r="E1727" s="159">
        <v>63</v>
      </c>
      <c r="F1727" s="160" t="s">
        <v>32838</v>
      </c>
      <c r="G1727" s="132"/>
      <c r="H1727" s="162" t="s">
        <v>18267</v>
      </c>
      <c r="I1727" s="128"/>
      <c r="J1727" s="128"/>
      <c r="K1727" s="128"/>
      <c r="L1727" s="128"/>
      <c r="M1727" s="129"/>
      <c r="N1727" s="129"/>
      <c r="O1727" s="129"/>
    </row>
    <row r="1728" spans="1:15" ht="12.5">
      <c r="A1728" s="158" t="s">
        <v>18268</v>
      </c>
      <c r="B1728" s="159">
        <v>25</v>
      </c>
      <c r="C1728" s="159">
        <v>71</v>
      </c>
      <c r="D1728" s="159">
        <v>42</v>
      </c>
      <c r="E1728" s="159">
        <v>70</v>
      </c>
      <c r="F1728" s="160" t="s">
        <v>32838</v>
      </c>
      <c r="G1728" s="132"/>
      <c r="H1728" s="162" t="s">
        <v>18269</v>
      </c>
      <c r="I1728" s="158" t="s">
        <v>18270</v>
      </c>
      <c r="J1728" s="128"/>
      <c r="K1728" s="128"/>
      <c r="L1728" s="128"/>
      <c r="M1728" s="129"/>
      <c r="N1728" s="129"/>
      <c r="O1728" s="129"/>
    </row>
    <row r="1729" spans="1:15" ht="12.5">
      <c r="A1729" s="158" t="s">
        <v>18271</v>
      </c>
      <c r="B1729" s="159">
        <v>25</v>
      </c>
      <c r="C1729" s="159">
        <v>71</v>
      </c>
      <c r="D1729" s="159">
        <v>42</v>
      </c>
      <c r="E1729" s="159">
        <v>71</v>
      </c>
      <c r="F1729" s="160" t="s">
        <v>32838</v>
      </c>
      <c r="G1729" s="132"/>
      <c r="H1729" s="162" t="s">
        <v>18272</v>
      </c>
      <c r="I1729" s="158" t="s">
        <v>18273</v>
      </c>
      <c r="J1729" s="128"/>
      <c r="K1729" s="128"/>
      <c r="L1729" s="128"/>
      <c r="M1729" s="129"/>
      <c r="N1729" s="129"/>
      <c r="O1729" s="129"/>
    </row>
    <row r="1730" spans="1:15" ht="12.5">
      <c r="A1730" s="158" t="s">
        <v>18274</v>
      </c>
      <c r="B1730" s="159">
        <v>25</v>
      </c>
      <c r="C1730" s="159">
        <v>71</v>
      </c>
      <c r="D1730" s="159">
        <v>42</v>
      </c>
      <c r="E1730" s="159">
        <v>72</v>
      </c>
      <c r="F1730" s="160" t="s">
        <v>32838</v>
      </c>
      <c r="G1730" s="132"/>
      <c r="H1730" s="162" t="s">
        <v>18275</v>
      </c>
      <c r="I1730" s="128"/>
      <c r="J1730" s="128"/>
      <c r="K1730" s="128"/>
      <c r="L1730" s="128"/>
      <c r="M1730" s="129"/>
      <c r="N1730" s="129"/>
      <c r="O1730" s="129"/>
    </row>
    <row r="1731" spans="1:15" ht="12.5">
      <c r="A1731" s="158" t="s">
        <v>18276</v>
      </c>
      <c r="B1731" s="159">
        <v>25</v>
      </c>
      <c r="C1731" s="159">
        <v>71</v>
      </c>
      <c r="D1731" s="159">
        <v>42</v>
      </c>
      <c r="E1731" s="159">
        <v>73</v>
      </c>
      <c r="F1731" s="160" t="s">
        <v>32838</v>
      </c>
      <c r="G1731" s="132"/>
      <c r="H1731" s="162" t="s">
        <v>18277</v>
      </c>
      <c r="I1731" s="128"/>
      <c r="J1731" s="128"/>
      <c r="K1731" s="128"/>
      <c r="L1731" s="128"/>
      <c r="M1731" s="129"/>
      <c r="N1731" s="129"/>
      <c r="O1731" s="129"/>
    </row>
    <row r="1732" spans="1:15" ht="12.5">
      <c r="A1732" s="158" t="s">
        <v>18278</v>
      </c>
      <c r="B1732" s="159">
        <v>25</v>
      </c>
      <c r="C1732" s="159">
        <v>71</v>
      </c>
      <c r="D1732" s="159">
        <v>42</v>
      </c>
      <c r="E1732" s="159">
        <v>94</v>
      </c>
      <c r="F1732" s="160" t="s">
        <v>32838</v>
      </c>
      <c r="G1732" s="132"/>
      <c r="H1732" s="162" t="s">
        <v>18279</v>
      </c>
      <c r="I1732" s="128"/>
      <c r="J1732" s="128"/>
      <c r="K1732" s="128"/>
      <c r="L1732" s="128"/>
      <c r="M1732" s="129"/>
      <c r="N1732" s="129"/>
      <c r="O1732" s="129"/>
    </row>
    <row r="1733" spans="1:15" ht="12.5">
      <c r="A1733" s="151" t="s">
        <v>18280</v>
      </c>
      <c r="B1733" s="152">
        <v>25</v>
      </c>
      <c r="C1733" s="152">
        <v>71</v>
      </c>
      <c r="D1733" s="152">
        <v>43</v>
      </c>
      <c r="E1733" s="153"/>
      <c r="F1733" s="154" t="s">
        <v>33354</v>
      </c>
      <c r="G1733" s="168"/>
      <c r="H1733" s="156" t="s">
        <v>18281</v>
      </c>
      <c r="I1733" s="157"/>
      <c r="J1733" s="157"/>
      <c r="K1733" s="157"/>
      <c r="L1733" s="157"/>
      <c r="M1733" s="186"/>
      <c r="N1733" s="186"/>
      <c r="O1733" s="186"/>
    </row>
    <row r="1734" spans="1:15" ht="12.5">
      <c r="A1734" s="158" t="s">
        <v>18282</v>
      </c>
      <c r="B1734" s="159">
        <v>25</v>
      </c>
      <c r="C1734" s="159">
        <v>71</v>
      </c>
      <c r="D1734" s="159">
        <v>43</v>
      </c>
      <c r="E1734" s="159">
        <v>33</v>
      </c>
      <c r="F1734" s="160" t="s">
        <v>32838</v>
      </c>
      <c r="G1734" s="132"/>
      <c r="H1734" s="162" t="s">
        <v>18283</v>
      </c>
      <c r="I1734" s="128"/>
      <c r="J1734" s="128"/>
      <c r="K1734" s="128"/>
      <c r="L1734" s="128"/>
      <c r="M1734" s="129"/>
      <c r="N1734" s="129"/>
      <c r="O1734" s="129"/>
    </row>
    <row r="1735" spans="1:15" ht="12.5">
      <c r="A1735" s="158" t="s">
        <v>18284</v>
      </c>
      <c r="B1735" s="159">
        <v>25</v>
      </c>
      <c r="C1735" s="159">
        <v>71</v>
      </c>
      <c r="D1735" s="159">
        <v>43</v>
      </c>
      <c r="E1735" s="159">
        <v>34</v>
      </c>
      <c r="F1735" s="160" t="s">
        <v>32838</v>
      </c>
      <c r="G1735" s="132"/>
      <c r="H1735" s="162" t="s">
        <v>18285</v>
      </c>
      <c r="I1735" s="128"/>
      <c r="J1735" s="128"/>
      <c r="K1735" s="128"/>
      <c r="L1735" s="128"/>
      <c r="M1735" s="129"/>
      <c r="N1735" s="129"/>
      <c r="O1735" s="129"/>
    </row>
    <row r="1736" spans="1:15" ht="12.5">
      <c r="A1736" s="158" t="s">
        <v>18286</v>
      </c>
      <c r="B1736" s="159">
        <v>25</v>
      </c>
      <c r="C1736" s="159">
        <v>71</v>
      </c>
      <c r="D1736" s="159">
        <v>43</v>
      </c>
      <c r="E1736" s="159">
        <v>62</v>
      </c>
      <c r="F1736" s="160" t="s">
        <v>32838</v>
      </c>
      <c r="G1736" s="132"/>
      <c r="H1736" s="162" t="s">
        <v>18287</v>
      </c>
      <c r="I1736" s="158" t="s">
        <v>18288</v>
      </c>
      <c r="J1736" s="128"/>
      <c r="K1736" s="128"/>
      <c r="L1736" s="128"/>
      <c r="M1736" s="129"/>
      <c r="N1736" s="129"/>
      <c r="O1736" s="129"/>
    </row>
    <row r="1737" spans="1:15" ht="12.5">
      <c r="A1737" s="151" t="s">
        <v>18289</v>
      </c>
      <c r="B1737" s="152">
        <v>25</v>
      </c>
      <c r="C1737" s="152">
        <v>71</v>
      </c>
      <c r="D1737" s="152">
        <v>44</v>
      </c>
      <c r="E1737" s="153"/>
      <c r="F1737" s="154" t="s">
        <v>33355</v>
      </c>
      <c r="G1737" s="168"/>
      <c r="H1737" s="156" t="s">
        <v>18290</v>
      </c>
      <c r="I1737" s="157"/>
      <c r="J1737" s="157"/>
      <c r="K1737" s="157"/>
      <c r="L1737" s="157"/>
      <c r="M1737" s="186"/>
      <c r="N1737" s="186"/>
      <c r="O1737" s="186"/>
    </row>
    <row r="1738" spans="1:15" ht="12.5">
      <c r="A1738" s="158" t="s">
        <v>18291</v>
      </c>
      <c r="B1738" s="159">
        <v>25</v>
      </c>
      <c r="C1738" s="159">
        <v>71</v>
      </c>
      <c r="D1738" s="159">
        <v>44</v>
      </c>
      <c r="E1738" s="159">
        <v>6</v>
      </c>
      <c r="F1738" s="160" t="s">
        <v>32838</v>
      </c>
      <c r="G1738" s="132"/>
      <c r="H1738" s="162" t="s">
        <v>18292</v>
      </c>
      <c r="I1738" s="158" t="s">
        <v>18293</v>
      </c>
      <c r="J1738" s="128"/>
      <c r="K1738" s="128"/>
      <c r="L1738" s="128"/>
      <c r="M1738" s="129"/>
      <c r="N1738" s="129"/>
      <c r="O1738" s="129"/>
    </row>
    <row r="1739" spans="1:15" ht="12.5">
      <c r="A1739" s="158" t="s">
        <v>18294</v>
      </c>
      <c r="B1739" s="159">
        <v>25</v>
      </c>
      <c r="C1739" s="159">
        <v>71</v>
      </c>
      <c r="D1739" s="159">
        <v>44</v>
      </c>
      <c r="E1739" s="159">
        <v>8</v>
      </c>
      <c r="F1739" s="160" t="s">
        <v>32838</v>
      </c>
      <c r="G1739" s="132"/>
      <c r="H1739" s="162" t="s">
        <v>18295</v>
      </c>
      <c r="I1739" s="158" t="s">
        <v>18296</v>
      </c>
      <c r="J1739" s="128"/>
      <c r="K1739" s="128"/>
      <c r="L1739" s="128"/>
      <c r="M1739" s="129"/>
      <c r="N1739" s="129"/>
      <c r="O1739" s="129"/>
    </row>
    <row r="1740" spans="1:15" ht="12.5">
      <c r="A1740" s="158" t="s">
        <v>18297</v>
      </c>
      <c r="B1740" s="159">
        <v>25</v>
      </c>
      <c r="C1740" s="159">
        <v>71</v>
      </c>
      <c r="D1740" s="159">
        <v>44</v>
      </c>
      <c r="E1740" s="159">
        <v>15</v>
      </c>
      <c r="F1740" s="160" t="s">
        <v>32838</v>
      </c>
      <c r="G1740" s="132"/>
      <c r="H1740" s="162" t="s">
        <v>18298</v>
      </c>
      <c r="I1740" s="158" t="s">
        <v>18299</v>
      </c>
      <c r="J1740" s="128"/>
      <c r="K1740" s="128"/>
      <c r="L1740" s="128"/>
      <c r="M1740" s="129"/>
      <c r="N1740" s="129"/>
      <c r="O1740" s="129"/>
    </row>
    <row r="1741" spans="1:15" ht="12.5">
      <c r="A1741" s="158" t="s">
        <v>18300</v>
      </c>
      <c r="B1741" s="159">
        <v>25</v>
      </c>
      <c r="C1741" s="159">
        <v>71</v>
      </c>
      <c r="D1741" s="159">
        <v>44</v>
      </c>
      <c r="E1741" s="159">
        <v>28</v>
      </c>
      <c r="F1741" s="160" t="s">
        <v>32838</v>
      </c>
      <c r="G1741" s="132"/>
      <c r="H1741" s="162" t="s">
        <v>18301</v>
      </c>
      <c r="I1741" s="158" t="s">
        <v>18302</v>
      </c>
      <c r="J1741" s="128"/>
      <c r="K1741" s="128"/>
      <c r="L1741" s="128"/>
      <c r="M1741" s="129"/>
      <c r="N1741" s="129"/>
      <c r="O1741" s="129"/>
    </row>
    <row r="1742" spans="1:15" ht="12.5">
      <c r="A1742" s="158" t="s">
        <v>18303</v>
      </c>
      <c r="B1742" s="159">
        <v>25</v>
      </c>
      <c r="C1742" s="159">
        <v>71</v>
      </c>
      <c r="D1742" s="159">
        <v>44</v>
      </c>
      <c r="E1742" s="159">
        <v>77</v>
      </c>
      <c r="F1742" s="160" t="s">
        <v>32838</v>
      </c>
      <c r="G1742" s="132"/>
      <c r="H1742" s="162" t="s">
        <v>18304</v>
      </c>
      <c r="I1742" s="128"/>
      <c r="J1742" s="128"/>
      <c r="K1742" s="128"/>
      <c r="L1742" s="128"/>
      <c r="M1742" s="129"/>
      <c r="N1742" s="129"/>
      <c r="O1742" s="129"/>
    </row>
    <row r="1743" spans="1:15" ht="12.5">
      <c r="A1743" s="158" t="s">
        <v>18305</v>
      </c>
      <c r="B1743" s="159">
        <v>25</v>
      </c>
      <c r="C1743" s="159">
        <v>71</v>
      </c>
      <c r="D1743" s="159">
        <v>50</v>
      </c>
      <c r="E1743" s="130"/>
      <c r="F1743" s="196"/>
      <c r="G1743" s="197"/>
      <c r="H1743" s="162" t="s">
        <v>18306</v>
      </c>
      <c r="I1743" s="128"/>
      <c r="J1743" s="128"/>
      <c r="K1743" s="128"/>
      <c r="L1743" s="128"/>
      <c r="M1743" s="129"/>
      <c r="N1743" s="129"/>
      <c r="O1743" s="129"/>
    </row>
    <row r="1744" spans="1:15" ht="12.5">
      <c r="A1744" s="158" t="s">
        <v>18307</v>
      </c>
      <c r="B1744" s="159">
        <v>25</v>
      </c>
      <c r="C1744" s="159">
        <v>71</v>
      </c>
      <c r="D1744" s="159">
        <v>50</v>
      </c>
      <c r="E1744" s="159">
        <v>2</v>
      </c>
      <c r="F1744" s="160" t="s">
        <v>32838</v>
      </c>
      <c r="G1744" s="132"/>
      <c r="H1744" s="162" t="s">
        <v>18308</v>
      </c>
      <c r="I1744" s="158" t="s">
        <v>18309</v>
      </c>
      <c r="J1744" s="128"/>
      <c r="K1744" s="128"/>
      <c r="L1744" s="128"/>
      <c r="M1744" s="129"/>
      <c r="N1744" s="129"/>
      <c r="O1744" s="129"/>
    </row>
    <row r="1745" spans="1:15" ht="12.5">
      <c r="A1745" s="158" t="s">
        <v>18310</v>
      </c>
      <c r="B1745" s="159">
        <v>25</v>
      </c>
      <c r="C1745" s="159">
        <v>71</v>
      </c>
      <c r="D1745" s="159">
        <v>50</v>
      </c>
      <c r="E1745" s="159">
        <v>3</v>
      </c>
      <c r="F1745" s="131"/>
      <c r="G1745" s="132"/>
      <c r="H1745" s="162" t="s">
        <v>18311</v>
      </c>
      <c r="I1745" s="158" t="s">
        <v>18312</v>
      </c>
      <c r="J1745" s="128"/>
      <c r="K1745" s="128"/>
      <c r="L1745" s="128"/>
      <c r="M1745" s="129"/>
      <c r="N1745" s="129"/>
      <c r="O1745" s="129"/>
    </row>
    <row r="1746" spans="1:15" ht="12.5">
      <c r="A1746" s="158" t="s">
        <v>18313</v>
      </c>
      <c r="B1746" s="159">
        <v>25</v>
      </c>
      <c r="C1746" s="159">
        <v>71</v>
      </c>
      <c r="D1746" s="159">
        <v>50</v>
      </c>
      <c r="E1746" s="159">
        <v>4</v>
      </c>
      <c r="F1746" s="131"/>
      <c r="G1746" s="132"/>
      <c r="H1746" s="162" t="s">
        <v>18314</v>
      </c>
      <c r="I1746" s="158" t="s">
        <v>18315</v>
      </c>
      <c r="J1746" s="128"/>
      <c r="K1746" s="128"/>
      <c r="L1746" s="128"/>
      <c r="M1746" s="129"/>
      <c r="N1746" s="129"/>
      <c r="O1746" s="129"/>
    </row>
    <row r="1747" spans="1:15" ht="12.5">
      <c r="A1747" s="158" t="s">
        <v>18316</v>
      </c>
      <c r="B1747" s="159">
        <v>25</v>
      </c>
      <c r="C1747" s="159">
        <v>71</v>
      </c>
      <c r="D1747" s="159">
        <v>50</v>
      </c>
      <c r="E1747" s="159">
        <v>6</v>
      </c>
      <c r="F1747" s="131"/>
      <c r="G1747" s="132"/>
      <c r="H1747" s="162" t="s">
        <v>18317</v>
      </c>
      <c r="I1747" s="128"/>
      <c r="J1747" s="128"/>
      <c r="K1747" s="128"/>
      <c r="L1747" s="128"/>
      <c r="M1747" s="129"/>
      <c r="N1747" s="129"/>
      <c r="O1747" s="129"/>
    </row>
    <row r="1748" spans="1:15" ht="12.5">
      <c r="A1748" s="158" t="s">
        <v>18318</v>
      </c>
      <c r="B1748" s="159">
        <v>25</v>
      </c>
      <c r="C1748" s="159">
        <v>71</v>
      </c>
      <c r="D1748" s="159">
        <v>50</v>
      </c>
      <c r="E1748" s="159">
        <v>12</v>
      </c>
      <c r="F1748" s="131"/>
      <c r="G1748" s="132"/>
      <c r="H1748" s="162" t="s">
        <v>18319</v>
      </c>
      <c r="I1748" s="158" t="s">
        <v>18320</v>
      </c>
      <c r="J1748" s="128"/>
      <c r="K1748" s="128"/>
      <c r="L1748" s="128"/>
      <c r="M1748" s="129"/>
      <c r="N1748" s="129"/>
      <c r="O1748" s="129"/>
    </row>
    <row r="1749" spans="1:15" ht="12.5">
      <c r="A1749" s="158" t="s">
        <v>18321</v>
      </c>
      <c r="B1749" s="159">
        <v>25</v>
      </c>
      <c r="C1749" s="159">
        <v>71</v>
      </c>
      <c r="D1749" s="159">
        <v>50</v>
      </c>
      <c r="E1749" s="159">
        <v>13</v>
      </c>
      <c r="F1749" s="131"/>
      <c r="G1749" s="132"/>
      <c r="H1749" s="162" t="s">
        <v>18322</v>
      </c>
      <c r="I1749" s="158" t="s">
        <v>18323</v>
      </c>
      <c r="J1749" s="128"/>
      <c r="K1749" s="128"/>
      <c r="L1749" s="128"/>
      <c r="M1749" s="129"/>
      <c r="N1749" s="129"/>
      <c r="O1749" s="129"/>
    </row>
    <row r="1750" spans="1:15" ht="12.5">
      <c r="A1750" s="158" t="s">
        <v>18324</v>
      </c>
      <c r="B1750" s="159">
        <v>25</v>
      </c>
      <c r="C1750" s="159">
        <v>71</v>
      </c>
      <c r="D1750" s="159">
        <v>50</v>
      </c>
      <c r="E1750" s="159">
        <v>14</v>
      </c>
      <c r="F1750" s="131"/>
      <c r="G1750" s="132"/>
      <c r="H1750" s="162" t="s">
        <v>18325</v>
      </c>
      <c r="I1750" s="158" t="s">
        <v>18326</v>
      </c>
      <c r="J1750" s="128"/>
      <c r="K1750" s="128"/>
      <c r="L1750" s="128"/>
      <c r="M1750" s="129"/>
      <c r="N1750" s="129"/>
      <c r="O1750" s="129"/>
    </row>
    <row r="1751" spans="1:15" ht="12.5">
      <c r="A1751" s="158" t="s">
        <v>18327</v>
      </c>
      <c r="B1751" s="159">
        <v>25</v>
      </c>
      <c r="C1751" s="159">
        <v>71</v>
      </c>
      <c r="D1751" s="159">
        <v>50</v>
      </c>
      <c r="E1751" s="159">
        <v>15</v>
      </c>
      <c r="F1751" s="131"/>
      <c r="G1751" s="132"/>
      <c r="H1751" s="162" t="s">
        <v>18328</v>
      </c>
      <c r="I1751" s="158" t="s">
        <v>18329</v>
      </c>
      <c r="J1751" s="128"/>
      <c r="K1751" s="128"/>
      <c r="L1751" s="128"/>
      <c r="M1751" s="129"/>
      <c r="N1751" s="129"/>
      <c r="O1751" s="129"/>
    </row>
    <row r="1752" spans="1:15" ht="12.5">
      <c r="A1752" s="158" t="s">
        <v>18330</v>
      </c>
      <c r="B1752" s="159">
        <v>25</v>
      </c>
      <c r="C1752" s="159">
        <v>71</v>
      </c>
      <c r="D1752" s="159">
        <v>50</v>
      </c>
      <c r="E1752" s="159">
        <v>16</v>
      </c>
      <c r="F1752" s="131"/>
      <c r="G1752" s="132"/>
      <c r="H1752" s="162" t="s">
        <v>18331</v>
      </c>
      <c r="I1752" s="158" t="s">
        <v>18332</v>
      </c>
      <c r="J1752" s="128"/>
      <c r="K1752" s="128"/>
      <c r="L1752" s="128"/>
      <c r="M1752" s="129"/>
      <c r="N1752" s="129"/>
      <c r="O1752" s="129"/>
    </row>
    <row r="1753" spans="1:15" ht="12.5">
      <c r="A1753" s="158" t="s">
        <v>18333</v>
      </c>
      <c r="B1753" s="159">
        <v>25</v>
      </c>
      <c r="C1753" s="159">
        <v>71</v>
      </c>
      <c r="D1753" s="159">
        <v>50</v>
      </c>
      <c r="E1753" s="159">
        <v>17</v>
      </c>
      <c r="F1753" s="131"/>
      <c r="G1753" s="132"/>
      <c r="H1753" s="162" t="s">
        <v>18334</v>
      </c>
      <c r="I1753" s="158" t="s">
        <v>18335</v>
      </c>
      <c r="J1753" s="128"/>
      <c r="K1753" s="128"/>
      <c r="L1753" s="128"/>
      <c r="M1753" s="129"/>
      <c r="N1753" s="129"/>
      <c r="O1753" s="129"/>
    </row>
    <row r="1754" spans="1:15" ht="12.5">
      <c r="A1754" s="158" t="s">
        <v>18336</v>
      </c>
      <c r="B1754" s="159">
        <v>25</v>
      </c>
      <c r="C1754" s="159">
        <v>71</v>
      </c>
      <c r="D1754" s="159">
        <v>50</v>
      </c>
      <c r="E1754" s="159">
        <v>18</v>
      </c>
      <c r="F1754" s="131"/>
      <c r="G1754" s="132"/>
      <c r="H1754" s="162" t="s">
        <v>18337</v>
      </c>
      <c r="I1754" s="158" t="s">
        <v>18338</v>
      </c>
      <c r="J1754" s="128"/>
      <c r="K1754" s="128"/>
      <c r="L1754" s="128"/>
      <c r="M1754" s="129"/>
      <c r="N1754" s="129"/>
      <c r="O1754" s="129"/>
    </row>
    <row r="1755" spans="1:15" ht="12.5">
      <c r="A1755" s="158" t="s">
        <v>18339</v>
      </c>
      <c r="B1755" s="159">
        <v>25</v>
      </c>
      <c r="C1755" s="159">
        <v>71</v>
      </c>
      <c r="D1755" s="159">
        <v>50</v>
      </c>
      <c r="E1755" s="159">
        <v>19</v>
      </c>
      <c r="F1755" s="131"/>
      <c r="G1755" s="132"/>
      <c r="H1755" s="162" t="s">
        <v>18340</v>
      </c>
      <c r="I1755" s="158" t="s">
        <v>18341</v>
      </c>
      <c r="J1755" s="128"/>
      <c r="K1755" s="128"/>
      <c r="L1755" s="128"/>
      <c r="M1755" s="129"/>
      <c r="N1755" s="129"/>
      <c r="O1755" s="129"/>
    </row>
    <row r="1756" spans="1:15" ht="12.5">
      <c r="A1756" s="158" t="s">
        <v>18342</v>
      </c>
      <c r="B1756" s="159">
        <v>25</v>
      </c>
      <c r="C1756" s="159">
        <v>71</v>
      </c>
      <c r="D1756" s="159">
        <v>50</v>
      </c>
      <c r="E1756" s="159">
        <v>20</v>
      </c>
      <c r="F1756" s="131"/>
      <c r="G1756" s="132"/>
      <c r="H1756" s="162" t="s">
        <v>18343</v>
      </c>
      <c r="I1756" s="158" t="s">
        <v>18344</v>
      </c>
      <c r="J1756" s="128"/>
      <c r="K1756" s="128"/>
      <c r="L1756" s="128"/>
      <c r="M1756" s="129"/>
      <c r="N1756" s="129"/>
      <c r="O1756" s="129"/>
    </row>
    <row r="1757" spans="1:15" ht="12.5">
      <c r="A1757" s="158" t="s">
        <v>18345</v>
      </c>
      <c r="B1757" s="159">
        <v>25</v>
      </c>
      <c r="C1757" s="159">
        <v>71</v>
      </c>
      <c r="D1757" s="159">
        <v>50</v>
      </c>
      <c r="E1757" s="159">
        <v>21</v>
      </c>
      <c r="F1757" s="131"/>
      <c r="G1757" s="132"/>
      <c r="H1757" s="162" t="s">
        <v>18346</v>
      </c>
      <c r="I1757" s="158" t="s">
        <v>18347</v>
      </c>
      <c r="J1757" s="128"/>
      <c r="K1757" s="128"/>
      <c r="L1757" s="128"/>
      <c r="M1757" s="129"/>
      <c r="N1757" s="129"/>
      <c r="O1757" s="129"/>
    </row>
    <row r="1758" spans="1:15" ht="12.5">
      <c r="A1758" s="158" t="s">
        <v>18348</v>
      </c>
      <c r="B1758" s="159">
        <v>25</v>
      </c>
      <c r="C1758" s="159">
        <v>71</v>
      </c>
      <c r="D1758" s="159">
        <v>50</v>
      </c>
      <c r="E1758" s="159">
        <v>22</v>
      </c>
      <c r="F1758" s="131"/>
      <c r="G1758" s="132"/>
      <c r="H1758" s="162" t="s">
        <v>18349</v>
      </c>
      <c r="I1758" s="128"/>
      <c r="J1758" s="128"/>
      <c r="K1758" s="128"/>
      <c r="L1758" s="128"/>
      <c r="M1758" s="129"/>
      <c r="N1758" s="129"/>
      <c r="O1758" s="129"/>
    </row>
    <row r="1759" spans="1:15" ht="12.5">
      <c r="A1759" s="158" t="s">
        <v>18350</v>
      </c>
      <c r="B1759" s="159">
        <v>25</v>
      </c>
      <c r="C1759" s="159">
        <v>71</v>
      </c>
      <c r="D1759" s="159">
        <v>50</v>
      </c>
      <c r="E1759" s="159">
        <v>23</v>
      </c>
      <c r="F1759" s="131"/>
      <c r="G1759" s="132"/>
      <c r="H1759" s="162" t="s">
        <v>18351</v>
      </c>
      <c r="I1759" s="128"/>
      <c r="J1759" s="128"/>
      <c r="K1759" s="128"/>
      <c r="L1759" s="128"/>
      <c r="M1759" s="129"/>
      <c r="N1759" s="129"/>
      <c r="O1759" s="129"/>
    </row>
    <row r="1760" spans="1:15" ht="12.5">
      <c r="A1760" s="158" t="s">
        <v>18352</v>
      </c>
      <c r="B1760" s="159">
        <v>25</v>
      </c>
      <c r="C1760" s="159">
        <v>71</v>
      </c>
      <c r="D1760" s="159">
        <v>50</v>
      </c>
      <c r="E1760" s="159">
        <v>24</v>
      </c>
      <c r="F1760" s="131"/>
      <c r="G1760" s="132"/>
      <c r="H1760" s="162" t="s">
        <v>18353</v>
      </c>
      <c r="I1760" s="128"/>
      <c r="J1760" s="128"/>
      <c r="K1760" s="128"/>
      <c r="L1760" s="128"/>
      <c r="M1760" s="129"/>
      <c r="N1760" s="129"/>
      <c r="O1760" s="129"/>
    </row>
    <row r="1761" spans="1:15" ht="12.5">
      <c r="A1761" s="158" t="s">
        <v>18354</v>
      </c>
      <c r="B1761" s="159">
        <v>25</v>
      </c>
      <c r="C1761" s="159">
        <v>71</v>
      </c>
      <c r="D1761" s="159">
        <v>50</v>
      </c>
      <c r="E1761" s="159">
        <v>39</v>
      </c>
      <c r="F1761" s="131"/>
      <c r="G1761" s="132"/>
      <c r="H1761" s="162" t="s">
        <v>18355</v>
      </c>
      <c r="I1761" s="128"/>
      <c r="J1761" s="128"/>
      <c r="K1761" s="128"/>
      <c r="L1761" s="128"/>
      <c r="M1761" s="129"/>
      <c r="N1761" s="129"/>
      <c r="O1761" s="129"/>
    </row>
    <row r="1762" spans="1:15" ht="12.5">
      <c r="A1762" s="158" t="s">
        <v>18356</v>
      </c>
      <c r="B1762" s="159">
        <v>25</v>
      </c>
      <c r="C1762" s="159">
        <v>71</v>
      </c>
      <c r="D1762" s="159">
        <v>50</v>
      </c>
      <c r="E1762" s="159">
        <v>51</v>
      </c>
      <c r="F1762" s="131"/>
      <c r="G1762" s="132"/>
      <c r="H1762" s="162" t="s">
        <v>18357</v>
      </c>
      <c r="I1762" s="128"/>
      <c r="J1762" s="128"/>
      <c r="K1762" s="128"/>
      <c r="L1762" s="128"/>
      <c r="M1762" s="129"/>
      <c r="N1762" s="129"/>
      <c r="O1762" s="129"/>
    </row>
    <row r="1763" spans="1:15" ht="12.5">
      <c r="A1763" s="158" t="s">
        <v>18358</v>
      </c>
      <c r="B1763" s="159">
        <v>25</v>
      </c>
      <c r="C1763" s="159">
        <v>71</v>
      </c>
      <c r="D1763" s="159">
        <v>50</v>
      </c>
      <c r="E1763" s="159">
        <v>60</v>
      </c>
      <c r="F1763" s="131"/>
      <c r="G1763" s="132"/>
      <c r="H1763" s="162" t="s">
        <v>18359</v>
      </c>
      <c r="I1763" s="128"/>
      <c r="J1763" s="128"/>
      <c r="K1763" s="128"/>
      <c r="L1763" s="128"/>
      <c r="M1763" s="129"/>
      <c r="N1763" s="129"/>
      <c r="O1763" s="129"/>
    </row>
    <row r="1764" spans="1:15" ht="12.5">
      <c r="A1764" s="158" t="s">
        <v>18360</v>
      </c>
      <c r="B1764" s="159">
        <v>25</v>
      </c>
      <c r="C1764" s="159">
        <v>71</v>
      </c>
      <c r="D1764" s="159">
        <v>50</v>
      </c>
      <c r="E1764" s="159">
        <v>61</v>
      </c>
      <c r="F1764" s="131"/>
      <c r="G1764" s="132"/>
      <c r="H1764" s="162" t="s">
        <v>18361</v>
      </c>
      <c r="I1764" s="128"/>
      <c r="J1764" s="128"/>
      <c r="K1764" s="128"/>
      <c r="L1764" s="128"/>
      <c r="M1764" s="129"/>
      <c r="N1764" s="129"/>
      <c r="O1764" s="129"/>
    </row>
    <row r="1765" spans="1:15" ht="12.5">
      <c r="A1765" s="158" t="s">
        <v>18362</v>
      </c>
      <c r="B1765" s="159">
        <v>25</v>
      </c>
      <c r="C1765" s="159">
        <v>71</v>
      </c>
      <c r="D1765" s="159">
        <v>50</v>
      </c>
      <c r="E1765" s="159">
        <v>79</v>
      </c>
      <c r="F1765" s="131"/>
      <c r="G1765" s="132"/>
      <c r="H1765" s="162" t="s">
        <v>18363</v>
      </c>
      <c r="I1765" s="128"/>
      <c r="J1765" s="128"/>
      <c r="K1765" s="128"/>
      <c r="L1765" s="128"/>
      <c r="M1765" s="129"/>
      <c r="N1765" s="129"/>
      <c r="O1765" s="129"/>
    </row>
    <row r="1766" spans="1:15" ht="12.5">
      <c r="A1766" s="158" t="s">
        <v>18364</v>
      </c>
      <c r="B1766" s="159">
        <v>25</v>
      </c>
      <c r="C1766" s="159">
        <v>71</v>
      </c>
      <c r="D1766" s="159">
        <v>50</v>
      </c>
      <c r="E1766" s="159">
        <v>80</v>
      </c>
      <c r="F1766" s="131"/>
      <c r="G1766" s="132"/>
      <c r="H1766" s="162" t="s">
        <v>18365</v>
      </c>
      <c r="I1766" s="158" t="s">
        <v>18366</v>
      </c>
      <c r="J1766" s="128"/>
      <c r="K1766" s="128"/>
      <c r="L1766" s="128"/>
      <c r="M1766" s="129"/>
      <c r="N1766" s="129"/>
      <c r="O1766" s="129"/>
    </row>
    <row r="1767" spans="1:15" ht="12.5">
      <c r="A1767" s="158" t="s">
        <v>18367</v>
      </c>
      <c r="B1767" s="159">
        <v>25</v>
      </c>
      <c r="C1767" s="159">
        <v>71</v>
      </c>
      <c r="D1767" s="159">
        <v>50</v>
      </c>
      <c r="E1767" s="159">
        <v>81</v>
      </c>
      <c r="F1767" s="131"/>
      <c r="G1767" s="132"/>
      <c r="H1767" s="162" t="s">
        <v>18368</v>
      </c>
      <c r="I1767" s="158" t="s">
        <v>18369</v>
      </c>
      <c r="J1767" s="128"/>
      <c r="K1767" s="128"/>
      <c r="L1767" s="128"/>
      <c r="M1767" s="129"/>
      <c r="N1767" s="129"/>
      <c r="O1767" s="129"/>
    </row>
    <row r="1768" spans="1:15" ht="12.5">
      <c r="A1768" s="158" t="s">
        <v>18370</v>
      </c>
      <c r="B1768" s="159">
        <v>25</v>
      </c>
      <c r="C1768" s="159">
        <v>71</v>
      </c>
      <c r="D1768" s="159">
        <v>50</v>
      </c>
      <c r="E1768" s="159">
        <v>82</v>
      </c>
      <c r="F1768" s="131"/>
      <c r="G1768" s="132"/>
      <c r="H1768" s="162" t="s">
        <v>18371</v>
      </c>
      <c r="I1768" s="158" t="s">
        <v>18372</v>
      </c>
      <c r="J1768" s="128"/>
      <c r="K1768" s="128"/>
      <c r="L1768" s="128"/>
      <c r="M1768" s="129"/>
      <c r="N1768" s="129"/>
      <c r="O1768" s="129"/>
    </row>
    <row r="1769" spans="1:15" ht="12.5">
      <c r="A1769" s="158" t="s">
        <v>18373</v>
      </c>
      <c r="B1769" s="159">
        <v>25</v>
      </c>
      <c r="C1769" s="159">
        <v>71</v>
      </c>
      <c r="D1769" s="159">
        <v>50</v>
      </c>
      <c r="E1769" s="159">
        <v>83</v>
      </c>
      <c r="F1769" s="131"/>
      <c r="G1769" s="132"/>
      <c r="H1769" s="162" t="s">
        <v>18374</v>
      </c>
      <c r="I1769" s="158" t="s">
        <v>18375</v>
      </c>
      <c r="J1769" s="128"/>
      <c r="K1769" s="128"/>
      <c r="L1769" s="128"/>
      <c r="M1769" s="129"/>
      <c r="N1769" s="129"/>
      <c r="O1769" s="129"/>
    </row>
    <row r="1770" spans="1:15" ht="12.5">
      <c r="A1770" s="158" t="s">
        <v>18376</v>
      </c>
      <c r="B1770" s="159">
        <v>25</v>
      </c>
      <c r="C1770" s="159">
        <v>71</v>
      </c>
      <c r="D1770" s="159">
        <v>50</v>
      </c>
      <c r="E1770" s="159">
        <v>84</v>
      </c>
      <c r="F1770" s="131"/>
      <c r="G1770" s="132"/>
      <c r="H1770" s="162" t="s">
        <v>18377</v>
      </c>
      <c r="I1770" s="158" t="s">
        <v>18378</v>
      </c>
      <c r="J1770" s="128"/>
      <c r="K1770" s="128"/>
      <c r="L1770" s="128"/>
      <c r="M1770" s="129"/>
      <c r="N1770" s="129"/>
      <c r="O1770" s="129"/>
    </row>
    <row r="1771" spans="1:15" ht="12.5">
      <c r="A1771" s="158" t="s">
        <v>18383</v>
      </c>
      <c r="B1771" s="159">
        <v>25</v>
      </c>
      <c r="C1771" s="159">
        <v>71</v>
      </c>
      <c r="D1771" s="159">
        <v>50</v>
      </c>
      <c r="E1771" s="159">
        <v>93</v>
      </c>
      <c r="F1771" s="131"/>
      <c r="G1771" s="132"/>
      <c r="H1771" s="162" t="s">
        <v>18384</v>
      </c>
      <c r="I1771" s="128"/>
      <c r="J1771" s="128"/>
      <c r="K1771" s="128"/>
      <c r="L1771" s="128"/>
      <c r="M1771" s="129"/>
      <c r="N1771" s="129"/>
      <c r="O1771" s="129"/>
    </row>
    <row r="1772" spans="1:15" ht="12.5">
      <c r="A1772" s="158" t="s">
        <v>18385</v>
      </c>
      <c r="B1772" s="159">
        <v>25</v>
      </c>
      <c r="C1772" s="159">
        <v>71</v>
      </c>
      <c r="D1772" s="159">
        <v>50</v>
      </c>
      <c r="E1772" s="159">
        <v>94</v>
      </c>
      <c r="F1772" s="131"/>
      <c r="G1772" s="132"/>
      <c r="H1772" s="162" t="s">
        <v>18386</v>
      </c>
      <c r="I1772" s="128"/>
      <c r="J1772" s="128"/>
      <c r="K1772" s="128"/>
      <c r="L1772" s="128"/>
      <c r="M1772" s="129"/>
      <c r="N1772" s="129"/>
      <c r="O1772" s="129"/>
    </row>
    <row r="1773" spans="1:15" ht="12.5">
      <c r="A1773" s="158" t="s">
        <v>18387</v>
      </c>
      <c r="B1773" s="159">
        <v>25</v>
      </c>
      <c r="C1773" s="159">
        <v>71</v>
      </c>
      <c r="D1773" s="159">
        <v>50</v>
      </c>
      <c r="E1773" s="159">
        <v>95</v>
      </c>
      <c r="F1773" s="131"/>
      <c r="G1773" s="132"/>
      <c r="H1773" s="162" t="s">
        <v>18388</v>
      </c>
      <c r="I1773" s="158" t="s">
        <v>18389</v>
      </c>
      <c r="J1773" s="128"/>
      <c r="K1773" s="128"/>
      <c r="L1773" s="128"/>
      <c r="M1773" s="129"/>
      <c r="N1773" s="129"/>
      <c r="O1773" s="129"/>
    </row>
    <row r="1774" spans="1:15" ht="12.5">
      <c r="A1774" s="158" t="s">
        <v>18390</v>
      </c>
      <c r="B1774" s="159">
        <v>25</v>
      </c>
      <c r="C1774" s="159">
        <v>71</v>
      </c>
      <c r="D1774" s="159">
        <v>50</v>
      </c>
      <c r="E1774" s="159">
        <v>96</v>
      </c>
      <c r="F1774" s="131"/>
      <c r="G1774" s="132"/>
      <c r="H1774" s="162" t="s">
        <v>18391</v>
      </c>
      <c r="I1774" s="158" t="s">
        <v>18392</v>
      </c>
      <c r="J1774" s="128"/>
      <c r="K1774" s="128"/>
      <c r="L1774" s="128"/>
      <c r="M1774" s="129"/>
      <c r="N1774" s="129"/>
      <c r="O1774" s="129"/>
    </row>
    <row r="1775" spans="1:15" ht="12.5">
      <c r="A1775" s="158" t="s">
        <v>18393</v>
      </c>
      <c r="B1775" s="159">
        <v>25</v>
      </c>
      <c r="C1775" s="159">
        <v>71</v>
      </c>
      <c r="D1775" s="159">
        <v>50</v>
      </c>
      <c r="E1775" s="159">
        <v>97</v>
      </c>
      <c r="F1775" s="131"/>
      <c r="G1775" s="132"/>
      <c r="H1775" s="162" t="s">
        <v>18394</v>
      </c>
      <c r="I1775" s="158" t="s">
        <v>18395</v>
      </c>
      <c r="J1775" s="128"/>
      <c r="K1775" s="128"/>
      <c r="L1775" s="128"/>
      <c r="M1775" s="129"/>
      <c r="N1775" s="129"/>
      <c r="O1775" s="129"/>
    </row>
    <row r="1776" spans="1:15" ht="12.5">
      <c r="A1776" s="158" t="s">
        <v>18396</v>
      </c>
      <c r="B1776" s="159">
        <v>25</v>
      </c>
      <c r="C1776" s="159">
        <v>71</v>
      </c>
      <c r="D1776" s="159">
        <v>50</v>
      </c>
      <c r="E1776" s="159">
        <v>98</v>
      </c>
      <c r="F1776" s="131"/>
      <c r="G1776" s="132"/>
      <c r="H1776" s="162" t="s">
        <v>18397</v>
      </c>
      <c r="I1776" s="158" t="s">
        <v>18398</v>
      </c>
      <c r="J1776" s="128"/>
      <c r="K1776" s="128"/>
      <c r="L1776" s="128"/>
      <c r="M1776" s="129"/>
      <c r="N1776" s="129"/>
      <c r="O1776" s="129"/>
    </row>
    <row r="1777" spans="1:15" ht="12.5">
      <c r="A1777" s="158" t="s">
        <v>18399</v>
      </c>
      <c r="B1777" s="159">
        <v>25</v>
      </c>
      <c r="C1777" s="159">
        <v>71</v>
      </c>
      <c r="D1777" s="159">
        <v>51</v>
      </c>
      <c r="E1777" s="130"/>
      <c r="F1777" s="131"/>
      <c r="G1777" s="132"/>
      <c r="H1777" s="162" t="s">
        <v>18400</v>
      </c>
      <c r="I1777" s="128"/>
      <c r="J1777" s="128"/>
      <c r="K1777" s="128"/>
      <c r="L1777" s="128"/>
      <c r="M1777" s="129"/>
      <c r="N1777" s="129"/>
      <c r="O1777" s="129"/>
    </row>
    <row r="1778" spans="1:15" ht="12.5">
      <c r="A1778" s="158" t="s">
        <v>18401</v>
      </c>
      <c r="B1778" s="159">
        <v>25</v>
      </c>
      <c r="C1778" s="159">
        <v>71</v>
      </c>
      <c r="D1778" s="159">
        <v>51</v>
      </c>
      <c r="E1778" s="159">
        <v>1</v>
      </c>
      <c r="F1778" s="131"/>
      <c r="G1778" s="132"/>
      <c r="H1778" s="162" t="s">
        <v>18402</v>
      </c>
      <c r="I1778" s="158" t="s">
        <v>18403</v>
      </c>
      <c r="J1778" s="128"/>
      <c r="K1778" s="128"/>
      <c r="L1778" s="128"/>
      <c r="M1778" s="129"/>
      <c r="N1778" s="129"/>
      <c r="O1778" s="129"/>
    </row>
    <row r="1779" spans="1:15" ht="12.5">
      <c r="A1779" s="158" t="s">
        <v>18404</v>
      </c>
      <c r="B1779" s="159">
        <v>25</v>
      </c>
      <c r="C1779" s="159">
        <v>71</v>
      </c>
      <c r="D1779" s="159">
        <v>51</v>
      </c>
      <c r="E1779" s="159">
        <v>2</v>
      </c>
      <c r="F1779" s="131"/>
      <c r="G1779" s="132"/>
      <c r="H1779" s="162" t="s">
        <v>18405</v>
      </c>
      <c r="I1779" s="158" t="s">
        <v>18406</v>
      </c>
      <c r="J1779" s="128"/>
      <c r="K1779" s="128"/>
      <c r="L1779" s="128"/>
      <c r="M1779" s="129"/>
      <c r="N1779" s="129"/>
      <c r="O1779" s="129"/>
    </row>
    <row r="1780" spans="1:15" ht="12.5">
      <c r="A1780" s="158" t="s">
        <v>18407</v>
      </c>
      <c r="B1780" s="159">
        <v>25</v>
      </c>
      <c r="C1780" s="159">
        <v>71</v>
      </c>
      <c r="D1780" s="159">
        <v>51</v>
      </c>
      <c r="E1780" s="159">
        <v>3</v>
      </c>
      <c r="F1780" s="131"/>
      <c r="G1780" s="132"/>
      <c r="H1780" s="162" t="s">
        <v>18408</v>
      </c>
      <c r="I1780" s="158" t="s">
        <v>18409</v>
      </c>
      <c r="J1780" s="128"/>
      <c r="K1780" s="128"/>
      <c r="L1780" s="128"/>
      <c r="M1780" s="129"/>
      <c r="N1780" s="129"/>
      <c r="O1780" s="129"/>
    </row>
    <row r="1781" spans="1:15" ht="12.5">
      <c r="A1781" s="158" t="s">
        <v>18410</v>
      </c>
      <c r="B1781" s="159">
        <v>25</v>
      </c>
      <c r="C1781" s="159">
        <v>71</v>
      </c>
      <c r="D1781" s="159">
        <v>51</v>
      </c>
      <c r="E1781" s="159">
        <v>4</v>
      </c>
      <c r="F1781" s="131"/>
      <c r="G1781" s="132"/>
      <c r="H1781" s="162" t="s">
        <v>18411</v>
      </c>
      <c r="I1781" s="158" t="s">
        <v>18412</v>
      </c>
      <c r="J1781" s="128"/>
      <c r="K1781" s="128"/>
      <c r="L1781" s="128"/>
      <c r="M1781" s="129"/>
      <c r="N1781" s="129"/>
      <c r="O1781" s="129"/>
    </row>
    <row r="1782" spans="1:15" ht="12.5">
      <c r="A1782" s="158" t="s">
        <v>18413</v>
      </c>
      <c r="B1782" s="159">
        <v>25</v>
      </c>
      <c r="C1782" s="159">
        <v>71</v>
      </c>
      <c r="D1782" s="159">
        <v>51</v>
      </c>
      <c r="E1782" s="159">
        <v>5</v>
      </c>
      <c r="F1782" s="131"/>
      <c r="G1782" s="132"/>
      <c r="H1782" s="162" t="s">
        <v>18414</v>
      </c>
      <c r="I1782" s="158" t="s">
        <v>18415</v>
      </c>
      <c r="J1782" s="128"/>
      <c r="K1782" s="128"/>
      <c r="L1782" s="128"/>
      <c r="M1782" s="129"/>
      <c r="N1782" s="129"/>
      <c r="O1782" s="129"/>
    </row>
    <row r="1783" spans="1:15" ht="12.5">
      <c r="A1783" s="158" t="s">
        <v>18416</v>
      </c>
      <c r="B1783" s="159">
        <v>25</v>
      </c>
      <c r="C1783" s="159">
        <v>71</v>
      </c>
      <c r="D1783" s="159">
        <v>51</v>
      </c>
      <c r="E1783" s="159">
        <v>6</v>
      </c>
      <c r="F1783" s="131"/>
      <c r="G1783" s="132"/>
      <c r="H1783" s="162" t="s">
        <v>18417</v>
      </c>
      <c r="I1783" s="158" t="s">
        <v>18418</v>
      </c>
      <c r="J1783" s="128"/>
      <c r="K1783" s="128"/>
      <c r="L1783" s="128"/>
      <c r="M1783" s="129"/>
      <c r="N1783" s="129"/>
      <c r="O1783" s="129"/>
    </row>
    <row r="1784" spans="1:15" ht="12.5">
      <c r="A1784" s="158" t="s">
        <v>18421</v>
      </c>
      <c r="B1784" s="159">
        <v>25</v>
      </c>
      <c r="C1784" s="159">
        <v>71</v>
      </c>
      <c r="D1784" s="159">
        <v>51</v>
      </c>
      <c r="E1784" s="159">
        <v>11</v>
      </c>
      <c r="F1784" s="131"/>
      <c r="G1784" s="132"/>
      <c r="H1784" s="162" t="s">
        <v>18422</v>
      </c>
      <c r="I1784" s="158" t="s">
        <v>18423</v>
      </c>
      <c r="J1784" s="128"/>
      <c r="K1784" s="128"/>
      <c r="L1784" s="128"/>
      <c r="M1784" s="129"/>
      <c r="N1784" s="129"/>
      <c r="O1784" s="129"/>
    </row>
    <row r="1785" spans="1:15" ht="12.5">
      <c r="A1785" s="158" t="s">
        <v>18424</v>
      </c>
      <c r="B1785" s="159">
        <v>25</v>
      </c>
      <c r="C1785" s="159">
        <v>71</v>
      </c>
      <c r="D1785" s="159">
        <v>51</v>
      </c>
      <c r="E1785" s="159">
        <v>12</v>
      </c>
      <c r="F1785" s="131"/>
      <c r="G1785" s="132"/>
      <c r="H1785" s="162" t="s">
        <v>18425</v>
      </c>
      <c r="I1785" s="128"/>
      <c r="J1785" s="128"/>
      <c r="K1785" s="128"/>
      <c r="L1785" s="128"/>
      <c r="M1785" s="129"/>
      <c r="N1785" s="129"/>
      <c r="O1785" s="129"/>
    </row>
    <row r="1786" spans="1:15" ht="12.5">
      <c r="A1786" s="158" t="s">
        <v>18426</v>
      </c>
      <c r="B1786" s="159">
        <v>25</v>
      </c>
      <c r="C1786" s="159">
        <v>71</v>
      </c>
      <c r="D1786" s="159">
        <v>51</v>
      </c>
      <c r="E1786" s="159">
        <v>14</v>
      </c>
      <c r="F1786" s="131"/>
      <c r="G1786" s="132"/>
      <c r="H1786" s="162" t="s">
        <v>18427</v>
      </c>
      <c r="I1786" s="158" t="s">
        <v>18428</v>
      </c>
      <c r="J1786" s="128"/>
      <c r="K1786" s="128"/>
      <c r="L1786" s="128"/>
      <c r="M1786" s="129"/>
      <c r="N1786" s="129"/>
      <c r="O1786" s="129"/>
    </row>
    <row r="1787" spans="1:15" ht="12.5">
      <c r="A1787" s="158" t="s">
        <v>18429</v>
      </c>
      <c r="B1787" s="159">
        <v>25</v>
      </c>
      <c r="C1787" s="159">
        <v>71</v>
      </c>
      <c r="D1787" s="159">
        <v>51</v>
      </c>
      <c r="E1787" s="159">
        <v>15</v>
      </c>
      <c r="F1787" s="131"/>
      <c r="G1787" s="132"/>
      <c r="H1787" s="162" t="s">
        <v>18430</v>
      </c>
      <c r="I1787" s="158" t="s">
        <v>18431</v>
      </c>
      <c r="J1787" s="128"/>
      <c r="K1787" s="128"/>
      <c r="L1787" s="128"/>
      <c r="M1787" s="129"/>
      <c r="N1787" s="129"/>
      <c r="O1787" s="129"/>
    </row>
    <row r="1788" spans="1:15" ht="12.5">
      <c r="A1788" s="158" t="s">
        <v>18432</v>
      </c>
      <c r="B1788" s="159">
        <v>25</v>
      </c>
      <c r="C1788" s="159">
        <v>71</v>
      </c>
      <c r="D1788" s="159">
        <v>51</v>
      </c>
      <c r="E1788" s="159">
        <v>16</v>
      </c>
      <c r="F1788" s="131"/>
      <c r="G1788" s="132"/>
      <c r="H1788" s="162" t="s">
        <v>18433</v>
      </c>
      <c r="I1788" s="158" t="s">
        <v>18434</v>
      </c>
      <c r="J1788" s="128"/>
      <c r="K1788" s="128"/>
      <c r="L1788" s="128"/>
      <c r="M1788" s="129"/>
      <c r="N1788" s="129"/>
      <c r="O1788" s="129"/>
    </row>
    <row r="1789" spans="1:15" ht="12.5">
      <c r="A1789" s="158" t="s">
        <v>18435</v>
      </c>
      <c r="B1789" s="159">
        <v>25</v>
      </c>
      <c r="C1789" s="159">
        <v>71</v>
      </c>
      <c r="D1789" s="159">
        <v>51</v>
      </c>
      <c r="E1789" s="159">
        <v>17</v>
      </c>
      <c r="F1789" s="131"/>
      <c r="G1789" s="132"/>
      <c r="H1789" s="162" t="s">
        <v>18436</v>
      </c>
      <c r="I1789" s="158" t="s">
        <v>18437</v>
      </c>
      <c r="J1789" s="128"/>
      <c r="K1789" s="128"/>
      <c r="L1789" s="128"/>
      <c r="M1789" s="129"/>
      <c r="N1789" s="129"/>
      <c r="O1789" s="129"/>
    </row>
    <row r="1790" spans="1:15" ht="12.5">
      <c r="A1790" s="158" t="s">
        <v>18438</v>
      </c>
      <c r="B1790" s="159">
        <v>25</v>
      </c>
      <c r="C1790" s="159">
        <v>71</v>
      </c>
      <c r="D1790" s="159">
        <v>51</v>
      </c>
      <c r="E1790" s="159">
        <v>33</v>
      </c>
      <c r="F1790" s="131"/>
      <c r="G1790" s="132"/>
      <c r="H1790" s="162" t="s">
        <v>18439</v>
      </c>
      <c r="I1790" s="158" t="s">
        <v>18440</v>
      </c>
      <c r="J1790" s="128"/>
      <c r="K1790" s="128"/>
      <c r="L1790" s="128"/>
      <c r="M1790" s="129"/>
      <c r="N1790" s="129"/>
      <c r="O1790" s="129"/>
    </row>
    <row r="1791" spans="1:15" ht="12.5">
      <c r="A1791" s="158" t="s">
        <v>18441</v>
      </c>
      <c r="B1791" s="159">
        <v>25</v>
      </c>
      <c r="C1791" s="159">
        <v>71</v>
      </c>
      <c r="D1791" s="159">
        <v>51</v>
      </c>
      <c r="E1791" s="159">
        <v>38</v>
      </c>
      <c r="F1791" s="131"/>
      <c r="G1791" s="132"/>
      <c r="H1791" s="162" t="s">
        <v>18442</v>
      </c>
      <c r="I1791" s="128"/>
      <c r="J1791" s="128"/>
      <c r="K1791" s="128"/>
      <c r="L1791" s="128"/>
      <c r="M1791" s="129"/>
      <c r="N1791" s="129"/>
      <c r="O1791" s="129"/>
    </row>
    <row r="1792" spans="1:15" ht="12.5">
      <c r="A1792" s="158" t="s">
        <v>18443</v>
      </c>
      <c r="B1792" s="159">
        <v>25</v>
      </c>
      <c r="C1792" s="159">
        <v>71</v>
      </c>
      <c r="D1792" s="159">
        <v>51</v>
      </c>
      <c r="E1792" s="159">
        <v>46</v>
      </c>
      <c r="F1792" s="131"/>
      <c r="G1792" s="132"/>
      <c r="H1792" s="162" t="s">
        <v>18444</v>
      </c>
      <c r="I1792" s="158" t="s">
        <v>18445</v>
      </c>
      <c r="J1792" s="128"/>
      <c r="K1792" s="128"/>
      <c r="L1792" s="128"/>
      <c r="M1792" s="129"/>
      <c r="N1792" s="129"/>
      <c r="O1792" s="129"/>
    </row>
    <row r="1793" spans="1:15" ht="12.5">
      <c r="A1793" s="158" t="s">
        <v>18446</v>
      </c>
      <c r="B1793" s="159">
        <v>25</v>
      </c>
      <c r="C1793" s="159">
        <v>71</v>
      </c>
      <c r="D1793" s="159">
        <v>51</v>
      </c>
      <c r="E1793" s="159">
        <v>47</v>
      </c>
      <c r="F1793" s="131"/>
      <c r="G1793" s="132"/>
      <c r="H1793" s="162" t="s">
        <v>18447</v>
      </c>
      <c r="I1793" s="158" t="s">
        <v>18448</v>
      </c>
      <c r="J1793" s="128"/>
      <c r="K1793" s="128"/>
      <c r="L1793" s="128"/>
      <c r="M1793" s="129"/>
      <c r="N1793" s="129"/>
      <c r="O1793" s="129"/>
    </row>
    <row r="1794" spans="1:15" ht="12.5">
      <c r="A1794" s="158" t="s">
        <v>18449</v>
      </c>
      <c r="B1794" s="159">
        <v>25</v>
      </c>
      <c r="C1794" s="159">
        <v>71</v>
      </c>
      <c r="D1794" s="159">
        <v>51</v>
      </c>
      <c r="E1794" s="159">
        <v>52</v>
      </c>
      <c r="F1794" s="131"/>
      <c r="G1794" s="132"/>
      <c r="H1794" s="162" t="s">
        <v>18450</v>
      </c>
      <c r="I1794" s="158" t="s">
        <v>18451</v>
      </c>
      <c r="J1794" s="128"/>
      <c r="K1794" s="128"/>
      <c r="L1794" s="128"/>
      <c r="M1794" s="129"/>
      <c r="N1794" s="129"/>
      <c r="O1794" s="129"/>
    </row>
    <row r="1795" spans="1:15" ht="12.5">
      <c r="A1795" s="158" t="s">
        <v>33356</v>
      </c>
      <c r="B1795" s="159">
        <v>25</v>
      </c>
      <c r="C1795" s="159">
        <v>71</v>
      </c>
      <c r="D1795" s="159">
        <v>51</v>
      </c>
      <c r="E1795" s="159">
        <v>82</v>
      </c>
      <c r="F1795" s="131"/>
      <c r="G1795" s="132"/>
      <c r="H1795" s="162" t="s">
        <v>33357</v>
      </c>
      <c r="I1795" s="128"/>
      <c r="J1795" s="128"/>
      <c r="K1795" s="128"/>
      <c r="L1795" s="128"/>
      <c r="M1795" s="129"/>
      <c r="N1795" s="129"/>
      <c r="O1795" s="129"/>
    </row>
    <row r="1796" spans="1:15" ht="12.5">
      <c r="A1796" s="158" t="s">
        <v>33358</v>
      </c>
      <c r="B1796" s="159">
        <v>25</v>
      </c>
      <c r="C1796" s="159">
        <v>71</v>
      </c>
      <c r="D1796" s="159">
        <v>51</v>
      </c>
      <c r="E1796" s="159">
        <v>83</v>
      </c>
      <c r="F1796" s="131"/>
      <c r="G1796" s="132"/>
      <c r="H1796" s="162" t="s">
        <v>33359</v>
      </c>
      <c r="I1796" s="128"/>
      <c r="J1796" s="128"/>
      <c r="K1796" s="128"/>
      <c r="L1796" s="128"/>
      <c r="M1796" s="129"/>
      <c r="N1796" s="129"/>
      <c r="O1796" s="129"/>
    </row>
    <row r="1797" spans="1:15" ht="12.5">
      <c r="A1797" s="158" t="s">
        <v>18452</v>
      </c>
      <c r="B1797" s="159">
        <v>25</v>
      </c>
      <c r="C1797" s="159">
        <v>71</v>
      </c>
      <c r="D1797" s="159">
        <v>51</v>
      </c>
      <c r="E1797" s="159">
        <v>84</v>
      </c>
      <c r="F1797" s="131"/>
      <c r="G1797" s="132"/>
      <c r="H1797" s="162" t="s">
        <v>18453</v>
      </c>
      <c r="I1797" s="158" t="s">
        <v>18454</v>
      </c>
      <c r="J1797" s="128"/>
      <c r="K1797" s="128"/>
      <c r="L1797" s="128"/>
      <c r="M1797" s="129"/>
      <c r="N1797" s="129"/>
      <c r="O1797" s="129"/>
    </row>
    <row r="1798" spans="1:15" ht="12.5">
      <c r="A1798" s="158" t="s">
        <v>18455</v>
      </c>
      <c r="B1798" s="159">
        <v>25</v>
      </c>
      <c r="C1798" s="159">
        <v>71</v>
      </c>
      <c r="D1798" s="159">
        <v>51</v>
      </c>
      <c r="E1798" s="159">
        <v>85</v>
      </c>
      <c r="F1798" s="131"/>
      <c r="G1798" s="132"/>
      <c r="H1798" s="162" t="s">
        <v>18456</v>
      </c>
      <c r="I1798" s="158" t="s">
        <v>18457</v>
      </c>
      <c r="J1798" s="128"/>
      <c r="K1798" s="128"/>
      <c r="L1798" s="128"/>
      <c r="M1798" s="129"/>
      <c r="N1798" s="129"/>
      <c r="O1798" s="129"/>
    </row>
    <row r="1799" spans="1:15" ht="12.5">
      <c r="A1799" s="158" t="s">
        <v>18458</v>
      </c>
      <c r="B1799" s="159">
        <v>25</v>
      </c>
      <c r="C1799" s="159">
        <v>71</v>
      </c>
      <c r="D1799" s="159">
        <v>51</v>
      </c>
      <c r="E1799" s="159">
        <v>86</v>
      </c>
      <c r="F1799" s="131"/>
      <c r="G1799" s="132"/>
      <c r="H1799" s="162" t="s">
        <v>18459</v>
      </c>
      <c r="I1799" s="158" t="s">
        <v>18460</v>
      </c>
      <c r="J1799" s="128"/>
      <c r="K1799" s="128"/>
      <c r="L1799" s="128"/>
      <c r="M1799" s="129"/>
      <c r="N1799" s="129"/>
      <c r="O1799" s="129"/>
    </row>
    <row r="1800" spans="1:15" ht="12.5">
      <c r="A1800" s="158" t="s">
        <v>18461</v>
      </c>
      <c r="B1800" s="159">
        <v>25</v>
      </c>
      <c r="C1800" s="159">
        <v>71</v>
      </c>
      <c r="D1800" s="159">
        <v>51</v>
      </c>
      <c r="E1800" s="159">
        <v>87</v>
      </c>
      <c r="F1800" s="131"/>
      <c r="G1800" s="132"/>
      <c r="H1800" s="162" t="s">
        <v>18462</v>
      </c>
      <c r="I1800" s="158" t="s">
        <v>18463</v>
      </c>
      <c r="J1800" s="128"/>
      <c r="K1800" s="128"/>
      <c r="L1800" s="128"/>
      <c r="M1800" s="129"/>
      <c r="N1800" s="129"/>
      <c r="O1800" s="129"/>
    </row>
    <row r="1801" spans="1:15" ht="12.5">
      <c r="A1801" s="158" t="s">
        <v>18464</v>
      </c>
      <c r="B1801" s="159">
        <v>25</v>
      </c>
      <c r="C1801" s="159">
        <v>71</v>
      </c>
      <c r="D1801" s="159">
        <v>51</v>
      </c>
      <c r="E1801" s="159">
        <v>88</v>
      </c>
      <c r="F1801" s="131"/>
      <c r="G1801" s="132"/>
      <c r="H1801" s="162" t="s">
        <v>18465</v>
      </c>
      <c r="I1801" s="158" t="s">
        <v>18466</v>
      </c>
      <c r="J1801" s="128"/>
      <c r="K1801" s="128"/>
      <c r="L1801" s="128"/>
      <c r="M1801" s="129"/>
      <c r="N1801" s="129"/>
      <c r="O1801" s="129"/>
    </row>
    <row r="1802" spans="1:15" ht="12.5">
      <c r="A1802" s="158" t="s">
        <v>18467</v>
      </c>
      <c r="B1802" s="159">
        <v>25</v>
      </c>
      <c r="C1802" s="159">
        <v>71</v>
      </c>
      <c r="D1802" s="159">
        <v>51</v>
      </c>
      <c r="E1802" s="159">
        <v>89</v>
      </c>
      <c r="F1802" s="131"/>
      <c r="G1802" s="132"/>
      <c r="H1802" s="162" t="s">
        <v>18468</v>
      </c>
      <c r="I1802" s="158" t="s">
        <v>18469</v>
      </c>
      <c r="J1802" s="128"/>
      <c r="K1802" s="128"/>
      <c r="L1802" s="128"/>
      <c r="M1802" s="129"/>
      <c r="N1802" s="129"/>
      <c r="O1802" s="129"/>
    </row>
    <row r="1803" spans="1:15" ht="12.5">
      <c r="A1803" s="158" t="s">
        <v>18470</v>
      </c>
      <c r="B1803" s="159">
        <v>25</v>
      </c>
      <c r="C1803" s="159">
        <v>71</v>
      </c>
      <c r="D1803" s="159">
        <v>51</v>
      </c>
      <c r="E1803" s="159">
        <v>97</v>
      </c>
      <c r="F1803" s="131"/>
      <c r="G1803" s="132"/>
      <c r="H1803" s="162" t="s">
        <v>18471</v>
      </c>
      <c r="I1803" s="158" t="s">
        <v>18472</v>
      </c>
      <c r="J1803" s="128"/>
      <c r="K1803" s="128"/>
      <c r="L1803" s="128"/>
      <c r="M1803" s="129"/>
      <c r="N1803" s="129"/>
      <c r="O1803" s="129"/>
    </row>
    <row r="1804" spans="1:15" ht="12.5">
      <c r="A1804" s="158" t="s">
        <v>18473</v>
      </c>
      <c r="B1804" s="159">
        <v>25</v>
      </c>
      <c r="C1804" s="159">
        <v>71</v>
      </c>
      <c r="D1804" s="159">
        <v>51</v>
      </c>
      <c r="E1804" s="159">
        <v>98</v>
      </c>
      <c r="F1804" s="131"/>
      <c r="G1804" s="132"/>
      <c r="H1804" s="162" t="s">
        <v>18474</v>
      </c>
      <c r="I1804" s="158" t="s">
        <v>18475</v>
      </c>
      <c r="J1804" s="128"/>
      <c r="K1804" s="128"/>
      <c r="L1804" s="128"/>
      <c r="M1804" s="129"/>
      <c r="N1804" s="129"/>
      <c r="O1804" s="129"/>
    </row>
    <row r="1805" spans="1:15" ht="12.5">
      <c r="A1805" s="158" t="s">
        <v>18476</v>
      </c>
      <c r="B1805" s="159">
        <v>25</v>
      </c>
      <c r="C1805" s="159">
        <v>71</v>
      </c>
      <c r="D1805" s="159">
        <v>51</v>
      </c>
      <c r="E1805" s="159">
        <v>99</v>
      </c>
      <c r="F1805" s="131"/>
      <c r="G1805" s="132"/>
      <c r="H1805" s="162" t="s">
        <v>18477</v>
      </c>
      <c r="I1805" s="158" t="s">
        <v>18478</v>
      </c>
      <c r="J1805" s="128"/>
      <c r="K1805" s="128"/>
      <c r="L1805" s="128"/>
      <c r="M1805" s="129"/>
      <c r="N1805" s="129"/>
      <c r="O1805" s="129"/>
    </row>
    <row r="1806" spans="1:15" ht="12.5">
      <c r="A1806" s="158" t="s">
        <v>18479</v>
      </c>
      <c r="B1806" s="159">
        <v>25</v>
      </c>
      <c r="C1806" s="159">
        <v>71</v>
      </c>
      <c r="D1806" s="159">
        <v>52</v>
      </c>
      <c r="E1806" s="130"/>
      <c r="F1806" s="131"/>
      <c r="G1806" s="132"/>
      <c r="H1806" s="162" t="s">
        <v>18480</v>
      </c>
      <c r="I1806" s="128"/>
      <c r="J1806" s="128"/>
      <c r="K1806" s="128"/>
      <c r="L1806" s="128"/>
      <c r="M1806" s="129"/>
      <c r="N1806" s="129"/>
      <c r="O1806" s="129"/>
    </row>
    <row r="1807" spans="1:15" ht="12.5">
      <c r="A1807" s="158" t="s">
        <v>18481</v>
      </c>
      <c r="B1807" s="159">
        <v>25</v>
      </c>
      <c r="C1807" s="159">
        <v>71</v>
      </c>
      <c r="D1807" s="159">
        <v>52</v>
      </c>
      <c r="E1807" s="159">
        <v>11</v>
      </c>
      <c r="F1807" s="131"/>
      <c r="G1807" s="132"/>
      <c r="H1807" s="162" t="s">
        <v>18482</v>
      </c>
      <c r="I1807" s="158" t="s">
        <v>18483</v>
      </c>
      <c r="J1807" s="128"/>
      <c r="K1807" s="128"/>
      <c r="L1807" s="128"/>
      <c r="M1807" s="129"/>
      <c r="N1807" s="129"/>
      <c r="O1807" s="129"/>
    </row>
    <row r="1808" spans="1:15" ht="12.5">
      <c r="A1808" s="158" t="s">
        <v>18484</v>
      </c>
      <c r="B1808" s="159">
        <v>25</v>
      </c>
      <c r="C1808" s="159">
        <v>71</v>
      </c>
      <c r="D1808" s="159">
        <v>52</v>
      </c>
      <c r="E1808" s="159">
        <v>12</v>
      </c>
      <c r="F1808" s="131"/>
      <c r="G1808" s="132"/>
      <c r="H1808" s="162" t="s">
        <v>18485</v>
      </c>
      <c r="I1808" s="158" t="s">
        <v>18486</v>
      </c>
      <c r="J1808" s="128"/>
      <c r="K1808" s="128"/>
      <c r="L1808" s="128"/>
      <c r="M1808" s="129"/>
      <c r="N1808" s="129"/>
      <c r="O1808" s="129"/>
    </row>
    <row r="1809" spans="1:15" ht="12.5">
      <c r="A1809" s="158" t="s">
        <v>18487</v>
      </c>
      <c r="B1809" s="159">
        <v>25</v>
      </c>
      <c r="C1809" s="159">
        <v>71</v>
      </c>
      <c r="D1809" s="159">
        <v>52</v>
      </c>
      <c r="E1809" s="159">
        <v>13</v>
      </c>
      <c r="F1809" s="131"/>
      <c r="G1809" s="132"/>
      <c r="H1809" s="162" t="s">
        <v>18488</v>
      </c>
      <c r="I1809" s="158" t="s">
        <v>18489</v>
      </c>
      <c r="J1809" s="128"/>
      <c r="K1809" s="128"/>
      <c r="L1809" s="128"/>
      <c r="M1809" s="129"/>
      <c r="N1809" s="129"/>
      <c r="O1809" s="129"/>
    </row>
    <row r="1810" spans="1:15" ht="12.5">
      <c r="A1810" s="158" t="s">
        <v>18490</v>
      </c>
      <c r="B1810" s="159">
        <v>25</v>
      </c>
      <c r="C1810" s="159">
        <v>71</v>
      </c>
      <c r="D1810" s="159">
        <v>52</v>
      </c>
      <c r="E1810" s="159">
        <v>15</v>
      </c>
      <c r="F1810" s="131"/>
      <c r="G1810" s="132"/>
      <c r="H1810" s="162" t="s">
        <v>18491</v>
      </c>
      <c r="I1810" s="158" t="s">
        <v>18492</v>
      </c>
      <c r="J1810" s="128"/>
      <c r="K1810" s="128"/>
      <c r="L1810" s="128"/>
      <c r="M1810" s="129"/>
      <c r="N1810" s="129"/>
      <c r="O1810" s="129"/>
    </row>
    <row r="1811" spans="1:15" ht="12.5">
      <c r="A1811" s="158" t="s">
        <v>18493</v>
      </c>
      <c r="B1811" s="159">
        <v>25</v>
      </c>
      <c r="C1811" s="159">
        <v>71</v>
      </c>
      <c r="D1811" s="159">
        <v>52</v>
      </c>
      <c r="E1811" s="159">
        <v>17</v>
      </c>
      <c r="F1811" s="131"/>
      <c r="G1811" s="132"/>
      <c r="H1811" s="162" t="s">
        <v>18494</v>
      </c>
      <c r="I1811" s="158" t="s">
        <v>18495</v>
      </c>
      <c r="J1811" s="128"/>
      <c r="K1811" s="128"/>
      <c r="L1811" s="128"/>
      <c r="M1811" s="129"/>
      <c r="N1811" s="129"/>
      <c r="O1811" s="129"/>
    </row>
    <row r="1812" spans="1:15" ht="12.5">
      <c r="A1812" s="158" t="s">
        <v>18496</v>
      </c>
      <c r="B1812" s="159">
        <v>25</v>
      </c>
      <c r="C1812" s="159">
        <v>71</v>
      </c>
      <c r="D1812" s="159">
        <v>52</v>
      </c>
      <c r="E1812" s="159">
        <v>21</v>
      </c>
      <c r="F1812" s="131"/>
      <c r="G1812" s="132"/>
      <c r="H1812" s="162" t="s">
        <v>18497</v>
      </c>
      <c r="I1812" s="158" t="s">
        <v>18498</v>
      </c>
      <c r="J1812" s="128"/>
      <c r="K1812" s="128"/>
      <c r="L1812" s="128"/>
      <c r="M1812" s="129"/>
      <c r="N1812" s="129"/>
      <c r="O1812" s="129"/>
    </row>
    <row r="1813" spans="1:15" ht="12.5">
      <c r="A1813" s="158" t="s">
        <v>18499</v>
      </c>
      <c r="B1813" s="159">
        <v>25</v>
      </c>
      <c r="C1813" s="159">
        <v>71</v>
      </c>
      <c r="D1813" s="159">
        <v>52</v>
      </c>
      <c r="E1813" s="159">
        <v>22</v>
      </c>
      <c r="F1813" s="131"/>
      <c r="G1813" s="132"/>
      <c r="H1813" s="162" t="s">
        <v>18500</v>
      </c>
      <c r="I1813" s="158" t="s">
        <v>18501</v>
      </c>
      <c r="J1813" s="128"/>
      <c r="K1813" s="128"/>
      <c r="L1813" s="128"/>
      <c r="M1813" s="129"/>
      <c r="N1813" s="129"/>
      <c r="O1813" s="129"/>
    </row>
    <row r="1814" spans="1:15" ht="12.5">
      <c r="A1814" s="158" t="s">
        <v>18502</v>
      </c>
      <c r="B1814" s="159">
        <v>25</v>
      </c>
      <c r="C1814" s="159">
        <v>71</v>
      </c>
      <c r="D1814" s="159">
        <v>52</v>
      </c>
      <c r="E1814" s="159">
        <v>23</v>
      </c>
      <c r="F1814" s="131"/>
      <c r="G1814" s="132"/>
      <c r="H1814" s="162" t="s">
        <v>18503</v>
      </c>
      <c r="I1814" s="158" t="s">
        <v>18504</v>
      </c>
      <c r="J1814" s="128"/>
      <c r="K1814" s="128"/>
      <c r="L1814" s="128"/>
      <c r="M1814" s="129"/>
      <c r="N1814" s="129"/>
      <c r="O1814" s="129"/>
    </row>
    <row r="1815" spans="1:15" ht="12.5">
      <c r="A1815" s="158" t="s">
        <v>18505</v>
      </c>
      <c r="B1815" s="159">
        <v>25</v>
      </c>
      <c r="C1815" s="159">
        <v>71</v>
      </c>
      <c r="D1815" s="159">
        <v>52</v>
      </c>
      <c r="E1815" s="159">
        <v>24</v>
      </c>
      <c r="F1815" s="131"/>
      <c r="G1815" s="132"/>
      <c r="H1815" s="162" t="s">
        <v>18506</v>
      </c>
      <c r="I1815" s="158" t="s">
        <v>18507</v>
      </c>
      <c r="J1815" s="128"/>
      <c r="K1815" s="128"/>
      <c r="L1815" s="128"/>
      <c r="M1815" s="129"/>
      <c r="N1815" s="129"/>
      <c r="O1815" s="129"/>
    </row>
    <row r="1816" spans="1:15" ht="12.5">
      <c r="A1816" s="158" t="s">
        <v>18508</v>
      </c>
      <c r="B1816" s="159">
        <v>25</v>
      </c>
      <c r="C1816" s="159">
        <v>71</v>
      </c>
      <c r="D1816" s="159">
        <v>52</v>
      </c>
      <c r="E1816" s="159">
        <v>25</v>
      </c>
      <c r="F1816" s="131"/>
      <c r="G1816" s="132"/>
      <c r="H1816" s="162" t="s">
        <v>18509</v>
      </c>
      <c r="I1816" s="158" t="s">
        <v>18510</v>
      </c>
      <c r="J1816" s="128"/>
      <c r="K1816" s="128"/>
      <c r="L1816" s="128"/>
      <c r="M1816" s="129"/>
      <c r="N1816" s="129"/>
      <c r="O1816" s="129"/>
    </row>
    <row r="1817" spans="1:15" ht="12.5">
      <c r="A1817" s="158" t="s">
        <v>18511</v>
      </c>
      <c r="B1817" s="159">
        <v>25</v>
      </c>
      <c r="C1817" s="159">
        <v>71</v>
      </c>
      <c r="D1817" s="159">
        <v>52</v>
      </c>
      <c r="E1817" s="159">
        <v>26</v>
      </c>
      <c r="F1817" s="131"/>
      <c r="G1817" s="132"/>
      <c r="H1817" s="162" t="s">
        <v>18512</v>
      </c>
      <c r="I1817" s="158" t="s">
        <v>33360</v>
      </c>
      <c r="J1817" s="128"/>
      <c r="K1817" s="128"/>
      <c r="L1817" s="128"/>
      <c r="M1817" s="129"/>
      <c r="N1817" s="129"/>
      <c r="O1817" s="129"/>
    </row>
    <row r="1818" spans="1:15" ht="12.5">
      <c r="A1818" s="158" t="s">
        <v>18514</v>
      </c>
      <c r="B1818" s="159">
        <v>25</v>
      </c>
      <c r="C1818" s="159">
        <v>71</v>
      </c>
      <c r="D1818" s="159">
        <v>52</v>
      </c>
      <c r="E1818" s="159">
        <v>27</v>
      </c>
      <c r="F1818" s="131"/>
      <c r="G1818" s="132"/>
      <c r="H1818" s="162" t="s">
        <v>18515</v>
      </c>
      <c r="I1818" s="158" t="s">
        <v>33361</v>
      </c>
      <c r="J1818" s="128"/>
      <c r="K1818" s="128"/>
      <c r="L1818" s="128"/>
      <c r="M1818" s="129"/>
      <c r="N1818" s="129"/>
      <c r="O1818" s="129"/>
    </row>
    <row r="1819" spans="1:15" ht="12.5">
      <c r="A1819" s="158" t="s">
        <v>18517</v>
      </c>
      <c r="B1819" s="159">
        <v>25</v>
      </c>
      <c r="C1819" s="159">
        <v>71</v>
      </c>
      <c r="D1819" s="159">
        <v>52</v>
      </c>
      <c r="E1819" s="159">
        <v>28</v>
      </c>
      <c r="F1819" s="131"/>
      <c r="G1819" s="132"/>
      <c r="H1819" s="162" t="s">
        <v>18518</v>
      </c>
      <c r="I1819" s="158" t="s">
        <v>18519</v>
      </c>
      <c r="J1819" s="128"/>
      <c r="K1819" s="128"/>
      <c r="L1819" s="128"/>
      <c r="M1819" s="129"/>
      <c r="N1819" s="129"/>
      <c r="O1819" s="129"/>
    </row>
    <row r="1820" spans="1:15" ht="12.5">
      <c r="A1820" s="158" t="s">
        <v>18520</v>
      </c>
      <c r="B1820" s="159">
        <v>25</v>
      </c>
      <c r="C1820" s="159">
        <v>71</v>
      </c>
      <c r="D1820" s="159">
        <v>52</v>
      </c>
      <c r="E1820" s="159">
        <v>29</v>
      </c>
      <c r="F1820" s="131"/>
      <c r="G1820" s="132"/>
      <c r="H1820" s="162" t="s">
        <v>18521</v>
      </c>
      <c r="I1820" s="158" t="s">
        <v>18522</v>
      </c>
      <c r="J1820" s="128"/>
      <c r="K1820" s="128"/>
      <c r="L1820" s="128"/>
      <c r="M1820" s="129"/>
      <c r="N1820" s="129"/>
      <c r="O1820" s="129"/>
    </row>
    <row r="1821" spans="1:15" ht="12.5">
      <c r="A1821" s="158" t="s">
        <v>18523</v>
      </c>
      <c r="B1821" s="159">
        <v>25</v>
      </c>
      <c r="C1821" s="159">
        <v>71</v>
      </c>
      <c r="D1821" s="159">
        <v>52</v>
      </c>
      <c r="E1821" s="159">
        <v>30</v>
      </c>
      <c r="F1821" s="131"/>
      <c r="G1821" s="132"/>
      <c r="H1821" s="162" t="s">
        <v>18524</v>
      </c>
      <c r="I1821" s="158" t="s">
        <v>18525</v>
      </c>
      <c r="J1821" s="128"/>
      <c r="K1821" s="128"/>
      <c r="L1821" s="128"/>
      <c r="M1821" s="129"/>
      <c r="N1821" s="129"/>
      <c r="O1821" s="129"/>
    </row>
    <row r="1822" spans="1:15" ht="12.5">
      <c r="A1822" s="158" t="s">
        <v>18526</v>
      </c>
      <c r="B1822" s="159">
        <v>25</v>
      </c>
      <c r="C1822" s="159">
        <v>71</v>
      </c>
      <c r="D1822" s="159">
        <v>52</v>
      </c>
      <c r="E1822" s="159">
        <v>31</v>
      </c>
      <c r="F1822" s="131"/>
      <c r="G1822" s="132"/>
      <c r="H1822" s="162" t="s">
        <v>18527</v>
      </c>
      <c r="I1822" s="158" t="s">
        <v>18528</v>
      </c>
      <c r="J1822" s="128"/>
      <c r="K1822" s="128"/>
      <c r="L1822" s="128"/>
      <c r="M1822" s="129"/>
      <c r="N1822" s="129"/>
      <c r="O1822" s="129"/>
    </row>
    <row r="1823" spans="1:15" ht="12.5">
      <c r="A1823" s="158" t="s">
        <v>18529</v>
      </c>
      <c r="B1823" s="159">
        <v>25</v>
      </c>
      <c r="C1823" s="159">
        <v>71</v>
      </c>
      <c r="D1823" s="159">
        <v>52</v>
      </c>
      <c r="E1823" s="159">
        <v>32</v>
      </c>
      <c r="F1823" s="131"/>
      <c r="G1823" s="132"/>
      <c r="H1823" s="162" t="s">
        <v>33362</v>
      </c>
      <c r="I1823" s="158" t="s">
        <v>18531</v>
      </c>
      <c r="J1823" s="128"/>
      <c r="K1823" s="128"/>
      <c r="L1823" s="128"/>
      <c r="M1823" s="129"/>
      <c r="N1823" s="129"/>
      <c r="O1823" s="129"/>
    </row>
    <row r="1824" spans="1:15" ht="12.5">
      <c r="A1824" s="158" t="s">
        <v>18532</v>
      </c>
      <c r="B1824" s="159">
        <v>25</v>
      </c>
      <c r="C1824" s="159">
        <v>71</v>
      </c>
      <c r="D1824" s="159">
        <v>52</v>
      </c>
      <c r="E1824" s="159">
        <v>33</v>
      </c>
      <c r="F1824" s="131"/>
      <c r="G1824" s="132"/>
      <c r="H1824" s="162" t="s">
        <v>18533</v>
      </c>
      <c r="I1824" s="158" t="s">
        <v>18534</v>
      </c>
      <c r="J1824" s="128"/>
      <c r="K1824" s="128"/>
      <c r="L1824" s="128"/>
      <c r="M1824" s="129"/>
      <c r="N1824" s="129"/>
      <c r="O1824" s="129"/>
    </row>
    <row r="1825" spans="1:15" ht="12.5">
      <c r="A1825" s="158" t="s">
        <v>18535</v>
      </c>
      <c r="B1825" s="159">
        <v>25</v>
      </c>
      <c r="C1825" s="159">
        <v>71</v>
      </c>
      <c r="D1825" s="159">
        <v>52</v>
      </c>
      <c r="E1825" s="159">
        <v>34</v>
      </c>
      <c r="F1825" s="131"/>
      <c r="G1825" s="132"/>
      <c r="H1825" s="162" t="s">
        <v>18536</v>
      </c>
      <c r="I1825" s="158" t="s">
        <v>18537</v>
      </c>
      <c r="J1825" s="128"/>
      <c r="K1825" s="128"/>
      <c r="L1825" s="128"/>
      <c r="M1825" s="129"/>
      <c r="N1825" s="129"/>
      <c r="O1825" s="129"/>
    </row>
    <row r="1826" spans="1:15" ht="12.5">
      <c r="A1826" s="158" t="s">
        <v>18538</v>
      </c>
      <c r="B1826" s="159">
        <v>25</v>
      </c>
      <c r="C1826" s="159">
        <v>71</v>
      </c>
      <c r="D1826" s="159">
        <v>52</v>
      </c>
      <c r="E1826" s="159">
        <v>35</v>
      </c>
      <c r="F1826" s="131"/>
      <c r="G1826" s="132"/>
      <c r="H1826" s="162" t="s">
        <v>18539</v>
      </c>
      <c r="I1826" s="158" t="s">
        <v>18540</v>
      </c>
      <c r="J1826" s="128"/>
      <c r="K1826" s="128"/>
      <c r="L1826" s="128"/>
      <c r="M1826" s="129"/>
      <c r="N1826" s="129"/>
      <c r="O1826" s="129"/>
    </row>
    <row r="1827" spans="1:15" ht="12.5">
      <c r="A1827" s="158" t="s">
        <v>18541</v>
      </c>
      <c r="B1827" s="159">
        <v>25</v>
      </c>
      <c r="C1827" s="159">
        <v>71</v>
      </c>
      <c r="D1827" s="159">
        <v>52</v>
      </c>
      <c r="E1827" s="159">
        <v>36</v>
      </c>
      <c r="F1827" s="131"/>
      <c r="G1827" s="132"/>
      <c r="H1827" s="162" t="s">
        <v>18542</v>
      </c>
      <c r="I1827" s="158" t="s">
        <v>18543</v>
      </c>
      <c r="J1827" s="128"/>
      <c r="K1827" s="128"/>
      <c r="L1827" s="128"/>
      <c r="M1827" s="129"/>
      <c r="N1827" s="129"/>
      <c r="O1827" s="129"/>
    </row>
    <row r="1828" spans="1:15" ht="12.5">
      <c r="A1828" s="158" t="s">
        <v>33363</v>
      </c>
      <c r="B1828" s="159">
        <v>25</v>
      </c>
      <c r="C1828" s="159">
        <v>71</v>
      </c>
      <c r="D1828" s="159">
        <v>52</v>
      </c>
      <c r="E1828" s="159">
        <v>37</v>
      </c>
      <c r="F1828" s="131"/>
      <c r="G1828" s="132"/>
      <c r="H1828" s="162" t="s">
        <v>33364</v>
      </c>
      <c r="I1828" s="158" t="s">
        <v>18575</v>
      </c>
      <c r="J1828" s="128"/>
      <c r="K1828" s="128"/>
      <c r="L1828" s="128"/>
      <c r="M1828" s="129"/>
      <c r="N1828" s="129"/>
      <c r="O1828" s="129"/>
    </row>
    <row r="1829" spans="1:15" ht="12.5">
      <c r="A1829" s="158" t="s">
        <v>18544</v>
      </c>
      <c r="B1829" s="159">
        <v>25</v>
      </c>
      <c r="C1829" s="159">
        <v>71</v>
      </c>
      <c r="D1829" s="159">
        <v>52</v>
      </c>
      <c r="E1829" s="159">
        <v>38</v>
      </c>
      <c r="F1829" s="131"/>
      <c r="G1829" s="132"/>
      <c r="H1829" s="162" t="s">
        <v>33365</v>
      </c>
      <c r="I1829" s="158" t="s">
        <v>18546</v>
      </c>
      <c r="J1829" s="128"/>
      <c r="K1829" s="128"/>
      <c r="L1829" s="128"/>
      <c r="M1829" s="129"/>
      <c r="N1829" s="129"/>
      <c r="O1829" s="129"/>
    </row>
    <row r="1830" spans="1:15" ht="12.5">
      <c r="A1830" s="158" t="s">
        <v>18547</v>
      </c>
      <c r="B1830" s="159">
        <v>25</v>
      </c>
      <c r="C1830" s="159">
        <v>71</v>
      </c>
      <c r="D1830" s="159">
        <v>52</v>
      </c>
      <c r="E1830" s="159">
        <v>39</v>
      </c>
      <c r="F1830" s="131"/>
      <c r="G1830" s="132"/>
      <c r="H1830" s="162" t="s">
        <v>18548</v>
      </c>
      <c r="I1830" s="158" t="s">
        <v>18549</v>
      </c>
      <c r="J1830" s="128"/>
      <c r="K1830" s="128"/>
      <c r="L1830" s="128"/>
      <c r="M1830" s="129"/>
      <c r="N1830" s="129"/>
      <c r="O1830" s="129"/>
    </row>
    <row r="1831" spans="1:15" ht="12.5">
      <c r="A1831" s="158" t="s">
        <v>18550</v>
      </c>
      <c r="B1831" s="159">
        <v>25</v>
      </c>
      <c r="C1831" s="159">
        <v>71</v>
      </c>
      <c r="D1831" s="159">
        <v>52</v>
      </c>
      <c r="E1831" s="159">
        <v>40</v>
      </c>
      <c r="F1831" s="131"/>
      <c r="G1831" s="132"/>
      <c r="H1831" s="162" t="s">
        <v>18551</v>
      </c>
      <c r="I1831" s="158" t="s">
        <v>18552</v>
      </c>
      <c r="J1831" s="128"/>
      <c r="K1831" s="128"/>
      <c r="L1831" s="128"/>
      <c r="M1831" s="129"/>
      <c r="N1831" s="129"/>
      <c r="O1831" s="129"/>
    </row>
    <row r="1832" spans="1:15" ht="12.5">
      <c r="A1832" s="158" t="s">
        <v>18553</v>
      </c>
      <c r="B1832" s="159">
        <v>25</v>
      </c>
      <c r="C1832" s="159">
        <v>71</v>
      </c>
      <c r="D1832" s="159">
        <v>52</v>
      </c>
      <c r="E1832" s="159">
        <v>41</v>
      </c>
      <c r="F1832" s="131"/>
      <c r="G1832" s="132"/>
      <c r="H1832" s="162" t="s">
        <v>18554</v>
      </c>
      <c r="I1832" s="158" t="s">
        <v>18555</v>
      </c>
      <c r="J1832" s="128"/>
      <c r="K1832" s="128"/>
      <c r="L1832" s="128"/>
      <c r="M1832" s="129"/>
      <c r="N1832" s="129"/>
      <c r="O1832" s="129"/>
    </row>
    <row r="1833" spans="1:15" ht="12.5">
      <c r="A1833" s="158" t="s">
        <v>18558</v>
      </c>
      <c r="B1833" s="159">
        <v>25</v>
      </c>
      <c r="C1833" s="159">
        <v>71</v>
      </c>
      <c r="D1833" s="159">
        <v>52</v>
      </c>
      <c r="E1833" s="159">
        <v>47</v>
      </c>
      <c r="F1833" s="131"/>
      <c r="G1833" s="132"/>
      <c r="H1833" s="162" t="s">
        <v>18559</v>
      </c>
      <c r="I1833" s="158" t="s">
        <v>33366</v>
      </c>
      <c r="J1833" s="128"/>
      <c r="K1833" s="128"/>
      <c r="L1833" s="128"/>
      <c r="M1833" s="129"/>
      <c r="N1833" s="129"/>
      <c r="O1833" s="129"/>
    </row>
    <row r="1834" spans="1:15" ht="12.5">
      <c r="A1834" s="158" t="s">
        <v>18561</v>
      </c>
      <c r="B1834" s="159">
        <v>25</v>
      </c>
      <c r="C1834" s="159">
        <v>71</v>
      </c>
      <c r="D1834" s="159">
        <v>52</v>
      </c>
      <c r="E1834" s="159">
        <v>50</v>
      </c>
      <c r="F1834" s="131"/>
      <c r="G1834" s="132"/>
      <c r="H1834" s="162" t="s">
        <v>18562</v>
      </c>
      <c r="I1834" s="158" t="s">
        <v>18563</v>
      </c>
      <c r="J1834" s="128"/>
      <c r="K1834" s="128"/>
      <c r="L1834" s="128"/>
      <c r="M1834" s="129"/>
      <c r="N1834" s="129"/>
      <c r="O1834" s="129"/>
    </row>
    <row r="1835" spans="1:15" ht="12.5">
      <c r="A1835" s="158" t="s">
        <v>18564</v>
      </c>
      <c r="B1835" s="159">
        <v>25</v>
      </c>
      <c r="C1835" s="159">
        <v>71</v>
      </c>
      <c r="D1835" s="159">
        <v>52</v>
      </c>
      <c r="E1835" s="159">
        <v>52</v>
      </c>
      <c r="F1835" s="131"/>
      <c r="G1835" s="132"/>
      <c r="H1835" s="162" t="s">
        <v>18565</v>
      </c>
      <c r="I1835" s="158" t="s">
        <v>18566</v>
      </c>
      <c r="J1835" s="128"/>
      <c r="K1835" s="128"/>
      <c r="L1835" s="128"/>
      <c r="M1835" s="129"/>
      <c r="N1835" s="129"/>
      <c r="O1835" s="129"/>
    </row>
    <row r="1836" spans="1:15" ht="12.5">
      <c r="A1836" s="158" t="s">
        <v>18567</v>
      </c>
      <c r="B1836" s="159">
        <v>25</v>
      </c>
      <c r="C1836" s="159">
        <v>71</v>
      </c>
      <c r="D1836" s="159">
        <v>52</v>
      </c>
      <c r="E1836" s="159">
        <v>63</v>
      </c>
      <c r="F1836" s="131"/>
      <c r="G1836" s="132"/>
      <c r="H1836" s="162" t="s">
        <v>18568</v>
      </c>
      <c r="I1836" s="158" t="s">
        <v>18569</v>
      </c>
      <c r="J1836" s="128"/>
      <c r="K1836" s="128"/>
      <c r="L1836" s="128"/>
      <c r="M1836" s="129"/>
      <c r="N1836" s="129"/>
      <c r="O1836" s="129"/>
    </row>
    <row r="1837" spans="1:15" ht="12.5">
      <c r="A1837" s="158" t="s">
        <v>18570</v>
      </c>
      <c r="B1837" s="159">
        <v>25</v>
      </c>
      <c r="C1837" s="159">
        <v>71</v>
      </c>
      <c r="D1837" s="159">
        <v>52</v>
      </c>
      <c r="E1837" s="159">
        <v>80</v>
      </c>
      <c r="F1837" s="131"/>
      <c r="G1837" s="132"/>
      <c r="H1837" s="162" t="s">
        <v>18571</v>
      </c>
      <c r="I1837" s="158" t="s">
        <v>18572</v>
      </c>
      <c r="J1837" s="128"/>
      <c r="K1837" s="128"/>
      <c r="L1837" s="128"/>
      <c r="M1837" s="129"/>
      <c r="N1837" s="129"/>
      <c r="O1837" s="129"/>
    </row>
    <row r="1838" spans="1:15" ht="12.5">
      <c r="A1838" s="158" t="s">
        <v>18576</v>
      </c>
      <c r="B1838" s="159">
        <v>25</v>
      </c>
      <c r="C1838" s="159">
        <v>71</v>
      </c>
      <c r="D1838" s="159">
        <v>52</v>
      </c>
      <c r="E1838" s="159">
        <v>88</v>
      </c>
      <c r="F1838" s="131"/>
      <c r="G1838" s="132"/>
      <c r="H1838" s="162" t="s">
        <v>18577</v>
      </c>
      <c r="I1838" s="158" t="s">
        <v>18578</v>
      </c>
      <c r="J1838" s="128"/>
      <c r="K1838" s="128"/>
      <c r="L1838" s="128"/>
      <c r="M1838" s="129"/>
      <c r="N1838" s="129"/>
      <c r="O1838" s="129"/>
    </row>
    <row r="1839" spans="1:15" ht="12.5">
      <c r="A1839" s="158" t="s">
        <v>18579</v>
      </c>
      <c r="B1839" s="159">
        <v>25</v>
      </c>
      <c r="C1839" s="159">
        <v>71</v>
      </c>
      <c r="D1839" s="159">
        <v>52</v>
      </c>
      <c r="E1839" s="159">
        <v>94</v>
      </c>
      <c r="F1839" s="131"/>
      <c r="G1839" s="132"/>
      <c r="H1839" s="162" t="s">
        <v>18580</v>
      </c>
      <c r="I1839" s="158" t="s">
        <v>18581</v>
      </c>
      <c r="J1839" s="128"/>
      <c r="K1839" s="128"/>
      <c r="L1839" s="128"/>
      <c r="M1839" s="129"/>
      <c r="N1839" s="129"/>
      <c r="O1839" s="129"/>
    </row>
    <row r="1840" spans="1:15" ht="12.5">
      <c r="A1840" s="158" t="s">
        <v>18582</v>
      </c>
      <c r="B1840" s="159">
        <v>25</v>
      </c>
      <c r="C1840" s="159">
        <v>71</v>
      </c>
      <c r="D1840" s="159">
        <v>52</v>
      </c>
      <c r="E1840" s="159">
        <v>95</v>
      </c>
      <c r="F1840" s="131"/>
      <c r="G1840" s="132"/>
      <c r="H1840" s="162" t="s">
        <v>18583</v>
      </c>
      <c r="I1840" s="158" t="s">
        <v>18584</v>
      </c>
      <c r="J1840" s="128"/>
      <c r="K1840" s="128"/>
      <c r="L1840" s="128"/>
      <c r="M1840" s="129"/>
      <c r="N1840" s="129"/>
      <c r="O1840" s="129"/>
    </row>
    <row r="1841" spans="1:15" ht="12.5">
      <c r="A1841" s="158" t="s">
        <v>18585</v>
      </c>
      <c r="B1841" s="159">
        <v>25</v>
      </c>
      <c r="C1841" s="159">
        <v>71</v>
      </c>
      <c r="D1841" s="159">
        <v>52</v>
      </c>
      <c r="E1841" s="159">
        <v>99</v>
      </c>
      <c r="F1841" s="131"/>
      <c r="G1841" s="132"/>
      <c r="H1841" s="162" t="s">
        <v>18586</v>
      </c>
      <c r="I1841" s="158" t="s">
        <v>18483</v>
      </c>
      <c r="J1841" s="128"/>
      <c r="K1841" s="128"/>
      <c r="L1841" s="128"/>
      <c r="M1841" s="129"/>
      <c r="N1841" s="129"/>
      <c r="O1841" s="129"/>
    </row>
    <row r="1842" spans="1:15" ht="12.5">
      <c r="A1842" s="158" t="s">
        <v>18587</v>
      </c>
      <c r="B1842" s="159">
        <v>25</v>
      </c>
      <c r="C1842" s="159">
        <v>71</v>
      </c>
      <c r="D1842" s="159">
        <v>53</v>
      </c>
      <c r="E1842" s="130"/>
      <c r="F1842" s="131"/>
      <c r="G1842" s="132"/>
      <c r="H1842" s="162" t="s">
        <v>18588</v>
      </c>
      <c r="I1842" s="128"/>
      <c r="J1842" s="128"/>
      <c r="K1842" s="128"/>
      <c r="L1842" s="128"/>
      <c r="M1842" s="129"/>
      <c r="N1842" s="129"/>
      <c r="O1842" s="129"/>
    </row>
    <row r="1843" spans="1:15" ht="12.5">
      <c r="A1843" s="158" t="s">
        <v>18589</v>
      </c>
      <c r="B1843" s="159">
        <v>25</v>
      </c>
      <c r="C1843" s="159">
        <v>71</v>
      </c>
      <c r="D1843" s="159">
        <v>53</v>
      </c>
      <c r="E1843" s="159">
        <v>6</v>
      </c>
      <c r="F1843" s="131"/>
      <c r="G1843" s="132"/>
      <c r="H1843" s="162" t="s">
        <v>18590</v>
      </c>
      <c r="I1843" s="158" t="s">
        <v>33367</v>
      </c>
      <c r="J1843" s="128"/>
      <c r="K1843" s="128"/>
      <c r="L1843" s="128"/>
      <c r="M1843" s="129"/>
      <c r="N1843" s="129"/>
      <c r="O1843" s="129"/>
    </row>
    <row r="1844" spans="1:15" ht="12.5">
      <c r="A1844" s="158" t="s">
        <v>18591</v>
      </c>
      <c r="B1844" s="159">
        <v>25</v>
      </c>
      <c r="C1844" s="159">
        <v>71</v>
      </c>
      <c r="D1844" s="159">
        <v>53</v>
      </c>
      <c r="E1844" s="159">
        <v>30</v>
      </c>
      <c r="F1844" s="131"/>
      <c r="G1844" s="132"/>
      <c r="H1844" s="162" t="s">
        <v>18592</v>
      </c>
      <c r="I1844" s="128"/>
      <c r="J1844" s="128"/>
      <c r="K1844" s="128"/>
      <c r="L1844" s="128"/>
      <c r="M1844" s="129"/>
      <c r="N1844" s="129"/>
      <c r="O1844" s="129"/>
    </row>
    <row r="1845" spans="1:15" ht="12.5">
      <c r="A1845" s="158" t="s">
        <v>18593</v>
      </c>
      <c r="B1845" s="159">
        <v>25</v>
      </c>
      <c r="C1845" s="159">
        <v>71</v>
      </c>
      <c r="D1845" s="159">
        <v>53</v>
      </c>
      <c r="E1845" s="159">
        <v>31</v>
      </c>
      <c r="F1845" s="131"/>
      <c r="G1845" s="132"/>
      <c r="H1845" s="162" t="s">
        <v>18594</v>
      </c>
      <c r="I1845" s="128"/>
      <c r="J1845" s="128"/>
      <c r="K1845" s="128"/>
      <c r="L1845" s="128"/>
      <c r="M1845" s="129"/>
      <c r="N1845" s="129"/>
      <c r="O1845" s="129"/>
    </row>
    <row r="1846" spans="1:15" ht="12.5">
      <c r="A1846" s="158" t="s">
        <v>18595</v>
      </c>
      <c r="B1846" s="159">
        <v>25</v>
      </c>
      <c r="C1846" s="159">
        <v>71</v>
      </c>
      <c r="D1846" s="159">
        <v>53</v>
      </c>
      <c r="E1846" s="159">
        <v>32</v>
      </c>
      <c r="F1846" s="131"/>
      <c r="G1846" s="132"/>
      <c r="H1846" s="162" t="s">
        <v>18596</v>
      </c>
      <c r="I1846" s="128"/>
      <c r="J1846" s="128"/>
      <c r="K1846" s="128"/>
      <c r="L1846" s="128"/>
      <c r="M1846" s="129"/>
      <c r="N1846" s="129"/>
      <c r="O1846" s="129"/>
    </row>
    <row r="1847" spans="1:15" ht="12.5">
      <c r="A1847" s="158" t="s">
        <v>18597</v>
      </c>
      <c r="B1847" s="159">
        <v>25</v>
      </c>
      <c r="C1847" s="159">
        <v>71</v>
      </c>
      <c r="D1847" s="159">
        <v>53</v>
      </c>
      <c r="E1847" s="159">
        <v>46</v>
      </c>
      <c r="F1847" s="131"/>
      <c r="G1847" s="132"/>
      <c r="H1847" s="162" t="s">
        <v>18598</v>
      </c>
      <c r="I1847" s="158" t="s">
        <v>18599</v>
      </c>
      <c r="J1847" s="128"/>
      <c r="K1847" s="128"/>
      <c r="L1847" s="128"/>
      <c r="M1847" s="129"/>
      <c r="N1847" s="129"/>
      <c r="O1847" s="129"/>
    </row>
    <row r="1848" spans="1:15" ht="12.5">
      <c r="A1848" s="158" t="s">
        <v>18600</v>
      </c>
      <c r="B1848" s="159">
        <v>25</v>
      </c>
      <c r="C1848" s="159">
        <v>71</v>
      </c>
      <c r="D1848" s="159">
        <v>53</v>
      </c>
      <c r="E1848" s="159">
        <v>65</v>
      </c>
      <c r="F1848" s="131"/>
      <c r="G1848" s="132"/>
      <c r="H1848" s="162" t="s">
        <v>18601</v>
      </c>
      <c r="I1848" s="128"/>
      <c r="J1848" s="128"/>
      <c r="K1848" s="128"/>
      <c r="L1848" s="128"/>
      <c r="M1848" s="129"/>
      <c r="N1848" s="129"/>
      <c r="O1848" s="129"/>
    </row>
    <row r="1849" spans="1:15" ht="12.5">
      <c r="A1849" s="158" t="s">
        <v>18602</v>
      </c>
      <c r="B1849" s="159">
        <v>25</v>
      </c>
      <c r="C1849" s="159">
        <v>71</v>
      </c>
      <c r="D1849" s="159">
        <v>53</v>
      </c>
      <c r="E1849" s="159">
        <v>70</v>
      </c>
      <c r="F1849" s="131"/>
      <c r="G1849" s="132"/>
      <c r="H1849" s="162" t="s">
        <v>18603</v>
      </c>
      <c r="I1849" s="128"/>
      <c r="J1849" s="128"/>
      <c r="K1849" s="128"/>
      <c r="L1849" s="128"/>
      <c r="M1849" s="129"/>
      <c r="N1849" s="129"/>
      <c r="O1849" s="129"/>
    </row>
    <row r="1850" spans="1:15" ht="12.5">
      <c r="A1850" s="158" t="s">
        <v>18604</v>
      </c>
      <c r="B1850" s="159">
        <v>25</v>
      </c>
      <c r="C1850" s="159">
        <v>71</v>
      </c>
      <c r="D1850" s="159">
        <v>53</v>
      </c>
      <c r="E1850" s="159">
        <v>73</v>
      </c>
      <c r="F1850" s="131"/>
      <c r="G1850" s="132"/>
      <c r="H1850" s="162" t="s">
        <v>18605</v>
      </c>
      <c r="I1850" s="128"/>
      <c r="J1850" s="128"/>
      <c r="K1850" s="128"/>
      <c r="L1850" s="128"/>
      <c r="M1850" s="129"/>
      <c r="N1850" s="129"/>
      <c r="O1850" s="129"/>
    </row>
    <row r="1851" spans="1:15" ht="12.5">
      <c r="A1851" s="158" t="s">
        <v>18606</v>
      </c>
      <c r="B1851" s="159">
        <v>25</v>
      </c>
      <c r="C1851" s="159">
        <v>71</v>
      </c>
      <c r="D1851" s="159">
        <v>53</v>
      </c>
      <c r="E1851" s="159">
        <v>82</v>
      </c>
      <c r="F1851" s="131"/>
      <c r="G1851" s="132"/>
      <c r="H1851" s="162" t="s">
        <v>18607</v>
      </c>
      <c r="I1851" s="158" t="s">
        <v>33368</v>
      </c>
      <c r="J1851" s="128"/>
      <c r="K1851" s="128"/>
      <c r="L1851" s="128"/>
      <c r="M1851" s="129"/>
      <c r="N1851" s="129"/>
      <c r="O1851" s="129"/>
    </row>
    <row r="1852" spans="1:15" ht="12.5">
      <c r="A1852" s="158" t="s">
        <v>18608</v>
      </c>
      <c r="B1852" s="159">
        <v>25</v>
      </c>
      <c r="C1852" s="159">
        <v>71</v>
      </c>
      <c r="D1852" s="159">
        <v>53</v>
      </c>
      <c r="E1852" s="159">
        <v>91</v>
      </c>
      <c r="F1852" s="131"/>
      <c r="G1852" s="132"/>
      <c r="H1852" s="162" t="s">
        <v>18609</v>
      </c>
      <c r="I1852" s="128"/>
      <c r="J1852" s="128"/>
      <c r="K1852" s="128"/>
      <c r="L1852" s="128"/>
      <c r="M1852" s="129"/>
      <c r="N1852" s="129"/>
      <c r="O1852" s="129"/>
    </row>
    <row r="1853" spans="1:15" ht="12.5">
      <c r="A1853" s="158" t="s">
        <v>18610</v>
      </c>
      <c r="B1853" s="159">
        <v>25</v>
      </c>
      <c r="C1853" s="159">
        <v>71</v>
      </c>
      <c r="D1853" s="159">
        <v>53</v>
      </c>
      <c r="E1853" s="159">
        <v>92</v>
      </c>
      <c r="F1853" s="131"/>
      <c r="G1853" s="132"/>
      <c r="H1853" s="162" t="s">
        <v>18611</v>
      </c>
      <c r="I1853" s="128"/>
      <c r="J1853" s="128"/>
      <c r="K1853" s="128"/>
      <c r="L1853" s="128"/>
      <c r="M1853" s="129"/>
      <c r="N1853" s="129"/>
      <c r="O1853" s="129"/>
    </row>
    <row r="1854" spans="1:15" ht="12.5">
      <c r="A1854" s="158" t="s">
        <v>18612</v>
      </c>
      <c r="B1854" s="159">
        <v>25</v>
      </c>
      <c r="C1854" s="159">
        <v>71</v>
      </c>
      <c r="D1854" s="159">
        <v>53</v>
      </c>
      <c r="E1854" s="159">
        <v>93</v>
      </c>
      <c r="F1854" s="131"/>
      <c r="G1854" s="132"/>
      <c r="H1854" s="162" t="s">
        <v>18613</v>
      </c>
      <c r="I1854" s="128"/>
      <c r="J1854" s="128"/>
      <c r="K1854" s="128"/>
      <c r="L1854" s="128"/>
      <c r="M1854" s="129"/>
      <c r="N1854" s="129"/>
      <c r="O1854" s="129"/>
    </row>
    <row r="1855" spans="1:15" ht="12.5">
      <c r="A1855" s="158" t="s">
        <v>18614</v>
      </c>
      <c r="B1855" s="159">
        <v>25</v>
      </c>
      <c r="C1855" s="159">
        <v>71</v>
      </c>
      <c r="D1855" s="159">
        <v>57</v>
      </c>
      <c r="E1855" s="130"/>
      <c r="F1855" s="131"/>
      <c r="G1855" s="132"/>
      <c r="H1855" s="162" t="s">
        <v>18615</v>
      </c>
      <c r="I1855" s="128"/>
      <c r="J1855" s="128"/>
      <c r="K1855" s="128"/>
      <c r="L1855" s="128"/>
      <c r="M1855" s="129"/>
      <c r="N1855" s="129"/>
      <c r="O1855" s="129"/>
    </row>
    <row r="1856" spans="1:15" ht="12.5">
      <c r="A1856" s="158" t="s">
        <v>18616</v>
      </c>
      <c r="B1856" s="159">
        <v>25</v>
      </c>
      <c r="C1856" s="159">
        <v>71</v>
      </c>
      <c r="D1856" s="159">
        <v>57</v>
      </c>
      <c r="E1856" s="159">
        <v>11</v>
      </c>
      <c r="F1856" s="131"/>
      <c r="G1856" s="132"/>
      <c r="H1856" s="162" t="s">
        <v>18617</v>
      </c>
      <c r="I1856" s="158" t="s">
        <v>18618</v>
      </c>
      <c r="J1856" s="128"/>
      <c r="K1856" s="128"/>
      <c r="L1856" s="128"/>
      <c r="M1856" s="129"/>
      <c r="N1856" s="129"/>
      <c r="O1856" s="129"/>
    </row>
    <row r="1857" spans="1:15" ht="12.5">
      <c r="A1857" s="158" t="s">
        <v>18619</v>
      </c>
      <c r="B1857" s="159">
        <v>25</v>
      </c>
      <c r="C1857" s="159">
        <v>71</v>
      </c>
      <c r="D1857" s="159">
        <v>57</v>
      </c>
      <c r="E1857" s="159">
        <v>12</v>
      </c>
      <c r="F1857" s="131"/>
      <c r="G1857" s="132"/>
      <c r="H1857" s="162" t="s">
        <v>18620</v>
      </c>
      <c r="I1857" s="158" t="s">
        <v>18621</v>
      </c>
      <c r="J1857" s="128"/>
      <c r="K1857" s="128"/>
      <c r="L1857" s="128"/>
      <c r="M1857" s="129"/>
      <c r="N1857" s="129"/>
      <c r="O1857" s="129"/>
    </row>
    <row r="1858" spans="1:15" ht="12.5">
      <c r="A1858" s="158" t="s">
        <v>18622</v>
      </c>
      <c r="B1858" s="159">
        <v>25</v>
      </c>
      <c r="C1858" s="159">
        <v>71</v>
      </c>
      <c r="D1858" s="159">
        <v>57</v>
      </c>
      <c r="E1858" s="159">
        <v>13</v>
      </c>
      <c r="F1858" s="131"/>
      <c r="G1858" s="132"/>
      <c r="H1858" s="162" t="s">
        <v>18623</v>
      </c>
      <c r="I1858" s="128"/>
      <c r="J1858" s="128"/>
      <c r="K1858" s="128"/>
      <c r="L1858" s="128"/>
      <c r="M1858" s="129"/>
      <c r="N1858" s="129"/>
      <c r="O1858" s="129"/>
    </row>
    <row r="1859" spans="1:15" ht="12.5">
      <c r="A1859" s="158" t="s">
        <v>18624</v>
      </c>
      <c r="B1859" s="159">
        <v>25</v>
      </c>
      <c r="C1859" s="159">
        <v>71</v>
      </c>
      <c r="D1859" s="159">
        <v>57</v>
      </c>
      <c r="E1859" s="159">
        <v>14</v>
      </c>
      <c r="F1859" s="131"/>
      <c r="G1859" s="132"/>
      <c r="H1859" s="162" t="s">
        <v>18625</v>
      </c>
      <c r="I1859" s="128"/>
      <c r="J1859" s="128"/>
      <c r="K1859" s="128"/>
      <c r="L1859" s="128"/>
      <c r="M1859" s="129"/>
      <c r="N1859" s="129"/>
      <c r="O1859" s="129"/>
    </row>
    <row r="1860" spans="1:15" ht="12.5">
      <c r="A1860" s="158" t="s">
        <v>18626</v>
      </c>
      <c r="B1860" s="159">
        <v>25</v>
      </c>
      <c r="C1860" s="159">
        <v>71</v>
      </c>
      <c r="D1860" s="159">
        <v>57</v>
      </c>
      <c r="E1860" s="159">
        <v>15</v>
      </c>
      <c r="F1860" s="131"/>
      <c r="G1860" s="132"/>
      <c r="H1860" s="162" t="s">
        <v>18627</v>
      </c>
      <c r="I1860" s="158" t="s">
        <v>18628</v>
      </c>
      <c r="J1860" s="128"/>
      <c r="K1860" s="128"/>
      <c r="L1860" s="128"/>
      <c r="M1860" s="129"/>
      <c r="N1860" s="129"/>
      <c r="O1860" s="129"/>
    </row>
    <row r="1861" spans="1:15" ht="12.5">
      <c r="A1861" s="158" t="s">
        <v>18629</v>
      </c>
      <c r="B1861" s="159">
        <v>25</v>
      </c>
      <c r="C1861" s="159">
        <v>71</v>
      </c>
      <c r="D1861" s="159">
        <v>57</v>
      </c>
      <c r="E1861" s="159">
        <v>16</v>
      </c>
      <c r="F1861" s="131"/>
      <c r="G1861" s="132"/>
      <c r="H1861" s="162" t="s">
        <v>18630</v>
      </c>
      <c r="I1861" s="158" t="s">
        <v>18631</v>
      </c>
      <c r="J1861" s="128"/>
      <c r="K1861" s="128"/>
      <c r="L1861" s="128"/>
      <c r="M1861" s="129"/>
      <c r="N1861" s="129"/>
      <c r="O1861" s="129"/>
    </row>
    <row r="1862" spans="1:15" ht="12.5">
      <c r="A1862" s="158" t="s">
        <v>18632</v>
      </c>
      <c r="B1862" s="159">
        <v>25</v>
      </c>
      <c r="C1862" s="159">
        <v>71</v>
      </c>
      <c r="D1862" s="159">
        <v>57</v>
      </c>
      <c r="E1862" s="159">
        <v>17</v>
      </c>
      <c r="F1862" s="131"/>
      <c r="G1862" s="132"/>
      <c r="H1862" s="162" t="s">
        <v>18633</v>
      </c>
      <c r="I1862" s="158" t="s">
        <v>18634</v>
      </c>
      <c r="J1862" s="128"/>
      <c r="K1862" s="128"/>
      <c r="L1862" s="128"/>
      <c r="M1862" s="129"/>
      <c r="N1862" s="129"/>
      <c r="O1862" s="129"/>
    </row>
    <row r="1863" spans="1:15" ht="12.5">
      <c r="A1863" s="158" t="s">
        <v>18635</v>
      </c>
      <c r="B1863" s="159">
        <v>25</v>
      </c>
      <c r="C1863" s="159">
        <v>71</v>
      </c>
      <c r="D1863" s="159">
        <v>57</v>
      </c>
      <c r="E1863" s="159">
        <v>18</v>
      </c>
      <c r="F1863" s="131"/>
      <c r="G1863" s="132"/>
      <c r="H1863" s="162" t="s">
        <v>18636</v>
      </c>
      <c r="I1863" s="158" t="s">
        <v>18637</v>
      </c>
      <c r="J1863" s="128"/>
      <c r="K1863" s="128"/>
      <c r="L1863" s="128"/>
      <c r="M1863" s="129"/>
      <c r="N1863" s="129"/>
      <c r="O1863" s="129"/>
    </row>
    <row r="1864" spans="1:15" ht="12.5">
      <c r="A1864" s="158" t="s">
        <v>18640</v>
      </c>
      <c r="B1864" s="159">
        <v>25</v>
      </c>
      <c r="C1864" s="159">
        <v>71</v>
      </c>
      <c r="D1864" s="159">
        <v>57</v>
      </c>
      <c r="E1864" s="159">
        <v>22</v>
      </c>
      <c r="F1864" s="131"/>
      <c r="G1864" s="132"/>
      <c r="H1864" s="162" t="s">
        <v>18641</v>
      </c>
      <c r="I1864" s="128"/>
      <c r="J1864" s="128"/>
      <c r="K1864" s="128"/>
      <c r="L1864" s="128"/>
      <c r="M1864" s="129"/>
      <c r="N1864" s="129"/>
      <c r="O1864" s="129"/>
    </row>
    <row r="1865" spans="1:15" ht="12.5">
      <c r="A1865" s="158" t="s">
        <v>18642</v>
      </c>
      <c r="B1865" s="159">
        <v>25</v>
      </c>
      <c r="C1865" s="159">
        <v>71</v>
      </c>
      <c r="D1865" s="159">
        <v>57</v>
      </c>
      <c r="E1865" s="159">
        <v>24</v>
      </c>
      <c r="F1865" s="131"/>
      <c r="G1865" s="132"/>
      <c r="H1865" s="162" t="s">
        <v>18643</v>
      </c>
      <c r="I1865" s="128"/>
      <c r="J1865" s="128"/>
      <c r="K1865" s="128"/>
      <c r="L1865" s="128"/>
      <c r="M1865" s="129"/>
      <c r="N1865" s="129"/>
      <c r="O1865" s="129"/>
    </row>
    <row r="1866" spans="1:15" ht="12.5">
      <c r="A1866" s="158" t="s">
        <v>18644</v>
      </c>
      <c r="B1866" s="159">
        <v>25</v>
      </c>
      <c r="C1866" s="159">
        <v>71</v>
      </c>
      <c r="D1866" s="159">
        <v>57</v>
      </c>
      <c r="E1866" s="159">
        <v>34</v>
      </c>
      <c r="F1866" s="131"/>
      <c r="G1866" s="132"/>
      <c r="H1866" s="162" t="s">
        <v>18645</v>
      </c>
      <c r="I1866" s="128"/>
      <c r="J1866" s="128"/>
      <c r="K1866" s="128"/>
      <c r="L1866" s="128"/>
      <c r="M1866" s="129"/>
      <c r="N1866" s="129"/>
      <c r="O1866" s="129"/>
    </row>
    <row r="1867" spans="1:15" ht="12.5">
      <c r="A1867" s="158" t="s">
        <v>18646</v>
      </c>
      <c r="B1867" s="159">
        <v>25</v>
      </c>
      <c r="C1867" s="159">
        <v>71</v>
      </c>
      <c r="D1867" s="159">
        <v>57</v>
      </c>
      <c r="E1867" s="159">
        <v>35</v>
      </c>
      <c r="F1867" s="131"/>
      <c r="G1867" s="132"/>
      <c r="H1867" s="162" t="s">
        <v>18647</v>
      </c>
      <c r="I1867" s="158" t="s">
        <v>18648</v>
      </c>
      <c r="J1867" s="128"/>
      <c r="K1867" s="128"/>
      <c r="L1867" s="128"/>
      <c r="M1867" s="129"/>
      <c r="N1867" s="129"/>
      <c r="O1867" s="129"/>
    </row>
    <row r="1868" spans="1:15" ht="12.5">
      <c r="A1868" s="158" t="s">
        <v>18649</v>
      </c>
      <c r="B1868" s="159">
        <v>25</v>
      </c>
      <c r="C1868" s="159">
        <v>71</v>
      </c>
      <c r="D1868" s="159">
        <v>57</v>
      </c>
      <c r="E1868" s="159">
        <v>37</v>
      </c>
      <c r="F1868" s="131"/>
      <c r="G1868" s="132"/>
      <c r="H1868" s="162" t="s">
        <v>18650</v>
      </c>
      <c r="I1868" s="158" t="s">
        <v>18651</v>
      </c>
      <c r="J1868" s="128"/>
      <c r="K1868" s="128"/>
      <c r="L1868" s="128"/>
      <c r="M1868" s="129"/>
      <c r="N1868" s="129"/>
      <c r="O1868" s="129"/>
    </row>
    <row r="1869" spans="1:15" ht="12.5">
      <c r="A1869" s="158" t="s">
        <v>18652</v>
      </c>
      <c r="B1869" s="159">
        <v>25</v>
      </c>
      <c r="C1869" s="159">
        <v>71</v>
      </c>
      <c r="D1869" s="159">
        <v>57</v>
      </c>
      <c r="E1869" s="159">
        <v>38</v>
      </c>
      <c r="F1869" s="131"/>
      <c r="G1869" s="132"/>
      <c r="H1869" s="162" t="s">
        <v>18653</v>
      </c>
      <c r="I1869" s="158" t="s">
        <v>18654</v>
      </c>
      <c r="J1869" s="128"/>
      <c r="K1869" s="128"/>
      <c r="L1869" s="128"/>
      <c r="M1869" s="129"/>
      <c r="N1869" s="129"/>
      <c r="O1869" s="129"/>
    </row>
    <row r="1870" spans="1:15" ht="12.5">
      <c r="A1870" s="158" t="s">
        <v>18655</v>
      </c>
      <c r="B1870" s="159">
        <v>25</v>
      </c>
      <c r="C1870" s="159">
        <v>71</v>
      </c>
      <c r="D1870" s="159">
        <v>57</v>
      </c>
      <c r="E1870" s="159">
        <v>39</v>
      </c>
      <c r="F1870" s="131"/>
      <c r="G1870" s="132"/>
      <c r="H1870" s="162" t="s">
        <v>18656</v>
      </c>
      <c r="I1870" s="158" t="s">
        <v>18657</v>
      </c>
      <c r="J1870" s="128"/>
      <c r="K1870" s="128"/>
      <c r="L1870" s="128"/>
      <c r="M1870" s="129"/>
      <c r="N1870" s="129"/>
      <c r="O1870" s="129"/>
    </row>
    <row r="1871" spans="1:15" ht="12.5">
      <c r="A1871" s="158" t="s">
        <v>18658</v>
      </c>
      <c r="B1871" s="159">
        <v>25</v>
      </c>
      <c r="C1871" s="159">
        <v>71</v>
      </c>
      <c r="D1871" s="159">
        <v>57</v>
      </c>
      <c r="E1871" s="159">
        <v>40</v>
      </c>
      <c r="F1871" s="131"/>
      <c r="G1871" s="132"/>
      <c r="H1871" s="162" t="s">
        <v>18659</v>
      </c>
      <c r="I1871" s="158" t="s">
        <v>18660</v>
      </c>
      <c r="J1871" s="128"/>
      <c r="K1871" s="128"/>
      <c r="L1871" s="128"/>
      <c r="M1871" s="129"/>
      <c r="N1871" s="129"/>
      <c r="O1871" s="129"/>
    </row>
    <row r="1872" spans="1:15" ht="12.5">
      <c r="A1872" s="158" t="s">
        <v>18661</v>
      </c>
      <c r="B1872" s="159">
        <v>25</v>
      </c>
      <c r="C1872" s="159">
        <v>71</v>
      </c>
      <c r="D1872" s="159">
        <v>57</v>
      </c>
      <c r="E1872" s="159">
        <v>44</v>
      </c>
      <c r="F1872" s="131"/>
      <c r="G1872" s="132"/>
      <c r="H1872" s="162" t="s">
        <v>18662</v>
      </c>
      <c r="I1872" s="158" t="s">
        <v>18663</v>
      </c>
      <c r="J1872" s="128"/>
      <c r="K1872" s="128"/>
      <c r="L1872" s="128"/>
      <c r="M1872" s="129"/>
      <c r="N1872" s="129"/>
      <c r="O1872" s="129"/>
    </row>
    <row r="1873" spans="1:15" ht="12.5">
      <c r="A1873" s="158" t="s">
        <v>18664</v>
      </c>
      <c r="B1873" s="159">
        <v>25</v>
      </c>
      <c r="C1873" s="159">
        <v>71</v>
      </c>
      <c r="D1873" s="159">
        <v>57</v>
      </c>
      <c r="E1873" s="159">
        <v>60</v>
      </c>
      <c r="F1873" s="131"/>
      <c r="G1873" s="132"/>
      <c r="H1873" s="162" t="s">
        <v>18665</v>
      </c>
      <c r="I1873" s="158" t="s">
        <v>18666</v>
      </c>
      <c r="J1873" s="128"/>
      <c r="K1873" s="128"/>
      <c r="L1873" s="128"/>
      <c r="M1873" s="129"/>
      <c r="N1873" s="129"/>
      <c r="O1873" s="129"/>
    </row>
    <row r="1874" spans="1:15" ht="12.5">
      <c r="A1874" s="158" t="s">
        <v>18667</v>
      </c>
      <c r="B1874" s="159">
        <v>25</v>
      </c>
      <c r="C1874" s="159">
        <v>71</v>
      </c>
      <c r="D1874" s="159">
        <v>57</v>
      </c>
      <c r="E1874" s="159">
        <v>61</v>
      </c>
      <c r="F1874" s="131"/>
      <c r="G1874" s="132"/>
      <c r="H1874" s="162" t="s">
        <v>18668</v>
      </c>
      <c r="I1874" s="128"/>
      <c r="J1874" s="128"/>
      <c r="K1874" s="128"/>
      <c r="L1874" s="128"/>
      <c r="M1874" s="129"/>
      <c r="N1874" s="129"/>
      <c r="O1874" s="129"/>
    </row>
    <row r="1875" spans="1:15" ht="12.5">
      <c r="A1875" s="158" t="s">
        <v>18669</v>
      </c>
      <c r="B1875" s="159">
        <v>25</v>
      </c>
      <c r="C1875" s="159">
        <v>71</v>
      </c>
      <c r="D1875" s="159">
        <v>57</v>
      </c>
      <c r="E1875" s="159">
        <v>62</v>
      </c>
      <c r="F1875" s="131"/>
      <c r="G1875" s="132"/>
      <c r="H1875" s="162" t="s">
        <v>18670</v>
      </c>
      <c r="I1875" s="158" t="s">
        <v>18671</v>
      </c>
      <c r="J1875" s="128"/>
      <c r="K1875" s="128"/>
      <c r="L1875" s="128"/>
      <c r="M1875" s="129"/>
      <c r="N1875" s="129"/>
      <c r="O1875" s="129"/>
    </row>
    <row r="1876" spans="1:15" ht="12.5">
      <c r="A1876" s="158" t="s">
        <v>18672</v>
      </c>
      <c r="B1876" s="159">
        <v>25</v>
      </c>
      <c r="C1876" s="159">
        <v>71</v>
      </c>
      <c r="D1876" s="159">
        <v>57</v>
      </c>
      <c r="E1876" s="159">
        <v>63</v>
      </c>
      <c r="F1876" s="131"/>
      <c r="G1876" s="132"/>
      <c r="H1876" s="162" t="s">
        <v>18673</v>
      </c>
      <c r="I1876" s="158" t="s">
        <v>18674</v>
      </c>
      <c r="J1876" s="128"/>
      <c r="K1876" s="128"/>
      <c r="L1876" s="128"/>
      <c r="M1876" s="129"/>
      <c r="N1876" s="129"/>
      <c r="O1876" s="129"/>
    </row>
    <row r="1877" spans="1:15" ht="12.5">
      <c r="A1877" s="158" t="s">
        <v>18675</v>
      </c>
      <c r="B1877" s="159">
        <v>25</v>
      </c>
      <c r="C1877" s="159">
        <v>71</v>
      </c>
      <c r="D1877" s="159">
        <v>57</v>
      </c>
      <c r="E1877" s="159">
        <v>64</v>
      </c>
      <c r="F1877" s="131"/>
      <c r="G1877" s="132"/>
      <c r="H1877" s="162" t="s">
        <v>18676</v>
      </c>
      <c r="I1877" s="158" t="s">
        <v>18677</v>
      </c>
      <c r="J1877" s="128"/>
      <c r="K1877" s="128"/>
      <c r="L1877" s="128"/>
      <c r="M1877" s="129"/>
      <c r="N1877" s="129"/>
      <c r="O1877" s="129"/>
    </row>
    <row r="1878" spans="1:15" ht="12.5">
      <c r="A1878" s="158" t="s">
        <v>18678</v>
      </c>
      <c r="B1878" s="159">
        <v>25</v>
      </c>
      <c r="C1878" s="159">
        <v>71</v>
      </c>
      <c r="D1878" s="159">
        <v>57</v>
      </c>
      <c r="E1878" s="159">
        <v>65</v>
      </c>
      <c r="F1878" s="131"/>
      <c r="G1878" s="132"/>
      <c r="H1878" s="162" t="s">
        <v>18679</v>
      </c>
      <c r="I1878" s="158" t="s">
        <v>18680</v>
      </c>
      <c r="J1878" s="128"/>
      <c r="K1878" s="128"/>
      <c r="L1878" s="128"/>
      <c r="M1878" s="129"/>
      <c r="N1878" s="129"/>
      <c r="O1878" s="129"/>
    </row>
    <row r="1879" spans="1:15" ht="12.5">
      <c r="A1879" s="158" t="s">
        <v>18681</v>
      </c>
      <c r="B1879" s="159">
        <v>25</v>
      </c>
      <c r="C1879" s="159">
        <v>71</v>
      </c>
      <c r="D1879" s="159">
        <v>57</v>
      </c>
      <c r="E1879" s="159">
        <v>66</v>
      </c>
      <c r="F1879" s="131"/>
      <c r="G1879" s="132"/>
      <c r="H1879" s="162" t="s">
        <v>18682</v>
      </c>
      <c r="I1879" s="128"/>
      <c r="J1879" s="128"/>
      <c r="K1879" s="128"/>
      <c r="L1879" s="128"/>
      <c r="M1879" s="129"/>
      <c r="N1879" s="129"/>
      <c r="O1879" s="129"/>
    </row>
    <row r="1880" spans="1:15" ht="12.5">
      <c r="A1880" s="158" t="s">
        <v>18683</v>
      </c>
      <c r="B1880" s="159">
        <v>25</v>
      </c>
      <c r="C1880" s="159">
        <v>71</v>
      </c>
      <c r="D1880" s="159">
        <v>57</v>
      </c>
      <c r="E1880" s="159">
        <v>67</v>
      </c>
      <c r="F1880" s="131"/>
      <c r="G1880" s="132"/>
      <c r="H1880" s="162" t="s">
        <v>18684</v>
      </c>
      <c r="I1880" s="128"/>
      <c r="J1880" s="128"/>
      <c r="K1880" s="128"/>
      <c r="L1880" s="128"/>
      <c r="M1880" s="129"/>
      <c r="N1880" s="129"/>
      <c r="O1880" s="129"/>
    </row>
    <row r="1881" spans="1:15" ht="12.5">
      <c r="A1881" s="158" t="s">
        <v>18685</v>
      </c>
      <c r="B1881" s="159">
        <v>25</v>
      </c>
      <c r="C1881" s="159">
        <v>71</v>
      </c>
      <c r="D1881" s="159">
        <v>57</v>
      </c>
      <c r="E1881" s="159">
        <v>73</v>
      </c>
      <c r="F1881" s="131"/>
      <c r="G1881" s="132"/>
      <c r="H1881" s="162" t="s">
        <v>18686</v>
      </c>
      <c r="I1881" s="128"/>
      <c r="J1881" s="128"/>
      <c r="K1881" s="128"/>
      <c r="L1881" s="128"/>
      <c r="M1881" s="129"/>
      <c r="N1881" s="129"/>
      <c r="O1881" s="129"/>
    </row>
    <row r="1882" spans="1:15" ht="12.5">
      <c r="A1882" s="158" t="s">
        <v>18687</v>
      </c>
      <c r="B1882" s="159">
        <v>25</v>
      </c>
      <c r="C1882" s="159">
        <v>71</v>
      </c>
      <c r="D1882" s="159">
        <v>57</v>
      </c>
      <c r="E1882" s="159">
        <v>80</v>
      </c>
      <c r="F1882" s="131"/>
      <c r="G1882" s="132"/>
      <c r="H1882" s="162" t="s">
        <v>18688</v>
      </c>
      <c r="I1882" s="158" t="s">
        <v>18689</v>
      </c>
      <c r="J1882" s="128"/>
      <c r="K1882" s="128"/>
      <c r="L1882" s="128"/>
      <c r="M1882" s="129"/>
      <c r="N1882" s="129"/>
      <c r="O1882" s="129"/>
    </row>
    <row r="1883" spans="1:15" ht="12.5">
      <c r="A1883" s="158" t="s">
        <v>18690</v>
      </c>
      <c r="B1883" s="159">
        <v>25</v>
      </c>
      <c r="C1883" s="159">
        <v>71</v>
      </c>
      <c r="D1883" s="159">
        <v>57</v>
      </c>
      <c r="E1883" s="159">
        <v>81</v>
      </c>
      <c r="F1883" s="131"/>
      <c r="G1883" s="132"/>
      <c r="H1883" s="162" t="s">
        <v>18691</v>
      </c>
      <c r="I1883" s="158" t="s">
        <v>18692</v>
      </c>
      <c r="J1883" s="128"/>
      <c r="K1883" s="128"/>
      <c r="L1883" s="128"/>
      <c r="M1883" s="129"/>
      <c r="N1883" s="129"/>
      <c r="O1883" s="129"/>
    </row>
    <row r="1884" spans="1:15" ht="12.5">
      <c r="A1884" s="158" t="s">
        <v>18693</v>
      </c>
      <c r="B1884" s="159">
        <v>25</v>
      </c>
      <c r="C1884" s="159">
        <v>71</v>
      </c>
      <c r="D1884" s="159">
        <v>57</v>
      </c>
      <c r="E1884" s="159">
        <v>82</v>
      </c>
      <c r="F1884" s="131"/>
      <c r="G1884" s="132"/>
      <c r="H1884" s="162" t="s">
        <v>18694</v>
      </c>
      <c r="I1884" s="158" t="s">
        <v>18695</v>
      </c>
      <c r="J1884" s="128"/>
      <c r="K1884" s="128"/>
      <c r="L1884" s="128"/>
      <c r="M1884" s="129"/>
      <c r="N1884" s="129"/>
      <c r="O1884" s="129"/>
    </row>
    <row r="1885" spans="1:15" ht="12.5">
      <c r="A1885" s="158" t="s">
        <v>18696</v>
      </c>
      <c r="B1885" s="159">
        <v>25</v>
      </c>
      <c r="C1885" s="159">
        <v>71</v>
      </c>
      <c r="D1885" s="159">
        <v>57</v>
      </c>
      <c r="E1885" s="159">
        <v>83</v>
      </c>
      <c r="F1885" s="131"/>
      <c r="G1885" s="132"/>
      <c r="H1885" s="162" t="s">
        <v>18697</v>
      </c>
      <c r="I1885" s="158" t="s">
        <v>18698</v>
      </c>
      <c r="J1885" s="128"/>
      <c r="K1885" s="128"/>
      <c r="L1885" s="128"/>
      <c r="M1885" s="129"/>
      <c r="N1885" s="129"/>
      <c r="O1885" s="129"/>
    </row>
    <row r="1886" spans="1:15" ht="12.5">
      <c r="A1886" s="158" t="s">
        <v>18699</v>
      </c>
      <c r="B1886" s="159">
        <v>25</v>
      </c>
      <c r="C1886" s="159">
        <v>71</v>
      </c>
      <c r="D1886" s="159">
        <v>57</v>
      </c>
      <c r="E1886" s="159">
        <v>87</v>
      </c>
      <c r="F1886" s="131"/>
      <c r="G1886" s="132"/>
      <c r="H1886" s="162" t="s">
        <v>18700</v>
      </c>
      <c r="I1886" s="128"/>
      <c r="J1886" s="128"/>
      <c r="K1886" s="128"/>
      <c r="L1886" s="128"/>
      <c r="M1886" s="129"/>
      <c r="N1886" s="129"/>
      <c r="O1886" s="129"/>
    </row>
    <row r="1887" spans="1:15" ht="12.5">
      <c r="A1887" s="158" t="s">
        <v>18701</v>
      </c>
      <c r="B1887" s="159">
        <v>25</v>
      </c>
      <c r="C1887" s="159">
        <v>71</v>
      </c>
      <c r="D1887" s="159">
        <v>57</v>
      </c>
      <c r="E1887" s="159">
        <v>88</v>
      </c>
      <c r="F1887" s="131"/>
      <c r="G1887" s="132"/>
      <c r="H1887" s="162" t="s">
        <v>18702</v>
      </c>
      <c r="I1887" s="128"/>
      <c r="J1887" s="128"/>
      <c r="K1887" s="128"/>
      <c r="L1887" s="128"/>
      <c r="M1887" s="129"/>
      <c r="N1887" s="129"/>
      <c r="O1887" s="129"/>
    </row>
    <row r="1888" spans="1:15" ht="12.5">
      <c r="A1888" s="158" t="s">
        <v>18703</v>
      </c>
      <c r="B1888" s="159">
        <v>25</v>
      </c>
      <c r="C1888" s="159">
        <v>71</v>
      </c>
      <c r="D1888" s="159">
        <v>57</v>
      </c>
      <c r="E1888" s="159">
        <v>90</v>
      </c>
      <c r="F1888" s="131"/>
      <c r="G1888" s="132"/>
      <c r="H1888" s="162" t="s">
        <v>18704</v>
      </c>
      <c r="I1888" s="128"/>
      <c r="J1888" s="128"/>
      <c r="K1888" s="128"/>
      <c r="L1888" s="128"/>
      <c r="M1888" s="129"/>
      <c r="N1888" s="129"/>
      <c r="O1888" s="129"/>
    </row>
    <row r="1889" spans="1:15" ht="12.5">
      <c r="A1889" s="158" t="s">
        <v>18705</v>
      </c>
      <c r="B1889" s="159">
        <v>25</v>
      </c>
      <c r="C1889" s="159">
        <v>71</v>
      </c>
      <c r="D1889" s="159">
        <v>57</v>
      </c>
      <c r="E1889" s="159">
        <v>97</v>
      </c>
      <c r="F1889" s="131"/>
      <c r="G1889" s="132"/>
      <c r="H1889" s="162" t="s">
        <v>18706</v>
      </c>
      <c r="I1889" s="128"/>
      <c r="J1889" s="128"/>
      <c r="K1889" s="128"/>
      <c r="L1889" s="128"/>
      <c r="M1889" s="129"/>
      <c r="N1889" s="129"/>
      <c r="O1889" s="129"/>
    </row>
    <row r="1890" spans="1:15" ht="12.5">
      <c r="A1890" s="158" t="s">
        <v>18707</v>
      </c>
      <c r="B1890" s="159">
        <v>25</v>
      </c>
      <c r="C1890" s="159">
        <v>71</v>
      </c>
      <c r="D1890" s="159">
        <v>57</v>
      </c>
      <c r="E1890" s="159">
        <v>98</v>
      </c>
      <c r="F1890" s="131"/>
      <c r="G1890" s="132"/>
      <c r="H1890" s="162" t="s">
        <v>18708</v>
      </c>
      <c r="I1890" s="158" t="s">
        <v>18709</v>
      </c>
      <c r="J1890" s="128"/>
      <c r="K1890" s="128"/>
      <c r="L1890" s="128"/>
      <c r="M1890" s="129"/>
      <c r="N1890" s="129"/>
      <c r="O1890" s="129"/>
    </row>
    <row r="1891" spans="1:15" ht="12.5">
      <c r="A1891" s="158" t="s">
        <v>18710</v>
      </c>
      <c r="B1891" s="159">
        <v>25</v>
      </c>
      <c r="C1891" s="159">
        <v>71</v>
      </c>
      <c r="D1891" s="159">
        <v>63</v>
      </c>
      <c r="E1891" s="130"/>
      <c r="F1891" s="131"/>
      <c r="G1891" s="132"/>
      <c r="H1891" s="162" t="s">
        <v>18711</v>
      </c>
      <c r="I1891" s="128"/>
      <c r="J1891" s="128"/>
      <c r="K1891" s="128"/>
      <c r="L1891" s="128"/>
      <c r="M1891" s="129"/>
      <c r="N1891" s="129"/>
      <c r="O1891" s="129"/>
    </row>
    <row r="1892" spans="1:15" ht="12.5">
      <c r="A1892" s="158" t="s">
        <v>18712</v>
      </c>
      <c r="B1892" s="159">
        <v>25</v>
      </c>
      <c r="C1892" s="159">
        <v>71</v>
      </c>
      <c r="D1892" s="159">
        <v>63</v>
      </c>
      <c r="E1892" s="159">
        <v>15</v>
      </c>
      <c r="F1892" s="131"/>
      <c r="G1892" s="132"/>
      <c r="H1892" s="162" t="s">
        <v>18713</v>
      </c>
      <c r="I1892" s="158" t="s">
        <v>18714</v>
      </c>
      <c r="J1892" s="128"/>
      <c r="K1892" s="128"/>
      <c r="L1892" s="128"/>
      <c r="M1892" s="129"/>
      <c r="N1892" s="129"/>
      <c r="O1892" s="129"/>
    </row>
    <row r="1893" spans="1:15" ht="12.5">
      <c r="A1893" s="158" t="s">
        <v>18715</v>
      </c>
      <c r="B1893" s="159">
        <v>25</v>
      </c>
      <c r="C1893" s="159">
        <v>71</v>
      </c>
      <c r="D1893" s="159">
        <v>63</v>
      </c>
      <c r="E1893" s="159">
        <v>24</v>
      </c>
      <c r="F1893" s="131"/>
      <c r="G1893" s="132"/>
      <c r="H1893" s="162" t="s">
        <v>18716</v>
      </c>
      <c r="I1893" s="158" t="s">
        <v>18717</v>
      </c>
      <c r="J1893" s="128"/>
      <c r="K1893" s="128"/>
      <c r="L1893" s="128"/>
      <c r="M1893" s="129"/>
      <c r="N1893" s="129"/>
      <c r="O1893" s="129"/>
    </row>
    <row r="1894" spans="1:15" ht="12.5">
      <c r="A1894" s="158" t="s">
        <v>18718</v>
      </c>
      <c r="B1894" s="159">
        <v>25</v>
      </c>
      <c r="C1894" s="159">
        <v>71</v>
      </c>
      <c r="D1894" s="159">
        <v>63</v>
      </c>
      <c r="E1894" s="159">
        <v>26</v>
      </c>
      <c r="F1894" s="131"/>
      <c r="G1894" s="132"/>
      <c r="H1894" s="162" t="s">
        <v>18719</v>
      </c>
      <c r="I1894" s="158" t="s">
        <v>18720</v>
      </c>
      <c r="J1894" s="128"/>
      <c r="K1894" s="128"/>
      <c r="L1894" s="128"/>
      <c r="M1894" s="129"/>
      <c r="N1894" s="129"/>
      <c r="O1894" s="129"/>
    </row>
    <row r="1895" spans="1:15" ht="12.5">
      <c r="A1895" s="158" t="s">
        <v>18721</v>
      </c>
      <c r="B1895" s="159">
        <v>25</v>
      </c>
      <c r="C1895" s="159">
        <v>71</v>
      </c>
      <c r="D1895" s="159">
        <v>63</v>
      </c>
      <c r="E1895" s="159">
        <v>27</v>
      </c>
      <c r="F1895" s="131"/>
      <c r="G1895" s="132"/>
      <c r="H1895" s="162" t="s">
        <v>18722</v>
      </c>
      <c r="I1895" s="158" t="s">
        <v>18723</v>
      </c>
      <c r="J1895" s="128"/>
      <c r="K1895" s="128"/>
      <c r="L1895" s="128"/>
      <c r="M1895" s="129"/>
      <c r="N1895" s="129"/>
      <c r="O1895" s="129"/>
    </row>
    <row r="1896" spans="1:15" ht="12.5">
      <c r="A1896" s="158" t="s">
        <v>18724</v>
      </c>
      <c r="B1896" s="159">
        <v>25</v>
      </c>
      <c r="C1896" s="159">
        <v>71</v>
      </c>
      <c r="D1896" s="159">
        <v>63</v>
      </c>
      <c r="E1896" s="159">
        <v>29</v>
      </c>
      <c r="F1896" s="131"/>
      <c r="G1896" s="132"/>
      <c r="H1896" s="162" t="s">
        <v>18725</v>
      </c>
      <c r="I1896" s="158" t="s">
        <v>18726</v>
      </c>
      <c r="J1896" s="128"/>
      <c r="K1896" s="128"/>
      <c r="L1896" s="128"/>
      <c r="M1896" s="129"/>
      <c r="N1896" s="129"/>
      <c r="O1896" s="129"/>
    </row>
    <row r="1897" spans="1:15" ht="12.5">
      <c r="A1897" s="158" t="s">
        <v>18727</v>
      </c>
      <c r="B1897" s="159">
        <v>25</v>
      </c>
      <c r="C1897" s="159">
        <v>71</v>
      </c>
      <c r="D1897" s="159">
        <v>63</v>
      </c>
      <c r="E1897" s="159">
        <v>33</v>
      </c>
      <c r="F1897" s="131"/>
      <c r="G1897" s="132"/>
      <c r="H1897" s="162" t="s">
        <v>18728</v>
      </c>
      <c r="I1897" s="128"/>
      <c r="J1897" s="128"/>
      <c r="K1897" s="128"/>
      <c r="L1897" s="128"/>
      <c r="M1897" s="129"/>
      <c r="N1897" s="129"/>
      <c r="O1897" s="129"/>
    </row>
    <row r="1898" spans="1:15" ht="12.5">
      <c r="A1898" s="158" t="s">
        <v>18729</v>
      </c>
      <c r="B1898" s="159">
        <v>25</v>
      </c>
      <c r="C1898" s="159">
        <v>71</v>
      </c>
      <c r="D1898" s="159">
        <v>63</v>
      </c>
      <c r="E1898" s="159">
        <v>34</v>
      </c>
      <c r="F1898" s="131"/>
      <c r="G1898" s="132"/>
      <c r="H1898" s="162" t="s">
        <v>18730</v>
      </c>
      <c r="I1898" s="158" t="s">
        <v>18731</v>
      </c>
      <c r="J1898" s="128"/>
      <c r="K1898" s="128"/>
      <c r="L1898" s="128"/>
      <c r="M1898" s="129"/>
      <c r="N1898" s="129"/>
      <c r="O1898" s="129"/>
    </row>
    <row r="1899" spans="1:15" ht="12.5">
      <c r="A1899" s="158" t="s">
        <v>18732</v>
      </c>
      <c r="B1899" s="159">
        <v>25</v>
      </c>
      <c r="C1899" s="159">
        <v>71</v>
      </c>
      <c r="D1899" s="159">
        <v>63</v>
      </c>
      <c r="E1899" s="159">
        <v>38</v>
      </c>
      <c r="F1899" s="131"/>
      <c r="G1899" s="132"/>
      <c r="H1899" s="162" t="s">
        <v>18733</v>
      </c>
      <c r="I1899" s="128"/>
      <c r="J1899" s="128"/>
      <c r="K1899" s="128"/>
      <c r="L1899" s="128"/>
      <c r="M1899" s="129"/>
      <c r="N1899" s="129"/>
      <c r="O1899" s="129"/>
    </row>
    <row r="1900" spans="1:15" ht="12.5">
      <c r="A1900" s="158" t="s">
        <v>18734</v>
      </c>
      <c r="B1900" s="159">
        <v>25</v>
      </c>
      <c r="C1900" s="159">
        <v>71</v>
      </c>
      <c r="D1900" s="159">
        <v>63</v>
      </c>
      <c r="E1900" s="159">
        <v>59</v>
      </c>
      <c r="F1900" s="131"/>
      <c r="G1900" s="132"/>
      <c r="H1900" s="162" t="s">
        <v>18735</v>
      </c>
      <c r="I1900" s="158" t="s">
        <v>18736</v>
      </c>
      <c r="J1900" s="128"/>
      <c r="K1900" s="128"/>
      <c r="L1900" s="128"/>
      <c r="M1900" s="129"/>
      <c r="N1900" s="129"/>
      <c r="O1900" s="129"/>
    </row>
    <row r="1901" spans="1:15" ht="12.5">
      <c r="A1901" s="158" t="s">
        <v>18737</v>
      </c>
      <c r="B1901" s="159">
        <v>25</v>
      </c>
      <c r="C1901" s="159">
        <v>71</v>
      </c>
      <c r="D1901" s="159">
        <v>63</v>
      </c>
      <c r="E1901" s="159">
        <v>60</v>
      </c>
      <c r="F1901" s="131"/>
      <c r="G1901" s="132"/>
      <c r="H1901" s="162" t="s">
        <v>18738</v>
      </c>
      <c r="I1901" s="158" t="s">
        <v>18739</v>
      </c>
      <c r="J1901" s="128"/>
      <c r="K1901" s="128"/>
      <c r="L1901" s="128"/>
      <c r="M1901" s="129"/>
      <c r="N1901" s="129"/>
      <c r="O1901" s="129"/>
    </row>
    <row r="1902" spans="1:15" ht="12.5">
      <c r="A1902" s="158" t="s">
        <v>18740</v>
      </c>
      <c r="B1902" s="159">
        <v>25</v>
      </c>
      <c r="C1902" s="159">
        <v>71</v>
      </c>
      <c r="D1902" s="159">
        <v>63</v>
      </c>
      <c r="E1902" s="159">
        <v>61</v>
      </c>
      <c r="F1902" s="131"/>
      <c r="G1902" s="132"/>
      <c r="H1902" s="162" t="s">
        <v>18741</v>
      </c>
      <c r="I1902" s="158" t="s">
        <v>18742</v>
      </c>
      <c r="J1902" s="128"/>
      <c r="K1902" s="128"/>
      <c r="L1902" s="128"/>
      <c r="M1902" s="129"/>
      <c r="N1902" s="129"/>
      <c r="O1902" s="129"/>
    </row>
    <row r="1903" spans="1:15" ht="12.5">
      <c r="A1903" s="158" t="s">
        <v>18743</v>
      </c>
      <c r="B1903" s="159">
        <v>25</v>
      </c>
      <c r="C1903" s="159">
        <v>71</v>
      </c>
      <c r="D1903" s="159">
        <v>63</v>
      </c>
      <c r="E1903" s="159">
        <v>62</v>
      </c>
      <c r="F1903" s="131"/>
      <c r="G1903" s="132"/>
      <c r="H1903" s="162" t="s">
        <v>18744</v>
      </c>
      <c r="I1903" s="128"/>
      <c r="J1903" s="128"/>
      <c r="K1903" s="128"/>
      <c r="L1903" s="128"/>
      <c r="M1903" s="129"/>
      <c r="N1903" s="129"/>
      <c r="O1903" s="129"/>
    </row>
    <row r="1904" spans="1:15" ht="12.5">
      <c r="A1904" s="158" t="s">
        <v>18745</v>
      </c>
      <c r="B1904" s="159">
        <v>25</v>
      </c>
      <c r="C1904" s="159">
        <v>71</v>
      </c>
      <c r="D1904" s="159">
        <v>63</v>
      </c>
      <c r="E1904" s="159">
        <v>63</v>
      </c>
      <c r="F1904" s="131"/>
      <c r="G1904" s="132"/>
      <c r="H1904" s="162" t="s">
        <v>18746</v>
      </c>
      <c r="I1904" s="158" t="s">
        <v>18747</v>
      </c>
      <c r="J1904" s="128"/>
      <c r="K1904" s="128"/>
      <c r="L1904" s="128"/>
      <c r="M1904" s="129"/>
      <c r="N1904" s="129"/>
      <c r="O1904" s="129"/>
    </row>
    <row r="1905" spans="1:15" ht="12.5">
      <c r="A1905" s="158" t="s">
        <v>18748</v>
      </c>
      <c r="B1905" s="159">
        <v>25</v>
      </c>
      <c r="C1905" s="159">
        <v>71</v>
      </c>
      <c r="D1905" s="159">
        <v>63</v>
      </c>
      <c r="E1905" s="159">
        <v>64</v>
      </c>
      <c r="F1905" s="131"/>
      <c r="G1905" s="132"/>
      <c r="H1905" s="162" t="s">
        <v>18749</v>
      </c>
      <c r="I1905" s="158" t="s">
        <v>18750</v>
      </c>
      <c r="J1905" s="128"/>
      <c r="K1905" s="128"/>
      <c r="L1905" s="128"/>
      <c r="M1905" s="129"/>
      <c r="N1905" s="129"/>
      <c r="O1905" s="129"/>
    </row>
    <row r="1906" spans="1:15" ht="12.5">
      <c r="A1906" s="158" t="s">
        <v>18751</v>
      </c>
      <c r="B1906" s="159">
        <v>25</v>
      </c>
      <c r="C1906" s="159">
        <v>71</v>
      </c>
      <c r="D1906" s="159">
        <v>63</v>
      </c>
      <c r="E1906" s="159">
        <v>65</v>
      </c>
      <c r="F1906" s="131"/>
      <c r="G1906" s="132"/>
      <c r="H1906" s="162" t="s">
        <v>18752</v>
      </c>
      <c r="I1906" s="158" t="s">
        <v>18753</v>
      </c>
      <c r="J1906" s="128"/>
      <c r="K1906" s="128"/>
      <c r="L1906" s="128"/>
      <c r="M1906" s="129"/>
      <c r="N1906" s="129"/>
      <c r="O1906" s="129"/>
    </row>
    <row r="1907" spans="1:15" ht="12.5">
      <c r="A1907" s="158" t="s">
        <v>18754</v>
      </c>
      <c r="B1907" s="159">
        <v>25</v>
      </c>
      <c r="C1907" s="159">
        <v>71</v>
      </c>
      <c r="D1907" s="159">
        <v>63</v>
      </c>
      <c r="E1907" s="159">
        <v>66</v>
      </c>
      <c r="F1907" s="131"/>
      <c r="G1907" s="132"/>
      <c r="H1907" s="162" t="s">
        <v>18755</v>
      </c>
      <c r="I1907" s="158" t="s">
        <v>18756</v>
      </c>
      <c r="J1907" s="128"/>
      <c r="K1907" s="128"/>
      <c r="L1907" s="128"/>
      <c r="M1907" s="129"/>
      <c r="N1907" s="129"/>
      <c r="O1907" s="129"/>
    </row>
    <row r="1908" spans="1:15" ht="12.5">
      <c r="A1908" s="158" t="s">
        <v>18757</v>
      </c>
      <c r="B1908" s="159">
        <v>25</v>
      </c>
      <c r="C1908" s="159">
        <v>71</v>
      </c>
      <c r="D1908" s="159">
        <v>63</v>
      </c>
      <c r="E1908" s="159">
        <v>67</v>
      </c>
      <c r="F1908" s="131"/>
      <c r="G1908" s="132"/>
      <c r="H1908" s="162" t="s">
        <v>18758</v>
      </c>
      <c r="I1908" s="158" t="s">
        <v>18759</v>
      </c>
      <c r="J1908" s="128"/>
      <c r="K1908" s="128"/>
      <c r="L1908" s="128"/>
      <c r="M1908" s="129"/>
      <c r="N1908" s="129"/>
      <c r="O1908" s="129"/>
    </row>
    <row r="1909" spans="1:15" ht="12.5">
      <c r="A1909" s="158" t="s">
        <v>18760</v>
      </c>
      <c r="B1909" s="159">
        <v>25</v>
      </c>
      <c r="C1909" s="159">
        <v>71</v>
      </c>
      <c r="D1909" s="159">
        <v>63</v>
      </c>
      <c r="E1909" s="159">
        <v>72</v>
      </c>
      <c r="F1909" s="131"/>
      <c r="G1909" s="132"/>
      <c r="H1909" s="162" t="s">
        <v>18761</v>
      </c>
      <c r="I1909" s="158" t="s">
        <v>18762</v>
      </c>
      <c r="J1909" s="128"/>
      <c r="K1909" s="128"/>
      <c r="L1909" s="128"/>
      <c r="M1909" s="129"/>
      <c r="N1909" s="129"/>
      <c r="O1909" s="129"/>
    </row>
    <row r="1910" spans="1:15" ht="12.5">
      <c r="A1910" s="158" t="s">
        <v>18763</v>
      </c>
      <c r="B1910" s="159">
        <v>25</v>
      </c>
      <c r="C1910" s="159">
        <v>71</v>
      </c>
      <c r="D1910" s="159">
        <v>63</v>
      </c>
      <c r="E1910" s="159">
        <v>81</v>
      </c>
      <c r="F1910" s="131"/>
      <c r="G1910" s="132"/>
      <c r="H1910" s="162" t="s">
        <v>18764</v>
      </c>
      <c r="I1910" s="128"/>
      <c r="J1910" s="128"/>
      <c r="K1910" s="128"/>
      <c r="L1910" s="128"/>
      <c r="M1910" s="129"/>
      <c r="N1910" s="129"/>
      <c r="O1910" s="129"/>
    </row>
    <row r="1911" spans="1:15" ht="12.5">
      <c r="A1911" s="158" t="s">
        <v>18765</v>
      </c>
      <c r="B1911" s="159">
        <v>25</v>
      </c>
      <c r="C1911" s="159">
        <v>71</v>
      </c>
      <c r="D1911" s="159">
        <v>63</v>
      </c>
      <c r="E1911" s="159">
        <v>92</v>
      </c>
      <c r="F1911" s="131"/>
      <c r="G1911" s="132"/>
      <c r="H1911" s="162" t="s">
        <v>18766</v>
      </c>
      <c r="I1911" s="158" t="s">
        <v>18767</v>
      </c>
      <c r="J1911" s="128"/>
      <c r="K1911" s="128"/>
      <c r="L1911" s="128"/>
      <c r="M1911" s="129"/>
      <c r="N1911" s="129"/>
      <c r="O1911" s="129"/>
    </row>
    <row r="1912" spans="1:15" ht="12.5">
      <c r="A1912" s="158" t="s">
        <v>18768</v>
      </c>
      <c r="B1912" s="159">
        <v>25</v>
      </c>
      <c r="C1912" s="159">
        <v>71</v>
      </c>
      <c r="D1912" s="159">
        <v>63</v>
      </c>
      <c r="E1912" s="159">
        <v>93</v>
      </c>
      <c r="F1912" s="131"/>
      <c r="G1912" s="132"/>
      <c r="H1912" s="162" t="s">
        <v>18769</v>
      </c>
      <c r="I1912" s="158" t="s">
        <v>18770</v>
      </c>
      <c r="J1912" s="128"/>
      <c r="K1912" s="128"/>
      <c r="L1912" s="128"/>
      <c r="M1912" s="129"/>
      <c r="N1912" s="129"/>
      <c r="O1912" s="129"/>
    </row>
    <row r="1913" spans="1:15" ht="12.5">
      <c r="A1913" s="158" t="s">
        <v>18771</v>
      </c>
      <c r="B1913" s="159">
        <v>25</v>
      </c>
      <c r="C1913" s="159">
        <v>71</v>
      </c>
      <c r="D1913" s="159">
        <v>94</v>
      </c>
      <c r="E1913" s="130"/>
      <c r="F1913" s="131"/>
      <c r="G1913" s="132"/>
      <c r="H1913" s="162" t="s">
        <v>18772</v>
      </c>
      <c r="I1913" s="128"/>
      <c r="J1913" s="128"/>
      <c r="K1913" s="128"/>
      <c r="L1913" s="128"/>
      <c r="M1913" s="129"/>
      <c r="N1913" s="129"/>
      <c r="O1913" s="129"/>
    </row>
    <row r="1914" spans="1:15" ht="12.5">
      <c r="A1914" s="158" t="s">
        <v>18773</v>
      </c>
      <c r="B1914" s="159">
        <v>25</v>
      </c>
      <c r="C1914" s="159">
        <v>71</v>
      </c>
      <c r="D1914" s="159">
        <v>94</v>
      </c>
      <c r="E1914" s="159">
        <v>6</v>
      </c>
      <c r="F1914" s="131"/>
      <c r="G1914" s="132"/>
      <c r="H1914" s="162" t="s">
        <v>18774</v>
      </c>
      <c r="I1914" s="158" t="s">
        <v>18775</v>
      </c>
      <c r="J1914" s="128"/>
      <c r="K1914" s="128"/>
      <c r="L1914" s="128"/>
      <c r="M1914" s="129"/>
      <c r="N1914" s="129"/>
      <c r="O1914" s="129"/>
    </row>
    <row r="1915" spans="1:15" ht="12.5">
      <c r="A1915" s="158" t="s">
        <v>18776</v>
      </c>
      <c r="B1915" s="159">
        <v>25</v>
      </c>
      <c r="C1915" s="159">
        <v>71</v>
      </c>
      <c r="D1915" s="159">
        <v>94</v>
      </c>
      <c r="E1915" s="159">
        <v>22</v>
      </c>
      <c r="F1915" s="131"/>
      <c r="G1915" s="132"/>
      <c r="H1915" s="162" t="s">
        <v>18777</v>
      </c>
      <c r="I1915" s="158" t="s">
        <v>18778</v>
      </c>
      <c r="J1915" s="128"/>
      <c r="K1915" s="128"/>
      <c r="L1915" s="128"/>
      <c r="M1915" s="129"/>
      <c r="N1915" s="129"/>
      <c r="O1915" s="129"/>
    </row>
    <row r="1916" spans="1:15" ht="12.5">
      <c r="A1916" s="158" t="s">
        <v>18779</v>
      </c>
      <c r="B1916" s="159">
        <v>25</v>
      </c>
      <c r="C1916" s="159">
        <v>71</v>
      </c>
      <c r="D1916" s="159">
        <v>94</v>
      </c>
      <c r="E1916" s="159">
        <v>29</v>
      </c>
      <c r="F1916" s="131"/>
      <c r="G1916" s="132"/>
      <c r="H1916" s="162" t="s">
        <v>18780</v>
      </c>
      <c r="I1916" s="158" t="s">
        <v>18781</v>
      </c>
      <c r="J1916" s="128"/>
      <c r="K1916" s="128"/>
      <c r="L1916" s="128"/>
      <c r="M1916" s="129"/>
      <c r="N1916" s="129"/>
      <c r="O1916" s="129"/>
    </row>
    <row r="1917" spans="1:15" ht="12.5">
      <c r="A1917" s="158" t="s">
        <v>18782</v>
      </c>
      <c r="B1917" s="159">
        <v>25</v>
      </c>
      <c r="C1917" s="159">
        <v>71</v>
      </c>
      <c r="D1917" s="159">
        <v>94</v>
      </c>
      <c r="E1917" s="159">
        <v>37</v>
      </c>
      <c r="F1917" s="131"/>
      <c r="G1917" s="132"/>
      <c r="H1917" s="162" t="s">
        <v>18783</v>
      </c>
      <c r="I1917" s="158" t="s">
        <v>18784</v>
      </c>
      <c r="J1917" s="128"/>
      <c r="K1917" s="128"/>
      <c r="L1917" s="128"/>
      <c r="M1917" s="129"/>
      <c r="N1917" s="129"/>
      <c r="O1917" s="129"/>
    </row>
    <row r="1918" spans="1:15" ht="12.5">
      <c r="A1918" s="158" t="s">
        <v>18785</v>
      </c>
      <c r="B1918" s="159">
        <v>25</v>
      </c>
      <c r="C1918" s="159">
        <v>71</v>
      </c>
      <c r="D1918" s="159">
        <v>94</v>
      </c>
      <c r="E1918" s="159">
        <v>46</v>
      </c>
      <c r="F1918" s="131"/>
      <c r="G1918" s="132"/>
      <c r="H1918" s="162" t="s">
        <v>18786</v>
      </c>
      <c r="I1918" s="158" t="s">
        <v>18787</v>
      </c>
      <c r="J1918" s="128"/>
      <c r="K1918" s="128"/>
      <c r="L1918" s="128"/>
      <c r="M1918" s="129"/>
      <c r="N1918" s="129"/>
      <c r="O1918" s="129"/>
    </row>
    <row r="1919" spans="1:15" ht="12.5">
      <c r="A1919" s="158" t="s">
        <v>18788</v>
      </c>
      <c r="B1919" s="159">
        <v>25</v>
      </c>
      <c r="C1919" s="159">
        <v>71</v>
      </c>
      <c r="D1919" s="159">
        <v>94</v>
      </c>
      <c r="E1919" s="159">
        <v>51</v>
      </c>
      <c r="F1919" s="131"/>
      <c r="G1919" s="132"/>
      <c r="H1919" s="162" t="s">
        <v>18789</v>
      </c>
      <c r="I1919" s="158" t="s">
        <v>18787</v>
      </c>
      <c r="J1919" s="128"/>
      <c r="K1919" s="128"/>
      <c r="L1919" s="128"/>
      <c r="M1919" s="129"/>
      <c r="N1919" s="129"/>
      <c r="O1919" s="129"/>
    </row>
    <row r="1920" spans="1:15" ht="12.5">
      <c r="A1920" s="158" t="s">
        <v>18790</v>
      </c>
      <c r="B1920" s="159">
        <v>25</v>
      </c>
      <c r="C1920" s="159">
        <v>71</v>
      </c>
      <c r="D1920" s="159">
        <v>94</v>
      </c>
      <c r="E1920" s="159">
        <v>52</v>
      </c>
      <c r="F1920" s="131"/>
      <c r="G1920" s="132"/>
      <c r="H1920" s="162" t="s">
        <v>18791</v>
      </c>
      <c r="I1920" s="158" t="s">
        <v>18787</v>
      </c>
      <c r="J1920" s="128"/>
      <c r="K1920" s="128"/>
      <c r="L1920" s="128"/>
      <c r="M1920" s="129"/>
      <c r="N1920" s="129"/>
      <c r="O1920" s="129"/>
    </row>
    <row r="1921" spans="1:15" ht="12.5">
      <c r="A1921" s="158" t="s">
        <v>18792</v>
      </c>
      <c r="B1921" s="159">
        <v>25</v>
      </c>
      <c r="C1921" s="159">
        <v>71</v>
      </c>
      <c r="D1921" s="159">
        <v>94</v>
      </c>
      <c r="E1921" s="159">
        <v>94</v>
      </c>
      <c r="F1921" s="131"/>
      <c r="G1921" s="132"/>
      <c r="H1921" s="162" t="s">
        <v>18793</v>
      </c>
      <c r="I1921" s="158" t="s">
        <v>18794</v>
      </c>
      <c r="J1921" s="128"/>
      <c r="K1921" s="128"/>
      <c r="L1921" s="128"/>
      <c r="M1921" s="129"/>
      <c r="N1921" s="129"/>
      <c r="O1921" s="129"/>
    </row>
    <row r="1922" spans="1:15" ht="12.5">
      <c r="A1922" s="158" t="s">
        <v>18795</v>
      </c>
      <c r="B1922" s="159">
        <v>25</v>
      </c>
      <c r="C1922" s="159">
        <v>71</v>
      </c>
      <c r="D1922" s="159">
        <v>94</v>
      </c>
      <c r="E1922" s="159">
        <v>95</v>
      </c>
      <c r="F1922" s="131"/>
      <c r="G1922" s="132"/>
      <c r="H1922" s="162" t="s">
        <v>18796</v>
      </c>
      <c r="I1922" s="158" t="s">
        <v>18787</v>
      </c>
      <c r="J1922" s="128"/>
      <c r="K1922" s="128"/>
      <c r="L1922" s="128"/>
      <c r="M1922" s="129"/>
      <c r="N1922" s="129"/>
      <c r="O1922" s="129"/>
    </row>
    <row r="1923" spans="1:15" ht="12.5">
      <c r="A1923" s="158" t="s">
        <v>18797</v>
      </c>
      <c r="B1923" s="159">
        <v>25</v>
      </c>
      <c r="C1923" s="159">
        <v>71</v>
      </c>
      <c r="D1923" s="159">
        <v>94</v>
      </c>
      <c r="E1923" s="159">
        <v>98</v>
      </c>
      <c r="F1923" s="131"/>
      <c r="G1923" s="132"/>
      <c r="H1923" s="162" t="s">
        <v>18798</v>
      </c>
      <c r="I1923" s="158" t="s">
        <v>18799</v>
      </c>
      <c r="J1923" s="128"/>
      <c r="K1923" s="128"/>
      <c r="L1923" s="128"/>
      <c r="M1923" s="129"/>
      <c r="N1923" s="129"/>
      <c r="O1923" s="129"/>
    </row>
    <row r="1924" spans="1:15" ht="12.5">
      <c r="A1924" s="158" t="s">
        <v>18800</v>
      </c>
      <c r="B1924" s="159">
        <v>25</v>
      </c>
      <c r="C1924" s="159">
        <v>71</v>
      </c>
      <c r="D1924" s="159">
        <v>97</v>
      </c>
      <c r="E1924" s="130"/>
      <c r="F1924" s="131"/>
      <c r="G1924" s="132"/>
      <c r="H1924" s="162" t="s">
        <v>18801</v>
      </c>
      <c r="I1924" s="128"/>
      <c r="J1924" s="128"/>
      <c r="K1924" s="128"/>
      <c r="L1924" s="128"/>
      <c r="M1924" s="129"/>
      <c r="N1924" s="129"/>
      <c r="O1924" s="129"/>
    </row>
    <row r="1925" spans="1:15" ht="12.5">
      <c r="A1925" s="158" t="s">
        <v>18802</v>
      </c>
      <c r="B1925" s="159">
        <v>25</v>
      </c>
      <c r="C1925" s="159">
        <v>71</v>
      </c>
      <c r="D1925" s="159">
        <v>97</v>
      </c>
      <c r="E1925" s="159">
        <v>5</v>
      </c>
      <c r="F1925" s="131"/>
      <c r="G1925" s="132"/>
      <c r="H1925" s="162" t="s">
        <v>18803</v>
      </c>
      <c r="I1925" s="128"/>
      <c r="J1925" s="128"/>
      <c r="K1925" s="128"/>
      <c r="L1925" s="128"/>
      <c r="M1925" s="129"/>
      <c r="N1925" s="129"/>
      <c r="O1925" s="129"/>
    </row>
    <row r="1926" spans="1:15" ht="12.5">
      <c r="A1926" s="158" t="s">
        <v>18804</v>
      </c>
      <c r="B1926" s="159">
        <v>25</v>
      </c>
      <c r="C1926" s="159">
        <v>71</v>
      </c>
      <c r="D1926" s="159">
        <v>97</v>
      </c>
      <c r="E1926" s="159">
        <v>7</v>
      </c>
      <c r="F1926" s="131"/>
      <c r="G1926" s="132"/>
      <c r="H1926" s="162" t="s">
        <v>18805</v>
      </c>
      <c r="I1926" s="158" t="s">
        <v>18806</v>
      </c>
      <c r="J1926" s="128"/>
      <c r="K1926" s="128"/>
      <c r="L1926" s="128"/>
      <c r="M1926" s="129"/>
      <c r="N1926" s="129"/>
      <c r="O1926" s="129"/>
    </row>
    <row r="1927" spans="1:15" ht="12.5">
      <c r="A1927" s="158" t="s">
        <v>18807</v>
      </c>
      <c r="B1927" s="159">
        <v>25</v>
      </c>
      <c r="C1927" s="159">
        <v>71</v>
      </c>
      <c r="D1927" s="159">
        <v>97</v>
      </c>
      <c r="E1927" s="159">
        <v>8</v>
      </c>
      <c r="F1927" s="131"/>
      <c r="G1927" s="132"/>
      <c r="H1927" s="162" t="s">
        <v>18808</v>
      </c>
      <c r="I1927" s="158" t="s">
        <v>18809</v>
      </c>
      <c r="J1927" s="128"/>
      <c r="K1927" s="128"/>
      <c r="L1927" s="128"/>
      <c r="M1927" s="129"/>
      <c r="N1927" s="129"/>
      <c r="O1927" s="129"/>
    </row>
    <row r="1928" spans="1:15" ht="12.5">
      <c r="A1928" s="158" t="s">
        <v>18810</v>
      </c>
      <c r="B1928" s="159">
        <v>25</v>
      </c>
      <c r="C1928" s="159">
        <v>71</v>
      </c>
      <c r="D1928" s="159">
        <v>97</v>
      </c>
      <c r="E1928" s="159">
        <v>12</v>
      </c>
      <c r="F1928" s="131"/>
      <c r="G1928" s="132"/>
      <c r="H1928" s="162" t="s">
        <v>18811</v>
      </c>
      <c r="I1928" s="158" t="s">
        <v>18812</v>
      </c>
      <c r="J1928" s="128"/>
      <c r="K1928" s="128"/>
      <c r="L1928" s="128"/>
      <c r="M1928" s="129"/>
      <c r="N1928" s="129"/>
      <c r="O1928" s="129"/>
    </row>
    <row r="1929" spans="1:15" ht="12.5">
      <c r="A1929" s="158" t="s">
        <v>18813</v>
      </c>
      <c r="B1929" s="159">
        <v>25</v>
      </c>
      <c r="C1929" s="159">
        <v>71</v>
      </c>
      <c r="D1929" s="159">
        <v>97</v>
      </c>
      <c r="E1929" s="159">
        <v>16</v>
      </c>
      <c r="F1929" s="131"/>
      <c r="G1929" s="132"/>
      <c r="H1929" s="162" t="s">
        <v>18814</v>
      </c>
      <c r="I1929" s="158" t="s">
        <v>18815</v>
      </c>
      <c r="J1929" s="128"/>
      <c r="K1929" s="128"/>
      <c r="L1929" s="128"/>
      <c r="M1929" s="129"/>
      <c r="N1929" s="129"/>
      <c r="O1929" s="129"/>
    </row>
    <row r="1930" spans="1:15" ht="12.5">
      <c r="A1930" s="158" t="s">
        <v>18816</v>
      </c>
      <c r="B1930" s="159">
        <v>25</v>
      </c>
      <c r="C1930" s="159">
        <v>71</v>
      </c>
      <c r="D1930" s="159">
        <v>97</v>
      </c>
      <c r="E1930" s="159">
        <v>17</v>
      </c>
      <c r="F1930" s="131"/>
      <c r="G1930" s="132"/>
      <c r="H1930" s="162" t="s">
        <v>18817</v>
      </c>
      <c r="I1930" s="158" t="s">
        <v>18818</v>
      </c>
      <c r="J1930" s="128"/>
      <c r="K1930" s="128"/>
      <c r="L1930" s="128"/>
      <c r="M1930" s="129"/>
      <c r="N1930" s="129"/>
      <c r="O1930" s="129"/>
    </row>
    <row r="1931" spans="1:15" ht="12.5">
      <c r="A1931" s="158" t="s">
        <v>18819</v>
      </c>
      <c r="B1931" s="159">
        <v>25</v>
      </c>
      <c r="C1931" s="159">
        <v>71</v>
      </c>
      <c r="D1931" s="159">
        <v>97</v>
      </c>
      <c r="E1931" s="159">
        <v>21</v>
      </c>
      <c r="F1931" s="131"/>
      <c r="G1931" s="132"/>
      <c r="H1931" s="162" t="s">
        <v>18820</v>
      </c>
      <c r="I1931" s="128"/>
      <c r="J1931" s="128"/>
      <c r="K1931" s="128"/>
      <c r="L1931" s="128"/>
      <c r="M1931" s="129"/>
      <c r="N1931" s="129"/>
      <c r="O1931" s="129"/>
    </row>
    <row r="1932" spans="1:15" ht="12.5">
      <c r="A1932" s="158" t="s">
        <v>18821</v>
      </c>
      <c r="B1932" s="159">
        <v>25</v>
      </c>
      <c r="C1932" s="159">
        <v>71</v>
      </c>
      <c r="D1932" s="159">
        <v>97</v>
      </c>
      <c r="E1932" s="159">
        <v>22</v>
      </c>
      <c r="F1932" s="131"/>
      <c r="G1932" s="132"/>
      <c r="H1932" s="162" t="s">
        <v>18822</v>
      </c>
      <c r="I1932" s="158" t="s">
        <v>18823</v>
      </c>
      <c r="J1932" s="128"/>
      <c r="K1932" s="128"/>
      <c r="L1932" s="128"/>
      <c r="M1932" s="129"/>
      <c r="N1932" s="129"/>
      <c r="O1932" s="129"/>
    </row>
    <row r="1933" spans="1:15" ht="12.5">
      <c r="A1933" s="158" t="s">
        <v>18826</v>
      </c>
      <c r="B1933" s="159">
        <v>25</v>
      </c>
      <c r="C1933" s="159">
        <v>71</v>
      </c>
      <c r="D1933" s="159">
        <v>97</v>
      </c>
      <c r="E1933" s="159">
        <v>33</v>
      </c>
      <c r="F1933" s="131"/>
      <c r="G1933" s="132"/>
      <c r="H1933" s="162" t="s">
        <v>18827</v>
      </c>
      <c r="I1933" s="158" t="s">
        <v>18828</v>
      </c>
      <c r="J1933" s="128"/>
      <c r="K1933" s="128"/>
      <c r="L1933" s="128"/>
      <c r="M1933" s="129"/>
      <c r="N1933" s="129"/>
      <c r="O1933" s="129"/>
    </row>
    <row r="1934" spans="1:15" ht="12.5">
      <c r="A1934" s="158" t="s">
        <v>18829</v>
      </c>
      <c r="B1934" s="159">
        <v>25</v>
      </c>
      <c r="C1934" s="159">
        <v>71</v>
      </c>
      <c r="D1934" s="159">
        <v>97</v>
      </c>
      <c r="E1934" s="159">
        <v>34</v>
      </c>
      <c r="F1934" s="131"/>
      <c r="G1934" s="132"/>
      <c r="H1934" s="162" t="s">
        <v>18830</v>
      </c>
      <c r="I1934" s="158" t="s">
        <v>18831</v>
      </c>
      <c r="J1934" s="128"/>
      <c r="K1934" s="128"/>
      <c r="L1934" s="128"/>
      <c r="M1934" s="129"/>
      <c r="N1934" s="129"/>
      <c r="O1934" s="129"/>
    </row>
    <row r="1935" spans="1:15" ht="12.5">
      <c r="A1935" s="158" t="s">
        <v>18832</v>
      </c>
      <c r="B1935" s="159">
        <v>25</v>
      </c>
      <c r="C1935" s="159">
        <v>71</v>
      </c>
      <c r="D1935" s="159">
        <v>97</v>
      </c>
      <c r="E1935" s="159">
        <v>35</v>
      </c>
      <c r="F1935" s="131"/>
      <c r="G1935" s="132"/>
      <c r="H1935" s="162" t="s">
        <v>18833</v>
      </c>
      <c r="I1935" s="158" t="s">
        <v>18831</v>
      </c>
      <c r="J1935" s="128"/>
      <c r="K1935" s="128"/>
      <c r="L1935" s="128"/>
      <c r="M1935" s="129"/>
      <c r="N1935" s="129"/>
      <c r="O1935" s="129"/>
    </row>
    <row r="1936" spans="1:15" ht="12.5">
      <c r="A1936" s="158" t="s">
        <v>18834</v>
      </c>
      <c r="B1936" s="159">
        <v>25</v>
      </c>
      <c r="C1936" s="159">
        <v>71</v>
      </c>
      <c r="D1936" s="159">
        <v>97</v>
      </c>
      <c r="E1936" s="159">
        <v>36</v>
      </c>
      <c r="F1936" s="131"/>
      <c r="G1936" s="132"/>
      <c r="H1936" s="162" t="s">
        <v>18835</v>
      </c>
      <c r="I1936" s="158" t="s">
        <v>18836</v>
      </c>
      <c r="J1936" s="128"/>
      <c r="K1936" s="128"/>
      <c r="L1936" s="128"/>
      <c r="M1936" s="129"/>
      <c r="N1936" s="129"/>
      <c r="O1936" s="129"/>
    </row>
    <row r="1937" spans="1:15" ht="12.5">
      <c r="A1937" s="158" t="s">
        <v>18837</v>
      </c>
      <c r="B1937" s="159">
        <v>25</v>
      </c>
      <c r="C1937" s="159">
        <v>71</v>
      </c>
      <c r="D1937" s="159">
        <v>97</v>
      </c>
      <c r="E1937" s="159">
        <v>37</v>
      </c>
      <c r="F1937" s="131"/>
      <c r="G1937" s="132"/>
      <c r="H1937" s="162" t="s">
        <v>18838</v>
      </c>
      <c r="I1937" s="158" t="s">
        <v>18839</v>
      </c>
      <c r="J1937" s="128"/>
      <c r="K1937" s="128"/>
      <c r="L1937" s="128"/>
      <c r="M1937" s="129"/>
      <c r="N1937" s="129"/>
      <c r="O1937" s="129"/>
    </row>
    <row r="1938" spans="1:15" ht="12.5">
      <c r="A1938" s="158" t="s">
        <v>18840</v>
      </c>
      <c r="B1938" s="159">
        <v>25</v>
      </c>
      <c r="C1938" s="159">
        <v>71</v>
      </c>
      <c r="D1938" s="159">
        <v>97</v>
      </c>
      <c r="E1938" s="159">
        <v>38</v>
      </c>
      <c r="F1938" s="131"/>
      <c r="G1938" s="132"/>
      <c r="H1938" s="162" t="s">
        <v>18841</v>
      </c>
      <c r="I1938" s="158" t="s">
        <v>18842</v>
      </c>
      <c r="J1938" s="128"/>
      <c r="K1938" s="128"/>
      <c r="L1938" s="128"/>
      <c r="M1938" s="129"/>
      <c r="N1938" s="129"/>
      <c r="O1938" s="129"/>
    </row>
    <row r="1939" spans="1:15" ht="12.5">
      <c r="A1939" s="158" t="s">
        <v>18843</v>
      </c>
      <c r="B1939" s="159">
        <v>25</v>
      </c>
      <c r="C1939" s="159">
        <v>71</v>
      </c>
      <c r="D1939" s="159">
        <v>97</v>
      </c>
      <c r="E1939" s="159">
        <v>42</v>
      </c>
      <c r="F1939" s="131"/>
      <c r="G1939" s="132"/>
      <c r="H1939" s="162" t="s">
        <v>18844</v>
      </c>
      <c r="I1939" s="158" t="s">
        <v>18845</v>
      </c>
      <c r="J1939" s="128"/>
      <c r="K1939" s="128"/>
      <c r="L1939" s="128"/>
      <c r="M1939" s="129"/>
      <c r="N1939" s="129"/>
      <c r="O1939" s="129"/>
    </row>
    <row r="1940" spans="1:15" ht="12.5">
      <c r="A1940" s="158" t="s">
        <v>18846</v>
      </c>
      <c r="B1940" s="159">
        <v>25</v>
      </c>
      <c r="C1940" s="159">
        <v>71</v>
      </c>
      <c r="D1940" s="159">
        <v>97</v>
      </c>
      <c r="E1940" s="159">
        <v>43</v>
      </c>
      <c r="F1940" s="131"/>
      <c r="G1940" s="132"/>
      <c r="H1940" s="162" t="s">
        <v>18847</v>
      </c>
      <c r="I1940" s="158" t="s">
        <v>18848</v>
      </c>
      <c r="J1940" s="128"/>
      <c r="K1940" s="128"/>
      <c r="L1940" s="128"/>
      <c r="M1940" s="129"/>
      <c r="N1940" s="129"/>
      <c r="O1940" s="129"/>
    </row>
    <row r="1941" spans="1:15" ht="12.5">
      <c r="A1941" s="158" t="s">
        <v>18849</v>
      </c>
      <c r="B1941" s="159">
        <v>25</v>
      </c>
      <c r="C1941" s="159">
        <v>71</v>
      </c>
      <c r="D1941" s="159">
        <v>97</v>
      </c>
      <c r="E1941" s="159">
        <v>44</v>
      </c>
      <c r="F1941" s="131"/>
      <c r="G1941" s="132"/>
      <c r="H1941" s="162" t="s">
        <v>18850</v>
      </c>
      <c r="I1941" s="128"/>
      <c r="J1941" s="128"/>
      <c r="K1941" s="128"/>
      <c r="L1941" s="128"/>
      <c r="M1941" s="129"/>
      <c r="N1941" s="129"/>
      <c r="O1941" s="129"/>
    </row>
    <row r="1942" spans="1:15" ht="12.5">
      <c r="A1942" s="158" t="s">
        <v>18851</v>
      </c>
      <c r="B1942" s="159">
        <v>25</v>
      </c>
      <c r="C1942" s="159">
        <v>71</v>
      </c>
      <c r="D1942" s="159">
        <v>97</v>
      </c>
      <c r="E1942" s="159">
        <v>46</v>
      </c>
      <c r="F1942" s="131"/>
      <c r="G1942" s="132"/>
      <c r="H1942" s="162" t="s">
        <v>18852</v>
      </c>
      <c r="I1942" s="158" t="s">
        <v>18853</v>
      </c>
      <c r="J1942" s="128"/>
      <c r="K1942" s="128"/>
      <c r="L1942" s="128"/>
      <c r="M1942" s="129"/>
      <c r="N1942" s="129"/>
      <c r="O1942" s="129"/>
    </row>
    <row r="1943" spans="1:15" ht="12.5">
      <c r="A1943" s="158" t="s">
        <v>18854</v>
      </c>
      <c r="B1943" s="159">
        <v>25</v>
      </c>
      <c r="C1943" s="159">
        <v>71</v>
      </c>
      <c r="D1943" s="159">
        <v>97</v>
      </c>
      <c r="E1943" s="159">
        <v>50</v>
      </c>
      <c r="F1943" s="131"/>
      <c r="G1943" s="132"/>
      <c r="H1943" s="162" t="s">
        <v>18855</v>
      </c>
      <c r="I1943" s="158" t="s">
        <v>18856</v>
      </c>
      <c r="J1943" s="128"/>
      <c r="K1943" s="128"/>
      <c r="L1943" s="128"/>
      <c r="M1943" s="129"/>
      <c r="N1943" s="129"/>
      <c r="O1943" s="129"/>
    </row>
    <row r="1944" spans="1:15" ht="12.5">
      <c r="A1944" s="158" t="s">
        <v>18857</v>
      </c>
      <c r="B1944" s="159">
        <v>25</v>
      </c>
      <c r="C1944" s="159">
        <v>71</v>
      </c>
      <c r="D1944" s="159">
        <v>97</v>
      </c>
      <c r="E1944" s="159">
        <v>52</v>
      </c>
      <c r="F1944" s="131"/>
      <c r="G1944" s="132"/>
      <c r="H1944" s="162" t="s">
        <v>18858</v>
      </c>
      <c r="I1944" s="158" t="s">
        <v>18859</v>
      </c>
      <c r="J1944" s="128"/>
      <c r="K1944" s="128"/>
      <c r="L1944" s="128"/>
      <c r="M1944" s="129"/>
      <c r="N1944" s="129"/>
      <c r="O1944" s="129"/>
    </row>
    <row r="1945" spans="1:15" ht="12.5">
      <c r="A1945" s="158" t="s">
        <v>18860</v>
      </c>
      <c r="B1945" s="159">
        <v>25</v>
      </c>
      <c r="C1945" s="159">
        <v>71</v>
      </c>
      <c r="D1945" s="159">
        <v>97</v>
      </c>
      <c r="E1945" s="159">
        <v>53</v>
      </c>
      <c r="F1945" s="131"/>
      <c r="G1945" s="132"/>
      <c r="H1945" s="162" t="s">
        <v>18861</v>
      </c>
      <c r="I1945" s="158" t="s">
        <v>18862</v>
      </c>
      <c r="J1945" s="128"/>
      <c r="K1945" s="128"/>
      <c r="L1945" s="128"/>
      <c r="M1945" s="129"/>
      <c r="N1945" s="129"/>
      <c r="O1945" s="129"/>
    </row>
    <row r="1946" spans="1:15" ht="12.5">
      <c r="A1946" s="158" t="s">
        <v>18863</v>
      </c>
      <c r="B1946" s="159">
        <v>25</v>
      </c>
      <c r="C1946" s="159">
        <v>71</v>
      </c>
      <c r="D1946" s="159">
        <v>97</v>
      </c>
      <c r="E1946" s="159">
        <v>54</v>
      </c>
      <c r="F1946" s="131"/>
      <c r="G1946" s="132"/>
      <c r="H1946" s="162" t="s">
        <v>18864</v>
      </c>
      <c r="I1946" s="158" t="s">
        <v>18865</v>
      </c>
      <c r="J1946" s="128"/>
      <c r="K1946" s="128"/>
      <c r="L1946" s="128"/>
      <c r="M1946" s="129"/>
      <c r="N1946" s="129"/>
      <c r="O1946" s="129"/>
    </row>
    <row r="1947" spans="1:15" ht="12.5">
      <c r="A1947" s="158" t="s">
        <v>18866</v>
      </c>
      <c r="B1947" s="159">
        <v>25</v>
      </c>
      <c r="C1947" s="159">
        <v>71</v>
      </c>
      <c r="D1947" s="159">
        <v>97</v>
      </c>
      <c r="E1947" s="159">
        <v>55</v>
      </c>
      <c r="F1947" s="131"/>
      <c r="G1947" s="132"/>
      <c r="H1947" s="162" t="s">
        <v>18867</v>
      </c>
      <c r="I1947" s="158" t="s">
        <v>18868</v>
      </c>
      <c r="J1947" s="128"/>
      <c r="K1947" s="128"/>
      <c r="L1947" s="128"/>
      <c r="M1947" s="129"/>
      <c r="N1947" s="129"/>
      <c r="O1947" s="129"/>
    </row>
    <row r="1948" spans="1:15" ht="12.5">
      <c r="A1948" s="158" t="s">
        <v>18869</v>
      </c>
      <c r="B1948" s="159">
        <v>25</v>
      </c>
      <c r="C1948" s="159">
        <v>71</v>
      </c>
      <c r="D1948" s="159">
        <v>97</v>
      </c>
      <c r="E1948" s="159">
        <v>58</v>
      </c>
      <c r="F1948" s="131"/>
      <c r="G1948" s="132"/>
      <c r="H1948" s="162" t="s">
        <v>18870</v>
      </c>
      <c r="I1948" s="158" t="s">
        <v>18871</v>
      </c>
      <c r="J1948" s="128"/>
      <c r="K1948" s="128"/>
      <c r="L1948" s="128"/>
      <c r="M1948" s="129"/>
      <c r="N1948" s="129"/>
      <c r="O1948" s="129"/>
    </row>
    <row r="1949" spans="1:15" ht="12.5">
      <c r="A1949" s="158" t="s">
        <v>18872</v>
      </c>
      <c r="B1949" s="159">
        <v>25</v>
      </c>
      <c r="C1949" s="159">
        <v>71</v>
      </c>
      <c r="D1949" s="159">
        <v>97</v>
      </c>
      <c r="E1949" s="159">
        <v>60</v>
      </c>
      <c r="F1949" s="131"/>
      <c r="G1949" s="132"/>
      <c r="H1949" s="162" t="s">
        <v>18873</v>
      </c>
      <c r="I1949" s="158" t="s">
        <v>18874</v>
      </c>
      <c r="J1949" s="128"/>
      <c r="K1949" s="128"/>
      <c r="L1949" s="128"/>
      <c r="M1949" s="129"/>
      <c r="N1949" s="129"/>
      <c r="O1949" s="129"/>
    </row>
    <row r="1950" spans="1:15" ht="12.5">
      <c r="A1950" s="158" t="s">
        <v>18875</v>
      </c>
      <c r="B1950" s="159">
        <v>25</v>
      </c>
      <c r="C1950" s="159">
        <v>71</v>
      </c>
      <c r="D1950" s="159">
        <v>97</v>
      </c>
      <c r="E1950" s="159">
        <v>65</v>
      </c>
      <c r="F1950" s="131"/>
      <c r="G1950" s="132"/>
      <c r="H1950" s="162" t="s">
        <v>18876</v>
      </c>
      <c r="I1950" s="128"/>
      <c r="J1950" s="128"/>
      <c r="K1950" s="128"/>
      <c r="L1950" s="128"/>
      <c r="M1950" s="129"/>
      <c r="N1950" s="129"/>
      <c r="O1950" s="129"/>
    </row>
    <row r="1951" spans="1:15" ht="12.5">
      <c r="A1951" s="158" t="s">
        <v>18877</v>
      </c>
      <c r="B1951" s="159">
        <v>25</v>
      </c>
      <c r="C1951" s="159">
        <v>71</v>
      </c>
      <c r="D1951" s="159">
        <v>97</v>
      </c>
      <c r="E1951" s="159">
        <v>77</v>
      </c>
      <c r="F1951" s="131"/>
      <c r="G1951" s="132"/>
      <c r="H1951" s="162" t="s">
        <v>18878</v>
      </c>
      <c r="I1951" s="158" t="s">
        <v>18879</v>
      </c>
      <c r="J1951" s="128"/>
      <c r="K1951" s="128"/>
      <c r="L1951" s="128"/>
      <c r="M1951" s="129"/>
      <c r="N1951" s="129"/>
      <c r="O1951" s="129"/>
    </row>
    <row r="1952" spans="1:15" ht="12.5">
      <c r="A1952" s="158" t="s">
        <v>18880</v>
      </c>
      <c r="B1952" s="159">
        <v>25</v>
      </c>
      <c r="C1952" s="159">
        <v>71</v>
      </c>
      <c r="D1952" s="159">
        <v>97</v>
      </c>
      <c r="E1952" s="159">
        <v>78</v>
      </c>
      <c r="F1952" s="131"/>
      <c r="G1952" s="132"/>
      <c r="H1952" s="162" t="s">
        <v>18881</v>
      </c>
      <c r="I1952" s="158" t="s">
        <v>18882</v>
      </c>
      <c r="J1952" s="128"/>
      <c r="K1952" s="128"/>
      <c r="L1952" s="128"/>
      <c r="M1952" s="129"/>
      <c r="N1952" s="129"/>
      <c r="O1952" s="129"/>
    </row>
    <row r="1953" spans="1:15" ht="12.5">
      <c r="A1953" s="158" t="s">
        <v>18883</v>
      </c>
      <c r="B1953" s="159">
        <v>25</v>
      </c>
      <c r="C1953" s="159">
        <v>71</v>
      </c>
      <c r="D1953" s="159">
        <v>97</v>
      </c>
      <c r="E1953" s="159">
        <v>79</v>
      </c>
      <c r="F1953" s="131"/>
      <c r="G1953" s="132"/>
      <c r="H1953" s="162" t="s">
        <v>18884</v>
      </c>
      <c r="I1953" s="158" t="s">
        <v>18885</v>
      </c>
      <c r="J1953" s="128"/>
      <c r="K1953" s="128"/>
      <c r="L1953" s="128"/>
      <c r="M1953" s="129"/>
      <c r="N1953" s="129"/>
      <c r="O1953" s="129"/>
    </row>
    <row r="1954" spans="1:15" ht="12.5">
      <c r="A1954" s="158" t="s">
        <v>18886</v>
      </c>
      <c r="B1954" s="159">
        <v>25</v>
      </c>
      <c r="C1954" s="159">
        <v>71</v>
      </c>
      <c r="D1954" s="159">
        <v>97</v>
      </c>
      <c r="E1954" s="159">
        <v>83</v>
      </c>
      <c r="F1954" s="131"/>
      <c r="G1954" s="132"/>
      <c r="H1954" s="162" t="s">
        <v>18887</v>
      </c>
      <c r="I1954" s="158" t="s">
        <v>18845</v>
      </c>
      <c r="J1954" s="128"/>
      <c r="K1954" s="128"/>
      <c r="L1954" s="128"/>
      <c r="M1954" s="129"/>
      <c r="N1954" s="129"/>
      <c r="O1954" s="129"/>
    </row>
    <row r="1955" spans="1:15" ht="12.5">
      <c r="A1955" s="158" t="s">
        <v>18888</v>
      </c>
      <c r="B1955" s="159">
        <v>25</v>
      </c>
      <c r="C1955" s="159">
        <v>71</v>
      </c>
      <c r="D1955" s="159">
        <v>97</v>
      </c>
      <c r="E1955" s="159">
        <v>84</v>
      </c>
      <c r="F1955" s="131"/>
      <c r="G1955" s="132"/>
      <c r="H1955" s="162" t="s">
        <v>18889</v>
      </c>
      <c r="I1955" s="158" t="s">
        <v>18890</v>
      </c>
      <c r="J1955" s="128"/>
      <c r="K1955" s="128"/>
      <c r="L1955" s="128"/>
      <c r="M1955" s="129"/>
      <c r="N1955" s="129"/>
      <c r="O1955" s="129"/>
    </row>
    <row r="1956" spans="1:15" ht="12.5">
      <c r="A1956" s="158" t="s">
        <v>18891</v>
      </c>
      <c r="B1956" s="159">
        <v>25</v>
      </c>
      <c r="C1956" s="159">
        <v>71</v>
      </c>
      <c r="D1956" s="159">
        <v>97</v>
      </c>
      <c r="E1956" s="159">
        <v>85</v>
      </c>
      <c r="F1956" s="131"/>
      <c r="G1956" s="132"/>
      <c r="H1956" s="162" t="s">
        <v>18892</v>
      </c>
      <c r="I1956" s="158" t="s">
        <v>18893</v>
      </c>
      <c r="J1956" s="128"/>
      <c r="K1956" s="128"/>
      <c r="L1956" s="128"/>
      <c r="M1956" s="129"/>
      <c r="N1956" s="129"/>
      <c r="O1956" s="129"/>
    </row>
    <row r="1957" spans="1:15" ht="12.5">
      <c r="A1957" s="158" t="s">
        <v>18894</v>
      </c>
      <c r="B1957" s="159">
        <v>25</v>
      </c>
      <c r="C1957" s="159">
        <v>71</v>
      </c>
      <c r="D1957" s="159">
        <v>97</v>
      </c>
      <c r="E1957" s="159">
        <v>86</v>
      </c>
      <c r="F1957" s="131"/>
      <c r="G1957" s="132"/>
      <c r="H1957" s="162" t="s">
        <v>18895</v>
      </c>
      <c r="I1957" s="158" t="s">
        <v>18896</v>
      </c>
      <c r="J1957" s="128"/>
      <c r="K1957" s="128"/>
      <c r="L1957" s="128"/>
      <c r="M1957" s="129"/>
      <c r="N1957" s="129"/>
      <c r="O1957" s="129"/>
    </row>
    <row r="1958" spans="1:15" ht="12.5">
      <c r="A1958" s="158" t="s">
        <v>18897</v>
      </c>
      <c r="B1958" s="159">
        <v>25</v>
      </c>
      <c r="C1958" s="159">
        <v>71</v>
      </c>
      <c r="D1958" s="159">
        <v>97</v>
      </c>
      <c r="E1958" s="159">
        <v>87</v>
      </c>
      <c r="F1958" s="131"/>
      <c r="G1958" s="132"/>
      <c r="H1958" s="162" t="s">
        <v>18898</v>
      </c>
      <c r="I1958" s="158" t="s">
        <v>18899</v>
      </c>
      <c r="J1958" s="128"/>
      <c r="K1958" s="128"/>
      <c r="L1958" s="128"/>
      <c r="M1958" s="129"/>
      <c r="N1958" s="129"/>
      <c r="O1958" s="129"/>
    </row>
    <row r="1959" spans="1:15" ht="12.5">
      <c r="A1959" s="158" t="s">
        <v>18900</v>
      </c>
      <c r="B1959" s="159">
        <v>25</v>
      </c>
      <c r="C1959" s="159">
        <v>71</v>
      </c>
      <c r="D1959" s="159">
        <v>97</v>
      </c>
      <c r="E1959" s="159">
        <v>88</v>
      </c>
      <c r="F1959" s="131"/>
      <c r="G1959" s="132"/>
      <c r="H1959" s="162" t="s">
        <v>18901</v>
      </c>
      <c r="I1959" s="158" t="s">
        <v>18902</v>
      </c>
      <c r="J1959" s="128"/>
      <c r="K1959" s="128"/>
      <c r="L1959" s="128"/>
      <c r="M1959" s="129"/>
      <c r="N1959" s="129"/>
      <c r="O1959" s="129"/>
    </row>
    <row r="1960" spans="1:15" ht="12.5">
      <c r="A1960" s="158" t="s">
        <v>18903</v>
      </c>
      <c r="B1960" s="159">
        <v>25</v>
      </c>
      <c r="C1960" s="159">
        <v>71</v>
      </c>
      <c r="D1960" s="159">
        <v>97</v>
      </c>
      <c r="E1960" s="159">
        <v>89</v>
      </c>
      <c r="F1960" s="131"/>
      <c r="G1960" s="132"/>
      <c r="H1960" s="162" t="s">
        <v>18904</v>
      </c>
      <c r="I1960" s="158" t="s">
        <v>18905</v>
      </c>
      <c r="J1960" s="128"/>
      <c r="K1960" s="128"/>
      <c r="L1960" s="128"/>
      <c r="M1960" s="129"/>
      <c r="N1960" s="129"/>
      <c r="O1960" s="129"/>
    </row>
    <row r="1961" spans="1:15" ht="12.5">
      <c r="A1961" s="158" t="s">
        <v>18906</v>
      </c>
      <c r="B1961" s="159">
        <v>25</v>
      </c>
      <c r="C1961" s="159">
        <v>71</v>
      </c>
      <c r="D1961" s="159">
        <v>97</v>
      </c>
      <c r="E1961" s="159">
        <v>91</v>
      </c>
      <c r="F1961" s="131"/>
      <c r="G1961" s="132"/>
      <c r="H1961" s="162" t="s">
        <v>18907</v>
      </c>
      <c r="I1961" s="158" t="s">
        <v>18908</v>
      </c>
      <c r="J1961" s="128"/>
      <c r="K1961" s="128"/>
      <c r="L1961" s="128"/>
      <c r="M1961" s="129"/>
      <c r="N1961" s="129"/>
      <c r="O1961" s="129"/>
    </row>
    <row r="1962" spans="1:15" ht="12.5">
      <c r="A1962" s="158" t="s">
        <v>18909</v>
      </c>
      <c r="B1962" s="159">
        <v>25</v>
      </c>
      <c r="C1962" s="159">
        <v>71</v>
      </c>
      <c r="D1962" s="159">
        <v>97</v>
      </c>
      <c r="E1962" s="159">
        <v>92</v>
      </c>
      <c r="F1962" s="131"/>
      <c r="G1962" s="132"/>
      <c r="H1962" s="162" t="s">
        <v>18910</v>
      </c>
      <c r="I1962" s="128"/>
      <c r="J1962" s="128"/>
      <c r="K1962" s="128"/>
      <c r="L1962" s="128"/>
      <c r="M1962" s="129"/>
      <c r="N1962" s="129"/>
      <c r="O1962" s="129"/>
    </row>
    <row r="1963" spans="1:15" ht="12.5">
      <c r="A1963" s="158" t="s">
        <v>18911</v>
      </c>
      <c r="B1963" s="159">
        <v>25</v>
      </c>
      <c r="C1963" s="159">
        <v>71</v>
      </c>
      <c r="D1963" s="159">
        <v>97</v>
      </c>
      <c r="E1963" s="159">
        <v>93</v>
      </c>
      <c r="F1963" s="131"/>
      <c r="G1963" s="132"/>
      <c r="H1963" s="162" t="s">
        <v>18912</v>
      </c>
      <c r="I1963" s="158" t="s">
        <v>18913</v>
      </c>
      <c r="J1963" s="128"/>
      <c r="K1963" s="128"/>
      <c r="L1963" s="128"/>
      <c r="M1963" s="129"/>
      <c r="N1963" s="129"/>
      <c r="O1963" s="129"/>
    </row>
    <row r="1964" spans="1:15" ht="12.5">
      <c r="A1964" s="158" t="s">
        <v>18914</v>
      </c>
      <c r="B1964" s="159">
        <v>25</v>
      </c>
      <c r="C1964" s="159">
        <v>71</v>
      </c>
      <c r="D1964" s="159">
        <v>97</v>
      </c>
      <c r="E1964" s="159">
        <v>94</v>
      </c>
      <c r="F1964" s="131"/>
      <c r="G1964" s="132"/>
      <c r="H1964" s="162" t="s">
        <v>18915</v>
      </c>
      <c r="I1964" s="158" t="s">
        <v>18916</v>
      </c>
      <c r="J1964" s="128"/>
      <c r="K1964" s="128"/>
      <c r="L1964" s="128"/>
      <c r="M1964" s="129"/>
      <c r="N1964" s="129"/>
      <c r="O1964" s="129"/>
    </row>
    <row r="1965" spans="1:15" ht="12.5">
      <c r="A1965" s="158" t="s">
        <v>18917</v>
      </c>
      <c r="B1965" s="159">
        <v>25</v>
      </c>
      <c r="C1965" s="159">
        <v>71</v>
      </c>
      <c r="D1965" s="159">
        <v>97</v>
      </c>
      <c r="E1965" s="159">
        <v>95</v>
      </c>
      <c r="F1965" s="131"/>
      <c r="G1965" s="132"/>
      <c r="H1965" s="162" t="s">
        <v>18918</v>
      </c>
      <c r="I1965" s="158" t="s">
        <v>18919</v>
      </c>
      <c r="J1965" s="128"/>
      <c r="K1965" s="128"/>
      <c r="L1965" s="128"/>
      <c r="M1965" s="129"/>
      <c r="N1965" s="129"/>
      <c r="O1965" s="129"/>
    </row>
    <row r="1966" spans="1:15" ht="12.5">
      <c r="A1966" s="158" t="s">
        <v>18920</v>
      </c>
      <c r="B1966" s="159">
        <v>25</v>
      </c>
      <c r="C1966" s="159">
        <v>71</v>
      </c>
      <c r="D1966" s="159">
        <v>97</v>
      </c>
      <c r="E1966" s="159">
        <v>97</v>
      </c>
      <c r="F1966" s="131"/>
      <c r="G1966" s="132"/>
      <c r="H1966" s="162" t="s">
        <v>18921</v>
      </c>
      <c r="I1966" s="158" t="s">
        <v>18922</v>
      </c>
      <c r="J1966" s="128"/>
      <c r="K1966" s="128"/>
      <c r="L1966" s="128"/>
      <c r="M1966" s="129"/>
      <c r="N1966" s="129"/>
      <c r="O1966" s="129"/>
    </row>
    <row r="1967" spans="1:15" ht="12.5">
      <c r="A1967" s="158" t="s">
        <v>18923</v>
      </c>
      <c r="B1967" s="159">
        <v>25</v>
      </c>
      <c r="C1967" s="159">
        <v>71</v>
      </c>
      <c r="D1967" s="159">
        <v>97</v>
      </c>
      <c r="E1967" s="159">
        <v>98</v>
      </c>
      <c r="F1967" s="131"/>
      <c r="G1967" s="132"/>
      <c r="H1967" s="162" t="s">
        <v>18924</v>
      </c>
      <c r="I1967" s="158" t="s">
        <v>18925</v>
      </c>
      <c r="J1967" s="128"/>
      <c r="K1967" s="128"/>
      <c r="L1967" s="128"/>
      <c r="M1967" s="129"/>
      <c r="N1967" s="129"/>
      <c r="O1967" s="129"/>
    </row>
    <row r="1968" spans="1:15" ht="12.5">
      <c r="A1968" s="144" t="s">
        <v>18926</v>
      </c>
      <c r="B1968" s="145">
        <v>25</v>
      </c>
      <c r="C1968" s="145">
        <v>80</v>
      </c>
      <c r="D1968" s="146"/>
      <c r="E1968" s="146"/>
      <c r="F1968" s="147" t="s">
        <v>33369</v>
      </c>
      <c r="G1968" s="190"/>
      <c r="H1968" s="149" t="s">
        <v>18927</v>
      </c>
      <c r="I1968" s="150"/>
      <c r="J1968" s="150"/>
      <c r="K1968" s="150"/>
      <c r="L1968" s="150"/>
      <c r="M1968" s="191"/>
      <c r="N1968" s="191"/>
      <c r="O1968" s="191"/>
    </row>
    <row r="1969" spans="1:15" ht="12.5">
      <c r="A1969" s="158" t="s">
        <v>18928</v>
      </c>
      <c r="B1969" s="159">
        <v>25</v>
      </c>
      <c r="C1969" s="159">
        <v>80</v>
      </c>
      <c r="D1969" s="159">
        <v>79</v>
      </c>
      <c r="E1969" s="130"/>
      <c r="F1969" s="131"/>
      <c r="G1969" s="132"/>
      <c r="H1969" s="162" t="s">
        <v>18929</v>
      </c>
      <c r="I1969" s="128"/>
      <c r="J1969" s="128"/>
      <c r="K1969" s="128"/>
      <c r="L1969" s="128"/>
      <c r="M1969" s="129"/>
      <c r="N1969" s="129"/>
      <c r="O1969" s="129"/>
    </row>
    <row r="1970" spans="1:15" ht="12.5">
      <c r="A1970" s="158" t="s">
        <v>18930</v>
      </c>
      <c r="B1970" s="159">
        <v>25</v>
      </c>
      <c r="C1970" s="159">
        <v>80</v>
      </c>
      <c r="D1970" s="159">
        <v>79</v>
      </c>
      <c r="E1970" s="159">
        <v>1</v>
      </c>
      <c r="F1970" s="131"/>
      <c r="G1970" s="132"/>
      <c r="H1970" s="162" t="s">
        <v>18931</v>
      </c>
      <c r="I1970" s="158" t="s">
        <v>18932</v>
      </c>
      <c r="J1970" s="128"/>
      <c r="K1970" s="128"/>
      <c r="L1970" s="128"/>
      <c r="M1970" s="129"/>
      <c r="N1970" s="129"/>
      <c r="O1970" s="129"/>
    </row>
    <row r="1971" spans="1:15" ht="12.5">
      <c r="A1971" s="158" t="s">
        <v>18937</v>
      </c>
      <c r="B1971" s="159">
        <v>25</v>
      </c>
      <c r="C1971" s="159">
        <v>80</v>
      </c>
      <c r="D1971" s="159">
        <v>79</v>
      </c>
      <c r="E1971" s="159">
        <v>37</v>
      </c>
      <c r="F1971" s="131"/>
      <c r="G1971" s="132"/>
      <c r="H1971" s="162" t="s">
        <v>18938</v>
      </c>
      <c r="I1971" s="158" t="s">
        <v>18939</v>
      </c>
      <c r="J1971" s="128"/>
      <c r="K1971" s="128"/>
      <c r="L1971" s="128"/>
      <c r="M1971" s="129"/>
      <c r="N1971" s="129"/>
      <c r="O1971" s="129"/>
    </row>
    <row r="1972" spans="1:15" ht="12.5">
      <c r="A1972" s="158" t="s">
        <v>18944</v>
      </c>
      <c r="B1972" s="159">
        <v>25</v>
      </c>
      <c r="C1972" s="159">
        <v>80</v>
      </c>
      <c r="D1972" s="159">
        <v>79</v>
      </c>
      <c r="E1972" s="159">
        <v>86</v>
      </c>
      <c r="F1972" s="131"/>
      <c r="G1972" s="132"/>
      <c r="H1972" s="162" t="s">
        <v>18945</v>
      </c>
      <c r="I1972" s="158" t="s">
        <v>18946</v>
      </c>
      <c r="J1972" s="128"/>
      <c r="K1972" s="128"/>
      <c r="L1972" s="128"/>
      <c r="M1972" s="129"/>
      <c r="N1972" s="129"/>
      <c r="O1972" s="129"/>
    </row>
    <row r="1973" spans="1:15" ht="12.5">
      <c r="A1973" s="158" t="s">
        <v>18953</v>
      </c>
      <c r="B1973" s="159">
        <v>25</v>
      </c>
      <c r="C1973" s="159">
        <v>80</v>
      </c>
      <c r="D1973" s="159">
        <v>80</v>
      </c>
      <c r="E1973" s="130"/>
      <c r="F1973" s="131"/>
      <c r="G1973" s="132"/>
      <c r="H1973" s="162" t="s">
        <v>18954</v>
      </c>
      <c r="I1973" s="128"/>
      <c r="J1973" s="128"/>
      <c r="K1973" s="128"/>
      <c r="L1973" s="128"/>
      <c r="M1973" s="129"/>
      <c r="N1973" s="129"/>
      <c r="O1973" s="129"/>
    </row>
    <row r="1974" spans="1:15" ht="12.5">
      <c r="A1974" s="158" t="s">
        <v>18955</v>
      </c>
      <c r="B1974" s="159">
        <v>25</v>
      </c>
      <c r="C1974" s="159">
        <v>80</v>
      </c>
      <c r="D1974" s="159">
        <v>80</v>
      </c>
      <c r="E1974" s="159">
        <v>14</v>
      </c>
      <c r="F1974" s="131"/>
      <c r="G1974" s="132"/>
      <c r="H1974" s="162" t="s">
        <v>18956</v>
      </c>
      <c r="I1974" s="158" t="s">
        <v>18957</v>
      </c>
      <c r="J1974" s="128"/>
      <c r="K1974" s="128"/>
      <c r="L1974" s="128"/>
      <c r="M1974" s="129"/>
      <c r="N1974" s="129"/>
      <c r="O1974" s="129"/>
    </row>
    <row r="1975" spans="1:15" ht="12.5">
      <c r="A1975" s="158" t="s">
        <v>18958</v>
      </c>
      <c r="B1975" s="159">
        <v>25</v>
      </c>
      <c r="C1975" s="159">
        <v>80</v>
      </c>
      <c r="D1975" s="159">
        <v>80</v>
      </c>
      <c r="E1975" s="159">
        <v>30</v>
      </c>
      <c r="F1975" s="131"/>
      <c r="G1975" s="132"/>
      <c r="H1975" s="162" t="s">
        <v>18959</v>
      </c>
      <c r="I1975" s="158" t="s">
        <v>18960</v>
      </c>
      <c r="J1975" s="128"/>
      <c r="K1975" s="128"/>
      <c r="L1975" s="128"/>
      <c r="M1975" s="129"/>
      <c r="N1975" s="129"/>
      <c r="O1975" s="129"/>
    </row>
    <row r="1976" spans="1:15" ht="12.5">
      <c r="A1976" s="158" t="s">
        <v>18961</v>
      </c>
      <c r="B1976" s="159">
        <v>25</v>
      </c>
      <c r="C1976" s="159">
        <v>80</v>
      </c>
      <c r="D1976" s="159">
        <v>80</v>
      </c>
      <c r="E1976" s="159">
        <v>42</v>
      </c>
      <c r="F1976" s="131"/>
      <c r="G1976" s="132"/>
      <c r="H1976" s="162" t="s">
        <v>18962</v>
      </c>
      <c r="I1976" s="158" t="s">
        <v>18963</v>
      </c>
      <c r="J1976" s="128"/>
      <c r="K1976" s="128"/>
      <c r="L1976" s="128"/>
      <c r="M1976" s="129"/>
      <c r="N1976" s="129"/>
      <c r="O1976" s="129"/>
    </row>
    <row r="1977" spans="1:15" ht="12.5">
      <c r="A1977" s="158" t="s">
        <v>18964</v>
      </c>
      <c r="B1977" s="159">
        <v>25</v>
      </c>
      <c r="C1977" s="159">
        <v>80</v>
      </c>
      <c r="D1977" s="159">
        <v>80</v>
      </c>
      <c r="E1977" s="159">
        <v>43</v>
      </c>
      <c r="F1977" s="131"/>
      <c r="G1977" s="132"/>
      <c r="H1977" s="162" t="s">
        <v>18965</v>
      </c>
      <c r="I1977" s="158" t="s">
        <v>18966</v>
      </c>
      <c r="J1977" s="128"/>
      <c r="K1977" s="128"/>
      <c r="L1977" s="128"/>
      <c r="M1977" s="129"/>
      <c r="N1977" s="129"/>
      <c r="O1977" s="129"/>
    </row>
    <row r="1978" spans="1:15" ht="12.5">
      <c r="A1978" s="158" t="s">
        <v>18970</v>
      </c>
      <c r="B1978" s="159">
        <v>25</v>
      </c>
      <c r="C1978" s="159">
        <v>80</v>
      </c>
      <c r="D1978" s="159">
        <v>80</v>
      </c>
      <c r="E1978" s="159">
        <v>51</v>
      </c>
      <c r="F1978" s="131"/>
      <c r="G1978" s="132"/>
      <c r="H1978" s="162" t="s">
        <v>18971</v>
      </c>
      <c r="I1978" s="158" t="s">
        <v>18972</v>
      </c>
      <c r="J1978" s="128"/>
      <c r="K1978" s="128"/>
      <c r="L1978" s="128"/>
      <c r="M1978" s="129"/>
      <c r="N1978" s="129"/>
      <c r="O1978" s="129"/>
    </row>
    <row r="1979" spans="1:15" ht="12.5">
      <c r="A1979" s="158" t="s">
        <v>18973</v>
      </c>
      <c r="B1979" s="159">
        <v>25</v>
      </c>
      <c r="C1979" s="159">
        <v>80</v>
      </c>
      <c r="D1979" s="159">
        <v>80</v>
      </c>
      <c r="E1979" s="159">
        <v>79</v>
      </c>
      <c r="F1979" s="131"/>
      <c r="G1979" s="132"/>
      <c r="H1979" s="162" t="s">
        <v>18974</v>
      </c>
      <c r="I1979" s="158" t="s">
        <v>18975</v>
      </c>
      <c r="J1979" s="128"/>
      <c r="K1979" s="128"/>
      <c r="L1979" s="128"/>
      <c r="M1979" s="129"/>
      <c r="N1979" s="129"/>
      <c r="O1979" s="129"/>
    </row>
    <row r="1980" spans="1:15" ht="12.5">
      <c r="A1980" s="158" t="s">
        <v>18976</v>
      </c>
      <c r="B1980" s="159">
        <v>25</v>
      </c>
      <c r="C1980" s="159">
        <v>80</v>
      </c>
      <c r="D1980" s="159">
        <v>80</v>
      </c>
      <c r="E1980" s="159">
        <v>82</v>
      </c>
      <c r="F1980" s="131"/>
      <c r="G1980" s="132"/>
      <c r="H1980" s="162" t="s">
        <v>18977</v>
      </c>
      <c r="I1980" s="158" t="s">
        <v>18978</v>
      </c>
      <c r="J1980" s="128"/>
      <c r="K1980" s="128"/>
      <c r="L1980" s="128"/>
      <c r="M1980" s="129"/>
      <c r="N1980" s="129"/>
      <c r="O1980" s="129"/>
    </row>
    <row r="1981" spans="1:15" ht="12.5">
      <c r="A1981" s="158" t="s">
        <v>18979</v>
      </c>
      <c r="B1981" s="159">
        <v>25</v>
      </c>
      <c r="C1981" s="159">
        <v>80</v>
      </c>
      <c r="D1981" s="159">
        <v>80</v>
      </c>
      <c r="E1981" s="159">
        <v>96</v>
      </c>
      <c r="F1981" s="131"/>
      <c r="G1981" s="132"/>
      <c r="H1981" s="162" t="s">
        <v>18980</v>
      </c>
      <c r="I1981" s="158" t="s">
        <v>18981</v>
      </c>
      <c r="J1981" s="128"/>
      <c r="K1981" s="128"/>
      <c r="L1981" s="128"/>
      <c r="M1981" s="129"/>
      <c r="N1981" s="129"/>
      <c r="O1981" s="129"/>
    </row>
    <row r="1982" spans="1:15" ht="12.5">
      <c r="A1982" s="158" t="s">
        <v>18982</v>
      </c>
      <c r="B1982" s="159">
        <v>25</v>
      </c>
      <c r="C1982" s="159">
        <v>80</v>
      </c>
      <c r="D1982" s="159">
        <v>81</v>
      </c>
      <c r="E1982" s="130"/>
      <c r="F1982" s="131"/>
      <c r="G1982" s="132"/>
      <c r="H1982" s="162" t="s">
        <v>18983</v>
      </c>
      <c r="I1982" s="128"/>
      <c r="J1982" s="128"/>
      <c r="K1982" s="128"/>
      <c r="L1982" s="128"/>
      <c r="M1982" s="129"/>
      <c r="N1982" s="129"/>
      <c r="O1982" s="129"/>
    </row>
    <row r="1983" spans="1:15" ht="12.5">
      <c r="A1983" s="158" t="s">
        <v>18984</v>
      </c>
      <c r="B1983" s="159">
        <v>25</v>
      </c>
      <c r="C1983" s="159">
        <v>80</v>
      </c>
      <c r="D1983" s="159">
        <v>81</v>
      </c>
      <c r="E1983" s="159">
        <v>12</v>
      </c>
      <c r="F1983" s="131"/>
      <c r="G1983" s="132"/>
      <c r="H1983" s="162" t="s">
        <v>18985</v>
      </c>
      <c r="I1983" s="158" t="s">
        <v>18986</v>
      </c>
      <c r="J1983" s="128"/>
      <c r="K1983" s="128"/>
      <c r="L1983" s="128"/>
      <c r="M1983" s="129"/>
      <c r="N1983" s="129"/>
      <c r="O1983" s="129"/>
    </row>
    <row r="1984" spans="1:15" ht="12.5">
      <c r="A1984" s="158" t="s">
        <v>18987</v>
      </c>
      <c r="B1984" s="159">
        <v>25</v>
      </c>
      <c r="C1984" s="159">
        <v>80</v>
      </c>
      <c r="D1984" s="159">
        <v>81</v>
      </c>
      <c r="E1984" s="159">
        <v>29</v>
      </c>
      <c r="F1984" s="131"/>
      <c r="G1984" s="132"/>
      <c r="H1984" s="162" t="s">
        <v>18988</v>
      </c>
      <c r="I1984" s="158" t="s">
        <v>18989</v>
      </c>
      <c r="J1984" s="128"/>
      <c r="K1984" s="128"/>
      <c r="L1984" s="128"/>
      <c r="M1984" s="129"/>
      <c r="N1984" s="129"/>
      <c r="O1984" s="129"/>
    </row>
    <row r="1985" spans="1:15" ht="12.5">
      <c r="A1985" s="158" t="s">
        <v>18990</v>
      </c>
      <c r="B1985" s="159">
        <v>25</v>
      </c>
      <c r="C1985" s="159">
        <v>80</v>
      </c>
      <c r="D1985" s="159">
        <v>81</v>
      </c>
      <c r="E1985" s="159">
        <v>34</v>
      </c>
      <c r="F1985" s="131"/>
      <c r="G1985" s="132"/>
      <c r="H1985" s="162" t="s">
        <v>18991</v>
      </c>
      <c r="I1985" s="158" t="s">
        <v>33370</v>
      </c>
      <c r="J1985" s="128"/>
      <c r="K1985" s="128"/>
      <c r="L1985" s="128"/>
      <c r="M1985" s="129"/>
      <c r="N1985" s="129"/>
      <c r="O1985" s="129"/>
    </row>
    <row r="1986" spans="1:15" ht="12.5">
      <c r="A1986" s="158" t="s">
        <v>18992</v>
      </c>
      <c r="B1986" s="159">
        <v>25</v>
      </c>
      <c r="C1986" s="159">
        <v>80</v>
      </c>
      <c r="D1986" s="159">
        <v>81</v>
      </c>
      <c r="E1986" s="159">
        <v>42</v>
      </c>
      <c r="F1986" s="131"/>
      <c r="G1986" s="132"/>
      <c r="H1986" s="162" t="s">
        <v>18993</v>
      </c>
      <c r="I1986" s="158" t="s">
        <v>18994</v>
      </c>
      <c r="J1986" s="128"/>
      <c r="K1986" s="128"/>
      <c r="L1986" s="128"/>
      <c r="M1986" s="129"/>
      <c r="N1986" s="129"/>
      <c r="O1986" s="129"/>
    </row>
    <row r="1987" spans="1:15" ht="12.5">
      <c r="A1987" s="158" t="s">
        <v>18995</v>
      </c>
      <c r="B1987" s="159">
        <v>25</v>
      </c>
      <c r="C1987" s="159">
        <v>80</v>
      </c>
      <c r="D1987" s="159">
        <v>81</v>
      </c>
      <c r="E1987" s="159">
        <v>43</v>
      </c>
      <c r="F1987" s="131"/>
      <c r="G1987" s="132"/>
      <c r="H1987" s="162" t="s">
        <v>18996</v>
      </c>
      <c r="I1987" s="158" t="s">
        <v>18997</v>
      </c>
      <c r="J1987" s="128"/>
      <c r="K1987" s="128"/>
      <c r="L1987" s="128"/>
      <c r="M1987" s="129"/>
      <c r="N1987" s="129"/>
      <c r="O1987" s="129"/>
    </row>
    <row r="1988" spans="1:15" ht="12.5">
      <c r="A1988" s="158" t="s">
        <v>18998</v>
      </c>
      <c r="B1988" s="159">
        <v>25</v>
      </c>
      <c r="C1988" s="159">
        <v>80</v>
      </c>
      <c r="D1988" s="159">
        <v>81</v>
      </c>
      <c r="E1988" s="159">
        <v>44</v>
      </c>
      <c r="F1988" s="131"/>
      <c r="G1988" s="132"/>
      <c r="H1988" s="162" t="s">
        <v>18999</v>
      </c>
      <c r="I1988" s="158" t="s">
        <v>19000</v>
      </c>
      <c r="J1988" s="128"/>
      <c r="K1988" s="128"/>
      <c r="L1988" s="128"/>
      <c r="M1988" s="129"/>
      <c r="N1988" s="129"/>
      <c r="O1988" s="129"/>
    </row>
    <row r="1989" spans="1:15" ht="12.5">
      <c r="A1989" s="158" t="s">
        <v>19001</v>
      </c>
      <c r="B1989" s="159">
        <v>25</v>
      </c>
      <c r="C1989" s="159">
        <v>80</v>
      </c>
      <c r="D1989" s="159">
        <v>81</v>
      </c>
      <c r="E1989" s="159">
        <v>51</v>
      </c>
      <c r="F1989" s="131"/>
      <c r="G1989" s="132"/>
      <c r="H1989" s="162" t="s">
        <v>19002</v>
      </c>
      <c r="I1989" s="158" t="s">
        <v>19003</v>
      </c>
      <c r="J1989" s="128"/>
      <c r="K1989" s="128"/>
      <c r="L1989" s="128"/>
      <c r="M1989" s="129"/>
      <c r="N1989" s="129"/>
      <c r="O1989" s="129"/>
    </row>
    <row r="1990" spans="1:15" ht="12.5">
      <c r="A1990" s="144" t="s">
        <v>19004</v>
      </c>
      <c r="B1990" s="145">
        <v>25</v>
      </c>
      <c r="C1990" s="145">
        <v>93</v>
      </c>
      <c r="D1990" s="146"/>
      <c r="E1990" s="146"/>
      <c r="F1990" s="147" t="s">
        <v>33371</v>
      </c>
      <c r="G1990" s="148"/>
      <c r="H1990" s="149" t="s">
        <v>19005</v>
      </c>
      <c r="I1990" s="150"/>
      <c r="J1990" s="150"/>
      <c r="K1990" s="150"/>
      <c r="L1990" s="150"/>
      <c r="M1990" s="191"/>
      <c r="N1990" s="191"/>
      <c r="O1990" s="191"/>
    </row>
    <row r="1991" spans="1:15" ht="12.5">
      <c r="A1991" s="158" t="s">
        <v>19033</v>
      </c>
      <c r="B1991" s="159">
        <v>25</v>
      </c>
      <c r="C1991" s="159">
        <v>93</v>
      </c>
      <c r="D1991" s="159">
        <v>47</v>
      </c>
      <c r="E1991" s="130"/>
      <c r="F1991" s="193" t="s">
        <v>32838</v>
      </c>
      <c r="G1991" s="194"/>
      <c r="H1991" s="162" t="s">
        <v>19034</v>
      </c>
      <c r="I1991" s="128"/>
      <c r="J1991" s="128"/>
      <c r="K1991" s="128"/>
      <c r="L1991" s="128"/>
      <c r="M1991" s="129"/>
      <c r="N1991" s="129"/>
      <c r="O1991" s="129"/>
    </row>
    <row r="1992" spans="1:15" ht="12.5">
      <c r="A1992" s="158" t="s">
        <v>19035</v>
      </c>
      <c r="B1992" s="159">
        <v>25</v>
      </c>
      <c r="C1992" s="159">
        <v>93</v>
      </c>
      <c r="D1992" s="159">
        <v>47</v>
      </c>
      <c r="E1992" s="159">
        <v>27</v>
      </c>
      <c r="F1992" s="131"/>
      <c r="G1992" s="132"/>
      <c r="H1992" s="162" t="s">
        <v>19036</v>
      </c>
      <c r="I1992" s="158" t="s">
        <v>19037</v>
      </c>
      <c r="J1992" s="128"/>
      <c r="K1992" s="128"/>
      <c r="L1992" s="128"/>
      <c r="M1992" s="129"/>
      <c r="N1992" s="129"/>
      <c r="O1992" s="129"/>
    </row>
    <row r="1993" spans="1:15" ht="12.5">
      <c r="A1993" s="158" t="s">
        <v>19038</v>
      </c>
      <c r="B1993" s="159">
        <v>25</v>
      </c>
      <c r="C1993" s="159">
        <v>93</v>
      </c>
      <c r="D1993" s="159">
        <v>47</v>
      </c>
      <c r="E1993" s="159">
        <v>52</v>
      </c>
      <c r="F1993" s="131"/>
      <c r="G1993" s="132"/>
      <c r="H1993" s="162" t="s">
        <v>19039</v>
      </c>
      <c r="I1993" s="158" t="s">
        <v>19040</v>
      </c>
      <c r="J1993" s="128"/>
      <c r="K1993" s="128"/>
      <c r="L1993" s="128"/>
      <c r="M1993" s="129"/>
      <c r="N1993" s="129"/>
      <c r="O1993" s="129"/>
    </row>
    <row r="1994" spans="1:15" ht="12.5">
      <c r="A1994" s="151" t="s">
        <v>19041</v>
      </c>
      <c r="B1994" s="152">
        <v>25</v>
      </c>
      <c r="C1994" s="152">
        <v>93</v>
      </c>
      <c r="D1994" s="152">
        <v>50</v>
      </c>
      <c r="E1994" s="153"/>
      <c r="F1994" s="154" t="s">
        <v>33372</v>
      </c>
      <c r="G1994" s="155"/>
      <c r="H1994" s="156" t="s">
        <v>19042</v>
      </c>
      <c r="I1994" s="157"/>
      <c r="J1994" s="157"/>
      <c r="K1994" s="157"/>
      <c r="L1994" s="157"/>
      <c r="M1994" s="186"/>
      <c r="N1994" s="186"/>
      <c r="O1994" s="186"/>
    </row>
    <row r="1995" spans="1:15" ht="12.5">
      <c r="A1995" s="158" t="s">
        <v>19043</v>
      </c>
      <c r="B1995" s="159">
        <v>25</v>
      </c>
      <c r="C1995" s="159">
        <v>93</v>
      </c>
      <c r="D1995" s="159">
        <v>50</v>
      </c>
      <c r="E1995" s="159">
        <v>10</v>
      </c>
      <c r="F1995" s="131"/>
      <c r="G1995" s="132"/>
      <c r="H1995" s="162" t="s">
        <v>19044</v>
      </c>
      <c r="I1995" s="128"/>
      <c r="J1995" s="128"/>
      <c r="K1995" s="128"/>
      <c r="L1995" s="128"/>
      <c r="M1995" s="129"/>
      <c r="N1995" s="129"/>
      <c r="O1995" s="129"/>
    </row>
    <row r="1996" spans="1:15" ht="12.5">
      <c r="A1996" s="158" t="s">
        <v>19045</v>
      </c>
      <c r="B1996" s="159">
        <v>25</v>
      </c>
      <c r="C1996" s="159">
        <v>93</v>
      </c>
      <c r="D1996" s="159">
        <v>50</v>
      </c>
      <c r="E1996" s="159">
        <v>11</v>
      </c>
      <c r="F1996" s="131"/>
      <c r="G1996" s="132"/>
      <c r="H1996" s="162" t="s">
        <v>19046</v>
      </c>
      <c r="I1996" s="128"/>
      <c r="J1996" s="128"/>
      <c r="K1996" s="128"/>
      <c r="L1996" s="128"/>
      <c r="M1996" s="129"/>
      <c r="N1996" s="129"/>
      <c r="O1996" s="129"/>
    </row>
    <row r="1997" spans="1:15" ht="12.5">
      <c r="A1997" s="158" t="s">
        <v>19047</v>
      </c>
      <c r="B1997" s="159">
        <v>25</v>
      </c>
      <c r="C1997" s="159">
        <v>93</v>
      </c>
      <c r="D1997" s="159">
        <v>50</v>
      </c>
      <c r="E1997" s="159">
        <v>13</v>
      </c>
      <c r="F1997" s="131"/>
      <c r="G1997" s="132"/>
      <c r="H1997" s="162" t="s">
        <v>19048</v>
      </c>
      <c r="I1997" s="158" t="s">
        <v>19049</v>
      </c>
      <c r="J1997" s="128"/>
      <c r="K1997" s="128"/>
      <c r="L1997" s="128"/>
      <c r="M1997" s="129"/>
      <c r="N1997" s="129"/>
      <c r="O1997" s="129"/>
    </row>
    <row r="1998" spans="1:15" ht="12.5">
      <c r="A1998" s="158" t="s">
        <v>19050</v>
      </c>
      <c r="B1998" s="159">
        <v>25</v>
      </c>
      <c r="C1998" s="159">
        <v>93</v>
      </c>
      <c r="D1998" s="159">
        <v>50</v>
      </c>
      <c r="E1998" s="159">
        <v>14</v>
      </c>
      <c r="F1998" s="131"/>
      <c r="G1998" s="132"/>
      <c r="H1998" s="162" t="s">
        <v>19051</v>
      </c>
      <c r="I1998" s="158" t="s">
        <v>19052</v>
      </c>
      <c r="J1998" s="128"/>
      <c r="K1998" s="128"/>
      <c r="L1998" s="128"/>
      <c r="M1998" s="129"/>
      <c r="N1998" s="129"/>
      <c r="O1998" s="129"/>
    </row>
    <row r="1999" spans="1:15" ht="12.5">
      <c r="A1999" s="158" t="s">
        <v>19053</v>
      </c>
      <c r="B1999" s="159">
        <v>25</v>
      </c>
      <c r="C1999" s="159">
        <v>93</v>
      </c>
      <c r="D1999" s="159">
        <v>50</v>
      </c>
      <c r="E1999" s="159">
        <v>16</v>
      </c>
      <c r="F1999" s="160" t="s">
        <v>33373</v>
      </c>
      <c r="G1999" s="162" t="s">
        <v>33374</v>
      </c>
      <c r="H1999" s="162" t="s">
        <v>19054</v>
      </c>
      <c r="I1999" s="158" t="s">
        <v>33375</v>
      </c>
      <c r="J1999" s="128"/>
      <c r="K1999" s="128"/>
      <c r="L1999" s="128"/>
      <c r="M1999" s="129"/>
      <c r="N1999" s="129"/>
      <c r="O1999" s="129"/>
    </row>
    <row r="2000" spans="1:15" ht="12.5">
      <c r="A2000" s="158" t="s">
        <v>19056</v>
      </c>
      <c r="B2000" s="159">
        <v>25</v>
      </c>
      <c r="C2000" s="159">
        <v>93</v>
      </c>
      <c r="D2000" s="159">
        <v>50</v>
      </c>
      <c r="E2000" s="159">
        <v>17</v>
      </c>
      <c r="F2000" s="160" t="s">
        <v>33376</v>
      </c>
      <c r="G2000" s="162" t="s">
        <v>33374</v>
      </c>
      <c r="H2000" s="162" t="s">
        <v>19057</v>
      </c>
      <c r="I2000" s="158" t="s">
        <v>33377</v>
      </c>
      <c r="J2000" s="128"/>
      <c r="K2000" s="128"/>
      <c r="L2000" s="128"/>
      <c r="M2000" s="129"/>
      <c r="N2000" s="129"/>
      <c r="O2000" s="129"/>
    </row>
    <row r="2001" spans="1:15" ht="12.5">
      <c r="A2001" s="158" t="s">
        <v>19059</v>
      </c>
      <c r="B2001" s="159">
        <v>25</v>
      </c>
      <c r="C2001" s="159">
        <v>93</v>
      </c>
      <c r="D2001" s="159">
        <v>50</v>
      </c>
      <c r="E2001" s="159">
        <v>19</v>
      </c>
      <c r="F2001" s="131"/>
      <c r="G2001" s="132"/>
      <c r="H2001" s="162" t="s">
        <v>19060</v>
      </c>
      <c r="I2001" s="158" t="s">
        <v>19061</v>
      </c>
      <c r="J2001" s="128"/>
      <c r="K2001" s="128"/>
      <c r="L2001" s="128"/>
      <c r="M2001" s="129"/>
      <c r="N2001" s="129"/>
      <c r="O2001" s="129"/>
    </row>
    <row r="2002" spans="1:15" ht="12.5">
      <c r="A2002" s="158" t="s">
        <v>19062</v>
      </c>
      <c r="B2002" s="159">
        <v>25</v>
      </c>
      <c r="C2002" s="159">
        <v>93</v>
      </c>
      <c r="D2002" s="159">
        <v>50</v>
      </c>
      <c r="E2002" s="159">
        <v>20</v>
      </c>
      <c r="F2002" s="131"/>
      <c r="G2002" s="132"/>
      <c r="H2002" s="162" t="s">
        <v>19063</v>
      </c>
      <c r="I2002" s="158" t="s">
        <v>19064</v>
      </c>
      <c r="J2002" s="128"/>
      <c r="K2002" s="128"/>
      <c r="L2002" s="128"/>
      <c r="M2002" s="129"/>
      <c r="N2002" s="129"/>
      <c r="O2002" s="129"/>
    </row>
    <row r="2003" spans="1:15" ht="12.5">
      <c r="A2003" s="158" t="s">
        <v>19065</v>
      </c>
      <c r="B2003" s="159">
        <v>25</v>
      </c>
      <c r="C2003" s="159">
        <v>93</v>
      </c>
      <c r="D2003" s="159">
        <v>50</v>
      </c>
      <c r="E2003" s="159">
        <v>22</v>
      </c>
      <c r="F2003" s="131"/>
      <c r="G2003" s="132"/>
      <c r="H2003" s="162" t="s">
        <v>19066</v>
      </c>
      <c r="I2003" s="158" t="s">
        <v>19067</v>
      </c>
      <c r="J2003" s="128"/>
      <c r="K2003" s="128"/>
      <c r="L2003" s="128"/>
      <c r="M2003" s="129"/>
      <c r="N2003" s="129"/>
      <c r="O2003" s="129"/>
    </row>
    <row r="2004" spans="1:15" ht="12.5">
      <c r="A2004" s="158" t="s">
        <v>19068</v>
      </c>
      <c r="B2004" s="159">
        <v>25</v>
      </c>
      <c r="C2004" s="159">
        <v>93</v>
      </c>
      <c r="D2004" s="159">
        <v>50</v>
      </c>
      <c r="E2004" s="159">
        <v>23</v>
      </c>
      <c r="F2004" s="131"/>
      <c r="G2004" s="132"/>
      <c r="H2004" s="162" t="s">
        <v>19069</v>
      </c>
      <c r="I2004" s="158" t="s">
        <v>19070</v>
      </c>
      <c r="J2004" s="128"/>
      <c r="K2004" s="128"/>
      <c r="L2004" s="128"/>
      <c r="M2004" s="129"/>
      <c r="N2004" s="129"/>
      <c r="O2004" s="129"/>
    </row>
    <row r="2005" spans="1:15" ht="12.5">
      <c r="A2005" s="158" t="s">
        <v>19071</v>
      </c>
      <c r="B2005" s="159">
        <v>25</v>
      </c>
      <c r="C2005" s="159">
        <v>93</v>
      </c>
      <c r="D2005" s="159">
        <v>50</v>
      </c>
      <c r="E2005" s="159">
        <v>34</v>
      </c>
      <c r="F2005" s="131"/>
      <c r="G2005" s="132"/>
      <c r="H2005" s="162" t="s">
        <v>19072</v>
      </c>
      <c r="I2005" s="158" t="s">
        <v>19073</v>
      </c>
      <c r="J2005" s="128"/>
      <c r="K2005" s="128"/>
      <c r="L2005" s="128"/>
      <c r="M2005" s="129"/>
      <c r="N2005" s="129"/>
      <c r="O2005" s="129"/>
    </row>
    <row r="2006" spans="1:15" ht="12.5">
      <c r="A2006" s="158" t="s">
        <v>19074</v>
      </c>
      <c r="B2006" s="159">
        <v>25</v>
      </c>
      <c r="C2006" s="159">
        <v>93</v>
      </c>
      <c r="D2006" s="159">
        <v>50</v>
      </c>
      <c r="E2006" s="159">
        <v>55</v>
      </c>
      <c r="F2006" s="131"/>
      <c r="G2006" s="132"/>
      <c r="H2006" s="162" t="s">
        <v>19075</v>
      </c>
      <c r="I2006" s="158" t="s">
        <v>19076</v>
      </c>
      <c r="J2006" s="128"/>
      <c r="K2006" s="128"/>
      <c r="L2006" s="128"/>
      <c r="M2006" s="129"/>
      <c r="N2006" s="129"/>
      <c r="O2006" s="129"/>
    </row>
    <row r="2007" spans="1:15" ht="12.5">
      <c r="A2007" s="158" t="s">
        <v>19077</v>
      </c>
      <c r="B2007" s="159">
        <v>25</v>
      </c>
      <c r="C2007" s="159">
        <v>93</v>
      </c>
      <c r="D2007" s="159">
        <v>50</v>
      </c>
      <c r="E2007" s="159">
        <v>56</v>
      </c>
      <c r="F2007" s="131"/>
      <c r="G2007" s="132"/>
      <c r="H2007" s="162" t="s">
        <v>19078</v>
      </c>
      <c r="I2007" s="158" t="s">
        <v>19079</v>
      </c>
      <c r="J2007" s="128"/>
      <c r="K2007" s="128"/>
      <c r="L2007" s="128"/>
      <c r="M2007" s="129"/>
      <c r="N2007" s="129"/>
      <c r="O2007" s="129"/>
    </row>
    <row r="2008" spans="1:15" ht="12.5">
      <c r="A2008" s="158" t="s">
        <v>19080</v>
      </c>
      <c r="B2008" s="159">
        <v>25</v>
      </c>
      <c r="C2008" s="159">
        <v>93</v>
      </c>
      <c r="D2008" s="159">
        <v>50</v>
      </c>
      <c r="E2008" s="159">
        <v>76</v>
      </c>
      <c r="F2008" s="131"/>
      <c r="G2008" s="132"/>
      <c r="H2008" s="162" t="s">
        <v>19081</v>
      </c>
      <c r="I2008" s="158" t="s">
        <v>19082</v>
      </c>
      <c r="J2008" s="128"/>
      <c r="K2008" s="128"/>
      <c r="L2008" s="128"/>
      <c r="M2008" s="129"/>
      <c r="N2008" s="129"/>
      <c r="O2008" s="129"/>
    </row>
    <row r="2009" spans="1:15" ht="12.5">
      <c r="A2009" s="158" t="s">
        <v>19083</v>
      </c>
      <c r="B2009" s="159">
        <v>25</v>
      </c>
      <c r="C2009" s="159">
        <v>93</v>
      </c>
      <c r="D2009" s="159">
        <v>50</v>
      </c>
      <c r="E2009" s="159">
        <v>77</v>
      </c>
      <c r="F2009" s="131"/>
      <c r="G2009" s="132"/>
      <c r="H2009" s="162" t="s">
        <v>19084</v>
      </c>
      <c r="I2009" s="158" t="s">
        <v>19085</v>
      </c>
      <c r="J2009" s="128"/>
      <c r="K2009" s="128"/>
      <c r="L2009" s="128"/>
      <c r="M2009" s="129"/>
      <c r="N2009" s="129"/>
      <c r="O2009" s="129"/>
    </row>
    <row r="2010" spans="1:15" ht="12.5">
      <c r="A2010" s="158" t="s">
        <v>19086</v>
      </c>
      <c r="B2010" s="159">
        <v>25</v>
      </c>
      <c r="C2010" s="159">
        <v>93</v>
      </c>
      <c r="D2010" s="159">
        <v>51</v>
      </c>
      <c r="E2010" s="130"/>
      <c r="F2010" s="131"/>
      <c r="G2010" s="132"/>
      <c r="H2010" s="162" t="s">
        <v>19087</v>
      </c>
      <c r="I2010" s="128"/>
      <c r="J2010" s="128"/>
      <c r="K2010" s="128"/>
      <c r="L2010" s="128"/>
      <c r="M2010" s="129"/>
      <c r="N2010" s="129"/>
      <c r="O2010" s="129"/>
    </row>
    <row r="2011" spans="1:15" ht="12.5">
      <c r="A2011" s="158" t="s">
        <v>19088</v>
      </c>
      <c r="B2011" s="159">
        <v>25</v>
      </c>
      <c r="C2011" s="159">
        <v>93</v>
      </c>
      <c r="D2011" s="159">
        <v>51</v>
      </c>
      <c r="E2011" s="159">
        <v>35</v>
      </c>
      <c r="F2011" s="131"/>
      <c r="G2011" s="132"/>
      <c r="H2011" s="162" t="s">
        <v>19089</v>
      </c>
      <c r="I2011" s="158" t="s">
        <v>19090</v>
      </c>
      <c r="J2011" s="128"/>
      <c r="K2011" s="128"/>
      <c r="L2011" s="128"/>
      <c r="M2011" s="129"/>
      <c r="N2011" s="129"/>
      <c r="O2011" s="129"/>
    </row>
    <row r="2012" spans="1:15" ht="12.5">
      <c r="A2012" s="158" t="s">
        <v>19091</v>
      </c>
      <c r="B2012" s="159">
        <v>25</v>
      </c>
      <c r="C2012" s="159">
        <v>93</v>
      </c>
      <c r="D2012" s="159">
        <v>51</v>
      </c>
      <c r="E2012" s="159">
        <v>36</v>
      </c>
      <c r="F2012" s="131"/>
      <c r="G2012" s="132"/>
      <c r="H2012" s="162" t="s">
        <v>19092</v>
      </c>
      <c r="I2012" s="158" t="s">
        <v>19093</v>
      </c>
      <c r="J2012" s="128"/>
      <c r="K2012" s="128"/>
      <c r="L2012" s="128"/>
      <c r="M2012" s="129"/>
      <c r="N2012" s="129"/>
      <c r="O2012" s="129"/>
    </row>
    <row r="2013" spans="1:15" ht="12.5">
      <c r="A2013" s="158" t="s">
        <v>19094</v>
      </c>
      <c r="B2013" s="159">
        <v>25</v>
      </c>
      <c r="C2013" s="159">
        <v>93</v>
      </c>
      <c r="D2013" s="159">
        <v>51</v>
      </c>
      <c r="E2013" s="159">
        <v>37</v>
      </c>
      <c r="F2013" s="131"/>
      <c r="G2013" s="132"/>
      <c r="H2013" s="162" t="s">
        <v>19095</v>
      </c>
      <c r="I2013" s="158" t="s">
        <v>19096</v>
      </c>
      <c r="J2013" s="128"/>
      <c r="K2013" s="128"/>
      <c r="L2013" s="128"/>
      <c r="M2013" s="129"/>
      <c r="N2013" s="129"/>
      <c r="O2013" s="129"/>
    </row>
    <row r="2014" spans="1:15" ht="12.5">
      <c r="A2014" s="158" t="s">
        <v>19097</v>
      </c>
      <c r="B2014" s="159">
        <v>25</v>
      </c>
      <c r="C2014" s="159">
        <v>93</v>
      </c>
      <c r="D2014" s="159">
        <v>51</v>
      </c>
      <c r="E2014" s="159">
        <v>38</v>
      </c>
      <c r="F2014" s="131"/>
      <c r="G2014" s="132"/>
      <c r="H2014" s="162" t="s">
        <v>19098</v>
      </c>
      <c r="I2014" s="158" t="s">
        <v>19099</v>
      </c>
      <c r="J2014" s="128"/>
      <c r="K2014" s="128"/>
      <c r="L2014" s="128"/>
      <c r="M2014" s="129"/>
      <c r="N2014" s="129"/>
      <c r="O2014" s="129"/>
    </row>
    <row r="2015" spans="1:15" ht="12.5">
      <c r="A2015" s="158" t="s">
        <v>19100</v>
      </c>
      <c r="B2015" s="159">
        <v>25</v>
      </c>
      <c r="C2015" s="159">
        <v>93</v>
      </c>
      <c r="D2015" s="159">
        <v>51</v>
      </c>
      <c r="E2015" s="159">
        <v>39</v>
      </c>
      <c r="F2015" s="131"/>
      <c r="G2015" s="132"/>
      <c r="H2015" s="162" t="s">
        <v>19101</v>
      </c>
      <c r="I2015" s="128"/>
      <c r="J2015" s="128"/>
      <c r="K2015" s="128"/>
      <c r="L2015" s="128"/>
      <c r="M2015" s="129"/>
      <c r="N2015" s="129"/>
      <c r="O2015" s="129"/>
    </row>
    <row r="2016" spans="1:15" ht="12.5">
      <c r="A2016" s="158" t="s">
        <v>19102</v>
      </c>
      <c r="B2016" s="159">
        <v>25</v>
      </c>
      <c r="C2016" s="159">
        <v>93</v>
      </c>
      <c r="D2016" s="159">
        <v>51</v>
      </c>
      <c r="E2016" s="159">
        <v>40</v>
      </c>
      <c r="F2016" s="131"/>
      <c r="G2016" s="132"/>
      <c r="H2016" s="162" t="s">
        <v>19103</v>
      </c>
      <c r="I2016" s="158" t="s">
        <v>19104</v>
      </c>
      <c r="J2016" s="128"/>
      <c r="K2016" s="128"/>
      <c r="L2016" s="128"/>
      <c r="M2016" s="129"/>
      <c r="N2016" s="129"/>
      <c r="O2016" s="129"/>
    </row>
    <row r="2017" spans="1:15" ht="12.5">
      <c r="A2017" s="158" t="s">
        <v>19105</v>
      </c>
      <c r="B2017" s="159">
        <v>25</v>
      </c>
      <c r="C2017" s="159">
        <v>93</v>
      </c>
      <c r="D2017" s="159">
        <v>51</v>
      </c>
      <c r="E2017" s="159">
        <v>41</v>
      </c>
      <c r="F2017" s="131"/>
      <c r="G2017" s="132"/>
      <c r="H2017" s="162" t="s">
        <v>19106</v>
      </c>
      <c r="I2017" s="158" t="s">
        <v>19107</v>
      </c>
      <c r="J2017" s="128"/>
      <c r="K2017" s="128"/>
      <c r="L2017" s="128"/>
      <c r="M2017" s="129"/>
      <c r="N2017" s="129"/>
      <c r="O2017" s="129"/>
    </row>
    <row r="2018" spans="1:15" ht="12.5">
      <c r="A2018" s="158" t="s">
        <v>19108</v>
      </c>
      <c r="B2018" s="159">
        <v>25</v>
      </c>
      <c r="C2018" s="159">
        <v>93</v>
      </c>
      <c r="D2018" s="159">
        <v>51</v>
      </c>
      <c r="E2018" s="159">
        <v>42</v>
      </c>
      <c r="F2018" s="131"/>
      <c r="G2018" s="132"/>
      <c r="H2018" s="162" t="s">
        <v>19109</v>
      </c>
      <c r="I2018" s="158" t="s">
        <v>19110</v>
      </c>
      <c r="J2018" s="128"/>
      <c r="K2018" s="128"/>
      <c r="L2018" s="128"/>
      <c r="M2018" s="129"/>
      <c r="N2018" s="129"/>
      <c r="O2018" s="129"/>
    </row>
    <row r="2019" spans="1:15" ht="12.5">
      <c r="A2019" s="158" t="s">
        <v>19111</v>
      </c>
      <c r="B2019" s="159">
        <v>25</v>
      </c>
      <c r="C2019" s="159">
        <v>93</v>
      </c>
      <c r="D2019" s="159">
        <v>51</v>
      </c>
      <c r="E2019" s="159">
        <v>56</v>
      </c>
      <c r="F2019" s="131"/>
      <c r="G2019" s="132"/>
      <c r="H2019" s="162" t="s">
        <v>19112</v>
      </c>
      <c r="I2019" s="128"/>
      <c r="J2019" s="128"/>
      <c r="K2019" s="128"/>
      <c r="L2019" s="128"/>
      <c r="M2019" s="129"/>
      <c r="N2019" s="129"/>
      <c r="O2019" s="129"/>
    </row>
    <row r="2020" spans="1:15" ht="12.5">
      <c r="A2020" s="158" t="s">
        <v>19113</v>
      </c>
      <c r="B2020" s="159">
        <v>25</v>
      </c>
      <c r="C2020" s="159">
        <v>93</v>
      </c>
      <c r="D2020" s="159">
        <v>51</v>
      </c>
      <c r="E2020" s="159">
        <v>57</v>
      </c>
      <c r="F2020" s="131"/>
      <c r="G2020" s="132"/>
      <c r="H2020" s="162" t="s">
        <v>19114</v>
      </c>
      <c r="I2020" s="128"/>
      <c r="J2020" s="128"/>
      <c r="K2020" s="128"/>
      <c r="L2020" s="128"/>
      <c r="M2020" s="129"/>
      <c r="N2020" s="129"/>
      <c r="O2020" s="129"/>
    </row>
    <row r="2021" spans="1:15" ht="12.5">
      <c r="A2021" s="158" t="s">
        <v>19115</v>
      </c>
      <c r="B2021" s="159">
        <v>25</v>
      </c>
      <c r="C2021" s="159">
        <v>93</v>
      </c>
      <c r="D2021" s="159">
        <v>51</v>
      </c>
      <c r="E2021" s="159">
        <v>58</v>
      </c>
      <c r="F2021" s="131"/>
      <c r="G2021" s="132"/>
      <c r="H2021" s="162" t="s">
        <v>19116</v>
      </c>
      <c r="I2021" s="128"/>
      <c r="J2021" s="128"/>
      <c r="K2021" s="128"/>
      <c r="L2021" s="128"/>
      <c r="M2021" s="129"/>
      <c r="N2021" s="129"/>
      <c r="O2021" s="129"/>
    </row>
    <row r="2022" spans="1:15" ht="12.5">
      <c r="A2022" s="151" t="s">
        <v>19117</v>
      </c>
      <c r="B2022" s="152">
        <v>25</v>
      </c>
      <c r="C2022" s="152">
        <v>93</v>
      </c>
      <c r="D2022" s="152">
        <v>52</v>
      </c>
      <c r="E2022" s="153"/>
      <c r="F2022" s="154" t="s">
        <v>33378</v>
      </c>
      <c r="G2022" s="155"/>
      <c r="H2022" s="156" t="s">
        <v>19118</v>
      </c>
      <c r="I2022" s="157"/>
      <c r="J2022" s="157"/>
      <c r="K2022" s="157"/>
      <c r="L2022" s="157"/>
      <c r="M2022" s="186"/>
      <c r="N2022" s="186"/>
      <c r="O2022" s="186"/>
    </row>
    <row r="2023" spans="1:15" ht="12.5">
      <c r="A2023" s="158" t="s">
        <v>19119</v>
      </c>
      <c r="B2023" s="159">
        <v>25</v>
      </c>
      <c r="C2023" s="159">
        <v>93</v>
      </c>
      <c r="D2023" s="159">
        <v>52</v>
      </c>
      <c r="E2023" s="159">
        <v>11</v>
      </c>
      <c r="F2023" s="131"/>
      <c r="G2023" s="132"/>
      <c r="H2023" s="162" t="s">
        <v>19120</v>
      </c>
      <c r="I2023" s="128"/>
      <c r="J2023" s="128"/>
      <c r="K2023" s="128"/>
      <c r="L2023" s="128"/>
      <c r="M2023" s="129"/>
      <c r="N2023" s="129"/>
      <c r="O2023" s="129"/>
    </row>
    <row r="2024" spans="1:15" ht="12.5">
      <c r="A2024" s="158" t="s">
        <v>19121</v>
      </c>
      <c r="B2024" s="159">
        <v>25</v>
      </c>
      <c r="C2024" s="159">
        <v>93</v>
      </c>
      <c r="D2024" s="159">
        <v>52</v>
      </c>
      <c r="E2024" s="159">
        <v>12</v>
      </c>
      <c r="F2024" s="131"/>
      <c r="G2024" s="132"/>
      <c r="H2024" s="162" t="s">
        <v>19122</v>
      </c>
      <c r="I2024" s="158" t="s">
        <v>19123</v>
      </c>
      <c r="J2024" s="128"/>
      <c r="K2024" s="128"/>
      <c r="L2024" s="128"/>
      <c r="M2024" s="129"/>
      <c r="N2024" s="129"/>
      <c r="O2024" s="129"/>
    </row>
    <row r="2025" spans="1:15" ht="12.5">
      <c r="A2025" s="158" t="s">
        <v>19124</v>
      </c>
      <c r="B2025" s="159">
        <v>25</v>
      </c>
      <c r="C2025" s="159">
        <v>93</v>
      </c>
      <c r="D2025" s="159">
        <v>52</v>
      </c>
      <c r="E2025" s="159">
        <v>13</v>
      </c>
      <c r="F2025" s="160" t="s">
        <v>33379</v>
      </c>
      <c r="G2025" s="162" t="s">
        <v>33374</v>
      </c>
      <c r="H2025" s="162" t="s">
        <v>19125</v>
      </c>
      <c r="I2025" s="158" t="s">
        <v>33380</v>
      </c>
      <c r="J2025" s="128"/>
      <c r="K2025" s="128"/>
      <c r="L2025" s="128"/>
      <c r="M2025" s="129"/>
      <c r="N2025" s="129"/>
      <c r="O2025" s="129"/>
    </row>
    <row r="2026" spans="1:15" ht="12.5">
      <c r="A2026" s="158" t="s">
        <v>19127</v>
      </c>
      <c r="B2026" s="159">
        <v>25</v>
      </c>
      <c r="C2026" s="159">
        <v>93</v>
      </c>
      <c r="D2026" s="159">
        <v>52</v>
      </c>
      <c r="E2026" s="159">
        <v>14</v>
      </c>
      <c r="F2026" s="131"/>
      <c r="G2026" s="132"/>
      <c r="H2026" s="162" t="s">
        <v>19128</v>
      </c>
      <c r="I2026" s="158" t="s">
        <v>19129</v>
      </c>
      <c r="J2026" s="128"/>
      <c r="K2026" s="128"/>
      <c r="L2026" s="128"/>
      <c r="M2026" s="129"/>
      <c r="N2026" s="129"/>
      <c r="O2026" s="129"/>
    </row>
    <row r="2027" spans="1:15" ht="12.5">
      <c r="A2027" s="158" t="s">
        <v>19130</v>
      </c>
      <c r="B2027" s="159">
        <v>25</v>
      </c>
      <c r="C2027" s="159">
        <v>93</v>
      </c>
      <c r="D2027" s="159">
        <v>52</v>
      </c>
      <c r="E2027" s="159">
        <v>15</v>
      </c>
      <c r="F2027" s="131"/>
      <c r="G2027" s="132"/>
      <c r="H2027" s="162" t="s">
        <v>19131</v>
      </c>
      <c r="I2027" s="158" t="s">
        <v>19132</v>
      </c>
      <c r="J2027" s="128"/>
      <c r="K2027" s="128"/>
      <c r="L2027" s="128"/>
      <c r="M2027" s="129"/>
      <c r="N2027" s="129"/>
      <c r="O2027" s="129"/>
    </row>
    <row r="2028" spans="1:15" ht="12.5">
      <c r="A2028" s="158" t="s">
        <v>19133</v>
      </c>
      <c r="B2028" s="159">
        <v>25</v>
      </c>
      <c r="C2028" s="159">
        <v>93</v>
      </c>
      <c r="D2028" s="159">
        <v>52</v>
      </c>
      <c r="E2028" s="159">
        <v>28</v>
      </c>
      <c r="F2028" s="131"/>
      <c r="G2028" s="132"/>
      <c r="H2028" s="162" t="s">
        <v>19134</v>
      </c>
      <c r="I2028" s="158" t="s">
        <v>19135</v>
      </c>
      <c r="J2028" s="128"/>
      <c r="K2028" s="128"/>
      <c r="L2028" s="128"/>
      <c r="M2028" s="129"/>
      <c r="N2028" s="129"/>
      <c r="O2028" s="129"/>
    </row>
    <row r="2029" spans="1:15" ht="12.5">
      <c r="A2029" s="158" t="s">
        <v>19136</v>
      </c>
      <c r="B2029" s="159">
        <v>25</v>
      </c>
      <c r="C2029" s="159">
        <v>93</v>
      </c>
      <c r="D2029" s="159">
        <v>52</v>
      </c>
      <c r="E2029" s="159">
        <v>33</v>
      </c>
      <c r="F2029" s="131"/>
      <c r="G2029" s="132"/>
      <c r="H2029" s="162" t="s">
        <v>19137</v>
      </c>
      <c r="I2029" s="158" t="s">
        <v>19138</v>
      </c>
      <c r="J2029" s="128"/>
      <c r="K2029" s="128"/>
      <c r="L2029" s="128"/>
      <c r="M2029" s="129"/>
      <c r="N2029" s="129"/>
      <c r="O2029" s="129"/>
    </row>
    <row r="2030" spans="1:15" ht="12.5">
      <c r="A2030" s="158" t="s">
        <v>19139</v>
      </c>
      <c r="B2030" s="159">
        <v>25</v>
      </c>
      <c r="C2030" s="159">
        <v>93</v>
      </c>
      <c r="D2030" s="159">
        <v>52</v>
      </c>
      <c r="E2030" s="159">
        <v>34</v>
      </c>
      <c r="F2030" s="131"/>
      <c r="G2030" s="132"/>
      <c r="H2030" s="162" t="s">
        <v>19140</v>
      </c>
      <c r="I2030" s="158" t="s">
        <v>19141</v>
      </c>
      <c r="J2030" s="128"/>
      <c r="K2030" s="128"/>
      <c r="L2030" s="128"/>
      <c r="M2030" s="129"/>
      <c r="N2030" s="129"/>
      <c r="O2030" s="129"/>
    </row>
    <row r="2031" spans="1:15" ht="12.5">
      <c r="A2031" s="158" t="s">
        <v>19142</v>
      </c>
      <c r="B2031" s="159">
        <v>25</v>
      </c>
      <c r="C2031" s="159">
        <v>93</v>
      </c>
      <c r="D2031" s="159">
        <v>52</v>
      </c>
      <c r="E2031" s="159">
        <v>35</v>
      </c>
      <c r="F2031" s="131"/>
      <c r="G2031" s="132"/>
      <c r="H2031" s="162" t="s">
        <v>19143</v>
      </c>
      <c r="I2031" s="158" t="s">
        <v>19144</v>
      </c>
      <c r="J2031" s="128"/>
      <c r="K2031" s="128"/>
      <c r="L2031" s="128"/>
      <c r="M2031" s="129"/>
      <c r="N2031" s="129"/>
      <c r="O2031" s="129"/>
    </row>
    <row r="2032" spans="1:15" ht="12.5">
      <c r="A2032" s="158" t="s">
        <v>19145</v>
      </c>
      <c r="B2032" s="159">
        <v>25</v>
      </c>
      <c r="C2032" s="159">
        <v>93</v>
      </c>
      <c r="D2032" s="159">
        <v>52</v>
      </c>
      <c r="E2032" s="159">
        <v>36</v>
      </c>
      <c r="F2032" s="131"/>
      <c r="G2032" s="132"/>
      <c r="H2032" s="162" t="s">
        <v>19146</v>
      </c>
      <c r="I2032" s="158" t="s">
        <v>19147</v>
      </c>
      <c r="J2032" s="128"/>
      <c r="K2032" s="128"/>
      <c r="L2032" s="128"/>
      <c r="M2032" s="129"/>
      <c r="N2032" s="129"/>
      <c r="O2032" s="129"/>
    </row>
    <row r="2033" spans="1:15" ht="12.5">
      <c r="A2033" s="158" t="s">
        <v>19148</v>
      </c>
      <c r="B2033" s="159">
        <v>25</v>
      </c>
      <c r="C2033" s="159">
        <v>93</v>
      </c>
      <c r="D2033" s="159">
        <v>52</v>
      </c>
      <c r="E2033" s="159">
        <v>37</v>
      </c>
      <c r="F2033" s="131"/>
      <c r="G2033" s="132"/>
      <c r="H2033" s="162" t="s">
        <v>19149</v>
      </c>
      <c r="I2033" s="158" t="s">
        <v>19150</v>
      </c>
      <c r="J2033" s="128"/>
      <c r="K2033" s="128"/>
      <c r="L2033" s="128"/>
      <c r="M2033" s="129"/>
      <c r="N2033" s="129"/>
      <c r="O2033" s="129"/>
    </row>
    <row r="2034" spans="1:15" ht="12.5">
      <c r="A2034" s="158" t="s">
        <v>19151</v>
      </c>
      <c r="B2034" s="159">
        <v>25</v>
      </c>
      <c r="C2034" s="159">
        <v>93</v>
      </c>
      <c r="D2034" s="159">
        <v>52</v>
      </c>
      <c r="E2034" s="159">
        <v>56</v>
      </c>
      <c r="F2034" s="131"/>
      <c r="G2034" s="132"/>
      <c r="H2034" s="162" t="s">
        <v>19152</v>
      </c>
      <c r="I2034" s="158" t="s">
        <v>19153</v>
      </c>
      <c r="J2034" s="128"/>
      <c r="K2034" s="128"/>
      <c r="L2034" s="128"/>
      <c r="M2034" s="129"/>
      <c r="N2034" s="129"/>
      <c r="O2034" s="129"/>
    </row>
    <row r="2035" spans="1:15" ht="12.5">
      <c r="A2035" s="158" t="s">
        <v>19154</v>
      </c>
      <c r="B2035" s="159">
        <v>25</v>
      </c>
      <c r="C2035" s="159">
        <v>93</v>
      </c>
      <c r="D2035" s="159">
        <v>52</v>
      </c>
      <c r="E2035" s="159">
        <v>76</v>
      </c>
      <c r="F2035" s="131"/>
      <c r="G2035" s="132"/>
      <c r="H2035" s="162" t="s">
        <v>19155</v>
      </c>
      <c r="I2035" s="158" t="s">
        <v>19156</v>
      </c>
      <c r="J2035" s="128"/>
      <c r="K2035" s="128"/>
      <c r="L2035" s="128"/>
      <c r="M2035" s="129"/>
      <c r="N2035" s="129"/>
      <c r="O2035" s="129"/>
    </row>
    <row r="2036" spans="1:15" ht="12.5">
      <c r="A2036" s="158" t="s">
        <v>19157</v>
      </c>
      <c r="B2036" s="159">
        <v>25</v>
      </c>
      <c r="C2036" s="159">
        <v>93</v>
      </c>
      <c r="D2036" s="159">
        <v>54</v>
      </c>
      <c r="E2036" s="130"/>
      <c r="F2036" s="193" t="s">
        <v>32838</v>
      </c>
      <c r="G2036" s="194"/>
      <c r="H2036" s="162" t="s">
        <v>19158</v>
      </c>
      <c r="I2036" s="128"/>
      <c r="J2036" s="128"/>
      <c r="K2036" s="128"/>
      <c r="L2036" s="128"/>
      <c r="M2036" s="129"/>
      <c r="N2036" s="129"/>
      <c r="O2036" s="129"/>
    </row>
    <row r="2037" spans="1:15" ht="12.5">
      <c r="A2037" s="158" t="s">
        <v>19159</v>
      </c>
      <c r="B2037" s="159">
        <v>25</v>
      </c>
      <c r="C2037" s="159">
        <v>93</v>
      </c>
      <c r="D2037" s="159">
        <v>54</v>
      </c>
      <c r="E2037" s="159">
        <v>2</v>
      </c>
      <c r="F2037" s="131"/>
      <c r="G2037" s="132"/>
      <c r="H2037" s="162" t="s">
        <v>19160</v>
      </c>
      <c r="I2037" s="158" t="s">
        <v>19161</v>
      </c>
      <c r="J2037" s="128"/>
      <c r="K2037" s="128"/>
      <c r="L2037" s="128"/>
      <c r="M2037" s="129"/>
      <c r="N2037" s="129"/>
      <c r="O2037" s="129"/>
    </row>
    <row r="2038" spans="1:15" ht="12.5">
      <c r="A2038" s="158" t="s">
        <v>19162</v>
      </c>
      <c r="B2038" s="159">
        <v>25</v>
      </c>
      <c r="C2038" s="159">
        <v>93</v>
      </c>
      <c r="D2038" s="159">
        <v>54</v>
      </c>
      <c r="E2038" s="159">
        <v>3</v>
      </c>
      <c r="F2038" s="131"/>
      <c r="G2038" s="132"/>
      <c r="H2038" s="162" t="s">
        <v>19163</v>
      </c>
      <c r="I2038" s="158" t="s">
        <v>19164</v>
      </c>
      <c r="J2038" s="128"/>
      <c r="K2038" s="128"/>
      <c r="L2038" s="128"/>
      <c r="M2038" s="129"/>
      <c r="N2038" s="129"/>
      <c r="O2038" s="129"/>
    </row>
    <row r="2039" spans="1:15" ht="12.5">
      <c r="A2039" s="158" t="s">
        <v>19165</v>
      </c>
      <c r="B2039" s="159">
        <v>25</v>
      </c>
      <c r="C2039" s="159">
        <v>93</v>
      </c>
      <c r="D2039" s="159">
        <v>54</v>
      </c>
      <c r="E2039" s="159">
        <v>11</v>
      </c>
      <c r="F2039" s="131"/>
      <c r="G2039" s="132"/>
      <c r="H2039" s="162" t="s">
        <v>19166</v>
      </c>
      <c r="I2039" s="128"/>
      <c r="J2039" s="128"/>
      <c r="K2039" s="128"/>
      <c r="L2039" s="128"/>
      <c r="M2039" s="129"/>
      <c r="N2039" s="129"/>
      <c r="O2039" s="129"/>
    </row>
    <row r="2040" spans="1:15" ht="12.5">
      <c r="A2040" s="158" t="s">
        <v>19167</v>
      </c>
      <c r="B2040" s="159">
        <v>25</v>
      </c>
      <c r="C2040" s="159">
        <v>93</v>
      </c>
      <c r="D2040" s="159">
        <v>54</v>
      </c>
      <c r="E2040" s="159">
        <v>12</v>
      </c>
      <c r="F2040" s="131"/>
      <c r="G2040" s="132"/>
      <c r="H2040" s="162" t="s">
        <v>19168</v>
      </c>
      <c r="I2040" s="128"/>
      <c r="J2040" s="128"/>
      <c r="K2040" s="128"/>
      <c r="L2040" s="128"/>
      <c r="M2040" s="129"/>
      <c r="N2040" s="129"/>
      <c r="O2040" s="129"/>
    </row>
    <row r="2041" spans="1:15" ht="12.5">
      <c r="A2041" s="158" t="s">
        <v>19169</v>
      </c>
      <c r="B2041" s="159">
        <v>25</v>
      </c>
      <c r="C2041" s="159">
        <v>93</v>
      </c>
      <c r="D2041" s="159">
        <v>54</v>
      </c>
      <c r="E2041" s="159">
        <v>15</v>
      </c>
      <c r="F2041" s="131"/>
      <c r="G2041" s="132"/>
      <c r="H2041" s="162" t="s">
        <v>19170</v>
      </c>
      <c r="I2041" s="128"/>
      <c r="J2041" s="128"/>
      <c r="K2041" s="128"/>
      <c r="L2041" s="128"/>
      <c r="M2041" s="129"/>
      <c r="N2041" s="129"/>
      <c r="O2041" s="129"/>
    </row>
    <row r="2042" spans="1:15" ht="12.5">
      <c r="A2042" s="158" t="s">
        <v>19171</v>
      </c>
      <c r="B2042" s="159">
        <v>25</v>
      </c>
      <c r="C2042" s="159">
        <v>93</v>
      </c>
      <c r="D2042" s="159">
        <v>54</v>
      </c>
      <c r="E2042" s="159">
        <v>16</v>
      </c>
      <c r="F2042" s="131"/>
      <c r="G2042" s="132"/>
      <c r="H2042" s="162" t="s">
        <v>19172</v>
      </c>
      <c r="I2042" s="128"/>
      <c r="J2042" s="128"/>
      <c r="K2042" s="128"/>
      <c r="L2042" s="128"/>
      <c r="M2042" s="129"/>
      <c r="N2042" s="129"/>
      <c r="O2042" s="129"/>
    </row>
    <row r="2043" spans="1:15" ht="12.5">
      <c r="A2043" s="158" t="s">
        <v>19173</v>
      </c>
      <c r="B2043" s="159">
        <v>25</v>
      </c>
      <c r="C2043" s="159">
        <v>93</v>
      </c>
      <c r="D2043" s="159">
        <v>54</v>
      </c>
      <c r="E2043" s="159">
        <v>46</v>
      </c>
      <c r="F2043" s="131"/>
      <c r="G2043" s="132"/>
      <c r="H2043" s="162" t="s">
        <v>19174</v>
      </c>
      <c r="I2043" s="128"/>
      <c r="J2043" s="128"/>
      <c r="K2043" s="128"/>
      <c r="L2043" s="128"/>
      <c r="M2043" s="129"/>
      <c r="N2043" s="129"/>
      <c r="O2043" s="129"/>
    </row>
    <row r="2044" spans="1:15" ht="12.5">
      <c r="A2044" s="158" t="s">
        <v>19175</v>
      </c>
      <c r="B2044" s="159">
        <v>25</v>
      </c>
      <c r="C2044" s="159">
        <v>93</v>
      </c>
      <c r="D2044" s="159">
        <v>54</v>
      </c>
      <c r="E2044" s="159">
        <v>47</v>
      </c>
      <c r="F2044" s="131"/>
      <c r="G2044" s="132"/>
      <c r="H2044" s="162" t="s">
        <v>19176</v>
      </c>
      <c r="I2044" s="128"/>
      <c r="J2044" s="128"/>
      <c r="K2044" s="128"/>
      <c r="L2044" s="128"/>
      <c r="M2044" s="129"/>
      <c r="N2044" s="129"/>
      <c r="O2044" s="129"/>
    </row>
    <row r="2045" spans="1:15" ht="12.5">
      <c r="A2045" s="158" t="s">
        <v>19177</v>
      </c>
      <c r="B2045" s="159">
        <v>25</v>
      </c>
      <c r="C2045" s="159">
        <v>93</v>
      </c>
      <c r="D2045" s="159">
        <v>54</v>
      </c>
      <c r="E2045" s="159">
        <v>98</v>
      </c>
      <c r="F2045" s="131"/>
      <c r="G2045" s="132"/>
      <c r="H2045" s="162" t="s">
        <v>19178</v>
      </c>
      <c r="I2045" s="128"/>
      <c r="J2045" s="128"/>
      <c r="K2045" s="128"/>
      <c r="L2045" s="128"/>
      <c r="M2045" s="129"/>
      <c r="N2045" s="129"/>
      <c r="O2045" s="129"/>
    </row>
    <row r="2046" spans="1:15" ht="12.5">
      <c r="A2046" s="158" t="s">
        <v>19179</v>
      </c>
      <c r="B2046" s="159">
        <v>25</v>
      </c>
      <c r="C2046" s="159">
        <v>93</v>
      </c>
      <c r="D2046" s="159">
        <v>54</v>
      </c>
      <c r="E2046" s="159">
        <v>99</v>
      </c>
      <c r="F2046" s="131"/>
      <c r="G2046" s="132"/>
      <c r="H2046" s="162" t="s">
        <v>19180</v>
      </c>
      <c r="I2046" s="128"/>
      <c r="J2046" s="128"/>
      <c r="K2046" s="128"/>
      <c r="L2046" s="128"/>
      <c r="M2046" s="129"/>
      <c r="N2046" s="129"/>
      <c r="O2046" s="129"/>
    </row>
    <row r="2047" spans="1:15" ht="12.5">
      <c r="A2047" s="158" t="s">
        <v>19181</v>
      </c>
      <c r="B2047" s="159">
        <v>25</v>
      </c>
      <c r="C2047" s="159">
        <v>93</v>
      </c>
      <c r="D2047" s="159">
        <v>55</v>
      </c>
      <c r="E2047" s="130"/>
      <c r="F2047" s="193" t="s">
        <v>32838</v>
      </c>
      <c r="G2047" s="194"/>
      <c r="H2047" s="162" t="s">
        <v>19182</v>
      </c>
      <c r="I2047" s="128"/>
      <c r="J2047" s="128"/>
      <c r="K2047" s="128"/>
      <c r="L2047" s="128"/>
      <c r="M2047" s="129"/>
      <c r="N2047" s="129"/>
      <c r="O2047" s="129"/>
    </row>
    <row r="2048" spans="1:15" ht="12.5">
      <c r="A2048" s="158" t="s">
        <v>19183</v>
      </c>
      <c r="B2048" s="159">
        <v>25</v>
      </c>
      <c r="C2048" s="159">
        <v>93</v>
      </c>
      <c r="D2048" s="159">
        <v>55</v>
      </c>
      <c r="E2048" s="159">
        <v>84</v>
      </c>
      <c r="F2048" s="131"/>
      <c r="G2048" s="132"/>
      <c r="H2048" s="162" t="s">
        <v>19184</v>
      </c>
      <c r="I2048" s="158" t="s">
        <v>19185</v>
      </c>
      <c r="J2048" s="128"/>
      <c r="K2048" s="128"/>
      <c r="L2048" s="128"/>
      <c r="M2048" s="129"/>
      <c r="N2048" s="129"/>
      <c r="O2048" s="129"/>
    </row>
    <row r="2049" spans="1:15" ht="12.5">
      <c r="A2049" s="158" t="s">
        <v>19186</v>
      </c>
      <c r="B2049" s="159">
        <v>25</v>
      </c>
      <c r="C2049" s="159">
        <v>93</v>
      </c>
      <c r="D2049" s="159">
        <v>60</v>
      </c>
      <c r="E2049" s="130"/>
      <c r="F2049" s="196"/>
      <c r="G2049" s="197"/>
      <c r="H2049" s="162" t="s">
        <v>19187</v>
      </c>
      <c r="I2049" s="128"/>
      <c r="J2049" s="128"/>
      <c r="K2049" s="128"/>
      <c r="L2049" s="128"/>
      <c r="M2049" s="129"/>
      <c r="N2049" s="129"/>
      <c r="O2049" s="129"/>
    </row>
    <row r="2050" spans="1:15" ht="12.5">
      <c r="A2050" s="158" t="s">
        <v>19188</v>
      </c>
      <c r="B2050" s="159">
        <v>25</v>
      </c>
      <c r="C2050" s="159">
        <v>93</v>
      </c>
      <c r="D2050" s="159">
        <v>60</v>
      </c>
      <c r="E2050" s="159">
        <v>2</v>
      </c>
      <c r="F2050" s="131"/>
      <c r="G2050" s="132"/>
      <c r="H2050" s="162" t="s">
        <v>19189</v>
      </c>
      <c r="I2050" s="128"/>
      <c r="J2050" s="128"/>
      <c r="K2050" s="128"/>
      <c r="L2050" s="128"/>
      <c r="M2050" s="129"/>
      <c r="N2050" s="129"/>
      <c r="O2050" s="129"/>
    </row>
    <row r="2051" spans="1:15" ht="12.5">
      <c r="A2051" s="158" t="s">
        <v>33381</v>
      </c>
      <c r="B2051" s="159">
        <v>25</v>
      </c>
      <c r="C2051" s="159">
        <v>93</v>
      </c>
      <c r="D2051" s="159">
        <v>60</v>
      </c>
      <c r="E2051" s="159">
        <v>5</v>
      </c>
      <c r="F2051" s="131"/>
      <c r="G2051" s="132"/>
      <c r="H2051" s="162" t="s">
        <v>19009</v>
      </c>
      <c r="I2051" s="128"/>
      <c r="J2051" s="128"/>
      <c r="K2051" s="128"/>
      <c r="L2051" s="128"/>
      <c r="M2051" s="129"/>
      <c r="N2051" s="129"/>
      <c r="O2051" s="129"/>
    </row>
    <row r="2052" spans="1:15" ht="12.5">
      <c r="A2052" s="158" t="s">
        <v>19192</v>
      </c>
      <c r="B2052" s="159">
        <v>25</v>
      </c>
      <c r="C2052" s="159">
        <v>93</v>
      </c>
      <c r="D2052" s="159">
        <v>60</v>
      </c>
      <c r="E2052" s="159">
        <v>9</v>
      </c>
      <c r="F2052" s="131"/>
      <c r="G2052" s="132"/>
      <c r="H2052" s="162" t="s">
        <v>19193</v>
      </c>
      <c r="I2052" s="158" t="s">
        <v>19194</v>
      </c>
      <c r="J2052" s="128"/>
      <c r="K2052" s="128"/>
      <c r="L2052" s="128"/>
      <c r="M2052" s="129"/>
      <c r="N2052" s="129"/>
      <c r="O2052" s="129"/>
    </row>
    <row r="2053" spans="1:15" ht="12.5">
      <c r="A2053" s="158" t="s">
        <v>19195</v>
      </c>
      <c r="B2053" s="159">
        <v>25</v>
      </c>
      <c r="C2053" s="159">
        <v>93</v>
      </c>
      <c r="D2053" s="159">
        <v>60</v>
      </c>
      <c r="E2053" s="159">
        <v>10</v>
      </c>
      <c r="F2053" s="131"/>
      <c r="G2053" s="132"/>
      <c r="H2053" s="162" t="s">
        <v>19196</v>
      </c>
      <c r="I2053" s="158" t="s">
        <v>19197</v>
      </c>
      <c r="J2053" s="128"/>
      <c r="K2053" s="128"/>
      <c r="L2053" s="128"/>
      <c r="M2053" s="129"/>
      <c r="N2053" s="129"/>
      <c r="O2053" s="129"/>
    </row>
    <row r="2054" spans="1:15" ht="12.5">
      <c r="A2054" s="158" t="s">
        <v>19198</v>
      </c>
      <c r="B2054" s="159">
        <v>25</v>
      </c>
      <c r="C2054" s="159">
        <v>93</v>
      </c>
      <c r="D2054" s="159">
        <v>60</v>
      </c>
      <c r="E2054" s="159">
        <v>11</v>
      </c>
      <c r="F2054" s="131"/>
      <c r="G2054" s="132"/>
      <c r="H2054" s="162" t="s">
        <v>19199</v>
      </c>
      <c r="I2054" s="158" t="s">
        <v>19200</v>
      </c>
      <c r="J2054" s="128"/>
      <c r="K2054" s="128"/>
      <c r="L2054" s="128"/>
      <c r="M2054" s="129"/>
      <c r="N2054" s="129"/>
      <c r="O2054" s="129"/>
    </row>
    <row r="2055" spans="1:15" ht="12.5">
      <c r="A2055" s="158" t="s">
        <v>19201</v>
      </c>
      <c r="B2055" s="159">
        <v>25</v>
      </c>
      <c r="C2055" s="159">
        <v>93</v>
      </c>
      <c r="D2055" s="159">
        <v>60</v>
      </c>
      <c r="E2055" s="159">
        <v>12</v>
      </c>
      <c r="F2055" s="131"/>
      <c r="G2055" s="132"/>
      <c r="H2055" s="162" t="s">
        <v>19202</v>
      </c>
      <c r="I2055" s="158" t="s">
        <v>19203</v>
      </c>
      <c r="J2055" s="128"/>
      <c r="K2055" s="128"/>
      <c r="L2055" s="128"/>
      <c r="M2055" s="129"/>
      <c r="N2055" s="129"/>
      <c r="O2055" s="129"/>
    </row>
    <row r="2056" spans="1:15" ht="12.5">
      <c r="A2056" s="158" t="s">
        <v>19204</v>
      </c>
      <c r="B2056" s="159">
        <v>25</v>
      </c>
      <c r="C2056" s="159">
        <v>93</v>
      </c>
      <c r="D2056" s="159">
        <v>60</v>
      </c>
      <c r="E2056" s="159">
        <v>13</v>
      </c>
      <c r="F2056" s="131"/>
      <c r="G2056" s="132"/>
      <c r="H2056" s="162" t="s">
        <v>19205</v>
      </c>
      <c r="I2056" s="158" t="s">
        <v>19206</v>
      </c>
      <c r="J2056" s="128"/>
      <c r="K2056" s="128"/>
      <c r="L2056" s="128"/>
      <c r="M2056" s="129"/>
      <c r="N2056" s="129"/>
      <c r="O2056" s="129"/>
    </row>
    <row r="2057" spans="1:15" ht="12.5">
      <c r="A2057" s="158" t="s">
        <v>19207</v>
      </c>
      <c r="B2057" s="159">
        <v>25</v>
      </c>
      <c r="C2057" s="159">
        <v>93</v>
      </c>
      <c r="D2057" s="159">
        <v>60</v>
      </c>
      <c r="E2057" s="159">
        <v>14</v>
      </c>
      <c r="F2057" s="131"/>
      <c r="G2057" s="132"/>
      <c r="H2057" s="162" t="s">
        <v>19208</v>
      </c>
      <c r="I2057" s="158" t="s">
        <v>19209</v>
      </c>
      <c r="J2057" s="128"/>
      <c r="K2057" s="128"/>
      <c r="L2057" s="128"/>
      <c r="M2057" s="129"/>
      <c r="N2057" s="129"/>
      <c r="O2057" s="129"/>
    </row>
    <row r="2058" spans="1:15" ht="12.5">
      <c r="A2058" s="158" t="s">
        <v>19210</v>
      </c>
      <c r="B2058" s="159">
        <v>25</v>
      </c>
      <c r="C2058" s="159">
        <v>93</v>
      </c>
      <c r="D2058" s="159">
        <v>60</v>
      </c>
      <c r="E2058" s="159">
        <v>15</v>
      </c>
      <c r="F2058" s="131"/>
      <c r="G2058" s="132"/>
      <c r="H2058" s="162" t="s">
        <v>19211</v>
      </c>
      <c r="I2058" s="158" t="s">
        <v>19212</v>
      </c>
      <c r="J2058" s="128"/>
      <c r="K2058" s="128"/>
      <c r="L2058" s="128"/>
      <c r="M2058" s="129"/>
      <c r="N2058" s="129"/>
      <c r="O2058" s="129"/>
    </row>
    <row r="2059" spans="1:15" ht="12.5">
      <c r="A2059" s="158" t="s">
        <v>19213</v>
      </c>
      <c r="B2059" s="159">
        <v>25</v>
      </c>
      <c r="C2059" s="159">
        <v>93</v>
      </c>
      <c r="D2059" s="159">
        <v>60</v>
      </c>
      <c r="E2059" s="159">
        <v>16</v>
      </c>
      <c r="F2059" s="131"/>
      <c r="G2059" s="132"/>
      <c r="H2059" s="162" t="s">
        <v>19214</v>
      </c>
      <c r="I2059" s="158" t="s">
        <v>19215</v>
      </c>
      <c r="J2059" s="128"/>
      <c r="K2059" s="128"/>
      <c r="L2059" s="128"/>
      <c r="M2059" s="129"/>
      <c r="N2059" s="129"/>
      <c r="O2059" s="129"/>
    </row>
    <row r="2060" spans="1:15" ht="12.5">
      <c r="A2060" s="158" t="s">
        <v>19216</v>
      </c>
      <c r="B2060" s="159">
        <v>25</v>
      </c>
      <c r="C2060" s="159">
        <v>93</v>
      </c>
      <c r="D2060" s="159">
        <v>60</v>
      </c>
      <c r="E2060" s="159">
        <v>17</v>
      </c>
      <c r="F2060" s="131"/>
      <c r="G2060" s="132"/>
      <c r="H2060" s="162" t="s">
        <v>19217</v>
      </c>
      <c r="I2060" s="158" t="s">
        <v>19218</v>
      </c>
      <c r="J2060" s="128"/>
      <c r="K2060" s="128"/>
      <c r="L2060" s="128"/>
      <c r="M2060" s="129"/>
      <c r="N2060" s="129"/>
      <c r="O2060" s="129"/>
    </row>
    <row r="2061" spans="1:15" ht="12.5">
      <c r="A2061" s="158" t="s">
        <v>33382</v>
      </c>
      <c r="B2061" s="159">
        <v>25</v>
      </c>
      <c r="C2061" s="159">
        <v>93</v>
      </c>
      <c r="D2061" s="159">
        <v>60</v>
      </c>
      <c r="E2061" s="159">
        <v>18</v>
      </c>
      <c r="F2061" s="131"/>
      <c r="G2061" s="132"/>
      <c r="H2061" s="162" t="s">
        <v>19011</v>
      </c>
      <c r="I2061" s="158" t="s">
        <v>19012</v>
      </c>
      <c r="J2061" s="128"/>
      <c r="K2061" s="128"/>
      <c r="L2061" s="128"/>
      <c r="M2061" s="129"/>
      <c r="N2061" s="129"/>
      <c r="O2061" s="129"/>
    </row>
    <row r="2062" spans="1:15" ht="12.5">
      <c r="A2062" s="158" t="s">
        <v>19219</v>
      </c>
      <c r="B2062" s="159">
        <v>25</v>
      </c>
      <c r="C2062" s="159">
        <v>93</v>
      </c>
      <c r="D2062" s="159">
        <v>60</v>
      </c>
      <c r="E2062" s="159">
        <v>19</v>
      </c>
      <c r="F2062" s="131"/>
      <c r="G2062" s="132"/>
      <c r="H2062" s="162" t="s">
        <v>19220</v>
      </c>
      <c r="I2062" s="158" t="s">
        <v>19218</v>
      </c>
      <c r="J2062" s="128"/>
      <c r="K2062" s="128"/>
      <c r="L2062" s="128"/>
      <c r="M2062" s="129"/>
      <c r="N2062" s="129"/>
      <c r="O2062" s="129"/>
    </row>
    <row r="2063" spans="1:15" ht="12.5">
      <c r="A2063" s="158" t="s">
        <v>19221</v>
      </c>
      <c r="B2063" s="159">
        <v>25</v>
      </c>
      <c r="C2063" s="159">
        <v>93</v>
      </c>
      <c r="D2063" s="159">
        <v>60</v>
      </c>
      <c r="E2063" s="159">
        <v>20</v>
      </c>
      <c r="F2063" s="131"/>
      <c r="G2063" s="132"/>
      <c r="H2063" s="162" t="s">
        <v>19222</v>
      </c>
      <c r="I2063" s="158" t="s">
        <v>19223</v>
      </c>
      <c r="J2063" s="128"/>
      <c r="K2063" s="128"/>
      <c r="L2063" s="128"/>
      <c r="M2063" s="129"/>
      <c r="N2063" s="129"/>
      <c r="O2063" s="129"/>
    </row>
    <row r="2064" spans="1:15" ht="12.5">
      <c r="A2064" s="158" t="s">
        <v>33383</v>
      </c>
      <c r="B2064" s="159">
        <v>25</v>
      </c>
      <c r="C2064" s="159">
        <v>93</v>
      </c>
      <c r="D2064" s="159">
        <v>60</v>
      </c>
      <c r="E2064" s="159">
        <v>21</v>
      </c>
      <c r="F2064" s="131"/>
      <c r="G2064" s="132"/>
      <c r="H2064" s="162" t="s">
        <v>19014</v>
      </c>
      <c r="I2064" s="158" t="s">
        <v>19015</v>
      </c>
      <c r="J2064" s="128"/>
      <c r="K2064" s="128"/>
      <c r="L2064" s="128"/>
      <c r="M2064" s="129"/>
      <c r="N2064" s="129"/>
      <c r="O2064" s="129"/>
    </row>
    <row r="2065" spans="1:15" ht="12.5">
      <c r="A2065" s="158" t="s">
        <v>19224</v>
      </c>
      <c r="B2065" s="159">
        <v>25</v>
      </c>
      <c r="C2065" s="159">
        <v>93</v>
      </c>
      <c r="D2065" s="159">
        <v>60</v>
      </c>
      <c r="E2065" s="159">
        <v>22</v>
      </c>
      <c r="F2065" s="131"/>
      <c r="G2065" s="132"/>
      <c r="H2065" s="162" t="s">
        <v>19225</v>
      </c>
      <c r="I2065" s="158" t="s">
        <v>19226</v>
      </c>
      <c r="J2065" s="128"/>
      <c r="K2065" s="128"/>
      <c r="L2065" s="128"/>
      <c r="M2065" s="129"/>
      <c r="N2065" s="129"/>
      <c r="O2065" s="129"/>
    </row>
    <row r="2066" spans="1:15" ht="12.5">
      <c r="A2066" s="158" t="s">
        <v>19227</v>
      </c>
      <c r="B2066" s="159">
        <v>25</v>
      </c>
      <c r="C2066" s="159">
        <v>93</v>
      </c>
      <c r="D2066" s="159">
        <v>60</v>
      </c>
      <c r="E2066" s="159">
        <v>23</v>
      </c>
      <c r="F2066" s="131"/>
      <c r="G2066" s="132"/>
      <c r="H2066" s="162" t="s">
        <v>19228</v>
      </c>
      <c r="I2066" s="158" t="s">
        <v>19229</v>
      </c>
      <c r="J2066" s="128"/>
      <c r="K2066" s="128"/>
      <c r="L2066" s="128"/>
      <c r="M2066" s="129"/>
      <c r="N2066" s="129"/>
      <c r="O2066" s="129"/>
    </row>
    <row r="2067" spans="1:15" ht="12.5">
      <c r="A2067" s="158" t="s">
        <v>33384</v>
      </c>
      <c r="B2067" s="159">
        <v>25</v>
      </c>
      <c r="C2067" s="159">
        <v>93</v>
      </c>
      <c r="D2067" s="159">
        <v>60</v>
      </c>
      <c r="E2067" s="159">
        <v>24</v>
      </c>
      <c r="F2067" s="131"/>
      <c r="G2067" s="132"/>
      <c r="H2067" s="162" t="s">
        <v>19017</v>
      </c>
      <c r="I2067" s="158" t="s">
        <v>19018</v>
      </c>
      <c r="J2067" s="128"/>
      <c r="K2067" s="128"/>
      <c r="L2067" s="128"/>
      <c r="M2067" s="129"/>
      <c r="N2067" s="129"/>
      <c r="O2067" s="129"/>
    </row>
    <row r="2068" spans="1:15" ht="12.5">
      <c r="A2068" s="158" t="s">
        <v>19232</v>
      </c>
      <c r="B2068" s="159">
        <v>25</v>
      </c>
      <c r="C2068" s="159">
        <v>93</v>
      </c>
      <c r="D2068" s="159">
        <v>60</v>
      </c>
      <c r="E2068" s="159">
        <v>33</v>
      </c>
      <c r="F2068" s="131"/>
      <c r="G2068" s="132"/>
      <c r="H2068" s="162" t="s">
        <v>19233</v>
      </c>
      <c r="I2068" s="128"/>
      <c r="J2068" s="128"/>
      <c r="K2068" s="128"/>
      <c r="L2068" s="128"/>
      <c r="M2068" s="129"/>
      <c r="N2068" s="129"/>
      <c r="O2068" s="129"/>
    </row>
    <row r="2069" spans="1:15" ht="12.5">
      <c r="A2069" s="158" t="s">
        <v>19238</v>
      </c>
      <c r="B2069" s="159">
        <v>25</v>
      </c>
      <c r="C2069" s="159">
        <v>93</v>
      </c>
      <c r="D2069" s="159">
        <v>60</v>
      </c>
      <c r="E2069" s="159">
        <v>54</v>
      </c>
      <c r="F2069" s="131"/>
      <c r="G2069" s="132"/>
      <c r="H2069" s="162" t="s">
        <v>19239</v>
      </c>
      <c r="I2069" s="158" t="s">
        <v>19240</v>
      </c>
      <c r="J2069" s="128"/>
      <c r="K2069" s="128"/>
      <c r="L2069" s="128"/>
      <c r="M2069" s="129"/>
      <c r="N2069" s="129"/>
      <c r="O2069" s="129"/>
    </row>
    <row r="2070" spans="1:15" ht="12.5">
      <c r="A2070" s="158" t="s">
        <v>19241</v>
      </c>
      <c r="B2070" s="159">
        <v>25</v>
      </c>
      <c r="C2070" s="159">
        <v>93</v>
      </c>
      <c r="D2070" s="159">
        <v>60</v>
      </c>
      <c r="E2070" s="159">
        <v>55</v>
      </c>
      <c r="F2070" s="131"/>
      <c r="G2070" s="132"/>
      <c r="H2070" s="162" t="s">
        <v>19242</v>
      </c>
      <c r="I2070" s="158" t="s">
        <v>19243</v>
      </c>
      <c r="J2070" s="128"/>
      <c r="K2070" s="128"/>
      <c r="L2070" s="128"/>
      <c r="M2070" s="129"/>
      <c r="N2070" s="129"/>
      <c r="O2070" s="129"/>
    </row>
    <row r="2071" spans="1:15" ht="12.5">
      <c r="A2071" s="158" t="s">
        <v>33385</v>
      </c>
      <c r="B2071" s="159">
        <v>25</v>
      </c>
      <c r="C2071" s="159">
        <v>93</v>
      </c>
      <c r="D2071" s="159">
        <v>60</v>
      </c>
      <c r="E2071" s="159">
        <v>56</v>
      </c>
      <c r="F2071" s="131"/>
      <c r="G2071" s="132"/>
      <c r="H2071" s="162" t="s">
        <v>19022</v>
      </c>
      <c r="I2071" s="158" t="s">
        <v>19023</v>
      </c>
      <c r="J2071" s="128"/>
      <c r="K2071" s="128"/>
      <c r="L2071" s="128"/>
      <c r="M2071" s="129"/>
      <c r="N2071" s="129"/>
      <c r="O2071" s="129"/>
    </row>
    <row r="2072" spans="1:15" ht="12.5">
      <c r="A2072" s="158" t="s">
        <v>19244</v>
      </c>
      <c r="B2072" s="159">
        <v>25</v>
      </c>
      <c r="C2072" s="159">
        <v>93</v>
      </c>
      <c r="D2072" s="159">
        <v>60</v>
      </c>
      <c r="E2072" s="159">
        <v>57</v>
      </c>
      <c r="F2072" s="131"/>
      <c r="G2072" s="132"/>
      <c r="H2072" s="162" t="s">
        <v>19245</v>
      </c>
      <c r="I2072" s="158" t="s">
        <v>19246</v>
      </c>
      <c r="J2072" s="128"/>
      <c r="K2072" s="128"/>
      <c r="L2072" s="128"/>
      <c r="M2072" s="129"/>
      <c r="N2072" s="129"/>
      <c r="O2072" s="129"/>
    </row>
    <row r="2073" spans="1:15" ht="12.5">
      <c r="A2073" s="158" t="s">
        <v>19247</v>
      </c>
      <c r="B2073" s="159">
        <v>25</v>
      </c>
      <c r="C2073" s="159">
        <v>93</v>
      </c>
      <c r="D2073" s="159">
        <v>60</v>
      </c>
      <c r="E2073" s="159">
        <v>58</v>
      </c>
      <c r="F2073" s="131"/>
      <c r="G2073" s="132"/>
      <c r="H2073" s="162" t="s">
        <v>19248</v>
      </c>
      <c r="I2073" s="158" t="s">
        <v>19249</v>
      </c>
      <c r="J2073" s="128"/>
      <c r="K2073" s="128"/>
      <c r="L2073" s="128"/>
      <c r="M2073" s="129"/>
      <c r="N2073" s="129"/>
      <c r="O2073" s="129"/>
    </row>
    <row r="2074" spans="1:15" ht="12.5">
      <c r="A2074" s="158" t="s">
        <v>19250</v>
      </c>
      <c r="B2074" s="159">
        <v>25</v>
      </c>
      <c r="C2074" s="159">
        <v>93</v>
      </c>
      <c r="D2074" s="159">
        <v>60</v>
      </c>
      <c r="E2074" s="159">
        <v>59</v>
      </c>
      <c r="F2074" s="131"/>
      <c r="G2074" s="132"/>
      <c r="H2074" s="162" t="s">
        <v>19251</v>
      </c>
      <c r="I2074" s="158" t="s">
        <v>19252</v>
      </c>
      <c r="J2074" s="128"/>
      <c r="K2074" s="128"/>
      <c r="L2074" s="128"/>
      <c r="M2074" s="129"/>
      <c r="N2074" s="129"/>
      <c r="O2074" s="129"/>
    </row>
    <row r="2075" spans="1:15" ht="12.5">
      <c r="A2075" s="158" t="s">
        <v>19253</v>
      </c>
      <c r="B2075" s="159">
        <v>25</v>
      </c>
      <c r="C2075" s="159">
        <v>93</v>
      </c>
      <c r="D2075" s="159">
        <v>60</v>
      </c>
      <c r="E2075" s="159">
        <v>61</v>
      </c>
      <c r="F2075" s="131"/>
      <c r="G2075" s="132"/>
      <c r="H2075" s="162" t="s">
        <v>19254</v>
      </c>
      <c r="I2075" s="158" t="s">
        <v>19255</v>
      </c>
      <c r="J2075" s="128"/>
      <c r="K2075" s="128"/>
      <c r="L2075" s="128"/>
      <c r="M2075" s="129"/>
      <c r="N2075" s="129"/>
      <c r="O2075" s="129"/>
    </row>
    <row r="2076" spans="1:15" ht="12.5">
      <c r="A2076" s="158" t="s">
        <v>33386</v>
      </c>
      <c r="B2076" s="159">
        <v>25</v>
      </c>
      <c r="C2076" s="159">
        <v>93</v>
      </c>
      <c r="D2076" s="159">
        <v>60</v>
      </c>
      <c r="E2076" s="159">
        <v>62</v>
      </c>
      <c r="F2076" s="131"/>
      <c r="G2076" s="132"/>
      <c r="H2076" s="162" t="s">
        <v>19027</v>
      </c>
      <c r="I2076" s="158" t="s">
        <v>19028</v>
      </c>
      <c r="J2076" s="128"/>
      <c r="K2076" s="128"/>
      <c r="L2076" s="128"/>
      <c r="M2076" s="129"/>
      <c r="N2076" s="129"/>
      <c r="O2076" s="129"/>
    </row>
    <row r="2077" spans="1:15" ht="12.5">
      <c r="A2077" s="158" t="s">
        <v>19256</v>
      </c>
      <c r="B2077" s="159">
        <v>25</v>
      </c>
      <c r="C2077" s="159">
        <v>93</v>
      </c>
      <c r="D2077" s="159">
        <v>60</v>
      </c>
      <c r="E2077" s="159">
        <v>63</v>
      </c>
      <c r="F2077" s="131"/>
      <c r="G2077" s="132"/>
      <c r="H2077" s="162" t="s">
        <v>19257</v>
      </c>
      <c r="I2077" s="158" t="s">
        <v>19258</v>
      </c>
      <c r="J2077" s="128"/>
      <c r="K2077" s="128"/>
      <c r="L2077" s="128"/>
      <c r="M2077" s="129"/>
      <c r="N2077" s="129"/>
      <c r="O2077" s="129"/>
    </row>
    <row r="2078" spans="1:15" ht="12.5">
      <c r="A2078" s="158" t="s">
        <v>19259</v>
      </c>
      <c r="B2078" s="159">
        <v>25</v>
      </c>
      <c r="C2078" s="159">
        <v>93</v>
      </c>
      <c r="D2078" s="159">
        <v>60</v>
      </c>
      <c r="E2078" s="159">
        <v>65</v>
      </c>
      <c r="F2078" s="131"/>
      <c r="G2078" s="132"/>
      <c r="H2078" s="162" t="s">
        <v>19260</v>
      </c>
      <c r="I2078" s="128"/>
      <c r="J2078" s="128"/>
      <c r="K2078" s="128"/>
      <c r="L2078" s="128"/>
      <c r="M2078" s="129"/>
      <c r="N2078" s="129"/>
      <c r="O2078" s="129"/>
    </row>
    <row r="2079" spans="1:15" ht="12.5">
      <c r="A2079" s="158" t="s">
        <v>19261</v>
      </c>
      <c r="B2079" s="159">
        <v>25</v>
      </c>
      <c r="C2079" s="159">
        <v>93</v>
      </c>
      <c r="D2079" s="159">
        <v>60</v>
      </c>
      <c r="E2079" s="159">
        <v>78</v>
      </c>
      <c r="F2079" s="131"/>
      <c r="G2079" s="132"/>
      <c r="H2079" s="162" t="s">
        <v>19262</v>
      </c>
      <c r="I2079" s="158" t="s">
        <v>19263</v>
      </c>
      <c r="J2079" s="128"/>
      <c r="K2079" s="128"/>
      <c r="L2079" s="128"/>
      <c r="M2079" s="129"/>
      <c r="N2079" s="129"/>
      <c r="O2079" s="129"/>
    </row>
    <row r="2080" spans="1:15" ht="12.5">
      <c r="A2080" s="158" t="s">
        <v>19264</v>
      </c>
      <c r="B2080" s="159">
        <v>25</v>
      </c>
      <c r="C2080" s="159">
        <v>93</v>
      </c>
      <c r="D2080" s="159">
        <v>60</v>
      </c>
      <c r="E2080" s="159">
        <v>80</v>
      </c>
      <c r="F2080" s="131"/>
      <c r="G2080" s="132"/>
      <c r="H2080" s="162" t="s">
        <v>19265</v>
      </c>
      <c r="I2080" s="128"/>
      <c r="J2080" s="128"/>
      <c r="K2080" s="128"/>
      <c r="L2080" s="128"/>
      <c r="M2080" s="129"/>
      <c r="N2080" s="129"/>
      <c r="O2080" s="129"/>
    </row>
    <row r="2081" spans="1:15" ht="12.5">
      <c r="A2081" s="158" t="s">
        <v>19266</v>
      </c>
      <c r="B2081" s="159">
        <v>25</v>
      </c>
      <c r="C2081" s="159">
        <v>93</v>
      </c>
      <c r="D2081" s="159">
        <v>70</v>
      </c>
      <c r="E2081" s="130"/>
      <c r="F2081" s="193" t="s">
        <v>32838</v>
      </c>
      <c r="G2081" s="194"/>
      <c r="H2081" s="162" t="s">
        <v>19267</v>
      </c>
      <c r="I2081" s="128"/>
      <c r="J2081" s="128"/>
      <c r="K2081" s="128"/>
      <c r="L2081" s="128"/>
      <c r="M2081" s="129"/>
      <c r="N2081" s="129"/>
      <c r="O2081" s="129"/>
    </row>
    <row r="2082" spans="1:15" ht="12.5">
      <c r="A2082" s="158" t="s">
        <v>19268</v>
      </c>
      <c r="B2082" s="159">
        <v>25</v>
      </c>
      <c r="C2082" s="159">
        <v>93</v>
      </c>
      <c r="D2082" s="159">
        <v>70</v>
      </c>
      <c r="E2082" s="159">
        <v>11</v>
      </c>
      <c r="F2082" s="131"/>
      <c r="G2082" s="132"/>
      <c r="H2082" s="162" t="s">
        <v>19269</v>
      </c>
      <c r="I2082" s="158" t="s">
        <v>19270</v>
      </c>
      <c r="J2082" s="128"/>
      <c r="K2082" s="128"/>
      <c r="L2082" s="128"/>
      <c r="M2082" s="129"/>
      <c r="N2082" s="129"/>
      <c r="O2082" s="129"/>
    </row>
    <row r="2083" spans="1:15" ht="12.5">
      <c r="A2083" s="158" t="s">
        <v>19271</v>
      </c>
      <c r="B2083" s="159">
        <v>25</v>
      </c>
      <c r="C2083" s="159">
        <v>93</v>
      </c>
      <c r="D2083" s="159">
        <v>70</v>
      </c>
      <c r="E2083" s="159">
        <v>70</v>
      </c>
      <c r="F2083" s="131"/>
      <c r="G2083" s="132"/>
      <c r="H2083" s="162" t="s">
        <v>19272</v>
      </c>
      <c r="I2083" s="158" t="s">
        <v>19273</v>
      </c>
      <c r="J2083" s="128"/>
      <c r="K2083" s="128"/>
      <c r="L2083" s="128"/>
      <c r="M2083" s="129"/>
      <c r="N2083" s="129"/>
      <c r="O2083" s="129"/>
    </row>
    <row r="2084" spans="1:15" ht="12.5">
      <c r="A2084" s="158" t="s">
        <v>19274</v>
      </c>
      <c r="B2084" s="159">
        <v>25</v>
      </c>
      <c r="C2084" s="159">
        <v>93</v>
      </c>
      <c r="D2084" s="159">
        <v>72</v>
      </c>
      <c r="E2084" s="130"/>
      <c r="F2084" s="196"/>
      <c r="G2084" s="197"/>
      <c r="H2084" s="162" t="s">
        <v>19275</v>
      </c>
      <c r="I2084" s="128"/>
      <c r="J2084" s="128"/>
      <c r="K2084" s="128"/>
      <c r="L2084" s="128"/>
      <c r="M2084" s="129"/>
      <c r="N2084" s="129"/>
      <c r="O2084" s="129"/>
    </row>
    <row r="2085" spans="1:15" ht="12.5">
      <c r="A2085" s="158" t="s">
        <v>19276</v>
      </c>
      <c r="B2085" s="159">
        <v>25</v>
      </c>
      <c r="C2085" s="159">
        <v>93</v>
      </c>
      <c r="D2085" s="159">
        <v>72</v>
      </c>
      <c r="E2085" s="159">
        <v>8</v>
      </c>
      <c r="F2085" s="131"/>
      <c r="G2085" s="132"/>
      <c r="H2085" s="162" t="s">
        <v>19277</v>
      </c>
      <c r="I2085" s="158" t="s">
        <v>19278</v>
      </c>
      <c r="J2085" s="128"/>
      <c r="K2085" s="128"/>
      <c r="L2085" s="128"/>
      <c r="M2085" s="129"/>
      <c r="N2085" s="129"/>
      <c r="O2085" s="129"/>
    </row>
    <row r="2086" spans="1:15" ht="12.5">
      <c r="A2086" s="158" t="s">
        <v>19279</v>
      </c>
      <c r="B2086" s="159">
        <v>25</v>
      </c>
      <c r="C2086" s="159">
        <v>93</v>
      </c>
      <c r="D2086" s="159">
        <v>72</v>
      </c>
      <c r="E2086" s="159">
        <v>11</v>
      </c>
      <c r="F2086" s="131"/>
      <c r="G2086" s="132"/>
      <c r="H2086" s="162" t="s">
        <v>19280</v>
      </c>
      <c r="I2086" s="158" t="s">
        <v>19281</v>
      </c>
      <c r="J2086" s="128"/>
      <c r="K2086" s="128"/>
      <c r="L2086" s="128"/>
      <c r="M2086" s="129"/>
      <c r="N2086" s="129"/>
      <c r="O2086" s="129"/>
    </row>
    <row r="2087" spans="1:15" ht="12.5">
      <c r="A2087" s="158" t="s">
        <v>19282</v>
      </c>
      <c r="B2087" s="159">
        <v>25</v>
      </c>
      <c r="C2087" s="159">
        <v>93</v>
      </c>
      <c r="D2087" s="159">
        <v>72</v>
      </c>
      <c r="E2087" s="159">
        <v>12</v>
      </c>
      <c r="F2087" s="131"/>
      <c r="G2087" s="132"/>
      <c r="H2087" s="162" t="s">
        <v>19283</v>
      </c>
      <c r="I2087" s="158" t="s">
        <v>19284</v>
      </c>
      <c r="J2087" s="128"/>
      <c r="K2087" s="128"/>
      <c r="L2087" s="128"/>
      <c r="M2087" s="129"/>
      <c r="N2087" s="129"/>
      <c r="O2087" s="129"/>
    </row>
    <row r="2088" spans="1:15" ht="12.5">
      <c r="A2088" s="158" t="s">
        <v>19285</v>
      </c>
      <c r="B2088" s="159">
        <v>25</v>
      </c>
      <c r="C2088" s="159">
        <v>93</v>
      </c>
      <c r="D2088" s="159">
        <v>72</v>
      </c>
      <c r="E2088" s="159">
        <v>13</v>
      </c>
      <c r="F2088" s="131"/>
      <c r="G2088" s="132"/>
      <c r="H2088" s="162" t="s">
        <v>19286</v>
      </c>
      <c r="I2088" s="158" t="s">
        <v>19287</v>
      </c>
      <c r="J2088" s="128"/>
      <c r="K2088" s="128"/>
      <c r="L2088" s="128"/>
      <c r="M2088" s="129"/>
      <c r="N2088" s="129"/>
      <c r="O2088" s="129"/>
    </row>
    <row r="2089" spans="1:15" ht="12.5">
      <c r="A2089" s="158" t="s">
        <v>19288</v>
      </c>
      <c r="B2089" s="159">
        <v>25</v>
      </c>
      <c r="C2089" s="159">
        <v>93</v>
      </c>
      <c r="D2089" s="159">
        <v>72</v>
      </c>
      <c r="E2089" s="159">
        <v>14</v>
      </c>
      <c r="F2089" s="131"/>
      <c r="G2089" s="132"/>
      <c r="H2089" s="162" t="s">
        <v>19289</v>
      </c>
      <c r="I2089" s="158" t="s">
        <v>19290</v>
      </c>
      <c r="J2089" s="128"/>
      <c r="K2089" s="128"/>
      <c r="L2089" s="128"/>
      <c r="M2089" s="129"/>
      <c r="N2089" s="129"/>
      <c r="O2089" s="129"/>
    </row>
    <row r="2090" spans="1:15" ht="12.5">
      <c r="A2090" s="158" t="s">
        <v>19291</v>
      </c>
      <c r="B2090" s="159">
        <v>25</v>
      </c>
      <c r="C2090" s="159">
        <v>93</v>
      </c>
      <c r="D2090" s="159">
        <v>72</v>
      </c>
      <c r="E2090" s="159">
        <v>15</v>
      </c>
      <c r="F2090" s="131"/>
      <c r="G2090" s="132"/>
      <c r="H2090" s="162" t="s">
        <v>19292</v>
      </c>
      <c r="I2090" s="158" t="s">
        <v>19293</v>
      </c>
      <c r="J2090" s="128"/>
      <c r="K2090" s="128"/>
      <c r="L2090" s="128"/>
      <c r="M2090" s="129"/>
      <c r="N2090" s="129"/>
      <c r="O2090" s="129"/>
    </row>
    <row r="2091" spans="1:15" ht="12.5">
      <c r="A2091" s="158" t="s">
        <v>19294</v>
      </c>
      <c r="B2091" s="159">
        <v>25</v>
      </c>
      <c r="C2091" s="159">
        <v>93</v>
      </c>
      <c r="D2091" s="159">
        <v>72</v>
      </c>
      <c r="E2091" s="159">
        <v>16</v>
      </c>
      <c r="F2091" s="131"/>
      <c r="G2091" s="132"/>
      <c r="H2091" s="162" t="s">
        <v>19295</v>
      </c>
      <c r="I2091" s="158" t="s">
        <v>19296</v>
      </c>
      <c r="J2091" s="128"/>
      <c r="K2091" s="128"/>
      <c r="L2091" s="128"/>
      <c r="M2091" s="129"/>
      <c r="N2091" s="129"/>
      <c r="O2091" s="129"/>
    </row>
    <row r="2092" spans="1:15" ht="12.5">
      <c r="A2092" s="158" t="s">
        <v>19297</v>
      </c>
      <c r="B2092" s="159">
        <v>25</v>
      </c>
      <c r="C2092" s="159">
        <v>93</v>
      </c>
      <c r="D2092" s="159">
        <v>72</v>
      </c>
      <c r="E2092" s="159">
        <v>17</v>
      </c>
      <c r="F2092" s="131"/>
      <c r="G2092" s="132"/>
      <c r="H2092" s="162" t="s">
        <v>19298</v>
      </c>
      <c r="I2092" s="158" t="s">
        <v>19299</v>
      </c>
      <c r="J2092" s="128"/>
      <c r="K2092" s="128"/>
      <c r="L2092" s="128"/>
      <c r="M2092" s="129"/>
      <c r="N2092" s="129"/>
      <c r="O2092" s="129"/>
    </row>
    <row r="2093" spans="1:15" ht="12.5">
      <c r="A2093" s="158" t="s">
        <v>19300</v>
      </c>
      <c r="B2093" s="159">
        <v>25</v>
      </c>
      <c r="C2093" s="159">
        <v>93</v>
      </c>
      <c r="D2093" s="159">
        <v>72</v>
      </c>
      <c r="E2093" s="159">
        <v>18</v>
      </c>
      <c r="F2093" s="131"/>
      <c r="G2093" s="132"/>
      <c r="H2093" s="162" t="s">
        <v>19301</v>
      </c>
      <c r="I2093" s="158" t="s">
        <v>19302</v>
      </c>
      <c r="J2093" s="128"/>
      <c r="K2093" s="128"/>
      <c r="L2093" s="128"/>
      <c r="M2093" s="129"/>
      <c r="N2093" s="129"/>
      <c r="O2093" s="129"/>
    </row>
    <row r="2094" spans="1:15" ht="12.5">
      <c r="A2094" s="158" t="s">
        <v>19303</v>
      </c>
      <c r="B2094" s="159">
        <v>25</v>
      </c>
      <c r="C2094" s="159">
        <v>93</v>
      </c>
      <c r="D2094" s="159">
        <v>72</v>
      </c>
      <c r="E2094" s="159">
        <v>19</v>
      </c>
      <c r="F2094" s="131"/>
      <c r="G2094" s="132"/>
      <c r="H2094" s="162" t="s">
        <v>19304</v>
      </c>
      <c r="I2094" s="158" t="s">
        <v>19305</v>
      </c>
      <c r="J2094" s="128"/>
      <c r="K2094" s="128"/>
      <c r="L2094" s="128"/>
      <c r="M2094" s="129"/>
      <c r="N2094" s="129"/>
      <c r="O2094" s="129"/>
    </row>
    <row r="2095" spans="1:15" ht="12.5">
      <c r="A2095" s="158" t="s">
        <v>19306</v>
      </c>
      <c r="B2095" s="159">
        <v>25</v>
      </c>
      <c r="C2095" s="159">
        <v>93</v>
      </c>
      <c r="D2095" s="159">
        <v>72</v>
      </c>
      <c r="E2095" s="159">
        <v>20</v>
      </c>
      <c r="F2095" s="131"/>
      <c r="G2095" s="132"/>
      <c r="H2095" s="162" t="s">
        <v>19307</v>
      </c>
      <c r="I2095" s="158" t="s">
        <v>19308</v>
      </c>
      <c r="J2095" s="128"/>
      <c r="K2095" s="128"/>
      <c r="L2095" s="128"/>
      <c r="M2095" s="129"/>
      <c r="N2095" s="129"/>
      <c r="O2095" s="129"/>
    </row>
    <row r="2096" spans="1:15" ht="12.5">
      <c r="A2096" s="158" t="s">
        <v>19309</v>
      </c>
      <c r="B2096" s="159">
        <v>25</v>
      </c>
      <c r="C2096" s="159">
        <v>93</v>
      </c>
      <c r="D2096" s="159">
        <v>72</v>
      </c>
      <c r="E2096" s="159">
        <v>21</v>
      </c>
      <c r="F2096" s="131"/>
      <c r="G2096" s="132"/>
      <c r="H2096" s="162" t="s">
        <v>19310</v>
      </c>
      <c r="I2096" s="158" t="s">
        <v>19311</v>
      </c>
      <c r="J2096" s="128"/>
      <c r="K2096" s="128"/>
      <c r="L2096" s="128"/>
      <c r="M2096" s="129"/>
      <c r="N2096" s="129"/>
      <c r="O2096" s="129"/>
    </row>
    <row r="2097" spans="1:15" ht="12.5">
      <c r="A2097" s="158" t="s">
        <v>19312</v>
      </c>
      <c r="B2097" s="159">
        <v>25</v>
      </c>
      <c r="C2097" s="159">
        <v>93</v>
      </c>
      <c r="D2097" s="159">
        <v>72</v>
      </c>
      <c r="E2097" s="159">
        <v>30</v>
      </c>
      <c r="F2097" s="131"/>
      <c r="G2097" s="132"/>
      <c r="H2097" s="162" t="s">
        <v>19313</v>
      </c>
      <c r="I2097" s="158" t="s">
        <v>19314</v>
      </c>
      <c r="J2097" s="128"/>
      <c r="K2097" s="128"/>
      <c r="L2097" s="128"/>
      <c r="M2097" s="129"/>
      <c r="N2097" s="129"/>
      <c r="O2097" s="129"/>
    </row>
    <row r="2098" spans="1:15" ht="12.5">
      <c r="A2098" s="158" t="s">
        <v>19315</v>
      </c>
      <c r="B2098" s="159">
        <v>25</v>
      </c>
      <c r="C2098" s="159">
        <v>93</v>
      </c>
      <c r="D2098" s="159">
        <v>72</v>
      </c>
      <c r="E2098" s="159">
        <v>31</v>
      </c>
      <c r="F2098" s="131"/>
      <c r="G2098" s="132"/>
      <c r="H2098" s="162" t="s">
        <v>19316</v>
      </c>
      <c r="I2098" s="158" t="s">
        <v>19317</v>
      </c>
      <c r="J2098" s="128"/>
      <c r="K2098" s="128"/>
      <c r="L2098" s="128"/>
      <c r="M2098" s="129"/>
      <c r="N2098" s="129"/>
      <c r="O2098" s="129"/>
    </row>
    <row r="2099" spans="1:15" ht="12.5">
      <c r="A2099" s="158" t="s">
        <v>19318</v>
      </c>
      <c r="B2099" s="159">
        <v>25</v>
      </c>
      <c r="C2099" s="159">
        <v>93</v>
      </c>
      <c r="D2099" s="159">
        <v>72</v>
      </c>
      <c r="E2099" s="159">
        <v>36</v>
      </c>
      <c r="F2099" s="131"/>
      <c r="G2099" s="132"/>
      <c r="H2099" s="162" t="s">
        <v>19319</v>
      </c>
      <c r="I2099" s="128"/>
      <c r="J2099" s="128"/>
      <c r="K2099" s="128"/>
      <c r="L2099" s="128"/>
      <c r="M2099" s="129"/>
      <c r="N2099" s="129"/>
      <c r="O2099" s="129"/>
    </row>
    <row r="2100" spans="1:15" ht="12.5">
      <c r="A2100" s="158" t="s">
        <v>19320</v>
      </c>
      <c r="B2100" s="159">
        <v>25</v>
      </c>
      <c r="C2100" s="159">
        <v>93</v>
      </c>
      <c r="D2100" s="159">
        <v>72</v>
      </c>
      <c r="E2100" s="159">
        <v>37</v>
      </c>
      <c r="F2100" s="131"/>
      <c r="G2100" s="132"/>
      <c r="H2100" s="162" t="s">
        <v>19321</v>
      </c>
      <c r="I2100" s="128"/>
      <c r="J2100" s="128"/>
      <c r="K2100" s="128"/>
      <c r="L2100" s="128"/>
      <c r="M2100" s="129"/>
      <c r="N2100" s="129"/>
      <c r="O2100" s="129"/>
    </row>
    <row r="2101" spans="1:15" ht="12.5">
      <c r="A2101" s="158" t="s">
        <v>19322</v>
      </c>
      <c r="B2101" s="159">
        <v>25</v>
      </c>
      <c r="C2101" s="159">
        <v>93</v>
      </c>
      <c r="D2101" s="159">
        <v>72</v>
      </c>
      <c r="E2101" s="159">
        <v>52</v>
      </c>
      <c r="F2101" s="131"/>
      <c r="G2101" s="132"/>
      <c r="H2101" s="162" t="s">
        <v>19323</v>
      </c>
      <c r="I2101" s="158" t="s">
        <v>19324</v>
      </c>
      <c r="J2101" s="128"/>
      <c r="K2101" s="128"/>
      <c r="L2101" s="128"/>
      <c r="M2101" s="129"/>
      <c r="N2101" s="129"/>
      <c r="O2101" s="129"/>
    </row>
    <row r="2102" spans="1:15" ht="12.5">
      <c r="A2102" s="158" t="s">
        <v>19325</v>
      </c>
      <c r="B2102" s="159">
        <v>25</v>
      </c>
      <c r="C2102" s="159">
        <v>93</v>
      </c>
      <c r="D2102" s="159">
        <v>72</v>
      </c>
      <c r="E2102" s="159">
        <v>56</v>
      </c>
      <c r="F2102" s="131"/>
      <c r="G2102" s="132"/>
      <c r="H2102" s="162" t="s">
        <v>19326</v>
      </c>
      <c r="I2102" s="158" t="s">
        <v>19327</v>
      </c>
      <c r="J2102" s="128"/>
      <c r="K2102" s="128"/>
      <c r="L2102" s="128"/>
      <c r="M2102" s="129"/>
      <c r="N2102" s="129"/>
      <c r="O2102" s="129"/>
    </row>
    <row r="2103" spans="1:15" ht="12.5">
      <c r="A2103" s="158" t="s">
        <v>19328</v>
      </c>
      <c r="B2103" s="159">
        <v>25</v>
      </c>
      <c r="C2103" s="159">
        <v>93</v>
      </c>
      <c r="D2103" s="159">
        <v>72</v>
      </c>
      <c r="E2103" s="159">
        <v>57</v>
      </c>
      <c r="F2103" s="131"/>
      <c r="G2103" s="132"/>
      <c r="H2103" s="162" t="s">
        <v>19329</v>
      </c>
      <c r="I2103" s="158" t="s">
        <v>19330</v>
      </c>
      <c r="J2103" s="128"/>
      <c r="K2103" s="128"/>
      <c r="L2103" s="128"/>
      <c r="M2103" s="129"/>
      <c r="N2103" s="129"/>
      <c r="O2103" s="129"/>
    </row>
    <row r="2104" spans="1:15" ht="12.5">
      <c r="A2104" s="158" t="s">
        <v>19331</v>
      </c>
      <c r="B2104" s="159">
        <v>25</v>
      </c>
      <c r="C2104" s="159">
        <v>93</v>
      </c>
      <c r="D2104" s="159">
        <v>72</v>
      </c>
      <c r="E2104" s="159">
        <v>72</v>
      </c>
      <c r="F2104" s="131"/>
      <c r="G2104" s="132"/>
      <c r="H2104" s="162" t="s">
        <v>19332</v>
      </c>
      <c r="I2104" s="158" t="s">
        <v>19333</v>
      </c>
      <c r="J2104" s="128"/>
      <c r="K2104" s="128"/>
      <c r="L2104" s="128"/>
      <c r="M2104" s="129"/>
      <c r="N2104" s="129"/>
      <c r="O2104" s="129"/>
    </row>
    <row r="2105" spans="1:15" ht="12.5">
      <c r="A2105" s="158" t="s">
        <v>19334</v>
      </c>
      <c r="B2105" s="159">
        <v>25</v>
      </c>
      <c r="C2105" s="159">
        <v>93</v>
      </c>
      <c r="D2105" s="159">
        <v>72</v>
      </c>
      <c r="E2105" s="159">
        <v>73</v>
      </c>
      <c r="F2105" s="131"/>
      <c r="G2105" s="132"/>
      <c r="H2105" s="162" t="s">
        <v>19335</v>
      </c>
      <c r="I2105" s="158" t="s">
        <v>19336</v>
      </c>
      <c r="J2105" s="128"/>
      <c r="K2105" s="128"/>
      <c r="L2105" s="128"/>
      <c r="M2105" s="129"/>
      <c r="N2105" s="129"/>
      <c r="O2105" s="129"/>
    </row>
    <row r="2106" spans="1:15" ht="12.5">
      <c r="A2106" s="158" t="s">
        <v>19337</v>
      </c>
      <c r="B2106" s="159">
        <v>25</v>
      </c>
      <c r="C2106" s="159">
        <v>93</v>
      </c>
      <c r="D2106" s="159">
        <v>72</v>
      </c>
      <c r="E2106" s="159">
        <v>79</v>
      </c>
      <c r="F2106" s="131"/>
      <c r="G2106" s="132"/>
      <c r="H2106" s="162" t="s">
        <v>19338</v>
      </c>
      <c r="I2106" s="158" t="s">
        <v>19339</v>
      </c>
      <c r="J2106" s="128"/>
      <c r="K2106" s="128"/>
      <c r="L2106" s="128"/>
      <c r="M2106" s="129"/>
      <c r="N2106" s="129"/>
      <c r="O2106" s="129"/>
    </row>
    <row r="2107" spans="1:15" ht="12.5">
      <c r="A2107" s="158" t="s">
        <v>19340</v>
      </c>
      <c r="B2107" s="159">
        <v>25</v>
      </c>
      <c r="C2107" s="159">
        <v>93</v>
      </c>
      <c r="D2107" s="159">
        <v>72</v>
      </c>
      <c r="E2107" s="159">
        <v>96</v>
      </c>
      <c r="F2107" s="131"/>
      <c r="G2107" s="132"/>
      <c r="H2107" s="162" t="s">
        <v>19341</v>
      </c>
      <c r="I2107" s="158" t="s">
        <v>19342</v>
      </c>
      <c r="J2107" s="128"/>
      <c r="K2107" s="128"/>
      <c r="L2107" s="128"/>
      <c r="M2107" s="129"/>
      <c r="N2107" s="129"/>
      <c r="O2107" s="129"/>
    </row>
    <row r="2108" spans="1:15" ht="12.5">
      <c r="A2108" s="158" t="s">
        <v>19343</v>
      </c>
      <c r="B2108" s="159">
        <v>25</v>
      </c>
      <c r="C2108" s="159">
        <v>93</v>
      </c>
      <c r="D2108" s="159">
        <v>72</v>
      </c>
      <c r="E2108" s="159">
        <v>97</v>
      </c>
      <c r="F2108" s="131"/>
      <c r="G2108" s="132"/>
      <c r="H2108" s="162" t="s">
        <v>19344</v>
      </c>
      <c r="I2108" s="158" t="s">
        <v>19345</v>
      </c>
      <c r="J2108" s="128"/>
      <c r="K2108" s="128"/>
      <c r="L2108" s="128"/>
      <c r="M2108" s="129"/>
      <c r="N2108" s="129"/>
      <c r="O2108" s="129"/>
    </row>
    <row r="2109" spans="1:15" ht="12.5">
      <c r="A2109" s="158" t="s">
        <v>19346</v>
      </c>
      <c r="B2109" s="159">
        <v>25</v>
      </c>
      <c r="C2109" s="159">
        <v>93</v>
      </c>
      <c r="D2109" s="159">
        <v>72</v>
      </c>
      <c r="E2109" s="159">
        <v>98</v>
      </c>
      <c r="F2109" s="131"/>
      <c r="G2109" s="132"/>
      <c r="H2109" s="162" t="s">
        <v>19347</v>
      </c>
      <c r="I2109" s="158" t="s">
        <v>19348</v>
      </c>
      <c r="J2109" s="128"/>
      <c r="K2109" s="128"/>
      <c r="L2109" s="128"/>
      <c r="M2109" s="129"/>
      <c r="N2109" s="129"/>
      <c r="O2109" s="129"/>
    </row>
    <row r="2110" spans="1:15" ht="12.5">
      <c r="A2110" s="144" t="s">
        <v>19349</v>
      </c>
      <c r="B2110" s="145">
        <v>25</v>
      </c>
      <c r="C2110" s="145">
        <v>96</v>
      </c>
      <c r="D2110" s="146"/>
      <c r="E2110" s="146"/>
      <c r="F2110" s="147" t="s">
        <v>33387</v>
      </c>
      <c r="G2110" s="148"/>
      <c r="H2110" s="149" t="s">
        <v>19350</v>
      </c>
      <c r="I2110" s="150"/>
      <c r="J2110" s="150"/>
      <c r="K2110" s="150"/>
      <c r="L2110" s="150"/>
      <c r="M2110" s="191"/>
      <c r="N2110" s="191"/>
      <c r="O2110" s="191"/>
    </row>
    <row r="2111" spans="1:15" ht="12.5">
      <c r="A2111" s="158" t="s">
        <v>19351</v>
      </c>
      <c r="B2111" s="159">
        <v>25</v>
      </c>
      <c r="C2111" s="159">
        <v>96</v>
      </c>
      <c r="D2111" s="159">
        <v>35</v>
      </c>
      <c r="E2111" s="130"/>
      <c r="F2111" s="193" t="s">
        <v>32838</v>
      </c>
      <c r="G2111" s="194"/>
      <c r="H2111" s="162" t="s">
        <v>19352</v>
      </c>
      <c r="I2111" s="128"/>
      <c r="J2111" s="128"/>
      <c r="K2111" s="128"/>
      <c r="L2111" s="128"/>
      <c r="M2111" s="129"/>
      <c r="N2111" s="129"/>
      <c r="O2111" s="129"/>
    </row>
    <row r="2112" spans="1:15" ht="12.5">
      <c r="A2112" s="158" t="s">
        <v>19353</v>
      </c>
      <c r="B2112" s="159">
        <v>25</v>
      </c>
      <c r="C2112" s="159">
        <v>96</v>
      </c>
      <c r="D2112" s="159">
        <v>35</v>
      </c>
      <c r="E2112" s="159">
        <v>3</v>
      </c>
      <c r="F2112" s="131"/>
      <c r="G2112" s="132"/>
      <c r="H2112" s="162" t="s">
        <v>19354</v>
      </c>
      <c r="I2112" s="158" t="s">
        <v>19355</v>
      </c>
      <c r="J2112" s="128"/>
      <c r="K2112" s="128"/>
      <c r="L2112" s="128"/>
      <c r="M2112" s="129"/>
      <c r="N2112" s="129"/>
      <c r="O2112" s="129"/>
    </row>
    <row r="2113" spans="1:15" ht="12.5">
      <c r="A2113" s="158" t="s">
        <v>19356</v>
      </c>
      <c r="B2113" s="159">
        <v>25</v>
      </c>
      <c r="C2113" s="159">
        <v>96</v>
      </c>
      <c r="D2113" s="159">
        <v>35</v>
      </c>
      <c r="E2113" s="159">
        <v>11</v>
      </c>
      <c r="F2113" s="131"/>
      <c r="G2113" s="132"/>
      <c r="H2113" s="162" t="s">
        <v>19357</v>
      </c>
      <c r="I2113" s="158" t="s">
        <v>19358</v>
      </c>
      <c r="J2113" s="128"/>
      <c r="K2113" s="128"/>
      <c r="L2113" s="128"/>
      <c r="M2113" s="129"/>
      <c r="N2113" s="129"/>
      <c r="O2113" s="129"/>
    </row>
    <row r="2114" spans="1:15" ht="12.5">
      <c r="A2114" s="158" t="s">
        <v>19359</v>
      </c>
      <c r="B2114" s="159">
        <v>25</v>
      </c>
      <c r="C2114" s="159">
        <v>96</v>
      </c>
      <c r="D2114" s="159">
        <v>35</v>
      </c>
      <c r="E2114" s="159">
        <v>31</v>
      </c>
      <c r="F2114" s="131"/>
      <c r="G2114" s="132"/>
      <c r="H2114" s="162" t="s">
        <v>19360</v>
      </c>
      <c r="I2114" s="158" t="s">
        <v>19361</v>
      </c>
      <c r="J2114" s="128"/>
      <c r="K2114" s="128"/>
      <c r="L2114" s="128"/>
      <c r="M2114" s="129"/>
      <c r="N2114" s="129"/>
      <c r="O2114" s="129"/>
    </row>
    <row r="2115" spans="1:15" ht="12.5">
      <c r="A2115" s="158" t="s">
        <v>19362</v>
      </c>
      <c r="B2115" s="159">
        <v>25</v>
      </c>
      <c r="C2115" s="159">
        <v>96</v>
      </c>
      <c r="D2115" s="159">
        <v>35</v>
      </c>
      <c r="E2115" s="159">
        <v>37</v>
      </c>
      <c r="F2115" s="131"/>
      <c r="G2115" s="132"/>
      <c r="H2115" s="162" t="s">
        <v>19363</v>
      </c>
      <c r="I2115" s="158" t="s">
        <v>19364</v>
      </c>
      <c r="J2115" s="128"/>
      <c r="K2115" s="128"/>
      <c r="L2115" s="128"/>
      <c r="M2115" s="129"/>
      <c r="N2115" s="129"/>
      <c r="O2115" s="129"/>
    </row>
    <row r="2116" spans="1:15" ht="12.5">
      <c r="A2116" s="158" t="s">
        <v>19365</v>
      </c>
      <c r="B2116" s="159">
        <v>25</v>
      </c>
      <c r="C2116" s="159">
        <v>96</v>
      </c>
      <c r="D2116" s="159">
        <v>35</v>
      </c>
      <c r="E2116" s="159">
        <v>53</v>
      </c>
      <c r="F2116" s="131"/>
      <c r="G2116" s="132"/>
      <c r="H2116" s="162" t="s">
        <v>19366</v>
      </c>
      <c r="I2116" s="158" t="s">
        <v>19367</v>
      </c>
      <c r="J2116" s="128"/>
      <c r="K2116" s="128"/>
      <c r="L2116" s="128"/>
      <c r="M2116" s="129"/>
      <c r="N2116" s="129"/>
      <c r="O2116" s="129"/>
    </row>
    <row r="2117" spans="1:15" ht="12.5">
      <c r="A2117" s="158" t="s">
        <v>19368</v>
      </c>
      <c r="B2117" s="159">
        <v>25</v>
      </c>
      <c r="C2117" s="159">
        <v>96</v>
      </c>
      <c r="D2117" s="159">
        <v>35</v>
      </c>
      <c r="E2117" s="159">
        <v>71</v>
      </c>
      <c r="F2117" s="131"/>
      <c r="G2117" s="132"/>
      <c r="H2117" s="162" t="s">
        <v>19369</v>
      </c>
      <c r="I2117" s="158" t="s">
        <v>19370</v>
      </c>
      <c r="J2117" s="128"/>
      <c r="K2117" s="128"/>
      <c r="L2117" s="128"/>
      <c r="M2117" s="129"/>
      <c r="N2117" s="129"/>
      <c r="O2117" s="129"/>
    </row>
    <row r="2118" spans="1:15" ht="12.5">
      <c r="A2118" s="158" t="s">
        <v>19371</v>
      </c>
      <c r="B2118" s="159">
        <v>25</v>
      </c>
      <c r="C2118" s="159">
        <v>96</v>
      </c>
      <c r="D2118" s="159">
        <v>35</v>
      </c>
      <c r="E2118" s="159">
        <v>76</v>
      </c>
      <c r="F2118" s="131"/>
      <c r="G2118" s="132"/>
      <c r="H2118" s="162" t="s">
        <v>19372</v>
      </c>
      <c r="I2118" s="128"/>
      <c r="J2118" s="128"/>
      <c r="K2118" s="128"/>
      <c r="L2118" s="128"/>
      <c r="M2118" s="129"/>
      <c r="N2118" s="129"/>
      <c r="O2118" s="129"/>
    </row>
    <row r="2119" spans="1:15" ht="12.5">
      <c r="A2119" s="158" t="s">
        <v>19373</v>
      </c>
      <c r="B2119" s="159">
        <v>25</v>
      </c>
      <c r="C2119" s="159">
        <v>96</v>
      </c>
      <c r="D2119" s="159">
        <v>35</v>
      </c>
      <c r="E2119" s="159">
        <v>96</v>
      </c>
      <c r="F2119" s="131"/>
      <c r="G2119" s="132"/>
      <c r="H2119" s="162" t="s">
        <v>19374</v>
      </c>
      <c r="I2119" s="128"/>
      <c r="J2119" s="128"/>
      <c r="K2119" s="128"/>
      <c r="L2119" s="128"/>
      <c r="M2119" s="129"/>
      <c r="N2119" s="129"/>
      <c r="O2119" s="129"/>
    </row>
    <row r="2120" spans="1:15" ht="12.5">
      <c r="A2120" s="137" t="s">
        <v>19375</v>
      </c>
      <c r="B2120" s="138">
        <v>30</v>
      </c>
      <c r="C2120" s="139"/>
      <c r="D2120" s="139"/>
      <c r="E2120" s="139"/>
      <c r="F2120" s="140" t="s">
        <v>33388</v>
      </c>
      <c r="G2120" s="141"/>
      <c r="H2120" s="142" t="s">
        <v>19376</v>
      </c>
      <c r="I2120" s="143"/>
      <c r="J2120" s="143"/>
      <c r="K2120" s="143"/>
      <c r="L2120" s="143"/>
      <c r="M2120" s="192"/>
      <c r="N2120" s="192"/>
      <c r="O2120" s="192"/>
    </row>
    <row r="2121" spans="1:15" ht="12.5">
      <c r="A2121" s="144" t="s">
        <v>19377</v>
      </c>
      <c r="B2121" s="145">
        <v>30</v>
      </c>
      <c r="C2121" s="145">
        <v>31</v>
      </c>
      <c r="D2121" s="146"/>
      <c r="E2121" s="146"/>
      <c r="F2121" s="147" t="s">
        <v>33389</v>
      </c>
      <c r="G2121" s="190"/>
      <c r="H2121" s="149" t="s">
        <v>19378</v>
      </c>
      <c r="I2121" s="150"/>
      <c r="J2121" s="150"/>
      <c r="K2121" s="150"/>
      <c r="L2121" s="150"/>
      <c r="M2121" s="191"/>
      <c r="N2121" s="191"/>
      <c r="O2121" s="191"/>
    </row>
    <row r="2122" spans="1:15" ht="12.5">
      <c r="A2122" s="151" t="s">
        <v>19379</v>
      </c>
      <c r="B2122" s="152">
        <v>30</v>
      </c>
      <c r="C2122" s="152">
        <v>31</v>
      </c>
      <c r="D2122" s="152">
        <v>68</v>
      </c>
      <c r="E2122" s="153"/>
      <c r="F2122" s="154" t="s">
        <v>33390</v>
      </c>
      <c r="G2122" s="168"/>
      <c r="H2122" s="156" t="s">
        <v>19380</v>
      </c>
      <c r="I2122" s="157"/>
      <c r="J2122" s="157"/>
      <c r="K2122" s="157"/>
      <c r="L2122" s="157"/>
      <c r="M2122" s="186"/>
      <c r="N2122" s="186"/>
      <c r="O2122" s="186"/>
    </row>
    <row r="2123" spans="1:15" ht="12.5">
      <c r="A2123" s="158" t="s">
        <v>19381</v>
      </c>
      <c r="B2123" s="159">
        <v>30</v>
      </c>
      <c r="C2123" s="159">
        <v>31</v>
      </c>
      <c r="D2123" s="159">
        <v>68</v>
      </c>
      <c r="E2123" s="159">
        <v>42</v>
      </c>
      <c r="F2123" s="131"/>
      <c r="G2123" s="132"/>
      <c r="H2123" s="162" t="s">
        <v>19382</v>
      </c>
      <c r="I2123" s="158" t="s">
        <v>19383</v>
      </c>
      <c r="J2123" s="128"/>
      <c r="K2123" s="128"/>
      <c r="L2123" s="128"/>
      <c r="M2123" s="129"/>
      <c r="N2123" s="129"/>
      <c r="O2123" s="129"/>
    </row>
    <row r="2124" spans="1:15" ht="12.5">
      <c r="A2124" s="158" t="s">
        <v>19384</v>
      </c>
      <c r="B2124" s="159">
        <v>30</v>
      </c>
      <c r="C2124" s="159">
        <v>31</v>
      </c>
      <c r="D2124" s="159">
        <v>68</v>
      </c>
      <c r="E2124" s="159">
        <v>47</v>
      </c>
      <c r="F2124" s="131"/>
      <c r="G2124" s="132"/>
      <c r="H2124" s="162" t="s">
        <v>19385</v>
      </c>
      <c r="I2124" s="158" t="s">
        <v>19386</v>
      </c>
      <c r="J2124" s="128"/>
      <c r="K2124" s="128"/>
      <c r="L2124" s="128"/>
      <c r="M2124" s="129"/>
      <c r="N2124" s="129"/>
      <c r="O2124" s="129"/>
    </row>
    <row r="2125" spans="1:15" ht="12.5">
      <c r="A2125" s="158" t="s">
        <v>19387</v>
      </c>
      <c r="B2125" s="159">
        <v>30</v>
      </c>
      <c r="C2125" s="159">
        <v>31</v>
      </c>
      <c r="D2125" s="159">
        <v>68</v>
      </c>
      <c r="E2125" s="159">
        <v>51</v>
      </c>
      <c r="F2125" s="131"/>
      <c r="G2125" s="132"/>
      <c r="H2125" s="162" t="s">
        <v>19388</v>
      </c>
      <c r="I2125" s="158" t="s">
        <v>19389</v>
      </c>
      <c r="J2125" s="128"/>
      <c r="K2125" s="128"/>
      <c r="L2125" s="128"/>
      <c r="M2125" s="129"/>
      <c r="N2125" s="129"/>
      <c r="O2125" s="129"/>
    </row>
    <row r="2126" spans="1:15" ht="12.5">
      <c r="A2126" s="158" t="s">
        <v>19390</v>
      </c>
      <c r="B2126" s="159">
        <v>30</v>
      </c>
      <c r="C2126" s="159">
        <v>31</v>
      </c>
      <c r="D2126" s="159">
        <v>68</v>
      </c>
      <c r="E2126" s="159">
        <v>56</v>
      </c>
      <c r="F2126" s="131"/>
      <c r="G2126" s="132"/>
      <c r="H2126" s="162" t="s">
        <v>19391</v>
      </c>
      <c r="I2126" s="158" t="s">
        <v>19392</v>
      </c>
      <c r="J2126" s="128"/>
      <c r="K2126" s="128"/>
      <c r="L2126" s="128"/>
      <c r="M2126" s="129"/>
      <c r="N2126" s="129"/>
      <c r="O2126" s="129"/>
    </row>
    <row r="2127" spans="1:15" ht="12.5">
      <c r="A2127" s="158" t="s">
        <v>19393</v>
      </c>
      <c r="B2127" s="159">
        <v>30</v>
      </c>
      <c r="C2127" s="159">
        <v>31</v>
      </c>
      <c r="D2127" s="159">
        <v>68</v>
      </c>
      <c r="E2127" s="159">
        <v>74</v>
      </c>
      <c r="F2127" s="131"/>
      <c r="G2127" s="132"/>
      <c r="H2127" s="162" t="s">
        <v>19394</v>
      </c>
      <c r="I2127" s="158" t="s">
        <v>19395</v>
      </c>
      <c r="J2127" s="128"/>
      <c r="K2127" s="128"/>
      <c r="L2127" s="128"/>
      <c r="M2127" s="129"/>
      <c r="N2127" s="129"/>
      <c r="O2127" s="129"/>
    </row>
    <row r="2128" spans="1:15" ht="12.5">
      <c r="A2128" s="151" t="s">
        <v>19396</v>
      </c>
      <c r="B2128" s="152">
        <v>30</v>
      </c>
      <c r="C2128" s="152">
        <v>31</v>
      </c>
      <c r="D2128" s="152">
        <v>76</v>
      </c>
      <c r="E2128" s="153"/>
      <c r="F2128" s="154" t="s">
        <v>33391</v>
      </c>
      <c r="G2128" s="168"/>
      <c r="H2128" s="156" t="s">
        <v>19397</v>
      </c>
      <c r="I2128" s="157"/>
      <c r="J2128" s="157"/>
      <c r="K2128" s="157"/>
      <c r="L2128" s="157"/>
      <c r="M2128" s="186"/>
      <c r="N2128" s="186"/>
      <c r="O2128" s="186"/>
    </row>
    <row r="2129" spans="1:15" ht="12.5">
      <c r="A2129" s="158" t="s">
        <v>19398</v>
      </c>
      <c r="B2129" s="159">
        <v>30</v>
      </c>
      <c r="C2129" s="159">
        <v>31</v>
      </c>
      <c r="D2129" s="159">
        <v>76</v>
      </c>
      <c r="E2129" s="159">
        <v>2</v>
      </c>
      <c r="F2129" s="131"/>
      <c r="G2129" s="132"/>
      <c r="H2129" s="162" t="s">
        <v>19399</v>
      </c>
      <c r="I2129" s="158" t="s">
        <v>19400</v>
      </c>
      <c r="J2129" s="128"/>
      <c r="K2129" s="128"/>
      <c r="L2129" s="128"/>
      <c r="M2129" s="129"/>
      <c r="N2129" s="129"/>
      <c r="O2129" s="129"/>
    </row>
    <row r="2130" spans="1:15" ht="12.5">
      <c r="A2130" s="158" t="s">
        <v>19401</v>
      </c>
      <c r="B2130" s="159">
        <v>30</v>
      </c>
      <c r="C2130" s="159">
        <v>31</v>
      </c>
      <c r="D2130" s="159">
        <v>76</v>
      </c>
      <c r="E2130" s="159">
        <v>9</v>
      </c>
      <c r="F2130" s="131"/>
      <c r="G2130" s="132"/>
      <c r="H2130" s="162" t="s">
        <v>19402</v>
      </c>
      <c r="I2130" s="158" t="s">
        <v>19403</v>
      </c>
      <c r="J2130" s="128"/>
      <c r="K2130" s="128"/>
      <c r="L2130" s="128"/>
      <c r="M2130" s="129"/>
      <c r="N2130" s="129"/>
      <c r="O2130" s="129"/>
    </row>
    <row r="2131" spans="1:15" ht="12.5">
      <c r="A2131" s="158" t="s">
        <v>19404</v>
      </c>
      <c r="B2131" s="159">
        <v>30</v>
      </c>
      <c r="C2131" s="159">
        <v>31</v>
      </c>
      <c r="D2131" s="159">
        <v>76</v>
      </c>
      <c r="E2131" s="159">
        <v>14</v>
      </c>
      <c r="F2131" s="131"/>
      <c r="G2131" s="132"/>
      <c r="H2131" s="162" t="s">
        <v>19405</v>
      </c>
      <c r="I2131" s="158" t="s">
        <v>19406</v>
      </c>
      <c r="J2131" s="128"/>
      <c r="K2131" s="128"/>
      <c r="L2131" s="128"/>
      <c r="M2131" s="129"/>
      <c r="N2131" s="129"/>
      <c r="O2131" s="129"/>
    </row>
    <row r="2132" spans="1:15" ht="12.5">
      <c r="A2132" s="158" t="s">
        <v>19407</v>
      </c>
      <c r="B2132" s="159">
        <v>30</v>
      </c>
      <c r="C2132" s="159">
        <v>31</v>
      </c>
      <c r="D2132" s="159">
        <v>76</v>
      </c>
      <c r="E2132" s="159">
        <v>15</v>
      </c>
      <c r="F2132" s="131"/>
      <c r="G2132" s="132"/>
      <c r="H2132" s="162" t="s">
        <v>19408</v>
      </c>
      <c r="I2132" s="158" t="s">
        <v>19409</v>
      </c>
      <c r="J2132" s="128"/>
      <c r="K2132" s="128"/>
      <c r="L2132" s="128"/>
      <c r="M2132" s="129"/>
      <c r="N2132" s="129"/>
      <c r="O2132" s="129"/>
    </row>
    <row r="2133" spans="1:15" ht="12.5">
      <c r="A2133" s="158" t="s">
        <v>19410</v>
      </c>
      <c r="B2133" s="159">
        <v>30</v>
      </c>
      <c r="C2133" s="159">
        <v>31</v>
      </c>
      <c r="D2133" s="159">
        <v>76</v>
      </c>
      <c r="E2133" s="159">
        <v>16</v>
      </c>
      <c r="F2133" s="131"/>
      <c r="G2133" s="132"/>
      <c r="H2133" s="162" t="s">
        <v>19411</v>
      </c>
      <c r="I2133" s="158" t="s">
        <v>19412</v>
      </c>
      <c r="J2133" s="128"/>
      <c r="K2133" s="128"/>
      <c r="L2133" s="128"/>
      <c r="M2133" s="129"/>
      <c r="N2133" s="129"/>
      <c r="O2133" s="129"/>
    </row>
    <row r="2134" spans="1:15" ht="12.5">
      <c r="A2134" s="158" t="s">
        <v>19413</v>
      </c>
      <c r="B2134" s="159">
        <v>30</v>
      </c>
      <c r="C2134" s="159">
        <v>31</v>
      </c>
      <c r="D2134" s="159">
        <v>76</v>
      </c>
      <c r="E2134" s="159">
        <v>26</v>
      </c>
      <c r="F2134" s="131"/>
      <c r="G2134" s="132"/>
      <c r="H2134" s="162" t="s">
        <v>19414</v>
      </c>
      <c r="I2134" s="158" t="s">
        <v>19415</v>
      </c>
      <c r="J2134" s="128"/>
      <c r="K2134" s="128"/>
      <c r="L2134" s="128"/>
      <c r="M2134" s="129"/>
      <c r="N2134" s="129"/>
      <c r="O2134" s="129"/>
    </row>
    <row r="2135" spans="1:15" ht="12.5">
      <c r="A2135" s="158" t="s">
        <v>19418</v>
      </c>
      <c r="B2135" s="159">
        <v>30</v>
      </c>
      <c r="C2135" s="159">
        <v>31</v>
      </c>
      <c r="D2135" s="159">
        <v>76</v>
      </c>
      <c r="E2135" s="159">
        <v>33</v>
      </c>
      <c r="F2135" s="131"/>
      <c r="G2135" s="132"/>
      <c r="H2135" s="162" t="s">
        <v>19419</v>
      </c>
      <c r="I2135" s="158" t="s">
        <v>19420</v>
      </c>
      <c r="J2135" s="128"/>
      <c r="K2135" s="128"/>
      <c r="L2135" s="128"/>
      <c r="M2135" s="129"/>
      <c r="N2135" s="129"/>
      <c r="O2135" s="129"/>
    </row>
    <row r="2136" spans="1:15" ht="12.5">
      <c r="A2136" s="158" t="s">
        <v>19421</v>
      </c>
      <c r="B2136" s="159">
        <v>30</v>
      </c>
      <c r="C2136" s="159">
        <v>31</v>
      </c>
      <c r="D2136" s="159">
        <v>76</v>
      </c>
      <c r="E2136" s="159">
        <v>34</v>
      </c>
      <c r="F2136" s="131"/>
      <c r="G2136" s="132"/>
      <c r="H2136" s="162" t="s">
        <v>19422</v>
      </c>
      <c r="I2136" s="128"/>
      <c r="J2136" s="128"/>
      <c r="K2136" s="128"/>
      <c r="L2136" s="128"/>
      <c r="M2136" s="129"/>
      <c r="N2136" s="129"/>
      <c r="O2136" s="129"/>
    </row>
    <row r="2137" spans="1:15" ht="12.5">
      <c r="A2137" s="158" t="s">
        <v>19423</v>
      </c>
      <c r="B2137" s="159">
        <v>30</v>
      </c>
      <c r="C2137" s="159">
        <v>31</v>
      </c>
      <c r="D2137" s="159">
        <v>76</v>
      </c>
      <c r="E2137" s="159">
        <v>38</v>
      </c>
      <c r="F2137" s="131"/>
      <c r="G2137" s="132"/>
      <c r="H2137" s="162" t="s">
        <v>19424</v>
      </c>
      <c r="I2137" s="158" t="s">
        <v>19425</v>
      </c>
      <c r="J2137" s="128"/>
      <c r="K2137" s="128"/>
      <c r="L2137" s="128"/>
      <c r="M2137" s="129"/>
      <c r="N2137" s="129"/>
      <c r="O2137" s="129"/>
    </row>
    <row r="2138" spans="1:15" ht="12.5">
      <c r="A2138" s="158" t="s">
        <v>19426</v>
      </c>
      <c r="B2138" s="159">
        <v>30</v>
      </c>
      <c r="C2138" s="159">
        <v>31</v>
      </c>
      <c r="D2138" s="159">
        <v>76</v>
      </c>
      <c r="E2138" s="159">
        <v>39</v>
      </c>
      <c r="F2138" s="131"/>
      <c r="G2138" s="132"/>
      <c r="H2138" s="162" t="s">
        <v>19427</v>
      </c>
      <c r="I2138" s="158" t="s">
        <v>19428</v>
      </c>
      <c r="J2138" s="128"/>
      <c r="K2138" s="128"/>
      <c r="L2138" s="128"/>
      <c r="M2138" s="129"/>
      <c r="N2138" s="129"/>
      <c r="O2138" s="129"/>
    </row>
    <row r="2139" spans="1:15" ht="12.5">
      <c r="A2139" s="158" t="s">
        <v>19429</v>
      </c>
      <c r="B2139" s="159">
        <v>30</v>
      </c>
      <c r="C2139" s="159">
        <v>31</v>
      </c>
      <c r="D2139" s="159">
        <v>76</v>
      </c>
      <c r="E2139" s="159">
        <v>40</v>
      </c>
      <c r="F2139" s="131"/>
      <c r="G2139" s="132"/>
      <c r="H2139" s="162" t="s">
        <v>19430</v>
      </c>
      <c r="I2139" s="158" t="s">
        <v>19431</v>
      </c>
      <c r="J2139" s="128"/>
      <c r="K2139" s="128"/>
      <c r="L2139" s="128"/>
      <c r="M2139" s="129"/>
      <c r="N2139" s="129"/>
      <c r="O2139" s="129"/>
    </row>
    <row r="2140" spans="1:15" ht="12.5">
      <c r="A2140" s="158" t="s">
        <v>19432</v>
      </c>
      <c r="B2140" s="159">
        <v>30</v>
      </c>
      <c r="C2140" s="159">
        <v>31</v>
      </c>
      <c r="D2140" s="159">
        <v>76</v>
      </c>
      <c r="E2140" s="159">
        <v>41</v>
      </c>
      <c r="F2140" s="131"/>
      <c r="G2140" s="132"/>
      <c r="H2140" s="162" t="s">
        <v>19433</v>
      </c>
      <c r="I2140" s="158" t="s">
        <v>19434</v>
      </c>
      <c r="J2140" s="128"/>
      <c r="K2140" s="128"/>
      <c r="L2140" s="128"/>
      <c r="M2140" s="129"/>
      <c r="N2140" s="129"/>
      <c r="O2140" s="129"/>
    </row>
    <row r="2141" spans="1:15" ht="12.5">
      <c r="A2141" s="158" t="s">
        <v>19435</v>
      </c>
      <c r="B2141" s="159">
        <v>30</v>
      </c>
      <c r="C2141" s="159">
        <v>31</v>
      </c>
      <c r="D2141" s="159">
        <v>76</v>
      </c>
      <c r="E2141" s="159">
        <v>58</v>
      </c>
      <c r="F2141" s="131"/>
      <c r="G2141" s="132"/>
      <c r="H2141" s="162" t="s">
        <v>19436</v>
      </c>
      <c r="I2141" s="158" t="s">
        <v>19437</v>
      </c>
      <c r="J2141" s="128"/>
      <c r="K2141" s="128"/>
      <c r="L2141" s="128"/>
      <c r="M2141" s="129"/>
      <c r="N2141" s="129"/>
      <c r="O2141" s="129"/>
    </row>
    <row r="2142" spans="1:15" ht="12.5">
      <c r="A2142" s="158" t="s">
        <v>19438</v>
      </c>
      <c r="B2142" s="159">
        <v>30</v>
      </c>
      <c r="C2142" s="159">
        <v>31</v>
      </c>
      <c r="D2142" s="159">
        <v>76</v>
      </c>
      <c r="E2142" s="159">
        <v>62</v>
      </c>
      <c r="F2142" s="131"/>
      <c r="G2142" s="132"/>
      <c r="H2142" s="162" t="s">
        <v>19439</v>
      </c>
      <c r="I2142" s="158" t="s">
        <v>19440</v>
      </c>
      <c r="J2142" s="128"/>
      <c r="K2142" s="128"/>
      <c r="L2142" s="128"/>
      <c r="M2142" s="129"/>
      <c r="N2142" s="129"/>
      <c r="O2142" s="129"/>
    </row>
    <row r="2143" spans="1:15" ht="12.5">
      <c r="A2143" s="158" t="s">
        <v>19441</v>
      </c>
      <c r="B2143" s="159">
        <v>30</v>
      </c>
      <c r="C2143" s="159">
        <v>31</v>
      </c>
      <c r="D2143" s="159">
        <v>76</v>
      </c>
      <c r="E2143" s="159">
        <v>63</v>
      </c>
      <c r="F2143" s="131"/>
      <c r="G2143" s="132"/>
      <c r="H2143" s="162" t="s">
        <v>19442</v>
      </c>
      <c r="I2143" s="158" t="s">
        <v>19443</v>
      </c>
      <c r="J2143" s="128"/>
      <c r="K2143" s="128"/>
      <c r="L2143" s="128"/>
      <c r="M2143" s="129"/>
      <c r="N2143" s="129"/>
      <c r="O2143" s="129"/>
    </row>
    <row r="2144" spans="1:15" ht="12.5">
      <c r="A2144" s="158" t="s">
        <v>19444</v>
      </c>
      <c r="B2144" s="159">
        <v>30</v>
      </c>
      <c r="C2144" s="159">
        <v>31</v>
      </c>
      <c r="D2144" s="159">
        <v>76</v>
      </c>
      <c r="E2144" s="159">
        <v>65</v>
      </c>
      <c r="F2144" s="131"/>
      <c r="G2144" s="132"/>
      <c r="H2144" s="162" t="s">
        <v>19445</v>
      </c>
      <c r="I2144" s="158" t="s">
        <v>19446</v>
      </c>
      <c r="J2144" s="128"/>
      <c r="K2144" s="128"/>
      <c r="L2144" s="128"/>
      <c r="M2144" s="129"/>
      <c r="N2144" s="129"/>
      <c r="O2144" s="129"/>
    </row>
    <row r="2145" spans="1:15" ht="12.5">
      <c r="A2145" s="158" t="s">
        <v>19447</v>
      </c>
      <c r="B2145" s="159">
        <v>30</v>
      </c>
      <c r="C2145" s="159">
        <v>31</v>
      </c>
      <c r="D2145" s="159">
        <v>76</v>
      </c>
      <c r="E2145" s="159">
        <v>66</v>
      </c>
      <c r="F2145" s="131"/>
      <c r="G2145" s="132"/>
      <c r="H2145" s="162" t="s">
        <v>19448</v>
      </c>
      <c r="I2145" s="158" t="s">
        <v>19449</v>
      </c>
      <c r="J2145" s="128"/>
      <c r="K2145" s="128"/>
      <c r="L2145" s="128"/>
      <c r="M2145" s="129"/>
      <c r="N2145" s="129"/>
      <c r="O2145" s="129"/>
    </row>
    <row r="2146" spans="1:15" ht="12.5">
      <c r="A2146" s="158" t="s">
        <v>19450</v>
      </c>
      <c r="B2146" s="159">
        <v>30</v>
      </c>
      <c r="C2146" s="159">
        <v>31</v>
      </c>
      <c r="D2146" s="159">
        <v>76</v>
      </c>
      <c r="E2146" s="159">
        <v>77</v>
      </c>
      <c r="F2146" s="131"/>
      <c r="G2146" s="132"/>
      <c r="H2146" s="162" t="s">
        <v>19451</v>
      </c>
      <c r="I2146" s="158" t="s">
        <v>19452</v>
      </c>
      <c r="J2146" s="128"/>
      <c r="K2146" s="128"/>
      <c r="L2146" s="128"/>
      <c r="M2146" s="129"/>
      <c r="N2146" s="129"/>
      <c r="O2146" s="129"/>
    </row>
    <row r="2147" spans="1:15" ht="12.5">
      <c r="A2147" s="158" t="s">
        <v>19453</v>
      </c>
      <c r="B2147" s="159">
        <v>30</v>
      </c>
      <c r="C2147" s="159">
        <v>31</v>
      </c>
      <c r="D2147" s="159">
        <v>76</v>
      </c>
      <c r="E2147" s="159">
        <v>78</v>
      </c>
      <c r="F2147" s="131"/>
      <c r="G2147" s="132"/>
      <c r="H2147" s="162" t="s">
        <v>19454</v>
      </c>
      <c r="I2147" s="158" t="s">
        <v>19455</v>
      </c>
      <c r="J2147" s="128"/>
      <c r="K2147" s="128"/>
      <c r="L2147" s="128"/>
      <c r="M2147" s="129"/>
      <c r="N2147" s="129"/>
      <c r="O2147" s="129"/>
    </row>
    <row r="2148" spans="1:15" ht="12.5">
      <c r="A2148" s="158" t="s">
        <v>19456</v>
      </c>
      <c r="B2148" s="159">
        <v>30</v>
      </c>
      <c r="C2148" s="159">
        <v>31</v>
      </c>
      <c r="D2148" s="159">
        <v>76</v>
      </c>
      <c r="E2148" s="159">
        <v>84</v>
      </c>
      <c r="F2148" s="131"/>
      <c r="G2148" s="132"/>
      <c r="H2148" s="162" t="s">
        <v>19457</v>
      </c>
      <c r="I2148" s="158" t="s">
        <v>19458</v>
      </c>
      <c r="J2148" s="128"/>
      <c r="K2148" s="128"/>
      <c r="L2148" s="128"/>
      <c r="M2148" s="129"/>
      <c r="N2148" s="129"/>
      <c r="O2148" s="129"/>
    </row>
    <row r="2149" spans="1:15" ht="12.5">
      <c r="A2149" s="158" t="s">
        <v>19459</v>
      </c>
      <c r="B2149" s="159">
        <v>30</v>
      </c>
      <c r="C2149" s="159">
        <v>31</v>
      </c>
      <c r="D2149" s="159">
        <v>76</v>
      </c>
      <c r="E2149" s="159">
        <v>85</v>
      </c>
      <c r="F2149" s="131"/>
      <c r="G2149" s="132"/>
      <c r="H2149" s="162" t="s">
        <v>19460</v>
      </c>
      <c r="I2149" s="158" t="s">
        <v>19461</v>
      </c>
      <c r="J2149" s="128"/>
      <c r="K2149" s="128"/>
      <c r="L2149" s="128"/>
      <c r="M2149" s="129"/>
      <c r="N2149" s="129"/>
      <c r="O2149" s="129"/>
    </row>
    <row r="2150" spans="1:15" ht="12.5">
      <c r="A2150" s="158" t="s">
        <v>19462</v>
      </c>
      <c r="B2150" s="159">
        <v>30</v>
      </c>
      <c r="C2150" s="159">
        <v>31</v>
      </c>
      <c r="D2150" s="159">
        <v>76</v>
      </c>
      <c r="E2150" s="159">
        <v>96</v>
      </c>
      <c r="F2150" s="131"/>
      <c r="G2150" s="132"/>
      <c r="H2150" s="162" t="s">
        <v>19463</v>
      </c>
      <c r="I2150" s="158" t="s">
        <v>19464</v>
      </c>
      <c r="J2150" s="128"/>
      <c r="K2150" s="128"/>
      <c r="L2150" s="128"/>
      <c r="M2150" s="129"/>
      <c r="N2150" s="129"/>
      <c r="O2150" s="129"/>
    </row>
    <row r="2151" spans="1:15" ht="12.5">
      <c r="A2151" s="144" t="s">
        <v>19465</v>
      </c>
      <c r="B2151" s="145">
        <v>30</v>
      </c>
      <c r="C2151" s="145">
        <v>36</v>
      </c>
      <c r="D2151" s="146"/>
      <c r="E2151" s="146"/>
      <c r="F2151" s="147" t="s">
        <v>33392</v>
      </c>
      <c r="G2151" s="190"/>
      <c r="H2151" s="149" t="s">
        <v>19466</v>
      </c>
      <c r="I2151" s="150"/>
      <c r="J2151" s="150"/>
      <c r="K2151" s="150"/>
      <c r="L2151" s="150"/>
      <c r="M2151" s="191"/>
      <c r="N2151" s="191"/>
      <c r="O2151" s="191"/>
    </row>
    <row r="2152" spans="1:15" ht="12.5">
      <c r="A2152" s="151" t="s">
        <v>19467</v>
      </c>
      <c r="B2152" s="152">
        <v>30</v>
      </c>
      <c r="C2152" s="152">
        <v>36</v>
      </c>
      <c r="D2152" s="152">
        <v>8</v>
      </c>
      <c r="E2152" s="153"/>
      <c r="F2152" s="154" t="s">
        <v>33393</v>
      </c>
      <c r="G2152" s="168"/>
      <c r="H2152" s="156" t="s">
        <v>19468</v>
      </c>
      <c r="I2152" s="157"/>
      <c r="J2152" s="157"/>
      <c r="K2152" s="157"/>
      <c r="L2152" s="157"/>
      <c r="M2152" s="186"/>
      <c r="N2152" s="186"/>
      <c r="O2152" s="186"/>
    </row>
    <row r="2153" spans="1:15" ht="12.5">
      <c r="A2153" s="158" t="s">
        <v>19469</v>
      </c>
      <c r="B2153" s="159">
        <v>30</v>
      </c>
      <c r="C2153" s="159">
        <v>36</v>
      </c>
      <c r="D2153" s="159">
        <v>8</v>
      </c>
      <c r="E2153" s="159">
        <v>6</v>
      </c>
      <c r="F2153" s="131"/>
      <c r="G2153" s="132"/>
      <c r="H2153" s="162" t="s">
        <v>19470</v>
      </c>
      <c r="I2153" s="128"/>
      <c r="J2153" s="128"/>
      <c r="K2153" s="128"/>
      <c r="L2153" s="128"/>
      <c r="M2153" s="129"/>
      <c r="N2153" s="129"/>
      <c r="O2153" s="129"/>
    </row>
    <row r="2154" spans="1:15" ht="12.5">
      <c r="A2154" s="158" t="s">
        <v>19471</v>
      </c>
      <c r="B2154" s="159">
        <v>30</v>
      </c>
      <c r="C2154" s="159">
        <v>36</v>
      </c>
      <c r="D2154" s="159">
        <v>8</v>
      </c>
      <c r="E2154" s="159">
        <v>11</v>
      </c>
      <c r="F2154" s="131"/>
      <c r="G2154" s="132"/>
      <c r="H2154" s="162" t="s">
        <v>19472</v>
      </c>
      <c r="I2154" s="128"/>
      <c r="J2154" s="128"/>
      <c r="K2154" s="128"/>
      <c r="L2154" s="128"/>
      <c r="M2154" s="129"/>
      <c r="N2154" s="129"/>
      <c r="O2154" s="129"/>
    </row>
    <row r="2155" spans="1:15" ht="12.5">
      <c r="A2155" s="158" t="s">
        <v>19473</v>
      </c>
      <c r="B2155" s="159">
        <v>30</v>
      </c>
      <c r="C2155" s="159">
        <v>36</v>
      </c>
      <c r="D2155" s="159">
        <v>8</v>
      </c>
      <c r="E2155" s="159">
        <v>12</v>
      </c>
      <c r="F2155" s="131"/>
      <c r="G2155" s="132"/>
      <c r="H2155" s="162" t="s">
        <v>19474</v>
      </c>
      <c r="I2155" s="128"/>
      <c r="J2155" s="128"/>
      <c r="K2155" s="128"/>
      <c r="L2155" s="128"/>
      <c r="M2155" s="129"/>
      <c r="N2155" s="129"/>
      <c r="O2155" s="129"/>
    </row>
    <row r="2156" spans="1:15" ht="12.5">
      <c r="A2156" s="158" t="s">
        <v>19477</v>
      </c>
      <c r="B2156" s="159">
        <v>30</v>
      </c>
      <c r="C2156" s="159">
        <v>36</v>
      </c>
      <c r="D2156" s="159">
        <v>8</v>
      </c>
      <c r="E2156" s="159">
        <v>15</v>
      </c>
      <c r="F2156" s="131"/>
      <c r="G2156" s="132"/>
      <c r="H2156" s="162" t="s">
        <v>19478</v>
      </c>
      <c r="I2156" s="128"/>
      <c r="J2156" s="128"/>
      <c r="K2156" s="128"/>
      <c r="L2156" s="128"/>
      <c r="M2156" s="129"/>
      <c r="N2156" s="129"/>
      <c r="O2156" s="129"/>
    </row>
    <row r="2157" spans="1:15" ht="12.5">
      <c r="A2157" s="158" t="s">
        <v>19479</v>
      </c>
      <c r="B2157" s="159">
        <v>30</v>
      </c>
      <c r="C2157" s="159">
        <v>36</v>
      </c>
      <c r="D2157" s="159">
        <v>8</v>
      </c>
      <c r="E2157" s="159">
        <v>16</v>
      </c>
      <c r="F2157" s="131"/>
      <c r="G2157" s="132"/>
      <c r="H2157" s="162" t="s">
        <v>19480</v>
      </c>
      <c r="I2157" s="128"/>
      <c r="J2157" s="128"/>
      <c r="K2157" s="128"/>
      <c r="L2157" s="128"/>
      <c r="M2157" s="129"/>
      <c r="N2157" s="129"/>
      <c r="O2157" s="129"/>
    </row>
    <row r="2158" spans="1:15" ht="12.5">
      <c r="A2158" s="158" t="s">
        <v>19481</v>
      </c>
      <c r="B2158" s="159">
        <v>30</v>
      </c>
      <c r="C2158" s="159">
        <v>36</v>
      </c>
      <c r="D2158" s="159">
        <v>8</v>
      </c>
      <c r="E2158" s="159">
        <v>18</v>
      </c>
      <c r="F2158" s="131"/>
      <c r="G2158" s="132"/>
      <c r="H2158" s="162" t="s">
        <v>19482</v>
      </c>
      <c r="I2158" s="128"/>
      <c r="J2158" s="128"/>
      <c r="K2158" s="128"/>
      <c r="L2158" s="128"/>
      <c r="M2158" s="129"/>
      <c r="N2158" s="129"/>
      <c r="O2158" s="129"/>
    </row>
    <row r="2159" spans="1:15" ht="12.5">
      <c r="A2159" s="158" t="s">
        <v>19483</v>
      </c>
      <c r="B2159" s="159">
        <v>30</v>
      </c>
      <c r="C2159" s="159">
        <v>36</v>
      </c>
      <c r="D2159" s="159">
        <v>8</v>
      </c>
      <c r="E2159" s="159">
        <v>19</v>
      </c>
      <c r="F2159" s="131"/>
      <c r="G2159" s="132"/>
      <c r="H2159" s="162" t="s">
        <v>19484</v>
      </c>
      <c r="I2159" s="128"/>
      <c r="J2159" s="128"/>
      <c r="K2159" s="128"/>
      <c r="L2159" s="128"/>
      <c r="M2159" s="129"/>
      <c r="N2159" s="129"/>
      <c r="O2159" s="129"/>
    </row>
    <row r="2160" spans="1:15" ht="12.5">
      <c r="A2160" s="158" t="s">
        <v>19485</v>
      </c>
      <c r="B2160" s="159">
        <v>30</v>
      </c>
      <c r="C2160" s="159">
        <v>36</v>
      </c>
      <c r="D2160" s="159">
        <v>8</v>
      </c>
      <c r="E2160" s="159">
        <v>20</v>
      </c>
      <c r="F2160" s="131"/>
      <c r="G2160" s="132"/>
      <c r="H2160" s="162" t="s">
        <v>19486</v>
      </c>
      <c r="I2160" s="128"/>
      <c r="J2160" s="128"/>
      <c r="K2160" s="128"/>
      <c r="L2160" s="128"/>
      <c r="M2160" s="129"/>
      <c r="N2160" s="129"/>
      <c r="O2160" s="129"/>
    </row>
    <row r="2161" spans="1:15" ht="12.5">
      <c r="A2161" s="158" t="s">
        <v>19487</v>
      </c>
      <c r="B2161" s="159">
        <v>30</v>
      </c>
      <c r="C2161" s="159">
        <v>36</v>
      </c>
      <c r="D2161" s="159">
        <v>8</v>
      </c>
      <c r="E2161" s="159">
        <v>21</v>
      </c>
      <c r="F2161" s="131"/>
      <c r="G2161" s="132"/>
      <c r="H2161" s="162" t="s">
        <v>19488</v>
      </c>
      <c r="I2161" s="128"/>
      <c r="J2161" s="128"/>
      <c r="K2161" s="128"/>
      <c r="L2161" s="128"/>
      <c r="M2161" s="129"/>
      <c r="N2161" s="129"/>
      <c r="O2161" s="129"/>
    </row>
    <row r="2162" spans="1:15" ht="12.5">
      <c r="A2162" s="158" t="s">
        <v>19489</v>
      </c>
      <c r="B2162" s="159">
        <v>30</v>
      </c>
      <c r="C2162" s="159">
        <v>36</v>
      </c>
      <c r="D2162" s="159">
        <v>8</v>
      </c>
      <c r="E2162" s="159">
        <v>22</v>
      </c>
      <c r="F2162" s="131"/>
      <c r="G2162" s="132"/>
      <c r="H2162" s="162" t="s">
        <v>19490</v>
      </c>
      <c r="I2162" s="128"/>
      <c r="J2162" s="128"/>
      <c r="K2162" s="128"/>
      <c r="L2162" s="128"/>
      <c r="M2162" s="129"/>
      <c r="N2162" s="129"/>
      <c r="O2162" s="129"/>
    </row>
    <row r="2163" spans="1:15" ht="12.5">
      <c r="A2163" s="158" t="s">
        <v>19491</v>
      </c>
      <c r="B2163" s="159">
        <v>30</v>
      </c>
      <c r="C2163" s="159">
        <v>36</v>
      </c>
      <c r="D2163" s="159">
        <v>8</v>
      </c>
      <c r="E2163" s="159">
        <v>23</v>
      </c>
      <c r="F2163" s="131"/>
      <c r="G2163" s="132"/>
      <c r="H2163" s="162" t="s">
        <v>19492</v>
      </c>
      <c r="I2163" s="158" t="s">
        <v>19493</v>
      </c>
      <c r="J2163" s="128"/>
      <c r="K2163" s="128"/>
      <c r="L2163" s="128"/>
      <c r="M2163" s="129"/>
      <c r="N2163" s="129"/>
      <c r="O2163" s="129"/>
    </row>
    <row r="2164" spans="1:15" ht="12.5">
      <c r="A2164" s="158" t="s">
        <v>19494</v>
      </c>
      <c r="B2164" s="159">
        <v>30</v>
      </c>
      <c r="C2164" s="159">
        <v>36</v>
      </c>
      <c r="D2164" s="159">
        <v>8</v>
      </c>
      <c r="E2164" s="159">
        <v>24</v>
      </c>
      <c r="F2164" s="131"/>
      <c r="G2164" s="132"/>
      <c r="H2164" s="162" t="s">
        <v>19495</v>
      </c>
      <c r="I2164" s="158" t="s">
        <v>19496</v>
      </c>
      <c r="J2164" s="128"/>
      <c r="K2164" s="128"/>
      <c r="L2164" s="128"/>
      <c r="M2164" s="129"/>
      <c r="N2164" s="129"/>
      <c r="O2164" s="129"/>
    </row>
    <row r="2165" spans="1:15" ht="12.5">
      <c r="A2165" s="158" t="s">
        <v>19499</v>
      </c>
      <c r="B2165" s="159">
        <v>30</v>
      </c>
      <c r="C2165" s="159">
        <v>36</v>
      </c>
      <c r="D2165" s="159">
        <v>8</v>
      </c>
      <c r="E2165" s="159">
        <v>26</v>
      </c>
      <c r="F2165" s="131"/>
      <c r="G2165" s="132"/>
      <c r="H2165" s="162" t="s">
        <v>19500</v>
      </c>
      <c r="I2165" s="158" t="s">
        <v>19501</v>
      </c>
      <c r="J2165" s="128"/>
      <c r="K2165" s="128"/>
      <c r="L2165" s="128"/>
      <c r="M2165" s="129"/>
      <c r="N2165" s="129"/>
      <c r="O2165" s="129"/>
    </row>
    <row r="2166" spans="1:15" ht="12.5">
      <c r="A2166" s="158" t="s">
        <v>19502</v>
      </c>
      <c r="B2166" s="159">
        <v>30</v>
      </c>
      <c r="C2166" s="159">
        <v>36</v>
      </c>
      <c r="D2166" s="159">
        <v>8</v>
      </c>
      <c r="E2166" s="159">
        <v>27</v>
      </c>
      <c r="F2166" s="131"/>
      <c r="G2166" s="132"/>
      <c r="H2166" s="162" t="s">
        <v>19503</v>
      </c>
      <c r="I2166" s="128"/>
      <c r="J2166" s="128"/>
      <c r="K2166" s="128"/>
      <c r="L2166" s="128"/>
      <c r="M2166" s="129"/>
      <c r="N2166" s="129"/>
      <c r="O2166" s="129"/>
    </row>
    <row r="2167" spans="1:15" ht="12.5">
      <c r="A2167" s="158" t="s">
        <v>19504</v>
      </c>
      <c r="B2167" s="159">
        <v>30</v>
      </c>
      <c r="C2167" s="159">
        <v>36</v>
      </c>
      <c r="D2167" s="159">
        <v>8</v>
      </c>
      <c r="E2167" s="159">
        <v>28</v>
      </c>
      <c r="F2167" s="131"/>
      <c r="G2167" s="132"/>
      <c r="H2167" s="162" t="s">
        <v>19505</v>
      </c>
      <c r="I2167" s="158" t="s">
        <v>19506</v>
      </c>
      <c r="J2167" s="128"/>
      <c r="K2167" s="128"/>
      <c r="L2167" s="128"/>
      <c r="M2167" s="129"/>
      <c r="N2167" s="129"/>
      <c r="O2167" s="129"/>
    </row>
    <row r="2168" spans="1:15" ht="12.5">
      <c r="A2168" s="158" t="s">
        <v>19507</v>
      </c>
      <c r="B2168" s="159">
        <v>30</v>
      </c>
      <c r="C2168" s="159">
        <v>36</v>
      </c>
      <c r="D2168" s="159">
        <v>8</v>
      </c>
      <c r="E2168" s="159">
        <v>29</v>
      </c>
      <c r="F2168" s="131"/>
      <c r="G2168" s="132"/>
      <c r="H2168" s="162" t="s">
        <v>19508</v>
      </c>
      <c r="I2168" s="158" t="s">
        <v>19509</v>
      </c>
      <c r="J2168" s="128"/>
      <c r="K2168" s="128"/>
      <c r="L2168" s="128"/>
      <c r="M2168" s="129"/>
      <c r="N2168" s="129"/>
      <c r="O2168" s="129"/>
    </row>
    <row r="2169" spans="1:15" ht="12.5">
      <c r="A2169" s="158" t="s">
        <v>19510</v>
      </c>
      <c r="B2169" s="159">
        <v>30</v>
      </c>
      <c r="C2169" s="159">
        <v>36</v>
      </c>
      <c r="D2169" s="159">
        <v>8</v>
      </c>
      <c r="E2169" s="159">
        <v>30</v>
      </c>
      <c r="F2169" s="131"/>
      <c r="G2169" s="132"/>
      <c r="H2169" s="162" t="s">
        <v>19511</v>
      </c>
      <c r="I2169" s="158" t="s">
        <v>19512</v>
      </c>
      <c r="J2169" s="128"/>
      <c r="K2169" s="128"/>
      <c r="L2169" s="128"/>
      <c r="M2169" s="129"/>
      <c r="N2169" s="129"/>
      <c r="O2169" s="129"/>
    </row>
    <row r="2170" spans="1:15" ht="12.5">
      <c r="A2170" s="158" t="s">
        <v>19513</v>
      </c>
      <c r="B2170" s="159">
        <v>30</v>
      </c>
      <c r="C2170" s="159">
        <v>36</v>
      </c>
      <c r="D2170" s="159">
        <v>8</v>
      </c>
      <c r="E2170" s="159">
        <v>31</v>
      </c>
      <c r="F2170" s="131"/>
      <c r="G2170" s="132"/>
      <c r="H2170" s="162" t="s">
        <v>19514</v>
      </c>
      <c r="I2170" s="158" t="s">
        <v>19515</v>
      </c>
      <c r="J2170" s="128"/>
      <c r="K2170" s="128"/>
      <c r="L2170" s="128"/>
      <c r="M2170" s="129"/>
      <c r="N2170" s="129"/>
      <c r="O2170" s="129"/>
    </row>
    <row r="2171" spans="1:15" ht="12.5">
      <c r="A2171" s="158" t="s">
        <v>19516</v>
      </c>
      <c r="B2171" s="159">
        <v>30</v>
      </c>
      <c r="C2171" s="159">
        <v>36</v>
      </c>
      <c r="D2171" s="159">
        <v>8</v>
      </c>
      <c r="E2171" s="159">
        <v>32</v>
      </c>
      <c r="F2171" s="131"/>
      <c r="G2171" s="132"/>
      <c r="H2171" s="162" t="s">
        <v>19517</v>
      </c>
      <c r="I2171" s="128"/>
      <c r="J2171" s="128"/>
      <c r="K2171" s="128"/>
      <c r="L2171" s="128"/>
      <c r="M2171" s="129"/>
      <c r="N2171" s="129"/>
      <c r="O2171" s="129"/>
    </row>
    <row r="2172" spans="1:15" ht="12.5">
      <c r="A2172" s="158" t="s">
        <v>19518</v>
      </c>
      <c r="B2172" s="159">
        <v>30</v>
      </c>
      <c r="C2172" s="159">
        <v>36</v>
      </c>
      <c r="D2172" s="159">
        <v>8</v>
      </c>
      <c r="E2172" s="159">
        <v>33</v>
      </c>
      <c r="F2172" s="131"/>
      <c r="G2172" s="132"/>
      <c r="H2172" s="162" t="s">
        <v>19519</v>
      </c>
      <c r="I2172" s="128"/>
      <c r="J2172" s="128"/>
      <c r="K2172" s="128"/>
      <c r="L2172" s="128"/>
      <c r="M2172" s="129"/>
      <c r="N2172" s="129"/>
      <c r="O2172" s="129"/>
    </row>
    <row r="2173" spans="1:15" ht="12.5">
      <c r="A2173" s="158" t="s">
        <v>19520</v>
      </c>
      <c r="B2173" s="159">
        <v>30</v>
      </c>
      <c r="C2173" s="159">
        <v>36</v>
      </c>
      <c r="D2173" s="159">
        <v>8</v>
      </c>
      <c r="E2173" s="159">
        <v>34</v>
      </c>
      <c r="F2173" s="131"/>
      <c r="G2173" s="132"/>
      <c r="H2173" s="162" t="s">
        <v>19521</v>
      </c>
      <c r="I2173" s="158" t="s">
        <v>19522</v>
      </c>
      <c r="J2173" s="128"/>
      <c r="K2173" s="128"/>
      <c r="L2173" s="128"/>
      <c r="M2173" s="129"/>
      <c r="N2173" s="129"/>
      <c r="O2173" s="129"/>
    </row>
    <row r="2174" spans="1:15" ht="12.5">
      <c r="A2174" s="158" t="s">
        <v>19523</v>
      </c>
      <c r="B2174" s="159">
        <v>30</v>
      </c>
      <c r="C2174" s="159">
        <v>36</v>
      </c>
      <c r="D2174" s="159">
        <v>8</v>
      </c>
      <c r="E2174" s="159">
        <v>35</v>
      </c>
      <c r="F2174" s="131"/>
      <c r="G2174" s="132"/>
      <c r="H2174" s="162" t="s">
        <v>19524</v>
      </c>
      <c r="I2174" s="158" t="s">
        <v>19525</v>
      </c>
      <c r="J2174" s="128"/>
      <c r="K2174" s="128"/>
      <c r="L2174" s="128"/>
      <c r="M2174" s="129"/>
      <c r="N2174" s="129"/>
      <c r="O2174" s="129"/>
    </row>
    <row r="2175" spans="1:15" ht="12.5">
      <c r="A2175" s="158" t="s">
        <v>19526</v>
      </c>
      <c r="B2175" s="159">
        <v>30</v>
      </c>
      <c r="C2175" s="159">
        <v>36</v>
      </c>
      <c r="D2175" s="159">
        <v>8</v>
      </c>
      <c r="E2175" s="159">
        <v>42</v>
      </c>
      <c r="F2175" s="131"/>
      <c r="G2175" s="132"/>
      <c r="H2175" s="162" t="s">
        <v>19527</v>
      </c>
      <c r="I2175" s="128"/>
      <c r="J2175" s="128"/>
      <c r="K2175" s="128"/>
      <c r="L2175" s="128"/>
      <c r="M2175" s="129"/>
      <c r="N2175" s="129"/>
      <c r="O2175" s="129"/>
    </row>
    <row r="2176" spans="1:15" ht="12.5">
      <c r="A2176" s="158" t="s">
        <v>19528</v>
      </c>
      <c r="B2176" s="159">
        <v>30</v>
      </c>
      <c r="C2176" s="159">
        <v>36</v>
      </c>
      <c r="D2176" s="159">
        <v>8</v>
      </c>
      <c r="E2176" s="159">
        <v>43</v>
      </c>
      <c r="F2176" s="131"/>
      <c r="G2176" s="132"/>
      <c r="H2176" s="162" t="s">
        <v>19529</v>
      </c>
      <c r="I2176" s="128"/>
      <c r="J2176" s="128"/>
      <c r="K2176" s="128"/>
      <c r="L2176" s="128"/>
      <c r="M2176" s="129"/>
      <c r="N2176" s="129"/>
      <c r="O2176" s="129"/>
    </row>
    <row r="2177" spans="1:15" ht="12.5">
      <c r="A2177" s="158" t="s">
        <v>19530</v>
      </c>
      <c r="B2177" s="159">
        <v>30</v>
      </c>
      <c r="C2177" s="159">
        <v>36</v>
      </c>
      <c r="D2177" s="159">
        <v>8</v>
      </c>
      <c r="E2177" s="159">
        <v>44</v>
      </c>
      <c r="F2177" s="131"/>
      <c r="G2177" s="132"/>
      <c r="H2177" s="162" t="s">
        <v>19531</v>
      </c>
      <c r="I2177" s="128"/>
      <c r="J2177" s="128"/>
      <c r="K2177" s="128"/>
      <c r="L2177" s="128"/>
      <c r="M2177" s="129"/>
      <c r="N2177" s="129"/>
      <c r="O2177" s="129"/>
    </row>
    <row r="2178" spans="1:15" ht="12.5">
      <c r="A2178" s="158" t="s">
        <v>19532</v>
      </c>
      <c r="B2178" s="159">
        <v>30</v>
      </c>
      <c r="C2178" s="159">
        <v>36</v>
      </c>
      <c r="D2178" s="159">
        <v>8</v>
      </c>
      <c r="E2178" s="159">
        <v>45</v>
      </c>
      <c r="F2178" s="131"/>
      <c r="G2178" s="132"/>
      <c r="H2178" s="162" t="s">
        <v>19533</v>
      </c>
      <c r="I2178" s="128"/>
      <c r="J2178" s="128"/>
      <c r="K2178" s="128"/>
      <c r="L2178" s="128"/>
      <c r="M2178" s="129"/>
      <c r="N2178" s="129"/>
      <c r="O2178" s="129"/>
    </row>
    <row r="2179" spans="1:15" ht="12.5">
      <c r="A2179" s="158" t="s">
        <v>19534</v>
      </c>
      <c r="B2179" s="159">
        <v>30</v>
      </c>
      <c r="C2179" s="159">
        <v>36</v>
      </c>
      <c r="D2179" s="159">
        <v>8</v>
      </c>
      <c r="E2179" s="159">
        <v>46</v>
      </c>
      <c r="F2179" s="131"/>
      <c r="G2179" s="132"/>
      <c r="H2179" s="162" t="s">
        <v>19535</v>
      </c>
      <c r="I2179" s="128"/>
      <c r="J2179" s="128"/>
      <c r="K2179" s="128"/>
      <c r="L2179" s="128"/>
      <c r="M2179" s="129"/>
      <c r="N2179" s="129"/>
      <c r="O2179" s="129"/>
    </row>
    <row r="2180" spans="1:15" ht="12.5">
      <c r="A2180" s="158" t="s">
        <v>19536</v>
      </c>
      <c r="B2180" s="159">
        <v>30</v>
      </c>
      <c r="C2180" s="159">
        <v>36</v>
      </c>
      <c r="D2180" s="159">
        <v>8</v>
      </c>
      <c r="E2180" s="159">
        <v>48</v>
      </c>
      <c r="F2180" s="131"/>
      <c r="G2180" s="132"/>
      <c r="H2180" s="162" t="s">
        <v>19537</v>
      </c>
      <c r="I2180" s="128"/>
      <c r="J2180" s="128"/>
      <c r="K2180" s="128"/>
      <c r="L2180" s="128"/>
      <c r="M2180" s="129"/>
      <c r="N2180" s="129"/>
      <c r="O2180" s="129"/>
    </row>
    <row r="2181" spans="1:15" ht="12.5">
      <c r="A2181" s="158" t="s">
        <v>19538</v>
      </c>
      <c r="B2181" s="159">
        <v>30</v>
      </c>
      <c r="C2181" s="159">
        <v>36</v>
      </c>
      <c r="D2181" s="159">
        <v>8</v>
      </c>
      <c r="E2181" s="159">
        <v>51</v>
      </c>
      <c r="F2181" s="131"/>
      <c r="G2181" s="132"/>
      <c r="H2181" s="162" t="s">
        <v>19539</v>
      </c>
      <c r="I2181" s="128"/>
      <c r="J2181" s="128"/>
      <c r="K2181" s="128"/>
      <c r="L2181" s="128"/>
      <c r="M2181" s="129"/>
      <c r="N2181" s="129"/>
      <c r="O2181" s="129"/>
    </row>
    <row r="2182" spans="1:15" ht="12.5">
      <c r="A2182" s="158" t="s">
        <v>19540</v>
      </c>
      <c r="B2182" s="159">
        <v>30</v>
      </c>
      <c r="C2182" s="159">
        <v>36</v>
      </c>
      <c r="D2182" s="159">
        <v>8</v>
      </c>
      <c r="E2182" s="159">
        <v>52</v>
      </c>
      <c r="F2182" s="131"/>
      <c r="G2182" s="132"/>
      <c r="H2182" s="162" t="s">
        <v>19541</v>
      </c>
      <c r="I2182" s="128"/>
      <c r="J2182" s="128"/>
      <c r="K2182" s="128"/>
      <c r="L2182" s="128"/>
      <c r="M2182" s="129"/>
      <c r="N2182" s="129"/>
      <c r="O2182" s="129"/>
    </row>
    <row r="2183" spans="1:15" ht="12.5">
      <c r="A2183" s="158" t="s">
        <v>19542</v>
      </c>
      <c r="B2183" s="159">
        <v>30</v>
      </c>
      <c r="C2183" s="159">
        <v>36</v>
      </c>
      <c r="D2183" s="159">
        <v>8</v>
      </c>
      <c r="E2183" s="159">
        <v>53</v>
      </c>
      <c r="F2183" s="131"/>
      <c r="G2183" s="132"/>
      <c r="H2183" s="162" t="s">
        <v>19543</v>
      </c>
      <c r="I2183" s="128"/>
      <c r="J2183" s="128"/>
      <c r="K2183" s="128"/>
      <c r="L2183" s="128"/>
      <c r="M2183" s="129"/>
      <c r="N2183" s="129"/>
      <c r="O2183" s="129"/>
    </row>
    <row r="2184" spans="1:15" ht="12.5">
      <c r="A2184" s="158" t="s">
        <v>19544</v>
      </c>
      <c r="B2184" s="159">
        <v>30</v>
      </c>
      <c r="C2184" s="159">
        <v>36</v>
      </c>
      <c r="D2184" s="159">
        <v>8</v>
      </c>
      <c r="E2184" s="159">
        <v>54</v>
      </c>
      <c r="F2184" s="131"/>
      <c r="G2184" s="132"/>
      <c r="H2184" s="162" t="s">
        <v>19545</v>
      </c>
      <c r="I2184" s="158" t="s">
        <v>19546</v>
      </c>
      <c r="J2184" s="128"/>
      <c r="K2184" s="128"/>
      <c r="L2184" s="128"/>
      <c r="M2184" s="129"/>
      <c r="N2184" s="129"/>
      <c r="O2184" s="129"/>
    </row>
    <row r="2185" spans="1:15" ht="12.5">
      <c r="A2185" s="158" t="s">
        <v>19547</v>
      </c>
      <c r="B2185" s="159">
        <v>30</v>
      </c>
      <c r="C2185" s="159">
        <v>36</v>
      </c>
      <c r="D2185" s="159">
        <v>8</v>
      </c>
      <c r="E2185" s="159">
        <v>56</v>
      </c>
      <c r="F2185" s="131"/>
      <c r="G2185" s="132"/>
      <c r="H2185" s="162" t="s">
        <v>19548</v>
      </c>
      <c r="I2185" s="128"/>
      <c r="J2185" s="128"/>
      <c r="K2185" s="128"/>
      <c r="L2185" s="128"/>
      <c r="M2185" s="129"/>
      <c r="N2185" s="129"/>
      <c r="O2185" s="129"/>
    </row>
    <row r="2186" spans="1:15" ht="12.5">
      <c r="A2186" s="158" t="s">
        <v>19549</v>
      </c>
      <c r="B2186" s="159">
        <v>30</v>
      </c>
      <c r="C2186" s="159">
        <v>36</v>
      </c>
      <c r="D2186" s="159">
        <v>8</v>
      </c>
      <c r="E2186" s="159">
        <v>60</v>
      </c>
      <c r="F2186" s="131"/>
      <c r="G2186" s="132"/>
      <c r="H2186" s="162" t="s">
        <v>19550</v>
      </c>
      <c r="I2186" s="128"/>
      <c r="J2186" s="128"/>
      <c r="K2186" s="128"/>
      <c r="L2186" s="128"/>
      <c r="M2186" s="129"/>
      <c r="N2186" s="129"/>
      <c r="O2186" s="129"/>
    </row>
    <row r="2187" spans="1:15" ht="12.5">
      <c r="A2187" s="158" t="s">
        <v>19551</v>
      </c>
      <c r="B2187" s="159">
        <v>30</v>
      </c>
      <c r="C2187" s="159">
        <v>36</v>
      </c>
      <c r="D2187" s="159">
        <v>8</v>
      </c>
      <c r="E2187" s="159">
        <v>61</v>
      </c>
      <c r="F2187" s="131"/>
      <c r="G2187" s="132"/>
      <c r="H2187" s="162" t="s">
        <v>19552</v>
      </c>
      <c r="I2187" s="158" t="s">
        <v>19553</v>
      </c>
      <c r="J2187" s="128"/>
      <c r="K2187" s="128"/>
      <c r="L2187" s="128"/>
      <c r="M2187" s="129"/>
      <c r="N2187" s="129"/>
      <c r="O2187" s="129"/>
    </row>
    <row r="2188" spans="1:15" ht="12.5">
      <c r="A2188" s="158" t="s">
        <v>19554</v>
      </c>
      <c r="B2188" s="159">
        <v>30</v>
      </c>
      <c r="C2188" s="159">
        <v>36</v>
      </c>
      <c r="D2188" s="159">
        <v>8</v>
      </c>
      <c r="E2188" s="159">
        <v>62</v>
      </c>
      <c r="F2188" s="131"/>
      <c r="G2188" s="132"/>
      <c r="H2188" s="162" t="s">
        <v>19555</v>
      </c>
      <c r="I2188" s="158" t="s">
        <v>19556</v>
      </c>
      <c r="J2188" s="128"/>
      <c r="K2188" s="128"/>
      <c r="L2188" s="128"/>
      <c r="M2188" s="129"/>
      <c r="N2188" s="129"/>
      <c r="O2188" s="129"/>
    </row>
    <row r="2189" spans="1:15" ht="12.5">
      <c r="A2189" s="158" t="s">
        <v>19557</v>
      </c>
      <c r="B2189" s="159">
        <v>30</v>
      </c>
      <c r="C2189" s="159">
        <v>36</v>
      </c>
      <c r="D2189" s="159">
        <v>8</v>
      </c>
      <c r="E2189" s="159">
        <v>63</v>
      </c>
      <c r="F2189" s="131"/>
      <c r="G2189" s="132"/>
      <c r="H2189" s="162" t="s">
        <v>19558</v>
      </c>
      <c r="I2189" s="158" t="s">
        <v>19559</v>
      </c>
      <c r="J2189" s="128"/>
      <c r="K2189" s="128"/>
      <c r="L2189" s="128"/>
      <c r="M2189" s="129"/>
      <c r="N2189" s="129"/>
      <c r="O2189" s="129"/>
    </row>
    <row r="2190" spans="1:15" ht="12.5">
      <c r="A2190" s="158" t="s">
        <v>19560</v>
      </c>
      <c r="B2190" s="159">
        <v>30</v>
      </c>
      <c r="C2190" s="159">
        <v>36</v>
      </c>
      <c r="D2190" s="159">
        <v>8</v>
      </c>
      <c r="E2190" s="159">
        <v>68</v>
      </c>
      <c r="F2190" s="131"/>
      <c r="G2190" s="132"/>
      <c r="H2190" s="162" t="s">
        <v>19561</v>
      </c>
      <c r="I2190" s="128"/>
      <c r="J2190" s="128"/>
      <c r="K2190" s="128"/>
      <c r="L2190" s="128"/>
      <c r="M2190" s="129"/>
      <c r="N2190" s="129"/>
      <c r="O2190" s="129"/>
    </row>
    <row r="2191" spans="1:15" ht="12.5">
      <c r="A2191" s="158" t="s">
        <v>19562</v>
      </c>
      <c r="B2191" s="159">
        <v>30</v>
      </c>
      <c r="C2191" s="159">
        <v>36</v>
      </c>
      <c r="D2191" s="159">
        <v>8</v>
      </c>
      <c r="E2191" s="159">
        <v>71</v>
      </c>
      <c r="F2191" s="131"/>
      <c r="G2191" s="132"/>
      <c r="H2191" s="162" t="s">
        <v>19563</v>
      </c>
      <c r="I2191" s="128"/>
      <c r="J2191" s="128"/>
      <c r="K2191" s="128"/>
      <c r="L2191" s="128"/>
      <c r="M2191" s="129"/>
      <c r="N2191" s="129"/>
      <c r="O2191" s="129"/>
    </row>
    <row r="2192" spans="1:15" ht="12.5">
      <c r="A2192" s="158" t="s">
        <v>19564</v>
      </c>
      <c r="B2192" s="159">
        <v>30</v>
      </c>
      <c r="C2192" s="159">
        <v>36</v>
      </c>
      <c r="D2192" s="159">
        <v>8</v>
      </c>
      <c r="E2192" s="159">
        <v>73</v>
      </c>
      <c r="F2192" s="131"/>
      <c r="G2192" s="132"/>
      <c r="H2192" s="162" t="s">
        <v>19565</v>
      </c>
      <c r="I2192" s="128"/>
      <c r="J2192" s="128"/>
      <c r="K2192" s="128"/>
      <c r="L2192" s="128"/>
      <c r="M2192" s="129"/>
      <c r="N2192" s="129"/>
      <c r="O2192" s="129"/>
    </row>
    <row r="2193" spans="1:15" ht="12.5">
      <c r="A2193" s="158" t="s">
        <v>19566</v>
      </c>
      <c r="B2193" s="159">
        <v>30</v>
      </c>
      <c r="C2193" s="159">
        <v>36</v>
      </c>
      <c r="D2193" s="159">
        <v>8</v>
      </c>
      <c r="E2193" s="159">
        <v>75</v>
      </c>
      <c r="F2193" s="131"/>
      <c r="G2193" s="132"/>
      <c r="H2193" s="162" t="s">
        <v>19567</v>
      </c>
      <c r="I2193" s="128"/>
      <c r="J2193" s="128"/>
      <c r="K2193" s="128"/>
      <c r="L2193" s="128"/>
      <c r="M2193" s="129"/>
      <c r="N2193" s="129"/>
      <c r="O2193" s="129"/>
    </row>
    <row r="2194" spans="1:15" ht="12.5">
      <c r="A2194" s="158" t="s">
        <v>19568</v>
      </c>
      <c r="B2194" s="159">
        <v>30</v>
      </c>
      <c r="C2194" s="159">
        <v>36</v>
      </c>
      <c r="D2194" s="159">
        <v>8</v>
      </c>
      <c r="E2194" s="159">
        <v>76</v>
      </c>
      <c r="F2194" s="131"/>
      <c r="G2194" s="132"/>
      <c r="H2194" s="162" t="s">
        <v>19569</v>
      </c>
      <c r="I2194" s="128"/>
      <c r="J2194" s="128"/>
      <c r="K2194" s="128"/>
      <c r="L2194" s="128"/>
      <c r="M2194" s="129"/>
      <c r="N2194" s="129"/>
      <c r="O2194" s="129"/>
    </row>
    <row r="2195" spans="1:15" ht="12.5">
      <c r="A2195" s="158" t="s">
        <v>19570</v>
      </c>
      <c r="B2195" s="159">
        <v>30</v>
      </c>
      <c r="C2195" s="159">
        <v>36</v>
      </c>
      <c r="D2195" s="159">
        <v>8</v>
      </c>
      <c r="E2195" s="159">
        <v>77</v>
      </c>
      <c r="F2195" s="131"/>
      <c r="G2195" s="132"/>
      <c r="H2195" s="162" t="s">
        <v>19571</v>
      </c>
      <c r="I2195" s="158" t="s">
        <v>19572</v>
      </c>
      <c r="J2195" s="128"/>
      <c r="K2195" s="128"/>
      <c r="L2195" s="128"/>
      <c r="M2195" s="129"/>
      <c r="N2195" s="129"/>
      <c r="O2195" s="129"/>
    </row>
    <row r="2196" spans="1:15" ht="12.5">
      <c r="A2196" s="158" t="s">
        <v>19575</v>
      </c>
      <c r="B2196" s="159">
        <v>30</v>
      </c>
      <c r="C2196" s="159">
        <v>36</v>
      </c>
      <c r="D2196" s="159">
        <v>8</v>
      </c>
      <c r="E2196" s="159">
        <v>84</v>
      </c>
      <c r="F2196" s="131"/>
      <c r="G2196" s="132"/>
      <c r="H2196" s="162" t="s">
        <v>19576</v>
      </c>
      <c r="I2196" s="158" t="s">
        <v>19546</v>
      </c>
      <c r="J2196" s="128"/>
      <c r="K2196" s="128"/>
      <c r="L2196" s="128"/>
      <c r="M2196" s="129"/>
      <c r="N2196" s="129"/>
      <c r="O2196" s="129"/>
    </row>
    <row r="2197" spans="1:15" ht="12.5">
      <c r="A2197" s="158" t="s">
        <v>19577</v>
      </c>
      <c r="B2197" s="159">
        <v>30</v>
      </c>
      <c r="C2197" s="159">
        <v>36</v>
      </c>
      <c r="D2197" s="159">
        <v>8</v>
      </c>
      <c r="E2197" s="159">
        <v>87</v>
      </c>
      <c r="F2197" s="131"/>
      <c r="G2197" s="132"/>
      <c r="H2197" s="162" t="s">
        <v>19578</v>
      </c>
      <c r="I2197" s="158" t="s">
        <v>19579</v>
      </c>
      <c r="J2197" s="128"/>
      <c r="K2197" s="128"/>
      <c r="L2197" s="128"/>
      <c r="M2197" s="129"/>
      <c r="N2197" s="129"/>
      <c r="O2197" s="129"/>
    </row>
    <row r="2198" spans="1:15" ht="12.5">
      <c r="A2198" s="158" t="s">
        <v>19580</v>
      </c>
      <c r="B2198" s="159">
        <v>30</v>
      </c>
      <c r="C2198" s="159">
        <v>36</v>
      </c>
      <c r="D2198" s="159">
        <v>8</v>
      </c>
      <c r="E2198" s="159">
        <v>88</v>
      </c>
      <c r="F2198" s="131"/>
      <c r="G2198" s="132"/>
      <c r="H2198" s="162" t="s">
        <v>19581</v>
      </c>
      <c r="I2198" s="128"/>
      <c r="J2198" s="128"/>
      <c r="K2198" s="128"/>
      <c r="L2198" s="128"/>
      <c r="M2198" s="129"/>
      <c r="N2198" s="129"/>
      <c r="O2198" s="129"/>
    </row>
    <row r="2199" spans="1:15" ht="12.5">
      <c r="A2199" s="158" t="s">
        <v>19582</v>
      </c>
      <c r="B2199" s="159">
        <v>30</v>
      </c>
      <c r="C2199" s="159">
        <v>36</v>
      </c>
      <c r="D2199" s="159">
        <v>8</v>
      </c>
      <c r="E2199" s="159">
        <v>91</v>
      </c>
      <c r="F2199" s="131"/>
      <c r="G2199" s="132"/>
      <c r="H2199" s="162" t="s">
        <v>19583</v>
      </c>
      <c r="I2199" s="128"/>
      <c r="J2199" s="128"/>
      <c r="K2199" s="128"/>
      <c r="L2199" s="128"/>
      <c r="M2199" s="129"/>
      <c r="N2199" s="129"/>
      <c r="O2199" s="129"/>
    </row>
    <row r="2200" spans="1:15" ht="12.5">
      <c r="A2200" s="158" t="s">
        <v>19584</v>
      </c>
      <c r="B2200" s="159">
        <v>30</v>
      </c>
      <c r="C2200" s="159">
        <v>36</v>
      </c>
      <c r="D2200" s="159">
        <v>8</v>
      </c>
      <c r="E2200" s="159">
        <v>94</v>
      </c>
      <c r="F2200" s="131"/>
      <c r="G2200" s="132"/>
      <c r="H2200" s="162" t="s">
        <v>19585</v>
      </c>
      <c r="I2200" s="128"/>
      <c r="J2200" s="128"/>
      <c r="K2200" s="128"/>
      <c r="L2200" s="128"/>
      <c r="M2200" s="129"/>
      <c r="N2200" s="129"/>
      <c r="O2200" s="129"/>
    </row>
    <row r="2201" spans="1:15" ht="12.5">
      <c r="A2201" s="158" t="s">
        <v>19586</v>
      </c>
      <c r="B2201" s="159">
        <v>30</v>
      </c>
      <c r="C2201" s="159">
        <v>36</v>
      </c>
      <c r="D2201" s="159">
        <v>8</v>
      </c>
      <c r="E2201" s="159">
        <v>95</v>
      </c>
      <c r="F2201" s="131"/>
      <c r="G2201" s="132"/>
      <c r="H2201" s="162" t="s">
        <v>19587</v>
      </c>
      <c r="I2201" s="158" t="s">
        <v>19588</v>
      </c>
      <c r="J2201" s="128"/>
      <c r="K2201" s="128"/>
      <c r="L2201" s="128"/>
      <c r="M2201" s="129"/>
      <c r="N2201" s="129"/>
      <c r="O2201" s="129"/>
    </row>
    <row r="2202" spans="1:15" ht="12.5">
      <c r="A2202" s="158" t="s">
        <v>19589</v>
      </c>
      <c r="B2202" s="159">
        <v>30</v>
      </c>
      <c r="C2202" s="159">
        <v>36</v>
      </c>
      <c r="D2202" s="159">
        <v>8</v>
      </c>
      <c r="E2202" s="159">
        <v>96</v>
      </c>
      <c r="F2202" s="131"/>
      <c r="G2202" s="132"/>
      <c r="H2202" s="162" t="s">
        <v>19590</v>
      </c>
      <c r="I2202" s="158" t="s">
        <v>19496</v>
      </c>
      <c r="J2202" s="128"/>
      <c r="K2202" s="128"/>
      <c r="L2202" s="128"/>
      <c r="M2202" s="129"/>
      <c r="N2202" s="129"/>
      <c r="O2202" s="129"/>
    </row>
    <row r="2203" spans="1:15" ht="12.5">
      <c r="A2203" s="158" t="s">
        <v>19591</v>
      </c>
      <c r="B2203" s="159">
        <v>30</v>
      </c>
      <c r="C2203" s="159">
        <v>36</v>
      </c>
      <c r="D2203" s="159">
        <v>8</v>
      </c>
      <c r="E2203" s="159">
        <v>97</v>
      </c>
      <c r="F2203" s="131"/>
      <c r="G2203" s="132"/>
      <c r="H2203" s="162" t="s">
        <v>19592</v>
      </c>
      <c r="I2203" s="158" t="s">
        <v>19593</v>
      </c>
      <c r="J2203" s="128"/>
      <c r="K2203" s="128"/>
      <c r="L2203" s="128"/>
      <c r="M2203" s="129"/>
      <c r="N2203" s="129"/>
      <c r="O2203" s="129"/>
    </row>
    <row r="2204" spans="1:15" ht="12.5">
      <c r="A2204" s="158" t="s">
        <v>19594</v>
      </c>
      <c r="B2204" s="159">
        <v>30</v>
      </c>
      <c r="C2204" s="159">
        <v>36</v>
      </c>
      <c r="D2204" s="159">
        <v>8</v>
      </c>
      <c r="E2204" s="159">
        <v>98</v>
      </c>
      <c r="F2204" s="131"/>
      <c r="G2204" s="132"/>
      <c r="H2204" s="162" t="s">
        <v>19595</v>
      </c>
      <c r="I2204" s="158" t="s">
        <v>19596</v>
      </c>
      <c r="J2204" s="128"/>
      <c r="K2204" s="128"/>
      <c r="L2204" s="128"/>
      <c r="M2204" s="129"/>
      <c r="N2204" s="129"/>
      <c r="O2204" s="129"/>
    </row>
    <row r="2205" spans="1:15" ht="12.5">
      <c r="A2205" s="151" t="s">
        <v>19597</v>
      </c>
      <c r="B2205" s="152">
        <v>30</v>
      </c>
      <c r="C2205" s="152">
        <v>36</v>
      </c>
      <c r="D2205" s="152">
        <v>33</v>
      </c>
      <c r="E2205" s="153"/>
      <c r="F2205" s="154" t="s">
        <v>33394</v>
      </c>
      <c r="G2205" s="168"/>
      <c r="H2205" s="156" t="s">
        <v>19598</v>
      </c>
      <c r="I2205" s="157"/>
      <c r="J2205" s="157"/>
      <c r="K2205" s="157"/>
      <c r="L2205" s="157"/>
      <c r="M2205" s="186"/>
      <c r="N2205" s="186"/>
      <c r="O2205" s="186"/>
    </row>
    <row r="2206" spans="1:15" ht="12.5">
      <c r="A2206" s="158" t="s">
        <v>19599</v>
      </c>
      <c r="B2206" s="159">
        <v>30</v>
      </c>
      <c r="C2206" s="159">
        <v>36</v>
      </c>
      <c r="D2206" s="159">
        <v>33</v>
      </c>
      <c r="E2206" s="159">
        <v>20</v>
      </c>
      <c r="F2206" s="131"/>
      <c r="G2206" s="132"/>
      <c r="H2206" s="162" t="s">
        <v>19600</v>
      </c>
      <c r="I2206" s="158" t="s">
        <v>19601</v>
      </c>
      <c r="J2206" s="128"/>
      <c r="K2206" s="128"/>
      <c r="L2206" s="128"/>
      <c r="M2206" s="129"/>
      <c r="N2206" s="129"/>
      <c r="O2206" s="129"/>
    </row>
    <row r="2207" spans="1:15" ht="12.5">
      <c r="A2207" s="158" t="s">
        <v>19602</v>
      </c>
      <c r="B2207" s="159">
        <v>30</v>
      </c>
      <c r="C2207" s="159">
        <v>36</v>
      </c>
      <c r="D2207" s="159">
        <v>33</v>
      </c>
      <c r="E2207" s="159">
        <v>22</v>
      </c>
      <c r="F2207" s="131"/>
      <c r="G2207" s="132"/>
      <c r="H2207" s="162" t="s">
        <v>19603</v>
      </c>
      <c r="I2207" s="158" t="s">
        <v>19604</v>
      </c>
      <c r="J2207" s="128"/>
      <c r="K2207" s="128"/>
      <c r="L2207" s="128"/>
      <c r="M2207" s="129"/>
      <c r="N2207" s="129"/>
      <c r="O2207" s="129"/>
    </row>
    <row r="2208" spans="1:15" ht="12.5">
      <c r="A2208" s="158" t="s">
        <v>19605</v>
      </c>
      <c r="B2208" s="159">
        <v>30</v>
      </c>
      <c r="C2208" s="159">
        <v>36</v>
      </c>
      <c r="D2208" s="159">
        <v>33</v>
      </c>
      <c r="E2208" s="159">
        <v>24</v>
      </c>
      <c r="F2208" s="131"/>
      <c r="G2208" s="132"/>
      <c r="H2208" s="162" t="s">
        <v>19606</v>
      </c>
      <c r="I2208" s="158" t="s">
        <v>19607</v>
      </c>
      <c r="J2208" s="128"/>
      <c r="K2208" s="128"/>
      <c r="L2208" s="128"/>
      <c r="M2208" s="129"/>
      <c r="N2208" s="129"/>
      <c r="O2208" s="129"/>
    </row>
    <row r="2209" spans="1:15" ht="12.5">
      <c r="A2209" s="158" t="s">
        <v>19608</v>
      </c>
      <c r="B2209" s="159">
        <v>30</v>
      </c>
      <c r="C2209" s="159">
        <v>36</v>
      </c>
      <c r="D2209" s="159">
        <v>33</v>
      </c>
      <c r="E2209" s="159">
        <v>27</v>
      </c>
      <c r="F2209" s="131"/>
      <c r="G2209" s="132"/>
      <c r="H2209" s="162" t="s">
        <v>19609</v>
      </c>
      <c r="I2209" s="158" t="s">
        <v>19610</v>
      </c>
      <c r="J2209" s="128"/>
      <c r="K2209" s="128"/>
      <c r="L2209" s="128"/>
      <c r="M2209" s="129"/>
      <c r="N2209" s="129"/>
      <c r="O2209" s="129"/>
    </row>
    <row r="2210" spans="1:15" ht="12.5">
      <c r="A2210" s="158" t="s">
        <v>19611</v>
      </c>
      <c r="B2210" s="159">
        <v>30</v>
      </c>
      <c r="C2210" s="159">
        <v>36</v>
      </c>
      <c r="D2210" s="159">
        <v>33</v>
      </c>
      <c r="E2210" s="159">
        <v>29</v>
      </c>
      <c r="F2210" s="131"/>
      <c r="G2210" s="132"/>
      <c r="H2210" s="162" t="s">
        <v>19612</v>
      </c>
      <c r="I2210" s="128"/>
      <c r="J2210" s="128"/>
      <c r="K2210" s="128"/>
      <c r="L2210" s="128"/>
      <c r="M2210" s="129"/>
      <c r="N2210" s="129"/>
      <c r="O2210" s="129"/>
    </row>
    <row r="2211" spans="1:15" ht="12.5">
      <c r="A2211" s="158" t="s">
        <v>19615</v>
      </c>
      <c r="B2211" s="159">
        <v>30</v>
      </c>
      <c r="C2211" s="159">
        <v>36</v>
      </c>
      <c r="D2211" s="159">
        <v>33</v>
      </c>
      <c r="E2211" s="159">
        <v>45</v>
      </c>
      <c r="F2211" s="131"/>
      <c r="G2211" s="132"/>
      <c r="H2211" s="162" t="s">
        <v>19616</v>
      </c>
      <c r="I2211" s="158" t="s">
        <v>19617</v>
      </c>
      <c r="J2211" s="128"/>
      <c r="K2211" s="128"/>
      <c r="L2211" s="128"/>
      <c r="M2211" s="129"/>
      <c r="N2211" s="129"/>
      <c r="O2211" s="129"/>
    </row>
    <row r="2212" spans="1:15" ht="12.5">
      <c r="A2212" s="158" t="s">
        <v>19618</v>
      </c>
      <c r="B2212" s="159">
        <v>30</v>
      </c>
      <c r="C2212" s="159">
        <v>36</v>
      </c>
      <c r="D2212" s="159">
        <v>33</v>
      </c>
      <c r="E2212" s="159">
        <v>68</v>
      </c>
      <c r="F2212" s="131"/>
      <c r="G2212" s="132"/>
      <c r="H2212" s="162" t="s">
        <v>19619</v>
      </c>
      <c r="I2212" s="158" t="s">
        <v>19620</v>
      </c>
      <c r="J2212" s="128"/>
      <c r="K2212" s="128"/>
      <c r="L2212" s="128"/>
      <c r="M2212" s="129"/>
      <c r="N2212" s="129"/>
      <c r="O2212" s="129"/>
    </row>
    <row r="2213" spans="1:15" ht="12.5">
      <c r="A2213" s="158" t="s">
        <v>19621</v>
      </c>
      <c r="B2213" s="159">
        <v>30</v>
      </c>
      <c r="C2213" s="159">
        <v>36</v>
      </c>
      <c r="D2213" s="159">
        <v>33</v>
      </c>
      <c r="E2213" s="159">
        <v>72</v>
      </c>
      <c r="F2213" s="131"/>
      <c r="G2213" s="132"/>
      <c r="H2213" s="162" t="s">
        <v>19622</v>
      </c>
      <c r="I2213" s="128"/>
      <c r="J2213" s="128"/>
      <c r="K2213" s="128"/>
      <c r="L2213" s="128"/>
      <c r="M2213" s="129"/>
      <c r="N2213" s="129"/>
      <c r="O2213" s="129"/>
    </row>
    <row r="2214" spans="1:15" ht="12.5">
      <c r="A2214" s="158" t="s">
        <v>19623</v>
      </c>
      <c r="B2214" s="159">
        <v>30</v>
      </c>
      <c r="C2214" s="159">
        <v>36</v>
      </c>
      <c r="D2214" s="159">
        <v>33</v>
      </c>
      <c r="E2214" s="159">
        <v>76</v>
      </c>
      <c r="F2214" s="131"/>
      <c r="G2214" s="132"/>
      <c r="H2214" s="162" t="s">
        <v>19624</v>
      </c>
      <c r="I2214" s="158" t="s">
        <v>19625</v>
      </c>
      <c r="J2214" s="128"/>
      <c r="K2214" s="128"/>
      <c r="L2214" s="128"/>
      <c r="M2214" s="129"/>
      <c r="N2214" s="129"/>
      <c r="O2214" s="129"/>
    </row>
    <row r="2215" spans="1:15" ht="12.5">
      <c r="A2215" s="158" t="s">
        <v>19626</v>
      </c>
      <c r="B2215" s="159">
        <v>30</v>
      </c>
      <c r="C2215" s="159">
        <v>36</v>
      </c>
      <c r="D2215" s="159">
        <v>36</v>
      </c>
      <c r="E2215" s="130"/>
      <c r="F2215" s="131"/>
      <c r="G2215" s="132"/>
      <c r="H2215" s="162" t="s">
        <v>19627</v>
      </c>
      <c r="I2215" s="128"/>
      <c r="J2215" s="128"/>
      <c r="K2215" s="128"/>
      <c r="L2215" s="128"/>
      <c r="M2215" s="129"/>
      <c r="N2215" s="129"/>
      <c r="O2215" s="129"/>
    </row>
    <row r="2216" spans="1:15" ht="12.5">
      <c r="A2216" s="158" t="s">
        <v>19628</v>
      </c>
      <c r="B2216" s="159">
        <v>30</v>
      </c>
      <c r="C2216" s="159">
        <v>36</v>
      </c>
      <c r="D2216" s="159">
        <v>36</v>
      </c>
      <c r="E2216" s="159">
        <v>4</v>
      </c>
      <c r="F2216" s="131"/>
      <c r="G2216" s="132"/>
      <c r="H2216" s="162" t="s">
        <v>19629</v>
      </c>
      <c r="I2216" s="158" t="s">
        <v>19630</v>
      </c>
      <c r="J2216" s="128"/>
      <c r="K2216" s="128"/>
      <c r="L2216" s="128"/>
      <c r="M2216" s="129"/>
      <c r="N2216" s="129"/>
      <c r="O2216" s="129"/>
    </row>
    <row r="2217" spans="1:15" ht="12.5">
      <c r="A2217" s="158" t="s">
        <v>19631</v>
      </c>
      <c r="B2217" s="159">
        <v>30</v>
      </c>
      <c r="C2217" s="159">
        <v>36</v>
      </c>
      <c r="D2217" s="159">
        <v>36</v>
      </c>
      <c r="E2217" s="159">
        <v>6</v>
      </c>
      <c r="F2217" s="131"/>
      <c r="G2217" s="132"/>
      <c r="H2217" s="162" t="s">
        <v>19632</v>
      </c>
      <c r="I2217" s="128"/>
      <c r="J2217" s="128"/>
      <c r="K2217" s="128"/>
      <c r="L2217" s="128"/>
      <c r="M2217" s="129"/>
      <c r="N2217" s="129"/>
      <c r="O2217" s="129"/>
    </row>
    <row r="2218" spans="1:15" ht="12.5">
      <c r="A2218" s="158" t="s">
        <v>19633</v>
      </c>
      <c r="B2218" s="159">
        <v>30</v>
      </c>
      <c r="C2218" s="159">
        <v>36</v>
      </c>
      <c r="D2218" s="159">
        <v>36</v>
      </c>
      <c r="E2218" s="159">
        <v>7</v>
      </c>
      <c r="F2218" s="131"/>
      <c r="G2218" s="132"/>
      <c r="H2218" s="162" t="s">
        <v>19634</v>
      </c>
      <c r="I2218" s="128"/>
      <c r="J2218" s="128"/>
      <c r="K2218" s="128"/>
      <c r="L2218" s="128"/>
      <c r="M2218" s="129"/>
      <c r="N2218" s="129"/>
      <c r="O2218" s="129"/>
    </row>
    <row r="2219" spans="1:15" ht="12.5">
      <c r="A2219" s="158" t="s">
        <v>19635</v>
      </c>
      <c r="B2219" s="159">
        <v>30</v>
      </c>
      <c r="C2219" s="159">
        <v>36</v>
      </c>
      <c r="D2219" s="159">
        <v>36</v>
      </c>
      <c r="E2219" s="159">
        <v>8</v>
      </c>
      <c r="F2219" s="131"/>
      <c r="G2219" s="132"/>
      <c r="H2219" s="162" t="s">
        <v>19636</v>
      </c>
      <c r="I2219" s="158" t="s">
        <v>19637</v>
      </c>
      <c r="J2219" s="128"/>
      <c r="K2219" s="128"/>
      <c r="L2219" s="128"/>
      <c r="M2219" s="129"/>
      <c r="N2219" s="129"/>
      <c r="O2219" s="129"/>
    </row>
    <row r="2220" spans="1:15" ht="12.5">
      <c r="A2220" s="158" t="s">
        <v>19638</v>
      </c>
      <c r="B2220" s="159">
        <v>30</v>
      </c>
      <c r="C2220" s="159">
        <v>36</v>
      </c>
      <c r="D2220" s="159">
        <v>36</v>
      </c>
      <c r="E2220" s="159">
        <v>9</v>
      </c>
      <c r="F2220" s="131"/>
      <c r="G2220" s="132"/>
      <c r="H2220" s="162" t="s">
        <v>19639</v>
      </c>
      <c r="I2220" s="158" t="s">
        <v>19640</v>
      </c>
      <c r="J2220" s="128"/>
      <c r="K2220" s="128"/>
      <c r="L2220" s="128"/>
      <c r="M2220" s="129"/>
      <c r="N2220" s="129"/>
      <c r="O2220" s="129"/>
    </row>
    <row r="2221" spans="1:15" ht="12.5">
      <c r="A2221" s="158" t="s">
        <v>19641</v>
      </c>
      <c r="B2221" s="159">
        <v>30</v>
      </c>
      <c r="C2221" s="159">
        <v>36</v>
      </c>
      <c r="D2221" s="159">
        <v>36</v>
      </c>
      <c r="E2221" s="159">
        <v>10</v>
      </c>
      <c r="F2221" s="131"/>
      <c r="G2221" s="132"/>
      <c r="H2221" s="162" t="s">
        <v>19642</v>
      </c>
      <c r="I2221" s="158" t="s">
        <v>19701</v>
      </c>
      <c r="J2221" s="128"/>
      <c r="K2221" s="128"/>
      <c r="L2221" s="128"/>
      <c r="M2221" s="129"/>
      <c r="N2221" s="129"/>
      <c r="O2221" s="129"/>
    </row>
    <row r="2222" spans="1:15" ht="12.5">
      <c r="A2222" s="158" t="s">
        <v>19643</v>
      </c>
      <c r="B2222" s="159">
        <v>30</v>
      </c>
      <c r="C2222" s="159">
        <v>36</v>
      </c>
      <c r="D2222" s="159">
        <v>36</v>
      </c>
      <c r="E2222" s="159">
        <v>11</v>
      </c>
      <c r="F2222" s="131"/>
      <c r="G2222" s="132"/>
      <c r="H2222" s="162" t="s">
        <v>19644</v>
      </c>
      <c r="I2222" s="158" t="s">
        <v>19645</v>
      </c>
      <c r="J2222" s="128"/>
      <c r="K2222" s="128"/>
      <c r="L2222" s="128"/>
      <c r="M2222" s="129"/>
      <c r="N2222" s="129"/>
      <c r="O2222" s="129"/>
    </row>
    <row r="2223" spans="1:15" ht="12.5">
      <c r="A2223" s="158" t="s">
        <v>19646</v>
      </c>
      <c r="B2223" s="159">
        <v>30</v>
      </c>
      <c r="C2223" s="159">
        <v>36</v>
      </c>
      <c r="D2223" s="159">
        <v>36</v>
      </c>
      <c r="E2223" s="159">
        <v>15</v>
      </c>
      <c r="F2223" s="131"/>
      <c r="G2223" s="132"/>
      <c r="H2223" s="162" t="s">
        <v>19647</v>
      </c>
      <c r="I2223" s="128"/>
      <c r="J2223" s="128"/>
      <c r="K2223" s="128"/>
      <c r="L2223" s="128"/>
      <c r="M2223" s="129"/>
      <c r="N2223" s="129"/>
      <c r="O2223" s="129"/>
    </row>
    <row r="2224" spans="1:15" ht="12.5">
      <c r="A2224" s="158" t="s">
        <v>19648</v>
      </c>
      <c r="B2224" s="159">
        <v>30</v>
      </c>
      <c r="C2224" s="159">
        <v>36</v>
      </c>
      <c r="D2224" s="159">
        <v>36</v>
      </c>
      <c r="E2224" s="159">
        <v>16</v>
      </c>
      <c r="F2224" s="131"/>
      <c r="G2224" s="132"/>
      <c r="H2224" s="162" t="s">
        <v>19649</v>
      </c>
      <c r="I2224" s="158" t="s">
        <v>19640</v>
      </c>
      <c r="J2224" s="128"/>
      <c r="K2224" s="128"/>
      <c r="L2224" s="128"/>
      <c r="M2224" s="129"/>
      <c r="N2224" s="129"/>
      <c r="O2224" s="129"/>
    </row>
    <row r="2225" spans="1:15" ht="12.5">
      <c r="A2225" s="158" t="s">
        <v>19650</v>
      </c>
      <c r="B2225" s="159">
        <v>30</v>
      </c>
      <c r="C2225" s="159">
        <v>36</v>
      </c>
      <c r="D2225" s="159">
        <v>36</v>
      </c>
      <c r="E2225" s="159">
        <v>17</v>
      </c>
      <c r="F2225" s="131"/>
      <c r="G2225" s="132"/>
      <c r="H2225" s="162" t="s">
        <v>19651</v>
      </c>
      <c r="I2225" s="158" t="s">
        <v>19640</v>
      </c>
      <c r="J2225" s="128"/>
      <c r="K2225" s="128"/>
      <c r="L2225" s="128"/>
      <c r="M2225" s="129"/>
      <c r="N2225" s="129"/>
      <c r="O2225" s="129"/>
    </row>
    <row r="2226" spans="1:15" ht="12.5">
      <c r="A2226" s="158" t="s">
        <v>19652</v>
      </c>
      <c r="B2226" s="159">
        <v>30</v>
      </c>
      <c r="C2226" s="159">
        <v>36</v>
      </c>
      <c r="D2226" s="159">
        <v>36</v>
      </c>
      <c r="E2226" s="159">
        <v>22</v>
      </c>
      <c r="F2226" s="131"/>
      <c r="G2226" s="132"/>
      <c r="H2226" s="162" t="s">
        <v>19653</v>
      </c>
      <c r="I2226" s="158" t="s">
        <v>19654</v>
      </c>
      <c r="J2226" s="128"/>
      <c r="K2226" s="128"/>
      <c r="L2226" s="128"/>
      <c r="M2226" s="129"/>
      <c r="N2226" s="129"/>
      <c r="O2226" s="129"/>
    </row>
    <row r="2227" spans="1:15" ht="12.5">
      <c r="A2227" s="158" t="s">
        <v>19655</v>
      </c>
      <c r="B2227" s="159">
        <v>30</v>
      </c>
      <c r="C2227" s="159">
        <v>36</v>
      </c>
      <c r="D2227" s="159">
        <v>36</v>
      </c>
      <c r="E2227" s="159">
        <v>23</v>
      </c>
      <c r="F2227" s="131"/>
      <c r="G2227" s="132"/>
      <c r="H2227" s="162" t="s">
        <v>19656</v>
      </c>
      <c r="I2227" s="158" t="s">
        <v>19657</v>
      </c>
      <c r="J2227" s="128"/>
      <c r="K2227" s="128"/>
      <c r="L2227" s="128"/>
      <c r="M2227" s="129"/>
      <c r="N2227" s="129"/>
      <c r="O2227" s="129"/>
    </row>
    <row r="2228" spans="1:15" ht="12.5">
      <c r="A2228" s="158" t="s">
        <v>19658</v>
      </c>
      <c r="B2228" s="159">
        <v>30</v>
      </c>
      <c r="C2228" s="159">
        <v>36</v>
      </c>
      <c r="D2228" s="159">
        <v>36</v>
      </c>
      <c r="E2228" s="159">
        <v>24</v>
      </c>
      <c r="F2228" s="131"/>
      <c r="G2228" s="132"/>
      <c r="H2228" s="162" t="s">
        <v>19659</v>
      </c>
      <c r="I2228" s="158" t="s">
        <v>19660</v>
      </c>
      <c r="J2228" s="128"/>
      <c r="K2228" s="128"/>
      <c r="L2228" s="128"/>
      <c r="M2228" s="129"/>
      <c r="N2228" s="129"/>
      <c r="O2228" s="129"/>
    </row>
    <row r="2229" spans="1:15" ht="12.5">
      <c r="A2229" s="158" t="s">
        <v>19661</v>
      </c>
      <c r="B2229" s="159">
        <v>30</v>
      </c>
      <c r="C2229" s="159">
        <v>36</v>
      </c>
      <c r="D2229" s="159">
        <v>36</v>
      </c>
      <c r="E2229" s="159">
        <v>28</v>
      </c>
      <c r="F2229" s="131"/>
      <c r="G2229" s="132"/>
      <c r="H2229" s="162" t="s">
        <v>19662</v>
      </c>
      <c r="I2229" s="158" t="s">
        <v>19663</v>
      </c>
      <c r="J2229" s="128"/>
      <c r="K2229" s="128"/>
      <c r="L2229" s="128"/>
      <c r="M2229" s="129"/>
      <c r="N2229" s="129"/>
      <c r="O2229" s="129"/>
    </row>
    <row r="2230" spans="1:15" ht="12.5">
      <c r="A2230" s="158" t="s">
        <v>19664</v>
      </c>
      <c r="B2230" s="159">
        <v>30</v>
      </c>
      <c r="C2230" s="159">
        <v>36</v>
      </c>
      <c r="D2230" s="159">
        <v>36</v>
      </c>
      <c r="E2230" s="159">
        <v>29</v>
      </c>
      <c r="F2230" s="131"/>
      <c r="G2230" s="132"/>
      <c r="H2230" s="162" t="s">
        <v>19665</v>
      </c>
      <c r="I2230" s="158" t="s">
        <v>19666</v>
      </c>
      <c r="J2230" s="128"/>
      <c r="K2230" s="128"/>
      <c r="L2230" s="128"/>
      <c r="M2230" s="129"/>
      <c r="N2230" s="129"/>
      <c r="O2230" s="129"/>
    </row>
    <row r="2231" spans="1:15" ht="12.5">
      <c r="A2231" s="158" t="s">
        <v>19667</v>
      </c>
      <c r="B2231" s="159">
        <v>30</v>
      </c>
      <c r="C2231" s="159">
        <v>36</v>
      </c>
      <c r="D2231" s="159">
        <v>36</v>
      </c>
      <c r="E2231" s="159">
        <v>30</v>
      </c>
      <c r="F2231" s="131"/>
      <c r="G2231" s="132"/>
      <c r="H2231" s="162" t="s">
        <v>19668</v>
      </c>
      <c r="I2231" s="128"/>
      <c r="J2231" s="128"/>
      <c r="K2231" s="128"/>
      <c r="L2231" s="128"/>
      <c r="M2231" s="129"/>
      <c r="N2231" s="129"/>
      <c r="O2231" s="129"/>
    </row>
    <row r="2232" spans="1:15" ht="12.5">
      <c r="A2232" s="158" t="s">
        <v>19669</v>
      </c>
      <c r="B2232" s="159">
        <v>30</v>
      </c>
      <c r="C2232" s="159">
        <v>36</v>
      </c>
      <c r="D2232" s="159">
        <v>36</v>
      </c>
      <c r="E2232" s="159">
        <v>31</v>
      </c>
      <c r="F2232" s="131"/>
      <c r="G2232" s="132"/>
      <c r="H2232" s="162" t="s">
        <v>19670</v>
      </c>
      <c r="I2232" s="128"/>
      <c r="J2232" s="128"/>
      <c r="K2232" s="128"/>
      <c r="L2232" s="128"/>
      <c r="M2232" s="129"/>
      <c r="N2232" s="129"/>
      <c r="O2232" s="129"/>
    </row>
    <row r="2233" spans="1:15" ht="12.5">
      <c r="A2233" s="158" t="s">
        <v>19671</v>
      </c>
      <c r="B2233" s="159">
        <v>30</v>
      </c>
      <c r="C2233" s="159">
        <v>36</v>
      </c>
      <c r="D2233" s="159">
        <v>36</v>
      </c>
      <c r="E2233" s="159">
        <v>32</v>
      </c>
      <c r="F2233" s="131"/>
      <c r="G2233" s="132"/>
      <c r="H2233" s="162" t="s">
        <v>33395</v>
      </c>
      <c r="I2233" s="158" t="s">
        <v>19701</v>
      </c>
      <c r="J2233" s="128"/>
      <c r="K2233" s="128"/>
      <c r="L2233" s="128"/>
      <c r="M2233" s="129"/>
      <c r="N2233" s="129"/>
      <c r="O2233" s="129"/>
    </row>
    <row r="2234" spans="1:15" ht="12.5">
      <c r="A2234" s="158" t="s">
        <v>19674</v>
      </c>
      <c r="B2234" s="159">
        <v>30</v>
      </c>
      <c r="C2234" s="159">
        <v>36</v>
      </c>
      <c r="D2234" s="159">
        <v>36</v>
      </c>
      <c r="E2234" s="159">
        <v>34</v>
      </c>
      <c r="F2234" s="131"/>
      <c r="G2234" s="132"/>
      <c r="H2234" s="162" t="s">
        <v>19675</v>
      </c>
      <c r="I2234" s="158" t="s">
        <v>19676</v>
      </c>
      <c r="J2234" s="128"/>
      <c r="K2234" s="128"/>
      <c r="L2234" s="128"/>
      <c r="M2234" s="129"/>
      <c r="N2234" s="129"/>
      <c r="O2234" s="129"/>
    </row>
    <row r="2235" spans="1:15" ht="12.5">
      <c r="A2235" s="158" t="s">
        <v>19677</v>
      </c>
      <c r="B2235" s="159">
        <v>30</v>
      </c>
      <c r="C2235" s="159">
        <v>36</v>
      </c>
      <c r="D2235" s="159">
        <v>36</v>
      </c>
      <c r="E2235" s="159">
        <v>46</v>
      </c>
      <c r="F2235" s="131"/>
      <c r="G2235" s="132"/>
      <c r="H2235" s="162" t="s">
        <v>19678</v>
      </c>
      <c r="I2235" s="128"/>
      <c r="J2235" s="128"/>
      <c r="K2235" s="128"/>
      <c r="L2235" s="128"/>
      <c r="M2235" s="129"/>
      <c r="N2235" s="129"/>
      <c r="O2235" s="129"/>
    </row>
    <row r="2236" spans="1:15" ht="12.5">
      <c r="A2236" s="158" t="s">
        <v>19679</v>
      </c>
      <c r="B2236" s="159">
        <v>30</v>
      </c>
      <c r="C2236" s="159">
        <v>36</v>
      </c>
      <c r="D2236" s="159">
        <v>36</v>
      </c>
      <c r="E2236" s="159">
        <v>66</v>
      </c>
      <c r="F2236" s="131"/>
      <c r="G2236" s="132"/>
      <c r="H2236" s="162" t="s">
        <v>19680</v>
      </c>
      <c r="I2236" s="158" t="s">
        <v>19640</v>
      </c>
      <c r="J2236" s="128"/>
      <c r="K2236" s="128"/>
      <c r="L2236" s="128"/>
      <c r="M2236" s="129"/>
      <c r="N2236" s="129"/>
      <c r="O2236" s="129"/>
    </row>
    <row r="2237" spans="1:15" ht="12.5">
      <c r="A2237" s="158" t="s">
        <v>19681</v>
      </c>
      <c r="B2237" s="159">
        <v>30</v>
      </c>
      <c r="C2237" s="159">
        <v>36</v>
      </c>
      <c r="D2237" s="159">
        <v>36</v>
      </c>
      <c r="E2237" s="159">
        <v>67</v>
      </c>
      <c r="F2237" s="131"/>
      <c r="G2237" s="132"/>
      <c r="H2237" s="162" t="s">
        <v>19682</v>
      </c>
      <c r="I2237" s="158" t="s">
        <v>19683</v>
      </c>
      <c r="J2237" s="128"/>
      <c r="K2237" s="128"/>
      <c r="L2237" s="128"/>
      <c r="M2237" s="129"/>
      <c r="N2237" s="129"/>
      <c r="O2237" s="129"/>
    </row>
    <row r="2238" spans="1:15" ht="12.5">
      <c r="A2238" s="158" t="s">
        <v>19684</v>
      </c>
      <c r="B2238" s="159">
        <v>30</v>
      </c>
      <c r="C2238" s="159">
        <v>36</v>
      </c>
      <c r="D2238" s="159">
        <v>36</v>
      </c>
      <c r="E2238" s="159">
        <v>71</v>
      </c>
      <c r="F2238" s="131"/>
      <c r="G2238" s="132"/>
      <c r="H2238" s="162" t="s">
        <v>19685</v>
      </c>
      <c r="I2238" s="158" t="s">
        <v>19640</v>
      </c>
      <c r="J2238" s="128"/>
      <c r="K2238" s="128"/>
      <c r="L2238" s="128"/>
      <c r="M2238" s="129"/>
      <c r="N2238" s="129"/>
      <c r="O2238" s="129"/>
    </row>
    <row r="2239" spans="1:15" ht="12.5">
      <c r="A2239" s="158" t="s">
        <v>19686</v>
      </c>
      <c r="B2239" s="159">
        <v>30</v>
      </c>
      <c r="C2239" s="159">
        <v>36</v>
      </c>
      <c r="D2239" s="159">
        <v>36</v>
      </c>
      <c r="E2239" s="159">
        <v>75</v>
      </c>
      <c r="F2239" s="131"/>
      <c r="G2239" s="132"/>
      <c r="H2239" s="162" t="s">
        <v>19687</v>
      </c>
      <c r="I2239" s="158" t="s">
        <v>19688</v>
      </c>
      <c r="J2239" s="128"/>
      <c r="K2239" s="128"/>
      <c r="L2239" s="128"/>
      <c r="M2239" s="129"/>
      <c r="N2239" s="129"/>
      <c r="O2239" s="129"/>
    </row>
    <row r="2240" spans="1:15" ht="12.5">
      <c r="A2240" s="158" t="s">
        <v>19689</v>
      </c>
      <c r="B2240" s="159">
        <v>30</v>
      </c>
      <c r="C2240" s="159">
        <v>36</v>
      </c>
      <c r="D2240" s="159">
        <v>36</v>
      </c>
      <c r="E2240" s="159">
        <v>79</v>
      </c>
      <c r="F2240" s="131"/>
      <c r="G2240" s="132"/>
      <c r="H2240" s="162" t="s">
        <v>19690</v>
      </c>
      <c r="I2240" s="158" t="s">
        <v>19691</v>
      </c>
      <c r="J2240" s="128"/>
      <c r="K2240" s="128"/>
      <c r="L2240" s="128"/>
      <c r="M2240" s="129"/>
      <c r="N2240" s="129"/>
      <c r="O2240" s="129"/>
    </row>
    <row r="2241" spans="1:15" ht="12.5">
      <c r="A2241" s="158" t="s">
        <v>19692</v>
      </c>
      <c r="B2241" s="159">
        <v>30</v>
      </c>
      <c r="C2241" s="159">
        <v>36</v>
      </c>
      <c r="D2241" s="159">
        <v>36</v>
      </c>
      <c r="E2241" s="159">
        <v>80</v>
      </c>
      <c r="F2241" s="131"/>
      <c r="G2241" s="132"/>
      <c r="H2241" s="162" t="s">
        <v>19693</v>
      </c>
      <c r="I2241" s="158" t="s">
        <v>19694</v>
      </c>
      <c r="J2241" s="128"/>
      <c r="K2241" s="128"/>
      <c r="L2241" s="128"/>
      <c r="M2241" s="129"/>
      <c r="N2241" s="129"/>
      <c r="O2241" s="129"/>
    </row>
    <row r="2242" spans="1:15" ht="12.5">
      <c r="A2242" s="158" t="s">
        <v>19695</v>
      </c>
      <c r="B2242" s="159">
        <v>30</v>
      </c>
      <c r="C2242" s="159">
        <v>36</v>
      </c>
      <c r="D2242" s="159">
        <v>36</v>
      </c>
      <c r="E2242" s="159">
        <v>84</v>
      </c>
      <c r="F2242" s="131"/>
      <c r="G2242" s="132"/>
      <c r="H2242" s="162" t="s">
        <v>19696</v>
      </c>
      <c r="I2242" s="158" t="s">
        <v>19640</v>
      </c>
      <c r="J2242" s="128"/>
      <c r="K2242" s="128"/>
      <c r="L2242" s="128"/>
      <c r="M2242" s="129"/>
      <c r="N2242" s="129"/>
      <c r="O2242" s="129"/>
    </row>
    <row r="2243" spans="1:15" ht="12.5">
      <c r="A2243" s="158" t="s">
        <v>19697</v>
      </c>
      <c r="B2243" s="159">
        <v>30</v>
      </c>
      <c r="C2243" s="159">
        <v>36</v>
      </c>
      <c r="D2243" s="159">
        <v>36</v>
      </c>
      <c r="E2243" s="159">
        <v>88</v>
      </c>
      <c r="F2243" s="131"/>
      <c r="G2243" s="132"/>
      <c r="H2243" s="162" t="s">
        <v>19698</v>
      </c>
      <c r="I2243" s="158" t="s">
        <v>19640</v>
      </c>
      <c r="J2243" s="128"/>
      <c r="K2243" s="128"/>
      <c r="L2243" s="128"/>
      <c r="M2243" s="129"/>
      <c r="N2243" s="129"/>
      <c r="O2243" s="129"/>
    </row>
    <row r="2244" spans="1:15" ht="12.5">
      <c r="A2244" s="158" t="s">
        <v>19699</v>
      </c>
      <c r="B2244" s="159">
        <v>30</v>
      </c>
      <c r="C2244" s="159">
        <v>36</v>
      </c>
      <c r="D2244" s="159">
        <v>36</v>
      </c>
      <c r="E2244" s="159">
        <v>96</v>
      </c>
      <c r="F2244" s="131"/>
      <c r="G2244" s="132"/>
      <c r="H2244" s="162" t="s">
        <v>33396</v>
      </c>
      <c r="I2244" s="158" t="s">
        <v>19673</v>
      </c>
      <c r="J2244" s="128"/>
      <c r="K2244" s="128"/>
      <c r="L2244" s="128"/>
      <c r="M2244" s="129"/>
      <c r="N2244" s="129"/>
      <c r="O2244" s="129"/>
    </row>
    <row r="2245" spans="1:15" ht="12.5">
      <c r="A2245" s="158" t="s">
        <v>19702</v>
      </c>
      <c r="B2245" s="159">
        <v>30</v>
      </c>
      <c r="C2245" s="159">
        <v>36</v>
      </c>
      <c r="D2245" s="159">
        <v>59</v>
      </c>
      <c r="E2245" s="130"/>
      <c r="F2245" s="131"/>
      <c r="G2245" s="132"/>
      <c r="H2245" s="162" t="s">
        <v>19703</v>
      </c>
      <c r="I2245" s="128"/>
      <c r="J2245" s="128"/>
      <c r="K2245" s="128"/>
      <c r="L2245" s="128"/>
      <c r="M2245" s="129"/>
      <c r="N2245" s="129"/>
      <c r="O2245" s="129"/>
    </row>
    <row r="2246" spans="1:15" ht="12.5">
      <c r="A2246" s="158" t="s">
        <v>19704</v>
      </c>
      <c r="B2246" s="159">
        <v>30</v>
      </c>
      <c r="C2246" s="159">
        <v>36</v>
      </c>
      <c r="D2246" s="159">
        <v>59</v>
      </c>
      <c r="E2246" s="159">
        <v>15</v>
      </c>
      <c r="F2246" s="131"/>
      <c r="G2246" s="132"/>
      <c r="H2246" s="162" t="s">
        <v>19705</v>
      </c>
      <c r="I2246" s="158" t="s">
        <v>19706</v>
      </c>
      <c r="J2246" s="128"/>
      <c r="K2246" s="128"/>
      <c r="L2246" s="128"/>
      <c r="M2246" s="129"/>
      <c r="N2246" s="129"/>
      <c r="O2246" s="129"/>
    </row>
    <row r="2247" spans="1:15" ht="12.5">
      <c r="A2247" s="158" t="s">
        <v>19707</v>
      </c>
      <c r="B2247" s="159">
        <v>30</v>
      </c>
      <c r="C2247" s="159">
        <v>36</v>
      </c>
      <c r="D2247" s="159">
        <v>59</v>
      </c>
      <c r="E2247" s="159">
        <v>22</v>
      </c>
      <c r="F2247" s="131"/>
      <c r="G2247" s="132"/>
      <c r="H2247" s="162" t="s">
        <v>19708</v>
      </c>
      <c r="I2247" s="158" t="s">
        <v>19709</v>
      </c>
      <c r="J2247" s="128"/>
      <c r="K2247" s="128"/>
      <c r="L2247" s="128"/>
      <c r="M2247" s="129"/>
      <c r="N2247" s="129"/>
      <c r="O2247" s="129"/>
    </row>
    <row r="2248" spans="1:15" ht="12.5">
      <c r="A2248" s="158" t="s">
        <v>19710</v>
      </c>
      <c r="B2248" s="159">
        <v>30</v>
      </c>
      <c r="C2248" s="159">
        <v>36</v>
      </c>
      <c r="D2248" s="159">
        <v>59</v>
      </c>
      <c r="E2248" s="159">
        <v>24</v>
      </c>
      <c r="F2248" s="131"/>
      <c r="G2248" s="132"/>
      <c r="H2248" s="162" t="s">
        <v>19711</v>
      </c>
      <c r="I2248" s="158" t="s">
        <v>19712</v>
      </c>
      <c r="J2248" s="128"/>
      <c r="K2248" s="128"/>
      <c r="L2248" s="128"/>
      <c r="M2248" s="129"/>
      <c r="N2248" s="129"/>
      <c r="O2248" s="129"/>
    </row>
    <row r="2249" spans="1:15" ht="12.5">
      <c r="A2249" s="158" t="s">
        <v>19713</v>
      </c>
      <c r="B2249" s="159">
        <v>30</v>
      </c>
      <c r="C2249" s="159">
        <v>36</v>
      </c>
      <c r="D2249" s="159">
        <v>59</v>
      </c>
      <c r="E2249" s="159">
        <v>25</v>
      </c>
      <c r="F2249" s="131"/>
      <c r="G2249" s="132"/>
      <c r="H2249" s="162" t="s">
        <v>19714</v>
      </c>
      <c r="I2249" s="158" t="s">
        <v>19715</v>
      </c>
      <c r="J2249" s="128"/>
      <c r="K2249" s="128"/>
      <c r="L2249" s="128"/>
      <c r="M2249" s="129"/>
      <c r="N2249" s="129"/>
      <c r="O2249" s="129"/>
    </row>
    <row r="2250" spans="1:15" ht="12.5">
      <c r="A2250" s="158" t="s">
        <v>19718</v>
      </c>
      <c r="B2250" s="159">
        <v>30</v>
      </c>
      <c r="C2250" s="159">
        <v>36</v>
      </c>
      <c r="D2250" s="159">
        <v>59</v>
      </c>
      <c r="E2250" s="159">
        <v>31</v>
      </c>
      <c r="F2250" s="131"/>
      <c r="G2250" s="132"/>
      <c r="H2250" s="162" t="s">
        <v>19719</v>
      </c>
      <c r="I2250" s="128"/>
      <c r="J2250" s="128"/>
      <c r="K2250" s="128"/>
      <c r="L2250" s="128"/>
      <c r="M2250" s="129"/>
      <c r="N2250" s="129"/>
      <c r="O2250" s="129"/>
    </row>
    <row r="2251" spans="1:15" ht="12.5">
      <c r="A2251" s="158" t="s">
        <v>19720</v>
      </c>
      <c r="B2251" s="159">
        <v>30</v>
      </c>
      <c r="C2251" s="159">
        <v>36</v>
      </c>
      <c r="D2251" s="159">
        <v>59</v>
      </c>
      <c r="E2251" s="159">
        <v>32</v>
      </c>
      <c r="F2251" s="131"/>
      <c r="G2251" s="132"/>
      <c r="H2251" s="162" t="s">
        <v>19721</v>
      </c>
      <c r="I2251" s="158" t="s">
        <v>19722</v>
      </c>
      <c r="J2251" s="128"/>
      <c r="K2251" s="128"/>
      <c r="L2251" s="128"/>
      <c r="M2251" s="129"/>
      <c r="N2251" s="129"/>
      <c r="O2251" s="129"/>
    </row>
    <row r="2252" spans="1:15" ht="12.5">
      <c r="A2252" s="158" t="s">
        <v>19723</v>
      </c>
      <c r="B2252" s="159">
        <v>30</v>
      </c>
      <c r="C2252" s="159">
        <v>36</v>
      </c>
      <c r="D2252" s="159">
        <v>59</v>
      </c>
      <c r="E2252" s="159">
        <v>33</v>
      </c>
      <c r="F2252" s="131"/>
      <c r="G2252" s="132"/>
      <c r="H2252" s="162" t="s">
        <v>19724</v>
      </c>
      <c r="I2252" s="158" t="s">
        <v>19725</v>
      </c>
      <c r="J2252" s="128"/>
      <c r="K2252" s="128"/>
      <c r="L2252" s="128"/>
      <c r="M2252" s="129"/>
      <c r="N2252" s="129"/>
      <c r="O2252" s="129"/>
    </row>
    <row r="2253" spans="1:15" ht="12.5">
      <c r="A2253" s="158" t="s">
        <v>19726</v>
      </c>
      <c r="B2253" s="159">
        <v>30</v>
      </c>
      <c r="C2253" s="159">
        <v>36</v>
      </c>
      <c r="D2253" s="159">
        <v>59</v>
      </c>
      <c r="E2253" s="159">
        <v>34</v>
      </c>
      <c r="F2253" s="131"/>
      <c r="G2253" s="132"/>
      <c r="H2253" s="162" t="s">
        <v>19727</v>
      </c>
      <c r="I2253" s="158" t="s">
        <v>19728</v>
      </c>
      <c r="J2253" s="128"/>
      <c r="K2253" s="128"/>
      <c r="L2253" s="128"/>
      <c r="M2253" s="129"/>
      <c r="N2253" s="129"/>
      <c r="O2253" s="129"/>
    </row>
    <row r="2254" spans="1:15" ht="12.5">
      <c r="A2254" s="158" t="s">
        <v>19729</v>
      </c>
      <c r="B2254" s="159">
        <v>30</v>
      </c>
      <c r="C2254" s="159">
        <v>36</v>
      </c>
      <c r="D2254" s="159">
        <v>59</v>
      </c>
      <c r="E2254" s="159">
        <v>35</v>
      </c>
      <c r="F2254" s="131"/>
      <c r="G2254" s="132"/>
      <c r="H2254" s="162" t="s">
        <v>19730</v>
      </c>
      <c r="I2254" s="158" t="s">
        <v>19731</v>
      </c>
      <c r="J2254" s="128"/>
      <c r="K2254" s="128"/>
      <c r="L2254" s="128"/>
      <c r="M2254" s="129"/>
      <c r="N2254" s="129"/>
      <c r="O2254" s="129"/>
    </row>
    <row r="2255" spans="1:15" ht="12.5">
      <c r="A2255" s="158" t="s">
        <v>19732</v>
      </c>
      <c r="B2255" s="159">
        <v>30</v>
      </c>
      <c r="C2255" s="159">
        <v>36</v>
      </c>
      <c r="D2255" s="159">
        <v>59</v>
      </c>
      <c r="E2255" s="159">
        <v>36</v>
      </c>
      <c r="F2255" s="131"/>
      <c r="G2255" s="132"/>
      <c r="H2255" s="162" t="s">
        <v>19733</v>
      </c>
      <c r="I2255" s="158" t="s">
        <v>19734</v>
      </c>
      <c r="J2255" s="128"/>
      <c r="K2255" s="128"/>
      <c r="L2255" s="128"/>
      <c r="M2255" s="129"/>
      <c r="N2255" s="129"/>
      <c r="O2255" s="129"/>
    </row>
    <row r="2256" spans="1:15" ht="12.5">
      <c r="A2256" s="158" t="s">
        <v>19735</v>
      </c>
      <c r="B2256" s="159">
        <v>30</v>
      </c>
      <c r="C2256" s="159">
        <v>36</v>
      </c>
      <c r="D2256" s="159">
        <v>59</v>
      </c>
      <c r="E2256" s="159">
        <v>38</v>
      </c>
      <c r="F2256" s="131"/>
      <c r="G2256" s="132"/>
      <c r="H2256" s="162" t="s">
        <v>19736</v>
      </c>
      <c r="I2256" s="158" t="s">
        <v>19737</v>
      </c>
      <c r="J2256" s="128"/>
      <c r="K2256" s="128"/>
      <c r="L2256" s="128"/>
      <c r="M2256" s="129"/>
      <c r="N2256" s="129"/>
      <c r="O2256" s="129"/>
    </row>
    <row r="2257" spans="1:15" ht="12.5">
      <c r="A2257" s="158" t="s">
        <v>19738</v>
      </c>
      <c r="B2257" s="159">
        <v>30</v>
      </c>
      <c r="C2257" s="159">
        <v>36</v>
      </c>
      <c r="D2257" s="159">
        <v>59</v>
      </c>
      <c r="E2257" s="159">
        <v>45</v>
      </c>
      <c r="F2257" s="131"/>
      <c r="G2257" s="132"/>
      <c r="H2257" s="162" t="s">
        <v>19739</v>
      </c>
      <c r="I2257" s="158" t="s">
        <v>19740</v>
      </c>
      <c r="J2257" s="128"/>
      <c r="K2257" s="128"/>
      <c r="L2257" s="128"/>
      <c r="M2257" s="129"/>
      <c r="N2257" s="129"/>
      <c r="O2257" s="129"/>
    </row>
    <row r="2258" spans="1:15" ht="12.5">
      <c r="A2258" s="158" t="s">
        <v>19741</v>
      </c>
      <c r="B2258" s="159">
        <v>30</v>
      </c>
      <c r="C2258" s="159">
        <v>36</v>
      </c>
      <c r="D2258" s="159">
        <v>59</v>
      </c>
      <c r="E2258" s="159">
        <v>50</v>
      </c>
      <c r="F2258" s="131"/>
      <c r="G2258" s="132"/>
      <c r="H2258" s="162" t="s">
        <v>19742</v>
      </c>
      <c r="I2258" s="128"/>
      <c r="J2258" s="128"/>
      <c r="K2258" s="128"/>
      <c r="L2258" s="128"/>
      <c r="M2258" s="129"/>
      <c r="N2258" s="129"/>
      <c r="O2258" s="129"/>
    </row>
    <row r="2259" spans="1:15" ht="12.5">
      <c r="A2259" s="158" t="s">
        <v>19743</v>
      </c>
      <c r="B2259" s="159">
        <v>30</v>
      </c>
      <c r="C2259" s="159">
        <v>36</v>
      </c>
      <c r="D2259" s="159">
        <v>59</v>
      </c>
      <c r="E2259" s="159">
        <v>52</v>
      </c>
      <c r="F2259" s="131"/>
      <c r="G2259" s="132"/>
      <c r="H2259" s="162" t="s">
        <v>19744</v>
      </c>
      <c r="I2259" s="158" t="s">
        <v>19745</v>
      </c>
      <c r="J2259" s="128"/>
      <c r="K2259" s="128"/>
      <c r="L2259" s="128"/>
      <c r="M2259" s="129"/>
      <c r="N2259" s="129"/>
      <c r="O2259" s="129"/>
    </row>
    <row r="2260" spans="1:15" ht="12.5">
      <c r="A2260" s="158" t="s">
        <v>19746</v>
      </c>
      <c r="B2260" s="159">
        <v>30</v>
      </c>
      <c r="C2260" s="159">
        <v>36</v>
      </c>
      <c r="D2260" s="159">
        <v>59</v>
      </c>
      <c r="E2260" s="159">
        <v>64</v>
      </c>
      <c r="F2260" s="131"/>
      <c r="G2260" s="132"/>
      <c r="H2260" s="162" t="s">
        <v>19747</v>
      </c>
      <c r="I2260" s="158" t="s">
        <v>19748</v>
      </c>
      <c r="J2260" s="128"/>
      <c r="K2260" s="128"/>
      <c r="L2260" s="128"/>
      <c r="M2260" s="129"/>
      <c r="N2260" s="129"/>
      <c r="O2260" s="129"/>
    </row>
    <row r="2261" spans="1:15" ht="12.5">
      <c r="A2261" s="158" t="s">
        <v>19749</v>
      </c>
      <c r="B2261" s="159">
        <v>30</v>
      </c>
      <c r="C2261" s="159">
        <v>36</v>
      </c>
      <c r="D2261" s="159">
        <v>59</v>
      </c>
      <c r="E2261" s="159">
        <v>76</v>
      </c>
      <c r="F2261" s="131"/>
      <c r="G2261" s="132"/>
      <c r="H2261" s="162" t="s">
        <v>19750</v>
      </c>
      <c r="I2261" s="158" t="s">
        <v>19751</v>
      </c>
      <c r="J2261" s="128"/>
      <c r="K2261" s="128"/>
      <c r="L2261" s="128"/>
      <c r="M2261" s="129"/>
      <c r="N2261" s="129"/>
      <c r="O2261" s="129"/>
    </row>
    <row r="2262" spans="1:15" ht="12.5">
      <c r="A2262" s="158" t="s">
        <v>19754</v>
      </c>
      <c r="B2262" s="159">
        <v>30</v>
      </c>
      <c r="C2262" s="159">
        <v>36</v>
      </c>
      <c r="D2262" s="159">
        <v>59</v>
      </c>
      <c r="E2262" s="159">
        <v>92</v>
      </c>
      <c r="F2262" s="131"/>
      <c r="G2262" s="132"/>
      <c r="H2262" s="162" t="s">
        <v>19755</v>
      </c>
      <c r="I2262" s="158" t="s">
        <v>19756</v>
      </c>
      <c r="J2262" s="128"/>
      <c r="K2262" s="128"/>
      <c r="L2262" s="128"/>
      <c r="M2262" s="129"/>
      <c r="N2262" s="129"/>
      <c r="O2262" s="129"/>
    </row>
    <row r="2263" spans="1:15" ht="12.5">
      <c r="A2263" s="158" t="s">
        <v>19757</v>
      </c>
      <c r="B2263" s="159">
        <v>30</v>
      </c>
      <c r="C2263" s="159">
        <v>36</v>
      </c>
      <c r="D2263" s="159">
        <v>59</v>
      </c>
      <c r="E2263" s="159">
        <v>94</v>
      </c>
      <c r="F2263" s="131"/>
      <c r="G2263" s="132"/>
      <c r="H2263" s="162" t="s">
        <v>19758</v>
      </c>
      <c r="I2263" s="158" t="s">
        <v>19759</v>
      </c>
      <c r="J2263" s="128"/>
      <c r="K2263" s="128"/>
      <c r="L2263" s="128"/>
      <c r="M2263" s="129"/>
      <c r="N2263" s="129"/>
      <c r="O2263" s="129"/>
    </row>
    <row r="2264" spans="1:15" ht="12.5">
      <c r="A2264" s="158" t="s">
        <v>19760</v>
      </c>
      <c r="B2264" s="159">
        <v>30</v>
      </c>
      <c r="C2264" s="159">
        <v>36</v>
      </c>
      <c r="D2264" s="159">
        <v>59</v>
      </c>
      <c r="E2264" s="159">
        <v>95</v>
      </c>
      <c r="F2264" s="131"/>
      <c r="G2264" s="132"/>
      <c r="H2264" s="162" t="s">
        <v>19761</v>
      </c>
      <c r="I2264" s="158" t="s">
        <v>19762</v>
      </c>
      <c r="J2264" s="128"/>
      <c r="K2264" s="128"/>
      <c r="L2264" s="128"/>
      <c r="M2264" s="129"/>
      <c r="N2264" s="129"/>
      <c r="O2264" s="129"/>
    </row>
    <row r="2265" spans="1:15" ht="12.5">
      <c r="A2265" s="158" t="s">
        <v>19763</v>
      </c>
      <c r="B2265" s="159">
        <v>30</v>
      </c>
      <c r="C2265" s="159">
        <v>36</v>
      </c>
      <c r="D2265" s="159">
        <v>59</v>
      </c>
      <c r="E2265" s="159">
        <v>96</v>
      </c>
      <c r="F2265" s="131"/>
      <c r="G2265" s="132"/>
      <c r="H2265" s="162" t="s">
        <v>19764</v>
      </c>
      <c r="I2265" s="158" t="s">
        <v>19765</v>
      </c>
      <c r="J2265" s="128"/>
      <c r="K2265" s="128"/>
      <c r="L2265" s="128"/>
      <c r="M2265" s="129"/>
      <c r="N2265" s="129"/>
      <c r="O2265" s="129"/>
    </row>
    <row r="2266" spans="1:15" ht="12.5">
      <c r="A2266" s="158" t="s">
        <v>19766</v>
      </c>
      <c r="B2266" s="159">
        <v>30</v>
      </c>
      <c r="C2266" s="159">
        <v>36</v>
      </c>
      <c r="D2266" s="159">
        <v>59</v>
      </c>
      <c r="E2266" s="159">
        <v>97</v>
      </c>
      <c r="F2266" s="131"/>
      <c r="G2266" s="132"/>
      <c r="H2266" s="162" t="s">
        <v>19767</v>
      </c>
      <c r="I2266" s="158" t="s">
        <v>19768</v>
      </c>
      <c r="J2266" s="128"/>
      <c r="K2266" s="128"/>
      <c r="L2266" s="128"/>
      <c r="M2266" s="129"/>
      <c r="N2266" s="129"/>
      <c r="O2266" s="129"/>
    </row>
    <row r="2267" spans="1:15" ht="12.5">
      <c r="A2267" s="158" t="s">
        <v>19769</v>
      </c>
      <c r="B2267" s="159">
        <v>30</v>
      </c>
      <c r="C2267" s="159">
        <v>36</v>
      </c>
      <c r="D2267" s="159">
        <v>59</v>
      </c>
      <c r="E2267" s="159">
        <v>98</v>
      </c>
      <c r="F2267" s="131"/>
      <c r="G2267" s="132"/>
      <c r="H2267" s="162" t="s">
        <v>19770</v>
      </c>
      <c r="I2267" s="158" t="s">
        <v>19771</v>
      </c>
      <c r="J2267" s="128"/>
      <c r="K2267" s="128"/>
      <c r="L2267" s="128"/>
      <c r="M2267" s="129"/>
      <c r="N2267" s="129"/>
      <c r="O2267" s="129"/>
    </row>
    <row r="2268" spans="1:15" ht="12.5">
      <c r="A2268" s="144" t="s">
        <v>19772</v>
      </c>
      <c r="B2268" s="145">
        <v>30</v>
      </c>
      <c r="C2268" s="145">
        <v>59</v>
      </c>
      <c r="D2268" s="146"/>
      <c r="E2268" s="146"/>
      <c r="F2268" s="147" t="s">
        <v>33397</v>
      </c>
      <c r="G2268" s="190"/>
      <c r="H2268" s="149" t="s">
        <v>19773</v>
      </c>
      <c r="I2268" s="150"/>
      <c r="J2268" s="150"/>
      <c r="K2268" s="150"/>
      <c r="L2268" s="150"/>
      <c r="M2268" s="191"/>
      <c r="N2268" s="191"/>
      <c r="O2268" s="191"/>
    </row>
    <row r="2269" spans="1:15" ht="12.5">
      <c r="A2269" s="158" t="s">
        <v>19774</v>
      </c>
      <c r="B2269" s="159">
        <v>30</v>
      </c>
      <c r="C2269" s="159">
        <v>59</v>
      </c>
      <c r="D2269" s="159">
        <v>1</v>
      </c>
      <c r="E2269" s="130"/>
      <c r="F2269" s="131"/>
      <c r="G2269" s="132"/>
      <c r="H2269" s="162" t="s">
        <v>19775</v>
      </c>
      <c r="I2269" s="128"/>
      <c r="J2269" s="128"/>
      <c r="K2269" s="128"/>
      <c r="L2269" s="128"/>
      <c r="M2269" s="129"/>
      <c r="N2269" s="129"/>
      <c r="O2269" s="129"/>
    </row>
    <row r="2270" spans="1:15" ht="12.5">
      <c r="A2270" s="158" t="s">
        <v>19776</v>
      </c>
      <c r="B2270" s="159">
        <v>30</v>
      </c>
      <c r="C2270" s="159">
        <v>59</v>
      </c>
      <c r="D2270" s="159">
        <v>1</v>
      </c>
      <c r="E2270" s="159">
        <v>11</v>
      </c>
      <c r="F2270" s="131"/>
      <c r="G2270" s="132"/>
      <c r="H2270" s="162" t="s">
        <v>19777</v>
      </c>
      <c r="I2270" s="128"/>
      <c r="J2270" s="128"/>
      <c r="K2270" s="128"/>
      <c r="L2270" s="128"/>
      <c r="M2270" s="129"/>
      <c r="N2270" s="129"/>
      <c r="O2270" s="129"/>
    </row>
    <row r="2271" spans="1:15" ht="12.5">
      <c r="A2271" s="158" t="s">
        <v>19778</v>
      </c>
      <c r="B2271" s="159">
        <v>30</v>
      </c>
      <c r="C2271" s="159">
        <v>59</v>
      </c>
      <c r="D2271" s="159">
        <v>1</v>
      </c>
      <c r="E2271" s="159">
        <v>23</v>
      </c>
      <c r="F2271" s="131"/>
      <c r="G2271" s="132"/>
      <c r="H2271" s="162" t="s">
        <v>19779</v>
      </c>
      <c r="I2271" s="128"/>
      <c r="J2271" s="128"/>
      <c r="K2271" s="128"/>
      <c r="L2271" s="128"/>
      <c r="M2271" s="129"/>
      <c r="N2271" s="129"/>
      <c r="O2271" s="129"/>
    </row>
    <row r="2272" spans="1:15" ht="12.5">
      <c r="A2272" s="158" t="s">
        <v>19784</v>
      </c>
      <c r="B2272" s="159">
        <v>30</v>
      </c>
      <c r="C2272" s="159">
        <v>59</v>
      </c>
      <c r="D2272" s="159">
        <v>1</v>
      </c>
      <c r="E2272" s="159">
        <v>96</v>
      </c>
      <c r="F2272" s="131"/>
      <c r="G2272" s="132"/>
      <c r="H2272" s="162" t="s">
        <v>19785</v>
      </c>
      <c r="I2272" s="128"/>
      <c r="J2272" s="128"/>
      <c r="K2272" s="128"/>
      <c r="L2272" s="128"/>
      <c r="M2272" s="129"/>
      <c r="N2272" s="129"/>
      <c r="O2272" s="129"/>
    </row>
    <row r="2273" spans="1:15" ht="12.5">
      <c r="A2273" s="158" t="s">
        <v>19786</v>
      </c>
      <c r="B2273" s="159">
        <v>30</v>
      </c>
      <c r="C2273" s="159">
        <v>59</v>
      </c>
      <c r="D2273" s="159">
        <v>7</v>
      </c>
      <c r="E2273" s="130"/>
      <c r="F2273" s="131"/>
      <c r="G2273" s="132"/>
      <c r="H2273" s="162" t="s">
        <v>19787</v>
      </c>
      <c r="I2273" s="128"/>
      <c r="J2273" s="128"/>
      <c r="K2273" s="128"/>
      <c r="L2273" s="128"/>
      <c r="M2273" s="129"/>
      <c r="N2273" s="129"/>
      <c r="O2273" s="129"/>
    </row>
    <row r="2274" spans="1:15" ht="12.5">
      <c r="A2274" s="158" t="s">
        <v>19790</v>
      </c>
      <c r="B2274" s="159">
        <v>30</v>
      </c>
      <c r="C2274" s="159">
        <v>59</v>
      </c>
      <c r="D2274" s="159">
        <v>7</v>
      </c>
      <c r="E2274" s="159">
        <v>3</v>
      </c>
      <c r="F2274" s="131"/>
      <c r="G2274" s="132"/>
      <c r="H2274" s="162" t="s">
        <v>19791</v>
      </c>
      <c r="I2274" s="158" t="s">
        <v>19792</v>
      </c>
      <c r="J2274" s="128"/>
      <c r="K2274" s="128"/>
      <c r="L2274" s="128"/>
      <c r="M2274" s="129"/>
      <c r="N2274" s="129"/>
      <c r="O2274" s="129"/>
    </row>
    <row r="2275" spans="1:15" ht="12.5">
      <c r="A2275" s="158" t="s">
        <v>19793</v>
      </c>
      <c r="B2275" s="159">
        <v>30</v>
      </c>
      <c r="C2275" s="159">
        <v>59</v>
      </c>
      <c r="D2275" s="159">
        <v>7</v>
      </c>
      <c r="E2275" s="159">
        <v>5</v>
      </c>
      <c r="F2275" s="131"/>
      <c r="G2275" s="132"/>
      <c r="H2275" s="162" t="s">
        <v>19794</v>
      </c>
      <c r="I2275" s="158" t="s">
        <v>19795</v>
      </c>
      <c r="J2275" s="128"/>
      <c r="K2275" s="128"/>
      <c r="L2275" s="128"/>
      <c r="M2275" s="129"/>
      <c r="N2275" s="129"/>
      <c r="O2275" s="129"/>
    </row>
    <row r="2276" spans="1:15" ht="12.5">
      <c r="A2276" s="158" t="s">
        <v>19796</v>
      </c>
      <c r="B2276" s="159">
        <v>30</v>
      </c>
      <c r="C2276" s="159">
        <v>59</v>
      </c>
      <c r="D2276" s="159">
        <v>7</v>
      </c>
      <c r="E2276" s="159">
        <v>7</v>
      </c>
      <c r="F2276" s="131"/>
      <c r="G2276" s="132"/>
      <c r="H2276" s="162" t="s">
        <v>19797</v>
      </c>
      <c r="I2276" s="128"/>
      <c r="J2276" s="128"/>
      <c r="K2276" s="128"/>
      <c r="L2276" s="128"/>
      <c r="M2276" s="129"/>
      <c r="N2276" s="129"/>
      <c r="O2276" s="129"/>
    </row>
    <row r="2277" spans="1:15" ht="12.5">
      <c r="A2277" s="158" t="s">
        <v>19798</v>
      </c>
      <c r="B2277" s="159">
        <v>30</v>
      </c>
      <c r="C2277" s="159">
        <v>59</v>
      </c>
      <c r="D2277" s="159">
        <v>7</v>
      </c>
      <c r="E2277" s="159">
        <v>26</v>
      </c>
      <c r="F2277" s="131"/>
      <c r="G2277" s="132"/>
      <c r="H2277" s="162" t="s">
        <v>19799</v>
      </c>
      <c r="I2277" s="158" t="s">
        <v>19800</v>
      </c>
      <c r="J2277" s="128"/>
      <c r="K2277" s="128"/>
      <c r="L2277" s="128"/>
      <c r="M2277" s="129"/>
      <c r="N2277" s="129"/>
      <c r="O2277" s="129"/>
    </row>
    <row r="2278" spans="1:15" ht="12.5">
      <c r="A2278" s="158" t="s">
        <v>19801</v>
      </c>
      <c r="B2278" s="159">
        <v>30</v>
      </c>
      <c r="C2278" s="159">
        <v>59</v>
      </c>
      <c r="D2278" s="159">
        <v>7</v>
      </c>
      <c r="E2278" s="159">
        <v>27</v>
      </c>
      <c r="F2278" s="131"/>
      <c r="G2278" s="132"/>
      <c r="H2278" s="162" t="s">
        <v>19802</v>
      </c>
      <c r="I2278" s="158" t="s">
        <v>19803</v>
      </c>
      <c r="J2278" s="128"/>
      <c r="K2278" s="128"/>
      <c r="L2278" s="128"/>
      <c r="M2278" s="129"/>
      <c r="N2278" s="129"/>
      <c r="O2278" s="129"/>
    </row>
    <row r="2279" spans="1:15" ht="12.5">
      <c r="A2279" s="158" t="s">
        <v>19804</v>
      </c>
      <c r="B2279" s="159">
        <v>30</v>
      </c>
      <c r="C2279" s="159">
        <v>59</v>
      </c>
      <c r="D2279" s="159">
        <v>7</v>
      </c>
      <c r="E2279" s="159">
        <v>60</v>
      </c>
      <c r="F2279" s="131"/>
      <c r="G2279" s="132"/>
      <c r="H2279" s="162" t="s">
        <v>19805</v>
      </c>
      <c r="I2279" s="158" t="s">
        <v>19806</v>
      </c>
      <c r="J2279" s="128"/>
      <c r="K2279" s="128"/>
      <c r="L2279" s="128"/>
      <c r="M2279" s="129"/>
      <c r="N2279" s="129"/>
      <c r="O2279" s="129"/>
    </row>
    <row r="2280" spans="1:15" ht="12.5">
      <c r="A2280" s="158" t="s">
        <v>19807</v>
      </c>
      <c r="B2280" s="159">
        <v>30</v>
      </c>
      <c r="C2280" s="159">
        <v>59</v>
      </c>
      <c r="D2280" s="159">
        <v>7</v>
      </c>
      <c r="E2280" s="159">
        <v>64</v>
      </c>
      <c r="F2280" s="131"/>
      <c r="G2280" s="132"/>
      <c r="H2280" s="162" t="s">
        <v>19808</v>
      </c>
      <c r="I2280" s="158" t="s">
        <v>19809</v>
      </c>
      <c r="J2280" s="128"/>
      <c r="K2280" s="128"/>
      <c r="L2280" s="128"/>
      <c r="M2280" s="129"/>
      <c r="N2280" s="129"/>
      <c r="O2280" s="129"/>
    </row>
    <row r="2281" spans="1:15" ht="12.5">
      <c r="A2281" s="158" t="s">
        <v>19810</v>
      </c>
      <c r="B2281" s="159">
        <v>30</v>
      </c>
      <c r="C2281" s="159">
        <v>59</v>
      </c>
      <c r="D2281" s="159">
        <v>7</v>
      </c>
      <c r="E2281" s="159">
        <v>66</v>
      </c>
      <c r="F2281" s="131"/>
      <c r="G2281" s="132"/>
      <c r="H2281" s="162" t="s">
        <v>19811</v>
      </c>
      <c r="I2281" s="158" t="s">
        <v>19812</v>
      </c>
      <c r="J2281" s="128"/>
      <c r="K2281" s="128"/>
      <c r="L2281" s="128"/>
      <c r="M2281" s="129"/>
      <c r="N2281" s="129"/>
      <c r="O2281" s="129"/>
    </row>
    <row r="2282" spans="1:15" ht="12.5">
      <c r="A2282" s="158" t="s">
        <v>19815</v>
      </c>
      <c r="B2282" s="159">
        <v>30</v>
      </c>
      <c r="C2282" s="159">
        <v>59</v>
      </c>
      <c r="D2282" s="159">
        <v>7</v>
      </c>
      <c r="E2282" s="159">
        <v>72</v>
      </c>
      <c r="F2282" s="131"/>
      <c r="G2282" s="132"/>
      <c r="H2282" s="162" t="s">
        <v>19816</v>
      </c>
      <c r="I2282" s="158" t="s">
        <v>19817</v>
      </c>
      <c r="J2282" s="128"/>
      <c r="K2282" s="128"/>
      <c r="L2282" s="128"/>
      <c r="M2282" s="129"/>
      <c r="N2282" s="129"/>
      <c r="O2282" s="129"/>
    </row>
    <row r="2283" spans="1:15" ht="12.5">
      <c r="A2283" s="158" t="s">
        <v>19818</v>
      </c>
      <c r="B2283" s="159">
        <v>30</v>
      </c>
      <c r="C2283" s="159">
        <v>59</v>
      </c>
      <c r="D2283" s="159">
        <v>7</v>
      </c>
      <c r="E2283" s="159">
        <v>73</v>
      </c>
      <c r="F2283" s="131"/>
      <c r="G2283" s="132"/>
      <c r="H2283" s="162" t="s">
        <v>19819</v>
      </c>
      <c r="I2283" s="158" t="s">
        <v>19820</v>
      </c>
      <c r="J2283" s="128"/>
      <c r="K2283" s="128"/>
      <c r="L2283" s="128"/>
      <c r="M2283" s="129"/>
      <c r="N2283" s="129"/>
      <c r="O2283" s="129"/>
    </row>
    <row r="2284" spans="1:15" ht="12.5">
      <c r="A2284" s="158" t="s">
        <v>19821</v>
      </c>
      <c r="B2284" s="159">
        <v>30</v>
      </c>
      <c r="C2284" s="159">
        <v>59</v>
      </c>
      <c r="D2284" s="159">
        <v>7</v>
      </c>
      <c r="E2284" s="159">
        <v>86</v>
      </c>
      <c r="F2284" s="131"/>
      <c r="G2284" s="132"/>
      <c r="H2284" s="162" t="s">
        <v>19822</v>
      </c>
      <c r="I2284" s="128"/>
      <c r="J2284" s="128"/>
      <c r="K2284" s="128"/>
      <c r="L2284" s="128"/>
      <c r="M2284" s="129"/>
      <c r="N2284" s="129"/>
      <c r="O2284" s="129"/>
    </row>
    <row r="2285" spans="1:15" ht="12.5">
      <c r="A2285" s="158" t="s">
        <v>19823</v>
      </c>
      <c r="B2285" s="159">
        <v>30</v>
      </c>
      <c r="C2285" s="159">
        <v>59</v>
      </c>
      <c r="D2285" s="159">
        <v>7</v>
      </c>
      <c r="E2285" s="159">
        <v>94</v>
      </c>
      <c r="F2285" s="131"/>
      <c r="G2285" s="132"/>
      <c r="H2285" s="162" t="s">
        <v>19824</v>
      </c>
      <c r="I2285" s="158" t="s">
        <v>19825</v>
      </c>
      <c r="J2285" s="128"/>
      <c r="K2285" s="128"/>
      <c r="L2285" s="128"/>
      <c r="M2285" s="129"/>
      <c r="N2285" s="129"/>
      <c r="O2285" s="129"/>
    </row>
    <row r="2286" spans="1:15" ht="12.5">
      <c r="A2286" s="158" t="s">
        <v>19826</v>
      </c>
      <c r="B2286" s="159">
        <v>30</v>
      </c>
      <c r="C2286" s="159">
        <v>59</v>
      </c>
      <c r="D2286" s="159">
        <v>7</v>
      </c>
      <c r="E2286" s="159">
        <v>95</v>
      </c>
      <c r="F2286" s="131"/>
      <c r="G2286" s="132"/>
      <c r="H2286" s="162" t="s">
        <v>19827</v>
      </c>
      <c r="I2286" s="158" t="s">
        <v>19828</v>
      </c>
      <c r="J2286" s="128"/>
      <c r="K2286" s="128"/>
      <c r="L2286" s="128"/>
      <c r="M2286" s="129"/>
      <c r="N2286" s="129"/>
      <c r="O2286" s="129"/>
    </row>
    <row r="2287" spans="1:15" ht="12.5">
      <c r="A2287" s="158" t="s">
        <v>19829</v>
      </c>
      <c r="B2287" s="159">
        <v>30</v>
      </c>
      <c r="C2287" s="159">
        <v>59</v>
      </c>
      <c r="D2287" s="159">
        <v>7</v>
      </c>
      <c r="E2287" s="159">
        <v>96</v>
      </c>
      <c r="F2287" s="131"/>
      <c r="G2287" s="132"/>
      <c r="H2287" s="162" t="s">
        <v>19830</v>
      </c>
      <c r="I2287" s="158" t="s">
        <v>19831</v>
      </c>
      <c r="J2287" s="128"/>
      <c r="K2287" s="128"/>
      <c r="L2287" s="128"/>
      <c r="M2287" s="129"/>
      <c r="N2287" s="129"/>
      <c r="O2287" s="129"/>
    </row>
    <row r="2288" spans="1:15" ht="12.5">
      <c r="A2288" s="158" t="s">
        <v>19832</v>
      </c>
      <c r="B2288" s="159">
        <v>30</v>
      </c>
      <c r="C2288" s="159">
        <v>59</v>
      </c>
      <c r="D2288" s="159">
        <v>9</v>
      </c>
      <c r="E2288" s="130"/>
      <c r="F2288" s="131"/>
      <c r="G2288" s="132"/>
      <c r="H2288" s="162" t="s">
        <v>19833</v>
      </c>
      <c r="I2288" s="128"/>
      <c r="J2288" s="128"/>
      <c r="K2288" s="128"/>
      <c r="L2288" s="128"/>
      <c r="M2288" s="129"/>
      <c r="N2288" s="129"/>
      <c r="O2288" s="129"/>
    </row>
    <row r="2289" spans="1:15" ht="12.5">
      <c r="A2289" s="158" t="s">
        <v>19834</v>
      </c>
      <c r="B2289" s="159">
        <v>30</v>
      </c>
      <c r="C2289" s="159">
        <v>59</v>
      </c>
      <c r="D2289" s="159">
        <v>9</v>
      </c>
      <c r="E2289" s="159">
        <v>1</v>
      </c>
      <c r="F2289" s="131"/>
      <c r="G2289" s="132"/>
      <c r="H2289" s="162" t="s">
        <v>19835</v>
      </c>
      <c r="I2289" s="158" t="s">
        <v>19836</v>
      </c>
      <c r="J2289" s="128"/>
      <c r="K2289" s="128"/>
      <c r="L2289" s="128"/>
      <c r="M2289" s="129"/>
      <c r="N2289" s="129"/>
      <c r="O2289" s="129"/>
    </row>
    <row r="2290" spans="1:15" ht="12.5">
      <c r="A2290" s="158" t="s">
        <v>19837</v>
      </c>
      <c r="B2290" s="159">
        <v>30</v>
      </c>
      <c r="C2290" s="159">
        <v>59</v>
      </c>
      <c r="D2290" s="159">
        <v>9</v>
      </c>
      <c r="E2290" s="159">
        <v>2</v>
      </c>
      <c r="F2290" s="131"/>
      <c r="G2290" s="132"/>
      <c r="H2290" s="162" t="s">
        <v>19838</v>
      </c>
      <c r="I2290" s="158" t="s">
        <v>19839</v>
      </c>
      <c r="J2290" s="128"/>
      <c r="K2290" s="128"/>
      <c r="L2290" s="128"/>
      <c r="M2290" s="129"/>
      <c r="N2290" s="129"/>
      <c r="O2290" s="129"/>
    </row>
    <row r="2291" spans="1:15" ht="12.5">
      <c r="A2291" s="158" t="s">
        <v>19840</v>
      </c>
      <c r="B2291" s="159">
        <v>30</v>
      </c>
      <c r="C2291" s="159">
        <v>59</v>
      </c>
      <c r="D2291" s="159">
        <v>9</v>
      </c>
      <c r="E2291" s="159">
        <v>3</v>
      </c>
      <c r="F2291" s="131"/>
      <c r="G2291" s="132"/>
      <c r="H2291" s="162" t="s">
        <v>19841</v>
      </c>
      <c r="I2291" s="158" t="s">
        <v>19842</v>
      </c>
      <c r="J2291" s="128"/>
      <c r="K2291" s="128"/>
      <c r="L2291" s="128"/>
      <c r="M2291" s="129"/>
      <c r="N2291" s="129"/>
      <c r="O2291" s="129"/>
    </row>
    <row r="2292" spans="1:15" ht="12.5">
      <c r="A2292" s="158" t="s">
        <v>19843</v>
      </c>
      <c r="B2292" s="159">
        <v>30</v>
      </c>
      <c r="C2292" s="159">
        <v>59</v>
      </c>
      <c r="D2292" s="159">
        <v>9</v>
      </c>
      <c r="E2292" s="159">
        <v>4</v>
      </c>
      <c r="F2292" s="131"/>
      <c r="G2292" s="132"/>
      <c r="H2292" s="162" t="s">
        <v>19844</v>
      </c>
      <c r="I2292" s="158" t="s">
        <v>19845</v>
      </c>
      <c r="J2292" s="128"/>
      <c r="K2292" s="128"/>
      <c r="L2292" s="128"/>
      <c r="M2292" s="129"/>
      <c r="N2292" s="129"/>
      <c r="O2292" s="129"/>
    </row>
    <row r="2293" spans="1:15" ht="12.5">
      <c r="A2293" s="158" t="s">
        <v>19846</v>
      </c>
      <c r="B2293" s="159">
        <v>30</v>
      </c>
      <c r="C2293" s="159">
        <v>59</v>
      </c>
      <c r="D2293" s="159">
        <v>9</v>
      </c>
      <c r="E2293" s="159">
        <v>5</v>
      </c>
      <c r="F2293" s="131"/>
      <c r="G2293" s="132"/>
      <c r="H2293" s="162" t="s">
        <v>19847</v>
      </c>
      <c r="I2293" s="158" t="s">
        <v>19848</v>
      </c>
      <c r="J2293" s="128"/>
      <c r="K2293" s="128"/>
      <c r="L2293" s="128"/>
      <c r="M2293" s="129"/>
      <c r="N2293" s="129"/>
      <c r="O2293" s="129"/>
    </row>
    <row r="2294" spans="1:15" ht="12.5">
      <c r="A2294" s="158" t="s">
        <v>19849</v>
      </c>
      <c r="B2294" s="159">
        <v>30</v>
      </c>
      <c r="C2294" s="159">
        <v>59</v>
      </c>
      <c r="D2294" s="159">
        <v>9</v>
      </c>
      <c r="E2294" s="159">
        <v>11</v>
      </c>
      <c r="F2294" s="131"/>
      <c r="G2294" s="132"/>
      <c r="H2294" s="162" t="s">
        <v>19850</v>
      </c>
      <c r="I2294" s="158" t="s">
        <v>19851</v>
      </c>
      <c r="J2294" s="128"/>
      <c r="K2294" s="128"/>
      <c r="L2294" s="128"/>
      <c r="M2294" s="129"/>
      <c r="N2294" s="129"/>
      <c r="O2294" s="129"/>
    </row>
    <row r="2295" spans="1:15" ht="12.5">
      <c r="A2295" s="158" t="s">
        <v>19852</v>
      </c>
      <c r="B2295" s="159">
        <v>30</v>
      </c>
      <c r="C2295" s="159">
        <v>59</v>
      </c>
      <c r="D2295" s="159">
        <v>9</v>
      </c>
      <c r="E2295" s="159">
        <v>12</v>
      </c>
      <c r="F2295" s="131"/>
      <c r="G2295" s="132"/>
      <c r="H2295" s="162" t="s">
        <v>19853</v>
      </c>
      <c r="I2295" s="158" t="s">
        <v>19854</v>
      </c>
      <c r="J2295" s="128"/>
      <c r="K2295" s="128"/>
      <c r="L2295" s="128"/>
      <c r="M2295" s="129"/>
      <c r="N2295" s="129"/>
      <c r="O2295" s="129"/>
    </row>
    <row r="2296" spans="1:15" ht="12.5">
      <c r="A2296" s="158" t="s">
        <v>19855</v>
      </c>
      <c r="B2296" s="159">
        <v>30</v>
      </c>
      <c r="C2296" s="159">
        <v>59</v>
      </c>
      <c r="D2296" s="159">
        <v>9</v>
      </c>
      <c r="E2296" s="159">
        <v>13</v>
      </c>
      <c r="F2296" s="131"/>
      <c r="G2296" s="132"/>
      <c r="H2296" s="162" t="s">
        <v>19856</v>
      </c>
      <c r="I2296" s="158" t="s">
        <v>19857</v>
      </c>
      <c r="J2296" s="128"/>
      <c r="K2296" s="128"/>
      <c r="L2296" s="128"/>
      <c r="M2296" s="129"/>
      <c r="N2296" s="129"/>
      <c r="O2296" s="129"/>
    </row>
    <row r="2297" spans="1:15" ht="12.5">
      <c r="A2297" s="158" t="s">
        <v>19858</v>
      </c>
      <c r="B2297" s="159">
        <v>30</v>
      </c>
      <c r="C2297" s="159">
        <v>59</v>
      </c>
      <c r="D2297" s="159">
        <v>9</v>
      </c>
      <c r="E2297" s="159">
        <v>14</v>
      </c>
      <c r="F2297" s="131"/>
      <c r="G2297" s="132"/>
      <c r="H2297" s="162" t="s">
        <v>19859</v>
      </c>
      <c r="I2297" s="158" t="s">
        <v>19860</v>
      </c>
      <c r="J2297" s="128"/>
      <c r="K2297" s="128"/>
      <c r="L2297" s="128"/>
      <c r="M2297" s="129"/>
      <c r="N2297" s="129"/>
      <c r="O2297" s="129"/>
    </row>
    <row r="2298" spans="1:15" ht="12.5">
      <c r="A2298" s="158" t="s">
        <v>19861</v>
      </c>
      <c r="B2298" s="159">
        <v>30</v>
      </c>
      <c r="C2298" s="159">
        <v>59</v>
      </c>
      <c r="D2298" s="159">
        <v>9</v>
      </c>
      <c r="E2298" s="159">
        <v>15</v>
      </c>
      <c r="F2298" s="131"/>
      <c r="G2298" s="132"/>
      <c r="H2298" s="162" t="s">
        <v>19862</v>
      </c>
      <c r="I2298" s="158" t="s">
        <v>19848</v>
      </c>
      <c r="J2298" s="128"/>
      <c r="K2298" s="128"/>
      <c r="L2298" s="128"/>
      <c r="M2298" s="129"/>
      <c r="N2298" s="129"/>
      <c r="O2298" s="129"/>
    </row>
    <row r="2299" spans="1:15" ht="12.5">
      <c r="A2299" s="158" t="s">
        <v>19863</v>
      </c>
      <c r="B2299" s="159">
        <v>30</v>
      </c>
      <c r="C2299" s="159">
        <v>59</v>
      </c>
      <c r="D2299" s="159">
        <v>9</v>
      </c>
      <c r="E2299" s="159">
        <v>33</v>
      </c>
      <c r="F2299" s="131"/>
      <c r="G2299" s="132"/>
      <c r="H2299" s="162" t="s">
        <v>19864</v>
      </c>
      <c r="I2299" s="158" t="s">
        <v>19865</v>
      </c>
      <c r="J2299" s="128"/>
      <c r="K2299" s="128"/>
      <c r="L2299" s="128"/>
      <c r="M2299" s="129"/>
      <c r="N2299" s="129"/>
      <c r="O2299" s="129"/>
    </row>
    <row r="2300" spans="1:15" ht="12.5">
      <c r="A2300" s="158" t="s">
        <v>19866</v>
      </c>
      <c r="B2300" s="159">
        <v>30</v>
      </c>
      <c r="C2300" s="159">
        <v>59</v>
      </c>
      <c r="D2300" s="159">
        <v>9</v>
      </c>
      <c r="E2300" s="159">
        <v>62</v>
      </c>
      <c r="F2300" s="131"/>
      <c r="G2300" s="132"/>
      <c r="H2300" s="162" t="s">
        <v>19867</v>
      </c>
      <c r="I2300" s="128"/>
      <c r="J2300" s="128"/>
      <c r="K2300" s="128"/>
      <c r="L2300" s="128"/>
      <c r="M2300" s="129"/>
      <c r="N2300" s="129"/>
      <c r="O2300" s="129"/>
    </row>
    <row r="2301" spans="1:15" ht="12.5">
      <c r="A2301" s="158" t="s">
        <v>19868</v>
      </c>
      <c r="B2301" s="159">
        <v>30</v>
      </c>
      <c r="C2301" s="159">
        <v>59</v>
      </c>
      <c r="D2301" s="159">
        <v>9</v>
      </c>
      <c r="E2301" s="159">
        <v>63</v>
      </c>
      <c r="F2301" s="131"/>
      <c r="G2301" s="132"/>
      <c r="H2301" s="162" t="s">
        <v>19869</v>
      </c>
      <c r="I2301" s="128"/>
      <c r="J2301" s="128"/>
      <c r="K2301" s="128"/>
      <c r="L2301" s="128"/>
      <c r="M2301" s="129"/>
      <c r="N2301" s="129"/>
      <c r="O2301" s="129"/>
    </row>
    <row r="2302" spans="1:15" ht="12.5">
      <c r="A2302" s="158" t="s">
        <v>19870</v>
      </c>
      <c r="B2302" s="159">
        <v>30</v>
      </c>
      <c r="C2302" s="159">
        <v>59</v>
      </c>
      <c r="D2302" s="159">
        <v>9</v>
      </c>
      <c r="E2302" s="159">
        <v>82</v>
      </c>
      <c r="F2302" s="131"/>
      <c r="G2302" s="132"/>
      <c r="H2302" s="162" t="s">
        <v>19871</v>
      </c>
      <c r="I2302" s="158" t="s">
        <v>19872</v>
      </c>
      <c r="J2302" s="128"/>
      <c r="K2302" s="128"/>
      <c r="L2302" s="128"/>
      <c r="M2302" s="129"/>
      <c r="N2302" s="129"/>
      <c r="O2302" s="129"/>
    </row>
    <row r="2303" spans="1:15" ht="12.5">
      <c r="A2303" s="158" t="s">
        <v>19873</v>
      </c>
      <c r="B2303" s="159">
        <v>30</v>
      </c>
      <c r="C2303" s="159">
        <v>59</v>
      </c>
      <c r="D2303" s="159">
        <v>9</v>
      </c>
      <c r="E2303" s="159">
        <v>83</v>
      </c>
      <c r="F2303" s="131"/>
      <c r="G2303" s="132"/>
      <c r="H2303" s="162" t="s">
        <v>19874</v>
      </c>
      <c r="I2303" s="158" t="s">
        <v>19875</v>
      </c>
      <c r="J2303" s="128"/>
      <c r="K2303" s="128"/>
      <c r="L2303" s="128"/>
      <c r="M2303" s="129"/>
      <c r="N2303" s="129"/>
      <c r="O2303" s="129"/>
    </row>
    <row r="2304" spans="1:15" ht="12.5">
      <c r="A2304" s="158" t="s">
        <v>19876</v>
      </c>
      <c r="B2304" s="159">
        <v>30</v>
      </c>
      <c r="C2304" s="159">
        <v>59</v>
      </c>
      <c r="D2304" s="159">
        <v>9</v>
      </c>
      <c r="E2304" s="159">
        <v>84</v>
      </c>
      <c r="F2304" s="131"/>
      <c r="G2304" s="132"/>
      <c r="H2304" s="162" t="s">
        <v>19877</v>
      </c>
      <c r="I2304" s="158" t="s">
        <v>19878</v>
      </c>
      <c r="J2304" s="128"/>
      <c r="K2304" s="128"/>
      <c r="L2304" s="128"/>
      <c r="M2304" s="129"/>
      <c r="N2304" s="129"/>
      <c r="O2304" s="129"/>
    </row>
    <row r="2305" spans="1:15" ht="12.5">
      <c r="A2305" s="158" t="s">
        <v>19879</v>
      </c>
      <c r="B2305" s="159">
        <v>30</v>
      </c>
      <c r="C2305" s="159">
        <v>59</v>
      </c>
      <c r="D2305" s="159">
        <v>9</v>
      </c>
      <c r="E2305" s="159">
        <v>85</v>
      </c>
      <c r="F2305" s="131"/>
      <c r="G2305" s="132"/>
      <c r="H2305" s="162" t="s">
        <v>19880</v>
      </c>
      <c r="I2305" s="158" t="s">
        <v>19881</v>
      </c>
      <c r="J2305" s="128"/>
      <c r="K2305" s="128"/>
      <c r="L2305" s="128"/>
      <c r="M2305" s="129"/>
      <c r="N2305" s="129"/>
      <c r="O2305" s="129"/>
    </row>
    <row r="2306" spans="1:15" ht="12.5">
      <c r="A2306" s="158" t="s">
        <v>19882</v>
      </c>
      <c r="B2306" s="159">
        <v>30</v>
      </c>
      <c r="C2306" s="159">
        <v>59</v>
      </c>
      <c r="D2306" s="159">
        <v>9</v>
      </c>
      <c r="E2306" s="159">
        <v>86</v>
      </c>
      <c r="F2306" s="131"/>
      <c r="G2306" s="132"/>
      <c r="H2306" s="162" t="s">
        <v>19883</v>
      </c>
      <c r="I2306" s="158" t="s">
        <v>19848</v>
      </c>
      <c r="J2306" s="128"/>
      <c r="K2306" s="128"/>
      <c r="L2306" s="128"/>
      <c r="M2306" s="129"/>
      <c r="N2306" s="129"/>
      <c r="O2306" s="129"/>
    </row>
    <row r="2307" spans="1:15" ht="12.5">
      <c r="A2307" s="158" t="s">
        <v>19884</v>
      </c>
      <c r="B2307" s="159">
        <v>30</v>
      </c>
      <c r="C2307" s="159">
        <v>59</v>
      </c>
      <c r="D2307" s="159">
        <v>9</v>
      </c>
      <c r="E2307" s="159">
        <v>90</v>
      </c>
      <c r="F2307" s="131"/>
      <c r="G2307" s="132"/>
      <c r="H2307" s="162" t="s">
        <v>19885</v>
      </c>
      <c r="I2307" s="158" t="s">
        <v>19886</v>
      </c>
      <c r="J2307" s="128"/>
      <c r="K2307" s="128"/>
      <c r="L2307" s="128"/>
      <c r="M2307" s="129"/>
      <c r="N2307" s="129"/>
      <c r="O2307" s="129"/>
    </row>
    <row r="2308" spans="1:15" ht="12.5">
      <c r="A2308" s="158" t="s">
        <v>19887</v>
      </c>
      <c r="B2308" s="159">
        <v>30</v>
      </c>
      <c r="C2308" s="159">
        <v>59</v>
      </c>
      <c r="D2308" s="159">
        <v>9</v>
      </c>
      <c r="E2308" s="159">
        <v>91</v>
      </c>
      <c r="F2308" s="131"/>
      <c r="G2308" s="132"/>
      <c r="H2308" s="162" t="s">
        <v>19888</v>
      </c>
      <c r="I2308" s="158" t="s">
        <v>19889</v>
      </c>
      <c r="J2308" s="128"/>
      <c r="K2308" s="128"/>
      <c r="L2308" s="128"/>
      <c r="M2308" s="129"/>
      <c r="N2308" s="129"/>
      <c r="O2308" s="129"/>
    </row>
    <row r="2309" spans="1:15" ht="12.5">
      <c r="A2309" s="158" t="s">
        <v>19890</v>
      </c>
      <c r="B2309" s="159">
        <v>30</v>
      </c>
      <c r="C2309" s="159">
        <v>59</v>
      </c>
      <c r="D2309" s="159">
        <v>9</v>
      </c>
      <c r="E2309" s="159">
        <v>92</v>
      </c>
      <c r="F2309" s="131"/>
      <c r="G2309" s="132"/>
      <c r="H2309" s="162" t="s">
        <v>19891</v>
      </c>
      <c r="I2309" s="158" t="s">
        <v>19892</v>
      </c>
      <c r="J2309" s="128"/>
      <c r="K2309" s="128"/>
      <c r="L2309" s="128"/>
      <c r="M2309" s="129"/>
      <c r="N2309" s="129"/>
      <c r="O2309" s="129"/>
    </row>
    <row r="2310" spans="1:15" ht="12.5">
      <c r="A2310" s="158" t="s">
        <v>19893</v>
      </c>
      <c r="B2310" s="159">
        <v>30</v>
      </c>
      <c r="C2310" s="159">
        <v>59</v>
      </c>
      <c r="D2310" s="159">
        <v>9</v>
      </c>
      <c r="E2310" s="159">
        <v>93</v>
      </c>
      <c r="F2310" s="131"/>
      <c r="G2310" s="132"/>
      <c r="H2310" s="162" t="s">
        <v>19894</v>
      </c>
      <c r="I2310" s="158" t="s">
        <v>19848</v>
      </c>
      <c r="J2310" s="128"/>
      <c r="K2310" s="128"/>
      <c r="L2310" s="128"/>
      <c r="M2310" s="129"/>
      <c r="N2310" s="129"/>
      <c r="O2310" s="129"/>
    </row>
    <row r="2311" spans="1:15" ht="12.5">
      <c r="A2311" s="158" t="s">
        <v>19895</v>
      </c>
      <c r="B2311" s="159">
        <v>30</v>
      </c>
      <c r="C2311" s="159">
        <v>59</v>
      </c>
      <c r="D2311" s="159">
        <v>23</v>
      </c>
      <c r="E2311" s="130"/>
      <c r="F2311" s="131"/>
      <c r="G2311" s="132"/>
      <c r="H2311" s="162" t="s">
        <v>19896</v>
      </c>
      <c r="I2311" s="128"/>
      <c r="J2311" s="128"/>
      <c r="K2311" s="128"/>
      <c r="L2311" s="128"/>
      <c r="M2311" s="129"/>
      <c r="N2311" s="129"/>
      <c r="O2311" s="129"/>
    </row>
    <row r="2312" spans="1:15" ht="12.5">
      <c r="A2312" s="158" t="s">
        <v>19897</v>
      </c>
      <c r="B2312" s="159">
        <v>30</v>
      </c>
      <c r="C2312" s="159">
        <v>59</v>
      </c>
      <c r="D2312" s="159">
        <v>23</v>
      </c>
      <c r="E2312" s="159">
        <v>2</v>
      </c>
      <c r="F2312" s="131"/>
      <c r="G2312" s="132"/>
      <c r="H2312" s="162" t="s">
        <v>19898</v>
      </c>
      <c r="I2312" s="158" t="s">
        <v>19899</v>
      </c>
      <c r="J2312" s="128"/>
      <c r="K2312" s="128"/>
      <c r="L2312" s="128"/>
      <c r="M2312" s="129"/>
      <c r="N2312" s="129"/>
      <c r="O2312" s="129"/>
    </row>
    <row r="2313" spans="1:15" ht="12.5">
      <c r="A2313" s="158" t="s">
        <v>19900</v>
      </c>
      <c r="B2313" s="159">
        <v>30</v>
      </c>
      <c r="C2313" s="159">
        <v>59</v>
      </c>
      <c r="D2313" s="159">
        <v>23</v>
      </c>
      <c r="E2313" s="159">
        <v>11</v>
      </c>
      <c r="F2313" s="131"/>
      <c r="G2313" s="132"/>
      <c r="H2313" s="162" t="s">
        <v>19901</v>
      </c>
      <c r="I2313" s="158" t="s">
        <v>19902</v>
      </c>
      <c r="J2313" s="128"/>
      <c r="K2313" s="128"/>
      <c r="L2313" s="128"/>
      <c r="M2313" s="129"/>
      <c r="N2313" s="129"/>
      <c r="O2313" s="129"/>
    </row>
    <row r="2314" spans="1:15" ht="12.5">
      <c r="A2314" s="158" t="s">
        <v>19903</v>
      </c>
      <c r="B2314" s="159">
        <v>30</v>
      </c>
      <c r="C2314" s="159">
        <v>59</v>
      </c>
      <c r="D2314" s="159">
        <v>23</v>
      </c>
      <c r="E2314" s="159">
        <v>15</v>
      </c>
      <c r="F2314" s="131"/>
      <c r="G2314" s="132"/>
      <c r="H2314" s="162" t="s">
        <v>19904</v>
      </c>
      <c r="I2314" s="158" t="s">
        <v>19905</v>
      </c>
      <c r="J2314" s="128"/>
      <c r="K2314" s="128"/>
      <c r="L2314" s="128"/>
      <c r="M2314" s="129"/>
      <c r="N2314" s="129"/>
      <c r="O2314" s="129"/>
    </row>
    <row r="2315" spans="1:15" ht="12.5">
      <c r="A2315" s="158" t="s">
        <v>19906</v>
      </c>
      <c r="B2315" s="159">
        <v>30</v>
      </c>
      <c r="C2315" s="159">
        <v>59</v>
      </c>
      <c r="D2315" s="159">
        <v>23</v>
      </c>
      <c r="E2315" s="159">
        <v>16</v>
      </c>
      <c r="F2315" s="131"/>
      <c r="G2315" s="132"/>
      <c r="H2315" s="162" t="s">
        <v>19907</v>
      </c>
      <c r="I2315" s="158" t="s">
        <v>19908</v>
      </c>
      <c r="J2315" s="128"/>
      <c r="K2315" s="128"/>
      <c r="L2315" s="128"/>
      <c r="M2315" s="129"/>
      <c r="N2315" s="129"/>
      <c r="O2315" s="129"/>
    </row>
    <row r="2316" spans="1:15" ht="12.5">
      <c r="A2316" s="158" t="s">
        <v>19909</v>
      </c>
      <c r="B2316" s="159">
        <v>30</v>
      </c>
      <c r="C2316" s="159">
        <v>59</v>
      </c>
      <c r="D2316" s="159">
        <v>23</v>
      </c>
      <c r="E2316" s="159">
        <v>32</v>
      </c>
      <c r="F2316" s="131"/>
      <c r="G2316" s="132"/>
      <c r="H2316" s="162" t="s">
        <v>19910</v>
      </c>
      <c r="I2316" s="158" t="s">
        <v>19911</v>
      </c>
      <c r="J2316" s="128"/>
      <c r="K2316" s="128"/>
      <c r="L2316" s="128"/>
      <c r="M2316" s="129"/>
      <c r="N2316" s="129"/>
      <c r="O2316" s="129"/>
    </row>
    <row r="2317" spans="1:15" ht="12.5">
      <c r="A2317" s="158" t="s">
        <v>19912</v>
      </c>
      <c r="B2317" s="159">
        <v>30</v>
      </c>
      <c r="C2317" s="159">
        <v>59</v>
      </c>
      <c r="D2317" s="159">
        <v>23</v>
      </c>
      <c r="E2317" s="159">
        <v>34</v>
      </c>
      <c r="F2317" s="131"/>
      <c r="G2317" s="132"/>
      <c r="H2317" s="162" t="s">
        <v>19913</v>
      </c>
      <c r="I2317" s="158" t="s">
        <v>19914</v>
      </c>
      <c r="J2317" s="128"/>
      <c r="K2317" s="128"/>
      <c r="L2317" s="128"/>
      <c r="M2317" s="129"/>
      <c r="N2317" s="129"/>
      <c r="O2317" s="129"/>
    </row>
    <row r="2318" spans="1:15" ht="12.5">
      <c r="A2318" s="158" t="s">
        <v>19917</v>
      </c>
      <c r="B2318" s="159">
        <v>30</v>
      </c>
      <c r="C2318" s="159">
        <v>59</v>
      </c>
      <c r="D2318" s="159">
        <v>23</v>
      </c>
      <c r="E2318" s="159">
        <v>50</v>
      </c>
      <c r="F2318" s="131"/>
      <c r="G2318" s="132"/>
      <c r="H2318" s="162" t="s">
        <v>19918</v>
      </c>
      <c r="I2318" s="158" t="s">
        <v>19919</v>
      </c>
      <c r="J2318" s="128"/>
      <c r="K2318" s="128"/>
      <c r="L2318" s="128"/>
      <c r="M2318" s="129"/>
      <c r="N2318" s="129"/>
      <c r="O2318" s="129"/>
    </row>
    <row r="2319" spans="1:15" ht="12.5">
      <c r="A2319" s="158" t="s">
        <v>19920</v>
      </c>
      <c r="B2319" s="159">
        <v>30</v>
      </c>
      <c r="C2319" s="159">
        <v>59</v>
      </c>
      <c r="D2319" s="159">
        <v>23</v>
      </c>
      <c r="E2319" s="159">
        <v>53</v>
      </c>
      <c r="F2319" s="131"/>
      <c r="G2319" s="132"/>
      <c r="H2319" s="162" t="s">
        <v>19921</v>
      </c>
      <c r="I2319" s="158" t="s">
        <v>19922</v>
      </c>
      <c r="J2319" s="128"/>
      <c r="K2319" s="128"/>
      <c r="L2319" s="128"/>
      <c r="M2319" s="129"/>
      <c r="N2319" s="129"/>
      <c r="O2319" s="129"/>
    </row>
    <row r="2320" spans="1:15" ht="12.5">
      <c r="A2320" s="158" t="s">
        <v>19923</v>
      </c>
      <c r="B2320" s="159">
        <v>30</v>
      </c>
      <c r="C2320" s="159">
        <v>59</v>
      </c>
      <c r="D2320" s="159">
        <v>23</v>
      </c>
      <c r="E2320" s="159">
        <v>84</v>
      </c>
      <c r="F2320" s="131"/>
      <c r="G2320" s="132"/>
      <c r="H2320" s="162" t="s">
        <v>19924</v>
      </c>
      <c r="I2320" s="158" t="s">
        <v>19902</v>
      </c>
      <c r="J2320" s="128"/>
      <c r="K2320" s="128"/>
      <c r="L2320" s="128"/>
      <c r="M2320" s="129"/>
      <c r="N2320" s="129"/>
      <c r="O2320" s="129"/>
    </row>
    <row r="2321" spans="1:15" ht="12.5">
      <c r="A2321" s="158" t="s">
        <v>19925</v>
      </c>
      <c r="B2321" s="159">
        <v>30</v>
      </c>
      <c r="C2321" s="159">
        <v>59</v>
      </c>
      <c r="D2321" s="159">
        <v>23</v>
      </c>
      <c r="E2321" s="159">
        <v>91</v>
      </c>
      <c r="F2321" s="131"/>
      <c r="G2321" s="132"/>
      <c r="H2321" s="162" t="s">
        <v>19926</v>
      </c>
      <c r="I2321" s="128"/>
      <c r="J2321" s="128"/>
      <c r="K2321" s="128"/>
      <c r="L2321" s="128"/>
      <c r="M2321" s="129"/>
      <c r="N2321" s="129"/>
      <c r="O2321" s="129"/>
    </row>
    <row r="2322" spans="1:15" ht="12.5">
      <c r="A2322" s="158" t="s">
        <v>19927</v>
      </c>
      <c r="B2322" s="159">
        <v>30</v>
      </c>
      <c r="C2322" s="159">
        <v>59</v>
      </c>
      <c r="D2322" s="159">
        <v>23</v>
      </c>
      <c r="E2322" s="159">
        <v>92</v>
      </c>
      <c r="F2322" s="131"/>
      <c r="G2322" s="132"/>
      <c r="H2322" s="162" t="s">
        <v>19928</v>
      </c>
      <c r="I2322" s="158" t="s">
        <v>19929</v>
      </c>
      <c r="J2322" s="128"/>
      <c r="K2322" s="128"/>
      <c r="L2322" s="128"/>
      <c r="M2322" s="129"/>
      <c r="N2322" s="129"/>
      <c r="O2322" s="129"/>
    </row>
    <row r="2323" spans="1:15" ht="12.5">
      <c r="A2323" s="158" t="s">
        <v>19930</v>
      </c>
      <c r="B2323" s="159">
        <v>30</v>
      </c>
      <c r="C2323" s="159">
        <v>59</v>
      </c>
      <c r="D2323" s="159">
        <v>23</v>
      </c>
      <c r="E2323" s="159">
        <v>96</v>
      </c>
      <c r="F2323" s="131"/>
      <c r="G2323" s="132"/>
      <c r="H2323" s="162" t="s">
        <v>19931</v>
      </c>
      <c r="I2323" s="158" t="s">
        <v>19932</v>
      </c>
      <c r="J2323" s="128"/>
      <c r="K2323" s="128"/>
      <c r="L2323" s="128"/>
      <c r="M2323" s="129"/>
      <c r="N2323" s="129"/>
      <c r="O2323" s="129"/>
    </row>
    <row r="2324" spans="1:15" ht="12.5">
      <c r="A2324" s="158" t="s">
        <v>19933</v>
      </c>
      <c r="B2324" s="159">
        <v>30</v>
      </c>
      <c r="C2324" s="159">
        <v>59</v>
      </c>
      <c r="D2324" s="159">
        <v>23</v>
      </c>
      <c r="E2324" s="159">
        <v>97</v>
      </c>
      <c r="F2324" s="131"/>
      <c r="G2324" s="132"/>
      <c r="H2324" s="162" t="s">
        <v>19934</v>
      </c>
      <c r="I2324" s="158" t="s">
        <v>19935</v>
      </c>
      <c r="J2324" s="128"/>
      <c r="K2324" s="128"/>
      <c r="L2324" s="128"/>
      <c r="M2324" s="129"/>
      <c r="N2324" s="129"/>
      <c r="O2324" s="129"/>
    </row>
    <row r="2325" spans="1:15" ht="12.5">
      <c r="A2325" s="158" t="s">
        <v>19936</v>
      </c>
      <c r="B2325" s="159">
        <v>30</v>
      </c>
      <c r="C2325" s="159">
        <v>59</v>
      </c>
      <c r="D2325" s="159">
        <v>23</v>
      </c>
      <c r="E2325" s="159">
        <v>98</v>
      </c>
      <c r="F2325" s="131"/>
      <c r="G2325" s="132"/>
      <c r="H2325" s="162" t="s">
        <v>19937</v>
      </c>
      <c r="I2325" s="158" t="s">
        <v>19938</v>
      </c>
      <c r="J2325" s="128"/>
      <c r="K2325" s="128"/>
      <c r="L2325" s="128"/>
      <c r="M2325" s="129"/>
      <c r="N2325" s="129"/>
      <c r="O2325" s="129"/>
    </row>
    <row r="2326" spans="1:15" ht="12.5">
      <c r="A2326" s="158" t="s">
        <v>19939</v>
      </c>
      <c r="B2326" s="159">
        <v>30</v>
      </c>
      <c r="C2326" s="159">
        <v>59</v>
      </c>
      <c r="D2326" s="159">
        <v>24</v>
      </c>
      <c r="E2326" s="130"/>
      <c r="F2326" s="131"/>
      <c r="G2326" s="132"/>
      <c r="H2326" s="162" t="s">
        <v>19940</v>
      </c>
      <c r="I2326" s="128"/>
      <c r="J2326" s="128"/>
      <c r="K2326" s="128"/>
      <c r="L2326" s="128"/>
      <c r="M2326" s="129"/>
      <c r="N2326" s="129"/>
      <c r="O2326" s="129"/>
    </row>
    <row r="2327" spans="1:15" ht="12.5">
      <c r="A2327" s="158" t="s">
        <v>19941</v>
      </c>
      <c r="B2327" s="159">
        <v>30</v>
      </c>
      <c r="C2327" s="159">
        <v>59</v>
      </c>
      <c r="D2327" s="159">
        <v>24</v>
      </c>
      <c r="E2327" s="159">
        <v>4</v>
      </c>
      <c r="F2327" s="131"/>
      <c r="G2327" s="132"/>
      <c r="H2327" s="162" t="s">
        <v>19942</v>
      </c>
      <c r="I2327" s="158" t="s">
        <v>19943</v>
      </c>
      <c r="J2327" s="128"/>
      <c r="K2327" s="128"/>
      <c r="L2327" s="128"/>
      <c r="M2327" s="129"/>
      <c r="N2327" s="129"/>
      <c r="O2327" s="129"/>
    </row>
    <row r="2328" spans="1:15" ht="12.5">
      <c r="A2328" s="158" t="s">
        <v>19944</v>
      </c>
      <c r="B2328" s="159">
        <v>30</v>
      </c>
      <c r="C2328" s="159">
        <v>59</v>
      </c>
      <c r="D2328" s="159">
        <v>24</v>
      </c>
      <c r="E2328" s="159">
        <v>14</v>
      </c>
      <c r="F2328" s="131"/>
      <c r="G2328" s="132"/>
      <c r="H2328" s="162" t="s">
        <v>19945</v>
      </c>
      <c r="I2328" s="158" t="s">
        <v>19946</v>
      </c>
      <c r="J2328" s="128"/>
      <c r="K2328" s="128"/>
      <c r="L2328" s="128"/>
      <c r="M2328" s="129"/>
      <c r="N2328" s="129"/>
      <c r="O2328" s="129"/>
    </row>
    <row r="2329" spans="1:15" ht="12.5">
      <c r="A2329" s="158" t="s">
        <v>19947</v>
      </c>
      <c r="B2329" s="159">
        <v>30</v>
      </c>
      <c r="C2329" s="159">
        <v>59</v>
      </c>
      <c r="D2329" s="159">
        <v>24</v>
      </c>
      <c r="E2329" s="159">
        <v>15</v>
      </c>
      <c r="F2329" s="131"/>
      <c r="G2329" s="132"/>
      <c r="H2329" s="162" t="s">
        <v>19948</v>
      </c>
      <c r="I2329" s="128"/>
      <c r="J2329" s="128"/>
      <c r="K2329" s="128"/>
      <c r="L2329" s="128"/>
      <c r="M2329" s="129"/>
      <c r="N2329" s="129"/>
      <c r="O2329" s="129"/>
    </row>
    <row r="2330" spans="1:15" ht="12.5">
      <c r="A2330" s="158" t="s">
        <v>19949</v>
      </c>
      <c r="B2330" s="159">
        <v>30</v>
      </c>
      <c r="C2330" s="159">
        <v>59</v>
      </c>
      <c r="D2330" s="159">
        <v>24</v>
      </c>
      <c r="E2330" s="159">
        <v>16</v>
      </c>
      <c r="F2330" s="131"/>
      <c r="G2330" s="132"/>
      <c r="H2330" s="162" t="s">
        <v>19950</v>
      </c>
      <c r="I2330" s="158" t="s">
        <v>19951</v>
      </c>
      <c r="J2330" s="128"/>
      <c r="K2330" s="128"/>
      <c r="L2330" s="128"/>
      <c r="M2330" s="129"/>
      <c r="N2330" s="129"/>
      <c r="O2330" s="129"/>
    </row>
    <row r="2331" spans="1:15" ht="12.5">
      <c r="A2331" s="158" t="s">
        <v>19952</v>
      </c>
      <c r="B2331" s="159">
        <v>30</v>
      </c>
      <c r="C2331" s="159">
        <v>59</v>
      </c>
      <c r="D2331" s="159">
        <v>24</v>
      </c>
      <c r="E2331" s="159">
        <v>28</v>
      </c>
      <c r="F2331" s="131"/>
      <c r="G2331" s="132"/>
      <c r="H2331" s="162" t="s">
        <v>19953</v>
      </c>
      <c r="I2331" s="128"/>
      <c r="J2331" s="128"/>
      <c r="K2331" s="128"/>
      <c r="L2331" s="128"/>
      <c r="M2331" s="129"/>
      <c r="N2331" s="129"/>
      <c r="O2331" s="129"/>
    </row>
    <row r="2332" spans="1:15" ht="12.5">
      <c r="A2332" s="158" t="s">
        <v>19954</v>
      </c>
      <c r="B2332" s="159">
        <v>30</v>
      </c>
      <c r="C2332" s="159">
        <v>59</v>
      </c>
      <c r="D2332" s="159">
        <v>24</v>
      </c>
      <c r="E2332" s="159">
        <v>30</v>
      </c>
      <c r="F2332" s="131"/>
      <c r="G2332" s="132"/>
      <c r="H2332" s="162" t="s">
        <v>19955</v>
      </c>
      <c r="I2332" s="158" t="s">
        <v>19956</v>
      </c>
      <c r="J2332" s="128"/>
      <c r="K2332" s="128"/>
      <c r="L2332" s="128"/>
      <c r="M2332" s="129"/>
      <c r="N2332" s="129"/>
      <c r="O2332" s="129"/>
    </row>
    <row r="2333" spans="1:15" ht="12.5">
      <c r="A2333" s="158" t="s">
        <v>19957</v>
      </c>
      <c r="B2333" s="159">
        <v>30</v>
      </c>
      <c r="C2333" s="159">
        <v>59</v>
      </c>
      <c r="D2333" s="159">
        <v>24</v>
      </c>
      <c r="E2333" s="159">
        <v>34</v>
      </c>
      <c r="F2333" s="131"/>
      <c r="G2333" s="132"/>
      <c r="H2333" s="162" t="s">
        <v>19958</v>
      </c>
      <c r="I2333" s="158" t="s">
        <v>19959</v>
      </c>
      <c r="J2333" s="128"/>
      <c r="K2333" s="128"/>
      <c r="L2333" s="128"/>
      <c r="M2333" s="129"/>
      <c r="N2333" s="129"/>
      <c r="O2333" s="129"/>
    </row>
    <row r="2334" spans="1:15" ht="12.5">
      <c r="A2334" s="158" t="s">
        <v>19960</v>
      </c>
      <c r="B2334" s="159">
        <v>30</v>
      </c>
      <c r="C2334" s="159">
        <v>59</v>
      </c>
      <c r="D2334" s="159">
        <v>24</v>
      </c>
      <c r="E2334" s="159">
        <v>37</v>
      </c>
      <c r="F2334" s="131"/>
      <c r="G2334" s="132"/>
      <c r="H2334" s="162" t="s">
        <v>19961</v>
      </c>
      <c r="I2334" s="158" t="s">
        <v>19962</v>
      </c>
      <c r="J2334" s="128"/>
      <c r="K2334" s="128"/>
      <c r="L2334" s="128"/>
      <c r="M2334" s="129"/>
      <c r="N2334" s="129"/>
      <c r="O2334" s="129"/>
    </row>
    <row r="2335" spans="1:15" ht="12.5">
      <c r="A2335" s="158" t="s">
        <v>19963</v>
      </c>
      <c r="B2335" s="159">
        <v>30</v>
      </c>
      <c r="C2335" s="159">
        <v>59</v>
      </c>
      <c r="D2335" s="159">
        <v>24</v>
      </c>
      <c r="E2335" s="159">
        <v>38</v>
      </c>
      <c r="F2335" s="131"/>
      <c r="G2335" s="132"/>
      <c r="H2335" s="162" t="s">
        <v>19964</v>
      </c>
      <c r="I2335" s="158" t="s">
        <v>19965</v>
      </c>
      <c r="J2335" s="128"/>
      <c r="K2335" s="128"/>
      <c r="L2335" s="128"/>
      <c r="M2335" s="129"/>
      <c r="N2335" s="129"/>
      <c r="O2335" s="129"/>
    </row>
    <row r="2336" spans="1:15" ht="12.5">
      <c r="A2336" s="158" t="s">
        <v>19966</v>
      </c>
      <c r="B2336" s="159">
        <v>30</v>
      </c>
      <c r="C2336" s="159">
        <v>59</v>
      </c>
      <c r="D2336" s="159">
        <v>24</v>
      </c>
      <c r="E2336" s="159">
        <v>48</v>
      </c>
      <c r="F2336" s="131"/>
      <c r="G2336" s="132"/>
      <c r="H2336" s="162" t="s">
        <v>19967</v>
      </c>
      <c r="I2336" s="128"/>
      <c r="J2336" s="128"/>
      <c r="K2336" s="128"/>
      <c r="L2336" s="128"/>
      <c r="M2336" s="129"/>
      <c r="N2336" s="129"/>
      <c r="O2336" s="129"/>
    </row>
    <row r="2337" spans="1:15" ht="12.5">
      <c r="A2337" s="158" t="s">
        <v>19970</v>
      </c>
      <c r="B2337" s="159">
        <v>30</v>
      </c>
      <c r="C2337" s="159">
        <v>59</v>
      </c>
      <c r="D2337" s="159">
        <v>24</v>
      </c>
      <c r="E2337" s="159">
        <v>50</v>
      </c>
      <c r="F2337" s="131"/>
      <c r="G2337" s="132"/>
      <c r="H2337" s="162" t="s">
        <v>19971</v>
      </c>
      <c r="I2337" s="158" t="s">
        <v>19972</v>
      </c>
      <c r="J2337" s="128"/>
      <c r="K2337" s="128"/>
      <c r="L2337" s="128"/>
      <c r="M2337" s="129"/>
      <c r="N2337" s="129"/>
      <c r="O2337" s="129"/>
    </row>
    <row r="2338" spans="1:15" ht="12.5">
      <c r="A2338" s="158" t="s">
        <v>19973</v>
      </c>
      <c r="B2338" s="159">
        <v>30</v>
      </c>
      <c r="C2338" s="159">
        <v>59</v>
      </c>
      <c r="D2338" s="159">
        <v>24</v>
      </c>
      <c r="E2338" s="159">
        <v>52</v>
      </c>
      <c r="F2338" s="131"/>
      <c r="G2338" s="132"/>
      <c r="H2338" s="162" t="s">
        <v>19974</v>
      </c>
      <c r="I2338" s="158" t="s">
        <v>19975</v>
      </c>
      <c r="J2338" s="128"/>
      <c r="K2338" s="128"/>
      <c r="L2338" s="128"/>
      <c r="M2338" s="129"/>
      <c r="N2338" s="129"/>
      <c r="O2338" s="129"/>
    </row>
    <row r="2339" spans="1:15" ht="12.5">
      <c r="A2339" s="158" t="s">
        <v>19976</v>
      </c>
      <c r="B2339" s="159">
        <v>30</v>
      </c>
      <c r="C2339" s="159">
        <v>59</v>
      </c>
      <c r="D2339" s="159">
        <v>24</v>
      </c>
      <c r="E2339" s="159">
        <v>64</v>
      </c>
      <c r="F2339" s="131"/>
      <c r="G2339" s="132"/>
      <c r="H2339" s="162" t="s">
        <v>19977</v>
      </c>
      <c r="I2339" s="128"/>
      <c r="J2339" s="128"/>
      <c r="K2339" s="128"/>
      <c r="L2339" s="128"/>
      <c r="M2339" s="129"/>
      <c r="N2339" s="129"/>
      <c r="O2339" s="129"/>
    </row>
    <row r="2340" spans="1:15" ht="12.5">
      <c r="A2340" s="158" t="s">
        <v>19978</v>
      </c>
      <c r="B2340" s="159">
        <v>30</v>
      </c>
      <c r="C2340" s="159">
        <v>59</v>
      </c>
      <c r="D2340" s="159">
        <v>24</v>
      </c>
      <c r="E2340" s="159">
        <v>75</v>
      </c>
      <c r="F2340" s="131"/>
      <c r="G2340" s="132"/>
      <c r="H2340" s="162" t="s">
        <v>19979</v>
      </c>
      <c r="I2340" s="158" t="s">
        <v>19980</v>
      </c>
      <c r="J2340" s="128"/>
      <c r="K2340" s="128"/>
      <c r="L2340" s="128"/>
      <c r="M2340" s="129"/>
      <c r="N2340" s="129"/>
      <c r="O2340" s="129"/>
    </row>
    <row r="2341" spans="1:15" ht="12.5">
      <c r="A2341" s="158" t="s">
        <v>19981</v>
      </c>
      <c r="B2341" s="159">
        <v>30</v>
      </c>
      <c r="C2341" s="159">
        <v>59</v>
      </c>
      <c r="D2341" s="159">
        <v>24</v>
      </c>
      <c r="E2341" s="159">
        <v>80</v>
      </c>
      <c r="F2341" s="131"/>
      <c r="G2341" s="132"/>
      <c r="H2341" s="162" t="s">
        <v>19982</v>
      </c>
      <c r="I2341" s="158" t="s">
        <v>19983</v>
      </c>
      <c r="J2341" s="128"/>
      <c r="K2341" s="128"/>
      <c r="L2341" s="128"/>
      <c r="M2341" s="129"/>
      <c r="N2341" s="129"/>
      <c r="O2341" s="129"/>
    </row>
    <row r="2342" spans="1:15" ht="12.5">
      <c r="A2342" s="158" t="s">
        <v>19984</v>
      </c>
      <c r="B2342" s="159">
        <v>30</v>
      </c>
      <c r="C2342" s="159">
        <v>59</v>
      </c>
      <c r="D2342" s="159">
        <v>24</v>
      </c>
      <c r="E2342" s="159">
        <v>81</v>
      </c>
      <c r="F2342" s="131"/>
      <c r="G2342" s="132"/>
      <c r="H2342" s="162" t="s">
        <v>33398</v>
      </c>
      <c r="I2342" s="158" t="s">
        <v>19986</v>
      </c>
      <c r="J2342" s="128"/>
      <c r="K2342" s="128"/>
      <c r="L2342" s="128"/>
      <c r="M2342" s="129"/>
      <c r="N2342" s="129"/>
      <c r="O2342" s="129"/>
    </row>
    <row r="2343" spans="1:15" ht="12.5">
      <c r="A2343" s="158" t="s">
        <v>19989</v>
      </c>
      <c r="B2343" s="159">
        <v>30</v>
      </c>
      <c r="C2343" s="159">
        <v>59</v>
      </c>
      <c r="D2343" s="159">
        <v>24</v>
      </c>
      <c r="E2343" s="159">
        <v>92</v>
      </c>
      <c r="F2343" s="131"/>
      <c r="G2343" s="132"/>
      <c r="H2343" s="162" t="s">
        <v>19990</v>
      </c>
      <c r="I2343" s="158" t="s">
        <v>19991</v>
      </c>
      <c r="J2343" s="128"/>
      <c r="K2343" s="128"/>
      <c r="L2343" s="128"/>
      <c r="M2343" s="129"/>
      <c r="N2343" s="129"/>
      <c r="O2343" s="129"/>
    </row>
    <row r="2344" spans="1:15" ht="12.5">
      <c r="A2344" s="158" t="s">
        <v>19992</v>
      </c>
      <c r="B2344" s="159">
        <v>30</v>
      </c>
      <c r="C2344" s="159">
        <v>59</v>
      </c>
      <c r="D2344" s="159">
        <v>24</v>
      </c>
      <c r="E2344" s="159">
        <v>93</v>
      </c>
      <c r="F2344" s="131"/>
      <c r="G2344" s="132"/>
      <c r="H2344" s="162" t="s">
        <v>19993</v>
      </c>
      <c r="I2344" s="158" t="s">
        <v>19994</v>
      </c>
      <c r="J2344" s="128"/>
      <c r="K2344" s="128"/>
      <c r="L2344" s="128"/>
      <c r="M2344" s="129"/>
      <c r="N2344" s="129"/>
      <c r="O2344" s="129"/>
    </row>
    <row r="2345" spans="1:15" ht="12.5">
      <c r="A2345" s="158" t="s">
        <v>19995</v>
      </c>
      <c r="B2345" s="159">
        <v>30</v>
      </c>
      <c r="C2345" s="159">
        <v>59</v>
      </c>
      <c r="D2345" s="159">
        <v>24</v>
      </c>
      <c r="E2345" s="159">
        <v>97</v>
      </c>
      <c r="F2345" s="131"/>
      <c r="G2345" s="132"/>
      <c r="H2345" s="162" t="s">
        <v>19996</v>
      </c>
      <c r="I2345" s="158" t="s">
        <v>19997</v>
      </c>
      <c r="J2345" s="128"/>
      <c r="K2345" s="128"/>
      <c r="L2345" s="128"/>
      <c r="M2345" s="129"/>
      <c r="N2345" s="129"/>
      <c r="O2345" s="129"/>
    </row>
    <row r="2346" spans="1:15" ht="12.5">
      <c r="A2346" s="158" t="s">
        <v>19998</v>
      </c>
      <c r="B2346" s="159">
        <v>30</v>
      </c>
      <c r="C2346" s="159">
        <v>59</v>
      </c>
      <c r="D2346" s="159">
        <v>28</v>
      </c>
      <c r="E2346" s="130"/>
      <c r="F2346" s="131"/>
      <c r="G2346" s="132"/>
      <c r="H2346" s="162" t="s">
        <v>19999</v>
      </c>
      <c r="I2346" s="128"/>
      <c r="J2346" s="128"/>
      <c r="K2346" s="128"/>
      <c r="L2346" s="128"/>
      <c r="M2346" s="129"/>
      <c r="N2346" s="129"/>
      <c r="O2346" s="129"/>
    </row>
    <row r="2347" spans="1:15" ht="12.5">
      <c r="A2347" s="158" t="s">
        <v>20000</v>
      </c>
      <c r="B2347" s="159">
        <v>30</v>
      </c>
      <c r="C2347" s="159">
        <v>59</v>
      </c>
      <c r="D2347" s="159">
        <v>28</v>
      </c>
      <c r="E2347" s="159">
        <v>26</v>
      </c>
      <c r="F2347" s="131"/>
      <c r="G2347" s="132"/>
      <c r="H2347" s="162" t="s">
        <v>20001</v>
      </c>
      <c r="I2347" s="128"/>
      <c r="J2347" s="128"/>
      <c r="K2347" s="128"/>
      <c r="L2347" s="128"/>
      <c r="M2347" s="129"/>
      <c r="N2347" s="129"/>
      <c r="O2347" s="129"/>
    </row>
    <row r="2348" spans="1:15" ht="12.5">
      <c r="A2348" s="158" t="s">
        <v>20002</v>
      </c>
      <c r="B2348" s="159">
        <v>30</v>
      </c>
      <c r="C2348" s="159">
        <v>59</v>
      </c>
      <c r="D2348" s="159">
        <v>28</v>
      </c>
      <c r="E2348" s="159">
        <v>27</v>
      </c>
      <c r="F2348" s="131"/>
      <c r="G2348" s="132"/>
      <c r="H2348" s="162" t="s">
        <v>20003</v>
      </c>
      <c r="I2348" s="128"/>
      <c r="J2348" s="128"/>
      <c r="K2348" s="128"/>
      <c r="L2348" s="128"/>
      <c r="M2348" s="129"/>
      <c r="N2348" s="129"/>
      <c r="O2348" s="129"/>
    </row>
    <row r="2349" spans="1:15" ht="12.5">
      <c r="A2349" s="158" t="s">
        <v>20004</v>
      </c>
      <c r="B2349" s="159">
        <v>30</v>
      </c>
      <c r="C2349" s="159">
        <v>59</v>
      </c>
      <c r="D2349" s="159">
        <v>28</v>
      </c>
      <c r="E2349" s="159">
        <v>28</v>
      </c>
      <c r="F2349" s="131"/>
      <c r="G2349" s="132"/>
      <c r="H2349" s="162" t="s">
        <v>20005</v>
      </c>
      <c r="I2349" s="128"/>
      <c r="J2349" s="128"/>
      <c r="K2349" s="128"/>
      <c r="L2349" s="128"/>
      <c r="M2349" s="129"/>
      <c r="N2349" s="129"/>
      <c r="O2349" s="129"/>
    </row>
    <row r="2350" spans="1:15" ht="12.5">
      <c r="A2350" s="158" t="s">
        <v>20006</v>
      </c>
      <c r="B2350" s="159">
        <v>30</v>
      </c>
      <c r="C2350" s="159">
        <v>59</v>
      </c>
      <c r="D2350" s="159">
        <v>28</v>
      </c>
      <c r="E2350" s="159">
        <v>78</v>
      </c>
      <c r="F2350" s="131"/>
      <c r="G2350" s="132"/>
      <c r="H2350" s="162" t="s">
        <v>20007</v>
      </c>
      <c r="I2350" s="128"/>
      <c r="J2350" s="128"/>
      <c r="K2350" s="128"/>
      <c r="L2350" s="128"/>
      <c r="M2350" s="129"/>
      <c r="N2350" s="129"/>
      <c r="O2350" s="129"/>
    </row>
    <row r="2351" spans="1:15" ht="12.5">
      <c r="A2351" s="158" t="s">
        <v>20008</v>
      </c>
      <c r="B2351" s="159">
        <v>30</v>
      </c>
      <c r="C2351" s="159">
        <v>59</v>
      </c>
      <c r="D2351" s="159">
        <v>29</v>
      </c>
      <c r="E2351" s="130"/>
      <c r="F2351" s="131"/>
      <c r="G2351" s="132"/>
      <c r="H2351" s="162" t="s">
        <v>20009</v>
      </c>
      <c r="I2351" s="128"/>
      <c r="J2351" s="128"/>
      <c r="K2351" s="128"/>
      <c r="L2351" s="128"/>
      <c r="M2351" s="129"/>
      <c r="N2351" s="129"/>
      <c r="O2351" s="129"/>
    </row>
    <row r="2352" spans="1:15" ht="12.5">
      <c r="A2352" s="158" t="s">
        <v>20010</v>
      </c>
      <c r="B2352" s="159">
        <v>30</v>
      </c>
      <c r="C2352" s="159">
        <v>59</v>
      </c>
      <c r="D2352" s="159">
        <v>29</v>
      </c>
      <c r="E2352" s="159">
        <v>2</v>
      </c>
      <c r="F2352" s="131"/>
      <c r="G2352" s="132"/>
      <c r="H2352" s="162" t="s">
        <v>20011</v>
      </c>
      <c r="I2352" s="158" t="s">
        <v>20012</v>
      </c>
      <c r="J2352" s="128"/>
      <c r="K2352" s="128"/>
      <c r="L2352" s="128"/>
      <c r="M2352" s="129"/>
      <c r="N2352" s="129"/>
      <c r="O2352" s="129"/>
    </row>
    <row r="2353" spans="1:15" ht="12.5">
      <c r="A2353" s="158" t="s">
        <v>20013</v>
      </c>
      <c r="B2353" s="159">
        <v>30</v>
      </c>
      <c r="C2353" s="159">
        <v>59</v>
      </c>
      <c r="D2353" s="159">
        <v>29</v>
      </c>
      <c r="E2353" s="159">
        <v>15</v>
      </c>
      <c r="F2353" s="131"/>
      <c r="G2353" s="132"/>
      <c r="H2353" s="162" t="s">
        <v>20014</v>
      </c>
      <c r="I2353" s="158" t="s">
        <v>20015</v>
      </c>
      <c r="J2353" s="128"/>
      <c r="K2353" s="128"/>
      <c r="L2353" s="128"/>
      <c r="M2353" s="129"/>
      <c r="N2353" s="129"/>
      <c r="O2353" s="129"/>
    </row>
    <row r="2354" spans="1:15" ht="12.5">
      <c r="A2354" s="158" t="s">
        <v>20016</v>
      </c>
      <c r="B2354" s="159">
        <v>30</v>
      </c>
      <c r="C2354" s="159">
        <v>59</v>
      </c>
      <c r="D2354" s="159">
        <v>29</v>
      </c>
      <c r="E2354" s="159">
        <v>30</v>
      </c>
      <c r="F2354" s="131"/>
      <c r="G2354" s="132"/>
      <c r="H2354" s="162" t="s">
        <v>20017</v>
      </c>
      <c r="I2354" s="158" t="s">
        <v>20018</v>
      </c>
      <c r="J2354" s="128"/>
      <c r="K2354" s="128"/>
      <c r="L2354" s="128"/>
      <c r="M2354" s="129"/>
      <c r="N2354" s="129"/>
      <c r="O2354" s="129"/>
    </row>
    <row r="2355" spans="1:15" ht="12.5">
      <c r="A2355" s="158" t="s">
        <v>20019</v>
      </c>
      <c r="B2355" s="159">
        <v>30</v>
      </c>
      <c r="C2355" s="159">
        <v>59</v>
      </c>
      <c r="D2355" s="159">
        <v>29</v>
      </c>
      <c r="E2355" s="159">
        <v>62</v>
      </c>
      <c r="F2355" s="131"/>
      <c r="G2355" s="132"/>
      <c r="H2355" s="162" t="s">
        <v>20020</v>
      </c>
      <c r="I2355" s="158" t="s">
        <v>20021</v>
      </c>
      <c r="J2355" s="128"/>
      <c r="K2355" s="128"/>
      <c r="L2355" s="128"/>
      <c r="M2355" s="129"/>
      <c r="N2355" s="129"/>
      <c r="O2355" s="129"/>
    </row>
    <row r="2356" spans="1:15" ht="12.5">
      <c r="A2356" s="158" t="s">
        <v>20022</v>
      </c>
      <c r="B2356" s="159">
        <v>30</v>
      </c>
      <c r="C2356" s="159">
        <v>59</v>
      </c>
      <c r="D2356" s="159">
        <v>29</v>
      </c>
      <c r="E2356" s="159">
        <v>64</v>
      </c>
      <c r="F2356" s="131"/>
      <c r="G2356" s="132"/>
      <c r="H2356" s="162" t="s">
        <v>20023</v>
      </c>
      <c r="I2356" s="158" t="s">
        <v>20024</v>
      </c>
      <c r="J2356" s="128"/>
      <c r="K2356" s="128"/>
      <c r="L2356" s="128"/>
      <c r="M2356" s="129"/>
      <c r="N2356" s="129"/>
      <c r="O2356" s="129"/>
    </row>
    <row r="2357" spans="1:15" ht="12.5">
      <c r="A2357" s="158" t="s">
        <v>20025</v>
      </c>
      <c r="B2357" s="159">
        <v>30</v>
      </c>
      <c r="C2357" s="159">
        <v>59</v>
      </c>
      <c r="D2357" s="159">
        <v>29</v>
      </c>
      <c r="E2357" s="159">
        <v>71</v>
      </c>
      <c r="F2357" s="131"/>
      <c r="G2357" s="132"/>
      <c r="H2357" s="162" t="s">
        <v>20026</v>
      </c>
      <c r="I2357" s="158" t="s">
        <v>20027</v>
      </c>
      <c r="J2357" s="128"/>
      <c r="K2357" s="128"/>
      <c r="L2357" s="128"/>
      <c r="M2357" s="129"/>
      <c r="N2357" s="129"/>
      <c r="O2357" s="129"/>
    </row>
    <row r="2358" spans="1:15" ht="12.5">
      <c r="A2358" s="158" t="s">
        <v>20028</v>
      </c>
      <c r="B2358" s="159">
        <v>30</v>
      </c>
      <c r="C2358" s="159">
        <v>59</v>
      </c>
      <c r="D2358" s="159">
        <v>29</v>
      </c>
      <c r="E2358" s="159">
        <v>72</v>
      </c>
      <c r="F2358" s="131"/>
      <c r="G2358" s="132"/>
      <c r="H2358" s="162" t="s">
        <v>20029</v>
      </c>
      <c r="I2358" s="158" t="s">
        <v>20030</v>
      </c>
      <c r="J2358" s="128"/>
      <c r="K2358" s="128"/>
      <c r="L2358" s="128"/>
      <c r="M2358" s="129"/>
      <c r="N2358" s="129"/>
      <c r="O2358" s="129"/>
    </row>
    <row r="2359" spans="1:15" ht="12.5">
      <c r="A2359" s="158" t="s">
        <v>20031</v>
      </c>
      <c r="B2359" s="159">
        <v>30</v>
      </c>
      <c r="C2359" s="159">
        <v>59</v>
      </c>
      <c r="D2359" s="159">
        <v>29</v>
      </c>
      <c r="E2359" s="159">
        <v>73</v>
      </c>
      <c r="F2359" s="131"/>
      <c r="G2359" s="132"/>
      <c r="H2359" s="162" t="s">
        <v>20032</v>
      </c>
      <c r="I2359" s="158" t="s">
        <v>20033</v>
      </c>
      <c r="J2359" s="128"/>
      <c r="K2359" s="128"/>
      <c r="L2359" s="128"/>
      <c r="M2359" s="129"/>
      <c r="N2359" s="129"/>
      <c r="O2359" s="129"/>
    </row>
    <row r="2360" spans="1:15" ht="12.5">
      <c r="A2360" s="158" t="s">
        <v>20034</v>
      </c>
      <c r="B2360" s="159">
        <v>30</v>
      </c>
      <c r="C2360" s="159">
        <v>59</v>
      </c>
      <c r="D2360" s="159">
        <v>29</v>
      </c>
      <c r="E2360" s="159">
        <v>74</v>
      </c>
      <c r="F2360" s="131"/>
      <c r="G2360" s="132"/>
      <c r="H2360" s="162" t="s">
        <v>20035</v>
      </c>
      <c r="I2360" s="158" t="s">
        <v>20036</v>
      </c>
      <c r="J2360" s="128"/>
      <c r="K2360" s="128"/>
      <c r="L2360" s="128"/>
      <c r="M2360" s="129"/>
      <c r="N2360" s="129"/>
      <c r="O2360" s="129"/>
    </row>
    <row r="2361" spans="1:15" ht="12.5">
      <c r="A2361" s="158" t="s">
        <v>20037</v>
      </c>
      <c r="B2361" s="159">
        <v>30</v>
      </c>
      <c r="C2361" s="159">
        <v>59</v>
      </c>
      <c r="D2361" s="159">
        <v>29</v>
      </c>
      <c r="E2361" s="159">
        <v>75</v>
      </c>
      <c r="F2361" s="131"/>
      <c r="G2361" s="132"/>
      <c r="H2361" s="162" t="s">
        <v>20038</v>
      </c>
      <c r="I2361" s="158" t="s">
        <v>20039</v>
      </c>
      <c r="J2361" s="128"/>
      <c r="K2361" s="128"/>
      <c r="L2361" s="128"/>
      <c r="M2361" s="129"/>
      <c r="N2361" s="129"/>
      <c r="O2361" s="129"/>
    </row>
    <row r="2362" spans="1:15" ht="12.5">
      <c r="A2362" s="158" t="s">
        <v>20043</v>
      </c>
      <c r="B2362" s="159">
        <v>30</v>
      </c>
      <c r="C2362" s="159">
        <v>59</v>
      </c>
      <c r="D2362" s="159">
        <v>29</v>
      </c>
      <c r="E2362" s="159">
        <v>82</v>
      </c>
      <c r="F2362" s="131"/>
      <c r="G2362" s="132"/>
      <c r="H2362" s="162" t="s">
        <v>20044</v>
      </c>
      <c r="I2362" s="158" t="s">
        <v>20045</v>
      </c>
      <c r="J2362" s="128"/>
      <c r="K2362" s="128"/>
      <c r="L2362" s="128"/>
      <c r="M2362" s="129"/>
      <c r="N2362" s="129"/>
      <c r="O2362" s="129"/>
    </row>
    <row r="2363" spans="1:15" ht="12.5">
      <c r="A2363" s="158" t="s">
        <v>20046</v>
      </c>
      <c r="B2363" s="159">
        <v>30</v>
      </c>
      <c r="C2363" s="159">
        <v>59</v>
      </c>
      <c r="D2363" s="159">
        <v>33</v>
      </c>
      <c r="E2363" s="130"/>
      <c r="F2363" s="131"/>
      <c r="G2363" s="132"/>
      <c r="H2363" s="162" t="s">
        <v>20047</v>
      </c>
      <c r="I2363" s="128"/>
      <c r="J2363" s="128"/>
      <c r="K2363" s="128"/>
      <c r="L2363" s="128"/>
      <c r="M2363" s="129"/>
      <c r="N2363" s="129"/>
      <c r="O2363" s="129"/>
    </row>
    <row r="2364" spans="1:15" ht="12.5">
      <c r="A2364" s="158" t="s">
        <v>20048</v>
      </c>
      <c r="B2364" s="159">
        <v>30</v>
      </c>
      <c r="C2364" s="159">
        <v>59</v>
      </c>
      <c r="D2364" s="159">
        <v>33</v>
      </c>
      <c r="E2364" s="159">
        <v>2</v>
      </c>
      <c r="F2364" s="131"/>
      <c r="G2364" s="132"/>
      <c r="H2364" s="162" t="s">
        <v>20049</v>
      </c>
      <c r="I2364" s="158" t="s">
        <v>20050</v>
      </c>
      <c r="J2364" s="128"/>
      <c r="K2364" s="128"/>
      <c r="L2364" s="128"/>
      <c r="M2364" s="129"/>
      <c r="N2364" s="129"/>
      <c r="O2364" s="129"/>
    </row>
    <row r="2365" spans="1:15" ht="12.5">
      <c r="A2365" s="158" t="s">
        <v>20051</v>
      </c>
      <c r="B2365" s="159">
        <v>30</v>
      </c>
      <c r="C2365" s="159">
        <v>59</v>
      </c>
      <c r="D2365" s="159">
        <v>33</v>
      </c>
      <c r="E2365" s="159">
        <v>3</v>
      </c>
      <c r="F2365" s="131"/>
      <c r="G2365" s="132"/>
      <c r="H2365" s="162" t="s">
        <v>20052</v>
      </c>
      <c r="I2365" s="158" t="s">
        <v>20053</v>
      </c>
      <c r="J2365" s="128"/>
      <c r="K2365" s="128"/>
      <c r="L2365" s="128"/>
      <c r="M2365" s="129"/>
      <c r="N2365" s="129"/>
      <c r="O2365" s="129"/>
    </row>
    <row r="2366" spans="1:15" ht="12.5">
      <c r="A2366" s="158" t="s">
        <v>20054</v>
      </c>
      <c r="B2366" s="159">
        <v>30</v>
      </c>
      <c r="C2366" s="159">
        <v>59</v>
      </c>
      <c r="D2366" s="159">
        <v>33</v>
      </c>
      <c r="E2366" s="159">
        <v>11</v>
      </c>
      <c r="F2366" s="131"/>
      <c r="G2366" s="132"/>
      <c r="H2366" s="162" t="s">
        <v>20055</v>
      </c>
      <c r="I2366" s="158" t="s">
        <v>20056</v>
      </c>
      <c r="J2366" s="128"/>
      <c r="K2366" s="128"/>
      <c r="L2366" s="128"/>
      <c r="M2366" s="129"/>
      <c r="N2366" s="129"/>
      <c r="O2366" s="129"/>
    </row>
    <row r="2367" spans="1:15" ht="12.5">
      <c r="A2367" s="158" t="s">
        <v>20057</v>
      </c>
      <c r="B2367" s="159">
        <v>30</v>
      </c>
      <c r="C2367" s="159">
        <v>59</v>
      </c>
      <c r="D2367" s="159">
        <v>33</v>
      </c>
      <c r="E2367" s="159">
        <v>12</v>
      </c>
      <c r="F2367" s="131"/>
      <c r="G2367" s="132"/>
      <c r="H2367" s="162" t="s">
        <v>20058</v>
      </c>
      <c r="I2367" s="158" t="s">
        <v>20059</v>
      </c>
      <c r="J2367" s="128"/>
      <c r="K2367" s="128"/>
      <c r="L2367" s="128"/>
      <c r="M2367" s="129"/>
      <c r="N2367" s="129"/>
      <c r="O2367" s="129"/>
    </row>
    <row r="2368" spans="1:15" ht="12.5">
      <c r="A2368" s="158" t="s">
        <v>20060</v>
      </c>
      <c r="B2368" s="159">
        <v>30</v>
      </c>
      <c r="C2368" s="159">
        <v>59</v>
      </c>
      <c r="D2368" s="159">
        <v>33</v>
      </c>
      <c r="E2368" s="159">
        <v>13</v>
      </c>
      <c r="F2368" s="131"/>
      <c r="G2368" s="132"/>
      <c r="H2368" s="162" t="s">
        <v>20061</v>
      </c>
      <c r="I2368" s="158" t="s">
        <v>20062</v>
      </c>
      <c r="J2368" s="128"/>
      <c r="K2368" s="128"/>
      <c r="L2368" s="128"/>
      <c r="M2368" s="129"/>
      <c r="N2368" s="129"/>
      <c r="O2368" s="129"/>
    </row>
    <row r="2369" spans="1:15" ht="12.5">
      <c r="A2369" s="158" t="s">
        <v>20063</v>
      </c>
      <c r="B2369" s="159">
        <v>30</v>
      </c>
      <c r="C2369" s="159">
        <v>59</v>
      </c>
      <c r="D2369" s="159">
        <v>33</v>
      </c>
      <c r="E2369" s="159">
        <v>14</v>
      </c>
      <c r="F2369" s="131"/>
      <c r="G2369" s="132"/>
      <c r="H2369" s="162" t="s">
        <v>20064</v>
      </c>
      <c r="I2369" s="158" t="s">
        <v>20065</v>
      </c>
      <c r="J2369" s="128"/>
      <c r="K2369" s="128"/>
      <c r="L2369" s="128"/>
      <c r="M2369" s="129"/>
      <c r="N2369" s="129"/>
      <c r="O2369" s="129"/>
    </row>
    <row r="2370" spans="1:15" ht="12.5">
      <c r="A2370" s="158" t="s">
        <v>20066</v>
      </c>
      <c r="B2370" s="159">
        <v>30</v>
      </c>
      <c r="C2370" s="159">
        <v>59</v>
      </c>
      <c r="D2370" s="159">
        <v>33</v>
      </c>
      <c r="E2370" s="159">
        <v>15</v>
      </c>
      <c r="F2370" s="131"/>
      <c r="G2370" s="132"/>
      <c r="H2370" s="162" t="s">
        <v>20067</v>
      </c>
      <c r="I2370" s="158" t="s">
        <v>20068</v>
      </c>
      <c r="J2370" s="128"/>
      <c r="K2370" s="128"/>
      <c r="L2370" s="128"/>
      <c r="M2370" s="129"/>
      <c r="N2370" s="129"/>
      <c r="O2370" s="129"/>
    </row>
    <row r="2371" spans="1:15" ht="12.5">
      <c r="A2371" s="158" t="s">
        <v>20069</v>
      </c>
      <c r="B2371" s="159">
        <v>30</v>
      </c>
      <c r="C2371" s="159">
        <v>59</v>
      </c>
      <c r="D2371" s="159">
        <v>33</v>
      </c>
      <c r="E2371" s="159">
        <v>16</v>
      </c>
      <c r="F2371" s="131"/>
      <c r="G2371" s="132"/>
      <c r="H2371" s="162" t="s">
        <v>20070</v>
      </c>
      <c r="I2371" s="158" t="s">
        <v>20071</v>
      </c>
      <c r="J2371" s="128"/>
      <c r="K2371" s="128"/>
      <c r="L2371" s="128"/>
      <c r="M2371" s="129"/>
      <c r="N2371" s="129"/>
      <c r="O2371" s="129"/>
    </row>
    <row r="2372" spans="1:15" ht="12.5">
      <c r="A2372" s="158" t="s">
        <v>20072</v>
      </c>
      <c r="B2372" s="159">
        <v>30</v>
      </c>
      <c r="C2372" s="159">
        <v>59</v>
      </c>
      <c r="D2372" s="159">
        <v>33</v>
      </c>
      <c r="E2372" s="159">
        <v>33</v>
      </c>
      <c r="F2372" s="131"/>
      <c r="G2372" s="132"/>
      <c r="H2372" s="162" t="s">
        <v>20073</v>
      </c>
      <c r="I2372" s="158" t="s">
        <v>20074</v>
      </c>
      <c r="J2372" s="128"/>
      <c r="K2372" s="128"/>
      <c r="L2372" s="128"/>
      <c r="M2372" s="129"/>
      <c r="N2372" s="129"/>
      <c r="O2372" s="129"/>
    </row>
    <row r="2373" spans="1:15" ht="12.5">
      <c r="A2373" s="158" t="s">
        <v>20075</v>
      </c>
      <c r="B2373" s="159">
        <v>30</v>
      </c>
      <c r="C2373" s="159">
        <v>59</v>
      </c>
      <c r="D2373" s="159">
        <v>33</v>
      </c>
      <c r="E2373" s="159">
        <v>34</v>
      </c>
      <c r="F2373" s="131"/>
      <c r="G2373" s="132"/>
      <c r="H2373" s="162" t="s">
        <v>20076</v>
      </c>
      <c r="I2373" s="158" t="s">
        <v>20077</v>
      </c>
      <c r="J2373" s="128"/>
      <c r="K2373" s="128"/>
      <c r="L2373" s="128"/>
      <c r="M2373" s="129"/>
      <c r="N2373" s="129"/>
      <c r="O2373" s="129"/>
    </row>
    <row r="2374" spans="1:15" ht="12.5">
      <c r="A2374" s="158" t="s">
        <v>20078</v>
      </c>
      <c r="B2374" s="159">
        <v>30</v>
      </c>
      <c r="C2374" s="159">
        <v>59</v>
      </c>
      <c r="D2374" s="159">
        <v>33</v>
      </c>
      <c r="E2374" s="159">
        <v>35</v>
      </c>
      <c r="F2374" s="131"/>
      <c r="G2374" s="132"/>
      <c r="H2374" s="162" t="s">
        <v>20079</v>
      </c>
      <c r="I2374" s="158" t="s">
        <v>20080</v>
      </c>
      <c r="J2374" s="128"/>
      <c r="K2374" s="128"/>
      <c r="L2374" s="128"/>
      <c r="M2374" s="129"/>
      <c r="N2374" s="129"/>
      <c r="O2374" s="129"/>
    </row>
    <row r="2375" spans="1:15" ht="12.5">
      <c r="A2375" s="158" t="s">
        <v>20081</v>
      </c>
      <c r="B2375" s="159">
        <v>30</v>
      </c>
      <c r="C2375" s="159">
        <v>59</v>
      </c>
      <c r="D2375" s="159">
        <v>33</v>
      </c>
      <c r="E2375" s="159">
        <v>36</v>
      </c>
      <c r="F2375" s="131"/>
      <c r="G2375" s="132"/>
      <c r="H2375" s="162" t="s">
        <v>20082</v>
      </c>
      <c r="I2375" s="158" t="s">
        <v>20083</v>
      </c>
      <c r="J2375" s="128"/>
      <c r="K2375" s="128"/>
      <c r="L2375" s="128"/>
      <c r="M2375" s="129"/>
      <c r="N2375" s="129"/>
      <c r="O2375" s="129"/>
    </row>
    <row r="2376" spans="1:15" ht="12.5">
      <c r="A2376" s="158" t="s">
        <v>20084</v>
      </c>
      <c r="B2376" s="159">
        <v>30</v>
      </c>
      <c r="C2376" s="159">
        <v>59</v>
      </c>
      <c r="D2376" s="159">
        <v>33</v>
      </c>
      <c r="E2376" s="159">
        <v>37</v>
      </c>
      <c r="F2376" s="131"/>
      <c r="G2376" s="132"/>
      <c r="H2376" s="162" t="s">
        <v>20085</v>
      </c>
      <c r="I2376" s="158" t="s">
        <v>20086</v>
      </c>
      <c r="J2376" s="128"/>
      <c r="K2376" s="128"/>
      <c r="L2376" s="128"/>
      <c r="M2376" s="129"/>
      <c r="N2376" s="129"/>
      <c r="O2376" s="129"/>
    </row>
    <row r="2377" spans="1:15" ht="12.5">
      <c r="A2377" s="158" t="s">
        <v>20087</v>
      </c>
      <c r="B2377" s="159">
        <v>30</v>
      </c>
      <c r="C2377" s="159">
        <v>59</v>
      </c>
      <c r="D2377" s="159">
        <v>33</v>
      </c>
      <c r="E2377" s="159">
        <v>38</v>
      </c>
      <c r="F2377" s="131"/>
      <c r="G2377" s="132"/>
      <c r="H2377" s="162" t="s">
        <v>20088</v>
      </c>
      <c r="I2377" s="158" t="s">
        <v>20089</v>
      </c>
      <c r="J2377" s="128"/>
      <c r="K2377" s="128"/>
      <c r="L2377" s="128"/>
      <c r="M2377" s="129"/>
      <c r="N2377" s="129"/>
      <c r="O2377" s="129"/>
    </row>
    <row r="2378" spans="1:15" ht="12.5">
      <c r="A2378" s="158" t="s">
        <v>20090</v>
      </c>
      <c r="B2378" s="159">
        <v>30</v>
      </c>
      <c r="C2378" s="159">
        <v>59</v>
      </c>
      <c r="D2378" s="159">
        <v>33</v>
      </c>
      <c r="E2378" s="159">
        <v>39</v>
      </c>
      <c r="F2378" s="131"/>
      <c r="G2378" s="132"/>
      <c r="H2378" s="162" t="s">
        <v>20091</v>
      </c>
      <c r="I2378" s="158" t="s">
        <v>20092</v>
      </c>
      <c r="J2378" s="128"/>
      <c r="K2378" s="128"/>
      <c r="L2378" s="128"/>
      <c r="M2378" s="129"/>
      <c r="N2378" s="129"/>
      <c r="O2378" s="129"/>
    </row>
    <row r="2379" spans="1:15" ht="12.5">
      <c r="A2379" s="158" t="s">
        <v>20093</v>
      </c>
      <c r="B2379" s="159">
        <v>30</v>
      </c>
      <c r="C2379" s="159">
        <v>59</v>
      </c>
      <c r="D2379" s="159">
        <v>33</v>
      </c>
      <c r="E2379" s="159">
        <v>52</v>
      </c>
      <c r="F2379" s="131"/>
      <c r="G2379" s="132"/>
      <c r="H2379" s="162" t="s">
        <v>20094</v>
      </c>
      <c r="I2379" s="158" t="s">
        <v>20095</v>
      </c>
      <c r="J2379" s="128"/>
      <c r="K2379" s="128"/>
      <c r="L2379" s="128"/>
      <c r="M2379" s="129"/>
      <c r="N2379" s="129"/>
      <c r="O2379" s="129"/>
    </row>
    <row r="2380" spans="1:15" ht="12.5">
      <c r="A2380" s="158" t="s">
        <v>20096</v>
      </c>
      <c r="B2380" s="159">
        <v>30</v>
      </c>
      <c r="C2380" s="159">
        <v>59</v>
      </c>
      <c r="D2380" s="159">
        <v>33</v>
      </c>
      <c r="E2380" s="159">
        <v>62</v>
      </c>
      <c r="F2380" s="131"/>
      <c r="G2380" s="132"/>
      <c r="H2380" s="162" t="s">
        <v>20097</v>
      </c>
      <c r="I2380" s="158" t="s">
        <v>20098</v>
      </c>
      <c r="J2380" s="128"/>
      <c r="K2380" s="128"/>
      <c r="L2380" s="128"/>
      <c r="M2380" s="129"/>
      <c r="N2380" s="129"/>
      <c r="O2380" s="129"/>
    </row>
    <row r="2381" spans="1:15" ht="12.5">
      <c r="A2381" s="158" t="s">
        <v>20099</v>
      </c>
      <c r="B2381" s="159">
        <v>30</v>
      </c>
      <c r="C2381" s="159">
        <v>59</v>
      </c>
      <c r="D2381" s="159">
        <v>33</v>
      </c>
      <c r="E2381" s="159">
        <v>63</v>
      </c>
      <c r="F2381" s="131"/>
      <c r="G2381" s="132"/>
      <c r="H2381" s="162" t="s">
        <v>20100</v>
      </c>
      <c r="I2381" s="158" t="s">
        <v>20101</v>
      </c>
      <c r="J2381" s="128"/>
      <c r="K2381" s="128"/>
      <c r="L2381" s="128"/>
      <c r="M2381" s="129"/>
      <c r="N2381" s="129"/>
      <c r="O2381" s="129"/>
    </row>
    <row r="2382" spans="1:15" ht="12.5">
      <c r="A2382" s="158" t="s">
        <v>20102</v>
      </c>
      <c r="B2382" s="159">
        <v>30</v>
      </c>
      <c r="C2382" s="159">
        <v>59</v>
      </c>
      <c r="D2382" s="159">
        <v>33</v>
      </c>
      <c r="E2382" s="159">
        <v>78</v>
      </c>
      <c r="F2382" s="131"/>
      <c r="G2382" s="132"/>
      <c r="H2382" s="162" t="s">
        <v>20103</v>
      </c>
      <c r="I2382" s="158" t="s">
        <v>20104</v>
      </c>
      <c r="J2382" s="128"/>
      <c r="K2382" s="128"/>
      <c r="L2382" s="128"/>
      <c r="M2382" s="129"/>
      <c r="N2382" s="129"/>
      <c r="O2382" s="129"/>
    </row>
    <row r="2383" spans="1:15" ht="12.5">
      <c r="A2383" s="158" t="s">
        <v>20105</v>
      </c>
      <c r="B2383" s="159">
        <v>30</v>
      </c>
      <c r="C2383" s="159">
        <v>59</v>
      </c>
      <c r="D2383" s="159">
        <v>33</v>
      </c>
      <c r="E2383" s="159">
        <v>82</v>
      </c>
      <c r="F2383" s="131"/>
      <c r="G2383" s="132"/>
      <c r="H2383" s="162" t="s">
        <v>20106</v>
      </c>
      <c r="I2383" s="158" t="s">
        <v>20107</v>
      </c>
      <c r="J2383" s="128"/>
      <c r="K2383" s="128"/>
      <c r="L2383" s="128"/>
      <c r="M2383" s="129"/>
      <c r="N2383" s="129"/>
      <c r="O2383" s="129"/>
    </row>
    <row r="2384" spans="1:15" ht="12.5">
      <c r="A2384" s="158" t="s">
        <v>20108</v>
      </c>
      <c r="B2384" s="159">
        <v>30</v>
      </c>
      <c r="C2384" s="159">
        <v>59</v>
      </c>
      <c r="D2384" s="159">
        <v>33</v>
      </c>
      <c r="E2384" s="159">
        <v>84</v>
      </c>
      <c r="F2384" s="131"/>
      <c r="G2384" s="132"/>
      <c r="H2384" s="162" t="s">
        <v>20109</v>
      </c>
      <c r="I2384" s="158" t="s">
        <v>20110</v>
      </c>
      <c r="J2384" s="128"/>
      <c r="K2384" s="128"/>
      <c r="L2384" s="128"/>
      <c r="M2384" s="129"/>
      <c r="N2384" s="129"/>
      <c r="O2384" s="129"/>
    </row>
    <row r="2385" spans="1:15" ht="12.5">
      <c r="A2385" s="158" t="s">
        <v>20111</v>
      </c>
      <c r="B2385" s="159">
        <v>30</v>
      </c>
      <c r="C2385" s="159">
        <v>59</v>
      </c>
      <c r="D2385" s="159">
        <v>33</v>
      </c>
      <c r="E2385" s="159">
        <v>98</v>
      </c>
      <c r="F2385" s="131"/>
      <c r="G2385" s="132"/>
      <c r="H2385" s="162" t="s">
        <v>20112</v>
      </c>
      <c r="I2385" s="158" t="s">
        <v>20113</v>
      </c>
      <c r="J2385" s="128"/>
      <c r="K2385" s="128"/>
      <c r="L2385" s="128"/>
      <c r="M2385" s="129"/>
      <c r="N2385" s="129"/>
      <c r="O2385" s="129"/>
    </row>
    <row r="2386" spans="1:15" ht="12.5">
      <c r="A2386" s="158" t="s">
        <v>20114</v>
      </c>
      <c r="B2386" s="159">
        <v>30</v>
      </c>
      <c r="C2386" s="159">
        <v>59</v>
      </c>
      <c r="D2386" s="159">
        <v>33</v>
      </c>
      <c r="E2386" s="159">
        <v>99</v>
      </c>
      <c r="F2386" s="131"/>
      <c r="G2386" s="132"/>
      <c r="H2386" s="162" t="s">
        <v>20115</v>
      </c>
      <c r="I2386" s="158" t="s">
        <v>20116</v>
      </c>
      <c r="J2386" s="128"/>
      <c r="K2386" s="128"/>
      <c r="L2386" s="128"/>
      <c r="M2386" s="129"/>
      <c r="N2386" s="129"/>
      <c r="O2386" s="129"/>
    </row>
    <row r="2387" spans="1:15" ht="12.5">
      <c r="A2387" s="158" t="s">
        <v>20117</v>
      </c>
      <c r="B2387" s="159">
        <v>30</v>
      </c>
      <c r="C2387" s="159">
        <v>59</v>
      </c>
      <c r="D2387" s="159">
        <v>34</v>
      </c>
      <c r="E2387" s="130"/>
      <c r="F2387" s="131"/>
      <c r="G2387" s="132"/>
      <c r="H2387" s="162" t="s">
        <v>20118</v>
      </c>
      <c r="I2387" s="128"/>
      <c r="J2387" s="128"/>
      <c r="K2387" s="128"/>
      <c r="L2387" s="128"/>
      <c r="M2387" s="129"/>
      <c r="N2387" s="129"/>
      <c r="O2387" s="129"/>
    </row>
    <row r="2388" spans="1:15" ht="12.5">
      <c r="A2388" s="158" t="s">
        <v>20119</v>
      </c>
      <c r="B2388" s="159">
        <v>30</v>
      </c>
      <c r="C2388" s="159">
        <v>59</v>
      </c>
      <c r="D2388" s="159">
        <v>34</v>
      </c>
      <c r="E2388" s="159">
        <v>1</v>
      </c>
      <c r="F2388" s="131"/>
      <c r="G2388" s="132"/>
      <c r="H2388" s="162" t="s">
        <v>20120</v>
      </c>
      <c r="I2388" s="158" t="s">
        <v>20121</v>
      </c>
      <c r="J2388" s="128"/>
      <c r="K2388" s="128"/>
      <c r="L2388" s="128"/>
      <c r="M2388" s="129"/>
      <c r="N2388" s="129"/>
      <c r="O2388" s="129"/>
    </row>
    <row r="2389" spans="1:15" ht="12.5">
      <c r="A2389" s="158" t="s">
        <v>20122</v>
      </c>
      <c r="B2389" s="159">
        <v>30</v>
      </c>
      <c r="C2389" s="159">
        <v>59</v>
      </c>
      <c r="D2389" s="159">
        <v>34</v>
      </c>
      <c r="E2389" s="159">
        <v>2</v>
      </c>
      <c r="F2389" s="131"/>
      <c r="G2389" s="132"/>
      <c r="H2389" s="162" t="s">
        <v>20123</v>
      </c>
      <c r="I2389" s="158" t="s">
        <v>20124</v>
      </c>
      <c r="J2389" s="128"/>
      <c r="K2389" s="128"/>
      <c r="L2389" s="128"/>
      <c r="M2389" s="129"/>
      <c r="N2389" s="129"/>
      <c r="O2389" s="129"/>
    </row>
    <row r="2390" spans="1:15" ht="12.5">
      <c r="A2390" s="158" t="s">
        <v>20125</v>
      </c>
      <c r="B2390" s="159">
        <v>30</v>
      </c>
      <c r="C2390" s="159">
        <v>59</v>
      </c>
      <c r="D2390" s="159">
        <v>34</v>
      </c>
      <c r="E2390" s="159">
        <v>3</v>
      </c>
      <c r="F2390" s="131"/>
      <c r="G2390" s="132"/>
      <c r="H2390" s="162" t="s">
        <v>20126</v>
      </c>
      <c r="I2390" s="158" t="s">
        <v>20127</v>
      </c>
      <c r="J2390" s="128"/>
      <c r="K2390" s="128"/>
      <c r="L2390" s="128"/>
      <c r="M2390" s="129"/>
      <c r="N2390" s="129"/>
      <c r="O2390" s="129"/>
    </row>
    <row r="2391" spans="1:15" ht="12.5">
      <c r="A2391" s="158" t="s">
        <v>20128</v>
      </c>
      <c r="B2391" s="159">
        <v>30</v>
      </c>
      <c r="C2391" s="159">
        <v>59</v>
      </c>
      <c r="D2391" s="159">
        <v>34</v>
      </c>
      <c r="E2391" s="159">
        <v>10</v>
      </c>
      <c r="F2391" s="131"/>
      <c r="G2391" s="132"/>
      <c r="H2391" s="162" t="s">
        <v>20129</v>
      </c>
      <c r="I2391" s="128"/>
      <c r="J2391" s="128"/>
      <c r="K2391" s="128"/>
      <c r="L2391" s="128"/>
      <c r="M2391" s="129"/>
      <c r="N2391" s="129"/>
      <c r="O2391" s="129"/>
    </row>
    <row r="2392" spans="1:15" ht="12.5">
      <c r="A2392" s="158" t="s">
        <v>20130</v>
      </c>
      <c r="B2392" s="159">
        <v>30</v>
      </c>
      <c r="C2392" s="159">
        <v>59</v>
      </c>
      <c r="D2392" s="159">
        <v>34</v>
      </c>
      <c r="E2392" s="159">
        <v>11</v>
      </c>
      <c r="F2392" s="131"/>
      <c r="G2392" s="132"/>
      <c r="H2392" s="162" t="s">
        <v>20131</v>
      </c>
      <c r="I2392" s="158" t="s">
        <v>20132</v>
      </c>
      <c r="J2392" s="128"/>
      <c r="K2392" s="128"/>
      <c r="L2392" s="128"/>
      <c r="M2392" s="129"/>
      <c r="N2392" s="129"/>
      <c r="O2392" s="129"/>
    </row>
    <row r="2393" spans="1:15" ht="12.5">
      <c r="A2393" s="158" t="s">
        <v>20133</v>
      </c>
      <c r="B2393" s="159">
        <v>30</v>
      </c>
      <c r="C2393" s="159">
        <v>59</v>
      </c>
      <c r="D2393" s="159">
        <v>34</v>
      </c>
      <c r="E2393" s="159">
        <v>12</v>
      </c>
      <c r="F2393" s="131"/>
      <c r="G2393" s="132"/>
      <c r="H2393" s="162" t="s">
        <v>20134</v>
      </c>
      <c r="I2393" s="158" t="s">
        <v>20135</v>
      </c>
      <c r="J2393" s="128"/>
      <c r="K2393" s="128"/>
      <c r="L2393" s="128"/>
      <c r="M2393" s="129"/>
      <c r="N2393" s="129"/>
      <c r="O2393" s="129"/>
    </row>
    <row r="2394" spans="1:15" ht="12.5">
      <c r="A2394" s="158" t="s">
        <v>20136</v>
      </c>
      <c r="B2394" s="159">
        <v>30</v>
      </c>
      <c r="C2394" s="159">
        <v>59</v>
      </c>
      <c r="D2394" s="159">
        <v>34</v>
      </c>
      <c r="E2394" s="159">
        <v>13</v>
      </c>
      <c r="F2394" s="131"/>
      <c r="G2394" s="132"/>
      <c r="H2394" s="162" t="s">
        <v>20137</v>
      </c>
      <c r="I2394" s="158" t="s">
        <v>20138</v>
      </c>
      <c r="J2394" s="128"/>
      <c r="K2394" s="128"/>
      <c r="L2394" s="128"/>
      <c r="M2394" s="129"/>
      <c r="N2394" s="129"/>
      <c r="O2394" s="129"/>
    </row>
    <row r="2395" spans="1:15" ht="12.5">
      <c r="A2395" s="158" t="s">
        <v>20139</v>
      </c>
      <c r="B2395" s="159">
        <v>30</v>
      </c>
      <c r="C2395" s="159">
        <v>59</v>
      </c>
      <c r="D2395" s="159">
        <v>34</v>
      </c>
      <c r="E2395" s="159">
        <v>14</v>
      </c>
      <c r="F2395" s="131"/>
      <c r="G2395" s="132"/>
      <c r="H2395" s="162" t="s">
        <v>20140</v>
      </c>
      <c r="I2395" s="158" t="s">
        <v>20141</v>
      </c>
      <c r="J2395" s="128"/>
      <c r="K2395" s="128"/>
      <c r="L2395" s="128"/>
      <c r="M2395" s="129"/>
      <c r="N2395" s="129"/>
      <c r="O2395" s="129"/>
    </row>
    <row r="2396" spans="1:15" ht="12.5">
      <c r="A2396" s="158" t="s">
        <v>20142</v>
      </c>
      <c r="B2396" s="159">
        <v>30</v>
      </c>
      <c r="C2396" s="159">
        <v>59</v>
      </c>
      <c r="D2396" s="159">
        <v>34</v>
      </c>
      <c r="E2396" s="159">
        <v>15</v>
      </c>
      <c r="F2396" s="131"/>
      <c r="G2396" s="132"/>
      <c r="H2396" s="162" t="s">
        <v>20143</v>
      </c>
      <c r="I2396" s="158" t="s">
        <v>20144</v>
      </c>
      <c r="J2396" s="128"/>
      <c r="K2396" s="128"/>
      <c r="L2396" s="128"/>
      <c r="M2396" s="129"/>
      <c r="N2396" s="129"/>
      <c r="O2396" s="129"/>
    </row>
    <row r="2397" spans="1:15" ht="12.5">
      <c r="A2397" s="158" t="s">
        <v>20145</v>
      </c>
      <c r="B2397" s="159">
        <v>30</v>
      </c>
      <c r="C2397" s="159">
        <v>59</v>
      </c>
      <c r="D2397" s="159">
        <v>34</v>
      </c>
      <c r="E2397" s="159">
        <v>16</v>
      </c>
      <c r="F2397" s="131"/>
      <c r="G2397" s="132"/>
      <c r="H2397" s="162" t="s">
        <v>20146</v>
      </c>
      <c r="I2397" s="158" t="s">
        <v>20147</v>
      </c>
      <c r="J2397" s="128"/>
      <c r="K2397" s="128"/>
      <c r="L2397" s="128"/>
      <c r="M2397" s="129"/>
      <c r="N2397" s="129"/>
      <c r="O2397" s="129"/>
    </row>
    <row r="2398" spans="1:15" ht="12.5">
      <c r="A2398" s="158" t="s">
        <v>20148</v>
      </c>
      <c r="B2398" s="159">
        <v>30</v>
      </c>
      <c r="C2398" s="159">
        <v>59</v>
      </c>
      <c r="D2398" s="159">
        <v>34</v>
      </c>
      <c r="E2398" s="159">
        <v>17</v>
      </c>
      <c r="F2398" s="131"/>
      <c r="G2398" s="132"/>
      <c r="H2398" s="162" t="s">
        <v>20149</v>
      </c>
      <c r="I2398" s="158" t="s">
        <v>20150</v>
      </c>
      <c r="J2398" s="128"/>
      <c r="K2398" s="128"/>
      <c r="L2398" s="128"/>
      <c r="M2398" s="129"/>
      <c r="N2398" s="129"/>
      <c r="O2398" s="129"/>
    </row>
    <row r="2399" spans="1:15" ht="12.5">
      <c r="A2399" s="158" t="s">
        <v>20151</v>
      </c>
      <c r="B2399" s="159">
        <v>30</v>
      </c>
      <c r="C2399" s="159">
        <v>59</v>
      </c>
      <c r="D2399" s="159">
        <v>34</v>
      </c>
      <c r="E2399" s="159">
        <v>18</v>
      </c>
      <c r="F2399" s="131"/>
      <c r="G2399" s="132"/>
      <c r="H2399" s="162" t="s">
        <v>20152</v>
      </c>
      <c r="I2399" s="158" t="s">
        <v>20153</v>
      </c>
      <c r="J2399" s="128"/>
      <c r="K2399" s="128"/>
      <c r="L2399" s="128"/>
      <c r="M2399" s="129"/>
      <c r="N2399" s="129"/>
      <c r="O2399" s="129"/>
    </row>
    <row r="2400" spans="1:15" ht="12.5">
      <c r="A2400" s="158" t="s">
        <v>20154</v>
      </c>
      <c r="B2400" s="159">
        <v>30</v>
      </c>
      <c r="C2400" s="159">
        <v>59</v>
      </c>
      <c r="D2400" s="159">
        <v>34</v>
      </c>
      <c r="E2400" s="159">
        <v>20</v>
      </c>
      <c r="F2400" s="131"/>
      <c r="G2400" s="132"/>
      <c r="H2400" s="162" t="s">
        <v>20155</v>
      </c>
      <c r="I2400" s="158" t="s">
        <v>20156</v>
      </c>
      <c r="J2400" s="128"/>
      <c r="K2400" s="128"/>
      <c r="L2400" s="128"/>
      <c r="M2400" s="129"/>
      <c r="N2400" s="129"/>
      <c r="O2400" s="129"/>
    </row>
    <row r="2401" spans="1:15" ht="12.5">
      <c r="A2401" s="158" t="s">
        <v>20157</v>
      </c>
      <c r="B2401" s="159">
        <v>30</v>
      </c>
      <c r="C2401" s="159">
        <v>59</v>
      </c>
      <c r="D2401" s="159">
        <v>34</v>
      </c>
      <c r="E2401" s="159">
        <v>30</v>
      </c>
      <c r="F2401" s="131"/>
      <c r="G2401" s="132"/>
      <c r="H2401" s="162" t="s">
        <v>20158</v>
      </c>
      <c r="I2401" s="128"/>
      <c r="J2401" s="128"/>
      <c r="K2401" s="128"/>
      <c r="L2401" s="128"/>
      <c r="M2401" s="129"/>
      <c r="N2401" s="129"/>
      <c r="O2401" s="129"/>
    </row>
    <row r="2402" spans="1:15" ht="12.5">
      <c r="A2402" s="158" t="s">
        <v>20159</v>
      </c>
      <c r="B2402" s="159">
        <v>30</v>
      </c>
      <c r="C2402" s="159">
        <v>59</v>
      </c>
      <c r="D2402" s="159">
        <v>34</v>
      </c>
      <c r="E2402" s="159">
        <v>35</v>
      </c>
      <c r="F2402" s="131"/>
      <c r="G2402" s="132"/>
      <c r="H2402" s="162" t="s">
        <v>20160</v>
      </c>
      <c r="I2402" s="158" t="s">
        <v>20161</v>
      </c>
      <c r="J2402" s="128"/>
      <c r="K2402" s="128"/>
      <c r="L2402" s="128"/>
      <c r="M2402" s="129"/>
      <c r="N2402" s="129"/>
      <c r="O2402" s="129"/>
    </row>
    <row r="2403" spans="1:15" ht="12.5">
      <c r="A2403" s="158" t="s">
        <v>20162</v>
      </c>
      <c r="B2403" s="159">
        <v>30</v>
      </c>
      <c r="C2403" s="159">
        <v>59</v>
      </c>
      <c r="D2403" s="159">
        <v>34</v>
      </c>
      <c r="E2403" s="159">
        <v>36</v>
      </c>
      <c r="F2403" s="131"/>
      <c r="G2403" s="132"/>
      <c r="H2403" s="162" t="s">
        <v>20163</v>
      </c>
      <c r="I2403" s="158" t="s">
        <v>20164</v>
      </c>
      <c r="J2403" s="128"/>
      <c r="K2403" s="128"/>
      <c r="L2403" s="128"/>
      <c r="M2403" s="129"/>
      <c r="N2403" s="129"/>
      <c r="O2403" s="129"/>
    </row>
    <row r="2404" spans="1:15" ht="12.5">
      <c r="A2404" s="158" t="s">
        <v>20165</v>
      </c>
      <c r="B2404" s="159">
        <v>30</v>
      </c>
      <c r="C2404" s="159">
        <v>59</v>
      </c>
      <c r="D2404" s="159">
        <v>34</v>
      </c>
      <c r="E2404" s="159">
        <v>37</v>
      </c>
      <c r="F2404" s="131"/>
      <c r="G2404" s="132"/>
      <c r="H2404" s="162" t="s">
        <v>20166</v>
      </c>
      <c r="I2404" s="158" t="s">
        <v>20167</v>
      </c>
      <c r="J2404" s="128"/>
      <c r="K2404" s="128"/>
      <c r="L2404" s="128"/>
      <c r="M2404" s="129"/>
      <c r="N2404" s="129"/>
      <c r="O2404" s="129"/>
    </row>
    <row r="2405" spans="1:15" ht="12.5">
      <c r="A2405" s="158" t="s">
        <v>20168</v>
      </c>
      <c r="B2405" s="159">
        <v>30</v>
      </c>
      <c r="C2405" s="159">
        <v>59</v>
      </c>
      <c r="D2405" s="159">
        <v>34</v>
      </c>
      <c r="E2405" s="159">
        <v>38</v>
      </c>
      <c r="F2405" s="131"/>
      <c r="G2405" s="132"/>
      <c r="H2405" s="162" t="s">
        <v>20169</v>
      </c>
      <c r="I2405" s="158" t="s">
        <v>20170</v>
      </c>
      <c r="J2405" s="128"/>
      <c r="K2405" s="128"/>
      <c r="L2405" s="128"/>
      <c r="M2405" s="129"/>
      <c r="N2405" s="129"/>
      <c r="O2405" s="129"/>
    </row>
    <row r="2406" spans="1:15" ht="12.5">
      <c r="A2406" s="158" t="s">
        <v>20171</v>
      </c>
      <c r="B2406" s="159">
        <v>30</v>
      </c>
      <c r="C2406" s="159">
        <v>59</v>
      </c>
      <c r="D2406" s="159">
        <v>34</v>
      </c>
      <c r="E2406" s="159">
        <v>39</v>
      </c>
      <c r="F2406" s="131"/>
      <c r="G2406" s="132"/>
      <c r="H2406" s="162" t="s">
        <v>20172</v>
      </c>
      <c r="I2406" s="158" t="s">
        <v>20173</v>
      </c>
      <c r="J2406" s="128"/>
      <c r="K2406" s="128"/>
      <c r="L2406" s="128"/>
      <c r="M2406" s="129"/>
      <c r="N2406" s="129"/>
      <c r="O2406" s="129"/>
    </row>
    <row r="2407" spans="1:15" ht="12.5">
      <c r="A2407" s="158" t="s">
        <v>20174</v>
      </c>
      <c r="B2407" s="159">
        <v>30</v>
      </c>
      <c r="C2407" s="159">
        <v>59</v>
      </c>
      <c r="D2407" s="159">
        <v>34</v>
      </c>
      <c r="E2407" s="159">
        <v>40</v>
      </c>
      <c r="F2407" s="131"/>
      <c r="G2407" s="132"/>
      <c r="H2407" s="162" t="s">
        <v>20175</v>
      </c>
      <c r="I2407" s="158" t="s">
        <v>20176</v>
      </c>
      <c r="J2407" s="128"/>
      <c r="K2407" s="128"/>
      <c r="L2407" s="128"/>
      <c r="M2407" s="129"/>
      <c r="N2407" s="129"/>
      <c r="O2407" s="129"/>
    </row>
    <row r="2408" spans="1:15" ht="12.5">
      <c r="A2408" s="158" t="s">
        <v>20177</v>
      </c>
      <c r="B2408" s="159">
        <v>30</v>
      </c>
      <c r="C2408" s="159">
        <v>59</v>
      </c>
      <c r="D2408" s="159">
        <v>34</v>
      </c>
      <c r="E2408" s="159">
        <v>41</v>
      </c>
      <c r="F2408" s="131"/>
      <c r="G2408" s="132"/>
      <c r="H2408" s="162" t="s">
        <v>20178</v>
      </c>
      <c r="I2408" s="158" t="s">
        <v>20179</v>
      </c>
      <c r="J2408" s="128"/>
      <c r="K2408" s="128"/>
      <c r="L2408" s="128"/>
      <c r="M2408" s="129"/>
      <c r="N2408" s="129"/>
      <c r="O2408" s="129"/>
    </row>
    <row r="2409" spans="1:15" ht="12.5">
      <c r="A2409" s="158" t="s">
        <v>20180</v>
      </c>
      <c r="B2409" s="159">
        <v>30</v>
      </c>
      <c r="C2409" s="159">
        <v>59</v>
      </c>
      <c r="D2409" s="159">
        <v>34</v>
      </c>
      <c r="E2409" s="159">
        <v>65</v>
      </c>
      <c r="F2409" s="131"/>
      <c r="G2409" s="132"/>
      <c r="H2409" s="162" t="s">
        <v>20181</v>
      </c>
      <c r="I2409" s="158" t="s">
        <v>20182</v>
      </c>
      <c r="J2409" s="128"/>
      <c r="K2409" s="128"/>
      <c r="L2409" s="128"/>
      <c r="M2409" s="129"/>
      <c r="N2409" s="129"/>
      <c r="O2409" s="129"/>
    </row>
    <row r="2410" spans="1:15" ht="12.5">
      <c r="A2410" s="158" t="s">
        <v>20183</v>
      </c>
      <c r="B2410" s="159">
        <v>30</v>
      </c>
      <c r="C2410" s="159">
        <v>59</v>
      </c>
      <c r="D2410" s="159">
        <v>34</v>
      </c>
      <c r="E2410" s="159">
        <v>78</v>
      </c>
      <c r="F2410" s="131"/>
      <c r="G2410" s="132"/>
      <c r="H2410" s="162" t="s">
        <v>20184</v>
      </c>
      <c r="I2410" s="158" t="s">
        <v>20185</v>
      </c>
      <c r="J2410" s="128"/>
      <c r="K2410" s="128"/>
      <c r="L2410" s="128"/>
      <c r="M2410" s="129"/>
      <c r="N2410" s="129"/>
      <c r="O2410" s="129"/>
    </row>
    <row r="2411" spans="1:15" ht="12.5">
      <c r="A2411" s="158" t="s">
        <v>20186</v>
      </c>
      <c r="B2411" s="159">
        <v>30</v>
      </c>
      <c r="C2411" s="159">
        <v>59</v>
      </c>
      <c r="D2411" s="159">
        <v>34</v>
      </c>
      <c r="E2411" s="159">
        <v>80</v>
      </c>
      <c r="F2411" s="131"/>
      <c r="G2411" s="132"/>
      <c r="H2411" s="162" t="s">
        <v>20187</v>
      </c>
      <c r="I2411" s="158" t="s">
        <v>20188</v>
      </c>
      <c r="J2411" s="128"/>
      <c r="K2411" s="128"/>
      <c r="L2411" s="128"/>
      <c r="M2411" s="129"/>
      <c r="N2411" s="129"/>
      <c r="O2411" s="129"/>
    </row>
    <row r="2412" spans="1:15" ht="12.5">
      <c r="A2412" s="158" t="s">
        <v>20189</v>
      </c>
      <c r="B2412" s="159">
        <v>30</v>
      </c>
      <c r="C2412" s="159">
        <v>59</v>
      </c>
      <c r="D2412" s="159">
        <v>34</v>
      </c>
      <c r="E2412" s="159">
        <v>88</v>
      </c>
      <c r="F2412" s="131"/>
      <c r="G2412" s="132"/>
      <c r="H2412" s="162" t="s">
        <v>20190</v>
      </c>
      <c r="I2412" s="158" t="s">
        <v>20191</v>
      </c>
      <c r="J2412" s="128"/>
      <c r="K2412" s="128"/>
      <c r="L2412" s="128"/>
      <c r="M2412" s="129"/>
      <c r="N2412" s="129"/>
      <c r="O2412" s="129"/>
    </row>
    <row r="2413" spans="1:15" ht="12.5">
      <c r="A2413" s="158" t="s">
        <v>20192</v>
      </c>
      <c r="B2413" s="159">
        <v>30</v>
      </c>
      <c r="C2413" s="159">
        <v>59</v>
      </c>
      <c r="D2413" s="159">
        <v>34</v>
      </c>
      <c r="E2413" s="159">
        <v>90</v>
      </c>
      <c r="F2413" s="131"/>
      <c r="G2413" s="132"/>
      <c r="H2413" s="162" t="s">
        <v>20193</v>
      </c>
      <c r="I2413" s="158" t="s">
        <v>20194</v>
      </c>
      <c r="J2413" s="128"/>
      <c r="K2413" s="128"/>
      <c r="L2413" s="128"/>
      <c r="M2413" s="129"/>
      <c r="N2413" s="129"/>
      <c r="O2413" s="129"/>
    </row>
    <row r="2414" spans="1:15" ht="12.5">
      <c r="A2414" s="158" t="s">
        <v>20195</v>
      </c>
      <c r="B2414" s="159">
        <v>30</v>
      </c>
      <c r="C2414" s="159">
        <v>59</v>
      </c>
      <c r="D2414" s="159">
        <v>34</v>
      </c>
      <c r="E2414" s="159">
        <v>98</v>
      </c>
      <c r="F2414" s="131"/>
      <c r="G2414" s="132"/>
      <c r="H2414" s="162" t="s">
        <v>20196</v>
      </c>
      <c r="I2414" s="158" t="s">
        <v>20197</v>
      </c>
      <c r="J2414" s="128"/>
      <c r="K2414" s="128"/>
      <c r="L2414" s="128"/>
      <c r="M2414" s="129"/>
      <c r="N2414" s="129"/>
      <c r="O2414" s="129"/>
    </row>
    <row r="2415" spans="1:15" ht="12.5">
      <c r="A2415" s="158" t="s">
        <v>20198</v>
      </c>
      <c r="B2415" s="159">
        <v>30</v>
      </c>
      <c r="C2415" s="159">
        <v>59</v>
      </c>
      <c r="D2415" s="159">
        <v>36</v>
      </c>
      <c r="E2415" s="130"/>
      <c r="F2415" s="131"/>
      <c r="G2415" s="132"/>
      <c r="H2415" s="162" t="s">
        <v>20199</v>
      </c>
      <c r="I2415" s="128"/>
      <c r="J2415" s="128"/>
      <c r="K2415" s="128"/>
      <c r="L2415" s="128"/>
      <c r="M2415" s="129"/>
      <c r="N2415" s="129"/>
      <c r="O2415" s="129"/>
    </row>
    <row r="2416" spans="1:15" ht="12.5">
      <c r="A2416" s="158" t="s">
        <v>20200</v>
      </c>
      <c r="B2416" s="159">
        <v>30</v>
      </c>
      <c r="C2416" s="159">
        <v>59</v>
      </c>
      <c r="D2416" s="159">
        <v>36</v>
      </c>
      <c r="E2416" s="159">
        <v>1</v>
      </c>
      <c r="F2416" s="131"/>
      <c r="G2416" s="132"/>
      <c r="H2416" s="162" t="s">
        <v>20201</v>
      </c>
      <c r="I2416" s="158" t="s">
        <v>20202</v>
      </c>
      <c r="J2416" s="128"/>
      <c r="K2416" s="128"/>
      <c r="L2416" s="128"/>
      <c r="M2416" s="129"/>
      <c r="N2416" s="129"/>
      <c r="O2416" s="129"/>
    </row>
    <row r="2417" spans="1:15" ht="12.5">
      <c r="A2417" s="158" t="s">
        <v>20203</v>
      </c>
      <c r="B2417" s="159">
        <v>30</v>
      </c>
      <c r="C2417" s="159">
        <v>59</v>
      </c>
      <c r="D2417" s="159">
        <v>36</v>
      </c>
      <c r="E2417" s="159">
        <v>2</v>
      </c>
      <c r="F2417" s="131"/>
      <c r="G2417" s="132"/>
      <c r="H2417" s="162" t="s">
        <v>20204</v>
      </c>
      <c r="I2417" s="158" t="s">
        <v>20205</v>
      </c>
      <c r="J2417" s="128"/>
      <c r="K2417" s="128"/>
      <c r="L2417" s="128"/>
      <c r="M2417" s="129"/>
      <c r="N2417" s="129"/>
      <c r="O2417" s="129"/>
    </row>
    <row r="2418" spans="1:15" ht="12.5">
      <c r="A2418" s="158" t="s">
        <v>20206</v>
      </c>
      <c r="B2418" s="159">
        <v>30</v>
      </c>
      <c r="C2418" s="159">
        <v>59</v>
      </c>
      <c r="D2418" s="159">
        <v>36</v>
      </c>
      <c r="E2418" s="159">
        <v>11</v>
      </c>
      <c r="F2418" s="131"/>
      <c r="G2418" s="132"/>
      <c r="H2418" s="162" t="s">
        <v>20207</v>
      </c>
      <c r="I2418" s="158" t="s">
        <v>20208</v>
      </c>
      <c r="J2418" s="128"/>
      <c r="K2418" s="128"/>
      <c r="L2418" s="128"/>
      <c r="M2418" s="129"/>
      <c r="N2418" s="129"/>
      <c r="O2418" s="129"/>
    </row>
    <row r="2419" spans="1:15" ht="12.5">
      <c r="A2419" s="158" t="s">
        <v>20209</v>
      </c>
      <c r="B2419" s="159">
        <v>30</v>
      </c>
      <c r="C2419" s="159">
        <v>59</v>
      </c>
      <c r="D2419" s="159">
        <v>36</v>
      </c>
      <c r="E2419" s="159">
        <v>30</v>
      </c>
      <c r="F2419" s="131"/>
      <c r="G2419" s="132"/>
      <c r="H2419" s="162" t="s">
        <v>20210</v>
      </c>
      <c r="I2419" s="158" t="s">
        <v>20211</v>
      </c>
      <c r="J2419" s="128"/>
      <c r="K2419" s="128"/>
      <c r="L2419" s="128"/>
      <c r="M2419" s="129"/>
      <c r="N2419" s="129"/>
      <c r="O2419" s="129"/>
    </row>
    <row r="2420" spans="1:15" ht="12.5">
      <c r="A2420" s="158" t="s">
        <v>20212</v>
      </c>
      <c r="B2420" s="159">
        <v>30</v>
      </c>
      <c r="C2420" s="159">
        <v>59</v>
      </c>
      <c r="D2420" s="159">
        <v>36</v>
      </c>
      <c r="E2420" s="159">
        <v>50</v>
      </c>
      <c r="F2420" s="131"/>
      <c r="G2420" s="132"/>
      <c r="H2420" s="162" t="s">
        <v>20213</v>
      </c>
      <c r="I2420" s="128"/>
      <c r="J2420" s="128"/>
      <c r="K2420" s="128"/>
      <c r="L2420" s="128"/>
      <c r="M2420" s="129"/>
      <c r="N2420" s="129"/>
      <c r="O2420" s="129"/>
    </row>
    <row r="2421" spans="1:15" ht="12.5">
      <c r="A2421" s="158" t="s">
        <v>20214</v>
      </c>
      <c r="B2421" s="159">
        <v>30</v>
      </c>
      <c r="C2421" s="159">
        <v>59</v>
      </c>
      <c r="D2421" s="159">
        <v>36</v>
      </c>
      <c r="E2421" s="159">
        <v>74</v>
      </c>
      <c r="F2421" s="131"/>
      <c r="G2421" s="132"/>
      <c r="H2421" s="162" t="s">
        <v>20215</v>
      </c>
      <c r="I2421" s="158" t="s">
        <v>20216</v>
      </c>
      <c r="J2421" s="128"/>
      <c r="K2421" s="128"/>
      <c r="L2421" s="128"/>
      <c r="M2421" s="129"/>
      <c r="N2421" s="129"/>
      <c r="O2421" s="129"/>
    </row>
    <row r="2422" spans="1:15" ht="12.5">
      <c r="A2422" s="158" t="s">
        <v>20217</v>
      </c>
      <c r="B2422" s="159">
        <v>30</v>
      </c>
      <c r="C2422" s="159">
        <v>59</v>
      </c>
      <c r="D2422" s="159">
        <v>36</v>
      </c>
      <c r="E2422" s="159">
        <v>76</v>
      </c>
      <c r="F2422" s="131"/>
      <c r="G2422" s="132"/>
      <c r="H2422" s="162" t="s">
        <v>20218</v>
      </c>
      <c r="I2422" s="158" t="s">
        <v>20219</v>
      </c>
      <c r="J2422" s="128"/>
      <c r="K2422" s="128"/>
      <c r="L2422" s="128"/>
      <c r="M2422" s="129"/>
      <c r="N2422" s="129"/>
      <c r="O2422" s="129"/>
    </row>
    <row r="2423" spans="1:15" ht="12.5">
      <c r="A2423" s="158" t="s">
        <v>20220</v>
      </c>
      <c r="B2423" s="159">
        <v>30</v>
      </c>
      <c r="C2423" s="159">
        <v>59</v>
      </c>
      <c r="D2423" s="159">
        <v>36</v>
      </c>
      <c r="E2423" s="159">
        <v>78</v>
      </c>
      <c r="F2423" s="131"/>
      <c r="G2423" s="132"/>
      <c r="H2423" s="162" t="s">
        <v>20221</v>
      </c>
      <c r="I2423" s="158" t="s">
        <v>20222</v>
      </c>
      <c r="J2423" s="128"/>
      <c r="K2423" s="128"/>
      <c r="L2423" s="128"/>
      <c r="M2423" s="129"/>
      <c r="N2423" s="129"/>
      <c r="O2423" s="129"/>
    </row>
    <row r="2424" spans="1:15" ht="12.5">
      <c r="A2424" s="158" t="s">
        <v>20223</v>
      </c>
      <c r="B2424" s="159">
        <v>30</v>
      </c>
      <c r="C2424" s="159">
        <v>59</v>
      </c>
      <c r="D2424" s="159">
        <v>36</v>
      </c>
      <c r="E2424" s="159">
        <v>80</v>
      </c>
      <c r="F2424" s="131"/>
      <c r="G2424" s="132"/>
      <c r="H2424" s="162" t="s">
        <v>20224</v>
      </c>
      <c r="I2424" s="158" t="s">
        <v>20225</v>
      </c>
      <c r="J2424" s="128"/>
      <c r="K2424" s="128"/>
      <c r="L2424" s="128"/>
      <c r="M2424" s="129"/>
      <c r="N2424" s="129"/>
      <c r="O2424" s="129"/>
    </row>
    <row r="2425" spans="1:15" ht="12.5">
      <c r="A2425" s="158" t="s">
        <v>20226</v>
      </c>
      <c r="B2425" s="159">
        <v>30</v>
      </c>
      <c r="C2425" s="159">
        <v>59</v>
      </c>
      <c r="D2425" s="159">
        <v>36</v>
      </c>
      <c r="E2425" s="159">
        <v>96</v>
      </c>
      <c r="F2425" s="131"/>
      <c r="G2425" s="132"/>
      <c r="H2425" s="162" t="s">
        <v>20227</v>
      </c>
      <c r="I2425" s="158" t="s">
        <v>20228</v>
      </c>
      <c r="J2425" s="128"/>
      <c r="K2425" s="128"/>
      <c r="L2425" s="128"/>
      <c r="M2425" s="129"/>
      <c r="N2425" s="129"/>
      <c r="O2425" s="129"/>
    </row>
    <row r="2426" spans="1:15" ht="12.5">
      <c r="A2426" s="158" t="s">
        <v>20229</v>
      </c>
      <c r="B2426" s="159">
        <v>30</v>
      </c>
      <c r="C2426" s="159">
        <v>59</v>
      </c>
      <c r="D2426" s="159">
        <v>46</v>
      </c>
      <c r="E2426" s="130"/>
      <c r="F2426" s="131"/>
      <c r="G2426" s="132"/>
      <c r="H2426" s="162" t="s">
        <v>20230</v>
      </c>
      <c r="I2426" s="128"/>
      <c r="J2426" s="128"/>
      <c r="K2426" s="128"/>
      <c r="L2426" s="128"/>
      <c r="M2426" s="129"/>
      <c r="N2426" s="129"/>
      <c r="O2426" s="129"/>
    </row>
    <row r="2427" spans="1:15" ht="12.5">
      <c r="A2427" s="158" t="s">
        <v>20231</v>
      </c>
      <c r="B2427" s="159">
        <v>30</v>
      </c>
      <c r="C2427" s="159">
        <v>59</v>
      </c>
      <c r="D2427" s="159">
        <v>46</v>
      </c>
      <c r="E2427" s="159">
        <v>46</v>
      </c>
      <c r="F2427" s="131"/>
      <c r="G2427" s="132"/>
      <c r="H2427" s="162" t="s">
        <v>20232</v>
      </c>
      <c r="I2427" s="158" t="s">
        <v>20233</v>
      </c>
      <c r="J2427" s="128"/>
      <c r="K2427" s="128"/>
      <c r="L2427" s="128"/>
      <c r="M2427" s="129"/>
      <c r="N2427" s="129"/>
      <c r="O2427" s="129"/>
    </row>
    <row r="2428" spans="1:15" ht="12.5">
      <c r="A2428" s="158" t="s">
        <v>20234</v>
      </c>
      <c r="B2428" s="159">
        <v>30</v>
      </c>
      <c r="C2428" s="159">
        <v>59</v>
      </c>
      <c r="D2428" s="159">
        <v>46</v>
      </c>
      <c r="E2428" s="159">
        <v>47</v>
      </c>
      <c r="F2428" s="131"/>
      <c r="G2428" s="132"/>
      <c r="H2428" s="162" t="s">
        <v>20235</v>
      </c>
      <c r="I2428" s="158" t="s">
        <v>20233</v>
      </c>
      <c r="J2428" s="128"/>
      <c r="K2428" s="128"/>
      <c r="L2428" s="128"/>
      <c r="M2428" s="129"/>
      <c r="N2428" s="129"/>
      <c r="O2428" s="129"/>
    </row>
    <row r="2429" spans="1:15" ht="12.5">
      <c r="A2429" s="158" t="s">
        <v>20236</v>
      </c>
      <c r="B2429" s="159">
        <v>30</v>
      </c>
      <c r="C2429" s="159">
        <v>59</v>
      </c>
      <c r="D2429" s="159">
        <v>46</v>
      </c>
      <c r="E2429" s="159">
        <v>48</v>
      </c>
      <c r="F2429" s="131"/>
      <c r="G2429" s="132"/>
      <c r="H2429" s="162" t="s">
        <v>20237</v>
      </c>
      <c r="I2429" s="158" t="s">
        <v>20233</v>
      </c>
      <c r="J2429" s="128"/>
      <c r="K2429" s="128"/>
      <c r="L2429" s="128"/>
      <c r="M2429" s="129"/>
      <c r="N2429" s="129"/>
      <c r="O2429" s="129"/>
    </row>
    <row r="2430" spans="1:15" ht="12.5">
      <c r="A2430" s="158" t="s">
        <v>20238</v>
      </c>
      <c r="B2430" s="159">
        <v>30</v>
      </c>
      <c r="C2430" s="159">
        <v>59</v>
      </c>
      <c r="D2430" s="159">
        <v>46</v>
      </c>
      <c r="E2430" s="159">
        <v>49</v>
      </c>
      <c r="F2430" s="131"/>
      <c r="G2430" s="132"/>
      <c r="H2430" s="162" t="s">
        <v>20239</v>
      </c>
      <c r="I2430" s="128"/>
      <c r="J2430" s="128"/>
      <c r="K2430" s="128"/>
      <c r="L2430" s="128"/>
      <c r="M2430" s="129"/>
      <c r="N2430" s="129"/>
      <c r="O2430" s="129"/>
    </row>
    <row r="2431" spans="1:15" ht="12.5">
      <c r="A2431" s="158" t="s">
        <v>20240</v>
      </c>
      <c r="B2431" s="159">
        <v>30</v>
      </c>
      <c r="C2431" s="159">
        <v>59</v>
      </c>
      <c r="D2431" s="159">
        <v>46</v>
      </c>
      <c r="E2431" s="159">
        <v>63</v>
      </c>
      <c r="F2431" s="131"/>
      <c r="G2431" s="132"/>
      <c r="H2431" s="162" t="s">
        <v>20241</v>
      </c>
      <c r="I2431" s="128"/>
      <c r="J2431" s="128"/>
      <c r="K2431" s="128"/>
      <c r="L2431" s="128"/>
      <c r="M2431" s="129"/>
      <c r="N2431" s="129"/>
      <c r="O2431" s="129"/>
    </row>
    <row r="2432" spans="1:15" ht="12.5">
      <c r="A2432" s="158" t="s">
        <v>20242</v>
      </c>
      <c r="B2432" s="159">
        <v>30</v>
      </c>
      <c r="C2432" s="159">
        <v>59</v>
      </c>
      <c r="D2432" s="159">
        <v>48</v>
      </c>
      <c r="E2432" s="130"/>
      <c r="F2432" s="131"/>
      <c r="G2432" s="132"/>
      <c r="H2432" s="162" t="s">
        <v>20243</v>
      </c>
      <c r="I2432" s="128"/>
      <c r="J2432" s="128"/>
      <c r="K2432" s="128"/>
      <c r="L2432" s="128"/>
      <c r="M2432" s="129"/>
      <c r="N2432" s="129"/>
      <c r="O2432" s="129"/>
    </row>
    <row r="2433" spans="1:15" ht="12.5">
      <c r="A2433" s="158" t="s">
        <v>20244</v>
      </c>
      <c r="B2433" s="159">
        <v>30</v>
      </c>
      <c r="C2433" s="159">
        <v>59</v>
      </c>
      <c r="D2433" s="159">
        <v>48</v>
      </c>
      <c r="E2433" s="159">
        <v>2</v>
      </c>
      <c r="F2433" s="131"/>
      <c r="G2433" s="132"/>
      <c r="H2433" s="162" t="s">
        <v>20245</v>
      </c>
      <c r="I2433" s="158" t="s">
        <v>20246</v>
      </c>
      <c r="J2433" s="128"/>
      <c r="K2433" s="128"/>
      <c r="L2433" s="128"/>
      <c r="M2433" s="129"/>
      <c r="N2433" s="129"/>
      <c r="O2433" s="129"/>
    </row>
    <row r="2434" spans="1:15" ht="12.5">
      <c r="A2434" s="158" t="s">
        <v>20247</v>
      </c>
      <c r="B2434" s="159">
        <v>30</v>
      </c>
      <c r="C2434" s="159">
        <v>59</v>
      </c>
      <c r="D2434" s="159">
        <v>48</v>
      </c>
      <c r="E2434" s="159">
        <v>3</v>
      </c>
      <c r="F2434" s="131"/>
      <c r="G2434" s="132"/>
      <c r="H2434" s="162" t="s">
        <v>20248</v>
      </c>
      <c r="I2434" s="158" t="s">
        <v>20249</v>
      </c>
      <c r="J2434" s="128"/>
      <c r="K2434" s="128"/>
      <c r="L2434" s="128"/>
      <c r="M2434" s="129"/>
      <c r="N2434" s="129"/>
      <c r="O2434" s="129"/>
    </row>
    <row r="2435" spans="1:15" ht="12.5">
      <c r="A2435" s="158" t="s">
        <v>20250</v>
      </c>
      <c r="B2435" s="159">
        <v>30</v>
      </c>
      <c r="C2435" s="159">
        <v>59</v>
      </c>
      <c r="D2435" s="159">
        <v>48</v>
      </c>
      <c r="E2435" s="159">
        <v>4</v>
      </c>
      <c r="F2435" s="131"/>
      <c r="G2435" s="132"/>
      <c r="H2435" s="162" t="s">
        <v>20251</v>
      </c>
      <c r="I2435" s="158" t="s">
        <v>20252</v>
      </c>
      <c r="J2435" s="128"/>
      <c r="K2435" s="128"/>
      <c r="L2435" s="128"/>
      <c r="M2435" s="129"/>
      <c r="N2435" s="129"/>
      <c r="O2435" s="129"/>
    </row>
    <row r="2436" spans="1:15" ht="12.5">
      <c r="A2436" s="158" t="s">
        <v>20253</v>
      </c>
      <c r="B2436" s="159">
        <v>30</v>
      </c>
      <c r="C2436" s="159">
        <v>59</v>
      </c>
      <c r="D2436" s="159">
        <v>48</v>
      </c>
      <c r="E2436" s="159">
        <v>11</v>
      </c>
      <c r="F2436" s="131"/>
      <c r="G2436" s="132"/>
      <c r="H2436" s="162" t="s">
        <v>20254</v>
      </c>
      <c r="I2436" s="158" t="s">
        <v>20255</v>
      </c>
      <c r="J2436" s="128"/>
      <c r="K2436" s="128"/>
      <c r="L2436" s="128"/>
      <c r="M2436" s="129"/>
      <c r="N2436" s="129"/>
      <c r="O2436" s="129"/>
    </row>
    <row r="2437" spans="1:15" ht="12.5">
      <c r="A2437" s="158" t="s">
        <v>20256</v>
      </c>
      <c r="B2437" s="159">
        <v>30</v>
      </c>
      <c r="C2437" s="159">
        <v>59</v>
      </c>
      <c r="D2437" s="159">
        <v>48</v>
      </c>
      <c r="E2437" s="159">
        <v>12</v>
      </c>
      <c r="F2437" s="131"/>
      <c r="G2437" s="132"/>
      <c r="H2437" s="162" t="s">
        <v>20257</v>
      </c>
      <c r="I2437" s="158" t="s">
        <v>20258</v>
      </c>
      <c r="J2437" s="128"/>
      <c r="K2437" s="128"/>
      <c r="L2437" s="128"/>
      <c r="M2437" s="129"/>
      <c r="N2437" s="129"/>
      <c r="O2437" s="129"/>
    </row>
    <row r="2438" spans="1:15" ht="12.5">
      <c r="A2438" s="158" t="s">
        <v>20259</v>
      </c>
      <c r="B2438" s="159">
        <v>30</v>
      </c>
      <c r="C2438" s="159">
        <v>59</v>
      </c>
      <c r="D2438" s="159">
        <v>48</v>
      </c>
      <c r="E2438" s="159">
        <v>13</v>
      </c>
      <c r="F2438" s="131"/>
      <c r="G2438" s="132"/>
      <c r="H2438" s="162" t="s">
        <v>20260</v>
      </c>
      <c r="I2438" s="158" t="s">
        <v>20261</v>
      </c>
      <c r="J2438" s="128"/>
      <c r="K2438" s="128"/>
      <c r="L2438" s="128"/>
      <c r="M2438" s="129"/>
      <c r="N2438" s="129"/>
      <c r="O2438" s="129"/>
    </row>
    <row r="2439" spans="1:15" ht="12.5">
      <c r="A2439" s="158" t="s">
        <v>20262</v>
      </c>
      <c r="B2439" s="159">
        <v>30</v>
      </c>
      <c r="C2439" s="159">
        <v>59</v>
      </c>
      <c r="D2439" s="159">
        <v>48</v>
      </c>
      <c r="E2439" s="159">
        <v>34</v>
      </c>
      <c r="F2439" s="131"/>
      <c r="G2439" s="132"/>
      <c r="H2439" s="162" t="s">
        <v>20263</v>
      </c>
      <c r="I2439" s="158" t="s">
        <v>20264</v>
      </c>
      <c r="J2439" s="128"/>
      <c r="K2439" s="128"/>
      <c r="L2439" s="128"/>
      <c r="M2439" s="129"/>
      <c r="N2439" s="129"/>
      <c r="O2439" s="129"/>
    </row>
    <row r="2440" spans="1:15" ht="12.5">
      <c r="A2440" s="158" t="s">
        <v>20265</v>
      </c>
      <c r="B2440" s="159">
        <v>30</v>
      </c>
      <c r="C2440" s="159">
        <v>59</v>
      </c>
      <c r="D2440" s="159">
        <v>48</v>
      </c>
      <c r="E2440" s="159">
        <v>52</v>
      </c>
      <c r="F2440" s="131"/>
      <c r="G2440" s="132"/>
      <c r="H2440" s="162" t="s">
        <v>20266</v>
      </c>
      <c r="I2440" s="128"/>
      <c r="J2440" s="128"/>
      <c r="K2440" s="128"/>
      <c r="L2440" s="128"/>
      <c r="M2440" s="129"/>
      <c r="N2440" s="129"/>
      <c r="O2440" s="129"/>
    </row>
    <row r="2441" spans="1:15" ht="12.5">
      <c r="A2441" s="158" t="s">
        <v>20267</v>
      </c>
      <c r="B2441" s="159">
        <v>30</v>
      </c>
      <c r="C2441" s="159">
        <v>59</v>
      </c>
      <c r="D2441" s="159">
        <v>48</v>
      </c>
      <c r="E2441" s="159">
        <v>65</v>
      </c>
      <c r="F2441" s="131"/>
      <c r="G2441" s="132"/>
      <c r="H2441" s="162" t="s">
        <v>20268</v>
      </c>
      <c r="I2441" s="158" t="s">
        <v>20269</v>
      </c>
      <c r="J2441" s="128"/>
      <c r="K2441" s="128"/>
      <c r="L2441" s="128"/>
      <c r="M2441" s="129"/>
      <c r="N2441" s="129"/>
      <c r="O2441" s="129"/>
    </row>
    <row r="2442" spans="1:15" ht="12.5">
      <c r="A2442" s="158" t="s">
        <v>20270</v>
      </c>
      <c r="B2442" s="159">
        <v>30</v>
      </c>
      <c r="C2442" s="159">
        <v>59</v>
      </c>
      <c r="D2442" s="159">
        <v>48</v>
      </c>
      <c r="E2442" s="159">
        <v>77</v>
      </c>
      <c r="F2442" s="131"/>
      <c r="G2442" s="132"/>
      <c r="H2442" s="162" t="s">
        <v>20271</v>
      </c>
      <c r="I2442" s="158" t="s">
        <v>20272</v>
      </c>
      <c r="J2442" s="128"/>
      <c r="K2442" s="128"/>
      <c r="L2442" s="128"/>
      <c r="M2442" s="129"/>
      <c r="N2442" s="129"/>
      <c r="O2442" s="129"/>
    </row>
    <row r="2443" spans="1:15" ht="12.5">
      <c r="A2443" s="158" t="s">
        <v>20273</v>
      </c>
      <c r="B2443" s="159">
        <v>30</v>
      </c>
      <c r="C2443" s="159">
        <v>59</v>
      </c>
      <c r="D2443" s="159">
        <v>48</v>
      </c>
      <c r="E2443" s="159">
        <v>78</v>
      </c>
      <c r="F2443" s="131"/>
      <c r="G2443" s="132"/>
      <c r="H2443" s="162" t="s">
        <v>20274</v>
      </c>
      <c r="I2443" s="158" t="s">
        <v>20275</v>
      </c>
      <c r="J2443" s="128"/>
      <c r="K2443" s="128"/>
      <c r="L2443" s="128"/>
      <c r="M2443" s="129"/>
      <c r="N2443" s="129"/>
      <c r="O2443" s="129"/>
    </row>
    <row r="2444" spans="1:15" ht="12.5">
      <c r="A2444" s="158" t="s">
        <v>20276</v>
      </c>
      <c r="B2444" s="159">
        <v>30</v>
      </c>
      <c r="C2444" s="159">
        <v>59</v>
      </c>
      <c r="D2444" s="159">
        <v>48</v>
      </c>
      <c r="E2444" s="159">
        <v>83</v>
      </c>
      <c r="F2444" s="131"/>
      <c r="G2444" s="132"/>
      <c r="H2444" s="162" t="s">
        <v>20277</v>
      </c>
      <c r="I2444" s="158" t="s">
        <v>20278</v>
      </c>
      <c r="J2444" s="128"/>
      <c r="K2444" s="128"/>
      <c r="L2444" s="128"/>
      <c r="M2444" s="129"/>
      <c r="N2444" s="129"/>
      <c r="O2444" s="129"/>
    </row>
    <row r="2445" spans="1:15" ht="12.5">
      <c r="A2445" s="158" t="s">
        <v>20279</v>
      </c>
      <c r="B2445" s="159">
        <v>30</v>
      </c>
      <c r="C2445" s="159">
        <v>59</v>
      </c>
      <c r="D2445" s="159">
        <v>48</v>
      </c>
      <c r="E2445" s="159">
        <v>84</v>
      </c>
      <c r="F2445" s="131"/>
      <c r="G2445" s="132"/>
      <c r="H2445" s="162" t="s">
        <v>20280</v>
      </c>
      <c r="I2445" s="158" t="s">
        <v>20281</v>
      </c>
      <c r="J2445" s="128"/>
      <c r="K2445" s="128"/>
      <c r="L2445" s="128"/>
      <c r="M2445" s="129"/>
      <c r="N2445" s="129"/>
      <c r="O2445" s="129"/>
    </row>
    <row r="2446" spans="1:15" ht="12.5">
      <c r="A2446" s="158" t="s">
        <v>20282</v>
      </c>
      <c r="B2446" s="159">
        <v>30</v>
      </c>
      <c r="C2446" s="159">
        <v>59</v>
      </c>
      <c r="D2446" s="159">
        <v>48</v>
      </c>
      <c r="E2446" s="159">
        <v>85</v>
      </c>
      <c r="F2446" s="131"/>
      <c r="G2446" s="132"/>
      <c r="H2446" s="162" t="s">
        <v>20283</v>
      </c>
      <c r="I2446" s="158" t="s">
        <v>20284</v>
      </c>
      <c r="J2446" s="128"/>
      <c r="K2446" s="128"/>
      <c r="L2446" s="128"/>
      <c r="M2446" s="129"/>
      <c r="N2446" s="129"/>
      <c r="O2446" s="129"/>
    </row>
    <row r="2447" spans="1:15" ht="12.5">
      <c r="A2447" s="158" t="s">
        <v>20285</v>
      </c>
      <c r="B2447" s="159">
        <v>30</v>
      </c>
      <c r="C2447" s="159">
        <v>59</v>
      </c>
      <c r="D2447" s="159">
        <v>48</v>
      </c>
      <c r="E2447" s="159">
        <v>96</v>
      </c>
      <c r="F2447" s="131"/>
      <c r="G2447" s="132"/>
      <c r="H2447" s="162" t="s">
        <v>20286</v>
      </c>
      <c r="I2447" s="158" t="s">
        <v>20287</v>
      </c>
      <c r="J2447" s="128"/>
      <c r="K2447" s="128"/>
      <c r="L2447" s="128"/>
      <c r="M2447" s="129"/>
      <c r="N2447" s="129"/>
      <c r="O2447" s="129"/>
    </row>
    <row r="2448" spans="1:15" ht="12.5">
      <c r="A2448" s="158" t="s">
        <v>20288</v>
      </c>
      <c r="B2448" s="159">
        <v>30</v>
      </c>
      <c r="C2448" s="159">
        <v>59</v>
      </c>
      <c r="D2448" s="159">
        <v>48</v>
      </c>
      <c r="E2448" s="159">
        <v>97</v>
      </c>
      <c r="F2448" s="131"/>
      <c r="G2448" s="132"/>
      <c r="H2448" s="162" t="s">
        <v>20289</v>
      </c>
      <c r="I2448" s="158" t="s">
        <v>20290</v>
      </c>
      <c r="J2448" s="128"/>
      <c r="K2448" s="128"/>
      <c r="L2448" s="128"/>
      <c r="M2448" s="129"/>
      <c r="N2448" s="129"/>
      <c r="O2448" s="129"/>
    </row>
    <row r="2449" spans="1:15" ht="12.5">
      <c r="A2449" s="158" t="s">
        <v>20291</v>
      </c>
      <c r="B2449" s="159">
        <v>30</v>
      </c>
      <c r="C2449" s="159">
        <v>59</v>
      </c>
      <c r="D2449" s="159">
        <v>48</v>
      </c>
      <c r="E2449" s="159">
        <v>98</v>
      </c>
      <c r="F2449" s="131"/>
      <c r="G2449" s="132"/>
      <c r="H2449" s="162" t="s">
        <v>20292</v>
      </c>
      <c r="I2449" s="158" t="s">
        <v>20293</v>
      </c>
      <c r="J2449" s="128"/>
      <c r="K2449" s="128"/>
      <c r="L2449" s="128"/>
      <c r="M2449" s="129"/>
      <c r="N2449" s="129"/>
      <c r="O2449" s="129"/>
    </row>
    <row r="2450" spans="1:15" ht="12.5">
      <c r="A2450" s="158" t="s">
        <v>20294</v>
      </c>
      <c r="B2450" s="159">
        <v>30</v>
      </c>
      <c r="C2450" s="159">
        <v>59</v>
      </c>
      <c r="D2450" s="159">
        <v>57</v>
      </c>
      <c r="E2450" s="130"/>
      <c r="F2450" s="131"/>
      <c r="G2450" s="132"/>
      <c r="H2450" s="162" t="s">
        <v>20295</v>
      </c>
      <c r="I2450" s="128"/>
      <c r="J2450" s="128"/>
      <c r="K2450" s="128"/>
      <c r="L2450" s="128"/>
      <c r="M2450" s="129"/>
      <c r="N2450" s="129"/>
      <c r="O2450" s="129"/>
    </row>
    <row r="2451" spans="1:15" ht="12.5">
      <c r="A2451" s="158" t="s">
        <v>20296</v>
      </c>
      <c r="B2451" s="159">
        <v>30</v>
      </c>
      <c r="C2451" s="159">
        <v>59</v>
      </c>
      <c r="D2451" s="159">
        <v>57</v>
      </c>
      <c r="E2451" s="159">
        <v>4</v>
      </c>
      <c r="F2451" s="131"/>
      <c r="G2451" s="132"/>
      <c r="H2451" s="162" t="s">
        <v>20297</v>
      </c>
      <c r="I2451" s="158" t="s">
        <v>20298</v>
      </c>
      <c r="J2451" s="128"/>
      <c r="K2451" s="128"/>
      <c r="L2451" s="128"/>
      <c r="M2451" s="129"/>
      <c r="N2451" s="129"/>
      <c r="O2451" s="129"/>
    </row>
    <row r="2452" spans="1:15" ht="12.5">
      <c r="A2452" s="158" t="s">
        <v>20299</v>
      </c>
      <c r="B2452" s="159">
        <v>30</v>
      </c>
      <c r="C2452" s="159">
        <v>59</v>
      </c>
      <c r="D2452" s="159">
        <v>57</v>
      </c>
      <c r="E2452" s="159">
        <v>7</v>
      </c>
      <c r="F2452" s="131"/>
      <c r="G2452" s="132"/>
      <c r="H2452" s="162" t="s">
        <v>20300</v>
      </c>
      <c r="I2452" s="158" t="s">
        <v>20301</v>
      </c>
      <c r="J2452" s="128"/>
      <c r="K2452" s="128"/>
      <c r="L2452" s="128"/>
      <c r="M2452" s="129"/>
      <c r="N2452" s="129"/>
      <c r="O2452" s="129"/>
    </row>
    <row r="2453" spans="1:15" ht="12.5">
      <c r="A2453" s="158" t="s">
        <v>20302</v>
      </c>
      <c r="B2453" s="159">
        <v>30</v>
      </c>
      <c r="C2453" s="159">
        <v>59</v>
      </c>
      <c r="D2453" s="159">
        <v>57</v>
      </c>
      <c r="E2453" s="159">
        <v>8</v>
      </c>
      <c r="F2453" s="131"/>
      <c r="G2453" s="132"/>
      <c r="H2453" s="162" t="s">
        <v>20303</v>
      </c>
      <c r="I2453" s="158" t="s">
        <v>20304</v>
      </c>
      <c r="J2453" s="128"/>
      <c r="K2453" s="128"/>
      <c r="L2453" s="128"/>
      <c r="M2453" s="129"/>
      <c r="N2453" s="129"/>
      <c r="O2453" s="129"/>
    </row>
    <row r="2454" spans="1:15" ht="12.5">
      <c r="A2454" s="158" t="s">
        <v>20305</v>
      </c>
      <c r="B2454" s="159">
        <v>30</v>
      </c>
      <c r="C2454" s="159">
        <v>59</v>
      </c>
      <c r="D2454" s="159">
        <v>57</v>
      </c>
      <c r="E2454" s="159">
        <v>28</v>
      </c>
      <c r="F2454" s="131"/>
      <c r="G2454" s="132"/>
      <c r="H2454" s="162" t="s">
        <v>20306</v>
      </c>
      <c r="I2454" s="128"/>
      <c r="J2454" s="128"/>
      <c r="K2454" s="128"/>
      <c r="L2454" s="128"/>
      <c r="M2454" s="129"/>
      <c r="N2454" s="129"/>
      <c r="O2454" s="129"/>
    </row>
    <row r="2455" spans="1:15" ht="12.5">
      <c r="A2455" s="158" t="s">
        <v>20307</v>
      </c>
      <c r="B2455" s="159">
        <v>30</v>
      </c>
      <c r="C2455" s="159">
        <v>59</v>
      </c>
      <c r="D2455" s="159">
        <v>57</v>
      </c>
      <c r="E2455" s="159">
        <v>29</v>
      </c>
      <c r="F2455" s="131"/>
      <c r="G2455" s="132"/>
      <c r="H2455" s="162" t="s">
        <v>20308</v>
      </c>
      <c r="I2455" s="128"/>
      <c r="J2455" s="128"/>
      <c r="K2455" s="128"/>
      <c r="L2455" s="128"/>
      <c r="M2455" s="129"/>
      <c r="N2455" s="129"/>
      <c r="O2455" s="129"/>
    </row>
    <row r="2456" spans="1:15" ht="12.5">
      <c r="A2456" s="158" t="s">
        <v>20309</v>
      </c>
      <c r="B2456" s="159">
        <v>30</v>
      </c>
      <c r="C2456" s="159">
        <v>59</v>
      </c>
      <c r="D2456" s="159">
        <v>57</v>
      </c>
      <c r="E2456" s="159">
        <v>40</v>
      </c>
      <c r="F2456" s="131"/>
      <c r="G2456" s="132"/>
      <c r="H2456" s="162" t="s">
        <v>20310</v>
      </c>
      <c r="I2456" s="158" t="s">
        <v>20311</v>
      </c>
      <c r="J2456" s="128"/>
      <c r="K2456" s="128"/>
      <c r="L2456" s="128"/>
      <c r="M2456" s="129"/>
      <c r="N2456" s="129"/>
      <c r="O2456" s="129"/>
    </row>
    <row r="2457" spans="1:15" ht="12.5">
      <c r="A2457" s="158" t="s">
        <v>20312</v>
      </c>
      <c r="B2457" s="159">
        <v>30</v>
      </c>
      <c r="C2457" s="159">
        <v>59</v>
      </c>
      <c r="D2457" s="159">
        <v>57</v>
      </c>
      <c r="E2457" s="159">
        <v>41</v>
      </c>
      <c r="F2457" s="131"/>
      <c r="G2457" s="132"/>
      <c r="H2457" s="162" t="s">
        <v>20313</v>
      </c>
      <c r="I2457" s="158" t="s">
        <v>20314</v>
      </c>
      <c r="J2457" s="128"/>
      <c r="K2457" s="128"/>
      <c r="L2457" s="128"/>
      <c r="M2457" s="129"/>
      <c r="N2457" s="129"/>
      <c r="O2457" s="129"/>
    </row>
    <row r="2458" spans="1:15" ht="12.5">
      <c r="A2458" s="158" t="s">
        <v>20315</v>
      </c>
      <c r="B2458" s="159">
        <v>30</v>
      </c>
      <c r="C2458" s="159">
        <v>59</v>
      </c>
      <c r="D2458" s="159">
        <v>57</v>
      </c>
      <c r="E2458" s="159">
        <v>58</v>
      </c>
      <c r="F2458" s="131"/>
      <c r="G2458" s="132"/>
      <c r="H2458" s="162" t="s">
        <v>20316</v>
      </c>
      <c r="I2458" s="158" t="s">
        <v>20317</v>
      </c>
      <c r="J2458" s="128"/>
      <c r="K2458" s="128"/>
      <c r="L2458" s="128"/>
      <c r="M2458" s="129"/>
      <c r="N2458" s="129"/>
      <c r="O2458" s="129"/>
    </row>
    <row r="2459" spans="1:15" ht="12.5">
      <c r="A2459" s="158" t="s">
        <v>20318</v>
      </c>
      <c r="B2459" s="159">
        <v>30</v>
      </c>
      <c r="C2459" s="159">
        <v>59</v>
      </c>
      <c r="D2459" s="159">
        <v>57</v>
      </c>
      <c r="E2459" s="159">
        <v>76</v>
      </c>
      <c r="F2459" s="131"/>
      <c r="G2459" s="132"/>
      <c r="H2459" s="162" t="s">
        <v>20319</v>
      </c>
      <c r="I2459" s="128"/>
      <c r="J2459" s="128"/>
      <c r="K2459" s="128"/>
      <c r="L2459" s="128"/>
      <c r="M2459" s="129"/>
      <c r="N2459" s="129"/>
      <c r="O2459" s="129"/>
    </row>
    <row r="2460" spans="1:15" ht="12.5">
      <c r="A2460" s="158" t="s">
        <v>20320</v>
      </c>
      <c r="B2460" s="159">
        <v>30</v>
      </c>
      <c r="C2460" s="159">
        <v>59</v>
      </c>
      <c r="D2460" s="159">
        <v>57</v>
      </c>
      <c r="E2460" s="159">
        <v>77</v>
      </c>
      <c r="F2460" s="131"/>
      <c r="G2460" s="132"/>
      <c r="H2460" s="162" t="s">
        <v>20321</v>
      </c>
      <c r="I2460" s="158" t="s">
        <v>20322</v>
      </c>
      <c r="J2460" s="128"/>
      <c r="K2460" s="128"/>
      <c r="L2460" s="128"/>
      <c r="M2460" s="129"/>
      <c r="N2460" s="129"/>
      <c r="O2460" s="129"/>
    </row>
    <row r="2461" spans="1:15" ht="12.5">
      <c r="A2461" s="158" t="s">
        <v>20323</v>
      </c>
      <c r="B2461" s="159">
        <v>30</v>
      </c>
      <c r="C2461" s="159">
        <v>59</v>
      </c>
      <c r="D2461" s="159">
        <v>58</v>
      </c>
      <c r="E2461" s="130"/>
      <c r="F2461" s="131"/>
      <c r="G2461" s="132"/>
      <c r="H2461" s="162" t="s">
        <v>20324</v>
      </c>
      <c r="I2461" s="128"/>
      <c r="J2461" s="128"/>
      <c r="K2461" s="128"/>
      <c r="L2461" s="128"/>
      <c r="M2461" s="129"/>
      <c r="N2461" s="129"/>
      <c r="O2461" s="129"/>
    </row>
    <row r="2462" spans="1:15" ht="12.5">
      <c r="A2462" s="158" t="s">
        <v>20325</v>
      </c>
      <c r="B2462" s="159">
        <v>30</v>
      </c>
      <c r="C2462" s="159">
        <v>59</v>
      </c>
      <c r="D2462" s="159">
        <v>58</v>
      </c>
      <c r="E2462" s="159">
        <v>50</v>
      </c>
      <c r="F2462" s="131"/>
      <c r="G2462" s="132"/>
      <c r="H2462" s="162" t="s">
        <v>20326</v>
      </c>
      <c r="I2462" s="158" t="s">
        <v>20327</v>
      </c>
      <c r="J2462" s="128"/>
      <c r="K2462" s="128"/>
      <c r="L2462" s="128"/>
      <c r="M2462" s="129"/>
      <c r="N2462" s="129"/>
      <c r="O2462" s="129"/>
    </row>
    <row r="2463" spans="1:15" ht="12.5">
      <c r="A2463" s="158" t="s">
        <v>20328</v>
      </c>
      <c r="B2463" s="159">
        <v>30</v>
      </c>
      <c r="C2463" s="159">
        <v>59</v>
      </c>
      <c r="D2463" s="159">
        <v>58</v>
      </c>
      <c r="E2463" s="159">
        <v>88</v>
      </c>
      <c r="F2463" s="131"/>
      <c r="G2463" s="132"/>
      <c r="H2463" s="162" t="s">
        <v>20329</v>
      </c>
      <c r="I2463" s="158" t="s">
        <v>20330</v>
      </c>
      <c r="J2463" s="128"/>
      <c r="K2463" s="128"/>
      <c r="L2463" s="128"/>
      <c r="M2463" s="129"/>
      <c r="N2463" s="129"/>
      <c r="O2463" s="129"/>
    </row>
    <row r="2464" spans="1:15" ht="12.5">
      <c r="A2464" s="158" t="s">
        <v>20331</v>
      </c>
      <c r="B2464" s="159">
        <v>30</v>
      </c>
      <c r="C2464" s="159">
        <v>59</v>
      </c>
      <c r="D2464" s="159">
        <v>59</v>
      </c>
      <c r="E2464" s="130"/>
      <c r="F2464" s="131"/>
      <c r="G2464" s="132"/>
      <c r="H2464" s="162" t="s">
        <v>20332</v>
      </c>
      <c r="I2464" s="128"/>
      <c r="J2464" s="128"/>
      <c r="K2464" s="128"/>
      <c r="L2464" s="128"/>
      <c r="M2464" s="129"/>
      <c r="N2464" s="129"/>
      <c r="O2464" s="129"/>
    </row>
    <row r="2465" spans="1:15" ht="12.5">
      <c r="A2465" s="158" t="s">
        <v>20333</v>
      </c>
      <c r="B2465" s="159">
        <v>30</v>
      </c>
      <c r="C2465" s="159">
        <v>59</v>
      </c>
      <c r="D2465" s="159">
        <v>59</v>
      </c>
      <c r="E2465" s="159">
        <v>11</v>
      </c>
      <c r="F2465" s="131"/>
      <c r="G2465" s="132"/>
      <c r="H2465" s="162" t="s">
        <v>20334</v>
      </c>
      <c r="I2465" s="158" t="s">
        <v>20335</v>
      </c>
      <c r="J2465" s="128"/>
      <c r="K2465" s="128"/>
      <c r="L2465" s="128"/>
      <c r="M2465" s="129"/>
      <c r="N2465" s="129"/>
      <c r="O2465" s="129"/>
    </row>
    <row r="2466" spans="1:15" ht="12.5">
      <c r="A2466" s="158" t="s">
        <v>20336</v>
      </c>
      <c r="B2466" s="159">
        <v>30</v>
      </c>
      <c r="C2466" s="159">
        <v>59</v>
      </c>
      <c r="D2466" s="159">
        <v>59</v>
      </c>
      <c r="E2466" s="159">
        <v>38</v>
      </c>
      <c r="F2466" s="131"/>
      <c r="G2466" s="132"/>
      <c r="H2466" s="162" t="s">
        <v>20337</v>
      </c>
      <c r="I2466" s="158" t="s">
        <v>20338</v>
      </c>
      <c r="J2466" s="128"/>
      <c r="K2466" s="128"/>
      <c r="L2466" s="128"/>
      <c r="M2466" s="129"/>
      <c r="N2466" s="129"/>
      <c r="O2466" s="129"/>
    </row>
    <row r="2467" spans="1:15" ht="12.5">
      <c r="A2467" s="158" t="s">
        <v>20339</v>
      </c>
      <c r="B2467" s="159">
        <v>30</v>
      </c>
      <c r="C2467" s="159">
        <v>59</v>
      </c>
      <c r="D2467" s="159">
        <v>59</v>
      </c>
      <c r="E2467" s="159">
        <v>39</v>
      </c>
      <c r="F2467" s="131"/>
      <c r="G2467" s="132"/>
      <c r="H2467" s="162" t="s">
        <v>20340</v>
      </c>
      <c r="I2467" s="158" t="s">
        <v>20341</v>
      </c>
      <c r="J2467" s="128"/>
      <c r="K2467" s="128"/>
      <c r="L2467" s="128"/>
      <c r="M2467" s="129"/>
      <c r="N2467" s="129"/>
      <c r="O2467" s="129"/>
    </row>
    <row r="2468" spans="1:15" ht="12.5">
      <c r="A2468" s="158" t="s">
        <v>20342</v>
      </c>
      <c r="B2468" s="159">
        <v>30</v>
      </c>
      <c r="C2468" s="159">
        <v>59</v>
      </c>
      <c r="D2468" s="159">
        <v>59</v>
      </c>
      <c r="E2468" s="159">
        <v>72</v>
      </c>
      <c r="F2468" s="131"/>
      <c r="G2468" s="132"/>
      <c r="H2468" s="162" t="s">
        <v>20343</v>
      </c>
      <c r="I2468" s="158" t="s">
        <v>20344</v>
      </c>
      <c r="J2468" s="128"/>
      <c r="K2468" s="128"/>
      <c r="L2468" s="128"/>
      <c r="M2468" s="129"/>
      <c r="N2468" s="129"/>
      <c r="O2468" s="129"/>
    </row>
    <row r="2469" spans="1:15" ht="12.5">
      <c r="A2469" s="158" t="s">
        <v>20345</v>
      </c>
      <c r="B2469" s="159">
        <v>30</v>
      </c>
      <c r="C2469" s="159">
        <v>59</v>
      </c>
      <c r="D2469" s="159">
        <v>59</v>
      </c>
      <c r="E2469" s="159">
        <v>79</v>
      </c>
      <c r="F2469" s="131"/>
      <c r="G2469" s="132"/>
      <c r="H2469" s="162" t="s">
        <v>20346</v>
      </c>
      <c r="I2469" s="158" t="s">
        <v>20347</v>
      </c>
      <c r="J2469" s="128"/>
      <c r="K2469" s="128"/>
      <c r="L2469" s="128"/>
      <c r="M2469" s="129"/>
      <c r="N2469" s="129"/>
      <c r="O2469" s="129"/>
    </row>
    <row r="2470" spans="1:15" ht="12.5">
      <c r="A2470" s="158" t="s">
        <v>20348</v>
      </c>
      <c r="B2470" s="159">
        <v>30</v>
      </c>
      <c r="C2470" s="159">
        <v>59</v>
      </c>
      <c r="D2470" s="159">
        <v>60</v>
      </c>
      <c r="E2470" s="130"/>
      <c r="F2470" s="131"/>
      <c r="G2470" s="132"/>
      <c r="H2470" s="162" t="s">
        <v>20349</v>
      </c>
      <c r="I2470" s="128"/>
      <c r="J2470" s="128"/>
      <c r="K2470" s="128"/>
      <c r="L2470" s="128"/>
      <c r="M2470" s="129"/>
      <c r="N2470" s="129"/>
      <c r="O2470" s="129"/>
    </row>
    <row r="2471" spans="1:15" ht="12.5">
      <c r="A2471" s="158" t="s">
        <v>20350</v>
      </c>
      <c r="B2471" s="159">
        <v>30</v>
      </c>
      <c r="C2471" s="159">
        <v>59</v>
      </c>
      <c r="D2471" s="159">
        <v>60</v>
      </c>
      <c r="E2471" s="159">
        <v>3</v>
      </c>
      <c r="F2471" s="131"/>
      <c r="G2471" s="132"/>
      <c r="H2471" s="162" t="s">
        <v>20351</v>
      </c>
      <c r="I2471" s="158" t="s">
        <v>20352</v>
      </c>
      <c r="J2471" s="128"/>
      <c r="K2471" s="128"/>
      <c r="L2471" s="128"/>
      <c r="M2471" s="129"/>
      <c r="N2471" s="129"/>
      <c r="O2471" s="129"/>
    </row>
    <row r="2472" spans="1:15" ht="12.5">
      <c r="A2472" s="158" t="s">
        <v>20353</v>
      </c>
      <c r="B2472" s="159">
        <v>30</v>
      </c>
      <c r="C2472" s="159">
        <v>59</v>
      </c>
      <c r="D2472" s="159">
        <v>60</v>
      </c>
      <c r="E2472" s="159">
        <v>15</v>
      </c>
      <c r="F2472" s="131"/>
      <c r="G2472" s="132"/>
      <c r="H2472" s="162" t="s">
        <v>20354</v>
      </c>
      <c r="I2472" s="158" t="s">
        <v>20355</v>
      </c>
      <c r="J2472" s="128"/>
      <c r="K2472" s="128"/>
      <c r="L2472" s="128"/>
      <c r="M2472" s="129"/>
      <c r="N2472" s="129"/>
      <c r="O2472" s="129"/>
    </row>
    <row r="2473" spans="1:15" ht="12.5">
      <c r="A2473" s="158" t="s">
        <v>20356</v>
      </c>
      <c r="B2473" s="159">
        <v>30</v>
      </c>
      <c r="C2473" s="159">
        <v>59</v>
      </c>
      <c r="D2473" s="159">
        <v>60</v>
      </c>
      <c r="E2473" s="159">
        <v>56</v>
      </c>
      <c r="F2473" s="131"/>
      <c r="G2473" s="132"/>
      <c r="H2473" s="162" t="s">
        <v>20357</v>
      </c>
      <c r="I2473" s="158" t="s">
        <v>20358</v>
      </c>
      <c r="J2473" s="128"/>
      <c r="K2473" s="128"/>
      <c r="L2473" s="128"/>
      <c r="M2473" s="129"/>
      <c r="N2473" s="129"/>
      <c r="O2473" s="129"/>
    </row>
    <row r="2474" spans="1:15" ht="12.5">
      <c r="A2474" s="158" t="s">
        <v>20361</v>
      </c>
      <c r="B2474" s="159">
        <v>30</v>
      </c>
      <c r="C2474" s="159">
        <v>59</v>
      </c>
      <c r="D2474" s="159">
        <v>60</v>
      </c>
      <c r="E2474" s="159">
        <v>87</v>
      </c>
      <c r="F2474" s="131"/>
      <c r="G2474" s="132"/>
      <c r="H2474" s="162" t="s">
        <v>20362</v>
      </c>
      <c r="I2474" s="158" t="s">
        <v>20363</v>
      </c>
      <c r="J2474" s="128"/>
      <c r="K2474" s="128"/>
      <c r="L2474" s="128"/>
      <c r="M2474" s="129"/>
      <c r="N2474" s="129"/>
      <c r="O2474" s="129"/>
    </row>
    <row r="2475" spans="1:15" ht="12.5">
      <c r="A2475" s="158" t="s">
        <v>20364</v>
      </c>
      <c r="B2475" s="159">
        <v>30</v>
      </c>
      <c r="C2475" s="159">
        <v>59</v>
      </c>
      <c r="D2475" s="159">
        <v>61</v>
      </c>
      <c r="E2475" s="130"/>
      <c r="F2475" s="131"/>
      <c r="G2475" s="132"/>
      <c r="H2475" s="162" t="s">
        <v>20365</v>
      </c>
      <c r="I2475" s="128"/>
      <c r="J2475" s="128"/>
      <c r="K2475" s="128"/>
      <c r="L2475" s="128"/>
      <c r="M2475" s="129"/>
      <c r="N2475" s="129"/>
      <c r="O2475" s="129"/>
    </row>
    <row r="2476" spans="1:15" ht="12.5">
      <c r="A2476" s="158" t="s">
        <v>20366</v>
      </c>
      <c r="B2476" s="159">
        <v>30</v>
      </c>
      <c r="C2476" s="159">
        <v>59</v>
      </c>
      <c r="D2476" s="159">
        <v>61</v>
      </c>
      <c r="E2476" s="159">
        <v>32</v>
      </c>
      <c r="F2476" s="131"/>
      <c r="G2476" s="132"/>
      <c r="H2476" s="162" t="s">
        <v>20367</v>
      </c>
      <c r="I2476" s="158" t="s">
        <v>20368</v>
      </c>
      <c r="J2476" s="128"/>
      <c r="K2476" s="128"/>
      <c r="L2476" s="128"/>
      <c r="M2476" s="129"/>
      <c r="N2476" s="129"/>
      <c r="O2476" s="129"/>
    </row>
    <row r="2477" spans="1:15" ht="12.5">
      <c r="A2477" s="158" t="s">
        <v>20369</v>
      </c>
      <c r="B2477" s="159">
        <v>30</v>
      </c>
      <c r="C2477" s="159">
        <v>59</v>
      </c>
      <c r="D2477" s="159">
        <v>61</v>
      </c>
      <c r="E2477" s="159">
        <v>33</v>
      </c>
      <c r="F2477" s="131"/>
      <c r="G2477" s="132"/>
      <c r="H2477" s="162" t="s">
        <v>20370</v>
      </c>
      <c r="I2477" s="158" t="s">
        <v>20371</v>
      </c>
      <c r="J2477" s="128"/>
      <c r="K2477" s="128"/>
      <c r="L2477" s="128"/>
      <c r="M2477" s="129"/>
      <c r="N2477" s="129"/>
      <c r="O2477" s="129"/>
    </row>
    <row r="2478" spans="1:15" ht="12.5">
      <c r="A2478" s="158" t="s">
        <v>20372</v>
      </c>
      <c r="B2478" s="159">
        <v>30</v>
      </c>
      <c r="C2478" s="159">
        <v>59</v>
      </c>
      <c r="D2478" s="159">
        <v>61</v>
      </c>
      <c r="E2478" s="159">
        <v>34</v>
      </c>
      <c r="F2478" s="131"/>
      <c r="G2478" s="132"/>
      <c r="H2478" s="162" t="s">
        <v>20373</v>
      </c>
      <c r="I2478" s="158" t="s">
        <v>20374</v>
      </c>
      <c r="J2478" s="128"/>
      <c r="K2478" s="128"/>
      <c r="L2478" s="128"/>
      <c r="M2478" s="129"/>
      <c r="N2478" s="129"/>
      <c r="O2478" s="129"/>
    </row>
    <row r="2479" spans="1:15" ht="12.5">
      <c r="A2479" s="158" t="s">
        <v>20375</v>
      </c>
      <c r="B2479" s="159">
        <v>30</v>
      </c>
      <c r="C2479" s="159">
        <v>59</v>
      </c>
      <c r="D2479" s="159">
        <v>61</v>
      </c>
      <c r="E2479" s="159">
        <v>35</v>
      </c>
      <c r="F2479" s="131"/>
      <c r="G2479" s="132"/>
      <c r="H2479" s="162" t="s">
        <v>20376</v>
      </c>
      <c r="I2479" s="158" t="s">
        <v>20377</v>
      </c>
      <c r="J2479" s="128"/>
      <c r="K2479" s="128"/>
      <c r="L2479" s="128"/>
      <c r="M2479" s="129"/>
      <c r="N2479" s="129"/>
      <c r="O2479" s="129"/>
    </row>
    <row r="2480" spans="1:15" ht="12.5">
      <c r="A2480" s="158" t="s">
        <v>20378</v>
      </c>
      <c r="B2480" s="159">
        <v>30</v>
      </c>
      <c r="C2480" s="159">
        <v>59</v>
      </c>
      <c r="D2480" s="159">
        <v>61</v>
      </c>
      <c r="E2480" s="159">
        <v>36</v>
      </c>
      <c r="F2480" s="131"/>
      <c r="G2480" s="132"/>
      <c r="H2480" s="162" t="s">
        <v>20379</v>
      </c>
      <c r="I2480" s="158" t="s">
        <v>20380</v>
      </c>
      <c r="J2480" s="128"/>
      <c r="K2480" s="128"/>
      <c r="L2480" s="128"/>
      <c r="M2480" s="129"/>
      <c r="N2480" s="129"/>
      <c r="O2480" s="129"/>
    </row>
    <row r="2481" spans="1:15" ht="12.5">
      <c r="A2481" s="158" t="s">
        <v>20381</v>
      </c>
      <c r="B2481" s="159">
        <v>30</v>
      </c>
      <c r="C2481" s="159">
        <v>59</v>
      </c>
      <c r="D2481" s="159">
        <v>61</v>
      </c>
      <c r="E2481" s="159">
        <v>57</v>
      </c>
      <c r="F2481" s="131"/>
      <c r="G2481" s="132"/>
      <c r="H2481" s="162" t="s">
        <v>20382</v>
      </c>
      <c r="I2481" s="158" t="s">
        <v>20383</v>
      </c>
      <c r="J2481" s="128"/>
      <c r="K2481" s="128"/>
      <c r="L2481" s="128"/>
      <c r="M2481" s="129"/>
      <c r="N2481" s="129"/>
      <c r="O2481" s="129"/>
    </row>
    <row r="2482" spans="1:15" ht="12.5">
      <c r="A2482" s="158" t="s">
        <v>20384</v>
      </c>
      <c r="B2482" s="159">
        <v>30</v>
      </c>
      <c r="C2482" s="159">
        <v>59</v>
      </c>
      <c r="D2482" s="159">
        <v>71</v>
      </c>
      <c r="E2482" s="130"/>
      <c r="F2482" s="131"/>
      <c r="G2482" s="132"/>
      <c r="H2482" s="162" t="s">
        <v>20385</v>
      </c>
      <c r="I2482" s="128"/>
      <c r="J2482" s="128"/>
      <c r="K2482" s="128"/>
      <c r="L2482" s="128"/>
      <c r="M2482" s="129"/>
      <c r="N2482" s="129"/>
      <c r="O2482" s="129"/>
    </row>
    <row r="2483" spans="1:15" ht="12.5">
      <c r="A2483" s="158" t="s">
        <v>20386</v>
      </c>
      <c r="B2483" s="159">
        <v>30</v>
      </c>
      <c r="C2483" s="159">
        <v>59</v>
      </c>
      <c r="D2483" s="159">
        <v>71</v>
      </c>
      <c r="E2483" s="159">
        <v>12</v>
      </c>
      <c r="F2483" s="131"/>
      <c r="G2483" s="132"/>
      <c r="H2483" s="162" t="s">
        <v>20387</v>
      </c>
      <c r="I2483" s="158" t="s">
        <v>20388</v>
      </c>
      <c r="J2483" s="128"/>
      <c r="K2483" s="128"/>
      <c r="L2483" s="128"/>
      <c r="M2483" s="129"/>
      <c r="N2483" s="129"/>
      <c r="O2483" s="129"/>
    </row>
    <row r="2484" spans="1:15" ht="12.5">
      <c r="A2484" s="158" t="s">
        <v>20389</v>
      </c>
      <c r="B2484" s="159">
        <v>30</v>
      </c>
      <c r="C2484" s="159">
        <v>59</v>
      </c>
      <c r="D2484" s="159">
        <v>71</v>
      </c>
      <c r="E2484" s="159">
        <v>13</v>
      </c>
      <c r="F2484" s="131"/>
      <c r="G2484" s="132"/>
      <c r="H2484" s="162" t="s">
        <v>20390</v>
      </c>
      <c r="I2484" s="158" t="s">
        <v>20391</v>
      </c>
      <c r="J2484" s="128"/>
      <c r="K2484" s="128"/>
      <c r="L2484" s="128"/>
      <c r="M2484" s="129"/>
      <c r="N2484" s="129"/>
      <c r="O2484" s="129"/>
    </row>
    <row r="2485" spans="1:15" ht="12.5">
      <c r="A2485" s="158" t="s">
        <v>20392</v>
      </c>
      <c r="B2485" s="159">
        <v>30</v>
      </c>
      <c r="C2485" s="159">
        <v>59</v>
      </c>
      <c r="D2485" s="159">
        <v>71</v>
      </c>
      <c r="E2485" s="159">
        <v>21</v>
      </c>
      <c r="F2485" s="131"/>
      <c r="G2485" s="132"/>
      <c r="H2485" s="162" t="s">
        <v>20393</v>
      </c>
      <c r="I2485" s="158" t="s">
        <v>20394</v>
      </c>
      <c r="J2485" s="128"/>
      <c r="K2485" s="128"/>
      <c r="L2485" s="128"/>
      <c r="M2485" s="129"/>
      <c r="N2485" s="129"/>
      <c r="O2485" s="129"/>
    </row>
    <row r="2486" spans="1:15" ht="12.5">
      <c r="A2486" s="158" t="s">
        <v>20395</v>
      </c>
      <c r="B2486" s="159">
        <v>30</v>
      </c>
      <c r="C2486" s="159">
        <v>59</v>
      </c>
      <c r="D2486" s="159">
        <v>71</v>
      </c>
      <c r="E2486" s="159">
        <v>22</v>
      </c>
      <c r="F2486" s="131"/>
      <c r="G2486" s="132"/>
      <c r="H2486" s="162" t="s">
        <v>20396</v>
      </c>
      <c r="I2486" s="128"/>
      <c r="J2486" s="128"/>
      <c r="K2486" s="128"/>
      <c r="L2486" s="128"/>
      <c r="M2486" s="129"/>
      <c r="N2486" s="129"/>
      <c r="O2486" s="129"/>
    </row>
    <row r="2487" spans="1:15" ht="12.5">
      <c r="A2487" s="158" t="s">
        <v>20397</v>
      </c>
      <c r="B2487" s="159">
        <v>30</v>
      </c>
      <c r="C2487" s="159">
        <v>59</v>
      </c>
      <c r="D2487" s="159">
        <v>71</v>
      </c>
      <c r="E2487" s="159">
        <v>23</v>
      </c>
      <c r="F2487" s="131"/>
      <c r="G2487" s="132"/>
      <c r="H2487" s="162" t="s">
        <v>20398</v>
      </c>
      <c r="I2487" s="158" t="s">
        <v>20399</v>
      </c>
      <c r="J2487" s="128"/>
      <c r="K2487" s="128"/>
      <c r="L2487" s="128"/>
      <c r="M2487" s="129"/>
      <c r="N2487" s="129"/>
      <c r="O2487" s="129"/>
    </row>
    <row r="2488" spans="1:15" ht="12.5">
      <c r="A2488" s="158" t="s">
        <v>20400</v>
      </c>
      <c r="B2488" s="159">
        <v>30</v>
      </c>
      <c r="C2488" s="159">
        <v>59</v>
      </c>
      <c r="D2488" s="159">
        <v>71</v>
      </c>
      <c r="E2488" s="159">
        <v>46</v>
      </c>
      <c r="F2488" s="131"/>
      <c r="G2488" s="132"/>
      <c r="H2488" s="162" t="s">
        <v>20401</v>
      </c>
      <c r="I2488" s="158" t="s">
        <v>20402</v>
      </c>
      <c r="J2488" s="128"/>
      <c r="K2488" s="128"/>
      <c r="L2488" s="128"/>
      <c r="M2488" s="129"/>
      <c r="N2488" s="129"/>
      <c r="O2488" s="129"/>
    </row>
    <row r="2489" spans="1:15" ht="12.5">
      <c r="A2489" s="158" t="s">
        <v>20403</v>
      </c>
      <c r="B2489" s="159">
        <v>30</v>
      </c>
      <c r="C2489" s="159">
        <v>59</v>
      </c>
      <c r="D2489" s="159">
        <v>71</v>
      </c>
      <c r="E2489" s="159">
        <v>47</v>
      </c>
      <c r="F2489" s="131"/>
      <c r="G2489" s="132"/>
      <c r="H2489" s="162" t="s">
        <v>20404</v>
      </c>
      <c r="I2489" s="128"/>
      <c r="J2489" s="128"/>
      <c r="K2489" s="128"/>
      <c r="L2489" s="128"/>
      <c r="M2489" s="129"/>
      <c r="N2489" s="129"/>
      <c r="O2489" s="129"/>
    </row>
    <row r="2490" spans="1:15" ht="12.5">
      <c r="A2490" s="158" t="s">
        <v>20405</v>
      </c>
      <c r="B2490" s="159">
        <v>30</v>
      </c>
      <c r="C2490" s="159">
        <v>59</v>
      </c>
      <c r="D2490" s="159">
        <v>71</v>
      </c>
      <c r="E2490" s="159">
        <v>48</v>
      </c>
      <c r="F2490" s="131"/>
      <c r="G2490" s="132"/>
      <c r="H2490" s="162" t="s">
        <v>20406</v>
      </c>
      <c r="I2490" s="158" t="s">
        <v>20407</v>
      </c>
      <c r="J2490" s="128"/>
      <c r="K2490" s="128"/>
      <c r="L2490" s="128"/>
      <c r="M2490" s="129"/>
      <c r="N2490" s="129"/>
      <c r="O2490" s="129"/>
    </row>
    <row r="2491" spans="1:15" ht="12.5">
      <c r="A2491" s="158" t="s">
        <v>20408</v>
      </c>
      <c r="B2491" s="159">
        <v>30</v>
      </c>
      <c r="C2491" s="159">
        <v>59</v>
      </c>
      <c r="D2491" s="159">
        <v>72</v>
      </c>
      <c r="E2491" s="130"/>
      <c r="F2491" s="131"/>
      <c r="G2491" s="132"/>
      <c r="H2491" s="162" t="s">
        <v>20409</v>
      </c>
      <c r="I2491" s="128"/>
      <c r="J2491" s="128"/>
      <c r="K2491" s="128"/>
      <c r="L2491" s="128"/>
      <c r="M2491" s="129"/>
      <c r="N2491" s="129"/>
      <c r="O2491" s="129"/>
    </row>
    <row r="2492" spans="1:15" ht="12.5">
      <c r="A2492" s="158" t="s">
        <v>20410</v>
      </c>
      <c r="B2492" s="159">
        <v>30</v>
      </c>
      <c r="C2492" s="159">
        <v>59</v>
      </c>
      <c r="D2492" s="159">
        <v>72</v>
      </c>
      <c r="E2492" s="159">
        <v>17</v>
      </c>
      <c r="F2492" s="131"/>
      <c r="G2492" s="132"/>
      <c r="H2492" s="162" t="s">
        <v>20411</v>
      </c>
      <c r="I2492" s="128"/>
      <c r="J2492" s="128"/>
      <c r="K2492" s="128"/>
      <c r="L2492" s="128"/>
      <c r="M2492" s="129"/>
      <c r="N2492" s="129"/>
      <c r="O2492" s="129"/>
    </row>
    <row r="2493" spans="1:15" ht="12.5">
      <c r="A2493" s="158" t="s">
        <v>20412</v>
      </c>
      <c r="B2493" s="159">
        <v>30</v>
      </c>
      <c r="C2493" s="159">
        <v>59</v>
      </c>
      <c r="D2493" s="159">
        <v>72</v>
      </c>
      <c r="E2493" s="159">
        <v>21</v>
      </c>
      <c r="F2493" s="131"/>
      <c r="G2493" s="132"/>
      <c r="H2493" s="162" t="s">
        <v>20413</v>
      </c>
      <c r="I2493" s="158" t="s">
        <v>20414</v>
      </c>
      <c r="J2493" s="128"/>
      <c r="K2493" s="128"/>
      <c r="L2493" s="128"/>
      <c r="M2493" s="129"/>
      <c r="N2493" s="129"/>
      <c r="O2493" s="129"/>
    </row>
    <row r="2494" spans="1:15" ht="12.5">
      <c r="A2494" s="158" t="s">
        <v>20415</v>
      </c>
      <c r="B2494" s="159">
        <v>30</v>
      </c>
      <c r="C2494" s="159">
        <v>59</v>
      </c>
      <c r="D2494" s="159">
        <v>72</v>
      </c>
      <c r="E2494" s="159">
        <v>24</v>
      </c>
      <c r="F2494" s="131"/>
      <c r="G2494" s="132"/>
      <c r="H2494" s="162" t="s">
        <v>20416</v>
      </c>
      <c r="I2494" s="128"/>
      <c r="J2494" s="128"/>
      <c r="K2494" s="128"/>
      <c r="L2494" s="128"/>
      <c r="M2494" s="129"/>
      <c r="N2494" s="129"/>
      <c r="O2494" s="129"/>
    </row>
    <row r="2495" spans="1:15" ht="12.5">
      <c r="A2495" s="158" t="s">
        <v>20417</v>
      </c>
      <c r="B2495" s="159">
        <v>30</v>
      </c>
      <c r="C2495" s="159">
        <v>59</v>
      </c>
      <c r="D2495" s="159">
        <v>72</v>
      </c>
      <c r="E2495" s="159">
        <v>25</v>
      </c>
      <c r="F2495" s="131"/>
      <c r="G2495" s="132"/>
      <c r="H2495" s="162" t="s">
        <v>20418</v>
      </c>
      <c r="I2495" s="158" t="s">
        <v>20419</v>
      </c>
      <c r="J2495" s="128"/>
      <c r="K2495" s="128"/>
      <c r="L2495" s="128"/>
      <c r="M2495" s="129"/>
      <c r="N2495" s="129"/>
      <c r="O2495" s="129"/>
    </row>
    <row r="2496" spans="1:15" ht="12.5">
      <c r="A2496" s="158" t="s">
        <v>20420</v>
      </c>
      <c r="B2496" s="159">
        <v>30</v>
      </c>
      <c r="C2496" s="159">
        <v>59</v>
      </c>
      <c r="D2496" s="159">
        <v>72</v>
      </c>
      <c r="E2496" s="159">
        <v>30</v>
      </c>
      <c r="F2496" s="131"/>
      <c r="G2496" s="132"/>
      <c r="H2496" s="162" t="s">
        <v>20421</v>
      </c>
      <c r="I2496" s="158" t="s">
        <v>20422</v>
      </c>
      <c r="J2496" s="128"/>
      <c r="K2496" s="128"/>
      <c r="L2496" s="128"/>
      <c r="M2496" s="129"/>
      <c r="N2496" s="129"/>
      <c r="O2496" s="129"/>
    </row>
    <row r="2497" spans="1:15" ht="12.5">
      <c r="A2497" s="158" t="s">
        <v>20423</v>
      </c>
      <c r="B2497" s="159">
        <v>30</v>
      </c>
      <c r="C2497" s="159">
        <v>59</v>
      </c>
      <c r="D2497" s="159">
        <v>72</v>
      </c>
      <c r="E2497" s="159">
        <v>31</v>
      </c>
      <c r="F2497" s="131"/>
      <c r="G2497" s="132"/>
      <c r="H2497" s="162" t="s">
        <v>20424</v>
      </c>
      <c r="I2497" s="158" t="s">
        <v>20425</v>
      </c>
      <c r="J2497" s="128"/>
      <c r="K2497" s="128"/>
      <c r="L2497" s="128"/>
      <c r="M2497" s="129"/>
      <c r="N2497" s="129"/>
      <c r="O2497" s="129"/>
    </row>
    <row r="2498" spans="1:15" ht="12.5">
      <c r="A2498" s="158" t="s">
        <v>20426</v>
      </c>
      <c r="B2498" s="159">
        <v>30</v>
      </c>
      <c r="C2498" s="159">
        <v>59</v>
      </c>
      <c r="D2498" s="159">
        <v>72</v>
      </c>
      <c r="E2498" s="159">
        <v>33</v>
      </c>
      <c r="F2498" s="131"/>
      <c r="G2498" s="132"/>
      <c r="H2498" s="162" t="s">
        <v>20427</v>
      </c>
      <c r="I2498" s="158" t="s">
        <v>20428</v>
      </c>
      <c r="J2498" s="128"/>
      <c r="K2498" s="128"/>
      <c r="L2498" s="128"/>
      <c r="M2498" s="129"/>
      <c r="N2498" s="129"/>
      <c r="O2498" s="129"/>
    </row>
    <row r="2499" spans="1:15" ht="12.5">
      <c r="A2499" s="158" t="s">
        <v>20429</v>
      </c>
      <c r="B2499" s="159">
        <v>30</v>
      </c>
      <c r="C2499" s="159">
        <v>59</v>
      </c>
      <c r="D2499" s="159">
        <v>72</v>
      </c>
      <c r="E2499" s="159">
        <v>34</v>
      </c>
      <c r="F2499" s="131"/>
      <c r="G2499" s="132"/>
      <c r="H2499" s="162" t="s">
        <v>20430</v>
      </c>
      <c r="I2499" s="158" t="s">
        <v>20431</v>
      </c>
      <c r="J2499" s="128"/>
      <c r="K2499" s="128"/>
      <c r="L2499" s="128"/>
      <c r="M2499" s="129"/>
      <c r="N2499" s="129"/>
      <c r="O2499" s="129"/>
    </row>
    <row r="2500" spans="1:15" ht="12.5">
      <c r="A2500" s="158" t="s">
        <v>20432</v>
      </c>
      <c r="B2500" s="159">
        <v>30</v>
      </c>
      <c r="C2500" s="159">
        <v>59</v>
      </c>
      <c r="D2500" s="159">
        <v>72</v>
      </c>
      <c r="E2500" s="159">
        <v>42</v>
      </c>
      <c r="F2500" s="131"/>
      <c r="G2500" s="132"/>
      <c r="H2500" s="162" t="s">
        <v>20433</v>
      </c>
      <c r="I2500" s="128"/>
      <c r="J2500" s="128"/>
      <c r="K2500" s="128"/>
      <c r="L2500" s="128"/>
      <c r="M2500" s="129"/>
      <c r="N2500" s="129"/>
      <c r="O2500" s="129"/>
    </row>
    <row r="2501" spans="1:15" ht="12.5">
      <c r="A2501" s="158" t="s">
        <v>20434</v>
      </c>
      <c r="B2501" s="159">
        <v>30</v>
      </c>
      <c r="C2501" s="159">
        <v>59</v>
      </c>
      <c r="D2501" s="159">
        <v>72</v>
      </c>
      <c r="E2501" s="159">
        <v>46</v>
      </c>
      <c r="F2501" s="131"/>
      <c r="G2501" s="132"/>
      <c r="H2501" s="162" t="s">
        <v>20435</v>
      </c>
      <c r="I2501" s="128"/>
      <c r="J2501" s="128"/>
      <c r="K2501" s="128"/>
      <c r="L2501" s="128"/>
      <c r="M2501" s="129"/>
      <c r="N2501" s="129"/>
      <c r="O2501" s="129"/>
    </row>
    <row r="2502" spans="1:15" ht="12.5">
      <c r="A2502" s="158" t="s">
        <v>20436</v>
      </c>
      <c r="B2502" s="159">
        <v>30</v>
      </c>
      <c r="C2502" s="159">
        <v>59</v>
      </c>
      <c r="D2502" s="159">
        <v>72</v>
      </c>
      <c r="E2502" s="159">
        <v>48</v>
      </c>
      <c r="F2502" s="131"/>
      <c r="G2502" s="132"/>
      <c r="H2502" s="162" t="s">
        <v>20437</v>
      </c>
      <c r="I2502" s="128"/>
      <c r="J2502" s="128"/>
      <c r="K2502" s="128"/>
      <c r="L2502" s="128"/>
      <c r="M2502" s="129"/>
      <c r="N2502" s="129"/>
      <c r="O2502" s="129"/>
    </row>
    <row r="2503" spans="1:15" ht="12.5">
      <c r="A2503" s="158" t="s">
        <v>20438</v>
      </c>
      <c r="B2503" s="159">
        <v>30</v>
      </c>
      <c r="C2503" s="159">
        <v>59</v>
      </c>
      <c r="D2503" s="159">
        <v>72</v>
      </c>
      <c r="E2503" s="159">
        <v>57</v>
      </c>
      <c r="F2503" s="131"/>
      <c r="G2503" s="132"/>
      <c r="H2503" s="162" t="s">
        <v>20439</v>
      </c>
      <c r="I2503" s="128"/>
      <c r="J2503" s="128"/>
      <c r="K2503" s="128"/>
      <c r="L2503" s="128"/>
      <c r="M2503" s="129"/>
      <c r="N2503" s="129"/>
      <c r="O2503" s="129"/>
    </row>
    <row r="2504" spans="1:15" ht="12.5">
      <c r="A2504" s="158" t="s">
        <v>20440</v>
      </c>
      <c r="B2504" s="159">
        <v>30</v>
      </c>
      <c r="C2504" s="159">
        <v>59</v>
      </c>
      <c r="D2504" s="159">
        <v>72</v>
      </c>
      <c r="E2504" s="159">
        <v>77</v>
      </c>
      <c r="F2504" s="131"/>
      <c r="G2504" s="132"/>
      <c r="H2504" s="162" t="s">
        <v>20441</v>
      </c>
      <c r="I2504" s="128"/>
      <c r="J2504" s="128"/>
      <c r="K2504" s="128"/>
      <c r="L2504" s="128"/>
      <c r="M2504" s="129"/>
      <c r="N2504" s="129"/>
      <c r="O2504" s="129"/>
    </row>
    <row r="2505" spans="1:15" ht="12.5">
      <c r="A2505" s="158" t="s">
        <v>20442</v>
      </c>
      <c r="B2505" s="159">
        <v>30</v>
      </c>
      <c r="C2505" s="159">
        <v>59</v>
      </c>
      <c r="D2505" s="159">
        <v>72</v>
      </c>
      <c r="E2505" s="159">
        <v>94</v>
      </c>
      <c r="F2505" s="131"/>
      <c r="G2505" s="132"/>
      <c r="H2505" s="162" t="s">
        <v>20443</v>
      </c>
      <c r="I2505" s="158" t="s">
        <v>20444</v>
      </c>
      <c r="J2505" s="128"/>
      <c r="K2505" s="128"/>
      <c r="L2505" s="128"/>
      <c r="M2505" s="129"/>
      <c r="N2505" s="129"/>
      <c r="O2505" s="129"/>
    </row>
    <row r="2506" spans="1:15" ht="12.5">
      <c r="A2506" s="158" t="s">
        <v>20445</v>
      </c>
      <c r="B2506" s="159">
        <v>30</v>
      </c>
      <c r="C2506" s="159">
        <v>59</v>
      </c>
      <c r="D2506" s="159">
        <v>84</v>
      </c>
      <c r="E2506" s="130"/>
      <c r="F2506" s="131"/>
      <c r="G2506" s="132"/>
      <c r="H2506" s="162" t="s">
        <v>33399</v>
      </c>
      <c r="I2506" s="128"/>
      <c r="J2506" s="128"/>
      <c r="K2506" s="128"/>
      <c r="L2506" s="128"/>
      <c r="M2506" s="129"/>
      <c r="N2506" s="129"/>
      <c r="O2506" s="129"/>
    </row>
    <row r="2507" spans="1:15" ht="12.5">
      <c r="A2507" s="158" t="s">
        <v>20447</v>
      </c>
      <c r="B2507" s="159">
        <v>30</v>
      </c>
      <c r="C2507" s="159">
        <v>59</v>
      </c>
      <c r="D2507" s="159">
        <v>84</v>
      </c>
      <c r="E2507" s="159">
        <v>30</v>
      </c>
      <c r="F2507" s="131"/>
      <c r="G2507" s="132"/>
      <c r="H2507" s="162" t="s">
        <v>20448</v>
      </c>
      <c r="I2507" s="158" t="s">
        <v>20449</v>
      </c>
      <c r="J2507" s="128"/>
      <c r="K2507" s="128"/>
      <c r="L2507" s="128"/>
      <c r="M2507" s="129"/>
      <c r="N2507" s="129"/>
      <c r="O2507" s="129"/>
    </row>
    <row r="2508" spans="1:15" ht="12.5">
      <c r="A2508" s="158" t="s">
        <v>33400</v>
      </c>
      <c r="B2508" s="159">
        <v>30</v>
      </c>
      <c r="C2508" s="159">
        <v>59</v>
      </c>
      <c r="D2508" s="159">
        <v>84</v>
      </c>
      <c r="E2508" s="159">
        <v>64</v>
      </c>
      <c r="F2508" s="131"/>
      <c r="G2508" s="132"/>
      <c r="H2508" s="162" t="s">
        <v>23289</v>
      </c>
      <c r="I2508" s="128"/>
      <c r="J2508" s="128"/>
      <c r="K2508" s="128"/>
      <c r="L2508" s="128"/>
      <c r="M2508" s="129"/>
      <c r="N2508" s="129"/>
      <c r="O2508" s="129"/>
    </row>
    <row r="2509" spans="1:15" ht="12.5">
      <c r="A2509" s="158" t="s">
        <v>20450</v>
      </c>
      <c r="B2509" s="159">
        <v>30</v>
      </c>
      <c r="C2509" s="159">
        <v>59</v>
      </c>
      <c r="D2509" s="159">
        <v>84</v>
      </c>
      <c r="E2509" s="159">
        <v>72</v>
      </c>
      <c r="F2509" s="131"/>
      <c r="G2509" s="132"/>
      <c r="H2509" s="162" t="s">
        <v>20451</v>
      </c>
      <c r="I2509" s="158" t="s">
        <v>20452</v>
      </c>
      <c r="J2509" s="128"/>
      <c r="K2509" s="128"/>
      <c r="L2509" s="128"/>
      <c r="M2509" s="129"/>
      <c r="N2509" s="129"/>
      <c r="O2509" s="129"/>
    </row>
    <row r="2510" spans="1:15" ht="12.5">
      <c r="A2510" s="158" t="s">
        <v>20453</v>
      </c>
      <c r="B2510" s="159">
        <v>30</v>
      </c>
      <c r="C2510" s="159">
        <v>59</v>
      </c>
      <c r="D2510" s="159">
        <v>84</v>
      </c>
      <c r="E2510" s="159">
        <v>73</v>
      </c>
      <c r="F2510" s="131"/>
      <c r="G2510" s="132"/>
      <c r="H2510" s="162" t="s">
        <v>20454</v>
      </c>
      <c r="I2510" s="158" t="s">
        <v>20455</v>
      </c>
      <c r="J2510" s="128"/>
      <c r="K2510" s="128"/>
      <c r="L2510" s="128"/>
      <c r="M2510" s="129"/>
      <c r="N2510" s="129"/>
      <c r="O2510" s="129"/>
    </row>
    <row r="2511" spans="1:15" ht="12.5">
      <c r="A2511" s="158" t="s">
        <v>20456</v>
      </c>
      <c r="B2511" s="159">
        <v>30</v>
      </c>
      <c r="C2511" s="159">
        <v>59</v>
      </c>
      <c r="D2511" s="159">
        <v>94</v>
      </c>
      <c r="E2511" s="130"/>
      <c r="F2511" s="131"/>
      <c r="G2511" s="132"/>
      <c r="H2511" s="162" t="s">
        <v>20457</v>
      </c>
      <c r="I2511" s="128"/>
      <c r="J2511" s="128"/>
      <c r="K2511" s="128"/>
      <c r="L2511" s="128"/>
      <c r="M2511" s="129"/>
      <c r="N2511" s="129"/>
      <c r="O2511" s="129"/>
    </row>
    <row r="2512" spans="1:15" ht="12.5">
      <c r="A2512" s="158" t="s">
        <v>20458</v>
      </c>
      <c r="B2512" s="159">
        <v>30</v>
      </c>
      <c r="C2512" s="159">
        <v>59</v>
      </c>
      <c r="D2512" s="159">
        <v>94</v>
      </c>
      <c r="E2512" s="159">
        <v>4</v>
      </c>
      <c r="F2512" s="131"/>
      <c r="G2512" s="132"/>
      <c r="H2512" s="162" t="s">
        <v>20459</v>
      </c>
      <c r="I2512" s="128"/>
      <c r="J2512" s="128"/>
      <c r="K2512" s="128"/>
      <c r="L2512" s="128"/>
      <c r="M2512" s="129"/>
      <c r="N2512" s="129"/>
      <c r="O2512" s="129"/>
    </row>
    <row r="2513" spans="1:15" ht="12.5">
      <c r="A2513" s="158" t="s">
        <v>20460</v>
      </c>
      <c r="B2513" s="159">
        <v>30</v>
      </c>
      <c r="C2513" s="159">
        <v>59</v>
      </c>
      <c r="D2513" s="159">
        <v>94</v>
      </c>
      <c r="E2513" s="159">
        <v>6</v>
      </c>
      <c r="F2513" s="131"/>
      <c r="G2513" s="132"/>
      <c r="H2513" s="162" t="s">
        <v>20461</v>
      </c>
      <c r="I2513" s="158" t="s">
        <v>20462</v>
      </c>
      <c r="J2513" s="128"/>
      <c r="K2513" s="128"/>
      <c r="L2513" s="128"/>
      <c r="M2513" s="129"/>
      <c r="N2513" s="129"/>
      <c r="O2513" s="129"/>
    </row>
    <row r="2514" spans="1:15" ht="12.5">
      <c r="A2514" s="158" t="s">
        <v>20463</v>
      </c>
      <c r="B2514" s="159">
        <v>30</v>
      </c>
      <c r="C2514" s="159">
        <v>59</v>
      </c>
      <c r="D2514" s="159">
        <v>94</v>
      </c>
      <c r="E2514" s="159">
        <v>26</v>
      </c>
      <c r="F2514" s="131"/>
      <c r="G2514" s="132"/>
      <c r="H2514" s="162" t="s">
        <v>20464</v>
      </c>
      <c r="I2514" s="158" t="s">
        <v>20465</v>
      </c>
      <c r="J2514" s="128"/>
      <c r="K2514" s="128"/>
      <c r="L2514" s="128"/>
      <c r="M2514" s="129"/>
      <c r="N2514" s="129"/>
      <c r="O2514" s="129"/>
    </row>
    <row r="2515" spans="1:15" ht="12.5">
      <c r="A2515" s="158" t="s">
        <v>20466</v>
      </c>
      <c r="B2515" s="159">
        <v>30</v>
      </c>
      <c r="C2515" s="159">
        <v>59</v>
      </c>
      <c r="D2515" s="159">
        <v>94</v>
      </c>
      <c r="E2515" s="159">
        <v>31</v>
      </c>
      <c r="F2515" s="131"/>
      <c r="G2515" s="132"/>
      <c r="H2515" s="162" t="s">
        <v>20467</v>
      </c>
      <c r="I2515" s="158" t="s">
        <v>20468</v>
      </c>
      <c r="J2515" s="128"/>
      <c r="K2515" s="128"/>
      <c r="L2515" s="128"/>
      <c r="M2515" s="129"/>
      <c r="N2515" s="129"/>
      <c r="O2515" s="129"/>
    </row>
    <row r="2516" spans="1:15" ht="12.5">
      <c r="A2516" s="158" t="s">
        <v>20469</v>
      </c>
      <c r="B2516" s="159">
        <v>30</v>
      </c>
      <c r="C2516" s="159">
        <v>59</v>
      </c>
      <c r="D2516" s="159">
        <v>94</v>
      </c>
      <c r="E2516" s="159">
        <v>32</v>
      </c>
      <c r="F2516" s="131"/>
      <c r="G2516" s="132"/>
      <c r="H2516" s="162" t="s">
        <v>20470</v>
      </c>
      <c r="I2516" s="158" t="s">
        <v>20471</v>
      </c>
      <c r="J2516" s="128"/>
      <c r="K2516" s="128"/>
      <c r="L2516" s="128"/>
      <c r="M2516" s="129"/>
      <c r="N2516" s="129"/>
      <c r="O2516" s="129"/>
    </row>
    <row r="2517" spans="1:15" ht="12.5">
      <c r="A2517" s="158" t="s">
        <v>20472</v>
      </c>
      <c r="B2517" s="159">
        <v>30</v>
      </c>
      <c r="C2517" s="159">
        <v>59</v>
      </c>
      <c r="D2517" s="159">
        <v>94</v>
      </c>
      <c r="E2517" s="159">
        <v>78</v>
      </c>
      <c r="F2517" s="131"/>
      <c r="G2517" s="132"/>
      <c r="H2517" s="162" t="s">
        <v>20473</v>
      </c>
      <c r="I2517" s="158" t="s">
        <v>20474</v>
      </c>
      <c r="J2517" s="128"/>
      <c r="K2517" s="128"/>
      <c r="L2517" s="128"/>
      <c r="M2517" s="129"/>
      <c r="N2517" s="129"/>
      <c r="O2517" s="129"/>
    </row>
    <row r="2518" spans="1:15" ht="12.5">
      <c r="A2518" s="158" t="s">
        <v>20475</v>
      </c>
      <c r="B2518" s="159">
        <v>30</v>
      </c>
      <c r="C2518" s="159">
        <v>59</v>
      </c>
      <c r="D2518" s="159">
        <v>94</v>
      </c>
      <c r="E2518" s="159">
        <v>90</v>
      </c>
      <c r="F2518" s="131"/>
      <c r="G2518" s="132"/>
      <c r="H2518" s="162" t="s">
        <v>20476</v>
      </c>
      <c r="I2518" s="158" t="s">
        <v>20477</v>
      </c>
      <c r="J2518" s="128"/>
      <c r="K2518" s="128"/>
      <c r="L2518" s="128"/>
      <c r="M2518" s="129"/>
      <c r="N2518" s="129"/>
      <c r="O2518" s="129"/>
    </row>
    <row r="2519" spans="1:15" ht="12.5">
      <c r="A2519" s="158" t="s">
        <v>20478</v>
      </c>
      <c r="B2519" s="159">
        <v>30</v>
      </c>
      <c r="C2519" s="159">
        <v>59</v>
      </c>
      <c r="D2519" s="159">
        <v>96</v>
      </c>
      <c r="E2519" s="130"/>
      <c r="F2519" s="131"/>
      <c r="G2519" s="132"/>
      <c r="H2519" s="162" t="s">
        <v>20479</v>
      </c>
      <c r="I2519" s="128"/>
      <c r="J2519" s="128"/>
      <c r="K2519" s="128"/>
      <c r="L2519" s="128"/>
      <c r="M2519" s="129"/>
      <c r="N2519" s="129"/>
      <c r="O2519" s="129"/>
    </row>
    <row r="2520" spans="1:15" ht="12.5">
      <c r="A2520" s="158" t="s">
        <v>20480</v>
      </c>
      <c r="B2520" s="159">
        <v>30</v>
      </c>
      <c r="C2520" s="159">
        <v>59</v>
      </c>
      <c r="D2520" s="159">
        <v>96</v>
      </c>
      <c r="E2520" s="159">
        <v>11</v>
      </c>
      <c r="F2520" s="131"/>
      <c r="G2520" s="132"/>
      <c r="H2520" s="162" t="s">
        <v>20481</v>
      </c>
      <c r="I2520" s="128"/>
      <c r="J2520" s="128"/>
      <c r="K2520" s="128"/>
      <c r="L2520" s="128"/>
      <c r="M2520" s="129"/>
      <c r="N2520" s="129"/>
      <c r="O2520" s="129"/>
    </row>
    <row r="2521" spans="1:15" ht="12.5">
      <c r="A2521" s="158" t="s">
        <v>20482</v>
      </c>
      <c r="B2521" s="159">
        <v>30</v>
      </c>
      <c r="C2521" s="159">
        <v>59</v>
      </c>
      <c r="D2521" s="159">
        <v>96</v>
      </c>
      <c r="E2521" s="159">
        <v>33</v>
      </c>
      <c r="F2521" s="131"/>
      <c r="G2521" s="132"/>
      <c r="H2521" s="162" t="s">
        <v>20483</v>
      </c>
      <c r="I2521" s="128"/>
      <c r="J2521" s="128"/>
      <c r="K2521" s="128"/>
      <c r="L2521" s="128"/>
      <c r="M2521" s="129"/>
      <c r="N2521" s="129"/>
      <c r="O2521" s="129"/>
    </row>
    <row r="2522" spans="1:15" ht="12.5">
      <c r="A2522" s="158" t="s">
        <v>20484</v>
      </c>
      <c r="B2522" s="159">
        <v>30</v>
      </c>
      <c r="C2522" s="159">
        <v>59</v>
      </c>
      <c r="D2522" s="159">
        <v>96</v>
      </c>
      <c r="E2522" s="159">
        <v>35</v>
      </c>
      <c r="F2522" s="131"/>
      <c r="G2522" s="132"/>
      <c r="H2522" s="162" t="s">
        <v>20485</v>
      </c>
      <c r="I2522" s="128"/>
      <c r="J2522" s="128"/>
      <c r="K2522" s="128"/>
      <c r="L2522" s="128"/>
      <c r="M2522" s="129"/>
      <c r="N2522" s="129"/>
      <c r="O2522" s="129"/>
    </row>
    <row r="2523" spans="1:15" ht="12.5">
      <c r="A2523" s="158" t="s">
        <v>20486</v>
      </c>
      <c r="B2523" s="159">
        <v>30</v>
      </c>
      <c r="C2523" s="159">
        <v>59</v>
      </c>
      <c r="D2523" s="159">
        <v>96</v>
      </c>
      <c r="E2523" s="159">
        <v>92</v>
      </c>
      <c r="F2523" s="131"/>
      <c r="G2523" s="132"/>
      <c r="H2523" s="162" t="s">
        <v>20487</v>
      </c>
      <c r="I2523" s="158" t="s">
        <v>20488</v>
      </c>
      <c r="J2523" s="128"/>
      <c r="K2523" s="128"/>
      <c r="L2523" s="128"/>
      <c r="M2523" s="129"/>
      <c r="N2523" s="129"/>
      <c r="O2523" s="129"/>
    </row>
    <row r="2524" spans="1:15" ht="12.5">
      <c r="A2524" s="158" t="s">
        <v>20489</v>
      </c>
      <c r="B2524" s="159">
        <v>30</v>
      </c>
      <c r="C2524" s="159">
        <v>59</v>
      </c>
      <c r="D2524" s="159">
        <v>96</v>
      </c>
      <c r="E2524" s="159">
        <v>93</v>
      </c>
      <c r="F2524" s="131"/>
      <c r="G2524" s="132"/>
      <c r="H2524" s="162" t="s">
        <v>20490</v>
      </c>
      <c r="I2524" s="158" t="s">
        <v>20491</v>
      </c>
      <c r="J2524" s="128"/>
      <c r="K2524" s="128"/>
      <c r="L2524" s="128"/>
      <c r="M2524" s="129"/>
      <c r="N2524" s="129"/>
      <c r="O2524" s="129"/>
    </row>
    <row r="2525" spans="1:15" ht="12.5">
      <c r="A2525" s="158" t="s">
        <v>20492</v>
      </c>
      <c r="B2525" s="159">
        <v>30</v>
      </c>
      <c r="C2525" s="159">
        <v>59</v>
      </c>
      <c r="D2525" s="159">
        <v>96</v>
      </c>
      <c r="E2525" s="159">
        <v>96</v>
      </c>
      <c r="F2525" s="131"/>
      <c r="G2525" s="132"/>
      <c r="H2525" s="162" t="s">
        <v>20493</v>
      </c>
      <c r="I2525" s="128"/>
      <c r="J2525" s="128"/>
      <c r="K2525" s="128"/>
      <c r="L2525" s="128"/>
      <c r="M2525" s="129"/>
      <c r="N2525" s="129"/>
      <c r="O2525" s="129"/>
    </row>
    <row r="2526" spans="1:15" ht="12.5">
      <c r="A2526" s="158" t="s">
        <v>20494</v>
      </c>
      <c r="B2526" s="159">
        <v>30</v>
      </c>
      <c r="C2526" s="159">
        <v>59</v>
      </c>
      <c r="D2526" s="159">
        <v>97</v>
      </c>
      <c r="E2526" s="130"/>
      <c r="F2526" s="131"/>
      <c r="G2526" s="132"/>
      <c r="H2526" s="162" t="s">
        <v>20495</v>
      </c>
      <c r="I2526" s="128"/>
      <c r="J2526" s="128"/>
      <c r="K2526" s="128"/>
      <c r="L2526" s="128"/>
      <c r="M2526" s="129"/>
      <c r="N2526" s="129"/>
      <c r="O2526" s="129"/>
    </row>
    <row r="2527" spans="1:15" ht="12.5">
      <c r="A2527" s="158" t="s">
        <v>20496</v>
      </c>
      <c r="B2527" s="159">
        <v>30</v>
      </c>
      <c r="C2527" s="159">
        <v>59</v>
      </c>
      <c r="D2527" s="159">
        <v>97</v>
      </c>
      <c r="E2527" s="159">
        <v>16</v>
      </c>
      <c r="F2527" s="131"/>
      <c r="G2527" s="132"/>
      <c r="H2527" s="162" t="s">
        <v>20497</v>
      </c>
      <c r="I2527" s="158" t="s">
        <v>20498</v>
      </c>
      <c r="J2527" s="128"/>
      <c r="K2527" s="128"/>
      <c r="L2527" s="128"/>
      <c r="M2527" s="129"/>
      <c r="N2527" s="129"/>
      <c r="O2527" s="129"/>
    </row>
    <row r="2528" spans="1:15" ht="12.5">
      <c r="A2528" s="158" t="s">
        <v>20499</v>
      </c>
      <c r="B2528" s="159">
        <v>30</v>
      </c>
      <c r="C2528" s="159">
        <v>59</v>
      </c>
      <c r="D2528" s="159">
        <v>97</v>
      </c>
      <c r="E2528" s="159">
        <v>80</v>
      </c>
      <c r="F2528" s="131"/>
      <c r="G2528" s="132"/>
      <c r="H2528" s="162" t="s">
        <v>20500</v>
      </c>
      <c r="I2528" s="158" t="s">
        <v>20501</v>
      </c>
      <c r="J2528" s="128"/>
      <c r="K2528" s="128"/>
      <c r="L2528" s="128"/>
      <c r="M2528" s="129"/>
      <c r="N2528" s="129"/>
      <c r="O2528" s="129"/>
    </row>
    <row r="2529" spans="1:15" ht="12.5">
      <c r="A2529" s="158" t="s">
        <v>20502</v>
      </c>
      <c r="B2529" s="159">
        <v>30</v>
      </c>
      <c r="C2529" s="159">
        <v>59</v>
      </c>
      <c r="D2529" s="159">
        <v>97</v>
      </c>
      <c r="E2529" s="159">
        <v>90</v>
      </c>
      <c r="F2529" s="131"/>
      <c r="G2529" s="132"/>
      <c r="H2529" s="162" t="s">
        <v>20503</v>
      </c>
      <c r="I2529" s="158" t="s">
        <v>20504</v>
      </c>
      <c r="J2529" s="128"/>
      <c r="K2529" s="128"/>
      <c r="L2529" s="128"/>
      <c r="M2529" s="129"/>
      <c r="N2529" s="129"/>
      <c r="O2529" s="129"/>
    </row>
    <row r="2530" spans="1:15" ht="12.5">
      <c r="A2530" s="158" t="s">
        <v>20505</v>
      </c>
      <c r="B2530" s="159">
        <v>30</v>
      </c>
      <c r="C2530" s="159">
        <v>59</v>
      </c>
      <c r="D2530" s="159">
        <v>97</v>
      </c>
      <c r="E2530" s="159">
        <v>94</v>
      </c>
      <c r="F2530" s="131"/>
      <c r="G2530" s="132"/>
      <c r="H2530" s="162" t="s">
        <v>20506</v>
      </c>
      <c r="I2530" s="158" t="s">
        <v>20507</v>
      </c>
      <c r="J2530" s="128"/>
      <c r="K2530" s="128"/>
      <c r="L2530" s="128"/>
      <c r="M2530" s="129"/>
      <c r="N2530" s="129"/>
      <c r="O2530" s="129"/>
    </row>
    <row r="2531" spans="1:15" ht="12.5">
      <c r="A2531" s="158" t="s">
        <v>20508</v>
      </c>
      <c r="B2531" s="159">
        <v>30</v>
      </c>
      <c r="C2531" s="159">
        <v>59</v>
      </c>
      <c r="D2531" s="159">
        <v>98</v>
      </c>
      <c r="E2531" s="130"/>
      <c r="F2531" s="131"/>
      <c r="G2531" s="132"/>
      <c r="H2531" s="162" t="s">
        <v>20509</v>
      </c>
      <c r="I2531" s="128"/>
      <c r="J2531" s="128"/>
      <c r="K2531" s="128"/>
      <c r="L2531" s="128"/>
      <c r="M2531" s="129"/>
      <c r="N2531" s="129"/>
      <c r="O2531" s="129"/>
    </row>
    <row r="2532" spans="1:15" ht="12.5">
      <c r="A2532" s="158" t="s">
        <v>20510</v>
      </c>
      <c r="B2532" s="159">
        <v>30</v>
      </c>
      <c r="C2532" s="159">
        <v>59</v>
      </c>
      <c r="D2532" s="159">
        <v>98</v>
      </c>
      <c r="E2532" s="159">
        <v>2</v>
      </c>
      <c r="F2532" s="131"/>
      <c r="G2532" s="132"/>
      <c r="H2532" s="162" t="s">
        <v>20511</v>
      </c>
      <c r="I2532" s="158" t="s">
        <v>20512</v>
      </c>
      <c r="J2532" s="128"/>
      <c r="K2532" s="128"/>
      <c r="L2532" s="128"/>
      <c r="M2532" s="129"/>
      <c r="N2532" s="129"/>
      <c r="O2532" s="129"/>
    </row>
    <row r="2533" spans="1:15" ht="12.5">
      <c r="A2533" s="158" t="s">
        <v>20513</v>
      </c>
      <c r="B2533" s="159">
        <v>30</v>
      </c>
      <c r="C2533" s="159">
        <v>59</v>
      </c>
      <c r="D2533" s="159">
        <v>98</v>
      </c>
      <c r="E2533" s="159">
        <v>3</v>
      </c>
      <c r="F2533" s="131"/>
      <c r="G2533" s="132"/>
      <c r="H2533" s="162" t="s">
        <v>20514</v>
      </c>
      <c r="I2533" s="158" t="s">
        <v>20515</v>
      </c>
      <c r="J2533" s="128"/>
      <c r="K2533" s="128"/>
      <c r="L2533" s="128"/>
      <c r="M2533" s="129"/>
      <c r="N2533" s="129"/>
      <c r="O2533" s="129"/>
    </row>
    <row r="2534" spans="1:15" ht="12.5">
      <c r="A2534" s="158" t="s">
        <v>20516</v>
      </c>
      <c r="B2534" s="159">
        <v>30</v>
      </c>
      <c r="C2534" s="159">
        <v>59</v>
      </c>
      <c r="D2534" s="159">
        <v>98</v>
      </c>
      <c r="E2534" s="159">
        <v>15</v>
      </c>
      <c r="F2534" s="131"/>
      <c r="G2534" s="132"/>
      <c r="H2534" s="162" t="s">
        <v>20517</v>
      </c>
      <c r="I2534" s="158" t="s">
        <v>20518</v>
      </c>
      <c r="J2534" s="128"/>
      <c r="K2534" s="128"/>
      <c r="L2534" s="128"/>
      <c r="M2534" s="129"/>
      <c r="N2534" s="129"/>
      <c r="O2534" s="129"/>
    </row>
    <row r="2535" spans="1:15" ht="12.5">
      <c r="A2535" s="158" t="s">
        <v>20521</v>
      </c>
      <c r="B2535" s="159">
        <v>30</v>
      </c>
      <c r="C2535" s="159">
        <v>59</v>
      </c>
      <c r="D2535" s="159">
        <v>98</v>
      </c>
      <c r="E2535" s="159">
        <v>72</v>
      </c>
      <c r="F2535" s="131"/>
      <c r="G2535" s="132"/>
      <c r="H2535" s="162" t="s">
        <v>20522</v>
      </c>
      <c r="I2535" s="158" t="s">
        <v>20523</v>
      </c>
      <c r="J2535" s="128"/>
      <c r="K2535" s="128"/>
      <c r="L2535" s="128"/>
      <c r="M2535" s="129"/>
      <c r="N2535" s="129"/>
      <c r="O2535" s="129"/>
    </row>
    <row r="2536" spans="1:15" ht="12.5">
      <c r="A2536" s="158" t="s">
        <v>20524</v>
      </c>
      <c r="B2536" s="159">
        <v>30</v>
      </c>
      <c r="C2536" s="159">
        <v>59</v>
      </c>
      <c r="D2536" s="159">
        <v>98</v>
      </c>
      <c r="E2536" s="159">
        <v>83</v>
      </c>
      <c r="F2536" s="131"/>
      <c r="G2536" s="132"/>
      <c r="H2536" s="162" t="s">
        <v>20525</v>
      </c>
      <c r="I2536" s="158" t="s">
        <v>20526</v>
      </c>
      <c r="J2536" s="128"/>
      <c r="K2536" s="128"/>
      <c r="L2536" s="128"/>
      <c r="M2536" s="129"/>
      <c r="N2536" s="129"/>
      <c r="O2536" s="129"/>
    </row>
    <row r="2537" spans="1:15" ht="12.5">
      <c r="A2537" s="158" t="s">
        <v>20527</v>
      </c>
      <c r="B2537" s="159">
        <v>30</v>
      </c>
      <c r="C2537" s="159">
        <v>59</v>
      </c>
      <c r="D2537" s="159">
        <v>98</v>
      </c>
      <c r="E2537" s="159">
        <v>84</v>
      </c>
      <c r="F2537" s="131"/>
      <c r="G2537" s="132"/>
      <c r="H2537" s="162" t="s">
        <v>20528</v>
      </c>
      <c r="I2537" s="158" t="s">
        <v>20529</v>
      </c>
      <c r="J2537" s="128"/>
      <c r="K2537" s="128"/>
      <c r="L2537" s="128"/>
      <c r="M2537" s="129"/>
      <c r="N2537" s="129"/>
      <c r="O2537" s="129"/>
    </row>
    <row r="2538" spans="1:15" ht="12.5">
      <c r="A2538" s="158" t="s">
        <v>20530</v>
      </c>
      <c r="B2538" s="159">
        <v>30</v>
      </c>
      <c r="C2538" s="159">
        <v>59</v>
      </c>
      <c r="D2538" s="159">
        <v>98</v>
      </c>
      <c r="E2538" s="159">
        <v>92</v>
      </c>
      <c r="F2538" s="131"/>
      <c r="G2538" s="132"/>
      <c r="H2538" s="162" t="s">
        <v>20531</v>
      </c>
      <c r="I2538" s="158" t="s">
        <v>20532</v>
      </c>
      <c r="J2538" s="128"/>
      <c r="K2538" s="128"/>
      <c r="L2538" s="128"/>
      <c r="M2538" s="129"/>
      <c r="N2538" s="129"/>
      <c r="O2538" s="129"/>
    </row>
    <row r="2539" spans="1:15" ht="12.5">
      <c r="A2539" s="158" t="s">
        <v>20536</v>
      </c>
      <c r="B2539" s="159">
        <v>30</v>
      </c>
      <c r="C2539" s="159">
        <v>59</v>
      </c>
      <c r="D2539" s="159">
        <v>98</v>
      </c>
      <c r="E2539" s="159">
        <v>96</v>
      </c>
      <c r="F2539" s="131"/>
      <c r="G2539" s="132"/>
      <c r="H2539" s="162" t="s">
        <v>20537</v>
      </c>
      <c r="I2539" s="158" t="s">
        <v>20538</v>
      </c>
      <c r="J2539" s="128"/>
      <c r="K2539" s="128"/>
      <c r="L2539" s="128"/>
      <c r="M2539" s="129"/>
      <c r="N2539" s="129"/>
      <c r="O2539" s="129"/>
    </row>
    <row r="2540" spans="1:15" ht="12.5">
      <c r="A2540" s="158" t="s">
        <v>20539</v>
      </c>
      <c r="B2540" s="159">
        <v>30</v>
      </c>
      <c r="C2540" s="159">
        <v>59</v>
      </c>
      <c r="D2540" s="159">
        <v>98</v>
      </c>
      <c r="E2540" s="159">
        <v>97</v>
      </c>
      <c r="F2540" s="131"/>
      <c r="G2540" s="132"/>
      <c r="H2540" s="162" t="s">
        <v>20540</v>
      </c>
      <c r="I2540" s="158" t="s">
        <v>20541</v>
      </c>
      <c r="J2540" s="128"/>
      <c r="K2540" s="128"/>
      <c r="L2540" s="128"/>
      <c r="M2540" s="129"/>
      <c r="N2540" s="129"/>
      <c r="O2540" s="129"/>
    </row>
    <row r="2541" spans="1:15" ht="12.5">
      <c r="A2541" s="158" t="s">
        <v>20542</v>
      </c>
      <c r="B2541" s="159">
        <v>30</v>
      </c>
      <c r="C2541" s="159">
        <v>59</v>
      </c>
      <c r="D2541" s="159">
        <v>99</v>
      </c>
      <c r="E2541" s="130"/>
      <c r="F2541" s="131"/>
      <c r="G2541" s="132"/>
      <c r="H2541" s="162" t="s">
        <v>20543</v>
      </c>
      <c r="I2541" s="128"/>
      <c r="J2541" s="128"/>
      <c r="K2541" s="128"/>
      <c r="L2541" s="128"/>
      <c r="M2541" s="129"/>
      <c r="N2541" s="129"/>
      <c r="O2541" s="129"/>
    </row>
    <row r="2542" spans="1:15" ht="12.5">
      <c r="A2542" s="158" t="s">
        <v>20544</v>
      </c>
      <c r="B2542" s="159">
        <v>30</v>
      </c>
      <c r="C2542" s="159">
        <v>59</v>
      </c>
      <c r="D2542" s="159">
        <v>99</v>
      </c>
      <c r="E2542" s="159">
        <v>2</v>
      </c>
      <c r="F2542" s="131"/>
      <c r="G2542" s="132"/>
      <c r="H2542" s="162" t="s">
        <v>20545</v>
      </c>
      <c r="I2542" s="158" t="s">
        <v>20546</v>
      </c>
      <c r="J2542" s="128"/>
      <c r="K2542" s="128"/>
      <c r="L2542" s="128"/>
      <c r="M2542" s="129"/>
      <c r="N2542" s="129"/>
      <c r="O2542" s="129"/>
    </row>
    <row r="2543" spans="1:15" ht="12.5">
      <c r="A2543" s="158" t="s">
        <v>20547</v>
      </c>
      <c r="B2543" s="159">
        <v>30</v>
      </c>
      <c r="C2543" s="159">
        <v>59</v>
      </c>
      <c r="D2543" s="159">
        <v>99</v>
      </c>
      <c r="E2543" s="159">
        <v>15</v>
      </c>
      <c r="F2543" s="131"/>
      <c r="G2543" s="132"/>
      <c r="H2543" s="162" t="s">
        <v>20548</v>
      </c>
      <c r="I2543" s="158" t="s">
        <v>20549</v>
      </c>
      <c r="J2543" s="128"/>
      <c r="K2543" s="128"/>
      <c r="L2543" s="128"/>
      <c r="M2543" s="129"/>
      <c r="N2543" s="129"/>
      <c r="O2543" s="129"/>
    </row>
    <row r="2544" spans="1:15" ht="12.5">
      <c r="A2544" s="158" t="s">
        <v>20550</v>
      </c>
      <c r="B2544" s="159">
        <v>30</v>
      </c>
      <c r="C2544" s="159">
        <v>59</v>
      </c>
      <c r="D2544" s="159">
        <v>99</v>
      </c>
      <c r="E2544" s="159">
        <v>83</v>
      </c>
      <c r="F2544" s="131"/>
      <c r="G2544" s="132"/>
      <c r="H2544" s="162" t="s">
        <v>20551</v>
      </c>
      <c r="I2544" s="158" t="s">
        <v>20552</v>
      </c>
      <c r="J2544" s="128"/>
      <c r="K2544" s="128"/>
      <c r="L2544" s="128"/>
      <c r="M2544" s="129"/>
      <c r="N2544" s="129"/>
      <c r="O2544" s="129"/>
    </row>
    <row r="2545" spans="1:15" ht="12.5">
      <c r="A2545" s="158" t="s">
        <v>20553</v>
      </c>
      <c r="B2545" s="159">
        <v>30</v>
      </c>
      <c r="C2545" s="159">
        <v>59</v>
      </c>
      <c r="D2545" s="159">
        <v>99</v>
      </c>
      <c r="E2545" s="159">
        <v>92</v>
      </c>
      <c r="F2545" s="131"/>
      <c r="G2545" s="132"/>
      <c r="H2545" s="162" t="s">
        <v>20554</v>
      </c>
      <c r="I2545" s="158" t="s">
        <v>20555</v>
      </c>
      <c r="J2545" s="128"/>
      <c r="K2545" s="128"/>
      <c r="L2545" s="128"/>
      <c r="M2545" s="129"/>
      <c r="N2545" s="129"/>
      <c r="O2545" s="129"/>
    </row>
    <row r="2546" spans="1:15" ht="12.5">
      <c r="A2546" s="158" t="s">
        <v>20556</v>
      </c>
      <c r="B2546" s="159">
        <v>30</v>
      </c>
      <c r="C2546" s="159">
        <v>59</v>
      </c>
      <c r="D2546" s="159">
        <v>99</v>
      </c>
      <c r="E2546" s="159">
        <v>96</v>
      </c>
      <c r="F2546" s="131"/>
      <c r="G2546" s="132"/>
      <c r="H2546" s="162" t="s">
        <v>20557</v>
      </c>
      <c r="I2546" s="158" t="s">
        <v>20558</v>
      </c>
      <c r="J2546" s="128"/>
      <c r="K2546" s="128"/>
      <c r="L2546" s="128"/>
      <c r="M2546" s="129"/>
      <c r="N2546" s="129"/>
      <c r="O2546" s="129"/>
    </row>
    <row r="2547" spans="1:15" ht="12.5">
      <c r="A2547" s="137" t="s">
        <v>20559</v>
      </c>
      <c r="B2547" s="138">
        <v>35</v>
      </c>
      <c r="C2547" s="139"/>
      <c r="D2547" s="139"/>
      <c r="E2547" s="139"/>
      <c r="F2547" s="140" t="s">
        <v>33401</v>
      </c>
      <c r="G2547" s="141"/>
      <c r="H2547" s="142" t="s">
        <v>20560</v>
      </c>
      <c r="I2547" s="143"/>
      <c r="J2547" s="143"/>
      <c r="K2547" s="143"/>
      <c r="L2547" s="143"/>
      <c r="M2547" s="192"/>
      <c r="N2547" s="192"/>
      <c r="O2547" s="192"/>
    </row>
    <row r="2548" spans="1:15" ht="12.5">
      <c r="A2548" s="144" t="s">
        <v>20561</v>
      </c>
      <c r="B2548" s="145">
        <v>35</v>
      </c>
      <c r="C2548" s="145">
        <v>31</v>
      </c>
      <c r="D2548" s="146"/>
      <c r="E2548" s="146"/>
      <c r="F2548" s="147" t="s">
        <v>33402</v>
      </c>
      <c r="G2548" s="190"/>
      <c r="H2548" s="149" t="s">
        <v>20562</v>
      </c>
      <c r="I2548" s="150"/>
      <c r="J2548" s="150"/>
      <c r="K2548" s="150"/>
      <c r="L2548" s="150"/>
      <c r="M2548" s="191"/>
      <c r="N2548" s="191"/>
      <c r="O2548" s="191"/>
    </row>
    <row r="2549" spans="1:15" ht="12.5">
      <c r="A2549" s="158" t="s">
        <v>20563</v>
      </c>
      <c r="B2549" s="159">
        <v>35</v>
      </c>
      <c r="C2549" s="159">
        <v>31</v>
      </c>
      <c r="D2549" s="159">
        <v>5</v>
      </c>
      <c r="E2549" s="130"/>
      <c r="F2549" s="131"/>
      <c r="G2549" s="132"/>
      <c r="H2549" s="162" t="s">
        <v>20564</v>
      </c>
      <c r="I2549" s="128"/>
      <c r="J2549" s="128"/>
      <c r="K2549" s="128"/>
      <c r="L2549" s="128"/>
      <c r="M2549" s="129"/>
      <c r="N2549" s="129"/>
      <c r="O2549" s="129"/>
    </row>
    <row r="2550" spans="1:15" ht="12.5">
      <c r="A2550" s="158" t="s">
        <v>20565</v>
      </c>
      <c r="B2550" s="159">
        <v>35</v>
      </c>
      <c r="C2550" s="159">
        <v>31</v>
      </c>
      <c r="D2550" s="159">
        <v>5</v>
      </c>
      <c r="E2550" s="159">
        <v>3</v>
      </c>
      <c r="F2550" s="131"/>
      <c r="G2550" s="132"/>
      <c r="H2550" s="162" t="s">
        <v>20566</v>
      </c>
      <c r="I2550" s="158" t="s">
        <v>20567</v>
      </c>
      <c r="J2550" s="128"/>
      <c r="K2550" s="128"/>
      <c r="L2550" s="128"/>
      <c r="M2550" s="129"/>
      <c r="N2550" s="129"/>
      <c r="O2550" s="129"/>
    </row>
    <row r="2551" spans="1:15" ht="12.5">
      <c r="A2551" s="158" t="s">
        <v>20568</v>
      </c>
      <c r="B2551" s="159">
        <v>35</v>
      </c>
      <c r="C2551" s="159">
        <v>31</v>
      </c>
      <c r="D2551" s="159">
        <v>5</v>
      </c>
      <c r="E2551" s="159">
        <v>4</v>
      </c>
      <c r="F2551" s="131"/>
      <c r="G2551" s="132"/>
      <c r="H2551" s="162" t="s">
        <v>20569</v>
      </c>
      <c r="I2551" s="158" t="s">
        <v>20570</v>
      </c>
      <c r="J2551" s="128"/>
      <c r="K2551" s="128"/>
      <c r="L2551" s="128"/>
      <c r="M2551" s="129"/>
      <c r="N2551" s="129"/>
      <c r="O2551" s="129"/>
    </row>
    <row r="2552" spans="1:15" ht="12.5">
      <c r="A2552" s="158" t="s">
        <v>20571</v>
      </c>
      <c r="B2552" s="159">
        <v>35</v>
      </c>
      <c r="C2552" s="159">
        <v>31</v>
      </c>
      <c r="D2552" s="159">
        <v>5</v>
      </c>
      <c r="E2552" s="159">
        <v>5</v>
      </c>
      <c r="F2552" s="131"/>
      <c r="G2552" s="132"/>
      <c r="H2552" s="162" t="s">
        <v>20572</v>
      </c>
      <c r="I2552" s="158" t="s">
        <v>20573</v>
      </c>
      <c r="J2552" s="128"/>
      <c r="K2552" s="128"/>
      <c r="L2552" s="128"/>
      <c r="M2552" s="129"/>
      <c r="N2552" s="129"/>
      <c r="O2552" s="129"/>
    </row>
    <row r="2553" spans="1:15" ht="12.5">
      <c r="A2553" s="158" t="s">
        <v>20574</v>
      </c>
      <c r="B2553" s="159">
        <v>35</v>
      </c>
      <c r="C2553" s="159">
        <v>31</v>
      </c>
      <c r="D2553" s="159">
        <v>5</v>
      </c>
      <c r="E2553" s="159">
        <v>7</v>
      </c>
      <c r="F2553" s="131"/>
      <c r="G2553" s="132"/>
      <c r="H2553" s="162" t="s">
        <v>20575</v>
      </c>
      <c r="I2553" s="158" t="s">
        <v>20576</v>
      </c>
      <c r="J2553" s="128"/>
      <c r="K2553" s="128"/>
      <c r="L2553" s="128"/>
      <c r="M2553" s="129"/>
      <c r="N2553" s="129"/>
      <c r="O2553" s="129"/>
    </row>
    <row r="2554" spans="1:15" ht="12.5">
      <c r="A2554" s="158" t="s">
        <v>20577</v>
      </c>
      <c r="B2554" s="159">
        <v>35</v>
      </c>
      <c r="C2554" s="159">
        <v>31</v>
      </c>
      <c r="D2554" s="159">
        <v>5</v>
      </c>
      <c r="E2554" s="159">
        <v>8</v>
      </c>
      <c r="F2554" s="131"/>
      <c r="G2554" s="132"/>
      <c r="H2554" s="162" t="s">
        <v>20578</v>
      </c>
      <c r="I2554" s="158" t="s">
        <v>20579</v>
      </c>
      <c r="J2554" s="128"/>
      <c r="K2554" s="128"/>
      <c r="L2554" s="128"/>
      <c r="M2554" s="129"/>
      <c r="N2554" s="129"/>
      <c r="O2554" s="129"/>
    </row>
    <row r="2555" spans="1:15" ht="12.5">
      <c r="A2555" s="158" t="s">
        <v>20580</v>
      </c>
      <c r="B2555" s="159">
        <v>35</v>
      </c>
      <c r="C2555" s="159">
        <v>31</v>
      </c>
      <c r="D2555" s="159">
        <v>5</v>
      </c>
      <c r="E2555" s="159">
        <v>10</v>
      </c>
      <c r="F2555" s="131"/>
      <c r="G2555" s="132"/>
      <c r="H2555" s="162" t="s">
        <v>20581</v>
      </c>
      <c r="I2555" s="158" t="s">
        <v>20582</v>
      </c>
      <c r="J2555" s="128"/>
      <c r="K2555" s="128"/>
      <c r="L2555" s="128"/>
      <c r="M2555" s="129"/>
      <c r="N2555" s="129"/>
      <c r="O2555" s="129"/>
    </row>
    <row r="2556" spans="1:15" ht="12.5">
      <c r="A2556" s="158" t="s">
        <v>20583</v>
      </c>
      <c r="B2556" s="159">
        <v>35</v>
      </c>
      <c r="C2556" s="159">
        <v>31</v>
      </c>
      <c r="D2556" s="159">
        <v>5</v>
      </c>
      <c r="E2556" s="159">
        <v>19</v>
      </c>
      <c r="F2556" s="131"/>
      <c r="G2556" s="132"/>
      <c r="H2556" s="162" t="s">
        <v>20584</v>
      </c>
      <c r="I2556" s="158" t="s">
        <v>20585</v>
      </c>
      <c r="J2556" s="128"/>
      <c r="K2556" s="128"/>
      <c r="L2556" s="128"/>
      <c r="M2556" s="129"/>
      <c r="N2556" s="129"/>
      <c r="O2556" s="129"/>
    </row>
    <row r="2557" spans="1:15" ht="12.5">
      <c r="A2557" s="158" t="s">
        <v>20586</v>
      </c>
      <c r="B2557" s="159">
        <v>35</v>
      </c>
      <c r="C2557" s="159">
        <v>31</v>
      </c>
      <c r="D2557" s="159">
        <v>5</v>
      </c>
      <c r="E2557" s="159">
        <v>36</v>
      </c>
      <c r="F2557" s="131"/>
      <c r="G2557" s="132"/>
      <c r="H2557" s="162" t="s">
        <v>20587</v>
      </c>
      <c r="I2557" s="158" t="s">
        <v>20588</v>
      </c>
      <c r="J2557" s="128"/>
      <c r="K2557" s="128"/>
      <c r="L2557" s="128"/>
      <c r="M2557" s="129"/>
      <c r="N2557" s="129"/>
      <c r="O2557" s="129"/>
    </row>
    <row r="2558" spans="1:15" ht="12.5">
      <c r="A2558" s="158" t="s">
        <v>20589</v>
      </c>
      <c r="B2558" s="159">
        <v>35</v>
      </c>
      <c r="C2558" s="159">
        <v>31</v>
      </c>
      <c r="D2558" s="159">
        <v>5</v>
      </c>
      <c r="E2558" s="159">
        <v>37</v>
      </c>
      <c r="F2558" s="131"/>
      <c r="G2558" s="132"/>
      <c r="H2558" s="162" t="s">
        <v>20590</v>
      </c>
      <c r="I2558" s="158" t="s">
        <v>20591</v>
      </c>
      <c r="J2558" s="128"/>
      <c r="K2558" s="128"/>
      <c r="L2558" s="128"/>
      <c r="M2558" s="129"/>
      <c r="N2558" s="129"/>
      <c r="O2558" s="129"/>
    </row>
    <row r="2559" spans="1:15" ht="12.5">
      <c r="A2559" s="158" t="s">
        <v>20592</v>
      </c>
      <c r="B2559" s="159">
        <v>35</v>
      </c>
      <c r="C2559" s="159">
        <v>31</v>
      </c>
      <c r="D2559" s="159">
        <v>5</v>
      </c>
      <c r="E2559" s="159">
        <v>38</v>
      </c>
      <c r="F2559" s="131"/>
      <c r="G2559" s="132"/>
      <c r="H2559" s="162" t="s">
        <v>20593</v>
      </c>
      <c r="I2559" s="158" t="s">
        <v>20594</v>
      </c>
      <c r="J2559" s="128"/>
      <c r="K2559" s="128"/>
      <c r="L2559" s="128"/>
      <c r="M2559" s="129"/>
      <c r="N2559" s="129"/>
      <c r="O2559" s="129"/>
    </row>
    <row r="2560" spans="1:15" ht="12.5">
      <c r="A2560" s="158" t="s">
        <v>20595</v>
      </c>
      <c r="B2560" s="159">
        <v>35</v>
      </c>
      <c r="C2560" s="159">
        <v>31</v>
      </c>
      <c r="D2560" s="159">
        <v>5</v>
      </c>
      <c r="E2560" s="159">
        <v>39</v>
      </c>
      <c r="F2560" s="131"/>
      <c r="G2560" s="132"/>
      <c r="H2560" s="162" t="s">
        <v>20596</v>
      </c>
      <c r="I2560" s="158" t="s">
        <v>20597</v>
      </c>
      <c r="J2560" s="128"/>
      <c r="K2560" s="128"/>
      <c r="L2560" s="128"/>
      <c r="M2560" s="129"/>
      <c r="N2560" s="129"/>
      <c r="O2560" s="129"/>
    </row>
    <row r="2561" spans="1:15" ht="12.5">
      <c r="A2561" s="158" t="s">
        <v>20598</v>
      </c>
      <c r="B2561" s="159">
        <v>35</v>
      </c>
      <c r="C2561" s="159">
        <v>31</v>
      </c>
      <c r="D2561" s="159">
        <v>5</v>
      </c>
      <c r="E2561" s="159">
        <v>40</v>
      </c>
      <c r="F2561" s="131"/>
      <c r="G2561" s="132"/>
      <c r="H2561" s="162" t="s">
        <v>20599</v>
      </c>
      <c r="I2561" s="158" t="s">
        <v>20600</v>
      </c>
      <c r="J2561" s="128"/>
      <c r="K2561" s="128"/>
      <c r="L2561" s="128"/>
      <c r="M2561" s="129"/>
      <c r="N2561" s="129"/>
      <c r="O2561" s="129"/>
    </row>
    <row r="2562" spans="1:15" ht="12.5">
      <c r="A2562" s="158" t="s">
        <v>20601</v>
      </c>
      <c r="B2562" s="159">
        <v>35</v>
      </c>
      <c r="C2562" s="159">
        <v>31</v>
      </c>
      <c r="D2562" s="159">
        <v>5</v>
      </c>
      <c r="E2562" s="159">
        <v>42</v>
      </c>
      <c r="F2562" s="131"/>
      <c r="G2562" s="132"/>
      <c r="H2562" s="162" t="s">
        <v>20602</v>
      </c>
      <c r="I2562" s="158" t="s">
        <v>20603</v>
      </c>
      <c r="J2562" s="128"/>
      <c r="K2562" s="128"/>
      <c r="L2562" s="128"/>
      <c r="M2562" s="129"/>
      <c r="N2562" s="129"/>
      <c r="O2562" s="129"/>
    </row>
    <row r="2563" spans="1:15" ht="12.5">
      <c r="A2563" s="158" t="s">
        <v>20604</v>
      </c>
      <c r="B2563" s="159">
        <v>35</v>
      </c>
      <c r="C2563" s="159">
        <v>31</v>
      </c>
      <c r="D2563" s="159">
        <v>5</v>
      </c>
      <c r="E2563" s="159">
        <v>50</v>
      </c>
      <c r="F2563" s="131"/>
      <c r="G2563" s="132"/>
      <c r="H2563" s="162" t="s">
        <v>20605</v>
      </c>
      <c r="I2563" s="158" t="s">
        <v>20606</v>
      </c>
      <c r="J2563" s="128"/>
      <c r="K2563" s="128"/>
      <c r="L2563" s="128"/>
      <c r="M2563" s="129"/>
      <c r="N2563" s="129"/>
      <c r="O2563" s="129"/>
    </row>
    <row r="2564" spans="1:15" ht="12.5">
      <c r="A2564" s="158" t="s">
        <v>20607</v>
      </c>
      <c r="B2564" s="159">
        <v>35</v>
      </c>
      <c r="C2564" s="159">
        <v>31</v>
      </c>
      <c r="D2564" s="159">
        <v>5</v>
      </c>
      <c r="E2564" s="159">
        <v>60</v>
      </c>
      <c r="F2564" s="131"/>
      <c r="G2564" s="132"/>
      <c r="H2564" s="162" t="s">
        <v>20608</v>
      </c>
      <c r="I2564" s="158" t="s">
        <v>20588</v>
      </c>
      <c r="J2564" s="128"/>
      <c r="K2564" s="128"/>
      <c r="L2564" s="128"/>
      <c r="M2564" s="129"/>
      <c r="N2564" s="129"/>
      <c r="O2564" s="129"/>
    </row>
    <row r="2565" spans="1:15" ht="12.5">
      <c r="A2565" s="158" t="s">
        <v>20609</v>
      </c>
      <c r="B2565" s="159">
        <v>35</v>
      </c>
      <c r="C2565" s="159">
        <v>31</v>
      </c>
      <c r="D2565" s="159">
        <v>5</v>
      </c>
      <c r="E2565" s="159">
        <v>64</v>
      </c>
      <c r="F2565" s="131"/>
      <c r="G2565" s="132"/>
      <c r="H2565" s="162" t="s">
        <v>20610</v>
      </c>
      <c r="I2565" s="158" t="s">
        <v>20611</v>
      </c>
      <c r="J2565" s="128"/>
      <c r="K2565" s="128"/>
      <c r="L2565" s="128"/>
      <c r="M2565" s="129"/>
      <c r="N2565" s="129"/>
      <c r="O2565" s="129"/>
    </row>
    <row r="2566" spans="1:15" ht="12.5">
      <c r="A2566" s="158" t="s">
        <v>20612</v>
      </c>
      <c r="B2566" s="159">
        <v>35</v>
      </c>
      <c r="C2566" s="159">
        <v>31</v>
      </c>
      <c r="D2566" s="159">
        <v>5</v>
      </c>
      <c r="E2566" s="159">
        <v>65</v>
      </c>
      <c r="F2566" s="131"/>
      <c r="G2566" s="132"/>
      <c r="H2566" s="162" t="s">
        <v>20613</v>
      </c>
      <c r="I2566" s="158" t="s">
        <v>20614</v>
      </c>
      <c r="J2566" s="128"/>
      <c r="K2566" s="128"/>
      <c r="L2566" s="128"/>
      <c r="M2566" s="129"/>
      <c r="N2566" s="129"/>
      <c r="O2566" s="129"/>
    </row>
    <row r="2567" spans="1:15" ht="12.5">
      <c r="A2567" s="158" t="s">
        <v>20615</v>
      </c>
      <c r="B2567" s="159">
        <v>35</v>
      </c>
      <c r="C2567" s="159">
        <v>31</v>
      </c>
      <c r="D2567" s="159">
        <v>5</v>
      </c>
      <c r="E2567" s="159">
        <v>70</v>
      </c>
      <c r="F2567" s="131"/>
      <c r="G2567" s="132"/>
      <c r="H2567" s="162" t="s">
        <v>20616</v>
      </c>
      <c r="I2567" s="158" t="s">
        <v>20617</v>
      </c>
      <c r="J2567" s="128"/>
      <c r="K2567" s="128"/>
      <c r="L2567" s="128"/>
      <c r="M2567" s="129"/>
      <c r="N2567" s="129"/>
      <c r="O2567" s="129"/>
    </row>
    <row r="2568" spans="1:15" ht="12.5">
      <c r="A2568" s="158" t="s">
        <v>20618</v>
      </c>
      <c r="B2568" s="159">
        <v>35</v>
      </c>
      <c r="C2568" s="159">
        <v>31</v>
      </c>
      <c r="D2568" s="159">
        <v>5</v>
      </c>
      <c r="E2568" s="159">
        <v>71</v>
      </c>
      <c r="F2568" s="131"/>
      <c r="G2568" s="132"/>
      <c r="H2568" s="162" t="s">
        <v>20619</v>
      </c>
      <c r="I2568" s="158" t="s">
        <v>20620</v>
      </c>
      <c r="J2568" s="128"/>
      <c r="K2568" s="128"/>
      <c r="L2568" s="128"/>
      <c r="M2568" s="129"/>
      <c r="N2568" s="129"/>
      <c r="O2568" s="129"/>
    </row>
    <row r="2569" spans="1:15" ht="12.5">
      <c r="A2569" s="158" t="s">
        <v>20621</v>
      </c>
      <c r="B2569" s="159">
        <v>35</v>
      </c>
      <c r="C2569" s="159">
        <v>31</v>
      </c>
      <c r="D2569" s="159">
        <v>5</v>
      </c>
      <c r="E2569" s="159">
        <v>72</v>
      </c>
      <c r="F2569" s="131"/>
      <c r="G2569" s="132"/>
      <c r="H2569" s="162" t="s">
        <v>20622</v>
      </c>
      <c r="I2569" s="158" t="s">
        <v>20623</v>
      </c>
      <c r="J2569" s="128"/>
      <c r="K2569" s="128"/>
      <c r="L2569" s="128"/>
      <c r="M2569" s="129"/>
      <c r="N2569" s="129"/>
      <c r="O2569" s="129"/>
    </row>
    <row r="2570" spans="1:15" ht="12.5">
      <c r="A2570" s="158" t="s">
        <v>20624</v>
      </c>
      <c r="B2570" s="159">
        <v>35</v>
      </c>
      <c r="C2570" s="159">
        <v>31</v>
      </c>
      <c r="D2570" s="159">
        <v>5</v>
      </c>
      <c r="E2570" s="159">
        <v>75</v>
      </c>
      <c r="F2570" s="131"/>
      <c r="G2570" s="132"/>
      <c r="H2570" s="162" t="s">
        <v>20625</v>
      </c>
      <c r="I2570" s="128"/>
      <c r="J2570" s="128"/>
      <c r="K2570" s="128"/>
      <c r="L2570" s="128"/>
      <c r="M2570" s="129"/>
      <c r="N2570" s="129"/>
      <c r="O2570" s="129"/>
    </row>
    <row r="2571" spans="1:15" ht="12.5">
      <c r="A2571" s="158" t="s">
        <v>20626</v>
      </c>
      <c r="B2571" s="159">
        <v>35</v>
      </c>
      <c r="C2571" s="159">
        <v>31</v>
      </c>
      <c r="D2571" s="159">
        <v>5</v>
      </c>
      <c r="E2571" s="159">
        <v>83</v>
      </c>
      <c r="F2571" s="131"/>
      <c r="G2571" s="132"/>
      <c r="H2571" s="162" t="s">
        <v>20627</v>
      </c>
      <c r="I2571" s="158" t="s">
        <v>20628</v>
      </c>
      <c r="J2571" s="128"/>
      <c r="K2571" s="128"/>
      <c r="L2571" s="128"/>
      <c r="M2571" s="129"/>
      <c r="N2571" s="129"/>
      <c r="O2571" s="129"/>
    </row>
    <row r="2572" spans="1:15" ht="12.5">
      <c r="A2572" s="158" t="s">
        <v>20629</v>
      </c>
      <c r="B2572" s="159">
        <v>35</v>
      </c>
      <c r="C2572" s="159">
        <v>31</v>
      </c>
      <c r="D2572" s="159">
        <v>5</v>
      </c>
      <c r="E2572" s="159">
        <v>84</v>
      </c>
      <c r="F2572" s="131"/>
      <c r="G2572" s="132"/>
      <c r="H2572" s="162" t="s">
        <v>20630</v>
      </c>
      <c r="I2572" s="158" t="s">
        <v>20631</v>
      </c>
      <c r="J2572" s="128"/>
      <c r="K2572" s="128"/>
      <c r="L2572" s="128"/>
      <c r="M2572" s="129"/>
      <c r="N2572" s="129"/>
      <c r="O2572" s="129"/>
    </row>
    <row r="2573" spans="1:15" ht="12.5">
      <c r="A2573" s="158" t="s">
        <v>20632</v>
      </c>
      <c r="B2573" s="159">
        <v>35</v>
      </c>
      <c r="C2573" s="159">
        <v>31</v>
      </c>
      <c r="D2573" s="159">
        <v>5</v>
      </c>
      <c r="E2573" s="159">
        <v>85</v>
      </c>
      <c r="F2573" s="131"/>
      <c r="G2573" s="132"/>
      <c r="H2573" s="162" t="s">
        <v>20633</v>
      </c>
      <c r="I2573" s="158" t="s">
        <v>20634</v>
      </c>
      <c r="J2573" s="128"/>
      <c r="K2573" s="128"/>
      <c r="L2573" s="128"/>
      <c r="M2573" s="129"/>
      <c r="N2573" s="129"/>
      <c r="O2573" s="129"/>
    </row>
    <row r="2574" spans="1:15" ht="12.5">
      <c r="A2574" s="158" t="s">
        <v>20635</v>
      </c>
      <c r="B2574" s="159">
        <v>35</v>
      </c>
      <c r="C2574" s="159">
        <v>31</v>
      </c>
      <c r="D2574" s="159">
        <v>6</v>
      </c>
      <c r="E2574" s="130"/>
      <c r="F2574" s="131"/>
      <c r="G2574" s="132"/>
      <c r="H2574" s="162" t="s">
        <v>20636</v>
      </c>
      <c r="I2574" s="128"/>
      <c r="J2574" s="128"/>
      <c r="K2574" s="128"/>
      <c r="L2574" s="128"/>
      <c r="M2574" s="129"/>
      <c r="N2574" s="129"/>
      <c r="O2574" s="129"/>
    </row>
    <row r="2575" spans="1:15" ht="12.5">
      <c r="A2575" s="158" t="s">
        <v>20637</v>
      </c>
      <c r="B2575" s="159">
        <v>35</v>
      </c>
      <c r="C2575" s="159">
        <v>31</v>
      </c>
      <c r="D2575" s="159">
        <v>6</v>
      </c>
      <c r="E2575" s="159">
        <v>12</v>
      </c>
      <c r="F2575" s="131"/>
      <c r="G2575" s="132"/>
      <c r="H2575" s="162" t="s">
        <v>20638</v>
      </c>
      <c r="I2575" s="158" t="s">
        <v>20639</v>
      </c>
      <c r="J2575" s="128"/>
      <c r="K2575" s="128"/>
      <c r="L2575" s="128"/>
      <c r="M2575" s="129"/>
      <c r="N2575" s="129"/>
      <c r="O2575" s="129"/>
    </row>
    <row r="2576" spans="1:15" ht="12.5">
      <c r="A2576" s="158" t="s">
        <v>20640</v>
      </c>
      <c r="B2576" s="159">
        <v>35</v>
      </c>
      <c r="C2576" s="159">
        <v>31</v>
      </c>
      <c r="D2576" s="159">
        <v>6</v>
      </c>
      <c r="E2576" s="159">
        <v>15</v>
      </c>
      <c r="F2576" s="131"/>
      <c r="G2576" s="132"/>
      <c r="H2576" s="162" t="s">
        <v>20641</v>
      </c>
      <c r="I2576" s="158" t="s">
        <v>20642</v>
      </c>
      <c r="J2576" s="128"/>
      <c r="K2576" s="128"/>
      <c r="L2576" s="128"/>
      <c r="M2576" s="129"/>
      <c r="N2576" s="129"/>
      <c r="O2576" s="129"/>
    </row>
    <row r="2577" spans="1:15" ht="12.5">
      <c r="A2577" s="158" t="s">
        <v>20643</v>
      </c>
      <c r="B2577" s="159">
        <v>35</v>
      </c>
      <c r="C2577" s="159">
        <v>31</v>
      </c>
      <c r="D2577" s="159">
        <v>6</v>
      </c>
      <c r="E2577" s="159">
        <v>28</v>
      </c>
      <c r="F2577" s="131"/>
      <c r="G2577" s="132"/>
      <c r="H2577" s="162" t="s">
        <v>20644</v>
      </c>
      <c r="I2577" s="158" t="s">
        <v>20645</v>
      </c>
      <c r="J2577" s="128"/>
      <c r="K2577" s="128"/>
      <c r="L2577" s="128"/>
      <c r="M2577" s="129"/>
      <c r="N2577" s="129"/>
      <c r="O2577" s="129"/>
    </row>
    <row r="2578" spans="1:15" ht="12.5">
      <c r="A2578" s="158" t="s">
        <v>20646</v>
      </c>
      <c r="B2578" s="159">
        <v>35</v>
      </c>
      <c r="C2578" s="159">
        <v>31</v>
      </c>
      <c r="D2578" s="159">
        <v>6</v>
      </c>
      <c r="E2578" s="159">
        <v>29</v>
      </c>
      <c r="F2578" s="131"/>
      <c r="G2578" s="132"/>
      <c r="H2578" s="162" t="s">
        <v>20647</v>
      </c>
      <c r="I2578" s="158" t="s">
        <v>20648</v>
      </c>
      <c r="J2578" s="128"/>
      <c r="K2578" s="128"/>
      <c r="L2578" s="128"/>
      <c r="M2578" s="129"/>
      <c r="N2578" s="129"/>
      <c r="O2578" s="129"/>
    </row>
    <row r="2579" spans="1:15" ht="12.5">
      <c r="A2579" s="158" t="s">
        <v>20649</v>
      </c>
      <c r="B2579" s="159">
        <v>35</v>
      </c>
      <c r="C2579" s="159">
        <v>31</v>
      </c>
      <c r="D2579" s="159">
        <v>6</v>
      </c>
      <c r="E2579" s="159">
        <v>31</v>
      </c>
      <c r="F2579" s="131"/>
      <c r="G2579" s="132"/>
      <c r="H2579" s="162" t="s">
        <v>20650</v>
      </c>
      <c r="I2579" s="158" t="s">
        <v>20651</v>
      </c>
      <c r="J2579" s="128"/>
      <c r="K2579" s="128"/>
      <c r="L2579" s="128"/>
      <c r="M2579" s="129"/>
      <c r="N2579" s="129"/>
      <c r="O2579" s="129"/>
    </row>
    <row r="2580" spans="1:15" ht="12.5">
      <c r="A2580" s="158" t="s">
        <v>20652</v>
      </c>
      <c r="B2580" s="159">
        <v>35</v>
      </c>
      <c r="C2580" s="159">
        <v>31</v>
      </c>
      <c r="D2580" s="159">
        <v>6</v>
      </c>
      <c r="E2580" s="159">
        <v>32</v>
      </c>
      <c r="F2580" s="131"/>
      <c r="G2580" s="132"/>
      <c r="H2580" s="162" t="s">
        <v>20653</v>
      </c>
      <c r="I2580" s="158" t="s">
        <v>20654</v>
      </c>
      <c r="J2580" s="128"/>
      <c r="K2580" s="128"/>
      <c r="L2580" s="128"/>
      <c r="M2580" s="129"/>
      <c r="N2580" s="129"/>
      <c r="O2580" s="129"/>
    </row>
    <row r="2581" spans="1:15" ht="12.5">
      <c r="A2581" s="158" t="s">
        <v>20655</v>
      </c>
      <c r="B2581" s="159">
        <v>35</v>
      </c>
      <c r="C2581" s="159">
        <v>31</v>
      </c>
      <c r="D2581" s="159">
        <v>6</v>
      </c>
      <c r="E2581" s="159">
        <v>36</v>
      </c>
      <c r="F2581" s="131"/>
      <c r="G2581" s="132"/>
      <c r="H2581" s="162" t="s">
        <v>33403</v>
      </c>
      <c r="I2581" s="158" t="s">
        <v>20657</v>
      </c>
      <c r="J2581" s="128"/>
      <c r="K2581" s="128"/>
      <c r="L2581" s="128"/>
      <c r="M2581" s="129"/>
      <c r="N2581" s="129"/>
      <c r="O2581" s="129"/>
    </row>
    <row r="2582" spans="1:15" ht="12.5">
      <c r="A2582" s="158" t="s">
        <v>20658</v>
      </c>
      <c r="B2582" s="159">
        <v>35</v>
      </c>
      <c r="C2582" s="159">
        <v>31</v>
      </c>
      <c r="D2582" s="159">
        <v>6</v>
      </c>
      <c r="E2582" s="159">
        <v>37</v>
      </c>
      <c r="F2582" s="131"/>
      <c r="G2582" s="132"/>
      <c r="H2582" s="162" t="s">
        <v>33404</v>
      </c>
      <c r="I2582" s="158" t="s">
        <v>20660</v>
      </c>
      <c r="J2582" s="128"/>
      <c r="K2582" s="128"/>
      <c r="L2582" s="128"/>
      <c r="M2582" s="129"/>
      <c r="N2582" s="129"/>
      <c r="O2582" s="129"/>
    </row>
    <row r="2583" spans="1:15" ht="12.5">
      <c r="A2583" s="158" t="s">
        <v>20661</v>
      </c>
      <c r="B2583" s="159">
        <v>35</v>
      </c>
      <c r="C2583" s="159">
        <v>31</v>
      </c>
      <c r="D2583" s="159">
        <v>6</v>
      </c>
      <c r="E2583" s="159">
        <v>38</v>
      </c>
      <c r="F2583" s="131"/>
      <c r="G2583" s="132"/>
      <c r="H2583" s="162" t="s">
        <v>20662</v>
      </c>
      <c r="I2583" s="158" t="s">
        <v>20663</v>
      </c>
      <c r="J2583" s="128"/>
      <c r="K2583" s="128"/>
      <c r="L2583" s="128"/>
      <c r="M2583" s="129"/>
      <c r="N2583" s="129"/>
      <c r="O2583" s="129"/>
    </row>
    <row r="2584" spans="1:15" ht="12.5">
      <c r="A2584" s="158" t="s">
        <v>20664</v>
      </c>
      <c r="B2584" s="159">
        <v>35</v>
      </c>
      <c r="C2584" s="159">
        <v>31</v>
      </c>
      <c r="D2584" s="159">
        <v>6</v>
      </c>
      <c r="E2584" s="159">
        <v>47</v>
      </c>
      <c r="F2584" s="131"/>
      <c r="G2584" s="132"/>
      <c r="H2584" s="162" t="s">
        <v>20665</v>
      </c>
      <c r="I2584" s="158" t="s">
        <v>20666</v>
      </c>
      <c r="J2584" s="128"/>
      <c r="K2584" s="128"/>
      <c r="L2584" s="128"/>
      <c r="M2584" s="129"/>
      <c r="N2584" s="129"/>
      <c r="O2584" s="129"/>
    </row>
    <row r="2585" spans="1:15" ht="12.5">
      <c r="A2585" s="158" t="s">
        <v>20667</v>
      </c>
      <c r="B2585" s="159">
        <v>35</v>
      </c>
      <c r="C2585" s="159">
        <v>31</v>
      </c>
      <c r="D2585" s="159">
        <v>6</v>
      </c>
      <c r="E2585" s="159">
        <v>55</v>
      </c>
      <c r="F2585" s="131"/>
      <c r="G2585" s="132"/>
      <c r="H2585" s="162" t="s">
        <v>20668</v>
      </c>
      <c r="I2585" s="158" t="s">
        <v>20669</v>
      </c>
      <c r="J2585" s="128"/>
      <c r="K2585" s="128"/>
      <c r="L2585" s="128"/>
      <c r="M2585" s="129"/>
      <c r="N2585" s="129"/>
      <c r="O2585" s="129"/>
    </row>
    <row r="2586" spans="1:15" ht="12.5">
      <c r="A2586" s="158" t="s">
        <v>20670</v>
      </c>
      <c r="B2586" s="159">
        <v>35</v>
      </c>
      <c r="C2586" s="159">
        <v>31</v>
      </c>
      <c r="D2586" s="159">
        <v>6</v>
      </c>
      <c r="E2586" s="159">
        <v>64</v>
      </c>
      <c r="F2586" s="131"/>
      <c r="G2586" s="132"/>
      <c r="H2586" s="162" t="s">
        <v>20671</v>
      </c>
      <c r="I2586" s="158" t="s">
        <v>15060</v>
      </c>
      <c r="J2586" s="128"/>
      <c r="K2586" s="128"/>
      <c r="L2586" s="128"/>
      <c r="M2586" s="129"/>
      <c r="N2586" s="129"/>
      <c r="O2586" s="129"/>
    </row>
    <row r="2587" spans="1:15" ht="12.5">
      <c r="A2587" s="158" t="s">
        <v>20672</v>
      </c>
      <c r="B2587" s="159">
        <v>35</v>
      </c>
      <c r="C2587" s="159">
        <v>31</v>
      </c>
      <c r="D2587" s="159">
        <v>6</v>
      </c>
      <c r="E2587" s="159">
        <v>65</v>
      </c>
      <c r="F2587" s="131"/>
      <c r="G2587" s="132"/>
      <c r="H2587" s="162" t="s">
        <v>20673</v>
      </c>
      <c r="I2587" s="158" t="s">
        <v>20674</v>
      </c>
      <c r="J2587" s="128"/>
      <c r="K2587" s="128"/>
      <c r="L2587" s="128"/>
      <c r="M2587" s="129"/>
      <c r="N2587" s="129"/>
      <c r="O2587" s="129"/>
    </row>
    <row r="2588" spans="1:15" ht="12.5">
      <c r="A2588" s="158" t="s">
        <v>20675</v>
      </c>
      <c r="B2588" s="159">
        <v>35</v>
      </c>
      <c r="C2588" s="159">
        <v>31</v>
      </c>
      <c r="D2588" s="159">
        <v>6</v>
      </c>
      <c r="E2588" s="159">
        <v>69</v>
      </c>
      <c r="F2588" s="131"/>
      <c r="G2588" s="132"/>
      <c r="H2588" s="162" t="s">
        <v>20676</v>
      </c>
      <c r="I2588" s="158" t="s">
        <v>20677</v>
      </c>
      <c r="J2588" s="128"/>
      <c r="K2588" s="128"/>
      <c r="L2588" s="128"/>
      <c r="M2588" s="129"/>
      <c r="N2588" s="129"/>
      <c r="O2588" s="129"/>
    </row>
    <row r="2589" spans="1:15" ht="12.5">
      <c r="A2589" s="158" t="s">
        <v>20678</v>
      </c>
      <c r="B2589" s="159">
        <v>35</v>
      </c>
      <c r="C2589" s="159">
        <v>31</v>
      </c>
      <c r="D2589" s="159">
        <v>6</v>
      </c>
      <c r="E2589" s="159">
        <v>71</v>
      </c>
      <c r="F2589" s="131"/>
      <c r="G2589" s="132"/>
      <c r="H2589" s="162" t="s">
        <v>20679</v>
      </c>
      <c r="I2589" s="158" t="s">
        <v>20680</v>
      </c>
      <c r="J2589" s="128"/>
      <c r="K2589" s="128"/>
      <c r="L2589" s="128"/>
      <c r="M2589" s="129"/>
      <c r="N2589" s="129"/>
      <c r="O2589" s="129"/>
    </row>
    <row r="2590" spans="1:15" ht="12.5">
      <c r="A2590" s="158" t="s">
        <v>20681</v>
      </c>
      <c r="B2590" s="159">
        <v>35</v>
      </c>
      <c r="C2590" s="159">
        <v>31</v>
      </c>
      <c r="D2590" s="159">
        <v>6</v>
      </c>
      <c r="E2590" s="159">
        <v>72</v>
      </c>
      <c r="F2590" s="131"/>
      <c r="G2590" s="132"/>
      <c r="H2590" s="162" t="s">
        <v>20682</v>
      </c>
      <c r="I2590" s="158" t="s">
        <v>20683</v>
      </c>
      <c r="J2590" s="128"/>
      <c r="K2590" s="128"/>
      <c r="L2590" s="128"/>
      <c r="M2590" s="129"/>
      <c r="N2590" s="129"/>
      <c r="O2590" s="129"/>
    </row>
    <row r="2591" spans="1:15" ht="12.5">
      <c r="A2591" s="158" t="s">
        <v>20684</v>
      </c>
      <c r="B2591" s="159">
        <v>35</v>
      </c>
      <c r="C2591" s="159">
        <v>31</v>
      </c>
      <c r="D2591" s="159">
        <v>6</v>
      </c>
      <c r="E2591" s="159">
        <v>73</v>
      </c>
      <c r="F2591" s="131"/>
      <c r="G2591" s="132"/>
      <c r="H2591" s="162" t="s">
        <v>20685</v>
      </c>
      <c r="I2591" s="158" t="s">
        <v>20686</v>
      </c>
      <c r="J2591" s="128"/>
      <c r="K2591" s="128"/>
      <c r="L2591" s="128"/>
      <c r="M2591" s="129"/>
      <c r="N2591" s="129"/>
      <c r="O2591" s="129"/>
    </row>
    <row r="2592" spans="1:15" ht="12.5">
      <c r="A2592" s="158" t="s">
        <v>20687</v>
      </c>
      <c r="B2592" s="159">
        <v>35</v>
      </c>
      <c r="C2592" s="159">
        <v>31</v>
      </c>
      <c r="D2592" s="159">
        <v>6</v>
      </c>
      <c r="E2592" s="159">
        <v>77</v>
      </c>
      <c r="F2592" s="131"/>
      <c r="G2592" s="132"/>
      <c r="H2592" s="162" t="s">
        <v>20688</v>
      </c>
      <c r="I2592" s="158" t="s">
        <v>20689</v>
      </c>
      <c r="J2592" s="128"/>
      <c r="K2592" s="128"/>
      <c r="L2592" s="128"/>
      <c r="M2592" s="129"/>
      <c r="N2592" s="129"/>
      <c r="O2592" s="129"/>
    </row>
    <row r="2593" spans="1:15" ht="12.5">
      <c r="A2593" s="158" t="s">
        <v>20690</v>
      </c>
      <c r="B2593" s="159">
        <v>35</v>
      </c>
      <c r="C2593" s="159">
        <v>31</v>
      </c>
      <c r="D2593" s="159">
        <v>6</v>
      </c>
      <c r="E2593" s="159">
        <v>78</v>
      </c>
      <c r="F2593" s="131"/>
      <c r="G2593" s="132"/>
      <c r="H2593" s="162" t="s">
        <v>20691</v>
      </c>
      <c r="I2593" s="158" t="s">
        <v>20692</v>
      </c>
      <c r="J2593" s="128"/>
      <c r="K2593" s="128"/>
      <c r="L2593" s="128"/>
      <c r="M2593" s="129"/>
      <c r="N2593" s="129"/>
      <c r="O2593" s="129"/>
    </row>
    <row r="2594" spans="1:15" ht="12.5">
      <c r="A2594" s="158" t="s">
        <v>20693</v>
      </c>
      <c r="B2594" s="159">
        <v>35</v>
      </c>
      <c r="C2594" s="159">
        <v>31</v>
      </c>
      <c r="D2594" s="159">
        <v>6</v>
      </c>
      <c r="E2594" s="159">
        <v>79</v>
      </c>
      <c r="F2594" s="131"/>
      <c r="G2594" s="132"/>
      <c r="H2594" s="162" t="s">
        <v>20694</v>
      </c>
      <c r="I2594" s="158" t="s">
        <v>20695</v>
      </c>
      <c r="J2594" s="128"/>
      <c r="K2594" s="128"/>
      <c r="L2594" s="128"/>
      <c r="M2594" s="129"/>
      <c r="N2594" s="129"/>
      <c r="O2594" s="129"/>
    </row>
    <row r="2595" spans="1:15" ht="12.5">
      <c r="A2595" s="158" t="s">
        <v>20696</v>
      </c>
      <c r="B2595" s="159">
        <v>35</v>
      </c>
      <c r="C2595" s="159">
        <v>31</v>
      </c>
      <c r="D2595" s="159">
        <v>6</v>
      </c>
      <c r="E2595" s="159">
        <v>80</v>
      </c>
      <c r="F2595" s="131"/>
      <c r="G2595" s="132"/>
      <c r="H2595" s="162" t="s">
        <v>20697</v>
      </c>
      <c r="I2595" s="158" t="s">
        <v>20698</v>
      </c>
      <c r="J2595" s="128"/>
      <c r="K2595" s="128"/>
      <c r="L2595" s="128"/>
      <c r="M2595" s="129"/>
      <c r="N2595" s="129"/>
      <c r="O2595" s="129"/>
    </row>
    <row r="2596" spans="1:15" ht="12.5">
      <c r="A2596" s="158" t="s">
        <v>20699</v>
      </c>
      <c r="B2596" s="159">
        <v>35</v>
      </c>
      <c r="C2596" s="159">
        <v>31</v>
      </c>
      <c r="D2596" s="159">
        <v>22</v>
      </c>
      <c r="E2596" s="130"/>
      <c r="F2596" s="131"/>
      <c r="G2596" s="132"/>
      <c r="H2596" s="162" t="s">
        <v>20700</v>
      </c>
      <c r="I2596" s="128"/>
      <c r="J2596" s="128"/>
      <c r="K2596" s="128"/>
      <c r="L2596" s="128"/>
      <c r="M2596" s="129"/>
      <c r="N2596" s="129"/>
      <c r="O2596" s="129"/>
    </row>
    <row r="2597" spans="1:15" ht="12.5">
      <c r="A2597" s="158" t="s">
        <v>20701</v>
      </c>
      <c r="B2597" s="159">
        <v>35</v>
      </c>
      <c r="C2597" s="159">
        <v>31</v>
      </c>
      <c r="D2597" s="159">
        <v>22</v>
      </c>
      <c r="E2597" s="159">
        <v>2</v>
      </c>
      <c r="F2597" s="131"/>
      <c r="G2597" s="132"/>
      <c r="H2597" s="162" t="s">
        <v>20702</v>
      </c>
      <c r="I2597" s="158" t="s">
        <v>20703</v>
      </c>
      <c r="J2597" s="128"/>
      <c r="K2597" s="128"/>
      <c r="L2597" s="128"/>
      <c r="M2597" s="129"/>
      <c r="N2597" s="129"/>
      <c r="O2597" s="129"/>
    </row>
    <row r="2598" spans="1:15" ht="12.5">
      <c r="A2598" s="158" t="s">
        <v>20704</v>
      </c>
      <c r="B2598" s="159">
        <v>35</v>
      </c>
      <c r="C2598" s="159">
        <v>31</v>
      </c>
      <c r="D2598" s="159">
        <v>22</v>
      </c>
      <c r="E2598" s="159">
        <v>12</v>
      </c>
      <c r="F2598" s="131"/>
      <c r="G2598" s="132"/>
      <c r="H2598" s="162" t="s">
        <v>20705</v>
      </c>
      <c r="I2598" s="158" t="s">
        <v>20706</v>
      </c>
      <c r="J2598" s="128"/>
      <c r="K2598" s="128"/>
      <c r="L2598" s="128"/>
      <c r="M2598" s="129"/>
      <c r="N2598" s="129"/>
      <c r="O2598" s="129"/>
    </row>
    <row r="2599" spans="1:15" ht="12.5">
      <c r="A2599" s="158" t="s">
        <v>20707</v>
      </c>
      <c r="B2599" s="159">
        <v>35</v>
      </c>
      <c r="C2599" s="159">
        <v>31</v>
      </c>
      <c r="D2599" s="159">
        <v>22</v>
      </c>
      <c r="E2599" s="159">
        <v>13</v>
      </c>
      <c r="F2599" s="131"/>
      <c r="G2599" s="132"/>
      <c r="H2599" s="162" t="s">
        <v>20708</v>
      </c>
      <c r="I2599" s="158" t="s">
        <v>20709</v>
      </c>
      <c r="J2599" s="128"/>
      <c r="K2599" s="128"/>
      <c r="L2599" s="128"/>
      <c r="M2599" s="129"/>
      <c r="N2599" s="129"/>
      <c r="O2599" s="129"/>
    </row>
    <row r="2600" spans="1:15" ht="12.5">
      <c r="A2600" s="158" t="s">
        <v>20710</v>
      </c>
      <c r="B2600" s="159">
        <v>35</v>
      </c>
      <c r="C2600" s="159">
        <v>31</v>
      </c>
      <c r="D2600" s="159">
        <v>22</v>
      </c>
      <c r="E2600" s="159">
        <v>15</v>
      </c>
      <c r="F2600" s="131"/>
      <c r="G2600" s="132"/>
      <c r="H2600" s="162" t="s">
        <v>20711</v>
      </c>
      <c r="I2600" s="158" t="s">
        <v>20712</v>
      </c>
      <c r="J2600" s="128"/>
      <c r="K2600" s="128"/>
      <c r="L2600" s="128"/>
      <c r="M2600" s="129"/>
      <c r="N2600" s="129"/>
      <c r="O2600" s="129"/>
    </row>
    <row r="2601" spans="1:15" ht="12.5">
      <c r="A2601" s="158" t="s">
        <v>20713</v>
      </c>
      <c r="B2601" s="159">
        <v>35</v>
      </c>
      <c r="C2601" s="159">
        <v>31</v>
      </c>
      <c r="D2601" s="159">
        <v>22</v>
      </c>
      <c r="E2601" s="159">
        <v>16</v>
      </c>
      <c r="F2601" s="131"/>
      <c r="G2601" s="132"/>
      <c r="H2601" s="162" t="s">
        <v>20714</v>
      </c>
      <c r="I2601" s="158" t="s">
        <v>20715</v>
      </c>
      <c r="J2601" s="128"/>
      <c r="K2601" s="128"/>
      <c r="L2601" s="128"/>
      <c r="M2601" s="129"/>
      <c r="N2601" s="129"/>
      <c r="O2601" s="129"/>
    </row>
    <row r="2602" spans="1:15" ht="12.5">
      <c r="A2602" s="158" t="s">
        <v>20716</v>
      </c>
      <c r="B2602" s="159">
        <v>35</v>
      </c>
      <c r="C2602" s="159">
        <v>31</v>
      </c>
      <c r="D2602" s="159">
        <v>22</v>
      </c>
      <c r="E2602" s="159">
        <v>17</v>
      </c>
      <c r="F2602" s="131"/>
      <c r="G2602" s="132"/>
      <c r="H2602" s="162" t="s">
        <v>20717</v>
      </c>
      <c r="I2602" s="128"/>
      <c r="J2602" s="128"/>
      <c r="K2602" s="128"/>
      <c r="L2602" s="128"/>
      <c r="M2602" s="129"/>
      <c r="N2602" s="129"/>
      <c r="O2602" s="129"/>
    </row>
    <row r="2603" spans="1:15" ht="12.5">
      <c r="A2603" s="158" t="s">
        <v>20718</v>
      </c>
      <c r="B2603" s="159">
        <v>35</v>
      </c>
      <c r="C2603" s="159">
        <v>31</v>
      </c>
      <c r="D2603" s="159">
        <v>22</v>
      </c>
      <c r="E2603" s="159">
        <v>18</v>
      </c>
      <c r="F2603" s="131"/>
      <c r="G2603" s="132"/>
      <c r="H2603" s="162" t="s">
        <v>20719</v>
      </c>
      <c r="I2603" s="158" t="s">
        <v>20720</v>
      </c>
      <c r="J2603" s="128"/>
      <c r="K2603" s="128"/>
      <c r="L2603" s="128"/>
      <c r="M2603" s="129"/>
      <c r="N2603" s="129"/>
      <c r="O2603" s="129"/>
    </row>
    <row r="2604" spans="1:15" ht="12.5">
      <c r="A2604" s="158" t="s">
        <v>20721</v>
      </c>
      <c r="B2604" s="159">
        <v>35</v>
      </c>
      <c r="C2604" s="159">
        <v>31</v>
      </c>
      <c r="D2604" s="159">
        <v>22</v>
      </c>
      <c r="E2604" s="159">
        <v>19</v>
      </c>
      <c r="F2604" s="131"/>
      <c r="G2604" s="132"/>
      <c r="H2604" s="162" t="s">
        <v>20722</v>
      </c>
      <c r="I2604" s="158" t="s">
        <v>20723</v>
      </c>
      <c r="J2604" s="128"/>
      <c r="K2604" s="128"/>
      <c r="L2604" s="128"/>
      <c r="M2604" s="129"/>
      <c r="N2604" s="129"/>
      <c r="O2604" s="129"/>
    </row>
    <row r="2605" spans="1:15" ht="12.5">
      <c r="A2605" s="158" t="s">
        <v>20724</v>
      </c>
      <c r="B2605" s="159">
        <v>35</v>
      </c>
      <c r="C2605" s="159">
        <v>31</v>
      </c>
      <c r="D2605" s="159">
        <v>22</v>
      </c>
      <c r="E2605" s="159">
        <v>23</v>
      </c>
      <c r="F2605" s="131"/>
      <c r="G2605" s="132"/>
      <c r="H2605" s="162" t="s">
        <v>20725</v>
      </c>
      <c r="I2605" s="158" t="s">
        <v>20726</v>
      </c>
      <c r="J2605" s="128"/>
      <c r="K2605" s="128"/>
      <c r="L2605" s="128"/>
      <c r="M2605" s="129"/>
      <c r="N2605" s="129"/>
      <c r="O2605" s="129"/>
    </row>
    <row r="2606" spans="1:15" ht="12.5">
      <c r="A2606" s="158" t="s">
        <v>20727</v>
      </c>
      <c r="B2606" s="159">
        <v>35</v>
      </c>
      <c r="C2606" s="159">
        <v>31</v>
      </c>
      <c r="D2606" s="159">
        <v>22</v>
      </c>
      <c r="E2606" s="159">
        <v>37</v>
      </c>
      <c r="F2606" s="131"/>
      <c r="G2606" s="132"/>
      <c r="H2606" s="162" t="s">
        <v>33405</v>
      </c>
      <c r="I2606" s="158" t="s">
        <v>20729</v>
      </c>
      <c r="J2606" s="128"/>
      <c r="K2606" s="128"/>
      <c r="L2606" s="128"/>
      <c r="M2606" s="129"/>
      <c r="N2606" s="129"/>
      <c r="O2606" s="129"/>
    </row>
    <row r="2607" spans="1:15" ht="12.5">
      <c r="A2607" s="158" t="s">
        <v>20730</v>
      </c>
      <c r="B2607" s="159">
        <v>35</v>
      </c>
      <c r="C2607" s="159">
        <v>31</v>
      </c>
      <c r="D2607" s="159">
        <v>22</v>
      </c>
      <c r="E2607" s="159">
        <v>47</v>
      </c>
      <c r="F2607" s="131"/>
      <c r="G2607" s="132"/>
      <c r="H2607" s="162" t="s">
        <v>20731</v>
      </c>
      <c r="I2607" s="158" t="s">
        <v>20732</v>
      </c>
      <c r="J2607" s="128"/>
      <c r="K2607" s="128"/>
      <c r="L2607" s="128"/>
      <c r="M2607" s="129"/>
      <c r="N2607" s="129"/>
      <c r="O2607" s="129"/>
    </row>
    <row r="2608" spans="1:15" ht="12.5">
      <c r="A2608" s="158" t="s">
        <v>20733</v>
      </c>
      <c r="B2608" s="159">
        <v>35</v>
      </c>
      <c r="C2608" s="159">
        <v>31</v>
      </c>
      <c r="D2608" s="159">
        <v>22</v>
      </c>
      <c r="E2608" s="159">
        <v>52</v>
      </c>
      <c r="F2608" s="131"/>
      <c r="G2608" s="132"/>
      <c r="H2608" s="162" t="s">
        <v>20734</v>
      </c>
      <c r="I2608" s="158" t="s">
        <v>20735</v>
      </c>
      <c r="J2608" s="128"/>
      <c r="K2608" s="128"/>
      <c r="L2608" s="128"/>
      <c r="M2608" s="129"/>
      <c r="N2608" s="129"/>
      <c r="O2608" s="129"/>
    </row>
    <row r="2609" spans="1:15" ht="12.5">
      <c r="A2609" s="158" t="s">
        <v>20736</v>
      </c>
      <c r="B2609" s="159">
        <v>35</v>
      </c>
      <c r="C2609" s="159">
        <v>31</v>
      </c>
      <c r="D2609" s="159">
        <v>22</v>
      </c>
      <c r="E2609" s="159">
        <v>54</v>
      </c>
      <c r="F2609" s="131"/>
      <c r="G2609" s="132"/>
      <c r="H2609" s="162" t="s">
        <v>20737</v>
      </c>
      <c r="I2609" s="158" t="s">
        <v>20738</v>
      </c>
      <c r="J2609" s="128"/>
      <c r="K2609" s="128"/>
      <c r="L2609" s="128"/>
      <c r="M2609" s="129"/>
      <c r="N2609" s="129"/>
      <c r="O2609" s="129"/>
    </row>
    <row r="2610" spans="1:15" ht="12.5">
      <c r="A2610" s="158" t="s">
        <v>20739</v>
      </c>
      <c r="B2610" s="159">
        <v>35</v>
      </c>
      <c r="C2610" s="159">
        <v>31</v>
      </c>
      <c r="D2610" s="159">
        <v>22</v>
      </c>
      <c r="E2610" s="159">
        <v>55</v>
      </c>
      <c r="F2610" s="131"/>
      <c r="G2610" s="132"/>
      <c r="H2610" s="162" t="s">
        <v>20740</v>
      </c>
      <c r="I2610" s="158" t="s">
        <v>20741</v>
      </c>
      <c r="J2610" s="128"/>
      <c r="K2610" s="128"/>
      <c r="L2610" s="128"/>
      <c r="M2610" s="129"/>
      <c r="N2610" s="129"/>
      <c r="O2610" s="129"/>
    </row>
    <row r="2611" spans="1:15" ht="12.5">
      <c r="A2611" s="158" t="s">
        <v>20742</v>
      </c>
      <c r="B2611" s="159">
        <v>35</v>
      </c>
      <c r="C2611" s="159">
        <v>31</v>
      </c>
      <c r="D2611" s="159">
        <v>22</v>
      </c>
      <c r="E2611" s="159">
        <v>58</v>
      </c>
      <c r="F2611" s="131"/>
      <c r="G2611" s="132"/>
      <c r="H2611" s="162" t="s">
        <v>20743</v>
      </c>
      <c r="I2611" s="128"/>
      <c r="J2611" s="128"/>
      <c r="K2611" s="128"/>
      <c r="L2611" s="128"/>
      <c r="M2611" s="129"/>
      <c r="N2611" s="129"/>
      <c r="O2611" s="129"/>
    </row>
    <row r="2612" spans="1:15" ht="12.5">
      <c r="A2612" s="158" t="s">
        <v>20744</v>
      </c>
      <c r="B2612" s="159">
        <v>35</v>
      </c>
      <c r="C2612" s="159">
        <v>31</v>
      </c>
      <c r="D2612" s="159">
        <v>22</v>
      </c>
      <c r="E2612" s="159">
        <v>62</v>
      </c>
      <c r="F2612" s="131"/>
      <c r="G2612" s="132"/>
      <c r="H2612" s="162" t="s">
        <v>20745</v>
      </c>
      <c r="I2612" s="158" t="s">
        <v>20746</v>
      </c>
      <c r="J2612" s="128"/>
      <c r="K2612" s="128"/>
      <c r="L2612" s="128"/>
      <c r="M2612" s="129"/>
      <c r="N2612" s="129"/>
      <c r="O2612" s="129"/>
    </row>
    <row r="2613" spans="1:15" ht="12.5">
      <c r="A2613" s="158" t="s">
        <v>20747</v>
      </c>
      <c r="B2613" s="159">
        <v>35</v>
      </c>
      <c r="C2613" s="159">
        <v>31</v>
      </c>
      <c r="D2613" s="159">
        <v>22</v>
      </c>
      <c r="E2613" s="159">
        <v>64</v>
      </c>
      <c r="F2613" s="131"/>
      <c r="G2613" s="132"/>
      <c r="H2613" s="162" t="s">
        <v>20748</v>
      </c>
      <c r="I2613" s="158" t="s">
        <v>20749</v>
      </c>
      <c r="J2613" s="128"/>
      <c r="K2613" s="128"/>
      <c r="L2613" s="128"/>
      <c r="M2613" s="129"/>
      <c r="N2613" s="129"/>
      <c r="O2613" s="129"/>
    </row>
    <row r="2614" spans="1:15" ht="12.5">
      <c r="A2614" s="158" t="s">
        <v>20750</v>
      </c>
      <c r="B2614" s="159">
        <v>35</v>
      </c>
      <c r="C2614" s="159">
        <v>31</v>
      </c>
      <c r="D2614" s="159">
        <v>22</v>
      </c>
      <c r="E2614" s="159">
        <v>72</v>
      </c>
      <c r="F2614" s="131"/>
      <c r="G2614" s="132"/>
      <c r="H2614" s="162" t="s">
        <v>20751</v>
      </c>
      <c r="I2614" s="158" t="s">
        <v>20752</v>
      </c>
      <c r="J2614" s="128"/>
      <c r="K2614" s="128"/>
      <c r="L2614" s="128"/>
      <c r="M2614" s="129"/>
      <c r="N2614" s="129"/>
      <c r="O2614" s="129"/>
    </row>
    <row r="2615" spans="1:15" ht="12.5">
      <c r="A2615" s="158" t="s">
        <v>20753</v>
      </c>
      <c r="B2615" s="159">
        <v>35</v>
      </c>
      <c r="C2615" s="159">
        <v>31</v>
      </c>
      <c r="D2615" s="159">
        <v>22</v>
      </c>
      <c r="E2615" s="159">
        <v>74</v>
      </c>
      <c r="F2615" s="131"/>
      <c r="G2615" s="132"/>
      <c r="H2615" s="162" t="s">
        <v>20754</v>
      </c>
      <c r="I2615" s="128"/>
      <c r="J2615" s="128"/>
      <c r="K2615" s="128"/>
      <c r="L2615" s="128"/>
      <c r="M2615" s="129"/>
      <c r="N2615" s="129"/>
      <c r="O2615" s="129"/>
    </row>
    <row r="2616" spans="1:15" ht="12.5">
      <c r="A2616" s="158" t="s">
        <v>20755</v>
      </c>
      <c r="B2616" s="159">
        <v>35</v>
      </c>
      <c r="C2616" s="159">
        <v>31</v>
      </c>
      <c r="D2616" s="159">
        <v>22</v>
      </c>
      <c r="E2616" s="159">
        <v>75</v>
      </c>
      <c r="F2616" s="131"/>
      <c r="G2616" s="132"/>
      <c r="H2616" s="162" t="s">
        <v>20756</v>
      </c>
      <c r="I2616" s="128"/>
      <c r="J2616" s="128"/>
      <c r="K2616" s="128"/>
      <c r="L2616" s="128"/>
      <c r="M2616" s="129"/>
      <c r="N2616" s="129"/>
      <c r="O2616" s="129"/>
    </row>
    <row r="2617" spans="1:15" ht="12.5">
      <c r="A2617" s="158" t="s">
        <v>20757</v>
      </c>
      <c r="B2617" s="159">
        <v>35</v>
      </c>
      <c r="C2617" s="159">
        <v>31</v>
      </c>
      <c r="D2617" s="159">
        <v>22</v>
      </c>
      <c r="E2617" s="159">
        <v>76</v>
      </c>
      <c r="F2617" s="131"/>
      <c r="G2617" s="132"/>
      <c r="H2617" s="162" t="s">
        <v>20758</v>
      </c>
      <c r="I2617" s="158" t="s">
        <v>20759</v>
      </c>
      <c r="J2617" s="128"/>
      <c r="K2617" s="128"/>
      <c r="L2617" s="128"/>
      <c r="M2617" s="129"/>
      <c r="N2617" s="129"/>
      <c r="O2617" s="129"/>
    </row>
    <row r="2618" spans="1:15" ht="12.5">
      <c r="A2618" s="158" t="s">
        <v>20760</v>
      </c>
      <c r="B2618" s="159">
        <v>35</v>
      </c>
      <c r="C2618" s="159">
        <v>31</v>
      </c>
      <c r="D2618" s="159">
        <v>22</v>
      </c>
      <c r="E2618" s="159">
        <v>77</v>
      </c>
      <c r="F2618" s="131"/>
      <c r="G2618" s="132"/>
      <c r="H2618" s="162" t="s">
        <v>20761</v>
      </c>
      <c r="I2618" s="158" t="s">
        <v>20762</v>
      </c>
      <c r="J2618" s="128"/>
      <c r="K2618" s="128"/>
      <c r="L2618" s="128"/>
      <c r="M2618" s="129"/>
      <c r="N2618" s="129"/>
      <c r="O2618" s="129"/>
    </row>
    <row r="2619" spans="1:15" ht="12.5">
      <c r="A2619" s="158" t="s">
        <v>20763</v>
      </c>
      <c r="B2619" s="159">
        <v>35</v>
      </c>
      <c r="C2619" s="159">
        <v>31</v>
      </c>
      <c r="D2619" s="159">
        <v>22</v>
      </c>
      <c r="E2619" s="159">
        <v>79</v>
      </c>
      <c r="F2619" s="131"/>
      <c r="G2619" s="132"/>
      <c r="H2619" s="162" t="s">
        <v>20764</v>
      </c>
      <c r="I2619" s="158" t="s">
        <v>20765</v>
      </c>
      <c r="J2619" s="128"/>
      <c r="K2619" s="128"/>
      <c r="L2619" s="128"/>
      <c r="M2619" s="129"/>
      <c r="N2619" s="129"/>
      <c r="O2619" s="129"/>
    </row>
    <row r="2620" spans="1:15" ht="12.5">
      <c r="A2620" s="158" t="s">
        <v>20766</v>
      </c>
      <c r="B2620" s="159">
        <v>35</v>
      </c>
      <c r="C2620" s="159">
        <v>31</v>
      </c>
      <c r="D2620" s="159">
        <v>22</v>
      </c>
      <c r="E2620" s="159">
        <v>80</v>
      </c>
      <c r="F2620" s="131"/>
      <c r="G2620" s="132"/>
      <c r="H2620" s="162" t="s">
        <v>20767</v>
      </c>
      <c r="I2620" s="158" t="s">
        <v>20768</v>
      </c>
      <c r="J2620" s="128"/>
      <c r="K2620" s="128"/>
      <c r="L2620" s="128"/>
      <c r="M2620" s="129"/>
      <c r="N2620" s="129"/>
      <c r="O2620" s="129"/>
    </row>
    <row r="2621" spans="1:15" ht="12.5">
      <c r="A2621" s="158" t="s">
        <v>20769</v>
      </c>
      <c r="B2621" s="159">
        <v>35</v>
      </c>
      <c r="C2621" s="159">
        <v>31</v>
      </c>
      <c r="D2621" s="159">
        <v>22</v>
      </c>
      <c r="E2621" s="159">
        <v>81</v>
      </c>
      <c r="F2621" s="131"/>
      <c r="G2621" s="132"/>
      <c r="H2621" s="162" t="s">
        <v>20770</v>
      </c>
      <c r="I2621" s="158" t="s">
        <v>20771</v>
      </c>
      <c r="J2621" s="128"/>
      <c r="K2621" s="128"/>
      <c r="L2621" s="128"/>
      <c r="M2621" s="129"/>
      <c r="N2621" s="129"/>
      <c r="O2621" s="129"/>
    </row>
    <row r="2622" spans="1:15" ht="12.5">
      <c r="A2622" s="158" t="s">
        <v>20772</v>
      </c>
      <c r="B2622" s="159">
        <v>35</v>
      </c>
      <c r="C2622" s="159">
        <v>31</v>
      </c>
      <c r="D2622" s="159">
        <v>22</v>
      </c>
      <c r="E2622" s="159">
        <v>82</v>
      </c>
      <c r="F2622" s="131"/>
      <c r="G2622" s="132"/>
      <c r="H2622" s="162" t="s">
        <v>20773</v>
      </c>
      <c r="I2622" s="158" t="s">
        <v>20774</v>
      </c>
      <c r="J2622" s="128"/>
      <c r="K2622" s="128"/>
      <c r="L2622" s="128"/>
      <c r="M2622" s="129"/>
      <c r="N2622" s="129"/>
      <c r="O2622" s="129"/>
    </row>
    <row r="2623" spans="1:15" ht="12.5">
      <c r="A2623" s="158" t="s">
        <v>20775</v>
      </c>
      <c r="B2623" s="159">
        <v>35</v>
      </c>
      <c r="C2623" s="159">
        <v>31</v>
      </c>
      <c r="D2623" s="159">
        <v>22</v>
      </c>
      <c r="E2623" s="159">
        <v>83</v>
      </c>
      <c r="F2623" s="131"/>
      <c r="G2623" s="132"/>
      <c r="H2623" s="162" t="s">
        <v>20776</v>
      </c>
      <c r="I2623" s="158" t="s">
        <v>20777</v>
      </c>
      <c r="J2623" s="128"/>
      <c r="K2623" s="128"/>
      <c r="L2623" s="128"/>
      <c r="M2623" s="129"/>
      <c r="N2623" s="129"/>
      <c r="O2623" s="129"/>
    </row>
    <row r="2624" spans="1:15" ht="12.5">
      <c r="A2624" s="158" t="s">
        <v>20778</v>
      </c>
      <c r="B2624" s="159">
        <v>35</v>
      </c>
      <c r="C2624" s="159">
        <v>31</v>
      </c>
      <c r="D2624" s="159">
        <v>22</v>
      </c>
      <c r="E2624" s="159">
        <v>87</v>
      </c>
      <c r="F2624" s="131"/>
      <c r="G2624" s="132"/>
      <c r="H2624" s="162" t="s">
        <v>20779</v>
      </c>
      <c r="I2624" s="158" t="s">
        <v>20732</v>
      </c>
      <c r="J2624" s="128"/>
      <c r="K2624" s="128"/>
      <c r="L2624" s="128"/>
      <c r="M2624" s="129"/>
      <c r="N2624" s="129"/>
      <c r="O2624" s="129"/>
    </row>
    <row r="2625" spans="1:15" ht="12.5">
      <c r="A2625" s="158" t="s">
        <v>20780</v>
      </c>
      <c r="B2625" s="159">
        <v>35</v>
      </c>
      <c r="C2625" s="159">
        <v>31</v>
      </c>
      <c r="D2625" s="159">
        <v>22</v>
      </c>
      <c r="E2625" s="159">
        <v>95</v>
      </c>
      <c r="F2625" s="131"/>
      <c r="G2625" s="132"/>
      <c r="H2625" s="162" t="s">
        <v>33406</v>
      </c>
      <c r="I2625" s="158" t="s">
        <v>20782</v>
      </c>
      <c r="J2625" s="128"/>
      <c r="K2625" s="128"/>
      <c r="L2625" s="128"/>
      <c r="M2625" s="129"/>
      <c r="N2625" s="129"/>
      <c r="O2625" s="129"/>
    </row>
    <row r="2626" spans="1:15" ht="12.5">
      <c r="A2626" s="158" t="s">
        <v>20783</v>
      </c>
      <c r="B2626" s="159">
        <v>35</v>
      </c>
      <c r="C2626" s="159">
        <v>31</v>
      </c>
      <c r="D2626" s="159">
        <v>22</v>
      </c>
      <c r="E2626" s="159">
        <v>96</v>
      </c>
      <c r="F2626" s="131"/>
      <c r="G2626" s="132"/>
      <c r="H2626" s="162" t="s">
        <v>33407</v>
      </c>
      <c r="I2626" s="158" t="s">
        <v>20785</v>
      </c>
      <c r="J2626" s="128"/>
      <c r="K2626" s="128"/>
      <c r="L2626" s="128"/>
      <c r="M2626" s="129"/>
      <c r="N2626" s="129"/>
      <c r="O2626" s="129"/>
    </row>
    <row r="2627" spans="1:15" ht="12.5">
      <c r="A2627" s="158" t="s">
        <v>20786</v>
      </c>
      <c r="B2627" s="159">
        <v>35</v>
      </c>
      <c r="C2627" s="159">
        <v>31</v>
      </c>
      <c r="D2627" s="159">
        <v>22</v>
      </c>
      <c r="E2627" s="159">
        <v>97</v>
      </c>
      <c r="F2627" s="131"/>
      <c r="G2627" s="132"/>
      <c r="H2627" s="162" t="s">
        <v>33408</v>
      </c>
      <c r="I2627" s="158" t="s">
        <v>20788</v>
      </c>
      <c r="J2627" s="128"/>
      <c r="K2627" s="128"/>
      <c r="L2627" s="128"/>
      <c r="M2627" s="129"/>
      <c r="N2627" s="129"/>
      <c r="O2627" s="129"/>
    </row>
    <row r="2628" spans="1:15" ht="12.5">
      <c r="A2628" s="158" t="s">
        <v>20789</v>
      </c>
      <c r="B2628" s="159">
        <v>35</v>
      </c>
      <c r="C2628" s="159">
        <v>31</v>
      </c>
      <c r="D2628" s="159">
        <v>22</v>
      </c>
      <c r="E2628" s="159">
        <v>98</v>
      </c>
      <c r="F2628" s="131"/>
      <c r="G2628" s="132"/>
      <c r="H2628" s="162" t="s">
        <v>33409</v>
      </c>
      <c r="I2628" s="158" t="s">
        <v>20791</v>
      </c>
      <c r="J2628" s="128"/>
      <c r="K2628" s="128"/>
      <c r="L2628" s="128"/>
      <c r="M2628" s="129"/>
      <c r="N2628" s="129"/>
      <c r="O2628" s="129"/>
    </row>
    <row r="2629" spans="1:15" ht="12.5">
      <c r="A2629" s="158" t="s">
        <v>20792</v>
      </c>
      <c r="B2629" s="159">
        <v>35</v>
      </c>
      <c r="C2629" s="159">
        <v>31</v>
      </c>
      <c r="D2629" s="159">
        <v>64</v>
      </c>
      <c r="E2629" s="130"/>
      <c r="F2629" s="131"/>
      <c r="G2629" s="132"/>
      <c r="H2629" s="162" t="s">
        <v>20793</v>
      </c>
      <c r="I2629" s="128"/>
      <c r="J2629" s="128"/>
      <c r="K2629" s="128"/>
      <c r="L2629" s="128"/>
      <c r="M2629" s="129"/>
      <c r="N2629" s="129"/>
      <c r="O2629" s="129"/>
    </row>
    <row r="2630" spans="1:15" ht="12.5">
      <c r="A2630" s="158" t="s">
        <v>20794</v>
      </c>
      <c r="B2630" s="159">
        <v>35</v>
      </c>
      <c r="C2630" s="159">
        <v>31</v>
      </c>
      <c r="D2630" s="159">
        <v>64</v>
      </c>
      <c r="E2630" s="159">
        <v>1</v>
      </c>
      <c r="F2630" s="131"/>
      <c r="G2630" s="132"/>
      <c r="H2630" s="162" t="s">
        <v>20795</v>
      </c>
      <c r="I2630" s="158" t="s">
        <v>20796</v>
      </c>
      <c r="J2630" s="128"/>
      <c r="K2630" s="128"/>
      <c r="L2630" s="128"/>
      <c r="M2630" s="129"/>
      <c r="N2630" s="129"/>
      <c r="O2630" s="129"/>
    </row>
    <row r="2631" spans="1:15" ht="12.5">
      <c r="A2631" s="158" t="s">
        <v>20797</v>
      </c>
      <c r="B2631" s="159">
        <v>35</v>
      </c>
      <c r="C2631" s="159">
        <v>31</v>
      </c>
      <c r="D2631" s="159">
        <v>64</v>
      </c>
      <c r="E2631" s="159">
        <v>2</v>
      </c>
      <c r="F2631" s="131"/>
      <c r="G2631" s="132"/>
      <c r="H2631" s="162" t="s">
        <v>20798</v>
      </c>
      <c r="I2631" s="158" t="s">
        <v>20799</v>
      </c>
      <c r="J2631" s="128"/>
      <c r="K2631" s="128"/>
      <c r="L2631" s="128"/>
      <c r="M2631" s="129"/>
      <c r="N2631" s="129"/>
      <c r="O2631" s="129"/>
    </row>
    <row r="2632" spans="1:15" ht="12.5">
      <c r="A2632" s="158" t="s">
        <v>20800</v>
      </c>
      <c r="B2632" s="159">
        <v>35</v>
      </c>
      <c r="C2632" s="159">
        <v>31</v>
      </c>
      <c r="D2632" s="159">
        <v>64</v>
      </c>
      <c r="E2632" s="159">
        <v>7</v>
      </c>
      <c r="F2632" s="131"/>
      <c r="G2632" s="132"/>
      <c r="H2632" s="162" t="s">
        <v>20801</v>
      </c>
      <c r="I2632" s="158" t="s">
        <v>20802</v>
      </c>
      <c r="J2632" s="128"/>
      <c r="K2632" s="128"/>
      <c r="L2632" s="128"/>
      <c r="M2632" s="129"/>
      <c r="N2632" s="129"/>
      <c r="O2632" s="129"/>
    </row>
    <row r="2633" spans="1:15" ht="12.5">
      <c r="A2633" s="158" t="s">
        <v>20803</v>
      </c>
      <c r="B2633" s="159">
        <v>35</v>
      </c>
      <c r="C2633" s="159">
        <v>31</v>
      </c>
      <c r="D2633" s="159">
        <v>64</v>
      </c>
      <c r="E2633" s="159">
        <v>8</v>
      </c>
      <c r="F2633" s="131"/>
      <c r="G2633" s="132"/>
      <c r="H2633" s="162" t="s">
        <v>20804</v>
      </c>
      <c r="I2633" s="158" t="s">
        <v>20805</v>
      </c>
      <c r="J2633" s="128"/>
      <c r="K2633" s="128"/>
      <c r="L2633" s="128"/>
      <c r="M2633" s="129"/>
      <c r="N2633" s="129"/>
      <c r="O2633" s="129"/>
    </row>
    <row r="2634" spans="1:15" ht="12.5">
      <c r="A2634" s="158" t="s">
        <v>20806</v>
      </c>
      <c r="B2634" s="159">
        <v>35</v>
      </c>
      <c r="C2634" s="159">
        <v>31</v>
      </c>
      <c r="D2634" s="159">
        <v>64</v>
      </c>
      <c r="E2634" s="159">
        <v>9</v>
      </c>
      <c r="F2634" s="131"/>
      <c r="G2634" s="132"/>
      <c r="H2634" s="162" t="s">
        <v>20807</v>
      </c>
      <c r="I2634" s="158" t="s">
        <v>20808</v>
      </c>
      <c r="J2634" s="128"/>
      <c r="K2634" s="128"/>
      <c r="L2634" s="128"/>
      <c r="M2634" s="129"/>
      <c r="N2634" s="129"/>
      <c r="O2634" s="129"/>
    </row>
    <row r="2635" spans="1:15" ht="12.5">
      <c r="A2635" s="158" t="s">
        <v>20809</v>
      </c>
      <c r="B2635" s="159">
        <v>35</v>
      </c>
      <c r="C2635" s="159">
        <v>31</v>
      </c>
      <c r="D2635" s="159">
        <v>64</v>
      </c>
      <c r="E2635" s="159">
        <v>12</v>
      </c>
      <c r="F2635" s="131"/>
      <c r="G2635" s="132"/>
      <c r="H2635" s="162" t="s">
        <v>20810</v>
      </c>
      <c r="I2635" s="158" t="s">
        <v>20811</v>
      </c>
      <c r="J2635" s="128"/>
      <c r="K2635" s="128"/>
      <c r="L2635" s="128"/>
      <c r="M2635" s="129"/>
      <c r="N2635" s="129"/>
      <c r="O2635" s="129"/>
    </row>
    <row r="2636" spans="1:15" ht="12.5">
      <c r="A2636" s="158" t="s">
        <v>20812</v>
      </c>
      <c r="B2636" s="159">
        <v>35</v>
      </c>
      <c r="C2636" s="159">
        <v>31</v>
      </c>
      <c r="D2636" s="159">
        <v>64</v>
      </c>
      <c r="E2636" s="159">
        <v>14</v>
      </c>
      <c r="F2636" s="131"/>
      <c r="G2636" s="132"/>
      <c r="H2636" s="162" t="s">
        <v>20813</v>
      </c>
      <c r="I2636" s="158" t="s">
        <v>20814</v>
      </c>
      <c r="J2636" s="128"/>
      <c r="K2636" s="128"/>
      <c r="L2636" s="128"/>
      <c r="M2636" s="129"/>
      <c r="N2636" s="129"/>
      <c r="O2636" s="129"/>
    </row>
    <row r="2637" spans="1:15" ht="12.5">
      <c r="A2637" s="158" t="s">
        <v>20815</v>
      </c>
      <c r="B2637" s="159">
        <v>35</v>
      </c>
      <c r="C2637" s="159">
        <v>31</v>
      </c>
      <c r="D2637" s="159">
        <v>64</v>
      </c>
      <c r="E2637" s="159">
        <v>29</v>
      </c>
      <c r="F2637" s="131"/>
      <c r="G2637" s="132"/>
      <c r="H2637" s="162" t="s">
        <v>20816</v>
      </c>
      <c r="I2637" s="158" t="s">
        <v>20817</v>
      </c>
      <c r="J2637" s="128"/>
      <c r="K2637" s="128"/>
      <c r="L2637" s="128"/>
      <c r="M2637" s="129"/>
      <c r="N2637" s="129"/>
      <c r="O2637" s="129"/>
    </row>
    <row r="2638" spans="1:15" ht="12.5">
      <c r="A2638" s="158" t="s">
        <v>20818</v>
      </c>
      <c r="B2638" s="159">
        <v>35</v>
      </c>
      <c r="C2638" s="159">
        <v>31</v>
      </c>
      <c r="D2638" s="159">
        <v>64</v>
      </c>
      <c r="E2638" s="159">
        <v>31</v>
      </c>
      <c r="F2638" s="131"/>
      <c r="G2638" s="132"/>
      <c r="H2638" s="162" t="s">
        <v>20819</v>
      </c>
      <c r="I2638" s="158" t="s">
        <v>20820</v>
      </c>
      <c r="J2638" s="128"/>
      <c r="K2638" s="128"/>
      <c r="L2638" s="128"/>
      <c r="M2638" s="129"/>
      <c r="N2638" s="129"/>
      <c r="O2638" s="129"/>
    </row>
    <row r="2639" spans="1:15" ht="12.5">
      <c r="A2639" s="158" t="s">
        <v>20821</v>
      </c>
      <c r="B2639" s="159">
        <v>35</v>
      </c>
      <c r="C2639" s="159">
        <v>31</v>
      </c>
      <c r="D2639" s="159">
        <v>64</v>
      </c>
      <c r="E2639" s="159">
        <v>32</v>
      </c>
      <c r="F2639" s="131"/>
      <c r="G2639" s="132"/>
      <c r="H2639" s="162" t="s">
        <v>20822</v>
      </c>
      <c r="I2639" s="158" t="s">
        <v>20823</v>
      </c>
      <c r="J2639" s="128"/>
      <c r="K2639" s="128"/>
      <c r="L2639" s="128"/>
      <c r="M2639" s="129"/>
      <c r="N2639" s="129"/>
      <c r="O2639" s="129"/>
    </row>
    <row r="2640" spans="1:15" ht="12.5">
      <c r="A2640" s="158" t="s">
        <v>20824</v>
      </c>
      <c r="B2640" s="159">
        <v>35</v>
      </c>
      <c r="C2640" s="159">
        <v>31</v>
      </c>
      <c r="D2640" s="159">
        <v>64</v>
      </c>
      <c r="E2640" s="159">
        <v>35</v>
      </c>
      <c r="F2640" s="131"/>
      <c r="G2640" s="132"/>
      <c r="H2640" s="162" t="s">
        <v>20825</v>
      </c>
      <c r="I2640" s="158" t="s">
        <v>20826</v>
      </c>
      <c r="J2640" s="128"/>
      <c r="K2640" s="128"/>
      <c r="L2640" s="128"/>
      <c r="M2640" s="129"/>
      <c r="N2640" s="129"/>
      <c r="O2640" s="129"/>
    </row>
    <row r="2641" spans="1:15" ht="12.5">
      <c r="A2641" s="158" t="s">
        <v>20827</v>
      </c>
      <c r="B2641" s="159">
        <v>35</v>
      </c>
      <c r="C2641" s="159">
        <v>31</v>
      </c>
      <c r="D2641" s="159">
        <v>64</v>
      </c>
      <c r="E2641" s="159">
        <v>42</v>
      </c>
      <c r="F2641" s="131"/>
      <c r="G2641" s="132"/>
      <c r="H2641" s="162" t="s">
        <v>20828</v>
      </c>
      <c r="I2641" s="158" t="s">
        <v>20829</v>
      </c>
      <c r="J2641" s="128"/>
      <c r="K2641" s="128"/>
      <c r="L2641" s="128"/>
      <c r="M2641" s="129"/>
      <c r="N2641" s="129"/>
      <c r="O2641" s="129"/>
    </row>
    <row r="2642" spans="1:15" ht="12.5">
      <c r="A2642" s="158" t="s">
        <v>20830</v>
      </c>
      <c r="B2642" s="159">
        <v>35</v>
      </c>
      <c r="C2642" s="159">
        <v>31</v>
      </c>
      <c r="D2642" s="159">
        <v>64</v>
      </c>
      <c r="E2642" s="159">
        <v>47</v>
      </c>
      <c r="F2642" s="131"/>
      <c r="G2642" s="132"/>
      <c r="H2642" s="162" t="s">
        <v>20831</v>
      </c>
      <c r="I2642" s="158" t="s">
        <v>20832</v>
      </c>
      <c r="J2642" s="128"/>
      <c r="K2642" s="128"/>
      <c r="L2642" s="128"/>
      <c r="M2642" s="129"/>
      <c r="N2642" s="129"/>
      <c r="O2642" s="129"/>
    </row>
    <row r="2643" spans="1:15" ht="12.5">
      <c r="A2643" s="158" t="s">
        <v>20833</v>
      </c>
      <c r="B2643" s="159">
        <v>35</v>
      </c>
      <c r="C2643" s="159">
        <v>31</v>
      </c>
      <c r="D2643" s="159">
        <v>64</v>
      </c>
      <c r="E2643" s="159">
        <v>48</v>
      </c>
      <c r="F2643" s="131"/>
      <c r="G2643" s="132"/>
      <c r="H2643" s="162" t="s">
        <v>20834</v>
      </c>
      <c r="I2643" s="158" t="s">
        <v>20835</v>
      </c>
      <c r="J2643" s="128"/>
      <c r="K2643" s="128"/>
      <c r="L2643" s="128"/>
      <c r="M2643" s="129"/>
      <c r="N2643" s="129"/>
      <c r="O2643" s="129"/>
    </row>
    <row r="2644" spans="1:15" ht="12.5">
      <c r="A2644" s="158" t="s">
        <v>20836</v>
      </c>
      <c r="B2644" s="159">
        <v>35</v>
      </c>
      <c r="C2644" s="159">
        <v>31</v>
      </c>
      <c r="D2644" s="159">
        <v>64</v>
      </c>
      <c r="E2644" s="159">
        <v>64</v>
      </c>
      <c r="F2644" s="131"/>
      <c r="G2644" s="132"/>
      <c r="H2644" s="162" t="s">
        <v>20837</v>
      </c>
      <c r="I2644" s="158" t="s">
        <v>20838</v>
      </c>
      <c r="J2644" s="128"/>
      <c r="K2644" s="128"/>
      <c r="L2644" s="128"/>
      <c r="M2644" s="129"/>
      <c r="N2644" s="129"/>
      <c r="O2644" s="129"/>
    </row>
    <row r="2645" spans="1:15" ht="12.5">
      <c r="A2645" s="158" t="s">
        <v>20839</v>
      </c>
      <c r="B2645" s="159">
        <v>35</v>
      </c>
      <c r="C2645" s="159">
        <v>31</v>
      </c>
      <c r="D2645" s="159">
        <v>64</v>
      </c>
      <c r="E2645" s="159">
        <v>65</v>
      </c>
      <c r="F2645" s="131"/>
      <c r="G2645" s="132"/>
      <c r="H2645" s="162" t="s">
        <v>20840</v>
      </c>
      <c r="I2645" s="158" t="s">
        <v>20841</v>
      </c>
      <c r="J2645" s="128"/>
      <c r="K2645" s="128"/>
      <c r="L2645" s="128"/>
      <c r="M2645" s="129"/>
      <c r="N2645" s="129"/>
      <c r="O2645" s="129"/>
    </row>
    <row r="2646" spans="1:15" ht="12.5">
      <c r="A2646" s="158" t="s">
        <v>20842</v>
      </c>
      <c r="B2646" s="159">
        <v>35</v>
      </c>
      <c r="C2646" s="159">
        <v>31</v>
      </c>
      <c r="D2646" s="159">
        <v>64</v>
      </c>
      <c r="E2646" s="159">
        <v>67</v>
      </c>
      <c r="F2646" s="131"/>
      <c r="G2646" s="132"/>
      <c r="H2646" s="162" t="s">
        <v>20843</v>
      </c>
      <c r="I2646" s="158" t="s">
        <v>20844</v>
      </c>
      <c r="J2646" s="128"/>
      <c r="K2646" s="128"/>
      <c r="L2646" s="128"/>
      <c r="M2646" s="129"/>
      <c r="N2646" s="129"/>
      <c r="O2646" s="129"/>
    </row>
    <row r="2647" spans="1:15" ht="12.5">
      <c r="A2647" s="158" t="s">
        <v>20845</v>
      </c>
      <c r="B2647" s="159">
        <v>35</v>
      </c>
      <c r="C2647" s="159">
        <v>31</v>
      </c>
      <c r="D2647" s="159">
        <v>64</v>
      </c>
      <c r="E2647" s="159">
        <v>70</v>
      </c>
      <c r="F2647" s="131"/>
      <c r="G2647" s="132"/>
      <c r="H2647" s="162" t="s">
        <v>20846</v>
      </c>
      <c r="I2647" s="158" t="s">
        <v>20847</v>
      </c>
      <c r="J2647" s="128"/>
      <c r="K2647" s="128"/>
      <c r="L2647" s="128"/>
      <c r="M2647" s="129"/>
      <c r="N2647" s="129"/>
      <c r="O2647" s="129"/>
    </row>
    <row r="2648" spans="1:15" ht="12.5">
      <c r="A2648" s="158" t="s">
        <v>20848</v>
      </c>
      <c r="B2648" s="159">
        <v>35</v>
      </c>
      <c r="C2648" s="159">
        <v>31</v>
      </c>
      <c r="D2648" s="159">
        <v>64</v>
      </c>
      <c r="E2648" s="159">
        <v>71</v>
      </c>
      <c r="F2648" s="131"/>
      <c r="G2648" s="132"/>
      <c r="H2648" s="162" t="s">
        <v>20849</v>
      </c>
      <c r="I2648" s="158" t="s">
        <v>20850</v>
      </c>
      <c r="J2648" s="128"/>
      <c r="K2648" s="128"/>
      <c r="L2648" s="128"/>
      <c r="M2648" s="129"/>
      <c r="N2648" s="129"/>
      <c r="O2648" s="129"/>
    </row>
    <row r="2649" spans="1:15" ht="12.5">
      <c r="A2649" s="158" t="s">
        <v>20851</v>
      </c>
      <c r="B2649" s="159">
        <v>35</v>
      </c>
      <c r="C2649" s="159">
        <v>31</v>
      </c>
      <c r="D2649" s="159">
        <v>64</v>
      </c>
      <c r="E2649" s="159">
        <v>76</v>
      </c>
      <c r="F2649" s="131"/>
      <c r="G2649" s="132"/>
      <c r="H2649" s="162" t="s">
        <v>20852</v>
      </c>
      <c r="I2649" s="128"/>
      <c r="J2649" s="128"/>
      <c r="K2649" s="128"/>
      <c r="L2649" s="128"/>
      <c r="M2649" s="129"/>
      <c r="N2649" s="129"/>
      <c r="O2649" s="129"/>
    </row>
    <row r="2650" spans="1:15" ht="12.5">
      <c r="A2650" s="158" t="s">
        <v>20853</v>
      </c>
      <c r="B2650" s="159">
        <v>35</v>
      </c>
      <c r="C2650" s="159">
        <v>31</v>
      </c>
      <c r="D2650" s="159">
        <v>64</v>
      </c>
      <c r="E2650" s="159">
        <v>77</v>
      </c>
      <c r="F2650" s="131"/>
      <c r="G2650" s="132"/>
      <c r="H2650" s="162" t="s">
        <v>20854</v>
      </c>
      <c r="I2650" s="158" t="s">
        <v>20855</v>
      </c>
      <c r="J2650" s="128"/>
      <c r="K2650" s="128"/>
      <c r="L2650" s="128"/>
      <c r="M2650" s="129"/>
      <c r="N2650" s="129"/>
      <c r="O2650" s="129"/>
    </row>
    <row r="2651" spans="1:15" ht="12.5">
      <c r="A2651" s="158" t="s">
        <v>20856</v>
      </c>
      <c r="B2651" s="159">
        <v>35</v>
      </c>
      <c r="C2651" s="159">
        <v>31</v>
      </c>
      <c r="D2651" s="159">
        <v>64</v>
      </c>
      <c r="E2651" s="159">
        <v>80</v>
      </c>
      <c r="F2651" s="131"/>
      <c r="G2651" s="132"/>
      <c r="H2651" s="162" t="s">
        <v>20857</v>
      </c>
      <c r="I2651" s="158" t="s">
        <v>20858</v>
      </c>
      <c r="J2651" s="128"/>
      <c r="K2651" s="128"/>
      <c r="L2651" s="128"/>
      <c r="M2651" s="129"/>
      <c r="N2651" s="129"/>
      <c r="O2651" s="129"/>
    </row>
    <row r="2652" spans="1:15" ht="12.5">
      <c r="A2652" s="158" t="s">
        <v>20859</v>
      </c>
      <c r="B2652" s="159">
        <v>35</v>
      </c>
      <c r="C2652" s="159">
        <v>31</v>
      </c>
      <c r="D2652" s="159">
        <v>64</v>
      </c>
      <c r="E2652" s="159">
        <v>84</v>
      </c>
      <c r="F2652" s="131"/>
      <c r="G2652" s="132"/>
      <c r="H2652" s="162" t="s">
        <v>20860</v>
      </c>
      <c r="I2652" s="158" t="s">
        <v>20861</v>
      </c>
      <c r="J2652" s="128"/>
      <c r="K2652" s="128"/>
      <c r="L2652" s="128"/>
      <c r="M2652" s="129"/>
      <c r="N2652" s="129"/>
      <c r="O2652" s="129"/>
    </row>
    <row r="2653" spans="1:15" ht="12.5">
      <c r="A2653" s="158" t="s">
        <v>20862</v>
      </c>
      <c r="B2653" s="159">
        <v>35</v>
      </c>
      <c r="C2653" s="159">
        <v>31</v>
      </c>
      <c r="D2653" s="159">
        <v>64</v>
      </c>
      <c r="E2653" s="159">
        <v>85</v>
      </c>
      <c r="F2653" s="131"/>
      <c r="G2653" s="132"/>
      <c r="H2653" s="162" t="s">
        <v>20863</v>
      </c>
      <c r="I2653" s="128"/>
      <c r="J2653" s="128"/>
      <c r="K2653" s="128"/>
      <c r="L2653" s="128"/>
      <c r="M2653" s="129"/>
      <c r="N2653" s="129"/>
      <c r="O2653" s="129"/>
    </row>
    <row r="2654" spans="1:15" ht="12.5">
      <c r="A2654" s="158" t="s">
        <v>20864</v>
      </c>
      <c r="B2654" s="159">
        <v>35</v>
      </c>
      <c r="C2654" s="159">
        <v>31</v>
      </c>
      <c r="D2654" s="159">
        <v>64</v>
      </c>
      <c r="E2654" s="159">
        <v>86</v>
      </c>
      <c r="F2654" s="131"/>
      <c r="G2654" s="132"/>
      <c r="H2654" s="162" t="s">
        <v>20865</v>
      </c>
      <c r="I2654" s="158" t="s">
        <v>20866</v>
      </c>
      <c r="J2654" s="128"/>
      <c r="K2654" s="128"/>
      <c r="L2654" s="128"/>
      <c r="M2654" s="129"/>
      <c r="N2654" s="129"/>
      <c r="O2654" s="129"/>
    </row>
    <row r="2655" spans="1:15" ht="12.5">
      <c r="A2655" s="158" t="s">
        <v>20867</v>
      </c>
      <c r="B2655" s="159">
        <v>35</v>
      </c>
      <c r="C2655" s="159">
        <v>31</v>
      </c>
      <c r="D2655" s="159">
        <v>64</v>
      </c>
      <c r="E2655" s="159">
        <v>98</v>
      </c>
      <c r="F2655" s="131"/>
      <c r="G2655" s="132"/>
      <c r="H2655" s="162" t="s">
        <v>20868</v>
      </c>
      <c r="I2655" s="158" t="s">
        <v>20869</v>
      </c>
      <c r="J2655" s="128"/>
      <c r="K2655" s="128"/>
      <c r="L2655" s="128"/>
      <c r="M2655" s="129"/>
      <c r="N2655" s="129"/>
      <c r="O2655" s="129"/>
    </row>
    <row r="2656" spans="1:15" ht="12.5">
      <c r="A2656" s="158" t="s">
        <v>20870</v>
      </c>
      <c r="B2656" s="159">
        <v>35</v>
      </c>
      <c r="C2656" s="159">
        <v>31</v>
      </c>
      <c r="D2656" s="159">
        <v>64</v>
      </c>
      <c r="E2656" s="159">
        <v>99</v>
      </c>
      <c r="F2656" s="131"/>
      <c r="G2656" s="132"/>
      <c r="H2656" s="162" t="s">
        <v>20871</v>
      </c>
      <c r="I2656" s="158" t="s">
        <v>20872</v>
      </c>
      <c r="J2656" s="128"/>
      <c r="K2656" s="128"/>
      <c r="L2656" s="128"/>
      <c r="M2656" s="129"/>
      <c r="N2656" s="129"/>
      <c r="O2656" s="129"/>
    </row>
    <row r="2657" spans="1:15" ht="12.5">
      <c r="A2657" s="158" t="s">
        <v>20873</v>
      </c>
      <c r="B2657" s="159">
        <v>35</v>
      </c>
      <c r="C2657" s="159">
        <v>31</v>
      </c>
      <c r="D2657" s="159">
        <v>65</v>
      </c>
      <c r="E2657" s="130"/>
      <c r="F2657" s="131"/>
      <c r="G2657" s="132"/>
      <c r="H2657" s="162" t="s">
        <v>20874</v>
      </c>
      <c r="I2657" s="128"/>
      <c r="J2657" s="128"/>
      <c r="K2657" s="128"/>
      <c r="L2657" s="128"/>
      <c r="M2657" s="129"/>
      <c r="N2657" s="129"/>
      <c r="O2657" s="129"/>
    </row>
    <row r="2658" spans="1:15" ht="12.5">
      <c r="A2658" s="158" t="s">
        <v>20875</v>
      </c>
      <c r="B2658" s="159">
        <v>35</v>
      </c>
      <c r="C2658" s="159">
        <v>31</v>
      </c>
      <c r="D2658" s="159">
        <v>65</v>
      </c>
      <c r="E2658" s="159">
        <v>1</v>
      </c>
      <c r="F2658" s="131"/>
      <c r="G2658" s="132"/>
      <c r="H2658" s="162" t="s">
        <v>20876</v>
      </c>
      <c r="I2658" s="158" t="s">
        <v>20877</v>
      </c>
      <c r="J2658" s="128"/>
      <c r="K2658" s="128"/>
      <c r="L2658" s="128"/>
      <c r="M2658" s="129"/>
      <c r="N2658" s="129"/>
      <c r="O2658" s="129"/>
    </row>
    <row r="2659" spans="1:15" ht="12.5">
      <c r="A2659" s="158" t="s">
        <v>20878</v>
      </c>
      <c r="B2659" s="159">
        <v>35</v>
      </c>
      <c r="C2659" s="159">
        <v>31</v>
      </c>
      <c r="D2659" s="159">
        <v>65</v>
      </c>
      <c r="E2659" s="159">
        <v>2</v>
      </c>
      <c r="F2659" s="131"/>
      <c r="G2659" s="132"/>
      <c r="H2659" s="162" t="s">
        <v>20879</v>
      </c>
      <c r="I2659" s="158" t="s">
        <v>20880</v>
      </c>
      <c r="J2659" s="128"/>
      <c r="K2659" s="128"/>
      <c r="L2659" s="128"/>
      <c r="M2659" s="129"/>
      <c r="N2659" s="129"/>
      <c r="O2659" s="129"/>
    </row>
    <row r="2660" spans="1:15" ht="12.5">
      <c r="A2660" s="158" t="s">
        <v>20881</v>
      </c>
      <c r="B2660" s="159">
        <v>35</v>
      </c>
      <c r="C2660" s="159">
        <v>31</v>
      </c>
      <c r="D2660" s="159">
        <v>65</v>
      </c>
      <c r="E2660" s="159">
        <v>12</v>
      </c>
      <c r="F2660" s="131"/>
      <c r="G2660" s="132"/>
      <c r="H2660" s="162" t="s">
        <v>20882</v>
      </c>
      <c r="I2660" s="128"/>
      <c r="J2660" s="128"/>
      <c r="K2660" s="128"/>
      <c r="L2660" s="128"/>
      <c r="M2660" s="129"/>
      <c r="N2660" s="129"/>
      <c r="O2660" s="129"/>
    </row>
    <row r="2661" spans="1:15" ht="12.5">
      <c r="A2661" s="158" t="s">
        <v>20883</v>
      </c>
      <c r="B2661" s="159">
        <v>35</v>
      </c>
      <c r="C2661" s="159">
        <v>31</v>
      </c>
      <c r="D2661" s="159">
        <v>65</v>
      </c>
      <c r="E2661" s="159">
        <v>13</v>
      </c>
      <c r="F2661" s="131"/>
      <c r="G2661" s="132"/>
      <c r="H2661" s="162" t="s">
        <v>20884</v>
      </c>
      <c r="I2661" s="128"/>
      <c r="J2661" s="128"/>
      <c r="K2661" s="128"/>
      <c r="L2661" s="128"/>
      <c r="M2661" s="129"/>
      <c r="N2661" s="129"/>
      <c r="O2661" s="129"/>
    </row>
    <row r="2662" spans="1:15" ht="12.5">
      <c r="A2662" s="158" t="s">
        <v>20885</v>
      </c>
      <c r="B2662" s="159">
        <v>35</v>
      </c>
      <c r="C2662" s="159">
        <v>31</v>
      </c>
      <c r="D2662" s="159">
        <v>65</v>
      </c>
      <c r="E2662" s="159">
        <v>20</v>
      </c>
      <c r="F2662" s="131"/>
      <c r="G2662" s="132"/>
      <c r="H2662" s="162" t="s">
        <v>20886</v>
      </c>
      <c r="I2662" s="158" t="s">
        <v>20887</v>
      </c>
      <c r="J2662" s="128"/>
      <c r="K2662" s="128"/>
      <c r="L2662" s="128"/>
      <c r="M2662" s="129"/>
      <c r="N2662" s="129"/>
      <c r="O2662" s="129"/>
    </row>
    <row r="2663" spans="1:15" ht="12.5">
      <c r="A2663" s="158" t="s">
        <v>20888</v>
      </c>
      <c r="B2663" s="159">
        <v>35</v>
      </c>
      <c r="C2663" s="159">
        <v>31</v>
      </c>
      <c r="D2663" s="159">
        <v>65</v>
      </c>
      <c r="E2663" s="159">
        <v>21</v>
      </c>
      <c r="F2663" s="131"/>
      <c r="G2663" s="132"/>
      <c r="H2663" s="162" t="s">
        <v>20889</v>
      </c>
      <c r="I2663" s="158" t="s">
        <v>20890</v>
      </c>
      <c r="J2663" s="128"/>
      <c r="K2663" s="128"/>
      <c r="L2663" s="128"/>
      <c r="M2663" s="129"/>
      <c r="N2663" s="129"/>
      <c r="O2663" s="129"/>
    </row>
    <row r="2664" spans="1:15" ht="12.5">
      <c r="A2664" s="158" t="s">
        <v>20891</v>
      </c>
      <c r="B2664" s="159">
        <v>35</v>
      </c>
      <c r="C2664" s="159">
        <v>31</v>
      </c>
      <c r="D2664" s="159">
        <v>65</v>
      </c>
      <c r="E2664" s="159">
        <v>22</v>
      </c>
      <c r="F2664" s="131"/>
      <c r="G2664" s="132"/>
      <c r="H2664" s="162" t="s">
        <v>20892</v>
      </c>
      <c r="I2664" s="158" t="s">
        <v>20893</v>
      </c>
      <c r="J2664" s="128"/>
      <c r="K2664" s="128"/>
      <c r="L2664" s="128"/>
      <c r="M2664" s="129"/>
      <c r="N2664" s="129"/>
      <c r="O2664" s="129"/>
    </row>
    <row r="2665" spans="1:15" ht="12.5">
      <c r="A2665" s="158" t="s">
        <v>20894</v>
      </c>
      <c r="B2665" s="159">
        <v>35</v>
      </c>
      <c r="C2665" s="159">
        <v>31</v>
      </c>
      <c r="D2665" s="159">
        <v>65</v>
      </c>
      <c r="E2665" s="159">
        <v>23</v>
      </c>
      <c r="F2665" s="131"/>
      <c r="G2665" s="132"/>
      <c r="H2665" s="162" t="s">
        <v>20895</v>
      </c>
      <c r="I2665" s="158" t="s">
        <v>20896</v>
      </c>
      <c r="J2665" s="128"/>
      <c r="K2665" s="128"/>
      <c r="L2665" s="128"/>
      <c r="M2665" s="129"/>
      <c r="N2665" s="129"/>
      <c r="O2665" s="129"/>
    </row>
    <row r="2666" spans="1:15" ht="12.5">
      <c r="A2666" s="158" t="s">
        <v>20897</v>
      </c>
      <c r="B2666" s="159">
        <v>35</v>
      </c>
      <c r="C2666" s="159">
        <v>31</v>
      </c>
      <c r="D2666" s="159">
        <v>65</v>
      </c>
      <c r="E2666" s="159">
        <v>24</v>
      </c>
      <c r="F2666" s="131"/>
      <c r="G2666" s="132"/>
      <c r="H2666" s="162" t="s">
        <v>20898</v>
      </c>
      <c r="I2666" s="158" t="s">
        <v>20899</v>
      </c>
      <c r="J2666" s="128"/>
      <c r="K2666" s="128"/>
      <c r="L2666" s="128"/>
      <c r="M2666" s="129"/>
      <c r="N2666" s="129"/>
      <c r="O2666" s="129"/>
    </row>
    <row r="2667" spans="1:15" ht="12.5">
      <c r="A2667" s="158" t="s">
        <v>20900</v>
      </c>
      <c r="B2667" s="159">
        <v>35</v>
      </c>
      <c r="C2667" s="159">
        <v>31</v>
      </c>
      <c r="D2667" s="159">
        <v>65</v>
      </c>
      <c r="E2667" s="159">
        <v>25</v>
      </c>
      <c r="F2667" s="131"/>
      <c r="G2667" s="132"/>
      <c r="H2667" s="162" t="s">
        <v>20901</v>
      </c>
      <c r="I2667" s="158" t="s">
        <v>20902</v>
      </c>
      <c r="J2667" s="128"/>
      <c r="K2667" s="128"/>
      <c r="L2667" s="128"/>
      <c r="M2667" s="129"/>
      <c r="N2667" s="129"/>
      <c r="O2667" s="129"/>
    </row>
    <row r="2668" spans="1:15" ht="12.5">
      <c r="A2668" s="158" t="s">
        <v>20903</v>
      </c>
      <c r="B2668" s="159">
        <v>35</v>
      </c>
      <c r="C2668" s="159">
        <v>31</v>
      </c>
      <c r="D2668" s="159">
        <v>65</v>
      </c>
      <c r="E2668" s="159">
        <v>26</v>
      </c>
      <c r="F2668" s="131"/>
      <c r="G2668" s="132"/>
      <c r="H2668" s="162" t="s">
        <v>20904</v>
      </c>
      <c r="I2668" s="158" t="s">
        <v>20905</v>
      </c>
      <c r="J2668" s="128"/>
      <c r="K2668" s="128"/>
      <c r="L2668" s="128"/>
      <c r="M2668" s="129"/>
      <c r="N2668" s="129"/>
      <c r="O2668" s="129"/>
    </row>
    <row r="2669" spans="1:15" ht="12.5">
      <c r="A2669" s="158" t="s">
        <v>20906</v>
      </c>
      <c r="B2669" s="159">
        <v>35</v>
      </c>
      <c r="C2669" s="159">
        <v>31</v>
      </c>
      <c r="D2669" s="159">
        <v>65</v>
      </c>
      <c r="E2669" s="159">
        <v>27</v>
      </c>
      <c r="F2669" s="131"/>
      <c r="G2669" s="132"/>
      <c r="H2669" s="162" t="s">
        <v>20907</v>
      </c>
      <c r="I2669" s="158" t="s">
        <v>20908</v>
      </c>
      <c r="J2669" s="128"/>
      <c r="K2669" s="128"/>
      <c r="L2669" s="128"/>
      <c r="M2669" s="129"/>
      <c r="N2669" s="129"/>
      <c r="O2669" s="129"/>
    </row>
    <row r="2670" spans="1:15" ht="12.5">
      <c r="A2670" s="158" t="s">
        <v>20909</v>
      </c>
      <c r="B2670" s="159">
        <v>35</v>
      </c>
      <c r="C2670" s="159">
        <v>31</v>
      </c>
      <c r="D2670" s="159">
        <v>65</v>
      </c>
      <c r="E2670" s="159">
        <v>28</v>
      </c>
      <c r="F2670" s="131"/>
      <c r="G2670" s="132"/>
      <c r="H2670" s="162" t="s">
        <v>20910</v>
      </c>
      <c r="I2670" s="158" t="s">
        <v>20911</v>
      </c>
      <c r="J2670" s="128"/>
      <c r="K2670" s="128"/>
      <c r="L2670" s="128"/>
      <c r="M2670" s="129"/>
      <c r="N2670" s="129"/>
      <c r="O2670" s="129"/>
    </row>
    <row r="2671" spans="1:15" ht="12.5">
      <c r="A2671" s="158" t="s">
        <v>20912</v>
      </c>
      <c r="B2671" s="159">
        <v>35</v>
      </c>
      <c r="C2671" s="159">
        <v>31</v>
      </c>
      <c r="D2671" s="159">
        <v>65</v>
      </c>
      <c r="E2671" s="159">
        <v>29</v>
      </c>
      <c r="F2671" s="131"/>
      <c r="G2671" s="132"/>
      <c r="H2671" s="162" t="s">
        <v>20913</v>
      </c>
      <c r="I2671" s="158" t="s">
        <v>20914</v>
      </c>
      <c r="J2671" s="128"/>
      <c r="K2671" s="128"/>
      <c r="L2671" s="128"/>
      <c r="M2671" s="129"/>
      <c r="N2671" s="129"/>
      <c r="O2671" s="129"/>
    </row>
    <row r="2672" spans="1:15" ht="12.5">
      <c r="A2672" s="158" t="s">
        <v>20915</v>
      </c>
      <c r="B2672" s="159">
        <v>35</v>
      </c>
      <c r="C2672" s="159">
        <v>31</v>
      </c>
      <c r="D2672" s="159">
        <v>65</v>
      </c>
      <c r="E2672" s="159">
        <v>30</v>
      </c>
      <c r="F2672" s="131"/>
      <c r="G2672" s="132"/>
      <c r="H2672" s="162" t="s">
        <v>20916</v>
      </c>
      <c r="I2672" s="158" t="s">
        <v>20917</v>
      </c>
      <c r="J2672" s="128"/>
      <c r="K2672" s="128"/>
      <c r="L2672" s="128"/>
      <c r="M2672" s="129"/>
      <c r="N2672" s="129"/>
      <c r="O2672" s="129"/>
    </row>
    <row r="2673" spans="1:15" ht="12.5">
      <c r="A2673" s="158" t="s">
        <v>20918</v>
      </c>
      <c r="B2673" s="159">
        <v>35</v>
      </c>
      <c r="C2673" s="159">
        <v>31</v>
      </c>
      <c r="D2673" s="159">
        <v>65</v>
      </c>
      <c r="E2673" s="159">
        <v>31</v>
      </c>
      <c r="F2673" s="131"/>
      <c r="G2673" s="132"/>
      <c r="H2673" s="162" t="s">
        <v>20919</v>
      </c>
      <c r="I2673" s="128"/>
      <c r="J2673" s="128"/>
      <c r="K2673" s="128"/>
      <c r="L2673" s="128"/>
      <c r="M2673" s="129"/>
      <c r="N2673" s="129"/>
      <c r="O2673" s="129"/>
    </row>
    <row r="2674" spans="1:15" ht="12.5">
      <c r="A2674" s="158" t="s">
        <v>20920</v>
      </c>
      <c r="B2674" s="159">
        <v>35</v>
      </c>
      <c r="C2674" s="159">
        <v>31</v>
      </c>
      <c r="D2674" s="159">
        <v>65</v>
      </c>
      <c r="E2674" s="159">
        <v>34</v>
      </c>
      <c r="F2674" s="131"/>
      <c r="G2674" s="132"/>
      <c r="H2674" s="162" t="s">
        <v>20921</v>
      </c>
      <c r="I2674" s="158" t="s">
        <v>20922</v>
      </c>
      <c r="J2674" s="128"/>
      <c r="K2674" s="128"/>
      <c r="L2674" s="128"/>
      <c r="M2674" s="129"/>
      <c r="N2674" s="129"/>
      <c r="O2674" s="129"/>
    </row>
    <row r="2675" spans="1:15" ht="12.5">
      <c r="A2675" s="158" t="s">
        <v>20923</v>
      </c>
      <c r="B2675" s="159">
        <v>35</v>
      </c>
      <c r="C2675" s="159">
        <v>31</v>
      </c>
      <c r="D2675" s="159">
        <v>65</v>
      </c>
      <c r="E2675" s="159">
        <v>50</v>
      </c>
      <c r="F2675" s="131"/>
      <c r="G2675" s="132"/>
      <c r="H2675" s="162" t="s">
        <v>20924</v>
      </c>
      <c r="I2675" s="158" t="s">
        <v>20925</v>
      </c>
      <c r="J2675" s="128"/>
      <c r="K2675" s="128"/>
      <c r="L2675" s="128"/>
      <c r="M2675" s="129"/>
      <c r="N2675" s="129"/>
      <c r="O2675" s="129"/>
    </row>
    <row r="2676" spans="1:15" ht="12.5">
      <c r="A2676" s="158" t="s">
        <v>20926</v>
      </c>
      <c r="B2676" s="159">
        <v>35</v>
      </c>
      <c r="C2676" s="159">
        <v>31</v>
      </c>
      <c r="D2676" s="159">
        <v>65</v>
      </c>
      <c r="E2676" s="159">
        <v>74</v>
      </c>
      <c r="F2676" s="131"/>
      <c r="G2676" s="132"/>
      <c r="H2676" s="162" t="s">
        <v>20927</v>
      </c>
      <c r="I2676" s="158" t="s">
        <v>20928</v>
      </c>
      <c r="J2676" s="128"/>
      <c r="K2676" s="128"/>
      <c r="L2676" s="128"/>
      <c r="M2676" s="129"/>
      <c r="N2676" s="129"/>
      <c r="O2676" s="129"/>
    </row>
    <row r="2677" spans="1:15" ht="12.5">
      <c r="A2677" s="158" t="s">
        <v>20929</v>
      </c>
      <c r="B2677" s="159">
        <v>35</v>
      </c>
      <c r="C2677" s="159">
        <v>31</v>
      </c>
      <c r="D2677" s="159">
        <v>65</v>
      </c>
      <c r="E2677" s="159">
        <v>79</v>
      </c>
      <c r="F2677" s="131"/>
      <c r="G2677" s="132"/>
      <c r="H2677" s="162" t="s">
        <v>20930</v>
      </c>
      <c r="I2677" s="158" t="s">
        <v>20931</v>
      </c>
      <c r="J2677" s="128"/>
      <c r="K2677" s="128"/>
      <c r="L2677" s="128"/>
      <c r="M2677" s="129"/>
      <c r="N2677" s="129"/>
      <c r="O2677" s="129"/>
    </row>
    <row r="2678" spans="1:15" ht="12.5">
      <c r="A2678" s="158" t="s">
        <v>20932</v>
      </c>
      <c r="B2678" s="159">
        <v>35</v>
      </c>
      <c r="C2678" s="159">
        <v>31</v>
      </c>
      <c r="D2678" s="159">
        <v>65</v>
      </c>
      <c r="E2678" s="159">
        <v>80</v>
      </c>
      <c r="F2678" s="131"/>
      <c r="G2678" s="132"/>
      <c r="H2678" s="162" t="s">
        <v>20933</v>
      </c>
      <c r="I2678" s="158" t="s">
        <v>20934</v>
      </c>
      <c r="J2678" s="128"/>
      <c r="K2678" s="128"/>
      <c r="L2678" s="128"/>
      <c r="M2678" s="129"/>
      <c r="N2678" s="129"/>
      <c r="O2678" s="129"/>
    </row>
    <row r="2679" spans="1:15" ht="12.5">
      <c r="A2679" s="158" t="s">
        <v>20935</v>
      </c>
      <c r="B2679" s="159">
        <v>35</v>
      </c>
      <c r="C2679" s="159">
        <v>31</v>
      </c>
      <c r="D2679" s="159">
        <v>65</v>
      </c>
      <c r="E2679" s="159">
        <v>82</v>
      </c>
      <c r="F2679" s="131"/>
      <c r="G2679" s="132"/>
      <c r="H2679" s="162" t="s">
        <v>20936</v>
      </c>
      <c r="I2679" s="158" t="s">
        <v>20937</v>
      </c>
      <c r="J2679" s="128"/>
      <c r="K2679" s="128"/>
      <c r="L2679" s="128"/>
      <c r="M2679" s="129"/>
      <c r="N2679" s="129"/>
      <c r="O2679" s="129"/>
    </row>
    <row r="2680" spans="1:15" ht="12.5">
      <c r="A2680" s="158" t="s">
        <v>20938</v>
      </c>
      <c r="B2680" s="159">
        <v>35</v>
      </c>
      <c r="C2680" s="159">
        <v>31</v>
      </c>
      <c r="D2680" s="159">
        <v>65</v>
      </c>
      <c r="E2680" s="159">
        <v>95</v>
      </c>
      <c r="F2680" s="131"/>
      <c r="G2680" s="132"/>
      <c r="H2680" s="162" t="s">
        <v>20939</v>
      </c>
      <c r="I2680" s="158" t="s">
        <v>20940</v>
      </c>
      <c r="J2680" s="128"/>
      <c r="K2680" s="128"/>
      <c r="L2680" s="128"/>
      <c r="M2680" s="129"/>
      <c r="N2680" s="129"/>
      <c r="O2680" s="129"/>
    </row>
    <row r="2681" spans="1:15" ht="12.5">
      <c r="A2681" s="158" t="s">
        <v>20941</v>
      </c>
      <c r="B2681" s="159">
        <v>35</v>
      </c>
      <c r="C2681" s="159">
        <v>31</v>
      </c>
      <c r="D2681" s="159">
        <v>65</v>
      </c>
      <c r="E2681" s="159">
        <v>96</v>
      </c>
      <c r="F2681" s="131"/>
      <c r="G2681" s="132"/>
      <c r="H2681" s="162" t="s">
        <v>20942</v>
      </c>
      <c r="I2681" s="158" t="s">
        <v>20943</v>
      </c>
      <c r="J2681" s="128"/>
      <c r="K2681" s="128"/>
      <c r="L2681" s="128"/>
      <c r="M2681" s="129"/>
      <c r="N2681" s="129"/>
      <c r="O2681" s="129"/>
    </row>
    <row r="2682" spans="1:15" ht="12.5">
      <c r="A2682" s="158" t="s">
        <v>20944</v>
      </c>
      <c r="B2682" s="159">
        <v>35</v>
      </c>
      <c r="C2682" s="159">
        <v>31</v>
      </c>
      <c r="D2682" s="159">
        <v>65</v>
      </c>
      <c r="E2682" s="159">
        <v>97</v>
      </c>
      <c r="F2682" s="131"/>
      <c r="G2682" s="132"/>
      <c r="H2682" s="162" t="s">
        <v>20945</v>
      </c>
      <c r="I2682" s="128"/>
      <c r="J2682" s="128"/>
      <c r="K2682" s="128"/>
      <c r="L2682" s="128"/>
      <c r="M2682" s="129"/>
      <c r="N2682" s="129"/>
      <c r="O2682" s="129"/>
    </row>
    <row r="2683" spans="1:15" ht="12.5">
      <c r="A2683" s="158" t="s">
        <v>20946</v>
      </c>
      <c r="B2683" s="159">
        <v>35</v>
      </c>
      <c r="C2683" s="159">
        <v>31</v>
      </c>
      <c r="D2683" s="159">
        <v>65</v>
      </c>
      <c r="E2683" s="159">
        <v>98</v>
      </c>
      <c r="F2683" s="131"/>
      <c r="G2683" s="132"/>
      <c r="H2683" s="162" t="s">
        <v>33410</v>
      </c>
      <c r="I2683" s="158" t="s">
        <v>20948</v>
      </c>
      <c r="J2683" s="128"/>
      <c r="K2683" s="128"/>
      <c r="L2683" s="128"/>
      <c r="M2683" s="129"/>
      <c r="N2683" s="129"/>
      <c r="O2683" s="129"/>
    </row>
    <row r="2684" spans="1:15" ht="12.5">
      <c r="A2684" s="158" t="s">
        <v>20949</v>
      </c>
      <c r="B2684" s="159">
        <v>35</v>
      </c>
      <c r="C2684" s="159">
        <v>31</v>
      </c>
      <c r="D2684" s="159">
        <v>66</v>
      </c>
      <c r="E2684" s="130"/>
      <c r="F2684" s="131"/>
      <c r="G2684" s="132"/>
      <c r="H2684" s="162" t="s">
        <v>20950</v>
      </c>
      <c r="I2684" s="128"/>
      <c r="J2684" s="128"/>
      <c r="K2684" s="128"/>
      <c r="L2684" s="128"/>
      <c r="M2684" s="129"/>
      <c r="N2684" s="129"/>
      <c r="O2684" s="129"/>
    </row>
    <row r="2685" spans="1:15" ht="12.5">
      <c r="A2685" s="158" t="s">
        <v>20951</v>
      </c>
      <c r="B2685" s="159">
        <v>35</v>
      </c>
      <c r="C2685" s="159">
        <v>31</v>
      </c>
      <c r="D2685" s="159">
        <v>66</v>
      </c>
      <c r="E2685" s="159">
        <v>2</v>
      </c>
      <c r="F2685" s="131"/>
      <c r="G2685" s="132"/>
      <c r="H2685" s="162" t="s">
        <v>20952</v>
      </c>
      <c r="I2685" s="158" t="s">
        <v>20953</v>
      </c>
      <c r="J2685" s="128"/>
      <c r="K2685" s="128"/>
      <c r="L2685" s="128"/>
      <c r="M2685" s="129"/>
      <c r="N2685" s="129"/>
      <c r="O2685" s="129"/>
    </row>
    <row r="2686" spans="1:15" ht="12.5">
      <c r="A2686" s="158" t="s">
        <v>20954</v>
      </c>
      <c r="B2686" s="159">
        <v>35</v>
      </c>
      <c r="C2686" s="159">
        <v>31</v>
      </c>
      <c r="D2686" s="159">
        <v>66</v>
      </c>
      <c r="E2686" s="159">
        <v>3</v>
      </c>
      <c r="F2686" s="131"/>
      <c r="G2686" s="132"/>
      <c r="H2686" s="162" t="s">
        <v>20955</v>
      </c>
      <c r="I2686" s="158" t="s">
        <v>20956</v>
      </c>
      <c r="J2686" s="128"/>
      <c r="K2686" s="128"/>
      <c r="L2686" s="128"/>
      <c r="M2686" s="129"/>
      <c r="N2686" s="129"/>
      <c r="O2686" s="129"/>
    </row>
    <row r="2687" spans="1:15" ht="12.5">
      <c r="A2687" s="158" t="s">
        <v>20957</v>
      </c>
      <c r="B2687" s="159">
        <v>35</v>
      </c>
      <c r="C2687" s="159">
        <v>31</v>
      </c>
      <c r="D2687" s="159">
        <v>66</v>
      </c>
      <c r="E2687" s="159">
        <v>7</v>
      </c>
      <c r="F2687" s="131"/>
      <c r="G2687" s="132"/>
      <c r="H2687" s="162" t="s">
        <v>20958</v>
      </c>
      <c r="I2687" s="158" t="s">
        <v>20959</v>
      </c>
      <c r="J2687" s="128"/>
      <c r="K2687" s="128"/>
      <c r="L2687" s="128"/>
      <c r="M2687" s="129"/>
      <c r="N2687" s="129"/>
      <c r="O2687" s="129"/>
    </row>
    <row r="2688" spans="1:15" ht="12.5">
      <c r="A2688" s="158" t="s">
        <v>20960</v>
      </c>
      <c r="B2688" s="159">
        <v>35</v>
      </c>
      <c r="C2688" s="159">
        <v>31</v>
      </c>
      <c r="D2688" s="159">
        <v>66</v>
      </c>
      <c r="E2688" s="159">
        <v>8</v>
      </c>
      <c r="F2688" s="131"/>
      <c r="G2688" s="132"/>
      <c r="H2688" s="162" t="s">
        <v>20961</v>
      </c>
      <c r="I2688" s="158" t="s">
        <v>20962</v>
      </c>
      <c r="J2688" s="128"/>
      <c r="K2688" s="128"/>
      <c r="L2688" s="128"/>
      <c r="M2688" s="129"/>
      <c r="N2688" s="129"/>
      <c r="O2688" s="129"/>
    </row>
    <row r="2689" spans="1:15" ht="12.5">
      <c r="A2689" s="158" t="s">
        <v>20963</v>
      </c>
      <c r="B2689" s="159">
        <v>35</v>
      </c>
      <c r="C2689" s="159">
        <v>31</v>
      </c>
      <c r="D2689" s="159">
        <v>66</v>
      </c>
      <c r="E2689" s="159">
        <v>9</v>
      </c>
      <c r="F2689" s="131"/>
      <c r="G2689" s="132"/>
      <c r="H2689" s="162" t="s">
        <v>20964</v>
      </c>
      <c r="I2689" s="158" t="s">
        <v>20965</v>
      </c>
      <c r="J2689" s="128"/>
      <c r="K2689" s="128"/>
      <c r="L2689" s="128"/>
      <c r="M2689" s="129"/>
      <c r="N2689" s="129"/>
      <c r="O2689" s="129"/>
    </row>
    <row r="2690" spans="1:15" ht="12.5">
      <c r="A2690" s="158" t="s">
        <v>20966</v>
      </c>
      <c r="B2690" s="159">
        <v>35</v>
      </c>
      <c r="C2690" s="159">
        <v>31</v>
      </c>
      <c r="D2690" s="159">
        <v>66</v>
      </c>
      <c r="E2690" s="159">
        <v>15</v>
      </c>
      <c r="F2690" s="131"/>
      <c r="G2690" s="132"/>
      <c r="H2690" s="162" t="s">
        <v>20967</v>
      </c>
      <c r="I2690" s="158" t="s">
        <v>20968</v>
      </c>
      <c r="J2690" s="128"/>
      <c r="K2690" s="128"/>
      <c r="L2690" s="128"/>
      <c r="M2690" s="129"/>
      <c r="N2690" s="129"/>
      <c r="O2690" s="129"/>
    </row>
    <row r="2691" spans="1:15" ht="12.5">
      <c r="A2691" s="158" t="s">
        <v>20969</v>
      </c>
      <c r="B2691" s="159">
        <v>35</v>
      </c>
      <c r="C2691" s="159">
        <v>31</v>
      </c>
      <c r="D2691" s="159">
        <v>66</v>
      </c>
      <c r="E2691" s="159">
        <v>16</v>
      </c>
      <c r="F2691" s="131"/>
      <c r="G2691" s="132"/>
      <c r="H2691" s="162" t="s">
        <v>20970</v>
      </c>
      <c r="I2691" s="158" t="s">
        <v>20971</v>
      </c>
      <c r="J2691" s="128"/>
      <c r="K2691" s="128"/>
      <c r="L2691" s="128"/>
      <c r="M2691" s="129"/>
      <c r="N2691" s="129"/>
      <c r="O2691" s="129"/>
    </row>
    <row r="2692" spans="1:15" ht="12.5">
      <c r="A2692" s="158" t="s">
        <v>20972</v>
      </c>
      <c r="B2692" s="159">
        <v>35</v>
      </c>
      <c r="C2692" s="159">
        <v>31</v>
      </c>
      <c r="D2692" s="159">
        <v>66</v>
      </c>
      <c r="E2692" s="159">
        <v>21</v>
      </c>
      <c r="F2692" s="131"/>
      <c r="G2692" s="132"/>
      <c r="H2692" s="162" t="s">
        <v>20973</v>
      </c>
      <c r="I2692" s="158" t="s">
        <v>20974</v>
      </c>
      <c r="J2692" s="128"/>
      <c r="K2692" s="128"/>
      <c r="L2692" s="128"/>
      <c r="M2692" s="129"/>
      <c r="N2692" s="129"/>
      <c r="O2692" s="129"/>
    </row>
    <row r="2693" spans="1:15" ht="12.5">
      <c r="A2693" s="158" t="s">
        <v>20975</v>
      </c>
      <c r="B2693" s="159">
        <v>35</v>
      </c>
      <c r="C2693" s="159">
        <v>31</v>
      </c>
      <c r="D2693" s="159">
        <v>66</v>
      </c>
      <c r="E2693" s="159">
        <v>22</v>
      </c>
      <c r="F2693" s="131"/>
      <c r="G2693" s="132"/>
      <c r="H2693" s="162" t="s">
        <v>20976</v>
      </c>
      <c r="I2693" s="128"/>
      <c r="J2693" s="128"/>
      <c r="K2693" s="128"/>
      <c r="L2693" s="128"/>
      <c r="M2693" s="129"/>
      <c r="N2693" s="129"/>
      <c r="O2693" s="129"/>
    </row>
    <row r="2694" spans="1:15" ht="12.5">
      <c r="A2694" s="158" t="s">
        <v>20977</v>
      </c>
      <c r="B2694" s="159">
        <v>35</v>
      </c>
      <c r="C2694" s="159">
        <v>31</v>
      </c>
      <c r="D2694" s="159">
        <v>66</v>
      </c>
      <c r="E2694" s="159">
        <v>26</v>
      </c>
      <c r="F2694" s="131"/>
      <c r="G2694" s="132"/>
      <c r="H2694" s="162" t="s">
        <v>20978</v>
      </c>
      <c r="I2694" s="158" t="s">
        <v>20979</v>
      </c>
      <c r="J2694" s="128"/>
      <c r="K2694" s="128"/>
      <c r="L2694" s="128"/>
      <c r="M2694" s="129"/>
      <c r="N2694" s="129"/>
      <c r="O2694" s="129"/>
    </row>
    <row r="2695" spans="1:15" ht="12.5">
      <c r="A2695" s="158" t="s">
        <v>20980</v>
      </c>
      <c r="B2695" s="159">
        <v>35</v>
      </c>
      <c r="C2695" s="159">
        <v>31</v>
      </c>
      <c r="D2695" s="159">
        <v>66</v>
      </c>
      <c r="E2695" s="159">
        <v>30</v>
      </c>
      <c r="F2695" s="131"/>
      <c r="G2695" s="132"/>
      <c r="H2695" s="162" t="s">
        <v>20981</v>
      </c>
      <c r="I2695" s="158" t="s">
        <v>20982</v>
      </c>
      <c r="J2695" s="128"/>
      <c r="K2695" s="128"/>
      <c r="L2695" s="128"/>
      <c r="M2695" s="129"/>
      <c r="N2695" s="129"/>
      <c r="O2695" s="129"/>
    </row>
    <row r="2696" spans="1:15" ht="12.5">
      <c r="A2696" s="158" t="s">
        <v>20983</v>
      </c>
      <c r="B2696" s="159">
        <v>35</v>
      </c>
      <c r="C2696" s="159">
        <v>31</v>
      </c>
      <c r="D2696" s="159">
        <v>66</v>
      </c>
      <c r="E2696" s="159">
        <v>34</v>
      </c>
      <c r="F2696" s="131"/>
      <c r="G2696" s="132"/>
      <c r="H2696" s="162" t="s">
        <v>20984</v>
      </c>
      <c r="I2696" s="158" t="s">
        <v>20985</v>
      </c>
      <c r="J2696" s="128"/>
      <c r="K2696" s="128"/>
      <c r="L2696" s="128"/>
      <c r="M2696" s="129"/>
      <c r="N2696" s="129"/>
      <c r="O2696" s="129"/>
    </row>
    <row r="2697" spans="1:15" ht="12.5">
      <c r="A2697" s="158" t="s">
        <v>20986</v>
      </c>
      <c r="B2697" s="159">
        <v>35</v>
      </c>
      <c r="C2697" s="159">
        <v>31</v>
      </c>
      <c r="D2697" s="159">
        <v>66</v>
      </c>
      <c r="E2697" s="159">
        <v>50</v>
      </c>
      <c r="F2697" s="131"/>
      <c r="G2697" s="132"/>
      <c r="H2697" s="162" t="s">
        <v>20987</v>
      </c>
      <c r="I2697" s="158" t="s">
        <v>20988</v>
      </c>
      <c r="J2697" s="128"/>
      <c r="K2697" s="128"/>
      <c r="L2697" s="128"/>
      <c r="M2697" s="129"/>
      <c r="N2697" s="129"/>
      <c r="O2697" s="129"/>
    </row>
    <row r="2698" spans="1:15" ht="12.5">
      <c r="A2698" s="158" t="s">
        <v>20989</v>
      </c>
      <c r="B2698" s="159">
        <v>35</v>
      </c>
      <c r="C2698" s="159">
        <v>31</v>
      </c>
      <c r="D2698" s="159">
        <v>66</v>
      </c>
      <c r="E2698" s="159">
        <v>51</v>
      </c>
      <c r="F2698" s="131"/>
      <c r="G2698" s="132"/>
      <c r="H2698" s="162" t="s">
        <v>20990</v>
      </c>
      <c r="I2698" s="158" t="s">
        <v>20991</v>
      </c>
      <c r="J2698" s="128"/>
      <c r="K2698" s="128"/>
      <c r="L2698" s="128"/>
      <c r="M2698" s="129"/>
      <c r="N2698" s="129"/>
      <c r="O2698" s="129"/>
    </row>
    <row r="2699" spans="1:15" ht="12.5">
      <c r="A2699" s="158" t="s">
        <v>20992</v>
      </c>
      <c r="B2699" s="159">
        <v>35</v>
      </c>
      <c r="C2699" s="159">
        <v>31</v>
      </c>
      <c r="D2699" s="159">
        <v>66</v>
      </c>
      <c r="E2699" s="159">
        <v>52</v>
      </c>
      <c r="F2699" s="131"/>
      <c r="G2699" s="132"/>
      <c r="H2699" s="162" t="s">
        <v>20993</v>
      </c>
      <c r="I2699" s="128"/>
      <c r="J2699" s="128"/>
      <c r="K2699" s="128"/>
      <c r="L2699" s="128"/>
      <c r="M2699" s="129"/>
      <c r="N2699" s="129"/>
      <c r="O2699" s="129"/>
    </row>
    <row r="2700" spans="1:15" ht="12.5">
      <c r="A2700" s="158" t="s">
        <v>20994</v>
      </c>
      <c r="B2700" s="159">
        <v>35</v>
      </c>
      <c r="C2700" s="159">
        <v>31</v>
      </c>
      <c r="D2700" s="159">
        <v>66</v>
      </c>
      <c r="E2700" s="159">
        <v>53</v>
      </c>
      <c r="F2700" s="131"/>
      <c r="G2700" s="132"/>
      <c r="H2700" s="162" t="s">
        <v>20995</v>
      </c>
      <c r="I2700" s="158" t="s">
        <v>20996</v>
      </c>
      <c r="J2700" s="128"/>
      <c r="K2700" s="128"/>
      <c r="L2700" s="128"/>
      <c r="M2700" s="129"/>
      <c r="N2700" s="129"/>
      <c r="O2700" s="129"/>
    </row>
    <row r="2701" spans="1:15" ht="12.5">
      <c r="A2701" s="158" t="s">
        <v>20997</v>
      </c>
      <c r="B2701" s="159">
        <v>35</v>
      </c>
      <c r="C2701" s="159">
        <v>31</v>
      </c>
      <c r="D2701" s="159">
        <v>66</v>
      </c>
      <c r="E2701" s="159">
        <v>55</v>
      </c>
      <c r="F2701" s="131"/>
      <c r="G2701" s="132"/>
      <c r="H2701" s="162" t="s">
        <v>20998</v>
      </c>
      <c r="I2701" s="158" t="s">
        <v>20999</v>
      </c>
      <c r="J2701" s="128"/>
      <c r="K2701" s="128"/>
      <c r="L2701" s="128"/>
      <c r="M2701" s="129"/>
      <c r="N2701" s="129"/>
      <c r="O2701" s="129"/>
    </row>
    <row r="2702" spans="1:15" ht="12.5">
      <c r="A2702" s="158" t="s">
        <v>21000</v>
      </c>
      <c r="B2702" s="159">
        <v>35</v>
      </c>
      <c r="C2702" s="159">
        <v>31</v>
      </c>
      <c r="D2702" s="159">
        <v>66</v>
      </c>
      <c r="E2702" s="159">
        <v>57</v>
      </c>
      <c r="F2702" s="131"/>
      <c r="G2702" s="132"/>
      <c r="H2702" s="162" t="s">
        <v>21001</v>
      </c>
      <c r="I2702" s="158" t="s">
        <v>21002</v>
      </c>
      <c r="J2702" s="128"/>
      <c r="K2702" s="128"/>
      <c r="L2702" s="128"/>
      <c r="M2702" s="129"/>
      <c r="N2702" s="129"/>
      <c r="O2702" s="129"/>
    </row>
    <row r="2703" spans="1:15" ht="12.5">
      <c r="A2703" s="158" t="s">
        <v>21003</v>
      </c>
      <c r="B2703" s="159">
        <v>35</v>
      </c>
      <c r="C2703" s="159">
        <v>31</v>
      </c>
      <c r="D2703" s="159">
        <v>66</v>
      </c>
      <c r="E2703" s="159">
        <v>60</v>
      </c>
      <c r="F2703" s="131"/>
      <c r="G2703" s="132"/>
      <c r="H2703" s="162" t="s">
        <v>21004</v>
      </c>
      <c r="I2703" s="158" t="s">
        <v>21005</v>
      </c>
      <c r="J2703" s="128"/>
      <c r="K2703" s="128"/>
      <c r="L2703" s="128"/>
      <c r="M2703" s="129"/>
      <c r="N2703" s="129"/>
      <c r="O2703" s="129"/>
    </row>
    <row r="2704" spans="1:15" ht="12.5">
      <c r="A2704" s="158" t="s">
        <v>21006</v>
      </c>
      <c r="B2704" s="159">
        <v>35</v>
      </c>
      <c r="C2704" s="159">
        <v>31</v>
      </c>
      <c r="D2704" s="159">
        <v>66</v>
      </c>
      <c r="E2704" s="159">
        <v>62</v>
      </c>
      <c r="F2704" s="131"/>
      <c r="G2704" s="132"/>
      <c r="H2704" s="162" t="s">
        <v>21007</v>
      </c>
      <c r="I2704" s="158" t="s">
        <v>21008</v>
      </c>
      <c r="J2704" s="128"/>
      <c r="K2704" s="128"/>
      <c r="L2704" s="128"/>
      <c r="M2704" s="129"/>
      <c r="N2704" s="129"/>
      <c r="O2704" s="129"/>
    </row>
    <row r="2705" spans="1:15" ht="12.5">
      <c r="A2705" s="158" t="s">
        <v>21009</v>
      </c>
      <c r="B2705" s="159">
        <v>35</v>
      </c>
      <c r="C2705" s="159">
        <v>31</v>
      </c>
      <c r="D2705" s="159">
        <v>66</v>
      </c>
      <c r="E2705" s="159">
        <v>63</v>
      </c>
      <c r="F2705" s="131"/>
      <c r="G2705" s="132"/>
      <c r="H2705" s="162" t="s">
        <v>21010</v>
      </c>
      <c r="I2705" s="158" t="s">
        <v>21011</v>
      </c>
      <c r="J2705" s="128"/>
      <c r="K2705" s="128"/>
      <c r="L2705" s="128"/>
      <c r="M2705" s="129"/>
      <c r="N2705" s="129"/>
      <c r="O2705" s="129"/>
    </row>
    <row r="2706" spans="1:15" ht="12.5">
      <c r="A2706" s="158" t="s">
        <v>21012</v>
      </c>
      <c r="B2706" s="159">
        <v>35</v>
      </c>
      <c r="C2706" s="159">
        <v>31</v>
      </c>
      <c r="D2706" s="159">
        <v>66</v>
      </c>
      <c r="E2706" s="159">
        <v>67</v>
      </c>
      <c r="F2706" s="131"/>
      <c r="G2706" s="132"/>
      <c r="H2706" s="162" t="s">
        <v>21013</v>
      </c>
      <c r="I2706" s="158" t="s">
        <v>21014</v>
      </c>
      <c r="J2706" s="128"/>
      <c r="K2706" s="128"/>
      <c r="L2706" s="128"/>
      <c r="M2706" s="129"/>
      <c r="N2706" s="129"/>
      <c r="O2706" s="129"/>
    </row>
    <row r="2707" spans="1:15" ht="12.5">
      <c r="A2707" s="158" t="s">
        <v>21015</v>
      </c>
      <c r="B2707" s="159">
        <v>35</v>
      </c>
      <c r="C2707" s="159">
        <v>31</v>
      </c>
      <c r="D2707" s="159">
        <v>66</v>
      </c>
      <c r="E2707" s="159">
        <v>68</v>
      </c>
      <c r="F2707" s="131"/>
      <c r="G2707" s="132"/>
      <c r="H2707" s="162" t="s">
        <v>21016</v>
      </c>
      <c r="I2707" s="158" t="s">
        <v>21017</v>
      </c>
      <c r="J2707" s="128"/>
      <c r="K2707" s="128"/>
      <c r="L2707" s="128"/>
      <c r="M2707" s="129"/>
      <c r="N2707" s="129"/>
      <c r="O2707" s="129"/>
    </row>
    <row r="2708" spans="1:15" ht="12.5">
      <c r="A2708" s="158" t="s">
        <v>21018</v>
      </c>
      <c r="B2708" s="159">
        <v>35</v>
      </c>
      <c r="C2708" s="159">
        <v>31</v>
      </c>
      <c r="D2708" s="159">
        <v>66</v>
      </c>
      <c r="E2708" s="159">
        <v>70</v>
      </c>
      <c r="F2708" s="131"/>
      <c r="G2708" s="132"/>
      <c r="H2708" s="162" t="s">
        <v>21019</v>
      </c>
      <c r="I2708" s="158" t="s">
        <v>21020</v>
      </c>
      <c r="J2708" s="128"/>
      <c r="K2708" s="128"/>
      <c r="L2708" s="128"/>
      <c r="M2708" s="129"/>
      <c r="N2708" s="129"/>
      <c r="O2708" s="129"/>
    </row>
    <row r="2709" spans="1:15" ht="12.5">
      <c r="A2709" s="158" t="s">
        <v>21021</v>
      </c>
      <c r="B2709" s="159">
        <v>35</v>
      </c>
      <c r="C2709" s="159">
        <v>31</v>
      </c>
      <c r="D2709" s="159">
        <v>66</v>
      </c>
      <c r="E2709" s="159">
        <v>71</v>
      </c>
      <c r="F2709" s="131"/>
      <c r="G2709" s="132"/>
      <c r="H2709" s="162" t="s">
        <v>21022</v>
      </c>
      <c r="I2709" s="158" t="s">
        <v>21023</v>
      </c>
      <c r="J2709" s="128"/>
      <c r="K2709" s="128"/>
      <c r="L2709" s="128"/>
      <c r="M2709" s="129"/>
      <c r="N2709" s="129"/>
      <c r="O2709" s="129"/>
    </row>
    <row r="2710" spans="1:15" ht="12.5">
      <c r="A2710" s="158" t="s">
        <v>21024</v>
      </c>
      <c r="B2710" s="159">
        <v>35</v>
      </c>
      <c r="C2710" s="159">
        <v>31</v>
      </c>
      <c r="D2710" s="159">
        <v>66</v>
      </c>
      <c r="E2710" s="159">
        <v>75</v>
      </c>
      <c r="F2710" s="131"/>
      <c r="G2710" s="132"/>
      <c r="H2710" s="162" t="s">
        <v>21025</v>
      </c>
      <c r="I2710" s="158" t="s">
        <v>21026</v>
      </c>
      <c r="J2710" s="128"/>
      <c r="K2710" s="128"/>
      <c r="L2710" s="128"/>
      <c r="M2710" s="129"/>
      <c r="N2710" s="129"/>
      <c r="O2710" s="129"/>
    </row>
    <row r="2711" spans="1:15" ht="12.5">
      <c r="A2711" s="158" t="s">
        <v>21027</v>
      </c>
      <c r="B2711" s="159">
        <v>35</v>
      </c>
      <c r="C2711" s="159">
        <v>31</v>
      </c>
      <c r="D2711" s="159">
        <v>66</v>
      </c>
      <c r="E2711" s="159">
        <v>76</v>
      </c>
      <c r="F2711" s="131"/>
      <c r="G2711" s="132"/>
      <c r="H2711" s="162" t="s">
        <v>21028</v>
      </c>
      <c r="I2711" s="128"/>
      <c r="J2711" s="128"/>
      <c r="K2711" s="128"/>
      <c r="L2711" s="128"/>
      <c r="M2711" s="129"/>
      <c r="N2711" s="129"/>
      <c r="O2711" s="129"/>
    </row>
    <row r="2712" spans="1:15" ht="12.5">
      <c r="A2712" s="158" t="s">
        <v>21029</v>
      </c>
      <c r="B2712" s="159">
        <v>35</v>
      </c>
      <c r="C2712" s="159">
        <v>31</v>
      </c>
      <c r="D2712" s="159">
        <v>66</v>
      </c>
      <c r="E2712" s="159">
        <v>77</v>
      </c>
      <c r="F2712" s="131"/>
      <c r="G2712" s="132"/>
      <c r="H2712" s="162" t="s">
        <v>21030</v>
      </c>
      <c r="I2712" s="158" t="s">
        <v>21031</v>
      </c>
      <c r="J2712" s="128"/>
      <c r="K2712" s="128"/>
      <c r="L2712" s="128"/>
      <c r="M2712" s="129"/>
      <c r="N2712" s="129"/>
      <c r="O2712" s="129"/>
    </row>
    <row r="2713" spans="1:15" ht="12.5">
      <c r="A2713" s="158" t="s">
        <v>21032</v>
      </c>
      <c r="B2713" s="159">
        <v>35</v>
      </c>
      <c r="C2713" s="159">
        <v>31</v>
      </c>
      <c r="D2713" s="159">
        <v>66</v>
      </c>
      <c r="E2713" s="159">
        <v>78</v>
      </c>
      <c r="F2713" s="131"/>
      <c r="G2713" s="132"/>
      <c r="H2713" s="162" t="s">
        <v>21033</v>
      </c>
      <c r="I2713" s="158" t="s">
        <v>21034</v>
      </c>
      <c r="J2713" s="128"/>
      <c r="K2713" s="128"/>
      <c r="L2713" s="128"/>
      <c r="M2713" s="129"/>
      <c r="N2713" s="129"/>
      <c r="O2713" s="129"/>
    </row>
    <row r="2714" spans="1:15" ht="12.5">
      <c r="A2714" s="158" t="s">
        <v>21035</v>
      </c>
      <c r="B2714" s="159">
        <v>35</v>
      </c>
      <c r="C2714" s="159">
        <v>31</v>
      </c>
      <c r="D2714" s="159">
        <v>66</v>
      </c>
      <c r="E2714" s="159">
        <v>80</v>
      </c>
      <c r="F2714" s="131"/>
      <c r="G2714" s="132"/>
      <c r="H2714" s="162" t="s">
        <v>21036</v>
      </c>
      <c r="I2714" s="158" t="s">
        <v>21037</v>
      </c>
      <c r="J2714" s="128"/>
      <c r="K2714" s="128"/>
      <c r="L2714" s="128"/>
      <c r="M2714" s="129"/>
      <c r="N2714" s="129"/>
      <c r="O2714" s="129"/>
    </row>
    <row r="2715" spans="1:15" ht="12.5">
      <c r="A2715" s="158" t="s">
        <v>21038</v>
      </c>
      <c r="B2715" s="159">
        <v>35</v>
      </c>
      <c r="C2715" s="159">
        <v>31</v>
      </c>
      <c r="D2715" s="159">
        <v>66</v>
      </c>
      <c r="E2715" s="159">
        <v>81</v>
      </c>
      <c r="F2715" s="131"/>
      <c r="G2715" s="132"/>
      <c r="H2715" s="162" t="s">
        <v>21039</v>
      </c>
      <c r="I2715" s="158" t="s">
        <v>21040</v>
      </c>
      <c r="J2715" s="128"/>
      <c r="K2715" s="128"/>
      <c r="L2715" s="128"/>
      <c r="M2715" s="129"/>
      <c r="N2715" s="129"/>
      <c r="O2715" s="129"/>
    </row>
    <row r="2716" spans="1:15" ht="12.5">
      <c r="A2716" s="158" t="s">
        <v>21041</v>
      </c>
      <c r="B2716" s="159">
        <v>35</v>
      </c>
      <c r="C2716" s="159">
        <v>31</v>
      </c>
      <c r="D2716" s="159">
        <v>66</v>
      </c>
      <c r="E2716" s="159">
        <v>82</v>
      </c>
      <c r="F2716" s="131"/>
      <c r="G2716" s="132"/>
      <c r="H2716" s="162" t="s">
        <v>21042</v>
      </c>
      <c r="I2716" s="158" t="s">
        <v>21043</v>
      </c>
      <c r="J2716" s="128"/>
      <c r="K2716" s="128"/>
      <c r="L2716" s="128"/>
      <c r="M2716" s="129"/>
      <c r="N2716" s="129"/>
      <c r="O2716" s="129"/>
    </row>
    <row r="2717" spans="1:15" ht="12.5">
      <c r="A2717" s="158" t="s">
        <v>21044</v>
      </c>
      <c r="B2717" s="159">
        <v>35</v>
      </c>
      <c r="C2717" s="159">
        <v>31</v>
      </c>
      <c r="D2717" s="159">
        <v>66</v>
      </c>
      <c r="E2717" s="159">
        <v>83</v>
      </c>
      <c r="F2717" s="131"/>
      <c r="G2717" s="132"/>
      <c r="H2717" s="162" t="s">
        <v>21045</v>
      </c>
      <c r="I2717" s="158" t="s">
        <v>21046</v>
      </c>
      <c r="J2717" s="128"/>
      <c r="K2717" s="128"/>
      <c r="L2717" s="128"/>
      <c r="M2717" s="129"/>
      <c r="N2717" s="129"/>
      <c r="O2717" s="129"/>
    </row>
    <row r="2718" spans="1:15" ht="12.5">
      <c r="A2718" s="158" t="s">
        <v>21047</v>
      </c>
      <c r="B2718" s="159">
        <v>35</v>
      </c>
      <c r="C2718" s="159">
        <v>31</v>
      </c>
      <c r="D2718" s="159">
        <v>66</v>
      </c>
      <c r="E2718" s="159">
        <v>88</v>
      </c>
      <c r="F2718" s="131"/>
      <c r="G2718" s="132"/>
      <c r="H2718" s="162" t="s">
        <v>21048</v>
      </c>
      <c r="I2718" s="158" t="s">
        <v>21049</v>
      </c>
      <c r="J2718" s="128"/>
      <c r="K2718" s="128"/>
      <c r="L2718" s="128"/>
      <c r="M2718" s="129"/>
      <c r="N2718" s="129"/>
      <c r="O2718" s="129"/>
    </row>
    <row r="2719" spans="1:15" ht="12.5">
      <c r="A2719" s="158" t="s">
        <v>21050</v>
      </c>
      <c r="B2719" s="159">
        <v>35</v>
      </c>
      <c r="C2719" s="159">
        <v>31</v>
      </c>
      <c r="D2719" s="159">
        <v>66</v>
      </c>
      <c r="E2719" s="159">
        <v>92</v>
      </c>
      <c r="F2719" s="131"/>
      <c r="G2719" s="132"/>
      <c r="H2719" s="162" t="s">
        <v>21051</v>
      </c>
      <c r="I2719" s="158" t="s">
        <v>21052</v>
      </c>
      <c r="J2719" s="128"/>
      <c r="K2719" s="128"/>
      <c r="L2719" s="128"/>
      <c r="M2719" s="129"/>
      <c r="N2719" s="129"/>
      <c r="O2719" s="129"/>
    </row>
    <row r="2720" spans="1:15" ht="12.5">
      <c r="A2720" s="158" t="s">
        <v>21053</v>
      </c>
      <c r="B2720" s="159">
        <v>35</v>
      </c>
      <c r="C2720" s="159">
        <v>31</v>
      </c>
      <c r="D2720" s="159">
        <v>66</v>
      </c>
      <c r="E2720" s="159">
        <v>94</v>
      </c>
      <c r="F2720" s="131"/>
      <c r="G2720" s="132"/>
      <c r="H2720" s="162" t="s">
        <v>21054</v>
      </c>
      <c r="I2720" s="158" t="s">
        <v>21055</v>
      </c>
      <c r="J2720" s="128"/>
      <c r="K2720" s="128"/>
      <c r="L2720" s="128"/>
      <c r="M2720" s="129"/>
      <c r="N2720" s="129"/>
      <c r="O2720" s="129"/>
    </row>
    <row r="2721" spans="1:15" ht="12.5">
      <c r="A2721" s="158" t="s">
        <v>21056</v>
      </c>
      <c r="B2721" s="159">
        <v>35</v>
      </c>
      <c r="C2721" s="159">
        <v>31</v>
      </c>
      <c r="D2721" s="159">
        <v>66</v>
      </c>
      <c r="E2721" s="159">
        <v>95</v>
      </c>
      <c r="F2721" s="131"/>
      <c r="G2721" s="132"/>
      <c r="H2721" s="162" t="s">
        <v>33411</v>
      </c>
      <c r="I2721" s="158" t="s">
        <v>21058</v>
      </c>
      <c r="J2721" s="128"/>
      <c r="K2721" s="128"/>
      <c r="L2721" s="128"/>
      <c r="M2721" s="129"/>
      <c r="N2721" s="129"/>
      <c r="O2721" s="129"/>
    </row>
    <row r="2722" spans="1:15" ht="12.5">
      <c r="A2722" s="158" t="s">
        <v>21059</v>
      </c>
      <c r="B2722" s="159">
        <v>35</v>
      </c>
      <c r="C2722" s="159">
        <v>31</v>
      </c>
      <c r="D2722" s="159">
        <v>66</v>
      </c>
      <c r="E2722" s="159">
        <v>96</v>
      </c>
      <c r="F2722" s="131"/>
      <c r="G2722" s="132"/>
      <c r="H2722" s="162" t="s">
        <v>33412</v>
      </c>
      <c r="I2722" s="158" t="s">
        <v>21061</v>
      </c>
      <c r="J2722" s="128"/>
      <c r="K2722" s="128"/>
      <c r="L2722" s="128"/>
      <c r="M2722" s="129"/>
      <c r="N2722" s="129"/>
      <c r="O2722" s="129"/>
    </row>
    <row r="2723" spans="1:15" ht="12.5">
      <c r="A2723" s="158" t="s">
        <v>21062</v>
      </c>
      <c r="B2723" s="159">
        <v>35</v>
      </c>
      <c r="C2723" s="159">
        <v>31</v>
      </c>
      <c r="D2723" s="159">
        <v>66</v>
      </c>
      <c r="E2723" s="159">
        <v>97</v>
      </c>
      <c r="F2723" s="131"/>
      <c r="G2723" s="132"/>
      <c r="H2723" s="162" t="s">
        <v>33413</v>
      </c>
      <c r="I2723" s="158" t="s">
        <v>21064</v>
      </c>
      <c r="J2723" s="128"/>
      <c r="K2723" s="128"/>
      <c r="L2723" s="128"/>
      <c r="M2723" s="129"/>
      <c r="N2723" s="129"/>
      <c r="O2723" s="129"/>
    </row>
    <row r="2724" spans="1:15" ht="12.5">
      <c r="A2724" s="158" t="s">
        <v>21065</v>
      </c>
      <c r="B2724" s="159">
        <v>35</v>
      </c>
      <c r="C2724" s="159">
        <v>31</v>
      </c>
      <c r="D2724" s="159">
        <v>66</v>
      </c>
      <c r="E2724" s="159">
        <v>98</v>
      </c>
      <c r="F2724" s="131"/>
      <c r="G2724" s="132"/>
      <c r="H2724" s="162" t="s">
        <v>33414</v>
      </c>
      <c r="I2724" s="158" t="s">
        <v>21067</v>
      </c>
      <c r="J2724" s="128"/>
      <c r="K2724" s="128"/>
      <c r="L2724" s="128"/>
      <c r="M2724" s="129"/>
      <c r="N2724" s="129"/>
      <c r="O2724" s="129"/>
    </row>
    <row r="2725" spans="1:15" ht="12.5">
      <c r="A2725" s="158" t="s">
        <v>21068</v>
      </c>
      <c r="B2725" s="159">
        <v>35</v>
      </c>
      <c r="C2725" s="159">
        <v>31</v>
      </c>
      <c r="D2725" s="159">
        <v>66</v>
      </c>
      <c r="E2725" s="159">
        <v>99</v>
      </c>
      <c r="F2725" s="131"/>
      <c r="G2725" s="132"/>
      <c r="H2725" s="162" t="s">
        <v>33415</v>
      </c>
      <c r="I2725" s="158" t="s">
        <v>21070</v>
      </c>
      <c r="J2725" s="128"/>
      <c r="K2725" s="128"/>
      <c r="L2725" s="128"/>
      <c r="M2725" s="129"/>
      <c r="N2725" s="129"/>
      <c r="O2725" s="129"/>
    </row>
    <row r="2726" spans="1:15" ht="12.5">
      <c r="A2726" s="158" t="s">
        <v>21071</v>
      </c>
      <c r="B2726" s="159">
        <v>35</v>
      </c>
      <c r="C2726" s="159">
        <v>31</v>
      </c>
      <c r="D2726" s="159">
        <v>67</v>
      </c>
      <c r="E2726" s="130"/>
      <c r="F2726" s="131"/>
      <c r="G2726" s="132"/>
      <c r="H2726" s="162" t="s">
        <v>33416</v>
      </c>
      <c r="I2726" s="128"/>
      <c r="J2726" s="128"/>
      <c r="K2726" s="128"/>
      <c r="L2726" s="128"/>
      <c r="M2726" s="129"/>
      <c r="N2726" s="129"/>
      <c r="O2726" s="129"/>
    </row>
    <row r="2727" spans="1:15" ht="12.5">
      <c r="A2727" s="158" t="s">
        <v>21075</v>
      </c>
      <c r="B2727" s="159">
        <v>35</v>
      </c>
      <c r="C2727" s="159">
        <v>31</v>
      </c>
      <c r="D2727" s="159">
        <v>67</v>
      </c>
      <c r="E2727" s="159">
        <v>7</v>
      </c>
      <c r="F2727" s="131"/>
      <c r="G2727" s="132"/>
      <c r="H2727" s="162" t="s">
        <v>21076</v>
      </c>
      <c r="I2727" s="158" t="s">
        <v>21077</v>
      </c>
      <c r="J2727" s="128"/>
      <c r="K2727" s="128"/>
      <c r="L2727" s="128"/>
      <c r="M2727" s="129"/>
      <c r="N2727" s="129"/>
      <c r="O2727" s="129"/>
    </row>
    <row r="2728" spans="1:15" ht="12.5">
      <c r="A2728" s="158" t="s">
        <v>21078</v>
      </c>
      <c r="B2728" s="159">
        <v>35</v>
      </c>
      <c r="C2728" s="159">
        <v>31</v>
      </c>
      <c r="D2728" s="159">
        <v>67</v>
      </c>
      <c r="E2728" s="159">
        <v>8</v>
      </c>
      <c r="F2728" s="131"/>
      <c r="G2728" s="132"/>
      <c r="H2728" s="162" t="s">
        <v>21079</v>
      </c>
      <c r="I2728" s="158" t="s">
        <v>21080</v>
      </c>
      <c r="J2728" s="128"/>
      <c r="K2728" s="128"/>
      <c r="L2728" s="128"/>
      <c r="M2728" s="129"/>
      <c r="N2728" s="129"/>
      <c r="O2728" s="129"/>
    </row>
    <row r="2729" spans="1:15" ht="12.5">
      <c r="A2729" s="158" t="s">
        <v>21081</v>
      </c>
      <c r="B2729" s="159">
        <v>35</v>
      </c>
      <c r="C2729" s="159">
        <v>31</v>
      </c>
      <c r="D2729" s="159">
        <v>67</v>
      </c>
      <c r="E2729" s="159">
        <v>14</v>
      </c>
      <c r="F2729" s="131"/>
      <c r="G2729" s="132"/>
      <c r="H2729" s="162" t="s">
        <v>21082</v>
      </c>
      <c r="I2729" s="128"/>
      <c r="J2729" s="128"/>
      <c r="K2729" s="128"/>
      <c r="L2729" s="128"/>
      <c r="M2729" s="129"/>
      <c r="N2729" s="129"/>
      <c r="O2729" s="129"/>
    </row>
    <row r="2730" spans="1:15" ht="12.5">
      <c r="A2730" s="158" t="s">
        <v>21083</v>
      </c>
      <c r="B2730" s="159">
        <v>35</v>
      </c>
      <c r="C2730" s="159">
        <v>31</v>
      </c>
      <c r="D2730" s="159">
        <v>67</v>
      </c>
      <c r="E2730" s="159">
        <v>15</v>
      </c>
      <c r="F2730" s="131"/>
      <c r="G2730" s="132"/>
      <c r="H2730" s="162" t="s">
        <v>21084</v>
      </c>
      <c r="I2730" s="158" t="s">
        <v>21085</v>
      </c>
      <c r="J2730" s="128"/>
      <c r="K2730" s="128"/>
      <c r="L2730" s="128"/>
      <c r="M2730" s="129"/>
      <c r="N2730" s="129"/>
      <c r="O2730" s="129"/>
    </row>
    <row r="2731" spans="1:15" ht="12.5">
      <c r="A2731" s="158" t="s">
        <v>21086</v>
      </c>
      <c r="B2731" s="159">
        <v>35</v>
      </c>
      <c r="C2731" s="159">
        <v>31</v>
      </c>
      <c r="D2731" s="159">
        <v>67</v>
      </c>
      <c r="E2731" s="159">
        <v>24</v>
      </c>
      <c r="F2731" s="131"/>
      <c r="G2731" s="132"/>
      <c r="H2731" s="162" t="s">
        <v>21087</v>
      </c>
      <c r="I2731" s="128"/>
      <c r="J2731" s="128"/>
      <c r="K2731" s="128"/>
      <c r="L2731" s="128"/>
      <c r="M2731" s="129"/>
      <c r="N2731" s="129"/>
      <c r="O2731" s="129"/>
    </row>
    <row r="2732" spans="1:15" ht="12.5">
      <c r="A2732" s="158" t="s">
        <v>21088</v>
      </c>
      <c r="B2732" s="159">
        <v>35</v>
      </c>
      <c r="C2732" s="159">
        <v>31</v>
      </c>
      <c r="D2732" s="159">
        <v>67</v>
      </c>
      <c r="E2732" s="159">
        <v>34</v>
      </c>
      <c r="F2732" s="131"/>
      <c r="G2732" s="132"/>
      <c r="H2732" s="162" t="s">
        <v>21089</v>
      </c>
      <c r="I2732" s="128"/>
      <c r="J2732" s="128"/>
      <c r="K2732" s="128"/>
      <c r="L2732" s="128"/>
      <c r="M2732" s="129"/>
      <c r="N2732" s="129"/>
      <c r="O2732" s="129"/>
    </row>
    <row r="2733" spans="1:15" ht="12.5">
      <c r="A2733" s="158" t="s">
        <v>21090</v>
      </c>
      <c r="B2733" s="159">
        <v>35</v>
      </c>
      <c r="C2733" s="159">
        <v>31</v>
      </c>
      <c r="D2733" s="159">
        <v>67</v>
      </c>
      <c r="E2733" s="159">
        <v>37</v>
      </c>
      <c r="F2733" s="131"/>
      <c r="G2733" s="132"/>
      <c r="H2733" s="162" t="s">
        <v>21091</v>
      </c>
      <c r="I2733" s="158" t="s">
        <v>21092</v>
      </c>
      <c r="J2733" s="128"/>
      <c r="K2733" s="128"/>
      <c r="L2733" s="128"/>
      <c r="M2733" s="129"/>
      <c r="N2733" s="129"/>
      <c r="O2733" s="129"/>
    </row>
    <row r="2734" spans="1:15" ht="12.5">
      <c r="A2734" s="158" t="s">
        <v>21093</v>
      </c>
      <c r="B2734" s="159">
        <v>35</v>
      </c>
      <c r="C2734" s="159">
        <v>31</v>
      </c>
      <c r="D2734" s="159">
        <v>67</v>
      </c>
      <c r="E2734" s="159">
        <v>39</v>
      </c>
      <c r="F2734" s="131"/>
      <c r="G2734" s="132"/>
      <c r="H2734" s="162" t="s">
        <v>21094</v>
      </c>
      <c r="I2734" s="158" t="s">
        <v>21095</v>
      </c>
      <c r="J2734" s="128"/>
      <c r="K2734" s="128"/>
      <c r="L2734" s="128"/>
      <c r="M2734" s="129"/>
      <c r="N2734" s="129"/>
      <c r="O2734" s="129"/>
    </row>
    <row r="2735" spans="1:15" ht="12.5">
      <c r="A2735" s="158" t="s">
        <v>21098</v>
      </c>
      <c r="B2735" s="159">
        <v>35</v>
      </c>
      <c r="C2735" s="159">
        <v>31</v>
      </c>
      <c r="D2735" s="159">
        <v>67</v>
      </c>
      <c r="E2735" s="159">
        <v>42</v>
      </c>
      <c r="F2735" s="131"/>
      <c r="G2735" s="132"/>
      <c r="H2735" s="162" t="s">
        <v>21099</v>
      </c>
      <c r="I2735" s="128"/>
      <c r="J2735" s="128"/>
      <c r="K2735" s="128"/>
      <c r="L2735" s="128"/>
      <c r="M2735" s="129"/>
      <c r="N2735" s="129"/>
      <c r="O2735" s="129"/>
    </row>
    <row r="2736" spans="1:15" ht="12.5">
      <c r="A2736" s="158" t="s">
        <v>21102</v>
      </c>
      <c r="B2736" s="159">
        <v>35</v>
      </c>
      <c r="C2736" s="159">
        <v>31</v>
      </c>
      <c r="D2736" s="159">
        <v>67</v>
      </c>
      <c r="E2736" s="159">
        <v>47</v>
      </c>
      <c r="F2736" s="131"/>
      <c r="G2736" s="132"/>
      <c r="H2736" s="162" t="s">
        <v>21103</v>
      </c>
      <c r="I2736" s="128"/>
      <c r="J2736" s="128"/>
      <c r="K2736" s="128"/>
      <c r="L2736" s="128"/>
      <c r="M2736" s="129"/>
      <c r="N2736" s="129"/>
      <c r="O2736" s="129"/>
    </row>
    <row r="2737" spans="1:15" ht="12.5">
      <c r="A2737" s="158" t="s">
        <v>21104</v>
      </c>
      <c r="B2737" s="159">
        <v>35</v>
      </c>
      <c r="C2737" s="159">
        <v>31</v>
      </c>
      <c r="D2737" s="159">
        <v>67</v>
      </c>
      <c r="E2737" s="159">
        <v>52</v>
      </c>
      <c r="F2737" s="131"/>
      <c r="G2737" s="132"/>
      <c r="H2737" s="162" t="s">
        <v>21105</v>
      </c>
      <c r="I2737" s="158" t="s">
        <v>21106</v>
      </c>
      <c r="J2737" s="128"/>
      <c r="K2737" s="128"/>
      <c r="L2737" s="128"/>
      <c r="M2737" s="129"/>
      <c r="N2737" s="129"/>
      <c r="O2737" s="129"/>
    </row>
    <row r="2738" spans="1:15" ht="12.5">
      <c r="A2738" s="158" t="s">
        <v>21107</v>
      </c>
      <c r="B2738" s="159">
        <v>35</v>
      </c>
      <c r="C2738" s="159">
        <v>31</v>
      </c>
      <c r="D2738" s="159">
        <v>67</v>
      </c>
      <c r="E2738" s="159">
        <v>59</v>
      </c>
      <c r="F2738" s="131"/>
      <c r="G2738" s="132"/>
      <c r="H2738" s="162" t="s">
        <v>21108</v>
      </c>
      <c r="I2738" s="158" t="s">
        <v>21109</v>
      </c>
      <c r="J2738" s="128"/>
      <c r="K2738" s="128"/>
      <c r="L2738" s="128"/>
      <c r="M2738" s="129"/>
      <c r="N2738" s="129"/>
      <c r="O2738" s="129"/>
    </row>
    <row r="2739" spans="1:15" ht="12.5">
      <c r="A2739" s="158" t="s">
        <v>21110</v>
      </c>
      <c r="B2739" s="159">
        <v>35</v>
      </c>
      <c r="C2739" s="159">
        <v>31</v>
      </c>
      <c r="D2739" s="159">
        <v>67</v>
      </c>
      <c r="E2739" s="159">
        <v>88</v>
      </c>
      <c r="F2739" s="131"/>
      <c r="G2739" s="132"/>
      <c r="H2739" s="162" t="s">
        <v>21111</v>
      </c>
      <c r="I2739" s="158" t="s">
        <v>21112</v>
      </c>
      <c r="J2739" s="128"/>
      <c r="K2739" s="128"/>
      <c r="L2739" s="128"/>
      <c r="M2739" s="129"/>
      <c r="N2739" s="129"/>
      <c r="O2739" s="129"/>
    </row>
    <row r="2740" spans="1:15" ht="12.5">
      <c r="A2740" s="158" t="s">
        <v>21113</v>
      </c>
      <c r="B2740" s="159">
        <v>35</v>
      </c>
      <c r="C2740" s="159">
        <v>31</v>
      </c>
      <c r="D2740" s="159">
        <v>67</v>
      </c>
      <c r="E2740" s="159">
        <v>89</v>
      </c>
      <c r="F2740" s="131"/>
      <c r="G2740" s="132"/>
      <c r="H2740" s="162" t="s">
        <v>21114</v>
      </c>
      <c r="I2740" s="158" t="s">
        <v>21115</v>
      </c>
      <c r="J2740" s="128"/>
      <c r="K2740" s="128"/>
      <c r="L2740" s="128"/>
      <c r="M2740" s="129"/>
      <c r="N2740" s="129"/>
      <c r="O2740" s="129"/>
    </row>
    <row r="2741" spans="1:15" ht="12.5">
      <c r="A2741" s="158" t="s">
        <v>21116</v>
      </c>
      <c r="B2741" s="159">
        <v>35</v>
      </c>
      <c r="C2741" s="159">
        <v>31</v>
      </c>
      <c r="D2741" s="159">
        <v>67</v>
      </c>
      <c r="E2741" s="159">
        <v>96</v>
      </c>
      <c r="F2741" s="131"/>
      <c r="G2741" s="132"/>
      <c r="H2741" s="162" t="s">
        <v>33417</v>
      </c>
      <c r="I2741" s="158" t="s">
        <v>21118</v>
      </c>
      <c r="J2741" s="128"/>
      <c r="K2741" s="128"/>
      <c r="L2741" s="128"/>
      <c r="M2741" s="129"/>
      <c r="N2741" s="129"/>
      <c r="O2741" s="129"/>
    </row>
    <row r="2742" spans="1:15" ht="12.5">
      <c r="A2742" s="158" t="s">
        <v>21119</v>
      </c>
      <c r="B2742" s="159">
        <v>35</v>
      </c>
      <c r="C2742" s="159">
        <v>31</v>
      </c>
      <c r="D2742" s="159">
        <v>67</v>
      </c>
      <c r="E2742" s="159">
        <v>97</v>
      </c>
      <c r="F2742" s="131"/>
      <c r="G2742" s="132"/>
      <c r="H2742" s="162" t="s">
        <v>21120</v>
      </c>
      <c r="I2742" s="128"/>
      <c r="J2742" s="128"/>
      <c r="K2742" s="128"/>
      <c r="L2742" s="128"/>
      <c r="M2742" s="129"/>
      <c r="N2742" s="129"/>
      <c r="O2742" s="129"/>
    </row>
    <row r="2743" spans="1:15" ht="12.5">
      <c r="A2743" s="158" t="s">
        <v>21121</v>
      </c>
      <c r="B2743" s="159">
        <v>35</v>
      </c>
      <c r="C2743" s="159">
        <v>31</v>
      </c>
      <c r="D2743" s="159">
        <v>67</v>
      </c>
      <c r="E2743" s="159">
        <v>98</v>
      </c>
      <c r="F2743" s="131"/>
      <c r="G2743" s="132"/>
      <c r="H2743" s="162" t="s">
        <v>21122</v>
      </c>
      <c r="I2743" s="158" t="s">
        <v>21123</v>
      </c>
      <c r="J2743" s="128"/>
      <c r="K2743" s="128"/>
      <c r="L2743" s="128"/>
      <c r="M2743" s="129"/>
      <c r="N2743" s="129"/>
      <c r="O2743" s="129"/>
    </row>
    <row r="2744" spans="1:15" ht="12.5">
      <c r="A2744" s="158" t="s">
        <v>21124</v>
      </c>
      <c r="B2744" s="159">
        <v>35</v>
      </c>
      <c r="C2744" s="159">
        <v>31</v>
      </c>
      <c r="D2744" s="159">
        <v>68</v>
      </c>
      <c r="E2744" s="130"/>
      <c r="F2744" s="131"/>
      <c r="G2744" s="132"/>
      <c r="H2744" s="162" t="s">
        <v>21125</v>
      </c>
      <c r="I2744" s="128"/>
      <c r="J2744" s="128"/>
      <c r="K2744" s="128"/>
      <c r="L2744" s="128"/>
      <c r="M2744" s="129"/>
      <c r="N2744" s="129"/>
      <c r="O2744" s="129"/>
    </row>
    <row r="2745" spans="1:15" ht="12.5">
      <c r="A2745" s="158" t="s">
        <v>21126</v>
      </c>
      <c r="B2745" s="159">
        <v>35</v>
      </c>
      <c r="C2745" s="159">
        <v>31</v>
      </c>
      <c r="D2745" s="159">
        <v>68</v>
      </c>
      <c r="E2745" s="159">
        <v>1</v>
      </c>
      <c r="F2745" s="131"/>
      <c r="G2745" s="132"/>
      <c r="H2745" s="162" t="s">
        <v>21127</v>
      </c>
      <c r="I2745" s="158" t="s">
        <v>21128</v>
      </c>
      <c r="J2745" s="128"/>
      <c r="K2745" s="128"/>
      <c r="L2745" s="128"/>
      <c r="M2745" s="129"/>
      <c r="N2745" s="129"/>
      <c r="O2745" s="129"/>
    </row>
    <row r="2746" spans="1:15" ht="12.5">
      <c r="A2746" s="158" t="s">
        <v>21129</v>
      </c>
      <c r="B2746" s="159">
        <v>35</v>
      </c>
      <c r="C2746" s="159">
        <v>31</v>
      </c>
      <c r="D2746" s="159">
        <v>68</v>
      </c>
      <c r="E2746" s="159">
        <v>2</v>
      </c>
      <c r="F2746" s="131"/>
      <c r="G2746" s="132"/>
      <c r="H2746" s="162" t="s">
        <v>21130</v>
      </c>
      <c r="I2746" s="158" t="s">
        <v>21131</v>
      </c>
      <c r="J2746" s="128"/>
      <c r="K2746" s="128"/>
      <c r="L2746" s="128"/>
      <c r="M2746" s="129"/>
      <c r="N2746" s="129"/>
      <c r="O2746" s="129"/>
    </row>
    <row r="2747" spans="1:15" ht="12.5">
      <c r="A2747" s="158" t="s">
        <v>21132</v>
      </c>
      <c r="B2747" s="159">
        <v>35</v>
      </c>
      <c r="C2747" s="159">
        <v>31</v>
      </c>
      <c r="D2747" s="159">
        <v>68</v>
      </c>
      <c r="E2747" s="159">
        <v>3</v>
      </c>
      <c r="F2747" s="131"/>
      <c r="G2747" s="132"/>
      <c r="H2747" s="162" t="s">
        <v>21133</v>
      </c>
      <c r="I2747" s="158" t="s">
        <v>21134</v>
      </c>
      <c r="J2747" s="128"/>
      <c r="K2747" s="128"/>
      <c r="L2747" s="128"/>
      <c r="M2747" s="129"/>
      <c r="N2747" s="129"/>
      <c r="O2747" s="129"/>
    </row>
    <row r="2748" spans="1:15" ht="12.5">
      <c r="A2748" s="158" t="s">
        <v>21135</v>
      </c>
      <c r="B2748" s="159">
        <v>35</v>
      </c>
      <c r="C2748" s="159">
        <v>31</v>
      </c>
      <c r="D2748" s="159">
        <v>68</v>
      </c>
      <c r="E2748" s="159">
        <v>4</v>
      </c>
      <c r="F2748" s="131"/>
      <c r="G2748" s="132"/>
      <c r="H2748" s="162" t="s">
        <v>21136</v>
      </c>
      <c r="I2748" s="158" t="s">
        <v>21137</v>
      </c>
      <c r="J2748" s="128"/>
      <c r="K2748" s="128"/>
      <c r="L2748" s="128"/>
      <c r="M2748" s="129"/>
      <c r="N2748" s="129"/>
      <c r="O2748" s="129"/>
    </row>
    <row r="2749" spans="1:15" ht="12.5">
      <c r="A2749" s="158" t="s">
        <v>21138</v>
      </c>
      <c r="B2749" s="159">
        <v>35</v>
      </c>
      <c r="C2749" s="159">
        <v>31</v>
      </c>
      <c r="D2749" s="159">
        <v>68</v>
      </c>
      <c r="E2749" s="159">
        <v>5</v>
      </c>
      <c r="F2749" s="131"/>
      <c r="G2749" s="132"/>
      <c r="H2749" s="162" t="s">
        <v>21139</v>
      </c>
      <c r="I2749" s="158" t="s">
        <v>21140</v>
      </c>
      <c r="J2749" s="128"/>
      <c r="K2749" s="128"/>
      <c r="L2749" s="128"/>
      <c r="M2749" s="129"/>
      <c r="N2749" s="129"/>
      <c r="O2749" s="129"/>
    </row>
    <row r="2750" spans="1:15" ht="12.5">
      <c r="A2750" s="158" t="s">
        <v>21141</v>
      </c>
      <c r="B2750" s="159">
        <v>35</v>
      </c>
      <c r="C2750" s="159">
        <v>31</v>
      </c>
      <c r="D2750" s="159">
        <v>68</v>
      </c>
      <c r="E2750" s="159">
        <v>6</v>
      </c>
      <c r="F2750" s="131"/>
      <c r="G2750" s="132"/>
      <c r="H2750" s="162" t="s">
        <v>21142</v>
      </c>
      <c r="I2750" s="158" t="s">
        <v>21143</v>
      </c>
      <c r="J2750" s="128"/>
      <c r="K2750" s="128"/>
      <c r="L2750" s="128"/>
      <c r="M2750" s="129"/>
      <c r="N2750" s="129"/>
      <c r="O2750" s="129"/>
    </row>
    <row r="2751" spans="1:15" ht="12.5">
      <c r="A2751" s="158" t="s">
        <v>21144</v>
      </c>
      <c r="B2751" s="159">
        <v>35</v>
      </c>
      <c r="C2751" s="159">
        <v>31</v>
      </c>
      <c r="D2751" s="159">
        <v>68</v>
      </c>
      <c r="E2751" s="159">
        <v>7</v>
      </c>
      <c r="F2751" s="131"/>
      <c r="G2751" s="132"/>
      <c r="H2751" s="162" t="s">
        <v>21145</v>
      </c>
      <c r="I2751" s="158" t="s">
        <v>21146</v>
      </c>
      <c r="J2751" s="128"/>
      <c r="K2751" s="128"/>
      <c r="L2751" s="128"/>
      <c r="M2751" s="129"/>
      <c r="N2751" s="129"/>
      <c r="O2751" s="129"/>
    </row>
    <row r="2752" spans="1:15" ht="12.5">
      <c r="A2752" s="158" t="s">
        <v>21147</v>
      </c>
      <c r="B2752" s="159">
        <v>35</v>
      </c>
      <c r="C2752" s="159">
        <v>31</v>
      </c>
      <c r="D2752" s="159">
        <v>68</v>
      </c>
      <c r="E2752" s="159">
        <v>9</v>
      </c>
      <c r="F2752" s="131"/>
      <c r="G2752" s="132"/>
      <c r="H2752" s="162" t="s">
        <v>21148</v>
      </c>
      <c r="I2752" s="158" t="s">
        <v>21149</v>
      </c>
      <c r="J2752" s="128"/>
      <c r="K2752" s="128"/>
      <c r="L2752" s="128"/>
      <c r="M2752" s="129"/>
      <c r="N2752" s="129"/>
      <c r="O2752" s="129"/>
    </row>
    <row r="2753" spans="1:15" ht="12.5">
      <c r="A2753" s="158" t="s">
        <v>21150</v>
      </c>
      <c r="B2753" s="159">
        <v>35</v>
      </c>
      <c r="C2753" s="159">
        <v>31</v>
      </c>
      <c r="D2753" s="159">
        <v>68</v>
      </c>
      <c r="E2753" s="159">
        <v>10</v>
      </c>
      <c r="F2753" s="131"/>
      <c r="G2753" s="132"/>
      <c r="H2753" s="162" t="s">
        <v>21151</v>
      </c>
      <c r="I2753" s="158" t="s">
        <v>21152</v>
      </c>
      <c r="J2753" s="128"/>
      <c r="K2753" s="128"/>
      <c r="L2753" s="128"/>
      <c r="M2753" s="129"/>
      <c r="N2753" s="129"/>
      <c r="O2753" s="129"/>
    </row>
    <row r="2754" spans="1:15" ht="12.5">
      <c r="A2754" s="158" t="s">
        <v>21153</v>
      </c>
      <c r="B2754" s="159">
        <v>35</v>
      </c>
      <c r="C2754" s="159">
        <v>31</v>
      </c>
      <c r="D2754" s="159">
        <v>68</v>
      </c>
      <c r="E2754" s="159">
        <v>11</v>
      </c>
      <c r="F2754" s="131"/>
      <c r="G2754" s="132"/>
      <c r="H2754" s="162" t="s">
        <v>21154</v>
      </c>
      <c r="I2754" s="158" t="s">
        <v>21155</v>
      </c>
      <c r="J2754" s="128"/>
      <c r="K2754" s="128"/>
      <c r="L2754" s="128"/>
      <c r="M2754" s="129"/>
      <c r="N2754" s="129"/>
      <c r="O2754" s="129"/>
    </row>
    <row r="2755" spans="1:15" ht="12.5">
      <c r="A2755" s="158" t="s">
        <v>21156</v>
      </c>
      <c r="B2755" s="159">
        <v>35</v>
      </c>
      <c r="C2755" s="159">
        <v>31</v>
      </c>
      <c r="D2755" s="159">
        <v>68</v>
      </c>
      <c r="E2755" s="159">
        <v>12</v>
      </c>
      <c r="F2755" s="131"/>
      <c r="G2755" s="132"/>
      <c r="H2755" s="162" t="s">
        <v>21157</v>
      </c>
      <c r="I2755" s="158" t="s">
        <v>21158</v>
      </c>
      <c r="J2755" s="128"/>
      <c r="K2755" s="128"/>
      <c r="L2755" s="128"/>
      <c r="M2755" s="129"/>
      <c r="N2755" s="129"/>
      <c r="O2755" s="129"/>
    </row>
    <row r="2756" spans="1:15" ht="12.5">
      <c r="A2756" s="158" t="s">
        <v>21159</v>
      </c>
      <c r="B2756" s="159">
        <v>35</v>
      </c>
      <c r="C2756" s="159">
        <v>31</v>
      </c>
      <c r="D2756" s="159">
        <v>68</v>
      </c>
      <c r="E2756" s="159">
        <v>13</v>
      </c>
      <c r="F2756" s="131"/>
      <c r="G2756" s="132"/>
      <c r="H2756" s="162" t="s">
        <v>21160</v>
      </c>
      <c r="I2756" s="128"/>
      <c r="J2756" s="128"/>
      <c r="K2756" s="128"/>
      <c r="L2756" s="128"/>
      <c r="M2756" s="129"/>
      <c r="N2756" s="129"/>
      <c r="O2756" s="129"/>
    </row>
    <row r="2757" spans="1:15" ht="12.5">
      <c r="A2757" s="158" t="s">
        <v>21161</v>
      </c>
      <c r="B2757" s="159">
        <v>35</v>
      </c>
      <c r="C2757" s="159">
        <v>31</v>
      </c>
      <c r="D2757" s="159">
        <v>68</v>
      </c>
      <c r="E2757" s="159">
        <v>14</v>
      </c>
      <c r="F2757" s="131"/>
      <c r="G2757" s="132"/>
      <c r="H2757" s="162" t="s">
        <v>21162</v>
      </c>
      <c r="I2757" s="158" t="s">
        <v>21163</v>
      </c>
      <c r="J2757" s="128"/>
      <c r="K2757" s="128"/>
      <c r="L2757" s="128"/>
      <c r="M2757" s="129"/>
      <c r="N2757" s="129"/>
      <c r="O2757" s="129"/>
    </row>
    <row r="2758" spans="1:15" ht="12.5">
      <c r="A2758" s="158" t="s">
        <v>21164</v>
      </c>
      <c r="B2758" s="159">
        <v>35</v>
      </c>
      <c r="C2758" s="159">
        <v>31</v>
      </c>
      <c r="D2758" s="159">
        <v>68</v>
      </c>
      <c r="E2758" s="159">
        <v>15</v>
      </c>
      <c r="F2758" s="131"/>
      <c r="G2758" s="132"/>
      <c r="H2758" s="162" t="s">
        <v>21165</v>
      </c>
      <c r="I2758" s="158" t="s">
        <v>21166</v>
      </c>
      <c r="J2758" s="128"/>
      <c r="K2758" s="128"/>
      <c r="L2758" s="128"/>
      <c r="M2758" s="129"/>
      <c r="N2758" s="129"/>
      <c r="O2758" s="129"/>
    </row>
    <row r="2759" spans="1:15" ht="12.5">
      <c r="A2759" s="158" t="s">
        <v>21167</v>
      </c>
      <c r="B2759" s="159">
        <v>35</v>
      </c>
      <c r="C2759" s="159">
        <v>31</v>
      </c>
      <c r="D2759" s="159">
        <v>68</v>
      </c>
      <c r="E2759" s="159">
        <v>16</v>
      </c>
      <c r="F2759" s="131"/>
      <c r="G2759" s="132"/>
      <c r="H2759" s="162" t="s">
        <v>21168</v>
      </c>
      <c r="I2759" s="158" t="s">
        <v>21169</v>
      </c>
      <c r="J2759" s="128"/>
      <c r="K2759" s="128"/>
      <c r="L2759" s="128"/>
      <c r="M2759" s="129"/>
      <c r="N2759" s="129"/>
      <c r="O2759" s="129"/>
    </row>
    <row r="2760" spans="1:15" ht="12.5">
      <c r="A2760" s="158" t="s">
        <v>21170</v>
      </c>
      <c r="B2760" s="159">
        <v>35</v>
      </c>
      <c r="C2760" s="159">
        <v>31</v>
      </c>
      <c r="D2760" s="159">
        <v>68</v>
      </c>
      <c r="E2760" s="159">
        <v>17</v>
      </c>
      <c r="F2760" s="131"/>
      <c r="G2760" s="132"/>
      <c r="H2760" s="162" t="s">
        <v>21171</v>
      </c>
      <c r="I2760" s="158" t="s">
        <v>21172</v>
      </c>
      <c r="J2760" s="128"/>
      <c r="K2760" s="128"/>
      <c r="L2760" s="128"/>
      <c r="M2760" s="129"/>
      <c r="N2760" s="129"/>
      <c r="O2760" s="129"/>
    </row>
    <row r="2761" spans="1:15" ht="12.5">
      <c r="A2761" s="158" t="s">
        <v>21173</v>
      </c>
      <c r="B2761" s="159">
        <v>35</v>
      </c>
      <c r="C2761" s="159">
        <v>31</v>
      </c>
      <c r="D2761" s="159">
        <v>68</v>
      </c>
      <c r="E2761" s="159">
        <v>18</v>
      </c>
      <c r="F2761" s="131"/>
      <c r="G2761" s="132"/>
      <c r="H2761" s="162" t="s">
        <v>21174</v>
      </c>
      <c r="I2761" s="158" t="s">
        <v>21175</v>
      </c>
      <c r="J2761" s="128"/>
      <c r="K2761" s="128"/>
      <c r="L2761" s="128"/>
      <c r="M2761" s="129"/>
      <c r="N2761" s="129"/>
      <c r="O2761" s="129"/>
    </row>
    <row r="2762" spans="1:15" ht="12.5">
      <c r="A2762" s="158" t="s">
        <v>21176</v>
      </c>
      <c r="B2762" s="159">
        <v>35</v>
      </c>
      <c r="C2762" s="159">
        <v>31</v>
      </c>
      <c r="D2762" s="159">
        <v>68</v>
      </c>
      <c r="E2762" s="159">
        <v>19</v>
      </c>
      <c r="F2762" s="131"/>
      <c r="G2762" s="132"/>
      <c r="H2762" s="162" t="s">
        <v>21177</v>
      </c>
      <c r="I2762" s="128"/>
      <c r="J2762" s="128"/>
      <c r="K2762" s="128"/>
      <c r="L2762" s="128"/>
      <c r="M2762" s="129"/>
      <c r="N2762" s="129"/>
      <c r="O2762" s="129"/>
    </row>
    <row r="2763" spans="1:15" ht="12.5">
      <c r="A2763" s="158" t="s">
        <v>21178</v>
      </c>
      <c r="B2763" s="159">
        <v>35</v>
      </c>
      <c r="C2763" s="159">
        <v>31</v>
      </c>
      <c r="D2763" s="159">
        <v>68</v>
      </c>
      <c r="E2763" s="159">
        <v>21</v>
      </c>
      <c r="F2763" s="131"/>
      <c r="G2763" s="132"/>
      <c r="H2763" s="162" t="s">
        <v>21179</v>
      </c>
      <c r="I2763" s="158" t="s">
        <v>21180</v>
      </c>
      <c r="J2763" s="128"/>
      <c r="K2763" s="128"/>
      <c r="L2763" s="128"/>
      <c r="M2763" s="129"/>
      <c r="N2763" s="129"/>
      <c r="O2763" s="129"/>
    </row>
    <row r="2764" spans="1:15" ht="12.5">
      <c r="A2764" s="158" t="s">
        <v>21181</v>
      </c>
      <c r="B2764" s="159">
        <v>35</v>
      </c>
      <c r="C2764" s="159">
        <v>31</v>
      </c>
      <c r="D2764" s="159">
        <v>68</v>
      </c>
      <c r="E2764" s="159">
        <v>27</v>
      </c>
      <c r="F2764" s="131"/>
      <c r="G2764" s="132"/>
      <c r="H2764" s="162" t="s">
        <v>21182</v>
      </c>
      <c r="I2764" s="158" t="s">
        <v>21183</v>
      </c>
      <c r="J2764" s="128"/>
      <c r="K2764" s="128"/>
      <c r="L2764" s="128"/>
      <c r="M2764" s="129"/>
      <c r="N2764" s="129"/>
      <c r="O2764" s="129"/>
    </row>
    <row r="2765" spans="1:15" ht="12.5">
      <c r="A2765" s="158" t="s">
        <v>21184</v>
      </c>
      <c r="B2765" s="159">
        <v>35</v>
      </c>
      <c r="C2765" s="159">
        <v>31</v>
      </c>
      <c r="D2765" s="159">
        <v>68</v>
      </c>
      <c r="E2765" s="159">
        <v>28</v>
      </c>
      <c r="F2765" s="131"/>
      <c r="G2765" s="132"/>
      <c r="H2765" s="162" t="s">
        <v>21185</v>
      </c>
      <c r="I2765" s="158" t="s">
        <v>21186</v>
      </c>
      <c r="J2765" s="128"/>
      <c r="K2765" s="128"/>
      <c r="L2765" s="128"/>
      <c r="M2765" s="129"/>
      <c r="N2765" s="129"/>
      <c r="O2765" s="129"/>
    </row>
    <row r="2766" spans="1:15" ht="12.5">
      <c r="A2766" s="158" t="s">
        <v>21187</v>
      </c>
      <c r="B2766" s="159">
        <v>35</v>
      </c>
      <c r="C2766" s="159">
        <v>31</v>
      </c>
      <c r="D2766" s="159">
        <v>68</v>
      </c>
      <c r="E2766" s="159">
        <v>29</v>
      </c>
      <c r="F2766" s="131"/>
      <c r="G2766" s="132"/>
      <c r="H2766" s="162" t="s">
        <v>21188</v>
      </c>
      <c r="I2766" s="158" t="s">
        <v>21189</v>
      </c>
      <c r="J2766" s="128"/>
      <c r="K2766" s="128"/>
      <c r="L2766" s="128"/>
      <c r="M2766" s="129"/>
      <c r="N2766" s="129"/>
      <c r="O2766" s="129"/>
    </row>
    <row r="2767" spans="1:15" ht="12.5">
      <c r="A2767" s="158" t="s">
        <v>21190</v>
      </c>
      <c r="B2767" s="159">
        <v>35</v>
      </c>
      <c r="C2767" s="159">
        <v>31</v>
      </c>
      <c r="D2767" s="159">
        <v>68</v>
      </c>
      <c r="E2767" s="159">
        <v>31</v>
      </c>
      <c r="F2767" s="131"/>
      <c r="G2767" s="132"/>
      <c r="H2767" s="162" t="s">
        <v>21191</v>
      </c>
      <c r="I2767" s="158" t="s">
        <v>21192</v>
      </c>
      <c r="J2767" s="128"/>
      <c r="K2767" s="128"/>
      <c r="L2767" s="128"/>
      <c r="M2767" s="129"/>
      <c r="N2767" s="129"/>
      <c r="O2767" s="129"/>
    </row>
    <row r="2768" spans="1:15" ht="12.5">
      <c r="A2768" s="158" t="s">
        <v>21193</v>
      </c>
      <c r="B2768" s="159">
        <v>35</v>
      </c>
      <c r="C2768" s="159">
        <v>31</v>
      </c>
      <c r="D2768" s="159">
        <v>68</v>
      </c>
      <c r="E2768" s="159">
        <v>32</v>
      </c>
      <c r="F2768" s="131"/>
      <c r="G2768" s="132"/>
      <c r="H2768" s="162" t="s">
        <v>21194</v>
      </c>
      <c r="I2768" s="158" t="s">
        <v>21195</v>
      </c>
      <c r="J2768" s="128"/>
      <c r="K2768" s="128"/>
      <c r="L2768" s="128"/>
      <c r="M2768" s="129"/>
      <c r="N2768" s="129"/>
      <c r="O2768" s="129"/>
    </row>
    <row r="2769" spans="1:15" ht="12.5">
      <c r="A2769" s="158" t="s">
        <v>21196</v>
      </c>
      <c r="B2769" s="159">
        <v>35</v>
      </c>
      <c r="C2769" s="159">
        <v>31</v>
      </c>
      <c r="D2769" s="159">
        <v>68</v>
      </c>
      <c r="E2769" s="159">
        <v>33</v>
      </c>
      <c r="F2769" s="131"/>
      <c r="G2769" s="132"/>
      <c r="H2769" s="162" t="s">
        <v>21197</v>
      </c>
      <c r="I2769" s="158" t="s">
        <v>21198</v>
      </c>
      <c r="J2769" s="128"/>
      <c r="K2769" s="128"/>
      <c r="L2769" s="128"/>
      <c r="M2769" s="129"/>
      <c r="N2769" s="129"/>
      <c r="O2769" s="129"/>
    </row>
    <row r="2770" spans="1:15" ht="12.5">
      <c r="A2770" s="158" t="s">
        <v>21199</v>
      </c>
      <c r="B2770" s="159">
        <v>35</v>
      </c>
      <c r="C2770" s="159">
        <v>31</v>
      </c>
      <c r="D2770" s="159">
        <v>68</v>
      </c>
      <c r="E2770" s="159">
        <v>34</v>
      </c>
      <c r="F2770" s="131"/>
      <c r="G2770" s="132"/>
      <c r="H2770" s="162" t="s">
        <v>21200</v>
      </c>
      <c r="I2770" s="158" t="s">
        <v>21201</v>
      </c>
      <c r="J2770" s="128"/>
      <c r="K2770" s="128"/>
      <c r="L2770" s="128"/>
      <c r="M2770" s="129"/>
      <c r="N2770" s="129"/>
      <c r="O2770" s="129"/>
    </row>
    <row r="2771" spans="1:15" ht="12.5">
      <c r="A2771" s="158" t="s">
        <v>21202</v>
      </c>
      <c r="B2771" s="159">
        <v>35</v>
      </c>
      <c r="C2771" s="159">
        <v>31</v>
      </c>
      <c r="D2771" s="159">
        <v>68</v>
      </c>
      <c r="E2771" s="159">
        <v>35</v>
      </c>
      <c r="F2771" s="131"/>
      <c r="G2771" s="132"/>
      <c r="H2771" s="162" t="s">
        <v>21203</v>
      </c>
      <c r="I2771" s="128"/>
      <c r="J2771" s="128"/>
      <c r="K2771" s="128"/>
      <c r="L2771" s="128"/>
      <c r="M2771" s="129"/>
      <c r="N2771" s="129"/>
      <c r="O2771" s="129"/>
    </row>
    <row r="2772" spans="1:15" ht="12.5">
      <c r="A2772" s="158" t="s">
        <v>21204</v>
      </c>
      <c r="B2772" s="159">
        <v>35</v>
      </c>
      <c r="C2772" s="159">
        <v>31</v>
      </c>
      <c r="D2772" s="159">
        <v>68</v>
      </c>
      <c r="E2772" s="159">
        <v>36</v>
      </c>
      <c r="F2772" s="131"/>
      <c r="G2772" s="132"/>
      <c r="H2772" s="162" t="s">
        <v>21205</v>
      </c>
      <c r="I2772" s="158" t="s">
        <v>21206</v>
      </c>
      <c r="J2772" s="128"/>
      <c r="K2772" s="128"/>
      <c r="L2772" s="128"/>
      <c r="M2772" s="129"/>
      <c r="N2772" s="129"/>
      <c r="O2772" s="129"/>
    </row>
    <row r="2773" spans="1:15" ht="12.5">
      <c r="A2773" s="158" t="s">
        <v>21207</v>
      </c>
      <c r="B2773" s="159">
        <v>35</v>
      </c>
      <c r="C2773" s="159">
        <v>31</v>
      </c>
      <c r="D2773" s="159">
        <v>68</v>
      </c>
      <c r="E2773" s="159">
        <v>37</v>
      </c>
      <c r="F2773" s="131"/>
      <c r="G2773" s="132"/>
      <c r="H2773" s="162" t="s">
        <v>21208</v>
      </c>
      <c r="I2773" s="158" t="s">
        <v>21209</v>
      </c>
      <c r="J2773" s="128"/>
      <c r="K2773" s="128"/>
      <c r="L2773" s="128"/>
      <c r="M2773" s="129"/>
      <c r="N2773" s="129"/>
      <c r="O2773" s="129"/>
    </row>
    <row r="2774" spans="1:15" ht="12.5">
      <c r="A2774" s="158" t="s">
        <v>21210</v>
      </c>
      <c r="B2774" s="159">
        <v>35</v>
      </c>
      <c r="C2774" s="159">
        <v>31</v>
      </c>
      <c r="D2774" s="159">
        <v>68</v>
      </c>
      <c r="E2774" s="159">
        <v>38</v>
      </c>
      <c r="F2774" s="131"/>
      <c r="G2774" s="132"/>
      <c r="H2774" s="162" t="s">
        <v>21211</v>
      </c>
      <c r="I2774" s="158" t="s">
        <v>21212</v>
      </c>
      <c r="J2774" s="128"/>
      <c r="K2774" s="128"/>
      <c r="L2774" s="128"/>
      <c r="M2774" s="129"/>
      <c r="N2774" s="129"/>
      <c r="O2774" s="129"/>
    </row>
    <row r="2775" spans="1:15" ht="12.5">
      <c r="A2775" s="158" t="s">
        <v>21213</v>
      </c>
      <c r="B2775" s="159">
        <v>35</v>
      </c>
      <c r="C2775" s="159">
        <v>31</v>
      </c>
      <c r="D2775" s="159">
        <v>68</v>
      </c>
      <c r="E2775" s="159">
        <v>39</v>
      </c>
      <c r="F2775" s="131"/>
      <c r="G2775" s="132"/>
      <c r="H2775" s="162" t="s">
        <v>21214</v>
      </c>
      <c r="I2775" s="158" t="s">
        <v>21215</v>
      </c>
      <c r="J2775" s="128"/>
      <c r="K2775" s="128"/>
      <c r="L2775" s="128"/>
      <c r="M2775" s="129"/>
      <c r="N2775" s="129"/>
      <c r="O2775" s="129"/>
    </row>
    <row r="2776" spans="1:15" ht="12.5">
      <c r="A2776" s="158" t="s">
        <v>21216</v>
      </c>
      <c r="B2776" s="159">
        <v>35</v>
      </c>
      <c r="C2776" s="159">
        <v>31</v>
      </c>
      <c r="D2776" s="159">
        <v>68</v>
      </c>
      <c r="E2776" s="159">
        <v>40</v>
      </c>
      <c r="F2776" s="131"/>
      <c r="G2776" s="132"/>
      <c r="H2776" s="162" t="s">
        <v>21217</v>
      </c>
      <c r="I2776" s="158" t="s">
        <v>21218</v>
      </c>
      <c r="J2776" s="128"/>
      <c r="K2776" s="128"/>
      <c r="L2776" s="128"/>
      <c r="M2776" s="129"/>
      <c r="N2776" s="129"/>
      <c r="O2776" s="129"/>
    </row>
    <row r="2777" spans="1:15" ht="12.5">
      <c r="A2777" s="158" t="s">
        <v>21219</v>
      </c>
      <c r="B2777" s="159">
        <v>35</v>
      </c>
      <c r="C2777" s="159">
        <v>31</v>
      </c>
      <c r="D2777" s="159">
        <v>68</v>
      </c>
      <c r="E2777" s="159">
        <v>43</v>
      </c>
      <c r="F2777" s="131"/>
      <c r="G2777" s="132"/>
      <c r="H2777" s="162" t="s">
        <v>21220</v>
      </c>
      <c r="I2777" s="158" t="s">
        <v>21221</v>
      </c>
      <c r="J2777" s="128"/>
      <c r="K2777" s="128"/>
      <c r="L2777" s="128"/>
      <c r="M2777" s="129"/>
      <c r="N2777" s="129"/>
      <c r="O2777" s="129"/>
    </row>
    <row r="2778" spans="1:15" ht="12.5">
      <c r="A2778" s="158" t="s">
        <v>21222</v>
      </c>
      <c r="B2778" s="159">
        <v>35</v>
      </c>
      <c r="C2778" s="159">
        <v>31</v>
      </c>
      <c r="D2778" s="159">
        <v>68</v>
      </c>
      <c r="E2778" s="159">
        <v>46</v>
      </c>
      <c r="F2778" s="131"/>
      <c r="G2778" s="132"/>
      <c r="H2778" s="162" t="s">
        <v>21223</v>
      </c>
      <c r="I2778" s="158" t="s">
        <v>21224</v>
      </c>
      <c r="J2778" s="128"/>
      <c r="K2778" s="128"/>
      <c r="L2778" s="128"/>
      <c r="M2778" s="129"/>
      <c r="N2778" s="129"/>
      <c r="O2778" s="129"/>
    </row>
    <row r="2779" spans="1:15" ht="12.5">
      <c r="A2779" s="158" t="s">
        <v>21225</v>
      </c>
      <c r="B2779" s="159">
        <v>35</v>
      </c>
      <c r="C2779" s="159">
        <v>31</v>
      </c>
      <c r="D2779" s="159">
        <v>68</v>
      </c>
      <c r="E2779" s="159">
        <v>47</v>
      </c>
      <c r="F2779" s="131"/>
      <c r="G2779" s="132"/>
      <c r="H2779" s="162" t="s">
        <v>21226</v>
      </c>
      <c r="I2779" s="158" t="s">
        <v>21227</v>
      </c>
      <c r="J2779" s="128"/>
      <c r="K2779" s="128"/>
      <c r="L2779" s="128"/>
      <c r="M2779" s="129"/>
      <c r="N2779" s="129"/>
      <c r="O2779" s="129"/>
    </row>
    <row r="2780" spans="1:15" ht="12.5">
      <c r="A2780" s="158" t="s">
        <v>21228</v>
      </c>
      <c r="B2780" s="159">
        <v>35</v>
      </c>
      <c r="C2780" s="159">
        <v>31</v>
      </c>
      <c r="D2780" s="159">
        <v>68</v>
      </c>
      <c r="E2780" s="159">
        <v>51</v>
      </c>
      <c r="F2780" s="131"/>
      <c r="G2780" s="132"/>
      <c r="H2780" s="162" t="s">
        <v>21229</v>
      </c>
      <c r="I2780" s="158" t="s">
        <v>21230</v>
      </c>
      <c r="J2780" s="128"/>
      <c r="K2780" s="128"/>
      <c r="L2780" s="128"/>
      <c r="M2780" s="129"/>
      <c r="N2780" s="129"/>
      <c r="O2780" s="129"/>
    </row>
    <row r="2781" spans="1:15" ht="12.5">
      <c r="A2781" s="158" t="s">
        <v>21231</v>
      </c>
      <c r="B2781" s="159">
        <v>35</v>
      </c>
      <c r="C2781" s="159">
        <v>31</v>
      </c>
      <c r="D2781" s="159">
        <v>68</v>
      </c>
      <c r="E2781" s="159">
        <v>52</v>
      </c>
      <c r="F2781" s="131"/>
      <c r="G2781" s="132"/>
      <c r="H2781" s="162" t="s">
        <v>21232</v>
      </c>
      <c r="I2781" s="158" t="s">
        <v>21233</v>
      </c>
      <c r="J2781" s="128"/>
      <c r="K2781" s="128"/>
      <c r="L2781" s="128"/>
      <c r="M2781" s="129"/>
      <c r="N2781" s="129"/>
      <c r="O2781" s="129"/>
    </row>
    <row r="2782" spans="1:15" ht="12.5">
      <c r="A2782" s="158" t="s">
        <v>21234</v>
      </c>
      <c r="B2782" s="159">
        <v>35</v>
      </c>
      <c r="C2782" s="159">
        <v>31</v>
      </c>
      <c r="D2782" s="159">
        <v>68</v>
      </c>
      <c r="E2782" s="159">
        <v>55</v>
      </c>
      <c r="F2782" s="131"/>
      <c r="G2782" s="132"/>
      <c r="H2782" s="162" t="s">
        <v>21235</v>
      </c>
      <c r="I2782" s="158" t="s">
        <v>21236</v>
      </c>
      <c r="J2782" s="128"/>
      <c r="K2782" s="128"/>
      <c r="L2782" s="128"/>
      <c r="M2782" s="129"/>
      <c r="N2782" s="129"/>
      <c r="O2782" s="129"/>
    </row>
    <row r="2783" spans="1:15" ht="12.5">
      <c r="A2783" s="158" t="s">
        <v>21237</v>
      </c>
      <c r="B2783" s="159">
        <v>35</v>
      </c>
      <c r="C2783" s="159">
        <v>31</v>
      </c>
      <c r="D2783" s="159">
        <v>68</v>
      </c>
      <c r="E2783" s="159">
        <v>60</v>
      </c>
      <c r="F2783" s="131"/>
      <c r="G2783" s="132"/>
      <c r="H2783" s="162" t="s">
        <v>21238</v>
      </c>
      <c r="I2783" s="158" t="s">
        <v>21239</v>
      </c>
      <c r="J2783" s="128"/>
      <c r="K2783" s="128"/>
      <c r="L2783" s="128"/>
      <c r="M2783" s="129"/>
      <c r="N2783" s="129"/>
      <c r="O2783" s="129"/>
    </row>
    <row r="2784" spans="1:15" ht="12.5">
      <c r="A2784" s="158" t="s">
        <v>21240</v>
      </c>
      <c r="B2784" s="159">
        <v>35</v>
      </c>
      <c r="C2784" s="159">
        <v>31</v>
      </c>
      <c r="D2784" s="159">
        <v>68</v>
      </c>
      <c r="E2784" s="159">
        <v>62</v>
      </c>
      <c r="F2784" s="131"/>
      <c r="G2784" s="132"/>
      <c r="H2784" s="162" t="s">
        <v>21241</v>
      </c>
      <c r="I2784" s="158" t="s">
        <v>21242</v>
      </c>
      <c r="J2784" s="128"/>
      <c r="K2784" s="128"/>
      <c r="L2784" s="128"/>
      <c r="M2784" s="129"/>
      <c r="N2784" s="129"/>
      <c r="O2784" s="129"/>
    </row>
    <row r="2785" spans="1:15" ht="12.5">
      <c r="A2785" s="158" t="s">
        <v>21243</v>
      </c>
      <c r="B2785" s="159">
        <v>35</v>
      </c>
      <c r="C2785" s="159">
        <v>31</v>
      </c>
      <c r="D2785" s="159">
        <v>68</v>
      </c>
      <c r="E2785" s="159">
        <v>63</v>
      </c>
      <c r="F2785" s="131"/>
      <c r="G2785" s="132"/>
      <c r="H2785" s="162" t="s">
        <v>21244</v>
      </c>
      <c r="I2785" s="158" t="s">
        <v>21245</v>
      </c>
      <c r="J2785" s="128"/>
      <c r="K2785" s="128"/>
      <c r="L2785" s="128"/>
      <c r="M2785" s="129"/>
      <c r="N2785" s="129"/>
      <c r="O2785" s="129"/>
    </row>
    <row r="2786" spans="1:15" ht="12.5">
      <c r="A2786" s="158" t="s">
        <v>21246</v>
      </c>
      <c r="B2786" s="159">
        <v>35</v>
      </c>
      <c r="C2786" s="159">
        <v>31</v>
      </c>
      <c r="D2786" s="159">
        <v>68</v>
      </c>
      <c r="E2786" s="159">
        <v>64</v>
      </c>
      <c r="F2786" s="131"/>
      <c r="G2786" s="132"/>
      <c r="H2786" s="162" t="s">
        <v>21247</v>
      </c>
      <c r="I2786" s="158" t="s">
        <v>21248</v>
      </c>
      <c r="J2786" s="128"/>
      <c r="K2786" s="128"/>
      <c r="L2786" s="128"/>
      <c r="M2786" s="129"/>
      <c r="N2786" s="129"/>
      <c r="O2786" s="129"/>
    </row>
    <row r="2787" spans="1:15" ht="12.5">
      <c r="A2787" s="158" t="s">
        <v>21249</v>
      </c>
      <c r="B2787" s="159">
        <v>35</v>
      </c>
      <c r="C2787" s="159">
        <v>31</v>
      </c>
      <c r="D2787" s="159">
        <v>68</v>
      </c>
      <c r="E2787" s="159">
        <v>65</v>
      </c>
      <c r="F2787" s="131"/>
      <c r="G2787" s="132"/>
      <c r="H2787" s="162" t="s">
        <v>21250</v>
      </c>
      <c r="I2787" s="158" t="s">
        <v>21251</v>
      </c>
      <c r="J2787" s="128"/>
      <c r="K2787" s="128"/>
      <c r="L2787" s="128"/>
      <c r="M2787" s="129"/>
      <c r="N2787" s="129"/>
      <c r="O2787" s="129"/>
    </row>
    <row r="2788" spans="1:15" ht="12.5">
      <c r="A2788" s="158" t="s">
        <v>21252</v>
      </c>
      <c r="B2788" s="159">
        <v>35</v>
      </c>
      <c r="C2788" s="159">
        <v>31</v>
      </c>
      <c r="D2788" s="159">
        <v>68</v>
      </c>
      <c r="E2788" s="159">
        <v>66</v>
      </c>
      <c r="F2788" s="131"/>
      <c r="G2788" s="132"/>
      <c r="H2788" s="162" t="s">
        <v>21253</v>
      </c>
      <c r="I2788" s="158" t="s">
        <v>21254</v>
      </c>
      <c r="J2788" s="128"/>
      <c r="K2788" s="128"/>
      <c r="L2788" s="128"/>
      <c r="M2788" s="129"/>
      <c r="N2788" s="129"/>
      <c r="O2788" s="129"/>
    </row>
    <row r="2789" spans="1:15" ht="12.5">
      <c r="A2789" s="158" t="s">
        <v>21255</v>
      </c>
      <c r="B2789" s="159">
        <v>35</v>
      </c>
      <c r="C2789" s="159">
        <v>31</v>
      </c>
      <c r="D2789" s="159">
        <v>68</v>
      </c>
      <c r="E2789" s="159">
        <v>69</v>
      </c>
      <c r="F2789" s="131"/>
      <c r="G2789" s="132"/>
      <c r="H2789" s="162" t="s">
        <v>21256</v>
      </c>
      <c r="I2789" s="128"/>
      <c r="J2789" s="128"/>
      <c r="K2789" s="128"/>
      <c r="L2789" s="128"/>
      <c r="M2789" s="129"/>
      <c r="N2789" s="129"/>
      <c r="O2789" s="129"/>
    </row>
    <row r="2790" spans="1:15" ht="12.5">
      <c r="A2790" s="158" t="s">
        <v>21257</v>
      </c>
      <c r="B2790" s="159">
        <v>35</v>
      </c>
      <c r="C2790" s="159">
        <v>31</v>
      </c>
      <c r="D2790" s="159">
        <v>68</v>
      </c>
      <c r="E2790" s="159">
        <v>70</v>
      </c>
      <c r="F2790" s="131"/>
      <c r="G2790" s="132"/>
      <c r="H2790" s="162" t="s">
        <v>21258</v>
      </c>
      <c r="I2790" s="158" t="s">
        <v>21259</v>
      </c>
      <c r="J2790" s="128"/>
      <c r="K2790" s="128"/>
      <c r="L2790" s="128"/>
      <c r="M2790" s="129"/>
      <c r="N2790" s="129"/>
      <c r="O2790" s="129"/>
    </row>
    <row r="2791" spans="1:15" ht="12.5">
      <c r="A2791" s="158" t="s">
        <v>21260</v>
      </c>
      <c r="B2791" s="159">
        <v>35</v>
      </c>
      <c r="C2791" s="159">
        <v>31</v>
      </c>
      <c r="D2791" s="159">
        <v>68</v>
      </c>
      <c r="E2791" s="159">
        <v>72</v>
      </c>
      <c r="F2791" s="131"/>
      <c r="G2791" s="132"/>
      <c r="H2791" s="162" t="s">
        <v>21261</v>
      </c>
      <c r="I2791" s="128"/>
      <c r="J2791" s="128"/>
      <c r="K2791" s="128"/>
      <c r="L2791" s="128"/>
      <c r="M2791" s="129"/>
      <c r="N2791" s="129"/>
      <c r="O2791" s="129"/>
    </row>
    <row r="2792" spans="1:15" ht="12.5">
      <c r="A2792" s="158" t="s">
        <v>21262</v>
      </c>
      <c r="B2792" s="159">
        <v>35</v>
      </c>
      <c r="C2792" s="159">
        <v>31</v>
      </c>
      <c r="D2792" s="159">
        <v>68</v>
      </c>
      <c r="E2792" s="159">
        <v>74</v>
      </c>
      <c r="F2792" s="131"/>
      <c r="G2792" s="132"/>
      <c r="H2792" s="162" t="s">
        <v>21263</v>
      </c>
      <c r="I2792" s="158" t="s">
        <v>21264</v>
      </c>
      <c r="J2792" s="128"/>
      <c r="K2792" s="128"/>
      <c r="L2792" s="128"/>
      <c r="M2792" s="129"/>
      <c r="N2792" s="129"/>
      <c r="O2792" s="129"/>
    </row>
    <row r="2793" spans="1:15" ht="12.5">
      <c r="A2793" s="158" t="s">
        <v>21265</v>
      </c>
      <c r="B2793" s="159">
        <v>35</v>
      </c>
      <c r="C2793" s="159">
        <v>31</v>
      </c>
      <c r="D2793" s="159">
        <v>68</v>
      </c>
      <c r="E2793" s="159">
        <v>75</v>
      </c>
      <c r="F2793" s="131"/>
      <c r="G2793" s="132"/>
      <c r="H2793" s="162" t="s">
        <v>21266</v>
      </c>
      <c r="I2793" s="128"/>
      <c r="J2793" s="128"/>
      <c r="K2793" s="128"/>
      <c r="L2793" s="128"/>
      <c r="M2793" s="129"/>
      <c r="N2793" s="129"/>
      <c r="O2793" s="129"/>
    </row>
    <row r="2794" spans="1:15" ht="12.5">
      <c r="A2794" s="158" t="s">
        <v>21269</v>
      </c>
      <c r="B2794" s="159">
        <v>35</v>
      </c>
      <c r="C2794" s="159">
        <v>31</v>
      </c>
      <c r="D2794" s="159">
        <v>68</v>
      </c>
      <c r="E2794" s="159">
        <v>81</v>
      </c>
      <c r="F2794" s="131"/>
      <c r="G2794" s="132"/>
      <c r="H2794" s="162" t="s">
        <v>21270</v>
      </c>
      <c r="I2794" s="158" t="s">
        <v>21271</v>
      </c>
      <c r="J2794" s="128"/>
      <c r="K2794" s="128"/>
      <c r="L2794" s="128"/>
      <c r="M2794" s="129"/>
      <c r="N2794" s="129"/>
      <c r="O2794" s="129"/>
    </row>
    <row r="2795" spans="1:15" ht="12.5">
      <c r="A2795" s="158" t="s">
        <v>21272</v>
      </c>
      <c r="B2795" s="159">
        <v>35</v>
      </c>
      <c r="C2795" s="159">
        <v>31</v>
      </c>
      <c r="D2795" s="159">
        <v>68</v>
      </c>
      <c r="E2795" s="159">
        <v>82</v>
      </c>
      <c r="F2795" s="131"/>
      <c r="G2795" s="132"/>
      <c r="H2795" s="162" t="s">
        <v>21273</v>
      </c>
      <c r="I2795" s="128"/>
      <c r="J2795" s="128"/>
      <c r="K2795" s="128"/>
      <c r="L2795" s="128"/>
      <c r="M2795" s="129"/>
      <c r="N2795" s="129"/>
      <c r="O2795" s="129"/>
    </row>
    <row r="2796" spans="1:15" ht="12.5">
      <c r="A2796" s="158" t="s">
        <v>21274</v>
      </c>
      <c r="B2796" s="159">
        <v>35</v>
      </c>
      <c r="C2796" s="159">
        <v>31</v>
      </c>
      <c r="D2796" s="159">
        <v>68</v>
      </c>
      <c r="E2796" s="159">
        <v>83</v>
      </c>
      <c r="F2796" s="131"/>
      <c r="G2796" s="132"/>
      <c r="H2796" s="162" t="s">
        <v>21275</v>
      </c>
      <c r="I2796" s="128"/>
      <c r="J2796" s="128"/>
      <c r="K2796" s="128"/>
      <c r="L2796" s="128"/>
      <c r="M2796" s="129"/>
      <c r="N2796" s="129"/>
      <c r="O2796" s="129"/>
    </row>
    <row r="2797" spans="1:15" ht="12.5">
      <c r="A2797" s="158" t="s">
        <v>21276</v>
      </c>
      <c r="B2797" s="159">
        <v>35</v>
      </c>
      <c r="C2797" s="159">
        <v>31</v>
      </c>
      <c r="D2797" s="159">
        <v>68</v>
      </c>
      <c r="E2797" s="159">
        <v>84</v>
      </c>
      <c r="F2797" s="131"/>
      <c r="G2797" s="132"/>
      <c r="H2797" s="162" t="s">
        <v>21277</v>
      </c>
      <c r="I2797" s="128"/>
      <c r="J2797" s="128"/>
      <c r="K2797" s="128"/>
      <c r="L2797" s="128"/>
      <c r="M2797" s="129"/>
      <c r="N2797" s="129"/>
      <c r="O2797" s="129"/>
    </row>
    <row r="2798" spans="1:15" ht="12.5">
      <c r="A2798" s="158" t="s">
        <v>21278</v>
      </c>
      <c r="B2798" s="159">
        <v>35</v>
      </c>
      <c r="C2798" s="159">
        <v>31</v>
      </c>
      <c r="D2798" s="159">
        <v>68</v>
      </c>
      <c r="E2798" s="159">
        <v>85</v>
      </c>
      <c r="F2798" s="131"/>
      <c r="G2798" s="132"/>
      <c r="H2798" s="162" t="s">
        <v>21279</v>
      </c>
      <c r="I2798" s="128"/>
      <c r="J2798" s="128"/>
      <c r="K2798" s="128"/>
      <c r="L2798" s="128"/>
      <c r="M2798" s="129"/>
      <c r="N2798" s="129"/>
      <c r="O2798" s="129"/>
    </row>
    <row r="2799" spans="1:15" ht="12.5">
      <c r="A2799" s="158" t="s">
        <v>21280</v>
      </c>
      <c r="B2799" s="159">
        <v>35</v>
      </c>
      <c r="C2799" s="159">
        <v>31</v>
      </c>
      <c r="D2799" s="159">
        <v>68</v>
      </c>
      <c r="E2799" s="159">
        <v>86</v>
      </c>
      <c r="F2799" s="131"/>
      <c r="G2799" s="132"/>
      <c r="H2799" s="162" t="s">
        <v>21281</v>
      </c>
      <c r="I2799" s="158" t="s">
        <v>21282</v>
      </c>
      <c r="J2799" s="128"/>
      <c r="K2799" s="128"/>
      <c r="L2799" s="128"/>
      <c r="M2799" s="129"/>
      <c r="N2799" s="129"/>
      <c r="O2799" s="129"/>
    </row>
    <row r="2800" spans="1:15" ht="12.5">
      <c r="A2800" s="158" t="s">
        <v>21283</v>
      </c>
      <c r="B2800" s="159">
        <v>35</v>
      </c>
      <c r="C2800" s="159">
        <v>31</v>
      </c>
      <c r="D2800" s="159">
        <v>68</v>
      </c>
      <c r="E2800" s="159">
        <v>87</v>
      </c>
      <c r="F2800" s="131"/>
      <c r="G2800" s="132"/>
      <c r="H2800" s="162" t="s">
        <v>21284</v>
      </c>
      <c r="I2800" s="128"/>
      <c r="J2800" s="128"/>
      <c r="K2800" s="128"/>
      <c r="L2800" s="128"/>
      <c r="M2800" s="129"/>
      <c r="N2800" s="129"/>
      <c r="O2800" s="129"/>
    </row>
    <row r="2801" spans="1:15" ht="12.5">
      <c r="A2801" s="158" t="s">
        <v>21286</v>
      </c>
      <c r="B2801" s="159">
        <v>35</v>
      </c>
      <c r="C2801" s="159">
        <v>31</v>
      </c>
      <c r="D2801" s="159">
        <v>68</v>
      </c>
      <c r="E2801" s="159">
        <v>88</v>
      </c>
      <c r="F2801" s="131"/>
      <c r="G2801" s="132"/>
      <c r="H2801" s="162" t="s">
        <v>21287</v>
      </c>
      <c r="I2801" s="158" t="s">
        <v>21288</v>
      </c>
      <c r="J2801" s="128"/>
      <c r="K2801" s="128"/>
      <c r="L2801" s="128"/>
      <c r="M2801" s="129"/>
      <c r="N2801" s="129"/>
      <c r="O2801" s="129"/>
    </row>
    <row r="2802" spans="1:15" ht="12.5">
      <c r="A2802" s="158" t="s">
        <v>21289</v>
      </c>
      <c r="B2802" s="159">
        <v>35</v>
      </c>
      <c r="C2802" s="159">
        <v>31</v>
      </c>
      <c r="D2802" s="159">
        <v>68</v>
      </c>
      <c r="E2802" s="159">
        <v>96</v>
      </c>
      <c r="F2802" s="131"/>
      <c r="G2802" s="132"/>
      <c r="H2802" s="162" t="s">
        <v>21290</v>
      </c>
      <c r="I2802" s="158" t="s">
        <v>21291</v>
      </c>
      <c r="J2802" s="128"/>
      <c r="K2802" s="128"/>
      <c r="L2802" s="128"/>
      <c r="M2802" s="129"/>
      <c r="N2802" s="129"/>
      <c r="O2802" s="129"/>
    </row>
    <row r="2803" spans="1:15" ht="12.5">
      <c r="A2803" s="158" t="s">
        <v>21292</v>
      </c>
      <c r="B2803" s="159">
        <v>35</v>
      </c>
      <c r="C2803" s="159">
        <v>31</v>
      </c>
      <c r="D2803" s="159">
        <v>68</v>
      </c>
      <c r="E2803" s="159">
        <v>97</v>
      </c>
      <c r="F2803" s="131"/>
      <c r="G2803" s="132"/>
      <c r="H2803" s="162" t="s">
        <v>21293</v>
      </c>
      <c r="I2803" s="158" t="s">
        <v>21294</v>
      </c>
      <c r="J2803" s="128"/>
      <c r="K2803" s="128"/>
      <c r="L2803" s="128"/>
      <c r="M2803" s="129"/>
      <c r="N2803" s="129"/>
      <c r="O2803" s="129"/>
    </row>
    <row r="2804" spans="1:15" ht="12.5">
      <c r="A2804" s="158" t="s">
        <v>21295</v>
      </c>
      <c r="B2804" s="159">
        <v>35</v>
      </c>
      <c r="C2804" s="159">
        <v>31</v>
      </c>
      <c r="D2804" s="159">
        <v>68</v>
      </c>
      <c r="E2804" s="159">
        <v>98</v>
      </c>
      <c r="F2804" s="131"/>
      <c r="G2804" s="132"/>
      <c r="H2804" s="162" t="s">
        <v>21296</v>
      </c>
      <c r="I2804" s="158" t="s">
        <v>21297</v>
      </c>
      <c r="J2804" s="128"/>
      <c r="K2804" s="128"/>
      <c r="L2804" s="128"/>
      <c r="M2804" s="129"/>
      <c r="N2804" s="129"/>
      <c r="O2804" s="129"/>
    </row>
    <row r="2805" spans="1:15" ht="12.5">
      <c r="A2805" s="158" t="s">
        <v>21298</v>
      </c>
      <c r="B2805" s="159">
        <v>35</v>
      </c>
      <c r="C2805" s="159">
        <v>31</v>
      </c>
      <c r="D2805" s="159">
        <v>68</v>
      </c>
      <c r="E2805" s="159">
        <v>99</v>
      </c>
      <c r="F2805" s="131"/>
      <c r="G2805" s="132"/>
      <c r="H2805" s="162" t="s">
        <v>21299</v>
      </c>
      <c r="I2805" s="158" t="s">
        <v>21300</v>
      </c>
      <c r="J2805" s="128"/>
      <c r="K2805" s="128"/>
      <c r="L2805" s="128"/>
      <c r="M2805" s="129"/>
      <c r="N2805" s="129"/>
      <c r="O2805" s="129"/>
    </row>
    <row r="2806" spans="1:15" ht="12.5">
      <c r="A2806" s="158" t="s">
        <v>21301</v>
      </c>
      <c r="B2806" s="159">
        <v>35</v>
      </c>
      <c r="C2806" s="159">
        <v>31</v>
      </c>
      <c r="D2806" s="159">
        <v>77</v>
      </c>
      <c r="E2806" s="130"/>
      <c r="F2806" s="131"/>
      <c r="G2806" s="132"/>
      <c r="H2806" s="162" t="s">
        <v>21302</v>
      </c>
      <c r="I2806" s="128"/>
      <c r="J2806" s="128"/>
      <c r="K2806" s="128"/>
      <c r="L2806" s="128"/>
      <c r="M2806" s="129"/>
      <c r="N2806" s="129"/>
      <c r="O2806" s="129"/>
    </row>
    <row r="2807" spans="1:15" ht="12.5">
      <c r="A2807" s="158" t="s">
        <v>21303</v>
      </c>
      <c r="B2807" s="159">
        <v>35</v>
      </c>
      <c r="C2807" s="159">
        <v>31</v>
      </c>
      <c r="D2807" s="159">
        <v>77</v>
      </c>
      <c r="E2807" s="159">
        <v>5</v>
      </c>
      <c r="F2807" s="131"/>
      <c r="G2807" s="132"/>
      <c r="H2807" s="162" t="s">
        <v>21304</v>
      </c>
      <c r="I2807" s="158" t="s">
        <v>21305</v>
      </c>
      <c r="J2807" s="128"/>
      <c r="K2807" s="128"/>
      <c r="L2807" s="128"/>
      <c r="M2807" s="129"/>
      <c r="N2807" s="129"/>
      <c r="O2807" s="129"/>
    </row>
    <row r="2808" spans="1:15" ht="12.5">
      <c r="A2808" s="158" t="s">
        <v>21306</v>
      </c>
      <c r="B2808" s="159">
        <v>35</v>
      </c>
      <c r="C2808" s="159">
        <v>31</v>
      </c>
      <c r="D2808" s="159">
        <v>77</v>
      </c>
      <c r="E2808" s="159">
        <v>8</v>
      </c>
      <c r="F2808" s="131"/>
      <c r="G2808" s="132"/>
      <c r="H2808" s="162" t="s">
        <v>21307</v>
      </c>
      <c r="I2808" s="158" t="s">
        <v>21308</v>
      </c>
      <c r="J2808" s="128"/>
      <c r="K2808" s="128"/>
      <c r="L2808" s="128"/>
      <c r="M2808" s="129"/>
      <c r="N2808" s="129"/>
      <c r="O2808" s="129"/>
    </row>
    <row r="2809" spans="1:15" ht="12.5">
      <c r="A2809" s="158" t="s">
        <v>21309</v>
      </c>
      <c r="B2809" s="159">
        <v>35</v>
      </c>
      <c r="C2809" s="159">
        <v>31</v>
      </c>
      <c r="D2809" s="159">
        <v>77</v>
      </c>
      <c r="E2809" s="159">
        <v>12</v>
      </c>
      <c r="F2809" s="131"/>
      <c r="G2809" s="132"/>
      <c r="H2809" s="162" t="s">
        <v>21310</v>
      </c>
      <c r="I2809" s="158" t="s">
        <v>21311</v>
      </c>
      <c r="J2809" s="128"/>
      <c r="K2809" s="128"/>
      <c r="L2809" s="128"/>
      <c r="M2809" s="129"/>
      <c r="N2809" s="129"/>
      <c r="O2809" s="129"/>
    </row>
    <row r="2810" spans="1:15" ht="12.5">
      <c r="A2810" s="158" t="s">
        <v>21312</v>
      </c>
      <c r="B2810" s="159">
        <v>35</v>
      </c>
      <c r="C2810" s="159">
        <v>31</v>
      </c>
      <c r="D2810" s="159">
        <v>77</v>
      </c>
      <c r="E2810" s="159">
        <v>15</v>
      </c>
      <c r="F2810" s="131"/>
      <c r="G2810" s="132"/>
      <c r="H2810" s="162" t="s">
        <v>21313</v>
      </c>
      <c r="I2810" s="158" t="s">
        <v>21314</v>
      </c>
      <c r="J2810" s="128"/>
      <c r="K2810" s="128"/>
      <c r="L2810" s="128"/>
      <c r="M2810" s="129"/>
      <c r="N2810" s="129"/>
      <c r="O2810" s="129"/>
    </row>
    <row r="2811" spans="1:15" ht="12.5">
      <c r="A2811" s="158" t="s">
        <v>21315</v>
      </c>
      <c r="B2811" s="159">
        <v>35</v>
      </c>
      <c r="C2811" s="159">
        <v>31</v>
      </c>
      <c r="D2811" s="159">
        <v>77</v>
      </c>
      <c r="E2811" s="159">
        <v>16</v>
      </c>
      <c r="F2811" s="131"/>
      <c r="G2811" s="132"/>
      <c r="H2811" s="162" t="s">
        <v>21316</v>
      </c>
      <c r="I2811" s="158" t="s">
        <v>21317</v>
      </c>
      <c r="J2811" s="128"/>
      <c r="K2811" s="128"/>
      <c r="L2811" s="128"/>
      <c r="M2811" s="129"/>
      <c r="N2811" s="129"/>
      <c r="O2811" s="129"/>
    </row>
    <row r="2812" spans="1:15" ht="12.5">
      <c r="A2812" s="158" t="s">
        <v>21318</v>
      </c>
      <c r="B2812" s="159">
        <v>35</v>
      </c>
      <c r="C2812" s="159">
        <v>31</v>
      </c>
      <c r="D2812" s="159">
        <v>77</v>
      </c>
      <c r="E2812" s="159">
        <v>24</v>
      </c>
      <c r="F2812" s="131"/>
      <c r="G2812" s="132"/>
      <c r="H2812" s="162" t="s">
        <v>21319</v>
      </c>
      <c r="I2812" s="158" t="s">
        <v>21320</v>
      </c>
      <c r="J2812" s="128"/>
      <c r="K2812" s="128"/>
      <c r="L2812" s="128"/>
      <c r="M2812" s="129"/>
      <c r="N2812" s="129"/>
      <c r="O2812" s="129"/>
    </row>
    <row r="2813" spans="1:15" ht="12.5">
      <c r="A2813" s="158" t="s">
        <v>21321</v>
      </c>
      <c r="B2813" s="159">
        <v>35</v>
      </c>
      <c r="C2813" s="159">
        <v>31</v>
      </c>
      <c r="D2813" s="159">
        <v>77</v>
      </c>
      <c r="E2813" s="159">
        <v>25</v>
      </c>
      <c r="F2813" s="131"/>
      <c r="G2813" s="132"/>
      <c r="H2813" s="162" t="s">
        <v>21322</v>
      </c>
      <c r="I2813" s="158" t="s">
        <v>21323</v>
      </c>
      <c r="J2813" s="128"/>
      <c r="K2813" s="128"/>
      <c r="L2813" s="128"/>
      <c r="M2813" s="129"/>
      <c r="N2813" s="129"/>
      <c r="O2813" s="129"/>
    </row>
    <row r="2814" spans="1:15" ht="12.5">
      <c r="A2814" s="158" t="s">
        <v>21324</v>
      </c>
      <c r="B2814" s="159">
        <v>35</v>
      </c>
      <c r="C2814" s="159">
        <v>31</v>
      </c>
      <c r="D2814" s="159">
        <v>77</v>
      </c>
      <c r="E2814" s="159">
        <v>30</v>
      </c>
      <c r="F2814" s="131"/>
      <c r="G2814" s="132"/>
      <c r="H2814" s="162" t="s">
        <v>21325</v>
      </c>
      <c r="I2814" s="158" t="s">
        <v>21326</v>
      </c>
      <c r="J2814" s="128"/>
      <c r="K2814" s="128"/>
      <c r="L2814" s="128"/>
      <c r="M2814" s="129"/>
      <c r="N2814" s="129"/>
      <c r="O2814" s="129"/>
    </row>
    <row r="2815" spans="1:15" ht="12.5">
      <c r="A2815" s="158" t="s">
        <v>21327</v>
      </c>
      <c r="B2815" s="159">
        <v>35</v>
      </c>
      <c r="C2815" s="159">
        <v>31</v>
      </c>
      <c r="D2815" s="159">
        <v>77</v>
      </c>
      <c r="E2815" s="159">
        <v>42</v>
      </c>
      <c r="F2815" s="131"/>
      <c r="G2815" s="132"/>
      <c r="H2815" s="162" t="s">
        <v>21328</v>
      </c>
      <c r="I2815" s="158" t="s">
        <v>21329</v>
      </c>
      <c r="J2815" s="128"/>
      <c r="K2815" s="128"/>
      <c r="L2815" s="128"/>
      <c r="M2815" s="129"/>
      <c r="N2815" s="129"/>
      <c r="O2815" s="129"/>
    </row>
    <row r="2816" spans="1:15" ht="12.5">
      <c r="A2816" s="158" t="s">
        <v>21332</v>
      </c>
      <c r="B2816" s="159">
        <v>35</v>
      </c>
      <c r="C2816" s="159">
        <v>31</v>
      </c>
      <c r="D2816" s="159">
        <v>77</v>
      </c>
      <c r="E2816" s="159">
        <v>50</v>
      </c>
      <c r="F2816" s="131"/>
      <c r="G2816" s="132"/>
      <c r="H2816" s="162" t="s">
        <v>21333</v>
      </c>
      <c r="I2816" s="158" t="s">
        <v>21334</v>
      </c>
      <c r="J2816" s="128"/>
      <c r="K2816" s="128"/>
      <c r="L2816" s="128"/>
      <c r="M2816" s="129"/>
      <c r="N2816" s="129"/>
      <c r="O2816" s="129"/>
    </row>
    <row r="2817" spans="1:15" ht="12.5">
      <c r="A2817" s="158" t="s">
        <v>21335</v>
      </c>
      <c r="B2817" s="159">
        <v>35</v>
      </c>
      <c r="C2817" s="159">
        <v>31</v>
      </c>
      <c r="D2817" s="159">
        <v>77</v>
      </c>
      <c r="E2817" s="159">
        <v>60</v>
      </c>
      <c r="F2817" s="131"/>
      <c r="G2817" s="132"/>
      <c r="H2817" s="162" t="s">
        <v>21336</v>
      </c>
      <c r="I2817" s="158" t="s">
        <v>21337</v>
      </c>
      <c r="J2817" s="128"/>
      <c r="K2817" s="128"/>
      <c r="L2817" s="128"/>
      <c r="M2817" s="129"/>
      <c r="N2817" s="129"/>
      <c r="O2817" s="129"/>
    </row>
    <row r="2818" spans="1:15" ht="12.5">
      <c r="A2818" s="158" t="s">
        <v>21338</v>
      </c>
      <c r="B2818" s="159">
        <v>35</v>
      </c>
      <c r="C2818" s="159">
        <v>31</v>
      </c>
      <c r="D2818" s="159">
        <v>77</v>
      </c>
      <c r="E2818" s="159">
        <v>72</v>
      </c>
      <c r="F2818" s="131"/>
      <c r="G2818" s="132"/>
      <c r="H2818" s="162" t="s">
        <v>21339</v>
      </c>
      <c r="I2818" s="158" t="s">
        <v>21340</v>
      </c>
      <c r="J2818" s="128"/>
      <c r="K2818" s="128"/>
      <c r="L2818" s="128"/>
      <c r="M2818" s="129"/>
      <c r="N2818" s="129"/>
      <c r="O2818" s="129"/>
    </row>
    <row r="2819" spans="1:15" ht="12.5">
      <c r="A2819" s="158" t="s">
        <v>21341</v>
      </c>
      <c r="B2819" s="159">
        <v>35</v>
      </c>
      <c r="C2819" s="159">
        <v>31</v>
      </c>
      <c r="D2819" s="159">
        <v>77</v>
      </c>
      <c r="E2819" s="159">
        <v>76</v>
      </c>
      <c r="F2819" s="131"/>
      <c r="G2819" s="132"/>
      <c r="H2819" s="162" t="s">
        <v>21342</v>
      </c>
      <c r="I2819" s="158" t="s">
        <v>21343</v>
      </c>
      <c r="J2819" s="128"/>
      <c r="K2819" s="128"/>
      <c r="L2819" s="128"/>
      <c r="M2819" s="129"/>
      <c r="N2819" s="129"/>
      <c r="O2819" s="129"/>
    </row>
    <row r="2820" spans="1:15" ht="12.5">
      <c r="A2820" s="158" t="s">
        <v>21344</v>
      </c>
      <c r="B2820" s="159">
        <v>35</v>
      </c>
      <c r="C2820" s="159">
        <v>31</v>
      </c>
      <c r="D2820" s="159">
        <v>77</v>
      </c>
      <c r="E2820" s="159">
        <v>83</v>
      </c>
      <c r="F2820" s="131"/>
      <c r="G2820" s="132"/>
      <c r="H2820" s="162" t="s">
        <v>21345</v>
      </c>
      <c r="I2820" s="158" t="s">
        <v>21346</v>
      </c>
      <c r="J2820" s="128"/>
      <c r="K2820" s="128"/>
      <c r="L2820" s="128"/>
      <c r="M2820" s="129"/>
      <c r="N2820" s="129"/>
      <c r="O2820" s="129"/>
    </row>
    <row r="2821" spans="1:15" ht="12.5">
      <c r="A2821" s="158" t="s">
        <v>21347</v>
      </c>
      <c r="B2821" s="159">
        <v>35</v>
      </c>
      <c r="C2821" s="159">
        <v>31</v>
      </c>
      <c r="D2821" s="159">
        <v>77</v>
      </c>
      <c r="E2821" s="159">
        <v>84</v>
      </c>
      <c r="F2821" s="131"/>
      <c r="G2821" s="132"/>
      <c r="H2821" s="162" t="s">
        <v>21348</v>
      </c>
      <c r="I2821" s="158" t="s">
        <v>21349</v>
      </c>
      <c r="J2821" s="128"/>
      <c r="K2821" s="128"/>
      <c r="L2821" s="128"/>
      <c r="M2821" s="129"/>
      <c r="N2821" s="129"/>
      <c r="O2821" s="129"/>
    </row>
    <row r="2822" spans="1:15" ht="12.5">
      <c r="A2822" s="158" t="s">
        <v>21350</v>
      </c>
      <c r="B2822" s="159">
        <v>35</v>
      </c>
      <c r="C2822" s="159">
        <v>31</v>
      </c>
      <c r="D2822" s="159">
        <v>77</v>
      </c>
      <c r="E2822" s="159">
        <v>92</v>
      </c>
      <c r="F2822" s="131"/>
      <c r="G2822" s="132"/>
      <c r="H2822" s="162" t="s">
        <v>21351</v>
      </c>
      <c r="I2822" s="158" t="s">
        <v>21352</v>
      </c>
      <c r="J2822" s="128"/>
      <c r="K2822" s="128"/>
      <c r="L2822" s="128"/>
      <c r="M2822" s="129"/>
      <c r="N2822" s="129"/>
      <c r="O2822" s="129"/>
    </row>
    <row r="2823" spans="1:15" ht="12.5">
      <c r="A2823" s="158" t="s">
        <v>21353</v>
      </c>
      <c r="B2823" s="159">
        <v>35</v>
      </c>
      <c r="C2823" s="159">
        <v>31</v>
      </c>
      <c r="D2823" s="159">
        <v>77</v>
      </c>
      <c r="E2823" s="159">
        <v>96</v>
      </c>
      <c r="F2823" s="131"/>
      <c r="G2823" s="132"/>
      <c r="H2823" s="162" t="s">
        <v>21354</v>
      </c>
      <c r="I2823" s="158" t="s">
        <v>21355</v>
      </c>
      <c r="J2823" s="128"/>
      <c r="K2823" s="128"/>
      <c r="L2823" s="128"/>
      <c r="M2823" s="129"/>
      <c r="N2823" s="129"/>
      <c r="O2823" s="129"/>
    </row>
    <row r="2824" spans="1:15" ht="12.5">
      <c r="A2824" s="158" t="s">
        <v>21356</v>
      </c>
      <c r="B2824" s="159">
        <v>35</v>
      </c>
      <c r="C2824" s="159">
        <v>31</v>
      </c>
      <c r="D2824" s="159">
        <v>85</v>
      </c>
      <c r="E2824" s="130"/>
      <c r="F2824" s="131"/>
      <c r="G2824" s="132"/>
      <c r="H2824" s="162" t="s">
        <v>21357</v>
      </c>
      <c r="I2824" s="128"/>
      <c r="J2824" s="128"/>
      <c r="K2824" s="128"/>
      <c r="L2824" s="128"/>
      <c r="M2824" s="129"/>
      <c r="N2824" s="129"/>
      <c r="O2824" s="129"/>
    </row>
    <row r="2825" spans="1:15" ht="12.5">
      <c r="A2825" s="158" t="s">
        <v>21358</v>
      </c>
      <c r="B2825" s="159">
        <v>35</v>
      </c>
      <c r="C2825" s="159">
        <v>31</v>
      </c>
      <c r="D2825" s="159">
        <v>85</v>
      </c>
      <c r="E2825" s="159">
        <v>2</v>
      </c>
      <c r="F2825" s="131"/>
      <c r="G2825" s="132"/>
      <c r="H2825" s="162" t="s">
        <v>21359</v>
      </c>
      <c r="I2825" s="158" t="s">
        <v>21360</v>
      </c>
      <c r="J2825" s="128"/>
      <c r="K2825" s="128"/>
      <c r="L2825" s="128"/>
      <c r="M2825" s="129"/>
      <c r="N2825" s="129"/>
      <c r="O2825" s="129"/>
    </row>
    <row r="2826" spans="1:15" ht="12.5">
      <c r="A2826" s="158" t="s">
        <v>21361</v>
      </c>
      <c r="B2826" s="159">
        <v>35</v>
      </c>
      <c r="C2826" s="159">
        <v>31</v>
      </c>
      <c r="D2826" s="159">
        <v>85</v>
      </c>
      <c r="E2826" s="159">
        <v>3</v>
      </c>
      <c r="F2826" s="131"/>
      <c r="G2826" s="132"/>
      <c r="H2826" s="162" t="s">
        <v>21362</v>
      </c>
      <c r="I2826" s="158" t="s">
        <v>21363</v>
      </c>
      <c r="J2826" s="128"/>
      <c r="K2826" s="128"/>
      <c r="L2826" s="128"/>
      <c r="M2826" s="129"/>
      <c r="N2826" s="129"/>
      <c r="O2826" s="129"/>
    </row>
    <row r="2827" spans="1:15" ht="12.5">
      <c r="A2827" s="158" t="s">
        <v>21364</v>
      </c>
      <c r="B2827" s="159">
        <v>35</v>
      </c>
      <c r="C2827" s="159">
        <v>31</v>
      </c>
      <c r="D2827" s="159">
        <v>85</v>
      </c>
      <c r="E2827" s="159">
        <v>4</v>
      </c>
      <c r="F2827" s="131"/>
      <c r="G2827" s="132"/>
      <c r="H2827" s="162" t="s">
        <v>21365</v>
      </c>
      <c r="I2827" s="158" t="s">
        <v>21366</v>
      </c>
      <c r="J2827" s="128"/>
      <c r="K2827" s="128"/>
      <c r="L2827" s="128"/>
      <c r="M2827" s="129"/>
      <c r="N2827" s="129"/>
      <c r="O2827" s="129"/>
    </row>
    <row r="2828" spans="1:15" ht="12.5">
      <c r="A2828" s="158" t="s">
        <v>21367</v>
      </c>
      <c r="B2828" s="159">
        <v>35</v>
      </c>
      <c r="C2828" s="159">
        <v>31</v>
      </c>
      <c r="D2828" s="159">
        <v>85</v>
      </c>
      <c r="E2828" s="159">
        <v>5</v>
      </c>
      <c r="F2828" s="131"/>
      <c r="G2828" s="132"/>
      <c r="H2828" s="162" t="s">
        <v>21368</v>
      </c>
      <c r="I2828" s="128"/>
      <c r="J2828" s="128"/>
      <c r="K2828" s="128"/>
      <c r="L2828" s="128"/>
      <c r="M2828" s="129"/>
      <c r="N2828" s="129"/>
      <c r="O2828" s="129"/>
    </row>
    <row r="2829" spans="1:15" ht="12.5">
      <c r="A2829" s="158" t="s">
        <v>21369</v>
      </c>
      <c r="B2829" s="159">
        <v>35</v>
      </c>
      <c r="C2829" s="159">
        <v>31</v>
      </c>
      <c r="D2829" s="159">
        <v>85</v>
      </c>
      <c r="E2829" s="159">
        <v>13</v>
      </c>
      <c r="F2829" s="131"/>
      <c r="G2829" s="132"/>
      <c r="H2829" s="162" t="s">
        <v>21370</v>
      </c>
      <c r="I2829" s="158" t="s">
        <v>21371</v>
      </c>
      <c r="J2829" s="128"/>
      <c r="K2829" s="128"/>
      <c r="L2829" s="128"/>
      <c r="M2829" s="129"/>
      <c r="N2829" s="129"/>
      <c r="O2829" s="129"/>
    </row>
    <row r="2830" spans="1:15" ht="12.5">
      <c r="A2830" s="158" t="s">
        <v>21372</v>
      </c>
      <c r="B2830" s="159">
        <v>35</v>
      </c>
      <c r="C2830" s="159">
        <v>31</v>
      </c>
      <c r="D2830" s="159">
        <v>85</v>
      </c>
      <c r="E2830" s="159">
        <v>21</v>
      </c>
      <c r="F2830" s="131"/>
      <c r="G2830" s="132"/>
      <c r="H2830" s="162" t="s">
        <v>33418</v>
      </c>
      <c r="I2830" s="128"/>
      <c r="J2830" s="128"/>
      <c r="K2830" s="128"/>
      <c r="L2830" s="128"/>
      <c r="M2830" s="129"/>
      <c r="N2830" s="129"/>
      <c r="O2830" s="129"/>
    </row>
    <row r="2831" spans="1:15" ht="12.5">
      <c r="A2831" s="158" t="s">
        <v>21374</v>
      </c>
      <c r="B2831" s="159">
        <v>35</v>
      </c>
      <c r="C2831" s="159">
        <v>31</v>
      </c>
      <c r="D2831" s="159">
        <v>85</v>
      </c>
      <c r="E2831" s="159">
        <v>24</v>
      </c>
      <c r="F2831" s="131"/>
      <c r="G2831" s="132"/>
      <c r="H2831" s="162" t="s">
        <v>21375</v>
      </c>
      <c r="I2831" s="128"/>
      <c r="J2831" s="128"/>
      <c r="K2831" s="128"/>
      <c r="L2831" s="128"/>
      <c r="M2831" s="129"/>
      <c r="N2831" s="129"/>
      <c r="O2831" s="129"/>
    </row>
    <row r="2832" spans="1:15" ht="12.5">
      <c r="A2832" s="158" t="s">
        <v>21377</v>
      </c>
      <c r="B2832" s="159">
        <v>35</v>
      </c>
      <c r="C2832" s="159">
        <v>31</v>
      </c>
      <c r="D2832" s="159">
        <v>85</v>
      </c>
      <c r="E2832" s="159">
        <v>26</v>
      </c>
      <c r="F2832" s="131"/>
      <c r="G2832" s="132"/>
      <c r="H2832" s="162" t="s">
        <v>21378</v>
      </c>
      <c r="I2832" s="128"/>
      <c r="J2832" s="128"/>
      <c r="K2832" s="128"/>
      <c r="L2832" s="128"/>
      <c r="M2832" s="129"/>
      <c r="N2832" s="129"/>
      <c r="O2832" s="129"/>
    </row>
    <row r="2833" spans="1:15" ht="12.5">
      <c r="A2833" s="158" t="s">
        <v>21379</v>
      </c>
      <c r="B2833" s="159">
        <v>35</v>
      </c>
      <c r="C2833" s="159">
        <v>31</v>
      </c>
      <c r="D2833" s="159">
        <v>85</v>
      </c>
      <c r="E2833" s="159">
        <v>27</v>
      </c>
      <c r="F2833" s="131"/>
      <c r="G2833" s="132"/>
      <c r="H2833" s="162" t="s">
        <v>21380</v>
      </c>
      <c r="I2833" s="128"/>
      <c r="J2833" s="128"/>
      <c r="K2833" s="128"/>
      <c r="L2833" s="128"/>
      <c r="M2833" s="129"/>
      <c r="N2833" s="129"/>
      <c r="O2833" s="129"/>
    </row>
    <row r="2834" spans="1:15" ht="12.5">
      <c r="A2834" s="158" t="s">
        <v>21382</v>
      </c>
      <c r="B2834" s="159">
        <v>35</v>
      </c>
      <c r="C2834" s="159">
        <v>31</v>
      </c>
      <c r="D2834" s="159">
        <v>85</v>
      </c>
      <c r="E2834" s="159">
        <v>29</v>
      </c>
      <c r="F2834" s="131"/>
      <c r="G2834" s="132"/>
      <c r="H2834" s="162" t="s">
        <v>21383</v>
      </c>
      <c r="I2834" s="128"/>
      <c r="J2834" s="128"/>
      <c r="K2834" s="128"/>
      <c r="L2834" s="128"/>
      <c r="M2834" s="129"/>
      <c r="N2834" s="129"/>
      <c r="O2834" s="129"/>
    </row>
    <row r="2835" spans="1:15" ht="12.5">
      <c r="A2835" s="158" t="s">
        <v>21384</v>
      </c>
      <c r="B2835" s="159">
        <v>35</v>
      </c>
      <c r="C2835" s="159">
        <v>31</v>
      </c>
      <c r="D2835" s="159">
        <v>85</v>
      </c>
      <c r="E2835" s="159">
        <v>35</v>
      </c>
      <c r="F2835" s="131"/>
      <c r="G2835" s="132"/>
      <c r="H2835" s="162" t="s">
        <v>21385</v>
      </c>
      <c r="I2835" s="158" t="s">
        <v>21386</v>
      </c>
      <c r="J2835" s="128"/>
      <c r="K2835" s="128"/>
      <c r="L2835" s="128"/>
      <c r="M2835" s="129"/>
      <c r="N2835" s="129"/>
      <c r="O2835" s="129"/>
    </row>
    <row r="2836" spans="1:15" ht="12.5">
      <c r="A2836" s="158" t="s">
        <v>21387</v>
      </c>
      <c r="B2836" s="159">
        <v>35</v>
      </c>
      <c r="C2836" s="159">
        <v>31</v>
      </c>
      <c r="D2836" s="159">
        <v>85</v>
      </c>
      <c r="E2836" s="159">
        <v>36</v>
      </c>
      <c r="F2836" s="131"/>
      <c r="G2836" s="132"/>
      <c r="H2836" s="162" t="s">
        <v>21388</v>
      </c>
      <c r="I2836" s="158" t="s">
        <v>33419</v>
      </c>
      <c r="J2836" s="128"/>
      <c r="K2836" s="128"/>
      <c r="L2836" s="128"/>
      <c r="M2836" s="129"/>
      <c r="N2836" s="129"/>
      <c r="O2836" s="129"/>
    </row>
    <row r="2837" spans="1:15" ht="12.5">
      <c r="A2837" s="158" t="s">
        <v>21390</v>
      </c>
      <c r="B2837" s="159">
        <v>35</v>
      </c>
      <c r="C2837" s="159">
        <v>31</v>
      </c>
      <c r="D2837" s="159">
        <v>85</v>
      </c>
      <c r="E2837" s="159">
        <v>46</v>
      </c>
      <c r="F2837" s="131"/>
      <c r="G2837" s="132"/>
      <c r="H2837" s="162" t="s">
        <v>21391</v>
      </c>
      <c r="I2837" s="158" t="s">
        <v>21392</v>
      </c>
      <c r="J2837" s="128"/>
      <c r="K2837" s="128"/>
      <c r="L2837" s="128"/>
      <c r="M2837" s="129"/>
      <c r="N2837" s="129"/>
      <c r="O2837" s="129"/>
    </row>
    <row r="2838" spans="1:15" ht="12.5">
      <c r="A2838" s="158" t="s">
        <v>21393</v>
      </c>
      <c r="B2838" s="159">
        <v>35</v>
      </c>
      <c r="C2838" s="159">
        <v>31</v>
      </c>
      <c r="D2838" s="159">
        <v>85</v>
      </c>
      <c r="E2838" s="159">
        <v>47</v>
      </c>
      <c r="F2838" s="131"/>
      <c r="G2838" s="132"/>
      <c r="H2838" s="162" t="s">
        <v>21394</v>
      </c>
      <c r="I2838" s="158" t="s">
        <v>21395</v>
      </c>
      <c r="J2838" s="128"/>
      <c r="K2838" s="128"/>
      <c r="L2838" s="128"/>
      <c r="M2838" s="129"/>
      <c r="N2838" s="129"/>
      <c r="O2838" s="129"/>
    </row>
    <row r="2839" spans="1:15" ht="12.5">
      <c r="A2839" s="158" t="s">
        <v>21396</v>
      </c>
      <c r="B2839" s="159">
        <v>35</v>
      </c>
      <c r="C2839" s="159">
        <v>31</v>
      </c>
      <c r="D2839" s="159">
        <v>85</v>
      </c>
      <c r="E2839" s="159">
        <v>48</v>
      </c>
      <c r="F2839" s="131"/>
      <c r="G2839" s="132"/>
      <c r="H2839" s="162" t="s">
        <v>21397</v>
      </c>
      <c r="I2839" s="158" t="s">
        <v>21398</v>
      </c>
      <c r="J2839" s="128"/>
      <c r="K2839" s="128"/>
      <c r="L2839" s="128"/>
      <c r="M2839" s="129"/>
      <c r="N2839" s="129"/>
      <c r="O2839" s="129"/>
    </row>
    <row r="2840" spans="1:15" ht="12.5">
      <c r="A2840" s="158" t="s">
        <v>21399</v>
      </c>
      <c r="B2840" s="159">
        <v>35</v>
      </c>
      <c r="C2840" s="159">
        <v>31</v>
      </c>
      <c r="D2840" s="159">
        <v>85</v>
      </c>
      <c r="E2840" s="159">
        <v>51</v>
      </c>
      <c r="F2840" s="131"/>
      <c r="G2840" s="132"/>
      <c r="H2840" s="162" t="s">
        <v>21400</v>
      </c>
      <c r="I2840" s="128"/>
      <c r="J2840" s="128"/>
      <c r="K2840" s="128"/>
      <c r="L2840" s="128"/>
      <c r="M2840" s="129"/>
      <c r="N2840" s="129"/>
      <c r="O2840" s="129"/>
    </row>
    <row r="2841" spans="1:15" ht="12.5">
      <c r="A2841" s="158" t="s">
        <v>21401</v>
      </c>
      <c r="B2841" s="159">
        <v>35</v>
      </c>
      <c r="C2841" s="159">
        <v>31</v>
      </c>
      <c r="D2841" s="159">
        <v>85</v>
      </c>
      <c r="E2841" s="159">
        <v>60</v>
      </c>
      <c r="F2841" s="131"/>
      <c r="G2841" s="132"/>
      <c r="H2841" s="162" t="s">
        <v>21402</v>
      </c>
      <c r="I2841" s="158" t="s">
        <v>21403</v>
      </c>
      <c r="J2841" s="128"/>
      <c r="K2841" s="128"/>
      <c r="L2841" s="128"/>
      <c r="M2841" s="129"/>
      <c r="N2841" s="129"/>
      <c r="O2841" s="129"/>
    </row>
    <row r="2842" spans="1:15" ht="12.5">
      <c r="A2842" s="158" t="s">
        <v>21404</v>
      </c>
      <c r="B2842" s="159">
        <v>35</v>
      </c>
      <c r="C2842" s="159">
        <v>31</v>
      </c>
      <c r="D2842" s="159">
        <v>85</v>
      </c>
      <c r="E2842" s="159">
        <v>61</v>
      </c>
      <c r="F2842" s="131"/>
      <c r="G2842" s="132"/>
      <c r="H2842" s="162" t="s">
        <v>21405</v>
      </c>
      <c r="I2842" s="128"/>
      <c r="J2842" s="128"/>
      <c r="K2842" s="128"/>
      <c r="L2842" s="128"/>
      <c r="M2842" s="129"/>
      <c r="N2842" s="129"/>
      <c r="O2842" s="129"/>
    </row>
    <row r="2843" spans="1:15" ht="12.5">
      <c r="A2843" s="158" t="s">
        <v>21406</v>
      </c>
      <c r="B2843" s="159">
        <v>35</v>
      </c>
      <c r="C2843" s="159">
        <v>31</v>
      </c>
      <c r="D2843" s="159">
        <v>85</v>
      </c>
      <c r="E2843" s="159">
        <v>62</v>
      </c>
      <c r="F2843" s="131"/>
      <c r="G2843" s="132"/>
      <c r="H2843" s="162" t="s">
        <v>21407</v>
      </c>
      <c r="I2843" s="158" t="s">
        <v>21408</v>
      </c>
      <c r="J2843" s="128"/>
      <c r="K2843" s="128"/>
      <c r="L2843" s="128"/>
      <c r="M2843" s="129"/>
      <c r="N2843" s="129"/>
      <c r="O2843" s="129"/>
    </row>
    <row r="2844" spans="1:15" ht="12.5">
      <c r="A2844" s="158" t="s">
        <v>21409</v>
      </c>
      <c r="B2844" s="159">
        <v>35</v>
      </c>
      <c r="C2844" s="159">
        <v>31</v>
      </c>
      <c r="D2844" s="159">
        <v>85</v>
      </c>
      <c r="E2844" s="159">
        <v>65</v>
      </c>
      <c r="F2844" s="131"/>
      <c r="G2844" s="132"/>
      <c r="H2844" s="162" t="s">
        <v>21410</v>
      </c>
      <c r="I2844" s="158" t="s">
        <v>21411</v>
      </c>
      <c r="J2844" s="128"/>
      <c r="K2844" s="128"/>
      <c r="L2844" s="128"/>
      <c r="M2844" s="129"/>
      <c r="N2844" s="129"/>
      <c r="O2844" s="129"/>
    </row>
    <row r="2845" spans="1:15" ht="12.5">
      <c r="A2845" s="158" t="s">
        <v>21412</v>
      </c>
      <c r="B2845" s="159">
        <v>35</v>
      </c>
      <c r="C2845" s="159">
        <v>31</v>
      </c>
      <c r="D2845" s="159">
        <v>85</v>
      </c>
      <c r="E2845" s="159">
        <v>70</v>
      </c>
      <c r="F2845" s="131"/>
      <c r="G2845" s="132"/>
      <c r="H2845" s="162" t="s">
        <v>21413</v>
      </c>
      <c r="I2845" s="128"/>
      <c r="J2845" s="128"/>
      <c r="K2845" s="128"/>
      <c r="L2845" s="128"/>
      <c r="M2845" s="129"/>
      <c r="N2845" s="129"/>
      <c r="O2845" s="129"/>
    </row>
    <row r="2846" spans="1:15" ht="12.5">
      <c r="A2846" s="158" t="s">
        <v>21415</v>
      </c>
      <c r="B2846" s="159">
        <v>35</v>
      </c>
      <c r="C2846" s="159">
        <v>31</v>
      </c>
      <c r="D2846" s="159">
        <v>85</v>
      </c>
      <c r="E2846" s="159">
        <v>72</v>
      </c>
      <c r="F2846" s="131"/>
      <c r="G2846" s="132"/>
      <c r="H2846" s="162" t="s">
        <v>21416</v>
      </c>
      <c r="I2846" s="128"/>
      <c r="J2846" s="128"/>
      <c r="K2846" s="128"/>
      <c r="L2846" s="128"/>
      <c r="M2846" s="129"/>
      <c r="N2846" s="129"/>
      <c r="O2846" s="129"/>
    </row>
    <row r="2847" spans="1:15" ht="12.5">
      <c r="A2847" s="158" t="s">
        <v>21417</v>
      </c>
      <c r="B2847" s="159">
        <v>35</v>
      </c>
      <c r="C2847" s="159">
        <v>31</v>
      </c>
      <c r="D2847" s="159">
        <v>85</v>
      </c>
      <c r="E2847" s="159">
        <v>78</v>
      </c>
      <c r="F2847" s="131"/>
      <c r="G2847" s="132"/>
      <c r="H2847" s="162" t="s">
        <v>21418</v>
      </c>
      <c r="I2847" s="158" t="s">
        <v>21419</v>
      </c>
      <c r="J2847" s="128"/>
      <c r="K2847" s="128"/>
      <c r="L2847" s="128"/>
      <c r="M2847" s="129"/>
      <c r="N2847" s="129"/>
      <c r="O2847" s="129"/>
    </row>
    <row r="2848" spans="1:15" ht="12.5">
      <c r="A2848" s="158" t="s">
        <v>21420</v>
      </c>
      <c r="B2848" s="159">
        <v>35</v>
      </c>
      <c r="C2848" s="159">
        <v>31</v>
      </c>
      <c r="D2848" s="159">
        <v>85</v>
      </c>
      <c r="E2848" s="159">
        <v>80</v>
      </c>
      <c r="F2848" s="131"/>
      <c r="G2848" s="132"/>
      <c r="H2848" s="162" t="s">
        <v>21421</v>
      </c>
      <c r="I2848" s="158" t="s">
        <v>21422</v>
      </c>
      <c r="J2848" s="128"/>
      <c r="K2848" s="128"/>
      <c r="L2848" s="128"/>
      <c r="M2848" s="129"/>
      <c r="N2848" s="129"/>
      <c r="O2848" s="129"/>
    </row>
    <row r="2849" spans="1:15" ht="12.5">
      <c r="A2849" s="158" t="s">
        <v>21423</v>
      </c>
      <c r="B2849" s="159">
        <v>35</v>
      </c>
      <c r="C2849" s="159">
        <v>31</v>
      </c>
      <c r="D2849" s="159">
        <v>85</v>
      </c>
      <c r="E2849" s="159">
        <v>81</v>
      </c>
      <c r="F2849" s="131"/>
      <c r="G2849" s="132"/>
      <c r="H2849" s="162" t="s">
        <v>21424</v>
      </c>
      <c r="I2849" s="128"/>
      <c r="J2849" s="128"/>
      <c r="K2849" s="128"/>
      <c r="L2849" s="128"/>
      <c r="M2849" s="129"/>
      <c r="N2849" s="129"/>
      <c r="O2849" s="129"/>
    </row>
    <row r="2850" spans="1:15" ht="12.5">
      <c r="A2850" s="158" t="s">
        <v>21425</v>
      </c>
      <c r="B2850" s="159">
        <v>35</v>
      </c>
      <c r="C2850" s="159">
        <v>31</v>
      </c>
      <c r="D2850" s="159">
        <v>85</v>
      </c>
      <c r="E2850" s="159">
        <v>82</v>
      </c>
      <c r="F2850" s="131"/>
      <c r="G2850" s="132"/>
      <c r="H2850" s="162" t="s">
        <v>21426</v>
      </c>
      <c r="I2850" s="158" t="s">
        <v>21427</v>
      </c>
      <c r="J2850" s="128"/>
      <c r="K2850" s="128"/>
      <c r="L2850" s="128"/>
      <c r="M2850" s="129"/>
      <c r="N2850" s="129"/>
      <c r="O2850" s="129"/>
    </row>
    <row r="2851" spans="1:15" ht="12.5">
      <c r="A2851" s="158" t="s">
        <v>21428</v>
      </c>
      <c r="B2851" s="159">
        <v>35</v>
      </c>
      <c r="C2851" s="159">
        <v>31</v>
      </c>
      <c r="D2851" s="159">
        <v>85</v>
      </c>
      <c r="E2851" s="159">
        <v>88</v>
      </c>
      <c r="F2851" s="131"/>
      <c r="G2851" s="132"/>
      <c r="H2851" s="162" t="s">
        <v>21429</v>
      </c>
      <c r="I2851" s="158" t="s">
        <v>21430</v>
      </c>
      <c r="J2851" s="128"/>
      <c r="K2851" s="128"/>
      <c r="L2851" s="128"/>
      <c r="M2851" s="129"/>
      <c r="N2851" s="129"/>
      <c r="O2851" s="129"/>
    </row>
    <row r="2852" spans="1:15" ht="12.5">
      <c r="A2852" s="158" t="s">
        <v>21431</v>
      </c>
      <c r="B2852" s="159">
        <v>35</v>
      </c>
      <c r="C2852" s="159">
        <v>31</v>
      </c>
      <c r="D2852" s="159">
        <v>85</v>
      </c>
      <c r="E2852" s="159">
        <v>90</v>
      </c>
      <c r="F2852" s="131"/>
      <c r="G2852" s="132"/>
      <c r="H2852" s="162" t="s">
        <v>21432</v>
      </c>
      <c r="I2852" s="158" t="s">
        <v>21433</v>
      </c>
      <c r="J2852" s="128"/>
      <c r="K2852" s="128"/>
      <c r="L2852" s="128"/>
      <c r="M2852" s="129"/>
      <c r="N2852" s="129"/>
      <c r="O2852" s="129"/>
    </row>
    <row r="2853" spans="1:15" ht="12.5">
      <c r="A2853" s="158" t="s">
        <v>21434</v>
      </c>
      <c r="B2853" s="159">
        <v>35</v>
      </c>
      <c r="C2853" s="159">
        <v>31</v>
      </c>
      <c r="D2853" s="159">
        <v>85</v>
      </c>
      <c r="E2853" s="159">
        <v>94</v>
      </c>
      <c r="F2853" s="131"/>
      <c r="G2853" s="132"/>
      <c r="H2853" s="162" t="s">
        <v>21435</v>
      </c>
      <c r="I2853" s="128"/>
      <c r="J2853" s="128"/>
      <c r="K2853" s="128"/>
      <c r="L2853" s="128"/>
      <c r="M2853" s="129"/>
      <c r="N2853" s="129"/>
      <c r="O2853" s="129"/>
    </row>
    <row r="2854" spans="1:15" ht="12.5">
      <c r="A2854" s="158" t="s">
        <v>21436</v>
      </c>
      <c r="B2854" s="159">
        <v>35</v>
      </c>
      <c r="C2854" s="159">
        <v>31</v>
      </c>
      <c r="D2854" s="159">
        <v>85</v>
      </c>
      <c r="E2854" s="159">
        <v>96</v>
      </c>
      <c r="F2854" s="131"/>
      <c r="G2854" s="132"/>
      <c r="H2854" s="162" t="s">
        <v>33420</v>
      </c>
      <c r="I2854" s="128"/>
      <c r="J2854" s="128"/>
      <c r="K2854" s="128"/>
      <c r="L2854" s="128"/>
      <c r="M2854" s="129"/>
      <c r="N2854" s="129"/>
      <c r="O2854" s="129"/>
    </row>
    <row r="2855" spans="1:15" ht="12.5">
      <c r="A2855" s="158" t="s">
        <v>21439</v>
      </c>
      <c r="B2855" s="159">
        <v>35</v>
      </c>
      <c r="C2855" s="159">
        <v>31</v>
      </c>
      <c r="D2855" s="159">
        <v>85</v>
      </c>
      <c r="E2855" s="159">
        <v>97</v>
      </c>
      <c r="F2855" s="131"/>
      <c r="G2855" s="132"/>
      <c r="H2855" s="162" t="s">
        <v>21440</v>
      </c>
      <c r="I2855" s="128"/>
      <c r="J2855" s="128"/>
      <c r="K2855" s="128"/>
      <c r="L2855" s="128"/>
      <c r="M2855" s="129"/>
      <c r="N2855" s="129"/>
      <c r="O2855" s="129"/>
    </row>
    <row r="2856" spans="1:15" ht="12.5">
      <c r="A2856" s="158" t="s">
        <v>21441</v>
      </c>
      <c r="B2856" s="159">
        <v>35</v>
      </c>
      <c r="C2856" s="159">
        <v>31</v>
      </c>
      <c r="D2856" s="159">
        <v>85</v>
      </c>
      <c r="E2856" s="159">
        <v>98</v>
      </c>
      <c r="F2856" s="131"/>
      <c r="G2856" s="132"/>
      <c r="H2856" s="162" t="s">
        <v>21442</v>
      </c>
      <c r="I2856" s="158" t="s">
        <v>21443</v>
      </c>
      <c r="J2856" s="128"/>
      <c r="K2856" s="128"/>
      <c r="L2856" s="128"/>
      <c r="M2856" s="129"/>
      <c r="N2856" s="129"/>
      <c r="O2856" s="129"/>
    </row>
    <row r="2857" spans="1:15" ht="12.5">
      <c r="A2857" s="144" t="s">
        <v>21444</v>
      </c>
      <c r="B2857" s="145">
        <v>35</v>
      </c>
      <c r="C2857" s="145">
        <v>57</v>
      </c>
      <c r="D2857" s="146"/>
      <c r="E2857" s="146"/>
      <c r="F2857" s="147" t="s">
        <v>33421</v>
      </c>
      <c r="G2857" s="190"/>
      <c r="H2857" s="149" t="s">
        <v>21445</v>
      </c>
      <c r="I2857" s="150"/>
      <c r="J2857" s="150"/>
      <c r="K2857" s="150"/>
      <c r="L2857" s="150"/>
      <c r="M2857" s="191"/>
      <c r="N2857" s="191"/>
      <c r="O2857" s="191"/>
    </row>
    <row r="2858" spans="1:15" ht="12.5">
      <c r="A2858" s="158" t="s">
        <v>21446</v>
      </c>
      <c r="B2858" s="159">
        <v>35</v>
      </c>
      <c r="C2858" s="159">
        <v>57</v>
      </c>
      <c r="D2858" s="159">
        <v>11</v>
      </c>
      <c r="E2858" s="130"/>
      <c r="F2858" s="131"/>
      <c r="G2858" s="132"/>
      <c r="H2858" s="162" t="s">
        <v>33422</v>
      </c>
      <c r="I2858" s="128"/>
      <c r="J2858" s="128"/>
      <c r="K2858" s="128"/>
      <c r="L2858" s="128"/>
      <c r="M2858" s="129"/>
      <c r="N2858" s="129"/>
      <c r="O2858" s="129"/>
    </row>
    <row r="2859" spans="1:15" ht="12.5">
      <c r="A2859" s="158" t="s">
        <v>21448</v>
      </c>
      <c r="B2859" s="159">
        <v>35</v>
      </c>
      <c r="C2859" s="159">
        <v>57</v>
      </c>
      <c r="D2859" s="159">
        <v>11</v>
      </c>
      <c r="E2859" s="159">
        <v>5</v>
      </c>
      <c r="F2859" s="131"/>
      <c r="G2859" s="132"/>
      <c r="H2859" s="162" t="s">
        <v>21449</v>
      </c>
      <c r="I2859" s="158" t="s">
        <v>21450</v>
      </c>
      <c r="J2859" s="128"/>
      <c r="K2859" s="128"/>
      <c r="L2859" s="128"/>
      <c r="M2859" s="129"/>
      <c r="N2859" s="129"/>
      <c r="O2859" s="129"/>
    </row>
    <row r="2860" spans="1:15" ht="12.5">
      <c r="A2860" s="158" t="s">
        <v>21455</v>
      </c>
      <c r="B2860" s="159">
        <v>35</v>
      </c>
      <c r="C2860" s="159">
        <v>57</v>
      </c>
      <c r="D2860" s="159">
        <v>11</v>
      </c>
      <c r="E2860" s="159">
        <v>11</v>
      </c>
      <c r="F2860" s="131"/>
      <c r="G2860" s="132"/>
      <c r="H2860" s="162" t="s">
        <v>21456</v>
      </c>
      <c r="I2860" s="158" t="s">
        <v>21457</v>
      </c>
      <c r="J2860" s="128"/>
      <c r="K2860" s="128"/>
      <c r="L2860" s="128"/>
      <c r="M2860" s="129"/>
      <c r="N2860" s="129"/>
      <c r="O2860" s="129"/>
    </row>
    <row r="2861" spans="1:15" ht="12.5">
      <c r="A2861" s="158" t="s">
        <v>21458</v>
      </c>
      <c r="B2861" s="159">
        <v>35</v>
      </c>
      <c r="C2861" s="159">
        <v>57</v>
      </c>
      <c r="D2861" s="159">
        <v>11</v>
      </c>
      <c r="E2861" s="159">
        <v>13</v>
      </c>
      <c r="F2861" s="131"/>
      <c r="G2861" s="132"/>
      <c r="H2861" s="162" t="s">
        <v>21459</v>
      </c>
      <c r="I2861" s="158" t="s">
        <v>21460</v>
      </c>
      <c r="J2861" s="128"/>
      <c r="K2861" s="128"/>
      <c r="L2861" s="128"/>
      <c r="M2861" s="129"/>
      <c r="N2861" s="129"/>
      <c r="O2861" s="129"/>
    </row>
    <row r="2862" spans="1:15" ht="12.5">
      <c r="A2862" s="158" t="s">
        <v>21461</v>
      </c>
      <c r="B2862" s="159">
        <v>35</v>
      </c>
      <c r="C2862" s="159">
        <v>57</v>
      </c>
      <c r="D2862" s="159">
        <v>11</v>
      </c>
      <c r="E2862" s="159">
        <v>15</v>
      </c>
      <c r="F2862" s="131"/>
      <c r="G2862" s="132"/>
      <c r="H2862" s="162" t="s">
        <v>21462</v>
      </c>
      <c r="I2862" s="158" t="s">
        <v>21463</v>
      </c>
      <c r="J2862" s="128"/>
      <c r="K2862" s="128"/>
      <c r="L2862" s="128"/>
      <c r="M2862" s="129"/>
      <c r="N2862" s="129"/>
      <c r="O2862" s="129"/>
    </row>
    <row r="2863" spans="1:15" ht="12.5">
      <c r="A2863" s="158" t="s">
        <v>21464</v>
      </c>
      <c r="B2863" s="159">
        <v>35</v>
      </c>
      <c r="C2863" s="159">
        <v>57</v>
      </c>
      <c r="D2863" s="159">
        <v>11</v>
      </c>
      <c r="E2863" s="159">
        <v>24</v>
      </c>
      <c r="F2863" s="131"/>
      <c r="G2863" s="132"/>
      <c r="H2863" s="162" t="s">
        <v>21465</v>
      </c>
      <c r="I2863" s="158" t="s">
        <v>21466</v>
      </c>
      <c r="J2863" s="128"/>
      <c r="K2863" s="128"/>
      <c r="L2863" s="128"/>
      <c r="M2863" s="129"/>
      <c r="N2863" s="129"/>
      <c r="O2863" s="129"/>
    </row>
    <row r="2864" spans="1:15" ht="12.5">
      <c r="A2864" s="158" t="s">
        <v>21467</v>
      </c>
      <c r="B2864" s="159">
        <v>35</v>
      </c>
      <c r="C2864" s="159">
        <v>57</v>
      </c>
      <c r="D2864" s="159">
        <v>11</v>
      </c>
      <c r="E2864" s="159">
        <v>26</v>
      </c>
      <c r="F2864" s="131"/>
      <c r="G2864" s="132"/>
      <c r="H2864" s="162" t="s">
        <v>21468</v>
      </c>
      <c r="I2864" s="158" t="s">
        <v>21469</v>
      </c>
      <c r="J2864" s="128"/>
      <c r="K2864" s="128"/>
      <c r="L2864" s="128"/>
      <c r="M2864" s="129"/>
      <c r="N2864" s="129"/>
      <c r="O2864" s="129"/>
    </row>
    <row r="2865" spans="1:15" ht="12.5">
      <c r="A2865" s="158" t="s">
        <v>21470</v>
      </c>
      <c r="B2865" s="159">
        <v>35</v>
      </c>
      <c r="C2865" s="159">
        <v>57</v>
      </c>
      <c r="D2865" s="159">
        <v>11</v>
      </c>
      <c r="E2865" s="159">
        <v>27</v>
      </c>
      <c r="F2865" s="131"/>
      <c r="G2865" s="132"/>
      <c r="H2865" s="162" t="s">
        <v>21471</v>
      </c>
      <c r="I2865" s="158" t="s">
        <v>21472</v>
      </c>
      <c r="J2865" s="128"/>
      <c r="K2865" s="128"/>
      <c r="L2865" s="128"/>
      <c r="M2865" s="129"/>
      <c r="N2865" s="129"/>
      <c r="O2865" s="129"/>
    </row>
    <row r="2866" spans="1:15" ht="12.5">
      <c r="A2866" s="158" t="s">
        <v>21473</v>
      </c>
      <c r="B2866" s="159">
        <v>35</v>
      </c>
      <c r="C2866" s="159">
        <v>57</v>
      </c>
      <c r="D2866" s="159">
        <v>11</v>
      </c>
      <c r="E2866" s="159">
        <v>28</v>
      </c>
      <c r="F2866" s="131"/>
      <c r="G2866" s="132"/>
      <c r="H2866" s="162" t="s">
        <v>21474</v>
      </c>
      <c r="I2866" s="128"/>
      <c r="J2866" s="128"/>
      <c r="K2866" s="128"/>
      <c r="L2866" s="128"/>
      <c r="M2866" s="129"/>
      <c r="N2866" s="129"/>
      <c r="O2866" s="129"/>
    </row>
    <row r="2867" spans="1:15" ht="12.5">
      <c r="A2867" s="158" t="s">
        <v>21475</v>
      </c>
      <c r="B2867" s="159">
        <v>35</v>
      </c>
      <c r="C2867" s="159">
        <v>57</v>
      </c>
      <c r="D2867" s="159">
        <v>11</v>
      </c>
      <c r="E2867" s="159">
        <v>29</v>
      </c>
      <c r="F2867" s="131"/>
      <c r="G2867" s="132"/>
      <c r="H2867" s="162" t="s">
        <v>21476</v>
      </c>
      <c r="I2867" s="158" t="s">
        <v>21477</v>
      </c>
      <c r="J2867" s="128"/>
      <c r="K2867" s="128"/>
      <c r="L2867" s="128"/>
      <c r="M2867" s="129"/>
      <c r="N2867" s="129"/>
      <c r="O2867" s="129"/>
    </row>
    <row r="2868" spans="1:15" ht="12.5">
      <c r="A2868" s="158" t="s">
        <v>21478</v>
      </c>
      <c r="B2868" s="159">
        <v>35</v>
      </c>
      <c r="C2868" s="159">
        <v>57</v>
      </c>
      <c r="D2868" s="159">
        <v>11</v>
      </c>
      <c r="E2868" s="159">
        <v>30</v>
      </c>
      <c r="F2868" s="131"/>
      <c r="G2868" s="132"/>
      <c r="H2868" s="162" t="s">
        <v>21479</v>
      </c>
      <c r="I2868" s="158" t="s">
        <v>21480</v>
      </c>
      <c r="J2868" s="128"/>
      <c r="K2868" s="128"/>
      <c r="L2868" s="128"/>
      <c r="M2868" s="129"/>
      <c r="N2868" s="129"/>
      <c r="O2868" s="129"/>
    </row>
    <row r="2869" spans="1:15" ht="12.5">
      <c r="A2869" s="158" t="s">
        <v>21481</v>
      </c>
      <c r="B2869" s="159">
        <v>35</v>
      </c>
      <c r="C2869" s="159">
        <v>57</v>
      </c>
      <c r="D2869" s="159">
        <v>11</v>
      </c>
      <c r="E2869" s="159">
        <v>31</v>
      </c>
      <c r="F2869" s="131"/>
      <c r="G2869" s="132"/>
      <c r="H2869" s="162" t="s">
        <v>21482</v>
      </c>
      <c r="I2869" s="158" t="s">
        <v>21483</v>
      </c>
      <c r="J2869" s="128"/>
      <c r="K2869" s="128"/>
      <c r="L2869" s="128"/>
      <c r="M2869" s="129"/>
      <c r="N2869" s="129"/>
      <c r="O2869" s="129"/>
    </row>
    <row r="2870" spans="1:15" ht="12.5">
      <c r="A2870" s="158" t="s">
        <v>21484</v>
      </c>
      <c r="B2870" s="159">
        <v>35</v>
      </c>
      <c r="C2870" s="159">
        <v>57</v>
      </c>
      <c r="D2870" s="159">
        <v>11</v>
      </c>
      <c r="E2870" s="159">
        <v>36</v>
      </c>
      <c r="F2870" s="131"/>
      <c r="G2870" s="132"/>
      <c r="H2870" s="162" t="s">
        <v>21485</v>
      </c>
      <c r="I2870" s="158" t="s">
        <v>21486</v>
      </c>
      <c r="J2870" s="128"/>
      <c r="K2870" s="128"/>
      <c r="L2870" s="128"/>
      <c r="M2870" s="129"/>
      <c r="N2870" s="129"/>
      <c r="O2870" s="129"/>
    </row>
    <row r="2871" spans="1:15" ht="12.5">
      <c r="A2871" s="158" t="s">
        <v>21487</v>
      </c>
      <c r="B2871" s="159">
        <v>35</v>
      </c>
      <c r="C2871" s="159">
        <v>57</v>
      </c>
      <c r="D2871" s="159">
        <v>11</v>
      </c>
      <c r="E2871" s="159">
        <v>40</v>
      </c>
      <c r="F2871" s="131"/>
      <c r="G2871" s="132"/>
      <c r="H2871" s="162" t="s">
        <v>21488</v>
      </c>
      <c r="I2871" s="158" t="s">
        <v>21489</v>
      </c>
      <c r="J2871" s="128"/>
      <c r="K2871" s="128"/>
      <c r="L2871" s="128"/>
      <c r="M2871" s="129"/>
      <c r="N2871" s="129"/>
      <c r="O2871" s="129"/>
    </row>
    <row r="2872" spans="1:15" ht="12.5">
      <c r="A2872" s="158" t="s">
        <v>21490</v>
      </c>
      <c r="B2872" s="159">
        <v>35</v>
      </c>
      <c r="C2872" s="159">
        <v>57</v>
      </c>
      <c r="D2872" s="159">
        <v>11</v>
      </c>
      <c r="E2872" s="159">
        <v>45</v>
      </c>
      <c r="F2872" s="131"/>
      <c r="G2872" s="132"/>
      <c r="H2872" s="162" t="s">
        <v>21491</v>
      </c>
      <c r="I2872" s="158" t="s">
        <v>21492</v>
      </c>
      <c r="J2872" s="128"/>
      <c r="K2872" s="128"/>
      <c r="L2872" s="128"/>
      <c r="M2872" s="129"/>
      <c r="N2872" s="129"/>
      <c r="O2872" s="129"/>
    </row>
    <row r="2873" spans="1:15" ht="12.5">
      <c r="A2873" s="158" t="s">
        <v>21493</v>
      </c>
      <c r="B2873" s="159">
        <v>35</v>
      </c>
      <c r="C2873" s="159">
        <v>57</v>
      </c>
      <c r="D2873" s="159">
        <v>11</v>
      </c>
      <c r="E2873" s="159">
        <v>46</v>
      </c>
      <c r="F2873" s="131"/>
      <c r="G2873" s="132"/>
      <c r="H2873" s="162" t="s">
        <v>21494</v>
      </c>
      <c r="I2873" s="128"/>
      <c r="J2873" s="128"/>
      <c r="K2873" s="128"/>
      <c r="L2873" s="128"/>
      <c r="M2873" s="129"/>
      <c r="N2873" s="129"/>
      <c r="O2873" s="129"/>
    </row>
    <row r="2874" spans="1:15" ht="12.5">
      <c r="A2874" s="158" t="s">
        <v>21495</v>
      </c>
      <c r="B2874" s="159">
        <v>35</v>
      </c>
      <c r="C2874" s="159">
        <v>57</v>
      </c>
      <c r="D2874" s="159">
        <v>11</v>
      </c>
      <c r="E2874" s="159">
        <v>47</v>
      </c>
      <c r="F2874" s="131"/>
      <c r="G2874" s="132"/>
      <c r="H2874" s="162" t="s">
        <v>21496</v>
      </c>
      <c r="I2874" s="128"/>
      <c r="J2874" s="128"/>
      <c r="K2874" s="128"/>
      <c r="L2874" s="128"/>
      <c r="M2874" s="129"/>
      <c r="N2874" s="129"/>
      <c r="O2874" s="129"/>
    </row>
    <row r="2875" spans="1:15" ht="12.5">
      <c r="A2875" s="158" t="s">
        <v>21497</v>
      </c>
      <c r="B2875" s="159">
        <v>35</v>
      </c>
      <c r="C2875" s="159">
        <v>57</v>
      </c>
      <c r="D2875" s="159">
        <v>11</v>
      </c>
      <c r="E2875" s="159">
        <v>49</v>
      </c>
      <c r="F2875" s="131"/>
      <c r="G2875" s="132"/>
      <c r="H2875" s="162" t="s">
        <v>21498</v>
      </c>
      <c r="I2875" s="158" t="s">
        <v>21499</v>
      </c>
      <c r="J2875" s="128"/>
      <c r="K2875" s="128"/>
      <c r="L2875" s="128"/>
      <c r="M2875" s="129"/>
      <c r="N2875" s="129"/>
      <c r="O2875" s="129"/>
    </row>
    <row r="2876" spans="1:15" ht="12.5">
      <c r="A2876" s="158" t="s">
        <v>21500</v>
      </c>
      <c r="B2876" s="159">
        <v>35</v>
      </c>
      <c r="C2876" s="159">
        <v>57</v>
      </c>
      <c r="D2876" s="159">
        <v>11</v>
      </c>
      <c r="E2876" s="159">
        <v>56</v>
      </c>
      <c r="F2876" s="131"/>
      <c r="G2876" s="132"/>
      <c r="H2876" s="162" t="s">
        <v>21501</v>
      </c>
      <c r="I2876" s="158" t="s">
        <v>21502</v>
      </c>
      <c r="J2876" s="128"/>
      <c r="K2876" s="128"/>
      <c r="L2876" s="128"/>
      <c r="M2876" s="129"/>
      <c r="N2876" s="129"/>
      <c r="O2876" s="129"/>
    </row>
    <row r="2877" spans="1:15" ht="12.5">
      <c r="A2877" s="158" t="s">
        <v>21503</v>
      </c>
      <c r="B2877" s="159">
        <v>35</v>
      </c>
      <c r="C2877" s="159">
        <v>57</v>
      </c>
      <c r="D2877" s="159">
        <v>11</v>
      </c>
      <c r="E2877" s="159">
        <v>57</v>
      </c>
      <c r="F2877" s="131"/>
      <c r="G2877" s="132"/>
      <c r="H2877" s="162" t="s">
        <v>21504</v>
      </c>
      <c r="I2877" s="158" t="s">
        <v>21505</v>
      </c>
      <c r="J2877" s="128"/>
      <c r="K2877" s="128"/>
      <c r="L2877" s="128"/>
      <c r="M2877" s="129"/>
      <c r="N2877" s="129"/>
      <c r="O2877" s="129"/>
    </row>
    <row r="2878" spans="1:15" ht="12.5">
      <c r="A2878" s="158" t="s">
        <v>21506</v>
      </c>
      <c r="B2878" s="159">
        <v>35</v>
      </c>
      <c r="C2878" s="159">
        <v>57</v>
      </c>
      <c r="D2878" s="159">
        <v>11</v>
      </c>
      <c r="E2878" s="159">
        <v>58</v>
      </c>
      <c r="F2878" s="131"/>
      <c r="G2878" s="132"/>
      <c r="H2878" s="162" t="s">
        <v>21507</v>
      </c>
      <c r="I2878" s="158" t="s">
        <v>21508</v>
      </c>
      <c r="J2878" s="128"/>
      <c r="K2878" s="128"/>
      <c r="L2878" s="128"/>
      <c r="M2878" s="129"/>
      <c r="N2878" s="129"/>
      <c r="O2878" s="129"/>
    </row>
    <row r="2879" spans="1:15" ht="12.5">
      <c r="A2879" s="158" t="s">
        <v>21509</v>
      </c>
      <c r="B2879" s="159">
        <v>35</v>
      </c>
      <c r="C2879" s="159">
        <v>57</v>
      </c>
      <c r="D2879" s="159">
        <v>11</v>
      </c>
      <c r="E2879" s="159">
        <v>62</v>
      </c>
      <c r="F2879" s="131"/>
      <c r="G2879" s="132"/>
      <c r="H2879" s="162" t="s">
        <v>21510</v>
      </c>
      <c r="I2879" s="158" t="s">
        <v>21511</v>
      </c>
      <c r="J2879" s="128"/>
      <c r="K2879" s="128"/>
      <c r="L2879" s="128"/>
      <c r="M2879" s="129"/>
      <c r="N2879" s="129"/>
      <c r="O2879" s="129"/>
    </row>
    <row r="2880" spans="1:15" ht="12.5">
      <c r="A2880" s="158" t="s">
        <v>21512</v>
      </c>
      <c r="B2880" s="159">
        <v>35</v>
      </c>
      <c r="C2880" s="159">
        <v>57</v>
      </c>
      <c r="D2880" s="159">
        <v>11</v>
      </c>
      <c r="E2880" s="159">
        <v>64</v>
      </c>
      <c r="F2880" s="131"/>
      <c r="G2880" s="132"/>
      <c r="H2880" s="162" t="s">
        <v>21513</v>
      </c>
      <c r="I2880" s="158" t="s">
        <v>21514</v>
      </c>
      <c r="J2880" s="128"/>
      <c r="K2880" s="128"/>
      <c r="L2880" s="128"/>
      <c r="M2880" s="129"/>
      <c r="N2880" s="129"/>
      <c r="O2880" s="129"/>
    </row>
    <row r="2881" spans="1:15" ht="12.5">
      <c r="A2881" s="158" t="s">
        <v>21515</v>
      </c>
      <c r="B2881" s="159">
        <v>35</v>
      </c>
      <c r="C2881" s="159">
        <v>57</v>
      </c>
      <c r="D2881" s="159">
        <v>11</v>
      </c>
      <c r="E2881" s="159">
        <v>66</v>
      </c>
      <c r="F2881" s="131"/>
      <c r="G2881" s="132"/>
      <c r="H2881" s="162" t="s">
        <v>21516</v>
      </c>
      <c r="I2881" s="158" t="s">
        <v>21517</v>
      </c>
      <c r="J2881" s="128"/>
      <c r="K2881" s="128"/>
      <c r="L2881" s="128"/>
      <c r="M2881" s="129"/>
      <c r="N2881" s="129"/>
      <c r="O2881" s="129"/>
    </row>
    <row r="2882" spans="1:15" ht="12.5">
      <c r="A2882" s="158" t="s">
        <v>21518</v>
      </c>
      <c r="B2882" s="159">
        <v>35</v>
      </c>
      <c r="C2882" s="159">
        <v>57</v>
      </c>
      <c r="D2882" s="159">
        <v>11</v>
      </c>
      <c r="E2882" s="159">
        <v>68</v>
      </c>
      <c r="F2882" s="131"/>
      <c r="G2882" s="132"/>
      <c r="H2882" s="162" t="s">
        <v>21519</v>
      </c>
      <c r="I2882" s="158" t="s">
        <v>21520</v>
      </c>
      <c r="J2882" s="128"/>
      <c r="K2882" s="128"/>
      <c r="L2882" s="128"/>
      <c r="M2882" s="129"/>
      <c r="N2882" s="129"/>
      <c r="O2882" s="129"/>
    </row>
    <row r="2883" spans="1:15" ht="12.5">
      <c r="A2883" s="158" t="s">
        <v>21521</v>
      </c>
      <c r="B2883" s="159">
        <v>35</v>
      </c>
      <c r="C2883" s="159">
        <v>57</v>
      </c>
      <c r="D2883" s="159">
        <v>11</v>
      </c>
      <c r="E2883" s="159">
        <v>72</v>
      </c>
      <c r="F2883" s="131"/>
      <c r="G2883" s="132"/>
      <c r="H2883" s="162" t="s">
        <v>21522</v>
      </c>
      <c r="I2883" s="158" t="s">
        <v>21523</v>
      </c>
      <c r="J2883" s="128"/>
      <c r="K2883" s="128"/>
      <c r="L2883" s="128"/>
      <c r="M2883" s="129"/>
      <c r="N2883" s="129"/>
      <c r="O2883" s="129"/>
    </row>
    <row r="2884" spans="1:15" ht="12.5">
      <c r="A2884" s="158" t="s">
        <v>21524</v>
      </c>
      <c r="B2884" s="159">
        <v>35</v>
      </c>
      <c r="C2884" s="159">
        <v>57</v>
      </c>
      <c r="D2884" s="159">
        <v>11</v>
      </c>
      <c r="E2884" s="159">
        <v>74</v>
      </c>
      <c r="F2884" s="131"/>
      <c r="G2884" s="132"/>
      <c r="H2884" s="162" t="s">
        <v>21525</v>
      </c>
      <c r="I2884" s="158" t="s">
        <v>21526</v>
      </c>
      <c r="J2884" s="128"/>
      <c r="K2884" s="128"/>
      <c r="L2884" s="128"/>
      <c r="M2884" s="129"/>
      <c r="N2884" s="129"/>
      <c r="O2884" s="129"/>
    </row>
    <row r="2885" spans="1:15" ht="12.5">
      <c r="A2885" s="158" t="s">
        <v>21527</v>
      </c>
      <c r="B2885" s="159">
        <v>35</v>
      </c>
      <c r="C2885" s="159">
        <v>57</v>
      </c>
      <c r="D2885" s="159">
        <v>11</v>
      </c>
      <c r="E2885" s="159">
        <v>85</v>
      </c>
      <c r="F2885" s="131"/>
      <c r="G2885" s="132"/>
      <c r="H2885" s="162" t="s">
        <v>21528</v>
      </c>
      <c r="I2885" s="158" t="s">
        <v>21529</v>
      </c>
      <c r="J2885" s="128"/>
      <c r="K2885" s="128"/>
      <c r="L2885" s="128"/>
      <c r="M2885" s="129"/>
      <c r="N2885" s="129"/>
      <c r="O2885" s="129"/>
    </row>
    <row r="2886" spans="1:15" ht="12.5">
      <c r="A2886" s="158" t="s">
        <v>21530</v>
      </c>
      <c r="B2886" s="159">
        <v>35</v>
      </c>
      <c r="C2886" s="159">
        <v>57</v>
      </c>
      <c r="D2886" s="159">
        <v>11</v>
      </c>
      <c r="E2886" s="159">
        <v>91</v>
      </c>
      <c r="F2886" s="131"/>
      <c r="G2886" s="132"/>
      <c r="H2886" s="162" t="s">
        <v>21531</v>
      </c>
      <c r="I2886" s="158" t="s">
        <v>21532</v>
      </c>
      <c r="J2886" s="128"/>
      <c r="K2886" s="128"/>
      <c r="L2886" s="128"/>
      <c r="M2886" s="129"/>
      <c r="N2886" s="129"/>
      <c r="O2886" s="129"/>
    </row>
    <row r="2887" spans="1:15" ht="12.5">
      <c r="A2887" s="158" t="s">
        <v>21533</v>
      </c>
      <c r="B2887" s="159">
        <v>35</v>
      </c>
      <c r="C2887" s="159">
        <v>57</v>
      </c>
      <c r="D2887" s="159">
        <v>11</v>
      </c>
      <c r="E2887" s="159">
        <v>97</v>
      </c>
      <c r="F2887" s="131"/>
      <c r="G2887" s="132"/>
      <c r="H2887" s="162" t="s">
        <v>21534</v>
      </c>
      <c r="I2887" s="158" t="s">
        <v>21535</v>
      </c>
      <c r="J2887" s="128"/>
      <c r="K2887" s="128"/>
      <c r="L2887" s="128"/>
      <c r="M2887" s="129"/>
      <c r="N2887" s="129"/>
      <c r="O2887" s="129"/>
    </row>
    <row r="2888" spans="1:15" ht="12.5">
      <c r="A2888" s="158" t="s">
        <v>21536</v>
      </c>
      <c r="B2888" s="159">
        <v>35</v>
      </c>
      <c r="C2888" s="159">
        <v>57</v>
      </c>
      <c r="D2888" s="159">
        <v>15</v>
      </c>
      <c r="E2888" s="130"/>
      <c r="F2888" s="131"/>
      <c r="G2888" s="132"/>
      <c r="H2888" s="162" t="s">
        <v>21537</v>
      </c>
      <c r="I2888" s="128"/>
      <c r="J2888" s="128"/>
      <c r="K2888" s="128"/>
      <c r="L2888" s="128"/>
      <c r="M2888" s="129"/>
      <c r="N2888" s="129"/>
      <c r="O2888" s="129"/>
    </row>
    <row r="2889" spans="1:15" ht="12.5">
      <c r="A2889" s="158" t="s">
        <v>21538</v>
      </c>
      <c r="B2889" s="159">
        <v>35</v>
      </c>
      <c r="C2889" s="159">
        <v>57</v>
      </c>
      <c r="D2889" s="159">
        <v>15</v>
      </c>
      <c r="E2889" s="159">
        <v>40</v>
      </c>
      <c r="F2889" s="131"/>
      <c r="G2889" s="132"/>
      <c r="H2889" s="162" t="s">
        <v>21539</v>
      </c>
      <c r="I2889" s="158" t="s">
        <v>21540</v>
      </c>
      <c r="J2889" s="128"/>
      <c r="K2889" s="128"/>
      <c r="L2889" s="128"/>
      <c r="M2889" s="129"/>
      <c r="N2889" s="129"/>
      <c r="O2889" s="129"/>
    </row>
    <row r="2890" spans="1:15" ht="12.5">
      <c r="A2890" s="158" t="s">
        <v>21541</v>
      </c>
      <c r="B2890" s="159">
        <v>35</v>
      </c>
      <c r="C2890" s="159">
        <v>57</v>
      </c>
      <c r="D2890" s="159">
        <v>15</v>
      </c>
      <c r="E2890" s="159">
        <v>42</v>
      </c>
      <c r="F2890" s="131"/>
      <c r="G2890" s="132"/>
      <c r="H2890" s="162" t="s">
        <v>21542</v>
      </c>
      <c r="I2890" s="158" t="s">
        <v>21543</v>
      </c>
      <c r="J2890" s="128"/>
      <c r="K2890" s="128"/>
      <c r="L2890" s="128"/>
      <c r="M2890" s="129"/>
      <c r="N2890" s="129"/>
      <c r="O2890" s="129"/>
    </row>
    <row r="2891" spans="1:15" ht="12.5">
      <c r="A2891" s="158" t="s">
        <v>21544</v>
      </c>
      <c r="B2891" s="159">
        <v>35</v>
      </c>
      <c r="C2891" s="159">
        <v>57</v>
      </c>
      <c r="D2891" s="159">
        <v>15</v>
      </c>
      <c r="E2891" s="159">
        <v>75</v>
      </c>
      <c r="F2891" s="131"/>
      <c r="G2891" s="132"/>
      <c r="H2891" s="162" t="s">
        <v>21545</v>
      </c>
      <c r="I2891" s="158" t="s">
        <v>21546</v>
      </c>
      <c r="J2891" s="128"/>
      <c r="K2891" s="128"/>
      <c r="L2891" s="128"/>
      <c r="M2891" s="129"/>
      <c r="N2891" s="129"/>
      <c r="O2891" s="129"/>
    </row>
    <row r="2892" spans="1:15" ht="12.5">
      <c r="A2892" s="158" t="s">
        <v>21547</v>
      </c>
      <c r="B2892" s="159">
        <v>35</v>
      </c>
      <c r="C2892" s="159">
        <v>57</v>
      </c>
      <c r="D2892" s="159">
        <v>15</v>
      </c>
      <c r="E2892" s="159">
        <v>80</v>
      </c>
      <c r="F2892" s="131"/>
      <c r="G2892" s="132"/>
      <c r="H2892" s="162" t="s">
        <v>21548</v>
      </c>
      <c r="I2892" s="158" t="s">
        <v>21549</v>
      </c>
      <c r="J2892" s="128"/>
      <c r="K2892" s="128"/>
      <c r="L2892" s="128"/>
      <c r="M2892" s="129"/>
      <c r="N2892" s="129"/>
      <c r="O2892" s="129"/>
    </row>
    <row r="2893" spans="1:15" ht="12.5">
      <c r="A2893" s="158" t="s">
        <v>21550</v>
      </c>
      <c r="B2893" s="159">
        <v>35</v>
      </c>
      <c r="C2893" s="159">
        <v>57</v>
      </c>
      <c r="D2893" s="159">
        <v>22</v>
      </c>
      <c r="E2893" s="130"/>
      <c r="F2893" s="131"/>
      <c r="G2893" s="132"/>
      <c r="H2893" s="162" t="s">
        <v>21551</v>
      </c>
      <c r="I2893" s="128"/>
      <c r="J2893" s="128"/>
      <c r="K2893" s="128"/>
      <c r="L2893" s="128"/>
      <c r="M2893" s="129"/>
      <c r="N2893" s="129"/>
      <c r="O2893" s="129"/>
    </row>
    <row r="2894" spans="1:15" ht="12.5">
      <c r="A2894" s="158" t="s">
        <v>21552</v>
      </c>
      <c r="B2894" s="159">
        <v>35</v>
      </c>
      <c r="C2894" s="159">
        <v>57</v>
      </c>
      <c r="D2894" s="159">
        <v>22</v>
      </c>
      <c r="E2894" s="159">
        <v>8</v>
      </c>
      <c r="F2894" s="131"/>
      <c r="G2894" s="132"/>
      <c r="H2894" s="162" t="s">
        <v>21553</v>
      </c>
      <c r="I2894" s="158" t="s">
        <v>21554</v>
      </c>
      <c r="J2894" s="128"/>
      <c r="K2894" s="128"/>
      <c r="L2894" s="128"/>
      <c r="M2894" s="129"/>
      <c r="N2894" s="129"/>
      <c r="O2894" s="129"/>
    </row>
    <row r="2895" spans="1:15" ht="12.5">
      <c r="A2895" s="158" t="s">
        <v>21555</v>
      </c>
      <c r="B2895" s="159">
        <v>35</v>
      </c>
      <c r="C2895" s="159">
        <v>57</v>
      </c>
      <c r="D2895" s="159">
        <v>22</v>
      </c>
      <c r="E2895" s="159">
        <v>15</v>
      </c>
      <c r="F2895" s="131"/>
      <c r="G2895" s="132"/>
      <c r="H2895" s="162" t="s">
        <v>21556</v>
      </c>
      <c r="I2895" s="158" t="s">
        <v>21557</v>
      </c>
      <c r="J2895" s="128"/>
      <c r="K2895" s="128"/>
      <c r="L2895" s="128"/>
      <c r="M2895" s="129"/>
      <c r="N2895" s="129"/>
      <c r="O2895" s="129"/>
    </row>
    <row r="2896" spans="1:15" ht="12.5">
      <c r="A2896" s="158" t="s">
        <v>21558</v>
      </c>
      <c r="B2896" s="159">
        <v>35</v>
      </c>
      <c r="C2896" s="159">
        <v>57</v>
      </c>
      <c r="D2896" s="159">
        <v>22</v>
      </c>
      <c r="E2896" s="159">
        <v>38</v>
      </c>
      <c r="F2896" s="131"/>
      <c r="G2896" s="132"/>
      <c r="H2896" s="162" t="s">
        <v>33423</v>
      </c>
      <c r="I2896" s="158" t="s">
        <v>21560</v>
      </c>
      <c r="J2896" s="128"/>
      <c r="K2896" s="128"/>
      <c r="L2896" s="128"/>
      <c r="M2896" s="129"/>
      <c r="N2896" s="129"/>
      <c r="O2896" s="129"/>
    </row>
    <row r="2897" spans="1:15" ht="12.5">
      <c r="A2897" s="158" t="s">
        <v>21561</v>
      </c>
      <c r="B2897" s="159">
        <v>35</v>
      </c>
      <c r="C2897" s="159">
        <v>57</v>
      </c>
      <c r="D2897" s="159">
        <v>22</v>
      </c>
      <c r="E2897" s="159">
        <v>42</v>
      </c>
      <c r="F2897" s="131"/>
      <c r="G2897" s="132"/>
      <c r="H2897" s="162" t="s">
        <v>21562</v>
      </c>
      <c r="I2897" s="158" t="s">
        <v>21563</v>
      </c>
      <c r="J2897" s="128"/>
      <c r="K2897" s="128"/>
      <c r="L2897" s="128"/>
      <c r="M2897" s="129"/>
      <c r="N2897" s="129"/>
      <c r="O2897" s="129"/>
    </row>
    <row r="2898" spans="1:15" ht="12.5">
      <c r="A2898" s="158" t="s">
        <v>21564</v>
      </c>
      <c r="B2898" s="159">
        <v>35</v>
      </c>
      <c r="C2898" s="159">
        <v>57</v>
      </c>
      <c r="D2898" s="159">
        <v>22</v>
      </c>
      <c r="E2898" s="159">
        <v>46</v>
      </c>
      <c r="F2898" s="131"/>
      <c r="G2898" s="132"/>
      <c r="H2898" s="162" t="s">
        <v>21565</v>
      </c>
      <c r="I2898" s="158" t="s">
        <v>21566</v>
      </c>
      <c r="J2898" s="128"/>
      <c r="K2898" s="128"/>
      <c r="L2898" s="128"/>
      <c r="M2898" s="129"/>
      <c r="N2898" s="129"/>
      <c r="O2898" s="129"/>
    </row>
    <row r="2899" spans="1:15" ht="12.5">
      <c r="A2899" s="158" t="s">
        <v>21567</v>
      </c>
      <c r="B2899" s="159">
        <v>35</v>
      </c>
      <c r="C2899" s="159">
        <v>57</v>
      </c>
      <c r="D2899" s="159">
        <v>22</v>
      </c>
      <c r="E2899" s="159">
        <v>48</v>
      </c>
      <c r="F2899" s="131"/>
      <c r="G2899" s="132"/>
      <c r="H2899" s="162" t="s">
        <v>21568</v>
      </c>
      <c r="I2899" s="158" t="s">
        <v>21569</v>
      </c>
      <c r="J2899" s="128"/>
      <c r="K2899" s="128"/>
      <c r="L2899" s="128"/>
      <c r="M2899" s="129"/>
      <c r="N2899" s="129"/>
      <c r="O2899" s="129"/>
    </row>
    <row r="2900" spans="1:15" ht="12.5">
      <c r="A2900" s="158" t="s">
        <v>21570</v>
      </c>
      <c r="B2900" s="159">
        <v>35</v>
      </c>
      <c r="C2900" s="159">
        <v>57</v>
      </c>
      <c r="D2900" s="159">
        <v>22</v>
      </c>
      <c r="E2900" s="159">
        <v>51</v>
      </c>
      <c r="F2900" s="131"/>
      <c r="G2900" s="132"/>
      <c r="H2900" s="162" t="s">
        <v>21571</v>
      </c>
      <c r="I2900" s="158" t="s">
        <v>21572</v>
      </c>
      <c r="J2900" s="128"/>
      <c r="K2900" s="128"/>
      <c r="L2900" s="128"/>
      <c r="M2900" s="129"/>
      <c r="N2900" s="129"/>
      <c r="O2900" s="129"/>
    </row>
    <row r="2901" spans="1:15" ht="12.5">
      <c r="A2901" s="158" t="s">
        <v>21573</v>
      </c>
      <c r="B2901" s="159">
        <v>35</v>
      </c>
      <c r="C2901" s="159">
        <v>57</v>
      </c>
      <c r="D2901" s="159">
        <v>22</v>
      </c>
      <c r="E2901" s="159">
        <v>52</v>
      </c>
      <c r="F2901" s="131"/>
      <c r="G2901" s="132"/>
      <c r="H2901" s="162" t="s">
        <v>21574</v>
      </c>
      <c r="I2901" s="158" t="s">
        <v>21575</v>
      </c>
      <c r="J2901" s="128"/>
      <c r="K2901" s="128"/>
      <c r="L2901" s="128"/>
      <c r="M2901" s="129"/>
      <c r="N2901" s="129"/>
      <c r="O2901" s="129"/>
    </row>
    <row r="2902" spans="1:15" ht="12.5">
      <c r="A2902" s="158" t="s">
        <v>21576</v>
      </c>
      <c r="B2902" s="159">
        <v>35</v>
      </c>
      <c r="C2902" s="159">
        <v>57</v>
      </c>
      <c r="D2902" s="159">
        <v>22</v>
      </c>
      <c r="E2902" s="159">
        <v>53</v>
      </c>
      <c r="F2902" s="131"/>
      <c r="G2902" s="132"/>
      <c r="H2902" s="162" t="s">
        <v>21577</v>
      </c>
      <c r="I2902" s="158" t="s">
        <v>21578</v>
      </c>
      <c r="J2902" s="128"/>
      <c r="K2902" s="128"/>
      <c r="L2902" s="128"/>
      <c r="M2902" s="129"/>
      <c r="N2902" s="129"/>
      <c r="O2902" s="129"/>
    </row>
    <row r="2903" spans="1:15" ht="12.5">
      <c r="A2903" s="158" t="s">
        <v>21579</v>
      </c>
      <c r="B2903" s="159">
        <v>35</v>
      </c>
      <c r="C2903" s="159">
        <v>57</v>
      </c>
      <c r="D2903" s="159">
        <v>22</v>
      </c>
      <c r="E2903" s="159">
        <v>54</v>
      </c>
      <c r="F2903" s="131"/>
      <c r="G2903" s="132"/>
      <c r="H2903" s="162" t="s">
        <v>21580</v>
      </c>
      <c r="I2903" s="158" t="s">
        <v>21581</v>
      </c>
      <c r="J2903" s="128"/>
      <c r="K2903" s="128"/>
      <c r="L2903" s="128"/>
      <c r="M2903" s="129"/>
      <c r="N2903" s="129"/>
      <c r="O2903" s="129"/>
    </row>
    <row r="2904" spans="1:15" ht="12.5">
      <c r="A2904" s="158" t="s">
        <v>21582</v>
      </c>
      <c r="B2904" s="159">
        <v>35</v>
      </c>
      <c r="C2904" s="159">
        <v>57</v>
      </c>
      <c r="D2904" s="159">
        <v>22</v>
      </c>
      <c r="E2904" s="159">
        <v>58</v>
      </c>
      <c r="F2904" s="131"/>
      <c r="G2904" s="132"/>
      <c r="H2904" s="162" t="s">
        <v>21583</v>
      </c>
      <c r="I2904" s="158" t="s">
        <v>21584</v>
      </c>
      <c r="J2904" s="128"/>
      <c r="K2904" s="128"/>
      <c r="L2904" s="128"/>
      <c r="M2904" s="129"/>
      <c r="N2904" s="129"/>
      <c r="O2904" s="129"/>
    </row>
    <row r="2905" spans="1:15" ht="12.5">
      <c r="A2905" s="158" t="s">
        <v>21585</v>
      </c>
      <c r="B2905" s="159">
        <v>35</v>
      </c>
      <c r="C2905" s="159">
        <v>57</v>
      </c>
      <c r="D2905" s="159">
        <v>22</v>
      </c>
      <c r="E2905" s="159">
        <v>60</v>
      </c>
      <c r="F2905" s="131"/>
      <c r="G2905" s="132"/>
      <c r="H2905" s="162" t="s">
        <v>21586</v>
      </c>
      <c r="I2905" s="158" t="s">
        <v>21587</v>
      </c>
      <c r="J2905" s="128"/>
      <c r="K2905" s="128"/>
      <c r="L2905" s="128"/>
      <c r="M2905" s="129"/>
      <c r="N2905" s="129"/>
      <c r="O2905" s="129"/>
    </row>
    <row r="2906" spans="1:15" ht="12.5">
      <c r="A2906" s="158" t="s">
        <v>21588</v>
      </c>
      <c r="B2906" s="159">
        <v>35</v>
      </c>
      <c r="C2906" s="159">
        <v>57</v>
      </c>
      <c r="D2906" s="159">
        <v>22</v>
      </c>
      <c r="E2906" s="159">
        <v>72</v>
      </c>
      <c r="F2906" s="131"/>
      <c r="G2906" s="132"/>
      <c r="H2906" s="162" t="s">
        <v>21589</v>
      </c>
      <c r="I2906" s="158" t="s">
        <v>21590</v>
      </c>
      <c r="J2906" s="128"/>
      <c r="K2906" s="128"/>
      <c r="L2906" s="128"/>
      <c r="M2906" s="129"/>
      <c r="N2906" s="129"/>
      <c r="O2906" s="129"/>
    </row>
    <row r="2907" spans="1:15" ht="12.5">
      <c r="A2907" s="158" t="s">
        <v>21591</v>
      </c>
      <c r="B2907" s="159">
        <v>35</v>
      </c>
      <c r="C2907" s="159">
        <v>57</v>
      </c>
      <c r="D2907" s="159">
        <v>22</v>
      </c>
      <c r="E2907" s="159">
        <v>88</v>
      </c>
      <c r="F2907" s="131"/>
      <c r="G2907" s="132"/>
      <c r="H2907" s="162" t="s">
        <v>21592</v>
      </c>
      <c r="I2907" s="158" t="s">
        <v>21593</v>
      </c>
      <c r="J2907" s="128"/>
      <c r="K2907" s="128"/>
      <c r="L2907" s="128"/>
      <c r="M2907" s="129"/>
      <c r="N2907" s="129"/>
      <c r="O2907" s="129"/>
    </row>
    <row r="2908" spans="1:15" ht="12.5">
      <c r="A2908" s="158" t="s">
        <v>21594</v>
      </c>
      <c r="B2908" s="159">
        <v>35</v>
      </c>
      <c r="C2908" s="159">
        <v>57</v>
      </c>
      <c r="D2908" s="159">
        <v>22</v>
      </c>
      <c r="E2908" s="159">
        <v>90</v>
      </c>
      <c r="F2908" s="131"/>
      <c r="G2908" s="132"/>
      <c r="H2908" s="162" t="s">
        <v>21595</v>
      </c>
      <c r="I2908" s="158" t="s">
        <v>21596</v>
      </c>
      <c r="J2908" s="128"/>
      <c r="K2908" s="128"/>
      <c r="L2908" s="128"/>
      <c r="M2908" s="129"/>
      <c r="N2908" s="129"/>
      <c r="O2908" s="129"/>
    </row>
    <row r="2909" spans="1:15" ht="12.5">
      <c r="A2909" s="158" t="s">
        <v>21597</v>
      </c>
      <c r="B2909" s="159">
        <v>35</v>
      </c>
      <c r="C2909" s="159">
        <v>57</v>
      </c>
      <c r="D2909" s="159">
        <v>22</v>
      </c>
      <c r="E2909" s="159">
        <v>95</v>
      </c>
      <c r="F2909" s="131"/>
      <c r="G2909" s="132"/>
      <c r="H2909" s="162" t="s">
        <v>21598</v>
      </c>
      <c r="I2909" s="158" t="s">
        <v>21599</v>
      </c>
      <c r="J2909" s="128"/>
      <c r="K2909" s="128"/>
      <c r="L2909" s="128"/>
      <c r="M2909" s="129"/>
      <c r="N2909" s="129"/>
      <c r="O2909" s="129"/>
    </row>
    <row r="2910" spans="1:15" ht="12.5">
      <c r="A2910" s="158" t="s">
        <v>21600</v>
      </c>
      <c r="B2910" s="159">
        <v>35</v>
      </c>
      <c r="C2910" s="159">
        <v>57</v>
      </c>
      <c r="D2910" s="159">
        <v>71</v>
      </c>
      <c r="E2910" s="130"/>
      <c r="F2910" s="131"/>
      <c r="G2910" s="132"/>
      <c r="H2910" s="162" t="s">
        <v>21601</v>
      </c>
      <c r="I2910" s="128"/>
      <c r="J2910" s="128"/>
      <c r="K2910" s="128"/>
      <c r="L2910" s="128"/>
      <c r="M2910" s="129"/>
      <c r="N2910" s="129"/>
      <c r="O2910" s="129"/>
    </row>
    <row r="2911" spans="1:15" ht="12.5">
      <c r="A2911" s="158" t="s">
        <v>21602</v>
      </c>
      <c r="B2911" s="159">
        <v>35</v>
      </c>
      <c r="C2911" s="159">
        <v>57</v>
      </c>
      <c r="D2911" s="159">
        <v>71</v>
      </c>
      <c r="E2911" s="159">
        <v>2</v>
      </c>
      <c r="F2911" s="131"/>
      <c r="G2911" s="132"/>
      <c r="H2911" s="162" t="s">
        <v>21603</v>
      </c>
      <c r="I2911" s="158" t="s">
        <v>21604</v>
      </c>
      <c r="J2911" s="128"/>
      <c r="K2911" s="128"/>
      <c r="L2911" s="128"/>
      <c r="M2911" s="129"/>
      <c r="N2911" s="129"/>
      <c r="O2911" s="129"/>
    </row>
    <row r="2912" spans="1:15" ht="12.5">
      <c r="A2912" s="158" t="s">
        <v>21605</v>
      </c>
      <c r="B2912" s="159">
        <v>35</v>
      </c>
      <c r="C2912" s="159">
        <v>57</v>
      </c>
      <c r="D2912" s="159">
        <v>71</v>
      </c>
      <c r="E2912" s="159">
        <v>4</v>
      </c>
      <c r="F2912" s="131"/>
      <c r="G2912" s="132"/>
      <c r="H2912" s="162" t="s">
        <v>21606</v>
      </c>
      <c r="I2912" s="158" t="s">
        <v>21607</v>
      </c>
      <c r="J2912" s="128"/>
      <c r="K2912" s="128"/>
      <c r="L2912" s="128"/>
      <c r="M2912" s="129"/>
      <c r="N2912" s="129"/>
      <c r="O2912" s="129"/>
    </row>
    <row r="2913" spans="1:15" ht="12.5">
      <c r="A2913" s="158" t="s">
        <v>21610</v>
      </c>
      <c r="B2913" s="159">
        <v>35</v>
      </c>
      <c r="C2913" s="159">
        <v>57</v>
      </c>
      <c r="D2913" s="159">
        <v>71</v>
      </c>
      <c r="E2913" s="159">
        <v>13</v>
      </c>
      <c r="F2913" s="131"/>
      <c r="G2913" s="132"/>
      <c r="H2913" s="162" t="s">
        <v>21611</v>
      </c>
      <c r="I2913" s="158" t="s">
        <v>21612</v>
      </c>
      <c r="J2913" s="128"/>
      <c r="K2913" s="128"/>
      <c r="L2913" s="128"/>
      <c r="M2913" s="129"/>
      <c r="N2913" s="129"/>
      <c r="O2913" s="129"/>
    </row>
    <row r="2914" spans="1:15" ht="12.5">
      <c r="A2914" s="158" t="s">
        <v>21615</v>
      </c>
      <c r="B2914" s="159">
        <v>35</v>
      </c>
      <c r="C2914" s="159">
        <v>57</v>
      </c>
      <c r="D2914" s="159">
        <v>71</v>
      </c>
      <c r="E2914" s="159">
        <v>15</v>
      </c>
      <c r="F2914" s="131"/>
      <c r="G2914" s="132"/>
      <c r="H2914" s="162" t="s">
        <v>21616</v>
      </c>
      <c r="I2914" s="158" t="s">
        <v>21617</v>
      </c>
      <c r="J2914" s="128"/>
      <c r="K2914" s="128"/>
      <c r="L2914" s="128"/>
      <c r="M2914" s="129"/>
      <c r="N2914" s="129"/>
      <c r="O2914" s="129"/>
    </row>
    <row r="2915" spans="1:15" ht="12.5">
      <c r="A2915" s="158" t="s">
        <v>21618</v>
      </c>
      <c r="B2915" s="159">
        <v>35</v>
      </c>
      <c r="C2915" s="159">
        <v>57</v>
      </c>
      <c r="D2915" s="159">
        <v>71</v>
      </c>
      <c r="E2915" s="159">
        <v>17</v>
      </c>
      <c r="F2915" s="131"/>
      <c r="G2915" s="132"/>
      <c r="H2915" s="162" t="s">
        <v>21619</v>
      </c>
      <c r="I2915" s="158" t="s">
        <v>21620</v>
      </c>
      <c r="J2915" s="128"/>
      <c r="K2915" s="128"/>
      <c r="L2915" s="128"/>
      <c r="M2915" s="129"/>
      <c r="N2915" s="129"/>
      <c r="O2915" s="129"/>
    </row>
    <row r="2916" spans="1:15" ht="12.5">
      <c r="A2916" s="158" t="s">
        <v>21621</v>
      </c>
      <c r="B2916" s="159">
        <v>35</v>
      </c>
      <c r="C2916" s="159">
        <v>57</v>
      </c>
      <c r="D2916" s="159">
        <v>71</v>
      </c>
      <c r="E2916" s="159">
        <v>19</v>
      </c>
      <c r="F2916" s="131"/>
      <c r="G2916" s="132"/>
      <c r="H2916" s="162" t="s">
        <v>21622</v>
      </c>
      <c r="I2916" s="158" t="s">
        <v>21623</v>
      </c>
      <c r="J2916" s="128"/>
      <c r="K2916" s="128"/>
      <c r="L2916" s="128"/>
      <c r="M2916" s="129"/>
      <c r="N2916" s="129"/>
      <c r="O2916" s="129"/>
    </row>
    <row r="2917" spans="1:15" ht="12.5">
      <c r="A2917" s="158" t="s">
        <v>21624</v>
      </c>
      <c r="B2917" s="159">
        <v>35</v>
      </c>
      <c r="C2917" s="159">
        <v>57</v>
      </c>
      <c r="D2917" s="159">
        <v>71</v>
      </c>
      <c r="E2917" s="159">
        <v>20</v>
      </c>
      <c r="F2917" s="131"/>
      <c r="G2917" s="132"/>
      <c r="H2917" s="162" t="s">
        <v>21625</v>
      </c>
      <c r="I2917" s="158" t="s">
        <v>21626</v>
      </c>
      <c r="J2917" s="128"/>
      <c r="K2917" s="128"/>
      <c r="L2917" s="128"/>
      <c r="M2917" s="129"/>
      <c r="N2917" s="129"/>
      <c r="O2917" s="129"/>
    </row>
    <row r="2918" spans="1:15" ht="12.5">
      <c r="A2918" s="158" t="s">
        <v>21631</v>
      </c>
      <c r="B2918" s="159">
        <v>35</v>
      </c>
      <c r="C2918" s="159">
        <v>57</v>
      </c>
      <c r="D2918" s="159">
        <v>71</v>
      </c>
      <c r="E2918" s="159">
        <v>25</v>
      </c>
      <c r="F2918" s="131"/>
      <c r="G2918" s="132"/>
      <c r="H2918" s="162" t="s">
        <v>21632</v>
      </c>
      <c r="I2918" s="158" t="s">
        <v>21633</v>
      </c>
      <c r="J2918" s="128"/>
      <c r="K2918" s="128"/>
      <c r="L2918" s="128"/>
      <c r="M2918" s="129"/>
      <c r="N2918" s="129"/>
      <c r="O2918" s="129"/>
    </row>
    <row r="2919" spans="1:15" ht="12.5">
      <c r="A2919" s="158" t="s">
        <v>21634</v>
      </c>
      <c r="B2919" s="159">
        <v>35</v>
      </c>
      <c r="C2919" s="159">
        <v>57</v>
      </c>
      <c r="D2919" s="159">
        <v>71</v>
      </c>
      <c r="E2919" s="159">
        <v>26</v>
      </c>
      <c r="F2919" s="131"/>
      <c r="G2919" s="132"/>
      <c r="H2919" s="162" t="s">
        <v>21635</v>
      </c>
      <c r="I2919" s="158" t="s">
        <v>21636</v>
      </c>
      <c r="J2919" s="128"/>
      <c r="K2919" s="128"/>
      <c r="L2919" s="128"/>
      <c r="M2919" s="129"/>
      <c r="N2919" s="129"/>
      <c r="O2919" s="129"/>
    </row>
    <row r="2920" spans="1:15" ht="12.5">
      <c r="A2920" s="158" t="s">
        <v>21637</v>
      </c>
      <c r="B2920" s="159">
        <v>35</v>
      </c>
      <c r="C2920" s="159">
        <v>57</v>
      </c>
      <c r="D2920" s="159">
        <v>71</v>
      </c>
      <c r="E2920" s="159">
        <v>27</v>
      </c>
      <c r="F2920" s="131"/>
      <c r="G2920" s="132"/>
      <c r="H2920" s="162" t="s">
        <v>21638</v>
      </c>
      <c r="I2920" s="158" t="s">
        <v>21639</v>
      </c>
      <c r="J2920" s="128"/>
      <c r="K2920" s="128"/>
      <c r="L2920" s="128"/>
      <c r="M2920" s="129"/>
      <c r="N2920" s="129"/>
      <c r="O2920" s="129"/>
    </row>
    <row r="2921" spans="1:15" ht="12.5">
      <c r="A2921" s="158" t="s">
        <v>21640</v>
      </c>
      <c r="B2921" s="159">
        <v>35</v>
      </c>
      <c r="C2921" s="159">
        <v>57</v>
      </c>
      <c r="D2921" s="159">
        <v>71</v>
      </c>
      <c r="E2921" s="159">
        <v>28</v>
      </c>
      <c r="F2921" s="131"/>
      <c r="G2921" s="132"/>
      <c r="H2921" s="162" t="s">
        <v>21641</v>
      </c>
      <c r="I2921" s="158" t="s">
        <v>21642</v>
      </c>
      <c r="J2921" s="128"/>
      <c r="K2921" s="128"/>
      <c r="L2921" s="128"/>
      <c r="M2921" s="129"/>
      <c r="N2921" s="129"/>
      <c r="O2921" s="129"/>
    </row>
    <row r="2922" spans="1:15" ht="12.5">
      <c r="A2922" s="158" t="s">
        <v>21643</v>
      </c>
      <c r="B2922" s="159">
        <v>35</v>
      </c>
      <c r="C2922" s="159">
        <v>57</v>
      </c>
      <c r="D2922" s="159">
        <v>71</v>
      </c>
      <c r="E2922" s="159">
        <v>30</v>
      </c>
      <c r="F2922" s="131"/>
      <c r="G2922" s="132"/>
      <c r="H2922" s="162" t="s">
        <v>21644</v>
      </c>
      <c r="I2922" s="158" t="s">
        <v>21645</v>
      </c>
      <c r="J2922" s="128"/>
      <c r="K2922" s="128"/>
      <c r="L2922" s="128"/>
      <c r="M2922" s="129"/>
      <c r="N2922" s="129"/>
      <c r="O2922" s="129"/>
    </row>
    <row r="2923" spans="1:15" ht="12.5">
      <c r="A2923" s="158" t="s">
        <v>21646</v>
      </c>
      <c r="B2923" s="159">
        <v>35</v>
      </c>
      <c r="C2923" s="159">
        <v>57</v>
      </c>
      <c r="D2923" s="159">
        <v>71</v>
      </c>
      <c r="E2923" s="159">
        <v>31</v>
      </c>
      <c r="F2923" s="131"/>
      <c r="G2923" s="132"/>
      <c r="H2923" s="162" t="s">
        <v>21647</v>
      </c>
      <c r="I2923" s="158" t="s">
        <v>21648</v>
      </c>
      <c r="J2923" s="128"/>
      <c r="K2923" s="128"/>
      <c r="L2923" s="128"/>
      <c r="M2923" s="129"/>
      <c r="N2923" s="129"/>
      <c r="O2923" s="129"/>
    </row>
    <row r="2924" spans="1:15" ht="12.5">
      <c r="A2924" s="158" t="s">
        <v>21649</v>
      </c>
      <c r="B2924" s="159">
        <v>35</v>
      </c>
      <c r="C2924" s="159">
        <v>57</v>
      </c>
      <c r="D2924" s="159">
        <v>71</v>
      </c>
      <c r="E2924" s="159">
        <v>32</v>
      </c>
      <c r="F2924" s="131"/>
      <c r="G2924" s="132"/>
      <c r="H2924" s="162" t="s">
        <v>21650</v>
      </c>
      <c r="I2924" s="158" t="s">
        <v>21651</v>
      </c>
      <c r="J2924" s="128"/>
      <c r="K2924" s="128"/>
      <c r="L2924" s="128"/>
      <c r="M2924" s="129"/>
      <c r="N2924" s="129"/>
      <c r="O2924" s="129"/>
    </row>
    <row r="2925" spans="1:15" ht="12.5">
      <c r="A2925" s="158" t="s">
        <v>21652</v>
      </c>
      <c r="B2925" s="159">
        <v>35</v>
      </c>
      <c r="C2925" s="159">
        <v>57</v>
      </c>
      <c r="D2925" s="159">
        <v>71</v>
      </c>
      <c r="E2925" s="159">
        <v>33</v>
      </c>
      <c r="F2925" s="131"/>
      <c r="G2925" s="132"/>
      <c r="H2925" s="162" t="s">
        <v>21653</v>
      </c>
      <c r="I2925" s="158" t="s">
        <v>21654</v>
      </c>
      <c r="J2925" s="128"/>
      <c r="K2925" s="128"/>
      <c r="L2925" s="128"/>
      <c r="M2925" s="129"/>
      <c r="N2925" s="129"/>
      <c r="O2925" s="129"/>
    </row>
    <row r="2926" spans="1:15" ht="12.5">
      <c r="A2926" s="158" t="s">
        <v>21655</v>
      </c>
      <c r="B2926" s="159">
        <v>35</v>
      </c>
      <c r="C2926" s="159">
        <v>57</v>
      </c>
      <c r="D2926" s="159">
        <v>71</v>
      </c>
      <c r="E2926" s="159">
        <v>34</v>
      </c>
      <c r="F2926" s="131"/>
      <c r="G2926" s="132"/>
      <c r="H2926" s="162" t="s">
        <v>21656</v>
      </c>
      <c r="I2926" s="158" t="s">
        <v>21657</v>
      </c>
      <c r="J2926" s="128"/>
      <c r="K2926" s="128"/>
      <c r="L2926" s="128"/>
      <c r="M2926" s="129"/>
      <c r="N2926" s="129"/>
      <c r="O2926" s="129"/>
    </row>
    <row r="2927" spans="1:15" ht="12.5">
      <c r="A2927" s="158" t="s">
        <v>21658</v>
      </c>
      <c r="B2927" s="159">
        <v>35</v>
      </c>
      <c r="C2927" s="159">
        <v>57</v>
      </c>
      <c r="D2927" s="159">
        <v>71</v>
      </c>
      <c r="E2927" s="159">
        <v>35</v>
      </c>
      <c r="F2927" s="131"/>
      <c r="G2927" s="132"/>
      <c r="H2927" s="162" t="s">
        <v>21659</v>
      </c>
      <c r="I2927" s="158" t="s">
        <v>21660</v>
      </c>
      <c r="J2927" s="128"/>
      <c r="K2927" s="128"/>
      <c r="L2927" s="128"/>
      <c r="M2927" s="129"/>
      <c r="N2927" s="129"/>
      <c r="O2927" s="129"/>
    </row>
    <row r="2928" spans="1:15" ht="12.5">
      <c r="A2928" s="158" t="s">
        <v>21661</v>
      </c>
      <c r="B2928" s="159">
        <v>35</v>
      </c>
      <c r="C2928" s="159">
        <v>57</v>
      </c>
      <c r="D2928" s="159">
        <v>71</v>
      </c>
      <c r="E2928" s="159">
        <v>36</v>
      </c>
      <c r="F2928" s="131"/>
      <c r="G2928" s="132"/>
      <c r="H2928" s="162" t="s">
        <v>21662</v>
      </c>
      <c r="I2928" s="158" t="s">
        <v>21663</v>
      </c>
      <c r="J2928" s="128"/>
      <c r="K2928" s="128"/>
      <c r="L2928" s="128"/>
      <c r="M2928" s="129"/>
      <c r="N2928" s="129"/>
      <c r="O2928" s="129"/>
    </row>
    <row r="2929" spans="1:15" ht="12.5">
      <c r="A2929" s="158" t="s">
        <v>21664</v>
      </c>
      <c r="B2929" s="159">
        <v>35</v>
      </c>
      <c r="C2929" s="159">
        <v>57</v>
      </c>
      <c r="D2929" s="159">
        <v>71</v>
      </c>
      <c r="E2929" s="159">
        <v>37</v>
      </c>
      <c r="F2929" s="131"/>
      <c r="G2929" s="132"/>
      <c r="H2929" s="162" t="s">
        <v>21665</v>
      </c>
      <c r="I2929" s="158" t="s">
        <v>21666</v>
      </c>
      <c r="J2929" s="128"/>
      <c r="K2929" s="128"/>
      <c r="L2929" s="128"/>
      <c r="M2929" s="129"/>
      <c r="N2929" s="129"/>
      <c r="O2929" s="129"/>
    </row>
    <row r="2930" spans="1:15" ht="12.5">
      <c r="A2930" s="158" t="s">
        <v>21667</v>
      </c>
      <c r="B2930" s="159">
        <v>35</v>
      </c>
      <c r="C2930" s="159">
        <v>57</v>
      </c>
      <c r="D2930" s="159">
        <v>71</v>
      </c>
      <c r="E2930" s="159">
        <v>43</v>
      </c>
      <c r="F2930" s="131"/>
      <c r="G2930" s="132"/>
      <c r="H2930" s="162" t="s">
        <v>21668</v>
      </c>
      <c r="I2930" s="158" t="s">
        <v>21669</v>
      </c>
      <c r="J2930" s="128"/>
      <c r="K2930" s="128"/>
      <c r="L2930" s="128"/>
      <c r="M2930" s="129"/>
      <c r="N2930" s="129"/>
      <c r="O2930" s="129"/>
    </row>
    <row r="2931" spans="1:15" ht="12.5">
      <c r="A2931" s="158" t="s">
        <v>21670</v>
      </c>
      <c r="B2931" s="159">
        <v>35</v>
      </c>
      <c r="C2931" s="159">
        <v>57</v>
      </c>
      <c r="D2931" s="159">
        <v>71</v>
      </c>
      <c r="E2931" s="159">
        <v>44</v>
      </c>
      <c r="F2931" s="131"/>
      <c r="G2931" s="132"/>
      <c r="H2931" s="162" t="s">
        <v>21671</v>
      </c>
      <c r="I2931" s="158" t="s">
        <v>21672</v>
      </c>
      <c r="J2931" s="128"/>
      <c r="K2931" s="128"/>
      <c r="L2931" s="128"/>
      <c r="M2931" s="129"/>
      <c r="N2931" s="129"/>
      <c r="O2931" s="129"/>
    </row>
    <row r="2932" spans="1:15" ht="12.5">
      <c r="A2932" s="158" t="s">
        <v>21673</v>
      </c>
      <c r="B2932" s="159">
        <v>35</v>
      </c>
      <c r="C2932" s="159">
        <v>57</v>
      </c>
      <c r="D2932" s="159">
        <v>71</v>
      </c>
      <c r="E2932" s="159">
        <v>46</v>
      </c>
      <c r="F2932" s="131"/>
      <c r="G2932" s="132"/>
      <c r="H2932" s="162" t="s">
        <v>21674</v>
      </c>
      <c r="I2932" s="158" t="s">
        <v>21675</v>
      </c>
      <c r="J2932" s="128"/>
      <c r="K2932" s="128"/>
      <c r="L2932" s="128"/>
      <c r="M2932" s="129"/>
      <c r="N2932" s="129"/>
      <c r="O2932" s="129"/>
    </row>
    <row r="2933" spans="1:15" ht="12.5">
      <c r="A2933" s="158" t="s">
        <v>21676</v>
      </c>
      <c r="B2933" s="159">
        <v>35</v>
      </c>
      <c r="C2933" s="159">
        <v>57</v>
      </c>
      <c r="D2933" s="159">
        <v>71</v>
      </c>
      <c r="E2933" s="159">
        <v>49</v>
      </c>
      <c r="F2933" s="131"/>
      <c r="G2933" s="132"/>
      <c r="H2933" s="162" t="s">
        <v>21677</v>
      </c>
      <c r="I2933" s="158" t="s">
        <v>21678</v>
      </c>
      <c r="J2933" s="128"/>
      <c r="K2933" s="128"/>
      <c r="L2933" s="128"/>
      <c r="M2933" s="129"/>
      <c r="N2933" s="129"/>
      <c r="O2933" s="129"/>
    </row>
    <row r="2934" spans="1:15" ht="12.5">
      <c r="A2934" s="158" t="s">
        <v>21679</v>
      </c>
      <c r="B2934" s="159">
        <v>35</v>
      </c>
      <c r="C2934" s="159">
        <v>57</v>
      </c>
      <c r="D2934" s="159">
        <v>71</v>
      </c>
      <c r="E2934" s="159">
        <v>60</v>
      </c>
      <c r="F2934" s="131"/>
      <c r="G2934" s="132"/>
      <c r="H2934" s="162" t="s">
        <v>21680</v>
      </c>
      <c r="I2934" s="158" t="s">
        <v>21681</v>
      </c>
      <c r="J2934" s="128"/>
      <c r="K2934" s="128"/>
      <c r="L2934" s="128"/>
      <c r="M2934" s="129"/>
      <c r="N2934" s="129"/>
      <c r="O2934" s="129"/>
    </row>
    <row r="2935" spans="1:15" ht="12.5">
      <c r="A2935" s="158" t="s">
        <v>21682</v>
      </c>
      <c r="B2935" s="159">
        <v>35</v>
      </c>
      <c r="C2935" s="159">
        <v>57</v>
      </c>
      <c r="D2935" s="159">
        <v>71</v>
      </c>
      <c r="E2935" s="159">
        <v>61</v>
      </c>
      <c r="F2935" s="131"/>
      <c r="G2935" s="132"/>
      <c r="H2935" s="162" t="s">
        <v>33424</v>
      </c>
      <c r="I2935" s="158" t="s">
        <v>21684</v>
      </c>
      <c r="J2935" s="128"/>
      <c r="K2935" s="128"/>
      <c r="L2935" s="128"/>
      <c r="M2935" s="129"/>
      <c r="N2935" s="129"/>
      <c r="O2935" s="129"/>
    </row>
    <row r="2936" spans="1:15" ht="12.5">
      <c r="A2936" s="158" t="s">
        <v>21685</v>
      </c>
      <c r="B2936" s="159">
        <v>35</v>
      </c>
      <c r="C2936" s="159">
        <v>57</v>
      </c>
      <c r="D2936" s="159">
        <v>71</v>
      </c>
      <c r="E2936" s="159">
        <v>62</v>
      </c>
      <c r="F2936" s="131"/>
      <c r="G2936" s="132"/>
      <c r="H2936" s="162" t="s">
        <v>33425</v>
      </c>
      <c r="I2936" s="158" t="s">
        <v>21687</v>
      </c>
      <c r="J2936" s="128"/>
      <c r="K2936" s="128"/>
      <c r="L2936" s="128"/>
      <c r="M2936" s="129"/>
      <c r="N2936" s="129"/>
      <c r="O2936" s="129"/>
    </row>
    <row r="2937" spans="1:15" ht="12.5">
      <c r="A2937" s="158" t="s">
        <v>21688</v>
      </c>
      <c r="B2937" s="159">
        <v>35</v>
      </c>
      <c r="C2937" s="159">
        <v>57</v>
      </c>
      <c r="D2937" s="159">
        <v>71</v>
      </c>
      <c r="E2937" s="159">
        <v>67</v>
      </c>
      <c r="F2937" s="131"/>
      <c r="G2937" s="132"/>
      <c r="H2937" s="162" t="s">
        <v>21689</v>
      </c>
      <c r="I2937" s="158" t="s">
        <v>21690</v>
      </c>
      <c r="J2937" s="128"/>
      <c r="K2937" s="128"/>
      <c r="L2937" s="128"/>
      <c r="M2937" s="129"/>
      <c r="N2937" s="129"/>
      <c r="O2937" s="129"/>
    </row>
    <row r="2938" spans="1:15" ht="12.5">
      <c r="A2938" s="158" t="s">
        <v>21691</v>
      </c>
      <c r="B2938" s="159">
        <v>35</v>
      </c>
      <c r="C2938" s="159">
        <v>57</v>
      </c>
      <c r="D2938" s="159">
        <v>71</v>
      </c>
      <c r="E2938" s="159">
        <v>68</v>
      </c>
      <c r="F2938" s="131"/>
      <c r="G2938" s="132"/>
      <c r="H2938" s="162" t="s">
        <v>21692</v>
      </c>
      <c r="I2938" s="158" t="s">
        <v>21693</v>
      </c>
      <c r="J2938" s="128"/>
      <c r="K2938" s="128"/>
      <c r="L2938" s="128"/>
      <c r="M2938" s="129"/>
      <c r="N2938" s="129"/>
      <c r="O2938" s="129"/>
    </row>
    <row r="2939" spans="1:15" ht="12.5">
      <c r="A2939" s="158" t="s">
        <v>21694</v>
      </c>
      <c r="B2939" s="159">
        <v>35</v>
      </c>
      <c r="C2939" s="159">
        <v>57</v>
      </c>
      <c r="D2939" s="159">
        <v>71</v>
      </c>
      <c r="E2939" s="159">
        <v>72</v>
      </c>
      <c r="F2939" s="131"/>
      <c r="G2939" s="132"/>
      <c r="H2939" s="162" t="s">
        <v>21695</v>
      </c>
      <c r="I2939" s="158" t="s">
        <v>21696</v>
      </c>
      <c r="J2939" s="128"/>
      <c r="K2939" s="128"/>
      <c r="L2939" s="128"/>
      <c r="M2939" s="129"/>
      <c r="N2939" s="129"/>
      <c r="O2939" s="129"/>
    </row>
    <row r="2940" spans="1:15" ht="12.5">
      <c r="A2940" s="158" t="s">
        <v>21697</v>
      </c>
      <c r="B2940" s="159">
        <v>35</v>
      </c>
      <c r="C2940" s="159">
        <v>57</v>
      </c>
      <c r="D2940" s="159">
        <v>71</v>
      </c>
      <c r="E2940" s="159">
        <v>73</v>
      </c>
      <c r="F2940" s="131"/>
      <c r="G2940" s="132"/>
      <c r="H2940" s="162" t="s">
        <v>21698</v>
      </c>
      <c r="I2940" s="158" t="s">
        <v>21699</v>
      </c>
      <c r="J2940" s="128"/>
      <c r="K2940" s="128"/>
      <c r="L2940" s="128"/>
      <c r="M2940" s="129"/>
      <c r="N2940" s="129"/>
      <c r="O2940" s="129"/>
    </row>
    <row r="2941" spans="1:15" ht="12.5">
      <c r="A2941" s="158" t="s">
        <v>21700</v>
      </c>
      <c r="B2941" s="159">
        <v>35</v>
      </c>
      <c r="C2941" s="159">
        <v>57</v>
      </c>
      <c r="D2941" s="159">
        <v>71</v>
      </c>
      <c r="E2941" s="159">
        <v>74</v>
      </c>
      <c r="F2941" s="131"/>
      <c r="G2941" s="132"/>
      <c r="H2941" s="162" t="s">
        <v>21701</v>
      </c>
      <c r="I2941" s="158" t="s">
        <v>21702</v>
      </c>
      <c r="J2941" s="128"/>
      <c r="K2941" s="128"/>
      <c r="L2941" s="128"/>
      <c r="M2941" s="129"/>
      <c r="N2941" s="129"/>
      <c r="O2941" s="129"/>
    </row>
    <row r="2942" spans="1:15" ht="12.5">
      <c r="A2942" s="158" t="s">
        <v>21703</v>
      </c>
      <c r="B2942" s="159">
        <v>35</v>
      </c>
      <c r="C2942" s="159">
        <v>57</v>
      </c>
      <c r="D2942" s="159">
        <v>71</v>
      </c>
      <c r="E2942" s="159">
        <v>75</v>
      </c>
      <c r="F2942" s="131"/>
      <c r="G2942" s="132"/>
      <c r="H2942" s="162" t="s">
        <v>21704</v>
      </c>
      <c r="I2942" s="158" t="s">
        <v>21705</v>
      </c>
      <c r="J2942" s="128"/>
      <c r="K2942" s="128"/>
      <c r="L2942" s="128"/>
      <c r="M2942" s="129"/>
      <c r="N2942" s="129"/>
      <c r="O2942" s="129"/>
    </row>
    <row r="2943" spans="1:15" ht="12.5">
      <c r="A2943" s="158" t="s">
        <v>21706</v>
      </c>
      <c r="B2943" s="159">
        <v>35</v>
      </c>
      <c r="C2943" s="159">
        <v>57</v>
      </c>
      <c r="D2943" s="159">
        <v>71</v>
      </c>
      <c r="E2943" s="159">
        <v>76</v>
      </c>
      <c r="F2943" s="131"/>
      <c r="G2943" s="132"/>
      <c r="H2943" s="162" t="s">
        <v>21707</v>
      </c>
      <c r="I2943" s="158" t="s">
        <v>21708</v>
      </c>
      <c r="J2943" s="128"/>
      <c r="K2943" s="128"/>
      <c r="L2943" s="128"/>
      <c r="M2943" s="129"/>
      <c r="N2943" s="129"/>
      <c r="O2943" s="129"/>
    </row>
    <row r="2944" spans="1:15" ht="12.5">
      <c r="A2944" s="158" t="s">
        <v>21709</v>
      </c>
      <c r="B2944" s="159">
        <v>35</v>
      </c>
      <c r="C2944" s="159">
        <v>57</v>
      </c>
      <c r="D2944" s="159">
        <v>71</v>
      </c>
      <c r="E2944" s="159">
        <v>80</v>
      </c>
      <c r="F2944" s="131"/>
      <c r="G2944" s="132"/>
      <c r="H2944" s="162" t="s">
        <v>21710</v>
      </c>
      <c r="I2944" s="158" t="s">
        <v>21711</v>
      </c>
      <c r="J2944" s="128"/>
      <c r="K2944" s="128"/>
      <c r="L2944" s="128"/>
      <c r="M2944" s="129"/>
      <c r="N2944" s="129"/>
      <c r="O2944" s="129"/>
    </row>
    <row r="2945" spans="1:15" ht="12.5">
      <c r="A2945" s="158" t="s">
        <v>21712</v>
      </c>
      <c r="B2945" s="159">
        <v>35</v>
      </c>
      <c r="C2945" s="159">
        <v>57</v>
      </c>
      <c r="D2945" s="159">
        <v>71</v>
      </c>
      <c r="E2945" s="159">
        <v>84</v>
      </c>
      <c r="F2945" s="131"/>
      <c r="G2945" s="132"/>
      <c r="H2945" s="162" t="s">
        <v>21713</v>
      </c>
      <c r="I2945" s="158" t="s">
        <v>21714</v>
      </c>
      <c r="J2945" s="128"/>
      <c r="K2945" s="128"/>
      <c r="L2945" s="128"/>
      <c r="M2945" s="129"/>
      <c r="N2945" s="129"/>
      <c r="O2945" s="129"/>
    </row>
    <row r="2946" spans="1:15" ht="12.5">
      <c r="A2946" s="158" t="s">
        <v>21715</v>
      </c>
      <c r="B2946" s="159">
        <v>35</v>
      </c>
      <c r="C2946" s="159">
        <v>57</v>
      </c>
      <c r="D2946" s="159">
        <v>71</v>
      </c>
      <c r="E2946" s="159">
        <v>86</v>
      </c>
      <c r="F2946" s="131"/>
      <c r="G2946" s="132"/>
      <c r="H2946" s="162" t="s">
        <v>21716</v>
      </c>
      <c r="I2946" s="158" t="s">
        <v>21717</v>
      </c>
      <c r="J2946" s="128"/>
      <c r="K2946" s="128"/>
      <c r="L2946" s="128"/>
      <c r="M2946" s="129"/>
      <c r="N2946" s="129"/>
      <c r="O2946" s="129"/>
    </row>
    <row r="2947" spans="1:15" ht="12.5">
      <c r="A2947" s="158" t="s">
        <v>21718</v>
      </c>
      <c r="B2947" s="159">
        <v>35</v>
      </c>
      <c r="C2947" s="159">
        <v>57</v>
      </c>
      <c r="D2947" s="159">
        <v>71</v>
      </c>
      <c r="E2947" s="159">
        <v>87</v>
      </c>
      <c r="F2947" s="131"/>
      <c r="G2947" s="132"/>
      <c r="H2947" s="162" t="s">
        <v>21719</v>
      </c>
      <c r="I2947" s="158" t="s">
        <v>21720</v>
      </c>
      <c r="J2947" s="128"/>
      <c r="K2947" s="128"/>
      <c r="L2947" s="128"/>
      <c r="M2947" s="129"/>
      <c r="N2947" s="129"/>
      <c r="O2947" s="129"/>
    </row>
    <row r="2948" spans="1:15" ht="12.5">
      <c r="A2948" s="158" t="s">
        <v>21721</v>
      </c>
      <c r="B2948" s="159">
        <v>35</v>
      </c>
      <c r="C2948" s="159">
        <v>57</v>
      </c>
      <c r="D2948" s="159">
        <v>88</v>
      </c>
      <c r="E2948" s="130"/>
      <c r="F2948" s="131"/>
      <c r="G2948" s="132"/>
      <c r="H2948" s="162" t="s">
        <v>21722</v>
      </c>
      <c r="I2948" s="128"/>
      <c r="J2948" s="128"/>
      <c r="K2948" s="128"/>
      <c r="L2948" s="128"/>
      <c r="M2948" s="129"/>
      <c r="N2948" s="129"/>
      <c r="O2948" s="129"/>
    </row>
    <row r="2949" spans="1:15" ht="12.5">
      <c r="A2949" s="158" t="s">
        <v>21723</v>
      </c>
      <c r="B2949" s="159">
        <v>35</v>
      </c>
      <c r="C2949" s="159">
        <v>57</v>
      </c>
      <c r="D2949" s="159">
        <v>88</v>
      </c>
      <c r="E2949" s="159">
        <v>16</v>
      </c>
      <c r="F2949" s="131"/>
      <c r="G2949" s="132"/>
      <c r="H2949" s="162" t="s">
        <v>21724</v>
      </c>
      <c r="I2949" s="128"/>
      <c r="J2949" s="128"/>
      <c r="K2949" s="128"/>
      <c r="L2949" s="128"/>
      <c r="M2949" s="129"/>
      <c r="N2949" s="129"/>
      <c r="O2949" s="129"/>
    </row>
    <row r="2950" spans="1:15" ht="12.5">
      <c r="A2950" s="158" t="s">
        <v>21725</v>
      </c>
      <c r="B2950" s="159">
        <v>35</v>
      </c>
      <c r="C2950" s="159">
        <v>57</v>
      </c>
      <c r="D2950" s="159">
        <v>88</v>
      </c>
      <c r="E2950" s="159">
        <v>46</v>
      </c>
      <c r="F2950" s="131"/>
      <c r="G2950" s="132"/>
      <c r="H2950" s="162" t="s">
        <v>21726</v>
      </c>
      <c r="I2950" s="128"/>
      <c r="J2950" s="128"/>
      <c r="K2950" s="128"/>
      <c r="L2950" s="128"/>
      <c r="M2950" s="129"/>
      <c r="N2950" s="129"/>
      <c r="O2950" s="129"/>
    </row>
    <row r="2951" spans="1:15" ht="12.5">
      <c r="A2951" s="158" t="s">
        <v>21727</v>
      </c>
      <c r="B2951" s="159">
        <v>35</v>
      </c>
      <c r="C2951" s="159">
        <v>57</v>
      </c>
      <c r="D2951" s="159">
        <v>88</v>
      </c>
      <c r="E2951" s="159">
        <v>97</v>
      </c>
      <c r="F2951" s="131"/>
      <c r="G2951" s="132"/>
      <c r="H2951" s="162" t="s">
        <v>21728</v>
      </c>
      <c r="I2951" s="128"/>
      <c r="J2951" s="128"/>
      <c r="K2951" s="128"/>
      <c r="L2951" s="128"/>
      <c r="M2951" s="129"/>
      <c r="N2951" s="129"/>
      <c r="O2951" s="129"/>
    </row>
    <row r="2952" spans="1:15" ht="12.5">
      <c r="A2952" s="158" t="s">
        <v>21729</v>
      </c>
      <c r="B2952" s="159">
        <v>35</v>
      </c>
      <c r="C2952" s="159">
        <v>57</v>
      </c>
      <c r="D2952" s="159">
        <v>88</v>
      </c>
      <c r="E2952" s="159">
        <v>98</v>
      </c>
      <c r="F2952" s="131"/>
      <c r="G2952" s="132"/>
      <c r="H2952" s="162" t="s">
        <v>21730</v>
      </c>
      <c r="I2952" s="128"/>
      <c r="J2952" s="128"/>
      <c r="K2952" s="128"/>
      <c r="L2952" s="128"/>
      <c r="M2952" s="129"/>
      <c r="N2952" s="129"/>
      <c r="O2952" s="129"/>
    </row>
    <row r="2953" spans="1:15" ht="12.5">
      <c r="A2953" s="144" t="s">
        <v>21731</v>
      </c>
      <c r="B2953" s="145">
        <v>35</v>
      </c>
      <c r="C2953" s="145">
        <v>90</v>
      </c>
      <c r="D2953" s="146"/>
      <c r="E2953" s="146"/>
      <c r="F2953" s="147" t="s">
        <v>33426</v>
      </c>
      <c r="G2953" s="190"/>
      <c r="H2953" s="149" t="s">
        <v>21732</v>
      </c>
      <c r="I2953" s="150"/>
      <c r="J2953" s="150"/>
      <c r="K2953" s="150"/>
      <c r="L2953" s="150"/>
      <c r="M2953" s="191"/>
      <c r="N2953" s="191"/>
      <c r="O2953" s="191"/>
    </row>
    <row r="2954" spans="1:15" ht="12.5">
      <c r="A2954" s="158" t="s">
        <v>21733</v>
      </c>
      <c r="B2954" s="159">
        <v>35</v>
      </c>
      <c r="C2954" s="159">
        <v>90</v>
      </c>
      <c r="D2954" s="159">
        <v>7</v>
      </c>
      <c r="E2954" s="130"/>
      <c r="F2954" s="131"/>
      <c r="G2954" s="132"/>
      <c r="H2954" s="162" t="s">
        <v>21734</v>
      </c>
      <c r="I2954" s="128"/>
      <c r="J2954" s="128"/>
      <c r="K2954" s="128"/>
      <c r="L2954" s="128"/>
      <c r="M2954" s="129"/>
      <c r="N2954" s="129"/>
      <c r="O2954" s="129"/>
    </row>
    <row r="2955" spans="1:15" ht="12.5">
      <c r="A2955" s="158" t="s">
        <v>21735</v>
      </c>
      <c r="B2955" s="159">
        <v>35</v>
      </c>
      <c r="C2955" s="159">
        <v>90</v>
      </c>
      <c r="D2955" s="159">
        <v>7</v>
      </c>
      <c r="E2955" s="159">
        <v>4</v>
      </c>
      <c r="F2955" s="131"/>
      <c r="G2955" s="132"/>
      <c r="H2955" s="162" t="s">
        <v>21736</v>
      </c>
      <c r="I2955" s="158" t="s">
        <v>21737</v>
      </c>
      <c r="J2955" s="128"/>
      <c r="K2955" s="128"/>
      <c r="L2955" s="128"/>
      <c r="M2955" s="129"/>
      <c r="N2955" s="129"/>
      <c r="O2955" s="129"/>
    </row>
    <row r="2956" spans="1:15" ht="12.5">
      <c r="A2956" s="158" t="s">
        <v>21738</v>
      </c>
      <c r="B2956" s="159">
        <v>35</v>
      </c>
      <c r="C2956" s="159">
        <v>90</v>
      </c>
      <c r="D2956" s="159">
        <v>7</v>
      </c>
      <c r="E2956" s="159">
        <v>8</v>
      </c>
      <c r="F2956" s="131"/>
      <c r="G2956" s="132"/>
      <c r="H2956" s="162" t="s">
        <v>21739</v>
      </c>
      <c r="I2956" s="158" t="s">
        <v>21740</v>
      </c>
      <c r="J2956" s="128"/>
      <c r="K2956" s="128"/>
      <c r="L2956" s="128"/>
      <c r="M2956" s="129"/>
      <c r="N2956" s="129"/>
      <c r="O2956" s="129"/>
    </row>
    <row r="2957" spans="1:15" ht="12.5">
      <c r="A2957" s="158" t="s">
        <v>21743</v>
      </c>
      <c r="B2957" s="159">
        <v>35</v>
      </c>
      <c r="C2957" s="159">
        <v>90</v>
      </c>
      <c r="D2957" s="159">
        <v>7</v>
      </c>
      <c r="E2957" s="159">
        <v>24</v>
      </c>
      <c r="F2957" s="131"/>
      <c r="G2957" s="132"/>
      <c r="H2957" s="162" t="s">
        <v>21744</v>
      </c>
      <c r="I2957" s="158" t="s">
        <v>21745</v>
      </c>
      <c r="J2957" s="128"/>
      <c r="K2957" s="128"/>
      <c r="L2957" s="128"/>
      <c r="M2957" s="129"/>
      <c r="N2957" s="129"/>
      <c r="O2957" s="129"/>
    </row>
    <row r="2958" spans="1:15" ht="12.5">
      <c r="A2958" s="158" t="s">
        <v>21746</v>
      </c>
      <c r="B2958" s="159">
        <v>35</v>
      </c>
      <c r="C2958" s="159">
        <v>90</v>
      </c>
      <c r="D2958" s="159">
        <v>7</v>
      </c>
      <c r="E2958" s="159">
        <v>33</v>
      </c>
      <c r="F2958" s="131"/>
      <c r="G2958" s="132"/>
      <c r="H2958" s="162" t="s">
        <v>21747</v>
      </c>
      <c r="I2958" s="158" t="s">
        <v>33427</v>
      </c>
      <c r="J2958" s="128"/>
      <c r="K2958" s="128"/>
      <c r="L2958" s="128"/>
      <c r="M2958" s="129"/>
      <c r="N2958" s="129"/>
      <c r="O2958" s="129"/>
    </row>
    <row r="2959" spans="1:15" ht="12.5">
      <c r="A2959" s="158" t="s">
        <v>21749</v>
      </c>
      <c r="B2959" s="159">
        <v>35</v>
      </c>
      <c r="C2959" s="159">
        <v>90</v>
      </c>
      <c r="D2959" s="159">
        <v>7</v>
      </c>
      <c r="E2959" s="159">
        <v>47</v>
      </c>
      <c r="F2959" s="131"/>
      <c r="G2959" s="132"/>
      <c r="H2959" s="162" t="s">
        <v>21750</v>
      </c>
      <c r="I2959" s="128"/>
      <c r="J2959" s="128"/>
      <c r="K2959" s="128"/>
      <c r="L2959" s="128"/>
      <c r="M2959" s="129"/>
      <c r="N2959" s="129"/>
      <c r="O2959" s="129"/>
    </row>
    <row r="2960" spans="1:15" ht="12.5">
      <c r="A2960" s="158" t="s">
        <v>21751</v>
      </c>
      <c r="B2960" s="159">
        <v>35</v>
      </c>
      <c r="C2960" s="159">
        <v>90</v>
      </c>
      <c r="D2960" s="159">
        <v>7</v>
      </c>
      <c r="E2960" s="159">
        <v>63</v>
      </c>
      <c r="F2960" s="131"/>
      <c r="G2960" s="132"/>
      <c r="H2960" s="162" t="s">
        <v>21752</v>
      </c>
      <c r="I2960" s="158" t="s">
        <v>21753</v>
      </c>
      <c r="J2960" s="128"/>
      <c r="K2960" s="128"/>
      <c r="L2960" s="128"/>
      <c r="M2960" s="129"/>
      <c r="N2960" s="129"/>
      <c r="O2960" s="129"/>
    </row>
    <row r="2961" spans="1:15" ht="12.5">
      <c r="A2961" s="158" t="s">
        <v>21754</v>
      </c>
      <c r="B2961" s="159">
        <v>35</v>
      </c>
      <c r="C2961" s="159">
        <v>90</v>
      </c>
      <c r="D2961" s="159">
        <v>7</v>
      </c>
      <c r="E2961" s="159">
        <v>72</v>
      </c>
      <c r="F2961" s="131"/>
      <c r="G2961" s="132"/>
      <c r="H2961" s="162" t="s">
        <v>21755</v>
      </c>
      <c r="I2961" s="158" t="s">
        <v>21756</v>
      </c>
      <c r="J2961" s="128"/>
      <c r="K2961" s="128"/>
      <c r="L2961" s="128"/>
      <c r="M2961" s="129"/>
      <c r="N2961" s="129"/>
      <c r="O2961" s="129"/>
    </row>
    <row r="2962" spans="1:15" ht="12.5">
      <c r="A2962" s="158" t="s">
        <v>21757</v>
      </c>
      <c r="B2962" s="159">
        <v>35</v>
      </c>
      <c r="C2962" s="159">
        <v>90</v>
      </c>
      <c r="D2962" s="159">
        <v>7</v>
      </c>
      <c r="E2962" s="159">
        <v>73</v>
      </c>
      <c r="F2962" s="131"/>
      <c r="G2962" s="132"/>
      <c r="H2962" s="162" t="s">
        <v>21758</v>
      </c>
      <c r="I2962" s="128"/>
      <c r="J2962" s="128"/>
      <c r="K2962" s="128"/>
      <c r="L2962" s="128"/>
      <c r="M2962" s="129"/>
      <c r="N2962" s="129"/>
      <c r="O2962" s="129"/>
    </row>
    <row r="2963" spans="1:15" ht="12.5">
      <c r="A2963" s="158" t="s">
        <v>21759</v>
      </c>
      <c r="B2963" s="159">
        <v>35</v>
      </c>
      <c r="C2963" s="159">
        <v>90</v>
      </c>
      <c r="D2963" s="159">
        <v>7</v>
      </c>
      <c r="E2963" s="159">
        <v>88</v>
      </c>
      <c r="F2963" s="131"/>
      <c r="G2963" s="132"/>
      <c r="H2963" s="162" t="s">
        <v>21760</v>
      </c>
      <c r="I2963" s="158" t="s">
        <v>21761</v>
      </c>
      <c r="J2963" s="128"/>
      <c r="K2963" s="128"/>
      <c r="L2963" s="128"/>
      <c r="M2963" s="129"/>
      <c r="N2963" s="129"/>
      <c r="O2963" s="129"/>
    </row>
    <row r="2964" spans="1:15" ht="12.5">
      <c r="A2964" s="158" t="s">
        <v>21762</v>
      </c>
      <c r="B2964" s="159">
        <v>35</v>
      </c>
      <c r="C2964" s="159">
        <v>90</v>
      </c>
      <c r="D2964" s="159">
        <v>7</v>
      </c>
      <c r="E2964" s="159">
        <v>89</v>
      </c>
      <c r="F2964" s="131"/>
      <c r="G2964" s="132"/>
      <c r="H2964" s="162" t="s">
        <v>21763</v>
      </c>
      <c r="I2964" s="158" t="s">
        <v>21764</v>
      </c>
      <c r="J2964" s="128"/>
      <c r="K2964" s="128"/>
      <c r="L2964" s="128"/>
      <c r="M2964" s="129"/>
      <c r="N2964" s="129"/>
      <c r="O2964" s="129"/>
    </row>
    <row r="2965" spans="1:15" ht="12.5">
      <c r="A2965" s="158" t="s">
        <v>21765</v>
      </c>
      <c r="B2965" s="159">
        <v>35</v>
      </c>
      <c r="C2965" s="159">
        <v>90</v>
      </c>
      <c r="D2965" s="159">
        <v>9</v>
      </c>
      <c r="E2965" s="130"/>
      <c r="F2965" s="131"/>
      <c r="G2965" s="132"/>
      <c r="H2965" s="162" t="s">
        <v>21766</v>
      </c>
      <c r="I2965" s="128"/>
      <c r="J2965" s="128"/>
      <c r="K2965" s="128"/>
      <c r="L2965" s="128"/>
      <c r="M2965" s="129"/>
      <c r="N2965" s="129"/>
      <c r="O2965" s="129"/>
    </row>
    <row r="2966" spans="1:15" ht="12.5">
      <c r="A2966" s="158" t="s">
        <v>21767</v>
      </c>
      <c r="B2966" s="159">
        <v>35</v>
      </c>
      <c r="C2966" s="159">
        <v>90</v>
      </c>
      <c r="D2966" s="159">
        <v>9</v>
      </c>
      <c r="E2966" s="159">
        <v>11</v>
      </c>
      <c r="F2966" s="131"/>
      <c r="G2966" s="132"/>
      <c r="H2966" s="162" t="s">
        <v>21768</v>
      </c>
      <c r="I2966" s="158" t="s">
        <v>21769</v>
      </c>
      <c r="J2966" s="128"/>
      <c r="K2966" s="128"/>
      <c r="L2966" s="128"/>
      <c r="M2966" s="129"/>
      <c r="N2966" s="129"/>
      <c r="O2966" s="129"/>
    </row>
    <row r="2967" spans="1:15" ht="12.5">
      <c r="A2967" s="158" t="s">
        <v>21770</v>
      </c>
      <c r="B2967" s="159">
        <v>35</v>
      </c>
      <c r="C2967" s="159">
        <v>90</v>
      </c>
      <c r="D2967" s="159">
        <v>9</v>
      </c>
      <c r="E2967" s="159">
        <v>27</v>
      </c>
      <c r="F2967" s="131"/>
      <c r="G2967" s="132"/>
      <c r="H2967" s="162" t="s">
        <v>21771</v>
      </c>
      <c r="I2967" s="158" t="s">
        <v>21772</v>
      </c>
      <c r="J2967" s="128"/>
      <c r="K2967" s="128"/>
      <c r="L2967" s="128"/>
      <c r="M2967" s="129"/>
      <c r="N2967" s="129"/>
      <c r="O2967" s="129"/>
    </row>
    <row r="2968" spans="1:15" ht="12.5">
      <c r="A2968" s="158" t="s">
        <v>21773</v>
      </c>
      <c r="B2968" s="159">
        <v>35</v>
      </c>
      <c r="C2968" s="159">
        <v>90</v>
      </c>
      <c r="D2968" s="159">
        <v>9</v>
      </c>
      <c r="E2968" s="159">
        <v>28</v>
      </c>
      <c r="F2968" s="131"/>
      <c r="G2968" s="132"/>
      <c r="H2968" s="162" t="s">
        <v>21774</v>
      </c>
      <c r="I2968" s="158" t="s">
        <v>21775</v>
      </c>
      <c r="J2968" s="128"/>
      <c r="K2968" s="128"/>
      <c r="L2968" s="128"/>
      <c r="M2968" s="129"/>
      <c r="N2968" s="129"/>
      <c r="O2968" s="129"/>
    </row>
    <row r="2969" spans="1:15" ht="12.5">
      <c r="A2969" s="158" t="s">
        <v>21776</v>
      </c>
      <c r="B2969" s="159">
        <v>35</v>
      </c>
      <c r="C2969" s="159">
        <v>90</v>
      </c>
      <c r="D2969" s="159">
        <v>9</v>
      </c>
      <c r="E2969" s="159">
        <v>71</v>
      </c>
      <c r="F2969" s="131"/>
      <c r="G2969" s="132"/>
      <c r="H2969" s="162" t="s">
        <v>21777</v>
      </c>
      <c r="I2969" s="158" t="s">
        <v>21778</v>
      </c>
      <c r="J2969" s="128"/>
      <c r="K2969" s="128"/>
      <c r="L2969" s="128"/>
      <c r="M2969" s="129"/>
      <c r="N2969" s="129"/>
      <c r="O2969" s="129"/>
    </row>
    <row r="2970" spans="1:15" ht="12.5">
      <c r="A2970" s="158" t="s">
        <v>21779</v>
      </c>
      <c r="B2970" s="159">
        <v>35</v>
      </c>
      <c r="C2970" s="159">
        <v>90</v>
      </c>
      <c r="D2970" s="159">
        <v>9</v>
      </c>
      <c r="E2970" s="159">
        <v>85</v>
      </c>
      <c r="F2970" s="131"/>
      <c r="G2970" s="132"/>
      <c r="H2970" s="162" t="s">
        <v>21780</v>
      </c>
      <c r="I2970" s="158" t="s">
        <v>21781</v>
      </c>
      <c r="J2970" s="128"/>
      <c r="K2970" s="128"/>
      <c r="L2970" s="128"/>
      <c r="M2970" s="129"/>
      <c r="N2970" s="129"/>
      <c r="O2970" s="129"/>
    </row>
    <row r="2971" spans="1:15" ht="12.5">
      <c r="A2971" s="158" t="s">
        <v>21782</v>
      </c>
      <c r="B2971" s="159">
        <v>35</v>
      </c>
      <c r="C2971" s="159">
        <v>90</v>
      </c>
      <c r="D2971" s="159">
        <v>15</v>
      </c>
      <c r="E2971" s="130"/>
      <c r="F2971" s="131"/>
      <c r="G2971" s="132"/>
      <c r="H2971" s="162" t="s">
        <v>21783</v>
      </c>
      <c r="I2971" s="128"/>
      <c r="J2971" s="128"/>
      <c r="K2971" s="128"/>
      <c r="L2971" s="128"/>
      <c r="M2971" s="129"/>
      <c r="N2971" s="129"/>
      <c r="O2971" s="129"/>
    </row>
    <row r="2972" spans="1:15" ht="12.5">
      <c r="A2972" s="158" t="s">
        <v>21784</v>
      </c>
      <c r="B2972" s="159">
        <v>35</v>
      </c>
      <c r="C2972" s="159">
        <v>90</v>
      </c>
      <c r="D2972" s="159">
        <v>15</v>
      </c>
      <c r="E2972" s="159">
        <v>4</v>
      </c>
      <c r="F2972" s="131"/>
      <c r="G2972" s="132"/>
      <c r="H2972" s="162" t="s">
        <v>21785</v>
      </c>
      <c r="I2972" s="158" t="s">
        <v>21786</v>
      </c>
      <c r="J2972" s="128"/>
      <c r="K2972" s="128"/>
      <c r="L2972" s="128"/>
      <c r="M2972" s="129"/>
      <c r="N2972" s="129"/>
      <c r="O2972" s="129"/>
    </row>
    <row r="2973" spans="1:15" ht="12.5">
      <c r="A2973" s="158" t="s">
        <v>21787</v>
      </c>
      <c r="B2973" s="159">
        <v>35</v>
      </c>
      <c r="C2973" s="159">
        <v>90</v>
      </c>
      <c r="D2973" s="159">
        <v>15</v>
      </c>
      <c r="E2973" s="159">
        <v>8</v>
      </c>
      <c r="F2973" s="131"/>
      <c r="G2973" s="132"/>
      <c r="H2973" s="162" t="s">
        <v>21788</v>
      </c>
      <c r="I2973" s="158" t="s">
        <v>21789</v>
      </c>
      <c r="J2973" s="128"/>
      <c r="K2973" s="128"/>
      <c r="L2973" s="128"/>
      <c r="M2973" s="129"/>
      <c r="N2973" s="129"/>
      <c r="O2973" s="129"/>
    </row>
    <row r="2974" spans="1:15" ht="12.5">
      <c r="A2974" s="158" t="s">
        <v>21790</v>
      </c>
      <c r="B2974" s="159">
        <v>35</v>
      </c>
      <c r="C2974" s="159">
        <v>90</v>
      </c>
      <c r="D2974" s="159">
        <v>15</v>
      </c>
      <c r="E2974" s="159">
        <v>11</v>
      </c>
      <c r="F2974" s="131"/>
      <c r="G2974" s="132"/>
      <c r="H2974" s="162" t="s">
        <v>21791</v>
      </c>
      <c r="I2974" s="158" t="s">
        <v>21792</v>
      </c>
      <c r="J2974" s="128"/>
      <c r="K2974" s="128"/>
      <c r="L2974" s="128"/>
      <c r="M2974" s="129"/>
      <c r="N2974" s="129"/>
      <c r="O2974" s="129"/>
    </row>
    <row r="2975" spans="1:15" ht="12.5">
      <c r="A2975" s="158" t="s">
        <v>21793</v>
      </c>
      <c r="B2975" s="159">
        <v>35</v>
      </c>
      <c r="C2975" s="159">
        <v>90</v>
      </c>
      <c r="D2975" s="159">
        <v>15</v>
      </c>
      <c r="E2975" s="159">
        <v>12</v>
      </c>
      <c r="F2975" s="131"/>
      <c r="G2975" s="132"/>
      <c r="H2975" s="162" t="s">
        <v>21794</v>
      </c>
      <c r="I2975" s="158" t="s">
        <v>21795</v>
      </c>
      <c r="J2975" s="128"/>
      <c r="K2975" s="128"/>
      <c r="L2975" s="128"/>
      <c r="M2975" s="129"/>
      <c r="N2975" s="129"/>
      <c r="O2975" s="129"/>
    </row>
    <row r="2976" spans="1:15" ht="12.5">
      <c r="A2976" s="158" t="s">
        <v>21796</v>
      </c>
      <c r="B2976" s="159">
        <v>35</v>
      </c>
      <c r="C2976" s="159">
        <v>90</v>
      </c>
      <c r="D2976" s="159">
        <v>15</v>
      </c>
      <c r="E2976" s="159">
        <v>13</v>
      </c>
      <c r="F2976" s="131"/>
      <c r="G2976" s="132"/>
      <c r="H2976" s="162" t="s">
        <v>21797</v>
      </c>
      <c r="I2976" s="158" t="s">
        <v>21798</v>
      </c>
      <c r="J2976" s="128"/>
      <c r="K2976" s="128"/>
      <c r="L2976" s="128"/>
      <c r="M2976" s="129"/>
      <c r="N2976" s="129"/>
      <c r="O2976" s="129"/>
    </row>
    <row r="2977" spans="1:15" ht="12.5">
      <c r="A2977" s="158" t="s">
        <v>21799</v>
      </c>
      <c r="B2977" s="159">
        <v>35</v>
      </c>
      <c r="C2977" s="159">
        <v>90</v>
      </c>
      <c r="D2977" s="159">
        <v>15</v>
      </c>
      <c r="E2977" s="159">
        <v>14</v>
      </c>
      <c r="F2977" s="131"/>
      <c r="G2977" s="132"/>
      <c r="H2977" s="162" t="s">
        <v>21800</v>
      </c>
      <c r="I2977" s="158" t="s">
        <v>21801</v>
      </c>
      <c r="J2977" s="128"/>
      <c r="K2977" s="128"/>
      <c r="L2977" s="128"/>
      <c r="M2977" s="129"/>
      <c r="N2977" s="129"/>
      <c r="O2977" s="129"/>
    </row>
    <row r="2978" spans="1:15" ht="12.5">
      <c r="A2978" s="158" t="s">
        <v>21802</v>
      </c>
      <c r="B2978" s="159">
        <v>35</v>
      </c>
      <c r="C2978" s="159">
        <v>90</v>
      </c>
      <c r="D2978" s="159">
        <v>15</v>
      </c>
      <c r="E2978" s="159">
        <v>15</v>
      </c>
      <c r="F2978" s="131"/>
      <c r="G2978" s="132"/>
      <c r="H2978" s="162" t="s">
        <v>21803</v>
      </c>
      <c r="I2978" s="158" t="s">
        <v>21804</v>
      </c>
      <c r="J2978" s="128"/>
      <c r="K2978" s="128"/>
      <c r="L2978" s="128"/>
      <c r="M2978" s="129"/>
      <c r="N2978" s="129"/>
      <c r="O2978" s="129"/>
    </row>
    <row r="2979" spans="1:15" ht="12.5">
      <c r="A2979" s="158" t="s">
        <v>21805</v>
      </c>
      <c r="B2979" s="159">
        <v>35</v>
      </c>
      <c r="C2979" s="159">
        <v>90</v>
      </c>
      <c r="D2979" s="159">
        <v>15</v>
      </c>
      <c r="E2979" s="159">
        <v>16</v>
      </c>
      <c r="F2979" s="131"/>
      <c r="G2979" s="132"/>
      <c r="H2979" s="162" t="s">
        <v>21806</v>
      </c>
      <c r="I2979" s="158" t="s">
        <v>21807</v>
      </c>
      <c r="J2979" s="128"/>
      <c r="K2979" s="128"/>
      <c r="L2979" s="128"/>
      <c r="M2979" s="129"/>
      <c r="N2979" s="129"/>
      <c r="O2979" s="129"/>
    </row>
    <row r="2980" spans="1:15" ht="12.5">
      <c r="A2980" s="158" t="s">
        <v>21808</v>
      </c>
      <c r="B2980" s="159">
        <v>35</v>
      </c>
      <c r="C2980" s="159">
        <v>90</v>
      </c>
      <c r="D2980" s="159">
        <v>15</v>
      </c>
      <c r="E2980" s="159">
        <v>19</v>
      </c>
      <c r="F2980" s="131"/>
      <c r="G2980" s="132"/>
      <c r="H2980" s="162" t="s">
        <v>21809</v>
      </c>
      <c r="I2980" s="158" t="s">
        <v>21810</v>
      </c>
      <c r="J2980" s="128"/>
      <c r="K2980" s="128"/>
      <c r="L2980" s="128"/>
      <c r="M2980" s="129"/>
      <c r="N2980" s="129"/>
      <c r="O2980" s="129"/>
    </row>
    <row r="2981" spans="1:15" ht="12.5">
      <c r="A2981" s="158" t="s">
        <v>21811</v>
      </c>
      <c r="B2981" s="159">
        <v>35</v>
      </c>
      <c r="C2981" s="159">
        <v>90</v>
      </c>
      <c r="D2981" s="159">
        <v>15</v>
      </c>
      <c r="E2981" s="159">
        <v>37</v>
      </c>
      <c r="F2981" s="131"/>
      <c r="G2981" s="132"/>
      <c r="H2981" s="162" t="s">
        <v>21812</v>
      </c>
      <c r="I2981" s="158" t="s">
        <v>21813</v>
      </c>
      <c r="J2981" s="128"/>
      <c r="K2981" s="128"/>
      <c r="L2981" s="128"/>
      <c r="M2981" s="129"/>
      <c r="N2981" s="129"/>
      <c r="O2981" s="129"/>
    </row>
    <row r="2982" spans="1:15" ht="12.5">
      <c r="A2982" s="158" t="s">
        <v>21814</v>
      </c>
      <c r="B2982" s="159">
        <v>35</v>
      </c>
      <c r="C2982" s="159">
        <v>90</v>
      </c>
      <c r="D2982" s="159">
        <v>15</v>
      </c>
      <c r="E2982" s="159">
        <v>42</v>
      </c>
      <c r="F2982" s="131"/>
      <c r="G2982" s="132"/>
      <c r="H2982" s="162" t="s">
        <v>21815</v>
      </c>
      <c r="I2982" s="158" t="s">
        <v>21816</v>
      </c>
      <c r="J2982" s="128"/>
      <c r="K2982" s="128"/>
      <c r="L2982" s="128"/>
      <c r="M2982" s="129"/>
      <c r="N2982" s="129"/>
      <c r="O2982" s="129"/>
    </row>
    <row r="2983" spans="1:15" ht="12.5">
      <c r="A2983" s="158" t="s">
        <v>21817</v>
      </c>
      <c r="B2983" s="159">
        <v>35</v>
      </c>
      <c r="C2983" s="159">
        <v>90</v>
      </c>
      <c r="D2983" s="159">
        <v>15</v>
      </c>
      <c r="E2983" s="159">
        <v>48</v>
      </c>
      <c r="F2983" s="131"/>
      <c r="G2983" s="132"/>
      <c r="H2983" s="162" t="s">
        <v>21818</v>
      </c>
      <c r="I2983" s="158" t="s">
        <v>21819</v>
      </c>
      <c r="J2983" s="128"/>
      <c r="K2983" s="128"/>
      <c r="L2983" s="128"/>
      <c r="M2983" s="129"/>
      <c r="N2983" s="129"/>
      <c r="O2983" s="129"/>
    </row>
    <row r="2984" spans="1:15" ht="12.5">
      <c r="A2984" s="158" t="s">
        <v>21820</v>
      </c>
      <c r="B2984" s="159">
        <v>35</v>
      </c>
      <c r="C2984" s="159">
        <v>90</v>
      </c>
      <c r="D2984" s="159">
        <v>15</v>
      </c>
      <c r="E2984" s="159">
        <v>63</v>
      </c>
      <c r="F2984" s="131"/>
      <c r="G2984" s="132"/>
      <c r="H2984" s="162" t="s">
        <v>21821</v>
      </c>
      <c r="I2984" s="158" t="s">
        <v>21822</v>
      </c>
      <c r="J2984" s="128"/>
      <c r="K2984" s="128"/>
      <c r="L2984" s="128"/>
      <c r="M2984" s="129"/>
      <c r="N2984" s="129"/>
      <c r="O2984" s="129"/>
    </row>
    <row r="2985" spans="1:15" ht="12.5">
      <c r="A2985" s="158" t="s">
        <v>21823</v>
      </c>
      <c r="B2985" s="159">
        <v>35</v>
      </c>
      <c r="C2985" s="159">
        <v>90</v>
      </c>
      <c r="D2985" s="159">
        <v>15</v>
      </c>
      <c r="E2985" s="159">
        <v>72</v>
      </c>
      <c r="F2985" s="131"/>
      <c r="G2985" s="132"/>
      <c r="H2985" s="162" t="s">
        <v>21824</v>
      </c>
      <c r="I2985" s="158" t="s">
        <v>21825</v>
      </c>
      <c r="J2985" s="128"/>
      <c r="K2985" s="128"/>
      <c r="L2985" s="128"/>
      <c r="M2985" s="129"/>
      <c r="N2985" s="129"/>
      <c r="O2985" s="129"/>
    </row>
    <row r="2986" spans="1:15" ht="12.5">
      <c r="A2986" s="158" t="s">
        <v>21826</v>
      </c>
      <c r="B2986" s="159">
        <v>35</v>
      </c>
      <c r="C2986" s="159">
        <v>90</v>
      </c>
      <c r="D2986" s="159">
        <v>15</v>
      </c>
      <c r="E2986" s="159">
        <v>74</v>
      </c>
      <c r="F2986" s="131"/>
      <c r="G2986" s="132"/>
      <c r="H2986" s="162" t="s">
        <v>21827</v>
      </c>
      <c r="I2986" s="158" t="s">
        <v>21828</v>
      </c>
      <c r="J2986" s="128"/>
      <c r="K2986" s="128"/>
      <c r="L2986" s="128"/>
      <c r="M2986" s="129"/>
      <c r="N2986" s="129"/>
      <c r="O2986" s="129"/>
    </row>
    <row r="2987" spans="1:15" ht="12.5">
      <c r="A2987" s="158" t="s">
        <v>21829</v>
      </c>
      <c r="B2987" s="159">
        <v>35</v>
      </c>
      <c r="C2987" s="159">
        <v>90</v>
      </c>
      <c r="D2987" s="159">
        <v>15</v>
      </c>
      <c r="E2987" s="159">
        <v>77</v>
      </c>
      <c r="F2987" s="131"/>
      <c r="G2987" s="132"/>
      <c r="H2987" s="162" t="s">
        <v>21830</v>
      </c>
      <c r="I2987" s="158" t="s">
        <v>21831</v>
      </c>
      <c r="J2987" s="128"/>
      <c r="K2987" s="128"/>
      <c r="L2987" s="128"/>
      <c r="M2987" s="129"/>
      <c r="N2987" s="129"/>
      <c r="O2987" s="129"/>
    </row>
    <row r="2988" spans="1:15" ht="12.5">
      <c r="A2988" s="158" t="s">
        <v>21832</v>
      </c>
      <c r="B2988" s="159">
        <v>35</v>
      </c>
      <c r="C2988" s="159">
        <v>90</v>
      </c>
      <c r="D2988" s="159">
        <v>15</v>
      </c>
      <c r="E2988" s="159">
        <v>82</v>
      </c>
      <c r="F2988" s="131"/>
      <c r="G2988" s="132"/>
      <c r="H2988" s="162" t="s">
        <v>21833</v>
      </c>
      <c r="I2988" s="158" t="s">
        <v>21834</v>
      </c>
      <c r="J2988" s="128"/>
      <c r="K2988" s="128"/>
      <c r="L2988" s="128"/>
      <c r="M2988" s="129"/>
      <c r="N2988" s="129"/>
      <c r="O2988" s="129"/>
    </row>
    <row r="2989" spans="1:15" ht="12.5">
      <c r="A2989" s="158" t="s">
        <v>21835</v>
      </c>
      <c r="B2989" s="159">
        <v>35</v>
      </c>
      <c r="C2989" s="159">
        <v>90</v>
      </c>
      <c r="D2989" s="159">
        <v>15</v>
      </c>
      <c r="E2989" s="159">
        <v>83</v>
      </c>
      <c r="F2989" s="131"/>
      <c r="G2989" s="132"/>
      <c r="H2989" s="162" t="s">
        <v>21836</v>
      </c>
      <c r="I2989" s="158" t="s">
        <v>21837</v>
      </c>
      <c r="J2989" s="128"/>
      <c r="K2989" s="128"/>
      <c r="L2989" s="128"/>
      <c r="M2989" s="129"/>
      <c r="N2989" s="129"/>
      <c r="O2989" s="129"/>
    </row>
    <row r="2990" spans="1:15" ht="12.5">
      <c r="A2990" s="158" t="s">
        <v>21838</v>
      </c>
      <c r="B2990" s="159">
        <v>35</v>
      </c>
      <c r="C2990" s="159">
        <v>90</v>
      </c>
      <c r="D2990" s="159">
        <v>15</v>
      </c>
      <c r="E2990" s="159">
        <v>84</v>
      </c>
      <c r="F2990" s="131"/>
      <c r="G2990" s="132"/>
      <c r="H2990" s="162" t="s">
        <v>21839</v>
      </c>
      <c r="I2990" s="158" t="s">
        <v>21840</v>
      </c>
      <c r="J2990" s="128"/>
      <c r="K2990" s="128"/>
      <c r="L2990" s="128"/>
      <c r="M2990" s="129"/>
      <c r="N2990" s="129"/>
      <c r="O2990" s="129"/>
    </row>
    <row r="2991" spans="1:15" ht="12.5">
      <c r="A2991" s="158" t="s">
        <v>21841</v>
      </c>
      <c r="B2991" s="159">
        <v>35</v>
      </c>
      <c r="C2991" s="159">
        <v>90</v>
      </c>
      <c r="D2991" s="159">
        <v>15</v>
      </c>
      <c r="E2991" s="159">
        <v>85</v>
      </c>
      <c r="F2991" s="131"/>
      <c r="G2991" s="132"/>
      <c r="H2991" s="162" t="s">
        <v>21842</v>
      </c>
      <c r="I2991" s="158" t="s">
        <v>21843</v>
      </c>
      <c r="J2991" s="128"/>
      <c r="K2991" s="128"/>
      <c r="L2991" s="128"/>
      <c r="M2991" s="129"/>
      <c r="N2991" s="129"/>
      <c r="O2991" s="129"/>
    </row>
    <row r="2992" spans="1:15" ht="12.5">
      <c r="A2992" s="158" t="s">
        <v>21844</v>
      </c>
      <c r="B2992" s="159">
        <v>35</v>
      </c>
      <c r="C2992" s="159">
        <v>90</v>
      </c>
      <c r="D2992" s="159">
        <v>15</v>
      </c>
      <c r="E2992" s="159">
        <v>86</v>
      </c>
      <c r="F2992" s="131"/>
      <c r="G2992" s="132"/>
      <c r="H2992" s="162" t="s">
        <v>21845</v>
      </c>
      <c r="I2992" s="158" t="s">
        <v>21846</v>
      </c>
      <c r="J2992" s="128"/>
      <c r="K2992" s="128"/>
      <c r="L2992" s="128"/>
      <c r="M2992" s="129"/>
      <c r="N2992" s="129"/>
      <c r="O2992" s="129"/>
    </row>
    <row r="2993" spans="1:15" ht="12.5">
      <c r="A2993" s="158" t="s">
        <v>21847</v>
      </c>
      <c r="B2993" s="159">
        <v>35</v>
      </c>
      <c r="C2993" s="159">
        <v>90</v>
      </c>
      <c r="D2993" s="159">
        <v>15</v>
      </c>
      <c r="E2993" s="159">
        <v>88</v>
      </c>
      <c r="F2993" s="131"/>
      <c r="G2993" s="132"/>
      <c r="H2993" s="162" t="s">
        <v>21848</v>
      </c>
      <c r="I2993" s="158" t="s">
        <v>21849</v>
      </c>
      <c r="J2993" s="128"/>
      <c r="K2993" s="128"/>
      <c r="L2993" s="128"/>
      <c r="M2993" s="129"/>
      <c r="N2993" s="129"/>
      <c r="O2993" s="129"/>
    </row>
    <row r="2994" spans="1:15" ht="12.5">
      <c r="A2994" s="158" t="s">
        <v>21850</v>
      </c>
      <c r="B2994" s="159">
        <v>35</v>
      </c>
      <c r="C2994" s="159">
        <v>90</v>
      </c>
      <c r="D2994" s="159">
        <v>15</v>
      </c>
      <c r="E2994" s="159">
        <v>89</v>
      </c>
      <c r="F2994" s="131"/>
      <c r="G2994" s="132"/>
      <c r="H2994" s="162" t="s">
        <v>21851</v>
      </c>
      <c r="I2994" s="158" t="s">
        <v>21852</v>
      </c>
      <c r="J2994" s="128"/>
      <c r="K2994" s="128"/>
      <c r="L2994" s="128"/>
      <c r="M2994" s="129"/>
      <c r="N2994" s="129"/>
      <c r="O2994" s="129"/>
    </row>
    <row r="2995" spans="1:15" ht="12.5">
      <c r="A2995" s="158" t="s">
        <v>21853</v>
      </c>
      <c r="B2995" s="159">
        <v>35</v>
      </c>
      <c r="C2995" s="159">
        <v>90</v>
      </c>
      <c r="D2995" s="159">
        <v>22</v>
      </c>
      <c r="E2995" s="130"/>
      <c r="F2995" s="131"/>
      <c r="G2995" s="132"/>
      <c r="H2995" s="162" t="s">
        <v>21854</v>
      </c>
      <c r="I2995" s="128"/>
      <c r="J2995" s="128"/>
      <c r="K2995" s="128"/>
      <c r="L2995" s="128"/>
      <c r="M2995" s="129"/>
      <c r="N2995" s="129"/>
      <c r="O2995" s="129"/>
    </row>
    <row r="2996" spans="1:15" ht="12.5">
      <c r="A2996" s="158" t="s">
        <v>21855</v>
      </c>
      <c r="B2996" s="159">
        <v>35</v>
      </c>
      <c r="C2996" s="159">
        <v>90</v>
      </c>
      <c r="D2996" s="159">
        <v>22</v>
      </c>
      <c r="E2996" s="159">
        <v>36</v>
      </c>
      <c r="F2996" s="131"/>
      <c r="G2996" s="132"/>
      <c r="H2996" s="162" t="s">
        <v>21856</v>
      </c>
      <c r="I2996" s="158" t="s">
        <v>21857</v>
      </c>
      <c r="J2996" s="128"/>
      <c r="K2996" s="128"/>
      <c r="L2996" s="128"/>
      <c r="M2996" s="129"/>
      <c r="N2996" s="129"/>
      <c r="O2996" s="129"/>
    </row>
    <row r="2997" spans="1:15" ht="12.5">
      <c r="A2997" s="158" t="s">
        <v>21858</v>
      </c>
      <c r="B2997" s="159">
        <v>35</v>
      </c>
      <c r="C2997" s="159">
        <v>90</v>
      </c>
      <c r="D2997" s="159">
        <v>22</v>
      </c>
      <c r="E2997" s="159">
        <v>51</v>
      </c>
      <c r="F2997" s="131"/>
      <c r="G2997" s="132"/>
      <c r="H2997" s="162" t="s">
        <v>21859</v>
      </c>
      <c r="I2997" s="158" t="s">
        <v>21860</v>
      </c>
      <c r="J2997" s="128"/>
      <c r="K2997" s="128"/>
      <c r="L2997" s="128"/>
      <c r="M2997" s="129"/>
      <c r="N2997" s="129"/>
      <c r="O2997" s="129"/>
    </row>
    <row r="2998" spans="1:15" ht="12.5">
      <c r="A2998" s="158" t="s">
        <v>21861</v>
      </c>
      <c r="B2998" s="159">
        <v>35</v>
      </c>
      <c r="C2998" s="159">
        <v>90</v>
      </c>
      <c r="D2998" s="159">
        <v>22</v>
      </c>
      <c r="E2998" s="159">
        <v>52</v>
      </c>
      <c r="F2998" s="131"/>
      <c r="G2998" s="132"/>
      <c r="H2998" s="162" t="s">
        <v>21862</v>
      </c>
      <c r="I2998" s="158" t="s">
        <v>21863</v>
      </c>
      <c r="J2998" s="128"/>
      <c r="K2998" s="128"/>
      <c r="L2998" s="128"/>
      <c r="M2998" s="129"/>
      <c r="N2998" s="129"/>
      <c r="O2998" s="129"/>
    </row>
    <row r="2999" spans="1:15" ht="12.5">
      <c r="A2999" s="158" t="s">
        <v>21864</v>
      </c>
      <c r="B2999" s="159">
        <v>35</v>
      </c>
      <c r="C2999" s="159">
        <v>90</v>
      </c>
      <c r="D2999" s="159">
        <v>22</v>
      </c>
      <c r="E2999" s="159">
        <v>63</v>
      </c>
      <c r="F2999" s="131"/>
      <c r="G2999" s="132"/>
      <c r="H2999" s="162" t="s">
        <v>21865</v>
      </c>
      <c r="I2999" s="158" t="s">
        <v>21866</v>
      </c>
      <c r="J2999" s="128"/>
      <c r="K2999" s="128"/>
      <c r="L2999" s="128"/>
      <c r="M2999" s="129"/>
      <c r="N2999" s="129"/>
      <c r="O2999" s="129"/>
    </row>
    <row r="3000" spans="1:15" ht="12.5">
      <c r="A3000" s="158" t="s">
        <v>21867</v>
      </c>
      <c r="B3000" s="159">
        <v>35</v>
      </c>
      <c r="C3000" s="159">
        <v>90</v>
      </c>
      <c r="D3000" s="159">
        <v>22</v>
      </c>
      <c r="E3000" s="159">
        <v>66</v>
      </c>
      <c r="F3000" s="131"/>
      <c r="G3000" s="132"/>
      <c r="H3000" s="162" t="s">
        <v>21868</v>
      </c>
      <c r="I3000" s="158" t="s">
        <v>21869</v>
      </c>
      <c r="J3000" s="128"/>
      <c r="K3000" s="128"/>
      <c r="L3000" s="128"/>
      <c r="M3000" s="129"/>
      <c r="N3000" s="129"/>
      <c r="O3000" s="129"/>
    </row>
    <row r="3001" spans="1:15" ht="12.5">
      <c r="A3001" s="158" t="s">
        <v>21870</v>
      </c>
      <c r="B3001" s="159">
        <v>35</v>
      </c>
      <c r="C3001" s="159">
        <v>90</v>
      </c>
      <c r="D3001" s="159">
        <v>22</v>
      </c>
      <c r="E3001" s="159">
        <v>72</v>
      </c>
      <c r="F3001" s="131"/>
      <c r="G3001" s="132"/>
      <c r="H3001" s="162" t="s">
        <v>21871</v>
      </c>
      <c r="I3001" s="158" t="s">
        <v>21872</v>
      </c>
      <c r="J3001" s="128"/>
      <c r="K3001" s="128"/>
      <c r="L3001" s="128"/>
      <c r="M3001" s="129"/>
      <c r="N3001" s="129"/>
      <c r="O3001" s="129"/>
    </row>
    <row r="3002" spans="1:15" ht="12.5">
      <c r="A3002" s="158" t="s">
        <v>21873</v>
      </c>
      <c r="B3002" s="159">
        <v>35</v>
      </c>
      <c r="C3002" s="159">
        <v>90</v>
      </c>
      <c r="D3002" s="159">
        <v>22</v>
      </c>
      <c r="E3002" s="159">
        <v>80</v>
      </c>
      <c r="F3002" s="131"/>
      <c r="G3002" s="132"/>
      <c r="H3002" s="162" t="s">
        <v>21874</v>
      </c>
      <c r="I3002" s="158" t="s">
        <v>21875</v>
      </c>
      <c r="J3002" s="128"/>
      <c r="K3002" s="128"/>
      <c r="L3002" s="128"/>
      <c r="M3002" s="129"/>
      <c r="N3002" s="129"/>
      <c r="O3002" s="129"/>
    </row>
    <row r="3003" spans="1:15" ht="12.5">
      <c r="A3003" s="158" t="s">
        <v>21876</v>
      </c>
      <c r="B3003" s="159">
        <v>35</v>
      </c>
      <c r="C3003" s="159">
        <v>90</v>
      </c>
      <c r="D3003" s="159">
        <v>22</v>
      </c>
      <c r="E3003" s="159">
        <v>88</v>
      </c>
      <c r="F3003" s="131"/>
      <c r="G3003" s="132"/>
      <c r="H3003" s="162" t="s">
        <v>21877</v>
      </c>
      <c r="I3003" s="158" t="s">
        <v>21878</v>
      </c>
      <c r="J3003" s="128"/>
      <c r="K3003" s="128"/>
      <c r="L3003" s="128"/>
      <c r="M3003" s="129"/>
      <c r="N3003" s="129"/>
      <c r="O3003" s="129"/>
    </row>
    <row r="3004" spans="1:15" ht="12.5">
      <c r="A3004" s="158" t="s">
        <v>21879</v>
      </c>
      <c r="B3004" s="159">
        <v>35</v>
      </c>
      <c r="C3004" s="159">
        <v>90</v>
      </c>
      <c r="D3004" s="159">
        <v>27</v>
      </c>
      <c r="E3004" s="130"/>
      <c r="F3004" s="131"/>
      <c r="G3004" s="132"/>
      <c r="H3004" s="162" t="s">
        <v>21880</v>
      </c>
      <c r="I3004" s="128"/>
      <c r="J3004" s="128"/>
      <c r="K3004" s="128"/>
      <c r="L3004" s="128"/>
      <c r="M3004" s="129"/>
      <c r="N3004" s="129"/>
      <c r="O3004" s="129"/>
    </row>
    <row r="3005" spans="1:15" ht="12.5">
      <c r="A3005" s="158" t="s">
        <v>21881</v>
      </c>
      <c r="B3005" s="159">
        <v>35</v>
      </c>
      <c r="C3005" s="159">
        <v>90</v>
      </c>
      <c r="D3005" s="159">
        <v>27</v>
      </c>
      <c r="E3005" s="159">
        <v>11</v>
      </c>
      <c r="F3005" s="131"/>
      <c r="G3005" s="132"/>
      <c r="H3005" s="162" t="s">
        <v>21882</v>
      </c>
      <c r="I3005" s="128"/>
      <c r="J3005" s="128"/>
      <c r="K3005" s="128"/>
      <c r="L3005" s="128"/>
      <c r="M3005" s="129"/>
      <c r="N3005" s="129"/>
      <c r="O3005" s="129"/>
    </row>
    <row r="3006" spans="1:15" ht="12.5">
      <c r="A3006" s="158" t="s">
        <v>21883</v>
      </c>
      <c r="B3006" s="159">
        <v>35</v>
      </c>
      <c r="C3006" s="159">
        <v>90</v>
      </c>
      <c r="D3006" s="159">
        <v>27</v>
      </c>
      <c r="E3006" s="159">
        <v>12</v>
      </c>
      <c r="F3006" s="131"/>
      <c r="G3006" s="132"/>
      <c r="H3006" s="162" t="s">
        <v>21884</v>
      </c>
      <c r="I3006" s="128"/>
      <c r="J3006" s="128"/>
      <c r="K3006" s="128"/>
      <c r="L3006" s="128"/>
      <c r="M3006" s="129"/>
      <c r="N3006" s="129"/>
      <c r="O3006" s="129"/>
    </row>
    <row r="3007" spans="1:15" ht="12.5">
      <c r="A3007" s="158" t="s">
        <v>21885</v>
      </c>
      <c r="B3007" s="159">
        <v>35</v>
      </c>
      <c r="C3007" s="159">
        <v>90</v>
      </c>
      <c r="D3007" s="159">
        <v>27</v>
      </c>
      <c r="E3007" s="159">
        <v>13</v>
      </c>
      <c r="F3007" s="131"/>
      <c r="G3007" s="132"/>
      <c r="H3007" s="162" t="s">
        <v>21886</v>
      </c>
      <c r="I3007" s="128"/>
      <c r="J3007" s="128"/>
      <c r="K3007" s="128"/>
      <c r="L3007" s="128"/>
      <c r="M3007" s="129"/>
      <c r="N3007" s="129"/>
      <c r="O3007" s="129"/>
    </row>
    <row r="3008" spans="1:15" ht="12.5">
      <c r="A3008" s="158" t="s">
        <v>21887</v>
      </c>
      <c r="B3008" s="159">
        <v>35</v>
      </c>
      <c r="C3008" s="159">
        <v>90</v>
      </c>
      <c r="D3008" s="159">
        <v>27</v>
      </c>
      <c r="E3008" s="159">
        <v>14</v>
      </c>
      <c r="F3008" s="131"/>
      <c r="G3008" s="132"/>
      <c r="H3008" s="162" t="s">
        <v>21888</v>
      </c>
      <c r="I3008" s="128"/>
      <c r="J3008" s="128"/>
      <c r="K3008" s="128"/>
      <c r="L3008" s="128"/>
      <c r="M3008" s="129"/>
      <c r="N3008" s="129"/>
      <c r="O3008" s="129"/>
    </row>
    <row r="3009" spans="1:15" ht="12.5">
      <c r="A3009" s="158" t="s">
        <v>21889</v>
      </c>
      <c r="B3009" s="159">
        <v>35</v>
      </c>
      <c r="C3009" s="159">
        <v>90</v>
      </c>
      <c r="D3009" s="159">
        <v>27</v>
      </c>
      <c r="E3009" s="159">
        <v>15</v>
      </c>
      <c r="F3009" s="131"/>
      <c r="G3009" s="132"/>
      <c r="H3009" s="162" t="s">
        <v>21890</v>
      </c>
      <c r="I3009" s="128"/>
      <c r="J3009" s="128"/>
      <c r="K3009" s="128"/>
      <c r="L3009" s="128"/>
      <c r="M3009" s="129"/>
      <c r="N3009" s="129"/>
      <c r="O3009" s="129"/>
    </row>
    <row r="3010" spans="1:15" ht="12.5">
      <c r="A3010" s="158" t="s">
        <v>21891</v>
      </c>
      <c r="B3010" s="159">
        <v>35</v>
      </c>
      <c r="C3010" s="159">
        <v>90</v>
      </c>
      <c r="D3010" s="159">
        <v>28</v>
      </c>
      <c r="E3010" s="130"/>
      <c r="F3010" s="131"/>
      <c r="G3010" s="132"/>
      <c r="H3010" s="162" t="s">
        <v>21892</v>
      </c>
      <c r="I3010" s="128"/>
      <c r="J3010" s="128"/>
      <c r="K3010" s="128"/>
      <c r="L3010" s="128"/>
      <c r="M3010" s="129"/>
      <c r="N3010" s="129"/>
      <c r="O3010" s="129"/>
    </row>
    <row r="3011" spans="1:15" ht="12.5">
      <c r="A3011" s="158" t="s">
        <v>21895</v>
      </c>
      <c r="B3011" s="159">
        <v>35</v>
      </c>
      <c r="C3011" s="159">
        <v>90</v>
      </c>
      <c r="D3011" s="159">
        <v>28</v>
      </c>
      <c r="E3011" s="159">
        <v>4</v>
      </c>
      <c r="F3011" s="131"/>
      <c r="G3011" s="132"/>
      <c r="H3011" s="162" t="s">
        <v>21896</v>
      </c>
      <c r="I3011" s="158" t="s">
        <v>21897</v>
      </c>
      <c r="J3011" s="128"/>
      <c r="K3011" s="128"/>
      <c r="L3011" s="128"/>
      <c r="M3011" s="129"/>
      <c r="N3011" s="129"/>
      <c r="O3011" s="129"/>
    </row>
    <row r="3012" spans="1:15" ht="12.5">
      <c r="A3012" s="158" t="s">
        <v>21900</v>
      </c>
      <c r="B3012" s="159">
        <v>35</v>
      </c>
      <c r="C3012" s="159">
        <v>90</v>
      </c>
      <c r="D3012" s="159">
        <v>28</v>
      </c>
      <c r="E3012" s="159">
        <v>15</v>
      </c>
      <c r="F3012" s="131"/>
      <c r="G3012" s="132"/>
      <c r="H3012" s="162" t="s">
        <v>21901</v>
      </c>
      <c r="I3012" s="158" t="s">
        <v>21902</v>
      </c>
      <c r="J3012" s="128"/>
      <c r="K3012" s="128"/>
      <c r="L3012" s="128"/>
      <c r="M3012" s="129"/>
      <c r="N3012" s="129"/>
      <c r="O3012" s="129"/>
    </row>
    <row r="3013" spans="1:15" ht="12.5">
      <c r="A3013" s="158" t="s">
        <v>21903</v>
      </c>
      <c r="B3013" s="159">
        <v>35</v>
      </c>
      <c r="C3013" s="159">
        <v>90</v>
      </c>
      <c r="D3013" s="159">
        <v>28</v>
      </c>
      <c r="E3013" s="159">
        <v>23</v>
      </c>
      <c r="F3013" s="131"/>
      <c r="G3013" s="132"/>
      <c r="H3013" s="162" t="s">
        <v>21904</v>
      </c>
      <c r="I3013" s="128"/>
      <c r="J3013" s="128"/>
      <c r="K3013" s="128"/>
      <c r="L3013" s="128"/>
      <c r="M3013" s="129"/>
      <c r="N3013" s="129"/>
      <c r="O3013" s="129"/>
    </row>
    <row r="3014" spans="1:15" ht="12.5">
      <c r="A3014" s="158" t="s">
        <v>21905</v>
      </c>
      <c r="B3014" s="159">
        <v>35</v>
      </c>
      <c r="C3014" s="159">
        <v>90</v>
      </c>
      <c r="D3014" s="159">
        <v>28</v>
      </c>
      <c r="E3014" s="159">
        <v>32</v>
      </c>
      <c r="F3014" s="131"/>
      <c r="G3014" s="132"/>
      <c r="H3014" s="162" t="s">
        <v>21906</v>
      </c>
      <c r="I3014" s="158" t="s">
        <v>21907</v>
      </c>
      <c r="J3014" s="128"/>
      <c r="K3014" s="128"/>
      <c r="L3014" s="128"/>
      <c r="M3014" s="129"/>
      <c r="N3014" s="129"/>
      <c r="O3014" s="129"/>
    </row>
    <row r="3015" spans="1:15" ht="12.5">
      <c r="A3015" s="158" t="s">
        <v>21908</v>
      </c>
      <c r="B3015" s="159">
        <v>35</v>
      </c>
      <c r="C3015" s="159">
        <v>90</v>
      </c>
      <c r="D3015" s="159">
        <v>28</v>
      </c>
      <c r="E3015" s="159">
        <v>33</v>
      </c>
      <c r="F3015" s="131"/>
      <c r="G3015" s="132"/>
      <c r="H3015" s="162" t="s">
        <v>21909</v>
      </c>
      <c r="I3015" s="158" t="s">
        <v>21910</v>
      </c>
      <c r="J3015" s="128"/>
      <c r="K3015" s="128"/>
      <c r="L3015" s="128"/>
      <c r="M3015" s="129"/>
      <c r="N3015" s="129"/>
      <c r="O3015" s="129"/>
    </row>
    <row r="3016" spans="1:15" ht="12.5">
      <c r="A3016" s="158" t="s">
        <v>21911</v>
      </c>
      <c r="B3016" s="159">
        <v>35</v>
      </c>
      <c r="C3016" s="159">
        <v>90</v>
      </c>
      <c r="D3016" s="159">
        <v>28</v>
      </c>
      <c r="E3016" s="159">
        <v>36</v>
      </c>
      <c r="F3016" s="131"/>
      <c r="G3016" s="132"/>
      <c r="H3016" s="162" t="s">
        <v>21912</v>
      </c>
      <c r="I3016" s="158" t="s">
        <v>21913</v>
      </c>
      <c r="J3016" s="128"/>
      <c r="K3016" s="128"/>
      <c r="L3016" s="128"/>
      <c r="M3016" s="129"/>
      <c r="N3016" s="129"/>
      <c r="O3016" s="129"/>
    </row>
    <row r="3017" spans="1:15" ht="12.5">
      <c r="A3017" s="158" t="s">
        <v>21914</v>
      </c>
      <c r="B3017" s="159">
        <v>35</v>
      </c>
      <c r="C3017" s="159">
        <v>90</v>
      </c>
      <c r="D3017" s="159">
        <v>28</v>
      </c>
      <c r="E3017" s="159">
        <v>50</v>
      </c>
      <c r="F3017" s="131"/>
      <c r="G3017" s="132"/>
      <c r="H3017" s="162" t="s">
        <v>21915</v>
      </c>
      <c r="I3017" s="158" t="s">
        <v>21916</v>
      </c>
      <c r="J3017" s="128"/>
      <c r="K3017" s="128"/>
      <c r="L3017" s="128"/>
      <c r="M3017" s="129"/>
      <c r="N3017" s="129"/>
      <c r="O3017" s="129"/>
    </row>
    <row r="3018" spans="1:15" ht="12.5">
      <c r="A3018" s="158" t="s">
        <v>21917</v>
      </c>
      <c r="B3018" s="159">
        <v>35</v>
      </c>
      <c r="C3018" s="159">
        <v>90</v>
      </c>
      <c r="D3018" s="159">
        <v>28</v>
      </c>
      <c r="E3018" s="159">
        <v>51</v>
      </c>
      <c r="F3018" s="131"/>
      <c r="G3018" s="132"/>
      <c r="H3018" s="162" t="s">
        <v>21918</v>
      </c>
      <c r="I3018" s="158" t="s">
        <v>21919</v>
      </c>
      <c r="J3018" s="128"/>
      <c r="K3018" s="128"/>
      <c r="L3018" s="128"/>
      <c r="M3018" s="129"/>
      <c r="N3018" s="129"/>
      <c r="O3018" s="129"/>
    </row>
    <row r="3019" spans="1:15" ht="12.5">
      <c r="A3019" s="158" t="s">
        <v>21920</v>
      </c>
      <c r="B3019" s="159">
        <v>35</v>
      </c>
      <c r="C3019" s="159">
        <v>90</v>
      </c>
      <c r="D3019" s="159">
        <v>28</v>
      </c>
      <c r="E3019" s="159">
        <v>52</v>
      </c>
      <c r="F3019" s="131"/>
      <c r="G3019" s="132"/>
      <c r="H3019" s="162" t="s">
        <v>21921</v>
      </c>
      <c r="I3019" s="158" t="s">
        <v>21922</v>
      </c>
      <c r="J3019" s="128"/>
      <c r="K3019" s="128"/>
      <c r="L3019" s="128"/>
      <c r="M3019" s="129"/>
      <c r="N3019" s="129"/>
      <c r="O3019" s="129"/>
    </row>
    <row r="3020" spans="1:15" ht="12.5">
      <c r="A3020" s="158" t="s">
        <v>21923</v>
      </c>
      <c r="B3020" s="159">
        <v>35</v>
      </c>
      <c r="C3020" s="159">
        <v>90</v>
      </c>
      <c r="D3020" s="159">
        <v>28</v>
      </c>
      <c r="E3020" s="159">
        <v>62</v>
      </c>
      <c r="F3020" s="131"/>
      <c r="G3020" s="132"/>
      <c r="H3020" s="162" t="s">
        <v>21924</v>
      </c>
      <c r="I3020" s="158" t="s">
        <v>21925</v>
      </c>
      <c r="J3020" s="128"/>
      <c r="K3020" s="128"/>
      <c r="L3020" s="128"/>
      <c r="M3020" s="129"/>
      <c r="N3020" s="129"/>
      <c r="O3020" s="129"/>
    </row>
    <row r="3021" spans="1:15" ht="12.5">
      <c r="A3021" s="158" t="s">
        <v>21926</v>
      </c>
      <c r="B3021" s="159">
        <v>35</v>
      </c>
      <c r="C3021" s="159">
        <v>90</v>
      </c>
      <c r="D3021" s="159">
        <v>28</v>
      </c>
      <c r="E3021" s="159">
        <v>64</v>
      </c>
      <c r="F3021" s="131"/>
      <c r="G3021" s="132"/>
      <c r="H3021" s="162" t="s">
        <v>21927</v>
      </c>
      <c r="I3021" s="128"/>
      <c r="J3021" s="128"/>
      <c r="K3021" s="128"/>
      <c r="L3021" s="128"/>
      <c r="M3021" s="129"/>
      <c r="N3021" s="129"/>
      <c r="O3021" s="129"/>
    </row>
    <row r="3022" spans="1:15" ht="12.5">
      <c r="A3022" s="158" t="s">
        <v>21928</v>
      </c>
      <c r="B3022" s="159">
        <v>35</v>
      </c>
      <c r="C3022" s="159">
        <v>90</v>
      </c>
      <c r="D3022" s="159">
        <v>28</v>
      </c>
      <c r="E3022" s="159">
        <v>72</v>
      </c>
      <c r="F3022" s="131"/>
      <c r="G3022" s="132"/>
      <c r="H3022" s="162" t="s">
        <v>21929</v>
      </c>
      <c r="I3022" s="158" t="s">
        <v>21930</v>
      </c>
      <c r="J3022" s="128"/>
      <c r="K3022" s="128"/>
      <c r="L3022" s="128"/>
      <c r="M3022" s="129"/>
      <c r="N3022" s="129"/>
      <c r="O3022" s="129"/>
    </row>
    <row r="3023" spans="1:15" ht="12.5">
      <c r="A3023" s="158" t="s">
        <v>21931</v>
      </c>
      <c r="B3023" s="159">
        <v>35</v>
      </c>
      <c r="C3023" s="159">
        <v>90</v>
      </c>
      <c r="D3023" s="159">
        <v>28</v>
      </c>
      <c r="E3023" s="159">
        <v>76</v>
      </c>
      <c r="F3023" s="131"/>
      <c r="G3023" s="132"/>
      <c r="H3023" s="162" t="s">
        <v>21932</v>
      </c>
      <c r="I3023" s="128"/>
      <c r="J3023" s="128"/>
      <c r="K3023" s="128"/>
      <c r="L3023" s="128"/>
      <c r="M3023" s="129"/>
      <c r="N3023" s="129"/>
      <c r="O3023" s="129"/>
    </row>
    <row r="3024" spans="1:15" ht="12.5">
      <c r="A3024" s="158" t="s">
        <v>21933</v>
      </c>
      <c r="B3024" s="159">
        <v>35</v>
      </c>
      <c r="C3024" s="159">
        <v>90</v>
      </c>
      <c r="D3024" s="159">
        <v>28</v>
      </c>
      <c r="E3024" s="159">
        <v>79</v>
      </c>
      <c r="F3024" s="131"/>
      <c r="G3024" s="132"/>
      <c r="H3024" s="162" t="s">
        <v>21934</v>
      </c>
      <c r="I3024" s="128"/>
      <c r="J3024" s="128"/>
      <c r="K3024" s="128"/>
      <c r="L3024" s="128"/>
      <c r="M3024" s="129"/>
      <c r="N3024" s="129"/>
      <c r="O3024" s="129"/>
    </row>
    <row r="3025" spans="1:15" ht="12.5">
      <c r="A3025" s="158" t="s">
        <v>21935</v>
      </c>
      <c r="B3025" s="159">
        <v>35</v>
      </c>
      <c r="C3025" s="159">
        <v>90</v>
      </c>
      <c r="D3025" s="159">
        <v>28</v>
      </c>
      <c r="E3025" s="159">
        <v>82</v>
      </c>
      <c r="F3025" s="131"/>
      <c r="G3025" s="132"/>
      <c r="H3025" s="162" t="s">
        <v>21936</v>
      </c>
      <c r="I3025" s="128"/>
      <c r="J3025" s="128"/>
      <c r="K3025" s="128"/>
      <c r="L3025" s="128"/>
      <c r="M3025" s="129"/>
      <c r="N3025" s="129"/>
      <c r="O3025" s="129"/>
    </row>
    <row r="3026" spans="1:15" ht="12.5">
      <c r="A3026" s="158" t="s">
        <v>21939</v>
      </c>
      <c r="B3026" s="159">
        <v>35</v>
      </c>
      <c r="C3026" s="159">
        <v>90</v>
      </c>
      <c r="D3026" s="159">
        <v>28</v>
      </c>
      <c r="E3026" s="159">
        <v>84</v>
      </c>
      <c r="F3026" s="131"/>
      <c r="G3026" s="132"/>
      <c r="H3026" s="162" t="s">
        <v>21940</v>
      </c>
      <c r="I3026" s="158" t="s">
        <v>21941</v>
      </c>
      <c r="J3026" s="128"/>
      <c r="K3026" s="128"/>
      <c r="L3026" s="128"/>
      <c r="M3026" s="129"/>
      <c r="N3026" s="129"/>
      <c r="O3026" s="129"/>
    </row>
    <row r="3027" spans="1:15" ht="12.5">
      <c r="A3027" s="158" t="s">
        <v>21942</v>
      </c>
      <c r="B3027" s="159">
        <v>35</v>
      </c>
      <c r="C3027" s="159">
        <v>90</v>
      </c>
      <c r="D3027" s="159">
        <v>28</v>
      </c>
      <c r="E3027" s="159">
        <v>92</v>
      </c>
      <c r="F3027" s="131"/>
      <c r="G3027" s="132"/>
      <c r="H3027" s="162" t="s">
        <v>21943</v>
      </c>
      <c r="I3027" s="158" t="s">
        <v>21944</v>
      </c>
      <c r="J3027" s="128"/>
      <c r="K3027" s="128"/>
      <c r="L3027" s="128"/>
      <c r="M3027" s="129"/>
      <c r="N3027" s="129"/>
      <c r="O3027" s="129"/>
    </row>
    <row r="3028" spans="1:15" ht="12.5">
      <c r="A3028" s="158" t="s">
        <v>21945</v>
      </c>
      <c r="B3028" s="159">
        <v>35</v>
      </c>
      <c r="C3028" s="159">
        <v>90</v>
      </c>
      <c r="D3028" s="159">
        <v>28</v>
      </c>
      <c r="E3028" s="159">
        <v>93</v>
      </c>
      <c r="F3028" s="131"/>
      <c r="G3028" s="132"/>
      <c r="H3028" s="162" t="s">
        <v>21946</v>
      </c>
      <c r="I3028" s="128"/>
      <c r="J3028" s="128"/>
      <c r="K3028" s="128"/>
      <c r="L3028" s="128"/>
      <c r="M3028" s="129"/>
      <c r="N3028" s="129"/>
      <c r="O3028" s="129"/>
    </row>
    <row r="3029" spans="1:15" ht="12.5">
      <c r="A3029" s="158" t="s">
        <v>21947</v>
      </c>
      <c r="B3029" s="159">
        <v>35</v>
      </c>
      <c r="C3029" s="159">
        <v>90</v>
      </c>
      <c r="D3029" s="159">
        <v>28</v>
      </c>
      <c r="E3029" s="159">
        <v>96</v>
      </c>
      <c r="F3029" s="131"/>
      <c r="G3029" s="132"/>
      <c r="H3029" s="162" t="s">
        <v>21948</v>
      </c>
      <c r="I3029" s="158" t="s">
        <v>21949</v>
      </c>
      <c r="J3029" s="128"/>
      <c r="K3029" s="128"/>
      <c r="L3029" s="128"/>
      <c r="M3029" s="129"/>
      <c r="N3029" s="129"/>
      <c r="O3029" s="129"/>
    </row>
    <row r="3030" spans="1:15" ht="12.5">
      <c r="A3030" s="158" t="s">
        <v>21950</v>
      </c>
      <c r="B3030" s="159">
        <v>35</v>
      </c>
      <c r="C3030" s="159">
        <v>90</v>
      </c>
      <c r="D3030" s="159">
        <v>28</v>
      </c>
      <c r="E3030" s="159">
        <v>97</v>
      </c>
      <c r="F3030" s="131"/>
      <c r="G3030" s="132"/>
      <c r="H3030" s="162" t="s">
        <v>21951</v>
      </c>
      <c r="I3030" s="158" t="s">
        <v>21952</v>
      </c>
      <c r="J3030" s="128"/>
      <c r="K3030" s="128"/>
      <c r="L3030" s="128"/>
      <c r="M3030" s="129"/>
      <c r="N3030" s="129"/>
      <c r="O3030" s="129"/>
    </row>
    <row r="3031" spans="1:15" ht="12.5">
      <c r="A3031" s="158" t="s">
        <v>21953</v>
      </c>
      <c r="B3031" s="159">
        <v>35</v>
      </c>
      <c r="C3031" s="159">
        <v>90</v>
      </c>
      <c r="D3031" s="159">
        <v>30</v>
      </c>
      <c r="E3031" s="130"/>
      <c r="F3031" s="131"/>
      <c r="G3031" s="132"/>
      <c r="H3031" s="162" t="s">
        <v>33428</v>
      </c>
      <c r="I3031" s="128"/>
      <c r="J3031" s="128"/>
      <c r="K3031" s="128"/>
      <c r="L3031" s="128"/>
      <c r="M3031" s="129"/>
      <c r="N3031" s="129"/>
      <c r="O3031" s="129"/>
    </row>
    <row r="3032" spans="1:15" ht="12.5">
      <c r="A3032" s="158" t="s">
        <v>21955</v>
      </c>
      <c r="B3032" s="159">
        <v>35</v>
      </c>
      <c r="C3032" s="159">
        <v>90</v>
      </c>
      <c r="D3032" s="159">
        <v>30</v>
      </c>
      <c r="E3032" s="159">
        <v>1</v>
      </c>
      <c r="F3032" s="131"/>
      <c r="G3032" s="132"/>
      <c r="H3032" s="162" t="s">
        <v>33429</v>
      </c>
      <c r="I3032" s="158" t="s">
        <v>21957</v>
      </c>
      <c r="J3032" s="128"/>
      <c r="K3032" s="128"/>
      <c r="L3032" s="128"/>
      <c r="M3032" s="129"/>
      <c r="N3032" s="129"/>
      <c r="O3032" s="129"/>
    </row>
    <row r="3033" spans="1:15" ht="12.5">
      <c r="A3033" s="158" t="s">
        <v>21958</v>
      </c>
      <c r="B3033" s="159">
        <v>35</v>
      </c>
      <c r="C3033" s="159">
        <v>90</v>
      </c>
      <c r="D3033" s="159">
        <v>30</v>
      </c>
      <c r="E3033" s="159">
        <v>8</v>
      </c>
      <c r="F3033" s="131"/>
      <c r="G3033" s="132"/>
      <c r="H3033" s="162" t="s">
        <v>33430</v>
      </c>
      <c r="I3033" s="158" t="s">
        <v>21960</v>
      </c>
      <c r="J3033" s="128"/>
      <c r="K3033" s="128"/>
      <c r="L3033" s="128"/>
      <c r="M3033" s="129"/>
      <c r="N3033" s="129"/>
      <c r="O3033" s="129"/>
    </row>
    <row r="3034" spans="1:15" ht="12.5">
      <c r="A3034" s="158" t="s">
        <v>21961</v>
      </c>
      <c r="B3034" s="159">
        <v>35</v>
      </c>
      <c r="C3034" s="159">
        <v>90</v>
      </c>
      <c r="D3034" s="159">
        <v>30</v>
      </c>
      <c r="E3034" s="159">
        <v>11</v>
      </c>
      <c r="F3034" s="131"/>
      <c r="G3034" s="132"/>
      <c r="H3034" s="162" t="s">
        <v>33431</v>
      </c>
      <c r="I3034" s="158" t="s">
        <v>21957</v>
      </c>
      <c r="J3034" s="128"/>
      <c r="K3034" s="128"/>
      <c r="L3034" s="128"/>
      <c r="M3034" s="129"/>
      <c r="N3034" s="129"/>
      <c r="O3034" s="129"/>
    </row>
    <row r="3035" spans="1:15" ht="12.5">
      <c r="A3035" s="158" t="s">
        <v>21963</v>
      </c>
      <c r="B3035" s="159">
        <v>35</v>
      </c>
      <c r="C3035" s="159">
        <v>90</v>
      </c>
      <c r="D3035" s="159">
        <v>30</v>
      </c>
      <c r="E3035" s="159">
        <v>15</v>
      </c>
      <c r="F3035" s="131"/>
      <c r="G3035" s="132"/>
      <c r="H3035" s="162" t="s">
        <v>33432</v>
      </c>
      <c r="I3035" s="158" t="s">
        <v>21957</v>
      </c>
      <c r="J3035" s="128"/>
      <c r="K3035" s="128"/>
      <c r="L3035" s="128"/>
      <c r="M3035" s="129"/>
      <c r="N3035" s="129"/>
      <c r="O3035" s="129"/>
    </row>
    <row r="3036" spans="1:15" ht="12.5">
      <c r="A3036" s="158" t="s">
        <v>21965</v>
      </c>
      <c r="B3036" s="159">
        <v>35</v>
      </c>
      <c r="C3036" s="159">
        <v>90</v>
      </c>
      <c r="D3036" s="159">
        <v>30</v>
      </c>
      <c r="E3036" s="159">
        <v>18</v>
      </c>
      <c r="F3036" s="131"/>
      <c r="G3036" s="132"/>
      <c r="H3036" s="162" t="s">
        <v>21966</v>
      </c>
      <c r="I3036" s="158" t="s">
        <v>21967</v>
      </c>
      <c r="J3036" s="128"/>
      <c r="K3036" s="128"/>
      <c r="L3036" s="128"/>
      <c r="M3036" s="129"/>
      <c r="N3036" s="129"/>
      <c r="O3036" s="129"/>
    </row>
    <row r="3037" spans="1:15" ht="12.5">
      <c r="A3037" s="158" t="s">
        <v>21968</v>
      </c>
      <c r="B3037" s="159">
        <v>35</v>
      </c>
      <c r="C3037" s="159">
        <v>90</v>
      </c>
      <c r="D3037" s="159">
        <v>30</v>
      </c>
      <c r="E3037" s="159">
        <v>34</v>
      </c>
      <c r="F3037" s="131"/>
      <c r="G3037" s="132"/>
      <c r="H3037" s="162" t="s">
        <v>33433</v>
      </c>
      <c r="I3037" s="158" t="s">
        <v>21970</v>
      </c>
      <c r="J3037" s="128"/>
      <c r="K3037" s="128"/>
      <c r="L3037" s="128"/>
      <c r="M3037" s="129"/>
      <c r="N3037" s="129"/>
      <c r="O3037" s="129"/>
    </row>
    <row r="3038" spans="1:15" ht="12.5">
      <c r="A3038" s="158" t="s">
        <v>21971</v>
      </c>
      <c r="B3038" s="159">
        <v>35</v>
      </c>
      <c r="C3038" s="159">
        <v>90</v>
      </c>
      <c r="D3038" s="159">
        <v>30</v>
      </c>
      <c r="E3038" s="159">
        <v>46</v>
      </c>
      <c r="F3038" s="131"/>
      <c r="G3038" s="132"/>
      <c r="H3038" s="162" t="s">
        <v>33434</v>
      </c>
      <c r="I3038" s="158" t="s">
        <v>21957</v>
      </c>
      <c r="J3038" s="128"/>
      <c r="K3038" s="128"/>
      <c r="L3038" s="128"/>
      <c r="M3038" s="129"/>
      <c r="N3038" s="129"/>
      <c r="O3038" s="129"/>
    </row>
    <row r="3039" spans="1:15" ht="12.5">
      <c r="A3039" s="158" t="s">
        <v>21973</v>
      </c>
      <c r="B3039" s="159">
        <v>35</v>
      </c>
      <c r="C3039" s="159">
        <v>90</v>
      </c>
      <c r="D3039" s="159">
        <v>30</v>
      </c>
      <c r="E3039" s="159">
        <v>47</v>
      </c>
      <c r="F3039" s="131"/>
      <c r="G3039" s="132"/>
      <c r="H3039" s="162" t="s">
        <v>21974</v>
      </c>
      <c r="I3039" s="158" t="s">
        <v>21975</v>
      </c>
      <c r="J3039" s="128"/>
      <c r="K3039" s="128"/>
      <c r="L3039" s="128"/>
      <c r="M3039" s="129"/>
      <c r="N3039" s="129"/>
      <c r="O3039" s="129"/>
    </row>
    <row r="3040" spans="1:15" ht="12.5">
      <c r="A3040" s="158" t="s">
        <v>21976</v>
      </c>
      <c r="B3040" s="159">
        <v>35</v>
      </c>
      <c r="C3040" s="159">
        <v>90</v>
      </c>
      <c r="D3040" s="159">
        <v>30</v>
      </c>
      <c r="E3040" s="159">
        <v>64</v>
      </c>
      <c r="F3040" s="131"/>
      <c r="G3040" s="132"/>
      <c r="H3040" s="162" t="s">
        <v>33435</v>
      </c>
      <c r="I3040" s="158" t="s">
        <v>21978</v>
      </c>
      <c r="J3040" s="128"/>
      <c r="K3040" s="128"/>
      <c r="L3040" s="128"/>
      <c r="M3040" s="129"/>
      <c r="N3040" s="129"/>
      <c r="O3040" s="129"/>
    </row>
    <row r="3041" spans="1:15" ht="12.5">
      <c r="A3041" s="158" t="s">
        <v>21979</v>
      </c>
      <c r="B3041" s="159">
        <v>35</v>
      </c>
      <c r="C3041" s="159">
        <v>90</v>
      </c>
      <c r="D3041" s="159">
        <v>30</v>
      </c>
      <c r="E3041" s="159">
        <v>72</v>
      </c>
      <c r="F3041" s="131"/>
      <c r="G3041" s="132"/>
      <c r="H3041" s="162" t="s">
        <v>33436</v>
      </c>
      <c r="I3041" s="158" t="s">
        <v>21981</v>
      </c>
      <c r="J3041" s="128"/>
      <c r="K3041" s="128"/>
      <c r="L3041" s="128"/>
      <c r="M3041" s="129"/>
      <c r="N3041" s="129"/>
      <c r="O3041" s="129"/>
    </row>
    <row r="3042" spans="1:15" ht="12.5">
      <c r="A3042" s="158" t="s">
        <v>21982</v>
      </c>
      <c r="B3042" s="159">
        <v>35</v>
      </c>
      <c r="C3042" s="159">
        <v>90</v>
      </c>
      <c r="D3042" s="159">
        <v>30</v>
      </c>
      <c r="E3042" s="159">
        <v>83</v>
      </c>
      <c r="F3042" s="131"/>
      <c r="G3042" s="132"/>
      <c r="H3042" s="162" t="s">
        <v>33437</v>
      </c>
      <c r="I3042" s="158" t="s">
        <v>21957</v>
      </c>
      <c r="J3042" s="128"/>
      <c r="K3042" s="128"/>
      <c r="L3042" s="128"/>
      <c r="M3042" s="129"/>
      <c r="N3042" s="129"/>
      <c r="O3042" s="129"/>
    </row>
    <row r="3043" spans="1:15" ht="12.5">
      <c r="A3043" s="158" t="s">
        <v>21984</v>
      </c>
      <c r="B3043" s="159">
        <v>35</v>
      </c>
      <c r="C3043" s="159">
        <v>90</v>
      </c>
      <c r="D3043" s="159">
        <v>30</v>
      </c>
      <c r="E3043" s="159">
        <v>99</v>
      </c>
      <c r="F3043" s="131"/>
      <c r="G3043" s="132"/>
      <c r="H3043" s="162" t="s">
        <v>33438</v>
      </c>
      <c r="I3043" s="158" t="s">
        <v>21957</v>
      </c>
      <c r="J3043" s="128"/>
      <c r="K3043" s="128"/>
      <c r="L3043" s="128"/>
      <c r="M3043" s="129"/>
      <c r="N3043" s="129"/>
      <c r="O3043" s="129"/>
    </row>
    <row r="3044" spans="1:15" ht="12.5">
      <c r="A3044" s="158" t="s">
        <v>21986</v>
      </c>
      <c r="B3044" s="159">
        <v>35</v>
      </c>
      <c r="C3044" s="159">
        <v>90</v>
      </c>
      <c r="D3044" s="159">
        <v>31</v>
      </c>
      <c r="E3044" s="130"/>
      <c r="F3044" s="131"/>
      <c r="G3044" s="132"/>
      <c r="H3044" s="162" t="s">
        <v>21987</v>
      </c>
      <c r="I3044" s="128"/>
      <c r="J3044" s="128"/>
      <c r="K3044" s="128"/>
      <c r="L3044" s="128"/>
      <c r="M3044" s="129"/>
      <c r="N3044" s="129"/>
      <c r="O3044" s="129"/>
    </row>
    <row r="3045" spans="1:15" ht="12.5">
      <c r="A3045" s="158" t="s">
        <v>21988</v>
      </c>
      <c r="B3045" s="159">
        <v>35</v>
      </c>
      <c r="C3045" s="159">
        <v>90</v>
      </c>
      <c r="D3045" s="159">
        <v>31</v>
      </c>
      <c r="E3045" s="159">
        <v>11</v>
      </c>
      <c r="F3045" s="131"/>
      <c r="G3045" s="132"/>
      <c r="H3045" s="162" t="s">
        <v>21989</v>
      </c>
      <c r="I3045" s="158" t="s">
        <v>21990</v>
      </c>
      <c r="J3045" s="128"/>
      <c r="K3045" s="128"/>
      <c r="L3045" s="128"/>
      <c r="M3045" s="129"/>
      <c r="N3045" s="129"/>
      <c r="O3045" s="129"/>
    </row>
    <row r="3046" spans="1:15" ht="12.5">
      <c r="A3046" s="158" t="s">
        <v>21991</v>
      </c>
      <c r="B3046" s="159">
        <v>35</v>
      </c>
      <c r="C3046" s="159">
        <v>90</v>
      </c>
      <c r="D3046" s="159">
        <v>31</v>
      </c>
      <c r="E3046" s="159">
        <v>12</v>
      </c>
      <c r="F3046" s="131"/>
      <c r="G3046" s="132"/>
      <c r="H3046" s="162" t="s">
        <v>21992</v>
      </c>
      <c r="I3046" s="158" t="s">
        <v>21993</v>
      </c>
      <c r="J3046" s="128"/>
      <c r="K3046" s="128"/>
      <c r="L3046" s="128"/>
      <c r="M3046" s="129"/>
      <c r="N3046" s="129"/>
      <c r="O3046" s="129"/>
    </row>
    <row r="3047" spans="1:15" ht="12.5">
      <c r="A3047" s="158" t="s">
        <v>21994</v>
      </c>
      <c r="B3047" s="159">
        <v>35</v>
      </c>
      <c r="C3047" s="159">
        <v>90</v>
      </c>
      <c r="D3047" s="159">
        <v>31</v>
      </c>
      <c r="E3047" s="159">
        <v>26</v>
      </c>
      <c r="F3047" s="131"/>
      <c r="G3047" s="132"/>
      <c r="H3047" s="162" t="s">
        <v>21995</v>
      </c>
      <c r="I3047" s="158" t="s">
        <v>21996</v>
      </c>
      <c r="J3047" s="128"/>
      <c r="K3047" s="128"/>
      <c r="L3047" s="128"/>
      <c r="M3047" s="129"/>
      <c r="N3047" s="129"/>
      <c r="O3047" s="129"/>
    </row>
    <row r="3048" spans="1:15" ht="12.5">
      <c r="A3048" s="158" t="s">
        <v>21997</v>
      </c>
      <c r="B3048" s="159">
        <v>35</v>
      </c>
      <c r="C3048" s="159">
        <v>90</v>
      </c>
      <c r="D3048" s="159">
        <v>31</v>
      </c>
      <c r="E3048" s="159">
        <v>27</v>
      </c>
      <c r="F3048" s="131"/>
      <c r="G3048" s="132"/>
      <c r="H3048" s="162" t="s">
        <v>21998</v>
      </c>
      <c r="I3048" s="158" t="s">
        <v>21999</v>
      </c>
      <c r="J3048" s="128"/>
      <c r="K3048" s="128"/>
      <c r="L3048" s="128"/>
      <c r="M3048" s="129"/>
      <c r="N3048" s="129"/>
      <c r="O3048" s="129"/>
    </row>
    <row r="3049" spans="1:15" ht="12.5">
      <c r="A3049" s="158" t="s">
        <v>22000</v>
      </c>
      <c r="B3049" s="159">
        <v>35</v>
      </c>
      <c r="C3049" s="159">
        <v>90</v>
      </c>
      <c r="D3049" s="159">
        <v>31</v>
      </c>
      <c r="E3049" s="159">
        <v>28</v>
      </c>
      <c r="F3049" s="131"/>
      <c r="G3049" s="132"/>
      <c r="H3049" s="162" t="s">
        <v>22001</v>
      </c>
      <c r="I3049" s="158" t="s">
        <v>22002</v>
      </c>
      <c r="J3049" s="128"/>
      <c r="K3049" s="128"/>
      <c r="L3049" s="128"/>
      <c r="M3049" s="129"/>
      <c r="N3049" s="129"/>
      <c r="O3049" s="129"/>
    </row>
    <row r="3050" spans="1:15" ht="12.5">
      <c r="A3050" s="158" t="s">
        <v>22003</v>
      </c>
      <c r="B3050" s="159">
        <v>35</v>
      </c>
      <c r="C3050" s="159">
        <v>90</v>
      </c>
      <c r="D3050" s="159">
        <v>31</v>
      </c>
      <c r="E3050" s="159">
        <v>29</v>
      </c>
      <c r="F3050" s="131"/>
      <c r="G3050" s="132"/>
      <c r="H3050" s="162" t="s">
        <v>22004</v>
      </c>
      <c r="I3050" s="158" t="s">
        <v>22005</v>
      </c>
      <c r="J3050" s="128"/>
      <c r="K3050" s="128"/>
      <c r="L3050" s="128"/>
      <c r="M3050" s="129"/>
      <c r="N3050" s="129"/>
      <c r="O3050" s="129"/>
    </row>
    <row r="3051" spans="1:15" ht="12.5">
      <c r="A3051" s="158" t="s">
        <v>22006</v>
      </c>
      <c r="B3051" s="159">
        <v>35</v>
      </c>
      <c r="C3051" s="159">
        <v>90</v>
      </c>
      <c r="D3051" s="159">
        <v>31</v>
      </c>
      <c r="E3051" s="159">
        <v>30</v>
      </c>
      <c r="F3051" s="131"/>
      <c r="G3051" s="132"/>
      <c r="H3051" s="162" t="s">
        <v>22007</v>
      </c>
      <c r="I3051" s="158" t="s">
        <v>22008</v>
      </c>
      <c r="J3051" s="128"/>
      <c r="K3051" s="128"/>
      <c r="L3051" s="128"/>
      <c r="M3051" s="129"/>
      <c r="N3051" s="129"/>
      <c r="O3051" s="129"/>
    </row>
    <row r="3052" spans="1:15" ht="12.5">
      <c r="A3052" s="158" t="s">
        <v>22009</v>
      </c>
      <c r="B3052" s="159">
        <v>35</v>
      </c>
      <c r="C3052" s="159">
        <v>90</v>
      </c>
      <c r="D3052" s="159">
        <v>31</v>
      </c>
      <c r="E3052" s="159">
        <v>31</v>
      </c>
      <c r="F3052" s="131"/>
      <c r="G3052" s="132"/>
      <c r="H3052" s="162" t="s">
        <v>22010</v>
      </c>
      <c r="I3052" s="158" t="s">
        <v>22011</v>
      </c>
      <c r="J3052" s="128"/>
      <c r="K3052" s="128"/>
      <c r="L3052" s="128"/>
      <c r="M3052" s="129"/>
      <c r="N3052" s="129"/>
      <c r="O3052" s="129"/>
    </row>
    <row r="3053" spans="1:15" ht="12.5">
      <c r="A3053" s="158" t="s">
        <v>22012</v>
      </c>
      <c r="B3053" s="159">
        <v>35</v>
      </c>
      <c r="C3053" s="159">
        <v>90</v>
      </c>
      <c r="D3053" s="159">
        <v>31</v>
      </c>
      <c r="E3053" s="159">
        <v>32</v>
      </c>
      <c r="F3053" s="131"/>
      <c r="G3053" s="132"/>
      <c r="H3053" s="162" t="s">
        <v>22013</v>
      </c>
      <c r="I3053" s="158" t="s">
        <v>22014</v>
      </c>
      <c r="J3053" s="128"/>
      <c r="K3053" s="128"/>
      <c r="L3053" s="128"/>
      <c r="M3053" s="129"/>
      <c r="N3053" s="129"/>
      <c r="O3053" s="129"/>
    </row>
    <row r="3054" spans="1:15" ht="12.5">
      <c r="A3054" s="158" t="s">
        <v>22015</v>
      </c>
      <c r="B3054" s="159">
        <v>35</v>
      </c>
      <c r="C3054" s="159">
        <v>90</v>
      </c>
      <c r="D3054" s="159">
        <v>31</v>
      </c>
      <c r="E3054" s="159">
        <v>33</v>
      </c>
      <c r="F3054" s="131"/>
      <c r="G3054" s="132"/>
      <c r="H3054" s="162" t="s">
        <v>22016</v>
      </c>
      <c r="I3054" s="158" t="s">
        <v>22017</v>
      </c>
      <c r="J3054" s="128"/>
      <c r="K3054" s="128"/>
      <c r="L3054" s="128"/>
      <c r="M3054" s="129"/>
      <c r="N3054" s="129"/>
      <c r="O3054" s="129"/>
    </row>
    <row r="3055" spans="1:15" ht="12.5">
      <c r="A3055" s="158" t="s">
        <v>22018</v>
      </c>
      <c r="B3055" s="159">
        <v>35</v>
      </c>
      <c r="C3055" s="159">
        <v>90</v>
      </c>
      <c r="D3055" s="159">
        <v>31</v>
      </c>
      <c r="E3055" s="159">
        <v>36</v>
      </c>
      <c r="F3055" s="131"/>
      <c r="G3055" s="132"/>
      <c r="H3055" s="162" t="s">
        <v>22019</v>
      </c>
      <c r="I3055" s="158" t="s">
        <v>22020</v>
      </c>
      <c r="J3055" s="128"/>
      <c r="K3055" s="128"/>
      <c r="L3055" s="128"/>
      <c r="M3055" s="129"/>
      <c r="N3055" s="129"/>
      <c r="O3055" s="129"/>
    </row>
    <row r="3056" spans="1:15" ht="12.5">
      <c r="A3056" s="158" t="s">
        <v>22021</v>
      </c>
      <c r="B3056" s="159">
        <v>35</v>
      </c>
      <c r="C3056" s="159">
        <v>90</v>
      </c>
      <c r="D3056" s="159">
        <v>31</v>
      </c>
      <c r="E3056" s="159">
        <v>37</v>
      </c>
      <c r="F3056" s="131"/>
      <c r="G3056" s="132"/>
      <c r="H3056" s="162" t="s">
        <v>22022</v>
      </c>
      <c r="I3056" s="158" t="s">
        <v>22023</v>
      </c>
      <c r="J3056" s="128"/>
      <c r="K3056" s="128"/>
      <c r="L3056" s="128"/>
      <c r="M3056" s="129"/>
      <c r="N3056" s="129"/>
      <c r="O3056" s="129"/>
    </row>
    <row r="3057" spans="1:15" ht="12.5">
      <c r="A3057" s="158" t="s">
        <v>22024</v>
      </c>
      <c r="B3057" s="159">
        <v>35</v>
      </c>
      <c r="C3057" s="159">
        <v>90</v>
      </c>
      <c r="D3057" s="159">
        <v>31</v>
      </c>
      <c r="E3057" s="159">
        <v>50</v>
      </c>
      <c r="F3057" s="131"/>
      <c r="G3057" s="132"/>
      <c r="H3057" s="162" t="s">
        <v>22025</v>
      </c>
      <c r="I3057" s="158" t="s">
        <v>22026</v>
      </c>
      <c r="J3057" s="128"/>
      <c r="K3057" s="128"/>
      <c r="L3057" s="128"/>
      <c r="M3057" s="129"/>
      <c r="N3057" s="129"/>
      <c r="O3057" s="129"/>
    </row>
    <row r="3058" spans="1:15" ht="12.5">
      <c r="A3058" s="158" t="s">
        <v>22027</v>
      </c>
      <c r="B3058" s="159">
        <v>35</v>
      </c>
      <c r="C3058" s="159">
        <v>90</v>
      </c>
      <c r="D3058" s="159">
        <v>31</v>
      </c>
      <c r="E3058" s="159">
        <v>58</v>
      </c>
      <c r="F3058" s="131"/>
      <c r="G3058" s="132"/>
      <c r="H3058" s="162" t="s">
        <v>22028</v>
      </c>
      <c r="I3058" s="158" t="s">
        <v>22029</v>
      </c>
      <c r="J3058" s="128"/>
      <c r="K3058" s="128"/>
      <c r="L3058" s="128"/>
      <c r="M3058" s="129"/>
      <c r="N3058" s="129"/>
      <c r="O3058" s="129"/>
    </row>
    <row r="3059" spans="1:15" ht="12.5">
      <c r="A3059" s="158" t="s">
        <v>22030</v>
      </c>
      <c r="B3059" s="159">
        <v>35</v>
      </c>
      <c r="C3059" s="159">
        <v>90</v>
      </c>
      <c r="D3059" s="159">
        <v>31</v>
      </c>
      <c r="E3059" s="159">
        <v>66</v>
      </c>
      <c r="F3059" s="131"/>
      <c r="G3059" s="132"/>
      <c r="H3059" s="162" t="s">
        <v>22031</v>
      </c>
      <c r="I3059" s="158" t="s">
        <v>22032</v>
      </c>
      <c r="J3059" s="128"/>
      <c r="K3059" s="128"/>
      <c r="L3059" s="128"/>
      <c r="M3059" s="129"/>
      <c r="N3059" s="129"/>
      <c r="O3059" s="129"/>
    </row>
    <row r="3060" spans="1:15" ht="12.5">
      <c r="A3060" s="158" t="s">
        <v>22033</v>
      </c>
      <c r="B3060" s="159">
        <v>35</v>
      </c>
      <c r="C3060" s="159">
        <v>90</v>
      </c>
      <c r="D3060" s="159">
        <v>31</v>
      </c>
      <c r="E3060" s="159">
        <v>70</v>
      </c>
      <c r="F3060" s="131"/>
      <c r="G3060" s="132"/>
      <c r="H3060" s="162" t="s">
        <v>22034</v>
      </c>
      <c r="I3060" s="158" t="s">
        <v>22035</v>
      </c>
      <c r="J3060" s="128"/>
      <c r="K3060" s="128"/>
      <c r="L3060" s="128"/>
      <c r="M3060" s="129"/>
      <c r="N3060" s="129"/>
      <c r="O3060" s="129"/>
    </row>
    <row r="3061" spans="1:15" ht="12.5">
      <c r="A3061" s="158" t="s">
        <v>22036</v>
      </c>
      <c r="B3061" s="159">
        <v>35</v>
      </c>
      <c r="C3061" s="159">
        <v>90</v>
      </c>
      <c r="D3061" s="159">
        <v>31</v>
      </c>
      <c r="E3061" s="159">
        <v>71</v>
      </c>
      <c r="F3061" s="131"/>
      <c r="G3061" s="132"/>
      <c r="H3061" s="162" t="s">
        <v>22037</v>
      </c>
      <c r="I3061" s="158" t="s">
        <v>22038</v>
      </c>
      <c r="J3061" s="128"/>
      <c r="K3061" s="128"/>
      <c r="L3061" s="128"/>
      <c r="M3061" s="129"/>
      <c r="N3061" s="129"/>
      <c r="O3061" s="129"/>
    </row>
    <row r="3062" spans="1:15" ht="12.5">
      <c r="A3062" s="158" t="s">
        <v>22039</v>
      </c>
      <c r="B3062" s="159">
        <v>35</v>
      </c>
      <c r="C3062" s="159">
        <v>90</v>
      </c>
      <c r="D3062" s="159">
        <v>31</v>
      </c>
      <c r="E3062" s="159">
        <v>72</v>
      </c>
      <c r="F3062" s="131"/>
      <c r="G3062" s="132"/>
      <c r="H3062" s="162" t="s">
        <v>22040</v>
      </c>
      <c r="I3062" s="158" t="s">
        <v>22041</v>
      </c>
      <c r="J3062" s="128"/>
      <c r="K3062" s="128"/>
      <c r="L3062" s="128"/>
      <c r="M3062" s="129"/>
      <c r="N3062" s="129"/>
      <c r="O3062" s="129"/>
    </row>
    <row r="3063" spans="1:15" ht="12.5">
      <c r="A3063" s="158" t="s">
        <v>22042</v>
      </c>
      <c r="B3063" s="159">
        <v>35</v>
      </c>
      <c r="C3063" s="159">
        <v>90</v>
      </c>
      <c r="D3063" s="159">
        <v>31</v>
      </c>
      <c r="E3063" s="159">
        <v>73</v>
      </c>
      <c r="F3063" s="131"/>
      <c r="G3063" s="132"/>
      <c r="H3063" s="162" t="s">
        <v>22043</v>
      </c>
      <c r="I3063" s="158" t="s">
        <v>22044</v>
      </c>
      <c r="J3063" s="128"/>
      <c r="K3063" s="128"/>
      <c r="L3063" s="128"/>
      <c r="M3063" s="129"/>
      <c r="N3063" s="129"/>
      <c r="O3063" s="129"/>
    </row>
    <row r="3064" spans="1:15" ht="12.5">
      <c r="A3064" s="158" t="s">
        <v>22045</v>
      </c>
      <c r="B3064" s="159">
        <v>35</v>
      </c>
      <c r="C3064" s="159">
        <v>90</v>
      </c>
      <c r="D3064" s="159">
        <v>31</v>
      </c>
      <c r="E3064" s="159">
        <v>74</v>
      </c>
      <c r="F3064" s="131"/>
      <c r="G3064" s="132"/>
      <c r="H3064" s="162" t="s">
        <v>22046</v>
      </c>
      <c r="I3064" s="158" t="s">
        <v>22047</v>
      </c>
      <c r="J3064" s="128"/>
      <c r="K3064" s="128"/>
      <c r="L3064" s="128"/>
      <c r="M3064" s="129"/>
      <c r="N3064" s="129"/>
      <c r="O3064" s="129"/>
    </row>
    <row r="3065" spans="1:15" ht="12.5">
      <c r="A3065" s="158" t="s">
        <v>22048</v>
      </c>
      <c r="B3065" s="159">
        <v>35</v>
      </c>
      <c r="C3065" s="159">
        <v>90</v>
      </c>
      <c r="D3065" s="159">
        <v>31</v>
      </c>
      <c r="E3065" s="159">
        <v>75</v>
      </c>
      <c r="F3065" s="131"/>
      <c r="G3065" s="132"/>
      <c r="H3065" s="162" t="s">
        <v>22049</v>
      </c>
      <c r="I3065" s="158" t="s">
        <v>22050</v>
      </c>
      <c r="J3065" s="128"/>
      <c r="K3065" s="128"/>
      <c r="L3065" s="128"/>
      <c r="M3065" s="129"/>
      <c r="N3065" s="129"/>
      <c r="O3065" s="129"/>
    </row>
    <row r="3066" spans="1:15" ht="12.5">
      <c r="A3066" s="158" t="s">
        <v>22051</v>
      </c>
      <c r="B3066" s="159">
        <v>35</v>
      </c>
      <c r="C3066" s="159">
        <v>90</v>
      </c>
      <c r="D3066" s="159">
        <v>31</v>
      </c>
      <c r="E3066" s="159">
        <v>83</v>
      </c>
      <c r="F3066" s="131"/>
      <c r="G3066" s="132"/>
      <c r="H3066" s="162" t="s">
        <v>22052</v>
      </c>
      <c r="I3066" s="128"/>
      <c r="J3066" s="128"/>
      <c r="K3066" s="128"/>
      <c r="L3066" s="128"/>
      <c r="M3066" s="129"/>
      <c r="N3066" s="129"/>
      <c r="O3066" s="129"/>
    </row>
    <row r="3067" spans="1:15" ht="12.5">
      <c r="A3067" s="158" t="s">
        <v>22053</v>
      </c>
      <c r="B3067" s="159">
        <v>35</v>
      </c>
      <c r="C3067" s="159">
        <v>90</v>
      </c>
      <c r="D3067" s="159">
        <v>31</v>
      </c>
      <c r="E3067" s="159">
        <v>84</v>
      </c>
      <c r="F3067" s="131"/>
      <c r="G3067" s="132"/>
      <c r="H3067" s="162" t="s">
        <v>22054</v>
      </c>
      <c r="I3067" s="158" t="s">
        <v>22055</v>
      </c>
      <c r="J3067" s="128"/>
      <c r="K3067" s="128"/>
      <c r="L3067" s="128"/>
      <c r="M3067" s="129"/>
      <c r="N3067" s="129"/>
      <c r="O3067" s="129"/>
    </row>
    <row r="3068" spans="1:15" ht="12.5">
      <c r="A3068" s="158" t="s">
        <v>22056</v>
      </c>
      <c r="B3068" s="159">
        <v>35</v>
      </c>
      <c r="C3068" s="159">
        <v>90</v>
      </c>
      <c r="D3068" s="159">
        <v>31</v>
      </c>
      <c r="E3068" s="159">
        <v>90</v>
      </c>
      <c r="F3068" s="131"/>
      <c r="G3068" s="132"/>
      <c r="H3068" s="162" t="s">
        <v>22057</v>
      </c>
      <c r="I3068" s="158" t="s">
        <v>22058</v>
      </c>
      <c r="J3068" s="128"/>
      <c r="K3068" s="128"/>
      <c r="L3068" s="128"/>
      <c r="M3068" s="129"/>
      <c r="N3068" s="129"/>
      <c r="O3068" s="129"/>
    </row>
    <row r="3069" spans="1:15" ht="12.5">
      <c r="A3069" s="158" t="s">
        <v>22059</v>
      </c>
      <c r="B3069" s="159">
        <v>35</v>
      </c>
      <c r="C3069" s="159">
        <v>90</v>
      </c>
      <c r="D3069" s="159">
        <v>31</v>
      </c>
      <c r="E3069" s="159">
        <v>95</v>
      </c>
      <c r="F3069" s="131"/>
      <c r="G3069" s="132"/>
      <c r="H3069" s="162" t="s">
        <v>22060</v>
      </c>
      <c r="I3069" s="158" t="s">
        <v>22061</v>
      </c>
      <c r="J3069" s="128"/>
      <c r="K3069" s="128"/>
      <c r="L3069" s="128"/>
      <c r="M3069" s="129"/>
      <c r="N3069" s="129"/>
      <c r="O3069" s="129"/>
    </row>
    <row r="3070" spans="1:15" ht="12.5">
      <c r="A3070" s="158" t="s">
        <v>22062</v>
      </c>
      <c r="B3070" s="159">
        <v>35</v>
      </c>
      <c r="C3070" s="159">
        <v>90</v>
      </c>
      <c r="D3070" s="159">
        <v>31</v>
      </c>
      <c r="E3070" s="159">
        <v>96</v>
      </c>
      <c r="F3070" s="131"/>
      <c r="G3070" s="132"/>
      <c r="H3070" s="162" t="s">
        <v>22063</v>
      </c>
      <c r="I3070" s="158" t="s">
        <v>22064</v>
      </c>
      <c r="J3070" s="128"/>
      <c r="K3070" s="128"/>
      <c r="L3070" s="128"/>
      <c r="M3070" s="129"/>
      <c r="N3070" s="129"/>
      <c r="O3070" s="129"/>
    </row>
    <row r="3071" spans="1:15" ht="12.5">
      <c r="A3071" s="158" t="s">
        <v>22065</v>
      </c>
      <c r="B3071" s="159">
        <v>35</v>
      </c>
      <c r="C3071" s="159">
        <v>90</v>
      </c>
      <c r="D3071" s="159">
        <v>31</v>
      </c>
      <c r="E3071" s="159">
        <v>97</v>
      </c>
      <c r="F3071" s="131"/>
      <c r="G3071" s="132"/>
      <c r="H3071" s="162" t="s">
        <v>22066</v>
      </c>
      <c r="I3071" s="158" t="s">
        <v>22067</v>
      </c>
      <c r="J3071" s="128"/>
      <c r="K3071" s="128"/>
      <c r="L3071" s="128"/>
      <c r="M3071" s="129"/>
      <c r="N3071" s="129"/>
      <c r="O3071" s="129"/>
    </row>
    <row r="3072" spans="1:15" ht="12.5">
      <c r="A3072" s="158" t="s">
        <v>22068</v>
      </c>
      <c r="B3072" s="159">
        <v>35</v>
      </c>
      <c r="C3072" s="159">
        <v>90</v>
      </c>
      <c r="D3072" s="159">
        <v>33</v>
      </c>
      <c r="E3072" s="130"/>
      <c r="F3072" s="131"/>
      <c r="G3072" s="132"/>
      <c r="H3072" s="162" t="s">
        <v>22069</v>
      </c>
      <c r="I3072" s="128"/>
      <c r="J3072" s="128"/>
      <c r="K3072" s="128"/>
      <c r="L3072" s="128"/>
      <c r="M3072" s="129"/>
      <c r="N3072" s="129"/>
      <c r="O3072" s="129"/>
    </row>
    <row r="3073" spans="1:15" ht="12.5">
      <c r="A3073" s="158" t="s">
        <v>22070</v>
      </c>
      <c r="B3073" s="159">
        <v>35</v>
      </c>
      <c r="C3073" s="159">
        <v>90</v>
      </c>
      <c r="D3073" s="159">
        <v>33</v>
      </c>
      <c r="E3073" s="159">
        <v>12</v>
      </c>
      <c r="F3073" s="131"/>
      <c r="G3073" s="132"/>
      <c r="H3073" s="162" t="s">
        <v>22071</v>
      </c>
      <c r="I3073" s="158" t="s">
        <v>22072</v>
      </c>
      <c r="J3073" s="128"/>
      <c r="K3073" s="128"/>
      <c r="L3073" s="128"/>
      <c r="M3073" s="129"/>
      <c r="N3073" s="129"/>
      <c r="O3073" s="129"/>
    </row>
    <row r="3074" spans="1:15" ht="12.5">
      <c r="A3074" s="158" t="s">
        <v>22073</v>
      </c>
      <c r="B3074" s="159">
        <v>35</v>
      </c>
      <c r="C3074" s="159">
        <v>90</v>
      </c>
      <c r="D3074" s="159">
        <v>33</v>
      </c>
      <c r="E3074" s="159">
        <v>20</v>
      </c>
      <c r="F3074" s="131"/>
      <c r="G3074" s="132"/>
      <c r="H3074" s="162" t="s">
        <v>22074</v>
      </c>
      <c r="I3074" s="158" t="s">
        <v>22075</v>
      </c>
      <c r="J3074" s="128"/>
      <c r="K3074" s="128"/>
      <c r="L3074" s="128"/>
      <c r="M3074" s="129"/>
      <c r="N3074" s="129"/>
      <c r="O3074" s="129"/>
    </row>
    <row r="3075" spans="1:15" ht="12.5">
      <c r="A3075" s="158" t="s">
        <v>22076</v>
      </c>
      <c r="B3075" s="159">
        <v>35</v>
      </c>
      <c r="C3075" s="159">
        <v>90</v>
      </c>
      <c r="D3075" s="159">
        <v>33</v>
      </c>
      <c r="E3075" s="159">
        <v>22</v>
      </c>
      <c r="F3075" s="131"/>
      <c r="G3075" s="132"/>
      <c r="H3075" s="162" t="s">
        <v>22077</v>
      </c>
      <c r="I3075" s="158" t="s">
        <v>22078</v>
      </c>
      <c r="J3075" s="128"/>
      <c r="K3075" s="128"/>
      <c r="L3075" s="128"/>
      <c r="M3075" s="129"/>
      <c r="N3075" s="129"/>
      <c r="O3075" s="129"/>
    </row>
    <row r="3076" spans="1:15" ht="12.5">
      <c r="A3076" s="158" t="s">
        <v>22079</v>
      </c>
      <c r="B3076" s="159">
        <v>35</v>
      </c>
      <c r="C3076" s="159">
        <v>90</v>
      </c>
      <c r="D3076" s="159">
        <v>33</v>
      </c>
      <c r="E3076" s="159">
        <v>23</v>
      </c>
      <c r="F3076" s="131"/>
      <c r="G3076" s="132"/>
      <c r="H3076" s="162" t="s">
        <v>22080</v>
      </c>
      <c r="I3076" s="158" t="s">
        <v>22081</v>
      </c>
      <c r="J3076" s="128"/>
      <c r="K3076" s="128"/>
      <c r="L3076" s="128"/>
      <c r="M3076" s="129"/>
      <c r="N3076" s="129"/>
      <c r="O3076" s="129"/>
    </row>
    <row r="3077" spans="1:15" ht="12.5">
      <c r="A3077" s="158" t="s">
        <v>22082</v>
      </c>
      <c r="B3077" s="159">
        <v>35</v>
      </c>
      <c r="C3077" s="159">
        <v>90</v>
      </c>
      <c r="D3077" s="159">
        <v>33</v>
      </c>
      <c r="E3077" s="159">
        <v>24</v>
      </c>
      <c r="F3077" s="131"/>
      <c r="G3077" s="132"/>
      <c r="H3077" s="162" t="s">
        <v>22083</v>
      </c>
      <c r="I3077" s="158" t="s">
        <v>22084</v>
      </c>
      <c r="J3077" s="128"/>
      <c r="K3077" s="128"/>
      <c r="L3077" s="128"/>
      <c r="M3077" s="129"/>
      <c r="N3077" s="129"/>
      <c r="O3077" s="129"/>
    </row>
    <row r="3078" spans="1:15" ht="12.5">
      <c r="A3078" s="158" t="s">
        <v>22085</v>
      </c>
      <c r="B3078" s="159">
        <v>35</v>
      </c>
      <c r="C3078" s="159">
        <v>90</v>
      </c>
      <c r="D3078" s="159">
        <v>33</v>
      </c>
      <c r="E3078" s="159">
        <v>25</v>
      </c>
      <c r="F3078" s="131"/>
      <c r="G3078" s="132"/>
      <c r="H3078" s="162" t="s">
        <v>22086</v>
      </c>
      <c r="I3078" s="158" t="s">
        <v>22087</v>
      </c>
      <c r="J3078" s="128"/>
      <c r="K3078" s="128"/>
      <c r="L3078" s="128"/>
      <c r="M3078" s="129"/>
      <c r="N3078" s="129"/>
      <c r="O3078" s="129"/>
    </row>
    <row r="3079" spans="1:15" ht="12.5">
      <c r="A3079" s="158" t="s">
        <v>22088</v>
      </c>
      <c r="B3079" s="159">
        <v>35</v>
      </c>
      <c r="C3079" s="159">
        <v>90</v>
      </c>
      <c r="D3079" s="159">
        <v>33</v>
      </c>
      <c r="E3079" s="159">
        <v>26</v>
      </c>
      <c r="F3079" s="131"/>
      <c r="G3079" s="132"/>
      <c r="H3079" s="162" t="s">
        <v>22089</v>
      </c>
      <c r="I3079" s="158" t="s">
        <v>22090</v>
      </c>
      <c r="J3079" s="128"/>
      <c r="K3079" s="128"/>
      <c r="L3079" s="128"/>
      <c r="M3079" s="129"/>
      <c r="N3079" s="129"/>
      <c r="O3079" s="129"/>
    </row>
    <row r="3080" spans="1:15" ht="12.5">
      <c r="A3080" s="158" t="s">
        <v>22091</v>
      </c>
      <c r="B3080" s="159">
        <v>35</v>
      </c>
      <c r="C3080" s="159">
        <v>90</v>
      </c>
      <c r="D3080" s="159">
        <v>33</v>
      </c>
      <c r="E3080" s="159">
        <v>28</v>
      </c>
      <c r="F3080" s="131"/>
      <c r="G3080" s="132"/>
      <c r="H3080" s="162" t="s">
        <v>22092</v>
      </c>
      <c r="I3080" s="158" t="s">
        <v>22093</v>
      </c>
      <c r="J3080" s="128"/>
      <c r="K3080" s="128"/>
      <c r="L3080" s="128"/>
      <c r="M3080" s="129"/>
      <c r="N3080" s="129"/>
      <c r="O3080" s="129"/>
    </row>
    <row r="3081" spans="1:15" ht="12.5">
      <c r="A3081" s="158" t="s">
        <v>22094</v>
      </c>
      <c r="B3081" s="159">
        <v>35</v>
      </c>
      <c r="C3081" s="159">
        <v>90</v>
      </c>
      <c r="D3081" s="159">
        <v>33</v>
      </c>
      <c r="E3081" s="159">
        <v>34</v>
      </c>
      <c r="F3081" s="131"/>
      <c r="G3081" s="132"/>
      <c r="H3081" s="162" t="s">
        <v>22095</v>
      </c>
      <c r="I3081" s="158" t="s">
        <v>22096</v>
      </c>
      <c r="J3081" s="128"/>
      <c r="K3081" s="128"/>
      <c r="L3081" s="128"/>
      <c r="M3081" s="129"/>
      <c r="N3081" s="129"/>
      <c r="O3081" s="129"/>
    </row>
    <row r="3082" spans="1:15" ht="12.5">
      <c r="A3082" s="158" t="s">
        <v>22097</v>
      </c>
      <c r="B3082" s="159">
        <v>35</v>
      </c>
      <c r="C3082" s="159">
        <v>90</v>
      </c>
      <c r="D3082" s="159">
        <v>33</v>
      </c>
      <c r="E3082" s="159">
        <v>39</v>
      </c>
      <c r="F3082" s="131"/>
      <c r="G3082" s="132"/>
      <c r="H3082" s="162" t="s">
        <v>22098</v>
      </c>
      <c r="I3082" s="158" t="s">
        <v>22099</v>
      </c>
      <c r="J3082" s="128"/>
      <c r="K3082" s="128"/>
      <c r="L3082" s="128"/>
      <c r="M3082" s="129"/>
      <c r="N3082" s="129"/>
      <c r="O3082" s="129"/>
    </row>
    <row r="3083" spans="1:15" ht="12.5">
      <c r="A3083" s="158" t="s">
        <v>22100</v>
      </c>
      <c r="B3083" s="159">
        <v>35</v>
      </c>
      <c r="C3083" s="159">
        <v>90</v>
      </c>
      <c r="D3083" s="159">
        <v>33</v>
      </c>
      <c r="E3083" s="159">
        <v>56</v>
      </c>
      <c r="F3083" s="131"/>
      <c r="G3083" s="132"/>
      <c r="H3083" s="162" t="s">
        <v>22101</v>
      </c>
      <c r="I3083" s="158" t="s">
        <v>22102</v>
      </c>
      <c r="J3083" s="128"/>
      <c r="K3083" s="128"/>
      <c r="L3083" s="128"/>
      <c r="M3083" s="129"/>
      <c r="N3083" s="129"/>
      <c r="O3083" s="129"/>
    </row>
    <row r="3084" spans="1:15" ht="12.5">
      <c r="A3084" s="158" t="s">
        <v>22103</v>
      </c>
      <c r="B3084" s="159">
        <v>35</v>
      </c>
      <c r="C3084" s="159">
        <v>90</v>
      </c>
      <c r="D3084" s="159">
        <v>33</v>
      </c>
      <c r="E3084" s="159">
        <v>57</v>
      </c>
      <c r="F3084" s="131"/>
      <c r="G3084" s="132"/>
      <c r="H3084" s="162" t="s">
        <v>22104</v>
      </c>
      <c r="I3084" s="158" t="s">
        <v>22105</v>
      </c>
      <c r="J3084" s="128"/>
      <c r="K3084" s="128"/>
      <c r="L3084" s="128"/>
      <c r="M3084" s="129"/>
      <c r="N3084" s="129"/>
      <c r="O3084" s="129"/>
    </row>
    <row r="3085" spans="1:15" ht="12.5">
      <c r="A3085" s="158" t="s">
        <v>22106</v>
      </c>
      <c r="B3085" s="159">
        <v>35</v>
      </c>
      <c r="C3085" s="159">
        <v>90</v>
      </c>
      <c r="D3085" s="159">
        <v>33</v>
      </c>
      <c r="E3085" s="159">
        <v>64</v>
      </c>
      <c r="F3085" s="131"/>
      <c r="G3085" s="132"/>
      <c r="H3085" s="162" t="s">
        <v>22107</v>
      </c>
      <c r="I3085" s="158" t="s">
        <v>22108</v>
      </c>
      <c r="J3085" s="128"/>
      <c r="K3085" s="128"/>
      <c r="L3085" s="128"/>
      <c r="M3085" s="129"/>
      <c r="N3085" s="129"/>
      <c r="O3085" s="129"/>
    </row>
    <row r="3086" spans="1:15" ht="12.5">
      <c r="A3086" s="158" t="s">
        <v>22109</v>
      </c>
      <c r="B3086" s="159">
        <v>35</v>
      </c>
      <c r="C3086" s="159">
        <v>90</v>
      </c>
      <c r="D3086" s="159">
        <v>33</v>
      </c>
      <c r="E3086" s="159">
        <v>66</v>
      </c>
      <c r="F3086" s="131"/>
      <c r="G3086" s="132"/>
      <c r="H3086" s="162" t="s">
        <v>22110</v>
      </c>
      <c r="I3086" s="158" t="s">
        <v>22111</v>
      </c>
      <c r="J3086" s="128"/>
      <c r="K3086" s="128"/>
      <c r="L3086" s="128"/>
      <c r="M3086" s="129"/>
      <c r="N3086" s="129"/>
      <c r="O3086" s="129"/>
    </row>
    <row r="3087" spans="1:15" ht="12.5">
      <c r="A3087" s="158" t="s">
        <v>22112</v>
      </c>
      <c r="B3087" s="159">
        <v>35</v>
      </c>
      <c r="C3087" s="159">
        <v>90</v>
      </c>
      <c r="D3087" s="159">
        <v>33</v>
      </c>
      <c r="E3087" s="159">
        <v>77</v>
      </c>
      <c r="F3087" s="131"/>
      <c r="G3087" s="132"/>
      <c r="H3087" s="162" t="s">
        <v>22113</v>
      </c>
      <c r="I3087" s="158" t="s">
        <v>22114</v>
      </c>
      <c r="J3087" s="128"/>
      <c r="K3087" s="128"/>
      <c r="L3087" s="128"/>
      <c r="M3087" s="129"/>
      <c r="N3087" s="129"/>
      <c r="O3087" s="129"/>
    </row>
    <row r="3088" spans="1:15" ht="12.5">
      <c r="A3088" s="158" t="s">
        <v>22115</v>
      </c>
      <c r="B3088" s="159">
        <v>35</v>
      </c>
      <c r="C3088" s="159">
        <v>90</v>
      </c>
      <c r="D3088" s="159">
        <v>33</v>
      </c>
      <c r="E3088" s="159">
        <v>84</v>
      </c>
      <c r="F3088" s="131"/>
      <c r="G3088" s="132"/>
      <c r="H3088" s="162" t="s">
        <v>22116</v>
      </c>
      <c r="I3088" s="158" t="s">
        <v>22117</v>
      </c>
      <c r="J3088" s="128"/>
      <c r="K3088" s="128"/>
      <c r="L3088" s="128"/>
      <c r="M3088" s="129"/>
      <c r="N3088" s="129"/>
      <c r="O3088" s="129"/>
    </row>
    <row r="3089" spans="1:15" ht="12.5">
      <c r="A3089" s="158" t="s">
        <v>22118</v>
      </c>
      <c r="B3089" s="159">
        <v>35</v>
      </c>
      <c r="C3089" s="159">
        <v>90</v>
      </c>
      <c r="D3089" s="159">
        <v>33</v>
      </c>
      <c r="E3089" s="159">
        <v>86</v>
      </c>
      <c r="F3089" s="131"/>
      <c r="G3089" s="132"/>
      <c r="H3089" s="162" t="s">
        <v>22119</v>
      </c>
      <c r="I3089" s="158" t="s">
        <v>22120</v>
      </c>
      <c r="J3089" s="128"/>
      <c r="K3089" s="128"/>
      <c r="L3089" s="128"/>
      <c r="M3089" s="129"/>
      <c r="N3089" s="129"/>
      <c r="O3089" s="129"/>
    </row>
    <row r="3090" spans="1:15" ht="12.5">
      <c r="A3090" s="158" t="s">
        <v>22121</v>
      </c>
      <c r="B3090" s="159">
        <v>35</v>
      </c>
      <c r="C3090" s="159">
        <v>90</v>
      </c>
      <c r="D3090" s="159">
        <v>33</v>
      </c>
      <c r="E3090" s="159">
        <v>97</v>
      </c>
      <c r="F3090" s="131"/>
      <c r="G3090" s="132"/>
      <c r="H3090" s="162" t="s">
        <v>22122</v>
      </c>
      <c r="I3090" s="158" t="s">
        <v>22123</v>
      </c>
      <c r="J3090" s="128"/>
      <c r="K3090" s="128"/>
      <c r="L3090" s="128"/>
      <c r="M3090" s="129"/>
      <c r="N3090" s="129"/>
      <c r="O3090" s="129"/>
    </row>
    <row r="3091" spans="1:15" ht="12.5">
      <c r="A3091" s="158" t="s">
        <v>22124</v>
      </c>
      <c r="B3091" s="159">
        <v>35</v>
      </c>
      <c r="C3091" s="159">
        <v>90</v>
      </c>
      <c r="D3091" s="159">
        <v>33</v>
      </c>
      <c r="E3091" s="159">
        <v>99</v>
      </c>
      <c r="F3091" s="131"/>
      <c r="G3091" s="132"/>
      <c r="H3091" s="162" t="s">
        <v>22125</v>
      </c>
      <c r="I3091" s="158" t="s">
        <v>22126</v>
      </c>
      <c r="J3091" s="128"/>
      <c r="K3091" s="128"/>
      <c r="L3091" s="128"/>
      <c r="M3091" s="129"/>
      <c r="N3091" s="129"/>
      <c r="O3091" s="129"/>
    </row>
    <row r="3092" spans="1:15" ht="12.5">
      <c r="A3092" s="158" t="s">
        <v>22127</v>
      </c>
      <c r="B3092" s="159">
        <v>35</v>
      </c>
      <c r="C3092" s="159">
        <v>90</v>
      </c>
      <c r="D3092" s="159">
        <v>43</v>
      </c>
      <c r="E3092" s="130"/>
      <c r="F3092" s="131"/>
      <c r="G3092" s="132"/>
      <c r="H3092" s="162" t="s">
        <v>22128</v>
      </c>
      <c r="I3092" s="128"/>
      <c r="J3092" s="128"/>
      <c r="K3092" s="128"/>
      <c r="L3092" s="128"/>
      <c r="M3092" s="129"/>
      <c r="N3092" s="129"/>
      <c r="O3092" s="129"/>
    </row>
    <row r="3093" spans="1:15" ht="12.5">
      <c r="A3093" s="158" t="s">
        <v>22129</v>
      </c>
      <c r="B3093" s="159">
        <v>35</v>
      </c>
      <c r="C3093" s="159">
        <v>90</v>
      </c>
      <c r="D3093" s="159">
        <v>43</v>
      </c>
      <c r="E3093" s="159">
        <v>2</v>
      </c>
      <c r="F3093" s="131"/>
      <c r="G3093" s="132"/>
      <c r="H3093" s="162" t="s">
        <v>22130</v>
      </c>
      <c r="I3093" s="158" t="s">
        <v>22131</v>
      </c>
      <c r="J3093" s="128"/>
      <c r="K3093" s="128"/>
      <c r="L3093" s="128"/>
      <c r="M3093" s="129"/>
      <c r="N3093" s="129"/>
      <c r="O3093" s="129"/>
    </row>
    <row r="3094" spans="1:15" ht="12.5">
      <c r="A3094" s="158" t="s">
        <v>22132</v>
      </c>
      <c r="B3094" s="159">
        <v>35</v>
      </c>
      <c r="C3094" s="159">
        <v>90</v>
      </c>
      <c r="D3094" s="159">
        <v>43</v>
      </c>
      <c r="E3094" s="159">
        <v>3</v>
      </c>
      <c r="F3094" s="131"/>
      <c r="G3094" s="132"/>
      <c r="H3094" s="162" t="s">
        <v>22133</v>
      </c>
      <c r="I3094" s="128"/>
      <c r="J3094" s="128"/>
      <c r="K3094" s="128"/>
      <c r="L3094" s="128"/>
      <c r="M3094" s="129"/>
      <c r="N3094" s="129"/>
      <c r="O3094" s="129"/>
    </row>
    <row r="3095" spans="1:15" ht="12.5">
      <c r="A3095" s="158" t="s">
        <v>22134</v>
      </c>
      <c r="B3095" s="159">
        <v>35</v>
      </c>
      <c r="C3095" s="159">
        <v>90</v>
      </c>
      <c r="D3095" s="159">
        <v>43</v>
      </c>
      <c r="E3095" s="159">
        <v>4</v>
      </c>
      <c r="F3095" s="131"/>
      <c r="G3095" s="132"/>
      <c r="H3095" s="162" t="s">
        <v>22135</v>
      </c>
      <c r="I3095" s="128"/>
      <c r="J3095" s="128"/>
      <c r="K3095" s="128"/>
      <c r="L3095" s="128"/>
      <c r="M3095" s="129"/>
      <c r="N3095" s="129"/>
      <c r="O3095" s="129"/>
    </row>
    <row r="3096" spans="1:15" ht="12.5">
      <c r="A3096" s="158" t="s">
        <v>22136</v>
      </c>
      <c r="B3096" s="159">
        <v>35</v>
      </c>
      <c r="C3096" s="159">
        <v>90</v>
      </c>
      <c r="D3096" s="159">
        <v>43</v>
      </c>
      <c r="E3096" s="159">
        <v>12</v>
      </c>
      <c r="F3096" s="131"/>
      <c r="G3096" s="132"/>
      <c r="H3096" s="162" t="s">
        <v>22137</v>
      </c>
      <c r="I3096" s="158" t="s">
        <v>22138</v>
      </c>
      <c r="J3096" s="128"/>
      <c r="K3096" s="128"/>
      <c r="L3096" s="128"/>
      <c r="M3096" s="129"/>
      <c r="N3096" s="129"/>
      <c r="O3096" s="129"/>
    </row>
    <row r="3097" spans="1:15" ht="12.5">
      <c r="A3097" s="158" t="s">
        <v>22139</v>
      </c>
      <c r="B3097" s="159">
        <v>35</v>
      </c>
      <c r="C3097" s="159">
        <v>90</v>
      </c>
      <c r="D3097" s="159">
        <v>43</v>
      </c>
      <c r="E3097" s="159">
        <v>13</v>
      </c>
      <c r="F3097" s="131"/>
      <c r="G3097" s="132"/>
      <c r="H3097" s="162" t="s">
        <v>22140</v>
      </c>
      <c r="I3097" s="158" t="s">
        <v>22141</v>
      </c>
      <c r="J3097" s="128"/>
      <c r="K3097" s="128"/>
      <c r="L3097" s="128"/>
      <c r="M3097" s="129"/>
      <c r="N3097" s="129"/>
      <c r="O3097" s="129"/>
    </row>
    <row r="3098" spans="1:15" ht="12.5">
      <c r="A3098" s="158" t="s">
        <v>22142</v>
      </c>
      <c r="B3098" s="159">
        <v>35</v>
      </c>
      <c r="C3098" s="159">
        <v>90</v>
      </c>
      <c r="D3098" s="159">
        <v>43</v>
      </c>
      <c r="E3098" s="159">
        <v>14</v>
      </c>
      <c r="F3098" s="131"/>
      <c r="G3098" s="132"/>
      <c r="H3098" s="162" t="s">
        <v>22143</v>
      </c>
      <c r="I3098" s="158" t="s">
        <v>22144</v>
      </c>
      <c r="J3098" s="128"/>
      <c r="K3098" s="128"/>
      <c r="L3098" s="128"/>
      <c r="M3098" s="129"/>
      <c r="N3098" s="129"/>
      <c r="O3098" s="129"/>
    </row>
    <row r="3099" spans="1:15" ht="12.5">
      <c r="A3099" s="158" t="s">
        <v>22145</v>
      </c>
      <c r="B3099" s="159">
        <v>35</v>
      </c>
      <c r="C3099" s="159">
        <v>90</v>
      </c>
      <c r="D3099" s="159">
        <v>43</v>
      </c>
      <c r="E3099" s="159">
        <v>15</v>
      </c>
      <c r="F3099" s="131"/>
      <c r="G3099" s="132"/>
      <c r="H3099" s="162" t="s">
        <v>22146</v>
      </c>
      <c r="I3099" s="158" t="s">
        <v>22147</v>
      </c>
      <c r="J3099" s="128"/>
      <c r="K3099" s="128"/>
      <c r="L3099" s="128"/>
      <c r="M3099" s="129"/>
      <c r="N3099" s="129"/>
      <c r="O3099" s="129"/>
    </row>
    <row r="3100" spans="1:15" ht="12.5">
      <c r="A3100" s="158" t="s">
        <v>22148</v>
      </c>
      <c r="B3100" s="159">
        <v>35</v>
      </c>
      <c r="C3100" s="159">
        <v>90</v>
      </c>
      <c r="D3100" s="159">
        <v>43</v>
      </c>
      <c r="E3100" s="159">
        <v>16</v>
      </c>
      <c r="F3100" s="131"/>
      <c r="G3100" s="132"/>
      <c r="H3100" s="162" t="s">
        <v>22149</v>
      </c>
      <c r="I3100" s="158" t="s">
        <v>22150</v>
      </c>
      <c r="J3100" s="128"/>
      <c r="K3100" s="128"/>
      <c r="L3100" s="128"/>
      <c r="M3100" s="129"/>
      <c r="N3100" s="129"/>
      <c r="O3100" s="129"/>
    </row>
    <row r="3101" spans="1:15" ht="12.5">
      <c r="A3101" s="158" t="s">
        <v>22151</v>
      </c>
      <c r="B3101" s="159">
        <v>35</v>
      </c>
      <c r="C3101" s="159">
        <v>90</v>
      </c>
      <c r="D3101" s="159">
        <v>43</v>
      </c>
      <c r="E3101" s="159">
        <v>17</v>
      </c>
      <c r="F3101" s="131"/>
      <c r="G3101" s="132"/>
      <c r="H3101" s="162" t="s">
        <v>22152</v>
      </c>
      <c r="I3101" s="128"/>
      <c r="J3101" s="128"/>
      <c r="K3101" s="128"/>
      <c r="L3101" s="128"/>
      <c r="M3101" s="129"/>
      <c r="N3101" s="129"/>
      <c r="O3101" s="129"/>
    </row>
    <row r="3102" spans="1:15" ht="12.5">
      <c r="A3102" s="158" t="s">
        <v>22153</v>
      </c>
      <c r="B3102" s="159">
        <v>35</v>
      </c>
      <c r="C3102" s="159">
        <v>90</v>
      </c>
      <c r="D3102" s="159">
        <v>43</v>
      </c>
      <c r="E3102" s="159">
        <v>21</v>
      </c>
      <c r="F3102" s="131"/>
      <c r="G3102" s="132"/>
      <c r="H3102" s="162" t="s">
        <v>22154</v>
      </c>
      <c r="I3102" s="158" t="s">
        <v>22155</v>
      </c>
      <c r="J3102" s="128"/>
      <c r="K3102" s="128"/>
      <c r="L3102" s="128"/>
      <c r="M3102" s="129"/>
      <c r="N3102" s="129"/>
      <c r="O3102" s="129"/>
    </row>
    <row r="3103" spans="1:15" ht="12.5">
      <c r="A3103" s="158" t="s">
        <v>22156</v>
      </c>
      <c r="B3103" s="159">
        <v>35</v>
      </c>
      <c r="C3103" s="159">
        <v>90</v>
      </c>
      <c r="D3103" s="159">
        <v>43</v>
      </c>
      <c r="E3103" s="159">
        <v>22</v>
      </c>
      <c r="F3103" s="131"/>
      <c r="G3103" s="132"/>
      <c r="H3103" s="162" t="s">
        <v>22157</v>
      </c>
      <c r="I3103" s="158" t="s">
        <v>22158</v>
      </c>
      <c r="J3103" s="128"/>
      <c r="K3103" s="128"/>
      <c r="L3103" s="128"/>
      <c r="M3103" s="129"/>
      <c r="N3103" s="129"/>
      <c r="O3103" s="129"/>
    </row>
    <row r="3104" spans="1:15" ht="12.5">
      <c r="A3104" s="158" t="s">
        <v>22159</v>
      </c>
      <c r="B3104" s="159">
        <v>35</v>
      </c>
      <c r="C3104" s="159">
        <v>90</v>
      </c>
      <c r="D3104" s="159">
        <v>43</v>
      </c>
      <c r="E3104" s="159">
        <v>29</v>
      </c>
      <c r="F3104" s="131"/>
      <c r="G3104" s="132"/>
      <c r="H3104" s="162" t="s">
        <v>22160</v>
      </c>
      <c r="I3104" s="158" t="s">
        <v>22161</v>
      </c>
      <c r="J3104" s="128"/>
      <c r="K3104" s="128"/>
      <c r="L3104" s="128"/>
      <c r="M3104" s="129"/>
      <c r="N3104" s="129"/>
      <c r="O3104" s="129"/>
    </row>
    <row r="3105" spans="1:15" ht="12.5">
      <c r="A3105" s="158" t="s">
        <v>22162</v>
      </c>
      <c r="B3105" s="159">
        <v>35</v>
      </c>
      <c r="C3105" s="159">
        <v>90</v>
      </c>
      <c r="D3105" s="159">
        <v>43</v>
      </c>
      <c r="E3105" s="159">
        <v>30</v>
      </c>
      <c r="F3105" s="131"/>
      <c r="G3105" s="132"/>
      <c r="H3105" s="162" t="s">
        <v>22163</v>
      </c>
      <c r="I3105" s="128"/>
      <c r="J3105" s="128"/>
      <c r="K3105" s="128"/>
      <c r="L3105" s="128"/>
      <c r="M3105" s="129"/>
      <c r="N3105" s="129"/>
      <c r="O3105" s="129"/>
    </row>
    <row r="3106" spans="1:15" ht="12.5">
      <c r="A3106" s="158" t="s">
        <v>22164</v>
      </c>
      <c r="B3106" s="159">
        <v>35</v>
      </c>
      <c r="C3106" s="159">
        <v>90</v>
      </c>
      <c r="D3106" s="159">
        <v>43</v>
      </c>
      <c r="E3106" s="159">
        <v>42</v>
      </c>
      <c r="F3106" s="131"/>
      <c r="G3106" s="132"/>
      <c r="H3106" s="162" t="s">
        <v>22165</v>
      </c>
      <c r="I3106" s="158" t="s">
        <v>22166</v>
      </c>
      <c r="J3106" s="128"/>
      <c r="K3106" s="128"/>
      <c r="L3106" s="128"/>
      <c r="M3106" s="129"/>
      <c r="N3106" s="129"/>
      <c r="O3106" s="129"/>
    </row>
    <row r="3107" spans="1:15" ht="12.5">
      <c r="A3107" s="158" t="s">
        <v>22167</v>
      </c>
      <c r="B3107" s="159">
        <v>35</v>
      </c>
      <c r="C3107" s="159">
        <v>90</v>
      </c>
      <c r="D3107" s="159">
        <v>43</v>
      </c>
      <c r="E3107" s="159">
        <v>47</v>
      </c>
      <c r="F3107" s="131"/>
      <c r="G3107" s="132"/>
      <c r="H3107" s="162" t="s">
        <v>22168</v>
      </c>
      <c r="I3107" s="158" t="s">
        <v>22169</v>
      </c>
      <c r="J3107" s="128"/>
      <c r="K3107" s="128"/>
      <c r="L3107" s="128"/>
      <c r="M3107" s="129"/>
      <c r="N3107" s="129"/>
      <c r="O3107" s="129"/>
    </row>
    <row r="3108" spans="1:15" ht="12.5">
      <c r="A3108" s="158" t="s">
        <v>22170</v>
      </c>
      <c r="B3108" s="159">
        <v>35</v>
      </c>
      <c r="C3108" s="159">
        <v>90</v>
      </c>
      <c r="D3108" s="159">
        <v>43</v>
      </c>
      <c r="E3108" s="159">
        <v>48</v>
      </c>
      <c r="F3108" s="131"/>
      <c r="G3108" s="132"/>
      <c r="H3108" s="162" t="s">
        <v>22171</v>
      </c>
      <c r="I3108" s="158" t="s">
        <v>22172</v>
      </c>
      <c r="J3108" s="128"/>
      <c r="K3108" s="128"/>
      <c r="L3108" s="128"/>
      <c r="M3108" s="129"/>
      <c r="N3108" s="129"/>
      <c r="O3108" s="129"/>
    </row>
    <row r="3109" spans="1:15" ht="12.5">
      <c r="A3109" s="158" t="s">
        <v>22173</v>
      </c>
      <c r="B3109" s="159">
        <v>35</v>
      </c>
      <c r="C3109" s="159">
        <v>90</v>
      </c>
      <c r="D3109" s="159">
        <v>43</v>
      </c>
      <c r="E3109" s="159">
        <v>49</v>
      </c>
      <c r="F3109" s="131"/>
      <c r="G3109" s="132"/>
      <c r="H3109" s="162" t="s">
        <v>22174</v>
      </c>
      <c r="I3109" s="128"/>
      <c r="J3109" s="128"/>
      <c r="K3109" s="128"/>
      <c r="L3109" s="128"/>
      <c r="M3109" s="129"/>
      <c r="N3109" s="129"/>
      <c r="O3109" s="129"/>
    </row>
    <row r="3110" spans="1:15" ht="12.5">
      <c r="A3110" s="158" t="s">
        <v>22175</v>
      </c>
      <c r="B3110" s="159">
        <v>35</v>
      </c>
      <c r="C3110" s="159">
        <v>90</v>
      </c>
      <c r="D3110" s="159">
        <v>43</v>
      </c>
      <c r="E3110" s="159">
        <v>50</v>
      </c>
      <c r="F3110" s="131"/>
      <c r="G3110" s="132"/>
      <c r="H3110" s="162" t="s">
        <v>22176</v>
      </c>
      <c r="I3110" s="128"/>
      <c r="J3110" s="128"/>
      <c r="K3110" s="128"/>
      <c r="L3110" s="128"/>
      <c r="M3110" s="129"/>
      <c r="N3110" s="129"/>
      <c r="O3110" s="129"/>
    </row>
    <row r="3111" spans="1:15" ht="12.5">
      <c r="A3111" s="158" t="s">
        <v>22177</v>
      </c>
      <c r="B3111" s="159">
        <v>35</v>
      </c>
      <c r="C3111" s="159">
        <v>90</v>
      </c>
      <c r="D3111" s="159">
        <v>43</v>
      </c>
      <c r="E3111" s="159">
        <v>51</v>
      </c>
      <c r="F3111" s="131"/>
      <c r="G3111" s="132"/>
      <c r="H3111" s="162" t="s">
        <v>22178</v>
      </c>
      <c r="I3111" s="158" t="s">
        <v>22179</v>
      </c>
      <c r="J3111" s="128"/>
      <c r="K3111" s="128"/>
      <c r="L3111" s="128"/>
      <c r="M3111" s="129"/>
      <c r="N3111" s="129"/>
      <c r="O3111" s="129"/>
    </row>
    <row r="3112" spans="1:15" ht="12.5">
      <c r="A3112" s="158" t="s">
        <v>22180</v>
      </c>
      <c r="B3112" s="159">
        <v>35</v>
      </c>
      <c r="C3112" s="159">
        <v>90</v>
      </c>
      <c r="D3112" s="159">
        <v>43</v>
      </c>
      <c r="E3112" s="159">
        <v>52</v>
      </c>
      <c r="F3112" s="131"/>
      <c r="G3112" s="132"/>
      <c r="H3112" s="162" t="s">
        <v>22181</v>
      </c>
      <c r="I3112" s="128"/>
      <c r="J3112" s="128"/>
      <c r="K3112" s="128"/>
      <c r="L3112" s="128"/>
      <c r="M3112" s="129"/>
      <c r="N3112" s="129"/>
      <c r="O3112" s="129"/>
    </row>
    <row r="3113" spans="1:15" ht="12.5">
      <c r="A3113" s="158" t="s">
        <v>22182</v>
      </c>
      <c r="B3113" s="159">
        <v>35</v>
      </c>
      <c r="C3113" s="159">
        <v>90</v>
      </c>
      <c r="D3113" s="159">
        <v>43</v>
      </c>
      <c r="E3113" s="159">
        <v>53</v>
      </c>
      <c r="F3113" s="131"/>
      <c r="G3113" s="132"/>
      <c r="H3113" s="162" t="s">
        <v>22183</v>
      </c>
      <c r="I3113" s="158" t="s">
        <v>22184</v>
      </c>
      <c r="J3113" s="128"/>
      <c r="K3113" s="128"/>
      <c r="L3113" s="128"/>
      <c r="M3113" s="129"/>
      <c r="N3113" s="129"/>
      <c r="O3113" s="129"/>
    </row>
    <row r="3114" spans="1:15" ht="12.5">
      <c r="A3114" s="158" t="s">
        <v>22185</v>
      </c>
      <c r="B3114" s="159">
        <v>35</v>
      </c>
      <c r="C3114" s="159">
        <v>90</v>
      </c>
      <c r="D3114" s="159">
        <v>43</v>
      </c>
      <c r="E3114" s="159">
        <v>54</v>
      </c>
      <c r="F3114" s="131"/>
      <c r="G3114" s="132"/>
      <c r="H3114" s="162" t="s">
        <v>22186</v>
      </c>
      <c r="I3114" s="158" t="s">
        <v>22187</v>
      </c>
      <c r="J3114" s="128"/>
      <c r="K3114" s="128"/>
      <c r="L3114" s="128"/>
      <c r="M3114" s="129"/>
      <c r="N3114" s="129"/>
      <c r="O3114" s="129"/>
    </row>
    <row r="3115" spans="1:15" ht="12.5">
      <c r="A3115" s="158" t="s">
        <v>22188</v>
      </c>
      <c r="B3115" s="159">
        <v>35</v>
      </c>
      <c r="C3115" s="159">
        <v>90</v>
      </c>
      <c r="D3115" s="159">
        <v>43</v>
      </c>
      <c r="E3115" s="159">
        <v>55</v>
      </c>
      <c r="F3115" s="131"/>
      <c r="G3115" s="132"/>
      <c r="H3115" s="162" t="s">
        <v>22189</v>
      </c>
      <c r="I3115" s="128"/>
      <c r="J3115" s="128"/>
      <c r="K3115" s="128"/>
      <c r="L3115" s="128"/>
      <c r="M3115" s="129"/>
      <c r="N3115" s="129"/>
      <c r="O3115" s="129"/>
    </row>
    <row r="3116" spans="1:15" ht="12.5">
      <c r="A3116" s="158" t="s">
        <v>22190</v>
      </c>
      <c r="B3116" s="159">
        <v>35</v>
      </c>
      <c r="C3116" s="159">
        <v>90</v>
      </c>
      <c r="D3116" s="159">
        <v>43</v>
      </c>
      <c r="E3116" s="159">
        <v>56</v>
      </c>
      <c r="F3116" s="131"/>
      <c r="G3116" s="132"/>
      <c r="H3116" s="162" t="s">
        <v>22191</v>
      </c>
      <c r="I3116" s="158" t="s">
        <v>22192</v>
      </c>
      <c r="J3116" s="128"/>
      <c r="K3116" s="128"/>
      <c r="L3116" s="128"/>
      <c r="M3116" s="129"/>
      <c r="N3116" s="129"/>
      <c r="O3116" s="129"/>
    </row>
    <row r="3117" spans="1:15" ht="12.5">
      <c r="A3117" s="158" t="s">
        <v>22193</v>
      </c>
      <c r="B3117" s="159">
        <v>35</v>
      </c>
      <c r="C3117" s="159">
        <v>90</v>
      </c>
      <c r="D3117" s="159">
        <v>43</v>
      </c>
      <c r="E3117" s="159">
        <v>57</v>
      </c>
      <c r="F3117" s="131"/>
      <c r="G3117" s="132"/>
      <c r="H3117" s="162" t="s">
        <v>22194</v>
      </c>
      <c r="I3117" s="128"/>
      <c r="J3117" s="128"/>
      <c r="K3117" s="128"/>
      <c r="L3117" s="128"/>
      <c r="M3117" s="129"/>
      <c r="N3117" s="129"/>
      <c r="O3117" s="129"/>
    </row>
    <row r="3118" spans="1:15" ht="12.5">
      <c r="A3118" s="158" t="s">
        <v>22195</v>
      </c>
      <c r="B3118" s="159">
        <v>35</v>
      </c>
      <c r="C3118" s="159">
        <v>90</v>
      </c>
      <c r="D3118" s="159">
        <v>43</v>
      </c>
      <c r="E3118" s="159">
        <v>58</v>
      </c>
      <c r="F3118" s="131"/>
      <c r="G3118" s="132"/>
      <c r="H3118" s="162" t="s">
        <v>22196</v>
      </c>
      <c r="I3118" s="158" t="s">
        <v>22197</v>
      </c>
      <c r="J3118" s="128"/>
      <c r="K3118" s="128"/>
      <c r="L3118" s="128"/>
      <c r="M3118" s="129"/>
      <c r="N3118" s="129"/>
      <c r="O3118" s="129"/>
    </row>
    <row r="3119" spans="1:15" ht="12.5">
      <c r="A3119" s="158" t="s">
        <v>22198</v>
      </c>
      <c r="B3119" s="159">
        <v>35</v>
      </c>
      <c r="C3119" s="159">
        <v>90</v>
      </c>
      <c r="D3119" s="159">
        <v>43</v>
      </c>
      <c r="E3119" s="159">
        <v>59</v>
      </c>
      <c r="F3119" s="131"/>
      <c r="G3119" s="132"/>
      <c r="H3119" s="162" t="s">
        <v>22199</v>
      </c>
      <c r="I3119" s="158" t="s">
        <v>22131</v>
      </c>
      <c r="J3119" s="128"/>
      <c r="K3119" s="128"/>
      <c r="L3119" s="128"/>
      <c r="M3119" s="129"/>
      <c r="N3119" s="129"/>
      <c r="O3119" s="129"/>
    </row>
    <row r="3120" spans="1:15" ht="12.5">
      <c r="A3120" s="158" t="s">
        <v>22200</v>
      </c>
      <c r="B3120" s="159">
        <v>35</v>
      </c>
      <c r="C3120" s="159">
        <v>90</v>
      </c>
      <c r="D3120" s="159">
        <v>43</v>
      </c>
      <c r="E3120" s="159">
        <v>60</v>
      </c>
      <c r="F3120" s="131"/>
      <c r="G3120" s="132"/>
      <c r="H3120" s="162" t="s">
        <v>22201</v>
      </c>
      <c r="I3120" s="158" t="s">
        <v>22202</v>
      </c>
      <c r="J3120" s="128"/>
      <c r="K3120" s="128"/>
      <c r="L3120" s="128"/>
      <c r="M3120" s="129"/>
      <c r="N3120" s="129"/>
      <c r="O3120" s="129"/>
    </row>
    <row r="3121" spans="1:15" ht="12.5">
      <c r="A3121" s="158" t="s">
        <v>22203</v>
      </c>
      <c r="B3121" s="159">
        <v>35</v>
      </c>
      <c r="C3121" s="159">
        <v>90</v>
      </c>
      <c r="D3121" s="159">
        <v>43</v>
      </c>
      <c r="E3121" s="159">
        <v>61</v>
      </c>
      <c r="F3121" s="131"/>
      <c r="G3121" s="132"/>
      <c r="H3121" s="162" t="s">
        <v>22204</v>
      </c>
      <c r="I3121" s="128"/>
      <c r="J3121" s="128"/>
      <c r="K3121" s="128"/>
      <c r="L3121" s="128"/>
      <c r="M3121" s="129"/>
      <c r="N3121" s="129"/>
      <c r="O3121" s="129"/>
    </row>
    <row r="3122" spans="1:15" ht="12.5">
      <c r="A3122" s="158" t="s">
        <v>22205</v>
      </c>
      <c r="B3122" s="159">
        <v>35</v>
      </c>
      <c r="C3122" s="159">
        <v>90</v>
      </c>
      <c r="D3122" s="159">
        <v>43</v>
      </c>
      <c r="E3122" s="159">
        <v>62</v>
      </c>
      <c r="F3122" s="131"/>
      <c r="G3122" s="132"/>
      <c r="H3122" s="162" t="s">
        <v>22206</v>
      </c>
      <c r="I3122" s="128"/>
      <c r="J3122" s="128"/>
      <c r="K3122" s="128"/>
      <c r="L3122" s="128"/>
      <c r="M3122" s="129"/>
      <c r="N3122" s="129"/>
      <c r="O3122" s="129"/>
    </row>
    <row r="3123" spans="1:15" ht="12.5">
      <c r="A3123" s="158" t="s">
        <v>22207</v>
      </c>
      <c r="B3123" s="159">
        <v>35</v>
      </c>
      <c r="C3123" s="159">
        <v>90</v>
      </c>
      <c r="D3123" s="159">
        <v>43</v>
      </c>
      <c r="E3123" s="159">
        <v>63</v>
      </c>
      <c r="F3123" s="131"/>
      <c r="G3123" s="132"/>
      <c r="H3123" s="162" t="s">
        <v>22208</v>
      </c>
      <c r="I3123" s="158" t="s">
        <v>22209</v>
      </c>
      <c r="J3123" s="128"/>
      <c r="K3123" s="128"/>
      <c r="L3123" s="128"/>
      <c r="M3123" s="129"/>
      <c r="N3123" s="129"/>
      <c r="O3123" s="129"/>
    </row>
    <row r="3124" spans="1:15" ht="12.5">
      <c r="A3124" s="158" t="s">
        <v>22210</v>
      </c>
      <c r="B3124" s="159">
        <v>35</v>
      </c>
      <c r="C3124" s="159">
        <v>90</v>
      </c>
      <c r="D3124" s="159">
        <v>43</v>
      </c>
      <c r="E3124" s="159">
        <v>64</v>
      </c>
      <c r="F3124" s="131"/>
      <c r="G3124" s="132"/>
      <c r="H3124" s="162" t="s">
        <v>22211</v>
      </c>
      <c r="I3124" s="158" t="s">
        <v>22212</v>
      </c>
      <c r="J3124" s="128"/>
      <c r="K3124" s="128"/>
      <c r="L3124" s="128"/>
      <c r="M3124" s="129"/>
      <c r="N3124" s="129"/>
      <c r="O3124" s="129"/>
    </row>
    <row r="3125" spans="1:15" ht="12.5">
      <c r="A3125" s="158" t="s">
        <v>22213</v>
      </c>
      <c r="B3125" s="159">
        <v>35</v>
      </c>
      <c r="C3125" s="159">
        <v>90</v>
      </c>
      <c r="D3125" s="159">
        <v>43</v>
      </c>
      <c r="E3125" s="159">
        <v>66</v>
      </c>
      <c r="F3125" s="131"/>
      <c r="G3125" s="132"/>
      <c r="H3125" s="162" t="s">
        <v>22214</v>
      </c>
      <c r="I3125" s="158" t="s">
        <v>22215</v>
      </c>
      <c r="J3125" s="128"/>
      <c r="K3125" s="128"/>
      <c r="L3125" s="128"/>
      <c r="M3125" s="129"/>
      <c r="N3125" s="129"/>
      <c r="O3125" s="129"/>
    </row>
    <row r="3126" spans="1:15" ht="12.5">
      <c r="A3126" s="158" t="s">
        <v>22216</v>
      </c>
      <c r="B3126" s="159">
        <v>35</v>
      </c>
      <c r="C3126" s="159">
        <v>90</v>
      </c>
      <c r="D3126" s="159">
        <v>43</v>
      </c>
      <c r="E3126" s="159">
        <v>70</v>
      </c>
      <c r="F3126" s="131"/>
      <c r="G3126" s="132"/>
      <c r="H3126" s="162" t="s">
        <v>22217</v>
      </c>
      <c r="I3126" s="158" t="s">
        <v>22218</v>
      </c>
      <c r="J3126" s="128"/>
      <c r="K3126" s="128"/>
      <c r="L3126" s="128"/>
      <c r="M3126" s="129"/>
      <c r="N3126" s="129"/>
      <c r="O3126" s="129"/>
    </row>
    <row r="3127" spans="1:15" ht="12.5">
      <c r="A3127" s="158" t="s">
        <v>22219</v>
      </c>
      <c r="B3127" s="159">
        <v>35</v>
      </c>
      <c r="C3127" s="159">
        <v>90</v>
      </c>
      <c r="D3127" s="159">
        <v>43</v>
      </c>
      <c r="E3127" s="159">
        <v>74</v>
      </c>
      <c r="F3127" s="131"/>
      <c r="G3127" s="132"/>
      <c r="H3127" s="162" t="s">
        <v>22220</v>
      </c>
      <c r="I3127" s="158" t="s">
        <v>22221</v>
      </c>
      <c r="J3127" s="128"/>
      <c r="K3127" s="128"/>
      <c r="L3127" s="128"/>
      <c r="M3127" s="129"/>
      <c r="N3127" s="129"/>
      <c r="O3127" s="129"/>
    </row>
    <row r="3128" spans="1:15" ht="12.5">
      <c r="A3128" s="158" t="s">
        <v>22222</v>
      </c>
      <c r="B3128" s="159">
        <v>35</v>
      </c>
      <c r="C3128" s="159">
        <v>90</v>
      </c>
      <c r="D3128" s="159">
        <v>43</v>
      </c>
      <c r="E3128" s="159">
        <v>84</v>
      </c>
      <c r="F3128" s="131"/>
      <c r="G3128" s="132"/>
      <c r="H3128" s="162" t="s">
        <v>22223</v>
      </c>
      <c r="I3128" s="158" t="s">
        <v>22224</v>
      </c>
      <c r="J3128" s="128"/>
      <c r="K3128" s="128"/>
      <c r="L3128" s="128"/>
      <c r="M3128" s="129"/>
      <c r="N3128" s="129"/>
      <c r="O3128" s="129"/>
    </row>
    <row r="3129" spans="1:15" ht="12.5">
      <c r="A3129" s="158" t="s">
        <v>22225</v>
      </c>
      <c r="B3129" s="159">
        <v>35</v>
      </c>
      <c r="C3129" s="159">
        <v>90</v>
      </c>
      <c r="D3129" s="159">
        <v>43</v>
      </c>
      <c r="E3129" s="159">
        <v>86</v>
      </c>
      <c r="F3129" s="131"/>
      <c r="G3129" s="132"/>
      <c r="H3129" s="162" t="s">
        <v>22226</v>
      </c>
      <c r="I3129" s="158" t="s">
        <v>22227</v>
      </c>
      <c r="J3129" s="128"/>
      <c r="K3129" s="128"/>
      <c r="L3129" s="128"/>
      <c r="M3129" s="129"/>
      <c r="N3129" s="129"/>
      <c r="O3129" s="129"/>
    </row>
    <row r="3130" spans="1:15" ht="12.5">
      <c r="A3130" s="158" t="s">
        <v>22228</v>
      </c>
      <c r="B3130" s="159">
        <v>35</v>
      </c>
      <c r="C3130" s="159">
        <v>90</v>
      </c>
      <c r="D3130" s="159">
        <v>43</v>
      </c>
      <c r="E3130" s="159">
        <v>87</v>
      </c>
      <c r="F3130" s="131"/>
      <c r="G3130" s="132"/>
      <c r="H3130" s="162" t="s">
        <v>22229</v>
      </c>
      <c r="I3130" s="158" t="s">
        <v>22230</v>
      </c>
      <c r="J3130" s="128"/>
      <c r="K3130" s="128"/>
      <c r="L3130" s="128"/>
      <c r="M3130" s="129"/>
      <c r="N3130" s="129"/>
      <c r="O3130" s="129"/>
    </row>
    <row r="3131" spans="1:15" ht="12.5">
      <c r="A3131" s="158" t="s">
        <v>22231</v>
      </c>
      <c r="B3131" s="159">
        <v>35</v>
      </c>
      <c r="C3131" s="159">
        <v>90</v>
      </c>
      <c r="D3131" s="159">
        <v>43</v>
      </c>
      <c r="E3131" s="159">
        <v>88</v>
      </c>
      <c r="F3131" s="131"/>
      <c r="G3131" s="132"/>
      <c r="H3131" s="162" t="s">
        <v>22232</v>
      </c>
      <c r="I3131" s="158" t="s">
        <v>22233</v>
      </c>
      <c r="J3131" s="128"/>
      <c r="K3131" s="128"/>
      <c r="L3131" s="128"/>
      <c r="M3131" s="129"/>
      <c r="N3131" s="129"/>
      <c r="O3131" s="129"/>
    </row>
    <row r="3132" spans="1:15" ht="12.5">
      <c r="A3132" s="158" t="s">
        <v>22234</v>
      </c>
      <c r="B3132" s="159">
        <v>35</v>
      </c>
      <c r="C3132" s="159">
        <v>90</v>
      </c>
      <c r="D3132" s="159">
        <v>43</v>
      </c>
      <c r="E3132" s="159">
        <v>89</v>
      </c>
      <c r="F3132" s="131"/>
      <c r="G3132" s="132"/>
      <c r="H3132" s="162" t="s">
        <v>22235</v>
      </c>
      <c r="I3132" s="158" t="s">
        <v>22236</v>
      </c>
      <c r="J3132" s="128"/>
      <c r="K3132" s="128"/>
      <c r="L3132" s="128"/>
      <c r="M3132" s="129"/>
      <c r="N3132" s="129"/>
      <c r="O3132" s="129"/>
    </row>
    <row r="3133" spans="1:15" ht="12.5">
      <c r="A3133" s="158" t="s">
        <v>22237</v>
      </c>
      <c r="B3133" s="159">
        <v>35</v>
      </c>
      <c r="C3133" s="159">
        <v>90</v>
      </c>
      <c r="D3133" s="159">
        <v>43</v>
      </c>
      <c r="E3133" s="159">
        <v>90</v>
      </c>
      <c r="F3133" s="131"/>
      <c r="G3133" s="132"/>
      <c r="H3133" s="162" t="s">
        <v>22238</v>
      </c>
      <c r="I3133" s="158" t="s">
        <v>22239</v>
      </c>
      <c r="J3133" s="128"/>
      <c r="K3133" s="128"/>
      <c r="L3133" s="128"/>
      <c r="M3133" s="129"/>
      <c r="N3133" s="129"/>
      <c r="O3133" s="129"/>
    </row>
    <row r="3134" spans="1:15" ht="12.5">
      <c r="A3134" s="158" t="s">
        <v>22240</v>
      </c>
      <c r="B3134" s="159">
        <v>35</v>
      </c>
      <c r="C3134" s="159">
        <v>90</v>
      </c>
      <c r="D3134" s="159">
        <v>43</v>
      </c>
      <c r="E3134" s="159">
        <v>91</v>
      </c>
      <c r="F3134" s="131"/>
      <c r="G3134" s="132"/>
      <c r="H3134" s="162" t="s">
        <v>22241</v>
      </c>
      <c r="I3134" s="158" t="s">
        <v>22242</v>
      </c>
      <c r="J3134" s="128"/>
      <c r="K3134" s="128"/>
      <c r="L3134" s="128"/>
      <c r="M3134" s="129"/>
      <c r="N3134" s="129"/>
      <c r="O3134" s="129"/>
    </row>
    <row r="3135" spans="1:15" ht="12.5">
      <c r="A3135" s="158" t="s">
        <v>22243</v>
      </c>
      <c r="B3135" s="159">
        <v>35</v>
      </c>
      <c r="C3135" s="159">
        <v>90</v>
      </c>
      <c r="D3135" s="159">
        <v>43</v>
      </c>
      <c r="E3135" s="159">
        <v>92</v>
      </c>
      <c r="F3135" s="131"/>
      <c r="G3135" s="132"/>
      <c r="H3135" s="162" t="s">
        <v>22244</v>
      </c>
      <c r="I3135" s="158" t="s">
        <v>22245</v>
      </c>
      <c r="J3135" s="128"/>
      <c r="K3135" s="128"/>
      <c r="L3135" s="128"/>
      <c r="M3135" s="129"/>
      <c r="N3135" s="129"/>
      <c r="O3135" s="129"/>
    </row>
    <row r="3136" spans="1:15" ht="12.5">
      <c r="A3136" s="158" t="s">
        <v>22246</v>
      </c>
      <c r="B3136" s="159">
        <v>35</v>
      </c>
      <c r="C3136" s="159">
        <v>90</v>
      </c>
      <c r="D3136" s="159">
        <v>43</v>
      </c>
      <c r="E3136" s="159">
        <v>93</v>
      </c>
      <c r="F3136" s="131"/>
      <c r="G3136" s="132"/>
      <c r="H3136" s="162" t="s">
        <v>22247</v>
      </c>
      <c r="I3136" s="158" t="s">
        <v>22248</v>
      </c>
      <c r="J3136" s="128"/>
      <c r="K3136" s="128"/>
      <c r="L3136" s="128"/>
      <c r="M3136" s="129"/>
      <c r="N3136" s="129"/>
      <c r="O3136" s="129"/>
    </row>
    <row r="3137" spans="1:15" ht="12.5">
      <c r="A3137" s="158" t="s">
        <v>22249</v>
      </c>
      <c r="B3137" s="159">
        <v>35</v>
      </c>
      <c r="C3137" s="159">
        <v>90</v>
      </c>
      <c r="D3137" s="159">
        <v>43</v>
      </c>
      <c r="E3137" s="159">
        <v>94</v>
      </c>
      <c r="F3137" s="131"/>
      <c r="G3137" s="132"/>
      <c r="H3137" s="162" t="s">
        <v>22250</v>
      </c>
      <c r="I3137" s="158" t="s">
        <v>22187</v>
      </c>
      <c r="J3137" s="128"/>
      <c r="K3137" s="128"/>
      <c r="L3137" s="128"/>
      <c r="M3137" s="129"/>
      <c r="N3137" s="129"/>
      <c r="O3137" s="129"/>
    </row>
    <row r="3138" spans="1:15" ht="12.5">
      <c r="A3138" s="158" t="s">
        <v>22251</v>
      </c>
      <c r="B3138" s="159">
        <v>35</v>
      </c>
      <c r="C3138" s="159">
        <v>90</v>
      </c>
      <c r="D3138" s="159">
        <v>43</v>
      </c>
      <c r="E3138" s="159">
        <v>95</v>
      </c>
      <c r="F3138" s="131"/>
      <c r="G3138" s="132"/>
      <c r="H3138" s="162" t="s">
        <v>22252</v>
      </c>
      <c r="I3138" s="158" t="s">
        <v>22253</v>
      </c>
      <c r="J3138" s="128"/>
      <c r="K3138" s="128"/>
      <c r="L3138" s="128"/>
      <c r="M3138" s="129"/>
      <c r="N3138" s="129"/>
      <c r="O3138" s="129"/>
    </row>
    <row r="3139" spans="1:15" ht="12.5">
      <c r="A3139" s="158" t="s">
        <v>22254</v>
      </c>
      <c r="B3139" s="159">
        <v>35</v>
      </c>
      <c r="C3139" s="159">
        <v>90</v>
      </c>
      <c r="D3139" s="159">
        <v>43</v>
      </c>
      <c r="E3139" s="159">
        <v>96</v>
      </c>
      <c r="F3139" s="131"/>
      <c r="G3139" s="132"/>
      <c r="H3139" s="162" t="s">
        <v>22255</v>
      </c>
      <c r="I3139" s="158" t="s">
        <v>22256</v>
      </c>
      <c r="J3139" s="128"/>
      <c r="K3139" s="128"/>
      <c r="L3139" s="128"/>
      <c r="M3139" s="129"/>
      <c r="N3139" s="129"/>
      <c r="O3139" s="129"/>
    </row>
    <row r="3140" spans="1:15" ht="12.5">
      <c r="A3140" s="158" t="s">
        <v>22257</v>
      </c>
      <c r="B3140" s="159">
        <v>35</v>
      </c>
      <c r="C3140" s="159">
        <v>90</v>
      </c>
      <c r="D3140" s="159">
        <v>43</v>
      </c>
      <c r="E3140" s="159">
        <v>97</v>
      </c>
      <c r="F3140" s="131"/>
      <c r="G3140" s="132"/>
      <c r="H3140" s="162" t="s">
        <v>22258</v>
      </c>
      <c r="I3140" s="158" t="s">
        <v>22259</v>
      </c>
      <c r="J3140" s="128"/>
      <c r="K3140" s="128"/>
      <c r="L3140" s="128"/>
      <c r="M3140" s="129"/>
      <c r="N3140" s="129"/>
      <c r="O3140" s="129"/>
    </row>
    <row r="3141" spans="1:15" ht="12.5">
      <c r="A3141" s="158" t="s">
        <v>22260</v>
      </c>
      <c r="B3141" s="159">
        <v>35</v>
      </c>
      <c r="C3141" s="159">
        <v>90</v>
      </c>
      <c r="D3141" s="159">
        <v>43</v>
      </c>
      <c r="E3141" s="159">
        <v>98</v>
      </c>
      <c r="F3141" s="131"/>
      <c r="G3141" s="132"/>
      <c r="H3141" s="162" t="s">
        <v>22261</v>
      </c>
      <c r="I3141" s="158" t="s">
        <v>22262</v>
      </c>
      <c r="J3141" s="128"/>
      <c r="K3141" s="128"/>
      <c r="L3141" s="128"/>
      <c r="M3141" s="129"/>
      <c r="N3141" s="129"/>
      <c r="O3141" s="129"/>
    </row>
    <row r="3142" spans="1:15" ht="12.5">
      <c r="A3142" s="158" t="s">
        <v>22263</v>
      </c>
      <c r="B3142" s="159">
        <v>35</v>
      </c>
      <c r="C3142" s="159">
        <v>90</v>
      </c>
      <c r="D3142" s="159">
        <v>50</v>
      </c>
      <c r="E3142" s="130"/>
      <c r="F3142" s="131"/>
      <c r="G3142" s="132"/>
      <c r="H3142" s="162" t="s">
        <v>22264</v>
      </c>
      <c r="I3142" s="128"/>
      <c r="J3142" s="128"/>
      <c r="K3142" s="128"/>
      <c r="L3142" s="128"/>
      <c r="M3142" s="129"/>
      <c r="N3142" s="129"/>
      <c r="O3142" s="129"/>
    </row>
    <row r="3143" spans="1:15" ht="12.5">
      <c r="A3143" s="158" t="s">
        <v>22265</v>
      </c>
      <c r="B3143" s="159">
        <v>35</v>
      </c>
      <c r="C3143" s="159">
        <v>90</v>
      </c>
      <c r="D3143" s="159">
        <v>50</v>
      </c>
      <c r="E3143" s="159">
        <v>3</v>
      </c>
      <c r="F3143" s="131"/>
      <c r="G3143" s="132"/>
      <c r="H3143" s="162" t="s">
        <v>22266</v>
      </c>
      <c r="I3143" s="158" t="s">
        <v>22267</v>
      </c>
      <c r="J3143" s="128"/>
      <c r="K3143" s="128"/>
      <c r="L3143" s="128"/>
      <c r="M3143" s="129"/>
      <c r="N3143" s="129"/>
      <c r="O3143" s="129"/>
    </row>
    <row r="3144" spans="1:15" ht="12.5">
      <c r="A3144" s="158" t="s">
        <v>22268</v>
      </c>
      <c r="B3144" s="159">
        <v>35</v>
      </c>
      <c r="C3144" s="159">
        <v>90</v>
      </c>
      <c r="D3144" s="159">
        <v>50</v>
      </c>
      <c r="E3144" s="159">
        <v>61</v>
      </c>
      <c r="F3144" s="131"/>
      <c r="G3144" s="132"/>
      <c r="H3144" s="162" t="s">
        <v>22269</v>
      </c>
      <c r="I3144" s="158" t="s">
        <v>22270</v>
      </c>
      <c r="J3144" s="128"/>
      <c r="K3144" s="128"/>
      <c r="L3144" s="128"/>
      <c r="M3144" s="129"/>
      <c r="N3144" s="129"/>
      <c r="O3144" s="129"/>
    </row>
    <row r="3145" spans="1:15" ht="12.5">
      <c r="A3145" s="158" t="s">
        <v>22271</v>
      </c>
      <c r="B3145" s="159">
        <v>35</v>
      </c>
      <c r="C3145" s="159">
        <v>90</v>
      </c>
      <c r="D3145" s="159">
        <v>50</v>
      </c>
      <c r="E3145" s="159">
        <v>62</v>
      </c>
      <c r="F3145" s="131"/>
      <c r="G3145" s="132"/>
      <c r="H3145" s="162" t="s">
        <v>22272</v>
      </c>
      <c r="I3145" s="158" t="s">
        <v>22273</v>
      </c>
      <c r="J3145" s="128"/>
      <c r="K3145" s="128"/>
      <c r="L3145" s="128"/>
      <c r="M3145" s="129"/>
      <c r="N3145" s="129"/>
      <c r="O3145" s="129"/>
    </row>
    <row r="3146" spans="1:15" ht="12.5">
      <c r="A3146" s="158" t="s">
        <v>22276</v>
      </c>
      <c r="B3146" s="159">
        <v>35</v>
      </c>
      <c r="C3146" s="159">
        <v>90</v>
      </c>
      <c r="D3146" s="159">
        <v>50</v>
      </c>
      <c r="E3146" s="159">
        <v>64</v>
      </c>
      <c r="F3146" s="131"/>
      <c r="G3146" s="132"/>
      <c r="H3146" s="162" t="s">
        <v>22277</v>
      </c>
      <c r="I3146" s="158" t="s">
        <v>22278</v>
      </c>
      <c r="J3146" s="128"/>
      <c r="K3146" s="128"/>
      <c r="L3146" s="128"/>
      <c r="M3146" s="129"/>
      <c r="N3146" s="129"/>
      <c r="O3146" s="129"/>
    </row>
    <row r="3147" spans="1:15" ht="12.5">
      <c r="A3147" s="158" t="s">
        <v>22279</v>
      </c>
      <c r="B3147" s="159">
        <v>35</v>
      </c>
      <c r="C3147" s="159">
        <v>90</v>
      </c>
      <c r="D3147" s="159">
        <v>50</v>
      </c>
      <c r="E3147" s="159">
        <v>88</v>
      </c>
      <c r="F3147" s="131"/>
      <c r="G3147" s="132"/>
      <c r="H3147" s="162" t="s">
        <v>22280</v>
      </c>
      <c r="I3147" s="158" t="s">
        <v>22281</v>
      </c>
      <c r="J3147" s="128"/>
      <c r="K3147" s="128"/>
      <c r="L3147" s="128"/>
      <c r="M3147" s="129"/>
      <c r="N3147" s="129"/>
      <c r="O3147" s="129"/>
    </row>
    <row r="3148" spans="1:15" ht="12.5">
      <c r="A3148" s="158" t="s">
        <v>22282</v>
      </c>
      <c r="B3148" s="159">
        <v>35</v>
      </c>
      <c r="C3148" s="159">
        <v>90</v>
      </c>
      <c r="D3148" s="159">
        <v>53</v>
      </c>
      <c r="E3148" s="130"/>
      <c r="F3148" s="131"/>
      <c r="G3148" s="132"/>
      <c r="H3148" s="162" t="s">
        <v>22283</v>
      </c>
      <c r="I3148" s="128"/>
      <c r="J3148" s="128"/>
      <c r="K3148" s="128"/>
      <c r="L3148" s="128"/>
      <c r="M3148" s="129"/>
      <c r="N3148" s="129"/>
      <c r="O3148" s="129"/>
    </row>
    <row r="3149" spans="1:15" ht="12.5">
      <c r="A3149" s="158" t="s">
        <v>22284</v>
      </c>
      <c r="B3149" s="159">
        <v>35</v>
      </c>
      <c r="C3149" s="159">
        <v>90</v>
      </c>
      <c r="D3149" s="159">
        <v>53</v>
      </c>
      <c r="E3149" s="159">
        <v>11</v>
      </c>
      <c r="F3149" s="131"/>
      <c r="G3149" s="132"/>
      <c r="H3149" s="162" t="s">
        <v>22285</v>
      </c>
      <c r="I3149" s="158" t="s">
        <v>22286</v>
      </c>
      <c r="J3149" s="128"/>
      <c r="K3149" s="128"/>
      <c r="L3149" s="128"/>
      <c r="M3149" s="129"/>
      <c r="N3149" s="129"/>
      <c r="O3149" s="129"/>
    </row>
    <row r="3150" spans="1:15" ht="12.5">
      <c r="A3150" s="158" t="s">
        <v>22287</v>
      </c>
      <c r="B3150" s="159">
        <v>35</v>
      </c>
      <c r="C3150" s="159">
        <v>90</v>
      </c>
      <c r="D3150" s="159">
        <v>53</v>
      </c>
      <c r="E3150" s="159">
        <v>30</v>
      </c>
      <c r="F3150" s="131"/>
      <c r="G3150" s="132"/>
      <c r="H3150" s="162" t="s">
        <v>22288</v>
      </c>
      <c r="I3150" s="158" t="s">
        <v>22289</v>
      </c>
      <c r="J3150" s="128"/>
      <c r="K3150" s="128"/>
      <c r="L3150" s="128"/>
      <c r="M3150" s="129"/>
      <c r="N3150" s="129"/>
      <c r="O3150" s="129"/>
    </row>
    <row r="3151" spans="1:15" ht="12.5">
      <c r="A3151" s="158" t="s">
        <v>22290</v>
      </c>
      <c r="B3151" s="159">
        <v>35</v>
      </c>
      <c r="C3151" s="159">
        <v>90</v>
      </c>
      <c r="D3151" s="159">
        <v>53</v>
      </c>
      <c r="E3151" s="159">
        <v>42</v>
      </c>
      <c r="F3151" s="131"/>
      <c r="G3151" s="132"/>
      <c r="H3151" s="162" t="s">
        <v>22291</v>
      </c>
      <c r="I3151" s="158" t="s">
        <v>22292</v>
      </c>
      <c r="J3151" s="128"/>
      <c r="K3151" s="128"/>
      <c r="L3151" s="128"/>
      <c r="M3151" s="129"/>
      <c r="N3151" s="129"/>
      <c r="O3151" s="129"/>
    </row>
    <row r="3152" spans="1:15" ht="12.5">
      <c r="A3152" s="158" t="s">
        <v>22293</v>
      </c>
      <c r="B3152" s="159">
        <v>35</v>
      </c>
      <c r="C3152" s="159">
        <v>90</v>
      </c>
      <c r="D3152" s="159">
        <v>53</v>
      </c>
      <c r="E3152" s="159">
        <v>50</v>
      </c>
      <c r="F3152" s="131"/>
      <c r="G3152" s="132"/>
      <c r="H3152" s="162" t="s">
        <v>22294</v>
      </c>
      <c r="I3152" s="158" t="s">
        <v>22295</v>
      </c>
      <c r="J3152" s="128"/>
      <c r="K3152" s="128"/>
      <c r="L3152" s="128"/>
      <c r="M3152" s="129"/>
      <c r="N3152" s="129"/>
      <c r="O3152" s="129"/>
    </row>
    <row r="3153" spans="1:15" ht="12.5">
      <c r="A3153" s="158" t="s">
        <v>22296</v>
      </c>
      <c r="B3153" s="159">
        <v>35</v>
      </c>
      <c r="C3153" s="159">
        <v>90</v>
      </c>
      <c r="D3153" s="159">
        <v>53</v>
      </c>
      <c r="E3153" s="159">
        <v>52</v>
      </c>
      <c r="F3153" s="131"/>
      <c r="G3153" s="132"/>
      <c r="H3153" s="162" t="s">
        <v>22297</v>
      </c>
      <c r="I3153" s="158" t="s">
        <v>22298</v>
      </c>
      <c r="J3153" s="128"/>
      <c r="K3153" s="128"/>
      <c r="L3153" s="128"/>
      <c r="M3153" s="129"/>
      <c r="N3153" s="129"/>
      <c r="O3153" s="129"/>
    </row>
    <row r="3154" spans="1:15" ht="12.5">
      <c r="A3154" s="158" t="s">
        <v>22299</v>
      </c>
      <c r="B3154" s="159">
        <v>35</v>
      </c>
      <c r="C3154" s="159">
        <v>90</v>
      </c>
      <c r="D3154" s="159">
        <v>53</v>
      </c>
      <c r="E3154" s="159">
        <v>53</v>
      </c>
      <c r="F3154" s="131"/>
      <c r="G3154" s="132"/>
      <c r="H3154" s="162" t="s">
        <v>22300</v>
      </c>
      <c r="I3154" s="158" t="s">
        <v>22301</v>
      </c>
      <c r="J3154" s="128"/>
      <c r="K3154" s="128"/>
      <c r="L3154" s="128"/>
      <c r="M3154" s="129"/>
      <c r="N3154" s="129"/>
      <c r="O3154" s="129"/>
    </row>
    <row r="3155" spans="1:15" ht="12.5">
      <c r="A3155" s="158" t="s">
        <v>22302</v>
      </c>
      <c r="B3155" s="159">
        <v>35</v>
      </c>
      <c r="C3155" s="159">
        <v>90</v>
      </c>
      <c r="D3155" s="159">
        <v>53</v>
      </c>
      <c r="E3155" s="159">
        <v>54</v>
      </c>
      <c r="F3155" s="131"/>
      <c r="G3155" s="132"/>
      <c r="H3155" s="162" t="s">
        <v>22303</v>
      </c>
      <c r="I3155" s="158" t="s">
        <v>22304</v>
      </c>
      <c r="J3155" s="128"/>
      <c r="K3155" s="128"/>
      <c r="L3155" s="128"/>
      <c r="M3155" s="129"/>
      <c r="N3155" s="129"/>
      <c r="O3155" s="129"/>
    </row>
    <row r="3156" spans="1:15" ht="12.5">
      <c r="A3156" s="158" t="s">
        <v>22305</v>
      </c>
      <c r="B3156" s="159">
        <v>35</v>
      </c>
      <c r="C3156" s="159">
        <v>90</v>
      </c>
      <c r="D3156" s="159">
        <v>53</v>
      </c>
      <c r="E3156" s="159">
        <v>72</v>
      </c>
      <c r="F3156" s="131"/>
      <c r="G3156" s="132"/>
      <c r="H3156" s="162" t="s">
        <v>22306</v>
      </c>
      <c r="I3156" s="158" t="s">
        <v>22307</v>
      </c>
      <c r="J3156" s="128"/>
      <c r="K3156" s="128"/>
      <c r="L3156" s="128"/>
      <c r="M3156" s="129"/>
      <c r="N3156" s="129"/>
      <c r="O3156" s="129"/>
    </row>
    <row r="3157" spans="1:15" ht="12.5">
      <c r="A3157" s="158" t="s">
        <v>22308</v>
      </c>
      <c r="B3157" s="159">
        <v>35</v>
      </c>
      <c r="C3157" s="159">
        <v>90</v>
      </c>
      <c r="D3157" s="159">
        <v>53</v>
      </c>
      <c r="E3157" s="159">
        <v>85</v>
      </c>
      <c r="F3157" s="131"/>
      <c r="G3157" s="132"/>
      <c r="H3157" s="162" t="s">
        <v>22309</v>
      </c>
      <c r="I3157" s="158" t="s">
        <v>22310</v>
      </c>
      <c r="J3157" s="128"/>
      <c r="K3157" s="128"/>
      <c r="L3157" s="128"/>
      <c r="M3157" s="129"/>
      <c r="N3157" s="129"/>
      <c r="O3157" s="129"/>
    </row>
    <row r="3158" spans="1:15" ht="12.5">
      <c r="A3158" s="158" t="s">
        <v>22311</v>
      </c>
      <c r="B3158" s="159">
        <v>35</v>
      </c>
      <c r="C3158" s="159">
        <v>90</v>
      </c>
      <c r="D3158" s="159">
        <v>53</v>
      </c>
      <c r="E3158" s="159">
        <v>86</v>
      </c>
      <c r="F3158" s="131"/>
      <c r="G3158" s="132"/>
      <c r="H3158" s="162" t="s">
        <v>22312</v>
      </c>
      <c r="I3158" s="158" t="s">
        <v>22313</v>
      </c>
      <c r="J3158" s="128"/>
      <c r="K3158" s="128"/>
      <c r="L3158" s="128"/>
      <c r="M3158" s="129"/>
      <c r="N3158" s="129"/>
      <c r="O3158" s="129"/>
    </row>
    <row r="3159" spans="1:15" ht="12.5">
      <c r="A3159" s="158" t="s">
        <v>22314</v>
      </c>
      <c r="B3159" s="159">
        <v>35</v>
      </c>
      <c r="C3159" s="159">
        <v>90</v>
      </c>
      <c r="D3159" s="159">
        <v>53</v>
      </c>
      <c r="E3159" s="159">
        <v>88</v>
      </c>
      <c r="F3159" s="131"/>
      <c r="G3159" s="132"/>
      <c r="H3159" s="162" t="s">
        <v>22315</v>
      </c>
      <c r="I3159" s="158" t="s">
        <v>22316</v>
      </c>
      <c r="J3159" s="128"/>
      <c r="K3159" s="128"/>
      <c r="L3159" s="128"/>
      <c r="M3159" s="129"/>
      <c r="N3159" s="129"/>
      <c r="O3159" s="129"/>
    </row>
    <row r="3160" spans="1:15" ht="12.5">
      <c r="A3160" s="158" t="s">
        <v>22317</v>
      </c>
      <c r="B3160" s="159">
        <v>35</v>
      </c>
      <c r="C3160" s="159">
        <v>90</v>
      </c>
      <c r="D3160" s="159">
        <v>53</v>
      </c>
      <c r="E3160" s="159">
        <v>93</v>
      </c>
      <c r="F3160" s="131"/>
      <c r="G3160" s="132"/>
      <c r="H3160" s="162" t="s">
        <v>22318</v>
      </c>
      <c r="I3160" s="158" t="s">
        <v>22319</v>
      </c>
      <c r="J3160" s="128"/>
      <c r="K3160" s="128"/>
      <c r="L3160" s="128"/>
      <c r="M3160" s="129"/>
      <c r="N3160" s="129"/>
      <c r="O3160" s="129"/>
    </row>
    <row r="3161" spans="1:15" ht="12.5">
      <c r="A3161" s="158" t="s">
        <v>22320</v>
      </c>
      <c r="B3161" s="159">
        <v>35</v>
      </c>
      <c r="C3161" s="159">
        <v>90</v>
      </c>
      <c r="D3161" s="159">
        <v>60</v>
      </c>
      <c r="E3161" s="130"/>
      <c r="F3161" s="131"/>
      <c r="G3161" s="132"/>
      <c r="H3161" s="162" t="s">
        <v>22321</v>
      </c>
      <c r="I3161" s="128"/>
      <c r="J3161" s="128"/>
      <c r="K3161" s="128"/>
      <c r="L3161" s="128"/>
      <c r="M3161" s="129"/>
      <c r="N3161" s="129"/>
      <c r="O3161" s="129"/>
    </row>
    <row r="3162" spans="1:15" ht="12.5">
      <c r="A3162" s="158" t="s">
        <v>22322</v>
      </c>
      <c r="B3162" s="159">
        <v>35</v>
      </c>
      <c r="C3162" s="159">
        <v>90</v>
      </c>
      <c r="D3162" s="159">
        <v>60</v>
      </c>
      <c r="E3162" s="159">
        <v>22</v>
      </c>
      <c r="F3162" s="131"/>
      <c r="G3162" s="132"/>
      <c r="H3162" s="162" t="s">
        <v>22323</v>
      </c>
      <c r="I3162" s="158" t="s">
        <v>22324</v>
      </c>
      <c r="J3162" s="128"/>
      <c r="K3162" s="128"/>
      <c r="L3162" s="128"/>
      <c r="M3162" s="129"/>
      <c r="N3162" s="129"/>
      <c r="O3162" s="129"/>
    </row>
    <row r="3163" spans="1:15" ht="12.5">
      <c r="A3163" s="158" t="s">
        <v>22325</v>
      </c>
      <c r="B3163" s="159">
        <v>35</v>
      </c>
      <c r="C3163" s="159">
        <v>90</v>
      </c>
      <c r="D3163" s="159">
        <v>60</v>
      </c>
      <c r="E3163" s="159">
        <v>41</v>
      </c>
      <c r="F3163" s="131"/>
      <c r="G3163" s="132"/>
      <c r="H3163" s="162" t="s">
        <v>22326</v>
      </c>
      <c r="I3163" s="128"/>
      <c r="J3163" s="128"/>
      <c r="K3163" s="128"/>
      <c r="L3163" s="128"/>
      <c r="M3163" s="129"/>
      <c r="N3163" s="129"/>
      <c r="O3163" s="129"/>
    </row>
    <row r="3164" spans="1:15" ht="12.5">
      <c r="A3164" s="158" t="s">
        <v>22327</v>
      </c>
      <c r="B3164" s="159">
        <v>35</v>
      </c>
      <c r="C3164" s="159">
        <v>90</v>
      </c>
      <c r="D3164" s="159">
        <v>60</v>
      </c>
      <c r="E3164" s="159">
        <v>57</v>
      </c>
      <c r="F3164" s="131"/>
      <c r="G3164" s="132"/>
      <c r="H3164" s="162" t="s">
        <v>22328</v>
      </c>
      <c r="I3164" s="128"/>
      <c r="J3164" s="128"/>
      <c r="K3164" s="128"/>
      <c r="L3164" s="128"/>
      <c r="M3164" s="129"/>
      <c r="N3164" s="129"/>
      <c r="O3164" s="129"/>
    </row>
    <row r="3165" spans="1:15" ht="12.5">
      <c r="A3165" s="158" t="s">
        <v>22329</v>
      </c>
      <c r="B3165" s="159">
        <v>35</v>
      </c>
      <c r="C3165" s="159">
        <v>90</v>
      </c>
      <c r="D3165" s="159">
        <v>60</v>
      </c>
      <c r="E3165" s="159">
        <v>62</v>
      </c>
      <c r="F3165" s="131"/>
      <c r="G3165" s="132"/>
      <c r="H3165" s="162" t="s">
        <v>22330</v>
      </c>
      <c r="I3165" s="158" t="s">
        <v>22331</v>
      </c>
      <c r="J3165" s="128"/>
      <c r="K3165" s="128"/>
      <c r="L3165" s="128"/>
      <c r="M3165" s="129"/>
      <c r="N3165" s="129"/>
      <c r="O3165" s="129"/>
    </row>
    <row r="3166" spans="1:15" ht="12.5">
      <c r="A3166" s="158" t="s">
        <v>22332</v>
      </c>
      <c r="B3166" s="159">
        <v>35</v>
      </c>
      <c r="C3166" s="159">
        <v>90</v>
      </c>
      <c r="D3166" s="159">
        <v>60</v>
      </c>
      <c r="E3166" s="159">
        <v>71</v>
      </c>
      <c r="F3166" s="131"/>
      <c r="G3166" s="132"/>
      <c r="H3166" s="162" t="s">
        <v>22333</v>
      </c>
      <c r="I3166" s="158" t="s">
        <v>22334</v>
      </c>
      <c r="J3166" s="128"/>
      <c r="K3166" s="128"/>
      <c r="L3166" s="128"/>
      <c r="M3166" s="129"/>
      <c r="N3166" s="129"/>
      <c r="O3166" s="129"/>
    </row>
    <row r="3167" spans="1:15" ht="12.5">
      <c r="A3167" s="158" t="s">
        <v>22335</v>
      </c>
      <c r="B3167" s="159">
        <v>35</v>
      </c>
      <c r="C3167" s="159">
        <v>90</v>
      </c>
      <c r="D3167" s="159">
        <v>60</v>
      </c>
      <c r="E3167" s="159">
        <v>77</v>
      </c>
      <c r="F3167" s="131"/>
      <c r="G3167" s="132"/>
      <c r="H3167" s="162" t="s">
        <v>22336</v>
      </c>
      <c r="I3167" s="158" t="s">
        <v>22337</v>
      </c>
      <c r="J3167" s="128"/>
      <c r="K3167" s="128"/>
      <c r="L3167" s="128"/>
      <c r="M3167" s="129"/>
      <c r="N3167" s="129"/>
      <c r="O3167" s="129"/>
    </row>
    <row r="3168" spans="1:15" ht="12.5">
      <c r="A3168" s="158" t="s">
        <v>22338</v>
      </c>
      <c r="B3168" s="159">
        <v>35</v>
      </c>
      <c r="C3168" s="159">
        <v>90</v>
      </c>
      <c r="D3168" s="159">
        <v>60</v>
      </c>
      <c r="E3168" s="159">
        <v>78</v>
      </c>
      <c r="F3168" s="131"/>
      <c r="G3168" s="132"/>
      <c r="H3168" s="162" t="s">
        <v>33439</v>
      </c>
      <c r="I3168" s="158" t="s">
        <v>22340</v>
      </c>
      <c r="J3168" s="128"/>
      <c r="K3168" s="128"/>
      <c r="L3168" s="128"/>
      <c r="M3168" s="129"/>
      <c r="N3168" s="129"/>
      <c r="O3168" s="129"/>
    </row>
    <row r="3169" spans="1:15" ht="12.5">
      <c r="A3169" s="158" t="s">
        <v>22341</v>
      </c>
      <c r="B3169" s="159">
        <v>35</v>
      </c>
      <c r="C3169" s="159">
        <v>90</v>
      </c>
      <c r="D3169" s="159">
        <v>60</v>
      </c>
      <c r="E3169" s="159">
        <v>79</v>
      </c>
      <c r="F3169" s="131"/>
      <c r="G3169" s="132"/>
      <c r="H3169" s="162" t="s">
        <v>33440</v>
      </c>
      <c r="I3169" s="158" t="s">
        <v>22343</v>
      </c>
      <c r="J3169" s="128"/>
      <c r="K3169" s="128"/>
      <c r="L3169" s="128"/>
      <c r="M3169" s="129"/>
      <c r="N3169" s="129"/>
      <c r="O3169" s="129"/>
    </row>
    <row r="3170" spans="1:15" ht="12.5">
      <c r="A3170" s="158" t="s">
        <v>22344</v>
      </c>
      <c r="B3170" s="159">
        <v>35</v>
      </c>
      <c r="C3170" s="159">
        <v>90</v>
      </c>
      <c r="D3170" s="159">
        <v>60</v>
      </c>
      <c r="E3170" s="159">
        <v>87</v>
      </c>
      <c r="F3170" s="131"/>
      <c r="G3170" s="132"/>
      <c r="H3170" s="162" t="s">
        <v>22345</v>
      </c>
      <c r="I3170" s="158" t="s">
        <v>22346</v>
      </c>
      <c r="J3170" s="128"/>
      <c r="K3170" s="128"/>
      <c r="L3170" s="128"/>
      <c r="M3170" s="129"/>
      <c r="N3170" s="129"/>
      <c r="O3170" s="129"/>
    </row>
    <row r="3171" spans="1:15" ht="12.5">
      <c r="A3171" s="158" t="s">
        <v>22347</v>
      </c>
      <c r="B3171" s="159">
        <v>35</v>
      </c>
      <c r="C3171" s="159">
        <v>90</v>
      </c>
      <c r="D3171" s="159">
        <v>87</v>
      </c>
      <c r="E3171" s="130"/>
      <c r="F3171" s="131"/>
      <c r="G3171" s="132"/>
      <c r="H3171" s="162" t="s">
        <v>22348</v>
      </c>
      <c r="I3171" s="128"/>
      <c r="J3171" s="128"/>
      <c r="K3171" s="128"/>
      <c r="L3171" s="128"/>
      <c r="M3171" s="129"/>
      <c r="N3171" s="129"/>
      <c r="O3171" s="129"/>
    </row>
    <row r="3172" spans="1:15" ht="12.5">
      <c r="A3172" s="158" t="s">
        <v>22349</v>
      </c>
      <c r="B3172" s="159">
        <v>35</v>
      </c>
      <c r="C3172" s="159">
        <v>90</v>
      </c>
      <c r="D3172" s="159">
        <v>87</v>
      </c>
      <c r="E3172" s="159">
        <v>1</v>
      </c>
      <c r="F3172" s="131"/>
      <c r="G3172" s="132"/>
      <c r="H3172" s="162" t="s">
        <v>22350</v>
      </c>
      <c r="I3172" s="158" t="s">
        <v>22351</v>
      </c>
      <c r="J3172" s="128"/>
      <c r="K3172" s="128"/>
      <c r="L3172" s="128"/>
      <c r="M3172" s="129"/>
      <c r="N3172" s="129"/>
      <c r="O3172" s="129"/>
    </row>
    <row r="3173" spans="1:15" ht="12.5">
      <c r="A3173" s="158" t="s">
        <v>22352</v>
      </c>
      <c r="B3173" s="159">
        <v>35</v>
      </c>
      <c r="C3173" s="159">
        <v>90</v>
      </c>
      <c r="D3173" s="159">
        <v>87</v>
      </c>
      <c r="E3173" s="159">
        <v>2</v>
      </c>
      <c r="F3173" s="131"/>
      <c r="G3173" s="132"/>
      <c r="H3173" s="162" t="s">
        <v>22353</v>
      </c>
      <c r="I3173" s="158" t="s">
        <v>22354</v>
      </c>
      <c r="J3173" s="128"/>
      <c r="K3173" s="128"/>
      <c r="L3173" s="128"/>
      <c r="M3173" s="129"/>
      <c r="N3173" s="129"/>
      <c r="O3173" s="129"/>
    </row>
    <row r="3174" spans="1:15" ht="12.5">
      <c r="A3174" s="158" t="s">
        <v>22355</v>
      </c>
      <c r="B3174" s="159">
        <v>35</v>
      </c>
      <c r="C3174" s="159">
        <v>90</v>
      </c>
      <c r="D3174" s="159">
        <v>87</v>
      </c>
      <c r="E3174" s="159">
        <v>3</v>
      </c>
      <c r="F3174" s="131"/>
      <c r="G3174" s="132"/>
      <c r="H3174" s="162" t="s">
        <v>22356</v>
      </c>
      <c r="I3174" s="128"/>
      <c r="J3174" s="128"/>
      <c r="K3174" s="128"/>
      <c r="L3174" s="128"/>
      <c r="M3174" s="129"/>
      <c r="N3174" s="129"/>
      <c r="O3174" s="129"/>
    </row>
    <row r="3175" spans="1:15" ht="12.5">
      <c r="A3175" s="158" t="s">
        <v>22357</v>
      </c>
      <c r="B3175" s="159">
        <v>35</v>
      </c>
      <c r="C3175" s="159">
        <v>90</v>
      </c>
      <c r="D3175" s="159">
        <v>87</v>
      </c>
      <c r="E3175" s="159">
        <v>4</v>
      </c>
      <c r="F3175" s="131"/>
      <c r="G3175" s="132"/>
      <c r="H3175" s="162" t="s">
        <v>22358</v>
      </c>
      <c r="I3175" s="158" t="s">
        <v>22359</v>
      </c>
      <c r="J3175" s="128"/>
      <c r="K3175" s="128"/>
      <c r="L3175" s="128"/>
      <c r="M3175" s="129"/>
      <c r="N3175" s="129"/>
      <c r="O3175" s="129"/>
    </row>
    <row r="3176" spans="1:15" ht="12.5">
      <c r="A3176" s="158" t="s">
        <v>22360</v>
      </c>
      <c r="B3176" s="159">
        <v>35</v>
      </c>
      <c r="C3176" s="159">
        <v>90</v>
      </c>
      <c r="D3176" s="159">
        <v>87</v>
      </c>
      <c r="E3176" s="159">
        <v>7</v>
      </c>
      <c r="F3176" s="131"/>
      <c r="G3176" s="132"/>
      <c r="H3176" s="162" t="s">
        <v>22361</v>
      </c>
      <c r="I3176" s="158" t="s">
        <v>22362</v>
      </c>
      <c r="J3176" s="128"/>
      <c r="K3176" s="128"/>
      <c r="L3176" s="128"/>
      <c r="M3176" s="129"/>
      <c r="N3176" s="129"/>
      <c r="O3176" s="129"/>
    </row>
    <row r="3177" spans="1:15" ht="12.5">
      <c r="A3177" s="158" t="s">
        <v>22363</v>
      </c>
      <c r="B3177" s="159">
        <v>35</v>
      </c>
      <c r="C3177" s="159">
        <v>90</v>
      </c>
      <c r="D3177" s="159">
        <v>87</v>
      </c>
      <c r="E3177" s="159">
        <v>8</v>
      </c>
      <c r="F3177" s="131"/>
      <c r="G3177" s="132"/>
      <c r="H3177" s="162" t="s">
        <v>22364</v>
      </c>
      <c r="I3177" s="158" t="s">
        <v>22365</v>
      </c>
      <c r="J3177" s="128"/>
      <c r="K3177" s="128"/>
      <c r="L3177" s="128"/>
      <c r="M3177" s="129"/>
      <c r="N3177" s="129"/>
      <c r="O3177" s="129"/>
    </row>
    <row r="3178" spans="1:15" ht="12.5">
      <c r="A3178" s="158" t="s">
        <v>22366</v>
      </c>
      <c r="B3178" s="159">
        <v>35</v>
      </c>
      <c r="C3178" s="159">
        <v>90</v>
      </c>
      <c r="D3178" s="159">
        <v>87</v>
      </c>
      <c r="E3178" s="159">
        <v>9</v>
      </c>
      <c r="F3178" s="131"/>
      <c r="G3178" s="132"/>
      <c r="H3178" s="162" t="s">
        <v>22367</v>
      </c>
      <c r="I3178" s="158" t="s">
        <v>22368</v>
      </c>
      <c r="J3178" s="128"/>
      <c r="K3178" s="128"/>
      <c r="L3178" s="128"/>
      <c r="M3178" s="129"/>
      <c r="N3178" s="129"/>
      <c r="O3178" s="129"/>
    </row>
    <row r="3179" spans="1:15" ht="12.5">
      <c r="A3179" s="158" t="s">
        <v>22369</v>
      </c>
      <c r="B3179" s="159">
        <v>35</v>
      </c>
      <c r="C3179" s="159">
        <v>90</v>
      </c>
      <c r="D3179" s="159">
        <v>87</v>
      </c>
      <c r="E3179" s="159">
        <v>10</v>
      </c>
      <c r="F3179" s="131"/>
      <c r="G3179" s="132"/>
      <c r="H3179" s="162" t="s">
        <v>22370</v>
      </c>
      <c r="I3179" s="158" t="s">
        <v>22371</v>
      </c>
      <c r="J3179" s="128"/>
      <c r="K3179" s="128"/>
      <c r="L3179" s="128"/>
      <c r="M3179" s="129"/>
      <c r="N3179" s="129"/>
      <c r="O3179" s="129"/>
    </row>
    <row r="3180" spans="1:15" ht="12.5">
      <c r="A3180" s="158" t="s">
        <v>22372</v>
      </c>
      <c r="B3180" s="159">
        <v>35</v>
      </c>
      <c r="C3180" s="159">
        <v>90</v>
      </c>
      <c r="D3180" s="159">
        <v>87</v>
      </c>
      <c r="E3180" s="159">
        <v>15</v>
      </c>
      <c r="F3180" s="131"/>
      <c r="G3180" s="132"/>
      <c r="H3180" s="162" t="s">
        <v>22373</v>
      </c>
      <c r="I3180" s="128"/>
      <c r="J3180" s="128"/>
      <c r="K3180" s="128"/>
      <c r="L3180" s="128"/>
      <c r="M3180" s="129"/>
      <c r="N3180" s="129"/>
      <c r="O3180" s="129"/>
    </row>
    <row r="3181" spans="1:15" ht="12.5">
      <c r="A3181" s="158" t="s">
        <v>22374</v>
      </c>
      <c r="B3181" s="159">
        <v>35</v>
      </c>
      <c r="C3181" s="159">
        <v>90</v>
      </c>
      <c r="D3181" s="159">
        <v>87</v>
      </c>
      <c r="E3181" s="159">
        <v>23</v>
      </c>
      <c r="F3181" s="131"/>
      <c r="G3181" s="132"/>
      <c r="H3181" s="162" t="s">
        <v>33441</v>
      </c>
      <c r="I3181" s="128"/>
      <c r="J3181" s="128"/>
      <c r="K3181" s="128"/>
      <c r="L3181" s="128"/>
      <c r="M3181" s="129"/>
      <c r="N3181" s="129"/>
      <c r="O3181" s="129"/>
    </row>
    <row r="3182" spans="1:15" ht="12.5">
      <c r="A3182" s="158" t="s">
        <v>22376</v>
      </c>
      <c r="B3182" s="159">
        <v>35</v>
      </c>
      <c r="C3182" s="159">
        <v>90</v>
      </c>
      <c r="D3182" s="159">
        <v>87</v>
      </c>
      <c r="E3182" s="159">
        <v>25</v>
      </c>
      <c r="F3182" s="131"/>
      <c r="G3182" s="132"/>
      <c r="H3182" s="162" t="s">
        <v>22377</v>
      </c>
      <c r="I3182" s="158" t="s">
        <v>22378</v>
      </c>
      <c r="J3182" s="128"/>
      <c r="K3182" s="128"/>
      <c r="L3182" s="128"/>
      <c r="M3182" s="129"/>
      <c r="N3182" s="129"/>
      <c r="O3182" s="129"/>
    </row>
    <row r="3183" spans="1:15" ht="12.5">
      <c r="A3183" s="158" t="s">
        <v>22379</v>
      </c>
      <c r="B3183" s="159">
        <v>35</v>
      </c>
      <c r="C3183" s="159">
        <v>90</v>
      </c>
      <c r="D3183" s="159">
        <v>87</v>
      </c>
      <c r="E3183" s="159">
        <v>26</v>
      </c>
      <c r="F3183" s="131"/>
      <c r="G3183" s="132"/>
      <c r="H3183" s="162" t="s">
        <v>22380</v>
      </c>
      <c r="I3183" s="158" t="s">
        <v>22381</v>
      </c>
      <c r="J3183" s="128"/>
      <c r="K3183" s="128"/>
      <c r="L3183" s="128"/>
      <c r="M3183" s="129"/>
      <c r="N3183" s="129"/>
      <c r="O3183" s="129"/>
    </row>
    <row r="3184" spans="1:15" ht="12.5">
      <c r="A3184" s="158" t="s">
        <v>22382</v>
      </c>
      <c r="B3184" s="159">
        <v>35</v>
      </c>
      <c r="C3184" s="159">
        <v>90</v>
      </c>
      <c r="D3184" s="159">
        <v>87</v>
      </c>
      <c r="E3184" s="159">
        <v>27</v>
      </c>
      <c r="F3184" s="131"/>
      <c r="G3184" s="132"/>
      <c r="H3184" s="162" t="s">
        <v>22383</v>
      </c>
      <c r="I3184" s="158" t="s">
        <v>22384</v>
      </c>
      <c r="J3184" s="128"/>
      <c r="K3184" s="128"/>
      <c r="L3184" s="128"/>
      <c r="M3184" s="129"/>
      <c r="N3184" s="129"/>
      <c r="O3184" s="129"/>
    </row>
    <row r="3185" spans="1:15" ht="12.5">
      <c r="A3185" s="158" t="s">
        <v>22385</v>
      </c>
      <c r="B3185" s="159">
        <v>35</v>
      </c>
      <c r="C3185" s="159">
        <v>90</v>
      </c>
      <c r="D3185" s="159">
        <v>87</v>
      </c>
      <c r="E3185" s="159">
        <v>28</v>
      </c>
      <c r="F3185" s="131"/>
      <c r="G3185" s="132"/>
      <c r="H3185" s="162" t="s">
        <v>22386</v>
      </c>
      <c r="I3185" s="158" t="s">
        <v>22387</v>
      </c>
      <c r="J3185" s="128"/>
      <c r="K3185" s="128"/>
      <c r="L3185" s="128"/>
      <c r="M3185" s="129"/>
      <c r="N3185" s="129"/>
      <c r="O3185" s="129"/>
    </row>
    <row r="3186" spans="1:15" ht="12.5">
      <c r="A3186" s="158" t="s">
        <v>22388</v>
      </c>
      <c r="B3186" s="159">
        <v>35</v>
      </c>
      <c r="C3186" s="159">
        <v>90</v>
      </c>
      <c r="D3186" s="159">
        <v>87</v>
      </c>
      <c r="E3186" s="159">
        <v>30</v>
      </c>
      <c r="F3186" s="131"/>
      <c r="G3186" s="132"/>
      <c r="H3186" s="162" t="s">
        <v>22389</v>
      </c>
      <c r="I3186" s="158" t="s">
        <v>22390</v>
      </c>
      <c r="J3186" s="128"/>
      <c r="K3186" s="128"/>
      <c r="L3186" s="128"/>
      <c r="M3186" s="129"/>
      <c r="N3186" s="129"/>
      <c r="O3186" s="129"/>
    </row>
    <row r="3187" spans="1:15" ht="12.5">
      <c r="A3187" s="158" t="s">
        <v>22391</v>
      </c>
      <c r="B3187" s="159">
        <v>35</v>
      </c>
      <c r="C3187" s="159">
        <v>90</v>
      </c>
      <c r="D3187" s="159">
        <v>87</v>
      </c>
      <c r="E3187" s="159">
        <v>31</v>
      </c>
      <c r="F3187" s="131"/>
      <c r="G3187" s="132"/>
      <c r="H3187" s="162" t="s">
        <v>22392</v>
      </c>
      <c r="I3187" s="128"/>
      <c r="J3187" s="128"/>
      <c r="K3187" s="128"/>
      <c r="L3187" s="128"/>
      <c r="M3187" s="129"/>
      <c r="N3187" s="129"/>
      <c r="O3187" s="129"/>
    </row>
    <row r="3188" spans="1:15" ht="12.5">
      <c r="A3188" s="158" t="s">
        <v>22393</v>
      </c>
      <c r="B3188" s="159">
        <v>35</v>
      </c>
      <c r="C3188" s="159">
        <v>90</v>
      </c>
      <c r="D3188" s="159">
        <v>87</v>
      </c>
      <c r="E3188" s="159">
        <v>34</v>
      </c>
      <c r="F3188" s="131"/>
      <c r="G3188" s="132"/>
      <c r="H3188" s="162" t="s">
        <v>22394</v>
      </c>
      <c r="I3188" s="158" t="s">
        <v>22395</v>
      </c>
      <c r="J3188" s="128"/>
      <c r="K3188" s="128"/>
      <c r="L3188" s="128"/>
      <c r="M3188" s="129"/>
      <c r="N3188" s="129"/>
      <c r="O3188" s="129"/>
    </row>
    <row r="3189" spans="1:15" ht="12.5">
      <c r="A3189" s="158" t="s">
        <v>22396</v>
      </c>
      <c r="B3189" s="159">
        <v>35</v>
      </c>
      <c r="C3189" s="159">
        <v>90</v>
      </c>
      <c r="D3189" s="159">
        <v>87</v>
      </c>
      <c r="E3189" s="159">
        <v>37</v>
      </c>
      <c r="F3189" s="131"/>
      <c r="G3189" s="132"/>
      <c r="H3189" s="162" t="s">
        <v>22397</v>
      </c>
      <c r="I3189" s="158" t="s">
        <v>22398</v>
      </c>
      <c r="J3189" s="128"/>
      <c r="K3189" s="128"/>
      <c r="L3189" s="128"/>
      <c r="M3189" s="129"/>
      <c r="N3189" s="129"/>
      <c r="O3189" s="129"/>
    </row>
    <row r="3190" spans="1:15" ht="12.5">
      <c r="A3190" s="158" t="s">
        <v>22399</v>
      </c>
      <c r="B3190" s="159">
        <v>35</v>
      </c>
      <c r="C3190" s="159">
        <v>90</v>
      </c>
      <c r="D3190" s="159">
        <v>87</v>
      </c>
      <c r="E3190" s="159">
        <v>41</v>
      </c>
      <c r="F3190" s="131"/>
      <c r="G3190" s="132"/>
      <c r="H3190" s="162" t="s">
        <v>22400</v>
      </c>
      <c r="I3190" s="158" t="s">
        <v>22401</v>
      </c>
      <c r="J3190" s="128"/>
      <c r="K3190" s="128"/>
      <c r="L3190" s="128"/>
      <c r="M3190" s="129"/>
      <c r="N3190" s="129"/>
      <c r="O3190" s="129"/>
    </row>
    <row r="3191" spans="1:15" ht="12.5">
      <c r="A3191" s="158" t="s">
        <v>22402</v>
      </c>
      <c r="B3191" s="159">
        <v>35</v>
      </c>
      <c r="C3191" s="159">
        <v>90</v>
      </c>
      <c r="D3191" s="159">
        <v>87</v>
      </c>
      <c r="E3191" s="159">
        <v>42</v>
      </c>
      <c r="F3191" s="131"/>
      <c r="G3191" s="132"/>
      <c r="H3191" s="162" t="s">
        <v>22403</v>
      </c>
      <c r="I3191" s="158" t="s">
        <v>22404</v>
      </c>
      <c r="J3191" s="128"/>
      <c r="K3191" s="128"/>
      <c r="L3191" s="128"/>
      <c r="M3191" s="129"/>
      <c r="N3191" s="129"/>
      <c r="O3191" s="129"/>
    </row>
    <row r="3192" spans="1:15" ht="12.5">
      <c r="A3192" s="158" t="s">
        <v>22405</v>
      </c>
      <c r="B3192" s="159">
        <v>35</v>
      </c>
      <c r="C3192" s="159">
        <v>90</v>
      </c>
      <c r="D3192" s="159">
        <v>87</v>
      </c>
      <c r="E3192" s="159">
        <v>52</v>
      </c>
      <c r="F3192" s="131"/>
      <c r="G3192" s="132"/>
      <c r="H3192" s="162" t="s">
        <v>22406</v>
      </c>
      <c r="I3192" s="158" t="s">
        <v>22407</v>
      </c>
      <c r="J3192" s="128"/>
      <c r="K3192" s="128"/>
      <c r="L3192" s="128"/>
      <c r="M3192" s="129"/>
      <c r="N3192" s="129"/>
      <c r="O3192" s="129"/>
    </row>
    <row r="3193" spans="1:15" ht="12.5">
      <c r="A3193" s="158" t="s">
        <v>22408</v>
      </c>
      <c r="B3193" s="159">
        <v>35</v>
      </c>
      <c r="C3193" s="159">
        <v>90</v>
      </c>
      <c r="D3193" s="159">
        <v>87</v>
      </c>
      <c r="E3193" s="159">
        <v>53</v>
      </c>
      <c r="F3193" s="131"/>
      <c r="G3193" s="132"/>
      <c r="H3193" s="162" t="s">
        <v>22409</v>
      </c>
      <c r="I3193" s="158" t="s">
        <v>22410</v>
      </c>
      <c r="J3193" s="128"/>
      <c r="K3193" s="128"/>
      <c r="L3193" s="128"/>
      <c r="M3193" s="129"/>
      <c r="N3193" s="129"/>
      <c r="O3193" s="129"/>
    </row>
    <row r="3194" spans="1:15" ht="12.5">
      <c r="A3194" s="158" t="s">
        <v>22411</v>
      </c>
      <c r="B3194" s="159">
        <v>35</v>
      </c>
      <c r="C3194" s="159">
        <v>90</v>
      </c>
      <c r="D3194" s="159">
        <v>87</v>
      </c>
      <c r="E3194" s="159">
        <v>54</v>
      </c>
      <c r="F3194" s="131"/>
      <c r="G3194" s="132"/>
      <c r="H3194" s="162" t="s">
        <v>22412</v>
      </c>
      <c r="I3194" s="158" t="s">
        <v>22413</v>
      </c>
      <c r="J3194" s="128"/>
      <c r="K3194" s="128"/>
      <c r="L3194" s="128"/>
      <c r="M3194" s="129"/>
      <c r="N3194" s="129"/>
      <c r="O3194" s="129"/>
    </row>
    <row r="3195" spans="1:15" ht="12.5">
      <c r="A3195" s="158" t="s">
        <v>22414</v>
      </c>
      <c r="B3195" s="159">
        <v>35</v>
      </c>
      <c r="C3195" s="159">
        <v>90</v>
      </c>
      <c r="D3195" s="159">
        <v>87</v>
      </c>
      <c r="E3195" s="159">
        <v>56</v>
      </c>
      <c r="F3195" s="131"/>
      <c r="G3195" s="132"/>
      <c r="H3195" s="162" t="s">
        <v>22415</v>
      </c>
      <c r="I3195" s="158" t="s">
        <v>22416</v>
      </c>
      <c r="J3195" s="128"/>
      <c r="K3195" s="128"/>
      <c r="L3195" s="128"/>
      <c r="M3195" s="129"/>
      <c r="N3195" s="129"/>
      <c r="O3195" s="129"/>
    </row>
    <row r="3196" spans="1:15" ht="12.5">
      <c r="A3196" s="158" t="s">
        <v>22417</v>
      </c>
      <c r="B3196" s="159">
        <v>35</v>
      </c>
      <c r="C3196" s="159">
        <v>90</v>
      </c>
      <c r="D3196" s="159">
        <v>87</v>
      </c>
      <c r="E3196" s="159">
        <v>60</v>
      </c>
      <c r="F3196" s="131"/>
      <c r="G3196" s="132"/>
      <c r="H3196" s="162" t="s">
        <v>22418</v>
      </c>
      <c r="I3196" s="158" t="s">
        <v>22419</v>
      </c>
      <c r="J3196" s="128"/>
      <c r="K3196" s="128"/>
      <c r="L3196" s="128"/>
      <c r="M3196" s="129"/>
      <c r="N3196" s="129"/>
      <c r="O3196" s="129"/>
    </row>
    <row r="3197" spans="1:15" ht="12.5">
      <c r="A3197" s="158" t="s">
        <v>22420</v>
      </c>
      <c r="B3197" s="159">
        <v>35</v>
      </c>
      <c r="C3197" s="159">
        <v>90</v>
      </c>
      <c r="D3197" s="159">
        <v>87</v>
      </c>
      <c r="E3197" s="159">
        <v>64</v>
      </c>
      <c r="F3197" s="131"/>
      <c r="G3197" s="132"/>
      <c r="H3197" s="162" t="s">
        <v>22421</v>
      </c>
      <c r="I3197" s="158" t="s">
        <v>22422</v>
      </c>
      <c r="J3197" s="128"/>
      <c r="K3197" s="128"/>
      <c r="L3197" s="128"/>
      <c r="M3197" s="129"/>
      <c r="N3197" s="129"/>
      <c r="O3197" s="129"/>
    </row>
    <row r="3198" spans="1:15" ht="12.5">
      <c r="A3198" s="158" t="s">
        <v>22423</v>
      </c>
      <c r="B3198" s="159">
        <v>35</v>
      </c>
      <c r="C3198" s="159">
        <v>90</v>
      </c>
      <c r="D3198" s="159">
        <v>87</v>
      </c>
      <c r="E3198" s="159">
        <v>66</v>
      </c>
      <c r="F3198" s="131"/>
      <c r="G3198" s="132"/>
      <c r="H3198" s="162" t="s">
        <v>22424</v>
      </c>
      <c r="I3198" s="158" t="s">
        <v>22425</v>
      </c>
      <c r="J3198" s="128"/>
      <c r="K3198" s="128"/>
      <c r="L3198" s="128"/>
      <c r="M3198" s="129"/>
      <c r="N3198" s="129"/>
      <c r="O3198" s="129"/>
    </row>
    <row r="3199" spans="1:15" ht="12.5">
      <c r="A3199" s="158" t="s">
        <v>22426</v>
      </c>
      <c r="B3199" s="159">
        <v>35</v>
      </c>
      <c r="C3199" s="159">
        <v>90</v>
      </c>
      <c r="D3199" s="159">
        <v>87</v>
      </c>
      <c r="E3199" s="159">
        <v>67</v>
      </c>
      <c r="F3199" s="131"/>
      <c r="G3199" s="132"/>
      <c r="H3199" s="162" t="s">
        <v>22427</v>
      </c>
      <c r="I3199" s="158" t="s">
        <v>22428</v>
      </c>
      <c r="J3199" s="128"/>
      <c r="K3199" s="128"/>
      <c r="L3199" s="128"/>
      <c r="M3199" s="129"/>
      <c r="N3199" s="129"/>
      <c r="O3199" s="129"/>
    </row>
    <row r="3200" spans="1:15" ht="12.5">
      <c r="A3200" s="158" t="s">
        <v>22429</v>
      </c>
      <c r="B3200" s="159">
        <v>35</v>
      </c>
      <c r="C3200" s="159">
        <v>90</v>
      </c>
      <c r="D3200" s="159">
        <v>87</v>
      </c>
      <c r="E3200" s="159">
        <v>71</v>
      </c>
      <c r="F3200" s="131"/>
      <c r="G3200" s="132"/>
      <c r="H3200" s="162" t="s">
        <v>22430</v>
      </c>
      <c r="I3200" s="158" t="s">
        <v>22431</v>
      </c>
      <c r="J3200" s="128"/>
      <c r="K3200" s="128"/>
      <c r="L3200" s="128"/>
      <c r="M3200" s="129"/>
      <c r="N3200" s="129"/>
      <c r="O3200" s="129"/>
    </row>
    <row r="3201" spans="1:15" ht="12.5">
      <c r="A3201" s="158" t="s">
        <v>22432</v>
      </c>
      <c r="B3201" s="159">
        <v>35</v>
      </c>
      <c r="C3201" s="159">
        <v>90</v>
      </c>
      <c r="D3201" s="159">
        <v>87</v>
      </c>
      <c r="E3201" s="159">
        <v>72</v>
      </c>
      <c r="F3201" s="131"/>
      <c r="G3201" s="132"/>
      <c r="H3201" s="162" t="s">
        <v>22433</v>
      </c>
      <c r="I3201" s="158" t="s">
        <v>22434</v>
      </c>
      <c r="J3201" s="128"/>
      <c r="K3201" s="128"/>
      <c r="L3201" s="128"/>
      <c r="M3201" s="129"/>
      <c r="N3201" s="129"/>
      <c r="O3201" s="129"/>
    </row>
    <row r="3202" spans="1:15" ht="12.5">
      <c r="A3202" s="158" t="s">
        <v>22435</v>
      </c>
      <c r="B3202" s="159">
        <v>35</v>
      </c>
      <c r="C3202" s="159">
        <v>90</v>
      </c>
      <c r="D3202" s="159">
        <v>87</v>
      </c>
      <c r="E3202" s="159">
        <v>77</v>
      </c>
      <c r="F3202" s="131"/>
      <c r="G3202" s="132"/>
      <c r="H3202" s="162" t="s">
        <v>22436</v>
      </c>
      <c r="I3202" s="158" t="s">
        <v>22437</v>
      </c>
      <c r="J3202" s="128"/>
      <c r="K3202" s="128"/>
      <c r="L3202" s="128"/>
      <c r="M3202" s="129"/>
      <c r="N3202" s="129"/>
      <c r="O3202" s="129"/>
    </row>
    <row r="3203" spans="1:15" ht="12.5">
      <c r="A3203" s="158" t="s">
        <v>22438</v>
      </c>
      <c r="B3203" s="159">
        <v>35</v>
      </c>
      <c r="C3203" s="159">
        <v>90</v>
      </c>
      <c r="D3203" s="159">
        <v>87</v>
      </c>
      <c r="E3203" s="159">
        <v>78</v>
      </c>
      <c r="F3203" s="131"/>
      <c r="G3203" s="132"/>
      <c r="H3203" s="162" t="s">
        <v>22439</v>
      </c>
      <c r="I3203" s="158" t="s">
        <v>22440</v>
      </c>
      <c r="J3203" s="128"/>
      <c r="K3203" s="128"/>
      <c r="L3203" s="128"/>
      <c r="M3203" s="129"/>
      <c r="N3203" s="129"/>
      <c r="O3203" s="129"/>
    </row>
    <row r="3204" spans="1:15" ht="12.5">
      <c r="A3204" s="158" t="s">
        <v>22441</v>
      </c>
      <c r="B3204" s="159">
        <v>35</v>
      </c>
      <c r="C3204" s="159">
        <v>90</v>
      </c>
      <c r="D3204" s="159">
        <v>87</v>
      </c>
      <c r="E3204" s="159">
        <v>84</v>
      </c>
      <c r="F3204" s="131"/>
      <c r="G3204" s="132"/>
      <c r="H3204" s="162" t="s">
        <v>22442</v>
      </c>
      <c r="I3204" s="158" t="s">
        <v>22443</v>
      </c>
      <c r="J3204" s="128"/>
      <c r="K3204" s="128"/>
      <c r="L3204" s="128"/>
      <c r="M3204" s="129"/>
      <c r="N3204" s="129"/>
      <c r="O3204" s="129"/>
    </row>
    <row r="3205" spans="1:15" ht="12.5">
      <c r="A3205" s="158" t="s">
        <v>22444</v>
      </c>
      <c r="B3205" s="159">
        <v>35</v>
      </c>
      <c r="C3205" s="159">
        <v>90</v>
      </c>
      <c r="D3205" s="159">
        <v>87</v>
      </c>
      <c r="E3205" s="159">
        <v>85</v>
      </c>
      <c r="F3205" s="131"/>
      <c r="G3205" s="132"/>
      <c r="H3205" s="162" t="s">
        <v>22445</v>
      </c>
      <c r="I3205" s="158" t="s">
        <v>22446</v>
      </c>
      <c r="J3205" s="128"/>
      <c r="K3205" s="128"/>
      <c r="L3205" s="128"/>
      <c r="M3205" s="129"/>
      <c r="N3205" s="129"/>
      <c r="O3205" s="129"/>
    </row>
    <row r="3206" spans="1:15" ht="12.5">
      <c r="A3206" s="158" t="s">
        <v>22447</v>
      </c>
      <c r="B3206" s="159">
        <v>35</v>
      </c>
      <c r="C3206" s="159">
        <v>90</v>
      </c>
      <c r="D3206" s="159">
        <v>87</v>
      </c>
      <c r="E3206" s="159">
        <v>86</v>
      </c>
      <c r="F3206" s="131"/>
      <c r="G3206" s="132"/>
      <c r="H3206" s="162" t="s">
        <v>22448</v>
      </c>
      <c r="I3206" s="158" t="s">
        <v>22449</v>
      </c>
      <c r="J3206" s="128"/>
      <c r="K3206" s="128"/>
      <c r="L3206" s="128"/>
      <c r="M3206" s="129"/>
      <c r="N3206" s="129"/>
      <c r="O3206" s="129"/>
    </row>
    <row r="3207" spans="1:15" ht="12.5">
      <c r="A3207" s="158" t="s">
        <v>22450</v>
      </c>
      <c r="B3207" s="159">
        <v>35</v>
      </c>
      <c r="C3207" s="159">
        <v>90</v>
      </c>
      <c r="D3207" s="159">
        <v>87</v>
      </c>
      <c r="E3207" s="159">
        <v>97</v>
      </c>
      <c r="F3207" s="131"/>
      <c r="G3207" s="132"/>
      <c r="H3207" s="162" t="s">
        <v>22451</v>
      </c>
      <c r="I3207" s="158" t="s">
        <v>22452</v>
      </c>
      <c r="J3207" s="128"/>
      <c r="K3207" s="128"/>
      <c r="L3207" s="128"/>
      <c r="M3207" s="129"/>
      <c r="N3207" s="129"/>
      <c r="O3207" s="129"/>
    </row>
    <row r="3208" spans="1:15" ht="12.5">
      <c r="A3208" s="158" t="s">
        <v>22453</v>
      </c>
      <c r="B3208" s="159">
        <v>35</v>
      </c>
      <c r="C3208" s="159">
        <v>90</v>
      </c>
      <c r="D3208" s="159">
        <v>87</v>
      </c>
      <c r="E3208" s="159">
        <v>98</v>
      </c>
      <c r="F3208" s="131"/>
      <c r="G3208" s="132"/>
      <c r="H3208" s="162" t="s">
        <v>22454</v>
      </c>
      <c r="I3208" s="158" t="s">
        <v>22455</v>
      </c>
      <c r="J3208" s="128"/>
      <c r="K3208" s="128"/>
      <c r="L3208" s="128"/>
      <c r="M3208" s="129"/>
      <c r="N3208" s="129"/>
      <c r="O3208" s="129"/>
    </row>
    <row r="3209" spans="1:15" ht="12.5">
      <c r="A3209" s="158" t="s">
        <v>22456</v>
      </c>
      <c r="B3209" s="159">
        <v>35</v>
      </c>
      <c r="C3209" s="159">
        <v>90</v>
      </c>
      <c r="D3209" s="159">
        <v>93</v>
      </c>
      <c r="E3209" s="130"/>
      <c r="F3209" s="131"/>
      <c r="G3209" s="132"/>
      <c r="H3209" s="162" t="s">
        <v>22457</v>
      </c>
      <c r="I3209" s="128"/>
      <c r="J3209" s="128"/>
      <c r="K3209" s="128"/>
      <c r="L3209" s="128"/>
      <c r="M3209" s="129"/>
      <c r="N3209" s="129"/>
      <c r="O3209" s="129"/>
    </row>
    <row r="3210" spans="1:15" ht="12.5">
      <c r="A3210" s="158" t="s">
        <v>22458</v>
      </c>
      <c r="B3210" s="159">
        <v>35</v>
      </c>
      <c r="C3210" s="159">
        <v>90</v>
      </c>
      <c r="D3210" s="159">
        <v>93</v>
      </c>
      <c r="E3210" s="159">
        <v>7</v>
      </c>
      <c r="F3210" s="131"/>
      <c r="G3210" s="132"/>
      <c r="H3210" s="162" t="s">
        <v>22459</v>
      </c>
      <c r="I3210" s="158" t="s">
        <v>22460</v>
      </c>
      <c r="J3210" s="128"/>
      <c r="K3210" s="128"/>
      <c r="L3210" s="128"/>
      <c r="M3210" s="129"/>
      <c r="N3210" s="129"/>
      <c r="O3210" s="129"/>
    </row>
    <row r="3211" spans="1:15" ht="12.5">
      <c r="A3211" s="158" t="s">
        <v>22461</v>
      </c>
      <c r="B3211" s="159">
        <v>35</v>
      </c>
      <c r="C3211" s="159">
        <v>90</v>
      </c>
      <c r="D3211" s="159">
        <v>93</v>
      </c>
      <c r="E3211" s="159">
        <v>12</v>
      </c>
      <c r="F3211" s="131"/>
      <c r="G3211" s="132"/>
      <c r="H3211" s="162" t="s">
        <v>22462</v>
      </c>
      <c r="I3211" s="158" t="s">
        <v>22463</v>
      </c>
      <c r="J3211" s="128"/>
      <c r="K3211" s="128"/>
      <c r="L3211" s="128"/>
      <c r="M3211" s="129"/>
      <c r="N3211" s="129"/>
      <c r="O3211" s="129"/>
    </row>
    <row r="3212" spans="1:15" ht="12.5">
      <c r="A3212" s="158" t="s">
        <v>22464</v>
      </c>
      <c r="B3212" s="159">
        <v>35</v>
      </c>
      <c r="C3212" s="159">
        <v>90</v>
      </c>
      <c r="D3212" s="159">
        <v>93</v>
      </c>
      <c r="E3212" s="159">
        <v>13</v>
      </c>
      <c r="F3212" s="131"/>
      <c r="G3212" s="132"/>
      <c r="H3212" s="162" t="s">
        <v>22465</v>
      </c>
      <c r="I3212" s="158" t="s">
        <v>22466</v>
      </c>
      <c r="J3212" s="128"/>
      <c r="K3212" s="128"/>
      <c r="L3212" s="128"/>
      <c r="M3212" s="129"/>
      <c r="N3212" s="129"/>
      <c r="O3212" s="129"/>
    </row>
    <row r="3213" spans="1:15" ht="12.5">
      <c r="A3213" s="158" t="s">
        <v>22467</v>
      </c>
      <c r="B3213" s="159">
        <v>35</v>
      </c>
      <c r="C3213" s="159">
        <v>90</v>
      </c>
      <c r="D3213" s="159">
        <v>93</v>
      </c>
      <c r="E3213" s="159">
        <v>14</v>
      </c>
      <c r="F3213" s="131"/>
      <c r="G3213" s="132"/>
      <c r="H3213" s="162" t="s">
        <v>22468</v>
      </c>
      <c r="I3213" s="158" t="s">
        <v>22469</v>
      </c>
      <c r="J3213" s="128"/>
      <c r="K3213" s="128"/>
      <c r="L3213" s="128"/>
      <c r="M3213" s="129"/>
      <c r="N3213" s="129"/>
      <c r="O3213" s="129"/>
    </row>
    <row r="3214" spans="1:15" ht="12.5">
      <c r="A3214" s="158" t="s">
        <v>22470</v>
      </c>
      <c r="B3214" s="159">
        <v>35</v>
      </c>
      <c r="C3214" s="159">
        <v>90</v>
      </c>
      <c r="D3214" s="159">
        <v>93</v>
      </c>
      <c r="E3214" s="159">
        <v>15</v>
      </c>
      <c r="F3214" s="131"/>
      <c r="G3214" s="132"/>
      <c r="H3214" s="162" t="s">
        <v>22471</v>
      </c>
      <c r="I3214" s="158" t="s">
        <v>22472</v>
      </c>
      <c r="J3214" s="128"/>
      <c r="K3214" s="128"/>
      <c r="L3214" s="128"/>
      <c r="M3214" s="129"/>
      <c r="N3214" s="129"/>
      <c r="O3214" s="129"/>
    </row>
    <row r="3215" spans="1:15" ht="12.5">
      <c r="A3215" s="158" t="s">
        <v>22473</v>
      </c>
      <c r="B3215" s="159">
        <v>35</v>
      </c>
      <c r="C3215" s="159">
        <v>90</v>
      </c>
      <c r="D3215" s="159">
        <v>93</v>
      </c>
      <c r="E3215" s="159">
        <v>16</v>
      </c>
      <c r="F3215" s="131"/>
      <c r="G3215" s="132"/>
      <c r="H3215" s="162" t="s">
        <v>22474</v>
      </c>
      <c r="I3215" s="158" t="s">
        <v>22475</v>
      </c>
      <c r="J3215" s="128"/>
      <c r="K3215" s="128"/>
      <c r="L3215" s="128"/>
      <c r="M3215" s="129"/>
      <c r="N3215" s="129"/>
      <c r="O3215" s="129"/>
    </row>
    <row r="3216" spans="1:15" ht="12.5">
      <c r="A3216" s="158" t="s">
        <v>22476</v>
      </c>
      <c r="B3216" s="159">
        <v>35</v>
      </c>
      <c r="C3216" s="159">
        <v>90</v>
      </c>
      <c r="D3216" s="159">
        <v>93</v>
      </c>
      <c r="E3216" s="159">
        <v>19</v>
      </c>
      <c r="F3216" s="131"/>
      <c r="G3216" s="132"/>
      <c r="H3216" s="162" t="s">
        <v>22477</v>
      </c>
      <c r="I3216" s="158" t="s">
        <v>22478</v>
      </c>
      <c r="J3216" s="128"/>
      <c r="K3216" s="128"/>
      <c r="L3216" s="128"/>
      <c r="M3216" s="129"/>
      <c r="N3216" s="129"/>
      <c r="O3216" s="129"/>
    </row>
    <row r="3217" spans="1:15" ht="12.5">
      <c r="A3217" s="158" t="s">
        <v>22479</v>
      </c>
      <c r="B3217" s="159">
        <v>35</v>
      </c>
      <c r="C3217" s="159">
        <v>90</v>
      </c>
      <c r="D3217" s="159">
        <v>93</v>
      </c>
      <c r="E3217" s="159">
        <v>21</v>
      </c>
      <c r="F3217" s="131"/>
      <c r="G3217" s="132"/>
      <c r="H3217" s="162" t="s">
        <v>22480</v>
      </c>
      <c r="I3217" s="158" t="s">
        <v>22481</v>
      </c>
      <c r="J3217" s="128"/>
      <c r="K3217" s="128"/>
      <c r="L3217" s="128"/>
      <c r="M3217" s="129"/>
      <c r="N3217" s="129"/>
      <c r="O3217" s="129"/>
    </row>
    <row r="3218" spans="1:15" ht="12.5">
      <c r="A3218" s="158" t="s">
        <v>22482</v>
      </c>
      <c r="B3218" s="159">
        <v>35</v>
      </c>
      <c r="C3218" s="159">
        <v>90</v>
      </c>
      <c r="D3218" s="159">
        <v>93</v>
      </c>
      <c r="E3218" s="159">
        <v>22</v>
      </c>
      <c r="F3218" s="131"/>
      <c r="G3218" s="132"/>
      <c r="H3218" s="162" t="s">
        <v>22483</v>
      </c>
      <c r="I3218" s="158" t="s">
        <v>22484</v>
      </c>
      <c r="J3218" s="128"/>
      <c r="K3218" s="128"/>
      <c r="L3218" s="128"/>
      <c r="M3218" s="129"/>
      <c r="N3218" s="129"/>
      <c r="O3218" s="129"/>
    </row>
    <row r="3219" spans="1:15" ht="12.5">
      <c r="A3219" s="158" t="s">
        <v>22485</v>
      </c>
      <c r="B3219" s="159">
        <v>35</v>
      </c>
      <c r="C3219" s="159">
        <v>90</v>
      </c>
      <c r="D3219" s="159">
        <v>93</v>
      </c>
      <c r="E3219" s="159">
        <v>23</v>
      </c>
      <c r="F3219" s="131"/>
      <c r="G3219" s="132"/>
      <c r="H3219" s="162" t="s">
        <v>22486</v>
      </c>
      <c r="I3219" s="158" t="s">
        <v>22487</v>
      </c>
      <c r="J3219" s="128"/>
      <c r="K3219" s="128"/>
      <c r="L3219" s="128"/>
      <c r="M3219" s="129"/>
      <c r="N3219" s="129"/>
      <c r="O3219" s="129"/>
    </row>
    <row r="3220" spans="1:15" ht="12.5">
      <c r="A3220" s="158" t="s">
        <v>22488</v>
      </c>
      <c r="B3220" s="159">
        <v>35</v>
      </c>
      <c r="C3220" s="159">
        <v>90</v>
      </c>
      <c r="D3220" s="159">
        <v>93</v>
      </c>
      <c r="E3220" s="159">
        <v>24</v>
      </c>
      <c r="F3220" s="131"/>
      <c r="G3220" s="132"/>
      <c r="H3220" s="162" t="s">
        <v>22489</v>
      </c>
      <c r="I3220" s="158" t="s">
        <v>22490</v>
      </c>
      <c r="J3220" s="128"/>
      <c r="K3220" s="128"/>
      <c r="L3220" s="128"/>
      <c r="M3220" s="129"/>
      <c r="N3220" s="129"/>
      <c r="O3220" s="129"/>
    </row>
    <row r="3221" spans="1:15" ht="12.5">
      <c r="A3221" s="158" t="s">
        <v>22491</v>
      </c>
      <c r="B3221" s="159">
        <v>35</v>
      </c>
      <c r="C3221" s="159">
        <v>90</v>
      </c>
      <c r="D3221" s="159">
        <v>93</v>
      </c>
      <c r="E3221" s="159">
        <v>26</v>
      </c>
      <c r="F3221" s="131"/>
      <c r="G3221" s="132"/>
      <c r="H3221" s="162" t="s">
        <v>22492</v>
      </c>
      <c r="I3221" s="158" t="s">
        <v>22493</v>
      </c>
      <c r="J3221" s="128"/>
      <c r="K3221" s="128"/>
      <c r="L3221" s="128"/>
      <c r="M3221" s="129"/>
      <c r="N3221" s="129"/>
      <c r="O3221" s="129"/>
    </row>
    <row r="3222" spans="1:15" ht="12.5">
      <c r="A3222" s="158" t="s">
        <v>22494</v>
      </c>
      <c r="B3222" s="159">
        <v>35</v>
      </c>
      <c r="C3222" s="159">
        <v>90</v>
      </c>
      <c r="D3222" s="159">
        <v>93</v>
      </c>
      <c r="E3222" s="159">
        <v>27</v>
      </c>
      <c r="F3222" s="131"/>
      <c r="G3222" s="132"/>
      <c r="H3222" s="162" t="s">
        <v>22495</v>
      </c>
      <c r="I3222" s="158" t="s">
        <v>22496</v>
      </c>
      <c r="J3222" s="128"/>
      <c r="K3222" s="128"/>
      <c r="L3222" s="128"/>
      <c r="M3222" s="129"/>
      <c r="N3222" s="129"/>
      <c r="O3222" s="129"/>
    </row>
    <row r="3223" spans="1:15" ht="12.5">
      <c r="A3223" s="158" t="s">
        <v>22497</v>
      </c>
      <c r="B3223" s="159">
        <v>35</v>
      </c>
      <c r="C3223" s="159">
        <v>90</v>
      </c>
      <c r="D3223" s="159">
        <v>93</v>
      </c>
      <c r="E3223" s="159">
        <v>28</v>
      </c>
      <c r="F3223" s="131"/>
      <c r="G3223" s="132"/>
      <c r="H3223" s="162" t="s">
        <v>22498</v>
      </c>
      <c r="I3223" s="158" t="s">
        <v>22499</v>
      </c>
      <c r="J3223" s="128"/>
      <c r="K3223" s="128"/>
      <c r="L3223" s="128"/>
      <c r="M3223" s="129"/>
      <c r="N3223" s="129"/>
      <c r="O3223" s="129"/>
    </row>
    <row r="3224" spans="1:15" ht="12.5">
      <c r="A3224" s="158" t="s">
        <v>22500</v>
      </c>
      <c r="B3224" s="159">
        <v>35</v>
      </c>
      <c r="C3224" s="159">
        <v>90</v>
      </c>
      <c r="D3224" s="159">
        <v>93</v>
      </c>
      <c r="E3224" s="159">
        <v>29</v>
      </c>
      <c r="F3224" s="131"/>
      <c r="G3224" s="132"/>
      <c r="H3224" s="162" t="s">
        <v>22501</v>
      </c>
      <c r="I3224" s="158" t="s">
        <v>22502</v>
      </c>
      <c r="J3224" s="128"/>
      <c r="K3224" s="128"/>
      <c r="L3224" s="128"/>
      <c r="M3224" s="129"/>
      <c r="N3224" s="129"/>
      <c r="O3224" s="129"/>
    </row>
    <row r="3225" spans="1:15" ht="12.5">
      <c r="A3225" s="158" t="s">
        <v>22503</v>
      </c>
      <c r="B3225" s="159">
        <v>35</v>
      </c>
      <c r="C3225" s="159">
        <v>90</v>
      </c>
      <c r="D3225" s="159">
        <v>93</v>
      </c>
      <c r="E3225" s="159">
        <v>30</v>
      </c>
      <c r="F3225" s="131"/>
      <c r="G3225" s="132"/>
      <c r="H3225" s="162" t="s">
        <v>22504</v>
      </c>
      <c r="I3225" s="158" t="s">
        <v>22505</v>
      </c>
      <c r="J3225" s="128"/>
      <c r="K3225" s="128"/>
      <c r="L3225" s="128"/>
      <c r="M3225" s="129"/>
      <c r="N3225" s="129"/>
      <c r="O3225" s="129"/>
    </row>
    <row r="3226" spans="1:15" ht="12.5">
      <c r="A3226" s="158" t="s">
        <v>22506</v>
      </c>
      <c r="B3226" s="159">
        <v>35</v>
      </c>
      <c r="C3226" s="159">
        <v>90</v>
      </c>
      <c r="D3226" s="159">
        <v>93</v>
      </c>
      <c r="E3226" s="159">
        <v>32</v>
      </c>
      <c r="F3226" s="131"/>
      <c r="G3226" s="132"/>
      <c r="H3226" s="162" t="s">
        <v>22507</v>
      </c>
      <c r="I3226" s="158" t="s">
        <v>22508</v>
      </c>
      <c r="J3226" s="128"/>
      <c r="K3226" s="128"/>
      <c r="L3226" s="128"/>
      <c r="M3226" s="129"/>
      <c r="N3226" s="129"/>
      <c r="O3226" s="129"/>
    </row>
    <row r="3227" spans="1:15" ht="12.5">
      <c r="A3227" s="158" t="s">
        <v>22509</v>
      </c>
      <c r="B3227" s="159">
        <v>35</v>
      </c>
      <c r="C3227" s="159">
        <v>90</v>
      </c>
      <c r="D3227" s="159">
        <v>93</v>
      </c>
      <c r="E3227" s="159">
        <v>33</v>
      </c>
      <c r="F3227" s="131"/>
      <c r="G3227" s="132"/>
      <c r="H3227" s="162" t="s">
        <v>22510</v>
      </c>
      <c r="I3227" s="158" t="s">
        <v>22511</v>
      </c>
      <c r="J3227" s="128"/>
      <c r="K3227" s="128"/>
      <c r="L3227" s="128"/>
      <c r="M3227" s="129"/>
      <c r="N3227" s="129"/>
      <c r="O3227" s="129"/>
    </row>
    <row r="3228" spans="1:15" ht="12.5">
      <c r="A3228" s="158" t="s">
        <v>22512</v>
      </c>
      <c r="B3228" s="159">
        <v>35</v>
      </c>
      <c r="C3228" s="159">
        <v>90</v>
      </c>
      <c r="D3228" s="159">
        <v>93</v>
      </c>
      <c r="E3228" s="159">
        <v>34</v>
      </c>
      <c r="F3228" s="131"/>
      <c r="G3228" s="132"/>
      <c r="H3228" s="162" t="s">
        <v>22513</v>
      </c>
      <c r="I3228" s="158" t="s">
        <v>22514</v>
      </c>
      <c r="J3228" s="128"/>
      <c r="K3228" s="128"/>
      <c r="L3228" s="128"/>
      <c r="M3228" s="129"/>
      <c r="N3228" s="129"/>
      <c r="O3228" s="129"/>
    </row>
    <row r="3229" spans="1:15" ht="12.5">
      <c r="A3229" s="158" t="s">
        <v>22515</v>
      </c>
      <c r="B3229" s="159">
        <v>35</v>
      </c>
      <c r="C3229" s="159">
        <v>90</v>
      </c>
      <c r="D3229" s="159">
        <v>93</v>
      </c>
      <c r="E3229" s="159">
        <v>35</v>
      </c>
      <c r="F3229" s="131"/>
      <c r="G3229" s="132"/>
      <c r="H3229" s="162" t="s">
        <v>22516</v>
      </c>
      <c r="I3229" s="158" t="s">
        <v>22517</v>
      </c>
      <c r="J3229" s="128"/>
      <c r="K3229" s="128"/>
      <c r="L3229" s="128"/>
      <c r="M3229" s="129"/>
      <c r="N3229" s="129"/>
      <c r="O3229" s="129"/>
    </row>
    <row r="3230" spans="1:15" ht="12.5">
      <c r="A3230" s="158" t="s">
        <v>22518</v>
      </c>
      <c r="B3230" s="159">
        <v>35</v>
      </c>
      <c r="C3230" s="159">
        <v>90</v>
      </c>
      <c r="D3230" s="159">
        <v>93</v>
      </c>
      <c r="E3230" s="159">
        <v>51</v>
      </c>
      <c r="F3230" s="131"/>
      <c r="G3230" s="132"/>
      <c r="H3230" s="162" t="s">
        <v>22519</v>
      </c>
      <c r="I3230" s="158" t="s">
        <v>22520</v>
      </c>
      <c r="J3230" s="128"/>
      <c r="K3230" s="128"/>
      <c r="L3230" s="128"/>
      <c r="M3230" s="129"/>
      <c r="N3230" s="129"/>
      <c r="O3230" s="129"/>
    </row>
    <row r="3231" spans="1:15" ht="12.5">
      <c r="A3231" s="158" t="s">
        <v>22521</v>
      </c>
      <c r="B3231" s="159">
        <v>35</v>
      </c>
      <c r="C3231" s="159">
        <v>90</v>
      </c>
      <c r="D3231" s="159">
        <v>93</v>
      </c>
      <c r="E3231" s="159">
        <v>52</v>
      </c>
      <c r="F3231" s="131"/>
      <c r="G3231" s="132"/>
      <c r="H3231" s="162" t="s">
        <v>22522</v>
      </c>
      <c r="I3231" s="158" t="s">
        <v>22523</v>
      </c>
      <c r="J3231" s="128"/>
      <c r="K3231" s="128"/>
      <c r="L3231" s="128"/>
      <c r="M3231" s="129"/>
      <c r="N3231" s="129"/>
      <c r="O3231" s="129"/>
    </row>
    <row r="3232" spans="1:15" ht="12.5">
      <c r="A3232" s="158" t="s">
        <v>22524</v>
      </c>
      <c r="B3232" s="159">
        <v>35</v>
      </c>
      <c r="C3232" s="159">
        <v>90</v>
      </c>
      <c r="D3232" s="159">
        <v>93</v>
      </c>
      <c r="E3232" s="159">
        <v>53</v>
      </c>
      <c r="F3232" s="131"/>
      <c r="G3232" s="132"/>
      <c r="H3232" s="162" t="s">
        <v>22525</v>
      </c>
      <c r="I3232" s="158" t="s">
        <v>22526</v>
      </c>
      <c r="J3232" s="128"/>
      <c r="K3232" s="128"/>
      <c r="L3232" s="128"/>
      <c r="M3232" s="129"/>
      <c r="N3232" s="129"/>
      <c r="O3232" s="129"/>
    </row>
    <row r="3233" spans="1:15" ht="12.5">
      <c r="A3233" s="158" t="s">
        <v>22527</v>
      </c>
      <c r="B3233" s="159">
        <v>35</v>
      </c>
      <c r="C3233" s="159">
        <v>90</v>
      </c>
      <c r="D3233" s="159">
        <v>93</v>
      </c>
      <c r="E3233" s="159">
        <v>72</v>
      </c>
      <c r="F3233" s="131"/>
      <c r="G3233" s="132"/>
      <c r="H3233" s="162" t="s">
        <v>22528</v>
      </c>
      <c r="I3233" s="158" t="s">
        <v>22529</v>
      </c>
      <c r="J3233" s="128"/>
      <c r="K3233" s="128"/>
      <c r="L3233" s="128"/>
      <c r="M3233" s="129"/>
      <c r="N3233" s="129"/>
      <c r="O3233" s="129"/>
    </row>
    <row r="3234" spans="1:15" ht="12.5">
      <c r="A3234" s="158" t="s">
        <v>22530</v>
      </c>
      <c r="B3234" s="159">
        <v>35</v>
      </c>
      <c r="C3234" s="159">
        <v>90</v>
      </c>
      <c r="D3234" s="159">
        <v>93</v>
      </c>
      <c r="E3234" s="159">
        <v>96</v>
      </c>
      <c r="F3234" s="131"/>
      <c r="G3234" s="132"/>
      <c r="H3234" s="162" t="s">
        <v>22531</v>
      </c>
      <c r="I3234" s="158" t="s">
        <v>22532</v>
      </c>
      <c r="J3234" s="128"/>
      <c r="K3234" s="128"/>
      <c r="L3234" s="128"/>
      <c r="M3234" s="129"/>
      <c r="N3234" s="129"/>
      <c r="O3234" s="129"/>
    </row>
    <row r="3235" spans="1:15" ht="12.5">
      <c r="A3235" s="158" t="s">
        <v>22533</v>
      </c>
      <c r="B3235" s="159">
        <v>35</v>
      </c>
      <c r="C3235" s="159">
        <v>90</v>
      </c>
      <c r="D3235" s="159">
        <v>93</v>
      </c>
      <c r="E3235" s="159">
        <v>97</v>
      </c>
      <c r="F3235" s="131"/>
      <c r="G3235" s="132"/>
      <c r="H3235" s="162" t="s">
        <v>22534</v>
      </c>
      <c r="I3235" s="158" t="s">
        <v>22535</v>
      </c>
      <c r="J3235" s="128"/>
      <c r="K3235" s="128"/>
      <c r="L3235" s="128"/>
      <c r="M3235" s="129"/>
      <c r="N3235" s="129"/>
      <c r="O3235" s="129"/>
    </row>
    <row r="3236" spans="1:15" ht="12.5">
      <c r="A3236" s="144" t="s">
        <v>22536</v>
      </c>
      <c r="B3236" s="145">
        <v>35</v>
      </c>
      <c r="C3236" s="145">
        <v>93</v>
      </c>
      <c r="D3236" s="146"/>
      <c r="E3236" s="146"/>
      <c r="F3236" s="147" t="s">
        <v>33442</v>
      </c>
      <c r="G3236" s="190"/>
      <c r="H3236" s="149" t="s">
        <v>22537</v>
      </c>
      <c r="I3236" s="150"/>
      <c r="J3236" s="150"/>
      <c r="K3236" s="150"/>
      <c r="L3236" s="150"/>
      <c r="M3236" s="191"/>
      <c r="N3236" s="191"/>
      <c r="O3236" s="191"/>
    </row>
    <row r="3237" spans="1:15" ht="12.5">
      <c r="A3237" s="158" t="s">
        <v>22538</v>
      </c>
      <c r="B3237" s="159">
        <v>35</v>
      </c>
      <c r="C3237" s="159">
        <v>93</v>
      </c>
      <c r="D3237" s="159">
        <v>13</v>
      </c>
      <c r="E3237" s="130"/>
      <c r="F3237" s="131"/>
      <c r="G3237" s="132"/>
      <c r="H3237" s="162" t="s">
        <v>22539</v>
      </c>
      <c r="I3237" s="128"/>
      <c r="J3237" s="128"/>
      <c r="K3237" s="128"/>
      <c r="L3237" s="128"/>
      <c r="M3237" s="129"/>
      <c r="N3237" s="129"/>
      <c r="O3237" s="129"/>
    </row>
    <row r="3238" spans="1:15" ht="12.5">
      <c r="A3238" s="158" t="s">
        <v>22540</v>
      </c>
      <c r="B3238" s="159">
        <v>35</v>
      </c>
      <c r="C3238" s="159">
        <v>93</v>
      </c>
      <c r="D3238" s="159">
        <v>13</v>
      </c>
      <c r="E3238" s="159">
        <v>13</v>
      </c>
      <c r="F3238" s="131"/>
      <c r="G3238" s="132"/>
      <c r="H3238" s="162" t="s">
        <v>22541</v>
      </c>
      <c r="I3238" s="158" t="s">
        <v>22542</v>
      </c>
      <c r="J3238" s="128"/>
      <c r="K3238" s="128"/>
      <c r="L3238" s="128"/>
      <c r="M3238" s="129"/>
      <c r="N3238" s="129"/>
      <c r="O3238" s="129"/>
    </row>
    <row r="3239" spans="1:15" ht="12.5">
      <c r="A3239" s="158" t="s">
        <v>22543</v>
      </c>
      <c r="B3239" s="159">
        <v>35</v>
      </c>
      <c r="C3239" s="159">
        <v>93</v>
      </c>
      <c r="D3239" s="159">
        <v>13</v>
      </c>
      <c r="E3239" s="159">
        <v>30</v>
      </c>
      <c r="F3239" s="131"/>
      <c r="G3239" s="132"/>
      <c r="H3239" s="162" t="s">
        <v>22544</v>
      </c>
      <c r="I3239" s="158" t="s">
        <v>22545</v>
      </c>
      <c r="J3239" s="128"/>
      <c r="K3239" s="128"/>
      <c r="L3239" s="128"/>
      <c r="M3239" s="129"/>
      <c r="N3239" s="129"/>
      <c r="O3239" s="129"/>
    </row>
    <row r="3240" spans="1:15" ht="12.5">
      <c r="A3240" s="158" t="s">
        <v>22546</v>
      </c>
      <c r="B3240" s="159">
        <v>35</v>
      </c>
      <c r="C3240" s="159">
        <v>93</v>
      </c>
      <c r="D3240" s="159">
        <v>13</v>
      </c>
      <c r="E3240" s="159">
        <v>51</v>
      </c>
      <c r="F3240" s="131"/>
      <c r="G3240" s="132"/>
      <c r="H3240" s="162" t="s">
        <v>22547</v>
      </c>
      <c r="I3240" s="158" t="s">
        <v>22548</v>
      </c>
      <c r="J3240" s="128"/>
      <c r="K3240" s="128"/>
      <c r="L3240" s="128"/>
      <c r="M3240" s="129"/>
      <c r="N3240" s="129"/>
      <c r="O3240" s="129"/>
    </row>
    <row r="3241" spans="1:15" ht="12.5">
      <c r="A3241" s="158" t="s">
        <v>22549</v>
      </c>
      <c r="B3241" s="159">
        <v>35</v>
      </c>
      <c r="C3241" s="159">
        <v>93</v>
      </c>
      <c r="D3241" s="159">
        <v>13</v>
      </c>
      <c r="E3241" s="159">
        <v>53</v>
      </c>
      <c r="F3241" s="131"/>
      <c r="G3241" s="132"/>
      <c r="H3241" s="162" t="s">
        <v>22550</v>
      </c>
      <c r="I3241" s="158" t="s">
        <v>22551</v>
      </c>
      <c r="J3241" s="128"/>
      <c r="K3241" s="128"/>
      <c r="L3241" s="128"/>
      <c r="M3241" s="129"/>
      <c r="N3241" s="129"/>
      <c r="O3241" s="129"/>
    </row>
    <row r="3242" spans="1:15" ht="12.5">
      <c r="A3242" s="158" t="s">
        <v>22552</v>
      </c>
      <c r="B3242" s="159">
        <v>35</v>
      </c>
      <c r="C3242" s="159">
        <v>93</v>
      </c>
      <c r="D3242" s="159">
        <v>13</v>
      </c>
      <c r="E3242" s="159">
        <v>58</v>
      </c>
      <c r="F3242" s="131"/>
      <c r="G3242" s="132"/>
      <c r="H3242" s="162" t="s">
        <v>22553</v>
      </c>
      <c r="I3242" s="158" t="s">
        <v>22554</v>
      </c>
      <c r="J3242" s="128"/>
      <c r="K3242" s="128"/>
      <c r="L3242" s="128"/>
      <c r="M3242" s="129"/>
      <c r="N3242" s="129"/>
      <c r="O3242" s="129"/>
    </row>
    <row r="3243" spans="1:15" ht="12.5">
      <c r="A3243" s="158" t="s">
        <v>22555</v>
      </c>
      <c r="B3243" s="159">
        <v>35</v>
      </c>
      <c r="C3243" s="159">
        <v>93</v>
      </c>
      <c r="D3243" s="159">
        <v>13</v>
      </c>
      <c r="E3243" s="159">
        <v>61</v>
      </c>
      <c r="F3243" s="131"/>
      <c r="G3243" s="132"/>
      <c r="H3243" s="162" t="s">
        <v>22556</v>
      </c>
      <c r="I3243" s="158" t="s">
        <v>22557</v>
      </c>
      <c r="J3243" s="128"/>
      <c r="K3243" s="128"/>
      <c r="L3243" s="128"/>
      <c r="M3243" s="129"/>
      <c r="N3243" s="129"/>
      <c r="O3243" s="129"/>
    </row>
    <row r="3244" spans="1:15" ht="12.5">
      <c r="A3244" s="158" t="s">
        <v>22558</v>
      </c>
      <c r="B3244" s="159">
        <v>35</v>
      </c>
      <c r="C3244" s="159">
        <v>93</v>
      </c>
      <c r="D3244" s="159">
        <v>13</v>
      </c>
      <c r="E3244" s="159">
        <v>65</v>
      </c>
      <c r="F3244" s="131"/>
      <c r="G3244" s="132"/>
      <c r="H3244" s="162" t="s">
        <v>22559</v>
      </c>
      <c r="I3244" s="158" t="s">
        <v>22560</v>
      </c>
      <c r="J3244" s="128"/>
      <c r="K3244" s="128"/>
      <c r="L3244" s="128"/>
      <c r="M3244" s="129"/>
      <c r="N3244" s="129"/>
      <c r="O3244" s="129"/>
    </row>
    <row r="3245" spans="1:15" ht="12.5">
      <c r="A3245" s="158" t="s">
        <v>22561</v>
      </c>
      <c r="B3245" s="159">
        <v>35</v>
      </c>
      <c r="C3245" s="159">
        <v>93</v>
      </c>
      <c r="D3245" s="159">
        <v>13</v>
      </c>
      <c r="E3245" s="159">
        <v>71</v>
      </c>
      <c r="F3245" s="131"/>
      <c r="G3245" s="132"/>
      <c r="H3245" s="162" t="s">
        <v>22562</v>
      </c>
      <c r="I3245" s="158" t="s">
        <v>22563</v>
      </c>
      <c r="J3245" s="128"/>
      <c r="K3245" s="128"/>
      <c r="L3245" s="128"/>
      <c r="M3245" s="129"/>
      <c r="N3245" s="129"/>
      <c r="O3245" s="129"/>
    </row>
    <row r="3246" spans="1:15" ht="12.5">
      <c r="A3246" s="158" t="s">
        <v>22564</v>
      </c>
      <c r="B3246" s="159">
        <v>35</v>
      </c>
      <c r="C3246" s="159">
        <v>93</v>
      </c>
      <c r="D3246" s="159">
        <v>13</v>
      </c>
      <c r="E3246" s="159">
        <v>73</v>
      </c>
      <c r="F3246" s="131"/>
      <c r="G3246" s="132"/>
      <c r="H3246" s="162" t="s">
        <v>22565</v>
      </c>
      <c r="I3246" s="158" t="s">
        <v>22566</v>
      </c>
      <c r="J3246" s="128"/>
      <c r="K3246" s="128"/>
      <c r="L3246" s="128"/>
      <c r="M3246" s="129"/>
      <c r="N3246" s="129"/>
      <c r="O3246" s="129"/>
    </row>
    <row r="3247" spans="1:15" ht="12.5">
      <c r="A3247" s="158" t="s">
        <v>22567</v>
      </c>
      <c r="B3247" s="159">
        <v>35</v>
      </c>
      <c r="C3247" s="159">
        <v>93</v>
      </c>
      <c r="D3247" s="159">
        <v>13</v>
      </c>
      <c r="E3247" s="159">
        <v>80</v>
      </c>
      <c r="F3247" s="131"/>
      <c r="G3247" s="132"/>
      <c r="H3247" s="162" t="s">
        <v>22568</v>
      </c>
      <c r="I3247" s="158" t="s">
        <v>22569</v>
      </c>
      <c r="J3247" s="128"/>
      <c r="K3247" s="128"/>
      <c r="L3247" s="128"/>
      <c r="M3247" s="129"/>
      <c r="N3247" s="129"/>
      <c r="O3247" s="129"/>
    </row>
    <row r="3248" spans="1:15" ht="12.5">
      <c r="A3248" s="158" t="s">
        <v>22570</v>
      </c>
      <c r="B3248" s="159">
        <v>35</v>
      </c>
      <c r="C3248" s="159">
        <v>93</v>
      </c>
      <c r="D3248" s="159">
        <v>13</v>
      </c>
      <c r="E3248" s="159">
        <v>94</v>
      </c>
      <c r="F3248" s="131"/>
      <c r="G3248" s="132"/>
      <c r="H3248" s="162" t="s">
        <v>22571</v>
      </c>
      <c r="I3248" s="158" t="s">
        <v>22572</v>
      </c>
      <c r="J3248" s="128"/>
      <c r="K3248" s="128"/>
      <c r="L3248" s="128"/>
      <c r="M3248" s="129"/>
      <c r="N3248" s="129"/>
      <c r="O3248" s="129"/>
    </row>
    <row r="3249" spans="1:15" ht="12.5">
      <c r="A3249" s="158" t="s">
        <v>22573</v>
      </c>
      <c r="B3249" s="159">
        <v>35</v>
      </c>
      <c r="C3249" s="159">
        <v>93</v>
      </c>
      <c r="D3249" s="159">
        <v>96</v>
      </c>
      <c r="E3249" s="130"/>
      <c r="F3249" s="131"/>
      <c r="G3249" s="132"/>
      <c r="H3249" s="162" t="s">
        <v>22574</v>
      </c>
      <c r="I3249" s="128"/>
      <c r="J3249" s="128"/>
      <c r="K3249" s="128"/>
      <c r="L3249" s="128"/>
      <c r="M3249" s="129"/>
      <c r="N3249" s="129"/>
      <c r="O3249" s="129"/>
    </row>
    <row r="3250" spans="1:15" ht="12.5">
      <c r="A3250" s="158" t="s">
        <v>22575</v>
      </c>
      <c r="B3250" s="159">
        <v>35</v>
      </c>
      <c r="C3250" s="159">
        <v>93</v>
      </c>
      <c r="D3250" s="159">
        <v>96</v>
      </c>
      <c r="E3250" s="159">
        <v>10</v>
      </c>
      <c r="F3250" s="131"/>
      <c r="G3250" s="132"/>
      <c r="H3250" s="162" t="s">
        <v>22576</v>
      </c>
      <c r="I3250" s="158" t="s">
        <v>22577</v>
      </c>
      <c r="J3250" s="128"/>
      <c r="K3250" s="128"/>
      <c r="L3250" s="128"/>
      <c r="M3250" s="129"/>
      <c r="N3250" s="129"/>
      <c r="O3250" s="129"/>
    </row>
    <row r="3251" spans="1:15" ht="12.5">
      <c r="A3251" s="158" t="s">
        <v>22578</v>
      </c>
      <c r="B3251" s="159">
        <v>35</v>
      </c>
      <c r="C3251" s="159">
        <v>93</v>
      </c>
      <c r="D3251" s="159">
        <v>96</v>
      </c>
      <c r="E3251" s="159">
        <v>11</v>
      </c>
      <c r="F3251" s="131"/>
      <c r="G3251" s="132"/>
      <c r="H3251" s="162" t="s">
        <v>22579</v>
      </c>
      <c r="I3251" s="158" t="s">
        <v>22577</v>
      </c>
      <c r="J3251" s="128"/>
      <c r="K3251" s="128"/>
      <c r="L3251" s="128"/>
      <c r="M3251" s="129"/>
      <c r="N3251" s="129"/>
      <c r="O3251" s="129"/>
    </row>
    <row r="3252" spans="1:15" ht="12.5">
      <c r="A3252" s="158" t="s">
        <v>22580</v>
      </c>
      <c r="B3252" s="159">
        <v>35</v>
      </c>
      <c r="C3252" s="159">
        <v>93</v>
      </c>
      <c r="D3252" s="159">
        <v>96</v>
      </c>
      <c r="E3252" s="159">
        <v>12</v>
      </c>
      <c r="F3252" s="131"/>
      <c r="G3252" s="132"/>
      <c r="H3252" s="162" t="s">
        <v>22581</v>
      </c>
      <c r="I3252" s="158" t="s">
        <v>22582</v>
      </c>
      <c r="J3252" s="128"/>
      <c r="K3252" s="128"/>
      <c r="L3252" s="128"/>
      <c r="M3252" s="129"/>
      <c r="N3252" s="129"/>
      <c r="O3252" s="129"/>
    </row>
    <row r="3253" spans="1:15" ht="12.5">
      <c r="A3253" s="158" t="s">
        <v>22583</v>
      </c>
      <c r="B3253" s="159">
        <v>35</v>
      </c>
      <c r="C3253" s="159">
        <v>93</v>
      </c>
      <c r="D3253" s="159">
        <v>96</v>
      </c>
      <c r="E3253" s="159">
        <v>13</v>
      </c>
      <c r="F3253" s="131"/>
      <c r="G3253" s="132"/>
      <c r="H3253" s="162" t="s">
        <v>22584</v>
      </c>
      <c r="I3253" s="158" t="s">
        <v>22585</v>
      </c>
      <c r="J3253" s="128"/>
      <c r="K3253" s="128"/>
      <c r="L3253" s="128"/>
      <c r="M3253" s="129"/>
      <c r="N3253" s="129"/>
      <c r="O3253" s="129"/>
    </row>
    <row r="3254" spans="1:15" ht="12.5">
      <c r="A3254" s="158" t="s">
        <v>22586</v>
      </c>
      <c r="B3254" s="159">
        <v>35</v>
      </c>
      <c r="C3254" s="159">
        <v>93</v>
      </c>
      <c r="D3254" s="159">
        <v>96</v>
      </c>
      <c r="E3254" s="159">
        <v>14</v>
      </c>
      <c r="F3254" s="131"/>
      <c r="G3254" s="132"/>
      <c r="H3254" s="162" t="s">
        <v>22587</v>
      </c>
      <c r="I3254" s="158" t="s">
        <v>22588</v>
      </c>
      <c r="J3254" s="128"/>
      <c r="K3254" s="128"/>
      <c r="L3254" s="128"/>
      <c r="M3254" s="129"/>
      <c r="N3254" s="129"/>
      <c r="O3254" s="129"/>
    </row>
    <row r="3255" spans="1:15" ht="12.5">
      <c r="A3255" s="158" t="s">
        <v>22589</v>
      </c>
      <c r="B3255" s="159">
        <v>35</v>
      </c>
      <c r="C3255" s="159">
        <v>93</v>
      </c>
      <c r="D3255" s="159">
        <v>96</v>
      </c>
      <c r="E3255" s="159">
        <v>15</v>
      </c>
      <c r="F3255" s="131"/>
      <c r="G3255" s="132"/>
      <c r="H3255" s="162" t="s">
        <v>22590</v>
      </c>
      <c r="I3255" s="158" t="s">
        <v>22591</v>
      </c>
      <c r="J3255" s="128"/>
      <c r="K3255" s="128"/>
      <c r="L3255" s="128"/>
      <c r="M3255" s="129"/>
      <c r="N3255" s="129"/>
      <c r="O3255" s="129"/>
    </row>
    <row r="3256" spans="1:15" ht="12.5">
      <c r="A3256" s="158" t="s">
        <v>22592</v>
      </c>
      <c r="B3256" s="159">
        <v>35</v>
      </c>
      <c r="C3256" s="159">
        <v>93</v>
      </c>
      <c r="D3256" s="159">
        <v>96</v>
      </c>
      <c r="E3256" s="159">
        <v>16</v>
      </c>
      <c r="F3256" s="131"/>
      <c r="G3256" s="132"/>
      <c r="H3256" s="162" t="s">
        <v>22593</v>
      </c>
      <c r="I3256" s="158" t="s">
        <v>22594</v>
      </c>
      <c r="J3256" s="128"/>
      <c r="K3256" s="128"/>
      <c r="L3256" s="128"/>
      <c r="M3256" s="129"/>
      <c r="N3256" s="129"/>
      <c r="O3256" s="129"/>
    </row>
    <row r="3257" spans="1:15" ht="12.5">
      <c r="A3257" s="158" t="s">
        <v>22595</v>
      </c>
      <c r="B3257" s="159">
        <v>35</v>
      </c>
      <c r="C3257" s="159">
        <v>93</v>
      </c>
      <c r="D3257" s="159">
        <v>96</v>
      </c>
      <c r="E3257" s="159">
        <v>17</v>
      </c>
      <c r="F3257" s="131"/>
      <c r="G3257" s="132"/>
      <c r="H3257" s="162" t="s">
        <v>22596</v>
      </c>
      <c r="I3257" s="158" t="s">
        <v>22597</v>
      </c>
      <c r="J3257" s="128"/>
      <c r="K3257" s="128"/>
      <c r="L3257" s="128"/>
      <c r="M3257" s="129"/>
      <c r="N3257" s="129"/>
      <c r="O3257" s="129"/>
    </row>
    <row r="3258" spans="1:15" ht="12.5">
      <c r="A3258" s="158" t="s">
        <v>22598</v>
      </c>
      <c r="B3258" s="159">
        <v>35</v>
      </c>
      <c r="C3258" s="159">
        <v>93</v>
      </c>
      <c r="D3258" s="159">
        <v>96</v>
      </c>
      <c r="E3258" s="159">
        <v>18</v>
      </c>
      <c r="F3258" s="131"/>
      <c r="G3258" s="132"/>
      <c r="H3258" s="162" t="s">
        <v>22599</v>
      </c>
      <c r="I3258" s="158" t="s">
        <v>22600</v>
      </c>
      <c r="J3258" s="128"/>
      <c r="K3258" s="128"/>
      <c r="L3258" s="128"/>
      <c r="M3258" s="129"/>
      <c r="N3258" s="129"/>
      <c r="O3258" s="129"/>
    </row>
    <row r="3259" spans="1:15" ht="12.5">
      <c r="A3259" s="158" t="s">
        <v>22601</v>
      </c>
      <c r="B3259" s="159">
        <v>35</v>
      </c>
      <c r="C3259" s="159">
        <v>93</v>
      </c>
      <c r="D3259" s="159">
        <v>96</v>
      </c>
      <c r="E3259" s="159">
        <v>19</v>
      </c>
      <c r="F3259" s="131"/>
      <c r="G3259" s="132"/>
      <c r="H3259" s="162" t="s">
        <v>22602</v>
      </c>
      <c r="I3259" s="158" t="s">
        <v>22603</v>
      </c>
      <c r="J3259" s="128"/>
      <c r="K3259" s="128"/>
      <c r="L3259" s="128"/>
      <c r="M3259" s="129"/>
      <c r="N3259" s="129"/>
      <c r="O3259" s="129"/>
    </row>
    <row r="3260" spans="1:15" ht="12.5">
      <c r="A3260" s="158" t="s">
        <v>22604</v>
      </c>
      <c r="B3260" s="159">
        <v>35</v>
      </c>
      <c r="C3260" s="159">
        <v>93</v>
      </c>
      <c r="D3260" s="159">
        <v>96</v>
      </c>
      <c r="E3260" s="159">
        <v>21</v>
      </c>
      <c r="F3260" s="131"/>
      <c r="G3260" s="132"/>
      <c r="H3260" s="162" t="s">
        <v>22605</v>
      </c>
      <c r="I3260" s="158" t="s">
        <v>22606</v>
      </c>
      <c r="J3260" s="128"/>
      <c r="K3260" s="128"/>
      <c r="L3260" s="128"/>
      <c r="M3260" s="129"/>
      <c r="N3260" s="129"/>
      <c r="O3260" s="129"/>
    </row>
    <row r="3261" spans="1:15" ht="12.5">
      <c r="A3261" s="158" t="s">
        <v>22609</v>
      </c>
      <c r="B3261" s="159">
        <v>35</v>
      </c>
      <c r="C3261" s="159">
        <v>93</v>
      </c>
      <c r="D3261" s="159">
        <v>96</v>
      </c>
      <c r="E3261" s="159">
        <v>53</v>
      </c>
      <c r="F3261" s="131"/>
      <c r="G3261" s="132"/>
      <c r="H3261" s="162" t="s">
        <v>22610</v>
      </c>
      <c r="I3261" s="158" t="s">
        <v>22611</v>
      </c>
      <c r="J3261" s="128"/>
      <c r="K3261" s="128"/>
      <c r="L3261" s="128"/>
      <c r="M3261" s="129"/>
      <c r="N3261" s="129"/>
      <c r="O3261" s="129"/>
    </row>
    <row r="3262" spans="1:15" ht="12.5">
      <c r="A3262" s="158" t="s">
        <v>22612</v>
      </c>
      <c r="B3262" s="159">
        <v>35</v>
      </c>
      <c r="C3262" s="159">
        <v>93</v>
      </c>
      <c r="D3262" s="159">
        <v>96</v>
      </c>
      <c r="E3262" s="159">
        <v>56</v>
      </c>
      <c r="F3262" s="131"/>
      <c r="G3262" s="132"/>
      <c r="H3262" s="162" t="s">
        <v>22613</v>
      </c>
      <c r="I3262" s="158" t="s">
        <v>22614</v>
      </c>
      <c r="J3262" s="128"/>
      <c r="K3262" s="128"/>
      <c r="L3262" s="128"/>
      <c r="M3262" s="129"/>
      <c r="N3262" s="129"/>
      <c r="O3262" s="129"/>
    </row>
    <row r="3263" spans="1:15" ht="12.5">
      <c r="A3263" s="158" t="s">
        <v>22615</v>
      </c>
      <c r="B3263" s="159">
        <v>35</v>
      </c>
      <c r="C3263" s="159">
        <v>93</v>
      </c>
      <c r="D3263" s="159">
        <v>96</v>
      </c>
      <c r="E3263" s="159">
        <v>57</v>
      </c>
      <c r="F3263" s="131"/>
      <c r="G3263" s="132"/>
      <c r="H3263" s="162" t="s">
        <v>22616</v>
      </c>
      <c r="I3263" s="158" t="s">
        <v>22617</v>
      </c>
      <c r="J3263" s="128"/>
      <c r="K3263" s="128"/>
      <c r="L3263" s="128"/>
      <c r="M3263" s="129"/>
      <c r="N3263" s="129"/>
      <c r="O3263" s="129"/>
    </row>
    <row r="3264" spans="1:15" ht="12.5">
      <c r="A3264" s="158" t="s">
        <v>22620</v>
      </c>
      <c r="B3264" s="159">
        <v>35</v>
      </c>
      <c r="C3264" s="159">
        <v>93</v>
      </c>
      <c r="D3264" s="159">
        <v>96</v>
      </c>
      <c r="E3264" s="159">
        <v>66</v>
      </c>
      <c r="F3264" s="131"/>
      <c r="G3264" s="132"/>
      <c r="H3264" s="162" t="s">
        <v>22621</v>
      </c>
      <c r="I3264" s="128"/>
      <c r="J3264" s="128"/>
      <c r="K3264" s="128"/>
      <c r="L3264" s="128"/>
      <c r="M3264" s="129"/>
      <c r="N3264" s="129"/>
      <c r="O3264" s="129"/>
    </row>
    <row r="3265" spans="1:15" ht="12.5">
      <c r="A3265" s="158" t="s">
        <v>22622</v>
      </c>
      <c r="B3265" s="159">
        <v>35</v>
      </c>
      <c r="C3265" s="159">
        <v>93</v>
      </c>
      <c r="D3265" s="159">
        <v>96</v>
      </c>
      <c r="E3265" s="159">
        <v>67</v>
      </c>
      <c r="F3265" s="131"/>
      <c r="G3265" s="132"/>
      <c r="H3265" s="162" t="s">
        <v>22623</v>
      </c>
      <c r="I3265" s="158" t="s">
        <v>22624</v>
      </c>
      <c r="J3265" s="128"/>
      <c r="K3265" s="128"/>
      <c r="L3265" s="128"/>
      <c r="M3265" s="129"/>
      <c r="N3265" s="129"/>
      <c r="O3265" s="129"/>
    </row>
    <row r="3266" spans="1:15" ht="12.5">
      <c r="A3266" s="158" t="s">
        <v>22625</v>
      </c>
      <c r="B3266" s="159">
        <v>35</v>
      </c>
      <c r="C3266" s="159">
        <v>93</v>
      </c>
      <c r="D3266" s="159">
        <v>96</v>
      </c>
      <c r="E3266" s="159">
        <v>68</v>
      </c>
      <c r="F3266" s="131"/>
      <c r="G3266" s="132"/>
      <c r="H3266" s="162" t="s">
        <v>22626</v>
      </c>
      <c r="I3266" s="158" t="s">
        <v>22627</v>
      </c>
      <c r="J3266" s="128"/>
      <c r="K3266" s="128"/>
      <c r="L3266" s="128"/>
      <c r="M3266" s="129"/>
      <c r="N3266" s="129"/>
      <c r="O3266" s="129"/>
    </row>
    <row r="3267" spans="1:15" ht="12.5">
      <c r="A3267" s="158" t="s">
        <v>22628</v>
      </c>
      <c r="B3267" s="159">
        <v>35</v>
      </c>
      <c r="C3267" s="159">
        <v>93</v>
      </c>
      <c r="D3267" s="159">
        <v>96</v>
      </c>
      <c r="E3267" s="159">
        <v>70</v>
      </c>
      <c r="F3267" s="131"/>
      <c r="G3267" s="132"/>
      <c r="H3267" s="162" t="s">
        <v>22629</v>
      </c>
      <c r="I3267" s="158" t="s">
        <v>22630</v>
      </c>
      <c r="J3267" s="128"/>
      <c r="K3267" s="128"/>
      <c r="L3267" s="128"/>
      <c r="M3267" s="129"/>
      <c r="N3267" s="129"/>
      <c r="O3267" s="129"/>
    </row>
    <row r="3268" spans="1:15" ht="12.5">
      <c r="A3268" s="158" t="s">
        <v>22631</v>
      </c>
      <c r="B3268" s="159">
        <v>35</v>
      </c>
      <c r="C3268" s="159">
        <v>93</v>
      </c>
      <c r="D3268" s="159">
        <v>96</v>
      </c>
      <c r="E3268" s="159">
        <v>71</v>
      </c>
      <c r="F3268" s="131"/>
      <c r="G3268" s="132"/>
      <c r="H3268" s="162" t="s">
        <v>22632</v>
      </c>
      <c r="I3268" s="158" t="s">
        <v>22633</v>
      </c>
      <c r="J3268" s="128"/>
      <c r="K3268" s="128"/>
      <c r="L3268" s="128"/>
      <c r="M3268" s="129"/>
      <c r="N3268" s="129"/>
      <c r="O3268" s="129"/>
    </row>
    <row r="3269" spans="1:15" ht="12.5">
      <c r="A3269" s="158" t="s">
        <v>22634</v>
      </c>
      <c r="B3269" s="159">
        <v>35</v>
      </c>
      <c r="C3269" s="159">
        <v>93</v>
      </c>
      <c r="D3269" s="159">
        <v>96</v>
      </c>
      <c r="E3269" s="159">
        <v>72</v>
      </c>
      <c r="F3269" s="131"/>
      <c r="G3269" s="132"/>
      <c r="H3269" s="162" t="s">
        <v>22635</v>
      </c>
      <c r="I3269" s="158" t="s">
        <v>22636</v>
      </c>
      <c r="J3269" s="128"/>
      <c r="K3269" s="128"/>
      <c r="L3269" s="128"/>
      <c r="M3269" s="129"/>
      <c r="N3269" s="129"/>
      <c r="O3269" s="129"/>
    </row>
    <row r="3270" spans="1:15" ht="12.5">
      <c r="A3270" s="158" t="s">
        <v>22637</v>
      </c>
      <c r="B3270" s="159">
        <v>35</v>
      </c>
      <c r="C3270" s="159">
        <v>93</v>
      </c>
      <c r="D3270" s="159">
        <v>96</v>
      </c>
      <c r="E3270" s="159">
        <v>85</v>
      </c>
      <c r="F3270" s="131"/>
      <c r="G3270" s="132"/>
      <c r="H3270" s="162" t="s">
        <v>22638</v>
      </c>
      <c r="I3270" s="128"/>
      <c r="J3270" s="128"/>
      <c r="K3270" s="128"/>
      <c r="L3270" s="128"/>
      <c r="M3270" s="129"/>
      <c r="N3270" s="129"/>
      <c r="O3270" s="129"/>
    </row>
    <row r="3271" spans="1:15" ht="12.5">
      <c r="A3271" s="158" t="s">
        <v>22639</v>
      </c>
      <c r="B3271" s="159">
        <v>35</v>
      </c>
      <c r="C3271" s="159">
        <v>93</v>
      </c>
      <c r="D3271" s="159">
        <v>96</v>
      </c>
      <c r="E3271" s="159">
        <v>86</v>
      </c>
      <c r="F3271" s="131"/>
      <c r="G3271" s="132"/>
      <c r="H3271" s="162" t="s">
        <v>22640</v>
      </c>
      <c r="I3271" s="128"/>
      <c r="J3271" s="128"/>
      <c r="K3271" s="128"/>
      <c r="L3271" s="128"/>
      <c r="M3271" s="129"/>
      <c r="N3271" s="129"/>
      <c r="O3271" s="129"/>
    </row>
    <row r="3272" spans="1:15" ht="12.5">
      <c r="A3272" s="158" t="s">
        <v>22641</v>
      </c>
      <c r="B3272" s="159">
        <v>35</v>
      </c>
      <c r="C3272" s="159">
        <v>93</v>
      </c>
      <c r="D3272" s="159">
        <v>96</v>
      </c>
      <c r="E3272" s="159">
        <v>87</v>
      </c>
      <c r="F3272" s="131"/>
      <c r="G3272" s="132"/>
      <c r="H3272" s="162" t="s">
        <v>22642</v>
      </c>
      <c r="I3272" s="158" t="s">
        <v>22643</v>
      </c>
      <c r="J3272" s="128"/>
      <c r="K3272" s="128"/>
      <c r="L3272" s="128"/>
      <c r="M3272" s="129"/>
      <c r="N3272" s="129"/>
      <c r="O3272" s="129"/>
    </row>
    <row r="3273" spans="1:15" ht="12.5">
      <c r="A3273" s="158" t="s">
        <v>22644</v>
      </c>
      <c r="B3273" s="159">
        <v>35</v>
      </c>
      <c r="C3273" s="159">
        <v>93</v>
      </c>
      <c r="D3273" s="159">
        <v>96</v>
      </c>
      <c r="E3273" s="159">
        <v>88</v>
      </c>
      <c r="F3273" s="131"/>
      <c r="G3273" s="132"/>
      <c r="H3273" s="162" t="s">
        <v>22645</v>
      </c>
      <c r="I3273" s="158" t="s">
        <v>22646</v>
      </c>
      <c r="J3273" s="128"/>
      <c r="K3273" s="128"/>
      <c r="L3273" s="128"/>
      <c r="M3273" s="129"/>
      <c r="N3273" s="129"/>
      <c r="O3273" s="129"/>
    </row>
    <row r="3274" spans="1:15" ht="12.5">
      <c r="A3274" s="158" t="s">
        <v>22647</v>
      </c>
      <c r="B3274" s="159">
        <v>35</v>
      </c>
      <c r="C3274" s="159">
        <v>93</v>
      </c>
      <c r="D3274" s="159">
        <v>96</v>
      </c>
      <c r="E3274" s="159">
        <v>89</v>
      </c>
      <c r="F3274" s="131"/>
      <c r="G3274" s="132"/>
      <c r="H3274" s="162" t="s">
        <v>22648</v>
      </c>
      <c r="I3274" s="158" t="s">
        <v>22649</v>
      </c>
      <c r="J3274" s="128"/>
      <c r="K3274" s="128"/>
      <c r="L3274" s="128"/>
      <c r="M3274" s="129"/>
      <c r="N3274" s="129"/>
      <c r="O3274" s="129"/>
    </row>
    <row r="3275" spans="1:15" ht="12.5">
      <c r="A3275" s="158" t="s">
        <v>22650</v>
      </c>
      <c r="B3275" s="159">
        <v>35</v>
      </c>
      <c r="C3275" s="159">
        <v>93</v>
      </c>
      <c r="D3275" s="159">
        <v>96</v>
      </c>
      <c r="E3275" s="159">
        <v>90</v>
      </c>
      <c r="F3275" s="131"/>
      <c r="G3275" s="132"/>
      <c r="H3275" s="162" t="s">
        <v>22651</v>
      </c>
      <c r="I3275" s="158" t="s">
        <v>22652</v>
      </c>
      <c r="J3275" s="128"/>
      <c r="K3275" s="128"/>
      <c r="L3275" s="128"/>
      <c r="M3275" s="129"/>
      <c r="N3275" s="129"/>
      <c r="O3275" s="129"/>
    </row>
    <row r="3276" spans="1:15" ht="12.5">
      <c r="A3276" s="158" t="s">
        <v>22653</v>
      </c>
      <c r="B3276" s="159">
        <v>35</v>
      </c>
      <c r="C3276" s="159">
        <v>93</v>
      </c>
      <c r="D3276" s="159">
        <v>96</v>
      </c>
      <c r="E3276" s="159">
        <v>92</v>
      </c>
      <c r="F3276" s="131"/>
      <c r="G3276" s="132"/>
      <c r="H3276" s="162" t="s">
        <v>22654</v>
      </c>
      <c r="I3276" s="158" t="s">
        <v>22655</v>
      </c>
      <c r="J3276" s="128"/>
      <c r="K3276" s="128"/>
      <c r="L3276" s="128"/>
      <c r="M3276" s="129"/>
      <c r="N3276" s="129"/>
      <c r="O3276" s="129"/>
    </row>
    <row r="3277" spans="1:15" ht="12.5">
      <c r="A3277" s="158" t="s">
        <v>22656</v>
      </c>
      <c r="B3277" s="159">
        <v>35</v>
      </c>
      <c r="C3277" s="159">
        <v>93</v>
      </c>
      <c r="D3277" s="159">
        <v>97</v>
      </c>
      <c r="E3277" s="130"/>
      <c r="F3277" s="131"/>
      <c r="G3277" s="132"/>
      <c r="H3277" s="162" t="s">
        <v>22657</v>
      </c>
      <c r="I3277" s="128"/>
      <c r="J3277" s="128"/>
      <c r="K3277" s="128"/>
      <c r="L3277" s="128"/>
      <c r="M3277" s="129"/>
      <c r="N3277" s="129"/>
      <c r="O3277" s="129"/>
    </row>
    <row r="3278" spans="1:15" ht="12.5">
      <c r="A3278" s="158" t="s">
        <v>22658</v>
      </c>
      <c r="B3278" s="159">
        <v>35</v>
      </c>
      <c r="C3278" s="159">
        <v>93</v>
      </c>
      <c r="D3278" s="159">
        <v>97</v>
      </c>
      <c r="E3278" s="159">
        <v>15</v>
      </c>
      <c r="F3278" s="131"/>
      <c r="G3278" s="132"/>
      <c r="H3278" s="162" t="s">
        <v>22659</v>
      </c>
      <c r="I3278" s="158" t="s">
        <v>22660</v>
      </c>
      <c r="J3278" s="128"/>
      <c r="K3278" s="128"/>
      <c r="L3278" s="128"/>
      <c r="M3278" s="129"/>
      <c r="N3278" s="129"/>
      <c r="O3278" s="129"/>
    </row>
    <row r="3279" spans="1:15" ht="12.5">
      <c r="A3279" s="158" t="s">
        <v>22661</v>
      </c>
      <c r="B3279" s="159">
        <v>35</v>
      </c>
      <c r="C3279" s="159">
        <v>93</v>
      </c>
      <c r="D3279" s="159">
        <v>97</v>
      </c>
      <c r="E3279" s="159">
        <v>52</v>
      </c>
      <c r="F3279" s="131"/>
      <c r="G3279" s="132"/>
      <c r="H3279" s="162" t="s">
        <v>22662</v>
      </c>
      <c r="I3279" s="158" t="s">
        <v>22663</v>
      </c>
      <c r="J3279" s="128"/>
      <c r="K3279" s="128"/>
      <c r="L3279" s="128"/>
      <c r="M3279" s="129"/>
      <c r="N3279" s="129"/>
      <c r="O3279" s="129"/>
    </row>
    <row r="3280" spans="1:15" ht="12.5">
      <c r="A3280" s="158" t="s">
        <v>22664</v>
      </c>
      <c r="B3280" s="159">
        <v>35</v>
      </c>
      <c r="C3280" s="159">
        <v>93</v>
      </c>
      <c r="D3280" s="159">
        <v>97</v>
      </c>
      <c r="E3280" s="159">
        <v>96</v>
      </c>
      <c r="F3280" s="131"/>
      <c r="G3280" s="132"/>
      <c r="H3280" s="162" t="s">
        <v>22665</v>
      </c>
      <c r="I3280" s="158" t="s">
        <v>22666</v>
      </c>
      <c r="J3280" s="128"/>
      <c r="K3280" s="128"/>
      <c r="L3280" s="128"/>
      <c r="M3280" s="129"/>
      <c r="N3280" s="129"/>
      <c r="O3280" s="129"/>
    </row>
    <row r="3281" spans="1:15" ht="12.5">
      <c r="A3281" s="137" t="s">
        <v>22667</v>
      </c>
      <c r="B3281" s="138">
        <v>40</v>
      </c>
      <c r="C3281" s="139"/>
      <c r="D3281" s="139"/>
      <c r="E3281" s="139"/>
      <c r="F3281" s="140" t="s">
        <v>33443</v>
      </c>
      <c r="G3281" s="141"/>
      <c r="H3281" s="142" t="s">
        <v>22668</v>
      </c>
      <c r="I3281" s="143"/>
      <c r="J3281" s="143"/>
      <c r="K3281" s="143"/>
      <c r="L3281" s="143"/>
      <c r="M3281" s="192"/>
      <c r="N3281" s="192"/>
      <c r="O3281" s="192"/>
    </row>
    <row r="3282" spans="1:15" ht="12.5">
      <c r="A3282" s="144" t="s">
        <v>22669</v>
      </c>
      <c r="B3282" s="145">
        <v>40</v>
      </c>
      <c r="C3282" s="145">
        <v>10</v>
      </c>
      <c r="D3282" s="146"/>
      <c r="E3282" s="146"/>
      <c r="F3282" s="198" t="s">
        <v>33444</v>
      </c>
      <c r="G3282" s="190"/>
      <c r="H3282" s="149" t="s">
        <v>22670</v>
      </c>
      <c r="I3282" s="150"/>
      <c r="J3282" s="150"/>
      <c r="K3282" s="150"/>
      <c r="L3282" s="150"/>
      <c r="M3282" s="191"/>
      <c r="N3282" s="191"/>
      <c r="O3282" s="191"/>
    </row>
    <row r="3283" spans="1:15" ht="12.5">
      <c r="A3283" s="158" t="s">
        <v>22671</v>
      </c>
      <c r="B3283" s="159">
        <v>40</v>
      </c>
      <c r="C3283" s="159">
        <v>10</v>
      </c>
      <c r="D3283" s="159">
        <v>27</v>
      </c>
      <c r="E3283" s="130"/>
      <c r="F3283" s="131"/>
      <c r="G3283" s="132"/>
      <c r="H3283" s="162" t="s">
        <v>22672</v>
      </c>
      <c r="I3283" s="128"/>
      <c r="J3283" s="128"/>
      <c r="K3283" s="128"/>
      <c r="L3283" s="128"/>
      <c r="M3283" s="129"/>
      <c r="N3283" s="129"/>
      <c r="O3283" s="129"/>
    </row>
    <row r="3284" spans="1:15" ht="12.5">
      <c r="A3284" s="158" t="s">
        <v>22673</v>
      </c>
      <c r="B3284" s="159">
        <v>40</v>
      </c>
      <c r="C3284" s="159">
        <v>10</v>
      </c>
      <c r="D3284" s="159">
        <v>27</v>
      </c>
      <c r="E3284" s="159">
        <v>24</v>
      </c>
      <c r="F3284" s="131"/>
      <c r="G3284" s="132"/>
      <c r="H3284" s="162" t="s">
        <v>22674</v>
      </c>
      <c r="I3284" s="158" t="s">
        <v>22675</v>
      </c>
      <c r="J3284" s="128"/>
      <c r="K3284" s="128"/>
      <c r="L3284" s="128"/>
      <c r="M3284" s="129"/>
      <c r="N3284" s="129"/>
      <c r="O3284" s="129"/>
    </row>
    <row r="3285" spans="1:15" ht="12.5">
      <c r="A3285" s="158" t="s">
        <v>22676</v>
      </c>
      <c r="B3285" s="159">
        <v>40</v>
      </c>
      <c r="C3285" s="159">
        <v>10</v>
      </c>
      <c r="D3285" s="159">
        <v>27</v>
      </c>
      <c r="E3285" s="159">
        <v>27</v>
      </c>
      <c r="F3285" s="131"/>
      <c r="G3285" s="132"/>
      <c r="H3285" s="162" t="s">
        <v>22677</v>
      </c>
      <c r="I3285" s="158" t="s">
        <v>22678</v>
      </c>
      <c r="J3285" s="128"/>
      <c r="K3285" s="128"/>
      <c r="L3285" s="128"/>
      <c r="M3285" s="129"/>
      <c r="N3285" s="129"/>
      <c r="O3285" s="129"/>
    </row>
    <row r="3286" spans="1:15" ht="12.5">
      <c r="A3286" s="158" t="s">
        <v>22679</v>
      </c>
      <c r="B3286" s="159">
        <v>40</v>
      </c>
      <c r="C3286" s="159">
        <v>10</v>
      </c>
      <c r="D3286" s="159">
        <v>27</v>
      </c>
      <c r="E3286" s="159">
        <v>28</v>
      </c>
      <c r="F3286" s="131"/>
      <c r="G3286" s="132"/>
      <c r="H3286" s="162" t="s">
        <v>22680</v>
      </c>
      <c r="I3286" s="158" t="s">
        <v>22681</v>
      </c>
      <c r="J3286" s="128"/>
      <c r="K3286" s="128"/>
      <c r="L3286" s="128"/>
      <c r="M3286" s="129"/>
      <c r="N3286" s="129"/>
      <c r="O3286" s="129"/>
    </row>
    <row r="3287" spans="1:15" ht="12.5">
      <c r="A3287" s="158" t="s">
        <v>22682</v>
      </c>
      <c r="B3287" s="159">
        <v>40</v>
      </c>
      <c r="C3287" s="159">
        <v>10</v>
      </c>
      <c r="D3287" s="159">
        <v>27</v>
      </c>
      <c r="E3287" s="159">
        <v>43</v>
      </c>
      <c r="F3287" s="131"/>
      <c r="G3287" s="132"/>
      <c r="H3287" s="162" t="s">
        <v>22683</v>
      </c>
      <c r="I3287" s="158" t="s">
        <v>22684</v>
      </c>
      <c r="J3287" s="128"/>
      <c r="K3287" s="128"/>
      <c r="L3287" s="128"/>
      <c r="M3287" s="129"/>
      <c r="N3287" s="129"/>
      <c r="O3287" s="129"/>
    </row>
    <row r="3288" spans="1:15" ht="12.5">
      <c r="A3288" s="158" t="s">
        <v>22685</v>
      </c>
      <c r="B3288" s="159">
        <v>40</v>
      </c>
      <c r="C3288" s="159">
        <v>10</v>
      </c>
      <c r="D3288" s="159">
        <v>27</v>
      </c>
      <c r="E3288" s="159">
        <v>62</v>
      </c>
      <c r="F3288" s="131"/>
      <c r="G3288" s="132"/>
      <c r="H3288" s="162" t="s">
        <v>22686</v>
      </c>
      <c r="I3288" s="158" t="s">
        <v>22687</v>
      </c>
      <c r="J3288" s="128"/>
      <c r="K3288" s="128"/>
      <c r="L3288" s="128"/>
      <c r="M3288" s="129"/>
      <c r="N3288" s="129"/>
      <c r="O3288" s="129"/>
    </row>
    <row r="3289" spans="1:15" ht="12.5">
      <c r="A3289" s="158" t="s">
        <v>22688</v>
      </c>
      <c r="B3289" s="159">
        <v>40</v>
      </c>
      <c r="C3289" s="159">
        <v>10</v>
      </c>
      <c r="D3289" s="159">
        <v>27</v>
      </c>
      <c r="E3289" s="159">
        <v>63</v>
      </c>
      <c r="F3289" s="131"/>
      <c r="G3289" s="132"/>
      <c r="H3289" s="162" t="s">
        <v>22689</v>
      </c>
      <c r="I3289" s="158" t="s">
        <v>22690</v>
      </c>
      <c r="J3289" s="128"/>
      <c r="K3289" s="128"/>
      <c r="L3289" s="128"/>
      <c r="M3289" s="129"/>
      <c r="N3289" s="129"/>
      <c r="O3289" s="129"/>
    </row>
    <row r="3290" spans="1:15" ht="12.5">
      <c r="A3290" s="158" t="s">
        <v>22691</v>
      </c>
      <c r="B3290" s="159">
        <v>40</v>
      </c>
      <c r="C3290" s="159">
        <v>10</v>
      </c>
      <c r="D3290" s="159">
        <v>27</v>
      </c>
      <c r="E3290" s="159">
        <v>86</v>
      </c>
      <c r="F3290" s="131"/>
      <c r="G3290" s="132"/>
      <c r="H3290" s="162" t="s">
        <v>22692</v>
      </c>
      <c r="I3290" s="158" t="s">
        <v>22693</v>
      </c>
      <c r="J3290" s="128"/>
      <c r="K3290" s="128"/>
      <c r="L3290" s="128"/>
      <c r="M3290" s="129"/>
      <c r="N3290" s="129"/>
      <c r="O3290" s="129"/>
    </row>
    <row r="3291" spans="1:15" ht="12.5">
      <c r="A3291" s="158" t="s">
        <v>22694</v>
      </c>
      <c r="B3291" s="159">
        <v>40</v>
      </c>
      <c r="C3291" s="159">
        <v>10</v>
      </c>
      <c r="D3291" s="159">
        <v>27</v>
      </c>
      <c r="E3291" s="159">
        <v>88</v>
      </c>
      <c r="F3291" s="131"/>
      <c r="G3291" s="132"/>
      <c r="H3291" s="162" t="s">
        <v>22695</v>
      </c>
      <c r="I3291" s="158" t="s">
        <v>22696</v>
      </c>
      <c r="J3291" s="128"/>
      <c r="K3291" s="128"/>
      <c r="L3291" s="128"/>
      <c r="M3291" s="129"/>
      <c r="N3291" s="129"/>
      <c r="O3291" s="129"/>
    </row>
    <row r="3292" spans="1:15" ht="12.5">
      <c r="A3292" s="158" t="s">
        <v>22697</v>
      </c>
      <c r="B3292" s="159">
        <v>40</v>
      </c>
      <c r="C3292" s="159">
        <v>10</v>
      </c>
      <c r="D3292" s="159">
        <v>27</v>
      </c>
      <c r="E3292" s="159">
        <v>91</v>
      </c>
      <c r="F3292" s="131"/>
      <c r="G3292" s="132"/>
      <c r="H3292" s="162" t="s">
        <v>22698</v>
      </c>
      <c r="I3292" s="128"/>
      <c r="J3292" s="128"/>
      <c r="K3292" s="128"/>
      <c r="L3292" s="128"/>
      <c r="M3292" s="129"/>
      <c r="N3292" s="129"/>
      <c r="O3292" s="129"/>
    </row>
    <row r="3293" spans="1:15" ht="12.5">
      <c r="A3293" s="158" t="s">
        <v>22699</v>
      </c>
      <c r="B3293" s="159">
        <v>40</v>
      </c>
      <c r="C3293" s="159">
        <v>10</v>
      </c>
      <c r="D3293" s="159">
        <v>57</v>
      </c>
      <c r="E3293" s="130"/>
      <c r="F3293" s="131"/>
      <c r="G3293" s="132"/>
      <c r="H3293" s="162" t="s">
        <v>22700</v>
      </c>
      <c r="I3293" s="128"/>
      <c r="J3293" s="128"/>
      <c r="K3293" s="128"/>
      <c r="L3293" s="128"/>
      <c r="M3293" s="129"/>
      <c r="N3293" s="129"/>
      <c r="O3293" s="129"/>
    </row>
    <row r="3294" spans="1:15" ht="12.5">
      <c r="A3294" s="158" t="s">
        <v>22701</v>
      </c>
      <c r="B3294" s="159">
        <v>40</v>
      </c>
      <c r="C3294" s="159">
        <v>10</v>
      </c>
      <c r="D3294" s="159">
        <v>57</v>
      </c>
      <c r="E3294" s="159">
        <v>10</v>
      </c>
      <c r="F3294" s="131"/>
      <c r="G3294" s="132"/>
      <c r="H3294" s="162" t="s">
        <v>22702</v>
      </c>
      <c r="I3294" s="128"/>
      <c r="J3294" s="128"/>
      <c r="K3294" s="128"/>
      <c r="L3294" s="128"/>
      <c r="M3294" s="129"/>
      <c r="N3294" s="129"/>
      <c r="O3294" s="129"/>
    </row>
    <row r="3295" spans="1:15" ht="12.5">
      <c r="A3295" s="158" t="s">
        <v>22705</v>
      </c>
      <c r="B3295" s="159">
        <v>40</v>
      </c>
      <c r="C3295" s="159">
        <v>10</v>
      </c>
      <c r="D3295" s="159">
        <v>57</v>
      </c>
      <c r="E3295" s="159">
        <v>15</v>
      </c>
      <c r="F3295" s="131"/>
      <c r="G3295" s="132"/>
      <c r="H3295" s="162" t="s">
        <v>22706</v>
      </c>
      <c r="I3295" s="128"/>
      <c r="J3295" s="128"/>
      <c r="K3295" s="128"/>
      <c r="L3295" s="128"/>
      <c r="M3295" s="129"/>
      <c r="N3295" s="129"/>
      <c r="O3295" s="129"/>
    </row>
    <row r="3296" spans="1:15" ht="12.5">
      <c r="A3296" s="158" t="s">
        <v>22709</v>
      </c>
      <c r="B3296" s="159">
        <v>40</v>
      </c>
      <c r="C3296" s="159">
        <v>10</v>
      </c>
      <c r="D3296" s="159">
        <v>57</v>
      </c>
      <c r="E3296" s="159">
        <v>24</v>
      </c>
      <c r="F3296" s="131"/>
      <c r="G3296" s="132"/>
      <c r="H3296" s="162" t="s">
        <v>22710</v>
      </c>
      <c r="I3296" s="158" t="s">
        <v>22711</v>
      </c>
      <c r="J3296" s="128"/>
      <c r="K3296" s="128"/>
      <c r="L3296" s="128"/>
      <c r="M3296" s="129"/>
      <c r="N3296" s="129"/>
      <c r="O3296" s="129"/>
    </row>
    <row r="3297" spans="1:15" ht="12.5">
      <c r="A3297" s="158" t="s">
        <v>22712</v>
      </c>
      <c r="B3297" s="159">
        <v>40</v>
      </c>
      <c r="C3297" s="159">
        <v>10</v>
      </c>
      <c r="D3297" s="159">
        <v>57</v>
      </c>
      <c r="E3297" s="159">
        <v>26</v>
      </c>
      <c r="F3297" s="131"/>
      <c r="G3297" s="132"/>
      <c r="H3297" s="162" t="s">
        <v>22713</v>
      </c>
      <c r="I3297" s="158" t="s">
        <v>22714</v>
      </c>
      <c r="J3297" s="128"/>
      <c r="K3297" s="128"/>
      <c r="L3297" s="128"/>
      <c r="M3297" s="129"/>
      <c r="N3297" s="129"/>
      <c r="O3297" s="129"/>
    </row>
    <row r="3298" spans="1:15" ht="12.5">
      <c r="A3298" s="158" t="s">
        <v>22715</v>
      </c>
      <c r="B3298" s="159">
        <v>40</v>
      </c>
      <c r="C3298" s="159">
        <v>10</v>
      </c>
      <c r="D3298" s="159">
        <v>57</v>
      </c>
      <c r="E3298" s="159">
        <v>27</v>
      </c>
      <c r="F3298" s="131"/>
      <c r="G3298" s="132"/>
      <c r="H3298" s="162" t="s">
        <v>22716</v>
      </c>
      <c r="I3298" s="158" t="s">
        <v>22717</v>
      </c>
      <c r="J3298" s="128"/>
      <c r="K3298" s="128"/>
      <c r="L3298" s="128"/>
      <c r="M3298" s="129"/>
      <c r="N3298" s="129"/>
      <c r="O3298" s="129"/>
    </row>
    <row r="3299" spans="1:15" ht="12.5">
      <c r="A3299" s="158" t="s">
        <v>22718</v>
      </c>
      <c r="B3299" s="159">
        <v>40</v>
      </c>
      <c r="C3299" s="159">
        <v>10</v>
      </c>
      <c r="D3299" s="159">
        <v>57</v>
      </c>
      <c r="E3299" s="159">
        <v>28</v>
      </c>
      <c r="F3299" s="131"/>
      <c r="G3299" s="132"/>
      <c r="H3299" s="162" t="s">
        <v>22719</v>
      </c>
      <c r="I3299" s="158" t="s">
        <v>22720</v>
      </c>
      <c r="J3299" s="128"/>
      <c r="K3299" s="128"/>
      <c r="L3299" s="128"/>
      <c r="M3299" s="129"/>
      <c r="N3299" s="129"/>
      <c r="O3299" s="129"/>
    </row>
    <row r="3300" spans="1:15" ht="12.5">
      <c r="A3300" s="158" t="s">
        <v>22721</v>
      </c>
      <c r="B3300" s="159">
        <v>40</v>
      </c>
      <c r="C3300" s="159">
        <v>10</v>
      </c>
      <c r="D3300" s="159">
        <v>57</v>
      </c>
      <c r="E3300" s="159">
        <v>29</v>
      </c>
      <c r="F3300" s="131"/>
      <c r="G3300" s="132"/>
      <c r="H3300" s="162" t="s">
        <v>22722</v>
      </c>
      <c r="I3300" s="158" t="s">
        <v>22723</v>
      </c>
      <c r="J3300" s="128"/>
      <c r="K3300" s="128"/>
      <c r="L3300" s="128"/>
      <c r="M3300" s="129"/>
      <c r="N3300" s="129"/>
      <c r="O3300" s="129"/>
    </row>
    <row r="3301" spans="1:15" ht="12.5">
      <c r="A3301" s="158" t="s">
        <v>22724</v>
      </c>
      <c r="B3301" s="159">
        <v>40</v>
      </c>
      <c r="C3301" s="159">
        <v>10</v>
      </c>
      <c r="D3301" s="159">
        <v>57</v>
      </c>
      <c r="E3301" s="159">
        <v>32</v>
      </c>
      <c r="F3301" s="131"/>
      <c r="G3301" s="132"/>
      <c r="H3301" s="162" t="s">
        <v>22725</v>
      </c>
      <c r="I3301" s="158" t="s">
        <v>22726</v>
      </c>
      <c r="J3301" s="128"/>
      <c r="K3301" s="128"/>
      <c r="L3301" s="128"/>
      <c r="M3301" s="129"/>
      <c r="N3301" s="129"/>
      <c r="O3301" s="129"/>
    </row>
    <row r="3302" spans="1:15" ht="12.5">
      <c r="A3302" s="158" t="s">
        <v>22727</v>
      </c>
      <c r="B3302" s="159">
        <v>40</v>
      </c>
      <c r="C3302" s="159">
        <v>10</v>
      </c>
      <c r="D3302" s="159">
        <v>57</v>
      </c>
      <c r="E3302" s="159">
        <v>36</v>
      </c>
      <c r="F3302" s="131"/>
      <c r="G3302" s="132"/>
      <c r="H3302" s="162" t="s">
        <v>22728</v>
      </c>
      <c r="I3302" s="128"/>
      <c r="J3302" s="128"/>
      <c r="K3302" s="128"/>
      <c r="L3302" s="128"/>
      <c r="M3302" s="129"/>
      <c r="N3302" s="129"/>
      <c r="O3302" s="129"/>
    </row>
    <row r="3303" spans="1:15" ht="12.5">
      <c r="A3303" s="158" t="s">
        <v>22729</v>
      </c>
      <c r="B3303" s="159">
        <v>40</v>
      </c>
      <c r="C3303" s="159">
        <v>10</v>
      </c>
      <c r="D3303" s="159">
        <v>57</v>
      </c>
      <c r="E3303" s="159">
        <v>39</v>
      </c>
      <c r="F3303" s="131"/>
      <c r="G3303" s="132"/>
      <c r="H3303" s="162" t="s">
        <v>22730</v>
      </c>
      <c r="I3303" s="158" t="s">
        <v>22731</v>
      </c>
      <c r="J3303" s="128"/>
      <c r="K3303" s="128"/>
      <c r="L3303" s="128"/>
      <c r="M3303" s="129"/>
      <c r="N3303" s="129"/>
      <c r="O3303" s="129"/>
    </row>
    <row r="3304" spans="1:15" ht="12.5">
      <c r="A3304" s="158" t="s">
        <v>22732</v>
      </c>
      <c r="B3304" s="159">
        <v>40</v>
      </c>
      <c r="C3304" s="159">
        <v>10</v>
      </c>
      <c r="D3304" s="159">
        <v>57</v>
      </c>
      <c r="E3304" s="159">
        <v>40</v>
      </c>
      <c r="F3304" s="131"/>
      <c r="G3304" s="132"/>
      <c r="H3304" s="162" t="s">
        <v>22733</v>
      </c>
      <c r="I3304" s="128"/>
      <c r="J3304" s="128"/>
      <c r="K3304" s="128"/>
      <c r="L3304" s="128"/>
      <c r="M3304" s="129"/>
      <c r="N3304" s="129"/>
      <c r="O3304" s="129"/>
    </row>
    <row r="3305" spans="1:15" ht="12.5">
      <c r="A3305" s="158" t="s">
        <v>22734</v>
      </c>
      <c r="B3305" s="159">
        <v>40</v>
      </c>
      <c r="C3305" s="159">
        <v>10</v>
      </c>
      <c r="D3305" s="159">
        <v>57</v>
      </c>
      <c r="E3305" s="159">
        <v>50</v>
      </c>
      <c r="F3305" s="131"/>
      <c r="G3305" s="132"/>
      <c r="H3305" s="162" t="s">
        <v>22735</v>
      </c>
      <c r="I3305" s="128"/>
      <c r="J3305" s="128"/>
      <c r="K3305" s="128"/>
      <c r="L3305" s="128"/>
      <c r="M3305" s="129"/>
      <c r="N3305" s="129"/>
      <c r="O3305" s="129"/>
    </row>
    <row r="3306" spans="1:15" ht="12.5">
      <c r="A3306" s="158" t="s">
        <v>22736</v>
      </c>
      <c r="B3306" s="159">
        <v>40</v>
      </c>
      <c r="C3306" s="159">
        <v>10</v>
      </c>
      <c r="D3306" s="159">
        <v>57</v>
      </c>
      <c r="E3306" s="159">
        <v>52</v>
      </c>
      <c r="F3306" s="131"/>
      <c r="G3306" s="132"/>
      <c r="H3306" s="162" t="s">
        <v>22737</v>
      </c>
      <c r="I3306" s="158" t="s">
        <v>22738</v>
      </c>
      <c r="J3306" s="128"/>
      <c r="K3306" s="128"/>
      <c r="L3306" s="128"/>
      <c r="M3306" s="129"/>
      <c r="N3306" s="129"/>
      <c r="O3306" s="129"/>
    </row>
    <row r="3307" spans="1:15" ht="12.5">
      <c r="A3307" s="158" t="s">
        <v>22739</v>
      </c>
      <c r="B3307" s="159">
        <v>40</v>
      </c>
      <c r="C3307" s="159">
        <v>10</v>
      </c>
      <c r="D3307" s="159">
        <v>57</v>
      </c>
      <c r="E3307" s="159">
        <v>56</v>
      </c>
      <c r="F3307" s="131"/>
      <c r="G3307" s="132"/>
      <c r="H3307" s="162" t="s">
        <v>22740</v>
      </c>
      <c r="I3307" s="128"/>
      <c r="J3307" s="128"/>
      <c r="K3307" s="128"/>
      <c r="L3307" s="128"/>
      <c r="M3307" s="129"/>
      <c r="N3307" s="129"/>
      <c r="O3307" s="129"/>
    </row>
    <row r="3308" spans="1:15" ht="12.5">
      <c r="A3308" s="158" t="s">
        <v>22741</v>
      </c>
      <c r="B3308" s="159">
        <v>40</v>
      </c>
      <c r="C3308" s="159">
        <v>10</v>
      </c>
      <c r="D3308" s="159">
        <v>57</v>
      </c>
      <c r="E3308" s="159">
        <v>60</v>
      </c>
      <c r="F3308" s="131"/>
      <c r="G3308" s="132"/>
      <c r="H3308" s="162" t="s">
        <v>22742</v>
      </c>
      <c r="I3308" s="158" t="s">
        <v>22717</v>
      </c>
      <c r="J3308" s="128"/>
      <c r="K3308" s="128"/>
      <c r="L3308" s="128"/>
      <c r="M3308" s="129"/>
      <c r="N3308" s="129"/>
      <c r="O3308" s="129"/>
    </row>
    <row r="3309" spans="1:15" ht="12.5">
      <c r="A3309" s="158" t="s">
        <v>22743</v>
      </c>
      <c r="B3309" s="159">
        <v>40</v>
      </c>
      <c r="C3309" s="159">
        <v>10</v>
      </c>
      <c r="D3309" s="159">
        <v>57</v>
      </c>
      <c r="E3309" s="159">
        <v>63</v>
      </c>
      <c r="F3309" s="131"/>
      <c r="G3309" s="132"/>
      <c r="H3309" s="162" t="s">
        <v>22744</v>
      </c>
      <c r="I3309" s="158" t="s">
        <v>22745</v>
      </c>
      <c r="J3309" s="128"/>
      <c r="K3309" s="128"/>
      <c r="L3309" s="128"/>
      <c r="M3309" s="129"/>
      <c r="N3309" s="129"/>
      <c r="O3309" s="129"/>
    </row>
    <row r="3310" spans="1:15" ht="12.5">
      <c r="A3310" s="158" t="s">
        <v>22746</v>
      </c>
      <c r="B3310" s="159">
        <v>40</v>
      </c>
      <c r="C3310" s="159">
        <v>10</v>
      </c>
      <c r="D3310" s="159">
        <v>57</v>
      </c>
      <c r="E3310" s="159">
        <v>64</v>
      </c>
      <c r="F3310" s="131"/>
      <c r="G3310" s="132"/>
      <c r="H3310" s="162" t="s">
        <v>22747</v>
      </c>
      <c r="I3310" s="158" t="s">
        <v>22748</v>
      </c>
      <c r="J3310" s="128"/>
      <c r="K3310" s="128"/>
      <c r="L3310" s="128"/>
      <c r="M3310" s="129"/>
      <c r="N3310" s="129"/>
      <c r="O3310" s="129"/>
    </row>
    <row r="3311" spans="1:15" ht="12.5">
      <c r="A3311" s="158" t="s">
        <v>22749</v>
      </c>
      <c r="B3311" s="159">
        <v>40</v>
      </c>
      <c r="C3311" s="159">
        <v>10</v>
      </c>
      <c r="D3311" s="159">
        <v>57</v>
      </c>
      <c r="E3311" s="159">
        <v>65</v>
      </c>
      <c r="F3311" s="131"/>
      <c r="G3311" s="132"/>
      <c r="H3311" s="162" t="s">
        <v>22750</v>
      </c>
      <c r="I3311" s="158" t="s">
        <v>22738</v>
      </c>
      <c r="J3311" s="128"/>
      <c r="K3311" s="128"/>
      <c r="L3311" s="128"/>
      <c r="M3311" s="129"/>
      <c r="N3311" s="129"/>
      <c r="O3311" s="129"/>
    </row>
    <row r="3312" spans="1:15" ht="12.5">
      <c r="A3312" s="158" t="s">
        <v>22751</v>
      </c>
      <c r="B3312" s="159">
        <v>40</v>
      </c>
      <c r="C3312" s="159">
        <v>10</v>
      </c>
      <c r="D3312" s="159">
        <v>57</v>
      </c>
      <c r="E3312" s="159">
        <v>66</v>
      </c>
      <c r="F3312" s="131"/>
      <c r="G3312" s="132"/>
      <c r="H3312" s="162" t="s">
        <v>22752</v>
      </c>
      <c r="I3312" s="158" t="s">
        <v>22753</v>
      </c>
      <c r="J3312" s="128"/>
      <c r="K3312" s="128"/>
      <c r="L3312" s="128"/>
      <c r="M3312" s="129"/>
      <c r="N3312" s="129"/>
      <c r="O3312" s="129"/>
    </row>
    <row r="3313" spans="1:15" ht="12.5">
      <c r="A3313" s="158" t="s">
        <v>22754</v>
      </c>
      <c r="B3313" s="159">
        <v>40</v>
      </c>
      <c r="C3313" s="159">
        <v>10</v>
      </c>
      <c r="D3313" s="159">
        <v>57</v>
      </c>
      <c r="E3313" s="159">
        <v>67</v>
      </c>
      <c r="F3313" s="131"/>
      <c r="G3313" s="132"/>
      <c r="H3313" s="162" t="s">
        <v>22755</v>
      </c>
      <c r="I3313" s="128"/>
      <c r="J3313" s="128"/>
      <c r="K3313" s="128"/>
      <c r="L3313" s="128"/>
      <c r="M3313" s="129"/>
      <c r="N3313" s="129"/>
      <c r="O3313" s="129"/>
    </row>
    <row r="3314" spans="1:15" ht="12.5">
      <c r="A3314" s="158" t="s">
        <v>22760</v>
      </c>
      <c r="B3314" s="159">
        <v>40</v>
      </c>
      <c r="C3314" s="159">
        <v>10</v>
      </c>
      <c r="D3314" s="159">
        <v>57</v>
      </c>
      <c r="E3314" s="159">
        <v>76</v>
      </c>
      <c r="F3314" s="131"/>
      <c r="G3314" s="132"/>
      <c r="H3314" s="162" t="s">
        <v>22761</v>
      </c>
      <c r="I3314" s="158" t="s">
        <v>22714</v>
      </c>
      <c r="J3314" s="128"/>
      <c r="K3314" s="128"/>
      <c r="L3314" s="128"/>
      <c r="M3314" s="129"/>
      <c r="N3314" s="129"/>
      <c r="O3314" s="129"/>
    </row>
    <row r="3315" spans="1:15" ht="12.5">
      <c r="A3315" s="158" t="s">
        <v>22762</v>
      </c>
      <c r="B3315" s="159">
        <v>40</v>
      </c>
      <c r="C3315" s="159">
        <v>10</v>
      </c>
      <c r="D3315" s="159">
        <v>57</v>
      </c>
      <c r="E3315" s="159">
        <v>77</v>
      </c>
      <c r="F3315" s="131"/>
      <c r="G3315" s="132"/>
      <c r="H3315" s="162" t="s">
        <v>22763</v>
      </c>
      <c r="I3315" s="158" t="s">
        <v>22720</v>
      </c>
      <c r="J3315" s="128"/>
      <c r="K3315" s="128"/>
      <c r="L3315" s="128"/>
      <c r="M3315" s="129"/>
      <c r="N3315" s="129"/>
      <c r="O3315" s="129"/>
    </row>
    <row r="3316" spans="1:15" ht="12.5">
      <c r="A3316" s="158" t="s">
        <v>22764</v>
      </c>
      <c r="B3316" s="159">
        <v>40</v>
      </c>
      <c r="C3316" s="159">
        <v>10</v>
      </c>
      <c r="D3316" s="159">
        <v>57</v>
      </c>
      <c r="E3316" s="159">
        <v>78</v>
      </c>
      <c r="F3316" s="131"/>
      <c r="G3316" s="132"/>
      <c r="H3316" s="162" t="s">
        <v>22765</v>
      </c>
      <c r="I3316" s="158" t="s">
        <v>22766</v>
      </c>
      <c r="J3316" s="128"/>
      <c r="K3316" s="128"/>
      <c r="L3316" s="128"/>
      <c r="M3316" s="129"/>
      <c r="N3316" s="129"/>
      <c r="O3316" s="129"/>
    </row>
    <row r="3317" spans="1:15" ht="12.5">
      <c r="A3317" s="158" t="s">
        <v>22767</v>
      </c>
      <c r="B3317" s="159">
        <v>40</v>
      </c>
      <c r="C3317" s="159">
        <v>10</v>
      </c>
      <c r="D3317" s="159">
        <v>57</v>
      </c>
      <c r="E3317" s="159">
        <v>79</v>
      </c>
      <c r="F3317" s="131"/>
      <c r="G3317" s="132"/>
      <c r="H3317" s="162" t="s">
        <v>22768</v>
      </c>
      <c r="I3317" s="158" t="s">
        <v>22738</v>
      </c>
      <c r="J3317" s="128"/>
      <c r="K3317" s="128"/>
      <c r="L3317" s="128"/>
      <c r="M3317" s="129"/>
      <c r="N3317" s="129"/>
      <c r="O3317" s="129"/>
    </row>
    <row r="3318" spans="1:15" ht="12.5">
      <c r="A3318" s="158" t="s">
        <v>22769</v>
      </c>
      <c r="B3318" s="159">
        <v>40</v>
      </c>
      <c r="C3318" s="159">
        <v>10</v>
      </c>
      <c r="D3318" s="159">
        <v>57</v>
      </c>
      <c r="E3318" s="159">
        <v>96</v>
      </c>
      <c r="F3318" s="131"/>
      <c r="G3318" s="132"/>
      <c r="H3318" s="162" t="s">
        <v>22770</v>
      </c>
      <c r="I3318" s="158" t="s">
        <v>22771</v>
      </c>
      <c r="J3318" s="128"/>
      <c r="K3318" s="128"/>
      <c r="L3318" s="128"/>
      <c r="M3318" s="129"/>
      <c r="N3318" s="129"/>
      <c r="O3318" s="129"/>
    </row>
    <row r="3319" spans="1:15" ht="12.5">
      <c r="A3319" s="158" t="s">
        <v>22772</v>
      </c>
      <c r="B3319" s="159">
        <v>40</v>
      </c>
      <c r="C3319" s="159">
        <v>10</v>
      </c>
      <c r="D3319" s="159">
        <v>57</v>
      </c>
      <c r="E3319" s="159">
        <v>97</v>
      </c>
      <c r="F3319" s="131"/>
      <c r="G3319" s="132"/>
      <c r="H3319" s="162" t="s">
        <v>22773</v>
      </c>
      <c r="I3319" s="158" t="s">
        <v>22774</v>
      </c>
      <c r="J3319" s="128"/>
      <c r="K3319" s="128"/>
      <c r="L3319" s="128"/>
      <c r="M3319" s="129"/>
      <c r="N3319" s="129"/>
      <c r="O3319" s="129"/>
    </row>
    <row r="3320" spans="1:15" ht="12.5">
      <c r="A3320" s="158" t="s">
        <v>22775</v>
      </c>
      <c r="B3320" s="159">
        <v>40</v>
      </c>
      <c r="C3320" s="159">
        <v>10</v>
      </c>
      <c r="D3320" s="159">
        <v>57</v>
      </c>
      <c r="E3320" s="159">
        <v>98</v>
      </c>
      <c r="F3320" s="131"/>
      <c r="G3320" s="132"/>
      <c r="H3320" s="162" t="s">
        <v>22776</v>
      </c>
      <c r="I3320" s="158" t="s">
        <v>22777</v>
      </c>
      <c r="J3320" s="128"/>
      <c r="K3320" s="128"/>
      <c r="L3320" s="128"/>
      <c r="M3320" s="129"/>
      <c r="N3320" s="129"/>
      <c r="O3320" s="129"/>
    </row>
    <row r="3321" spans="1:15" ht="12.5">
      <c r="A3321" s="158" t="s">
        <v>22780</v>
      </c>
      <c r="B3321" s="159">
        <v>40</v>
      </c>
      <c r="C3321" s="159">
        <v>10</v>
      </c>
      <c r="D3321" s="159">
        <v>77</v>
      </c>
      <c r="E3321" s="130"/>
      <c r="F3321" s="131"/>
      <c r="G3321" s="132"/>
      <c r="H3321" s="162" t="s">
        <v>22781</v>
      </c>
      <c r="I3321" s="128"/>
      <c r="J3321" s="128"/>
      <c r="K3321" s="128"/>
      <c r="L3321" s="128"/>
      <c r="M3321" s="129"/>
      <c r="N3321" s="129"/>
      <c r="O3321" s="129"/>
    </row>
    <row r="3322" spans="1:15" ht="12.5">
      <c r="A3322" s="158" t="s">
        <v>22782</v>
      </c>
      <c r="B3322" s="159">
        <v>40</v>
      </c>
      <c r="C3322" s="159">
        <v>10</v>
      </c>
      <c r="D3322" s="159">
        <v>77</v>
      </c>
      <c r="E3322" s="159">
        <v>2</v>
      </c>
      <c r="F3322" s="131"/>
      <c r="G3322" s="132"/>
      <c r="H3322" s="162" t="s">
        <v>22783</v>
      </c>
      <c r="I3322" s="158" t="s">
        <v>22784</v>
      </c>
      <c r="J3322" s="128"/>
      <c r="K3322" s="128"/>
      <c r="L3322" s="128"/>
      <c r="M3322" s="129"/>
      <c r="N3322" s="129"/>
      <c r="O3322" s="129"/>
    </row>
    <row r="3323" spans="1:15" ht="12.5">
      <c r="A3323" s="158" t="s">
        <v>22785</v>
      </c>
      <c r="B3323" s="159">
        <v>40</v>
      </c>
      <c r="C3323" s="159">
        <v>10</v>
      </c>
      <c r="D3323" s="159">
        <v>77</v>
      </c>
      <c r="E3323" s="159">
        <v>4</v>
      </c>
      <c r="F3323" s="131"/>
      <c r="G3323" s="132"/>
      <c r="H3323" s="162" t="s">
        <v>22786</v>
      </c>
      <c r="I3323" s="158" t="s">
        <v>22787</v>
      </c>
      <c r="J3323" s="128"/>
      <c r="K3323" s="128"/>
      <c r="L3323" s="128"/>
      <c r="M3323" s="129"/>
      <c r="N3323" s="129"/>
      <c r="O3323" s="129"/>
    </row>
    <row r="3324" spans="1:15" ht="12.5">
      <c r="A3324" s="158" t="s">
        <v>22788</v>
      </c>
      <c r="B3324" s="159">
        <v>40</v>
      </c>
      <c r="C3324" s="159">
        <v>10</v>
      </c>
      <c r="D3324" s="159">
        <v>77</v>
      </c>
      <c r="E3324" s="159">
        <v>5</v>
      </c>
      <c r="F3324" s="131"/>
      <c r="G3324" s="132"/>
      <c r="H3324" s="162" t="s">
        <v>22789</v>
      </c>
      <c r="I3324" s="158" t="s">
        <v>33445</v>
      </c>
      <c r="J3324" s="128"/>
      <c r="K3324" s="128"/>
      <c r="L3324" s="128"/>
      <c r="M3324" s="129"/>
      <c r="N3324" s="129"/>
      <c r="O3324" s="129"/>
    </row>
    <row r="3325" spans="1:15" ht="12.5">
      <c r="A3325" s="158" t="s">
        <v>22790</v>
      </c>
      <c r="B3325" s="159">
        <v>40</v>
      </c>
      <c r="C3325" s="159">
        <v>10</v>
      </c>
      <c r="D3325" s="159">
        <v>77</v>
      </c>
      <c r="E3325" s="159">
        <v>6</v>
      </c>
      <c r="F3325" s="131"/>
      <c r="G3325" s="132"/>
      <c r="H3325" s="162" t="s">
        <v>22791</v>
      </c>
      <c r="I3325" s="158" t="s">
        <v>22792</v>
      </c>
      <c r="J3325" s="128"/>
      <c r="K3325" s="128"/>
      <c r="L3325" s="128"/>
      <c r="M3325" s="129"/>
      <c r="N3325" s="129"/>
      <c r="O3325" s="129"/>
    </row>
    <row r="3326" spans="1:15" ht="12.5">
      <c r="A3326" s="158" t="s">
        <v>22795</v>
      </c>
      <c r="B3326" s="159">
        <v>40</v>
      </c>
      <c r="C3326" s="159">
        <v>10</v>
      </c>
      <c r="D3326" s="159">
        <v>77</v>
      </c>
      <c r="E3326" s="159">
        <v>8</v>
      </c>
      <c r="F3326" s="131"/>
      <c r="G3326" s="132"/>
      <c r="H3326" s="162" t="s">
        <v>22796</v>
      </c>
      <c r="I3326" s="128"/>
      <c r="J3326" s="128"/>
      <c r="K3326" s="128"/>
      <c r="L3326" s="128"/>
      <c r="M3326" s="129"/>
      <c r="N3326" s="129"/>
      <c r="O3326" s="129"/>
    </row>
    <row r="3327" spans="1:15" ht="12.5">
      <c r="A3327" s="158" t="s">
        <v>22797</v>
      </c>
      <c r="B3327" s="159">
        <v>40</v>
      </c>
      <c r="C3327" s="159">
        <v>10</v>
      </c>
      <c r="D3327" s="159">
        <v>77</v>
      </c>
      <c r="E3327" s="159">
        <v>11</v>
      </c>
      <c r="F3327" s="131"/>
      <c r="G3327" s="132"/>
      <c r="H3327" s="162" t="s">
        <v>22798</v>
      </c>
      <c r="I3327" s="158" t="s">
        <v>22799</v>
      </c>
      <c r="J3327" s="128"/>
      <c r="K3327" s="128"/>
      <c r="L3327" s="128"/>
      <c r="M3327" s="129"/>
      <c r="N3327" s="129"/>
      <c r="O3327" s="129"/>
    </row>
    <row r="3328" spans="1:15" ht="12.5">
      <c r="A3328" s="158" t="s">
        <v>22800</v>
      </c>
      <c r="B3328" s="159">
        <v>40</v>
      </c>
      <c r="C3328" s="159">
        <v>10</v>
      </c>
      <c r="D3328" s="159">
        <v>77</v>
      </c>
      <c r="E3328" s="159">
        <v>20</v>
      </c>
      <c r="F3328" s="131"/>
      <c r="G3328" s="132"/>
      <c r="H3328" s="162" t="s">
        <v>22801</v>
      </c>
      <c r="I3328" s="128"/>
      <c r="J3328" s="128"/>
      <c r="K3328" s="128"/>
      <c r="L3328" s="128"/>
      <c r="M3328" s="129"/>
      <c r="N3328" s="129"/>
      <c r="O3328" s="129"/>
    </row>
    <row r="3329" spans="1:15" ht="12.5">
      <c r="A3329" s="158" t="s">
        <v>22802</v>
      </c>
      <c r="B3329" s="159">
        <v>40</v>
      </c>
      <c r="C3329" s="159">
        <v>10</v>
      </c>
      <c r="D3329" s="159">
        <v>77</v>
      </c>
      <c r="E3329" s="159">
        <v>22</v>
      </c>
      <c r="F3329" s="131"/>
      <c r="G3329" s="132"/>
      <c r="H3329" s="162" t="s">
        <v>22803</v>
      </c>
      <c r="I3329" s="128"/>
      <c r="J3329" s="128"/>
      <c r="K3329" s="128"/>
      <c r="L3329" s="128"/>
      <c r="M3329" s="129"/>
      <c r="N3329" s="129"/>
      <c r="O3329" s="129"/>
    </row>
    <row r="3330" spans="1:15" ht="12.5">
      <c r="A3330" s="158" t="s">
        <v>22804</v>
      </c>
      <c r="B3330" s="159">
        <v>40</v>
      </c>
      <c r="C3330" s="159">
        <v>10</v>
      </c>
      <c r="D3330" s="159">
        <v>77</v>
      </c>
      <c r="E3330" s="159">
        <v>24</v>
      </c>
      <c r="F3330" s="131"/>
      <c r="G3330" s="132"/>
      <c r="H3330" s="162" t="s">
        <v>22805</v>
      </c>
      <c r="I3330" s="128"/>
      <c r="J3330" s="128"/>
      <c r="K3330" s="128"/>
      <c r="L3330" s="128"/>
      <c r="M3330" s="129"/>
      <c r="N3330" s="129"/>
      <c r="O3330" s="129"/>
    </row>
    <row r="3331" spans="1:15" ht="12.5">
      <c r="A3331" s="158" t="s">
        <v>22808</v>
      </c>
      <c r="B3331" s="159">
        <v>40</v>
      </c>
      <c r="C3331" s="159">
        <v>10</v>
      </c>
      <c r="D3331" s="159">
        <v>77</v>
      </c>
      <c r="E3331" s="159">
        <v>29</v>
      </c>
      <c r="F3331" s="131"/>
      <c r="G3331" s="132"/>
      <c r="H3331" s="162" t="s">
        <v>22809</v>
      </c>
      <c r="I3331" s="158" t="s">
        <v>22810</v>
      </c>
      <c r="J3331" s="128"/>
      <c r="K3331" s="128"/>
      <c r="L3331" s="128"/>
      <c r="M3331" s="129"/>
      <c r="N3331" s="129"/>
      <c r="O3331" s="129"/>
    </row>
    <row r="3332" spans="1:15" ht="12.5">
      <c r="A3332" s="158" t="s">
        <v>22811</v>
      </c>
      <c r="B3332" s="159">
        <v>40</v>
      </c>
      <c r="C3332" s="159">
        <v>10</v>
      </c>
      <c r="D3332" s="159">
        <v>77</v>
      </c>
      <c r="E3332" s="159">
        <v>30</v>
      </c>
      <c r="F3332" s="131"/>
      <c r="G3332" s="132"/>
      <c r="H3332" s="162" t="s">
        <v>22812</v>
      </c>
      <c r="I3332" s="158" t="s">
        <v>22813</v>
      </c>
      <c r="J3332" s="128"/>
      <c r="K3332" s="128"/>
      <c r="L3332" s="128"/>
      <c r="M3332" s="129"/>
      <c r="N3332" s="129"/>
      <c r="O3332" s="129"/>
    </row>
    <row r="3333" spans="1:15" ht="12.5">
      <c r="A3333" s="158" t="s">
        <v>22814</v>
      </c>
      <c r="B3333" s="159">
        <v>40</v>
      </c>
      <c r="C3333" s="159">
        <v>10</v>
      </c>
      <c r="D3333" s="159">
        <v>77</v>
      </c>
      <c r="E3333" s="159">
        <v>31</v>
      </c>
      <c r="F3333" s="131"/>
      <c r="G3333" s="132"/>
      <c r="H3333" s="162" t="s">
        <v>22815</v>
      </c>
      <c r="I3333" s="158" t="s">
        <v>22816</v>
      </c>
      <c r="J3333" s="128"/>
      <c r="K3333" s="128"/>
      <c r="L3333" s="128"/>
      <c r="M3333" s="129"/>
      <c r="N3333" s="129"/>
      <c r="O3333" s="129"/>
    </row>
    <row r="3334" spans="1:15" ht="12.5">
      <c r="A3334" s="158" t="s">
        <v>22817</v>
      </c>
      <c r="B3334" s="159">
        <v>40</v>
      </c>
      <c r="C3334" s="159">
        <v>10</v>
      </c>
      <c r="D3334" s="159">
        <v>77</v>
      </c>
      <c r="E3334" s="159">
        <v>32</v>
      </c>
      <c r="F3334" s="131"/>
      <c r="G3334" s="132"/>
      <c r="H3334" s="162" t="s">
        <v>22818</v>
      </c>
      <c r="I3334" s="158" t="s">
        <v>22819</v>
      </c>
      <c r="J3334" s="128"/>
      <c r="K3334" s="128"/>
      <c r="L3334" s="128"/>
      <c r="M3334" s="129"/>
      <c r="N3334" s="129"/>
      <c r="O3334" s="129"/>
    </row>
    <row r="3335" spans="1:15" ht="12.5">
      <c r="A3335" s="158" t="s">
        <v>22820</v>
      </c>
      <c r="B3335" s="159">
        <v>40</v>
      </c>
      <c r="C3335" s="159">
        <v>10</v>
      </c>
      <c r="D3335" s="159">
        <v>77</v>
      </c>
      <c r="E3335" s="159">
        <v>36</v>
      </c>
      <c r="F3335" s="131"/>
      <c r="G3335" s="132"/>
      <c r="H3335" s="162" t="s">
        <v>22821</v>
      </c>
      <c r="I3335" s="158" t="s">
        <v>22822</v>
      </c>
      <c r="J3335" s="128"/>
      <c r="K3335" s="128"/>
      <c r="L3335" s="128"/>
      <c r="M3335" s="129"/>
      <c r="N3335" s="129"/>
      <c r="O3335" s="129"/>
    </row>
    <row r="3336" spans="1:15" ht="12.5">
      <c r="A3336" s="158" t="s">
        <v>22823</v>
      </c>
      <c r="B3336" s="159">
        <v>40</v>
      </c>
      <c r="C3336" s="159">
        <v>10</v>
      </c>
      <c r="D3336" s="159">
        <v>77</v>
      </c>
      <c r="E3336" s="159">
        <v>37</v>
      </c>
      <c r="F3336" s="131"/>
      <c r="G3336" s="132"/>
      <c r="H3336" s="162" t="s">
        <v>22824</v>
      </c>
      <c r="I3336" s="158" t="s">
        <v>22825</v>
      </c>
      <c r="J3336" s="128"/>
      <c r="K3336" s="128"/>
      <c r="L3336" s="128"/>
      <c r="M3336" s="129"/>
      <c r="N3336" s="129"/>
      <c r="O3336" s="129"/>
    </row>
    <row r="3337" spans="1:15" ht="12.5">
      <c r="A3337" s="158" t="s">
        <v>22826</v>
      </c>
      <c r="B3337" s="159">
        <v>40</v>
      </c>
      <c r="C3337" s="159">
        <v>10</v>
      </c>
      <c r="D3337" s="159">
        <v>77</v>
      </c>
      <c r="E3337" s="159">
        <v>38</v>
      </c>
      <c r="F3337" s="131"/>
      <c r="G3337" s="132"/>
      <c r="H3337" s="162" t="s">
        <v>22827</v>
      </c>
      <c r="I3337" s="128"/>
      <c r="J3337" s="128"/>
      <c r="K3337" s="128"/>
      <c r="L3337" s="128"/>
      <c r="M3337" s="129"/>
      <c r="N3337" s="129"/>
      <c r="O3337" s="129"/>
    </row>
    <row r="3338" spans="1:15" ht="12.5">
      <c r="A3338" s="158" t="s">
        <v>22830</v>
      </c>
      <c r="B3338" s="159">
        <v>40</v>
      </c>
      <c r="C3338" s="159">
        <v>10</v>
      </c>
      <c r="D3338" s="159">
        <v>77</v>
      </c>
      <c r="E3338" s="159">
        <v>42</v>
      </c>
      <c r="F3338" s="131"/>
      <c r="G3338" s="132"/>
      <c r="H3338" s="162" t="s">
        <v>22831</v>
      </c>
      <c r="I3338" s="128"/>
      <c r="J3338" s="128"/>
      <c r="K3338" s="128"/>
      <c r="L3338" s="128"/>
      <c r="M3338" s="129"/>
      <c r="N3338" s="129"/>
      <c r="O3338" s="129"/>
    </row>
    <row r="3339" spans="1:15" ht="12.5">
      <c r="A3339" s="158" t="s">
        <v>22832</v>
      </c>
      <c r="B3339" s="159">
        <v>40</v>
      </c>
      <c r="C3339" s="159">
        <v>10</v>
      </c>
      <c r="D3339" s="159">
        <v>77</v>
      </c>
      <c r="E3339" s="159">
        <v>46</v>
      </c>
      <c r="F3339" s="131"/>
      <c r="G3339" s="132"/>
      <c r="H3339" s="162" t="s">
        <v>22833</v>
      </c>
      <c r="I3339" s="158" t="s">
        <v>22834</v>
      </c>
      <c r="J3339" s="128"/>
      <c r="K3339" s="128"/>
      <c r="L3339" s="128"/>
      <c r="M3339" s="129"/>
      <c r="N3339" s="129"/>
      <c r="O3339" s="129"/>
    </row>
    <row r="3340" spans="1:15" ht="12.5">
      <c r="A3340" s="158" t="s">
        <v>22835</v>
      </c>
      <c r="B3340" s="159">
        <v>40</v>
      </c>
      <c r="C3340" s="159">
        <v>10</v>
      </c>
      <c r="D3340" s="159">
        <v>77</v>
      </c>
      <c r="E3340" s="159">
        <v>50</v>
      </c>
      <c r="F3340" s="131"/>
      <c r="G3340" s="132"/>
      <c r="H3340" s="162" t="s">
        <v>22836</v>
      </c>
      <c r="I3340" s="158" t="s">
        <v>22837</v>
      </c>
      <c r="J3340" s="128"/>
      <c r="K3340" s="128"/>
      <c r="L3340" s="128"/>
      <c r="M3340" s="129"/>
      <c r="N3340" s="129"/>
      <c r="O3340" s="129"/>
    </row>
    <row r="3341" spans="1:15" ht="12.5">
      <c r="A3341" s="158" t="s">
        <v>22838</v>
      </c>
      <c r="B3341" s="159">
        <v>40</v>
      </c>
      <c r="C3341" s="159">
        <v>10</v>
      </c>
      <c r="D3341" s="159">
        <v>77</v>
      </c>
      <c r="E3341" s="159">
        <v>52</v>
      </c>
      <c r="F3341" s="131"/>
      <c r="G3341" s="132"/>
      <c r="H3341" s="162" t="s">
        <v>22839</v>
      </c>
      <c r="I3341" s="158" t="s">
        <v>22840</v>
      </c>
      <c r="J3341" s="128"/>
      <c r="K3341" s="128"/>
      <c r="L3341" s="128"/>
      <c r="M3341" s="129"/>
      <c r="N3341" s="129"/>
      <c r="O3341" s="129"/>
    </row>
    <row r="3342" spans="1:15" ht="12.5">
      <c r="A3342" s="158" t="s">
        <v>22841</v>
      </c>
      <c r="B3342" s="159">
        <v>40</v>
      </c>
      <c r="C3342" s="159">
        <v>10</v>
      </c>
      <c r="D3342" s="159">
        <v>77</v>
      </c>
      <c r="E3342" s="159">
        <v>53</v>
      </c>
      <c r="F3342" s="131"/>
      <c r="G3342" s="132"/>
      <c r="H3342" s="162" t="s">
        <v>22842</v>
      </c>
      <c r="I3342" s="128"/>
      <c r="J3342" s="128"/>
      <c r="K3342" s="128"/>
      <c r="L3342" s="128"/>
      <c r="M3342" s="129"/>
      <c r="N3342" s="129"/>
      <c r="O3342" s="129"/>
    </row>
    <row r="3343" spans="1:15" ht="12.5">
      <c r="A3343" s="158" t="s">
        <v>22843</v>
      </c>
      <c r="B3343" s="159">
        <v>40</v>
      </c>
      <c r="C3343" s="159">
        <v>10</v>
      </c>
      <c r="D3343" s="159">
        <v>77</v>
      </c>
      <c r="E3343" s="159">
        <v>56</v>
      </c>
      <c r="F3343" s="131"/>
      <c r="G3343" s="132"/>
      <c r="H3343" s="162" t="s">
        <v>22844</v>
      </c>
      <c r="I3343" s="128"/>
      <c r="J3343" s="128"/>
      <c r="K3343" s="128"/>
      <c r="L3343" s="128"/>
      <c r="M3343" s="129"/>
      <c r="N3343" s="129"/>
      <c r="O3343" s="129"/>
    </row>
    <row r="3344" spans="1:15" ht="12.5">
      <c r="A3344" s="158" t="s">
        <v>22848</v>
      </c>
      <c r="B3344" s="159">
        <v>40</v>
      </c>
      <c r="C3344" s="159">
        <v>10</v>
      </c>
      <c r="D3344" s="159">
        <v>77</v>
      </c>
      <c r="E3344" s="159">
        <v>63</v>
      </c>
      <c r="F3344" s="131"/>
      <c r="G3344" s="132"/>
      <c r="H3344" s="162" t="s">
        <v>22849</v>
      </c>
      <c r="I3344" s="158" t="s">
        <v>22850</v>
      </c>
      <c r="J3344" s="128"/>
      <c r="K3344" s="128"/>
      <c r="L3344" s="128"/>
      <c r="M3344" s="129"/>
      <c r="N3344" s="129"/>
      <c r="O3344" s="129"/>
    </row>
    <row r="3345" spans="1:15" ht="12.5">
      <c r="A3345" s="158" t="s">
        <v>22851</v>
      </c>
      <c r="B3345" s="159">
        <v>40</v>
      </c>
      <c r="C3345" s="159">
        <v>10</v>
      </c>
      <c r="D3345" s="159">
        <v>77</v>
      </c>
      <c r="E3345" s="159">
        <v>64</v>
      </c>
      <c r="F3345" s="131"/>
      <c r="G3345" s="132"/>
      <c r="H3345" s="162" t="s">
        <v>22852</v>
      </c>
      <c r="I3345" s="128"/>
      <c r="J3345" s="128"/>
      <c r="K3345" s="128"/>
      <c r="L3345" s="128"/>
      <c r="M3345" s="129"/>
      <c r="N3345" s="129"/>
      <c r="O3345" s="129"/>
    </row>
    <row r="3346" spans="1:15" ht="12.5">
      <c r="A3346" s="158" t="s">
        <v>22853</v>
      </c>
      <c r="B3346" s="159">
        <v>40</v>
      </c>
      <c r="C3346" s="159">
        <v>10</v>
      </c>
      <c r="D3346" s="159">
        <v>77</v>
      </c>
      <c r="E3346" s="159">
        <v>66</v>
      </c>
      <c r="F3346" s="131"/>
      <c r="G3346" s="132"/>
      <c r="H3346" s="162" t="s">
        <v>22854</v>
      </c>
      <c r="I3346" s="158" t="s">
        <v>22855</v>
      </c>
      <c r="J3346" s="128"/>
      <c r="K3346" s="128"/>
      <c r="L3346" s="128"/>
      <c r="M3346" s="129"/>
      <c r="N3346" s="129"/>
      <c r="O3346" s="129"/>
    </row>
    <row r="3347" spans="1:15" ht="12.5">
      <c r="A3347" s="158" t="s">
        <v>22856</v>
      </c>
      <c r="B3347" s="159">
        <v>40</v>
      </c>
      <c r="C3347" s="159">
        <v>10</v>
      </c>
      <c r="D3347" s="159">
        <v>77</v>
      </c>
      <c r="E3347" s="159">
        <v>69</v>
      </c>
      <c r="F3347" s="131"/>
      <c r="G3347" s="132"/>
      <c r="H3347" s="162" t="s">
        <v>22857</v>
      </c>
      <c r="I3347" s="128"/>
      <c r="J3347" s="128"/>
      <c r="K3347" s="128"/>
      <c r="L3347" s="128"/>
      <c r="M3347" s="129"/>
      <c r="N3347" s="129"/>
      <c r="O3347" s="129"/>
    </row>
    <row r="3348" spans="1:15" ht="12.5">
      <c r="A3348" s="158" t="s">
        <v>22858</v>
      </c>
      <c r="B3348" s="159">
        <v>40</v>
      </c>
      <c r="C3348" s="159">
        <v>10</v>
      </c>
      <c r="D3348" s="159">
        <v>77</v>
      </c>
      <c r="E3348" s="159">
        <v>70</v>
      </c>
      <c r="F3348" s="131"/>
      <c r="G3348" s="132"/>
      <c r="H3348" s="162" t="s">
        <v>22859</v>
      </c>
      <c r="I3348" s="158" t="s">
        <v>22860</v>
      </c>
      <c r="J3348" s="128"/>
      <c r="K3348" s="128"/>
      <c r="L3348" s="128"/>
      <c r="M3348" s="129"/>
      <c r="N3348" s="129"/>
      <c r="O3348" s="129"/>
    </row>
    <row r="3349" spans="1:15" ht="12.5">
      <c r="A3349" s="158" t="s">
        <v>22861</v>
      </c>
      <c r="B3349" s="159">
        <v>40</v>
      </c>
      <c r="C3349" s="159">
        <v>10</v>
      </c>
      <c r="D3349" s="159">
        <v>77</v>
      </c>
      <c r="E3349" s="159">
        <v>72</v>
      </c>
      <c r="F3349" s="131"/>
      <c r="G3349" s="132"/>
      <c r="H3349" s="162" t="s">
        <v>22862</v>
      </c>
      <c r="I3349" s="158" t="s">
        <v>22863</v>
      </c>
      <c r="J3349" s="128"/>
      <c r="K3349" s="128"/>
      <c r="L3349" s="128"/>
      <c r="M3349" s="129"/>
      <c r="N3349" s="129"/>
      <c r="O3349" s="129"/>
    </row>
    <row r="3350" spans="1:15" ht="12.5">
      <c r="A3350" s="158" t="s">
        <v>22866</v>
      </c>
      <c r="B3350" s="159">
        <v>40</v>
      </c>
      <c r="C3350" s="159">
        <v>10</v>
      </c>
      <c r="D3350" s="159">
        <v>77</v>
      </c>
      <c r="E3350" s="159">
        <v>75</v>
      </c>
      <c r="F3350" s="131"/>
      <c r="G3350" s="132"/>
      <c r="H3350" s="162" t="s">
        <v>22867</v>
      </c>
      <c r="I3350" s="158" t="s">
        <v>22868</v>
      </c>
      <c r="J3350" s="128"/>
      <c r="K3350" s="128"/>
      <c r="L3350" s="128"/>
      <c r="M3350" s="129"/>
      <c r="N3350" s="129"/>
      <c r="O3350" s="129"/>
    </row>
    <row r="3351" spans="1:15" ht="12.5">
      <c r="A3351" s="158" t="s">
        <v>22869</v>
      </c>
      <c r="B3351" s="159">
        <v>40</v>
      </c>
      <c r="C3351" s="159">
        <v>10</v>
      </c>
      <c r="D3351" s="159">
        <v>77</v>
      </c>
      <c r="E3351" s="159">
        <v>76</v>
      </c>
      <c r="F3351" s="131"/>
      <c r="G3351" s="132"/>
      <c r="H3351" s="162" t="s">
        <v>22870</v>
      </c>
      <c r="I3351" s="128"/>
      <c r="J3351" s="128"/>
      <c r="K3351" s="128"/>
      <c r="L3351" s="128"/>
      <c r="M3351" s="129"/>
      <c r="N3351" s="129"/>
      <c r="O3351" s="129"/>
    </row>
    <row r="3352" spans="1:15" ht="12.5">
      <c r="A3352" s="158" t="s">
        <v>22871</v>
      </c>
      <c r="B3352" s="159">
        <v>40</v>
      </c>
      <c r="C3352" s="159">
        <v>10</v>
      </c>
      <c r="D3352" s="159">
        <v>77</v>
      </c>
      <c r="E3352" s="159">
        <v>77</v>
      </c>
      <c r="F3352" s="131"/>
      <c r="G3352" s="132"/>
      <c r="H3352" s="162" t="s">
        <v>22872</v>
      </c>
      <c r="I3352" s="158" t="s">
        <v>22873</v>
      </c>
      <c r="J3352" s="128"/>
      <c r="K3352" s="128"/>
      <c r="L3352" s="128"/>
      <c r="M3352" s="129"/>
      <c r="N3352" s="129"/>
      <c r="O3352" s="129"/>
    </row>
    <row r="3353" spans="1:15" ht="12.5">
      <c r="A3353" s="158" t="s">
        <v>22874</v>
      </c>
      <c r="B3353" s="159">
        <v>40</v>
      </c>
      <c r="C3353" s="159">
        <v>10</v>
      </c>
      <c r="D3353" s="159">
        <v>77</v>
      </c>
      <c r="E3353" s="159">
        <v>79</v>
      </c>
      <c r="F3353" s="131"/>
      <c r="G3353" s="132"/>
      <c r="H3353" s="162" t="s">
        <v>22875</v>
      </c>
      <c r="I3353" s="158" t="s">
        <v>22876</v>
      </c>
      <c r="J3353" s="128"/>
      <c r="K3353" s="128"/>
      <c r="L3353" s="128"/>
      <c r="M3353" s="129"/>
      <c r="N3353" s="129"/>
      <c r="O3353" s="129"/>
    </row>
    <row r="3354" spans="1:15" ht="12.5">
      <c r="A3354" s="158" t="s">
        <v>22877</v>
      </c>
      <c r="B3354" s="159">
        <v>40</v>
      </c>
      <c r="C3354" s="159">
        <v>10</v>
      </c>
      <c r="D3354" s="159">
        <v>77</v>
      </c>
      <c r="E3354" s="159">
        <v>82</v>
      </c>
      <c r="F3354" s="131"/>
      <c r="G3354" s="132"/>
      <c r="H3354" s="162" t="s">
        <v>22878</v>
      </c>
      <c r="I3354" s="128"/>
      <c r="J3354" s="128"/>
      <c r="K3354" s="128"/>
      <c r="L3354" s="128"/>
      <c r="M3354" s="129"/>
      <c r="N3354" s="129"/>
      <c r="O3354" s="129"/>
    </row>
    <row r="3355" spans="1:15" ht="12.5">
      <c r="A3355" s="158" t="s">
        <v>22879</v>
      </c>
      <c r="B3355" s="159">
        <v>40</v>
      </c>
      <c r="C3355" s="159">
        <v>10</v>
      </c>
      <c r="D3355" s="159">
        <v>77</v>
      </c>
      <c r="E3355" s="159">
        <v>84</v>
      </c>
      <c r="F3355" s="131"/>
      <c r="G3355" s="132"/>
      <c r="H3355" s="162" t="s">
        <v>22880</v>
      </c>
      <c r="I3355" s="128"/>
      <c r="J3355" s="128"/>
      <c r="K3355" s="128"/>
      <c r="L3355" s="128"/>
      <c r="M3355" s="129"/>
      <c r="N3355" s="129"/>
      <c r="O3355" s="129"/>
    </row>
    <row r="3356" spans="1:15" ht="12.5">
      <c r="A3356" s="158" t="s">
        <v>22881</v>
      </c>
      <c r="B3356" s="159">
        <v>40</v>
      </c>
      <c r="C3356" s="159">
        <v>10</v>
      </c>
      <c r="D3356" s="159">
        <v>77</v>
      </c>
      <c r="E3356" s="159">
        <v>85</v>
      </c>
      <c r="F3356" s="131"/>
      <c r="G3356" s="132"/>
      <c r="H3356" s="162" t="s">
        <v>22882</v>
      </c>
      <c r="I3356" s="128"/>
      <c r="J3356" s="128"/>
      <c r="K3356" s="128"/>
      <c r="L3356" s="128"/>
      <c r="M3356" s="129"/>
      <c r="N3356" s="129"/>
      <c r="O3356" s="129"/>
    </row>
    <row r="3357" spans="1:15" ht="12.5">
      <c r="A3357" s="158" t="s">
        <v>22883</v>
      </c>
      <c r="B3357" s="159">
        <v>40</v>
      </c>
      <c r="C3357" s="159">
        <v>10</v>
      </c>
      <c r="D3357" s="159">
        <v>77</v>
      </c>
      <c r="E3357" s="159">
        <v>86</v>
      </c>
      <c r="F3357" s="131"/>
      <c r="G3357" s="132"/>
      <c r="H3357" s="162" t="s">
        <v>22884</v>
      </c>
      <c r="I3357" s="128"/>
      <c r="J3357" s="128"/>
      <c r="K3357" s="128"/>
      <c r="L3357" s="128"/>
      <c r="M3357" s="129"/>
      <c r="N3357" s="129"/>
      <c r="O3357" s="129"/>
    </row>
    <row r="3358" spans="1:15" ht="12.5">
      <c r="A3358" s="158" t="s">
        <v>22885</v>
      </c>
      <c r="B3358" s="159">
        <v>40</v>
      </c>
      <c r="C3358" s="159">
        <v>10</v>
      </c>
      <c r="D3358" s="159">
        <v>77</v>
      </c>
      <c r="E3358" s="159">
        <v>88</v>
      </c>
      <c r="F3358" s="131"/>
      <c r="G3358" s="132"/>
      <c r="H3358" s="162" t="s">
        <v>22886</v>
      </c>
      <c r="I3358" s="128"/>
      <c r="J3358" s="128"/>
      <c r="K3358" s="128"/>
      <c r="L3358" s="128"/>
      <c r="M3358" s="129"/>
      <c r="N3358" s="129"/>
      <c r="O3358" s="129"/>
    </row>
    <row r="3359" spans="1:15" ht="12.5">
      <c r="A3359" s="158" t="s">
        <v>22887</v>
      </c>
      <c r="B3359" s="159">
        <v>40</v>
      </c>
      <c r="C3359" s="159">
        <v>10</v>
      </c>
      <c r="D3359" s="159">
        <v>77</v>
      </c>
      <c r="E3359" s="159">
        <v>89</v>
      </c>
      <c r="F3359" s="131"/>
      <c r="G3359" s="132"/>
      <c r="H3359" s="162" t="s">
        <v>22888</v>
      </c>
      <c r="I3359" s="128"/>
      <c r="J3359" s="128"/>
      <c r="K3359" s="128"/>
      <c r="L3359" s="128"/>
      <c r="M3359" s="129"/>
      <c r="N3359" s="129"/>
      <c r="O3359" s="129"/>
    </row>
    <row r="3360" spans="1:15" ht="12.5">
      <c r="A3360" s="158" t="s">
        <v>22889</v>
      </c>
      <c r="B3360" s="159">
        <v>40</v>
      </c>
      <c r="C3360" s="159">
        <v>10</v>
      </c>
      <c r="D3360" s="159">
        <v>77</v>
      </c>
      <c r="E3360" s="159">
        <v>90</v>
      </c>
      <c r="F3360" s="131"/>
      <c r="G3360" s="132"/>
      <c r="H3360" s="162" t="s">
        <v>22890</v>
      </c>
      <c r="I3360" s="158" t="s">
        <v>22891</v>
      </c>
      <c r="J3360" s="128"/>
      <c r="K3360" s="128"/>
      <c r="L3360" s="128"/>
      <c r="M3360" s="129"/>
      <c r="N3360" s="129"/>
      <c r="O3360" s="129"/>
    </row>
    <row r="3361" spans="1:15" ht="12.5">
      <c r="A3361" s="158" t="s">
        <v>22894</v>
      </c>
      <c r="B3361" s="159">
        <v>40</v>
      </c>
      <c r="C3361" s="159">
        <v>10</v>
      </c>
      <c r="D3361" s="159">
        <v>77</v>
      </c>
      <c r="E3361" s="159">
        <v>94</v>
      </c>
      <c r="F3361" s="131"/>
      <c r="G3361" s="132"/>
      <c r="H3361" s="162" t="s">
        <v>22895</v>
      </c>
      <c r="I3361" s="128"/>
      <c r="J3361" s="128"/>
      <c r="K3361" s="128"/>
      <c r="L3361" s="128"/>
      <c r="M3361" s="129"/>
      <c r="N3361" s="129"/>
      <c r="O3361" s="129"/>
    </row>
    <row r="3362" spans="1:15" ht="12.5">
      <c r="A3362" s="158" t="s">
        <v>22896</v>
      </c>
      <c r="B3362" s="159">
        <v>40</v>
      </c>
      <c r="C3362" s="159">
        <v>10</v>
      </c>
      <c r="D3362" s="159">
        <v>77</v>
      </c>
      <c r="E3362" s="159">
        <v>96</v>
      </c>
      <c r="F3362" s="131"/>
      <c r="G3362" s="132"/>
      <c r="H3362" s="162" t="s">
        <v>22897</v>
      </c>
      <c r="I3362" s="158" t="s">
        <v>22898</v>
      </c>
      <c r="J3362" s="128"/>
      <c r="K3362" s="128"/>
      <c r="L3362" s="128"/>
      <c r="M3362" s="129"/>
      <c r="N3362" s="129"/>
      <c r="O3362" s="129"/>
    </row>
    <row r="3363" spans="1:15" ht="12.5">
      <c r="A3363" s="158" t="s">
        <v>22899</v>
      </c>
      <c r="B3363" s="159">
        <v>40</v>
      </c>
      <c r="C3363" s="159">
        <v>10</v>
      </c>
      <c r="D3363" s="159">
        <v>77</v>
      </c>
      <c r="E3363" s="159">
        <v>97</v>
      </c>
      <c r="F3363" s="131"/>
      <c r="G3363" s="132"/>
      <c r="H3363" s="162" t="s">
        <v>22900</v>
      </c>
      <c r="I3363" s="158" t="s">
        <v>22901</v>
      </c>
      <c r="J3363" s="128"/>
      <c r="K3363" s="128"/>
      <c r="L3363" s="128"/>
      <c r="M3363" s="129"/>
      <c r="N3363" s="129"/>
      <c r="O3363" s="129"/>
    </row>
    <row r="3364" spans="1:15" ht="12.5">
      <c r="A3364" s="158" t="s">
        <v>22902</v>
      </c>
      <c r="B3364" s="159">
        <v>40</v>
      </c>
      <c r="C3364" s="159">
        <v>10</v>
      </c>
      <c r="D3364" s="159">
        <v>77</v>
      </c>
      <c r="E3364" s="159">
        <v>98</v>
      </c>
      <c r="F3364" s="131"/>
      <c r="G3364" s="132"/>
      <c r="H3364" s="162" t="s">
        <v>22903</v>
      </c>
      <c r="I3364" s="158" t="s">
        <v>22904</v>
      </c>
      <c r="J3364" s="128"/>
      <c r="K3364" s="128"/>
      <c r="L3364" s="128"/>
      <c r="M3364" s="129"/>
      <c r="N3364" s="129"/>
      <c r="O3364" s="129"/>
    </row>
    <row r="3365" spans="1:15" ht="12.5">
      <c r="A3365" s="158" t="s">
        <v>22905</v>
      </c>
      <c r="B3365" s="159">
        <v>40</v>
      </c>
      <c r="C3365" s="159">
        <v>10</v>
      </c>
      <c r="D3365" s="159">
        <v>77</v>
      </c>
      <c r="E3365" s="159">
        <v>99</v>
      </c>
      <c r="F3365" s="131"/>
      <c r="G3365" s="132"/>
      <c r="H3365" s="162" t="s">
        <v>22906</v>
      </c>
      <c r="I3365" s="158" t="s">
        <v>22907</v>
      </c>
      <c r="J3365" s="128"/>
      <c r="K3365" s="128"/>
      <c r="L3365" s="128"/>
      <c r="M3365" s="129"/>
      <c r="N3365" s="129"/>
      <c r="O3365" s="129"/>
    </row>
    <row r="3366" spans="1:15" ht="12.5">
      <c r="A3366" s="158" t="s">
        <v>22908</v>
      </c>
      <c r="B3366" s="159">
        <v>40</v>
      </c>
      <c r="C3366" s="159">
        <v>10</v>
      </c>
      <c r="D3366" s="159">
        <v>90</v>
      </c>
      <c r="E3366" s="130"/>
      <c r="F3366" s="131"/>
      <c r="G3366" s="132"/>
      <c r="H3366" s="162" t="s">
        <v>22909</v>
      </c>
      <c r="I3366" s="128"/>
      <c r="J3366" s="128"/>
      <c r="K3366" s="128"/>
      <c r="L3366" s="128"/>
      <c r="M3366" s="129"/>
      <c r="N3366" s="129"/>
      <c r="O3366" s="129"/>
    </row>
    <row r="3367" spans="1:15" ht="12.5">
      <c r="A3367" s="158" t="s">
        <v>22910</v>
      </c>
      <c r="B3367" s="159">
        <v>40</v>
      </c>
      <c r="C3367" s="159">
        <v>10</v>
      </c>
      <c r="D3367" s="159">
        <v>90</v>
      </c>
      <c r="E3367" s="159">
        <v>7</v>
      </c>
      <c r="F3367" s="131"/>
      <c r="G3367" s="132"/>
      <c r="H3367" s="162" t="s">
        <v>22911</v>
      </c>
      <c r="I3367" s="128"/>
      <c r="J3367" s="128"/>
      <c r="K3367" s="128"/>
      <c r="L3367" s="128"/>
      <c r="M3367" s="129"/>
      <c r="N3367" s="129"/>
      <c r="O3367" s="129"/>
    </row>
    <row r="3368" spans="1:15" ht="12.5">
      <c r="A3368" s="158" t="s">
        <v>22912</v>
      </c>
      <c r="B3368" s="159">
        <v>40</v>
      </c>
      <c r="C3368" s="159">
        <v>10</v>
      </c>
      <c r="D3368" s="159">
        <v>90</v>
      </c>
      <c r="E3368" s="159">
        <v>10</v>
      </c>
      <c r="F3368" s="131"/>
      <c r="G3368" s="132"/>
      <c r="H3368" s="162" t="s">
        <v>22913</v>
      </c>
      <c r="I3368" s="128"/>
      <c r="J3368" s="128"/>
      <c r="K3368" s="128"/>
      <c r="L3368" s="128"/>
      <c r="M3368" s="129"/>
      <c r="N3368" s="129"/>
      <c r="O3368" s="129"/>
    </row>
    <row r="3369" spans="1:15" ht="12.5">
      <c r="A3369" s="158" t="s">
        <v>33446</v>
      </c>
      <c r="B3369" s="159">
        <v>40</v>
      </c>
      <c r="C3369" s="159">
        <v>10</v>
      </c>
      <c r="D3369" s="159">
        <v>90</v>
      </c>
      <c r="E3369" s="159">
        <v>23</v>
      </c>
      <c r="F3369" s="131"/>
      <c r="G3369" s="132"/>
      <c r="H3369" s="162" t="s">
        <v>2431</v>
      </c>
      <c r="I3369" s="128"/>
      <c r="J3369" s="128"/>
      <c r="K3369" s="128"/>
      <c r="L3369" s="128"/>
      <c r="M3369" s="129"/>
      <c r="N3369" s="129"/>
      <c r="O3369" s="129"/>
    </row>
    <row r="3370" spans="1:15" ht="12.5">
      <c r="A3370" s="158" t="s">
        <v>22914</v>
      </c>
      <c r="B3370" s="159">
        <v>40</v>
      </c>
      <c r="C3370" s="159">
        <v>10</v>
      </c>
      <c r="D3370" s="159">
        <v>90</v>
      </c>
      <c r="E3370" s="159">
        <v>31</v>
      </c>
      <c r="F3370" s="131"/>
      <c r="G3370" s="132"/>
      <c r="H3370" s="162" t="s">
        <v>22915</v>
      </c>
      <c r="I3370" s="128"/>
      <c r="J3370" s="128"/>
      <c r="K3370" s="128"/>
      <c r="L3370" s="128"/>
      <c r="M3370" s="129"/>
      <c r="N3370" s="129"/>
      <c r="O3370" s="129"/>
    </row>
    <row r="3371" spans="1:15" ht="12.5">
      <c r="A3371" s="158" t="s">
        <v>22916</v>
      </c>
      <c r="B3371" s="159">
        <v>40</v>
      </c>
      <c r="C3371" s="159">
        <v>10</v>
      </c>
      <c r="D3371" s="159">
        <v>90</v>
      </c>
      <c r="E3371" s="159">
        <v>50</v>
      </c>
      <c r="F3371" s="131"/>
      <c r="G3371" s="132"/>
      <c r="H3371" s="162" t="s">
        <v>22917</v>
      </c>
      <c r="I3371" s="128"/>
      <c r="J3371" s="128"/>
      <c r="K3371" s="128"/>
      <c r="L3371" s="128"/>
      <c r="M3371" s="129"/>
      <c r="N3371" s="129"/>
      <c r="O3371" s="129"/>
    </row>
    <row r="3372" spans="1:15" ht="12.5">
      <c r="A3372" s="158" t="s">
        <v>33447</v>
      </c>
      <c r="B3372" s="159">
        <v>40</v>
      </c>
      <c r="C3372" s="159">
        <v>10</v>
      </c>
      <c r="D3372" s="159">
        <v>90</v>
      </c>
      <c r="E3372" s="159">
        <v>80</v>
      </c>
      <c r="F3372" s="131"/>
      <c r="G3372" s="132"/>
      <c r="H3372" s="162" t="s">
        <v>7693</v>
      </c>
      <c r="I3372" s="128"/>
      <c r="J3372" s="128"/>
      <c r="K3372" s="128"/>
      <c r="L3372" s="128"/>
      <c r="M3372" s="129"/>
      <c r="N3372" s="129"/>
      <c r="O3372" s="129"/>
    </row>
    <row r="3373" spans="1:15" ht="12.5">
      <c r="A3373" s="158" t="s">
        <v>22920</v>
      </c>
      <c r="B3373" s="159">
        <v>40</v>
      </c>
      <c r="C3373" s="159">
        <v>10</v>
      </c>
      <c r="D3373" s="159">
        <v>96</v>
      </c>
      <c r="E3373" s="130"/>
      <c r="F3373" s="131"/>
      <c r="G3373" s="132"/>
      <c r="H3373" s="162" t="s">
        <v>22921</v>
      </c>
      <c r="I3373" s="128"/>
      <c r="J3373" s="128"/>
      <c r="K3373" s="128"/>
      <c r="L3373" s="128"/>
      <c r="M3373" s="129"/>
      <c r="N3373" s="129"/>
      <c r="O3373" s="129"/>
    </row>
    <row r="3374" spans="1:15" ht="12.5">
      <c r="A3374" s="158" t="s">
        <v>22922</v>
      </c>
      <c r="B3374" s="159">
        <v>40</v>
      </c>
      <c r="C3374" s="159">
        <v>10</v>
      </c>
      <c r="D3374" s="159">
        <v>96</v>
      </c>
      <c r="E3374" s="159">
        <v>96</v>
      </c>
      <c r="F3374" s="131"/>
      <c r="G3374" s="132"/>
      <c r="H3374" s="162" t="s">
        <v>22923</v>
      </c>
      <c r="I3374" s="128"/>
      <c r="J3374" s="128"/>
      <c r="K3374" s="128"/>
      <c r="L3374" s="128"/>
      <c r="M3374" s="129"/>
      <c r="N3374" s="129"/>
      <c r="O3374" s="129"/>
    </row>
    <row r="3375" spans="1:15" ht="12.5">
      <c r="A3375" s="158" t="s">
        <v>22924</v>
      </c>
      <c r="B3375" s="159">
        <v>40</v>
      </c>
      <c r="C3375" s="159">
        <v>10</v>
      </c>
      <c r="D3375" s="159">
        <v>96</v>
      </c>
      <c r="E3375" s="159">
        <v>98</v>
      </c>
      <c r="F3375" s="131"/>
      <c r="G3375" s="132"/>
      <c r="H3375" s="162" t="s">
        <v>22925</v>
      </c>
      <c r="I3375" s="158" t="s">
        <v>22926</v>
      </c>
      <c r="J3375" s="128"/>
      <c r="K3375" s="128"/>
      <c r="L3375" s="128"/>
      <c r="M3375" s="129"/>
      <c r="N3375" s="129"/>
      <c r="O3375" s="129"/>
    </row>
    <row r="3376" spans="1:15" ht="12.5">
      <c r="A3376" s="144" t="s">
        <v>22927</v>
      </c>
      <c r="B3376" s="145">
        <v>40</v>
      </c>
      <c r="C3376" s="145">
        <v>20</v>
      </c>
      <c r="D3376" s="146"/>
      <c r="E3376" s="146"/>
      <c r="F3376" s="147" t="s">
        <v>33448</v>
      </c>
      <c r="G3376" s="190"/>
      <c r="H3376" s="149" t="s">
        <v>22928</v>
      </c>
      <c r="I3376" s="150"/>
      <c r="J3376" s="150"/>
      <c r="K3376" s="150"/>
      <c r="L3376" s="150"/>
      <c r="M3376" s="191"/>
      <c r="N3376" s="191"/>
      <c r="O3376" s="191"/>
    </row>
    <row r="3377" spans="1:15" ht="12.5">
      <c r="A3377" s="158" t="s">
        <v>22929</v>
      </c>
      <c r="B3377" s="159">
        <v>40</v>
      </c>
      <c r="C3377" s="159">
        <v>20</v>
      </c>
      <c r="D3377" s="159">
        <v>6</v>
      </c>
      <c r="E3377" s="130"/>
      <c r="F3377" s="131"/>
      <c r="G3377" s="132"/>
      <c r="H3377" s="162" t="s">
        <v>22930</v>
      </c>
      <c r="I3377" s="128"/>
      <c r="J3377" s="128"/>
      <c r="K3377" s="128"/>
      <c r="L3377" s="128"/>
      <c r="M3377" s="129"/>
      <c r="N3377" s="129"/>
      <c r="O3377" s="129"/>
    </row>
    <row r="3378" spans="1:15" ht="12.5">
      <c r="A3378" s="158" t="s">
        <v>22931</v>
      </c>
      <c r="B3378" s="159">
        <v>40</v>
      </c>
      <c r="C3378" s="159">
        <v>20</v>
      </c>
      <c r="D3378" s="159">
        <v>6</v>
      </c>
      <c r="E3378" s="159">
        <v>2</v>
      </c>
      <c r="F3378" s="131"/>
      <c r="G3378" s="132"/>
      <c r="H3378" s="162" t="s">
        <v>22932</v>
      </c>
      <c r="I3378" s="158" t="s">
        <v>22933</v>
      </c>
      <c r="J3378" s="128"/>
      <c r="K3378" s="128"/>
      <c r="L3378" s="128"/>
      <c r="M3378" s="129"/>
      <c r="N3378" s="129"/>
      <c r="O3378" s="129"/>
    </row>
    <row r="3379" spans="1:15" ht="12.5">
      <c r="A3379" s="158" t="s">
        <v>22934</v>
      </c>
      <c r="B3379" s="159">
        <v>40</v>
      </c>
      <c r="C3379" s="159">
        <v>20</v>
      </c>
      <c r="D3379" s="159">
        <v>6</v>
      </c>
      <c r="E3379" s="159">
        <v>8</v>
      </c>
      <c r="F3379" s="131"/>
      <c r="G3379" s="132"/>
      <c r="H3379" s="162" t="s">
        <v>22935</v>
      </c>
      <c r="I3379" s="158" t="s">
        <v>22936</v>
      </c>
      <c r="J3379" s="128"/>
      <c r="K3379" s="128"/>
      <c r="L3379" s="128"/>
      <c r="M3379" s="129"/>
      <c r="N3379" s="129"/>
      <c r="O3379" s="129"/>
    </row>
    <row r="3380" spans="1:15" ht="12.5">
      <c r="A3380" s="158" t="s">
        <v>22937</v>
      </c>
      <c r="B3380" s="159">
        <v>40</v>
      </c>
      <c r="C3380" s="159">
        <v>20</v>
      </c>
      <c r="D3380" s="159">
        <v>6</v>
      </c>
      <c r="E3380" s="159">
        <v>11</v>
      </c>
      <c r="F3380" s="131"/>
      <c r="G3380" s="132"/>
      <c r="H3380" s="162" t="s">
        <v>22938</v>
      </c>
      <c r="I3380" s="158" t="s">
        <v>22939</v>
      </c>
      <c r="J3380" s="128"/>
      <c r="K3380" s="128"/>
      <c r="L3380" s="128"/>
      <c r="M3380" s="129"/>
      <c r="N3380" s="129"/>
      <c r="O3380" s="129"/>
    </row>
    <row r="3381" spans="1:15" ht="12.5">
      <c r="A3381" s="158" t="s">
        <v>22940</v>
      </c>
      <c r="B3381" s="159">
        <v>40</v>
      </c>
      <c r="C3381" s="159">
        <v>20</v>
      </c>
      <c r="D3381" s="159">
        <v>6</v>
      </c>
      <c r="E3381" s="159">
        <v>36</v>
      </c>
      <c r="F3381" s="131"/>
      <c r="G3381" s="132"/>
      <c r="H3381" s="162" t="s">
        <v>22941</v>
      </c>
      <c r="I3381" s="128"/>
      <c r="J3381" s="128"/>
      <c r="K3381" s="128"/>
      <c r="L3381" s="128"/>
      <c r="M3381" s="129"/>
      <c r="N3381" s="129"/>
      <c r="O3381" s="129"/>
    </row>
    <row r="3382" spans="1:15" ht="12.5">
      <c r="A3382" s="158" t="s">
        <v>22942</v>
      </c>
      <c r="B3382" s="159">
        <v>40</v>
      </c>
      <c r="C3382" s="159">
        <v>20</v>
      </c>
      <c r="D3382" s="159">
        <v>6</v>
      </c>
      <c r="E3382" s="159">
        <v>38</v>
      </c>
      <c r="F3382" s="131"/>
      <c r="G3382" s="132"/>
      <c r="H3382" s="162" t="s">
        <v>22943</v>
      </c>
      <c r="I3382" s="128"/>
      <c r="J3382" s="128"/>
      <c r="K3382" s="128"/>
      <c r="L3382" s="128"/>
      <c r="M3382" s="129"/>
      <c r="N3382" s="129"/>
      <c r="O3382" s="129"/>
    </row>
    <row r="3383" spans="1:15" ht="12.5">
      <c r="A3383" s="158" t="s">
        <v>22944</v>
      </c>
      <c r="B3383" s="159">
        <v>40</v>
      </c>
      <c r="C3383" s="159">
        <v>20</v>
      </c>
      <c r="D3383" s="159">
        <v>6</v>
      </c>
      <c r="E3383" s="159">
        <v>79</v>
      </c>
      <c r="F3383" s="131"/>
      <c r="G3383" s="132"/>
      <c r="H3383" s="162" t="s">
        <v>22945</v>
      </c>
      <c r="I3383" s="158" t="s">
        <v>22946</v>
      </c>
      <c r="J3383" s="128"/>
      <c r="K3383" s="128"/>
      <c r="L3383" s="128"/>
      <c r="M3383" s="129"/>
      <c r="N3383" s="129"/>
      <c r="O3383" s="129"/>
    </row>
    <row r="3384" spans="1:15" ht="12.5">
      <c r="A3384" s="158" t="s">
        <v>22947</v>
      </c>
      <c r="B3384" s="159">
        <v>40</v>
      </c>
      <c r="C3384" s="159">
        <v>20</v>
      </c>
      <c r="D3384" s="159">
        <v>6</v>
      </c>
      <c r="E3384" s="159">
        <v>83</v>
      </c>
      <c r="F3384" s="131"/>
      <c r="G3384" s="132"/>
      <c r="H3384" s="162" t="s">
        <v>22948</v>
      </c>
      <c r="I3384" s="158" t="s">
        <v>22949</v>
      </c>
      <c r="J3384" s="128"/>
      <c r="K3384" s="128"/>
      <c r="L3384" s="128"/>
      <c r="M3384" s="129"/>
      <c r="N3384" s="129"/>
      <c r="O3384" s="129"/>
    </row>
    <row r="3385" spans="1:15" ht="12.5">
      <c r="A3385" s="158" t="s">
        <v>22950</v>
      </c>
      <c r="B3385" s="159">
        <v>40</v>
      </c>
      <c r="C3385" s="159">
        <v>20</v>
      </c>
      <c r="D3385" s="159">
        <v>6</v>
      </c>
      <c r="E3385" s="159">
        <v>84</v>
      </c>
      <c r="F3385" s="131"/>
      <c r="G3385" s="132"/>
      <c r="H3385" s="162" t="s">
        <v>22951</v>
      </c>
      <c r="I3385" s="158" t="s">
        <v>22952</v>
      </c>
      <c r="J3385" s="128"/>
      <c r="K3385" s="128"/>
      <c r="L3385" s="128"/>
      <c r="M3385" s="129"/>
      <c r="N3385" s="129"/>
      <c r="O3385" s="129"/>
    </row>
    <row r="3386" spans="1:15" ht="12.5">
      <c r="A3386" s="158" t="s">
        <v>22953</v>
      </c>
      <c r="B3386" s="159">
        <v>40</v>
      </c>
      <c r="C3386" s="159">
        <v>20</v>
      </c>
      <c r="D3386" s="159">
        <v>6</v>
      </c>
      <c r="E3386" s="159">
        <v>99</v>
      </c>
      <c r="F3386" s="131"/>
      <c r="G3386" s="132"/>
      <c r="H3386" s="162" t="s">
        <v>22954</v>
      </c>
      <c r="I3386" s="158" t="s">
        <v>22955</v>
      </c>
      <c r="J3386" s="128"/>
      <c r="K3386" s="128"/>
      <c r="L3386" s="128"/>
      <c r="M3386" s="129"/>
      <c r="N3386" s="129"/>
      <c r="O3386" s="129"/>
    </row>
    <row r="3387" spans="1:15" ht="12.5">
      <c r="A3387" s="158" t="s">
        <v>22965</v>
      </c>
      <c r="B3387" s="159">
        <v>40</v>
      </c>
      <c r="C3387" s="159">
        <v>20</v>
      </c>
      <c r="D3387" s="159">
        <v>60</v>
      </c>
      <c r="E3387" s="130"/>
      <c r="F3387" s="131"/>
      <c r="G3387" s="132"/>
      <c r="H3387" s="162" t="s">
        <v>22966</v>
      </c>
      <c r="I3387" s="128"/>
      <c r="J3387" s="128"/>
      <c r="K3387" s="128"/>
      <c r="L3387" s="128"/>
      <c r="M3387" s="129"/>
      <c r="N3387" s="129"/>
      <c r="O3387" s="129"/>
    </row>
    <row r="3388" spans="1:15" ht="12.5">
      <c r="A3388" s="158" t="s">
        <v>22967</v>
      </c>
      <c r="B3388" s="159">
        <v>40</v>
      </c>
      <c r="C3388" s="159">
        <v>20</v>
      </c>
      <c r="D3388" s="159">
        <v>60</v>
      </c>
      <c r="E3388" s="159">
        <v>2</v>
      </c>
      <c r="F3388" s="131"/>
      <c r="G3388" s="132"/>
      <c r="H3388" s="162" t="s">
        <v>22968</v>
      </c>
      <c r="I3388" s="158" t="s">
        <v>22969</v>
      </c>
      <c r="J3388" s="128"/>
      <c r="K3388" s="128"/>
      <c r="L3388" s="128"/>
      <c r="M3388" s="129"/>
      <c r="N3388" s="129"/>
      <c r="O3388" s="129"/>
    </row>
    <row r="3389" spans="1:15" ht="12.5">
      <c r="A3389" s="158" t="s">
        <v>22970</v>
      </c>
      <c r="B3389" s="159">
        <v>40</v>
      </c>
      <c r="C3389" s="159">
        <v>20</v>
      </c>
      <c r="D3389" s="159">
        <v>60</v>
      </c>
      <c r="E3389" s="159">
        <v>75</v>
      </c>
      <c r="F3389" s="131"/>
      <c r="G3389" s="132"/>
      <c r="H3389" s="162" t="s">
        <v>22971</v>
      </c>
      <c r="I3389" s="158" t="s">
        <v>22972</v>
      </c>
      <c r="J3389" s="128"/>
      <c r="K3389" s="128"/>
      <c r="L3389" s="128"/>
      <c r="M3389" s="129"/>
      <c r="N3389" s="129"/>
      <c r="O3389" s="129"/>
    </row>
    <row r="3390" spans="1:15" ht="12.5">
      <c r="A3390" s="158" t="s">
        <v>22973</v>
      </c>
      <c r="B3390" s="159">
        <v>40</v>
      </c>
      <c r="C3390" s="159">
        <v>20</v>
      </c>
      <c r="D3390" s="159">
        <v>60</v>
      </c>
      <c r="E3390" s="159">
        <v>78</v>
      </c>
      <c r="F3390" s="131"/>
      <c r="G3390" s="132"/>
      <c r="H3390" s="162" t="s">
        <v>22974</v>
      </c>
      <c r="I3390" s="158" t="s">
        <v>22975</v>
      </c>
      <c r="J3390" s="128"/>
      <c r="K3390" s="128"/>
      <c r="L3390" s="128"/>
      <c r="M3390" s="129"/>
      <c r="N3390" s="129"/>
      <c r="O3390" s="129"/>
    </row>
    <row r="3391" spans="1:15" ht="12.5">
      <c r="A3391" s="158" t="s">
        <v>22976</v>
      </c>
      <c r="B3391" s="159">
        <v>40</v>
      </c>
      <c r="C3391" s="159">
        <v>20</v>
      </c>
      <c r="D3391" s="159">
        <v>60</v>
      </c>
      <c r="E3391" s="159">
        <v>85</v>
      </c>
      <c r="F3391" s="131"/>
      <c r="G3391" s="132"/>
      <c r="H3391" s="162" t="s">
        <v>22977</v>
      </c>
      <c r="I3391" s="158" t="s">
        <v>22978</v>
      </c>
      <c r="J3391" s="128"/>
      <c r="K3391" s="128"/>
      <c r="L3391" s="128"/>
      <c r="M3391" s="129"/>
      <c r="N3391" s="129"/>
      <c r="O3391" s="129"/>
    </row>
    <row r="3392" spans="1:15" ht="12.5">
      <c r="A3392" s="158" t="s">
        <v>22979</v>
      </c>
      <c r="B3392" s="159">
        <v>40</v>
      </c>
      <c r="C3392" s="159">
        <v>20</v>
      </c>
      <c r="D3392" s="159">
        <v>60</v>
      </c>
      <c r="E3392" s="159">
        <v>86</v>
      </c>
      <c r="F3392" s="131"/>
      <c r="G3392" s="132"/>
      <c r="H3392" s="162" t="s">
        <v>22980</v>
      </c>
      <c r="I3392" s="158" t="s">
        <v>22981</v>
      </c>
      <c r="J3392" s="128"/>
      <c r="K3392" s="128"/>
      <c r="L3392" s="128"/>
      <c r="M3392" s="129"/>
      <c r="N3392" s="129"/>
      <c r="O3392" s="129"/>
    </row>
    <row r="3393" spans="1:15" ht="12.5">
      <c r="A3393" s="158" t="s">
        <v>22985</v>
      </c>
      <c r="B3393" s="159">
        <v>40</v>
      </c>
      <c r="C3393" s="159">
        <v>20</v>
      </c>
      <c r="D3393" s="159">
        <v>76</v>
      </c>
      <c r="E3393" s="130"/>
      <c r="F3393" s="131"/>
      <c r="G3393" s="132"/>
      <c r="H3393" s="162" t="s">
        <v>22986</v>
      </c>
      <c r="I3393" s="128"/>
      <c r="J3393" s="128"/>
      <c r="K3393" s="128"/>
      <c r="L3393" s="128"/>
      <c r="M3393" s="129"/>
      <c r="N3393" s="129"/>
      <c r="O3393" s="129"/>
    </row>
    <row r="3394" spans="1:15" ht="12.5">
      <c r="A3394" s="158" t="s">
        <v>22989</v>
      </c>
      <c r="B3394" s="159">
        <v>40</v>
      </c>
      <c r="C3394" s="159">
        <v>20</v>
      </c>
      <c r="D3394" s="159">
        <v>76</v>
      </c>
      <c r="E3394" s="159">
        <v>2</v>
      </c>
      <c r="F3394" s="131"/>
      <c r="G3394" s="132"/>
      <c r="H3394" s="162" t="s">
        <v>22990</v>
      </c>
      <c r="I3394" s="158" t="s">
        <v>22991</v>
      </c>
      <c r="J3394" s="128"/>
      <c r="K3394" s="128"/>
      <c r="L3394" s="128"/>
      <c r="M3394" s="129"/>
      <c r="N3394" s="129"/>
      <c r="O3394" s="129"/>
    </row>
    <row r="3395" spans="1:15" ht="12.5">
      <c r="A3395" s="158" t="s">
        <v>22992</v>
      </c>
      <c r="B3395" s="159">
        <v>40</v>
      </c>
      <c r="C3395" s="159">
        <v>20</v>
      </c>
      <c r="D3395" s="159">
        <v>76</v>
      </c>
      <c r="E3395" s="159">
        <v>6</v>
      </c>
      <c r="F3395" s="131"/>
      <c r="G3395" s="132"/>
      <c r="H3395" s="162" t="s">
        <v>22993</v>
      </c>
      <c r="I3395" s="158" t="s">
        <v>22994</v>
      </c>
      <c r="J3395" s="128"/>
      <c r="K3395" s="128"/>
      <c r="L3395" s="128"/>
      <c r="M3395" s="129"/>
      <c r="N3395" s="129"/>
      <c r="O3395" s="129"/>
    </row>
    <row r="3396" spans="1:15" ht="12.5">
      <c r="A3396" s="158" t="s">
        <v>22995</v>
      </c>
      <c r="B3396" s="159">
        <v>40</v>
      </c>
      <c r="C3396" s="159">
        <v>20</v>
      </c>
      <c r="D3396" s="159">
        <v>76</v>
      </c>
      <c r="E3396" s="159">
        <v>7</v>
      </c>
      <c r="F3396" s="131"/>
      <c r="G3396" s="132"/>
      <c r="H3396" s="162" t="s">
        <v>22996</v>
      </c>
      <c r="I3396" s="158" t="s">
        <v>22997</v>
      </c>
      <c r="J3396" s="128"/>
      <c r="K3396" s="128"/>
      <c r="L3396" s="128"/>
      <c r="M3396" s="129"/>
      <c r="N3396" s="129"/>
      <c r="O3396" s="129"/>
    </row>
    <row r="3397" spans="1:15" ht="12.5">
      <c r="A3397" s="158" t="s">
        <v>22998</v>
      </c>
      <c r="B3397" s="159">
        <v>40</v>
      </c>
      <c r="C3397" s="159">
        <v>20</v>
      </c>
      <c r="D3397" s="159">
        <v>76</v>
      </c>
      <c r="E3397" s="159">
        <v>82</v>
      </c>
      <c r="F3397" s="131"/>
      <c r="G3397" s="132"/>
      <c r="H3397" s="162" t="s">
        <v>22999</v>
      </c>
      <c r="I3397" s="158" t="s">
        <v>23000</v>
      </c>
      <c r="J3397" s="128"/>
      <c r="K3397" s="128"/>
      <c r="L3397" s="128"/>
      <c r="M3397" s="129"/>
      <c r="N3397" s="129"/>
      <c r="O3397" s="129"/>
    </row>
    <row r="3398" spans="1:15" ht="12.5">
      <c r="A3398" s="158" t="s">
        <v>23001</v>
      </c>
      <c r="B3398" s="159">
        <v>40</v>
      </c>
      <c r="C3398" s="159">
        <v>20</v>
      </c>
      <c r="D3398" s="159">
        <v>76</v>
      </c>
      <c r="E3398" s="159">
        <v>83</v>
      </c>
      <c r="F3398" s="131"/>
      <c r="G3398" s="132"/>
      <c r="H3398" s="162" t="s">
        <v>23002</v>
      </c>
      <c r="I3398" s="128"/>
      <c r="J3398" s="128"/>
      <c r="K3398" s="128"/>
      <c r="L3398" s="128"/>
      <c r="M3398" s="129"/>
      <c r="N3398" s="129"/>
      <c r="O3398" s="129"/>
    </row>
    <row r="3399" spans="1:15" ht="12.5">
      <c r="A3399" s="158" t="s">
        <v>23003</v>
      </c>
      <c r="B3399" s="159">
        <v>40</v>
      </c>
      <c r="C3399" s="159">
        <v>20</v>
      </c>
      <c r="D3399" s="159">
        <v>76</v>
      </c>
      <c r="E3399" s="159">
        <v>84</v>
      </c>
      <c r="F3399" s="131"/>
      <c r="G3399" s="132"/>
      <c r="H3399" s="162" t="s">
        <v>23004</v>
      </c>
      <c r="I3399" s="158" t="s">
        <v>23005</v>
      </c>
      <c r="J3399" s="128"/>
      <c r="K3399" s="128"/>
      <c r="L3399" s="128"/>
      <c r="M3399" s="129"/>
      <c r="N3399" s="129"/>
      <c r="O3399" s="129"/>
    </row>
    <row r="3400" spans="1:15" ht="12.5">
      <c r="A3400" s="158" t="s">
        <v>23006</v>
      </c>
      <c r="B3400" s="159">
        <v>40</v>
      </c>
      <c r="C3400" s="159">
        <v>20</v>
      </c>
      <c r="D3400" s="159">
        <v>76</v>
      </c>
      <c r="E3400" s="159">
        <v>86</v>
      </c>
      <c r="F3400" s="131"/>
      <c r="G3400" s="132"/>
      <c r="H3400" s="162" t="s">
        <v>23007</v>
      </c>
      <c r="I3400" s="158" t="s">
        <v>23008</v>
      </c>
      <c r="J3400" s="128"/>
      <c r="K3400" s="128"/>
      <c r="L3400" s="128"/>
      <c r="M3400" s="129"/>
      <c r="N3400" s="129"/>
      <c r="O3400" s="129"/>
    </row>
    <row r="3401" spans="1:15" ht="12.5">
      <c r="A3401" s="158" t="s">
        <v>23009</v>
      </c>
      <c r="B3401" s="159">
        <v>40</v>
      </c>
      <c r="C3401" s="159">
        <v>20</v>
      </c>
      <c r="D3401" s="159">
        <v>76</v>
      </c>
      <c r="E3401" s="159">
        <v>88</v>
      </c>
      <c r="F3401" s="131"/>
      <c r="G3401" s="132"/>
      <c r="H3401" s="162" t="s">
        <v>23010</v>
      </c>
      <c r="I3401" s="158" t="s">
        <v>23011</v>
      </c>
      <c r="J3401" s="128"/>
      <c r="K3401" s="128"/>
      <c r="L3401" s="128"/>
      <c r="M3401" s="129"/>
      <c r="N3401" s="129"/>
      <c r="O3401" s="129"/>
    </row>
    <row r="3402" spans="1:15" ht="12.5">
      <c r="A3402" s="158" t="s">
        <v>23012</v>
      </c>
      <c r="B3402" s="159">
        <v>40</v>
      </c>
      <c r="C3402" s="159">
        <v>20</v>
      </c>
      <c r="D3402" s="159">
        <v>76</v>
      </c>
      <c r="E3402" s="159">
        <v>89</v>
      </c>
      <c r="F3402" s="131"/>
      <c r="G3402" s="132"/>
      <c r="H3402" s="162" t="s">
        <v>23013</v>
      </c>
      <c r="I3402" s="158" t="s">
        <v>23014</v>
      </c>
      <c r="J3402" s="128"/>
      <c r="K3402" s="128"/>
      <c r="L3402" s="128"/>
      <c r="M3402" s="129"/>
      <c r="N3402" s="129"/>
      <c r="O3402" s="129"/>
    </row>
    <row r="3403" spans="1:15" ht="12.5">
      <c r="A3403" s="158" t="s">
        <v>23015</v>
      </c>
      <c r="B3403" s="159">
        <v>40</v>
      </c>
      <c r="C3403" s="159">
        <v>20</v>
      </c>
      <c r="D3403" s="159">
        <v>76</v>
      </c>
      <c r="E3403" s="159">
        <v>90</v>
      </c>
      <c r="F3403" s="131"/>
      <c r="G3403" s="132"/>
      <c r="H3403" s="162" t="s">
        <v>23016</v>
      </c>
      <c r="I3403" s="158" t="s">
        <v>23017</v>
      </c>
      <c r="J3403" s="128"/>
      <c r="K3403" s="128"/>
      <c r="L3403" s="128"/>
      <c r="M3403" s="129"/>
      <c r="N3403" s="129"/>
      <c r="O3403" s="129"/>
    </row>
    <row r="3404" spans="1:15" ht="12.5">
      <c r="A3404" s="158" t="s">
        <v>23018</v>
      </c>
      <c r="B3404" s="159">
        <v>40</v>
      </c>
      <c r="C3404" s="159">
        <v>20</v>
      </c>
      <c r="D3404" s="159">
        <v>76</v>
      </c>
      <c r="E3404" s="159">
        <v>91</v>
      </c>
      <c r="F3404" s="131"/>
      <c r="G3404" s="132"/>
      <c r="H3404" s="162" t="s">
        <v>23019</v>
      </c>
      <c r="I3404" s="158" t="s">
        <v>23020</v>
      </c>
      <c r="J3404" s="128"/>
      <c r="K3404" s="128"/>
      <c r="L3404" s="128"/>
      <c r="M3404" s="129"/>
      <c r="N3404" s="129"/>
      <c r="O3404" s="129"/>
    </row>
    <row r="3405" spans="1:15" ht="12.5">
      <c r="A3405" s="158" t="s">
        <v>23021</v>
      </c>
      <c r="B3405" s="159">
        <v>40</v>
      </c>
      <c r="C3405" s="159">
        <v>20</v>
      </c>
      <c r="D3405" s="159">
        <v>76</v>
      </c>
      <c r="E3405" s="159">
        <v>92</v>
      </c>
      <c r="F3405" s="131"/>
      <c r="G3405" s="132"/>
      <c r="H3405" s="162" t="s">
        <v>23022</v>
      </c>
      <c r="I3405" s="158" t="s">
        <v>23023</v>
      </c>
      <c r="J3405" s="128"/>
      <c r="K3405" s="128"/>
      <c r="L3405" s="128"/>
      <c r="M3405" s="129"/>
      <c r="N3405" s="129"/>
      <c r="O3405" s="129"/>
    </row>
    <row r="3406" spans="1:15" ht="12.5">
      <c r="A3406" s="158" t="s">
        <v>23024</v>
      </c>
      <c r="B3406" s="159">
        <v>40</v>
      </c>
      <c r="C3406" s="159">
        <v>20</v>
      </c>
      <c r="D3406" s="159">
        <v>76</v>
      </c>
      <c r="E3406" s="159">
        <v>94</v>
      </c>
      <c r="F3406" s="131"/>
      <c r="G3406" s="132"/>
      <c r="H3406" s="162" t="s">
        <v>23025</v>
      </c>
      <c r="I3406" s="158" t="s">
        <v>23026</v>
      </c>
      <c r="J3406" s="128"/>
      <c r="K3406" s="128"/>
      <c r="L3406" s="128"/>
      <c r="M3406" s="129"/>
      <c r="N3406" s="129"/>
      <c r="O3406" s="129"/>
    </row>
    <row r="3407" spans="1:15" ht="12.5">
      <c r="A3407" s="158" t="s">
        <v>23027</v>
      </c>
      <c r="B3407" s="159">
        <v>40</v>
      </c>
      <c r="C3407" s="159">
        <v>20</v>
      </c>
      <c r="D3407" s="159">
        <v>76</v>
      </c>
      <c r="E3407" s="159">
        <v>98</v>
      </c>
      <c r="F3407" s="131"/>
      <c r="G3407" s="132"/>
      <c r="H3407" s="162" t="s">
        <v>23028</v>
      </c>
      <c r="I3407" s="158" t="s">
        <v>23029</v>
      </c>
      <c r="J3407" s="128"/>
      <c r="K3407" s="128"/>
      <c r="L3407" s="128"/>
      <c r="M3407" s="129"/>
      <c r="N3407" s="129"/>
      <c r="O3407" s="129"/>
    </row>
    <row r="3408" spans="1:15" ht="12.5">
      <c r="A3408" s="158" t="s">
        <v>23030</v>
      </c>
      <c r="B3408" s="159">
        <v>40</v>
      </c>
      <c r="C3408" s="159">
        <v>20</v>
      </c>
      <c r="D3408" s="159">
        <v>87</v>
      </c>
      <c r="E3408" s="130"/>
      <c r="F3408" s="131"/>
      <c r="G3408" s="132"/>
      <c r="H3408" s="162" t="s">
        <v>23031</v>
      </c>
      <c r="I3408" s="128"/>
      <c r="J3408" s="128"/>
      <c r="K3408" s="128"/>
      <c r="L3408" s="128"/>
      <c r="M3408" s="129"/>
      <c r="N3408" s="129"/>
      <c r="O3408" s="129"/>
    </row>
    <row r="3409" spans="1:15" ht="12.5">
      <c r="A3409" s="158" t="s">
        <v>23032</v>
      </c>
      <c r="B3409" s="159">
        <v>40</v>
      </c>
      <c r="C3409" s="159">
        <v>20</v>
      </c>
      <c r="D3409" s="159">
        <v>87</v>
      </c>
      <c r="E3409" s="159">
        <v>7</v>
      </c>
      <c r="F3409" s="131"/>
      <c r="G3409" s="132"/>
      <c r="H3409" s="162" t="s">
        <v>23033</v>
      </c>
      <c r="I3409" s="158" t="s">
        <v>23034</v>
      </c>
      <c r="J3409" s="128"/>
      <c r="K3409" s="128"/>
      <c r="L3409" s="128"/>
      <c r="M3409" s="129"/>
      <c r="N3409" s="129"/>
      <c r="O3409" s="129"/>
    </row>
    <row r="3410" spans="1:15" ht="12.5">
      <c r="A3410" s="158" t="s">
        <v>23035</v>
      </c>
      <c r="B3410" s="159">
        <v>40</v>
      </c>
      <c r="C3410" s="159">
        <v>20</v>
      </c>
      <c r="D3410" s="159">
        <v>87</v>
      </c>
      <c r="E3410" s="159">
        <v>8</v>
      </c>
      <c r="F3410" s="131"/>
      <c r="G3410" s="132"/>
      <c r="H3410" s="162" t="s">
        <v>23036</v>
      </c>
      <c r="I3410" s="128"/>
      <c r="J3410" s="128"/>
      <c r="K3410" s="128"/>
      <c r="L3410" s="128"/>
      <c r="M3410" s="129"/>
      <c r="N3410" s="129"/>
      <c r="O3410" s="129"/>
    </row>
    <row r="3411" spans="1:15" ht="12.5">
      <c r="A3411" s="158" t="s">
        <v>23037</v>
      </c>
      <c r="B3411" s="159">
        <v>40</v>
      </c>
      <c r="C3411" s="159">
        <v>20</v>
      </c>
      <c r="D3411" s="159">
        <v>87</v>
      </c>
      <c r="E3411" s="159">
        <v>9</v>
      </c>
      <c r="F3411" s="131"/>
      <c r="G3411" s="132"/>
      <c r="H3411" s="162" t="s">
        <v>23038</v>
      </c>
      <c r="I3411" s="158" t="s">
        <v>23034</v>
      </c>
      <c r="J3411" s="128"/>
      <c r="K3411" s="128"/>
      <c r="L3411" s="128"/>
      <c r="M3411" s="129"/>
      <c r="N3411" s="129"/>
      <c r="O3411" s="129"/>
    </row>
    <row r="3412" spans="1:15" ht="12.5">
      <c r="A3412" s="158" t="s">
        <v>23039</v>
      </c>
      <c r="B3412" s="159">
        <v>40</v>
      </c>
      <c r="C3412" s="159">
        <v>20</v>
      </c>
      <c r="D3412" s="159">
        <v>87</v>
      </c>
      <c r="E3412" s="159">
        <v>10</v>
      </c>
      <c r="F3412" s="131"/>
      <c r="G3412" s="132"/>
      <c r="H3412" s="162" t="s">
        <v>23040</v>
      </c>
      <c r="I3412" s="158" t="s">
        <v>23034</v>
      </c>
      <c r="J3412" s="128"/>
      <c r="K3412" s="128"/>
      <c r="L3412" s="128"/>
      <c r="M3412" s="129"/>
      <c r="N3412" s="129"/>
      <c r="O3412" s="129"/>
    </row>
    <row r="3413" spans="1:15" ht="12.5">
      <c r="A3413" s="158" t="s">
        <v>23041</v>
      </c>
      <c r="B3413" s="159">
        <v>40</v>
      </c>
      <c r="C3413" s="159">
        <v>20</v>
      </c>
      <c r="D3413" s="159">
        <v>87</v>
      </c>
      <c r="E3413" s="159">
        <v>11</v>
      </c>
      <c r="F3413" s="131"/>
      <c r="G3413" s="132"/>
      <c r="H3413" s="162" t="s">
        <v>23042</v>
      </c>
      <c r="I3413" s="158" t="s">
        <v>23043</v>
      </c>
      <c r="J3413" s="128"/>
      <c r="K3413" s="128"/>
      <c r="L3413" s="128"/>
      <c r="M3413" s="129"/>
      <c r="N3413" s="129"/>
      <c r="O3413" s="129"/>
    </row>
    <row r="3414" spans="1:15" ht="12.5">
      <c r="A3414" s="158" t="s">
        <v>23044</v>
      </c>
      <c r="B3414" s="159">
        <v>40</v>
      </c>
      <c r="C3414" s="159">
        <v>20</v>
      </c>
      <c r="D3414" s="159">
        <v>87</v>
      </c>
      <c r="E3414" s="159">
        <v>24</v>
      </c>
      <c r="F3414" s="131"/>
      <c r="G3414" s="132"/>
      <c r="H3414" s="162" t="s">
        <v>23045</v>
      </c>
      <c r="I3414" s="158" t="s">
        <v>23046</v>
      </c>
      <c r="J3414" s="128"/>
      <c r="K3414" s="128"/>
      <c r="L3414" s="128"/>
      <c r="M3414" s="129"/>
      <c r="N3414" s="129"/>
      <c r="O3414" s="129"/>
    </row>
    <row r="3415" spans="1:15" ht="12.5">
      <c r="A3415" s="158" t="s">
        <v>33449</v>
      </c>
      <c r="B3415" s="159">
        <v>40</v>
      </c>
      <c r="C3415" s="159">
        <v>20</v>
      </c>
      <c r="D3415" s="159">
        <v>87</v>
      </c>
      <c r="E3415" s="159">
        <v>28</v>
      </c>
      <c r="F3415" s="131"/>
      <c r="G3415" s="132"/>
      <c r="H3415" s="162" t="s">
        <v>22961</v>
      </c>
      <c r="I3415" s="158" t="s">
        <v>22962</v>
      </c>
      <c r="J3415" s="128"/>
      <c r="K3415" s="128"/>
      <c r="L3415" s="128"/>
      <c r="M3415" s="129"/>
      <c r="N3415" s="129"/>
      <c r="O3415" s="129"/>
    </row>
    <row r="3416" spans="1:15" ht="12.5">
      <c r="A3416" s="158" t="s">
        <v>23047</v>
      </c>
      <c r="B3416" s="159">
        <v>40</v>
      </c>
      <c r="C3416" s="159">
        <v>20</v>
      </c>
      <c r="D3416" s="159">
        <v>87</v>
      </c>
      <c r="E3416" s="159">
        <v>31</v>
      </c>
      <c r="F3416" s="131"/>
      <c r="G3416" s="132"/>
      <c r="H3416" s="162" t="s">
        <v>23048</v>
      </c>
      <c r="I3416" s="128"/>
      <c r="J3416" s="128"/>
      <c r="K3416" s="128"/>
      <c r="L3416" s="128"/>
      <c r="M3416" s="129"/>
      <c r="N3416" s="129"/>
      <c r="O3416" s="129"/>
    </row>
    <row r="3417" spans="1:15" ht="12.5">
      <c r="A3417" s="158" t="s">
        <v>23049</v>
      </c>
      <c r="B3417" s="159">
        <v>40</v>
      </c>
      <c r="C3417" s="159">
        <v>20</v>
      </c>
      <c r="D3417" s="159">
        <v>87</v>
      </c>
      <c r="E3417" s="159">
        <v>33</v>
      </c>
      <c r="F3417" s="131"/>
      <c r="G3417" s="132"/>
      <c r="H3417" s="162" t="s">
        <v>23050</v>
      </c>
      <c r="I3417" s="128"/>
      <c r="J3417" s="128"/>
      <c r="K3417" s="128"/>
      <c r="L3417" s="128"/>
      <c r="M3417" s="129"/>
      <c r="N3417" s="129"/>
      <c r="O3417" s="129"/>
    </row>
    <row r="3418" spans="1:15" ht="12.5">
      <c r="A3418" s="158" t="s">
        <v>23051</v>
      </c>
      <c r="B3418" s="159">
        <v>40</v>
      </c>
      <c r="C3418" s="159">
        <v>20</v>
      </c>
      <c r="D3418" s="159">
        <v>87</v>
      </c>
      <c r="E3418" s="159">
        <v>35</v>
      </c>
      <c r="F3418" s="131"/>
      <c r="G3418" s="132"/>
      <c r="H3418" s="162" t="s">
        <v>23052</v>
      </c>
      <c r="I3418" s="128"/>
      <c r="J3418" s="128"/>
      <c r="K3418" s="128"/>
      <c r="L3418" s="128"/>
      <c r="M3418" s="129"/>
      <c r="N3418" s="129"/>
      <c r="O3418" s="129"/>
    </row>
    <row r="3419" spans="1:15" ht="12.5">
      <c r="A3419" s="158" t="s">
        <v>23053</v>
      </c>
      <c r="B3419" s="159">
        <v>40</v>
      </c>
      <c r="C3419" s="159">
        <v>20</v>
      </c>
      <c r="D3419" s="159">
        <v>87</v>
      </c>
      <c r="E3419" s="159">
        <v>43</v>
      </c>
      <c r="F3419" s="131"/>
      <c r="G3419" s="132"/>
      <c r="H3419" s="162" t="s">
        <v>23054</v>
      </c>
      <c r="I3419" s="128"/>
      <c r="J3419" s="128"/>
      <c r="K3419" s="128"/>
      <c r="L3419" s="128"/>
      <c r="M3419" s="129"/>
      <c r="N3419" s="129"/>
      <c r="O3419" s="129"/>
    </row>
    <row r="3420" spans="1:15" ht="12.5">
      <c r="A3420" s="158" t="s">
        <v>23055</v>
      </c>
      <c r="B3420" s="159">
        <v>40</v>
      </c>
      <c r="C3420" s="159">
        <v>20</v>
      </c>
      <c r="D3420" s="159">
        <v>87</v>
      </c>
      <c r="E3420" s="159">
        <v>49</v>
      </c>
      <c r="F3420" s="131"/>
      <c r="G3420" s="132"/>
      <c r="H3420" s="162" t="s">
        <v>23056</v>
      </c>
      <c r="I3420" s="128"/>
      <c r="J3420" s="128"/>
      <c r="K3420" s="128"/>
      <c r="L3420" s="128"/>
      <c r="M3420" s="129"/>
      <c r="N3420" s="129"/>
      <c r="O3420" s="129"/>
    </row>
    <row r="3421" spans="1:15" ht="12.5">
      <c r="A3421" s="158" t="s">
        <v>23057</v>
      </c>
      <c r="B3421" s="159">
        <v>40</v>
      </c>
      <c r="C3421" s="159">
        <v>20</v>
      </c>
      <c r="D3421" s="159">
        <v>87</v>
      </c>
      <c r="E3421" s="159">
        <v>75</v>
      </c>
      <c r="F3421" s="131"/>
      <c r="G3421" s="132"/>
      <c r="H3421" s="162" t="s">
        <v>23058</v>
      </c>
      <c r="I3421" s="158" t="s">
        <v>23059</v>
      </c>
      <c r="J3421" s="128"/>
      <c r="K3421" s="128"/>
      <c r="L3421" s="128"/>
      <c r="M3421" s="129"/>
      <c r="N3421" s="129"/>
      <c r="O3421" s="129"/>
    </row>
    <row r="3422" spans="1:15" ht="12.5">
      <c r="A3422" s="158" t="s">
        <v>23060</v>
      </c>
      <c r="B3422" s="159">
        <v>40</v>
      </c>
      <c r="C3422" s="159">
        <v>20</v>
      </c>
      <c r="D3422" s="159">
        <v>87</v>
      </c>
      <c r="E3422" s="159">
        <v>76</v>
      </c>
      <c r="F3422" s="131"/>
      <c r="G3422" s="132"/>
      <c r="H3422" s="162" t="s">
        <v>23061</v>
      </c>
      <c r="I3422" s="158" t="s">
        <v>23062</v>
      </c>
      <c r="J3422" s="128"/>
      <c r="K3422" s="128"/>
      <c r="L3422" s="128"/>
      <c r="M3422" s="129"/>
      <c r="N3422" s="129"/>
      <c r="O3422" s="129"/>
    </row>
    <row r="3423" spans="1:15" ht="12.5">
      <c r="A3423" s="158" t="s">
        <v>23063</v>
      </c>
      <c r="B3423" s="159">
        <v>40</v>
      </c>
      <c r="C3423" s="159">
        <v>20</v>
      </c>
      <c r="D3423" s="159">
        <v>87</v>
      </c>
      <c r="E3423" s="159">
        <v>77</v>
      </c>
      <c r="F3423" s="131"/>
      <c r="G3423" s="132"/>
      <c r="H3423" s="162" t="s">
        <v>23064</v>
      </c>
      <c r="I3423" s="128"/>
      <c r="J3423" s="128"/>
      <c r="K3423" s="128"/>
      <c r="L3423" s="128"/>
      <c r="M3423" s="129"/>
      <c r="N3423" s="129"/>
      <c r="O3423" s="129"/>
    </row>
    <row r="3424" spans="1:15" ht="12.5">
      <c r="A3424" s="158" t="s">
        <v>23065</v>
      </c>
      <c r="B3424" s="159">
        <v>40</v>
      </c>
      <c r="C3424" s="159">
        <v>20</v>
      </c>
      <c r="D3424" s="159">
        <v>87</v>
      </c>
      <c r="E3424" s="159">
        <v>78</v>
      </c>
      <c r="F3424" s="131"/>
      <c r="G3424" s="132"/>
      <c r="H3424" s="162" t="s">
        <v>23066</v>
      </c>
      <c r="I3424" s="158" t="s">
        <v>23067</v>
      </c>
      <c r="J3424" s="128"/>
      <c r="K3424" s="128"/>
      <c r="L3424" s="128"/>
      <c r="M3424" s="129"/>
      <c r="N3424" s="129"/>
      <c r="O3424" s="129"/>
    </row>
    <row r="3425" spans="1:15" ht="12.5">
      <c r="A3425" s="158" t="s">
        <v>23068</v>
      </c>
      <c r="B3425" s="159">
        <v>40</v>
      </c>
      <c r="C3425" s="159">
        <v>20</v>
      </c>
      <c r="D3425" s="159">
        <v>87</v>
      </c>
      <c r="E3425" s="159">
        <v>79</v>
      </c>
      <c r="F3425" s="131"/>
      <c r="G3425" s="132"/>
      <c r="H3425" s="162" t="s">
        <v>23069</v>
      </c>
      <c r="I3425" s="128"/>
      <c r="J3425" s="128"/>
      <c r="K3425" s="128"/>
      <c r="L3425" s="128"/>
      <c r="M3425" s="129"/>
      <c r="N3425" s="129"/>
      <c r="O3425" s="129"/>
    </row>
    <row r="3426" spans="1:15" ht="12.5">
      <c r="A3426" s="158" t="s">
        <v>23070</v>
      </c>
      <c r="B3426" s="159">
        <v>40</v>
      </c>
      <c r="C3426" s="159">
        <v>20</v>
      </c>
      <c r="D3426" s="159">
        <v>87</v>
      </c>
      <c r="E3426" s="159">
        <v>80</v>
      </c>
      <c r="F3426" s="131"/>
      <c r="G3426" s="132"/>
      <c r="H3426" s="162" t="s">
        <v>23071</v>
      </c>
      <c r="I3426" s="158" t="s">
        <v>23067</v>
      </c>
      <c r="J3426" s="128"/>
      <c r="K3426" s="128"/>
      <c r="L3426" s="128"/>
      <c r="M3426" s="129"/>
      <c r="N3426" s="129"/>
      <c r="O3426" s="129"/>
    </row>
    <row r="3427" spans="1:15" ht="12.5">
      <c r="A3427" s="158" t="s">
        <v>23072</v>
      </c>
      <c r="B3427" s="159">
        <v>40</v>
      </c>
      <c r="C3427" s="159">
        <v>20</v>
      </c>
      <c r="D3427" s="159">
        <v>87</v>
      </c>
      <c r="E3427" s="159">
        <v>81</v>
      </c>
      <c r="F3427" s="131"/>
      <c r="G3427" s="132"/>
      <c r="H3427" s="162" t="s">
        <v>23073</v>
      </c>
      <c r="I3427" s="158" t="s">
        <v>23067</v>
      </c>
      <c r="J3427" s="128"/>
      <c r="K3427" s="128"/>
      <c r="L3427" s="128"/>
      <c r="M3427" s="129"/>
      <c r="N3427" s="129"/>
      <c r="O3427" s="129"/>
    </row>
    <row r="3428" spans="1:15" ht="12.5">
      <c r="A3428" s="158" t="s">
        <v>23074</v>
      </c>
      <c r="B3428" s="159">
        <v>40</v>
      </c>
      <c r="C3428" s="159">
        <v>20</v>
      </c>
      <c r="D3428" s="159">
        <v>87</v>
      </c>
      <c r="E3428" s="159">
        <v>82</v>
      </c>
      <c r="F3428" s="131"/>
      <c r="G3428" s="132"/>
      <c r="H3428" s="162" t="s">
        <v>23075</v>
      </c>
      <c r="I3428" s="158" t="s">
        <v>23076</v>
      </c>
      <c r="J3428" s="128"/>
      <c r="K3428" s="128"/>
      <c r="L3428" s="128"/>
      <c r="M3428" s="129"/>
      <c r="N3428" s="129"/>
      <c r="O3428" s="129"/>
    </row>
    <row r="3429" spans="1:15" ht="12.5">
      <c r="A3429" s="158" t="s">
        <v>23077</v>
      </c>
      <c r="B3429" s="159">
        <v>40</v>
      </c>
      <c r="C3429" s="159">
        <v>20</v>
      </c>
      <c r="D3429" s="159">
        <v>87</v>
      </c>
      <c r="E3429" s="159">
        <v>83</v>
      </c>
      <c r="F3429" s="131"/>
      <c r="G3429" s="132"/>
      <c r="H3429" s="162" t="s">
        <v>23078</v>
      </c>
      <c r="I3429" s="128"/>
      <c r="J3429" s="128"/>
      <c r="K3429" s="128"/>
      <c r="L3429" s="128"/>
      <c r="M3429" s="129"/>
      <c r="N3429" s="129"/>
      <c r="O3429" s="129"/>
    </row>
    <row r="3430" spans="1:15" ht="12.5">
      <c r="A3430" s="158" t="s">
        <v>23079</v>
      </c>
      <c r="B3430" s="159">
        <v>40</v>
      </c>
      <c r="C3430" s="159">
        <v>20</v>
      </c>
      <c r="D3430" s="159">
        <v>87</v>
      </c>
      <c r="E3430" s="159">
        <v>84</v>
      </c>
      <c r="F3430" s="131"/>
      <c r="G3430" s="132"/>
      <c r="H3430" s="162" t="s">
        <v>23080</v>
      </c>
      <c r="I3430" s="158" t="s">
        <v>23076</v>
      </c>
      <c r="J3430" s="128"/>
      <c r="K3430" s="128"/>
      <c r="L3430" s="128"/>
      <c r="M3430" s="129"/>
      <c r="N3430" s="129"/>
      <c r="O3430" s="129"/>
    </row>
    <row r="3431" spans="1:15" ht="12.5">
      <c r="A3431" s="158" t="s">
        <v>23081</v>
      </c>
      <c r="B3431" s="159">
        <v>40</v>
      </c>
      <c r="C3431" s="159">
        <v>20</v>
      </c>
      <c r="D3431" s="159">
        <v>87</v>
      </c>
      <c r="E3431" s="159">
        <v>85</v>
      </c>
      <c r="F3431" s="131"/>
      <c r="G3431" s="132"/>
      <c r="H3431" s="162" t="s">
        <v>23082</v>
      </c>
      <c r="I3431" s="158" t="s">
        <v>23076</v>
      </c>
      <c r="J3431" s="128"/>
      <c r="K3431" s="128"/>
      <c r="L3431" s="128"/>
      <c r="M3431" s="129"/>
      <c r="N3431" s="129"/>
      <c r="O3431" s="129"/>
    </row>
    <row r="3432" spans="1:15" ht="12.5">
      <c r="A3432" s="158" t="s">
        <v>23085</v>
      </c>
      <c r="B3432" s="159">
        <v>40</v>
      </c>
      <c r="C3432" s="159">
        <v>20</v>
      </c>
      <c r="D3432" s="159">
        <v>87</v>
      </c>
      <c r="E3432" s="159">
        <v>96</v>
      </c>
      <c r="F3432" s="131"/>
      <c r="G3432" s="132"/>
      <c r="H3432" s="162" t="s">
        <v>23086</v>
      </c>
      <c r="I3432" s="158" t="s">
        <v>23087</v>
      </c>
      <c r="J3432" s="128"/>
      <c r="K3432" s="128"/>
      <c r="L3432" s="128"/>
      <c r="M3432" s="129"/>
      <c r="N3432" s="129"/>
      <c r="O3432" s="129"/>
    </row>
    <row r="3433" spans="1:15" ht="12.5">
      <c r="A3433" s="158" t="s">
        <v>23088</v>
      </c>
      <c r="B3433" s="159">
        <v>40</v>
      </c>
      <c r="C3433" s="159">
        <v>20</v>
      </c>
      <c r="D3433" s="159">
        <v>87</v>
      </c>
      <c r="E3433" s="159">
        <v>97</v>
      </c>
      <c r="F3433" s="131"/>
      <c r="G3433" s="132"/>
      <c r="H3433" s="162" t="s">
        <v>23089</v>
      </c>
      <c r="I3433" s="128"/>
      <c r="J3433" s="128"/>
      <c r="K3433" s="128"/>
      <c r="L3433" s="128"/>
      <c r="M3433" s="129"/>
      <c r="N3433" s="129"/>
      <c r="O3433" s="129"/>
    </row>
    <row r="3434" spans="1:15" ht="12.5">
      <c r="A3434" s="158" t="s">
        <v>23090</v>
      </c>
      <c r="B3434" s="159">
        <v>40</v>
      </c>
      <c r="C3434" s="159">
        <v>20</v>
      </c>
      <c r="D3434" s="159">
        <v>87</v>
      </c>
      <c r="E3434" s="159">
        <v>98</v>
      </c>
      <c r="F3434" s="131"/>
      <c r="G3434" s="132"/>
      <c r="H3434" s="162" t="s">
        <v>23091</v>
      </c>
      <c r="I3434" s="158" t="s">
        <v>23087</v>
      </c>
      <c r="J3434" s="128"/>
      <c r="K3434" s="128"/>
      <c r="L3434" s="128"/>
      <c r="M3434" s="129"/>
      <c r="N3434" s="129"/>
      <c r="O3434" s="129"/>
    </row>
    <row r="3435" spans="1:15" ht="12.5">
      <c r="A3435" s="158" t="s">
        <v>23092</v>
      </c>
      <c r="B3435" s="159">
        <v>40</v>
      </c>
      <c r="C3435" s="159">
        <v>20</v>
      </c>
      <c r="D3435" s="159">
        <v>87</v>
      </c>
      <c r="E3435" s="159">
        <v>99</v>
      </c>
      <c r="F3435" s="131"/>
      <c r="G3435" s="132"/>
      <c r="H3435" s="162" t="s">
        <v>23093</v>
      </c>
      <c r="I3435" s="158" t="s">
        <v>23087</v>
      </c>
      <c r="J3435" s="128"/>
      <c r="K3435" s="128"/>
      <c r="L3435" s="128"/>
      <c r="M3435" s="129"/>
      <c r="N3435" s="129"/>
      <c r="O3435" s="129"/>
    </row>
    <row r="3436" spans="1:15" ht="12.5">
      <c r="A3436" s="158" t="s">
        <v>23094</v>
      </c>
      <c r="B3436" s="159">
        <v>40</v>
      </c>
      <c r="C3436" s="159">
        <v>20</v>
      </c>
      <c r="D3436" s="159">
        <v>93</v>
      </c>
      <c r="E3436" s="130"/>
      <c r="F3436" s="131"/>
      <c r="G3436" s="132"/>
      <c r="H3436" s="162" t="s">
        <v>23095</v>
      </c>
      <c r="I3436" s="128"/>
      <c r="J3436" s="128"/>
      <c r="K3436" s="128"/>
      <c r="L3436" s="128"/>
      <c r="M3436" s="129"/>
      <c r="N3436" s="129"/>
      <c r="O3436" s="129"/>
    </row>
    <row r="3437" spans="1:15" ht="12.5">
      <c r="A3437" s="158" t="s">
        <v>23098</v>
      </c>
      <c r="B3437" s="159">
        <v>40</v>
      </c>
      <c r="C3437" s="159">
        <v>20</v>
      </c>
      <c r="D3437" s="159">
        <v>93</v>
      </c>
      <c r="E3437" s="159">
        <v>36</v>
      </c>
      <c r="F3437" s="131"/>
      <c r="G3437" s="132"/>
      <c r="H3437" s="162" t="s">
        <v>23099</v>
      </c>
      <c r="I3437" s="158" t="s">
        <v>23100</v>
      </c>
      <c r="J3437" s="128"/>
      <c r="K3437" s="128"/>
      <c r="L3437" s="128"/>
      <c r="M3437" s="129"/>
      <c r="N3437" s="129"/>
      <c r="O3437" s="129"/>
    </row>
    <row r="3438" spans="1:15" ht="12.5">
      <c r="A3438" s="158" t="s">
        <v>23101</v>
      </c>
      <c r="B3438" s="159">
        <v>40</v>
      </c>
      <c r="C3438" s="159">
        <v>20</v>
      </c>
      <c r="D3438" s="159">
        <v>93</v>
      </c>
      <c r="E3438" s="159">
        <v>37</v>
      </c>
      <c r="F3438" s="131"/>
      <c r="G3438" s="132"/>
      <c r="H3438" s="162" t="s">
        <v>23102</v>
      </c>
      <c r="I3438" s="158" t="s">
        <v>23103</v>
      </c>
      <c r="J3438" s="128"/>
      <c r="K3438" s="128"/>
      <c r="L3438" s="128"/>
      <c r="M3438" s="129"/>
      <c r="N3438" s="129"/>
      <c r="O3438" s="129"/>
    </row>
    <row r="3439" spans="1:15" ht="12.5">
      <c r="A3439" s="158" t="s">
        <v>23104</v>
      </c>
      <c r="B3439" s="159">
        <v>40</v>
      </c>
      <c r="C3439" s="159">
        <v>20</v>
      </c>
      <c r="D3439" s="159">
        <v>93</v>
      </c>
      <c r="E3439" s="159">
        <v>38</v>
      </c>
      <c r="F3439" s="131"/>
      <c r="G3439" s="132"/>
      <c r="H3439" s="162" t="s">
        <v>23105</v>
      </c>
      <c r="I3439" s="128"/>
      <c r="J3439" s="128"/>
      <c r="K3439" s="128"/>
      <c r="L3439" s="128"/>
      <c r="M3439" s="129"/>
      <c r="N3439" s="129"/>
      <c r="O3439" s="129"/>
    </row>
    <row r="3440" spans="1:15" ht="12.5">
      <c r="A3440" s="158" t="s">
        <v>23106</v>
      </c>
      <c r="B3440" s="159">
        <v>40</v>
      </c>
      <c r="C3440" s="159">
        <v>20</v>
      </c>
      <c r="D3440" s="159">
        <v>93</v>
      </c>
      <c r="E3440" s="159">
        <v>39</v>
      </c>
      <c r="F3440" s="131"/>
      <c r="G3440" s="132"/>
      <c r="H3440" s="162" t="s">
        <v>23107</v>
      </c>
      <c r="I3440" s="128"/>
      <c r="J3440" s="128"/>
      <c r="K3440" s="128"/>
      <c r="L3440" s="128"/>
      <c r="M3440" s="129"/>
      <c r="N3440" s="129"/>
      <c r="O3440" s="129"/>
    </row>
    <row r="3441" spans="1:15" ht="12.5">
      <c r="A3441" s="158" t="s">
        <v>23108</v>
      </c>
      <c r="B3441" s="159">
        <v>40</v>
      </c>
      <c r="C3441" s="159">
        <v>20</v>
      </c>
      <c r="D3441" s="159">
        <v>93</v>
      </c>
      <c r="E3441" s="159">
        <v>62</v>
      </c>
      <c r="F3441" s="131"/>
      <c r="G3441" s="132"/>
      <c r="H3441" s="162" t="s">
        <v>23109</v>
      </c>
      <c r="I3441" s="158" t="s">
        <v>23110</v>
      </c>
      <c r="J3441" s="128"/>
      <c r="K3441" s="128"/>
      <c r="L3441" s="128"/>
      <c r="M3441" s="129"/>
      <c r="N3441" s="129"/>
      <c r="O3441" s="129"/>
    </row>
    <row r="3442" spans="1:15" ht="12.5">
      <c r="A3442" s="158" t="s">
        <v>23111</v>
      </c>
      <c r="B3442" s="159">
        <v>40</v>
      </c>
      <c r="C3442" s="159">
        <v>20</v>
      </c>
      <c r="D3442" s="159">
        <v>93</v>
      </c>
      <c r="E3442" s="159">
        <v>74</v>
      </c>
      <c r="F3442" s="131"/>
      <c r="G3442" s="132"/>
      <c r="H3442" s="162" t="s">
        <v>23112</v>
      </c>
      <c r="I3442" s="158" t="s">
        <v>23113</v>
      </c>
      <c r="J3442" s="128"/>
      <c r="K3442" s="128"/>
      <c r="L3442" s="128"/>
      <c r="M3442" s="129"/>
      <c r="N3442" s="129"/>
      <c r="O3442" s="129"/>
    </row>
    <row r="3443" spans="1:15" ht="12.5">
      <c r="A3443" s="158" t="s">
        <v>23114</v>
      </c>
      <c r="B3443" s="159">
        <v>40</v>
      </c>
      <c r="C3443" s="159">
        <v>20</v>
      </c>
      <c r="D3443" s="159">
        <v>93</v>
      </c>
      <c r="E3443" s="159">
        <v>77</v>
      </c>
      <c r="F3443" s="131"/>
      <c r="G3443" s="132"/>
      <c r="H3443" s="162" t="s">
        <v>23115</v>
      </c>
      <c r="I3443" s="158" t="s">
        <v>23116</v>
      </c>
      <c r="J3443" s="128"/>
      <c r="K3443" s="128"/>
      <c r="L3443" s="128"/>
      <c r="M3443" s="129"/>
      <c r="N3443" s="129"/>
      <c r="O3443" s="129"/>
    </row>
    <row r="3444" spans="1:15" ht="12.5">
      <c r="A3444" s="158" t="s">
        <v>23117</v>
      </c>
      <c r="B3444" s="159">
        <v>40</v>
      </c>
      <c r="C3444" s="159">
        <v>20</v>
      </c>
      <c r="D3444" s="159">
        <v>93</v>
      </c>
      <c r="E3444" s="159">
        <v>78</v>
      </c>
      <c r="F3444" s="131"/>
      <c r="G3444" s="132"/>
      <c r="H3444" s="162" t="s">
        <v>23118</v>
      </c>
      <c r="I3444" s="158" t="s">
        <v>23119</v>
      </c>
      <c r="J3444" s="128"/>
      <c r="K3444" s="128"/>
      <c r="L3444" s="128"/>
      <c r="M3444" s="129"/>
      <c r="N3444" s="129"/>
      <c r="O3444" s="129"/>
    </row>
    <row r="3445" spans="1:15" ht="12.5">
      <c r="A3445" s="158" t="s">
        <v>23120</v>
      </c>
      <c r="B3445" s="159">
        <v>40</v>
      </c>
      <c r="C3445" s="159">
        <v>20</v>
      </c>
      <c r="D3445" s="159">
        <v>93</v>
      </c>
      <c r="E3445" s="159">
        <v>79</v>
      </c>
      <c r="F3445" s="131"/>
      <c r="G3445" s="132"/>
      <c r="H3445" s="162" t="s">
        <v>23121</v>
      </c>
      <c r="I3445" s="158" t="s">
        <v>23122</v>
      </c>
      <c r="J3445" s="128"/>
      <c r="K3445" s="128"/>
      <c r="L3445" s="128"/>
      <c r="M3445" s="129"/>
      <c r="N3445" s="129"/>
      <c r="O3445" s="129"/>
    </row>
    <row r="3446" spans="1:15" ht="12.5">
      <c r="A3446" s="158" t="s">
        <v>23123</v>
      </c>
      <c r="B3446" s="159">
        <v>40</v>
      </c>
      <c r="C3446" s="159">
        <v>20</v>
      </c>
      <c r="D3446" s="159">
        <v>93</v>
      </c>
      <c r="E3446" s="159">
        <v>80</v>
      </c>
      <c r="F3446" s="131"/>
      <c r="G3446" s="132"/>
      <c r="H3446" s="162" t="s">
        <v>23124</v>
      </c>
      <c r="I3446" s="158" t="s">
        <v>23125</v>
      </c>
      <c r="J3446" s="128"/>
      <c r="K3446" s="128"/>
      <c r="L3446" s="128"/>
      <c r="M3446" s="129"/>
      <c r="N3446" s="129"/>
      <c r="O3446" s="129"/>
    </row>
    <row r="3447" spans="1:15" ht="12.5">
      <c r="A3447" s="158" t="s">
        <v>33450</v>
      </c>
      <c r="B3447" s="159">
        <v>40</v>
      </c>
      <c r="C3447" s="159">
        <v>20</v>
      </c>
      <c r="D3447" s="159">
        <v>93</v>
      </c>
      <c r="E3447" s="159">
        <v>81</v>
      </c>
      <c r="F3447" s="131"/>
      <c r="G3447" s="132"/>
      <c r="H3447" s="162" t="s">
        <v>30419</v>
      </c>
      <c r="I3447" s="128"/>
      <c r="J3447" s="128"/>
      <c r="K3447" s="128"/>
      <c r="L3447" s="128"/>
      <c r="M3447" s="129"/>
      <c r="N3447" s="129"/>
      <c r="O3447" s="129"/>
    </row>
    <row r="3448" spans="1:15" ht="12.5">
      <c r="A3448" s="158" t="s">
        <v>23126</v>
      </c>
      <c r="B3448" s="159">
        <v>40</v>
      </c>
      <c r="C3448" s="159">
        <v>20</v>
      </c>
      <c r="D3448" s="159">
        <v>93</v>
      </c>
      <c r="E3448" s="159">
        <v>82</v>
      </c>
      <c r="F3448" s="131"/>
      <c r="G3448" s="132"/>
      <c r="H3448" s="162" t="s">
        <v>23127</v>
      </c>
      <c r="I3448" s="158" t="s">
        <v>23128</v>
      </c>
      <c r="J3448" s="128"/>
      <c r="K3448" s="128"/>
      <c r="L3448" s="128"/>
      <c r="M3448" s="129"/>
      <c r="N3448" s="129"/>
      <c r="O3448" s="129"/>
    </row>
    <row r="3449" spans="1:15" ht="12.5">
      <c r="A3449" s="158" t="s">
        <v>23129</v>
      </c>
      <c r="B3449" s="159">
        <v>40</v>
      </c>
      <c r="C3449" s="159">
        <v>20</v>
      </c>
      <c r="D3449" s="159">
        <v>93</v>
      </c>
      <c r="E3449" s="159">
        <v>84</v>
      </c>
      <c r="F3449" s="131"/>
      <c r="G3449" s="132"/>
      <c r="H3449" s="162" t="s">
        <v>23130</v>
      </c>
      <c r="I3449" s="158" t="s">
        <v>23131</v>
      </c>
      <c r="J3449" s="128"/>
      <c r="K3449" s="128"/>
      <c r="L3449" s="128"/>
      <c r="M3449" s="129"/>
      <c r="N3449" s="129"/>
      <c r="O3449" s="129"/>
    </row>
    <row r="3450" spans="1:15" ht="12.5">
      <c r="A3450" s="158" t="s">
        <v>23132</v>
      </c>
      <c r="B3450" s="159">
        <v>40</v>
      </c>
      <c r="C3450" s="159">
        <v>20</v>
      </c>
      <c r="D3450" s="159">
        <v>93</v>
      </c>
      <c r="E3450" s="159">
        <v>85</v>
      </c>
      <c r="F3450" s="131"/>
      <c r="G3450" s="132"/>
      <c r="H3450" s="162" t="s">
        <v>33451</v>
      </c>
      <c r="I3450" s="158" t="s">
        <v>23134</v>
      </c>
      <c r="J3450" s="128"/>
      <c r="K3450" s="128"/>
      <c r="L3450" s="128"/>
      <c r="M3450" s="129"/>
      <c r="N3450" s="129"/>
      <c r="O3450" s="129"/>
    </row>
    <row r="3451" spans="1:15" ht="12.5">
      <c r="A3451" s="158" t="s">
        <v>23135</v>
      </c>
      <c r="B3451" s="159">
        <v>40</v>
      </c>
      <c r="C3451" s="159">
        <v>20</v>
      </c>
      <c r="D3451" s="159">
        <v>93</v>
      </c>
      <c r="E3451" s="159">
        <v>86</v>
      </c>
      <c r="F3451" s="131"/>
      <c r="G3451" s="132"/>
      <c r="H3451" s="162" t="s">
        <v>23136</v>
      </c>
      <c r="I3451" s="158" t="s">
        <v>23137</v>
      </c>
      <c r="J3451" s="128"/>
      <c r="K3451" s="128"/>
      <c r="L3451" s="128"/>
      <c r="M3451" s="129"/>
      <c r="N3451" s="129"/>
      <c r="O3451" s="129"/>
    </row>
    <row r="3452" spans="1:15" ht="12.5">
      <c r="A3452" s="158" t="s">
        <v>23138</v>
      </c>
      <c r="B3452" s="159">
        <v>40</v>
      </c>
      <c r="C3452" s="159">
        <v>20</v>
      </c>
      <c r="D3452" s="159">
        <v>93</v>
      </c>
      <c r="E3452" s="159">
        <v>87</v>
      </c>
      <c r="F3452" s="131"/>
      <c r="G3452" s="132"/>
      <c r="H3452" s="162" t="s">
        <v>23139</v>
      </c>
      <c r="I3452" s="158" t="s">
        <v>23140</v>
      </c>
      <c r="J3452" s="128"/>
      <c r="K3452" s="128"/>
      <c r="L3452" s="128"/>
      <c r="M3452" s="129"/>
      <c r="N3452" s="129"/>
      <c r="O3452" s="129"/>
    </row>
    <row r="3453" spans="1:15" ht="12.5">
      <c r="A3453" s="158" t="s">
        <v>23141</v>
      </c>
      <c r="B3453" s="159">
        <v>40</v>
      </c>
      <c r="C3453" s="159">
        <v>20</v>
      </c>
      <c r="D3453" s="159">
        <v>93</v>
      </c>
      <c r="E3453" s="159">
        <v>89</v>
      </c>
      <c r="F3453" s="131"/>
      <c r="G3453" s="132"/>
      <c r="H3453" s="162" t="s">
        <v>23142</v>
      </c>
      <c r="I3453" s="158" t="s">
        <v>23143</v>
      </c>
      <c r="J3453" s="128"/>
      <c r="K3453" s="128"/>
      <c r="L3453" s="128"/>
      <c r="M3453" s="129"/>
      <c r="N3453" s="129"/>
      <c r="O3453" s="129"/>
    </row>
    <row r="3454" spans="1:15" ht="12.5">
      <c r="A3454" s="158" t="s">
        <v>23144</v>
      </c>
      <c r="B3454" s="159">
        <v>40</v>
      </c>
      <c r="C3454" s="159">
        <v>20</v>
      </c>
      <c r="D3454" s="159">
        <v>93</v>
      </c>
      <c r="E3454" s="159">
        <v>90</v>
      </c>
      <c r="F3454" s="131"/>
      <c r="G3454" s="132"/>
      <c r="H3454" s="162" t="s">
        <v>23145</v>
      </c>
      <c r="I3454" s="158" t="s">
        <v>23146</v>
      </c>
      <c r="J3454" s="128"/>
      <c r="K3454" s="128"/>
      <c r="L3454" s="128"/>
      <c r="M3454" s="129"/>
      <c r="N3454" s="129"/>
      <c r="O3454" s="129"/>
    </row>
    <row r="3455" spans="1:15" ht="12.5">
      <c r="A3455" s="158" t="s">
        <v>23147</v>
      </c>
      <c r="B3455" s="159">
        <v>40</v>
      </c>
      <c r="C3455" s="159">
        <v>20</v>
      </c>
      <c r="D3455" s="159">
        <v>93</v>
      </c>
      <c r="E3455" s="159">
        <v>91</v>
      </c>
      <c r="F3455" s="131"/>
      <c r="G3455" s="132"/>
      <c r="H3455" s="162" t="s">
        <v>23148</v>
      </c>
      <c r="I3455" s="158" t="s">
        <v>23149</v>
      </c>
      <c r="J3455" s="128"/>
      <c r="K3455" s="128"/>
      <c r="L3455" s="128"/>
      <c r="M3455" s="129"/>
      <c r="N3455" s="129"/>
      <c r="O3455" s="129"/>
    </row>
    <row r="3456" spans="1:15" ht="12.5">
      <c r="A3456" s="158" t="s">
        <v>23150</v>
      </c>
      <c r="B3456" s="159">
        <v>40</v>
      </c>
      <c r="C3456" s="159">
        <v>20</v>
      </c>
      <c r="D3456" s="159">
        <v>93</v>
      </c>
      <c r="E3456" s="159">
        <v>92</v>
      </c>
      <c r="F3456" s="131"/>
      <c r="G3456" s="132"/>
      <c r="H3456" s="162" t="s">
        <v>23151</v>
      </c>
      <c r="I3456" s="128"/>
      <c r="J3456" s="128"/>
      <c r="K3456" s="128"/>
      <c r="L3456" s="128"/>
      <c r="M3456" s="129"/>
      <c r="N3456" s="129"/>
      <c r="O3456" s="129"/>
    </row>
    <row r="3457" spans="1:15" ht="12.5">
      <c r="A3457" s="158" t="s">
        <v>23152</v>
      </c>
      <c r="B3457" s="159">
        <v>40</v>
      </c>
      <c r="C3457" s="159">
        <v>20</v>
      </c>
      <c r="D3457" s="159">
        <v>93</v>
      </c>
      <c r="E3457" s="159">
        <v>93</v>
      </c>
      <c r="F3457" s="131"/>
      <c r="G3457" s="132"/>
      <c r="H3457" s="162" t="s">
        <v>23153</v>
      </c>
      <c r="I3457" s="158" t="s">
        <v>23154</v>
      </c>
      <c r="J3457" s="128"/>
      <c r="K3457" s="128"/>
      <c r="L3457" s="128"/>
      <c r="M3457" s="129"/>
      <c r="N3457" s="129"/>
      <c r="O3457" s="129"/>
    </row>
    <row r="3458" spans="1:15" ht="12.5">
      <c r="A3458" s="158" t="s">
        <v>23155</v>
      </c>
      <c r="B3458" s="159">
        <v>40</v>
      </c>
      <c r="C3458" s="159">
        <v>20</v>
      </c>
      <c r="D3458" s="159">
        <v>93</v>
      </c>
      <c r="E3458" s="159">
        <v>94</v>
      </c>
      <c r="F3458" s="131"/>
      <c r="G3458" s="132"/>
      <c r="H3458" s="162" t="s">
        <v>23156</v>
      </c>
      <c r="I3458" s="158" t="s">
        <v>23157</v>
      </c>
      <c r="J3458" s="128"/>
      <c r="K3458" s="128"/>
      <c r="L3458" s="128"/>
      <c r="M3458" s="129"/>
      <c r="N3458" s="129"/>
      <c r="O3458" s="129"/>
    </row>
    <row r="3459" spans="1:15" ht="12.5">
      <c r="A3459" s="158" t="s">
        <v>23158</v>
      </c>
      <c r="B3459" s="159">
        <v>40</v>
      </c>
      <c r="C3459" s="159">
        <v>20</v>
      </c>
      <c r="D3459" s="159">
        <v>93</v>
      </c>
      <c r="E3459" s="159">
        <v>95</v>
      </c>
      <c r="F3459" s="131"/>
      <c r="G3459" s="132"/>
      <c r="H3459" s="162" t="s">
        <v>23159</v>
      </c>
      <c r="I3459" s="158" t="s">
        <v>23160</v>
      </c>
      <c r="J3459" s="128"/>
      <c r="K3459" s="128"/>
      <c r="L3459" s="128"/>
      <c r="M3459" s="129"/>
      <c r="N3459" s="129"/>
      <c r="O3459" s="129"/>
    </row>
    <row r="3460" spans="1:15" ht="12.5">
      <c r="A3460" s="158" t="s">
        <v>23161</v>
      </c>
      <c r="B3460" s="159">
        <v>40</v>
      </c>
      <c r="C3460" s="159">
        <v>20</v>
      </c>
      <c r="D3460" s="159">
        <v>93</v>
      </c>
      <c r="E3460" s="159">
        <v>96</v>
      </c>
      <c r="F3460" s="131"/>
      <c r="G3460" s="132"/>
      <c r="H3460" s="162" t="s">
        <v>23162</v>
      </c>
      <c r="I3460" s="158" t="s">
        <v>23163</v>
      </c>
      <c r="J3460" s="128"/>
      <c r="K3460" s="128"/>
      <c r="L3460" s="128"/>
      <c r="M3460" s="129"/>
      <c r="N3460" s="129"/>
      <c r="O3460" s="129"/>
    </row>
    <row r="3461" spans="1:15" ht="12.5">
      <c r="A3461" s="158" t="s">
        <v>23164</v>
      </c>
      <c r="B3461" s="159">
        <v>40</v>
      </c>
      <c r="C3461" s="159">
        <v>20</v>
      </c>
      <c r="D3461" s="159">
        <v>93</v>
      </c>
      <c r="E3461" s="159">
        <v>97</v>
      </c>
      <c r="F3461" s="131"/>
      <c r="G3461" s="132"/>
      <c r="H3461" s="162" t="s">
        <v>23165</v>
      </c>
      <c r="I3461" s="158" t="s">
        <v>23166</v>
      </c>
      <c r="J3461" s="128"/>
      <c r="K3461" s="128"/>
      <c r="L3461" s="128"/>
      <c r="M3461" s="129"/>
      <c r="N3461" s="129"/>
      <c r="O3461" s="129"/>
    </row>
    <row r="3462" spans="1:15" ht="12.5">
      <c r="A3462" s="158" t="s">
        <v>23167</v>
      </c>
      <c r="B3462" s="159">
        <v>40</v>
      </c>
      <c r="C3462" s="159">
        <v>20</v>
      </c>
      <c r="D3462" s="159">
        <v>93</v>
      </c>
      <c r="E3462" s="159">
        <v>99</v>
      </c>
      <c r="F3462" s="131"/>
      <c r="G3462" s="132"/>
      <c r="H3462" s="162" t="s">
        <v>23168</v>
      </c>
      <c r="I3462" s="158" t="s">
        <v>23169</v>
      </c>
      <c r="J3462" s="128"/>
      <c r="K3462" s="128"/>
      <c r="L3462" s="128"/>
      <c r="M3462" s="129"/>
      <c r="N3462" s="129"/>
      <c r="O3462" s="129"/>
    </row>
    <row r="3463" spans="1:15" ht="12.5">
      <c r="A3463" s="158" t="s">
        <v>23170</v>
      </c>
      <c r="B3463" s="159">
        <v>40</v>
      </c>
      <c r="C3463" s="159">
        <v>20</v>
      </c>
      <c r="D3463" s="159">
        <v>96</v>
      </c>
      <c r="E3463" s="130"/>
      <c r="F3463" s="131"/>
      <c r="G3463" s="132"/>
      <c r="H3463" s="162" t="s">
        <v>23171</v>
      </c>
      <c r="I3463" s="128"/>
      <c r="J3463" s="128"/>
      <c r="K3463" s="128"/>
      <c r="L3463" s="128"/>
      <c r="M3463" s="129"/>
      <c r="N3463" s="129"/>
      <c r="O3463" s="129"/>
    </row>
    <row r="3464" spans="1:15" ht="12.5">
      <c r="A3464" s="158" t="s">
        <v>23172</v>
      </c>
      <c r="B3464" s="159">
        <v>40</v>
      </c>
      <c r="C3464" s="159">
        <v>20</v>
      </c>
      <c r="D3464" s="159">
        <v>96</v>
      </c>
      <c r="E3464" s="159">
        <v>15</v>
      </c>
      <c r="F3464" s="131"/>
      <c r="G3464" s="132"/>
      <c r="H3464" s="162" t="s">
        <v>23173</v>
      </c>
      <c r="I3464" s="158" t="s">
        <v>23174</v>
      </c>
      <c r="J3464" s="128"/>
      <c r="K3464" s="128"/>
      <c r="L3464" s="128"/>
      <c r="M3464" s="129"/>
      <c r="N3464" s="129"/>
      <c r="O3464" s="129"/>
    </row>
    <row r="3465" spans="1:15" ht="12.5">
      <c r="A3465" s="158" t="s">
        <v>23175</v>
      </c>
      <c r="B3465" s="159">
        <v>40</v>
      </c>
      <c r="C3465" s="159">
        <v>20</v>
      </c>
      <c r="D3465" s="159">
        <v>96</v>
      </c>
      <c r="E3465" s="159">
        <v>17</v>
      </c>
      <c r="F3465" s="131"/>
      <c r="G3465" s="132"/>
      <c r="H3465" s="162" t="s">
        <v>23176</v>
      </c>
      <c r="I3465" s="158" t="s">
        <v>23177</v>
      </c>
      <c r="J3465" s="128"/>
      <c r="K3465" s="128"/>
      <c r="L3465" s="128"/>
      <c r="M3465" s="129"/>
      <c r="N3465" s="129"/>
      <c r="O3465" s="129"/>
    </row>
    <row r="3466" spans="1:15" ht="12.5">
      <c r="A3466" s="158" t="s">
        <v>23178</v>
      </c>
      <c r="B3466" s="159">
        <v>40</v>
      </c>
      <c r="C3466" s="159">
        <v>20</v>
      </c>
      <c r="D3466" s="159">
        <v>96</v>
      </c>
      <c r="E3466" s="159">
        <v>18</v>
      </c>
      <c r="F3466" s="131"/>
      <c r="G3466" s="132"/>
      <c r="H3466" s="162" t="s">
        <v>23179</v>
      </c>
      <c r="I3466" s="158" t="s">
        <v>23180</v>
      </c>
      <c r="J3466" s="128"/>
      <c r="K3466" s="128"/>
      <c r="L3466" s="128"/>
      <c r="M3466" s="129"/>
      <c r="N3466" s="129"/>
      <c r="O3466" s="129"/>
    </row>
    <row r="3467" spans="1:15" ht="12.5">
      <c r="A3467" s="158" t="s">
        <v>23181</v>
      </c>
      <c r="B3467" s="159">
        <v>40</v>
      </c>
      <c r="C3467" s="159">
        <v>20</v>
      </c>
      <c r="D3467" s="159">
        <v>96</v>
      </c>
      <c r="E3467" s="159">
        <v>34</v>
      </c>
      <c r="F3467" s="131"/>
      <c r="G3467" s="132"/>
      <c r="H3467" s="162" t="s">
        <v>23182</v>
      </c>
      <c r="I3467" s="128"/>
      <c r="J3467" s="128"/>
      <c r="K3467" s="128"/>
      <c r="L3467" s="128"/>
      <c r="M3467" s="129"/>
      <c r="N3467" s="129"/>
      <c r="O3467" s="129"/>
    </row>
    <row r="3468" spans="1:15" ht="12.5">
      <c r="A3468" s="158" t="s">
        <v>23183</v>
      </c>
      <c r="B3468" s="159">
        <v>40</v>
      </c>
      <c r="C3468" s="159">
        <v>20</v>
      </c>
      <c r="D3468" s="159">
        <v>96</v>
      </c>
      <c r="E3468" s="159">
        <v>35</v>
      </c>
      <c r="F3468" s="131"/>
      <c r="G3468" s="132"/>
      <c r="H3468" s="162" t="s">
        <v>23184</v>
      </c>
      <c r="I3468" s="128"/>
      <c r="J3468" s="128"/>
      <c r="K3468" s="128"/>
      <c r="L3468" s="128"/>
      <c r="M3468" s="129"/>
      <c r="N3468" s="129"/>
      <c r="O3468" s="129"/>
    </row>
    <row r="3469" spans="1:15" ht="12.5">
      <c r="A3469" s="158" t="s">
        <v>23185</v>
      </c>
      <c r="B3469" s="159">
        <v>40</v>
      </c>
      <c r="C3469" s="159">
        <v>20</v>
      </c>
      <c r="D3469" s="159">
        <v>96</v>
      </c>
      <c r="E3469" s="159">
        <v>36</v>
      </c>
      <c r="F3469" s="131"/>
      <c r="G3469" s="132"/>
      <c r="H3469" s="162" t="s">
        <v>23186</v>
      </c>
      <c r="I3469" s="128"/>
      <c r="J3469" s="128"/>
      <c r="K3469" s="128"/>
      <c r="L3469" s="128"/>
      <c r="M3469" s="129"/>
      <c r="N3469" s="129"/>
      <c r="O3469" s="129"/>
    </row>
    <row r="3470" spans="1:15" ht="12.5">
      <c r="A3470" s="158" t="s">
        <v>23187</v>
      </c>
      <c r="B3470" s="159">
        <v>40</v>
      </c>
      <c r="C3470" s="159">
        <v>20</v>
      </c>
      <c r="D3470" s="159">
        <v>96</v>
      </c>
      <c r="E3470" s="159">
        <v>37</v>
      </c>
      <c r="F3470" s="131"/>
      <c r="G3470" s="132"/>
      <c r="H3470" s="162" t="s">
        <v>23188</v>
      </c>
      <c r="I3470" s="128"/>
      <c r="J3470" s="128"/>
      <c r="K3470" s="128"/>
      <c r="L3470" s="128"/>
      <c r="M3470" s="129"/>
      <c r="N3470" s="129"/>
      <c r="O3470" s="129"/>
    </row>
    <row r="3471" spans="1:15" ht="12.5">
      <c r="A3471" s="158" t="s">
        <v>23189</v>
      </c>
      <c r="B3471" s="159">
        <v>40</v>
      </c>
      <c r="C3471" s="159">
        <v>20</v>
      </c>
      <c r="D3471" s="159">
        <v>96</v>
      </c>
      <c r="E3471" s="159">
        <v>38</v>
      </c>
      <c r="F3471" s="131"/>
      <c r="G3471" s="132"/>
      <c r="H3471" s="162" t="s">
        <v>23190</v>
      </c>
      <c r="I3471" s="128"/>
      <c r="J3471" s="128"/>
      <c r="K3471" s="128"/>
      <c r="L3471" s="128"/>
      <c r="M3471" s="129"/>
      <c r="N3471" s="129"/>
      <c r="O3471" s="129"/>
    </row>
    <row r="3472" spans="1:15" ht="12.5">
      <c r="A3472" s="158" t="s">
        <v>23191</v>
      </c>
      <c r="B3472" s="159">
        <v>40</v>
      </c>
      <c r="C3472" s="159">
        <v>20</v>
      </c>
      <c r="D3472" s="159">
        <v>96</v>
      </c>
      <c r="E3472" s="159">
        <v>39</v>
      </c>
      <c r="F3472" s="131"/>
      <c r="G3472" s="132"/>
      <c r="H3472" s="162" t="s">
        <v>23192</v>
      </c>
      <c r="I3472" s="158" t="s">
        <v>23193</v>
      </c>
      <c r="J3472" s="128"/>
      <c r="K3472" s="128"/>
      <c r="L3472" s="128"/>
      <c r="M3472" s="129"/>
      <c r="N3472" s="129"/>
      <c r="O3472" s="129"/>
    </row>
    <row r="3473" spans="1:15" ht="12.5">
      <c r="A3473" s="158" t="s">
        <v>23194</v>
      </c>
      <c r="B3473" s="159">
        <v>40</v>
      </c>
      <c r="C3473" s="159">
        <v>20</v>
      </c>
      <c r="D3473" s="159">
        <v>96</v>
      </c>
      <c r="E3473" s="159">
        <v>40</v>
      </c>
      <c r="F3473" s="131"/>
      <c r="G3473" s="132"/>
      <c r="H3473" s="162" t="s">
        <v>23195</v>
      </c>
      <c r="I3473" s="128"/>
      <c r="J3473" s="128"/>
      <c r="K3473" s="128"/>
      <c r="L3473" s="128"/>
      <c r="M3473" s="129"/>
      <c r="N3473" s="129"/>
      <c r="O3473" s="129"/>
    </row>
    <row r="3474" spans="1:15" ht="12.5">
      <c r="A3474" s="158" t="s">
        <v>23196</v>
      </c>
      <c r="B3474" s="159">
        <v>40</v>
      </c>
      <c r="C3474" s="159">
        <v>20</v>
      </c>
      <c r="D3474" s="159">
        <v>96</v>
      </c>
      <c r="E3474" s="159">
        <v>42</v>
      </c>
      <c r="F3474" s="131"/>
      <c r="G3474" s="132"/>
      <c r="H3474" s="162" t="s">
        <v>23197</v>
      </c>
      <c r="I3474" s="158" t="s">
        <v>23198</v>
      </c>
      <c r="J3474" s="128"/>
      <c r="K3474" s="128"/>
      <c r="L3474" s="128"/>
      <c r="M3474" s="129"/>
      <c r="N3474" s="129"/>
      <c r="O3474" s="129"/>
    </row>
    <row r="3475" spans="1:15" ht="12.5">
      <c r="A3475" s="158" t="s">
        <v>23199</v>
      </c>
      <c r="B3475" s="159">
        <v>40</v>
      </c>
      <c r="C3475" s="159">
        <v>20</v>
      </c>
      <c r="D3475" s="159">
        <v>96</v>
      </c>
      <c r="E3475" s="159">
        <v>44</v>
      </c>
      <c r="F3475" s="131"/>
      <c r="G3475" s="132"/>
      <c r="H3475" s="162" t="s">
        <v>23200</v>
      </c>
      <c r="I3475" s="158" t="s">
        <v>23201</v>
      </c>
      <c r="J3475" s="128"/>
      <c r="K3475" s="128"/>
      <c r="L3475" s="128"/>
      <c r="M3475" s="129"/>
      <c r="N3475" s="129"/>
      <c r="O3475" s="129"/>
    </row>
    <row r="3476" spans="1:15" ht="12.5">
      <c r="A3476" s="158" t="s">
        <v>23202</v>
      </c>
      <c r="B3476" s="159">
        <v>40</v>
      </c>
      <c r="C3476" s="159">
        <v>20</v>
      </c>
      <c r="D3476" s="159">
        <v>96</v>
      </c>
      <c r="E3476" s="159">
        <v>45</v>
      </c>
      <c r="F3476" s="131"/>
      <c r="G3476" s="132"/>
      <c r="H3476" s="162" t="s">
        <v>23203</v>
      </c>
      <c r="I3476" s="158" t="s">
        <v>23204</v>
      </c>
      <c r="J3476" s="128"/>
      <c r="K3476" s="128"/>
      <c r="L3476" s="128"/>
      <c r="M3476" s="129"/>
      <c r="N3476" s="129"/>
      <c r="O3476" s="129"/>
    </row>
    <row r="3477" spans="1:15" ht="12.5">
      <c r="A3477" s="158" t="s">
        <v>23205</v>
      </c>
      <c r="B3477" s="159">
        <v>40</v>
      </c>
      <c r="C3477" s="159">
        <v>20</v>
      </c>
      <c r="D3477" s="159">
        <v>96</v>
      </c>
      <c r="E3477" s="159">
        <v>46</v>
      </c>
      <c r="F3477" s="131"/>
      <c r="G3477" s="132"/>
      <c r="H3477" s="162" t="s">
        <v>23206</v>
      </c>
      <c r="I3477" s="128"/>
      <c r="J3477" s="128"/>
      <c r="K3477" s="128"/>
      <c r="L3477" s="128"/>
      <c r="M3477" s="129"/>
      <c r="N3477" s="129"/>
      <c r="O3477" s="129"/>
    </row>
    <row r="3478" spans="1:15" ht="12.5">
      <c r="A3478" s="158" t="s">
        <v>23209</v>
      </c>
      <c r="B3478" s="159">
        <v>40</v>
      </c>
      <c r="C3478" s="159">
        <v>20</v>
      </c>
      <c r="D3478" s="159">
        <v>96</v>
      </c>
      <c r="E3478" s="159">
        <v>63</v>
      </c>
      <c r="F3478" s="131"/>
      <c r="G3478" s="132"/>
      <c r="H3478" s="162" t="s">
        <v>23210</v>
      </c>
      <c r="I3478" s="158" t="s">
        <v>23211</v>
      </c>
      <c r="J3478" s="128"/>
      <c r="K3478" s="128"/>
      <c r="L3478" s="128"/>
      <c r="M3478" s="129"/>
      <c r="N3478" s="129"/>
      <c r="O3478" s="129"/>
    </row>
    <row r="3479" spans="1:15" ht="12.5">
      <c r="A3479" s="158" t="s">
        <v>23212</v>
      </c>
      <c r="B3479" s="159">
        <v>40</v>
      </c>
      <c r="C3479" s="159">
        <v>20</v>
      </c>
      <c r="D3479" s="159">
        <v>96</v>
      </c>
      <c r="E3479" s="159">
        <v>70</v>
      </c>
      <c r="F3479" s="131"/>
      <c r="G3479" s="132"/>
      <c r="H3479" s="162" t="s">
        <v>23213</v>
      </c>
      <c r="I3479" s="128"/>
      <c r="J3479" s="128"/>
      <c r="K3479" s="128"/>
      <c r="L3479" s="128"/>
      <c r="M3479" s="129"/>
      <c r="N3479" s="129"/>
      <c r="O3479" s="129"/>
    </row>
    <row r="3480" spans="1:15" ht="12.5">
      <c r="A3480" s="158" t="s">
        <v>23214</v>
      </c>
      <c r="B3480" s="159">
        <v>40</v>
      </c>
      <c r="C3480" s="159">
        <v>20</v>
      </c>
      <c r="D3480" s="159">
        <v>96</v>
      </c>
      <c r="E3480" s="159">
        <v>81</v>
      </c>
      <c r="F3480" s="131"/>
      <c r="G3480" s="132"/>
      <c r="H3480" s="162" t="s">
        <v>23215</v>
      </c>
      <c r="I3480" s="158" t="s">
        <v>23216</v>
      </c>
      <c r="J3480" s="128"/>
      <c r="K3480" s="128"/>
      <c r="L3480" s="128"/>
      <c r="M3480" s="129"/>
      <c r="N3480" s="129"/>
      <c r="O3480" s="129"/>
    </row>
    <row r="3481" spans="1:15" ht="12.5">
      <c r="A3481" s="158" t="s">
        <v>23217</v>
      </c>
      <c r="B3481" s="159">
        <v>40</v>
      </c>
      <c r="C3481" s="159">
        <v>20</v>
      </c>
      <c r="D3481" s="159">
        <v>96</v>
      </c>
      <c r="E3481" s="159">
        <v>92</v>
      </c>
      <c r="F3481" s="131"/>
      <c r="G3481" s="132"/>
      <c r="H3481" s="162" t="s">
        <v>23218</v>
      </c>
      <c r="I3481" s="128"/>
      <c r="J3481" s="128"/>
      <c r="K3481" s="128"/>
      <c r="L3481" s="128"/>
      <c r="M3481" s="129"/>
      <c r="N3481" s="129"/>
      <c r="O3481" s="129"/>
    </row>
    <row r="3482" spans="1:15" ht="12.5">
      <c r="A3482" s="158" t="s">
        <v>23219</v>
      </c>
      <c r="B3482" s="159">
        <v>40</v>
      </c>
      <c r="C3482" s="159">
        <v>20</v>
      </c>
      <c r="D3482" s="159">
        <v>96</v>
      </c>
      <c r="E3482" s="159">
        <v>95</v>
      </c>
      <c r="F3482" s="131"/>
      <c r="G3482" s="132"/>
      <c r="H3482" s="162" t="s">
        <v>23220</v>
      </c>
      <c r="I3482" s="158" t="s">
        <v>23221</v>
      </c>
      <c r="J3482" s="128"/>
      <c r="K3482" s="128"/>
      <c r="L3482" s="128"/>
      <c r="M3482" s="129"/>
      <c r="N3482" s="129"/>
      <c r="O3482" s="129"/>
    </row>
    <row r="3483" spans="1:15" ht="12.5">
      <c r="A3483" s="158" t="s">
        <v>23222</v>
      </c>
      <c r="B3483" s="159">
        <v>40</v>
      </c>
      <c r="C3483" s="159">
        <v>20</v>
      </c>
      <c r="D3483" s="159">
        <v>96</v>
      </c>
      <c r="E3483" s="159">
        <v>96</v>
      </c>
      <c r="F3483" s="131"/>
      <c r="G3483" s="132"/>
      <c r="H3483" s="162" t="s">
        <v>23223</v>
      </c>
      <c r="I3483" s="158" t="s">
        <v>23224</v>
      </c>
      <c r="J3483" s="128"/>
      <c r="K3483" s="128"/>
      <c r="L3483" s="128"/>
      <c r="M3483" s="129"/>
      <c r="N3483" s="129"/>
      <c r="O3483" s="129"/>
    </row>
    <row r="3484" spans="1:15" ht="12.5">
      <c r="A3484" s="158" t="s">
        <v>23225</v>
      </c>
      <c r="B3484" s="159">
        <v>40</v>
      </c>
      <c r="C3484" s="159">
        <v>20</v>
      </c>
      <c r="D3484" s="159">
        <v>96</v>
      </c>
      <c r="E3484" s="159">
        <v>99</v>
      </c>
      <c r="F3484" s="131"/>
      <c r="G3484" s="132"/>
      <c r="H3484" s="162" t="s">
        <v>23226</v>
      </c>
      <c r="I3484" s="158" t="s">
        <v>23227</v>
      </c>
      <c r="J3484" s="128"/>
      <c r="K3484" s="128"/>
      <c r="L3484" s="128"/>
      <c r="M3484" s="129"/>
      <c r="N3484" s="129"/>
      <c r="O3484" s="129"/>
    </row>
    <row r="3485" spans="1:15" ht="12.5">
      <c r="A3485" s="144" t="s">
        <v>23228</v>
      </c>
      <c r="B3485" s="145">
        <v>40</v>
      </c>
      <c r="C3485" s="145">
        <v>30</v>
      </c>
      <c r="D3485" s="146"/>
      <c r="E3485" s="146"/>
      <c r="F3485" s="147" t="s">
        <v>33452</v>
      </c>
      <c r="G3485" s="190"/>
      <c r="H3485" s="149" t="s">
        <v>7695</v>
      </c>
      <c r="I3485" s="150"/>
      <c r="J3485" s="150"/>
      <c r="K3485" s="150"/>
      <c r="L3485" s="150"/>
      <c r="M3485" s="191"/>
      <c r="N3485" s="191"/>
      <c r="O3485" s="191"/>
    </row>
    <row r="3486" spans="1:15" ht="12.5">
      <c r="A3486" s="158" t="s">
        <v>23229</v>
      </c>
      <c r="B3486" s="159">
        <v>40</v>
      </c>
      <c r="C3486" s="159">
        <v>30</v>
      </c>
      <c r="D3486" s="159">
        <v>4</v>
      </c>
      <c r="E3486" s="130"/>
      <c r="F3486" s="131"/>
      <c r="G3486" s="132"/>
      <c r="H3486" s="162" t="s">
        <v>23230</v>
      </c>
      <c r="I3486" s="128"/>
      <c r="J3486" s="128"/>
      <c r="K3486" s="128"/>
      <c r="L3486" s="128"/>
      <c r="M3486" s="129"/>
      <c r="N3486" s="129"/>
      <c r="O3486" s="129"/>
    </row>
    <row r="3487" spans="1:15" ht="12.5">
      <c r="A3487" s="158" t="s">
        <v>23231</v>
      </c>
      <c r="B3487" s="159">
        <v>40</v>
      </c>
      <c r="C3487" s="159">
        <v>30</v>
      </c>
      <c r="D3487" s="159">
        <v>4</v>
      </c>
      <c r="E3487" s="159">
        <v>2</v>
      </c>
      <c r="F3487" s="131"/>
      <c r="G3487" s="132"/>
      <c r="H3487" s="162" t="s">
        <v>23232</v>
      </c>
      <c r="I3487" s="158" t="s">
        <v>23233</v>
      </c>
      <c r="J3487" s="128"/>
      <c r="K3487" s="128"/>
      <c r="L3487" s="128"/>
      <c r="M3487" s="129"/>
      <c r="N3487" s="129"/>
      <c r="O3487" s="129"/>
    </row>
    <row r="3488" spans="1:15" ht="12.5">
      <c r="A3488" s="158" t="s">
        <v>23234</v>
      </c>
      <c r="B3488" s="159">
        <v>40</v>
      </c>
      <c r="C3488" s="159">
        <v>30</v>
      </c>
      <c r="D3488" s="159">
        <v>4</v>
      </c>
      <c r="E3488" s="159">
        <v>6</v>
      </c>
      <c r="F3488" s="131"/>
      <c r="G3488" s="132"/>
      <c r="H3488" s="162" t="s">
        <v>23235</v>
      </c>
      <c r="I3488" s="158" t="s">
        <v>23236</v>
      </c>
      <c r="J3488" s="128"/>
      <c r="K3488" s="128"/>
      <c r="L3488" s="128"/>
      <c r="M3488" s="129"/>
      <c r="N3488" s="129"/>
      <c r="O3488" s="129"/>
    </row>
    <row r="3489" spans="1:15" ht="12.5">
      <c r="A3489" s="158" t="s">
        <v>23237</v>
      </c>
      <c r="B3489" s="159">
        <v>40</v>
      </c>
      <c r="C3489" s="159">
        <v>30</v>
      </c>
      <c r="D3489" s="159">
        <v>4</v>
      </c>
      <c r="E3489" s="159">
        <v>7</v>
      </c>
      <c r="F3489" s="131"/>
      <c r="G3489" s="132"/>
      <c r="H3489" s="162" t="s">
        <v>23238</v>
      </c>
      <c r="I3489" s="128"/>
      <c r="J3489" s="128"/>
      <c r="K3489" s="128"/>
      <c r="L3489" s="128"/>
      <c r="M3489" s="129"/>
      <c r="N3489" s="129"/>
      <c r="O3489" s="129"/>
    </row>
    <row r="3490" spans="1:15" ht="12.5">
      <c r="A3490" s="158" t="s">
        <v>23239</v>
      </c>
      <c r="B3490" s="159">
        <v>40</v>
      </c>
      <c r="C3490" s="159">
        <v>30</v>
      </c>
      <c r="D3490" s="159">
        <v>4</v>
      </c>
      <c r="E3490" s="159">
        <v>8</v>
      </c>
      <c r="F3490" s="131"/>
      <c r="G3490" s="132"/>
      <c r="H3490" s="162" t="s">
        <v>23240</v>
      </c>
      <c r="I3490" s="158" t="s">
        <v>23241</v>
      </c>
      <c r="J3490" s="128"/>
      <c r="K3490" s="128"/>
      <c r="L3490" s="128"/>
      <c r="M3490" s="129"/>
      <c r="N3490" s="129"/>
      <c r="O3490" s="129"/>
    </row>
    <row r="3491" spans="1:15" ht="12.5">
      <c r="A3491" s="158" t="s">
        <v>23242</v>
      </c>
      <c r="B3491" s="159">
        <v>40</v>
      </c>
      <c r="C3491" s="159">
        <v>30</v>
      </c>
      <c r="D3491" s="159">
        <v>4</v>
      </c>
      <c r="E3491" s="159">
        <v>9</v>
      </c>
      <c r="F3491" s="131"/>
      <c r="G3491" s="132"/>
      <c r="H3491" s="162" t="s">
        <v>23243</v>
      </c>
      <c r="I3491" s="158" t="s">
        <v>23244</v>
      </c>
      <c r="J3491" s="128"/>
      <c r="K3491" s="128"/>
      <c r="L3491" s="128"/>
      <c r="M3491" s="129"/>
      <c r="N3491" s="129"/>
      <c r="O3491" s="129"/>
    </row>
    <row r="3492" spans="1:15" ht="12.5">
      <c r="A3492" s="158" t="s">
        <v>23245</v>
      </c>
      <c r="B3492" s="159">
        <v>40</v>
      </c>
      <c r="C3492" s="159">
        <v>30</v>
      </c>
      <c r="D3492" s="159">
        <v>4</v>
      </c>
      <c r="E3492" s="159">
        <v>15</v>
      </c>
      <c r="F3492" s="131"/>
      <c r="G3492" s="132"/>
      <c r="H3492" s="162" t="s">
        <v>23246</v>
      </c>
      <c r="I3492" s="158" t="s">
        <v>23247</v>
      </c>
      <c r="J3492" s="128"/>
      <c r="K3492" s="128"/>
      <c r="L3492" s="128"/>
      <c r="M3492" s="129"/>
      <c r="N3492" s="129"/>
      <c r="O3492" s="129"/>
    </row>
    <row r="3493" spans="1:15" ht="12.5">
      <c r="A3493" s="158" t="s">
        <v>23248</v>
      </c>
      <c r="B3493" s="159">
        <v>40</v>
      </c>
      <c r="C3493" s="159">
        <v>30</v>
      </c>
      <c r="D3493" s="159">
        <v>4</v>
      </c>
      <c r="E3493" s="159">
        <v>24</v>
      </c>
      <c r="F3493" s="131"/>
      <c r="G3493" s="132"/>
      <c r="H3493" s="162" t="s">
        <v>23249</v>
      </c>
      <c r="I3493" s="158" t="s">
        <v>23250</v>
      </c>
      <c r="J3493" s="128"/>
      <c r="K3493" s="128"/>
      <c r="L3493" s="128"/>
      <c r="M3493" s="129"/>
      <c r="N3493" s="129"/>
      <c r="O3493" s="129"/>
    </row>
    <row r="3494" spans="1:15" ht="12.5">
      <c r="A3494" s="158" t="s">
        <v>23251</v>
      </c>
      <c r="B3494" s="159">
        <v>40</v>
      </c>
      <c r="C3494" s="159">
        <v>30</v>
      </c>
      <c r="D3494" s="159">
        <v>4</v>
      </c>
      <c r="E3494" s="159">
        <v>25</v>
      </c>
      <c r="F3494" s="131"/>
      <c r="G3494" s="132"/>
      <c r="H3494" s="162" t="s">
        <v>23252</v>
      </c>
      <c r="I3494" s="158" t="s">
        <v>23247</v>
      </c>
      <c r="J3494" s="128"/>
      <c r="K3494" s="128"/>
      <c r="L3494" s="128"/>
      <c r="M3494" s="129"/>
      <c r="N3494" s="129"/>
      <c r="O3494" s="129"/>
    </row>
    <row r="3495" spans="1:15" ht="12.5">
      <c r="A3495" s="158" t="s">
        <v>23253</v>
      </c>
      <c r="B3495" s="159">
        <v>40</v>
      </c>
      <c r="C3495" s="159">
        <v>30</v>
      </c>
      <c r="D3495" s="159">
        <v>4</v>
      </c>
      <c r="E3495" s="159">
        <v>41</v>
      </c>
      <c r="F3495" s="131"/>
      <c r="G3495" s="132"/>
      <c r="H3495" s="162" t="s">
        <v>23254</v>
      </c>
      <c r="I3495" s="158" t="s">
        <v>23255</v>
      </c>
      <c r="J3495" s="128"/>
      <c r="K3495" s="128"/>
      <c r="L3495" s="128"/>
      <c r="M3495" s="129"/>
      <c r="N3495" s="129"/>
      <c r="O3495" s="129"/>
    </row>
    <row r="3496" spans="1:15" ht="12.5">
      <c r="A3496" s="158" t="s">
        <v>23256</v>
      </c>
      <c r="B3496" s="159">
        <v>40</v>
      </c>
      <c r="C3496" s="159">
        <v>30</v>
      </c>
      <c r="D3496" s="159">
        <v>4</v>
      </c>
      <c r="E3496" s="159">
        <v>50</v>
      </c>
      <c r="F3496" s="131"/>
      <c r="G3496" s="132"/>
      <c r="H3496" s="162" t="s">
        <v>23257</v>
      </c>
      <c r="I3496" s="158" t="s">
        <v>23258</v>
      </c>
      <c r="J3496" s="128"/>
      <c r="K3496" s="128"/>
      <c r="L3496" s="128"/>
      <c r="M3496" s="129"/>
      <c r="N3496" s="129"/>
      <c r="O3496" s="129"/>
    </row>
    <row r="3497" spans="1:15" ht="12.5">
      <c r="A3497" s="158" t="s">
        <v>23259</v>
      </c>
      <c r="B3497" s="159">
        <v>40</v>
      </c>
      <c r="C3497" s="159">
        <v>30</v>
      </c>
      <c r="D3497" s="159">
        <v>4</v>
      </c>
      <c r="E3497" s="159">
        <v>56</v>
      </c>
      <c r="F3497" s="131"/>
      <c r="G3497" s="132"/>
      <c r="H3497" s="162" t="s">
        <v>23260</v>
      </c>
      <c r="I3497" s="158" t="s">
        <v>23261</v>
      </c>
      <c r="J3497" s="128"/>
      <c r="K3497" s="128"/>
      <c r="L3497" s="128"/>
      <c r="M3497" s="129"/>
      <c r="N3497" s="129"/>
      <c r="O3497" s="129"/>
    </row>
    <row r="3498" spans="1:15" ht="12.5">
      <c r="A3498" s="158" t="s">
        <v>23262</v>
      </c>
      <c r="B3498" s="159">
        <v>40</v>
      </c>
      <c r="C3498" s="159">
        <v>30</v>
      </c>
      <c r="D3498" s="159">
        <v>4</v>
      </c>
      <c r="E3498" s="159">
        <v>57</v>
      </c>
      <c r="F3498" s="131"/>
      <c r="G3498" s="132"/>
      <c r="H3498" s="162" t="s">
        <v>23263</v>
      </c>
      <c r="I3498" s="158" t="s">
        <v>23264</v>
      </c>
      <c r="J3498" s="128"/>
      <c r="K3498" s="128"/>
      <c r="L3498" s="128"/>
      <c r="M3498" s="129"/>
      <c r="N3498" s="129"/>
      <c r="O3498" s="129"/>
    </row>
    <row r="3499" spans="1:15" ht="12.5">
      <c r="A3499" s="158" t="s">
        <v>23265</v>
      </c>
      <c r="B3499" s="159">
        <v>40</v>
      </c>
      <c r="C3499" s="159">
        <v>30</v>
      </c>
      <c r="D3499" s="159">
        <v>4</v>
      </c>
      <c r="E3499" s="159">
        <v>70</v>
      </c>
      <c r="F3499" s="131"/>
      <c r="G3499" s="132"/>
      <c r="H3499" s="162" t="s">
        <v>23266</v>
      </c>
      <c r="I3499" s="128"/>
      <c r="J3499" s="128"/>
      <c r="K3499" s="128"/>
      <c r="L3499" s="128"/>
      <c r="M3499" s="129"/>
      <c r="N3499" s="129"/>
      <c r="O3499" s="129"/>
    </row>
    <row r="3500" spans="1:15" ht="12.5">
      <c r="A3500" s="158" t="s">
        <v>23267</v>
      </c>
      <c r="B3500" s="159">
        <v>40</v>
      </c>
      <c r="C3500" s="159">
        <v>30</v>
      </c>
      <c r="D3500" s="159">
        <v>20</v>
      </c>
      <c r="E3500" s="130"/>
      <c r="F3500" s="131"/>
      <c r="G3500" s="132"/>
      <c r="H3500" s="162" t="s">
        <v>23268</v>
      </c>
      <c r="I3500" s="128"/>
      <c r="J3500" s="128"/>
      <c r="K3500" s="128"/>
      <c r="L3500" s="128"/>
      <c r="M3500" s="129"/>
      <c r="N3500" s="129"/>
      <c r="O3500" s="129"/>
    </row>
    <row r="3501" spans="1:15" ht="12.5">
      <c r="A3501" s="158" t="s">
        <v>23273</v>
      </c>
      <c r="B3501" s="159">
        <v>40</v>
      </c>
      <c r="C3501" s="159">
        <v>30</v>
      </c>
      <c r="D3501" s="159">
        <v>20</v>
      </c>
      <c r="E3501" s="159">
        <v>13</v>
      </c>
      <c r="F3501" s="131"/>
      <c r="G3501" s="132"/>
      <c r="H3501" s="162" t="s">
        <v>23274</v>
      </c>
      <c r="I3501" s="128"/>
      <c r="J3501" s="128"/>
      <c r="K3501" s="128"/>
      <c r="L3501" s="128"/>
      <c r="M3501" s="129"/>
      <c r="N3501" s="129"/>
      <c r="O3501" s="129"/>
    </row>
    <row r="3502" spans="1:15" ht="12.5">
      <c r="A3502" s="158" t="s">
        <v>23275</v>
      </c>
      <c r="B3502" s="159">
        <v>40</v>
      </c>
      <c r="C3502" s="159">
        <v>30</v>
      </c>
      <c r="D3502" s="159">
        <v>20</v>
      </c>
      <c r="E3502" s="159">
        <v>38</v>
      </c>
      <c r="F3502" s="131"/>
      <c r="G3502" s="132"/>
      <c r="H3502" s="162" t="s">
        <v>23276</v>
      </c>
      <c r="I3502" s="128"/>
      <c r="J3502" s="128"/>
      <c r="K3502" s="128"/>
      <c r="L3502" s="128"/>
      <c r="M3502" s="129"/>
      <c r="N3502" s="129"/>
      <c r="O3502" s="129"/>
    </row>
    <row r="3503" spans="1:15" ht="12.5">
      <c r="A3503" s="158" t="s">
        <v>23277</v>
      </c>
      <c r="B3503" s="159">
        <v>40</v>
      </c>
      <c r="C3503" s="159">
        <v>30</v>
      </c>
      <c r="D3503" s="159">
        <v>20</v>
      </c>
      <c r="E3503" s="159">
        <v>58</v>
      </c>
      <c r="F3503" s="131"/>
      <c r="G3503" s="132"/>
      <c r="H3503" s="162" t="s">
        <v>23278</v>
      </c>
      <c r="I3503" s="128"/>
      <c r="J3503" s="128"/>
      <c r="K3503" s="128"/>
      <c r="L3503" s="128"/>
      <c r="M3503" s="129"/>
      <c r="N3503" s="129"/>
      <c r="O3503" s="129"/>
    </row>
    <row r="3504" spans="1:15" ht="12.5">
      <c r="A3504" s="158" t="s">
        <v>23279</v>
      </c>
      <c r="B3504" s="159">
        <v>40</v>
      </c>
      <c r="C3504" s="159">
        <v>30</v>
      </c>
      <c r="D3504" s="159">
        <v>20</v>
      </c>
      <c r="E3504" s="159">
        <v>59</v>
      </c>
      <c r="F3504" s="131"/>
      <c r="G3504" s="132"/>
      <c r="H3504" s="162" t="s">
        <v>23280</v>
      </c>
      <c r="I3504" s="128"/>
      <c r="J3504" s="128"/>
      <c r="K3504" s="128"/>
      <c r="L3504" s="128"/>
      <c r="M3504" s="129"/>
      <c r="N3504" s="129"/>
      <c r="O3504" s="129"/>
    </row>
    <row r="3505" spans="1:15" ht="12.5">
      <c r="A3505" s="158" t="s">
        <v>23281</v>
      </c>
      <c r="B3505" s="159">
        <v>40</v>
      </c>
      <c r="C3505" s="159">
        <v>30</v>
      </c>
      <c r="D3505" s="159">
        <v>20</v>
      </c>
      <c r="E3505" s="159">
        <v>63</v>
      </c>
      <c r="F3505" s="131"/>
      <c r="G3505" s="132"/>
      <c r="H3505" s="162" t="s">
        <v>23282</v>
      </c>
      <c r="I3505" s="128"/>
      <c r="J3505" s="128"/>
      <c r="K3505" s="128"/>
      <c r="L3505" s="128"/>
      <c r="M3505" s="129"/>
      <c r="N3505" s="129"/>
      <c r="O3505" s="129"/>
    </row>
    <row r="3506" spans="1:15" ht="12.5">
      <c r="A3506" s="158" t="s">
        <v>23283</v>
      </c>
      <c r="B3506" s="159">
        <v>40</v>
      </c>
      <c r="C3506" s="159">
        <v>30</v>
      </c>
      <c r="D3506" s="159">
        <v>20</v>
      </c>
      <c r="E3506" s="159">
        <v>64</v>
      </c>
      <c r="F3506" s="131"/>
      <c r="G3506" s="132"/>
      <c r="H3506" s="162" t="s">
        <v>23284</v>
      </c>
      <c r="I3506" s="158" t="s">
        <v>23285</v>
      </c>
      <c r="J3506" s="128"/>
      <c r="K3506" s="128"/>
      <c r="L3506" s="128"/>
      <c r="M3506" s="129"/>
      <c r="N3506" s="129"/>
      <c r="O3506" s="129"/>
    </row>
    <row r="3507" spans="1:15" ht="12.5">
      <c r="A3507" s="158" t="s">
        <v>23286</v>
      </c>
      <c r="B3507" s="159">
        <v>40</v>
      </c>
      <c r="C3507" s="159">
        <v>30</v>
      </c>
      <c r="D3507" s="159">
        <v>20</v>
      </c>
      <c r="E3507" s="159">
        <v>65</v>
      </c>
      <c r="F3507" s="131"/>
      <c r="G3507" s="132"/>
      <c r="H3507" s="162" t="s">
        <v>23287</v>
      </c>
      <c r="I3507" s="128"/>
      <c r="J3507" s="128"/>
      <c r="K3507" s="128"/>
      <c r="L3507" s="128"/>
      <c r="M3507" s="129"/>
      <c r="N3507" s="129"/>
      <c r="O3507" s="129"/>
    </row>
    <row r="3508" spans="1:15" ht="12.5">
      <c r="A3508" s="158" t="s">
        <v>23288</v>
      </c>
      <c r="B3508" s="159">
        <v>40</v>
      </c>
      <c r="C3508" s="159">
        <v>30</v>
      </c>
      <c r="D3508" s="159">
        <v>20</v>
      </c>
      <c r="E3508" s="159">
        <v>67</v>
      </c>
      <c r="F3508" s="131"/>
      <c r="G3508" s="132"/>
      <c r="H3508" s="162" t="s">
        <v>33453</v>
      </c>
      <c r="I3508" s="158" t="s">
        <v>23290</v>
      </c>
      <c r="J3508" s="128"/>
      <c r="K3508" s="128"/>
      <c r="L3508" s="128"/>
      <c r="M3508" s="129"/>
      <c r="N3508" s="129"/>
      <c r="O3508" s="129"/>
    </row>
    <row r="3509" spans="1:15" ht="12.5">
      <c r="A3509" s="158" t="s">
        <v>23293</v>
      </c>
      <c r="B3509" s="159">
        <v>40</v>
      </c>
      <c r="C3509" s="159">
        <v>30</v>
      </c>
      <c r="D3509" s="159">
        <v>20</v>
      </c>
      <c r="E3509" s="159">
        <v>71</v>
      </c>
      <c r="F3509" s="131"/>
      <c r="G3509" s="132"/>
      <c r="H3509" s="162" t="s">
        <v>23294</v>
      </c>
      <c r="I3509" s="128"/>
      <c r="J3509" s="128"/>
      <c r="K3509" s="128"/>
      <c r="L3509" s="128"/>
      <c r="M3509" s="129"/>
      <c r="N3509" s="129"/>
      <c r="O3509" s="129"/>
    </row>
    <row r="3510" spans="1:15" ht="12.5">
      <c r="A3510" s="158" t="s">
        <v>23295</v>
      </c>
      <c r="B3510" s="159">
        <v>40</v>
      </c>
      <c r="C3510" s="159">
        <v>30</v>
      </c>
      <c r="D3510" s="159">
        <v>20</v>
      </c>
      <c r="E3510" s="159">
        <v>77</v>
      </c>
      <c r="F3510" s="131"/>
      <c r="G3510" s="132"/>
      <c r="H3510" s="162" t="s">
        <v>23296</v>
      </c>
      <c r="I3510" s="158" t="s">
        <v>23297</v>
      </c>
      <c r="J3510" s="128"/>
      <c r="K3510" s="128"/>
      <c r="L3510" s="128"/>
      <c r="M3510" s="129"/>
      <c r="N3510" s="129"/>
      <c r="O3510" s="129"/>
    </row>
    <row r="3511" spans="1:15" ht="12.5">
      <c r="A3511" s="158" t="s">
        <v>23298</v>
      </c>
      <c r="B3511" s="159">
        <v>40</v>
      </c>
      <c r="C3511" s="159">
        <v>30</v>
      </c>
      <c r="D3511" s="159">
        <v>20</v>
      </c>
      <c r="E3511" s="159">
        <v>78</v>
      </c>
      <c r="F3511" s="131"/>
      <c r="G3511" s="132"/>
      <c r="H3511" s="162" t="s">
        <v>23299</v>
      </c>
      <c r="I3511" s="158" t="s">
        <v>23300</v>
      </c>
      <c r="J3511" s="128"/>
      <c r="K3511" s="128"/>
      <c r="L3511" s="128"/>
      <c r="M3511" s="129"/>
      <c r="N3511" s="129"/>
      <c r="O3511" s="129"/>
    </row>
    <row r="3512" spans="1:15" ht="12.5">
      <c r="A3512" s="158" t="s">
        <v>23301</v>
      </c>
      <c r="B3512" s="159">
        <v>40</v>
      </c>
      <c r="C3512" s="159">
        <v>30</v>
      </c>
      <c r="D3512" s="159">
        <v>20</v>
      </c>
      <c r="E3512" s="159">
        <v>83</v>
      </c>
      <c r="F3512" s="131"/>
      <c r="G3512" s="132"/>
      <c r="H3512" s="162" t="s">
        <v>23302</v>
      </c>
      <c r="I3512" s="128"/>
      <c r="J3512" s="128"/>
      <c r="K3512" s="128"/>
      <c r="L3512" s="128"/>
      <c r="M3512" s="129"/>
      <c r="N3512" s="129"/>
      <c r="O3512" s="129"/>
    </row>
    <row r="3513" spans="1:15" ht="12.5">
      <c r="A3513" s="158" t="s">
        <v>23303</v>
      </c>
      <c r="B3513" s="159">
        <v>40</v>
      </c>
      <c r="C3513" s="159">
        <v>30</v>
      </c>
      <c r="D3513" s="159">
        <v>20</v>
      </c>
      <c r="E3513" s="159">
        <v>84</v>
      </c>
      <c r="F3513" s="131"/>
      <c r="G3513" s="132"/>
      <c r="H3513" s="162" t="s">
        <v>23304</v>
      </c>
      <c r="I3513" s="128"/>
      <c r="J3513" s="128"/>
      <c r="K3513" s="128"/>
      <c r="L3513" s="128"/>
      <c r="M3513" s="129"/>
      <c r="N3513" s="129"/>
      <c r="O3513" s="129"/>
    </row>
    <row r="3514" spans="1:15" ht="12.5">
      <c r="A3514" s="158" t="s">
        <v>23307</v>
      </c>
      <c r="B3514" s="159">
        <v>40</v>
      </c>
      <c r="C3514" s="159">
        <v>30</v>
      </c>
      <c r="D3514" s="159">
        <v>20</v>
      </c>
      <c r="E3514" s="159">
        <v>96</v>
      </c>
      <c r="F3514" s="131"/>
      <c r="G3514" s="132"/>
      <c r="H3514" s="162" t="s">
        <v>23308</v>
      </c>
      <c r="I3514" s="158" t="s">
        <v>23309</v>
      </c>
      <c r="J3514" s="128"/>
      <c r="K3514" s="128"/>
      <c r="L3514" s="128"/>
      <c r="M3514" s="129"/>
      <c r="N3514" s="129"/>
      <c r="O3514" s="129"/>
    </row>
    <row r="3515" spans="1:15" ht="12.5">
      <c r="A3515" s="158" t="s">
        <v>23310</v>
      </c>
      <c r="B3515" s="159">
        <v>40</v>
      </c>
      <c r="C3515" s="159">
        <v>30</v>
      </c>
      <c r="D3515" s="159">
        <v>20</v>
      </c>
      <c r="E3515" s="159">
        <v>97</v>
      </c>
      <c r="F3515" s="131"/>
      <c r="G3515" s="132"/>
      <c r="H3515" s="162" t="s">
        <v>23311</v>
      </c>
      <c r="I3515" s="158" t="s">
        <v>23312</v>
      </c>
      <c r="J3515" s="128"/>
      <c r="K3515" s="128"/>
      <c r="L3515" s="128"/>
      <c r="M3515" s="129"/>
      <c r="N3515" s="129"/>
      <c r="O3515" s="129"/>
    </row>
    <row r="3516" spans="1:15" ht="12.5">
      <c r="A3516" s="158" t="s">
        <v>23313</v>
      </c>
      <c r="B3516" s="159">
        <v>40</v>
      </c>
      <c r="C3516" s="159">
        <v>30</v>
      </c>
      <c r="D3516" s="159">
        <v>21</v>
      </c>
      <c r="E3516" s="130"/>
      <c r="F3516" s="131"/>
      <c r="G3516" s="132"/>
      <c r="H3516" s="162" t="s">
        <v>23314</v>
      </c>
      <c r="I3516" s="128"/>
      <c r="J3516" s="128"/>
      <c r="K3516" s="128"/>
      <c r="L3516" s="128"/>
      <c r="M3516" s="129"/>
      <c r="N3516" s="129"/>
      <c r="O3516" s="129"/>
    </row>
    <row r="3517" spans="1:15" ht="12.5">
      <c r="A3517" s="158" t="s">
        <v>23315</v>
      </c>
      <c r="B3517" s="159">
        <v>40</v>
      </c>
      <c r="C3517" s="159">
        <v>30</v>
      </c>
      <c r="D3517" s="159">
        <v>21</v>
      </c>
      <c r="E3517" s="159">
        <v>2</v>
      </c>
      <c r="F3517" s="131"/>
      <c r="G3517" s="132"/>
      <c r="H3517" s="162" t="s">
        <v>23316</v>
      </c>
      <c r="I3517" s="158" t="s">
        <v>23317</v>
      </c>
      <c r="J3517" s="128"/>
      <c r="K3517" s="128"/>
      <c r="L3517" s="128"/>
      <c r="M3517" s="129"/>
      <c r="N3517" s="129"/>
      <c r="O3517" s="129"/>
    </row>
    <row r="3518" spans="1:15" ht="12.5">
      <c r="A3518" s="158" t="s">
        <v>23318</v>
      </c>
      <c r="B3518" s="159">
        <v>40</v>
      </c>
      <c r="C3518" s="159">
        <v>30</v>
      </c>
      <c r="D3518" s="159">
        <v>21</v>
      </c>
      <c r="E3518" s="159">
        <v>11</v>
      </c>
      <c r="F3518" s="131"/>
      <c r="G3518" s="132"/>
      <c r="H3518" s="162" t="s">
        <v>23319</v>
      </c>
      <c r="I3518" s="158" t="s">
        <v>23320</v>
      </c>
      <c r="J3518" s="128"/>
      <c r="K3518" s="128"/>
      <c r="L3518" s="128"/>
      <c r="M3518" s="129"/>
      <c r="N3518" s="129"/>
      <c r="O3518" s="129"/>
    </row>
    <row r="3519" spans="1:15" ht="12.5">
      <c r="A3519" s="158" t="s">
        <v>23321</v>
      </c>
      <c r="B3519" s="159">
        <v>40</v>
      </c>
      <c r="C3519" s="159">
        <v>30</v>
      </c>
      <c r="D3519" s="159">
        <v>21</v>
      </c>
      <c r="E3519" s="159">
        <v>12</v>
      </c>
      <c r="F3519" s="131"/>
      <c r="G3519" s="132"/>
      <c r="H3519" s="162" t="s">
        <v>23322</v>
      </c>
      <c r="I3519" s="158" t="s">
        <v>23323</v>
      </c>
      <c r="J3519" s="128"/>
      <c r="K3519" s="128"/>
      <c r="L3519" s="128"/>
      <c r="M3519" s="129"/>
      <c r="N3519" s="129"/>
      <c r="O3519" s="129"/>
    </row>
    <row r="3520" spans="1:15" ht="12.5">
      <c r="A3520" s="158" t="s">
        <v>23324</v>
      </c>
      <c r="B3520" s="159">
        <v>40</v>
      </c>
      <c r="C3520" s="159">
        <v>30</v>
      </c>
      <c r="D3520" s="159">
        <v>21</v>
      </c>
      <c r="E3520" s="159">
        <v>13</v>
      </c>
      <c r="F3520" s="131"/>
      <c r="G3520" s="132"/>
      <c r="H3520" s="162" t="s">
        <v>23325</v>
      </c>
      <c r="I3520" s="128"/>
      <c r="J3520" s="128"/>
      <c r="K3520" s="128"/>
      <c r="L3520" s="128"/>
      <c r="M3520" s="129"/>
      <c r="N3520" s="129"/>
      <c r="O3520" s="129"/>
    </row>
    <row r="3521" spans="1:15" ht="12.5">
      <c r="A3521" s="158" t="s">
        <v>23326</v>
      </c>
      <c r="B3521" s="159">
        <v>40</v>
      </c>
      <c r="C3521" s="159">
        <v>30</v>
      </c>
      <c r="D3521" s="159">
        <v>21</v>
      </c>
      <c r="E3521" s="159">
        <v>35</v>
      </c>
      <c r="F3521" s="131"/>
      <c r="G3521" s="132"/>
      <c r="H3521" s="162" t="s">
        <v>23327</v>
      </c>
      <c r="I3521" s="128"/>
      <c r="J3521" s="128"/>
      <c r="K3521" s="128"/>
      <c r="L3521" s="128"/>
      <c r="M3521" s="129"/>
      <c r="N3521" s="129"/>
      <c r="O3521" s="129"/>
    </row>
    <row r="3522" spans="1:15" ht="12.5">
      <c r="A3522" s="158" t="s">
        <v>23328</v>
      </c>
      <c r="B3522" s="159">
        <v>40</v>
      </c>
      <c r="C3522" s="159">
        <v>30</v>
      </c>
      <c r="D3522" s="159">
        <v>21</v>
      </c>
      <c r="E3522" s="159">
        <v>36</v>
      </c>
      <c r="F3522" s="131"/>
      <c r="G3522" s="132"/>
      <c r="H3522" s="162" t="s">
        <v>23329</v>
      </c>
      <c r="I3522" s="158" t="s">
        <v>23330</v>
      </c>
      <c r="J3522" s="128"/>
      <c r="K3522" s="128"/>
      <c r="L3522" s="128"/>
      <c r="M3522" s="129"/>
      <c r="N3522" s="129"/>
      <c r="O3522" s="129"/>
    </row>
    <row r="3523" spans="1:15" ht="12.5">
      <c r="A3523" s="158" t="s">
        <v>23331</v>
      </c>
      <c r="B3523" s="159">
        <v>40</v>
      </c>
      <c r="C3523" s="159">
        <v>30</v>
      </c>
      <c r="D3523" s="159">
        <v>21</v>
      </c>
      <c r="E3523" s="159">
        <v>65</v>
      </c>
      <c r="F3523" s="131"/>
      <c r="G3523" s="132"/>
      <c r="H3523" s="162" t="s">
        <v>23332</v>
      </c>
      <c r="I3523" s="158" t="s">
        <v>23333</v>
      </c>
      <c r="J3523" s="128"/>
      <c r="K3523" s="128"/>
      <c r="L3523" s="128"/>
      <c r="M3523" s="129"/>
      <c r="N3523" s="129"/>
      <c r="O3523" s="129"/>
    </row>
    <row r="3524" spans="1:15" ht="12.5">
      <c r="A3524" s="158" t="s">
        <v>23334</v>
      </c>
      <c r="B3524" s="159">
        <v>40</v>
      </c>
      <c r="C3524" s="159">
        <v>30</v>
      </c>
      <c r="D3524" s="159">
        <v>21</v>
      </c>
      <c r="E3524" s="159">
        <v>83</v>
      </c>
      <c r="F3524" s="131"/>
      <c r="G3524" s="132"/>
      <c r="H3524" s="162" t="s">
        <v>23335</v>
      </c>
      <c r="I3524" s="158" t="s">
        <v>23336</v>
      </c>
      <c r="J3524" s="128"/>
      <c r="K3524" s="128"/>
      <c r="L3524" s="128"/>
      <c r="M3524" s="129"/>
      <c r="N3524" s="129"/>
      <c r="O3524" s="129"/>
    </row>
    <row r="3525" spans="1:15" ht="12.5">
      <c r="A3525" s="158" t="s">
        <v>23337</v>
      </c>
      <c r="B3525" s="159">
        <v>40</v>
      </c>
      <c r="C3525" s="159">
        <v>30</v>
      </c>
      <c r="D3525" s="159">
        <v>21</v>
      </c>
      <c r="E3525" s="159">
        <v>84</v>
      </c>
      <c r="F3525" s="131"/>
      <c r="G3525" s="132"/>
      <c r="H3525" s="162" t="s">
        <v>23338</v>
      </c>
      <c r="I3525" s="158" t="s">
        <v>23339</v>
      </c>
      <c r="J3525" s="128"/>
      <c r="K3525" s="128"/>
      <c r="L3525" s="128"/>
      <c r="M3525" s="129"/>
      <c r="N3525" s="129"/>
      <c r="O3525" s="129"/>
    </row>
    <row r="3526" spans="1:15" ht="12.5">
      <c r="A3526" s="158" t="s">
        <v>23340</v>
      </c>
      <c r="B3526" s="159">
        <v>40</v>
      </c>
      <c r="C3526" s="159">
        <v>30</v>
      </c>
      <c r="D3526" s="159">
        <v>21</v>
      </c>
      <c r="E3526" s="159">
        <v>96</v>
      </c>
      <c r="F3526" s="131"/>
      <c r="G3526" s="132"/>
      <c r="H3526" s="162" t="s">
        <v>23341</v>
      </c>
      <c r="I3526" s="158" t="s">
        <v>23342</v>
      </c>
      <c r="J3526" s="128"/>
      <c r="K3526" s="128"/>
      <c r="L3526" s="128"/>
      <c r="M3526" s="129"/>
      <c r="N3526" s="129"/>
      <c r="O3526" s="129"/>
    </row>
    <row r="3527" spans="1:15" ht="12.5">
      <c r="A3527" s="158" t="s">
        <v>23343</v>
      </c>
      <c r="B3527" s="159">
        <v>40</v>
      </c>
      <c r="C3527" s="159">
        <v>30</v>
      </c>
      <c r="D3527" s="159">
        <v>22</v>
      </c>
      <c r="E3527" s="130"/>
      <c r="F3527" s="131"/>
      <c r="G3527" s="132"/>
      <c r="H3527" s="162" t="s">
        <v>23344</v>
      </c>
      <c r="I3527" s="128"/>
      <c r="J3527" s="128"/>
      <c r="K3527" s="128"/>
      <c r="L3527" s="128"/>
      <c r="M3527" s="129"/>
      <c r="N3527" s="129"/>
      <c r="O3527" s="129"/>
    </row>
    <row r="3528" spans="1:15" ht="12.5">
      <c r="A3528" s="158" t="s">
        <v>23345</v>
      </c>
      <c r="B3528" s="159">
        <v>40</v>
      </c>
      <c r="C3528" s="159">
        <v>30</v>
      </c>
      <c r="D3528" s="159">
        <v>22</v>
      </c>
      <c r="E3528" s="159">
        <v>2</v>
      </c>
      <c r="F3528" s="131"/>
      <c r="G3528" s="132"/>
      <c r="H3528" s="162" t="s">
        <v>23346</v>
      </c>
      <c r="I3528" s="128"/>
      <c r="J3528" s="128"/>
      <c r="K3528" s="128"/>
      <c r="L3528" s="128"/>
      <c r="M3528" s="129"/>
      <c r="N3528" s="129"/>
      <c r="O3528" s="129"/>
    </row>
    <row r="3529" spans="1:15" ht="12.5">
      <c r="A3529" s="158" t="s">
        <v>23347</v>
      </c>
      <c r="B3529" s="159">
        <v>40</v>
      </c>
      <c r="C3529" s="159">
        <v>30</v>
      </c>
      <c r="D3529" s="159">
        <v>22</v>
      </c>
      <c r="E3529" s="159">
        <v>5</v>
      </c>
      <c r="F3529" s="131"/>
      <c r="G3529" s="132"/>
      <c r="H3529" s="162" t="s">
        <v>23348</v>
      </c>
      <c r="I3529" s="158" t="s">
        <v>23349</v>
      </c>
      <c r="J3529" s="128"/>
      <c r="K3529" s="128"/>
      <c r="L3529" s="128"/>
      <c r="M3529" s="129"/>
      <c r="N3529" s="129"/>
      <c r="O3529" s="129"/>
    </row>
    <row r="3530" spans="1:15" ht="12.5">
      <c r="A3530" s="158" t="s">
        <v>23350</v>
      </c>
      <c r="B3530" s="159">
        <v>40</v>
      </c>
      <c r="C3530" s="159">
        <v>30</v>
      </c>
      <c r="D3530" s="159">
        <v>22</v>
      </c>
      <c r="E3530" s="159">
        <v>6</v>
      </c>
      <c r="F3530" s="131"/>
      <c r="G3530" s="132"/>
      <c r="H3530" s="162" t="s">
        <v>23351</v>
      </c>
      <c r="I3530" s="158" t="s">
        <v>23352</v>
      </c>
      <c r="J3530" s="128"/>
      <c r="K3530" s="128"/>
      <c r="L3530" s="128"/>
      <c r="M3530" s="129"/>
      <c r="N3530" s="129"/>
      <c r="O3530" s="129"/>
    </row>
    <row r="3531" spans="1:15" ht="12.5">
      <c r="A3531" s="158" t="s">
        <v>23353</v>
      </c>
      <c r="B3531" s="159">
        <v>40</v>
      </c>
      <c r="C3531" s="159">
        <v>30</v>
      </c>
      <c r="D3531" s="159">
        <v>22</v>
      </c>
      <c r="E3531" s="159">
        <v>11</v>
      </c>
      <c r="F3531" s="131"/>
      <c r="G3531" s="132"/>
      <c r="H3531" s="162" t="s">
        <v>23354</v>
      </c>
      <c r="I3531" s="158" t="s">
        <v>23355</v>
      </c>
      <c r="J3531" s="128"/>
      <c r="K3531" s="128"/>
      <c r="L3531" s="128"/>
      <c r="M3531" s="129"/>
      <c r="N3531" s="129"/>
      <c r="O3531" s="129"/>
    </row>
    <row r="3532" spans="1:15" ht="12.5">
      <c r="A3532" s="158" t="s">
        <v>23356</v>
      </c>
      <c r="B3532" s="159">
        <v>40</v>
      </c>
      <c r="C3532" s="159">
        <v>30</v>
      </c>
      <c r="D3532" s="159">
        <v>22</v>
      </c>
      <c r="E3532" s="159">
        <v>14</v>
      </c>
      <c r="F3532" s="131"/>
      <c r="G3532" s="132"/>
      <c r="H3532" s="162" t="s">
        <v>23357</v>
      </c>
      <c r="I3532" s="158" t="s">
        <v>23358</v>
      </c>
      <c r="J3532" s="128"/>
      <c r="K3532" s="128"/>
      <c r="L3532" s="128"/>
      <c r="M3532" s="129"/>
      <c r="N3532" s="129"/>
      <c r="O3532" s="129"/>
    </row>
    <row r="3533" spans="1:15" ht="12.5">
      <c r="A3533" s="158" t="s">
        <v>23359</v>
      </c>
      <c r="B3533" s="159">
        <v>40</v>
      </c>
      <c r="C3533" s="159">
        <v>30</v>
      </c>
      <c r="D3533" s="159">
        <v>22</v>
      </c>
      <c r="E3533" s="159">
        <v>22</v>
      </c>
      <c r="F3533" s="131"/>
      <c r="G3533" s="132"/>
      <c r="H3533" s="162" t="s">
        <v>23360</v>
      </c>
      <c r="I3533" s="128"/>
      <c r="J3533" s="128"/>
      <c r="K3533" s="128"/>
      <c r="L3533" s="128"/>
      <c r="M3533" s="129"/>
      <c r="N3533" s="129"/>
      <c r="O3533" s="129"/>
    </row>
    <row r="3534" spans="1:15" ht="12.5">
      <c r="A3534" s="158" t="s">
        <v>23361</v>
      </c>
      <c r="B3534" s="159">
        <v>40</v>
      </c>
      <c r="C3534" s="159">
        <v>30</v>
      </c>
      <c r="D3534" s="159">
        <v>22</v>
      </c>
      <c r="E3534" s="159">
        <v>26</v>
      </c>
      <c r="F3534" s="131"/>
      <c r="G3534" s="132"/>
      <c r="H3534" s="162" t="s">
        <v>23362</v>
      </c>
      <c r="I3534" s="158" t="s">
        <v>23363</v>
      </c>
      <c r="J3534" s="128"/>
      <c r="K3534" s="128"/>
      <c r="L3534" s="128"/>
      <c r="M3534" s="129"/>
      <c r="N3534" s="129"/>
      <c r="O3534" s="129"/>
    </row>
    <row r="3535" spans="1:15" ht="12.5">
      <c r="A3535" s="158" t="s">
        <v>23364</v>
      </c>
      <c r="B3535" s="159">
        <v>40</v>
      </c>
      <c r="C3535" s="159">
        <v>30</v>
      </c>
      <c r="D3535" s="159">
        <v>22</v>
      </c>
      <c r="E3535" s="159">
        <v>30</v>
      </c>
      <c r="F3535" s="131"/>
      <c r="G3535" s="132"/>
      <c r="H3535" s="162" t="s">
        <v>23365</v>
      </c>
      <c r="I3535" s="128"/>
      <c r="J3535" s="128"/>
      <c r="K3535" s="128"/>
      <c r="L3535" s="128"/>
      <c r="M3535" s="129"/>
      <c r="N3535" s="129"/>
      <c r="O3535" s="129"/>
    </row>
    <row r="3536" spans="1:15" ht="12.5">
      <c r="A3536" s="158" t="s">
        <v>23366</v>
      </c>
      <c r="B3536" s="159">
        <v>40</v>
      </c>
      <c r="C3536" s="159">
        <v>30</v>
      </c>
      <c r="D3536" s="159">
        <v>22</v>
      </c>
      <c r="E3536" s="159">
        <v>31</v>
      </c>
      <c r="F3536" s="131"/>
      <c r="G3536" s="132"/>
      <c r="H3536" s="162" t="s">
        <v>23367</v>
      </c>
      <c r="I3536" s="158" t="s">
        <v>23368</v>
      </c>
      <c r="J3536" s="128"/>
      <c r="K3536" s="128"/>
      <c r="L3536" s="128"/>
      <c r="M3536" s="129"/>
      <c r="N3536" s="129"/>
      <c r="O3536" s="129"/>
    </row>
    <row r="3537" spans="1:15" ht="12.5">
      <c r="A3537" s="158" t="s">
        <v>23369</v>
      </c>
      <c r="B3537" s="159">
        <v>40</v>
      </c>
      <c r="C3537" s="159">
        <v>30</v>
      </c>
      <c r="D3537" s="159">
        <v>22</v>
      </c>
      <c r="E3537" s="159">
        <v>34</v>
      </c>
      <c r="F3537" s="131"/>
      <c r="G3537" s="132"/>
      <c r="H3537" s="162" t="s">
        <v>23370</v>
      </c>
      <c r="I3537" s="128"/>
      <c r="J3537" s="128"/>
      <c r="K3537" s="128"/>
      <c r="L3537" s="128"/>
      <c r="M3537" s="129"/>
      <c r="N3537" s="129"/>
      <c r="O3537" s="129"/>
    </row>
    <row r="3538" spans="1:15" ht="12.5">
      <c r="A3538" s="158" t="s">
        <v>23371</v>
      </c>
      <c r="B3538" s="159">
        <v>40</v>
      </c>
      <c r="C3538" s="159">
        <v>30</v>
      </c>
      <c r="D3538" s="159">
        <v>22</v>
      </c>
      <c r="E3538" s="159">
        <v>38</v>
      </c>
      <c r="F3538" s="131"/>
      <c r="G3538" s="132"/>
      <c r="H3538" s="162" t="s">
        <v>23372</v>
      </c>
      <c r="I3538" s="128"/>
      <c r="J3538" s="128"/>
      <c r="K3538" s="128"/>
      <c r="L3538" s="128"/>
      <c r="M3538" s="129"/>
      <c r="N3538" s="129"/>
      <c r="O3538" s="129"/>
    </row>
    <row r="3539" spans="1:15" ht="12.5">
      <c r="A3539" s="158" t="s">
        <v>23373</v>
      </c>
      <c r="B3539" s="159">
        <v>40</v>
      </c>
      <c r="C3539" s="159">
        <v>30</v>
      </c>
      <c r="D3539" s="159">
        <v>22</v>
      </c>
      <c r="E3539" s="159">
        <v>40</v>
      </c>
      <c r="F3539" s="131"/>
      <c r="G3539" s="132"/>
      <c r="H3539" s="162" t="s">
        <v>23374</v>
      </c>
      <c r="I3539" s="158" t="s">
        <v>23375</v>
      </c>
      <c r="J3539" s="128"/>
      <c r="K3539" s="128"/>
      <c r="L3539" s="128"/>
      <c r="M3539" s="129"/>
      <c r="N3539" s="129"/>
      <c r="O3539" s="129"/>
    </row>
    <row r="3540" spans="1:15" ht="12.5">
      <c r="A3540" s="158" t="s">
        <v>23376</v>
      </c>
      <c r="B3540" s="159">
        <v>40</v>
      </c>
      <c r="C3540" s="159">
        <v>30</v>
      </c>
      <c r="D3540" s="159">
        <v>22</v>
      </c>
      <c r="E3540" s="159">
        <v>46</v>
      </c>
      <c r="F3540" s="131"/>
      <c r="G3540" s="132"/>
      <c r="H3540" s="162" t="s">
        <v>23377</v>
      </c>
      <c r="I3540" s="128"/>
      <c r="J3540" s="128"/>
      <c r="K3540" s="128"/>
      <c r="L3540" s="128"/>
      <c r="M3540" s="129"/>
      <c r="N3540" s="129"/>
      <c r="O3540" s="129"/>
    </row>
    <row r="3541" spans="1:15" ht="12.5">
      <c r="A3541" s="158" t="s">
        <v>23378</v>
      </c>
      <c r="B3541" s="159">
        <v>40</v>
      </c>
      <c r="C3541" s="159">
        <v>30</v>
      </c>
      <c r="D3541" s="159">
        <v>22</v>
      </c>
      <c r="E3541" s="159">
        <v>48</v>
      </c>
      <c r="F3541" s="131"/>
      <c r="G3541" s="132"/>
      <c r="H3541" s="162" t="s">
        <v>23379</v>
      </c>
      <c r="I3541" s="158" t="s">
        <v>23380</v>
      </c>
      <c r="J3541" s="128"/>
      <c r="K3541" s="128"/>
      <c r="L3541" s="128"/>
      <c r="M3541" s="129"/>
      <c r="N3541" s="129"/>
      <c r="O3541" s="129"/>
    </row>
    <row r="3542" spans="1:15" ht="12.5">
      <c r="A3542" s="158" t="s">
        <v>23381</v>
      </c>
      <c r="B3542" s="159">
        <v>40</v>
      </c>
      <c r="C3542" s="159">
        <v>30</v>
      </c>
      <c r="D3542" s="159">
        <v>22</v>
      </c>
      <c r="E3542" s="159">
        <v>56</v>
      </c>
      <c r="F3542" s="131"/>
      <c r="G3542" s="132"/>
      <c r="H3542" s="162" t="s">
        <v>23382</v>
      </c>
      <c r="I3542" s="128"/>
      <c r="J3542" s="128"/>
      <c r="K3542" s="128"/>
      <c r="L3542" s="128"/>
      <c r="M3542" s="129"/>
      <c r="N3542" s="129"/>
      <c r="O3542" s="129"/>
    </row>
    <row r="3543" spans="1:15" ht="12.5">
      <c r="A3543" s="158" t="s">
        <v>23383</v>
      </c>
      <c r="B3543" s="159">
        <v>40</v>
      </c>
      <c r="C3543" s="159">
        <v>30</v>
      </c>
      <c r="D3543" s="159">
        <v>22</v>
      </c>
      <c r="E3543" s="159">
        <v>60</v>
      </c>
      <c r="F3543" s="131"/>
      <c r="G3543" s="132"/>
      <c r="H3543" s="162" t="s">
        <v>23384</v>
      </c>
      <c r="I3543" s="158" t="s">
        <v>23385</v>
      </c>
      <c r="J3543" s="128"/>
      <c r="K3543" s="128"/>
      <c r="L3543" s="128"/>
      <c r="M3543" s="129"/>
      <c r="N3543" s="129"/>
      <c r="O3543" s="129"/>
    </row>
    <row r="3544" spans="1:15" ht="12.5">
      <c r="A3544" s="158" t="s">
        <v>23386</v>
      </c>
      <c r="B3544" s="159">
        <v>40</v>
      </c>
      <c r="C3544" s="159">
        <v>30</v>
      </c>
      <c r="D3544" s="159">
        <v>22</v>
      </c>
      <c r="E3544" s="159">
        <v>64</v>
      </c>
      <c r="F3544" s="131"/>
      <c r="G3544" s="132"/>
      <c r="H3544" s="162" t="s">
        <v>23387</v>
      </c>
      <c r="I3544" s="128"/>
      <c r="J3544" s="128"/>
      <c r="K3544" s="128"/>
      <c r="L3544" s="128"/>
      <c r="M3544" s="129"/>
      <c r="N3544" s="129"/>
      <c r="O3544" s="129"/>
    </row>
    <row r="3545" spans="1:15" ht="12.5">
      <c r="A3545" s="158" t="s">
        <v>23388</v>
      </c>
      <c r="B3545" s="159">
        <v>40</v>
      </c>
      <c r="C3545" s="159">
        <v>30</v>
      </c>
      <c r="D3545" s="159">
        <v>22</v>
      </c>
      <c r="E3545" s="159">
        <v>66</v>
      </c>
      <c r="F3545" s="131"/>
      <c r="G3545" s="132"/>
      <c r="H3545" s="162" t="s">
        <v>23389</v>
      </c>
      <c r="I3545" s="158" t="s">
        <v>23390</v>
      </c>
      <c r="J3545" s="128"/>
      <c r="K3545" s="128"/>
      <c r="L3545" s="128"/>
      <c r="M3545" s="129"/>
      <c r="N3545" s="129"/>
      <c r="O3545" s="129"/>
    </row>
    <row r="3546" spans="1:15" ht="12.5">
      <c r="A3546" s="158" t="s">
        <v>23391</v>
      </c>
      <c r="B3546" s="159">
        <v>40</v>
      </c>
      <c r="C3546" s="159">
        <v>30</v>
      </c>
      <c r="D3546" s="159">
        <v>22</v>
      </c>
      <c r="E3546" s="159">
        <v>76</v>
      </c>
      <c r="F3546" s="131"/>
      <c r="G3546" s="132"/>
      <c r="H3546" s="162" t="s">
        <v>23392</v>
      </c>
      <c r="I3546" s="128"/>
      <c r="J3546" s="128"/>
      <c r="K3546" s="128"/>
      <c r="L3546" s="128"/>
      <c r="M3546" s="129"/>
      <c r="N3546" s="129"/>
      <c r="O3546" s="129"/>
    </row>
    <row r="3547" spans="1:15" ht="12.5">
      <c r="A3547" s="158" t="s">
        <v>23393</v>
      </c>
      <c r="B3547" s="159">
        <v>40</v>
      </c>
      <c r="C3547" s="159">
        <v>30</v>
      </c>
      <c r="D3547" s="159">
        <v>22</v>
      </c>
      <c r="E3547" s="159">
        <v>80</v>
      </c>
      <c r="F3547" s="131"/>
      <c r="G3547" s="132"/>
      <c r="H3547" s="162" t="s">
        <v>23394</v>
      </c>
      <c r="I3547" s="158" t="s">
        <v>23395</v>
      </c>
      <c r="J3547" s="128"/>
      <c r="K3547" s="128"/>
      <c r="L3547" s="128"/>
      <c r="M3547" s="129"/>
      <c r="N3547" s="129"/>
      <c r="O3547" s="129"/>
    </row>
    <row r="3548" spans="1:15" ht="12.5">
      <c r="A3548" s="158" t="s">
        <v>23396</v>
      </c>
      <c r="B3548" s="159">
        <v>40</v>
      </c>
      <c r="C3548" s="159">
        <v>30</v>
      </c>
      <c r="D3548" s="159">
        <v>22</v>
      </c>
      <c r="E3548" s="159">
        <v>82</v>
      </c>
      <c r="F3548" s="131"/>
      <c r="G3548" s="132"/>
      <c r="H3548" s="162" t="s">
        <v>23397</v>
      </c>
      <c r="I3548" s="128"/>
      <c r="J3548" s="128"/>
      <c r="K3548" s="128"/>
      <c r="L3548" s="128"/>
      <c r="M3548" s="129"/>
      <c r="N3548" s="129"/>
      <c r="O3548" s="129"/>
    </row>
    <row r="3549" spans="1:15" ht="12.5">
      <c r="A3549" s="158" t="s">
        <v>23398</v>
      </c>
      <c r="B3549" s="159">
        <v>40</v>
      </c>
      <c r="C3549" s="159">
        <v>30</v>
      </c>
      <c r="D3549" s="159">
        <v>22</v>
      </c>
      <c r="E3549" s="159">
        <v>84</v>
      </c>
      <c r="F3549" s="131"/>
      <c r="G3549" s="132"/>
      <c r="H3549" s="162" t="s">
        <v>23399</v>
      </c>
      <c r="I3549" s="158" t="s">
        <v>23400</v>
      </c>
      <c r="J3549" s="128"/>
      <c r="K3549" s="128"/>
      <c r="L3549" s="128"/>
      <c r="M3549" s="129"/>
      <c r="N3549" s="129"/>
      <c r="O3549" s="129"/>
    </row>
    <row r="3550" spans="1:15" ht="12.5">
      <c r="A3550" s="158" t="s">
        <v>23401</v>
      </c>
      <c r="B3550" s="159">
        <v>40</v>
      </c>
      <c r="C3550" s="159">
        <v>30</v>
      </c>
      <c r="D3550" s="159">
        <v>22</v>
      </c>
      <c r="E3550" s="159">
        <v>87</v>
      </c>
      <c r="F3550" s="131"/>
      <c r="G3550" s="132"/>
      <c r="H3550" s="162" t="s">
        <v>23402</v>
      </c>
      <c r="I3550" s="158" t="s">
        <v>23403</v>
      </c>
      <c r="J3550" s="128"/>
      <c r="K3550" s="128"/>
      <c r="L3550" s="128"/>
      <c r="M3550" s="129"/>
      <c r="N3550" s="129"/>
      <c r="O3550" s="129"/>
    </row>
    <row r="3551" spans="1:15" ht="12.5">
      <c r="A3551" s="158" t="s">
        <v>23404</v>
      </c>
      <c r="B3551" s="159">
        <v>40</v>
      </c>
      <c r="C3551" s="159">
        <v>30</v>
      </c>
      <c r="D3551" s="159">
        <v>22</v>
      </c>
      <c r="E3551" s="159">
        <v>89</v>
      </c>
      <c r="F3551" s="131"/>
      <c r="G3551" s="132"/>
      <c r="H3551" s="162" t="s">
        <v>23405</v>
      </c>
      <c r="I3551" s="158" t="s">
        <v>23406</v>
      </c>
      <c r="J3551" s="128"/>
      <c r="K3551" s="128"/>
      <c r="L3551" s="128"/>
      <c r="M3551" s="129"/>
      <c r="N3551" s="129"/>
      <c r="O3551" s="129"/>
    </row>
    <row r="3552" spans="1:15" ht="12.5">
      <c r="A3552" s="158" t="s">
        <v>23407</v>
      </c>
      <c r="B3552" s="159">
        <v>40</v>
      </c>
      <c r="C3552" s="159">
        <v>30</v>
      </c>
      <c r="D3552" s="159">
        <v>22</v>
      </c>
      <c r="E3552" s="159">
        <v>92</v>
      </c>
      <c r="F3552" s="131"/>
      <c r="G3552" s="132"/>
      <c r="H3552" s="162" t="s">
        <v>23408</v>
      </c>
      <c r="I3552" s="128"/>
      <c r="J3552" s="128"/>
      <c r="K3552" s="128"/>
      <c r="L3552" s="128"/>
      <c r="M3552" s="129"/>
      <c r="N3552" s="129"/>
      <c r="O3552" s="129"/>
    </row>
    <row r="3553" spans="1:15" ht="12.5">
      <c r="A3553" s="158" t="s">
        <v>23409</v>
      </c>
      <c r="B3553" s="159">
        <v>40</v>
      </c>
      <c r="C3553" s="159">
        <v>30</v>
      </c>
      <c r="D3553" s="159">
        <v>22</v>
      </c>
      <c r="E3553" s="159">
        <v>95</v>
      </c>
      <c r="F3553" s="131"/>
      <c r="G3553" s="132"/>
      <c r="H3553" s="162" t="s">
        <v>23410</v>
      </c>
      <c r="I3553" s="158" t="s">
        <v>23411</v>
      </c>
      <c r="J3553" s="128"/>
      <c r="K3553" s="128"/>
      <c r="L3553" s="128"/>
      <c r="M3553" s="129"/>
      <c r="N3553" s="129"/>
      <c r="O3553" s="129"/>
    </row>
    <row r="3554" spans="1:15" ht="12.5">
      <c r="A3554" s="158" t="s">
        <v>23412</v>
      </c>
      <c r="B3554" s="159">
        <v>40</v>
      </c>
      <c r="C3554" s="159">
        <v>30</v>
      </c>
      <c r="D3554" s="159">
        <v>22</v>
      </c>
      <c r="E3554" s="159">
        <v>96</v>
      </c>
      <c r="F3554" s="131"/>
      <c r="G3554" s="132"/>
      <c r="H3554" s="162" t="s">
        <v>23413</v>
      </c>
      <c r="I3554" s="158" t="s">
        <v>23414</v>
      </c>
      <c r="J3554" s="128"/>
      <c r="K3554" s="128"/>
      <c r="L3554" s="128"/>
      <c r="M3554" s="129"/>
      <c r="N3554" s="129"/>
      <c r="O3554" s="129"/>
    </row>
    <row r="3555" spans="1:15" ht="12.5">
      <c r="A3555" s="158" t="s">
        <v>23415</v>
      </c>
      <c r="B3555" s="159">
        <v>40</v>
      </c>
      <c r="C3555" s="159">
        <v>30</v>
      </c>
      <c r="D3555" s="159">
        <v>25</v>
      </c>
      <c r="E3555" s="130"/>
      <c r="F3555" s="131"/>
      <c r="G3555" s="132"/>
      <c r="H3555" s="162" t="s">
        <v>23416</v>
      </c>
      <c r="I3555" s="128"/>
      <c r="J3555" s="128"/>
      <c r="K3555" s="128"/>
      <c r="L3555" s="128"/>
      <c r="M3555" s="129"/>
      <c r="N3555" s="129"/>
      <c r="O3555" s="129"/>
    </row>
    <row r="3556" spans="1:15" ht="12.5">
      <c r="A3556" s="158" t="s">
        <v>23417</v>
      </c>
      <c r="B3556" s="159">
        <v>40</v>
      </c>
      <c r="C3556" s="159">
        <v>30</v>
      </c>
      <c r="D3556" s="159">
        <v>25</v>
      </c>
      <c r="E3556" s="159">
        <v>3</v>
      </c>
      <c r="F3556" s="131"/>
      <c r="G3556" s="132"/>
      <c r="H3556" s="162" t="s">
        <v>23418</v>
      </c>
      <c r="I3556" s="158" t="s">
        <v>23419</v>
      </c>
      <c r="J3556" s="128"/>
      <c r="K3556" s="128"/>
      <c r="L3556" s="128"/>
      <c r="M3556" s="129"/>
      <c r="N3556" s="129"/>
      <c r="O3556" s="129"/>
    </row>
    <row r="3557" spans="1:15" ht="12.5">
      <c r="A3557" s="158" t="s">
        <v>23420</v>
      </c>
      <c r="B3557" s="159">
        <v>40</v>
      </c>
      <c r="C3557" s="159">
        <v>30</v>
      </c>
      <c r="D3557" s="159">
        <v>25</v>
      </c>
      <c r="E3557" s="159">
        <v>4</v>
      </c>
      <c r="F3557" s="131"/>
      <c r="G3557" s="132"/>
      <c r="H3557" s="162" t="s">
        <v>23421</v>
      </c>
      <c r="I3557" s="158" t="s">
        <v>23422</v>
      </c>
      <c r="J3557" s="128"/>
      <c r="K3557" s="128"/>
      <c r="L3557" s="128"/>
      <c r="M3557" s="129"/>
      <c r="N3557" s="129"/>
      <c r="O3557" s="129"/>
    </row>
    <row r="3558" spans="1:15" ht="12.5">
      <c r="A3558" s="158" t="s">
        <v>23423</v>
      </c>
      <c r="B3558" s="159">
        <v>40</v>
      </c>
      <c r="C3558" s="159">
        <v>30</v>
      </c>
      <c r="D3558" s="159">
        <v>25</v>
      </c>
      <c r="E3558" s="159">
        <v>13</v>
      </c>
      <c r="F3558" s="131"/>
      <c r="G3558" s="132"/>
      <c r="H3558" s="162" t="s">
        <v>23424</v>
      </c>
      <c r="I3558" s="158" t="s">
        <v>23425</v>
      </c>
      <c r="J3558" s="128"/>
      <c r="K3558" s="128"/>
      <c r="L3558" s="128"/>
      <c r="M3558" s="129"/>
      <c r="N3558" s="129"/>
      <c r="O3558" s="129"/>
    </row>
    <row r="3559" spans="1:15" ht="12.5">
      <c r="A3559" s="158" t="s">
        <v>23426</v>
      </c>
      <c r="B3559" s="159">
        <v>40</v>
      </c>
      <c r="C3559" s="159">
        <v>30</v>
      </c>
      <c r="D3559" s="159">
        <v>25</v>
      </c>
      <c r="E3559" s="159">
        <v>17</v>
      </c>
      <c r="F3559" s="131"/>
      <c r="G3559" s="132"/>
      <c r="H3559" s="162" t="s">
        <v>23427</v>
      </c>
      <c r="I3559" s="158" t="s">
        <v>23428</v>
      </c>
      <c r="J3559" s="128"/>
      <c r="K3559" s="128"/>
      <c r="L3559" s="128"/>
      <c r="M3559" s="129"/>
      <c r="N3559" s="129"/>
      <c r="O3559" s="129"/>
    </row>
    <row r="3560" spans="1:15" ht="12.5">
      <c r="A3560" s="158" t="s">
        <v>23429</v>
      </c>
      <c r="B3560" s="159">
        <v>40</v>
      </c>
      <c r="C3560" s="159">
        <v>30</v>
      </c>
      <c r="D3560" s="159">
        <v>25</v>
      </c>
      <c r="E3560" s="159">
        <v>21</v>
      </c>
      <c r="F3560" s="131"/>
      <c r="G3560" s="132"/>
      <c r="H3560" s="162" t="s">
        <v>23430</v>
      </c>
      <c r="I3560" s="158" t="s">
        <v>23431</v>
      </c>
      <c r="J3560" s="128"/>
      <c r="K3560" s="128"/>
      <c r="L3560" s="128"/>
      <c r="M3560" s="129"/>
      <c r="N3560" s="129"/>
      <c r="O3560" s="129"/>
    </row>
    <row r="3561" spans="1:15" ht="12.5">
      <c r="A3561" s="158" t="s">
        <v>23432</v>
      </c>
      <c r="B3561" s="159">
        <v>40</v>
      </c>
      <c r="C3561" s="159">
        <v>30</v>
      </c>
      <c r="D3561" s="159">
        <v>25</v>
      </c>
      <c r="E3561" s="159">
        <v>22</v>
      </c>
      <c r="F3561" s="131"/>
      <c r="G3561" s="132"/>
      <c r="H3561" s="162" t="s">
        <v>23433</v>
      </c>
      <c r="I3561" s="128"/>
      <c r="J3561" s="128"/>
      <c r="K3561" s="128"/>
      <c r="L3561" s="128"/>
      <c r="M3561" s="129"/>
      <c r="N3561" s="129"/>
      <c r="O3561" s="129"/>
    </row>
    <row r="3562" spans="1:15" ht="12.5">
      <c r="A3562" s="158" t="s">
        <v>23434</v>
      </c>
      <c r="B3562" s="159">
        <v>40</v>
      </c>
      <c r="C3562" s="159">
        <v>30</v>
      </c>
      <c r="D3562" s="159">
        <v>25</v>
      </c>
      <c r="E3562" s="159">
        <v>23</v>
      </c>
      <c r="F3562" s="131"/>
      <c r="G3562" s="132"/>
      <c r="H3562" s="162" t="s">
        <v>23435</v>
      </c>
      <c r="I3562" s="128"/>
      <c r="J3562" s="128"/>
      <c r="K3562" s="128"/>
      <c r="L3562" s="128"/>
      <c r="M3562" s="129"/>
      <c r="N3562" s="129"/>
      <c r="O3562" s="129"/>
    </row>
    <row r="3563" spans="1:15" ht="12.5">
      <c r="A3563" s="158" t="s">
        <v>23436</v>
      </c>
      <c r="B3563" s="159">
        <v>40</v>
      </c>
      <c r="C3563" s="159">
        <v>30</v>
      </c>
      <c r="D3563" s="159">
        <v>25</v>
      </c>
      <c r="E3563" s="159">
        <v>25</v>
      </c>
      <c r="F3563" s="131"/>
      <c r="G3563" s="132"/>
      <c r="H3563" s="162" t="s">
        <v>23437</v>
      </c>
      <c r="I3563" s="158" t="s">
        <v>23438</v>
      </c>
      <c r="J3563" s="128"/>
      <c r="K3563" s="128"/>
      <c r="L3563" s="128"/>
      <c r="M3563" s="129"/>
      <c r="N3563" s="129"/>
      <c r="O3563" s="129"/>
    </row>
    <row r="3564" spans="1:15" ht="12.5">
      <c r="A3564" s="158" t="s">
        <v>23439</v>
      </c>
      <c r="B3564" s="159">
        <v>40</v>
      </c>
      <c r="C3564" s="159">
        <v>30</v>
      </c>
      <c r="D3564" s="159">
        <v>25</v>
      </c>
      <c r="E3564" s="159">
        <v>30</v>
      </c>
      <c r="F3564" s="131"/>
      <c r="G3564" s="132"/>
      <c r="H3564" s="162" t="s">
        <v>23440</v>
      </c>
      <c r="I3564" s="158" t="s">
        <v>23441</v>
      </c>
      <c r="J3564" s="128"/>
      <c r="K3564" s="128"/>
      <c r="L3564" s="128"/>
      <c r="M3564" s="129"/>
      <c r="N3564" s="129"/>
      <c r="O3564" s="129"/>
    </row>
    <row r="3565" spans="1:15" ht="12.5">
      <c r="A3565" s="158" t="s">
        <v>23442</v>
      </c>
      <c r="B3565" s="159">
        <v>40</v>
      </c>
      <c r="C3565" s="159">
        <v>30</v>
      </c>
      <c r="D3565" s="159">
        <v>25</v>
      </c>
      <c r="E3565" s="159">
        <v>42</v>
      </c>
      <c r="F3565" s="131"/>
      <c r="G3565" s="132"/>
      <c r="H3565" s="162" t="s">
        <v>23443</v>
      </c>
      <c r="I3565" s="128"/>
      <c r="J3565" s="128"/>
      <c r="K3565" s="128"/>
      <c r="L3565" s="128"/>
      <c r="M3565" s="129"/>
      <c r="N3565" s="129"/>
      <c r="O3565" s="129"/>
    </row>
    <row r="3566" spans="1:15" ht="12.5">
      <c r="A3566" s="158" t="s">
        <v>23444</v>
      </c>
      <c r="B3566" s="159">
        <v>40</v>
      </c>
      <c r="C3566" s="159">
        <v>30</v>
      </c>
      <c r="D3566" s="159">
        <v>25</v>
      </c>
      <c r="E3566" s="159">
        <v>46</v>
      </c>
      <c r="F3566" s="131"/>
      <c r="G3566" s="132"/>
      <c r="H3566" s="162" t="s">
        <v>23445</v>
      </c>
      <c r="I3566" s="158" t="s">
        <v>23446</v>
      </c>
      <c r="J3566" s="128"/>
      <c r="K3566" s="128"/>
      <c r="L3566" s="128"/>
      <c r="M3566" s="129"/>
      <c r="N3566" s="129"/>
      <c r="O3566" s="129"/>
    </row>
    <row r="3567" spans="1:15" ht="12.5">
      <c r="A3567" s="158" t="s">
        <v>23447</v>
      </c>
      <c r="B3567" s="159">
        <v>40</v>
      </c>
      <c r="C3567" s="159">
        <v>30</v>
      </c>
      <c r="D3567" s="159">
        <v>25</v>
      </c>
      <c r="E3567" s="159">
        <v>47</v>
      </c>
      <c r="F3567" s="131"/>
      <c r="G3567" s="132"/>
      <c r="H3567" s="162" t="s">
        <v>23448</v>
      </c>
      <c r="I3567" s="128"/>
      <c r="J3567" s="128"/>
      <c r="K3567" s="128"/>
      <c r="L3567" s="128"/>
      <c r="M3567" s="129"/>
      <c r="N3567" s="129"/>
      <c r="O3567" s="129"/>
    </row>
    <row r="3568" spans="1:15" ht="12.5">
      <c r="A3568" s="158" t="s">
        <v>23449</v>
      </c>
      <c r="B3568" s="159">
        <v>40</v>
      </c>
      <c r="C3568" s="159">
        <v>30</v>
      </c>
      <c r="D3568" s="159">
        <v>25</v>
      </c>
      <c r="E3568" s="159">
        <v>48</v>
      </c>
      <c r="F3568" s="131"/>
      <c r="G3568" s="132"/>
      <c r="H3568" s="162" t="s">
        <v>23450</v>
      </c>
      <c r="I3568" s="158" t="s">
        <v>23451</v>
      </c>
      <c r="J3568" s="128"/>
      <c r="K3568" s="128"/>
      <c r="L3568" s="128"/>
      <c r="M3568" s="129"/>
      <c r="N3568" s="129"/>
      <c r="O3568" s="129"/>
    </row>
    <row r="3569" spans="1:15" ht="12.5">
      <c r="A3569" s="158" t="s">
        <v>23452</v>
      </c>
      <c r="B3569" s="159">
        <v>40</v>
      </c>
      <c r="C3569" s="159">
        <v>30</v>
      </c>
      <c r="D3569" s="159">
        <v>25</v>
      </c>
      <c r="E3569" s="159">
        <v>50</v>
      </c>
      <c r="F3569" s="131"/>
      <c r="G3569" s="132"/>
      <c r="H3569" s="162" t="s">
        <v>23453</v>
      </c>
      <c r="I3569" s="158" t="s">
        <v>23454</v>
      </c>
      <c r="J3569" s="128"/>
      <c r="K3569" s="128"/>
      <c r="L3569" s="128"/>
      <c r="M3569" s="129"/>
      <c r="N3569" s="129"/>
      <c r="O3569" s="129"/>
    </row>
    <row r="3570" spans="1:15" ht="12.5">
      <c r="A3570" s="158" t="s">
        <v>23455</v>
      </c>
      <c r="B3570" s="159">
        <v>40</v>
      </c>
      <c r="C3570" s="159">
        <v>30</v>
      </c>
      <c r="D3570" s="159">
        <v>25</v>
      </c>
      <c r="E3570" s="159">
        <v>55</v>
      </c>
      <c r="F3570" s="131"/>
      <c r="G3570" s="132"/>
      <c r="H3570" s="162" t="s">
        <v>23456</v>
      </c>
      <c r="I3570" s="128"/>
      <c r="J3570" s="128"/>
      <c r="K3570" s="128"/>
      <c r="L3570" s="128"/>
      <c r="M3570" s="129"/>
      <c r="N3570" s="129"/>
      <c r="O3570" s="129"/>
    </row>
    <row r="3571" spans="1:15" ht="12.5">
      <c r="A3571" s="158" t="s">
        <v>23457</v>
      </c>
      <c r="B3571" s="159">
        <v>40</v>
      </c>
      <c r="C3571" s="159">
        <v>30</v>
      </c>
      <c r="D3571" s="159">
        <v>25</v>
      </c>
      <c r="E3571" s="159">
        <v>58</v>
      </c>
      <c r="F3571" s="131"/>
      <c r="G3571" s="132"/>
      <c r="H3571" s="162" t="s">
        <v>23458</v>
      </c>
      <c r="I3571" s="158" t="s">
        <v>23459</v>
      </c>
      <c r="J3571" s="128"/>
      <c r="K3571" s="128"/>
      <c r="L3571" s="128"/>
      <c r="M3571" s="129"/>
      <c r="N3571" s="129"/>
      <c r="O3571" s="129"/>
    </row>
    <row r="3572" spans="1:15" ht="12.5">
      <c r="A3572" s="158" t="s">
        <v>23460</v>
      </c>
      <c r="B3572" s="159">
        <v>40</v>
      </c>
      <c r="C3572" s="159">
        <v>30</v>
      </c>
      <c r="D3572" s="159">
        <v>25</v>
      </c>
      <c r="E3572" s="159">
        <v>64</v>
      </c>
      <c r="F3572" s="131"/>
      <c r="G3572" s="132"/>
      <c r="H3572" s="162" t="s">
        <v>23461</v>
      </c>
      <c r="I3572" s="158" t="s">
        <v>23462</v>
      </c>
      <c r="J3572" s="128"/>
      <c r="K3572" s="128"/>
      <c r="L3572" s="128"/>
      <c r="M3572" s="129"/>
      <c r="N3572" s="129"/>
      <c r="O3572" s="129"/>
    </row>
    <row r="3573" spans="1:15" ht="12.5">
      <c r="A3573" s="158" t="s">
        <v>23463</v>
      </c>
      <c r="B3573" s="159">
        <v>40</v>
      </c>
      <c r="C3573" s="159">
        <v>30</v>
      </c>
      <c r="D3573" s="159">
        <v>25</v>
      </c>
      <c r="E3573" s="159">
        <v>65</v>
      </c>
      <c r="F3573" s="131"/>
      <c r="G3573" s="132"/>
      <c r="H3573" s="162" t="s">
        <v>23464</v>
      </c>
      <c r="I3573" s="158" t="s">
        <v>23465</v>
      </c>
      <c r="J3573" s="128"/>
      <c r="K3573" s="128"/>
      <c r="L3573" s="128"/>
      <c r="M3573" s="129"/>
      <c r="N3573" s="129"/>
      <c r="O3573" s="129"/>
    </row>
    <row r="3574" spans="1:15" ht="12.5">
      <c r="A3574" s="158" t="s">
        <v>23466</v>
      </c>
      <c r="B3574" s="159">
        <v>40</v>
      </c>
      <c r="C3574" s="159">
        <v>30</v>
      </c>
      <c r="D3574" s="159">
        <v>25</v>
      </c>
      <c r="E3574" s="159">
        <v>67</v>
      </c>
      <c r="F3574" s="131"/>
      <c r="G3574" s="132"/>
      <c r="H3574" s="162" t="s">
        <v>23467</v>
      </c>
      <c r="I3574" s="128"/>
      <c r="J3574" s="128"/>
      <c r="K3574" s="128"/>
      <c r="L3574" s="128"/>
      <c r="M3574" s="129"/>
      <c r="N3574" s="129"/>
      <c r="O3574" s="129"/>
    </row>
    <row r="3575" spans="1:15" ht="12.5">
      <c r="A3575" s="158" t="s">
        <v>23468</v>
      </c>
      <c r="B3575" s="159">
        <v>40</v>
      </c>
      <c r="C3575" s="159">
        <v>30</v>
      </c>
      <c r="D3575" s="159">
        <v>25</v>
      </c>
      <c r="E3575" s="159">
        <v>71</v>
      </c>
      <c r="F3575" s="131"/>
      <c r="G3575" s="132"/>
      <c r="H3575" s="162" t="s">
        <v>23469</v>
      </c>
      <c r="I3575" s="128"/>
      <c r="J3575" s="128"/>
      <c r="K3575" s="128"/>
      <c r="L3575" s="128"/>
      <c r="M3575" s="129"/>
      <c r="N3575" s="129"/>
      <c r="O3575" s="129"/>
    </row>
    <row r="3576" spans="1:15" ht="12.5">
      <c r="A3576" s="158" t="s">
        <v>23470</v>
      </c>
      <c r="B3576" s="159">
        <v>40</v>
      </c>
      <c r="C3576" s="159">
        <v>30</v>
      </c>
      <c r="D3576" s="159">
        <v>25</v>
      </c>
      <c r="E3576" s="159">
        <v>88</v>
      </c>
      <c r="F3576" s="131"/>
      <c r="G3576" s="132"/>
      <c r="H3576" s="162" t="s">
        <v>23471</v>
      </c>
      <c r="I3576" s="158" t="s">
        <v>23472</v>
      </c>
      <c r="J3576" s="128"/>
      <c r="K3576" s="128"/>
      <c r="L3576" s="128"/>
      <c r="M3576" s="129"/>
      <c r="N3576" s="129"/>
      <c r="O3576" s="129"/>
    </row>
    <row r="3577" spans="1:15" ht="12.5">
      <c r="A3577" s="158" t="s">
        <v>23473</v>
      </c>
      <c r="B3577" s="159">
        <v>40</v>
      </c>
      <c r="C3577" s="159">
        <v>30</v>
      </c>
      <c r="D3577" s="159">
        <v>25</v>
      </c>
      <c r="E3577" s="159">
        <v>96</v>
      </c>
      <c r="F3577" s="131"/>
      <c r="G3577" s="132"/>
      <c r="H3577" s="162" t="s">
        <v>23474</v>
      </c>
      <c r="I3577" s="158" t="s">
        <v>23475</v>
      </c>
      <c r="J3577" s="128"/>
      <c r="K3577" s="128"/>
      <c r="L3577" s="128"/>
      <c r="M3577" s="129"/>
      <c r="N3577" s="129"/>
      <c r="O3577" s="129"/>
    </row>
    <row r="3578" spans="1:15" ht="12.5">
      <c r="A3578" s="158" t="s">
        <v>23476</v>
      </c>
      <c r="B3578" s="159">
        <v>40</v>
      </c>
      <c r="C3578" s="159">
        <v>30</v>
      </c>
      <c r="D3578" s="159">
        <v>26</v>
      </c>
      <c r="E3578" s="130"/>
      <c r="F3578" s="131"/>
      <c r="G3578" s="132"/>
      <c r="H3578" s="162" t="s">
        <v>23477</v>
      </c>
      <c r="I3578" s="128"/>
      <c r="J3578" s="128"/>
      <c r="K3578" s="128"/>
      <c r="L3578" s="128"/>
      <c r="M3578" s="129"/>
      <c r="N3578" s="129"/>
      <c r="O3578" s="129"/>
    </row>
    <row r="3579" spans="1:15" ht="12.5">
      <c r="A3579" s="158" t="s">
        <v>33454</v>
      </c>
      <c r="B3579" s="159">
        <v>40</v>
      </c>
      <c r="C3579" s="159">
        <v>30</v>
      </c>
      <c r="D3579" s="159">
        <v>26</v>
      </c>
      <c r="E3579" s="159">
        <v>9</v>
      </c>
      <c r="F3579" s="131"/>
      <c r="G3579" s="132"/>
      <c r="H3579" s="162" t="s">
        <v>33455</v>
      </c>
      <c r="I3579" s="158" t="s">
        <v>23480</v>
      </c>
      <c r="J3579" s="128"/>
      <c r="K3579" s="128"/>
      <c r="L3579" s="128"/>
      <c r="M3579" s="129"/>
      <c r="N3579" s="129"/>
      <c r="O3579" s="129"/>
    </row>
    <row r="3580" spans="1:15" ht="12.5">
      <c r="A3580" s="158" t="s">
        <v>33456</v>
      </c>
      <c r="B3580" s="159">
        <v>40</v>
      </c>
      <c r="C3580" s="159">
        <v>30</v>
      </c>
      <c r="D3580" s="159">
        <v>26</v>
      </c>
      <c r="E3580" s="159">
        <v>58</v>
      </c>
      <c r="F3580" s="131"/>
      <c r="G3580" s="132"/>
      <c r="H3580" s="162" t="s">
        <v>33457</v>
      </c>
      <c r="I3580" s="158" t="s">
        <v>23487</v>
      </c>
      <c r="J3580" s="128"/>
      <c r="K3580" s="128"/>
      <c r="L3580" s="128"/>
      <c r="M3580" s="129"/>
      <c r="N3580" s="129"/>
      <c r="O3580" s="129"/>
    </row>
    <row r="3581" spans="1:15" ht="12.5">
      <c r="A3581" s="158" t="s">
        <v>33458</v>
      </c>
      <c r="B3581" s="159">
        <v>40</v>
      </c>
      <c r="C3581" s="159">
        <v>30</v>
      </c>
      <c r="D3581" s="159">
        <v>26</v>
      </c>
      <c r="E3581" s="159">
        <v>59</v>
      </c>
      <c r="F3581" s="131"/>
      <c r="G3581" s="132"/>
      <c r="H3581" s="162" t="s">
        <v>33459</v>
      </c>
      <c r="I3581" s="128"/>
      <c r="J3581" s="128"/>
      <c r="K3581" s="128"/>
      <c r="L3581" s="128"/>
      <c r="M3581" s="129"/>
      <c r="N3581" s="129"/>
      <c r="O3581" s="129"/>
    </row>
    <row r="3582" spans="1:15" ht="12.5">
      <c r="A3582" s="158" t="s">
        <v>23488</v>
      </c>
      <c r="B3582" s="159">
        <v>40</v>
      </c>
      <c r="C3582" s="159">
        <v>30</v>
      </c>
      <c r="D3582" s="159">
        <v>26</v>
      </c>
      <c r="E3582" s="159">
        <v>63</v>
      </c>
      <c r="F3582" s="131"/>
      <c r="G3582" s="132"/>
      <c r="H3582" s="162" t="s">
        <v>23489</v>
      </c>
      <c r="I3582" s="128"/>
      <c r="J3582" s="128"/>
      <c r="K3582" s="128"/>
      <c r="L3582" s="128"/>
      <c r="M3582" s="129"/>
      <c r="N3582" s="129"/>
      <c r="O3582" s="129"/>
    </row>
    <row r="3583" spans="1:15" ht="12.5">
      <c r="A3583" s="158" t="s">
        <v>33460</v>
      </c>
      <c r="B3583" s="159">
        <v>40</v>
      </c>
      <c r="C3583" s="159">
        <v>30</v>
      </c>
      <c r="D3583" s="159">
        <v>26</v>
      </c>
      <c r="E3583" s="159">
        <v>93</v>
      </c>
      <c r="F3583" s="131"/>
      <c r="G3583" s="132"/>
      <c r="H3583" s="162" t="s">
        <v>33461</v>
      </c>
      <c r="I3583" s="128"/>
      <c r="J3583" s="128"/>
      <c r="K3583" s="128"/>
      <c r="L3583" s="128"/>
      <c r="M3583" s="129"/>
      <c r="N3583" s="129"/>
      <c r="O3583" s="129"/>
    </row>
    <row r="3584" spans="1:15" ht="12.5">
      <c r="A3584" s="158" t="s">
        <v>23496</v>
      </c>
      <c r="B3584" s="159">
        <v>40</v>
      </c>
      <c r="C3584" s="159">
        <v>30</v>
      </c>
      <c r="D3584" s="159">
        <v>29</v>
      </c>
      <c r="E3584" s="130"/>
      <c r="F3584" s="131"/>
      <c r="G3584" s="132"/>
      <c r="H3584" s="162" t="s">
        <v>23497</v>
      </c>
      <c r="I3584" s="128"/>
      <c r="J3584" s="128"/>
      <c r="K3584" s="128"/>
      <c r="L3584" s="128"/>
      <c r="M3584" s="129"/>
      <c r="N3584" s="129"/>
      <c r="O3584" s="129"/>
    </row>
    <row r="3585" spans="1:15" ht="12.5">
      <c r="A3585" s="158" t="s">
        <v>23498</v>
      </c>
      <c r="B3585" s="159">
        <v>40</v>
      </c>
      <c r="C3585" s="159">
        <v>30</v>
      </c>
      <c r="D3585" s="159">
        <v>29</v>
      </c>
      <c r="E3585" s="159">
        <v>5</v>
      </c>
      <c r="F3585" s="131"/>
      <c r="G3585" s="132"/>
      <c r="H3585" s="162" t="s">
        <v>23499</v>
      </c>
      <c r="I3585" s="128"/>
      <c r="J3585" s="128"/>
      <c r="K3585" s="128"/>
      <c r="L3585" s="128"/>
      <c r="M3585" s="129"/>
      <c r="N3585" s="129"/>
      <c r="O3585" s="129"/>
    </row>
    <row r="3586" spans="1:15" ht="12.5">
      <c r="A3586" s="158" t="s">
        <v>23500</v>
      </c>
      <c r="B3586" s="159">
        <v>40</v>
      </c>
      <c r="C3586" s="159">
        <v>30</v>
      </c>
      <c r="D3586" s="159">
        <v>29</v>
      </c>
      <c r="E3586" s="159">
        <v>12</v>
      </c>
      <c r="F3586" s="131"/>
      <c r="G3586" s="132"/>
      <c r="H3586" s="162" t="s">
        <v>23501</v>
      </c>
      <c r="I3586" s="128"/>
      <c r="J3586" s="128"/>
      <c r="K3586" s="128"/>
      <c r="L3586" s="128"/>
      <c r="M3586" s="129"/>
      <c r="N3586" s="129"/>
      <c r="O3586" s="129"/>
    </row>
    <row r="3587" spans="1:15" ht="12.5">
      <c r="A3587" s="158" t="s">
        <v>23502</v>
      </c>
      <c r="B3587" s="159">
        <v>40</v>
      </c>
      <c r="C3587" s="159">
        <v>30</v>
      </c>
      <c r="D3587" s="159">
        <v>29</v>
      </c>
      <c r="E3587" s="159">
        <v>13</v>
      </c>
      <c r="F3587" s="131"/>
      <c r="G3587" s="132"/>
      <c r="H3587" s="162" t="s">
        <v>23503</v>
      </c>
      <c r="I3587" s="128"/>
      <c r="J3587" s="128"/>
      <c r="K3587" s="128"/>
      <c r="L3587" s="128"/>
      <c r="M3587" s="129"/>
      <c r="N3587" s="129"/>
      <c r="O3587" s="129"/>
    </row>
    <row r="3588" spans="1:15" ht="12.5">
      <c r="A3588" s="158" t="s">
        <v>23504</v>
      </c>
      <c r="B3588" s="159">
        <v>40</v>
      </c>
      <c r="C3588" s="159">
        <v>30</v>
      </c>
      <c r="D3588" s="159">
        <v>29</v>
      </c>
      <c r="E3588" s="159">
        <v>22</v>
      </c>
      <c r="F3588" s="131"/>
      <c r="G3588" s="132"/>
      <c r="H3588" s="162" t="s">
        <v>23505</v>
      </c>
      <c r="I3588" s="158" t="s">
        <v>23506</v>
      </c>
      <c r="J3588" s="128"/>
      <c r="K3588" s="128"/>
      <c r="L3588" s="128"/>
      <c r="M3588" s="129"/>
      <c r="N3588" s="129"/>
      <c r="O3588" s="129"/>
    </row>
    <row r="3589" spans="1:15" ht="12.5">
      <c r="A3589" s="158" t="s">
        <v>23507</v>
      </c>
      <c r="B3589" s="159">
        <v>40</v>
      </c>
      <c r="C3589" s="159">
        <v>30</v>
      </c>
      <c r="D3589" s="159">
        <v>29</v>
      </c>
      <c r="E3589" s="159">
        <v>29</v>
      </c>
      <c r="F3589" s="131"/>
      <c r="G3589" s="132"/>
      <c r="H3589" s="162" t="s">
        <v>23508</v>
      </c>
      <c r="I3589" s="158" t="s">
        <v>23509</v>
      </c>
      <c r="J3589" s="128"/>
      <c r="K3589" s="128"/>
      <c r="L3589" s="128"/>
      <c r="M3589" s="129"/>
      <c r="N3589" s="129"/>
      <c r="O3589" s="129"/>
    </row>
    <row r="3590" spans="1:15" ht="12.5">
      <c r="A3590" s="158" t="s">
        <v>23510</v>
      </c>
      <c r="B3590" s="159">
        <v>40</v>
      </c>
      <c r="C3590" s="159">
        <v>30</v>
      </c>
      <c r="D3590" s="159">
        <v>29</v>
      </c>
      <c r="E3590" s="159">
        <v>31</v>
      </c>
      <c r="F3590" s="131"/>
      <c r="G3590" s="132"/>
      <c r="H3590" s="162" t="s">
        <v>23511</v>
      </c>
      <c r="I3590" s="158" t="s">
        <v>23512</v>
      </c>
      <c r="J3590" s="128"/>
      <c r="K3590" s="128"/>
      <c r="L3590" s="128"/>
      <c r="M3590" s="129"/>
      <c r="N3590" s="129"/>
      <c r="O3590" s="129"/>
    </row>
    <row r="3591" spans="1:15" ht="12.5">
      <c r="A3591" s="158" t="s">
        <v>23515</v>
      </c>
      <c r="B3591" s="159">
        <v>40</v>
      </c>
      <c r="C3591" s="159">
        <v>30</v>
      </c>
      <c r="D3591" s="159">
        <v>29</v>
      </c>
      <c r="E3591" s="159">
        <v>61</v>
      </c>
      <c r="F3591" s="131"/>
      <c r="G3591" s="132"/>
      <c r="H3591" s="162" t="s">
        <v>23516</v>
      </c>
      <c r="I3591" s="128"/>
      <c r="J3591" s="128"/>
      <c r="K3591" s="128"/>
      <c r="L3591" s="128"/>
      <c r="M3591" s="129"/>
      <c r="N3591" s="129"/>
      <c r="O3591" s="129"/>
    </row>
    <row r="3592" spans="1:15" ht="12.5">
      <c r="A3592" s="158" t="s">
        <v>23517</v>
      </c>
      <c r="B3592" s="159">
        <v>40</v>
      </c>
      <c r="C3592" s="159">
        <v>30</v>
      </c>
      <c r="D3592" s="159">
        <v>29</v>
      </c>
      <c r="E3592" s="159">
        <v>72</v>
      </c>
      <c r="F3592" s="131"/>
      <c r="G3592" s="132"/>
      <c r="H3592" s="162" t="s">
        <v>23518</v>
      </c>
      <c r="I3592" s="158" t="s">
        <v>23506</v>
      </c>
      <c r="J3592" s="128"/>
      <c r="K3592" s="128"/>
      <c r="L3592" s="128"/>
      <c r="M3592" s="129"/>
      <c r="N3592" s="129"/>
      <c r="O3592" s="129"/>
    </row>
    <row r="3593" spans="1:15" ht="12.5">
      <c r="A3593" s="158" t="s">
        <v>23521</v>
      </c>
      <c r="B3593" s="159">
        <v>40</v>
      </c>
      <c r="C3593" s="159">
        <v>30</v>
      </c>
      <c r="D3593" s="159">
        <v>29</v>
      </c>
      <c r="E3593" s="159">
        <v>83</v>
      </c>
      <c r="F3593" s="131"/>
      <c r="G3593" s="132"/>
      <c r="H3593" s="162" t="s">
        <v>23522</v>
      </c>
      <c r="I3593" s="128"/>
      <c r="J3593" s="128"/>
      <c r="K3593" s="128"/>
      <c r="L3593" s="128"/>
      <c r="M3593" s="129"/>
      <c r="N3593" s="129"/>
      <c r="O3593" s="129"/>
    </row>
    <row r="3594" spans="1:15" ht="12.5">
      <c r="A3594" s="158" t="s">
        <v>23523</v>
      </c>
      <c r="B3594" s="159">
        <v>40</v>
      </c>
      <c r="C3594" s="159">
        <v>30</v>
      </c>
      <c r="D3594" s="159">
        <v>29</v>
      </c>
      <c r="E3594" s="159">
        <v>84</v>
      </c>
      <c r="F3594" s="131"/>
      <c r="G3594" s="132"/>
      <c r="H3594" s="162" t="s">
        <v>23524</v>
      </c>
      <c r="I3594" s="128"/>
      <c r="J3594" s="128"/>
      <c r="K3594" s="128"/>
      <c r="L3594" s="128"/>
      <c r="M3594" s="129"/>
      <c r="N3594" s="129"/>
      <c r="O3594" s="129"/>
    </row>
    <row r="3595" spans="1:15" ht="12.5">
      <c r="A3595" s="158" t="s">
        <v>23525</v>
      </c>
      <c r="B3595" s="159">
        <v>40</v>
      </c>
      <c r="C3595" s="159">
        <v>30</v>
      </c>
      <c r="D3595" s="159">
        <v>29</v>
      </c>
      <c r="E3595" s="159">
        <v>85</v>
      </c>
      <c r="F3595" s="131"/>
      <c r="G3595" s="132"/>
      <c r="H3595" s="162" t="s">
        <v>23526</v>
      </c>
      <c r="I3595" s="128"/>
      <c r="J3595" s="128"/>
      <c r="K3595" s="128"/>
      <c r="L3595" s="128"/>
      <c r="M3595" s="129"/>
      <c r="N3595" s="129"/>
      <c r="O3595" s="129"/>
    </row>
    <row r="3596" spans="1:15" ht="12.5">
      <c r="A3596" s="158" t="s">
        <v>23527</v>
      </c>
      <c r="B3596" s="159">
        <v>40</v>
      </c>
      <c r="C3596" s="159">
        <v>30</v>
      </c>
      <c r="D3596" s="159">
        <v>29</v>
      </c>
      <c r="E3596" s="159">
        <v>88</v>
      </c>
      <c r="F3596" s="131"/>
      <c r="G3596" s="132"/>
      <c r="H3596" s="162" t="s">
        <v>23528</v>
      </c>
      <c r="I3596" s="128"/>
      <c r="J3596" s="128"/>
      <c r="K3596" s="128"/>
      <c r="L3596" s="128"/>
      <c r="M3596" s="129"/>
      <c r="N3596" s="129"/>
      <c r="O3596" s="129"/>
    </row>
    <row r="3597" spans="1:15" ht="12.5">
      <c r="A3597" s="158" t="s">
        <v>23529</v>
      </c>
      <c r="B3597" s="159">
        <v>40</v>
      </c>
      <c r="C3597" s="159">
        <v>30</v>
      </c>
      <c r="D3597" s="159">
        <v>29</v>
      </c>
      <c r="E3597" s="159">
        <v>96</v>
      </c>
      <c r="F3597" s="131"/>
      <c r="G3597" s="132"/>
      <c r="H3597" s="162" t="s">
        <v>23530</v>
      </c>
      <c r="I3597" s="128"/>
      <c r="J3597" s="128"/>
      <c r="K3597" s="128"/>
      <c r="L3597" s="128"/>
      <c r="M3597" s="129"/>
      <c r="N3597" s="129"/>
      <c r="O3597" s="129"/>
    </row>
    <row r="3598" spans="1:15" ht="12.5">
      <c r="A3598" s="158" t="s">
        <v>23531</v>
      </c>
      <c r="B3598" s="159">
        <v>40</v>
      </c>
      <c r="C3598" s="159">
        <v>30</v>
      </c>
      <c r="D3598" s="159">
        <v>29</v>
      </c>
      <c r="E3598" s="159">
        <v>97</v>
      </c>
      <c r="F3598" s="131"/>
      <c r="G3598" s="132"/>
      <c r="H3598" s="162" t="s">
        <v>23532</v>
      </c>
      <c r="I3598" s="128"/>
      <c r="J3598" s="128"/>
      <c r="K3598" s="128"/>
      <c r="L3598" s="128"/>
      <c r="M3598" s="129"/>
      <c r="N3598" s="129"/>
      <c r="O3598" s="129"/>
    </row>
    <row r="3599" spans="1:15" ht="12.5">
      <c r="A3599" s="158" t="s">
        <v>23533</v>
      </c>
      <c r="B3599" s="159">
        <v>40</v>
      </c>
      <c r="C3599" s="159">
        <v>30</v>
      </c>
      <c r="D3599" s="159">
        <v>30</v>
      </c>
      <c r="E3599" s="130"/>
      <c r="F3599" s="131"/>
      <c r="G3599" s="132"/>
      <c r="H3599" s="162" t="s">
        <v>23534</v>
      </c>
      <c r="I3599" s="128"/>
      <c r="J3599" s="128"/>
      <c r="K3599" s="128"/>
      <c r="L3599" s="128"/>
      <c r="M3599" s="129"/>
      <c r="N3599" s="129"/>
      <c r="O3599" s="129"/>
    </row>
    <row r="3600" spans="1:15" ht="12.5">
      <c r="A3600" s="158" t="s">
        <v>23535</v>
      </c>
      <c r="B3600" s="159">
        <v>40</v>
      </c>
      <c r="C3600" s="159">
        <v>30</v>
      </c>
      <c r="D3600" s="159">
        <v>30</v>
      </c>
      <c r="E3600" s="159">
        <v>18</v>
      </c>
      <c r="F3600" s="131"/>
      <c r="G3600" s="132"/>
      <c r="H3600" s="162" t="s">
        <v>23536</v>
      </c>
      <c r="I3600" s="158" t="s">
        <v>23537</v>
      </c>
      <c r="J3600" s="128"/>
      <c r="K3600" s="128"/>
      <c r="L3600" s="128"/>
      <c r="M3600" s="129"/>
      <c r="N3600" s="129"/>
      <c r="O3600" s="129"/>
    </row>
    <row r="3601" spans="1:15" ht="12.5">
      <c r="A3601" s="158" t="s">
        <v>23538</v>
      </c>
      <c r="B3601" s="159">
        <v>40</v>
      </c>
      <c r="C3601" s="159">
        <v>30</v>
      </c>
      <c r="D3601" s="159">
        <v>30</v>
      </c>
      <c r="E3601" s="159">
        <v>22</v>
      </c>
      <c r="F3601" s="131"/>
      <c r="G3601" s="132"/>
      <c r="H3601" s="162" t="s">
        <v>23539</v>
      </c>
      <c r="I3601" s="158" t="s">
        <v>23540</v>
      </c>
      <c r="J3601" s="128"/>
      <c r="K3601" s="128"/>
      <c r="L3601" s="128"/>
      <c r="M3601" s="129"/>
      <c r="N3601" s="129"/>
      <c r="O3601" s="129"/>
    </row>
    <row r="3602" spans="1:15" ht="12.5">
      <c r="A3602" s="158" t="s">
        <v>23541</v>
      </c>
      <c r="B3602" s="159">
        <v>40</v>
      </c>
      <c r="C3602" s="159">
        <v>30</v>
      </c>
      <c r="D3602" s="159">
        <v>30</v>
      </c>
      <c r="E3602" s="159">
        <v>23</v>
      </c>
      <c r="F3602" s="131"/>
      <c r="G3602" s="132"/>
      <c r="H3602" s="162" t="s">
        <v>23542</v>
      </c>
      <c r="I3602" s="158" t="s">
        <v>23543</v>
      </c>
      <c r="J3602" s="128"/>
      <c r="K3602" s="128"/>
      <c r="L3602" s="128"/>
      <c r="M3602" s="129"/>
      <c r="N3602" s="129"/>
      <c r="O3602" s="129"/>
    </row>
    <row r="3603" spans="1:15" ht="12.5">
      <c r="A3603" s="158" t="s">
        <v>23544</v>
      </c>
      <c r="B3603" s="159">
        <v>40</v>
      </c>
      <c r="C3603" s="159">
        <v>30</v>
      </c>
      <c r="D3603" s="159">
        <v>30</v>
      </c>
      <c r="E3603" s="159">
        <v>32</v>
      </c>
      <c r="F3603" s="131"/>
      <c r="G3603" s="132"/>
      <c r="H3603" s="162" t="s">
        <v>23545</v>
      </c>
      <c r="I3603" s="158" t="s">
        <v>23546</v>
      </c>
      <c r="J3603" s="128"/>
      <c r="K3603" s="128"/>
      <c r="L3603" s="128"/>
      <c r="M3603" s="129"/>
      <c r="N3603" s="129"/>
      <c r="O3603" s="129"/>
    </row>
    <row r="3604" spans="1:15" ht="12.5">
      <c r="A3604" s="158" t="s">
        <v>23547</v>
      </c>
      <c r="B3604" s="159">
        <v>40</v>
      </c>
      <c r="C3604" s="159">
        <v>30</v>
      </c>
      <c r="D3604" s="159">
        <v>30</v>
      </c>
      <c r="E3604" s="159">
        <v>42</v>
      </c>
      <c r="F3604" s="131"/>
      <c r="G3604" s="132"/>
      <c r="H3604" s="162" t="s">
        <v>23548</v>
      </c>
      <c r="I3604" s="128"/>
      <c r="J3604" s="128"/>
      <c r="K3604" s="128"/>
      <c r="L3604" s="128"/>
      <c r="M3604" s="129"/>
      <c r="N3604" s="129"/>
      <c r="O3604" s="129"/>
    </row>
    <row r="3605" spans="1:15" ht="12.5">
      <c r="A3605" s="158" t="s">
        <v>23549</v>
      </c>
      <c r="B3605" s="159">
        <v>40</v>
      </c>
      <c r="C3605" s="159">
        <v>30</v>
      </c>
      <c r="D3605" s="159">
        <v>30</v>
      </c>
      <c r="E3605" s="159">
        <v>45</v>
      </c>
      <c r="F3605" s="131"/>
      <c r="G3605" s="132"/>
      <c r="H3605" s="162" t="s">
        <v>23550</v>
      </c>
      <c r="I3605" s="158" t="s">
        <v>23551</v>
      </c>
      <c r="J3605" s="128"/>
      <c r="K3605" s="128"/>
      <c r="L3605" s="128"/>
      <c r="M3605" s="129"/>
      <c r="N3605" s="129"/>
      <c r="O3605" s="129"/>
    </row>
    <row r="3606" spans="1:15" ht="12.5">
      <c r="A3606" s="158" t="s">
        <v>23552</v>
      </c>
      <c r="B3606" s="159">
        <v>40</v>
      </c>
      <c r="C3606" s="159">
        <v>30</v>
      </c>
      <c r="D3606" s="159">
        <v>30</v>
      </c>
      <c r="E3606" s="159">
        <v>47</v>
      </c>
      <c r="F3606" s="131"/>
      <c r="G3606" s="132"/>
      <c r="H3606" s="162" t="s">
        <v>23553</v>
      </c>
      <c r="I3606" s="128"/>
      <c r="J3606" s="128"/>
      <c r="K3606" s="128"/>
      <c r="L3606" s="128"/>
      <c r="M3606" s="129"/>
      <c r="N3606" s="129"/>
      <c r="O3606" s="129"/>
    </row>
    <row r="3607" spans="1:15" ht="12.5">
      <c r="A3607" s="158" t="s">
        <v>23554</v>
      </c>
      <c r="B3607" s="159">
        <v>40</v>
      </c>
      <c r="C3607" s="159">
        <v>30</v>
      </c>
      <c r="D3607" s="159">
        <v>30</v>
      </c>
      <c r="E3607" s="159">
        <v>48</v>
      </c>
      <c r="F3607" s="131"/>
      <c r="G3607" s="132"/>
      <c r="H3607" s="162" t="s">
        <v>23555</v>
      </c>
      <c r="I3607" s="128"/>
      <c r="J3607" s="128"/>
      <c r="K3607" s="128"/>
      <c r="L3607" s="128"/>
      <c r="M3607" s="129"/>
      <c r="N3607" s="129"/>
      <c r="O3607" s="129"/>
    </row>
    <row r="3608" spans="1:15" ht="12.5">
      <c r="A3608" s="158" t="s">
        <v>23556</v>
      </c>
      <c r="B3608" s="159">
        <v>40</v>
      </c>
      <c r="C3608" s="159">
        <v>30</v>
      </c>
      <c r="D3608" s="159">
        <v>30</v>
      </c>
      <c r="E3608" s="159">
        <v>62</v>
      </c>
      <c r="F3608" s="131"/>
      <c r="G3608" s="132"/>
      <c r="H3608" s="162" t="s">
        <v>23557</v>
      </c>
      <c r="I3608" s="158" t="s">
        <v>23558</v>
      </c>
      <c r="J3608" s="128"/>
      <c r="K3608" s="128"/>
      <c r="L3608" s="128"/>
      <c r="M3608" s="129"/>
      <c r="N3608" s="129"/>
      <c r="O3608" s="129"/>
    </row>
    <row r="3609" spans="1:15" ht="12.5">
      <c r="A3609" s="158" t="s">
        <v>23559</v>
      </c>
      <c r="B3609" s="159">
        <v>40</v>
      </c>
      <c r="C3609" s="159">
        <v>30</v>
      </c>
      <c r="D3609" s="159">
        <v>30</v>
      </c>
      <c r="E3609" s="159">
        <v>71</v>
      </c>
      <c r="F3609" s="131"/>
      <c r="G3609" s="132"/>
      <c r="H3609" s="162" t="s">
        <v>23560</v>
      </c>
      <c r="I3609" s="128"/>
      <c r="J3609" s="128"/>
      <c r="K3609" s="128"/>
      <c r="L3609" s="128"/>
      <c r="M3609" s="129"/>
      <c r="N3609" s="129"/>
      <c r="O3609" s="129"/>
    </row>
    <row r="3610" spans="1:15" ht="12.5">
      <c r="A3610" s="158" t="s">
        <v>23561</v>
      </c>
      <c r="B3610" s="159">
        <v>40</v>
      </c>
      <c r="C3610" s="159">
        <v>30</v>
      </c>
      <c r="D3610" s="159">
        <v>30</v>
      </c>
      <c r="E3610" s="159">
        <v>78</v>
      </c>
      <c r="F3610" s="131"/>
      <c r="G3610" s="132"/>
      <c r="H3610" s="162" t="s">
        <v>23562</v>
      </c>
      <c r="I3610" s="128"/>
      <c r="J3610" s="128"/>
      <c r="K3610" s="128"/>
      <c r="L3610" s="128"/>
      <c r="M3610" s="129"/>
      <c r="N3610" s="129"/>
      <c r="O3610" s="129"/>
    </row>
    <row r="3611" spans="1:15" ht="12.5">
      <c r="A3611" s="158" t="s">
        <v>23563</v>
      </c>
      <c r="B3611" s="159">
        <v>40</v>
      </c>
      <c r="C3611" s="159">
        <v>30</v>
      </c>
      <c r="D3611" s="159">
        <v>30</v>
      </c>
      <c r="E3611" s="159">
        <v>79</v>
      </c>
      <c r="F3611" s="131"/>
      <c r="G3611" s="132"/>
      <c r="H3611" s="162" t="s">
        <v>23564</v>
      </c>
      <c r="I3611" s="128"/>
      <c r="J3611" s="128"/>
      <c r="K3611" s="128"/>
      <c r="L3611" s="128"/>
      <c r="M3611" s="129"/>
      <c r="N3611" s="129"/>
      <c r="O3611" s="129"/>
    </row>
    <row r="3612" spans="1:15" ht="12.5">
      <c r="A3612" s="158" t="s">
        <v>23565</v>
      </c>
      <c r="B3612" s="159">
        <v>40</v>
      </c>
      <c r="C3612" s="159">
        <v>30</v>
      </c>
      <c r="D3612" s="159">
        <v>30</v>
      </c>
      <c r="E3612" s="159">
        <v>80</v>
      </c>
      <c r="F3612" s="131"/>
      <c r="G3612" s="132"/>
      <c r="H3612" s="162" t="s">
        <v>23566</v>
      </c>
      <c r="I3612" s="128"/>
      <c r="J3612" s="128"/>
      <c r="K3612" s="128"/>
      <c r="L3612" s="128"/>
      <c r="M3612" s="129"/>
      <c r="N3612" s="129"/>
      <c r="O3612" s="129"/>
    </row>
    <row r="3613" spans="1:15" ht="12.5">
      <c r="A3613" s="158" t="s">
        <v>23567</v>
      </c>
      <c r="B3613" s="159">
        <v>40</v>
      </c>
      <c r="C3613" s="159">
        <v>30</v>
      </c>
      <c r="D3613" s="159">
        <v>30</v>
      </c>
      <c r="E3613" s="159">
        <v>86</v>
      </c>
      <c r="F3613" s="131"/>
      <c r="G3613" s="132"/>
      <c r="H3613" s="162" t="s">
        <v>23568</v>
      </c>
      <c r="I3613" s="158" t="s">
        <v>23569</v>
      </c>
      <c r="J3613" s="128"/>
      <c r="K3613" s="128"/>
      <c r="L3613" s="128"/>
      <c r="M3613" s="129"/>
      <c r="N3613" s="129"/>
      <c r="O3613" s="129"/>
    </row>
    <row r="3614" spans="1:15" ht="12.5">
      <c r="A3614" s="158" t="s">
        <v>23570</v>
      </c>
      <c r="B3614" s="159">
        <v>40</v>
      </c>
      <c r="C3614" s="159">
        <v>30</v>
      </c>
      <c r="D3614" s="159">
        <v>30</v>
      </c>
      <c r="E3614" s="159">
        <v>96</v>
      </c>
      <c r="F3614" s="131"/>
      <c r="G3614" s="132"/>
      <c r="H3614" s="162" t="s">
        <v>23571</v>
      </c>
      <c r="I3614" s="128"/>
      <c r="J3614" s="128"/>
      <c r="K3614" s="128"/>
      <c r="L3614" s="128"/>
      <c r="M3614" s="129"/>
      <c r="N3614" s="129"/>
      <c r="O3614" s="129"/>
    </row>
    <row r="3615" spans="1:15" ht="12.5">
      <c r="A3615" s="158" t="s">
        <v>23572</v>
      </c>
      <c r="B3615" s="159">
        <v>40</v>
      </c>
      <c r="C3615" s="159">
        <v>30</v>
      </c>
      <c r="D3615" s="159">
        <v>31</v>
      </c>
      <c r="E3615" s="130"/>
      <c r="F3615" s="131"/>
      <c r="G3615" s="132"/>
      <c r="H3615" s="162" t="s">
        <v>23573</v>
      </c>
      <c r="I3615" s="128"/>
      <c r="J3615" s="128"/>
      <c r="K3615" s="128"/>
      <c r="L3615" s="128"/>
      <c r="M3615" s="129"/>
      <c r="N3615" s="129"/>
      <c r="O3615" s="129"/>
    </row>
    <row r="3616" spans="1:15" ht="12.5">
      <c r="A3616" s="158" t="s">
        <v>23574</v>
      </c>
      <c r="B3616" s="159">
        <v>40</v>
      </c>
      <c r="C3616" s="159">
        <v>30</v>
      </c>
      <c r="D3616" s="159">
        <v>31</v>
      </c>
      <c r="E3616" s="159">
        <v>29</v>
      </c>
      <c r="F3616" s="131"/>
      <c r="G3616" s="132"/>
      <c r="H3616" s="162" t="s">
        <v>23575</v>
      </c>
      <c r="I3616" s="128"/>
      <c r="J3616" s="128"/>
      <c r="K3616" s="128"/>
      <c r="L3616" s="128"/>
      <c r="M3616" s="129"/>
      <c r="N3616" s="129"/>
      <c r="O3616" s="129"/>
    </row>
    <row r="3617" spans="1:15" ht="12.5">
      <c r="A3617" s="158" t="s">
        <v>23576</v>
      </c>
      <c r="B3617" s="159">
        <v>40</v>
      </c>
      <c r="C3617" s="159">
        <v>30</v>
      </c>
      <c r="D3617" s="159">
        <v>31</v>
      </c>
      <c r="E3617" s="159">
        <v>33</v>
      </c>
      <c r="F3617" s="131"/>
      <c r="G3617" s="132"/>
      <c r="H3617" s="162" t="s">
        <v>23577</v>
      </c>
      <c r="I3617" s="158" t="s">
        <v>23578</v>
      </c>
      <c r="J3617" s="128"/>
      <c r="K3617" s="128"/>
      <c r="L3617" s="128"/>
      <c r="M3617" s="129"/>
      <c r="N3617" s="129"/>
      <c r="O3617" s="129"/>
    </row>
    <row r="3618" spans="1:15" ht="12.5">
      <c r="A3618" s="158" t="s">
        <v>23579</v>
      </c>
      <c r="B3618" s="159">
        <v>40</v>
      </c>
      <c r="C3618" s="159">
        <v>30</v>
      </c>
      <c r="D3618" s="159">
        <v>31</v>
      </c>
      <c r="E3618" s="159">
        <v>34</v>
      </c>
      <c r="F3618" s="131"/>
      <c r="G3618" s="132"/>
      <c r="H3618" s="162" t="s">
        <v>23580</v>
      </c>
      <c r="I3618" s="158" t="s">
        <v>23578</v>
      </c>
      <c r="J3618" s="128"/>
      <c r="K3618" s="128"/>
      <c r="L3618" s="128"/>
      <c r="M3618" s="129"/>
      <c r="N3618" s="129"/>
      <c r="O3618" s="129"/>
    </row>
    <row r="3619" spans="1:15" ht="12.5">
      <c r="A3619" s="158" t="s">
        <v>23581</v>
      </c>
      <c r="B3619" s="159">
        <v>40</v>
      </c>
      <c r="C3619" s="159">
        <v>30</v>
      </c>
      <c r="D3619" s="159">
        <v>31</v>
      </c>
      <c r="E3619" s="159">
        <v>35</v>
      </c>
      <c r="F3619" s="131"/>
      <c r="G3619" s="132"/>
      <c r="H3619" s="162" t="s">
        <v>23582</v>
      </c>
      <c r="I3619" s="128"/>
      <c r="J3619" s="128"/>
      <c r="K3619" s="128"/>
      <c r="L3619" s="128"/>
      <c r="M3619" s="129"/>
      <c r="N3619" s="129"/>
      <c r="O3619" s="129"/>
    </row>
    <row r="3620" spans="1:15" ht="12.5">
      <c r="A3620" s="158" t="s">
        <v>23583</v>
      </c>
      <c r="B3620" s="159">
        <v>40</v>
      </c>
      <c r="C3620" s="159">
        <v>30</v>
      </c>
      <c r="D3620" s="159">
        <v>31</v>
      </c>
      <c r="E3620" s="159">
        <v>53</v>
      </c>
      <c r="F3620" s="131"/>
      <c r="G3620" s="132"/>
      <c r="H3620" s="162" t="s">
        <v>23584</v>
      </c>
      <c r="I3620" s="128"/>
      <c r="J3620" s="128"/>
      <c r="K3620" s="128"/>
      <c r="L3620" s="128"/>
      <c r="M3620" s="129"/>
      <c r="N3620" s="129"/>
      <c r="O3620" s="129"/>
    </row>
    <row r="3621" spans="1:15" ht="12.5">
      <c r="A3621" s="158" t="s">
        <v>23585</v>
      </c>
      <c r="B3621" s="159">
        <v>40</v>
      </c>
      <c r="C3621" s="159">
        <v>30</v>
      </c>
      <c r="D3621" s="159">
        <v>31</v>
      </c>
      <c r="E3621" s="159">
        <v>70</v>
      </c>
      <c r="F3621" s="131"/>
      <c r="G3621" s="132"/>
      <c r="H3621" s="162" t="s">
        <v>23586</v>
      </c>
      <c r="I3621" s="128"/>
      <c r="J3621" s="128"/>
      <c r="K3621" s="128"/>
      <c r="L3621" s="128"/>
      <c r="M3621" s="129"/>
      <c r="N3621" s="129"/>
      <c r="O3621" s="129"/>
    </row>
    <row r="3622" spans="1:15" ht="12.5">
      <c r="A3622" s="158" t="s">
        <v>23587</v>
      </c>
      <c r="B3622" s="159">
        <v>40</v>
      </c>
      <c r="C3622" s="159">
        <v>30</v>
      </c>
      <c r="D3622" s="159">
        <v>31</v>
      </c>
      <c r="E3622" s="159">
        <v>71</v>
      </c>
      <c r="F3622" s="131"/>
      <c r="G3622" s="132"/>
      <c r="H3622" s="162" t="s">
        <v>23588</v>
      </c>
      <c r="I3622" s="128"/>
      <c r="J3622" s="128"/>
      <c r="K3622" s="128"/>
      <c r="L3622" s="128"/>
      <c r="M3622" s="129"/>
      <c r="N3622" s="129"/>
      <c r="O3622" s="129"/>
    </row>
    <row r="3623" spans="1:15" ht="12.5">
      <c r="A3623" s="158" t="s">
        <v>23589</v>
      </c>
      <c r="B3623" s="159">
        <v>40</v>
      </c>
      <c r="C3623" s="159">
        <v>30</v>
      </c>
      <c r="D3623" s="159">
        <v>31</v>
      </c>
      <c r="E3623" s="159">
        <v>96</v>
      </c>
      <c r="F3623" s="131"/>
      <c r="G3623" s="132"/>
      <c r="H3623" s="162" t="s">
        <v>23590</v>
      </c>
      <c r="I3623" s="128"/>
      <c r="J3623" s="128"/>
      <c r="K3623" s="128"/>
      <c r="L3623" s="128"/>
      <c r="M3623" s="129"/>
      <c r="N3623" s="129"/>
      <c r="O3623" s="129"/>
    </row>
    <row r="3624" spans="1:15" ht="12.5">
      <c r="A3624" s="158" t="s">
        <v>23591</v>
      </c>
      <c r="B3624" s="159">
        <v>40</v>
      </c>
      <c r="C3624" s="159">
        <v>30</v>
      </c>
      <c r="D3624" s="159">
        <v>50</v>
      </c>
      <c r="E3624" s="130"/>
      <c r="F3624" s="131"/>
      <c r="G3624" s="132"/>
      <c r="H3624" s="162" t="s">
        <v>23592</v>
      </c>
      <c r="I3624" s="128"/>
      <c r="J3624" s="128"/>
      <c r="K3624" s="128"/>
      <c r="L3624" s="128"/>
      <c r="M3624" s="129"/>
      <c r="N3624" s="129"/>
      <c r="O3624" s="129"/>
    </row>
    <row r="3625" spans="1:15" ht="12.5">
      <c r="A3625" s="158" t="s">
        <v>23593</v>
      </c>
      <c r="B3625" s="159">
        <v>40</v>
      </c>
      <c r="C3625" s="159">
        <v>30</v>
      </c>
      <c r="D3625" s="159">
        <v>50</v>
      </c>
      <c r="E3625" s="159">
        <v>46</v>
      </c>
      <c r="F3625" s="131"/>
      <c r="G3625" s="132"/>
      <c r="H3625" s="162" t="s">
        <v>23594</v>
      </c>
      <c r="I3625" s="158" t="s">
        <v>23595</v>
      </c>
      <c r="J3625" s="128"/>
      <c r="K3625" s="128"/>
      <c r="L3625" s="128"/>
      <c r="M3625" s="129"/>
      <c r="N3625" s="129"/>
      <c r="O3625" s="129"/>
    </row>
    <row r="3626" spans="1:15" ht="12.5">
      <c r="A3626" s="158" t="s">
        <v>23596</v>
      </c>
      <c r="B3626" s="159">
        <v>40</v>
      </c>
      <c r="C3626" s="159">
        <v>30</v>
      </c>
      <c r="D3626" s="159">
        <v>50</v>
      </c>
      <c r="E3626" s="159">
        <v>47</v>
      </c>
      <c r="F3626" s="131"/>
      <c r="G3626" s="132"/>
      <c r="H3626" s="162" t="s">
        <v>23597</v>
      </c>
      <c r="I3626" s="128"/>
      <c r="J3626" s="128"/>
      <c r="K3626" s="128"/>
      <c r="L3626" s="128"/>
      <c r="M3626" s="129"/>
      <c r="N3626" s="129"/>
      <c r="O3626" s="129"/>
    </row>
    <row r="3627" spans="1:15" ht="12.5">
      <c r="A3627" s="158" t="s">
        <v>23598</v>
      </c>
      <c r="B3627" s="159">
        <v>40</v>
      </c>
      <c r="C3627" s="159">
        <v>30</v>
      </c>
      <c r="D3627" s="159">
        <v>50</v>
      </c>
      <c r="E3627" s="159">
        <v>48</v>
      </c>
      <c r="F3627" s="131"/>
      <c r="G3627" s="132"/>
      <c r="H3627" s="162" t="s">
        <v>23599</v>
      </c>
      <c r="I3627" s="158" t="s">
        <v>23600</v>
      </c>
      <c r="J3627" s="128"/>
      <c r="K3627" s="128"/>
      <c r="L3627" s="128"/>
      <c r="M3627" s="129"/>
      <c r="N3627" s="129"/>
      <c r="O3627" s="129"/>
    </row>
    <row r="3628" spans="1:15" ht="12.5">
      <c r="A3628" s="158" t="s">
        <v>23601</v>
      </c>
      <c r="B3628" s="159">
        <v>40</v>
      </c>
      <c r="C3628" s="159">
        <v>30</v>
      </c>
      <c r="D3628" s="159">
        <v>50</v>
      </c>
      <c r="E3628" s="159">
        <v>49</v>
      </c>
      <c r="F3628" s="131"/>
      <c r="G3628" s="132"/>
      <c r="H3628" s="162" t="s">
        <v>23602</v>
      </c>
      <c r="I3628" s="158" t="s">
        <v>23603</v>
      </c>
      <c r="J3628" s="128"/>
      <c r="K3628" s="128"/>
      <c r="L3628" s="128"/>
      <c r="M3628" s="129"/>
      <c r="N3628" s="129"/>
      <c r="O3628" s="129"/>
    </row>
    <row r="3629" spans="1:15" ht="12.5">
      <c r="A3629" s="158" t="s">
        <v>23604</v>
      </c>
      <c r="B3629" s="159">
        <v>40</v>
      </c>
      <c r="C3629" s="159">
        <v>30</v>
      </c>
      <c r="D3629" s="159">
        <v>50</v>
      </c>
      <c r="E3629" s="159">
        <v>62</v>
      </c>
      <c r="F3629" s="131"/>
      <c r="G3629" s="132"/>
      <c r="H3629" s="162" t="s">
        <v>23605</v>
      </c>
      <c r="I3629" s="128"/>
      <c r="J3629" s="128"/>
      <c r="K3629" s="128"/>
      <c r="L3629" s="128"/>
      <c r="M3629" s="129"/>
      <c r="N3629" s="129"/>
      <c r="O3629" s="129"/>
    </row>
    <row r="3630" spans="1:15" ht="12.5">
      <c r="A3630" s="158" t="s">
        <v>23606</v>
      </c>
      <c r="B3630" s="159">
        <v>40</v>
      </c>
      <c r="C3630" s="159">
        <v>30</v>
      </c>
      <c r="D3630" s="159">
        <v>50</v>
      </c>
      <c r="E3630" s="159">
        <v>65</v>
      </c>
      <c r="F3630" s="131"/>
      <c r="G3630" s="132"/>
      <c r="H3630" s="162" t="s">
        <v>23607</v>
      </c>
      <c r="I3630" s="128"/>
      <c r="J3630" s="128"/>
      <c r="K3630" s="128"/>
      <c r="L3630" s="128"/>
      <c r="M3630" s="129"/>
      <c r="N3630" s="129"/>
      <c r="O3630" s="129"/>
    </row>
    <row r="3631" spans="1:15" ht="12.5">
      <c r="A3631" s="158" t="s">
        <v>23608</v>
      </c>
      <c r="B3631" s="159">
        <v>40</v>
      </c>
      <c r="C3631" s="159">
        <v>30</v>
      </c>
      <c r="D3631" s="159">
        <v>55</v>
      </c>
      <c r="E3631" s="130"/>
      <c r="F3631" s="131"/>
      <c r="G3631" s="132"/>
      <c r="H3631" s="162" t="s">
        <v>23609</v>
      </c>
      <c r="I3631" s="128"/>
      <c r="J3631" s="128"/>
      <c r="K3631" s="128"/>
      <c r="L3631" s="128"/>
      <c r="M3631" s="129"/>
      <c r="N3631" s="129"/>
      <c r="O3631" s="129"/>
    </row>
    <row r="3632" spans="1:15" ht="12.5">
      <c r="A3632" s="158" t="s">
        <v>23610</v>
      </c>
      <c r="B3632" s="159">
        <v>40</v>
      </c>
      <c r="C3632" s="159">
        <v>30</v>
      </c>
      <c r="D3632" s="159">
        <v>55</v>
      </c>
      <c r="E3632" s="159">
        <v>6</v>
      </c>
      <c r="F3632" s="131"/>
      <c r="G3632" s="132"/>
      <c r="H3632" s="162" t="s">
        <v>23611</v>
      </c>
      <c r="I3632" s="128"/>
      <c r="J3632" s="128"/>
      <c r="K3632" s="128"/>
      <c r="L3632" s="128"/>
      <c r="M3632" s="129"/>
      <c r="N3632" s="129"/>
      <c r="O3632" s="129"/>
    </row>
    <row r="3633" spans="1:15" ht="12.5">
      <c r="A3633" s="158" t="s">
        <v>23612</v>
      </c>
      <c r="B3633" s="159">
        <v>40</v>
      </c>
      <c r="C3633" s="159">
        <v>30</v>
      </c>
      <c r="D3633" s="159">
        <v>55</v>
      </c>
      <c r="E3633" s="159">
        <v>7</v>
      </c>
      <c r="F3633" s="131"/>
      <c r="G3633" s="132"/>
      <c r="H3633" s="162" t="s">
        <v>23613</v>
      </c>
      <c r="I3633" s="128"/>
      <c r="J3633" s="128"/>
      <c r="K3633" s="128"/>
      <c r="L3633" s="128"/>
      <c r="M3633" s="129"/>
      <c r="N3633" s="129"/>
      <c r="O3633" s="129"/>
    </row>
    <row r="3634" spans="1:15" ht="12.5">
      <c r="A3634" s="158" t="s">
        <v>23614</v>
      </c>
      <c r="B3634" s="159">
        <v>40</v>
      </c>
      <c r="C3634" s="159">
        <v>30</v>
      </c>
      <c r="D3634" s="159">
        <v>55</v>
      </c>
      <c r="E3634" s="159">
        <v>8</v>
      </c>
      <c r="F3634" s="131"/>
      <c r="G3634" s="132"/>
      <c r="H3634" s="162" t="s">
        <v>23615</v>
      </c>
      <c r="I3634" s="128"/>
      <c r="J3634" s="128"/>
      <c r="K3634" s="128"/>
      <c r="L3634" s="128"/>
      <c r="M3634" s="129"/>
      <c r="N3634" s="129"/>
      <c r="O3634" s="129"/>
    </row>
    <row r="3635" spans="1:15" ht="12.5">
      <c r="A3635" s="158" t="s">
        <v>23616</v>
      </c>
      <c r="B3635" s="159">
        <v>40</v>
      </c>
      <c r="C3635" s="159">
        <v>30</v>
      </c>
      <c r="D3635" s="159">
        <v>55</v>
      </c>
      <c r="E3635" s="159">
        <v>10</v>
      </c>
      <c r="F3635" s="131"/>
      <c r="G3635" s="132"/>
      <c r="H3635" s="162" t="s">
        <v>23617</v>
      </c>
      <c r="I3635" s="128"/>
      <c r="J3635" s="128"/>
      <c r="K3635" s="128"/>
      <c r="L3635" s="128"/>
      <c r="M3635" s="129"/>
      <c r="N3635" s="129"/>
      <c r="O3635" s="129"/>
    </row>
    <row r="3636" spans="1:15" ht="12.5">
      <c r="A3636" s="158" t="s">
        <v>23618</v>
      </c>
      <c r="B3636" s="159">
        <v>40</v>
      </c>
      <c r="C3636" s="159">
        <v>30</v>
      </c>
      <c r="D3636" s="159">
        <v>55</v>
      </c>
      <c r="E3636" s="159">
        <v>77</v>
      </c>
      <c r="F3636" s="131"/>
      <c r="G3636" s="132"/>
      <c r="H3636" s="162" t="s">
        <v>23619</v>
      </c>
      <c r="I3636" s="158" t="s">
        <v>23620</v>
      </c>
      <c r="J3636" s="128"/>
      <c r="K3636" s="128"/>
      <c r="L3636" s="128"/>
      <c r="M3636" s="129"/>
      <c r="N3636" s="129"/>
      <c r="O3636" s="129"/>
    </row>
    <row r="3637" spans="1:15" ht="12.5">
      <c r="A3637" s="158" t="s">
        <v>23621</v>
      </c>
      <c r="B3637" s="159">
        <v>40</v>
      </c>
      <c r="C3637" s="159">
        <v>30</v>
      </c>
      <c r="D3637" s="159">
        <v>55</v>
      </c>
      <c r="E3637" s="159">
        <v>89</v>
      </c>
      <c r="F3637" s="131"/>
      <c r="G3637" s="132"/>
      <c r="H3637" s="162" t="s">
        <v>23622</v>
      </c>
      <c r="I3637" s="128"/>
      <c r="J3637" s="128"/>
      <c r="K3637" s="128"/>
      <c r="L3637" s="128"/>
      <c r="M3637" s="129"/>
      <c r="N3637" s="129"/>
      <c r="O3637" s="129"/>
    </row>
    <row r="3638" spans="1:15" ht="12.5">
      <c r="A3638" s="158" t="s">
        <v>23623</v>
      </c>
      <c r="B3638" s="159">
        <v>40</v>
      </c>
      <c r="C3638" s="159">
        <v>30</v>
      </c>
      <c r="D3638" s="159">
        <v>55</v>
      </c>
      <c r="E3638" s="159">
        <v>90</v>
      </c>
      <c r="F3638" s="131"/>
      <c r="G3638" s="132"/>
      <c r="H3638" s="162" t="s">
        <v>23624</v>
      </c>
      <c r="I3638" s="128"/>
      <c r="J3638" s="128"/>
      <c r="K3638" s="128"/>
      <c r="L3638" s="128"/>
      <c r="M3638" s="129"/>
      <c r="N3638" s="129"/>
      <c r="O3638" s="129"/>
    </row>
    <row r="3639" spans="1:15" ht="12.5">
      <c r="A3639" s="158" t="s">
        <v>23625</v>
      </c>
      <c r="B3639" s="159">
        <v>40</v>
      </c>
      <c r="C3639" s="159">
        <v>30</v>
      </c>
      <c r="D3639" s="159">
        <v>55</v>
      </c>
      <c r="E3639" s="159">
        <v>91</v>
      </c>
      <c r="F3639" s="131"/>
      <c r="G3639" s="132"/>
      <c r="H3639" s="162" t="s">
        <v>23626</v>
      </c>
      <c r="I3639" s="128"/>
      <c r="J3639" s="128"/>
      <c r="K3639" s="128"/>
      <c r="L3639" s="128"/>
      <c r="M3639" s="129"/>
      <c r="N3639" s="129"/>
      <c r="O3639" s="129"/>
    </row>
    <row r="3640" spans="1:15" ht="12.5">
      <c r="A3640" s="158" t="s">
        <v>23627</v>
      </c>
      <c r="B3640" s="159">
        <v>40</v>
      </c>
      <c r="C3640" s="159">
        <v>30</v>
      </c>
      <c r="D3640" s="159">
        <v>61</v>
      </c>
      <c r="E3640" s="130"/>
      <c r="F3640" s="131"/>
      <c r="G3640" s="132"/>
      <c r="H3640" s="162" t="s">
        <v>23628</v>
      </c>
      <c r="I3640" s="128"/>
      <c r="J3640" s="128"/>
      <c r="K3640" s="128"/>
      <c r="L3640" s="128"/>
      <c r="M3640" s="129"/>
      <c r="N3640" s="129"/>
      <c r="O3640" s="129"/>
    </row>
    <row r="3641" spans="1:15" ht="12.5">
      <c r="A3641" s="158" t="s">
        <v>23629</v>
      </c>
      <c r="B3641" s="159">
        <v>40</v>
      </c>
      <c r="C3641" s="159">
        <v>30</v>
      </c>
      <c r="D3641" s="159">
        <v>61</v>
      </c>
      <c r="E3641" s="159">
        <v>15</v>
      </c>
      <c r="F3641" s="131"/>
      <c r="G3641" s="132"/>
      <c r="H3641" s="162" t="s">
        <v>23630</v>
      </c>
      <c r="I3641" s="158" t="s">
        <v>23631</v>
      </c>
      <c r="J3641" s="128"/>
      <c r="K3641" s="128"/>
      <c r="L3641" s="128"/>
      <c r="M3641" s="129"/>
      <c r="N3641" s="129"/>
      <c r="O3641" s="129"/>
    </row>
    <row r="3642" spans="1:15" ht="12.5">
      <c r="A3642" s="158" t="s">
        <v>23632</v>
      </c>
      <c r="B3642" s="159">
        <v>40</v>
      </c>
      <c r="C3642" s="159">
        <v>30</v>
      </c>
      <c r="D3642" s="159">
        <v>61</v>
      </c>
      <c r="E3642" s="159">
        <v>18</v>
      </c>
      <c r="F3642" s="131"/>
      <c r="G3642" s="132"/>
      <c r="H3642" s="162" t="s">
        <v>23633</v>
      </c>
      <c r="I3642" s="158" t="s">
        <v>23634</v>
      </c>
      <c r="J3642" s="128"/>
      <c r="K3642" s="128"/>
      <c r="L3642" s="128"/>
      <c r="M3642" s="129"/>
      <c r="N3642" s="129"/>
      <c r="O3642" s="129"/>
    </row>
    <row r="3643" spans="1:15" ht="12.5">
      <c r="A3643" s="158" t="s">
        <v>23635</v>
      </c>
      <c r="B3643" s="159">
        <v>40</v>
      </c>
      <c r="C3643" s="159">
        <v>30</v>
      </c>
      <c r="D3643" s="159">
        <v>61</v>
      </c>
      <c r="E3643" s="159">
        <v>40</v>
      </c>
      <c r="F3643" s="131"/>
      <c r="G3643" s="132"/>
      <c r="H3643" s="162" t="s">
        <v>23636</v>
      </c>
      <c r="I3643" s="158" t="s">
        <v>23637</v>
      </c>
      <c r="J3643" s="128"/>
      <c r="K3643" s="128"/>
      <c r="L3643" s="128"/>
      <c r="M3643" s="129"/>
      <c r="N3643" s="129"/>
      <c r="O3643" s="129"/>
    </row>
    <row r="3644" spans="1:15" ht="12.5">
      <c r="A3644" s="158" t="s">
        <v>23638</v>
      </c>
      <c r="B3644" s="159">
        <v>40</v>
      </c>
      <c r="C3644" s="159">
        <v>30</v>
      </c>
      <c r="D3644" s="159">
        <v>61</v>
      </c>
      <c r="E3644" s="159">
        <v>42</v>
      </c>
      <c r="F3644" s="131"/>
      <c r="G3644" s="132"/>
      <c r="H3644" s="162" t="s">
        <v>23639</v>
      </c>
      <c r="I3644" s="158" t="s">
        <v>23640</v>
      </c>
      <c r="J3644" s="128"/>
      <c r="K3644" s="128"/>
      <c r="L3644" s="128"/>
      <c r="M3644" s="129"/>
      <c r="N3644" s="129"/>
      <c r="O3644" s="129"/>
    </row>
    <row r="3645" spans="1:15" ht="12.5">
      <c r="A3645" s="158" t="s">
        <v>23641</v>
      </c>
      <c r="B3645" s="159">
        <v>40</v>
      </c>
      <c r="C3645" s="159">
        <v>30</v>
      </c>
      <c r="D3645" s="159">
        <v>61</v>
      </c>
      <c r="E3645" s="159">
        <v>52</v>
      </c>
      <c r="F3645" s="131"/>
      <c r="G3645" s="132"/>
      <c r="H3645" s="162" t="s">
        <v>23642</v>
      </c>
      <c r="I3645" s="158" t="s">
        <v>23643</v>
      </c>
      <c r="J3645" s="128"/>
      <c r="K3645" s="128"/>
      <c r="L3645" s="128"/>
      <c r="M3645" s="129"/>
      <c r="N3645" s="129"/>
      <c r="O3645" s="129"/>
    </row>
    <row r="3646" spans="1:15" ht="12.5">
      <c r="A3646" s="158" t="s">
        <v>23644</v>
      </c>
      <c r="B3646" s="159">
        <v>40</v>
      </c>
      <c r="C3646" s="159">
        <v>30</v>
      </c>
      <c r="D3646" s="159">
        <v>61</v>
      </c>
      <c r="E3646" s="159">
        <v>61</v>
      </c>
      <c r="F3646" s="131"/>
      <c r="G3646" s="132"/>
      <c r="H3646" s="162" t="s">
        <v>23645</v>
      </c>
      <c r="I3646" s="158" t="s">
        <v>23646</v>
      </c>
      <c r="J3646" s="128"/>
      <c r="K3646" s="128"/>
      <c r="L3646" s="128"/>
      <c r="M3646" s="129"/>
      <c r="N3646" s="129"/>
      <c r="O3646" s="129"/>
    </row>
    <row r="3647" spans="1:15" ht="12.5">
      <c r="A3647" s="158" t="s">
        <v>23647</v>
      </c>
      <c r="B3647" s="159">
        <v>40</v>
      </c>
      <c r="C3647" s="159">
        <v>30</v>
      </c>
      <c r="D3647" s="159">
        <v>61</v>
      </c>
      <c r="E3647" s="159">
        <v>62</v>
      </c>
      <c r="F3647" s="131"/>
      <c r="G3647" s="132"/>
      <c r="H3647" s="162" t="s">
        <v>23648</v>
      </c>
      <c r="I3647" s="158" t="s">
        <v>23649</v>
      </c>
      <c r="J3647" s="128"/>
      <c r="K3647" s="128"/>
      <c r="L3647" s="128"/>
      <c r="M3647" s="129"/>
      <c r="N3647" s="129"/>
      <c r="O3647" s="129"/>
    </row>
    <row r="3648" spans="1:15" ht="12.5">
      <c r="A3648" s="158" t="s">
        <v>23650</v>
      </c>
      <c r="B3648" s="159">
        <v>40</v>
      </c>
      <c r="C3648" s="159">
        <v>30</v>
      </c>
      <c r="D3648" s="159">
        <v>61</v>
      </c>
      <c r="E3648" s="159">
        <v>63</v>
      </c>
      <c r="F3648" s="131"/>
      <c r="G3648" s="132"/>
      <c r="H3648" s="162" t="s">
        <v>23651</v>
      </c>
      <c r="I3648" s="158" t="s">
        <v>23652</v>
      </c>
      <c r="J3648" s="128"/>
      <c r="K3648" s="128"/>
      <c r="L3648" s="128"/>
      <c r="M3648" s="129"/>
      <c r="N3648" s="129"/>
      <c r="O3648" s="129"/>
    </row>
    <row r="3649" spans="1:15" ht="12.5">
      <c r="A3649" s="158" t="s">
        <v>23653</v>
      </c>
      <c r="B3649" s="159">
        <v>40</v>
      </c>
      <c r="C3649" s="159">
        <v>30</v>
      </c>
      <c r="D3649" s="159">
        <v>61</v>
      </c>
      <c r="E3649" s="159">
        <v>64</v>
      </c>
      <c r="F3649" s="131"/>
      <c r="G3649" s="132"/>
      <c r="H3649" s="162" t="s">
        <v>23654</v>
      </c>
      <c r="I3649" s="158" t="s">
        <v>23655</v>
      </c>
      <c r="J3649" s="128"/>
      <c r="K3649" s="128"/>
      <c r="L3649" s="128"/>
      <c r="M3649" s="129"/>
      <c r="N3649" s="129"/>
      <c r="O3649" s="129"/>
    </row>
    <row r="3650" spans="1:15" ht="12.5">
      <c r="A3650" s="158" t="s">
        <v>23656</v>
      </c>
      <c r="B3650" s="159">
        <v>40</v>
      </c>
      <c r="C3650" s="159">
        <v>30</v>
      </c>
      <c r="D3650" s="159">
        <v>61</v>
      </c>
      <c r="E3650" s="159">
        <v>65</v>
      </c>
      <c r="F3650" s="131"/>
      <c r="G3650" s="132"/>
      <c r="H3650" s="162" t="s">
        <v>23657</v>
      </c>
      <c r="I3650" s="158" t="s">
        <v>23658</v>
      </c>
      <c r="J3650" s="128"/>
      <c r="K3650" s="128"/>
      <c r="L3650" s="128"/>
      <c r="M3650" s="129"/>
      <c r="N3650" s="129"/>
      <c r="O3650" s="129"/>
    </row>
    <row r="3651" spans="1:15" ht="12.5">
      <c r="A3651" s="158" t="s">
        <v>23659</v>
      </c>
      <c r="B3651" s="159">
        <v>40</v>
      </c>
      <c r="C3651" s="159">
        <v>30</v>
      </c>
      <c r="D3651" s="159">
        <v>61</v>
      </c>
      <c r="E3651" s="159">
        <v>66</v>
      </c>
      <c r="F3651" s="131"/>
      <c r="G3651" s="132"/>
      <c r="H3651" s="162" t="s">
        <v>23660</v>
      </c>
      <c r="I3651" s="158" t="s">
        <v>23661</v>
      </c>
      <c r="J3651" s="128"/>
      <c r="K3651" s="128"/>
      <c r="L3651" s="128"/>
      <c r="M3651" s="129"/>
      <c r="N3651" s="129"/>
      <c r="O3651" s="129"/>
    </row>
    <row r="3652" spans="1:15" ht="12.5">
      <c r="A3652" s="158" t="s">
        <v>23662</v>
      </c>
      <c r="B3652" s="159">
        <v>40</v>
      </c>
      <c r="C3652" s="159">
        <v>30</v>
      </c>
      <c r="D3652" s="159">
        <v>61</v>
      </c>
      <c r="E3652" s="159">
        <v>67</v>
      </c>
      <c r="F3652" s="131"/>
      <c r="G3652" s="132"/>
      <c r="H3652" s="162" t="s">
        <v>23663</v>
      </c>
      <c r="I3652" s="158" t="s">
        <v>23640</v>
      </c>
      <c r="J3652" s="128"/>
      <c r="K3652" s="128"/>
      <c r="L3652" s="128"/>
      <c r="M3652" s="129"/>
      <c r="N3652" s="129"/>
      <c r="O3652" s="129"/>
    </row>
    <row r="3653" spans="1:15" ht="12.5">
      <c r="A3653" s="158" t="s">
        <v>23664</v>
      </c>
      <c r="B3653" s="159">
        <v>40</v>
      </c>
      <c r="C3653" s="159">
        <v>30</v>
      </c>
      <c r="D3653" s="159">
        <v>61</v>
      </c>
      <c r="E3653" s="159">
        <v>77</v>
      </c>
      <c r="F3653" s="131"/>
      <c r="G3653" s="132"/>
      <c r="H3653" s="162" t="s">
        <v>23665</v>
      </c>
      <c r="I3653" s="158" t="s">
        <v>23666</v>
      </c>
      <c r="J3653" s="128"/>
      <c r="K3653" s="128"/>
      <c r="L3653" s="128"/>
      <c r="M3653" s="129"/>
      <c r="N3653" s="129"/>
      <c r="O3653" s="129"/>
    </row>
    <row r="3654" spans="1:15" ht="12.5">
      <c r="A3654" s="158" t="s">
        <v>23667</v>
      </c>
      <c r="B3654" s="159">
        <v>40</v>
      </c>
      <c r="C3654" s="159">
        <v>30</v>
      </c>
      <c r="D3654" s="159">
        <v>61</v>
      </c>
      <c r="E3654" s="159">
        <v>78</v>
      </c>
      <c r="F3654" s="131"/>
      <c r="G3654" s="132"/>
      <c r="H3654" s="162" t="s">
        <v>23668</v>
      </c>
      <c r="I3654" s="158" t="s">
        <v>23669</v>
      </c>
      <c r="J3654" s="128"/>
      <c r="K3654" s="128"/>
      <c r="L3654" s="128"/>
      <c r="M3654" s="129"/>
      <c r="N3654" s="129"/>
      <c r="O3654" s="129"/>
    </row>
    <row r="3655" spans="1:15" ht="12.5">
      <c r="A3655" s="158" t="s">
        <v>23670</v>
      </c>
      <c r="B3655" s="159">
        <v>40</v>
      </c>
      <c r="C3655" s="159">
        <v>30</v>
      </c>
      <c r="D3655" s="159">
        <v>61</v>
      </c>
      <c r="E3655" s="159">
        <v>79</v>
      </c>
      <c r="F3655" s="131"/>
      <c r="G3655" s="132"/>
      <c r="H3655" s="162" t="s">
        <v>23671</v>
      </c>
      <c r="I3655" s="158" t="s">
        <v>23672</v>
      </c>
      <c r="J3655" s="128"/>
      <c r="K3655" s="128"/>
      <c r="L3655" s="128"/>
      <c r="M3655" s="129"/>
      <c r="N3655" s="129"/>
      <c r="O3655" s="129"/>
    </row>
    <row r="3656" spans="1:15" ht="12.5">
      <c r="A3656" s="158" t="s">
        <v>23673</v>
      </c>
      <c r="B3656" s="159">
        <v>40</v>
      </c>
      <c r="C3656" s="159">
        <v>30</v>
      </c>
      <c r="D3656" s="159">
        <v>61</v>
      </c>
      <c r="E3656" s="159">
        <v>82</v>
      </c>
      <c r="F3656" s="131"/>
      <c r="G3656" s="132"/>
      <c r="H3656" s="162" t="s">
        <v>23674</v>
      </c>
      <c r="I3656" s="158" t="s">
        <v>23675</v>
      </c>
      <c r="J3656" s="128"/>
      <c r="K3656" s="128"/>
      <c r="L3656" s="128"/>
      <c r="M3656" s="129"/>
      <c r="N3656" s="129"/>
      <c r="O3656" s="129"/>
    </row>
    <row r="3657" spans="1:15" ht="12.5">
      <c r="A3657" s="158" t="s">
        <v>23676</v>
      </c>
      <c r="B3657" s="159">
        <v>40</v>
      </c>
      <c r="C3657" s="159">
        <v>30</v>
      </c>
      <c r="D3657" s="159">
        <v>61</v>
      </c>
      <c r="E3657" s="159">
        <v>88</v>
      </c>
      <c r="F3657" s="131"/>
      <c r="G3657" s="132"/>
      <c r="H3657" s="162" t="s">
        <v>23677</v>
      </c>
      <c r="I3657" s="158" t="s">
        <v>23678</v>
      </c>
      <c r="J3657" s="128"/>
      <c r="K3657" s="128"/>
      <c r="L3657" s="128"/>
      <c r="M3657" s="129"/>
      <c r="N3657" s="129"/>
      <c r="O3657" s="129"/>
    </row>
    <row r="3658" spans="1:15" ht="12.5">
      <c r="A3658" s="158" t="s">
        <v>23679</v>
      </c>
      <c r="B3658" s="159">
        <v>40</v>
      </c>
      <c r="C3658" s="159">
        <v>30</v>
      </c>
      <c r="D3658" s="159">
        <v>61</v>
      </c>
      <c r="E3658" s="159">
        <v>95</v>
      </c>
      <c r="F3658" s="131"/>
      <c r="G3658" s="132"/>
      <c r="H3658" s="162" t="s">
        <v>23680</v>
      </c>
      <c r="I3658" s="158" t="s">
        <v>23681</v>
      </c>
      <c r="J3658" s="128"/>
      <c r="K3658" s="128"/>
      <c r="L3658" s="128"/>
      <c r="M3658" s="129"/>
      <c r="N3658" s="129"/>
      <c r="O3658" s="129"/>
    </row>
    <row r="3659" spans="1:15" ht="12.5">
      <c r="A3659" s="158" t="s">
        <v>23682</v>
      </c>
      <c r="B3659" s="159">
        <v>40</v>
      </c>
      <c r="C3659" s="159">
        <v>30</v>
      </c>
      <c r="D3659" s="159">
        <v>61</v>
      </c>
      <c r="E3659" s="159">
        <v>96</v>
      </c>
      <c r="F3659" s="131"/>
      <c r="G3659" s="132"/>
      <c r="H3659" s="162" t="s">
        <v>23683</v>
      </c>
      <c r="I3659" s="158" t="s">
        <v>23684</v>
      </c>
      <c r="J3659" s="128"/>
      <c r="K3659" s="128"/>
      <c r="L3659" s="128"/>
      <c r="M3659" s="129"/>
      <c r="N3659" s="129"/>
      <c r="O3659" s="129"/>
    </row>
    <row r="3660" spans="1:15" ht="12.5">
      <c r="A3660" s="158" t="s">
        <v>23685</v>
      </c>
      <c r="B3660" s="159">
        <v>40</v>
      </c>
      <c r="C3660" s="159">
        <v>30</v>
      </c>
      <c r="D3660" s="159">
        <v>61</v>
      </c>
      <c r="E3660" s="159">
        <v>97</v>
      </c>
      <c r="F3660" s="131"/>
      <c r="G3660" s="132"/>
      <c r="H3660" s="162" t="s">
        <v>23686</v>
      </c>
      <c r="I3660" s="158" t="s">
        <v>23687</v>
      </c>
      <c r="J3660" s="128"/>
      <c r="K3660" s="128"/>
      <c r="L3660" s="128"/>
      <c r="M3660" s="129"/>
      <c r="N3660" s="129"/>
      <c r="O3660" s="129"/>
    </row>
    <row r="3661" spans="1:15" ht="12.5">
      <c r="A3661" s="158" t="s">
        <v>23688</v>
      </c>
      <c r="B3661" s="159">
        <v>40</v>
      </c>
      <c r="C3661" s="159">
        <v>30</v>
      </c>
      <c r="D3661" s="159">
        <v>61</v>
      </c>
      <c r="E3661" s="159">
        <v>98</v>
      </c>
      <c r="F3661" s="131"/>
      <c r="G3661" s="132"/>
      <c r="H3661" s="162" t="s">
        <v>23689</v>
      </c>
      <c r="I3661" s="158" t="s">
        <v>23690</v>
      </c>
      <c r="J3661" s="128"/>
      <c r="K3661" s="128"/>
      <c r="L3661" s="128"/>
      <c r="M3661" s="129"/>
      <c r="N3661" s="129"/>
      <c r="O3661" s="129"/>
    </row>
    <row r="3662" spans="1:15" ht="12.5">
      <c r="A3662" s="158" t="s">
        <v>23691</v>
      </c>
      <c r="B3662" s="159">
        <v>40</v>
      </c>
      <c r="C3662" s="159">
        <v>30</v>
      </c>
      <c r="D3662" s="159">
        <v>65</v>
      </c>
      <c r="E3662" s="130"/>
      <c r="F3662" s="131"/>
      <c r="G3662" s="132"/>
      <c r="H3662" s="162" t="s">
        <v>23692</v>
      </c>
      <c r="I3662" s="128"/>
      <c r="J3662" s="128"/>
      <c r="K3662" s="128"/>
      <c r="L3662" s="128"/>
      <c r="M3662" s="129"/>
      <c r="N3662" s="129"/>
      <c r="O3662" s="129"/>
    </row>
    <row r="3663" spans="1:15" ht="12.5">
      <c r="A3663" s="158" t="s">
        <v>23693</v>
      </c>
      <c r="B3663" s="159">
        <v>40</v>
      </c>
      <c r="C3663" s="159">
        <v>30</v>
      </c>
      <c r="D3663" s="159">
        <v>65</v>
      </c>
      <c r="E3663" s="159">
        <v>11</v>
      </c>
      <c r="F3663" s="131"/>
      <c r="G3663" s="132"/>
      <c r="H3663" s="162" t="s">
        <v>23694</v>
      </c>
      <c r="I3663" s="128"/>
      <c r="J3663" s="128"/>
      <c r="K3663" s="128"/>
      <c r="L3663" s="128"/>
      <c r="M3663" s="129"/>
      <c r="N3663" s="129"/>
      <c r="O3663" s="129"/>
    </row>
    <row r="3664" spans="1:15" ht="12.5">
      <c r="A3664" s="158" t="s">
        <v>23695</v>
      </c>
      <c r="B3664" s="159">
        <v>40</v>
      </c>
      <c r="C3664" s="159">
        <v>30</v>
      </c>
      <c r="D3664" s="159">
        <v>65</v>
      </c>
      <c r="E3664" s="159">
        <v>12</v>
      </c>
      <c r="F3664" s="131"/>
      <c r="G3664" s="132"/>
      <c r="H3664" s="162" t="s">
        <v>23696</v>
      </c>
      <c r="I3664" s="128"/>
      <c r="J3664" s="128"/>
      <c r="K3664" s="128"/>
      <c r="L3664" s="128"/>
      <c r="M3664" s="129"/>
      <c r="N3664" s="129"/>
      <c r="O3664" s="129"/>
    </row>
    <row r="3665" spans="1:15" ht="12.5">
      <c r="A3665" s="158" t="s">
        <v>23697</v>
      </c>
      <c r="B3665" s="159">
        <v>40</v>
      </c>
      <c r="C3665" s="159">
        <v>30</v>
      </c>
      <c r="D3665" s="159">
        <v>65</v>
      </c>
      <c r="E3665" s="159">
        <v>13</v>
      </c>
      <c r="F3665" s="131"/>
      <c r="G3665" s="132"/>
      <c r="H3665" s="162" t="s">
        <v>23698</v>
      </c>
      <c r="I3665" s="128"/>
      <c r="J3665" s="128"/>
      <c r="K3665" s="128"/>
      <c r="L3665" s="128"/>
      <c r="M3665" s="129"/>
      <c r="N3665" s="129"/>
      <c r="O3665" s="129"/>
    </row>
    <row r="3666" spans="1:15" ht="12.5">
      <c r="A3666" s="158" t="s">
        <v>23699</v>
      </c>
      <c r="B3666" s="159">
        <v>40</v>
      </c>
      <c r="C3666" s="159">
        <v>30</v>
      </c>
      <c r="D3666" s="159">
        <v>65</v>
      </c>
      <c r="E3666" s="159">
        <v>60</v>
      </c>
      <c r="F3666" s="131"/>
      <c r="G3666" s="132"/>
      <c r="H3666" s="162" t="s">
        <v>23700</v>
      </c>
      <c r="I3666" s="128"/>
      <c r="J3666" s="128"/>
      <c r="K3666" s="128"/>
      <c r="L3666" s="128"/>
      <c r="M3666" s="129"/>
      <c r="N3666" s="129"/>
      <c r="O3666" s="129"/>
    </row>
    <row r="3667" spans="1:15" ht="12.5">
      <c r="A3667" s="158" t="s">
        <v>23701</v>
      </c>
      <c r="B3667" s="159">
        <v>40</v>
      </c>
      <c r="C3667" s="159">
        <v>30</v>
      </c>
      <c r="D3667" s="159">
        <v>65</v>
      </c>
      <c r="E3667" s="159">
        <v>65</v>
      </c>
      <c r="F3667" s="131"/>
      <c r="G3667" s="132"/>
      <c r="H3667" s="162" t="s">
        <v>23702</v>
      </c>
      <c r="I3667" s="128"/>
      <c r="J3667" s="128"/>
      <c r="K3667" s="128"/>
      <c r="L3667" s="128"/>
      <c r="M3667" s="129"/>
      <c r="N3667" s="129"/>
      <c r="O3667" s="129"/>
    </row>
    <row r="3668" spans="1:15" ht="12.5">
      <c r="A3668" s="158" t="s">
        <v>23703</v>
      </c>
      <c r="B3668" s="159">
        <v>40</v>
      </c>
      <c r="C3668" s="159">
        <v>30</v>
      </c>
      <c r="D3668" s="159">
        <v>65</v>
      </c>
      <c r="E3668" s="159">
        <v>88</v>
      </c>
      <c r="F3668" s="131"/>
      <c r="G3668" s="132"/>
      <c r="H3668" s="162" t="s">
        <v>23704</v>
      </c>
      <c r="I3668" s="128"/>
      <c r="J3668" s="128"/>
      <c r="K3668" s="128"/>
      <c r="L3668" s="128"/>
      <c r="M3668" s="129"/>
      <c r="N3668" s="129"/>
      <c r="O3668" s="129"/>
    </row>
    <row r="3669" spans="1:15" ht="12.5">
      <c r="A3669" s="158" t="s">
        <v>23705</v>
      </c>
      <c r="B3669" s="159">
        <v>40</v>
      </c>
      <c r="C3669" s="159">
        <v>30</v>
      </c>
      <c r="D3669" s="159">
        <v>66</v>
      </c>
      <c r="E3669" s="130"/>
      <c r="F3669" s="131"/>
      <c r="G3669" s="132"/>
      <c r="H3669" s="162" t="s">
        <v>23706</v>
      </c>
      <c r="I3669" s="128"/>
      <c r="J3669" s="128"/>
      <c r="K3669" s="128"/>
      <c r="L3669" s="128"/>
      <c r="M3669" s="129"/>
      <c r="N3669" s="129"/>
      <c r="O3669" s="129"/>
    </row>
    <row r="3670" spans="1:15" ht="12.5">
      <c r="A3670" s="158" t="s">
        <v>23707</v>
      </c>
      <c r="B3670" s="159">
        <v>40</v>
      </c>
      <c r="C3670" s="159">
        <v>30</v>
      </c>
      <c r="D3670" s="159">
        <v>66</v>
      </c>
      <c r="E3670" s="159">
        <v>22</v>
      </c>
      <c r="F3670" s="131"/>
      <c r="G3670" s="132"/>
      <c r="H3670" s="162" t="s">
        <v>23708</v>
      </c>
      <c r="I3670" s="158" t="s">
        <v>23709</v>
      </c>
      <c r="J3670" s="128"/>
      <c r="K3670" s="128"/>
      <c r="L3670" s="128"/>
      <c r="M3670" s="129"/>
      <c r="N3670" s="129"/>
      <c r="O3670" s="129"/>
    </row>
    <row r="3671" spans="1:15" ht="12.5">
      <c r="A3671" s="158" t="s">
        <v>23710</v>
      </c>
      <c r="B3671" s="159">
        <v>40</v>
      </c>
      <c r="C3671" s="159">
        <v>30</v>
      </c>
      <c r="D3671" s="159">
        <v>66</v>
      </c>
      <c r="E3671" s="159">
        <v>73</v>
      </c>
      <c r="F3671" s="131"/>
      <c r="G3671" s="132"/>
      <c r="H3671" s="162" t="s">
        <v>23711</v>
      </c>
      <c r="I3671" s="128"/>
      <c r="J3671" s="128"/>
      <c r="K3671" s="128"/>
      <c r="L3671" s="128"/>
      <c r="M3671" s="129"/>
      <c r="N3671" s="129"/>
      <c r="O3671" s="129"/>
    </row>
    <row r="3672" spans="1:15" ht="12.5">
      <c r="A3672" s="158" t="s">
        <v>23712</v>
      </c>
      <c r="B3672" s="159">
        <v>40</v>
      </c>
      <c r="C3672" s="159">
        <v>30</v>
      </c>
      <c r="D3672" s="159">
        <v>66</v>
      </c>
      <c r="E3672" s="159">
        <v>74</v>
      </c>
      <c r="F3672" s="131"/>
      <c r="G3672" s="132"/>
      <c r="H3672" s="162" t="s">
        <v>23713</v>
      </c>
      <c r="I3672" s="128"/>
      <c r="J3672" s="128"/>
      <c r="K3672" s="128"/>
      <c r="L3672" s="128"/>
      <c r="M3672" s="129"/>
      <c r="N3672" s="129"/>
      <c r="O3672" s="129"/>
    </row>
    <row r="3673" spans="1:15" ht="12.5">
      <c r="A3673" s="158" t="s">
        <v>23714</v>
      </c>
      <c r="B3673" s="159">
        <v>40</v>
      </c>
      <c r="C3673" s="159">
        <v>30</v>
      </c>
      <c r="D3673" s="159">
        <v>66</v>
      </c>
      <c r="E3673" s="159">
        <v>84</v>
      </c>
      <c r="F3673" s="131"/>
      <c r="G3673" s="132"/>
      <c r="H3673" s="162" t="s">
        <v>23715</v>
      </c>
      <c r="I3673" s="128"/>
      <c r="J3673" s="128"/>
      <c r="K3673" s="128"/>
      <c r="L3673" s="128"/>
      <c r="M3673" s="129"/>
      <c r="N3673" s="129"/>
      <c r="O3673" s="129"/>
    </row>
    <row r="3674" spans="1:15" ht="12.5">
      <c r="A3674" s="158" t="s">
        <v>23716</v>
      </c>
      <c r="B3674" s="159">
        <v>40</v>
      </c>
      <c r="C3674" s="159">
        <v>30</v>
      </c>
      <c r="D3674" s="159">
        <v>71</v>
      </c>
      <c r="E3674" s="130"/>
      <c r="F3674" s="131"/>
      <c r="G3674" s="132"/>
      <c r="H3674" s="162" t="s">
        <v>23717</v>
      </c>
      <c r="I3674" s="128"/>
      <c r="J3674" s="128"/>
      <c r="K3674" s="128"/>
      <c r="L3674" s="128"/>
      <c r="M3674" s="129"/>
      <c r="N3674" s="129"/>
      <c r="O3674" s="129"/>
    </row>
    <row r="3675" spans="1:15" ht="12.5">
      <c r="A3675" s="158" t="s">
        <v>23718</v>
      </c>
      <c r="B3675" s="159">
        <v>40</v>
      </c>
      <c r="C3675" s="159">
        <v>30</v>
      </c>
      <c r="D3675" s="159">
        <v>71</v>
      </c>
      <c r="E3675" s="159">
        <v>1</v>
      </c>
      <c r="F3675" s="131"/>
      <c r="G3675" s="132"/>
      <c r="H3675" s="162" t="s">
        <v>23719</v>
      </c>
      <c r="I3675" s="128"/>
      <c r="J3675" s="128"/>
      <c r="K3675" s="128"/>
      <c r="L3675" s="128"/>
      <c r="M3675" s="129"/>
      <c r="N3675" s="129"/>
      <c r="O3675" s="129"/>
    </row>
    <row r="3676" spans="1:15" ht="12.5">
      <c r="A3676" s="158" t="s">
        <v>23720</v>
      </c>
      <c r="B3676" s="159">
        <v>40</v>
      </c>
      <c r="C3676" s="159">
        <v>30</v>
      </c>
      <c r="D3676" s="159">
        <v>71</v>
      </c>
      <c r="E3676" s="159">
        <v>3</v>
      </c>
      <c r="F3676" s="131"/>
      <c r="G3676" s="132"/>
      <c r="H3676" s="162" t="s">
        <v>23721</v>
      </c>
      <c r="I3676" s="128"/>
      <c r="J3676" s="128"/>
      <c r="K3676" s="128"/>
      <c r="L3676" s="128"/>
      <c r="M3676" s="129"/>
      <c r="N3676" s="129"/>
      <c r="O3676" s="129"/>
    </row>
    <row r="3677" spans="1:15" ht="12.5">
      <c r="A3677" s="158" t="s">
        <v>23722</v>
      </c>
      <c r="B3677" s="159">
        <v>40</v>
      </c>
      <c r="C3677" s="159">
        <v>30</v>
      </c>
      <c r="D3677" s="159">
        <v>71</v>
      </c>
      <c r="E3677" s="159">
        <v>6</v>
      </c>
      <c r="F3677" s="131"/>
      <c r="G3677" s="132"/>
      <c r="H3677" s="162" t="s">
        <v>23723</v>
      </c>
      <c r="I3677" s="128"/>
      <c r="J3677" s="128"/>
      <c r="K3677" s="128"/>
      <c r="L3677" s="128"/>
      <c r="M3677" s="129"/>
      <c r="N3677" s="129"/>
      <c r="O3677" s="129"/>
    </row>
    <row r="3678" spans="1:15" ht="12.5">
      <c r="A3678" s="158" t="s">
        <v>23724</v>
      </c>
      <c r="B3678" s="159">
        <v>40</v>
      </c>
      <c r="C3678" s="159">
        <v>30</v>
      </c>
      <c r="D3678" s="159">
        <v>71</v>
      </c>
      <c r="E3678" s="159">
        <v>7</v>
      </c>
      <c r="F3678" s="131"/>
      <c r="G3678" s="132"/>
      <c r="H3678" s="162" t="s">
        <v>23725</v>
      </c>
      <c r="I3678" s="128"/>
      <c r="J3678" s="128"/>
      <c r="K3678" s="128"/>
      <c r="L3678" s="128"/>
      <c r="M3678" s="129"/>
      <c r="N3678" s="129"/>
      <c r="O3678" s="129"/>
    </row>
    <row r="3679" spans="1:15" ht="12.5">
      <c r="A3679" s="158" t="s">
        <v>23726</v>
      </c>
      <c r="B3679" s="159">
        <v>40</v>
      </c>
      <c r="C3679" s="159">
        <v>30</v>
      </c>
      <c r="D3679" s="159">
        <v>71</v>
      </c>
      <c r="E3679" s="159">
        <v>31</v>
      </c>
      <c r="F3679" s="131"/>
      <c r="G3679" s="132"/>
      <c r="H3679" s="162" t="s">
        <v>23727</v>
      </c>
      <c r="I3679" s="128"/>
      <c r="J3679" s="128"/>
      <c r="K3679" s="128"/>
      <c r="L3679" s="128"/>
      <c r="M3679" s="129"/>
      <c r="N3679" s="129"/>
      <c r="O3679" s="129"/>
    </row>
    <row r="3680" spans="1:15" ht="12.5">
      <c r="A3680" s="158" t="s">
        <v>23728</v>
      </c>
      <c r="B3680" s="159">
        <v>40</v>
      </c>
      <c r="C3680" s="159">
        <v>30</v>
      </c>
      <c r="D3680" s="159">
        <v>71</v>
      </c>
      <c r="E3680" s="159">
        <v>36</v>
      </c>
      <c r="F3680" s="131"/>
      <c r="G3680" s="132"/>
      <c r="H3680" s="162" t="s">
        <v>23729</v>
      </c>
      <c r="I3680" s="128"/>
      <c r="J3680" s="128"/>
      <c r="K3680" s="128"/>
      <c r="L3680" s="128"/>
      <c r="M3680" s="129"/>
      <c r="N3680" s="129"/>
      <c r="O3680" s="129"/>
    </row>
    <row r="3681" spans="1:15" ht="12.5">
      <c r="A3681" s="158" t="s">
        <v>23730</v>
      </c>
      <c r="B3681" s="159">
        <v>40</v>
      </c>
      <c r="C3681" s="159">
        <v>30</v>
      </c>
      <c r="D3681" s="159">
        <v>71</v>
      </c>
      <c r="E3681" s="159">
        <v>51</v>
      </c>
      <c r="F3681" s="131"/>
      <c r="G3681" s="132"/>
      <c r="H3681" s="162" t="s">
        <v>23731</v>
      </c>
      <c r="I3681" s="128"/>
      <c r="J3681" s="128"/>
      <c r="K3681" s="128"/>
      <c r="L3681" s="128"/>
      <c r="M3681" s="129"/>
      <c r="N3681" s="129"/>
      <c r="O3681" s="129"/>
    </row>
    <row r="3682" spans="1:15" ht="12.5">
      <c r="A3682" s="158" t="s">
        <v>23732</v>
      </c>
      <c r="B3682" s="159">
        <v>40</v>
      </c>
      <c r="C3682" s="159">
        <v>30</v>
      </c>
      <c r="D3682" s="159">
        <v>71</v>
      </c>
      <c r="E3682" s="159">
        <v>56</v>
      </c>
      <c r="F3682" s="131"/>
      <c r="G3682" s="132"/>
      <c r="H3682" s="162" t="s">
        <v>23733</v>
      </c>
      <c r="I3682" s="128"/>
      <c r="J3682" s="128"/>
      <c r="K3682" s="128"/>
      <c r="L3682" s="128"/>
      <c r="M3682" s="129"/>
      <c r="N3682" s="129"/>
      <c r="O3682" s="129"/>
    </row>
    <row r="3683" spans="1:15" ht="12.5">
      <c r="A3683" s="158" t="s">
        <v>23734</v>
      </c>
      <c r="B3683" s="159">
        <v>40</v>
      </c>
      <c r="C3683" s="159">
        <v>30</v>
      </c>
      <c r="D3683" s="159">
        <v>71</v>
      </c>
      <c r="E3683" s="159">
        <v>68</v>
      </c>
      <c r="F3683" s="131"/>
      <c r="G3683" s="132"/>
      <c r="H3683" s="162" t="s">
        <v>23735</v>
      </c>
      <c r="I3683" s="128"/>
      <c r="J3683" s="128"/>
      <c r="K3683" s="128"/>
      <c r="L3683" s="128"/>
      <c r="M3683" s="129"/>
      <c r="N3683" s="129"/>
      <c r="O3683" s="129"/>
    </row>
    <row r="3684" spans="1:15" ht="12.5">
      <c r="A3684" s="158" t="s">
        <v>23736</v>
      </c>
      <c r="B3684" s="159">
        <v>40</v>
      </c>
      <c r="C3684" s="159">
        <v>30</v>
      </c>
      <c r="D3684" s="159">
        <v>75</v>
      </c>
      <c r="E3684" s="130"/>
      <c r="F3684" s="131"/>
      <c r="G3684" s="132"/>
      <c r="H3684" s="162" t="s">
        <v>23737</v>
      </c>
      <c r="I3684" s="128"/>
      <c r="J3684" s="128"/>
      <c r="K3684" s="128"/>
      <c r="L3684" s="128"/>
      <c r="M3684" s="129"/>
      <c r="N3684" s="129"/>
      <c r="O3684" s="129"/>
    </row>
    <row r="3685" spans="1:15" ht="12.5">
      <c r="A3685" s="158" t="s">
        <v>23738</v>
      </c>
      <c r="B3685" s="159">
        <v>40</v>
      </c>
      <c r="C3685" s="159">
        <v>30</v>
      </c>
      <c r="D3685" s="159">
        <v>75</v>
      </c>
      <c r="E3685" s="159">
        <v>11</v>
      </c>
      <c r="F3685" s="131"/>
      <c r="G3685" s="132"/>
      <c r="H3685" s="162" t="s">
        <v>23739</v>
      </c>
      <c r="I3685" s="128"/>
      <c r="J3685" s="128"/>
      <c r="K3685" s="128"/>
      <c r="L3685" s="128"/>
      <c r="M3685" s="129"/>
      <c r="N3685" s="129"/>
      <c r="O3685" s="129"/>
    </row>
    <row r="3686" spans="1:15" ht="12.5">
      <c r="A3686" s="158" t="s">
        <v>23740</v>
      </c>
      <c r="B3686" s="159">
        <v>40</v>
      </c>
      <c r="C3686" s="159">
        <v>30</v>
      </c>
      <c r="D3686" s="159">
        <v>75</v>
      </c>
      <c r="E3686" s="159">
        <v>16</v>
      </c>
      <c r="F3686" s="131"/>
      <c r="G3686" s="132"/>
      <c r="H3686" s="162" t="s">
        <v>23741</v>
      </c>
      <c r="I3686" s="128"/>
      <c r="J3686" s="128"/>
      <c r="K3686" s="128"/>
      <c r="L3686" s="128"/>
      <c r="M3686" s="129"/>
      <c r="N3686" s="129"/>
      <c r="O3686" s="129"/>
    </row>
    <row r="3687" spans="1:15" ht="12.5">
      <c r="A3687" s="158" t="s">
        <v>23742</v>
      </c>
      <c r="B3687" s="159">
        <v>40</v>
      </c>
      <c r="C3687" s="159">
        <v>30</v>
      </c>
      <c r="D3687" s="159">
        <v>75</v>
      </c>
      <c r="E3687" s="159">
        <v>20</v>
      </c>
      <c r="F3687" s="131"/>
      <c r="G3687" s="132"/>
      <c r="H3687" s="162" t="s">
        <v>23743</v>
      </c>
      <c r="I3687" s="128"/>
      <c r="J3687" s="128"/>
      <c r="K3687" s="128"/>
      <c r="L3687" s="128"/>
      <c r="M3687" s="129"/>
      <c r="N3687" s="129"/>
      <c r="O3687" s="129"/>
    </row>
    <row r="3688" spans="1:15" ht="12.5">
      <c r="A3688" s="158" t="s">
        <v>23744</v>
      </c>
      <c r="B3688" s="159">
        <v>40</v>
      </c>
      <c r="C3688" s="159">
        <v>30</v>
      </c>
      <c r="D3688" s="159">
        <v>75</v>
      </c>
      <c r="E3688" s="159">
        <v>21</v>
      </c>
      <c r="F3688" s="131"/>
      <c r="G3688" s="132"/>
      <c r="H3688" s="162" t="s">
        <v>23745</v>
      </c>
      <c r="I3688" s="128"/>
      <c r="J3688" s="128"/>
      <c r="K3688" s="128"/>
      <c r="L3688" s="128"/>
      <c r="M3688" s="129"/>
      <c r="N3688" s="129"/>
      <c r="O3688" s="129"/>
    </row>
    <row r="3689" spans="1:15" ht="12.5">
      <c r="A3689" s="158" t="s">
        <v>23746</v>
      </c>
      <c r="B3689" s="159">
        <v>40</v>
      </c>
      <c r="C3689" s="159">
        <v>30</v>
      </c>
      <c r="D3689" s="159">
        <v>75</v>
      </c>
      <c r="E3689" s="159">
        <v>22</v>
      </c>
      <c r="F3689" s="131"/>
      <c r="G3689" s="132"/>
      <c r="H3689" s="162" t="s">
        <v>23747</v>
      </c>
      <c r="I3689" s="128"/>
      <c r="J3689" s="128"/>
      <c r="K3689" s="128"/>
      <c r="L3689" s="128"/>
      <c r="M3689" s="129"/>
      <c r="N3689" s="129"/>
      <c r="O3689" s="129"/>
    </row>
    <row r="3690" spans="1:15" ht="12.5">
      <c r="A3690" s="158" t="s">
        <v>23748</v>
      </c>
      <c r="B3690" s="159">
        <v>40</v>
      </c>
      <c r="C3690" s="159">
        <v>30</v>
      </c>
      <c r="D3690" s="159">
        <v>75</v>
      </c>
      <c r="E3690" s="159">
        <v>29</v>
      </c>
      <c r="F3690" s="131"/>
      <c r="G3690" s="132"/>
      <c r="H3690" s="162" t="s">
        <v>23749</v>
      </c>
      <c r="I3690" s="128"/>
      <c r="J3690" s="128"/>
      <c r="K3690" s="128"/>
      <c r="L3690" s="128"/>
      <c r="M3690" s="129"/>
      <c r="N3690" s="129"/>
      <c r="O3690" s="129"/>
    </row>
    <row r="3691" spans="1:15" ht="12.5">
      <c r="A3691" s="158" t="s">
        <v>23750</v>
      </c>
      <c r="B3691" s="159">
        <v>40</v>
      </c>
      <c r="C3691" s="159">
        <v>30</v>
      </c>
      <c r="D3691" s="159">
        <v>75</v>
      </c>
      <c r="E3691" s="159">
        <v>30</v>
      </c>
      <c r="F3691" s="131"/>
      <c r="G3691" s="132"/>
      <c r="H3691" s="162" t="s">
        <v>23751</v>
      </c>
      <c r="I3691" s="128"/>
      <c r="J3691" s="128"/>
      <c r="K3691" s="128"/>
      <c r="L3691" s="128"/>
      <c r="M3691" s="129"/>
      <c r="N3691" s="129"/>
      <c r="O3691" s="129"/>
    </row>
    <row r="3692" spans="1:15" ht="12.5">
      <c r="A3692" s="158" t="s">
        <v>23752</v>
      </c>
      <c r="B3692" s="159">
        <v>40</v>
      </c>
      <c r="C3692" s="159">
        <v>30</v>
      </c>
      <c r="D3692" s="159">
        <v>75</v>
      </c>
      <c r="E3692" s="159">
        <v>31</v>
      </c>
      <c r="F3692" s="131"/>
      <c r="G3692" s="132"/>
      <c r="H3692" s="162" t="s">
        <v>23753</v>
      </c>
      <c r="I3692" s="128"/>
      <c r="J3692" s="128"/>
      <c r="K3692" s="128"/>
      <c r="L3692" s="128"/>
      <c r="M3692" s="129"/>
      <c r="N3692" s="129"/>
      <c r="O3692" s="129"/>
    </row>
    <row r="3693" spans="1:15" ht="12.5">
      <c r="A3693" s="158" t="s">
        <v>23754</v>
      </c>
      <c r="B3693" s="159">
        <v>40</v>
      </c>
      <c r="C3693" s="159">
        <v>30</v>
      </c>
      <c r="D3693" s="159">
        <v>75</v>
      </c>
      <c r="E3693" s="159">
        <v>36</v>
      </c>
      <c r="F3693" s="131"/>
      <c r="G3693" s="132"/>
      <c r="H3693" s="162" t="s">
        <v>23755</v>
      </c>
      <c r="I3693" s="128"/>
      <c r="J3693" s="128"/>
      <c r="K3693" s="128"/>
      <c r="L3693" s="128"/>
      <c r="M3693" s="129"/>
      <c r="N3693" s="129"/>
      <c r="O3693" s="129"/>
    </row>
    <row r="3694" spans="1:15" ht="12.5">
      <c r="A3694" s="158" t="s">
        <v>23756</v>
      </c>
      <c r="B3694" s="159">
        <v>40</v>
      </c>
      <c r="C3694" s="159">
        <v>30</v>
      </c>
      <c r="D3694" s="159">
        <v>75</v>
      </c>
      <c r="E3694" s="159">
        <v>38</v>
      </c>
      <c r="F3694" s="131"/>
      <c r="G3694" s="132"/>
      <c r="H3694" s="162" t="s">
        <v>23757</v>
      </c>
      <c r="I3694" s="128"/>
      <c r="J3694" s="128"/>
      <c r="K3694" s="128"/>
      <c r="L3694" s="128"/>
      <c r="M3694" s="129"/>
      <c r="N3694" s="129"/>
      <c r="O3694" s="129"/>
    </row>
    <row r="3695" spans="1:15" ht="12.5">
      <c r="A3695" s="158" t="s">
        <v>23758</v>
      </c>
      <c r="B3695" s="159">
        <v>40</v>
      </c>
      <c r="C3695" s="159">
        <v>30</v>
      </c>
      <c r="D3695" s="159">
        <v>75</v>
      </c>
      <c r="E3695" s="159">
        <v>39</v>
      </c>
      <c r="F3695" s="131"/>
      <c r="G3695" s="132"/>
      <c r="H3695" s="162" t="s">
        <v>23759</v>
      </c>
      <c r="I3695" s="128"/>
      <c r="J3695" s="128"/>
      <c r="K3695" s="128"/>
      <c r="L3695" s="128"/>
      <c r="M3695" s="129"/>
      <c r="N3695" s="129"/>
      <c r="O3695" s="129"/>
    </row>
    <row r="3696" spans="1:15" ht="12.5">
      <c r="A3696" s="158" t="s">
        <v>23760</v>
      </c>
      <c r="B3696" s="159">
        <v>40</v>
      </c>
      <c r="C3696" s="159">
        <v>30</v>
      </c>
      <c r="D3696" s="159">
        <v>75</v>
      </c>
      <c r="E3696" s="159">
        <v>45</v>
      </c>
      <c r="F3696" s="131"/>
      <c r="G3696" s="132"/>
      <c r="H3696" s="162" t="s">
        <v>23761</v>
      </c>
      <c r="I3696" s="128"/>
      <c r="J3696" s="128"/>
      <c r="K3696" s="128"/>
      <c r="L3696" s="128"/>
      <c r="M3696" s="129"/>
      <c r="N3696" s="129"/>
      <c r="O3696" s="129"/>
    </row>
    <row r="3697" spans="1:15" ht="12.5">
      <c r="A3697" s="158" t="s">
        <v>23762</v>
      </c>
      <c r="B3697" s="159">
        <v>40</v>
      </c>
      <c r="C3697" s="159">
        <v>30</v>
      </c>
      <c r="D3697" s="159">
        <v>75</v>
      </c>
      <c r="E3697" s="159">
        <v>49</v>
      </c>
      <c r="F3697" s="131"/>
      <c r="G3697" s="132"/>
      <c r="H3697" s="162" t="s">
        <v>23763</v>
      </c>
      <c r="I3697" s="128"/>
      <c r="J3697" s="128"/>
      <c r="K3697" s="128"/>
      <c r="L3697" s="128"/>
      <c r="M3697" s="129"/>
      <c r="N3697" s="129"/>
      <c r="O3697" s="129"/>
    </row>
    <row r="3698" spans="1:15" ht="12.5">
      <c r="A3698" s="158" t="s">
        <v>23764</v>
      </c>
      <c r="B3698" s="159">
        <v>40</v>
      </c>
      <c r="C3698" s="159">
        <v>30</v>
      </c>
      <c r="D3698" s="159">
        <v>75</v>
      </c>
      <c r="E3698" s="159">
        <v>51</v>
      </c>
      <c r="F3698" s="131"/>
      <c r="G3698" s="132"/>
      <c r="H3698" s="162" t="s">
        <v>23765</v>
      </c>
      <c r="I3698" s="128"/>
      <c r="J3698" s="128"/>
      <c r="K3698" s="128"/>
      <c r="L3698" s="128"/>
      <c r="M3698" s="129"/>
      <c r="N3698" s="129"/>
      <c r="O3698" s="129"/>
    </row>
    <row r="3699" spans="1:15" ht="12.5">
      <c r="A3699" s="158" t="s">
        <v>23766</v>
      </c>
      <c r="B3699" s="159">
        <v>40</v>
      </c>
      <c r="C3699" s="159">
        <v>30</v>
      </c>
      <c r="D3699" s="159">
        <v>75</v>
      </c>
      <c r="E3699" s="159">
        <v>55</v>
      </c>
      <c r="F3699" s="131"/>
      <c r="G3699" s="132"/>
      <c r="H3699" s="162" t="s">
        <v>23767</v>
      </c>
      <c r="I3699" s="128"/>
      <c r="J3699" s="128"/>
      <c r="K3699" s="128"/>
      <c r="L3699" s="128"/>
      <c r="M3699" s="129"/>
      <c r="N3699" s="129"/>
      <c r="O3699" s="129"/>
    </row>
    <row r="3700" spans="1:15" ht="12.5">
      <c r="A3700" s="158" t="s">
        <v>23768</v>
      </c>
      <c r="B3700" s="159">
        <v>40</v>
      </c>
      <c r="C3700" s="159">
        <v>30</v>
      </c>
      <c r="D3700" s="159">
        <v>75</v>
      </c>
      <c r="E3700" s="159">
        <v>60</v>
      </c>
      <c r="F3700" s="131"/>
      <c r="G3700" s="132"/>
      <c r="H3700" s="162" t="s">
        <v>23769</v>
      </c>
      <c r="I3700" s="128"/>
      <c r="J3700" s="128"/>
      <c r="K3700" s="128"/>
      <c r="L3700" s="128"/>
      <c r="M3700" s="129"/>
      <c r="N3700" s="129"/>
      <c r="O3700" s="129"/>
    </row>
    <row r="3701" spans="1:15" ht="12.5">
      <c r="A3701" s="158" t="s">
        <v>23770</v>
      </c>
      <c r="B3701" s="159">
        <v>40</v>
      </c>
      <c r="C3701" s="159">
        <v>30</v>
      </c>
      <c r="D3701" s="159">
        <v>75</v>
      </c>
      <c r="E3701" s="159">
        <v>63</v>
      </c>
      <c r="F3701" s="131"/>
      <c r="G3701" s="132"/>
      <c r="H3701" s="162" t="s">
        <v>23771</v>
      </c>
      <c r="I3701" s="128"/>
      <c r="J3701" s="128"/>
      <c r="K3701" s="128"/>
      <c r="L3701" s="128"/>
      <c r="M3701" s="129"/>
      <c r="N3701" s="129"/>
      <c r="O3701" s="129"/>
    </row>
    <row r="3702" spans="1:15" ht="12.5">
      <c r="A3702" s="158" t="s">
        <v>23772</v>
      </c>
      <c r="B3702" s="159">
        <v>40</v>
      </c>
      <c r="C3702" s="159">
        <v>30</v>
      </c>
      <c r="D3702" s="159">
        <v>75</v>
      </c>
      <c r="E3702" s="159">
        <v>76</v>
      </c>
      <c r="F3702" s="131"/>
      <c r="G3702" s="132"/>
      <c r="H3702" s="162" t="s">
        <v>23773</v>
      </c>
      <c r="I3702" s="128"/>
      <c r="J3702" s="128"/>
      <c r="K3702" s="128"/>
      <c r="L3702" s="128"/>
      <c r="M3702" s="129"/>
      <c r="N3702" s="129"/>
      <c r="O3702" s="129"/>
    </row>
    <row r="3703" spans="1:15" ht="12.5">
      <c r="A3703" s="158" t="s">
        <v>23774</v>
      </c>
      <c r="B3703" s="159">
        <v>40</v>
      </c>
      <c r="C3703" s="159">
        <v>30</v>
      </c>
      <c r="D3703" s="159">
        <v>75</v>
      </c>
      <c r="E3703" s="159">
        <v>84</v>
      </c>
      <c r="F3703" s="131"/>
      <c r="G3703" s="132"/>
      <c r="H3703" s="162" t="s">
        <v>23775</v>
      </c>
      <c r="I3703" s="128"/>
      <c r="J3703" s="128"/>
      <c r="K3703" s="128"/>
      <c r="L3703" s="128"/>
      <c r="M3703" s="129"/>
      <c r="N3703" s="129"/>
      <c r="O3703" s="129"/>
    </row>
    <row r="3704" spans="1:15" ht="12.5">
      <c r="A3704" s="158" t="s">
        <v>23776</v>
      </c>
      <c r="B3704" s="159">
        <v>40</v>
      </c>
      <c r="C3704" s="159">
        <v>30</v>
      </c>
      <c r="D3704" s="159">
        <v>75</v>
      </c>
      <c r="E3704" s="159">
        <v>90</v>
      </c>
      <c r="F3704" s="131"/>
      <c r="G3704" s="132"/>
      <c r="H3704" s="162" t="s">
        <v>23777</v>
      </c>
      <c r="I3704" s="128"/>
      <c r="J3704" s="128"/>
      <c r="K3704" s="128"/>
      <c r="L3704" s="128"/>
      <c r="M3704" s="129"/>
      <c r="N3704" s="129"/>
      <c r="O3704" s="129"/>
    </row>
    <row r="3705" spans="1:15" ht="12.5">
      <c r="A3705" s="158" t="s">
        <v>23778</v>
      </c>
      <c r="B3705" s="159">
        <v>40</v>
      </c>
      <c r="C3705" s="159">
        <v>30</v>
      </c>
      <c r="D3705" s="159">
        <v>75</v>
      </c>
      <c r="E3705" s="159">
        <v>93</v>
      </c>
      <c r="F3705" s="131"/>
      <c r="G3705" s="132"/>
      <c r="H3705" s="162" t="s">
        <v>23779</v>
      </c>
      <c r="I3705" s="128"/>
      <c r="J3705" s="128"/>
      <c r="K3705" s="128"/>
      <c r="L3705" s="128"/>
      <c r="M3705" s="129"/>
      <c r="N3705" s="129"/>
      <c r="O3705" s="129"/>
    </row>
    <row r="3706" spans="1:15" ht="12.5">
      <c r="A3706" s="158" t="s">
        <v>23780</v>
      </c>
      <c r="B3706" s="159">
        <v>40</v>
      </c>
      <c r="C3706" s="159">
        <v>30</v>
      </c>
      <c r="D3706" s="159">
        <v>75</v>
      </c>
      <c r="E3706" s="159">
        <v>94</v>
      </c>
      <c r="F3706" s="131"/>
      <c r="G3706" s="132"/>
      <c r="H3706" s="162" t="s">
        <v>23781</v>
      </c>
      <c r="I3706" s="128"/>
      <c r="J3706" s="128"/>
      <c r="K3706" s="128"/>
      <c r="L3706" s="128"/>
      <c r="M3706" s="129"/>
      <c r="N3706" s="129"/>
      <c r="O3706" s="129"/>
    </row>
    <row r="3707" spans="1:15" ht="12.5">
      <c r="A3707" s="158" t="s">
        <v>23782</v>
      </c>
      <c r="B3707" s="159">
        <v>40</v>
      </c>
      <c r="C3707" s="159">
        <v>30</v>
      </c>
      <c r="D3707" s="159">
        <v>75</v>
      </c>
      <c r="E3707" s="159">
        <v>96</v>
      </c>
      <c r="F3707" s="131"/>
      <c r="G3707" s="132"/>
      <c r="H3707" s="162" t="s">
        <v>23783</v>
      </c>
      <c r="I3707" s="128"/>
      <c r="J3707" s="128"/>
      <c r="K3707" s="128"/>
      <c r="L3707" s="128"/>
      <c r="M3707" s="129"/>
      <c r="N3707" s="129"/>
      <c r="O3707" s="129"/>
    </row>
    <row r="3708" spans="1:15" ht="12.5">
      <c r="A3708" s="158" t="s">
        <v>23784</v>
      </c>
      <c r="B3708" s="159">
        <v>40</v>
      </c>
      <c r="C3708" s="159">
        <v>30</v>
      </c>
      <c r="D3708" s="159">
        <v>78</v>
      </c>
      <c r="E3708" s="130"/>
      <c r="F3708" s="131"/>
      <c r="G3708" s="132"/>
      <c r="H3708" s="162" t="s">
        <v>23785</v>
      </c>
      <c r="I3708" s="128"/>
      <c r="J3708" s="128"/>
      <c r="K3708" s="128"/>
      <c r="L3708" s="128"/>
      <c r="M3708" s="129"/>
      <c r="N3708" s="129"/>
      <c r="O3708" s="129"/>
    </row>
    <row r="3709" spans="1:15" ht="12.5">
      <c r="A3709" s="158" t="s">
        <v>23786</v>
      </c>
      <c r="B3709" s="159">
        <v>40</v>
      </c>
      <c r="C3709" s="159">
        <v>30</v>
      </c>
      <c r="D3709" s="159">
        <v>78</v>
      </c>
      <c r="E3709" s="159">
        <v>1</v>
      </c>
      <c r="F3709" s="131"/>
      <c r="G3709" s="132"/>
      <c r="H3709" s="162" t="s">
        <v>23787</v>
      </c>
      <c r="I3709" s="128"/>
      <c r="J3709" s="128"/>
      <c r="K3709" s="128"/>
      <c r="L3709" s="128"/>
      <c r="M3709" s="129"/>
      <c r="N3709" s="129"/>
      <c r="O3709" s="129"/>
    </row>
    <row r="3710" spans="1:15" ht="12.5">
      <c r="A3710" s="158" t="s">
        <v>23788</v>
      </c>
      <c r="B3710" s="159">
        <v>40</v>
      </c>
      <c r="C3710" s="159">
        <v>30</v>
      </c>
      <c r="D3710" s="159">
        <v>78</v>
      </c>
      <c r="E3710" s="159">
        <v>2</v>
      </c>
      <c r="F3710" s="131"/>
      <c r="G3710" s="132"/>
      <c r="H3710" s="162" t="s">
        <v>23789</v>
      </c>
      <c r="I3710" s="128"/>
      <c r="J3710" s="128"/>
      <c r="K3710" s="128"/>
      <c r="L3710" s="128"/>
      <c r="M3710" s="129"/>
      <c r="N3710" s="129"/>
      <c r="O3710" s="129"/>
    </row>
    <row r="3711" spans="1:15" ht="12.5">
      <c r="A3711" s="158" t="s">
        <v>23790</v>
      </c>
      <c r="B3711" s="159">
        <v>40</v>
      </c>
      <c r="C3711" s="159">
        <v>30</v>
      </c>
      <c r="D3711" s="159">
        <v>78</v>
      </c>
      <c r="E3711" s="159">
        <v>3</v>
      </c>
      <c r="F3711" s="131"/>
      <c r="G3711" s="132"/>
      <c r="H3711" s="162" t="s">
        <v>23791</v>
      </c>
      <c r="I3711" s="158" t="s">
        <v>23792</v>
      </c>
      <c r="J3711" s="128"/>
      <c r="K3711" s="128"/>
      <c r="L3711" s="128"/>
      <c r="M3711" s="129"/>
      <c r="N3711" s="129"/>
      <c r="O3711" s="129"/>
    </row>
    <row r="3712" spans="1:15" ht="12.5">
      <c r="A3712" s="158" t="s">
        <v>23793</v>
      </c>
      <c r="B3712" s="159">
        <v>40</v>
      </c>
      <c r="C3712" s="159">
        <v>30</v>
      </c>
      <c r="D3712" s="159">
        <v>78</v>
      </c>
      <c r="E3712" s="159">
        <v>5</v>
      </c>
      <c r="F3712" s="131"/>
      <c r="G3712" s="132"/>
      <c r="H3712" s="162" t="s">
        <v>23794</v>
      </c>
      <c r="I3712" s="158" t="s">
        <v>23795</v>
      </c>
      <c r="J3712" s="128"/>
      <c r="K3712" s="128"/>
      <c r="L3712" s="128"/>
      <c r="M3712" s="129"/>
      <c r="N3712" s="129"/>
      <c r="O3712" s="129"/>
    </row>
    <row r="3713" spans="1:15" ht="12.5">
      <c r="A3713" s="158" t="s">
        <v>23796</v>
      </c>
      <c r="B3713" s="159">
        <v>40</v>
      </c>
      <c r="C3713" s="159">
        <v>30</v>
      </c>
      <c r="D3713" s="159">
        <v>78</v>
      </c>
      <c r="E3713" s="159">
        <v>6</v>
      </c>
      <c r="F3713" s="131"/>
      <c r="G3713" s="132"/>
      <c r="H3713" s="162" t="s">
        <v>23797</v>
      </c>
      <c r="I3713" s="158" t="s">
        <v>23798</v>
      </c>
      <c r="J3713" s="128"/>
      <c r="K3713" s="128"/>
      <c r="L3713" s="128"/>
      <c r="M3713" s="129"/>
      <c r="N3713" s="129"/>
      <c r="O3713" s="129"/>
    </row>
    <row r="3714" spans="1:15" ht="12.5">
      <c r="A3714" s="158" t="s">
        <v>23799</v>
      </c>
      <c r="B3714" s="159">
        <v>40</v>
      </c>
      <c r="C3714" s="159">
        <v>30</v>
      </c>
      <c r="D3714" s="159">
        <v>78</v>
      </c>
      <c r="E3714" s="159">
        <v>7</v>
      </c>
      <c r="F3714" s="131"/>
      <c r="G3714" s="132"/>
      <c r="H3714" s="162" t="s">
        <v>23800</v>
      </c>
      <c r="I3714" s="128"/>
      <c r="J3714" s="128"/>
      <c r="K3714" s="128"/>
      <c r="L3714" s="128"/>
      <c r="M3714" s="129"/>
      <c r="N3714" s="129"/>
      <c r="O3714" s="129"/>
    </row>
    <row r="3715" spans="1:15" ht="12.5">
      <c r="A3715" s="158" t="s">
        <v>23801</v>
      </c>
      <c r="B3715" s="159">
        <v>40</v>
      </c>
      <c r="C3715" s="159">
        <v>30</v>
      </c>
      <c r="D3715" s="159">
        <v>78</v>
      </c>
      <c r="E3715" s="159">
        <v>8</v>
      </c>
      <c r="F3715" s="131"/>
      <c r="G3715" s="132"/>
      <c r="H3715" s="162" t="s">
        <v>23802</v>
      </c>
      <c r="I3715" s="128"/>
      <c r="J3715" s="128"/>
      <c r="K3715" s="128"/>
      <c r="L3715" s="128"/>
      <c r="M3715" s="129"/>
      <c r="N3715" s="129"/>
      <c r="O3715" s="129"/>
    </row>
    <row r="3716" spans="1:15" ht="12.5">
      <c r="A3716" s="158" t="s">
        <v>23803</v>
      </c>
      <c r="B3716" s="159">
        <v>40</v>
      </c>
      <c r="C3716" s="159">
        <v>30</v>
      </c>
      <c r="D3716" s="159">
        <v>78</v>
      </c>
      <c r="E3716" s="159">
        <v>9</v>
      </c>
      <c r="F3716" s="131"/>
      <c r="G3716" s="132"/>
      <c r="H3716" s="162" t="s">
        <v>23804</v>
      </c>
      <c r="I3716" s="128"/>
      <c r="J3716" s="128"/>
      <c r="K3716" s="128"/>
      <c r="L3716" s="128"/>
      <c r="M3716" s="129"/>
      <c r="N3716" s="129"/>
      <c r="O3716" s="129"/>
    </row>
    <row r="3717" spans="1:15" ht="12.5">
      <c r="A3717" s="158" t="s">
        <v>23805</v>
      </c>
      <c r="B3717" s="159">
        <v>40</v>
      </c>
      <c r="C3717" s="159">
        <v>30</v>
      </c>
      <c r="D3717" s="159">
        <v>78</v>
      </c>
      <c r="E3717" s="159">
        <v>11</v>
      </c>
      <c r="F3717" s="131"/>
      <c r="G3717" s="132"/>
      <c r="H3717" s="162" t="s">
        <v>23806</v>
      </c>
      <c r="I3717" s="128"/>
      <c r="J3717" s="128"/>
      <c r="K3717" s="128"/>
      <c r="L3717" s="128"/>
      <c r="M3717" s="129"/>
      <c r="N3717" s="129"/>
      <c r="O3717" s="129"/>
    </row>
    <row r="3718" spans="1:15" ht="12.5">
      <c r="A3718" s="158" t="s">
        <v>23807</v>
      </c>
      <c r="B3718" s="159">
        <v>40</v>
      </c>
      <c r="C3718" s="159">
        <v>30</v>
      </c>
      <c r="D3718" s="159">
        <v>78</v>
      </c>
      <c r="E3718" s="159">
        <v>12</v>
      </c>
      <c r="F3718" s="131"/>
      <c r="G3718" s="132"/>
      <c r="H3718" s="162" t="s">
        <v>23808</v>
      </c>
      <c r="I3718" s="158" t="s">
        <v>23809</v>
      </c>
      <c r="J3718" s="128"/>
      <c r="K3718" s="128"/>
      <c r="L3718" s="128"/>
      <c r="M3718" s="129"/>
      <c r="N3718" s="129"/>
      <c r="O3718" s="129"/>
    </row>
    <row r="3719" spans="1:15" ht="12.5">
      <c r="A3719" s="158" t="s">
        <v>23810</v>
      </c>
      <c r="B3719" s="159">
        <v>40</v>
      </c>
      <c r="C3719" s="159">
        <v>30</v>
      </c>
      <c r="D3719" s="159">
        <v>78</v>
      </c>
      <c r="E3719" s="159">
        <v>13</v>
      </c>
      <c r="F3719" s="131"/>
      <c r="G3719" s="132"/>
      <c r="H3719" s="162" t="s">
        <v>23811</v>
      </c>
      <c r="I3719" s="128"/>
      <c r="J3719" s="128"/>
      <c r="K3719" s="128"/>
      <c r="L3719" s="128"/>
      <c r="M3719" s="129"/>
      <c r="N3719" s="129"/>
      <c r="O3719" s="129"/>
    </row>
    <row r="3720" spans="1:15" ht="12.5">
      <c r="A3720" s="158" t="s">
        <v>23813</v>
      </c>
      <c r="B3720" s="159">
        <v>40</v>
      </c>
      <c r="C3720" s="159">
        <v>30</v>
      </c>
      <c r="D3720" s="159">
        <v>78</v>
      </c>
      <c r="E3720" s="159">
        <v>14</v>
      </c>
      <c r="F3720" s="131"/>
      <c r="G3720" s="132"/>
      <c r="H3720" s="162" t="s">
        <v>23814</v>
      </c>
      <c r="I3720" s="128"/>
      <c r="J3720" s="128"/>
      <c r="K3720" s="128"/>
      <c r="L3720" s="128"/>
      <c r="M3720" s="129"/>
      <c r="N3720" s="129"/>
      <c r="O3720" s="129"/>
    </row>
    <row r="3721" spans="1:15" ht="12.5">
      <c r="A3721" s="158" t="s">
        <v>23815</v>
      </c>
      <c r="B3721" s="159">
        <v>40</v>
      </c>
      <c r="C3721" s="159">
        <v>30</v>
      </c>
      <c r="D3721" s="159">
        <v>78</v>
      </c>
      <c r="E3721" s="159">
        <v>15</v>
      </c>
      <c r="F3721" s="131"/>
      <c r="G3721" s="132"/>
      <c r="H3721" s="162" t="s">
        <v>23816</v>
      </c>
      <c r="I3721" s="158" t="s">
        <v>23817</v>
      </c>
      <c r="J3721" s="128"/>
      <c r="K3721" s="128"/>
      <c r="L3721" s="128"/>
      <c r="M3721" s="129"/>
      <c r="N3721" s="129"/>
      <c r="O3721" s="129"/>
    </row>
    <row r="3722" spans="1:15" ht="12.5">
      <c r="A3722" s="158" t="s">
        <v>23818</v>
      </c>
      <c r="B3722" s="159">
        <v>40</v>
      </c>
      <c r="C3722" s="159">
        <v>30</v>
      </c>
      <c r="D3722" s="159">
        <v>78</v>
      </c>
      <c r="E3722" s="159">
        <v>16</v>
      </c>
      <c r="F3722" s="131"/>
      <c r="G3722" s="132"/>
      <c r="H3722" s="162" t="s">
        <v>23819</v>
      </c>
      <c r="I3722" s="158" t="s">
        <v>23820</v>
      </c>
      <c r="J3722" s="128"/>
      <c r="K3722" s="128"/>
      <c r="L3722" s="128"/>
      <c r="M3722" s="129"/>
      <c r="N3722" s="129"/>
      <c r="O3722" s="129"/>
    </row>
    <row r="3723" spans="1:15" ht="12.5">
      <c r="A3723" s="158" t="s">
        <v>23821</v>
      </c>
      <c r="B3723" s="159">
        <v>40</v>
      </c>
      <c r="C3723" s="159">
        <v>30</v>
      </c>
      <c r="D3723" s="159">
        <v>78</v>
      </c>
      <c r="E3723" s="159">
        <v>17</v>
      </c>
      <c r="F3723" s="131"/>
      <c r="G3723" s="132"/>
      <c r="H3723" s="162" t="s">
        <v>23822</v>
      </c>
      <c r="I3723" s="158" t="s">
        <v>23823</v>
      </c>
      <c r="J3723" s="128"/>
      <c r="K3723" s="128"/>
      <c r="L3723" s="128"/>
      <c r="M3723" s="129"/>
      <c r="N3723" s="129"/>
      <c r="O3723" s="129"/>
    </row>
    <row r="3724" spans="1:15" ht="12.5">
      <c r="A3724" s="158" t="s">
        <v>23824</v>
      </c>
      <c r="B3724" s="159">
        <v>40</v>
      </c>
      <c r="C3724" s="159">
        <v>30</v>
      </c>
      <c r="D3724" s="159">
        <v>78</v>
      </c>
      <c r="E3724" s="159">
        <v>18</v>
      </c>
      <c r="F3724" s="131"/>
      <c r="G3724" s="132"/>
      <c r="H3724" s="162" t="s">
        <v>23825</v>
      </c>
      <c r="I3724" s="128"/>
      <c r="J3724" s="128"/>
      <c r="K3724" s="128"/>
      <c r="L3724" s="128"/>
      <c r="M3724" s="129"/>
      <c r="N3724" s="129"/>
      <c r="O3724" s="129"/>
    </row>
    <row r="3725" spans="1:15" ht="12.5">
      <c r="A3725" s="158" t="s">
        <v>23826</v>
      </c>
      <c r="B3725" s="159">
        <v>40</v>
      </c>
      <c r="C3725" s="159">
        <v>30</v>
      </c>
      <c r="D3725" s="159">
        <v>78</v>
      </c>
      <c r="E3725" s="159">
        <v>19</v>
      </c>
      <c r="F3725" s="131"/>
      <c r="G3725" s="132"/>
      <c r="H3725" s="162" t="s">
        <v>23827</v>
      </c>
      <c r="I3725" s="158" t="s">
        <v>23828</v>
      </c>
      <c r="J3725" s="128"/>
      <c r="K3725" s="128"/>
      <c r="L3725" s="128"/>
      <c r="M3725" s="129"/>
      <c r="N3725" s="129"/>
      <c r="O3725" s="129"/>
    </row>
    <row r="3726" spans="1:15" ht="12.5">
      <c r="A3726" s="158" t="s">
        <v>23829</v>
      </c>
      <c r="B3726" s="159">
        <v>40</v>
      </c>
      <c r="C3726" s="159">
        <v>30</v>
      </c>
      <c r="D3726" s="159">
        <v>78</v>
      </c>
      <c r="E3726" s="159">
        <v>20</v>
      </c>
      <c r="F3726" s="131"/>
      <c r="G3726" s="132"/>
      <c r="H3726" s="162" t="s">
        <v>23830</v>
      </c>
      <c r="I3726" s="128"/>
      <c r="J3726" s="128"/>
      <c r="K3726" s="128"/>
      <c r="L3726" s="128"/>
      <c r="M3726" s="129"/>
      <c r="N3726" s="129"/>
      <c r="O3726" s="129"/>
    </row>
    <row r="3727" spans="1:15" ht="12.5">
      <c r="A3727" s="158" t="s">
        <v>23831</v>
      </c>
      <c r="B3727" s="159">
        <v>40</v>
      </c>
      <c r="C3727" s="159">
        <v>30</v>
      </c>
      <c r="D3727" s="159">
        <v>78</v>
      </c>
      <c r="E3727" s="159">
        <v>21</v>
      </c>
      <c r="F3727" s="131"/>
      <c r="G3727" s="132"/>
      <c r="H3727" s="162" t="s">
        <v>23832</v>
      </c>
      <c r="I3727" s="128"/>
      <c r="J3727" s="128"/>
      <c r="K3727" s="128"/>
      <c r="L3727" s="128"/>
      <c r="M3727" s="129"/>
      <c r="N3727" s="129"/>
      <c r="O3727" s="129"/>
    </row>
    <row r="3728" spans="1:15" ht="12.5">
      <c r="A3728" s="158" t="s">
        <v>23833</v>
      </c>
      <c r="B3728" s="159">
        <v>40</v>
      </c>
      <c r="C3728" s="159">
        <v>30</v>
      </c>
      <c r="D3728" s="159">
        <v>78</v>
      </c>
      <c r="E3728" s="159">
        <v>22</v>
      </c>
      <c r="F3728" s="131"/>
      <c r="G3728" s="132"/>
      <c r="H3728" s="162" t="s">
        <v>23834</v>
      </c>
      <c r="I3728" s="128"/>
      <c r="J3728" s="128"/>
      <c r="K3728" s="128"/>
      <c r="L3728" s="128"/>
      <c r="M3728" s="129"/>
      <c r="N3728" s="129"/>
      <c r="O3728" s="129"/>
    </row>
    <row r="3729" spans="1:15" ht="12.5">
      <c r="A3729" s="158" t="s">
        <v>23835</v>
      </c>
      <c r="B3729" s="159">
        <v>40</v>
      </c>
      <c r="C3729" s="159">
        <v>30</v>
      </c>
      <c r="D3729" s="159">
        <v>78</v>
      </c>
      <c r="E3729" s="159">
        <v>23</v>
      </c>
      <c r="F3729" s="131"/>
      <c r="G3729" s="132"/>
      <c r="H3729" s="162" t="s">
        <v>23836</v>
      </c>
      <c r="I3729" s="128"/>
      <c r="J3729" s="128"/>
      <c r="K3729" s="128"/>
      <c r="L3729" s="128"/>
      <c r="M3729" s="129"/>
      <c r="N3729" s="129"/>
      <c r="O3729" s="129"/>
    </row>
    <row r="3730" spans="1:15" ht="12.5">
      <c r="A3730" s="158" t="s">
        <v>23837</v>
      </c>
      <c r="B3730" s="159">
        <v>40</v>
      </c>
      <c r="C3730" s="159">
        <v>30</v>
      </c>
      <c r="D3730" s="159">
        <v>78</v>
      </c>
      <c r="E3730" s="159">
        <v>24</v>
      </c>
      <c r="F3730" s="131"/>
      <c r="G3730" s="132"/>
      <c r="H3730" s="162" t="s">
        <v>23838</v>
      </c>
      <c r="I3730" s="128"/>
      <c r="J3730" s="128"/>
      <c r="K3730" s="128"/>
      <c r="L3730" s="128"/>
      <c r="M3730" s="129"/>
      <c r="N3730" s="129"/>
      <c r="O3730" s="129"/>
    </row>
    <row r="3731" spans="1:15" ht="12.5">
      <c r="A3731" s="158" t="s">
        <v>23839</v>
      </c>
      <c r="B3731" s="159">
        <v>40</v>
      </c>
      <c r="C3731" s="159">
        <v>30</v>
      </c>
      <c r="D3731" s="159">
        <v>78</v>
      </c>
      <c r="E3731" s="159">
        <v>25</v>
      </c>
      <c r="F3731" s="131"/>
      <c r="G3731" s="132"/>
      <c r="H3731" s="162" t="s">
        <v>23840</v>
      </c>
      <c r="I3731" s="128"/>
      <c r="J3731" s="128"/>
      <c r="K3731" s="128"/>
      <c r="L3731" s="128"/>
      <c r="M3731" s="129"/>
      <c r="N3731" s="129"/>
      <c r="O3731" s="129"/>
    </row>
    <row r="3732" spans="1:15" ht="12.5">
      <c r="A3732" s="158" t="s">
        <v>23841</v>
      </c>
      <c r="B3732" s="159">
        <v>40</v>
      </c>
      <c r="C3732" s="159">
        <v>30</v>
      </c>
      <c r="D3732" s="159">
        <v>78</v>
      </c>
      <c r="E3732" s="159">
        <v>26</v>
      </c>
      <c r="F3732" s="131"/>
      <c r="G3732" s="132"/>
      <c r="H3732" s="162" t="s">
        <v>23842</v>
      </c>
      <c r="I3732" s="128"/>
      <c r="J3732" s="128"/>
      <c r="K3732" s="128"/>
      <c r="L3732" s="128"/>
      <c r="M3732" s="129"/>
      <c r="N3732" s="129"/>
      <c r="O3732" s="129"/>
    </row>
    <row r="3733" spans="1:15" ht="12.5">
      <c r="A3733" s="158" t="s">
        <v>23843</v>
      </c>
      <c r="B3733" s="159">
        <v>40</v>
      </c>
      <c r="C3733" s="159">
        <v>30</v>
      </c>
      <c r="D3733" s="159">
        <v>78</v>
      </c>
      <c r="E3733" s="159">
        <v>27</v>
      </c>
      <c r="F3733" s="131"/>
      <c r="G3733" s="132"/>
      <c r="H3733" s="162" t="s">
        <v>23844</v>
      </c>
      <c r="I3733" s="128"/>
      <c r="J3733" s="128"/>
      <c r="K3733" s="128"/>
      <c r="L3733" s="128"/>
      <c r="M3733" s="129"/>
      <c r="N3733" s="129"/>
      <c r="O3733" s="129"/>
    </row>
    <row r="3734" spans="1:15" ht="12.5">
      <c r="A3734" s="158" t="s">
        <v>23845</v>
      </c>
      <c r="B3734" s="159">
        <v>40</v>
      </c>
      <c r="C3734" s="159">
        <v>30</v>
      </c>
      <c r="D3734" s="159">
        <v>78</v>
      </c>
      <c r="E3734" s="159">
        <v>28</v>
      </c>
      <c r="F3734" s="131"/>
      <c r="G3734" s="132"/>
      <c r="H3734" s="162" t="s">
        <v>23846</v>
      </c>
      <c r="I3734" s="128"/>
      <c r="J3734" s="128"/>
      <c r="K3734" s="128"/>
      <c r="L3734" s="128"/>
      <c r="M3734" s="129"/>
      <c r="N3734" s="129"/>
      <c r="O3734" s="129"/>
    </row>
    <row r="3735" spans="1:15" ht="12.5">
      <c r="A3735" s="158" t="s">
        <v>23847</v>
      </c>
      <c r="B3735" s="159">
        <v>40</v>
      </c>
      <c r="C3735" s="159">
        <v>30</v>
      </c>
      <c r="D3735" s="159">
        <v>78</v>
      </c>
      <c r="E3735" s="159">
        <v>29</v>
      </c>
      <c r="F3735" s="131"/>
      <c r="G3735" s="132"/>
      <c r="H3735" s="162" t="s">
        <v>23848</v>
      </c>
      <c r="I3735" s="128"/>
      <c r="J3735" s="128"/>
      <c r="K3735" s="128"/>
      <c r="L3735" s="128"/>
      <c r="M3735" s="129"/>
      <c r="N3735" s="129"/>
      <c r="O3735" s="129"/>
    </row>
    <row r="3736" spans="1:15" ht="12.5">
      <c r="A3736" s="158" t="s">
        <v>23849</v>
      </c>
      <c r="B3736" s="159">
        <v>40</v>
      </c>
      <c r="C3736" s="159">
        <v>30</v>
      </c>
      <c r="D3736" s="159">
        <v>78</v>
      </c>
      <c r="E3736" s="159">
        <v>30</v>
      </c>
      <c r="F3736" s="131"/>
      <c r="G3736" s="132"/>
      <c r="H3736" s="162" t="s">
        <v>23850</v>
      </c>
      <c r="I3736" s="158" t="s">
        <v>23985</v>
      </c>
      <c r="J3736" s="128"/>
      <c r="K3736" s="128"/>
      <c r="L3736" s="128"/>
      <c r="M3736" s="129"/>
      <c r="N3736" s="129"/>
      <c r="O3736" s="129"/>
    </row>
    <row r="3737" spans="1:15" ht="12.5">
      <c r="A3737" s="158" t="s">
        <v>23851</v>
      </c>
      <c r="B3737" s="159">
        <v>40</v>
      </c>
      <c r="C3737" s="159">
        <v>30</v>
      </c>
      <c r="D3737" s="159">
        <v>78</v>
      </c>
      <c r="E3737" s="159">
        <v>33</v>
      </c>
      <c r="F3737" s="131"/>
      <c r="G3737" s="132"/>
      <c r="H3737" s="162" t="s">
        <v>23852</v>
      </c>
      <c r="I3737" s="128"/>
      <c r="J3737" s="128"/>
      <c r="K3737" s="128"/>
      <c r="L3737" s="128"/>
      <c r="M3737" s="129"/>
      <c r="N3737" s="129"/>
      <c r="O3737" s="129"/>
    </row>
    <row r="3738" spans="1:15" ht="12.5">
      <c r="A3738" s="158" t="s">
        <v>23853</v>
      </c>
      <c r="B3738" s="159">
        <v>40</v>
      </c>
      <c r="C3738" s="159">
        <v>30</v>
      </c>
      <c r="D3738" s="159">
        <v>78</v>
      </c>
      <c r="E3738" s="159">
        <v>40</v>
      </c>
      <c r="F3738" s="131"/>
      <c r="G3738" s="132"/>
      <c r="H3738" s="162" t="s">
        <v>23854</v>
      </c>
      <c r="I3738" s="128"/>
      <c r="J3738" s="128"/>
      <c r="K3738" s="128"/>
      <c r="L3738" s="128"/>
      <c r="M3738" s="129"/>
      <c r="N3738" s="129"/>
      <c r="O3738" s="129"/>
    </row>
    <row r="3739" spans="1:15" ht="12.5">
      <c r="A3739" s="158" t="s">
        <v>23855</v>
      </c>
      <c r="B3739" s="159">
        <v>40</v>
      </c>
      <c r="C3739" s="159">
        <v>30</v>
      </c>
      <c r="D3739" s="159">
        <v>78</v>
      </c>
      <c r="E3739" s="159">
        <v>41</v>
      </c>
      <c r="F3739" s="131"/>
      <c r="G3739" s="132"/>
      <c r="H3739" s="162" t="s">
        <v>23856</v>
      </c>
      <c r="I3739" s="128"/>
      <c r="J3739" s="128"/>
      <c r="K3739" s="128"/>
      <c r="L3739" s="128"/>
      <c r="M3739" s="129"/>
      <c r="N3739" s="129"/>
      <c r="O3739" s="129"/>
    </row>
    <row r="3740" spans="1:15" ht="12.5">
      <c r="A3740" s="158" t="s">
        <v>23857</v>
      </c>
      <c r="B3740" s="159">
        <v>40</v>
      </c>
      <c r="C3740" s="159">
        <v>30</v>
      </c>
      <c r="D3740" s="159">
        <v>78</v>
      </c>
      <c r="E3740" s="159">
        <v>42</v>
      </c>
      <c r="F3740" s="131"/>
      <c r="G3740" s="132"/>
      <c r="H3740" s="162" t="s">
        <v>23858</v>
      </c>
      <c r="I3740" s="128"/>
      <c r="J3740" s="128"/>
      <c r="K3740" s="128"/>
      <c r="L3740" s="128"/>
      <c r="M3740" s="129"/>
      <c r="N3740" s="129"/>
      <c r="O3740" s="129"/>
    </row>
    <row r="3741" spans="1:15" ht="12.5">
      <c r="A3741" s="158" t="s">
        <v>23859</v>
      </c>
      <c r="B3741" s="159">
        <v>40</v>
      </c>
      <c r="C3741" s="159">
        <v>30</v>
      </c>
      <c r="D3741" s="159">
        <v>78</v>
      </c>
      <c r="E3741" s="159">
        <v>43</v>
      </c>
      <c r="F3741" s="131"/>
      <c r="G3741" s="132"/>
      <c r="H3741" s="162" t="s">
        <v>23860</v>
      </c>
      <c r="I3741" s="128"/>
      <c r="J3741" s="128"/>
      <c r="K3741" s="128"/>
      <c r="L3741" s="128"/>
      <c r="M3741" s="129"/>
      <c r="N3741" s="129"/>
      <c r="O3741" s="129"/>
    </row>
    <row r="3742" spans="1:15" ht="12.5">
      <c r="A3742" s="158" t="s">
        <v>23861</v>
      </c>
      <c r="B3742" s="159">
        <v>40</v>
      </c>
      <c r="C3742" s="159">
        <v>30</v>
      </c>
      <c r="D3742" s="159">
        <v>78</v>
      </c>
      <c r="E3742" s="159">
        <v>44</v>
      </c>
      <c r="F3742" s="131"/>
      <c r="G3742" s="132"/>
      <c r="H3742" s="162" t="s">
        <v>23862</v>
      </c>
      <c r="I3742" s="128"/>
      <c r="J3742" s="128"/>
      <c r="K3742" s="128"/>
      <c r="L3742" s="128"/>
      <c r="M3742" s="129"/>
      <c r="N3742" s="129"/>
      <c r="O3742" s="129"/>
    </row>
    <row r="3743" spans="1:15" ht="12.5">
      <c r="A3743" s="158" t="s">
        <v>23863</v>
      </c>
      <c r="B3743" s="159">
        <v>40</v>
      </c>
      <c r="C3743" s="159">
        <v>30</v>
      </c>
      <c r="D3743" s="159">
        <v>78</v>
      </c>
      <c r="E3743" s="159">
        <v>45</v>
      </c>
      <c r="F3743" s="131"/>
      <c r="G3743" s="132"/>
      <c r="H3743" s="162" t="s">
        <v>23864</v>
      </c>
      <c r="I3743" s="158" t="s">
        <v>23865</v>
      </c>
      <c r="J3743" s="128"/>
      <c r="K3743" s="128"/>
      <c r="L3743" s="128"/>
      <c r="M3743" s="129"/>
      <c r="N3743" s="129"/>
      <c r="O3743" s="129"/>
    </row>
    <row r="3744" spans="1:15" ht="12.5">
      <c r="A3744" s="158" t="s">
        <v>23866</v>
      </c>
      <c r="B3744" s="159">
        <v>40</v>
      </c>
      <c r="C3744" s="159">
        <v>30</v>
      </c>
      <c r="D3744" s="159">
        <v>78</v>
      </c>
      <c r="E3744" s="159">
        <v>46</v>
      </c>
      <c r="F3744" s="131"/>
      <c r="G3744" s="132"/>
      <c r="H3744" s="162" t="s">
        <v>23867</v>
      </c>
      <c r="I3744" s="158" t="s">
        <v>23868</v>
      </c>
      <c r="J3744" s="128"/>
      <c r="K3744" s="128"/>
      <c r="L3744" s="128"/>
      <c r="M3744" s="129"/>
      <c r="N3744" s="129"/>
      <c r="O3744" s="129"/>
    </row>
    <row r="3745" spans="1:15" ht="12.5">
      <c r="A3745" s="158" t="s">
        <v>23869</v>
      </c>
      <c r="B3745" s="159">
        <v>40</v>
      </c>
      <c r="C3745" s="159">
        <v>30</v>
      </c>
      <c r="D3745" s="159">
        <v>78</v>
      </c>
      <c r="E3745" s="159">
        <v>47</v>
      </c>
      <c r="F3745" s="131"/>
      <c r="G3745" s="132"/>
      <c r="H3745" s="162" t="s">
        <v>23870</v>
      </c>
      <c r="I3745" s="128"/>
      <c r="J3745" s="128"/>
      <c r="K3745" s="128"/>
      <c r="L3745" s="128"/>
      <c r="M3745" s="129"/>
      <c r="N3745" s="129"/>
      <c r="O3745" s="129"/>
    </row>
    <row r="3746" spans="1:15" ht="12.5">
      <c r="A3746" s="158" t="s">
        <v>23871</v>
      </c>
      <c r="B3746" s="159">
        <v>40</v>
      </c>
      <c r="C3746" s="159">
        <v>30</v>
      </c>
      <c r="D3746" s="159">
        <v>78</v>
      </c>
      <c r="E3746" s="159">
        <v>48</v>
      </c>
      <c r="F3746" s="131"/>
      <c r="G3746" s="132"/>
      <c r="H3746" s="162" t="s">
        <v>23872</v>
      </c>
      <c r="I3746" s="158" t="s">
        <v>23873</v>
      </c>
      <c r="J3746" s="128"/>
      <c r="K3746" s="128"/>
      <c r="L3746" s="128"/>
      <c r="M3746" s="129"/>
      <c r="N3746" s="129"/>
      <c r="O3746" s="129"/>
    </row>
    <row r="3747" spans="1:15" ht="12.5">
      <c r="A3747" s="158" t="s">
        <v>23874</v>
      </c>
      <c r="B3747" s="159">
        <v>40</v>
      </c>
      <c r="C3747" s="159">
        <v>30</v>
      </c>
      <c r="D3747" s="159">
        <v>78</v>
      </c>
      <c r="E3747" s="159">
        <v>51</v>
      </c>
      <c r="F3747" s="131"/>
      <c r="G3747" s="132"/>
      <c r="H3747" s="162" t="s">
        <v>23875</v>
      </c>
      <c r="I3747" s="158" t="s">
        <v>23876</v>
      </c>
      <c r="J3747" s="128"/>
      <c r="K3747" s="128"/>
      <c r="L3747" s="128"/>
      <c r="M3747" s="129"/>
      <c r="N3747" s="129"/>
      <c r="O3747" s="129"/>
    </row>
    <row r="3748" spans="1:15" ht="12.5">
      <c r="A3748" s="158" t="s">
        <v>23877</v>
      </c>
      <c r="B3748" s="159">
        <v>40</v>
      </c>
      <c r="C3748" s="159">
        <v>30</v>
      </c>
      <c r="D3748" s="159">
        <v>78</v>
      </c>
      <c r="E3748" s="159">
        <v>53</v>
      </c>
      <c r="F3748" s="131"/>
      <c r="G3748" s="132"/>
      <c r="H3748" s="162" t="s">
        <v>23878</v>
      </c>
      <c r="I3748" s="128"/>
      <c r="J3748" s="128"/>
      <c r="K3748" s="128"/>
      <c r="L3748" s="128"/>
      <c r="M3748" s="129"/>
      <c r="N3748" s="129"/>
      <c r="O3748" s="129"/>
    </row>
    <row r="3749" spans="1:15" ht="12.5">
      <c r="A3749" s="158" t="s">
        <v>23879</v>
      </c>
      <c r="B3749" s="159">
        <v>40</v>
      </c>
      <c r="C3749" s="159">
        <v>30</v>
      </c>
      <c r="D3749" s="159">
        <v>78</v>
      </c>
      <c r="E3749" s="159">
        <v>55</v>
      </c>
      <c r="F3749" s="131"/>
      <c r="G3749" s="132"/>
      <c r="H3749" s="162" t="s">
        <v>23880</v>
      </c>
      <c r="I3749" s="128"/>
      <c r="J3749" s="128"/>
      <c r="K3749" s="128"/>
      <c r="L3749" s="128"/>
      <c r="M3749" s="129"/>
      <c r="N3749" s="129"/>
      <c r="O3749" s="129"/>
    </row>
    <row r="3750" spans="1:15" ht="12.5">
      <c r="A3750" s="158" t="s">
        <v>23881</v>
      </c>
      <c r="B3750" s="159">
        <v>40</v>
      </c>
      <c r="C3750" s="159">
        <v>30</v>
      </c>
      <c r="D3750" s="159">
        <v>78</v>
      </c>
      <c r="E3750" s="159">
        <v>57</v>
      </c>
      <c r="F3750" s="131"/>
      <c r="G3750" s="132"/>
      <c r="H3750" s="162" t="s">
        <v>23882</v>
      </c>
      <c r="I3750" s="158" t="s">
        <v>23883</v>
      </c>
      <c r="J3750" s="128"/>
      <c r="K3750" s="128"/>
      <c r="L3750" s="128"/>
      <c r="M3750" s="129"/>
      <c r="N3750" s="129"/>
      <c r="O3750" s="129"/>
    </row>
    <row r="3751" spans="1:15" ht="12.5">
      <c r="A3751" s="158" t="s">
        <v>23884</v>
      </c>
      <c r="B3751" s="159">
        <v>40</v>
      </c>
      <c r="C3751" s="159">
        <v>30</v>
      </c>
      <c r="D3751" s="159">
        <v>78</v>
      </c>
      <c r="E3751" s="159">
        <v>58</v>
      </c>
      <c r="F3751" s="131"/>
      <c r="G3751" s="132"/>
      <c r="H3751" s="162" t="s">
        <v>23885</v>
      </c>
      <c r="I3751" s="128"/>
      <c r="J3751" s="128"/>
      <c r="K3751" s="128"/>
      <c r="L3751" s="128"/>
      <c r="M3751" s="129"/>
      <c r="N3751" s="129"/>
      <c r="O3751" s="129"/>
    </row>
    <row r="3752" spans="1:15" ht="12.5">
      <c r="A3752" s="158" t="s">
        <v>23886</v>
      </c>
      <c r="B3752" s="159">
        <v>40</v>
      </c>
      <c r="C3752" s="159">
        <v>30</v>
      </c>
      <c r="D3752" s="159">
        <v>78</v>
      </c>
      <c r="E3752" s="159">
        <v>63</v>
      </c>
      <c r="F3752" s="131"/>
      <c r="G3752" s="132"/>
      <c r="H3752" s="162" t="s">
        <v>23887</v>
      </c>
      <c r="I3752" s="128"/>
      <c r="J3752" s="128"/>
      <c r="K3752" s="128"/>
      <c r="L3752" s="128"/>
      <c r="M3752" s="129"/>
      <c r="N3752" s="129"/>
      <c r="O3752" s="129"/>
    </row>
    <row r="3753" spans="1:15" ht="12.5">
      <c r="A3753" s="158" t="s">
        <v>23888</v>
      </c>
      <c r="B3753" s="159">
        <v>40</v>
      </c>
      <c r="C3753" s="159">
        <v>30</v>
      </c>
      <c r="D3753" s="159">
        <v>78</v>
      </c>
      <c r="E3753" s="159">
        <v>65</v>
      </c>
      <c r="F3753" s="131"/>
      <c r="G3753" s="132"/>
      <c r="H3753" s="162" t="s">
        <v>23889</v>
      </c>
      <c r="I3753" s="128"/>
      <c r="J3753" s="128"/>
      <c r="K3753" s="128"/>
      <c r="L3753" s="128"/>
      <c r="M3753" s="129"/>
      <c r="N3753" s="129"/>
      <c r="O3753" s="129"/>
    </row>
    <row r="3754" spans="1:15" ht="12.5">
      <c r="A3754" s="158" t="s">
        <v>23890</v>
      </c>
      <c r="B3754" s="159">
        <v>40</v>
      </c>
      <c r="C3754" s="159">
        <v>30</v>
      </c>
      <c r="D3754" s="159">
        <v>78</v>
      </c>
      <c r="E3754" s="159">
        <v>70</v>
      </c>
      <c r="F3754" s="131"/>
      <c r="G3754" s="132"/>
      <c r="H3754" s="162" t="s">
        <v>23891</v>
      </c>
      <c r="I3754" s="128"/>
      <c r="J3754" s="128"/>
      <c r="K3754" s="128"/>
      <c r="L3754" s="128"/>
      <c r="M3754" s="129"/>
      <c r="N3754" s="129"/>
      <c r="O3754" s="129"/>
    </row>
    <row r="3755" spans="1:15" ht="12.5">
      <c r="A3755" s="158" t="s">
        <v>23892</v>
      </c>
      <c r="B3755" s="159">
        <v>40</v>
      </c>
      <c r="C3755" s="159">
        <v>30</v>
      </c>
      <c r="D3755" s="159">
        <v>78</v>
      </c>
      <c r="E3755" s="159">
        <v>71</v>
      </c>
      <c r="F3755" s="131"/>
      <c r="G3755" s="132"/>
      <c r="H3755" s="162" t="s">
        <v>23893</v>
      </c>
      <c r="I3755" s="128"/>
      <c r="J3755" s="128"/>
      <c r="K3755" s="128"/>
      <c r="L3755" s="128"/>
      <c r="M3755" s="129"/>
      <c r="N3755" s="129"/>
      <c r="O3755" s="129"/>
    </row>
    <row r="3756" spans="1:15" ht="12.5">
      <c r="A3756" s="158" t="s">
        <v>23894</v>
      </c>
      <c r="B3756" s="159">
        <v>40</v>
      </c>
      <c r="C3756" s="159">
        <v>30</v>
      </c>
      <c r="D3756" s="159">
        <v>78</v>
      </c>
      <c r="E3756" s="159">
        <v>72</v>
      </c>
      <c r="F3756" s="131"/>
      <c r="G3756" s="132"/>
      <c r="H3756" s="162" t="s">
        <v>23895</v>
      </c>
      <c r="I3756" s="128"/>
      <c r="J3756" s="128"/>
      <c r="K3756" s="128"/>
      <c r="L3756" s="128"/>
      <c r="M3756" s="129"/>
      <c r="N3756" s="129"/>
      <c r="O3756" s="129"/>
    </row>
    <row r="3757" spans="1:15" ht="12.5">
      <c r="A3757" s="158" t="s">
        <v>23896</v>
      </c>
      <c r="B3757" s="159">
        <v>40</v>
      </c>
      <c r="C3757" s="159">
        <v>30</v>
      </c>
      <c r="D3757" s="159">
        <v>78</v>
      </c>
      <c r="E3757" s="159">
        <v>73</v>
      </c>
      <c r="F3757" s="131"/>
      <c r="G3757" s="132"/>
      <c r="H3757" s="162" t="s">
        <v>23897</v>
      </c>
      <c r="I3757" s="128"/>
      <c r="J3757" s="128"/>
      <c r="K3757" s="128"/>
      <c r="L3757" s="128"/>
      <c r="M3757" s="129"/>
      <c r="N3757" s="129"/>
      <c r="O3757" s="129"/>
    </row>
    <row r="3758" spans="1:15" ht="12.5">
      <c r="A3758" s="158" t="s">
        <v>23898</v>
      </c>
      <c r="B3758" s="159">
        <v>40</v>
      </c>
      <c r="C3758" s="159">
        <v>30</v>
      </c>
      <c r="D3758" s="159">
        <v>78</v>
      </c>
      <c r="E3758" s="159">
        <v>76</v>
      </c>
      <c r="F3758" s="131"/>
      <c r="G3758" s="132"/>
      <c r="H3758" s="162" t="s">
        <v>23899</v>
      </c>
      <c r="I3758" s="158" t="s">
        <v>23900</v>
      </c>
      <c r="J3758" s="128"/>
      <c r="K3758" s="128"/>
      <c r="L3758" s="128"/>
      <c r="M3758" s="129"/>
      <c r="N3758" s="129"/>
      <c r="O3758" s="129"/>
    </row>
    <row r="3759" spans="1:15" ht="12.5">
      <c r="A3759" s="158" t="s">
        <v>23901</v>
      </c>
      <c r="B3759" s="159">
        <v>40</v>
      </c>
      <c r="C3759" s="159">
        <v>30</v>
      </c>
      <c r="D3759" s="159">
        <v>78</v>
      </c>
      <c r="E3759" s="159">
        <v>77</v>
      </c>
      <c r="F3759" s="131"/>
      <c r="G3759" s="132"/>
      <c r="H3759" s="162" t="s">
        <v>23902</v>
      </c>
      <c r="I3759" s="158" t="s">
        <v>23903</v>
      </c>
      <c r="J3759" s="128"/>
      <c r="K3759" s="128"/>
      <c r="L3759" s="128"/>
      <c r="M3759" s="129"/>
      <c r="N3759" s="129"/>
      <c r="O3759" s="129"/>
    </row>
    <row r="3760" spans="1:15" ht="12.5">
      <c r="A3760" s="158" t="s">
        <v>23904</v>
      </c>
      <c r="B3760" s="159">
        <v>40</v>
      </c>
      <c r="C3760" s="159">
        <v>30</v>
      </c>
      <c r="D3760" s="159">
        <v>78</v>
      </c>
      <c r="E3760" s="159">
        <v>78</v>
      </c>
      <c r="F3760" s="131"/>
      <c r="G3760" s="132"/>
      <c r="H3760" s="162" t="s">
        <v>23905</v>
      </c>
      <c r="I3760" s="158" t="s">
        <v>23906</v>
      </c>
      <c r="J3760" s="128"/>
      <c r="K3760" s="128"/>
      <c r="L3760" s="128"/>
      <c r="M3760" s="129"/>
      <c r="N3760" s="129"/>
      <c r="O3760" s="129"/>
    </row>
    <row r="3761" spans="1:15" ht="12.5">
      <c r="A3761" s="158" t="s">
        <v>23907</v>
      </c>
      <c r="B3761" s="159">
        <v>40</v>
      </c>
      <c r="C3761" s="159">
        <v>30</v>
      </c>
      <c r="D3761" s="159">
        <v>78</v>
      </c>
      <c r="E3761" s="159">
        <v>79</v>
      </c>
      <c r="F3761" s="131"/>
      <c r="G3761" s="132"/>
      <c r="H3761" s="162" t="s">
        <v>23908</v>
      </c>
      <c r="I3761" s="128"/>
      <c r="J3761" s="128"/>
      <c r="K3761" s="128"/>
      <c r="L3761" s="128"/>
      <c r="M3761" s="129"/>
      <c r="N3761" s="129"/>
      <c r="O3761" s="129"/>
    </row>
    <row r="3762" spans="1:15" ht="12.5">
      <c r="A3762" s="158" t="s">
        <v>23909</v>
      </c>
      <c r="B3762" s="159">
        <v>40</v>
      </c>
      <c r="C3762" s="159">
        <v>30</v>
      </c>
      <c r="D3762" s="159">
        <v>78</v>
      </c>
      <c r="E3762" s="159">
        <v>80</v>
      </c>
      <c r="F3762" s="131"/>
      <c r="G3762" s="132"/>
      <c r="H3762" s="162" t="s">
        <v>23910</v>
      </c>
      <c r="I3762" s="128"/>
      <c r="J3762" s="128"/>
      <c r="K3762" s="128"/>
      <c r="L3762" s="128"/>
      <c r="M3762" s="129"/>
      <c r="N3762" s="129"/>
      <c r="O3762" s="129"/>
    </row>
    <row r="3763" spans="1:15" ht="12.5">
      <c r="A3763" s="158" t="s">
        <v>23911</v>
      </c>
      <c r="B3763" s="159">
        <v>40</v>
      </c>
      <c r="C3763" s="159">
        <v>30</v>
      </c>
      <c r="D3763" s="159">
        <v>78</v>
      </c>
      <c r="E3763" s="159">
        <v>81</v>
      </c>
      <c r="F3763" s="131"/>
      <c r="G3763" s="132"/>
      <c r="H3763" s="162" t="s">
        <v>23912</v>
      </c>
      <c r="I3763" s="128"/>
      <c r="J3763" s="128"/>
      <c r="K3763" s="128"/>
      <c r="L3763" s="128"/>
      <c r="M3763" s="129"/>
      <c r="N3763" s="129"/>
      <c r="O3763" s="129"/>
    </row>
    <row r="3764" spans="1:15" ht="12.5">
      <c r="A3764" s="158" t="s">
        <v>23913</v>
      </c>
      <c r="B3764" s="159">
        <v>40</v>
      </c>
      <c r="C3764" s="159">
        <v>30</v>
      </c>
      <c r="D3764" s="159">
        <v>78</v>
      </c>
      <c r="E3764" s="159">
        <v>84</v>
      </c>
      <c r="F3764" s="131"/>
      <c r="G3764" s="132"/>
      <c r="H3764" s="162" t="s">
        <v>23914</v>
      </c>
      <c r="I3764" s="128"/>
      <c r="J3764" s="128"/>
      <c r="K3764" s="128"/>
      <c r="L3764" s="128"/>
      <c r="M3764" s="129"/>
      <c r="N3764" s="129"/>
      <c r="O3764" s="129"/>
    </row>
    <row r="3765" spans="1:15" ht="12.5">
      <c r="A3765" s="158" t="s">
        <v>23915</v>
      </c>
      <c r="B3765" s="159">
        <v>40</v>
      </c>
      <c r="C3765" s="159">
        <v>30</v>
      </c>
      <c r="D3765" s="159">
        <v>78</v>
      </c>
      <c r="E3765" s="159">
        <v>85</v>
      </c>
      <c r="F3765" s="131"/>
      <c r="G3765" s="132"/>
      <c r="H3765" s="162" t="s">
        <v>23916</v>
      </c>
      <c r="I3765" s="128"/>
      <c r="J3765" s="128"/>
      <c r="K3765" s="128"/>
      <c r="L3765" s="128"/>
      <c r="M3765" s="129"/>
      <c r="N3765" s="129"/>
      <c r="O3765" s="129"/>
    </row>
    <row r="3766" spans="1:15" ht="12.5">
      <c r="A3766" s="158" t="s">
        <v>23917</v>
      </c>
      <c r="B3766" s="159">
        <v>40</v>
      </c>
      <c r="C3766" s="159">
        <v>30</v>
      </c>
      <c r="D3766" s="159">
        <v>78</v>
      </c>
      <c r="E3766" s="159">
        <v>86</v>
      </c>
      <c r="F3766" s="131"/>
      <c r="G3766" s="132"/>
      <c r="H3766" s="162" t="s">
        <v>23918</v>
      </c>
      <c r="I3766" s="158" t="s">
        <v>23919</v>
      </c>
      <c r="J3766" s="128"/>
      <c r="K3766" s="128"/>
      <c r="L3766" s="128"/>
      <c r="M3766" s="129"/>
      <c r="N3766" s="129"/>
      <c r="O3766" s="129"/>
    </row>
    <row r="3767" spans="1:15" ht="12.5">
      <c r="A3767" s="158" t="s">
        <v>23920</v>
      </c>
      <c r="B3767" s="159">
        <v>40</v>
      </c>
      <c r="C3767" s="159">
        <v>30</v>
      </c>
      <c r="D3767" s="159">
        <v>78</v>
      </c>
      <c r="E3767" s="159">
        <v>87</v>
      </c>
      <c r="F3767" s="131"/>
      <c r="G3767" s="132"/>
      <c r="H3767" s="162" t="s">
        <v>23921</v>
      </c>
      <c r="I3767" s="128"/>
      <c r="J3767" s="128"/>
      <c r="K3767" s="128"/>
      <c r="L3767" s="128"/>
      <c r="M3767" s="129"/>
      <c r="N3767" s="129"/>
      <c r="O3767" s="129"/>
    </row>
    <row r="3768" spans="1:15" ht="12.5">
      <c r="A3768" s="158" t="s">
        <v>23922</v>
      </c>
      <c r="B3768" s="159">
        <v>40</v>
      </c>
      <c r="C3768" s="159">
        <v>30</v>
      </c>
      <c r="D3768" s="159">
        <v>78</v>
      </c>
      <c r="E3768" s="159">
        <v>88</v>
      </c>
      <c r="F3768" s="131"/>
      <c r="G3768" s="132"/>
      <c r="H3768" s="162" t="s">
        <v>23923</v>
      </c>
      <c r="I3768" s="128"/>
      <c r="J3768" s="128"/>
      <c r="K3768" s="128"/>
      <c r="L3768" s="128"/>
      <c r="M3768" s="129"/>
      <c r="N3768" s="129"/>
      <c r="O3768" s="129"/>
    </row>
    <row r="3769" spans="1:15" ht="12.5">
      <c r="A3769" s="158" t="s">
        <v>23924</v>
      </c>
      <c r="B3769" s="159">
        <v>40</v>
      </c>
      <c r="C3769" s="159">
        <v>30</v>
      </c>
      <c r="D3769" s="159">
        <v>78</v>
      </c>
      <c r="E3769" s="159">
        <v>90</v>
      </c>
      <c r="F3769" s="131"/>
      <c r="G3769" s="132"/>
      <c r="H3769" s="162" t="s">
        <v>23925</v>
      </c>
      <c r="I3769" s="128"/>
      <c r="J3769" s="128"/>
      <c r="K3769" s="128"/>
      <c r="L3769" s="128"/>
      <c r="M3769" s="129"/>
      <c r="N3769" s="129"/>
      <c r="O3769" s="129"/>
    </row>
    <row r="3770" spans="1:15" ht="12.5">
      <c r="A3770" s="158" t="s">
        <v>23926</v>
      </c>
      <c r="B3770" s="159">
        <v>40</v>
      </c>
      <c r="C3770" s="159">
        <v>30</v>
      </c>
      <c r="D3770" s="159">
        <v>78</v>
      </c>
      <c r="E3770" s="159">
        <v>93</v>
      </c>
      <c r="F3770" s="131"/>
      <c r="G3770" s="132"/>
      <c r="H3770" s="162" t="s">
        <v>23927</v>
      </c>
      <c r="I3770" s="128"/>
      <c r="J3770" s="128"/>
      <c r="K3770" s="128"/>
      <c r="L3770" s="128"/>
      <c r="M3770" s="129"/>
      <c r="N3770" s="129"/>
      <c r="O3770" s="129"/>
    </row>
    <row r="3771" spans="1:15" ht="12.5">
      <c r="A3771" s="158" t="s">
        <v>23928</v>
      </c>
      <c r="B3771" s="159">
        <v>40</v>
      </c>
      <c r="C3771" s="159">
        <v>30</v>
      </c>
      <c r="D3771" s="159">
        <v>78</v>
      </c>
      <c r="E3771" s="159">
        <v>95</v>
      </c>
      <c r="F3771" s="131"/>
      <c r="G3771" s="132"/>
      <c r="H3771" s="162" t="s">
        <v>23929</v>
      </c>
      <c r="I3771" s="128"/>
      <c r="J3771" s="128"/>
      <c r="K3771" s="128"/>
      <c r="L3771" s="128"/>
      <c r="M3771" s="129"/>
      <c r="N3771" s="129"/>
      <c r="O3771" s="129"/>
    </row>
    <row r="3772" spans="1:15" ht="12.5">
      <c r="A3772" s="158" t="s">
        <v>23930</v>
      </c>
      <c r="B3772" s="159">
        <v>40</v>
      </c>
      <c r="C3772" s="159">
        <v>30</v>
      </c>
      <c r="D3772" s="159">
        <v>78</v>
      </c>
      <c r="E3772" s="159">
        <v>96</v>
      </c>
      <c r="F3772" s="131"/>
      <c r="G3772" s="132"/>
      <c r="H3772" s="162" t="s">
        <v>23931</v>
      </c>
      <c r="I3772" s="128"/>
      <c r="J3772" s="128"/>
      <c r="K3772" s="128"/>
      <c r="L3772" s="128"/>
      <c r="M3772" s="129"/>
      <c r="N3772" s="129"/>
      <c r="O3772" s="129"/>
    </row>
    <row r="3773" spans="1:15" ht="12.5">
      <c r="A3773" s="158" t="s">
        <v>23932</v>
      </c>
      <c r="B3773" s="159">
        <v>40</v>
      </c>
      <c r="C3773" s="159">
        <v>30</v>
      </c>
      <c r="D3773" s="159">
        <v>78</v>
      </c>
      <c r="E3773" s="159">
        <v>97</v>
      </c>
      <c r="F3773" s="131"/>
      <c r="G3773" s="132"/>
      <c r="H3773" s="162" t="s">
        <v>23933</v>
      </c>
      <c r="I3773" s="128"/>
      <c r="J3773" s="128"/>
      <c r="K3773" s="128"/>
      <c r="L3773" s="128"/>
      <c r="M3773" s="129"/>
      <c r="N3773" s="129"/>
      <c r="O3773" s="129"/>
    </row>
    <row r="3774" spans="1:15" ht="12.5">
      <c r="A3774" s="158" t="s">
        <v>23934</v>
      </c>
      <c r="B3774" s="159">
        <v>40</v>
      </c>
      <c r="C3774" s="159">
        <v>30</v>
      </c>
      <c r="D3774" s="159">
        <v>80</v>
      </c>
      <c r="E3774" s="130"/>
      <c r="F3774" s="131"/>
      <c r="G3774" s="132"/>
      <c r="H3774" s="162" t="s">
        <v>23935</v>
      </c>
      <c r="I3774" s="128"/>
      <c r="J3774" s="128"/>
      <c r="K3774" s="128"/>
      <c r="L3774" s="128"/>
      <c r="M3774" s="129"/>
      <c r="N3774" s="129"/>
      <c r="O3774" s="129"/>
    </row>
    <row r="3775" spans="1:15" ht="12.5">
      <c r="A3775" s="158" t="s">
        <v>23936</v>
      </c>
      <c r="B3775" s="159">
        <v>40</v>
      </c>
      <c r="C3775" s="159">
        <v>30</v>
      </c>
      <c r="D3775" s="159">
        <v>80</v>
      </c>
      <c r="E3775" s="159">
        <v>75</v>
      </c>
      <c r="F3775" s="131"/>
      <c r="G3775" s="132"/>
      <c r="H3775" s="162" t="s">
        <v>23937</v>
      </c>
      <c r="I3775" s="158" t="s">
        <v>23938</v>
      </c>
      <c r="J3775" s="128"/>
      <c r="K3775" s="128"/>
      <c r="L3775" s="128"/>
      <c r="M3775" s="129"/>
      <c r="N3775" s="129"/>
      <c r="O3775" s="129"/>
    </row>
    <row r="3776" spans="1:15" ht="12.5">
      <c r="A3776" s="158" t="s">
        <v>23939</v>
      </c>
      <c r="B3776" s="159">
        <v>40</v>
      </c>
      <c r="C3776" s="159">
        <v>30</v>
      </c>
      <c r="D3776" s="159">
        <v>80</v>
      </c>
      <c r="E3776" s="159">
        <v>77</v>
      </c>
      <c r="F3776" s="131"/>
      <c r="G3776" s="132"/>
      <c r="H3776" s="162" t="s">
        <v>23940</v>
      </c>
      <c r="I3776" s="158" t="s">
        <v>23941</v>
      </c>
      <c r="J3776" s="128"/>
      <c r="K3776" s="128"/>
      <c r="L3776" s="128"/>
      <c r="M3776" s="129"/>
      <c r="N3776" s="129"/>
      <c r="O3776" s="129"/>
    </row>
    <row r="3777" spans="1:15" ht="12.5">
      <c r="A3777" s="158" t="s">
        <v>23942</v>
      </c>
      <c r="B3777" s="159">
        <v>40</v>
      </c>
      <c r="C3777" s="159">
        <v>30</v>
      </c>
      <c r="D3777" s="159">
        <v>80</v>
      </c>
      <c r="E3777" s="159">
        <v>78</v>
      </c>
      <c r="F3777" s="131"/>
      <c r="G3777" s="132"/>
      <c r="H3777" s="162" t="s">
        <v>23943</v>
      </c>
      <c r="I3777" s="158" t="s">
        <v>23944</v>
      </c>
      <c r="J3777" s="128"/>
      <c r="K3777" s="128"/>
      <c r="L3777" s="128"/>
      <c r="M3777" s="129"/>
      <c r="N3777" s="129"/>
      <c r="O3777" s="129"/>
    </row>
    <row r="3778" spans="1:15" ht="12.5">
      <c r="A3778" s="158" t="s">
        <v>23945</v>
      </c>
      <c r="B3778" s="159">
        <v>40</v>
      </c>
      <c r="C3778" s="159">
        <v>30</v>
      </c>
      <c r="D3778" s="159">
        <v>80</v>
      </c>
      <c r="E3778" s="159">
        <v>80</v>
      </c>
      <c r="F3778" s="131"/>
      <c r="G3778" s="132"/>
      <c r="H3778" s="162" t="s">
        <v>23946</v>
      </c>
      <c r="I3778" s="158" t="s">
        <v>23947</v>
      </c>
      <c r="J3778" s="128"/>
      <c r="K3778" s="128"/>
      <c r="L3778" s="128"/>
      <c r="M3778" s="129"/>
      <c r="N3778" s="129"/>
      <c r="O3778" s="129"/>
    </row>
    <row r="3779" spans="1:15" ht="12.5">
      <c r="A3779" s="158" t="s">
        <v>23948</v>
      </c>
      <c r="B3779" s="159">
        <v>40</v>
      </c>
      <c r="C3779" s="159">
        <v>30</v>
      </c>
      <c r="D3779" s="159">
        <v>80</v>
      </c>
      <c r="E3779" s="159">
        <v>81</v>
      </c>
      <c r="F3779" s="131"/>
      <c r="G3779" s="132"/>
      <c r="H3779" s="162" t="s">
        <v>23949</v>
      </c>
      <c r="I3779" s="158" t="s">
        <v>23950</v>
      </c>
      <c r="J3779" s="128"/>
      <c r="K3779" s="128"/>
      <c r="L3779" s="128"/>
      <c r="M3779" s="129"/>
      <c r="N3779" s="129"/>
      <c r="O3779" s="129"/>
    </row>
    <row r="3780" spans="1:15" ht="12.5">
      <c r="A3780" s="158" t="s">
        <v>23951</v>
      </c>
      <c r="B3780" s="159">
        <v>40</v>
      </c>
      <c r="C3780" s="159">
        <v>30</v>
      </c>
      <c r="D3780" s="159">
        <v>80</v>
      </c>
      <c r="E3780" s="159">
        <v>82</v>
      </c>
      <c r="F3780" s="131"/>
      <c r="G3780" s="132"/>
      <c r="H3780" s="162" t="s">
        <v>23952</v>
      </c>
      <c r="I3780" s="158" t="s">
        <v>23953</v>
      </c>
      <c r="J3780" s="128"/>
      <c r="K3780" s="128"/>
      <c r="L3780" s="128"/>
      <c r="M3780" s="129"/>
      <c r="N3780" s="129"/>
      <c r="O3780" s="129"/>
    </row>
    <row r="3781" spans="1:15" ht="12.5">
      <c r="A3781" s="158" t="s">
        <v>23954</v>
      </c>
      <c r="B3781" s="159">
        <v>40</v>
      </c>
      <c r="C3781" s="159">
        <v>30</v>
      </c>
      <c r="D3781" s="159">
        <v>80</v>
      </c>
      <c r="E3781" s="159">
        <v>83</v>
      </c>
      <c r="F3781" s="131"/>
      <c r="G3781" s="132"/>
      <c r="H3781" s="162" t="s">
        <v>23955</v>
      </c>
      <c r="I3781" s="158" t="s">
        <v>23956</v>
      </c>
      <c r="J3781" s="128"/>
      <c r="K3781" s="128"/>
      <c r="L3781" s="128"/>
      <c r="M3781" s="129"/>
      <c r="N3781" s="129"/>
      <c r="O3781" s="129"/>
    </row>
    <row r="3782" spans="1:15" ht="12.5">
      <c r="A3782" s="158" t="s">
        <v>23957</v>
      </c>
      <c r="B3782" s="159">
        <v>40</v>
      </c>
      <c r="C3782" s="159">
        <v>30</v>
      </c>
      <c r="D3782" s="159">
        <v>83</v>
      </c>
      <c r="E3782" s="130"/>
      <c r="F3782" s="131"/>
      <c r="G3782" s="132"/>
      <c r="H3782" s="162" t="s">
        <v>23958</v>
      </c>
      <c r="I3782" s="128"/>
      <c r="J3782" s="128"/>
      <c r="K3782" s="128"/>
      <c r="L3782" s="128"/>
      <c r="M3782" s="129"/>
      <c r="N3782" s="129"/>
      <c r="O3782" s="129"/>
    </row>
    <row r="3783" spans="1:15" ht="12.5">
      <c r="A3783" s="158" t="s">
        <v>23959</v>
      </c>
      <c r="B3783" s="159">
        <v>40</v>
      </c>
      <c r="C3783" s="159">
        <v>30</v>
      </c>
      <c r="D3783" s="159">
        <v>83</v>
      </c>
      <c r="E3783" s="159">
        <v>8</v>
      </c>
      <c r="F3783" s="131"/>
      <c r="G3783" s="132"/>
      <c r="H3783" s="162" t="s">
        <v>23960</v>
      </c>
      <c r="I3783" s="158" t="s">
        <v>23961</v>
      </c>
      <c r="J3783" s="128"/>
      <c r="K3783" s="128"/>
      <c r="L3783" s="128"/>
      <c r="M3783" s="129"/>
      <c r="N3783" s="129"/>
      <c r="O3783" s="129"/>
    </row>
    <row r="3784" spans="1:15" ht="12.5">
      <c r="A3784" s="158" t="s">
        <v>23962</v>
      </c>
      <c r="B3784" s="159">
        <v>40</v>
      </c>
      <c r="C3784" s="159">
        <v>30</v>
      </c>
      <c r="D3784" s="159">
        <v>83</v>
      </c>
      <c r="E3784" s="159">
        <v>10</v>
      </c>
      <c r="F3784" s="131"/>
      <c r="G3784" s="132"/>
      <c r="H3784" s="162" t="s">
        <v>33462</v>
      </c>
      <c r="I3784" s="128"/>
      <c r="J3784" s="128"/>
      <c r="K3784" s="128"/>
      <c r="L3784" s="128"/>
      <c r="M3784" s="129"/>
      <c r="N3784" s="129"/>
      <c r="O3784" s="129"/>
    </row>
    <row r="3785" spans="1:15" ht="12.5">
      <c r="A3785" s="158" t="s">
        <v>23966</v>
      </c>
      <c r="B3785" s="159">
        <v>40</v>
      </c>
      <c r="C3785" s="159">
        <v>30</v>
      </c>
      <c r="D3785" s="159">
        <v>83</v>
      </c>
      <c r="E3785" s="159">
        <v>14</v>
      </c>
      <c r="F3785" s="131"/>
      <c r="G3785" s="132"/>
      <c r="H3785" s="162" t="s">
        <v>23967</v>
      </c>
      <c r="I3785" s="158" t="s">
        <v>23968</v>
      </c>
      <c r="J3785" s="128"/>
      <c r="K3785" s="128"/>
      <c r="L3785" s="128"/>
      <c r="M3785" s="129"/>
      <c r="N3785" s="129"/>
      <c r="O3785" s="129"/>
    </row>
    <row r="3786" spans="1:15" ht="12.5">
      <c r="A3786" s="158" t="s">
        <v>23969</v>
      </c>
      <c r="B3786" s="159">
        <v>40</v>
      </c>
      <c r="C3786" s="159">
        <v>30</v>
      </c>
      <c r="D3786" s="159">
        <v>83</v>
      </c>
      <c r="E3786" s="159">
        <v>37</v>
      </c>
      <c r="F3786" s="131"/>
      <c r="G3786" s="132"/>
      <c r="H3786" s="162" t="s">
        <v>23970</v>
      </c>
      <c r="I3786" s="158" t="s">
        <v>23971</v>
      </c>
      <c r="J3786" s="128"/>
      <c r="K3786" s="128"/>
      <c r="L3786" s="128"/>
      <c r="M3786" s="129"/>
      <c r="N3786" s="129"/>
      <c r="O3786" s="129"/>
    </row>
    <row r="3787" spans="1:15" ht="12.5">
      <c r="A3787" s="158" t="s">
        <v>23972</v>
      </c>
      <c r="B3787" s="159">
        <v>40</v>
      </c>
      <c r="C3787" s="159">
        <v>30</v>
      </c>
      <c r="D3787" s="159">
        <v>84</v>
      </c>
      <c r="E3787" s="130"/>
      <c r="F3787" s="131"/>
      <c r="G3787" s="132"/>
      <c r="H3787" s="162" t="s">
        <v>23973</v>
      </c>
      <c r="I3787" s="128"/>
      <c r="J3787" s="128"/>
      <c r="K3787" s="128"/>
      <c r="L3787" s="128"/>
      <c r="M3787" s="129"/>
      <c r="N3787" s="129"/>
      <c r="O3787" s="129"/>
    </row>
    <row r="3788" spans="1:15" ht="12.5">
      <c r="A3788" s="158" t="s">
        <v>23974</v>
      </c>
      <c r="B3788" s="159">
        <v>40</v>
      </c>
      <c r="C3788" s="159">
        <v>30</v>
      </c>
      <c r="D3788" s="159">
        <v>84</v>
      </c>
      <c r="E3788" s="159">
        <v>4</v>
      </c>
      <c r="F3788" s="131"/>
      <c r="G3788" s="132"/>
      <c r="H3788" s="162" t="s">
        <v>23975</v>
      </c>
      <c r="I3788" s="128"/>
      <c r="J3788" s="128"/>
      <c r="K3788" s="128"/>
      <c r="L3788" s="128"/>
      <c r="M3788" s="129"/>
      <c r="N3788" s="129"/>
      <c r="O3788" s="129"/>
    </row>
    <row r="3789" spans="1:15" ht="12.5">
      <c r="A3789" s="158" t="s">
        <v>23976</v>
      </c>
      <c r="B3789" s="159">
        <v>40</v>
      </c>
      <c r="C3789" s="159">
        <v>30</v>
      </c>
      <c r="D3789" s="159">
        <v>84</v>
      </c>
      <c r="E3789" s="159">
        <v>5</v>
      </c>
      <c r="F3789" s="131"/>
      <c r="G3789" s="132"/>
      <c r="H3789" s="162" t="s">
        <v>23977</v>
      </c>
      <c r="I3789" s="128"/>
      <c r="J3789" s="128"/>
      <c r="K3789" s="128"/>
      <c r="L3789" s="128"/>
      <c r="M3789" s="129"/>
      <c r="N3789" s="129"/>
      <c r="O3789" s="129"/>
    </row>
    <row r="3790" spans="1:15" ht="12.5">
      <c r="A3790" s="158" t="s">
        <v>23978</v>
      </c>
      <c r="B3790" s="159">
        <v>40</v>
      </c>
      <c r="C3790" s="159">
        <v>30</v>
      </c>
      <c r="D3790" s="159">
        <v>84</v>
      </c>
      <c r="E3790" s="159">
        <v>28</v>
      </c>
      <c r="F3790" s="131"/>
      <c r="G3790" s="132"/>
      <c r="H3790" s="162" t="s">
        <v>23979</v>
      </c>
      <c r="I3790" s="128"/>
      <c r="J3790" s="128"/>
      <c r="K3790" s="128"/>
      <c r="L3790" s="128"/>
      <c r="M3790" s="129"/>
      <c r="N3790" s="129"/>
      <c r="O3790" s="129"/>
    </row>
    <row r="3791" spans="1:15" ht="12.5">
      <c r="A3791" s="158" t="s">
        <v>23980</v>
      </c>
      <c r="B3791" s="159">
        <v>40</v>
      </c>
      <c r="C3791" s="159">
        <v>30</v>
      </c>
      <c r="D3791" s="159">
        <v>84</v>
      </c>
      <c r="E3791" s="159">
        <v>29</v>
      </c>
      <c r="F3791" s="131"/>
      <c r="G3791" s="132"/>
      <c r="H3791" s="162" t="s">
        <v>23981</v>
      </c>
      <c r="I3791" s="158" t="s">
        <v>23982</v>
      </c>
      <c r="J3791" s="128"/>
      <c r="K3791" s="128"/>
      <c r="L3791" s="128"/>
      <c r="M3791" s="129"/>
      <c r="N3791" s="129"/>
      <c r="O3791" s="129"/>
    </row>
    <row r="3792" spans="1:15" ht="12.5">
      <c r="A3792" s="158" t="s">
        <v>23983</v>
      </c>
      <c r="B3792" s="159">
        <v>40</v>
      </c>
      <c r="C3792" s="159">
        <v>30</v>
      </c>
      <c r="D3792" s="159">
        <v>84</v>
      </c>
      <c r="E3792" s="159">
        <v>30</v>
      </c>
      <c r="F3792" s="131"/>
      <c r="G3792" s="132"/>
      <c r="H3792" s="162" t="s">
        <v>23984</v>
      </c>
      <c r="I3792" s="128"/>
      <c r="J3792" s="128"/>
      <c r="K3792" s="128"/>
      <c r="L3792" s="128"/>
      <c r="M3792" s="129"/>
      <c r="N3792" s="129"/>
      <c r="O3792" s="129"/>
    </row>
    <row r="3793" spans="1:15" ht="12.5">
      <c r="A3793" s="158" t="s">
        <v>23986</v>
      </c>
      <c r="B3793" s="159">
        <v>40</v>
      </c>
      <c r="C3793" s="159">
        <v>30</v>
      </c>
      <c r="D3793" s="159">
        <v>84</v>
      </c>
      <c r="E3793" s="159">
        <v>31</v>
      </c>
      <c r="F3793" s="131"/>
      <c r="G3793" s="132"/>
      <c r="H3793" s="162" t="s">
        <v>23987</v>
      </c>
      <c r="I3793" s="158" t="s">
        <v>23988</v>
      </c>
      <c r="J3793" s="128"/>
      <c r="K3793" s="128"/>
      <c r="L3793" s="128"/>
      <c r="M3793" s="129"/>
      <c r="N3793" s="129"/>
      <c r="O3793" s="129"/>
    </row>
    <row r="3794" spans="1:15" ht="12.5">
      <c r="A3794" s="158" t="s">
        <v>23989</v>
      </c>
      <c r="B3794" s="159">
        <v>40</v>
      </c>
      <c r="C3794" s="159">
        <v>30</v>
      </c>
      <c r="D3794" s="159">
        <v>84</v>
      </c>
      <c r="E3794" s="159">
        <v>33</v>
      </c>
      <c r="F3794" s="131"/>
      <c r="G3794" s="132"/>
      <c r="H3794" s="162" t="s">
        <v>23990</v>
      </c>
      <c r="I3794" s="128"/>
      <c r="J3794" s="128"/>
      <c r="K3794" s="128"/>
      <c r="L3794" s="128"/>
      <c r="M3794" s="129"/>
      <c r="N3794" s="129"/>
      <c r="O3794" s="129"/>
    </row>
    <row r="3795" spans="1:15" ht="12.5">
      <c r="A3795" s="158" t="s">
        <v>23991</v>
      </c>
      <c r="B3795" s="159">
        <v>40</v>
      </c>
      <c r="C3795" s="159">
        <v>30</v>
      </c>
      <c r="D3795" s="159">
        <v>84</v>
      </c>
      <c r="E3795" s="159">
        <v>36</v>
      </c>
      <c r="F3795" s="131"/>
      <c r="G3795" s="132"/>
      <c r="H3795" s="162" t="s">
        <v>23992</v>
      </c>
      <c r="I3795" s="158" t="s">
        <v>23993</v>
      </c>
      <c r="J3795" s="128"/>
      <c r="K3795" s="128"/>
      <c r="L3795" s="128"/>
      <c r="M3795" s="129"/>
      <c r="N3795" s="129"/>
      <c r="O3795" s="129"/>
    </row>
    <row r="3796" spans="1:15" ht="12.5">
      <c r="A3796" s="158" t="s">
        <v>23994</v>
      </c>
      <c r="B3796" s="159">
        <v>40</v>
      </c>
      <c r="C3796" s="159">
        <v>30</v>
      </c>
      <c r="D3796" s="159">
        <v>84</v>
      </c>
      <c r="E3796" s="159">
        <v>39</v>
      </c>
      <c r="F3796" s="131"/>
      <c r="G3796" s="132"/>
      <c r="H3796" s="162" t="s">
        <v>23995</v>
      </c>
      <c r="I3796" s="158" t="s">
        <v>23996</v>
      </c>
      <c r="J3796" s="128"/>
      <c r="K3796" s="128"/>
      <c r="L3796" s="128"/>
      <c r="M3796" s="129"/>
      <c r="N3796" s="129"/>
      <c r="O3796" s="129"/>
    </row>
    <row r="3797" spans="1:15" ht="12.5">
      <c r="A3797" s="158" t="s">
        <v>23997</v>
      </c>
      <c r="B3797" s="159">
        <v>40</v>
      </c>
      <c r="C3797" s="159">
        <v>30</v>
      </c>
      <c r="D3797" s="159">
        <v>84</v>
      </c>
      <c r="E3797" s="159">
        <v>40</v>
      </c>
      <c r="F3797" s="131"/>
      <c r="G3797" s="132"/>
      <c r="H3797" s="162" t="s">
        <v>23998</v>
      </c>
      <c r="I3797" s="128"/>
      <c r="J3797" s="128"/>
      <c r="K3797" s="128"/>
      <c r="L3797" s="128"/>
      <c r="M3797" s="129"/>
      <c r="N3797" s="129"/>
      <c r="O3797" s="129"/>
    </row>
    <row r="3798" spans="1:15" ht="12.5">
      <c r="A3798" s="158" t="s">
        <v>23999</v>
      </c>
      <c r="B3798" s="159">
        <v>40</v>
      </c>
      <c r="C3798" s="159">
        <v>30</v>
      </c>
      <c r="D3798" s="159">
        <v>84</v>
      </c>
      <c r="E3798" s="159">
        <v>46</v>
      </c>
      <c r="F3798" s="131"/>
      <c r="G3798" s="132"/>
      <c r="H3798" s="162" t="s">
        <v>24000</v>
      </c>
      <c r="I3798" s="128"/>
      <c r="J3798" s="128"/>
      <c r="K3798" s="128"/>
      <c r="L3798" s="128"/>
      <c r="M3798" s="129"/>
      <c r="N3798" s="129"/>
      <c r="O3798" s="129"/>
    </row>
    <row r="3799" spans="1:15" ht="12.5">
      <c r="A3799" s="158" t="s">
        <v>24001</v>
      </c>
      <c r="B3799" s="159">
        <v>40</v>
      </c>
      <c r="C3799" s="159">
        <v>30</v>
      </c>
      <c r="D3799" s="159">
        <v>84</v>
      </c>
      <c r="E3799" s="159">
        <v>56</v>
      </c>
      <c r="F3799" s="131"/>
      <c r="G3799" s="132"/>
      <c r="H3799" s="162" t="s">
        <v>24002</v>
      </c>
      <c r="I3799" s="158" t="s">
        <v>24003</v>
      </c>
      <c r="J3799" s="128"/>
      <c r="K3799" s="128"/>
      <c r="L3799" s="128"/>
      <c r="M3799" s="129"/>
      <c r="N3799" s="129"/>
      <c r="O3799" s="129"/>
    </row>
    <row r="3800" spans="1:15" ht="12.5">
      <c r="A3800" s="158" t="s">
        <v>24004</v>
      </c>
      <c r="B3800" s="159">
        <v>40</v>
      </c>
      <c r="C3800" s="159">
        <v>30</v>
      </c>
      <c r="D3800" s="159">
        <v>84</v>
      </c>
      <c r="E3800" s="159">
        <v>65</v>
      </c>
      <c r="F3800" s="131"/>
      <c r="G3800" s="132"/>
      <c r="H3800" s="162" t="s">
        <v>24005</v>
      </c>
      <c r="I3800" s="128"/>
      <c r="J3800" s="128"/>
      <c r="K3800" s="128"/>
      <c r="L3800" s="128"/>
      <c r="M3800" s="129"/>
      <c r="N3800" s="129"/>
      <c r="O3800" s="129"/>
    </row>
    <row r="3801" spans="1:15" ht="12.5">
      <c r="A3801" s="158" t="s">
        <v>24006</v>
      </c>
      <c r="B3801" s="159">
        <v>40</v>
      </c>
      <c r="C3801" s="159">
        <v>30</v>
      </c>
      <c r="D3801" s="159">
        <v>84</v>
      </c>
      <c r="E3801" s="159">
        <v>69</v>
      </c>
      <c r="F3801" s="131"/>
      <c r="G3801" s="132"/>
      <c r="H3801" s="162" t="s">
        <v>24007</v>
      </c>
      <c r="I3801" s="128"/>
      <c r="J3801" s="128"/>
      <c r="K3801" s="128"/>
      <c r="L3801" s="128"/>
      <c r="M3801" s="129"/>
      <c r="N3801" s="129"/>
      <c r="O3801" s="129"/>
    </row>
    <row r="3802" spans="1:15" ht="12.5">
      <c r="A3802" s="158" t="s">
        <v>24008</v>
      </c>
      <c r="B3802" s="159">
        <v>40</v>
      </c>
      <c r="C3802" s="159">
        <v>30</v>
      </c>
      <c r="D3802" s="159">
        <v>84</v>
      </c>
      <c r="E3802" s="159">
        <v>74</v>
      </c>
      <c r="F3802" s="131"/>
      <c r="G3802" s="132"/>
      <c r="H3802" s="162" t="s">
        <v>24009</v>
      </c>
      <c r="I3802" s="158" t="s">
        <v>24010</v>
      </c>
      <c r="J3802" s="128"/>
      <c r="K3802" s="128"/>
      <c r="L3802" s="128"/>
      <c r="M3802" s="129"/>
      <c r="N3802" s="129"/>
      <c r="O3802" s="129"/>
    </row>
    <row r="3803" spans="1:15" ht="12.5">
      <c r="A3803" s="158" t="s">
        <v>24011</v>
      </c>
      <c r="B3803" s="159">
        <v>40</v>
      </c>
      <c r="C3803" s="159">
        <v>30</v>
      </c>
      <c r="D3803" s="159">
        <v>85</v>
      </c>
      <c r="E3803" s="130"/>
      <c r="F3803" s="131"/>
      <c r="G3803" s="132"/>
      <c r="H3803" s="162" t="s">
        <v>24012</v>
      </c>
      <c r="I3803" s="128"/>
      <c r="J3803" s="128"/>
      <c r="K3803" s="128"/>
      <c r="L3803" s="128"/>
      <c r="M3803" s="129"/>
      <c r="N3803" s="129"/>
      <c r="O3803" s="129"/>
    </row>
    <row r="3804" spans="1:15" ht="12.5">
      <c r="A3804" s="158" t="s">
        <v>24013</v>
      </c>
      <c r="B3804" s="159">
        <v>40</v>
      </c>
      <c r="C3804" s="159">
        <v>30</v>
      </c>
      <c r="D3804" s="159">
        <v>85</v>
      </c>
      <c r="E3804" s="159">
        <v>4</v>
      </c>
      <c r="F3804" s="131"/>
      <c r="G3804" s="132"/>
      <c r="H3804" s="162" t="s">
        <v>24014</v>
      </c>
      <c r="I3804" s="128"/>
      <c r="J3804" s="128"/>
      <c r="K3804" s="128"/>
      <c r="L3804" s="128"/>
      <c r="M3804" s="129"/>
      <c r="N3804" s="129"/>
      <c r="O3804" s="129"/>
    </row>
    <row r="3805" spans="1:15" ht="12.5">
      <c r="A3805" s="158" t="s">
        <v>24015</v>
      </c>
      <c r="B3805" s="159">
        <v>40</v>
      </c>
      <c r="C3805" s="159">
        <v>30</v>
      </c>
      <c r="D3805" s="159">
        <v>85</v>
      </c>
      <c r="E3805" s="159">
        <v>6</v>
      </c>
      <c r="F3805" s="131"/>
      <c r="G3805" s="132"/>
      <c r="H3805" s="162" t="s">
        <v>24016</v>
      </c>
      <c r="I3805" s="158" t="s">
        <v>24017</v>
      </c>
      <c r="J3805" s="128"/>
      <c r="K3805" s="128"/>
      <c r="L3805" s="128"/>
      <c r="M3805" s="129"/>
      <c r="N3805" s="129"/>
      <c r="O3805" s="129"/>
    </row>
    <row r="3806" spans="1:15" ht="12.5">
      <c r="A3806" s="158" t="s">
        <v>24018</v>
      </c>
      <c r="B3806" s="159">
        <v>40</v>
      </c>
      <c r="C3806" s="159">
        <v>30</v>
      </c>
      <c r="D3806" s="159">
        <v>85</v>
      </c>
      <c r="E3806" s="159">
        <v>17</v>
      </c>
      <c r="F3806" s="131"/>
      <c r="G3806" s="132"/>
      <c r="H3806" s="162" t="s">
        <v>24019</v>
      </c>
      <c r="I3806" s="158" t="s">
        <v>24020</v>
      </c>
      <c r="J3806" s="128"/>
      <c r="K3806" s="128"/>
      <c r="L3806" s="128"/>
      <c r="M3806" s="129"/>
      <c r="N3806" s="129"/>
      <c r="O3806" s="129"/>
    </row>
    <row r="3807" spans="1:15" ht="12.5">
      <c r="A3807" s="158" t="s">
        <v>24021</v>
      </c>
      <c r="B3807" s="159">
        <v>40</v>
      </c>
      <c r="C3807" s="159">
        <v>30</v>
      </c>
      <c r="D3807" s="159">
        <v>85</v>
      </c>
      <c r="E3807" s="159">
        <v>24</v>
      </c>
      <c r="F3807" s="131"/>
      <c r="G3807" s="132"/>
      <c r="H3807" s="162" t="s">
        <v>24022</v>
      </c>
      <c r="I3807" s="128"/>
      <c r="J3807" s="128"/>
      <c r="K3807" s="128"/>
      <c r="L3807" s="128"/>
      <c r="M3807" s="129"/>
      <c r="N3807" s="129"/>
      <c r="O3807" s="129"/>
    </row>
    <row r="3808" spans="1:15" ht="12.5">
      <c r="A3808" s="158" t="s">
        <v>24023</v>
      </c>
      <c r="B3808" s="159">
        <v>40</v>
      </c>
      <c r="C3808" s="159">
        <v>30</v>
      </c>
      <c r="D3808" s="159">
        <v>85</v>
      </c>
      <c r="E3808" s="159">
        <v>34</v>
      </c>
      <c r="F3808" s="131"/>
      <c r="G3808" s="132"/>
      <c r="H3808" s="162" t="s">
        <v>24024</v>
      </c>
      <c r="I3808" s="128"/>
      <c r="J3808" s="128"/>
      <c r="K3808" s="128"/>
      <c r="L3808" s="128"/>
      <c r="M3808" s="129"/>
      <c r="N3808" s="129"/>
      <c r="O3808" s="129"/>
    </row>
    <row r="3809" spans="1:15" ht="12.5">
      <c r="A3809" s="158" t="s">
        <v>24025</v>
      </c>
      <c r="B3809" s="159">
        <v>40</v>
      </c>
      <c r="C3809" s="159">
        <v>30</v>
      </c>
      <c r="D3809" s="159">
        <v>85</v>
      </c>
      <c r="E3809" s="159">
        <v>80</v>
      </c>
      <c r="F3809" s="131"/>
      <c r="G3809" s="132"/>
      <c r="H3809" s="162" t="s">
        <v>24026</v>
      </c>
      <c r="I3809" s="158" t="s">
        <v>24027</v>
      </c>
      <c r="J3809" s="128"/>
      <c r="K3809" s="128"/>
      <c r="L3809" s="128"/>
      <c r="M3809" s="129"/>
      <c r="N3809" s="129"/>
      <c r="O3809" s="129"/>
    </row>
    <row r="3810" spans="1:15" ht="12.5">
      <c r="A3810" s="158" t="s">
        <v>24028</v>
      </c>
      <c r="B3810" s="159">
        <v>40</v>
      </c>
      <c r="C3810" s="159">
        <v>30</v>
      </c>
      <c r="D3810" s="159">
        <v>85</v>
      </c>
      <c r="E3810" s="159">
        <v>85</v>
      </c>
      <c r="F3810" s="131"/>
      <c r="G3810" s="132"/>
      <c r="H3810" s="162" t="s">
        <v>24029</v>
      </c>
      <c r="I3810" s="128"/>
      <c r="J3810" s="128"/>
      <c r="K3810" s="128"/>
      <c r="L3810" s="128"/>
      <c r="M3810" s="129"/>
      <c r="N3810" s="129"/>
      <c r="O3810" s="129"/>
    </row>
    <row r="3811" spans="1:15" ht="12.5">
      <c r="A3811" s="158" t="s">
        <v>24030</v>
      </c>
      <c r="B3811" s="159">
        <v>40</v>
      </c>
      <c r="C3811" s="159">
        <v>30</v>
      </c>
      <c r="D3811" s="159">
        <v>85</v>
      </c>
      <c r="E3811" s="159">
        <v>87</v>
      </c>
      <c r="F3811" s="131"/>
      <c r="G3811" s="132"/>
      <c r="H3811" s="162" t="s">
        <v>24031</v>
      </c>
      <c r="I3811" s="158" t="s">
        <v>24032</v>
      </c>
      <c r="J3811" s="128"/>
      <c r="K3811" s="128"/>
      <c r="L3811" s="128"/>
      <c r="M3811" s="129"/>
      <c r="N3811" s="129"/>
      <c r="O3811" s="129"/>
    </row>
    <row r="3812" spans="1:15" ht="12.5">
      <c r="A3812" s="158" t="s">
        <v>24033</v>
      </c>
      <c r="B3812" s="159">
        <v>40</v>
      </c>
      <c r="C3812" s="159">
        <v>30</v>
      </c>
      <c r="D3812" s="159">
        <v>85</v>
      </c>
      <c r="E3812" s="159">
        <v>95</v>
      </c>
      <c r="F3812" s="131"/>
      <c r="G3812" s="132"/>
      <c r="H3812" s="162" t="s">
        <v>24034</v>
      </c>
      <c r="I3812" s="158" t="s">
        <v>24035</v>
      </c>
      <c r="J3812" s="128"/>
      <c r="K3812" s="128"/>
      <c r="L3812" s="128"/>
      <c r="M3812" s="129"/>
      <c r="N3812" s="129"/>
      <c r="O3812" s="129"/>
    </row>
    <row r="3813" spans="1:15" ht="12.5">
      <c r="A3813" s="158" t="s">
        <v>24036</v>
      </c>
      <c r="B3813" s="159">
        <v>40</v>
      </c>
      <c r="C3813" s="159">
        <v>30</v>
      </c>
      <c r="D3813" s="159">
        <v>86</v>
      </c>
      <c r="E3813" s="130"/>
      <c r="F3813" s="131"/>
      <c r="G3813" s="132"/>
      <c r="H3813" s="162" t="s">
        <v>24037</v>
      </c>
      <c r="I3813" s="128"/>
      <c r="J3813" s="128"/>
      <c r="K3813" s="128"/>
      <c r="L3813" s="128"/>
      <c r="M3813" s="129"/>
      <c r="N3813" s="129"/>
      <c r="O3813" s="129"/>
    </row>
    <row r="3814" spans="1:15" ht="12.5">
      <c r="A3814" s="158" t="s">
        <v>24038</v>
      </c>
      <c r="B3814" s="159">
        <v>40</v>
      </c>
      <c r="C3814" s="159">
        <v>30</v>
      </c>
      <c r="D3814" s="159">
        <v>86</v>
      </c>
      <c r="E3814" s="159">
        <v>22</v>
      </c>
      <c r="F3814" s="131"/>
      <c r="G3814" s="132"/>
      <c r="H3814" s="162" t="s">
        <v>24039</v>
      </c>
      <c r="I3814" s="158" t="s">
        <v>24040</v>
      </c>
      <c r="J3814" s="128"/>
      <c r="K3814" s="128"/>
      <c r="L3814" s="128"/>
      <c r="M3814" s="129"/>
      <c r="N3814" s="129"/>
      <c r="O3814" s="129"/>
    </row>
    <row r="3815" spans="1:15" ht="12.5">
      <c r="A3815" s="158" t="s">
        <v>24041</v>
      </c>
      <c r="B3815" s="159">
        <v>40</v>
      </c>
      <c r="C3815" s="159">
        <v>30</v>
      </c>
      <c r="D3815" s="159">
        <v>86</v>
      </c>
      <c r="E3815" s="159">
        <v>24</v>
      </c>
      <c r="F3815" s="131"/>
      <c r="G3815" s="132"/>
      <c r="H3815" s="162" t="s">
        <v>24042</v>
      </c>
      <c r="I3815" s="158" t="s">
        <v>24043</v>
      </c>
      <c r="J3815" s="128"/>
      <c r="K3815" s="128"/>
      <c r="L3815" s="128"/>
      <c r="M3815" s="129"/>
      <c r="N3815" s="129"/>
      <c r="O3815" s="129"/>
    </row>
    <row r="3816" spans="1:15" ht="12.5">
      <c r="A3816" s="158" t="s">
        <v>24044</v>
      </c>
      <c r="B3816" s="159">
        <v>40</v>
      </c>
      <c r="C3816" s="159">
        <v>30</v>
      </c>
      <c r="D3816" s="159">
        <v>86</v>
      </c>
      <c r="E3816" s="159">
        <v>28</v>
      </c>
      <c r="F3816" s="131"/>
      <c r="G3816" s="132"/>
      <c r="H3816" s="162" t="s">
        <v>24045</v>
      </c>
      <c r="I3816" s="158" t="s">
        <v>24046</v>
      </c>
      <c r="J3816" s="128"/>
      <c r="K3816" s="128"/>
      <c r="L3816" s="128"/>
      <c r="M3816" s="129"/>
      <c r="N3816" s="129"/>
      <c r="O3816" s="129"/>
    </row>
    <row r="3817" spans="1:15" ht="12.5">
      <c r="A3817" s="158" t="s">
        <v>24047</v>
      </c>
      <c r="B3817" s="159">
        <v>40</v>
      </c>
      <c r="C3817" s="159">
        <v>30</v>
      </c>
      <c r="D3817" s="159">
        <v>86</v>
      </c>
      <c r="E3817" s="159">
        <v>30</v>
      </c>
      <c r="F3817" s="131"/>
      <c r="G3817" s="132"/>
      <c r="H3817" s="162" t="s">
        <v>24048</v>
      </c>
      <c r="I3817" s="158" t="s">
        <v>24049</v>
      </c>
      <c r="J3817" s="128"/>
      <c r="K3817" s="128"/>
      <c r="L3817" s="128"/>
      <c r="M3817" s="129"/>
      <c r="N3817" s="129"/>
      <c r="O3817" s="129"/>
    </row>
    <row r="3818" spans="1:15" ht="12.5">
      <c r="A3818" s="158" t="s">
        <v>24050</v>
      </c>
      <c r="B3818" s="159">
        <v>40</v>
      </c>
      <c r="C3818" s="159">
        <v>30</v>
      </c>
      <c r="D3818" s="159">
        <v>86</v>
      </c>
      <c r="E3818" s="159">
        <v>32</v>
      </c>
      <c r="F3818" s="131"/>
      <c r="G3818" s="132"/>
      <c r="H3818" s="162" t="s">
        <v>24051</v>
      </c>
      <c r="I3818" s="158" t="s">
        <v>24052</v>
      </c>
      <c r="J3818" s="128"/>
      <c r="K3818" s="128"/>
      <c r="L3818" s="128"/>
      <c r="M3818" s="129"/>
      <c r="N3818" s="129"/>
      <c r="O3818" s="129"/>
    </row>
    <row r="3819" spans="1:15" ht="12.5">
      <c r="A3819" s="158" t="s">
        <v>24053</v>
      </c>
      <c r="B3819" s="159">
        <v>40</v>
      </c>
      <c r="C3819" s="159">
        <v>30</v>
      </c>
      <c r="D3819" s="159">
        <v>86</v>
      </c>
      <c r="E3819" s="159">
        <v>47</v>
      </c>
      <c r="F3819" s="131"/>
      <c r="G3819" s="132"/>
      <c r="H3819" s="162" t="s">
        <v>24054</v>
      </c>
      <c r="I3819" s="158" t="s">
        <v>24055</v>
      </c>
      <c r="J3819" s="128"/>
      <c r="K3819" s="128"/>
      <c r="L3819" s="128"/>
      <c r="M3819" s="129"/>
      <c r="N3819" s="129"/>
      <c r="O3819" s="129"/>
    </row>
    <row r="3820" spans="1:15" ht="12.5">
      <c r="A3820" s="158" t="s">
        <v>24056</v>
      </c>
      <c r="B3820" s="159">
        <v>40</v>
      </c>
      <c r="C3820" s="159">
        <v>30</v>
      </c>
      <c r="D3820" s="159">
        <v>86</v>
      </c>
      <c r="E3820" s="159">
        <v>59</v>
      </c>
      <c r="F3820" s="131"/>
      <c r="G3820" s="132"/>
      <c r="H3820" s="162" t="s">
        <v>24057</v>
      </c>
      <c r="I3820" s="158" t="s">
        <v>24058</v>
      </c>
      <c r="J3820" s="128"/>
      <c r="K3820" s="128"/>
      <c r="L3820" s="128"/>
      <c r="M3820" s="129"/>
      <c r="N3820" s="129"/>
      <c r="O3820" s="129"/>
    </row>
    <row r="3821" spans="1:15" ht="12.5">
      <c r="A3821" s="158" t="s">
        <v>24059</v>
      </c>
      <c r="B3821" s="159">
        <v>40</v>
      </c>
      <c r="C3821" s="159">
        <v>30</v>
      </c>
      <c r="D3821" s="159">
        <v>86</v>
      </c>
      <c r="E3821" s="159">
        <v>78</v>
      </c>
      <c r="F3821" s="131"/>
      <c r="G3821" s="132"/>
      <c r="H3821" s="162" t="s">
        <v>24060</v>
      </c>
      <c r="I3821" s="158" t="s">
        <v>24061</v>
      </c>
      <c r="J3821" s="128"/>
      <c r="K3821" s="128"/>
      <c r="L3821" s="128"/>
      <c r="M3821" s="129"/>
      <c r="N3821" s="129"/>
      <c r="O3821" s="129"/>
    </row>
    <row r="3822" spans="1:15" ht="12.5">
      <c r="A3822" s="158" t="s">
        <v>24062</v>
      </c>
      <c r="B3822" s="159">
        <v>40</v>
      </c>
      <c r="C3822" s="159">
        <v>30</v>
      </c>
      <c r="D3822" s="159">
        <v>86</v>
      </c>
      <c r="E3822" s="159">
        <v>80</v>
      </c>
      <c r="F3822" s="131"/>
      <c r="G3822" s="132"/>
      <c r="H3822" s="162" t="s">
        <v>24063</v>
      </c>
      <c r="I3822" s="158" t="s">
        <v>24064</v>
      </c>
      <c r="J3822" s="128"/>
      <c r="K3822" s="128"/>
      <c r="L3822" s="128"/>
      <c r="M3822" s="129"/>
      <c r="N3822" s="129"/>
      <c r="O3822" s="129"/>
    </row>
    <row r="3823" spans="1:15" ht="12.5">
      <c r="A3823" s="158" t="s">
        <v>24065</v>
      </c>
      <c r="B3823" s="159">
        <v>40</v>
      </c>
      <c r="C3823" s="159">
        <v>30</v>
      </c>
      <c r="D3823" s="159">
        <v>86</v>
      </c>
      <c r="E3823" s="159">
        <v>88</v>
      </c>
      <c r="F3823" s="131"/>
      <c r="G3823" s="132"/>
      <c r="H3823" s="162" t="s">
        <v>24066</v>
      </c>
      <c r="I3823" s="158" t="s">
        <v>24067</v>
      </c>
      <c r="J3823" s="128"/>
      <c r="K3823" s="128"/>
      <c r="L3823" s="128"/>
      <c r="M3823" s="129"/>
      <c r="N3823" s="129"/>
      <c r="O3823" s="129"/>
    </row>
    <row r="3824" spans="1:15" ht="12.5">
      <c r="A3824" s="158" t="s">
        <v>24068</v>
      </c>
      <c r="B3824" s="159">
        <v>40</v>
      </c>
      <c r="C3824" s="159">
        <v>30</v>
      </c>
      <c r="D3824" s="159">
        <v>86</v>
      </c>
      <c r="E3824" s="159">
        <v>90</v>
      </c>
      <c r="F3824" s="131"/>
      <c r="G3824" s="132"/>
      <c r="H3824" s="162" t="s">
        <v>24069</v>
      </c>
      <c r="I3824" s="158" t="s">
        <v>24070</v>
      </c>
      <c r="J3824" s="128"/>
      <c r="K3824" s="128"/>
      <c r="L3824" s="128"/>
      <c r="M3824" s="129"/>
      <c r="N3824" s="129"/>
      <c r="O3824" s="129"/>
    </row>
    <row r="3825" spans="1:15" ht="12.5">
      <c r="A3825" s="158" t="s">
        <v>24071</v>
      </c>
      <c r="B3825" s="159">
        <v>40</v>
      </c>
      <c r="C3825" s="159">
        <v>30</v>
      </c>
      <c r="D3825" s="159">
        <v>86</v>
      </c>
      <c r="E3825" s="159">
        <v>95</v>
      </c>
      <c r="F3825" s="131"/>
      <c r="G3825" s="132"/>
      <c r="H3825" s="162" t="s">
        <v>24072</v>
      </c>
      <c r="I3825" s="158" t="s">
        <v>24073</v>
      </c>
      <c r="J3825" s="128"/>
      <c r="K3825" s="128"/>
      <c r="L3825" s="128"/>
      <c r="M3825" s="129"/>
      <c r="N3825" s="129"/>
      <c r="O3825" s="129"/>
    </row>
    <row r="3826" spans="1:15" ht="12.5">
      <c r="A3826" s="158" t="s">
        <v>24074</v>
      </c>
      <c r="B3826" s="159">
        <v>40</v>
      </c>
      <c r="C3826" s="159">
        <v>30</v>
      </c>
      <c r="D3826" s="159">
        <v>86</v>
      </c>
      <c r="E3826" s="159">
        <v>96</v>
      </c>
      <c r="F3826" s="131"/>
      <c r="G3826" s="132"/>
      <c r="H3826" s="162" t="s">
        <v>24075</v>
      </c>
      <c r="I3826" s="158" t="s">
        <v>24076</v>
      </c>
      <c r="J3826" s="128"/>
      <c r="K3826" s="128"/>
      <c r="L3826" s="128"/>
      <c r="M3826" s="129"/>
      <c r="N3826" s="129"/>
      <c r="O3826" s="129"/>
    </row>
    <row r="3827" spans="1:15" ht="12.5">
      <c r="A3827" s="144" t="s">
        <v>24077</v>
      </c>
      <c r="B3827" s="145">
        <v>40</v>
      </c>
      <c r="C3827" s="145">
        <v>50</v>
      </c>
      <c r="D3827" s="146"/>
      <c r="E3827" s="146"/>
      <c r="F3827" s="147" t="s">
        <v>33463</v>
      </c>
      <c r="G3827" s="190"/>
      <c r="H3827" s="149" t="s">
        <v>7697</v>
      </c>
      <c r="I3827" s="150"/>
      <c r="J3827" s="150"/>
      <c r="K3827" s="150"/>
      <c r="L3827" s="150"/>
      <c r="M3827" s="191"/>
      <c r="N3827" s="191"/>
      <c r="O3827" s="191"/>
    </row>
    <row r="3828" spans="1:15" ht="12.5">
      <c r="A3828" s="158" t="s">
        <v>24078</v>
      </c>
      <c r="B3828" s="159">
        <v>40</v>
      </c>
      <c r="C3828" s="159">
        <v>50</v>
      </c>
      <c r="D3828" s="159">
        <v>5</v>
      </c>
      <c r="E3828" s="130"/>
      <c r="F3828" s="131"/>
      <c r="G3828" s="132"/>
      <c r="H3828" s="162" t="s">
        <v>24079</v>
      </c>
      <c r="I3828" s="128"/>
      <c r="J3828" s="128"/>
      <c r="K3828" s="128"/>
      <c r="L3828" s="128"/>
      <c r="M3828" s="129"/>
      <c r="N3828" s="129"/>
      <c r="O3828" s="129"/>
    </row>
    <row r="3829" spans="1:15" ht="12.5">
      <c r="A3829" s="158" t="s">
        <v>24080</v>
      </c>
      <c r="B3829" s="159">
        <v>40</v>
      </c>
      <c r="C3829" s="159">
        <v>50</v>
      </c>
      <c r="D3829" s="159">
        <v>5</v>
      </c>
      <c r="E3829" s="159">
        <v>2</v>
      </c>
      <c r="F3829" s="131"/>
      <c r="G3829" s="132"/>
      <c r="H3829" s="162" t="s">
        <v>24081</v>
      </c>
      <c r="I3829" s="128"/>
      <c r="J3829" s="128"/>
      <c r="K3829" s="128"/>
      <c r="L3829" s="128"/>
      <c r="M3829" s="129"/>
      <c r="N3829" s="129"/>
      <c r="O3829" s="129"/>
    </row>
    <row r="3830" spans="1:15" ht="12.5">
      <c r="A3830" s="158" t="s">
        <v>24082</v>
      </c>
      <c r="B3830" s="159">
        <v>40</v>
      </c>
      <c r="C3830" s="159">
        <v>50</v>
      </c>
      <c r="D3830" s="159">
        <v>5</v>
      </c>
      <c r="E3830" s="159">
        <v>11</v>
      </c>
      <c r="F3830" s="131"/>
      <c r="G3830" s="132"/>
      <c r="H3830" s="162" t="s">
        <v>24083</v>
      </c>
      <c r="I3830" s="128"/>
      <c r="J3830" s="128"/>
      <c r="K3830" s="128"/>
      <c r="L3830" s="128"/>
      <c r="M3830" s="129"/>
      <c r="N3830" s="129"/>
      <c r="O3830" s="129"/>
    </row>
    <row r="3831" spans="1:15" ht="12.5">
      <c r="A3831" s="158" t="s">
        <v>24084</v>
      </c>
      <c r="B3831" s="159">
        <v>40</v>
      </c>
      <c r="C3831" s="159">
        <v>50</v>
      </c>
      <c r="D3831" s="159">
        <v>5</v>
      </c>
      <c r="E3831" s="159">
        <v>13</v>
      </c>
      <c r="F3831" s="131"/>
      <c r="G3831" s="132"/>
      <c r="H3831" s="162" t="s">
        <v>24085</v>
      </c>
      <c r="I3831" s="128"/>
      <c r="J3831" s="128"/>
      <c r="K3831" s="128"/>
      <c r="L3831" s="128"/>
      <c r="M3831" s="129"/>
      <c r="N3831" s="129"/>
      <c r="O3831" s="129"/>
    </row>
    <row r="3832" spans="1:15" ht="12.5">
      <c r="A3832" s="158" t="s">
        <v>24086</v>
      </c>
      <c r="B3832" s="159">
        <v>40</v>
      </c>
      <c r="C3832" s="159">
        <v>50</v>
      </c>
      <c r="D3832" s="159">
        <v>5</v>
      </c>
      <c r="E3832" s="159">
        <v>14</v>
      </c>
      <c r="F3832" s="131"/>
      <c r="G3832" s="132"/>
      <c r="H3832" s="162" t="s">
        <v>24087</v>
      </c>
      <c r="I3832" s="128"/>
      <c r="J3832" s="128"/>
      <c r="K3832" s="128"/>
      <c r="L3832" s="128"/>
      <c r="M3832" s="129"/>
      <c r="N3832" s="129"/>
      <c r="O3832" s="129"/>
    </row>
    <row r="3833" spans="1:15" ht="12.5">
      <c r="A3833" s="158" t="s">
        <v>24088</v>
      </c>
      <c r="B3833" s="159">
        <v>40</v>
      </c>
      <c r="C3833" s="159">
        <v>50</v>
      </c>
      <c r="D3833" s="159">
        <v>5</v>
      </c>
      <c r="E3833" s="159">
        <v>24</v>
      </c>
      <c r="F3833" s="131"/>
      <c r="G3833" s="132"/>
      <c r="H3833" s="162" t="s">
        <v>24089</v>
      </c>
      <c r="I3833" s="128"/>
      <c r="J3833" s="128"/>
      <c r="K3833" s="128"/>
      <c r="L3833" s="128"/>
      <c r="M3833" s="129"/>
      <c r="N3833" s="129"/>
      <c r="O3833" s="129"/>
    </row>
    <row r="3834" spans="1:15" ht="12.5">
      <c r="A3834" s="158" t="s">
        <v>24090</v>
      </c>
      <c r="B3834" s="159">
        <v>40</v>
      </c>
      <c r="C3834" s="159">
        <v>50</v>
      </c>
      <c r="D3834" s="159">
        <v>5</v>
      </c>
      <c r="E3834" s="159">
        <v>27</v>
      </c>
      <c r="F3834" s="131"/>
      <c r="G3834" s="132"/>
      <c r="H3834" s="162" t="s">
        <v>24091</v>
      </c>
      <c r="I3834" s="128"/>
      <c r="J3834" s="128"/>
      <c r="K3834" s="128"/>
      <c r="L3834" s="128"/>
      <c r="M3834" s="129"/>
      <c r="N3834" s="129"/>
      <c r="O3834" s="129"/>
    </row>
    <row r="3835" spans="1:15" ht="12.5">
      <c r="A3835" s="158" t="s">
        <v>24092</v>
      </c>
      <c r="B3835" s="159">
        <v>40</v>
      </c>
      <c r="C3835" s="159">
        <v>50</v>
      </c>
      <c r="D3835" s="159">
        <v>5</v>
      </c>
      <c r="E3835" s="159">
        <v>28</v>
      </c>
      <c r="F3835" s="131"/>
      <c r="G3835" s="132"/>
      <c r="H3835" s="162" t="s">
        <v>24093</v>
      </c>
      <c r="I3835" s="128"/>
      <c r="J3835" s="128"/>
      <c r="K3835" s="128"/>
      <c r="L3835" s="128"/>
      <c r="M3835" s="129"/>
      <c r="N3835" s="129"/>
      <c r="O3835" s="129"/>
    </row>
    <row r="3836" spans="1:15" ht="12.5">
      <c r="A3836" s="158" t="s">
        <v>24094</v>
      </c>
      <c r="B3836" s="159">
        <v>40</v>
      </c>
      <c r="C3836" s="159">
        <v>50</v>
      </c>
      <c r="D3836" s="159">
        <v>5</v>
      </c>
      <c r="E3836" s="159">
        <v>29</v>
      </c>
      <c r="F3836" s="131"/>
      <c r="G3836" s="132"/>
      <c r="H3836" s="162" t="s">
        <v>24095</v>
      </c>
      <c r="I3836" s="128"/>
      <c r="J3836" s="128"/>
      <c r="K3836" s="128"/>
      <c r="L3836" s="128"/>
      <c r="M3836" s="129"/>
      <c r="N3836" s="129"/>
      <c r="O3836" s="129"/>
    </row>
    <row r="3837" spans="1:15" ht="12.5">
      <c r="A3837" s="158" t="s">
        <v>24096</v>
      </c>
      <c r="B3837" s="159">
        <v>40</v>
      </c>
      <c r="C3837" s="159">
        <v>50</v>
      </c>
      <c r="D3837" s="159">
        <v>5</v>
      </c>
      <c r="E3837" s="159">
        <v>30</v>
      </c>
      <c r="F3837" s="131"/>
      <c r="G3837" s="132"/>
      <c r="H3837" s="162" t="s">
        <v>24097</v>
      </c>
      <c r="I3837" s="158" t="s">
        <v>24098</v>
      </c>
      <c r="J3837" s="128"/>
      <c r="K3837" s="128"/>
      <c r="L3837" s="128"/>
      <c r="M3837" s="129"/>
      <c r="N3837" s="129"/>
      <c r="O3837" s="129"/>
    </row>
    <row r="3838" spans="1:15" ht="12.5">
      <c r="A3838" s="158" t="s">
        <v>24099</v>
      </c>
      <c r="B3838" s="159">
        <v>40</v>
      </c>
      <c r="C3838" s="159">
        <v>50</v>
      </c>
      <c r="D3838" s="159">
        <v>5</v>
      </c>
      <c r="E3838" s="159">
        <v>33</v>
      </c>
      <c r="F3838" s="131"/>
      <c r="G3838" s="132"/>
      <c r="H3838" s="162" t="s">
        <v>24100</v>
      </c>
      <c r="I3838" s="128"/>
      <c r="J3838" s="128"/>
      <c r="K3838" s="128"/>
      <c r="L3838" s="128"/>
      <c r="M3838" s="129"/>
      <c r="N3838" s="129"/>
      <c r="O3838" s="129"/>
    </row>
    <row r="3839" spans="1:15" ht="12.5">
      <c r="A3839" s="158" t="s">
        <v>24101</v>
      </c>
      <c r="B3839" s="159">
        <v>40</v>
      </c>
      <c r="C3839" s="159">
        <v>50</v>
      </c>
      <c r="D3839" s="159">
        <v>5</v>
      </c>
      <c r="E3839" s="159">
        <v>41</v>
      </c>
      <c r="F3839" s="131"/>
      <c r="G3839" s="132"/>
      <c r="H3839" s="162" t="s">
        <v>24102</v>
      </c>
      <c r="I3839" s="128"/>
      <c r="J3839" s="128"/>
      <c r="K3839" s="128"/>
      <c r="L3839" s="128"/>
      <c r="M3839" s="129"/>
      <c r="N3839" s="129"/>
      <c r="O3839" s="129"/>
    </row>
    <row r="3840" spans="1:15" ht="12.5">
      <c r="A3840" s="158" t="s">
        <v>24103</v>
      </c>
      <c r="B3840" s="159">
        <v>40</v>
      </c>
      <c r="C3840" s="159">
        <v>50</v>
      </c>
      <c r="D3840" s="159">
        <v>5</v>
      </c>
      <c r="E3840" s="159">
        <v>42</v>
      </c>
      <c r="F3840" s="131"/>
      <c r="G3840" s="132"/>
      <c r="H3840" s="162" t="s">
        <v>24104</v>
      </c>
      <c r="I3840" s="128"/>
      <c r="J3840" s="128"/>
      <c r="K3840" s="128"/>
      <c r="L3840" s="128"/>
      <c r="M3840" s="129"/>
      <c r="N3840" s="129"/>
      <c r="O3840" s="129"/>
    </row>
    <row r="3841" spans="1:15" ht="12.5">
      <c r="A3841" s="158" t="s">
        <v>24105</v>
      </c>
      <c r="B3841" s="159">
        <v>40</v>
      </c>
      <c r="C3841" s="159">
        <v>50</v>
      </c>
      <c r="D3841" s="159">
        <v>5</v>
      </c>
      <c r="E3841" s="159">
        <v>43</v>
      </c>
      <c r="F3841" s="131"/>
      <c r="G3841" s="132"/>
      <c r="H3841" s="162" t="s">
        <v>24106</v>
      </c>
      <c r="I3841" s="158" t="s">
        <v>24107</v>
      </c>
      <c r="J3841" s="128"/>
      <c r="K3841" s="128"/>
      <c r="L3841" s="128"/>
      <c r="M3841" s="129"/>
      <c r="N3841" s="129"/>
      <c r="O3841" s="129"/>
    </row>
    <row r="3842" spans="1:15" ht="12.5">
      <c r="A3842" s="158" t="s">
        <v>24108</v>
      </c>
      <c r="B3842" s="159">
        <v>40</v>
      </c>
      <c r="C3842" s="159">
        <v>50</v>
      </c>
      <c r="D3842" s="159">
        <v>5</v>
      </c>
      <c r="E3842" s="159">
        <v>46</v>
      </c>
      <c r="F3842" s="131"/>
      <c r="G3842" s="132"/>
      <c r="H3842" s="162" t="s">
        <v>24109</v>
      </c>
      <c r="I3842" s="128"/>
      <c r="J3842" s="128"/>
      <c r="K3842" s="128"/>
      <c r="L3842" s="128"/>
      <c r="M3842" s="129"/>
      <c r="N3842" s="129"/>
      <c r="O3842" s="129"/>
    </row>
    <row r="3843" spans="1:15" ht="12.5">
      <c r="A3843" s="158" t="s">
        <v>24110</v>
      </c>
      <c r="B3843" s="159">
        <v>40</v>
      </c>
      <c r="C3843" s="159">
        <v>50</v>
      </c>
      <c r="D3843" s="159">
        <v>5</v>
      </c>
      <c r="E3843" s="159">
        <v>51</v>
      </c>
      <c r="F3843" s="131"/>
      <c r="G3843" s="132"/>
      <c r="H3843" s="162" t="s">
        <v>24111</v>
      </c>
      <c r="I3843" s="158" t="s">
        <v>24107</v>
      </c>
      <c r="J3843" s="128"/>
      <c r="K3843" s="128"/>
      <c r="L3843" s="128"/>
      <c r="M3843" s="129"/>
      <c r="N3843" s="129"/>
      <c r="O3843" s="129"/>
    </row>
    <row r="3844" spans="1:15" ht="12.5">
      <c r="A3844" s="158" t="s">
        <v>24112</v>
      </c>
      <c r="B3844" s="159">
        <v>40</v>
      </c>
      <c r="C3844" s="159">
        <v>50</v>
      </c>
      <c r="D3844" s="159">
        <v>5</v>
      </c>
      <c r="E3844" s="159">
        <v>55</v>
      </c>
      <c r="F3844" s="131"/>
      <c r="G3844" s="132"/>
      <c r="H3844" s="162" t="s">
        <v>24113</v>
      </c>
      <c r="I3844" s="128"/>
      <c r="J3844" s="128"/>
      <c r="K3844" s="128"/>
      <c r="L3844" s="128"/>
      <c r="M3844" s="129"/>
      <c r="N3844" s="129"/>
      <c r="O3844" s="129"/>
    </row>
    <row r="3845" spans="1:15" ht="12.5">
      <c r="A3845" s="158" t="s">
        <v>24114</v>
      </c>
      <c r="B3845" s="159">
        <v>40</v>
      </c>
      <c r="C3845" s="159">
        <v>50</v>
      </c>
      <c r="D3845" s="159">
        <v>5</v>
      </c>
      <c r="E3845" s="159">
        <v>58</v>
      </c>
      <c r="F3845" s="131"/>
      <c r="G3845" s="132"/>
      <c r="H3845" s="162" t="s">
        <v>24115</v>
      </c>
      <c r="I3845" s="128"/>
      <c r="J3845" s="128"/>
      <c r="K3845" s="128"/>
      <c r="L3845" s="128"/>
      <c r="M3845" s="129"/>
      <c r="N3845" s="129"/>
      <c r="O3845" s="129"/>
    </row>
    <row r="3846" spans="1:15" ht="12.5">
      <c r="A3846" s="158" t="s">
        <v>24116</v>
      </c>
      <c r="B3846" s="159">
        <v>40</v>
      </c>
      <c r="C3846" s="159">
        <v>50</v>
      </c>
      <c r="D3846" s="159">
        <v>5</v>
      </c>
      <c r="E3846" s="159">
        <v>60</v>
      </c>
      <c r="F3846" s="131"/>
      <c r="G3846" s="132"/>
      <c r="H3846" s="162" t="s">
        <v>24117</v>
      </c>
      <c r="I3846" s="128"/>
      <c r="J3846" s="128"/>
      <c r="K3846" s="128"/>
      <c r="L3846" s="128"/>
      <c r="M3846" s="129"/>
      <c r="N3846" s="129"/>
      <c r="O3846" s="129"/>
    </row>
    <row r="3847" spans="1:15" ht="12.5">
      <c r="A3847" s="158" t="s">
        <v>24118</v>
      </c>
      <c r="B3847" s="159">
        <v>40</v>
      </c>
      <c r="C3847" s="159">
        <v>50</v>
      </c>
      <c r="D3847" s="159">
        <v>5</v>
      </c>
      <c r="E3847" s="159">
        <v>62</v>
      </c>
      <c r="F3847" s="131"/>
      <c r="G3847" s="132"/>
      <c r="H3847" s="162" t="s">
        <v>24119</v>
      </c>
      <c r="I3847" s="128"/>
      <c r="J3847" s="128"/>
      <c r="K3847" s="128"/>
      <c r="L3847" s="128"/>
      <c r="M3847" s="129"/>
      <c r="N3847" s="129"/>
      <c r="O3847" s="129"/>
    </row>
    <row r="3848" spans="1:15" ht="12.5">
      <c r="A3848" s="158" t="s">
        <v>24120</v>
      </c>
      <c r="B3848" s="159">
        <v>40</v>
      </c>
      <c r="C3848" s="159">
        <v>50</v>
      </c>
      <c r="D3848" s="159">
        <v>5</v>
      </c>
      <c r="E3848" s="159">
        <v>66</v>
      </c>
      <c r="F3848" s="131"/>
      <c r="G3848" s="132"/>
      <c r="H3848" s="162" t="s">
        <v>24121</v>
      </c>
      <c r="I3848" s="158" t="s">
        <v>24107</v>
      </c>
      <c r="J3848" s="128"/>
      <c r="K3848" s="128"/>
      <c r="L3848" s="128"/>
      <c r="M3848" s="129"/>
      <c r="N3848" s="129"/>
      <c r="O3848" s="129"/>
    </row>
    <row r="3849" spans="1:15" ht="12.5">
      <c r="A3849" s="158" t="s">
        <v>24122</v>
      </c>
      <c r="B3849" s="159">
        <v>40</v>
      </c>
      <c r="C3849" s="159">
        <v>50</v>
      </c>
      <c r="D3849" s="159">
        <v>5</v>
      </c>
      <c r="E3849" s="159">
        <v>76</v>
      </c>
      <c r="F3849" s="131"/>
      <c r="G3849" s="132"/>
      <c r="H3849" s="162" t="s">
        <v>24123</v>
      </c>
      <c r="I3849" s="128"/>
      <c r="J3849" s="128"/>
      <c r="K3849" s="128"/>
      <c r="L3849" s="128"/>
      <c r="M3849" s="129"/>
      <c r="N3849" s="129"/>
      <c r="O3849" s="129"/>
    </row>
    <row r="3850" spans="1:15" ht="12.5">
      <c r="A3850" s="158" t="s">
        <v>24124</v>
      </c>
      <c r="B3850" s="159">
        <v>40</v>
      </c>
      <c r="C3850" s="159">
        <v>50</v>
      </c>
      <c r="D3850" s="159">
        <v>5</v>
      </c>
      <c r="E3850" s="159">
        <v>77</v>
      </c>
      <c r="F3850" s="131"/>
      <c r="G3850" s="132"/>
      <c r="H3850" s="162" t="s">
        <v>24125</v>
      </c>
      <c r="I3850" s="128"/>
      <c r="J3850" s="128"/>
      <c r="K3850" s="128"/>
      <c r="L3850" s="128"/>
      <c r="M3850" s="129"/>
      <c r="N3850" s="129"/>
      <c r="O3850" s="129"/>
    </row>
    <row r="3851" spans="1:15" ht="12.5">
      <c r="A3851" s="158" t="s">
        <v>24126</v>
      </c>
      <c r="B3851" s="159">
        <v>40</v>
      </c>
      <c r="C3851" s="159">
        <v>50</v>
      </c>
      <c r="D3851" s="159">
        <v>5</v>
      </c>
      <c r="E3851" s="159">
        <v>82</v>
      </c>
      <c r="F3851" s="131"/>
      <c r="G3851" s="132"/>
      <c r="H3851" s="162" t="s">
        <v>24127</v>
      </c>
      <c r="I3851" s="128"/>
      <c r="J3851" s="128"/>
      <c r="K3851" s="128"/>
      <c r="L3851" s="128"/>
      <c r="M3851" s="129"/>
      <c r="N3851" s="129"/>
      <c r="O3851" s="129"/>
    </row>
    <row r="3852" spans="1:15" ht="12.5">
      <c r="A3852" s="158" t="s">
        <v>24128</v>
      </c>
      <c r="B3852" s="159">
        <v>40</v>
      </c>
      <c r="C3852" s="159">
        <v>50</v>
      </c>
      <c r="D3852" s="159">
        <v>5</v>
      </c>
      <c r="E3852" s="159">
        <v>84</v>
      </c>
      <c r="F3852" s="131"/>
      <c r="G3852" s="132"/>
      <c r="H3852" s="162" t="s">
        <v>24129</v>
      </c>
      <c r="I3852" s="158" t="s">
        <v>24098</v>
      </c>
      <c r="J3852" s="128"/>
      <c r="K3852" s="128"/>
      <c r="L3852" s="128"/>
      <c r="M3852" s="129"/>
      <c r="N3852" s="129"/>
      <c r="O3852" s="129"/>
    </row>
    <row r="3853" spans="1:15" ht="12.5">
      <c r="A3853" s="158" t="s">
        <v>24130</v>
      </c>
      <c r="B3853" s="159">
        <v>40</v>
      </c>
      <c r="C3853" s="159">
        <v>50</v>
      </c>
      <c r="D3853" s="159">
        <v>5</v>
      </c>
      <c r="E3853" s="159">
        <v>85</v>
      </c>
      <c r="F3853" s="131"/>
      <c r="G3853" s="132"/>
      <c r="H3853" s="162" t="s">
        <v>24131</v>
      </c>
      <c r="I3853" s="128"/>
      <c r="J3853" s="128"/>
      <c r="K3853" s="128"/>
      <c r="L3853" s="128"/>
      <c r="M3853" s="129"/>
      <c r="N3853" s="129"/>
      <c r="O3853" s="129"/>
    </row>
    <row r="3854" spans="1:15" ht="12.5">
      <c r="A3854" s="158" t="s">
        <v>24132</v>
      </c>
      <c r="B3854" s="159">
        <v>40</v>
      </c>
      <c r="C3854" s="159">
        <v>50</v>
      </c>
      <c r="D3854" s="159">
        <v>5</v>
      </c>
      <c r="E3854" s="159">
        <v>86</v>
      </c>
      <c r="F3854" s="131"/>
      <c r="G3854" s="132"/>
      <c r="H3854" s="162" t="s">
        <v>24133</v>
      </c>
      <c r="I3854" s="128"/>
      <c r="J3854" s="128"/>
      <c r="K3854" s="128"/>
      <c r="L3854" s="128"/>
      <c r="M3854" s="129"/>
      <c r="N3854" s="129"/>
      <c r="O3854" s="129"/>
    </row>
    <row r="3855" spans="1:15" ht="12.5">
      <c r="A3855" s="158" t="s">
        <v>24134</v>
      </c>
      <c r="B3855" s="159">
        <v>40</v>
      </c>
      <c r="C3855" s="159">
        <v>50</v>
      </c>
      <c r="D3855" s="159">
        <v>5</v>
      </c>
      <c r="E3855" s="159">
        <v>87</v>
      </c>
      <c r="F3855" s="131"/>
      <c r="G3855" s="132"/>
      <c r="H3855" s="162" t="s">
        <v>24135</v>
      </c>
      <c r="I3855" s="128"/>
      <c r="J3855" s="128"/>
      <c r="K3855" s="128"/>
      <c r="L3855" s="128"/>
      <c r="M3855" s="129"/>
      <c r="N3855" s="129"/>
      <c r="O3855" s="129"/>
    </row>
    <row r="3856" spans="1:15" ht="12.5">
      <c r="A3856" s="158" t="s">
        <v>24136</v>
      </c>
      <c r="B3856" s="159">
        <v>40</v>
      </c>
      <c r="C3856" s="159">
        <v>50</v>
      </c>
      <c r="D3856" s="159">
        <v>5</v>
      </c>
      <c r="E3856" s="159">
        <v>95</v>
      </c>
      <c r="F3856" s="131"/>
      <c r="G3856" s="132"/>
      <c r="H3856" s="162" t="s">
        <v>24137</v>
      </c>
      <c r="I3856" s="128"/>
      <c r="J3856" s="128"/>
      <c r="K3856" s="128"/>
      <c r="L3856" s="128"/>
      <c r="M3856" s="129"/>
      <c r="N3856" s="129"/>
      <c r="O3856" s="129"/>
    </row>
    <row r="3857" spans="1:15" ht="12.5">
      <c r="A3857" s="158" t="s">
        <v>24138</v>
      </c>
      <c r="B3857" s="159">
        <v>40</v>
      </c>
      <c r="C3857" s="159">
        <v>50</v>
      </c>
      <c r="D3857" s="159">
        <v>5</v>
      </c>
      <c r="E3857" s="159">
        <v>96</v>
      </c>
      <c r="F3857" s="131"/>
      <c r="G3857" s="132"/>
      <c r="H3857" s="162" t="s">
        <v>24139</v>
      </c>
      <c r="I3857" s="158" t="s">
        <v>24098</v>
      </c>
      <c r="J3857" s="128"/>
      <c r="K3857" s="128"/>
      <c r="L3857" s="128"/>
      <c r="M3857" s="129"/>
      <c r="N3857" s="129"/>
      <c r="O3857" s="129"/>
    </row>
    <row r="3858" spans="1:15" ht="12.5">
      <c r="A3858" s="158" t="s">
        <v>24140</v>
      </c>
      <c r="B3858" s="159">
        <v>40</v>
      </c>
      <c r="C3858" s="159">
        <v>50</v>
      </c>
      <c r="D3858" s="159">
        <v>5</v>
      </c>
      <c r="E3858" s="159">
        <v>97</v>
      </c>
      <c r="F3858" s="131"/>
      <c r="G3858" s="132"/>
      <c r="H3858" s="162" t="s">
        <v>24141</v>
      </c>
      <c r="I3858" s="128"/>
      <c r="J3858" s="128"/>
      <c r="K3858" s="128"/>
      <c r="L3858" s="128"/>
      <c r="M3858" s="129"/>
      <c r="N3858" s="129"/>
      <c r="O3858" s="129"/>
    </row>
    <row r="3859" spans="1:15" ht="12.5">
      <c r="A3859" s="158" t="s">
        <v>24142</v>
      </c>
      <c r="B3859" s="159">
        <v>40</v>
      </c>
      <c r="C3859" s="159">
        <v>50</v>
      </c>
      <c r="D3859" s="159">
        <v>6</v>
      </c>
      <c r="E3859" s="130"/>
      <c r="F3859" s="131"/>
      <c r="G3859" s="132"/>
      <c r="H3859" s="162" t="s">
        <v>24143</v>
      </c>
      <c r="I3859" s="128"/>
      <c r="J3859" s="128"/>
      <c r="K3859" s="128"/>
      <c r="L3859" s="128"/>
      <c r="M3859" s="129"/>
      <c r="N3859" s="129"/>
      <c r="O3859" s="129"/>
    </row>
    <row r="3860" spans="1:15" ht="12.5">
      <c r="A3860" s="158" t="s">
        <v>24144</v>
      </c>
      <c r="B3860" s="159">
        <v>40</v>
      </c>
      <c r="C3860" s="159">
        <v>50</v>
      </c>
      <c r="D3860" s="159">
        <v>6</v>
      </c>
      <c r="E3860" s="159">
        <v>10</v>
      </c>
      <c r="F3860" s="131"/>
      <c r="G3860" s="132"/>
      <c r="H3860" s="162" t="s">
        <v>24145</v>
      </c>
      <c r="I3860" s="128"/>
      <c r="J3860" s="128"/>
      <c r="K3860" s="128"/>
      <c r="L3860" s="128"/>
      <c r="M3860" s="129"/>
      <c r="N3860" s="129"/>
      <c r="O3860" s="129"/>
    </row>
    <row r="3861" spans="1:15" ht="12.5">
      <c r="A3861" s="158" t="s">
        <v>24146</v>
      </c>
      <c r="B3861" s="159">
        <v>40</v>
      </c>
      <c r="C3861" s="159">
        <v>50</v>
      </c>
      <c r="D3861" s="159">
        <v>6</v>
      </c>
      <c r="E3861" s="159">
        <v>11</v>
      </c>
      <c r="F3861" s="131"/>
      <c r="G3861" s="132"/>
      <c r="H3861" s="162" t="s">
        <v>24147</v>
      </c>
      <c r="I3861" s="128"/>
      <c r="J3861" s="128"/>
      <c r="K3861" s="128"/>
      <c r="L3861" s="128"/>
      <c r="M3861" s="129"/>
      <c r="N3861" s="129"/>
      <c r="O3861" s="129"/>
    </row>
    <row r="3862" spans="1:15" ht="12.5">
      <c r="A3862" s="158" t="s">
        <v>24148</v>
      </c>
      <c r="B3862" s="159">
        <v>40</v>
      </c>
      <c r="C3862" s="159">
        <v>50</v>
      </c>
      <c r="D3862" s="159">
        <v>6</v>
      </c>
      <c r="E3862" s="159">
        <v>14</v>
      </c>
      <c r="F3862" s="131"/>
      <c r="G3862" s="132"/>
      <c r="H3862" s="162" t="s">
        <v>24149</v>
      </c>
      <c r="I3862" s="128"/>
      <c r="J3862" s="128"/>
      <c r="K3862" s="128"/>
      <c r="L3862" s="128"/>
      <c r="M3862" s="129"/>
      <c r="N3862" s="129"/>
      <c r="O3862" s="129"/>
    </row>
    <row r="3863" spans="1:15" ht="12.5">
      <c r="A3863" s="158" t="s">
        <v>24150</v>
      </c>
      <c r="B3863" s="159">
        <v>40</v>
      </c>
      <c r="C3863" s="159">
        <v>50</v>
      </c>
      <c r="D3863" s="159">
        <v>6</v>
      </c>
      <c r="E3863" s="159">
        <v>16</v>
      </c>
      <c r="F3863" s="131"/>
      <c r="G3863" s="132"/>
      <c r="H3863" s="162" t="s">
        <v>24151</v>
      </c>
      <c r="I3863" s="128"/>
      <c r="J3863" s="128"/>
      <c r="K3863" s="128"/>
      <c r="L3863" s="128"/>
      <c r="M3863" s="129"/>
      <c r="N3863" s="129"/>
      <c r="O3863" s="129"/>
    </row>
    <row r="3864" spans="1:15" ht="12.5">
      <c r="A3864" s="158" t="s">
        <v>24152</v>
      </c>
      <c r="B3864" s="159">
        <v>40</v>
      </c>
      <c r="C3864" s="159">
        <v>50</v>
      </c>
      <c r="D3864" s="159">
        <v>6</v>
      </c>
      <c r="E3864" s="159">
        <v>18</v>
      </c>
      <c r="F3864" s="131"/>
      <c r="G3864" s="132"/>
      <c r="H3864" s="162" t="s">
        <v>24153</v>
      </c>
      <c r="I3864" s="128"/>
      <c r="J3864" s="128"/>
      <c r="K3864" s="128"/>
      <c r="L3864" s="128"/>
      <c r="M3864" s="129"/>
      <c r="N3864" s="129"/>
      <c r="O3864" s="129"/>
    </row>
    <row r="3865" spans="1:15" ht="12.5">
      <c r="A3865" s="158" t="s">
        <v>24154</v>
      </c>
      <c r="B3865" s="159">
        <v>40</v>
      </c>
      <c r="C3865" s="159">
        <v>50</v>
      </c>
      <c r="D3865" s="159">
        <v>6</v>
      </c>
      <c r="E3865" s="159">
        <v>22</v>
      </c>
      <c r="F3865" s="131"/>
      <c r="G3865" s="132"/>
      <c r="H3865" s="162" t="s">
        <v>24155</v>
      </c>
      <c r="I3865" s="128"/>
      <c r="J3865" s="128"/>
      <c r="K3865" s="128"/>
      <c r="L3865" s="128"/>
      <c r="M3865" s="129"/>
      <c r="N3865" s="129"/>
      <c r="O3865" s="129"/>
    </row>
    <row r="3866" spans="1:15" ht="12.5">
      <c r="A3866" s="158" t="s">
        <v>24156</v>
      </c>
      <c r="B3866" s="159">
        <v>40</v>
      </c>
      <c r="C3866" s="159">
        <v>50</v>
      </c>
      <c r="D3866" s="159">
        <v>6</v>
      </c>
      <c r="E3866" s="159">
        <v>24</v>
      </c>
      <c r="F3866" s="131"/>
      <c r="G3866" s="132"/>
      <c r="H3866" s="162" t="s">
        <v>24157</v>
      </c>
      <c r="I3866" s="128"/>
      <c r="J3866" s="128"/>
      <c r="K3866" s="128"/>
      <c r="L3866" s="128"/>
      <c r="M3866" s="129"/>
      <c r="N3866" s="129"/>
      <c r="O3866" s="129"/>
    </row>
    <row r="3867" spans="1:15" ht="12.5">
      <c r="A3867" s="158" t="s">
        <v>24158</v>
      </c>
      <c r="B3867" s="159">
        <v>40</v>
      </c>
      <c r="C3867" s="159">
        <v>50</v>
      </c>
      <c r="D3867" s="159">
        <v>6</v>
      </c>
      <c r="E3867" s="159">
        <v>30</v>
      </c>
      <c r="F3867" s="131"/>
      <c r="G3867" s="132"/>
      <c r="H3867" s="162" t="s">
        <v>24159</v>
      </c>
      <c r="I3867" s="128"/>
      <c r="J3867" s="128"/>
      <c r="K3867" s="128"/>
      <c r="L3867" s="128"/>
      <c r="M3867" s="129"/>
      <c r="N3867" s="129"/>
      <c r="O3867" s="129"/>
    </row>
    <row r="3868" spans="1:15" ht="12.5">
      <c r="A3868" s="158" t="s">
        <v>24160</v>
      </c>
      <c r="B3868" s="159">
        <v>40</v>
      </c>
      <c r="C3868" s="159">
        <v>50</v>
      </c>
      <c r="D3868" s="159">
        <v>6</v>
      </c>
      <c r="E3868" s="159">
        <v>31</v>
      </c>
      <c r="F3868" s="131"/>
      <c r="G3868" s="132"/>
      <c r="H3868" s="162" t="s">
        <v>24161</v>
      </c>
      <c r="I3868" s="128"/>
      <c r="J3868" s="128"/>
      <c r="K3868" s="128"/>
      <c r="L3868" s="128"/>
      <c r="M3868" s="129"/>
      <c r="N3868" s="129"/>
      <c r="O3868" s="129"/>
    </row>
    <row r="3869" spans="1:15" ht="12.5">
      <c r="A3869" s="158" t="s">
        <v>24162</v>
      </c>
      <c r="B3869" s="159">
        <v>40</v>
      </c>
      <c r="C3869" s="159">
        <v>50</v>
      </c>
      <c r="D3869" s="159">
        <v>6</v>
      </c>
      <c r="E3869" s="159">
        <v>32</v>
      </c>
      <c r="F3869" s="131"/>
      <c r="G3869" s="132"/>
      <c r="H3869" s="162" t="s">
        <v>24163</v>
      </c>
      <c r="I3869" s="128"/>
      <c r="J3869" s="128"/>
      <c r="K3869" s="128"/>
      <c r="L3869" s="128"/>
      <c r="M3869" s="129"/>
      <c r="N3869" s="129"/>
      <c r="O3869" s="129"/>
    </row>
    <row r="3870" spans="1:15" ht="12.5">
      <c r="A3870" s="158" t="s">
        <v>24164</v>
      </c>
      <c r="B3870" s="159">
        <v>40</v>
      </c>
      <c r="C3870" s="159">
        <v>50</v>
      </c>
      <c r="D3870" s="159">
        <v>6</v>
      </c>
      <c r="E3870" s="159">
        <v>36</v>
      </c>
      <c r="F3870" s="131"/>
      <c r="G3870" s="132"/>
      <c r="H3870" s="162" t="s">
        <v>24165</v>
      </c>
      <c r="I3870" s="128"/>
      <c r="J3870" s="128"/>
      <c r="K3870" s="128"/>
      <c r="L3870" s="128"/>
      <c r="M3870" s="129"/>
      <c r="N3870" s="129"/>
      <c r="O3870" s="129"/>
    </row>
    <row r="3871" spans="1:15" ht="12.5">
      <c r="A3871" s="158" t="s">
        <v>24166</v>
      </c>
      <c r="B3871" s="159">
        <v>40</v>
      </c>
      <c r="C3871" s="159">
        <v>50</v>
      </c>
      <c r="D3871" s="159">
        <v>6</v>
      </c>
      <c r="E3871" s="159">
        <v>37</v>
      </c>
      <c r="F3871" s="131"/>
      <c r="G3871" s="132"/>
      <c r="H3871" s="162" t="s">
        <v>24167</v>
      </c>
      <c r="I3871" s="128"/>
      <c r="J3871" s="128"/>
      <c r="K3871" s="128"/>
      <c r="L3871" s="128"/>
      <c r="M3871" s="129"/>
      <c r="N3871" s="129"/>
      <c r="O3871" s="129"/>
    </row>
    <row r="3872" spans="1:15" ht="12.5">
      <c r="A3872" s="158" t="s">
        <v>24168</v>
      </c>
      <c r="B3872" s="159">
        <v>40</v>
      </c>
      <c r="C3872" s="159">
        <v>50</v>
      </c>
      <c r="D3872" s="159">
        <v>6</v>
      </c>
      <c r="E3872" s="159">
        <v>38</v>
      </c>
      <c r="F3872" s="131"/>
      <c r="G3872" s="132"/>
      <c r="H3872" s="162" t="s">
        <v>24169</v>
      </c>
      <c r="I3872" s="128"/>
      <c r="J3872" s="128"/>
      <c r="K3872" s="128"/>
      <c r="L3872" s="128"/>
      <c r="M3872" s="129"/>
      <c r="N3872" s="129"/>
      <c r="O3872" s="129"/>
    </row>
    <row r="3873" spans="1:15" ht="12.5">
      <c r="A3873" s="158" t="s">
        <v>24170</v>
      </c>
      <c r="B3873" s="159">
        <v>40</v>
      </c>
      <c r="C3873" s="159">
        <v>50</v>
      </c>
      <c r="D3873" s="159">
        <v>6</v>
      </c>
      <c r="E3873" s="159">
        <v>39</v>
      </c>
      <c r="F3873" s="131"/>
      <c r="G3873" s="132"/>
      <c r="H3873" s="162" t="s">
        <v>24171</v>
      </c>
      <c r="I3873" s="128"/>
      <c r="J3873" s="128"/>
      <c r="K3873" s="128"/>
      <c r="L3873" s="128"/>
      <c r="M3873" s="129"/>
      <c r="N3873" s="129"/>
      <c r="O3873" s="129"/>
    </row>
    <row r="3874" spans="1:15" ht="12.5">
      <c r="A3874" s="158" t="s">
        <v>24172</v>
      </c>
      <c r="B3874" s="159">
        <v>40</v>
      </c>
      <c r="C3874" s="159">
        <v>50</v>
      </c>
      <c r="D3874" s="159">
        <v>6</v>
      </c>
      <c r="E3874" s="159">
        <v>50</v>
      </c>
      <c r="F3874" s="131"/>
      <c r="G3874" s="132"/>
      <c r="H3874" s="162" t="s">
        <v>24173</v>
      </c>
      <c r="I3874" s="128"/>
      <c r="J3874" s="128"/>
      <c r="K3874" s="128"/>
      <c r="L3874" s="128"/>
      <c r="M3874" s="129"/>
      <c r="N3874" s="129"/>
      <c r="O3874" s="129"/>
    </row>
    <row r="3875" spans="1:15" ht="12.5">
      <c r="A3875" s="158" t="s">
        <v>24174</v>
      </c>
      <c r="B3875" s="159">
        <v>40</v>
      </c>
      <c r="C3875" s="159">
        <v>50</v>
      </c>
      <c r="D3875" s="159">
        <v>6</v>
      </c>
      <c r="E3875" s="159">
        <v>77</v>
      </c>
      <c r="F3875" s="131"/>
      <c r="G3875" s="132"/>
      <c r="H3875" s="162" t="s">
        <v>24175</v>
      </c>
      <c r="I3875" s="128"/>
      <c r="J3875" s="128"/>
      <c r="K3875" s="128"/>
      <c r="L3875" s="128"/>
      <c r="M3875" s="129"/>
      <c r="N3875" s="129"/>
      <c r="O3875" s="129"/>
    </row>
    <row r="3876" spans="1:15" ht="12.5">
      <c r="A3876" s="158" t="s">
        <v>24176</v>
      </c>
      <c r="B3876" s="159">
        <v>40</v>
      </c>
      <c r="C3876" s="159">
        <v>50</v>
      </c>
      <c r="D3876" s="159">
        <v>6</v>
      </c>
      <c r="E3876" s="159">
        <v>96</v>
      </c>
      <c r="F3876" s="131"/>
      <c r="G3876" s="132"/>
      <c r="H3876" s="162" t="s">
        <v>24177</v>
      </c>
      <c r="I3876" s="128"/>
      <c r="J3876" s="128"/>
      <c r="K3876" s="128"/>
      <c r="L3876" s="128"/>
      <c r="M3876" s="129"/>
      <c r="N3876" s="129"/>
      <c r="O3876" s="129"/>
    </row>
    <row r="3877" spans="1:15" ht="12.5">
      <c r="A3877" s="158" t="s">
        <v>24178</v>
      </c>
      <c r="B3877" s="159">
        <v>40</v>
      </c>
      <c r="C3877" s="159">
        <v>50</v>
      </c>
      <c r="D3877" s="159">
        <v>7</v>
      </c>
      <c r="E3877" s="130"/>
      <c r="F3877" s="131"/>
      <c r="G3877" s="132"/>
      <c r="H3877" s="162" t="s">
        <v>24179</v>
      </c>
      <c r="I3877" s="128"/>
      <c r="J3877" s="128"/>
      <c r="K3877" s="128"/>
      <c r="L3877" s="128"/>
      <c r="M3877" s="129"/>
      <c r="N3877" s="129"/>
      <c r="O3877" s="129"/>
    </row>
    <row r="3878" spans="1:15" ht="12.5">
      <c r="A3878" s="158" t="s">
        <v>24180</v>
      </c>
      <c r="B3878" s="159">
        <v>40</v>
      </c>
      <c r="C3878" s="159">
        <v>50</v>
      </c>
      <c r="D3878" s="159">
        <v>7</v>
      </c>
      <c r="E3878" s="159">
        <v>2</v>
      </c>
      <c r="F3878" s="131"/>
      <c r="G3878" s="132"/>
      <c r="H3878" s="162" t="s">
        <v>24181</v>
      </c>
      <c r="I3878" s="128"/>
      <c r="J3878" s="128"/>
      <c r="K3878" s="128"/>
      <c r="L3878" s="128"/>
      <c r="M3878" s="129"/>
      <c r="N3878" s="129"/>
      <c r="O3878" s="129"/>
    </row>
    <row r="3879" spans="1:15" ht="12.5">
      <c r="A3879" s="158" t="s">
        <v>24182</v>
      </c>
      <c r="B3879" s="159">
        <v>40</v>
      </c>
      <c r="C3879" s="159">
        <v>50</v>
      </c>
      <c r="D3879" s="159">
        <v>7</v>
      </c>
      <c r="E3879" s="159">
        <v>4</v>
      </c>
      <c r="F3879" s="131"/>
      <c r="G3879" s="132"/>
      <c r="H3879" s="162" t="s">
        <v>24183</v>
      </c>
      <c r="I3879" s="158" t="s">
        <v>24184</v>
      </c>
      <c r="J3879" s="128"/>
      <c r="K3879" s="128"/>
      <c r="L3879" s="128"/>
      <c r="M3879" s="129"/>
      <c r="N3879" s="129"/>
      <c r="O3879" s="129"/>
    </row>
    <row r="3880" spans="1:15" ht="12.5">
      <c r="A3880" s="158" t="s">
        <v>24185</v>
      </c>
      <c r="B3880" s="159">
        <v>40</v>
      </c>
      <c r="C3880" s="159">
        <v>50</v>
      </c>
      <c r="D3880" s="159">
        <v>7</v>
      </c>
      <c r="E3880" s="159">
        <v>7</v>
      </c>
      <c r="F3880" s="131"/>
      <c r="G3880" s="132"/>
      <c r="H3880" s="162" t="s">
        <v>24186</v>
      </c>
      <c r="I3880" s="158" t="s">
        <v>24187</v>
      </c>
      <c r="J3880" s="128"/>
      <c r="K3880" s="128"/>
      <c r="L3880" s="128"/>
      <c r="M3880" s="129"/>
      <c r="N3880" s="129"/>
      <c r="O3880" s="129"/>
    </row>
    <row r="3881" spans="1:15" ht="12.5">
      <c r="A3881" s="158" t="s">
        <v>24188</v>
      </c>
      <c r="B3881" s="159">
        <v>40</v>
      </c>
      <c r="C3881" s="159">
        <v>50</v>
      </c>
      <c r="D3881" s="159">
        <v>7</v>
      </c>
      <c r="E3881" s="159">
        <v>10</v>
      </c>
      <c r="F3881" s="131"/>
      <c r="G3881" s="132"/>
      <c r="H3881" s="162" t="s">
        <v>24189</v>
      </c>
      <c r="I3881" s="158" t="s">
        <v>24190</v>
      </c>
      <c r="J3881" s="128"/>
      <c r="K3881" s="128"/>
      <c r="L3881" s="128"/>
      <c r="M3881" s="129"/>
      <c r="N3881" s="129"/>
      <c r="O3881" s="129"/>
    </row>
    <row r="3882" spans="1:15" ht="12.5">
      <c r="A3882" s="158" t="s">
        <v>24191</v>
      </c>
      <c r="B3882" s="159">
        <v>40</v>
      </c>
      <c r="C3882" s="159">
        <v>50</v>
      </c>
      <c r="D3882" s="159">
        <v>7</v>
      </c>
      <c r="E3882" s="159">
        <v>12</v>
      </c>
      <c r="F3882" s="131"/>
      <c r="G3882" s="132"/>
      <c r="H3882" s="162" t="s">
        <v>24192</v>
      </c>
      <c r="I3882" s="158" t="s">
        <v>24193</v>
      </c>
      <c r="J3882" s="128"/>
      <c r="K3882" s="128"/>
      <c r="L3882" s="128"/>
      <c r="M3882" s="129"/>
      <c r="N3882" s="129"/>
      <c r="O3882" s="129"/>
    </row>
    <row r="3883" spans="1:15" ht="12.5">
      <c r="A3883" s="158" t="s">
        <v>24194</v>
      </c>
      <c r="B3883" s="159">
        <v>40</v>
      </c>
      <c r="C3883" s="159">
        <v>50</v>
      </c>
      <c r="D3883" s="159">
        <v>7</v>
      </c>
      <c r="E3883" s="159">
        <v>19</v>
      </c>
      <c r="F3883" s="131"/>
      <c r="G3883" s="132"/>
      <c r="H3883" s="162" t="s">
        <v>24195</v>
      </c>
      <c r="I3883" s="158" t="s">
        <v>24196</v>
      </c>
      <c r="J3883" s="128"/>
      <c r="K3883" s="128"/>
      <c r="L3883" s="128"/>
      <c r="M3883" s="129"/>
      <c r="N3883" s="129"/>
      <c r="O3883" s="129"/>
    </row>
    <row r="3884" spans="1:15" ht="12.5">
      <c r="A3884" s="158" t="s">
        <v>24197</v>
      </c>
      <c r="B3884" s="159">
        <v>40</v>
      </c>
      <c r="C3884" s="159">
        <v>50</v>
      </c>
      <c r="D3884" s="159">
        <v>7</v>
      </c>
      <c r="E3884" s="159">
        <v>22</v>
      </c>
      <c r="F3884" s="131"/>
      <c r="G3884" s="132"/>
      <c r="H3884" s="162" t="s">
        <v>24198</v>
      </c>
      <c r="I3884" s="158" t="s">
        <v>24199</v>
      </c>
      <c r="J3884" s="128"/>
      <c r="K3884" s="128"/>
      <c r="L3884" s="128"/>
      <c r="M3884" s="129"/>
      <c r="N3884" s="129"/>
      <c r="O3884" s="129"/>
    </row>
    <row r="3885" spans="1:15" ht="12.5">
      <c r="A3885" s="158" t="s">
        <v>24200</v>
      </c>
      <c r="B3885" s="159">
        <v>40</v>
      </c>
      <c r="C3885" s="159">
        <v>50</v>
      </c>
      <c r="D3885" s="159">
        <v>7</v>
      </c>
      <c r="E3885" s="159">
        <v>25</v>
      </c>
      <c r="F3885" s="131"/>
      <c r="G3885" s="132"/>
      <c r="H3885" s="162" t="s">
        <v>24201</v>
      </c>
      <c r="I3885" s="158" t="s">
        <v>24202</v>
      </c>
      <c r="J3885" s="128"/>
      <c r="K3885" s="128"/>
      <c r="L3885" s="128"/>
      <c r="M3885" s="129"/>
      <c r="N3885" s="129"/>
      <c r="O3885" s="129"/>
    </row>
    <row r="3886" spans="1:15" ht="12.5">
      <c r="A3886" s="158" t="s">
        <v>24203</v>
      </c>
      <c r="B3886" s="159">
        <v>40</v>
      </c>
      <c r="C3886" s="159">
        <v>50</v>
      </c>
      <c r="D3886" s="159">
        <v>7</v>
      </c>
      <c r="E3886" s="159">
        <v>33</v>
      </c>
      <c r="F3886" s="131"/>
      <c r="G3886" s="132"/>
      <c r="H3886" s="162" t="s">
        <v>24204</v>
      </c>
      <c r="I3886" s="158" t="s">
        <v>24205</v>
      </c>
      <c r="J3886" s="128"/>
      <c r="K3886" s="128"/>
      <c r="L3886" s="128"/>
      <c r="M3886" s="129"/>
      <c r="N3886" s="129"/>
      <c r="O3886" s="129"/>
    </row>
    <row r="3887" spans="1:15" ht="12.5">
      <c r="A3887" s="158" t="s">
        <v>24206</v>
      </c>
      <c r="B3887" s="159">
        <v>40</v>
      </c>
      <c r="C3887" s="159">
        <v>50</v>
      </c>
      <c r="D3887" s="159">
        <v>7</v>
      </c>
      <c r="E3887" s="159">
        <v>35</v>
      </c>
      <c r="F3887" s="131"/>
      <c r="G3887" s="132"/>
      <c r="H3887" s="162" t="s">
        <v>24207</v>
      </c>
      <c r="I3887" s="128"/>
      <c r="J3887" s="128"/>
      <c r="K3887" s="128"/>
      <c r="L3887" s="128"/>
      <c r="M3887" s="129"/>
      <c r="N3887" s="129"/>
      <c r="O3887" s="129"/>
    </row>
    <row r="3888" spans="1:15" ht="12.5">
      <c r="A3888" s="158" t="s">
        <v>24208</v>
      </c>
      <c r="B3888" s="159">
        <v>40</v>
      </c>
      <c r="C3888" s="159">
        <v>50</v>
      </c>
      <c r="D3888" s="159">
        <v>7</v>
      </c>
      <c r="E3888" s="159">
        <v>46</v>
      </c>
      <c r="F3888" s="131"/>
      <c r="G3888" s="132"/>
      <c r="H3888" s="162" t="s">
        <v>24209</v>
      </c>
      <c r="I3888" s="158" t="s">
        <v>24210</v>
      </c>
      <c r="J3888" s="128"/>
      <c r="K3888" s="128"/>
      <c r="L3888" s="128"/>
      <c r="M3888" s="129"/>
      <c r="N3888" s="129"/>
      <c r="O3888" s="129"/>
    </row>
    <row r="3889" spans="1:15" ht="12.5">
      <c r="A3889" s="158" t="s">
        <v>24211</v>
      </c>
      <c r="B3889" s="159">
        <v>40</v>
      </c>
      <c r="C3889" s="159">
        <v>50</v>
      </c>
      <c r="D3889" s="159">
        <v>7</v>
      </c>
      <c r="E3889" s="159">
        <v>47</v>
      </c>
      <c r="F3889" s="131"/>
      <c r="G3889" s="132"/>
      <c r="H3889" s="162" t="s">
        <v>24212</v>
      </c>
      <c r="I3889" s="158" t="s">
        <v>24213</v>
      </c>
      <c r="J3889" s="128"/>
      <c r="K3889" s="128"/>
      <c r="L3889" s="128"/>
      <c r="M3889" s="129"/>
      <c r="N3889" s="129"/>
      <c r="O3889" s="129"/>
    </row>
    <row r="3890" spans="1:15" ht="12.5">
      <c r="A3890" s="158" t="s">
        <v>24214</v>
      </c>
      <c r="B3890" s="159">
        <v>40</v>
      </c>
      <c r="C3890" s="159">
        <v>50</v>
      </c>
      <c r="D3890" s="159">
        <v>7</v>
      </c>
      <c r="E3890" s="159">
        <v>56</v>
      </c>
      <c r="F3890" s="131"/>
      <c r="G3890" s="132"/>
      <c r="H3890" s="162" t="s">
        <v>24215</v>
      </c>
      <c r="I3890" s="158" t="s">
        <v>24216</v>
      </c>
      <c r="J3890" s="128"/>
      <c r="K3890" s="128"/>
      <c r="L3890" s="128"/>
      <c r="M3890" s="129"/>
      <c r="N3890" s="129"/>
      <c r="O3890" s="129"/>
    </row>
    <row r="3891" spans="1:15" ht="12.5">
      <c r="A3891" s="158" t="s">
        <v>24217</v>
      </c>
      <c r="B3891" s="159">
        <v>40</v>
      </c>
      <c r="C3891" s="159">
        <v>50</v>
      </c>
      <c r="D3891" s="159">
        <v>7</v>
      </c>
      <c r="E3891" s="159">
        <v>57</v>
      </c>
      <c r="F3891" s="131"/>
      <c r="G3891" s="132"/>
      <c r="H3891" s="162" t="s">
        <v>24218</v>
      </c>
      <c r="I3891" s="158" t="s">
        <v>24219</v>
      </c>
      <c r="J3891" s="128"/>
      <c r="K3891" s="128"/>
      <c r="L3891" s="128"/>
      <c r="M3891" s="129"/>
      <c r="N3891" s="129"/>
      <c r="O3891" s="129"/>
    </row>
    <row r="3892" spans="1:15" ht="12.5">
      <c r="A3892" s="158" t="s">
        <v>24220</v>
      </c>
      <c r="B3892" s="159">
        <v>40</v>
      </c>
      <c r="C3892" s="159">
        <v>50</v>
      </c>
      <c r="D3892" s="159">
        <v>7</v>
      </c>
      <c r="E3892" s="159">
        <v>58</v>
      </c>
      <c r="F3892" s="131"/>
      <c r="G3892" s="132"/>
      <c r="H3892" s="162" t="s">
        <v>24221</v>
      </c>
      <c r="I3892" s="128"/>
      <c r="J3892" s="128"/>
      <c r="K3892" s="128"/>
      <c r="L3892" s="128"/>
      <c r="M3892" s="129"/>
      <c r="N3892" s="129"/>
      <c r="O3892" s="129"/>
    </row>
    <row r="3893" spans="1:15" ht="12.5">
      <c r="A3893" s="158" t="s">
        <v>24222</v>
      </c>
      <c r="B3893" s="159">
        <v>40</v>
      </c>
      <c r="C3893" s="159">
        <v>50</v>
      </c>
      <c r="D3893" s="159">
        <v>7</v>
      </c>
      <c r="E3893" s="159">
        <v>64</v>
      </c>
      <c r="F3893" s="131"/>
      <c r="G3893" s="132"/>
      <c r="H3893" s="162" t="s">
        <v>24223</v>
      </c>
      <c r="I3893" s="158" t="s">
        <v>24224</v>
      </c>
      <c r="J3893" s="128"/>
      <c r="K3893" s="128"/>
      <c r="L3893" s="128"/>
      <c r="M3893" s="129"/>
      <c r="N3893" s="129"/>
      <c r="O3893" s="129"/>
    </row>
    <row r="3894" spans="1:15" ht="12.5">
      <c r="A3894" s="158" t="s">
        <v>24225</v>
      </c>
      <c r="B3894" s="159">
        <v>40</v>
      </c>
      <c r="C3894" s="159">
        <v>50</v>
      </c>
      <c r="D3894" s="159">
        <v>7</v>
      </c>
      <c r="E3894" s="159">
        <v>70</v>
      </c>
      <c r="F3894" s="131"/>
      <c r="G3894" s="132"/>
      <c r="H3894" s="162" t="s">
        <v>24226</v>
      </c>
      <c r="I3894" s="128"/>
      <c r="J3894" s="128"/>
      <c r="K3894" s="128"/>
      <c r="L3894" s="128"/>
      <c r="M3894" s="129"/>
      <c r="N3894" s="129"/>
      <c r="O3894" s="129"/>
    </row>
    <row r="3895" spans="1:15" ht="12.5">
      <c r="A3895" s="158" t="s">
        <v>24227</v>
      </c>
      <c r="B3895" s="159">
        <v>40</v>
      </c>
      <c r="C3895" s="159">
        <v>50</v>
      </c>
      <c r="D3895" s="159">
        <v>7</v>
      </c>
      <c r="E3895" s="159">
        <v>71</v>
      </c>
      <c r="F3895" s="131"/>
      <c r="G3895" s="132"/>
      <c r="H3895" s="162" t="s">
        <v>24228</v>
      </c>
      <c r="I3895" s="128"/>
      <c r="J3895" s="128"/>
      <c r="K3895" s="128"/>
      <c r="L3895" s="128"/>
      <c r="M3895" s="129"/>
      <c r="N3895" s="129"/>
      <c r="O3895" s="129"/>
    </row>
    <row r="3896" spans="1:15" ht="12.5">
      <c r="A3896" s="158" t="s">
        <v>24229</v>
      </c>
      <c r="B3896" s="159">
        <v>40</v>
      </c>
      <c r="C3896" s="159">
        <v>50</v>
      </c>
      <c r="D3896" s="159">
        <v>7</v>
      </c>
      <c r="E3896" s="159">
        <v>72</v>
      </c>
      <c r="F3896" s="131"/>
      <c r="G3896" s="132"/>
      <c r="H3896" s="162" t="s">
        <v>24230</v>
      </c>
      <c r="I3896" s="158" t="s">
        <v>24231</v>
      </c>
      <c r="J3896" s="128"/>
      <c r="K3896" s="128"/>
      <c r="L3896" s="128"/>
      <c r="M3896" s="129"/>
      <c r="N3896" s="129"/>
      <c r="O3896" s="129"/>
    </row>
    <row r="3897" spans="1:15" ht="12.5">
      <c r="A3897" s="158" t="s">
        <v>24232</v>
      </c>
      <c r="B3897" s="159">
        <v>40</v>
      </c>
      <c r="C3897" s="159">
        <v>50</v>
      </c>
      <c r="D3897" s="159">
        <v>7</v>
      </c>
      <c r="E3897" s="159">
        <v>75</v>
      </c>
      <c r="F3897" s="131"/>
      <c r="G3897" s="132"/>
      <c r="H3897" s="162" t="s">
        <v>24233</v>
      </c>
      <c r="I3897" s="128"/>
      <c r="J3897" s="128"/>
      <c r="K3897" s="128"/>
      <c r="L3897" s="128"/>
      <c r="M3897" s="129"/>
      <c r="N3897" s="129"/>
      <c r="O3897" s="129"/>
    </row>
    <row r="3898" spans="1:15" ht="12.5">
      <c r="A3898" s="158" t="s">
        <v>24234</v>
      </c>
      <c r="B3898" s="159">
        <v>40</v>
      </c>
      <c r="C3898" s="159">
        <v>50</v>
      </c>
      <c r="D3898" s="159">
        <v>7</v>
      </c>
      <c r="E3898" s="159">
        <v>76</v>
      </c>
      <c r="F3898" s="131"/>
      <c r="G3898" s="132"/>
      <c r="H3898" s="162" t="s">
        <v>24235</v>
      </c>
      <c r="I3898" s="158" t="s">
        <v>24236</v>
      </c>
      <c r="J3898" s="128"/>
      <c r="K3898" s="128"/>
      <c r="L3898" s="128"/>
      <c r="M3898" s="129"/>
      <c r="N3898" s="129"/>
      <c r="O3898" s="129"/>
    </row>
    <row r="3899" spans="1:15" ht="12.5">
      <c r="A3899" s="158" t="s">
        <v>24237</v>
      </c>
      <c r="B3899" s="159">
        <v>40</v>
      </c>
      <c r="C3899" s="159">
        <v>50</v>
      </c>
      <c r="D3899" s="159">
        <v>7</v>
      </c>
      <c r="E3899" s="159">
        <v>77</v>
      </c>
      <c r="F3899" s="131"/>
      <c r="G3899" s="132"/>
      <c r="H3899" s="162" t="s">
        <v>24238</v>
      </c>
      <c r="I3899" s="128"/>
      <c r="J3899" s="128"/>
      <c r="K3899" s="128"/>
      <c r="L3899" s="128"/>
      <c r="M3899" s="129"/>
      <c r="N3899" s="129"/>
      <c r="O3899" s="129"/>
    </row>
    <row r="3900" spans="1:15" ht="12.5">
      <c r="A3900" s="158" t="s">
        <v>24239</v>
      </c>
      <c r="B3900" s="159">
        <v>40</v>
      </c>
      <c r="C3900" s="159">
        <v>50</v>
      </c>
      <c r="D3900" s="159">
        <v>7</v>
      </c>
      <c r="E3900" s="159">
        <v>96</v>
      </c>
      <c r="F3900" s="131"/>
      <c r="G3900" s="132"/>
      <c r="H3900" s="162" t="s">
        <v>24240</v>
      </c>
      <c r="I3900" s="158" t="s">
        <v>24241</v>
      </c>
      <c r="J3900" s="128"/>
      <c r="K3900" s="128"/>
      <c r="L3900" s="128"/>
      <c r="M3900" s="129"/>
      <c r="N3900" s="129"/>
      <c r="O3900" s="129"/>
    </row>
    <row r="3901" spans="1:15" ht="12.5">
      <c r="A3901" s="158" t="s">
        <v>24242</v>
      </c>
      <c r="B3901" s="159">
        <v>40</v>
      </c>
      <c r="C3901" s="159">
        <v>50</v>
      </c>
      <c r="D3901" s="159">
        <v>12</v>
      </c>
      <c r="E3901" s="130"/>
      <c r="F3901" s="131"/>
      <c r="G3901" s="132"/>
      <c r="H3901" s="162" t="s">
        <v>24243</v>
      </c>
      <c r="I3901" s="128"/>
      <c r="J3901" s="128"/>
      <c r="K3901" s="128"/>
      <c r="L3901" s="128"/>
      <c r="M3901" s="129"/>
      <c r="N3901" s="129"/>
      <c r="O3901" s="129"/>
    </row>
    <row r="3902" spans="1:15" ht="12.5">
      <c r="A3902" s="158" t="s">
        <v>24244</v>
      </c>
      <c r="B3902" s="159">
        <v>40</v>
      </c>
      <c r="C3902" s="159">
        <v>50</v>
      </c>
      <c r="D3902" s="159">
        <v>12</v>
      </c>
      <c r="E3902" s="159">
        <v>3</v>
      </c>
      <c r="F3902" s="131"/>
      <c r="G3902" s="132"/>
      <c r="H3902" s="162" t="s">
        <v>24245</v>
      </c>
      <c r="I3902" s="128"/>
      <c r="J3902" s="128"/>
      <c r="K3902" s="128"/>
      <c r="L3902" s="128"/>
      <c r="M3902" s="129"/>
      <c r="N3902" s="129"/>
      <c r="O3902" s="129"/>
    </row>
    <row r="3903" spans="1:15" ht="12.5">
      <c r="A3903" s="158" t="s">
        <v>24246</v>
      </c>
      <c r="B3903" s="159">
        <v>40</v>
      </c>
      <c r="C3903" s="159">
        <v>50</v>
      </c>
      <c r="D3903" s="159">
        <v>12</v>
      </c>
      <c r="E3903" s="159">
        <v>4</v>
      </c>
      <c r="F3903" s="131"/>
      <c r="G3903" s="132"/>
      <c r="H3903" s="162" t="s">
        <v>24247</v>
      </c>
      <c r="I3903" s="128"/>
      <c r="J3903" s="128"/>
      <c r="K3903" s="128"/>
      <c r="L3903" s="128"/>
      <c r="M3903" s="129"/>
      <c r="N3903" s="129"/>
      <c r="O3903" s="129"/>
    </row>
    <row r="3904" spans="1:15" ht="12.5">
      <c r="A3904" s="158" t="s">
        <v>24248</v>
      </c>
      <c r="B3904" s="159">
        <v>40</v>
      </c>
      <c r="C3904" s="159">
        <v>50</v>
      </c>
      <c r="D3904" s="159">
        <v>12</v>
      </c>
      <c r="E3904" s="159">
        <v>5</v>
      </c>
      <c r="F3904" s="131"/>
      <c r="G3904" s="132"/>
      <c r="H3904" s="162" t="s">
        <v>24249</v>
      </c>
      <c r="I3904" s="128"/>
      <c r="J3904" s="128"/>
      <c r="K3904" s="128"/>
      <c r="L3904" s="128"/>
      <c r="M3904" s="129"/>
      <c r="N3904" s="129"/>
      <c r="O3904" s="129"/>
    </row>
    <row r="3905" spans="1:15" ht="12.5">
      <c r="A3905" s="158" t="s">
        <v>24250</v>
      </c>
      <c r="B3905" s="159">
        <v>40</v>
      </c>
      <c r="C3905" s="159">
        <v>50</v>
      </c>
      <c r="D3905" s="159">
        <v>12</v>
      </c>
      <c r="E3905" s="159">
        <v>6</v>
      </c>
      <c r="F3905" s="131"/>
      <c r="G3905" s="132"/>
      <c r="H3905" s="162" t="s">
        <v>24251</v>
      </c>
      <c r="I3905" s="128"/>
      <c r="J3905" s="128"/>
      <c r="K3905" s="128"/>
      <c r="L3905" s="128"/>
      <c r="M3905" s="129"/>
      <c r="N3905" s="129"/>
      <c r="O3905" s="129"/>
    </row>
    <row r="3906" spans="1:15" ht="12.5">
      <c r="A3906" s="158" t="s">
        <v>24252</v>
      </c>
      <c r="B3906" s="159">
        <v>40</v>
      </c>
      <c r="C3906" s="159">
        <v>50</v>
      </c>
      <c r="D3906" s="159">
        <v>12</v>
      </c>
      <c r="E3906" s="159">
        <v>7</v>
      </c>
      <c r="F3906" s="131"/>
      <c r="G3906" s="132"/>
      <c r="H3906" s="162" t="s">
        <v>24253</v>
      </c>
      <c r="I3906" s="158" t="s">
        <v>24254</v>
      </c>
      <c r="J3906" s="128"/>
      <c r="K3906" s="128"/>
      <c r="L3906" s="128"/>
      <c r="M3906" s="129"/>
      <c r="N3906" s="129"/>
      <c r="O3906" s="129"/>
    </row>
    <row r="3907" spans="1:15" ht="12.5">
      <c r="A3907" s="158" t="s">
        <v>24255</v>
      </c>
      <c r="B3907" s="159">
        <v>40</v>
      </c>
      <c r="C3907" s="159">
        <v>50</v>
      </c>
      <c r="D3907" s="159">
        <v>12</v>
      </c>
      <c r="E3907" s="159">
        <v>12</v>
      </c>
      <c r="F3907" s="131"/>
      <c r="G3907" s="132"/>
      <c r="H3907" s="162" t="s">
        <v>24256</v>
      </c>
      <c r="I3907" s="128"/>
      <c r="J3907" s="128"/>
      <c r="K3907" s="128"/>
      <c r="L3907" s="128"/>
      <c r="M3907" s="129"/>
      <c r="N3907" s="129"/>
      <c r="O3907" s="129"/>
    </row>
    <row r="3908" spans="1:15" ht="12.5">
      <c r="A3908" s="158" t="s">
        <v>24257</v>
      </c>
      <c r="B3908" s="159">
        <v>40</v>
      </c>
      <c r="C3908" s="159">
        <v>50</v>
      </c>
      <c r="D3908" s="159">
        <v>12</v>
      </c>
      <c r="E3908" s="159">
        <v>14</v>
      </c>
      <c r="F3908" s="131"/>
      <c r="G3908" s="132"/>
      <c r="H3908" s="162" t="s">
        <v>24258</v>
      </c>
      <c r="I3908" s="128"/>
      <c r="J3908" s="128"/>
      <c r="K3908" s="128"/>
      <c r="L3908" s="128"/>
      <c r="M3908" s="129"/>
      <c r="N3908" s="129"/>
      <c r="O3908" s="129"/>
    </row>
    <row r="3909" spans="1:15" ht="12.5">
      <c r="A3909" s="158" t="s">
        <v>24259</v>
      </c>
      <c r="B3909" s="159">
        <v>40</v>
      </c>
      <c r="C3909" s="159">
        <v>50</v>
      </c>
      <c r="D3909" s="159">
        <v>12</v>
      </c>
      <c r="E3909" s="159">
        <v>15</v>
      </c>
      <c r="F3909" s="131"/>
      <c r="G3909" s="132"/>
      <c r="H3909" s="162" t="s">
        <v>24260</v>
      </c>
      <c r="I3909" s="158" t="s">
        <v>24261</v>
      </c>
      <c r="J3909" s="128"/>
      <c r="K3909" s="128"/>
      <c r="L3909" s="128"/>
      <c r="M3909" s="129"/>
      <c r="N3909" s="129"/>
      <c r="O3909" s="129"/>
    </row>
    <row r="3910" spans="1:15" ht="12.5">
      <c r="A3910" s="158" t="s">
        <v>24262</v>
      </c>
      <c r="B3910" s="159">
        <v>40</v>
      </c>
      <c r="C3910" s="159">
        <v>50</v>
      </c>
      <c r="D3910" s="159">
        <v>12</v>
      </c>
      <c r="E3910" s="159">
        <v>16</v>
      </c>
      <c r="F3910" s="131"/>
      <c r="G3910" s="132"/>
      <c r="H3910" s="162" t="s">
        <v>24263</v>
      </c>
      <c r="I3910" s="158" t="s">
        <v>24264</v>
      </c>
      <c r="J3910" s="128"/>
      <c r="K3910" s="128"/>
      <c r="L3910" s="128"/>
      <c r="M3910" s="129"/>
      <c r="N3910" s="129"/>
      <c r="O3910" s="129"/>
    </row>
    <row r="3911" spans="1:15" ht="12.5">
      <c r="A3911" s="158" t="s">
        <v>24265</v>
      </c>
      <c r="B3911" s="159">
        <v>40</v>
      </c>
      <c r="C3911" s="159">
        <v>50</v>
      </c>
      <c r="D3911" s="159">
        <v>12</v>
      </c>
      <c r="E3911" s="159">
        <v>20</v>
      </c>
      <c r="F3911" s="131"/>
      <c r="G3911" s="132"/>
      <c r="H3911" s="162" t="s">
        <v>24266</v>
      </c>
      <c r="I3911" s="128"/>
      <c r="J3911" s="128"/>
      <c r="K3911" s="128"/>
      <c r="L3911" s="128"/>
      <c r="M3911" s="129"/>
      <c r="N3911" s="129"/>
      <c r="O3911" s="129"/>
    </row>
    <row r="3912" spans="1:15" ht="12.5">
      <c r="A3912" s="158" t="s">
        <v>24267</v>
      </c>
      <c r="B3912" s="159">
        <v>40</v>
      </c>
      <c r="C3912" s="159">
        <v>50</v>
      </c>
      <c r="D3912" s="159">
        <v>12</v>
      </c>
      <c r="E3912" s="159">
        <v>21</v>
      </c>
      <c r="F3912" s="131"/>
      <c r="G3912" s="132"/>
      <c r="H3912" s="162" t="s">
        <v>24268</v>
      </c>
      <c r="I3912" s="128"/>
      <c r="J3912" s="128"/>
      <c r="K3912" s="128"/>
      <c r="L3912" s="128"/>
      <c r="M3912" s="129"/>
      <c r="N3912" s="129"/>
      <c r="O3912" s="129"/>
    </row>
    <row r="3913" spans="1:15" ht="12.5">
      <c r="A3913" s="158" t="s">
        <v>24269</v>
      </c>
      <c r="B3913" s="159">
        <v>40</v>
      </c>
      <c r="C3913" s="159">
        <v>50</v>
      </c>
      <c r="D3913" s="159">
        <v>12</v>
      </c>
      <c r="E3913" s="159">
        <v>22</v>
      </c>
      <c r="F3913" s="131"/>
      <c r="G3913" s="132"/>
      <c r="H3913" s="162" t="s">
        <v>24270</v>
      </c>
      <c r="I3913" s="158" t="s">
        <v>24271</v>
      </c>
      <c r="J3913" s="128"/>
      <c r="K3913" s="128"/>
      <c r="L3913" s="128"/>
      <c r="M3913" s="129"/>
      <c r="N3913" s="129"/>
      <c r="O3913" s="129"/>
    </row>
    <row r="3914" spans="1:15" ht="12.5">
      <c r="A3914" s="158" t="s">
        <v>24272</v>
      </c>
      <c r="B3914" s="159">
        <v>40</v>
      </c>
      <c r="C3914" s="159">
        <v>50</v>
      </c>
      <c r="D3914" s="159">
        <v>12</v>
      </c>
      <c r="E3914" s="159">
        <v>26</v>
      </c>
      <c r="F3914" s="131"/>
      <c r="G3914" s="132"/>
      <c r="H3914" s="162" t="s">
        <v>24273</v>
      </c>
      <c r="I3914" s="128"/>
      <c r="J3914" s="128"/>
      <c r="K3914" s="128"/>
      <c r="L3914" s="128"/>
      <c r="M3914" s="129"/>
      <c r="N3914" s="129"/>
      <c r="O3914" s="129"/>
    </row>
    <row r="3915" spans="1:15" ht="12.5">
      <c r="A3915" s="158" t="s">
        <v>24274</v>
      </c>
      <c r="B3915" s="159">
        <v>40</v>
      </c>
      <c r="C3915" s="159">
        <v>50</v>
      </c>
      <c r="D3915" s="159">
        <v>12</v>
      </c>
      <c r="E3915" s="159">
        <v>27</v>
      </c>
      <c r="F3915" s="131"/>
      <c r="G3915" s="132"/>
      <c r="H3915" s="162" t="s">
        <v>33464</v>
      </c>
      <c r="I3915" s="128"/>
      <c r="J3915" s="128"/>
      <c r="K3915" s="128"/>
      <c r="L3915" s="128"/>
      <c r="M3915" s="129"/>
      <c r="N3915" s="129"/>
      <c r="O3915" s="129"/>
    </row>
    <row r="3916" spans="1:15" ht="12.5">
      <c r="A3916" s="158" t="s">
        <v>24276</v>
      </c>
      <c r="B3916" s="159">
        <v>40</v>
      </c>
      <c r="C3916" s="159">
        <v>50</v>
      </c>
      <c r="D3916" s="159">
        <v>12</v>
      </c>
      <c r="E3916" s="159">
        <v>30</v>
      </c>
      <c r="F3916" s="131"/>
      <c r="G3916" s="132"/>
      <c r="H3916" s="162" t="s">
        <v>24277</v>
      </c>
      <c r="I3916" s="128"/>
      <c r="J3916" s="128"/>
      <c r="K3916" s="128"/>
      <c r="L3916" s="128"/>
      <c r="M3916" s="129"/>
      <c r="N3916" s="129"/>
      <c r="O3916" s="129"/>
    </row>
    <row r="3917" spans="1:15" ht="12.5">
      <c r="A3917" s="158" t="s">
        <v>24278</v>
      </c>
      <c r="B3917" s="159">
        <v>40</v>
      </c>
      <c r="C3917" s="159">
        <v>50</v>
      </c>
      <c r="D3917" s="159">
        <v>12</v>
      </c>
      <c r="E3917" s="159">
        <v>31</v>
      </c>
      <c r="F3917" s="131"/>
      <c r="G3917" s="132"/>
      <c r="H3917" s="162" t="s">
        <v>24279</v>
      </c>
      <c r="I3917" s="128"/>
      <c r="J3917" s="128"/>
      <c r="K3917" s="128"/>
      <c r="L3917" s="128"/>
      <c r="M3917" s="129"/>
      <c r="N3917" s="129"/>
      <c r="O3917" s="129"/>
    </row>
    <row r="3918" spans="1:15" ht="12.5">
      <c r="A3918" s="158" t="s">
        <v>24280</v>
      </c>
      <c r="B3918" s="159">
        <v>40</v>
      </c>
      <c r="C3918" s="159">
        <v>50</v>
      </c>
      <c r="D3918" s="159">
        <v>12</v>
      </c>
      <c r="E3918" s="159">
        <v>32</v>
      </c>
      <c r="F3918" s="131"/>
      <c r="G3918" s="132"/>
      <c r="H3918" s="162" t="s">
        <v>24281</v>
      </c>
      <c r="I3918" s="128"/>
      <c r="J3918" s="128"/>
      <c r="K3918" s="128"/>
      <c r="L3918" s="128"/>
      <c r="M3918" s="129"/>
      <c r="N3918" s="129"/>
      <c r="O3918" s="129"/>
    </row>
    <row r="3919" spans="1:15" ht="12.5">
      <c r="A3919" s="158" t="s">
        <v>24282</v>
      </c>
      <c r="B3919" s="159">
        <v>40</v>
      </c>
      <c r="C3919" s="159">
        <v>50</v>
      </c>
      <c r="D3919" s="159">
        <v>12</v>
      </c>
      <c r="E3919" s="159">
        <v>33</v>
      </c>
      <c r="F3919" s="131"/>
      <c r="G3919" s="132"/>
      <c r="H3919" s="162" t="s">
        <v>24283</v>
      </c>
      <c r="I3919" s="158" t="s">
        <v>24284</v>
      </c>
      <c r="J3919" s="128"/>
      <c r="K3919" s="128"/>
      <c r="L3919" s="128"/>
      <c r="M3919" s="129"/>
      <c r="N3919" s="129"/>
      <c r="O3919" s="129"/>
    </row>
    <row r="3920" spans="1:15" ht="12.5">
      <c r="A3920" s="158" t="s">
        <v>24285</v>
      </c>
      <c r="B3920" s="159">
        <v>40</v>
      </c>
      <c r="C3920" s="159">
        <v>50</v>
      </c>
      <c r="D3920" s="159">
        <v>12</v>
      </c>
      <c r="E3920" s="159">
        <v>37</v>
      </c>
      <c r="F3920" s="131"/>
      <c r="G3920" s="132"/>
      <c r="H3920" s="162" t="s">
        <v>24286</v>
      </c>
      <c r="I3920" s="128"/>
      <c r="J3920" s="128"/>
      <c r="K3920" s="128"/>
      <c r="L3920" s="128"/>
      <c r="M3920" s="129"/>
      <c r="N3920" s="129"/>
      <c r="O3920" s="129"/>
    </row>
    <row r="3921" spans="1:15" ht="12.5">
      <c r="A3921" s="158" t="s">
        <v>24287</v>
      </c>
      <c r="B3921" s="159">
        <v>40</v>
      </c>
      <c r="C3921" s="159">
        <v>50</v>
      </c>
      <c r="D3921" s="159">
        <v>12</v>
      </c>
      <c r="E3921" s="159">
        <v>46</v>
      </c>
      <c r="F3921" s="131"/>
      <c r="G3921" s="132"/>
      <c r="H3921" s="162" t="s">
        <v>24288</v>
      </c>
      <c r="I3921" s="128"/>
      <c r="J3921" s="128"/>
      <c r="K3921" s="128"/>
      <c r="L3921" s="128"/>
      <c r="M3921" s="129"/>
      <c r="N3921" s="129"/>
      <c r="O3921" s="129"/>
    </row>
    <row r="3922" spans="1:15" ht="12.5">
      <c r="A3922" s="158" t="s">
        <v>24289</v>
      </c>
      <c r="B3922" s="159">
        <v>40</v>
      </c>
      <c r="C3922" s="159">
        <v>50</v>
      </c>
      <c r="D3922" s="159">
        <v>12</v>
      </c>
      <c r="E3922" s="159">
        <v>47</v>
      </c>
      <c r="F3922" s="131"/>
      <c r="G3922" s="132"/>
      <c r="H3922" s="162" t="s">
        <v>24290</v>
      </c>
      <c r="I3922" s="158" t="s">
        <v>24291</v>
      </c>
      <c r="J3922" s="128"/>
      <c r="K3922" s="128"/>
      <c r="L3922" s="128"/>
      <c r="M3922" s="129"/>
      <c r="N3922" s="129"/>
      <c r="O3922" s="129"/>
    </row>
    <row r="3923" spans="1:15" ht="12.5">
      <c r="A3923" s="158" t="s">
        <v>24292</v>
      </c>
      <c r="B3923" s="159">
        <v>40</v>
      </c>
      <c r="C3923" s="159">
        <v>50</v>
      </c>
      <c r="D3923" s="159">
        <v>12</v>
      </c>
      <c r="E3923" s="159">
        <v>48</v>
      </c>
      <c r="F3923" s="131"/>
      <c r="G3923" s="132"/>
      <c r="H3923" s="162" t="s">
        <v>24293</v>
      </c>
      <c r="I3923" s="128"/>
      <c r="J3923" s="128"/>
      <c r="K3923" s="128"/>
      <c r="L3923" s="128"/>
      <c r="M3923" s="129"/>
      <c r="N3923" s="129"/>
      <c r="O3923" s="129"/>
    </row>
    <row r="3924" spans="1:15" ht="12.5">
      <c r="A3924" s="158" t="s">
        <v>24294</v>
      </c>
      <c r="B3924" s="159">
        <v>40</v>
      </c>
      <c r="C3924" s="159">
        <v>50</v>
      </c>
      <c r="D3924" s="159">
        <v>12</v>
      </c>
      <c r="E3924" s="159">
        <v>51</v>
      </c>
      <c r="F3924" s="131"/>
      <c r="G3924" s="132"/>
      <c r="H3924" s="162" t="s">
        <v>24295</v>
      </c>
      <c r="I3924" s="128"/>
      <c r="J3924" s="128"/>
      <c r="K3924" s="128"/>
      <c r="L3924" s="128"/>
      <c r="M3924" s="129"/>
      <c r="N3924" s="129"/>
      <c r="O3924" s="129"/>
    </row>
    <row r="3925" spans="1:15" ht="12.5">
      <c r="A3925" s="158" t="s">
        <v>24296</v>
      </c>
      <c r="B3925" s="159">
        <v>40</v>
      </c>
      <c r="C3925" s="159">
        <v>50</v>
      </c>
      <c r="D3925" s="159">
        <v>12</v>
      </c>
      <c r="E3925" s="159">
        <v>57</v>
      </c>
      <c r="F3925" s="131"/>
      <c r="G3925" s="132"/>
      <c r="H3925" s="162" t="s">
        <v>24297</v>
      </c>
      <c r="I3925" s="158" t="s">
        <v>24298</v>
      </c>
      <c r="J3925" s="128"/>
      <c r="K3925" s="128"/>
      <c r="L3925" s="128"/>
      <c r="M3925" s="129"/>
      <c r="N3925" s="129"/>
      <c r="O3925" s="129"/>
    </row>
    <row r="3926" spans="1:15" ht="12.5">
      <c r="A3926" s="158" t="s">
        <v>24299</v>
      </c>
      <c r="B3926" s="159">
        <v>40</v>
      </c>
      <c r="C3926" s="159">
        <v>50</v>
      </c>
      <c r="D3926" s="159">
        <v>12</v>
      </c>
      <c r="E3926" s="159">
        <v>59</v>
      </c>
      <c r="F3926" s="131"/>
      <c r="G3926" s="132"/>
      <c r="H3926" s="162" t="s">
        <v>24300</v>
      </c>
      <c r="I3926" s="128"/>
      <c r="J3926" s="128"/>
      <c r="K3926" s="128"/>
      <c r="L3926" s="128"/>
      <c r="M3926" s="129"/>
      <c r="N3926" s="129"/>
      <c r="O3926" s="129"/>
    </row>
    <row r="3927" spans="1:15" ht="12.5">
      <c r="A3927" s="158" t="s">
        <v>24301</v>
      </c>
      <c r="B3927" s="159">
        <v>40</v>
      </c>
      <c r="C3927" s="159">
        <v>50</v>
      </c>
      <c r="D3927" s="159">
        <v>12</v>
      </c>
      <c r="E3927" s="159">
        <v>62</v>
      </c>
      <c r="F3927" s="131"/>
      <c r="G3927" s="132"/>
      <c r="H3927" s="162" t="s">
        <v>24302</v>
      </c>
      <c r="I3927" s="128"/>
      <c r="J3927" s="128"/>
      <c r="K3927" s="128"/>
      <c r="L3927" s="128"/>
      <c r="M3927" s="129"/>
      <c r="N3927" s="129"/>
      <c r="O3927" s="129"/>
    </row>
    <row r="3928" spans="1:15" ht="12.5">
      <c r="A3928" s="158" t="s">
        <v>24303</v>
      </c>
      <c r="B3928" s="159">
        <v>40</v>
      </c>
      <c r="C3928" s="159">
        <v>50</v>
      </c>
      <c r="D3928" s="159">
        <v>12</v>
      </c>
      <c r="E3928" s="159">
        <v>63</v>
      </c>
      <c r="F3928" s="131"/>
      <c r="G3928" s="132"/>
      <c r="H3928" s="162" t="s">
        <v>24304</v>
      </c>
      <c r="I3928" s="128"/>
      <c r="J3928" s="128"/>
      <c r="K3928" s="128"/>
      <c r="L3928" s="128"/>
      <c r="M3928" s="129"/>
      <c r="N3928" s="129"/>
      <c r="O3928" s="129"/>
    </row>
    <row r="3929" spans="1:15" ht="12.5">
      <c r="A3929" s="158" t="s">
        <v>24305</v>
      </c>
      <c r="B3929" s="159">
        <v>40</v>
      </c>
      <c r="C3929" s="159">
        <v>50</v>
      </c>
      <c r="D3929" s="159">
        <v>12</v>
      </c>
      <c r="E3929" s="159">
        <v>64</v>
      </c>
      <c r="F3929" s="131"/>
      <c r="G3929" s="132"/>
      <c r="H3929" s="162" t="s">
        <v>24306</v>
      </c>
      <c r="I3929" s="158" t="s">
        <v>24307</v>
      </c>
      <c r="J3929" s="128"/>
      <c r="K3929" s="128"/>
      <c r="L3929" s="128"/>
      <c r="M3929" s="129"/>
      <c r="N3929" s="129"/>
      <c r="O3929" s="129"/>
    </row>
    <row r="3930" spans="1:15" ht="12.5">
      <c r="A3930" s="158" t="s">
        <v>24308</v>
      </c>
      <c r="B3930" s="159">
        <v>40</v>
      </c>
      <c r="C3930" s="159">
        <v>50</v>
      </c>
      <c r="D3930" s="159">
        <v>12</v>
      </c>
      <c r="E3930" s="159">
        <v>71</v>
      </c>
      <c r="F3930" s="131"/>
      <c r="G3930" s="132"/>
      <c r="H3930" s="162" t="s">
        <v>24309</v>
      </c>
      <c r="I3930" s="128"/>
      <c r="J3930" s="128"/>
      <c r="K3930" s="128"/>
      <c r="L3930" s="128"/>
      <c r="M3930" s="129"/>
      <c r="N3930" s="129"/>
      <c r="O3930" s="129"/>
    </row>
    <row r="3931" spans="1:15" ht="12.5">
      <c r="A3931" s="158" t="s">
        <v>24310</v>
      </c>
      <c r="B3931" s="159">
        <v>40</v>
      </c>
      <c r="C3931" s="159">
        <v>50</v>
      </c>
      <c r="D3931" s="159">
        <v>12</v>
      </c>
      <c r="E3931" s="159">
        <v>72</v>
      </c>
      <c r="F3931" s="131"/>
      <c r="G3931" s="132"/>
      <c r="H3931" s="162" t="s">
        <v>24311</v>
      </c>
      <c r="I3931" s="128"/>
      <c r="J3931" s="128"/>
      <c r="K3931" s="128"/>
      <c r="L3931" s="128"/>
      <c r="M3931" s="129"/>
      <c r="N3931" s="129"/>
      <c r="O3931" s="129"/>
    </row>
    <row r="3932" spans="1:15" ht="12.5">
      <c r="A3932" s="158" t="s">
        <v>24312</v>
      </c>
      <c r="B3932" s="159">
        <v>40</v>
      </c>
      <c r="C3932" s="159">
        <v>50</v>
      </c>
      <c r="D3932" s="159">
        <v>12</v>
      </c>
      <c r="E3932" s="159">
        <v>74</v>
      </c>
      <c r="F3932" s="131"/>
      <c r="G3932" s="132"/>
      <c r="H3932" s="162" t="s">
        <v>24313</v>
      </c>
      <c r="I3932" s="128"/>
      <c r="J3932" s="128"/>
      <c r="K3932" s="128"/>
      <c r="L3932" s="128"/>
      <c r="M3932" s="129"/>
      <c r="N3932" s="129"/>
      <c r="O3932" s="129"/>
    </row>
    <row r="3933" spans="1:15" ht="12.5">
      <c r="A3933" s="158" t="s">
        <v>24314</v>
      </c>
      <c r="B3933" s="159">
        <v>40</v>
      </c>
      <c r="C3933" s="159">
        <v>50</v>
      </c>
      <c r="D3933" s="159">
        <v>12</v>
      </c>
      <c r="E3933" s="159">
        <v>76</v>
      </c>
      <c r="F3933" s="131"/>
      <c r="G3933" s="132"/>
      <c r="H3933" s="162" t="s">
        <v>24315</v>
      </c>
      <c r="I3933" s="128"/>
      <c r="J3933" s="128"/>
      <c r="K3933" s="128"/>
      <c r="L3933" s="128"/>
      <c r="M3933" s="129"/>
      <c r="N3933" s="129"/>
      <c r="O3933" s="129"/>
    </row>
    <row r="3934" spans="1:15" ht="12.5">
      <c r="A3934" s="158" t="s">
        <v>24316</v>
      </c>
      <c r="B3934" s="159">
        <v>40</v>
      </c>
      <c r="C3934" s="159">
        <v>50</v>
      </c>
      <c r="D3934" s="159">
        <v>12</v>
      </c>
      <c r="E3934" s="159">
        <v>80</v>
      </c>
      <c r="F3934" s="131"/>
      <c r="G3934" s="132"/>
      <c r="H3934" s="162" t="s">
        <v>24317</v>
      </c>
      <c r="I3934" s="128"/>
      <c r="J3934" s="128"/>
      <c r="K3934" s="128"/>
      <c r="L3934" s="128"/>
      <c r="M3934" s="129"/>
      <c r="N3934" s="129"/>
      <c r="O3934" s="129"/>
    </row>
    <row r="3935" spans="1:15" ht="12.5">
      <c r="A3935" s="158" t="s">
        <v>24318</v>
      </c>
      <c r="B3935" s="159">
        <v>40</v>
      </c>
      <c r="C3935" s="159">
        <v>50</v>
      </c>
      <c r="D3935" s="159">
        <v>12</v>
      </c>
      <c r="E3935" s="159">
        <v>81</v>
      </c>
      <c r="F3935" s="131"/>
      <c r="G3935" s="132"/>
      <c r="H3935" s="162" t="s">
        <v>24319</v>
      </c>
      <c r="I3935" s="128"/>
      <c r="J3935" s="128"/>
      <c r="K3935" s="128"/>
      <c r="L3935" s="128"/>
      <c r="M3935" s="129"/>
      <c r="N3935" s="129"/>
      <c r="O3935" s="129"/>
    </row>
    <row r="3936" spans="1:15" ht="12.5">
      <c r="A3936" s="158" t="s">
        <v>24320</v>
      </c>
      <c r="B3936" s="159">
        <v>40</v>
      </c>
      <c r="C3936" s="159">
        <v>50</v>
      </c>
      <c r="D3936" s="159">
        <v>12</v>
      </c>
      <c r="E3936" s="159">
        <v>82</v>
      </c>
      <c r="F3936" s="131"/>
      <c r="G3936" s="132"/>
      <c r="H3936" s="162" t="s">
        <v>24321</v>
      </c>
      <c r="I3936" s="128"/>
      <c r="J3936" s="128"/>
      <c r="K3936" s="128"/>
      <c r="L3936" s="128"/>
      <c r="M3936" s="129"/>
      <c r="N3936" s="129"/>
      <c r="O3936" s="129"/>
    </row>
    <row r="3937" spans="1:15" ht="12.5">
      <c r="A3937" s="158" t="s">
        <v>24322</v>
      </c>
      <c r="B3937" s="159">
        <v>40</v>
      </c>
      <c r="C3937" s="159">
        <v>50</v>
      </c>
      <c r="D3937" s="159">
        <v>12</v>
      </c>
      <c r="E3937" s="159">
        <v>83</v>
      </c>
      <c r="F3937" s="131"/>
      <c r="G3937" s="132"/>
      <c r="H3937" s="162" t="s">
        <v>24323</v>
      </c>
      <c r="I3937" s="158" t="s">
        <v>24324</v>
      </c>
      <c r="J3937" s="128"/>
      <c r="K3937" s="128"/>
      <c r="L3937" s="128"/>
      <c r="M3937" s="129"/>
      <c r="N3937" s="129"/>
      <c r="O3937" s="129"/>
    </row>
    <row r="3938" spans="1:15" ht="12.5">
      <c r="A3938" s="158" t="s">
        <v>24325</v>
      </c>
      <c r="B3938" s="159">
        <v>40</v>
      </c>
      <c r="C3938" s="159">
        <v>50</v>
      </c>
      <c r="D3938" s="159">
        <v>12</v>
      </c>
      <c r="E3938" s="159">
        <v>84</v>
      </c>
      <c r="F3938" s="131"/>
      <c r="G3938" s="132"/>
      <c r="H3938" s="162" t="s">
        <v>24326</v>
      </c>
      <c r="I3938" s="128"/>
      <c r="J3938" s="128"/>
      <c r="K3938" s="128"/>
      <c r="L3938" s="128"/>
      <c r="M3938" s="129"/>
      <c r="N3938" s="129"/>
      <c r="O3938" s="129"/>
    </row>
    <row r="3939" spans="1:15" ht="12.5">
      <c r="A3939" s="158" t="s">
        <v>24327</v>
      </c>
      <c r="B3939" s="159">
        <v>40</v>
      </c>
      <c r="C3939" s="159">
        <v>50</v>
      </c>
      <c r="D3939" s="159">
        <v>12</v>
      </c>
      <c r="E3939" s="159">
        <v>85</v>
      </c>
      <c r="F3939" s="131"/>
      <c r="G3939" s="132"/>
      <c r="H3939" s="162" t="s">
        <v>24328</v>
      </c>
      <c r="I3939" s="128"/>
      <c r="J3939" s="128"/>
      <c r="K3939" s="128"/>
      <c r="L3939" s="128"/>
      <c r="M3939" s="129"/>
      <c r="N3939" s="129"/>
      <c r="O3939" s="129"/>
    </row>
    <row r="3940" spans="1:15" ht="12.5">
      <c r="A3940" s="158" t="s">
        <v>24329</v>
      </c>
      <c r="B3940" s="159">
        <v>40</v>
      </c>
      <c r="C3940" s="159">
        <v>50</v>
      </c>
      <c r="D3940" s="159">
        <v>12</v>
      </c>
      <c r="E3940" s="159">
        <v>86</v>
      </c>
      <c r="F3940" s="131"/>
      <c r="G3940" s="132"/>
      <c r="H3940" s="162" t="s">
        <v>24330</v>
      </c>
      <c r="I3940" s="128"/>
      <c r="J3940" s="128"/>
      <c r="K3940" s="128"/>
      <c r="L3940" s="128"/>
      <c r="M3940" s="129"/>
      <c r="N3940" s="129"/>
      <c r="O3940" s="129"/>
    </row>
    <row r="3941" spans="1:15" ht="12.5">
      <c r="A3941" s="158" t="s">
        <v>24331</v>
      </c>
      <c r="B3941" s="159">
        <v>40</v>
      </c>
      <c r="C3941" s="159">
        <v>50</v>
      </c>
      <c r="D3941" s="159">
        <v>12</v>
      </c>
      <c r="E3941" s="159">
        <v>87</v>
      </c>
      <c r="F3941" s="131"/>
      <c r="G3941" s="132"/>
      <c r="H3941" s="162" t="s">
        <v>24332</v>
      </c>
      <c r="I3941" s="128"/>
      <c r="J3941" s="128"/>
      <c r="K3941" s="128"/>
      <c r="L3941" s="128"/>
      <c r="M3941" s="129"/>
      <c r="N3941" s="129"/>
      <c r="O3941" s="129"/>
    </row>
    <row r="3942" spans="1:15" ht="12.5">
      <c r="A3942" s="158" t="s">
        <v>24333</v>
      </c>
      <c r="B3942" s="159">
        <v>40</v>
      </c>
      <c r="C3942" s="159">
        <v>50</v>
      </c>
      <c r="D3942" s="159">
        <v>12</v>
      </c>
      <c r="E3942" s="159">
        <v>88</v>
      </c>
      <c r="F3942" s="131"/>
      <c r="G3942" s="132"/>
      <c r="H3942" s="162" t="s">
        <v>24334</v>
      </c>
      <c r="I3942" s="158" t="s">
        <v>24335</v>
      </c>
      <c r="J3942" s="128"/>
      <c r="K3942" s="128"/>
      <c r="L3942" s="128"/>
      <c r="M3942" s="129"/>
      <c r="N3942" s="129"/>
      <c r="O3942" s="129"/>
    </row>
    <row r="3943" spans="1:15" ht="12.5">
      <c r="A3943" s="158" t="s">
        <v>24336</v>
      </c>
      <c r="B3943" s="159">
        <v>40</v>
      </c>
      <c r="C3943" s="159">
        <v>50</v>
      </c>
      <c r="D3943" s="159">
        <v>12</v>
      </c>
      <c r="E3943" s="159">
        <v>93</v>
      </c>
      <c r="F3943" s="131"/>
      <c r="G3943" s="132"/>
      <c r="H3943" s="162" t="s">
        <v>24337</v>
      </c>
      <c r="I3943" s="128"/>
      <c r="J3943" s="128"/>
      <c r="K3943" s="128"/>
      <c r="L3943" s="128"/>
      <c r="M3943" s="129"/>
      <c r="N3943" s="129"/>
      <c r="O3943" s="129"/>
    </row>
    <row r="3944" spans="1:15" ht="12.5">
      <c r="A3944" s="158" t="s">
        <v>24338</v>
      </c>
      <c r="B3944" s="159">
        <v>40</v>
      </c>
      <c r="C3944" s="159">
        <v>50</v>
      </c>
      <c r="D3944" s="159">
        <v>12</v>
      </c>
      <c r="E3944" s="159">
        <v>94</v>
      </c>
      <c r="F3944" s="131"/>
      <c r="G3944" s="132"/>
      <c r="H3944" s="162" t="s">
        <v>24339</v>
      </c>
      <c r="I3944" s="128"/>
      <c r="J3944" s="128"/>
      <c r="K3944" s="128"/>
      <c r="L3944" s="128"/>
      <c r="M3944" s="129"/>
      <c r="N3944" s="129"/>
      <c r="O3944" s="129"/>
    </row>
    <row r="3945" spans="1:15" ht="12.5">
      <c r="A3945" s="158" t="s">
        <v>24340</v>
      </c>
      <c r="B3945" s="159">
        <v>40</v>
      </c>
      <c r="C3945" s="159">
        <v>50</v>
      </c>
      <c r="D3945" s="159">
        <v>13</v>
      </c>
      <c r="E3945" s="130"/>
      <c r="F3945" s="131"/>
      <c r="G3945" s="132"/>
      <c r="H3945" s="162" t="s">
        <v>24341</v>
      </c>
      <c r="I3945" s="128"/>
      <c r="J3945" s="128"/>
      <c r="K3945" s="128"/>
      <c r="L3945" s="128"/>
      <c r="M3945" s="129"/>
      <c r="N3945" s="129"/>
      <c r="O3945" s="129"/>
    </row>
    <row r="3946" spans="1:15" ht="12.5">
      <c r="A3946" s="158" t="s">
        <v>24344</v>
      </c>
      <c r="B3946" s="159">
        <v>40</v>
      </c>
      <c r="C3946" s="159">
        <v>50</v>
      </c>
      <c r="D3946" s="159">
        <v>13</v>
      </c>
      <c r="E3946" s="159">
        <v>22</v>
      </c>
      <c r="F3946" s="131"/>
      <c r="G3946" s="132"/>
      <c r="H3946" s="162" t="s">
        <v>24345</v>
      </c>
      <c r="I3946" s="128"/>
      <c r="J3946" s="128"/>
      <c r="K3946" s="128"/>
      <c r="L3946" s="128"/>
      <c r="M3946" s="129"/>
      <c r="N3946" s="129"/>
      <c r="O3946" s="129"/>
    </row>
    <row r="3947" spans="1:15" ht="12.5">
      <c r="A3947" s="158" t="s">
        <v>24346</v>
      </c>
      <c r="B3947" s="159">
        <v>40</v>
      </c>
      <c r="C3947" s="159">
        <v>50</v>
      </c>
      <c r="D3947" s="159">
        <v>13</v>
      </c>
      <c r="E3947" s="159">
        <v>26</v>
      </c>
      <c r="F3947" s="131"/>
      <c r="G3947" s="132"/>
      <c r="H3947" s="162" t="s">
        <v>24347</v>
      </c>
      <c r="I3947" s="128"/>
      <c r="J3947" s="128"/>
      <c r="K3947" s="128"/>
      <c r="L3947" s="128"/>
      <c r="M3947" s="129"/>
      <c r="N3947" s="129"/>
      <c r="O3947" s="129"/>
    </row>
    <row r="3948" spans="1:15" ht="12.5">
      <c r="A3948" s="158" t="s">
        <v>24348</v>
      </c>
      <c r="B3948" s="159">
        <v>40</v>
      </c>
      <c r="C3948" s="159">
        <v>50</v>
      </c>
      <c r="D3948" s="159">
        <v>13</v>
      </c>
      <c r="E3948" s="159">
        <v>29</v>
      </c>
      <c r="F3948" s="131"/>
      <c r="G3948" s="132"/>
      <c r="H3948" s="162" t="s">
        <v>24349</v>
      </c>
      <c r="I3948" s="128"/>
      <c r="J3948" s="128"/>
      <c r="K3948" s="128"/>
      <c r="L3948" s="128"/>
      <c r="M3948" s="129"/>
      <c r="N3948" s="129"/>
      <c r="O3948" s="129"/>
    </row>
    <row r="3949" spans="1:15" ht="12.5">
      <c r="A3949" s="158" t="s">
        <v>24350</v>
      </c>
      <c r="B3949" s="159">
        <v>40</v>
      </c>
      <c r="C3949" s="159">
        <v>50</v>
      </c>
      <c r="D3949" s="159">
        <v>13</v>
      </c>
      <c r="E3949" s="159">
        <v>51</v>
      </c>
      <c r="F3949" s="131"/>
      <c r="G3949" s="132"/>
      <c r="H3949" s="162" t="s">
        <v>24351</v>
      </c>
      <c r="I3949" s="158" t="s">
        <v>24352</v>
      </c>
      <c r="J3949" s="128"/>
      <c r="K3949" s="128"/>
      <c r="L3949" s="128"/>
      <c r="M3949" s="129"/>
      <c r="N3949" s="129"/>
      <c r="O3949" s="129"/>
    </row>
    <row r="3950" spans="1:15" ht="12.5">
      <c r="A3950" s="158" t="s">
        <v>24353</v>
      </c>
      <c r="B3950" s="159">
        <v>40</v>
      </c>
      <c r="C3950" s="159">
        <v>50</v>
      </c>
      <c r="D3950" s="159">
        <v>13</v>
      </c>
      <c r="E3950" s="159">
        <v>61</v>
      </c>
      <c r="F3950" s="131"/>
      <c r="G3950" s="132"/>
      <c r="H3950" s="162" t="s">
        <v>24354</v>
      </c>
      <c r="I3950" s="128"/>
      <c r="J3950" s="128"/>
      <c r="K3950" s="128"/>
      <c r="L3950" s="128"/>
      <c r="M3950" s="129"/>
      <c r="N3950" s="129"/>
      <c r="O3950" s="129"/>
    </row>
    <row r="3951" spans="1:15" ht="12.5">
      <c r="A3951" s="158" t="s">
        <v>24355</v>
      </c>
      <c r="B3951" s="159">
        <v>40</v>
      </c>
      <c r="C3951" s="159">
        <v>50</v>
      </c>
      <c r="D3951" s="159">
        <v>13</v>
      </c>
      <c r="E3951" s="159">
        <v>66</v>
      </c>
      <c r="F3951" s="131"/>
      <c r="G3951" s="132"/>
      <c r="H3951" s="162" t="s">
        <v>24356</v>
      </c>
      <c r="I3951" s="128"/>
      <c r="J3951" s="128"/>
      <c r="K3951" s="128"/>
      <c r="L3951" s="128"/>
      <c r="M3951" s="129"/>
      <c r="N3951" s="129"/>
      <c r="O3951" s="129"/>
    </row>
    <row r="3952" spans="1:15" ht="12.5">
      <c r="A3952" s="158" t="s">
        <v>24357</v>
      </c>
      <c r="B3952" s="159">
        <v>40</v>
      </c>
      <c r="C3952" s="159">
        <v>50</v>
      </c>
      <c r="D3952" s="159">
        <v>13</v>
      </c>
      <c r="E3952" s="159">
        <v>70</v>
      </c>
      <c r="F3952" s="131"/>
      <c r="G3952" s="132"/>
      <c r="H3952" s="162" t="s">
        <v>24358</v>
      </c>
      <c r="I3952" s="128"/>
      <c r="J3952" s="128"/>
      <c r="K3952" s="128"/>
      <c r="L3952" s="128"/>
      <c r="M3952" s="129"/>
      <c r="N3952" s="129"/>
      <c r="O3952" s="129"/>
    </row>
    <row r="3953" spans="1:15" ht="12.5">
      <c r="A3953" s="158" t="s">
        <v>24359</v>
      </c>
      <c r="B3953" s="159">
        <v>40</v>
      </c>
      <c r="C3953" s="159">
        <v>50</v>
      </c>
      <c r="D3953" s="159">
        <v>13</v>
      </c>
      <c r="E3953" s="159">
        <v>71</v>
      </c>
      <c r="F3953" s="131"/>
      <c r="G3953" s="132"/>
      <c r="H3953" s="162" t="s">
        <v>24360</v>
      </c>
      <c r="I3953" s="128"/>
      <c r="J3953" s="128"/>
      <c r="K3953" s="128"/>
      <c r="L3953" s="128"/>
      <c r="M3953" s="129"/>
      <c r="N3953" s="129"/>
      <c r="O3953" s="129"/>
    </row>
    <row r="3954" spans="1:15" ht="12.5">
      <c r="A3954" s="158" t="s">
        <v>24361</v>
      </c>
      <c r="B3954" s="159">
        <v>40</v>
      </c>
      <c r="C3954" s="159">
        <v>50</v>
      </c>
      <c r="D3954" s="159">
        <v>13</v>
      </c>
      <c r="E3954" s="159">
        <v>86</v>
      </c>
      <c r="F3954" s="131"/>
      <c r="G3954" s="132"/>
      <c r="H3954" s="162" t="s">
        <v>24362</v>
      </c>
      <c r="I3954" s="128"/>
      <c r="J3954" s="128"/>
      <c r="K3954" s="128"/>
      <c r="L3954" s="128"/>
      <c r="M3954" s="129"/>
      <c r="N3954" s="129"/>
      <c r="O3954" s="129"/>
    </row>
    <row r="3955" spans="1:15" ht="12.5">
      <c r="A3955" s="158" t="s">
        <v>24363</v>
      </c>
      <c r="B3955" s="159">
        <v>40</v>
      </c>
      <c r="C3955" s="159">
        <v>50</v>
      </c>
      <c r="D3955" s="159">
        <v>13</v>
      </c>
      <c r="E3955" s="159">
        <v>89</v>
      </c>
      <c r="F3955" s="131"/>
      <c r="G3955" s="132"/>
      <c r="H3955" s="162" t="s">
        <v>24364</v>
      </c>
      <c r="I3955" s="128"/>
      <c r="J3955" s="128"/>
      <c r="K3955" s="128"/>
      <c r="L3955" s="128"/>
      <c r="M3955" s="129"/>
      <c r="N3955" s="129"/>
      <c r="O3955" s="129"/>
    </row>
    <row r="3956" spans="1:15" ht="12.5">
      <c r="A3956" s="158" t="s">
        <v>24365</v>
      </c>
      <c r="B3956" s="159">
        <v>40</v>
      </c>
      <c r="C3956" s="159">
        <v>50</v>
      </c>
      <c r="D3956" s="159">
        <v>13</v>
      </c>
      <c r="E3956" s="159">
        <v>96</v>
      </c>
      <c r="F3956" s="131"/>
      <c r="G3956" s="132"/>
      <c r="H3956" s="162" t="s">
        <v>24366</v>
      </c>
      <c r="I3956" s="128"/>
      <c r="J3956" s="128"/>
      <c r="K3956" s="128"/>
      <c r="L3956" s="128"/>
      <c r="M3956" s="129"/>
      <c r="N3956" s="129"/>
      <c r="O3956" s="129"/>
    </row>
    <row r="3957" spans="1:15" ht="12.5">
      <c r="A3957" s="158" t="s">
        <v>24367</v>
      </c>
      <c r="B3957" s="159">
        <v>40</v>
      </c>
      <c r="C3957" s="159">
        <v>50</v>
      </c>
      <c r="D3957" s="159">
        <v>21</v>
      </c>
      <c r="E3957" s="130"/>
      <c r="F3957" s="131"/>
      <c r="G3957" s="132"/>
      <c r="H3957" s="162" t="s">
        <v>24368</v>
      </c>
      <c r="I3957" s="128"/>
      <c r="J3957" s="128"/>
      <c r="K3957" s="128"/>
      <c r="L3957" s="128"/>
      <c r="M3957" s="129"/>
      <c r="N3957" s="129"/>
      <c r="O3957" s="129"/>
    </row>
    <row r="3958" spans="1:15" ht="12.5">
      <c r="A3958" s="158" t="s">
        <v>24369</v>
      </c>
      <c r="B3958" s="159">
        <v>40</v>
      </c>
      <c r="C3958" s="159">
        <v>50</v>
      </c>
      <c r="D3958" s="159">
        <v>21</v>
      </c>
      <c r="E3958" s="159">
        <v>5</v>
      </c>
      <c r="F3958" s="131"/>
      <c r="G3958" s="132"/>
      <c r="H3958" s="162" t="s">
        <v>24370</v>
      </c>
      <c r="I3958" s="128"/>
      <c r="J3958" s="128"/>
      <c r="K3958" s="128"/>
      <c r="L3958" s="128"/>
      <c r="M3958" s="129"/>
      <c r="N3958" s="129"/>
      <c r="O3958" s="129"/>
    </row>
    <row r="3959" spans="1:15" ht="12.5">
      <c r="A3959" s="158" t="s">
        <v>24371</v>
      </c>
      <c r="B3959" s="159">
        <v>40</v>
      </c>
      <c r="C3959" s="159">
        <v>50</v>
      </c>
      <c r="D3959" s="159">
        <v>21</v>
      </c>
      <c r="E3959" s="159">
        <v>8</v>
      </c>
      <c r="F3959" s="131"/>
      <c r="G3959" s="132"/>
      <c r="H3959" s="162" t="s">
        <v>24372</v>
      </c>
      <c r="I3959" s="128"/>
      <c r="J3959" s="128"/>
      <c r="K3959" s="128"/>
      <c r="L3959" s="128"/>
      <c r="M3959" s="129"/>
      <c r="N3959" s="129"/>
      <c r="O3959" s="129"/>
    </row>
    <row r="3960" spans="1:15" ht="12.5">
      <c r="A3960" s="158" t="s">
        <v>24373</v>
      </c>
      <c r="B3960" s="159">
        <v>40</v>
      </c>
      <c r="C3960" s="159">
        <v>50</v>
      </c>
      <c r="D3960" s="159">
        <v>21</v>
      </c>
      <c r="E3960" s="159">
        <v>10</v>
      </c>
      <c r="F3960" s="131"/>
      <c r="G3960" s="132"/>
      <c r="H3960" s="162" t="s">
        <v>24374</v>
      </c>
      <c r="I3960" s="128"/>
      <c r="J3960" s="128"/>
      <c r="K3960" s="128"/>
      <c r="L3960" s="128"/>
      <c r="M3960" s="129"/>
      <c r="N3960" s="129"/>
      <c r="O3960" s="129"/>
    </row>
    <row r="3961" spans="1:15" ht="12.5">
      <c r="A3961" s="158" t="s">
        <v>24375</v>
      </c>
      <c r="B3961" s="159">
        <v>40</v>
      </c>
      <c r="C3961" s="159">
        <v>50</v>
      </c>
      <c r="D3961" s="159">
        <v>21</v>
      </c>
      <c r="E3961" s="159">
        <v>11</v>
      </c>
      <c r="F3961" s="131"/>
      <c r="G3961" s="132"/>
      <c r="H3961" s="162" t="s">
        <v>24376</v>
      </c>
      <c r="I3961" s="128"/>
      <c r="J3961" s="128"/>
      <c r="K3961" s="128"/>
      <c r="L3961" s="128"/>
      <c r="M3961" s="129"/>
      <c r="N3961" s="129"/>
      <c r="O3961" s="129"/>
    </row>
    <row r="3962" spans="1:15" ht="12.5">
      <c r="A3962" s="158" t="s">
        <v>24377</v>
      </c>
      <c r="B3962" s="159">
        <v>40</v>
      </c>
      <c r="C3962" s="159">
        <v>50</v>
      </c>
      <c r="D3962" s="159">
        <v>21</v>
      </c>
      <c r="E3962" s="159">
        <v>13</v>
      </c>
      <c r="F3962" s="131"/>
      <c r="G3962" s="132"/>
      <c r="H3962" s="162" t="s">
        <v>24378</v>
      </c>
      <c r="I3962" s="158" t="s">
        <v>24379</v>
      </c>
      <c r="J3962" s="128"/>
      <c r="K3962" s="128"/>
      <c r="L3962" s="128"/>
      <c r="M3962" s="129"/>
      <c r="N3962" s="129"/>
      <c r="O3962" s="129"/>
    </row>
    <row r="3963" spans="1:15" ht="12.5">
      <c r="A3963" s="158" t="s">
        <v>24380</v>
      </c>
      <c r="B3963" s="159">
        <v>40</v>
      </c>
      <c r="C3963" s="159">
        <v>50</v>
      </c>
      <c r="D3963" s="159">
        <v>21</v>
      </c>
      <c r="E3963" s="159">
        <v>14</v>
      </c>
      <c r="F3963" s="131"/>
      <c r="G3963" s="132"/>
      <c r="H3963" s="162" t="s">
        <v>24381</v>
      </c>
      <c r="I3963" s="128"/>
      <c r="J3963" s="128"/>
      <c r="K3963" s="128"/>
      <c r="L3963" s="128"/>
      <c r="M3963" s="129"/>
      <c r="N3963" s="129"/>
      <c r="O3963" s="129"/>
    </row>
    <row r="3964" spans="1:15" ht="12.5">
      <c r="A3964" s="158" t="s">
        <v>24382</v>
      </c>
      <c r="B3964" s="159">
        <v>40</v>
      </c>
      <c r="C3964" s="159">
        <v>50</v>
      </c>
      <c r="D3964" s="159">
        <v>21</v>
      </c>
      <c r="E3964" s="159">
        <v>15</v>
      </c>
      <c r="F3964" s="131"/>
      <c r="G3964" s="132"/>
      <c r="H3964" s="162" t="s">
        <v>24383</v>
      </c>
      <c r="I3964" s="128"/>
      <c r="J3964" s="128"/>
      <c r="K3964" s="128"/>
      <c r="L3964" s="128"/>
      <c r="M3964" s="129"/>
      <c r="N3964" s="129"/>
      <c r="O3964" s="129"/>
    </row>
    <row r="3965" spans="1:15" ht="12.5">
      <c r="A3965" s="158" t="s">
        <v>24384</v>
      </c>
      <c r="B3965" s="159">
        <v>40</v>
      </c>
      <c r="C3965" s="159">
        <v>50</v>
      </c>
      <c r="D3965" s="159">
        <v>21</v>
      </c>
      <c r="E3965" s="159">
        <v>16</v>
      </c>
      <c r="F3965" s="131"/>
      <c r="G3965" s="132"/>
      <c r="H3965" s="162" t="s">
        <v>24385</v>
      </c>
      <c r="I3965" s="128"/>
      <c r="J3965" s="128"/>
      <c r="K3965" s="128"/>
      <c r="L3965" s="128"/>
      <c r="M3965" s="129"/>
      <c r="N3965" s="129"/>
      <c r="O3965" s="129"/>
    </row>
    <row r="3966" spans="1:15" ht="12.5">
      <c r="A3966" s="158" t="s">
        <v>24386</v>
      </c>
      <c r="B3966" s="159">
        <v>40</v>
      </c>
      <c r="C3966" s="159">
        <v>50</v>
      </c>
      <c r="D3966" s="159">
        <v>21</v>
      </c>
      <c r="E3966" s="159">
        <v>17</v>
      </c>
      <c r="F3966" s="131"/>
      <c r="G3966" s="132"/>
      <c r="H3966" s="162" t="s">
        <v>24387</v>
      </c>
      <c r="I3966" s="128"/>
      <c r="J3966" s="128"/>
      <c r="K3966" s="128"/>
      <c r="L3966" s="128"/>
      <c r="M3966" s="129"/>
      <c r="N3966" s="129"/>
      <c r="O3966" s="129"/>
    </row>
    <row r="3967" spans="1:15" ht="12.5">
      <c r="A3967" s="158" t="s">
        <v>24388</v>
      </c>
      <c r="B3967" s="159">
        <v>40</v>
      </c>
      <c r="C3967" s="159">
        <v>50</v>
      </c>
      <c r="D3967" s="159">
        <v>21</v>
      </c>
      <c r="E3967" s="159">
        <v>21</v>
      </c>
      <c r="F3967" s="131"/>
      <c r="G3967" s="132"/>
      <c r="H3967" s="162" t="s">
        <v>24389</v>
      </c>
      <c r="I3967" s="128"/>
      <c r="J3967" s="128"/>
      <c r="K3967" s="128"/>
      <c r="L3967" s="128"/>
      <c r="M3967" s="129"/>
      <c r="N3967" s="129"/>
      <c r="O3967" s="129"/>
    </row>
    <row r="3968" spans="1:15" ht="12.5">
      <c r="A3968" s="158" t="s">
        <v>24390</v>
      </c>
      <c r="B3968" s="159">
        <v>40</v>
      </c>
      <c r="C3968" s="159">
        <v>50</v>
      </c>
      <c r="D3968" s="159">
        <v>21</v>
      </c>
      <c r="E3968" s="159">
        <v>22</v>
      </c>
      <c r="F3968" s="131"/>
      <c r="G3968" s="132"/>
      <c r="H3968" s="162" t="s">
        <v>24391</v>
      </c>
      <c r="I3968" s="128"/>
      <c r="J3968" s="128"/>
      <c r="K3968" s="128"/>
      <c r="L3968" s="128"/>
      <c r="M3968" s="129"/>
      <c r="N3968" s="129"/>
      <c r="O3968" s="129"/>
    </row>
    <row r="3969" spans="1:15" ht="12.5">
      <c r="A3969" s="158" t="s">
        <v>24392</v>
      </c>
      <c r="B3969" s="159">
        <v>40</v>
      </c>
      <c r="C3969" s="159">
        <v>50</v>
      </c>
      <c r="D3969" s="159">
        <v>21</v>
      </c>
      <c r="E3969" s="159">
        <v>23</v>
      </c>
      <c r="F3969" s="131"/>
      <c r="G3969" s="132"/>
      <c r="H3969" s="162" t="s">
        <v>24393</v>
      </c>
      <c r="I3969" s="128"/>
      <c r="J3969" s="128"/>
      <c r="K3969" s="128"/>
      <c r="L3969" s="128"/>
      <c r="M3969" s="129"/>
      <c r="N3969" s="129"/>
      <c r="O3969" s="129"/>
    </row>
    <row r="3970" spans="1:15" ht="12.5">
      <c r="A3970" s="158" t="s">
        <v>24394</v>
      </c>
      <c r="B3970" s="159">
        <v>40</v>
      </c>
      <c r="C3970" s="159">
        <v>50</v>
      </c>
      <c r="D3970" s="159">
        <v>21</v>
      </c>
      <c r="E3970" s="159">
        <v>24</v>
      </c>
      <c r="F3970" s="131"/>
      <c r="G3970" s="132"/>
      <c r="H3970" s="162" t="s">
        <v>24395</v>
      </c>
      <c r="I3970" s="128"/>
      <c r="J3970" s="128"/>
      <c r="K3970" s="128"/>
      <c r="L3970" s="128"/>
      <c r="M3970" s="129"/>
      <c r="N3970" s="129"/>
      <c r="O3970" s="129"/>
    </row>
    <row r="3971" spans="1:15" ht="12.5">
      <c r="A3971" s="158" t="s">
        <v>24396</v>
      </c>
      <c r="B3971" s="159">
        <v>40</v>
      </c>
      <c r="C3971" s="159">
        <v>50</v>
      </c>
      <c r="D3971" s="159">
        <v>21</v>
      </c>
      <c r="E3971" s="159">
        <v>25</v>
      </c>
      <c r="F3971" s="131"/>
      <c r="G3971" s="132"/>
      <c r="H3971" s="162" t="s">
        <v>24397</v>
      </c>
      <c r="I3971" s="128"/>
      <c r="J3971" s="128"/>
      <c r="K3971" s="128"/>
      <c r="L3971" s="128"/>
      <c r="M3971" s="129"/>
      <c r="N3971" s="129"/>
      <c r="O3971" s="129"/>
    </row>
    <row r="3972" spans="1:15" ht="12.5">
      <c r="A3972" s="158" t="s">
        <v>24398</v>
      </c>
      <c r="B3972" s="159">
        <v>40</v>
      </c>
      <c r="C3972" s="159">
        <v>50</v>
      </c>
      <c r="D3972" s="159">
        <v>21</v>
      </c>
      <c r="E3972" s="159">
        <v>26</v>
      </c>
      <c r="F3972" s="131"/>
      <c r="G3972" s="132"/>
      <c r="H3972" s="162" t="s">
        <v>24399</v>
      </c>
      <c r="I3972" s="128"/>
      <c r="J3972" s="128"/>
      <c r="K3972" s="128"/>
      <c r="L3972" s="128"/>
      <c r="M3972" s="129"/>
      <c r="N3972" s="129"/>
      <c r="O3972" s="129"/>
    </row>
    <row r="3973" spans="1:15" ht="12.5">
      <c r="A3973" s="158" t="s">
        <v>24400</v>
      </c>
      <c r="B3973" s="159">
        <v>40</v>
      </c>
      <c r="C3973" s="159">
        <v>50</v>
      </c>
      <c r="D3973" s="159">
        <v>21</v>
      </c>
      <c r="E3973" s="159">
        <v>29</v>
      </c>
      <c r="F3973" s="131"/>
      <c r="G3973" s="132"/>
      <c r="H3973" s="162" t="s">
        <v>24401</v>
      </c>
      <c r="I3973" s="128"/>
      <c r="J3973" s="128"/>
      <c r="K3973" s="128"/>
      <c r="L3973" s="128"/>
      <c r="M3973" s="129"/>
      <c r="N3973" s="129"/>
      <c r="O3973" s="129"/>
    </row>
    <row r="3974" spans="1:15" ht="12.5">
      <c r="A3974" s="158" t="s">
        <v>24402</v>
      </c>
      <c r="B3974" s="159">
        <v>40</v>
      </c>
      <c r="C3974" s="159">
        <v>50</v>
      </c>
      <c r="D3974" s="159">
        <v>21</v>
      </c>
      <c r="E3974" s="159">
        <v>30</v>
      </c>
      <c r="F3974" s="131"/>
      <c r="G3974" s="132"/>
      <c r="H3974" s="162" t="s">
        <v>24403</v>
      </c>
      <c r="I3974" s="128"/>
      <c r="J3974" s="128"/>
      <c r="K3974" s="128"/>
      <c r="L3974" s="128"/>
      <c r="M3974" s="129"/>
      <c r="N3974" s="129"/>
      <c r="O3974" s="129"/>
    </row>
    <row r="3975" spans="1:15" ht="12.5">
      <c r="A3975" s="158" t="s">
        <v>24404</v>
      </c>
      <c r="B3975" s="159">
        <v>40</v>
      </c>
      <c r="C3975" s="159">
        <v>50</v>
      </c>
      <c r="D3975" s="159">
        <v>21</v>
      </c>
      <c r="E3975" s="159">
        <v>31</v>
      </c>
      <c r="F3975" s="131"/>
      <c r="G3975" s="132"/>
      <c r="H3975" s="162" t="s">
        <v>24405</v>
      </c>
      <c r="I3975" s="128"/>
      <c r="J3975" s="128"/>
      <c r="K3975" s="128"/>
      <c r="L3975" s="128"/>
      <c r="M3975" s="129"/>
      <c r="N3975" s="129"/>
      <c r="O3975" s="129"/>
    </row>
    <row r="3976" spans="1:15" ht="12.5">
      <c r="A3976" s="158" t="s">
        <v>24406</v>
      </c>
      <c r="B3976" s="159">
        <v>40</v>
      </c>
      <c r="C3976" s="159">
        <v>50</v>
      </c>
      <c r="D3976" s="159">
        <v>21</v>
      </c>
      <c r="E3976" s="159">
        <v>32</v>
      </c>
      <c r="F3976" s="131"/>
      <c r="G3976" s="132"/>
      <c r="H3976" s="162" t="s">
        <v>24407</v>
      </c>
      <c r="I3976" s="128"/>
      <c r="J3976" s="128"/>
      <c r="K3976" s="128"/>
      <c r="L3976" s="128"/>
      <c r="M3976" s="129"/>
      <c r="N3976" s="129"/>
      <c r="O3976" s="129"/>
    </row>
    <row r="3977" spans="1:15" ht="12.5">
      <c r="A3977" s="158" t="s">
        <v>24408</v>
      </c>
      <c r="B3977" s="159">
        <v>40</v>
      </c>
      <c r="C3977" s="159">
        <v>50</v>
      </c>
      <c r="D3977" s="159">
        <v>21</v>
      </c>
      <c r="E3977" s="159">
        <v>33</v>
      </c>
      <c r="F3977" s="131"/>
      <c r="G3977" s="132"/>
      <c r="H3977" s="162" t="s">
        <v>24409</v>
      </c>
      <c r="I3977" s="128"/>
      <c r="J3977" s="128"/>
      <c r="K3977" s="128"/>
      <c r="L3977" s="128"/>
      <c r="M3977" s="129"/>
      <c r="N3977" s="129"/>
      <c r="O3977" s="129"/>
    </row>
    <row r="3978" spans="1:15" ht="12.5">
      <c r="A3978" s="158" t="s">
        <v>24410</v>
      </c>
      <c r="B3978" s="159">
        <v>40</v>
      </c>
      <c r="C3978" s="159">
        <v>50</v>
      </c>
      <c r="D3978" s="159">
        <v>21</v>
      </c>
      <c r="E3978" s="159">
        <v>44</v>
      </c>
      <c r="F3978" s="131"/>
      <c r="G3978" s="132"/>
      <c r="H3978" s="162" t="s">
        <v>24411</v>
      </c>
      <c r="I3978" s="128"/>
      <c r="J3978" s="128"/>
      <c r="K3978" s="128"/>
      <c r="L3978" s="128"/>
      <c r="M3978" s="129"/>
      <c r="N3978" s="129"/>
      <c r="O3978" s="129"/>
    </row>
    <row r="3979" spans="1:15" ht="12.5">
      <c r="A3979" s="158" t="s">
        <v>24412</v>
      </c>
      <c r="B3979" s="159">
        <v>40</v>
      </c>
      <c r="C3979" s="159">
        <v>50</v>
      </c>
      <c r="D3979" s="159">
        <v>21</v>
      </c>
      <c r="E3979" s="159">
        <v>45</v>
      </c>
      <c r="F3979" s="131"/>
      <c r="G3979" s="132"/>
      <c r="H3979" s="162" t="s">
        <v>24413</v>
      </c>
      <c r="I3979" s="128"/>
      <c r="J3979" s="128"/>
      <c r="K3979" s="128"/>
      <c r="L3979" s="128"/>
      <c r="M3979" s="129"/>
      <c r="N3979" s="129"/>
      <c r="O3979" s="129"/>
    </row>
    <row r="3980" spans="1:15" ht="12.5">
      <c r="A3980" s="158" t="s">
        <v>24414</v>
      </c>
      <c r="B3980" s="159">
        <v>40</v>
      </c>
      <c r="C3980" s="159">
        <v>50</v>
      </c>
      <c r="D3980" s="159">
        <v>21</v>
      </c>
      <c r="E3980" s="159">
        <v>46</v>
      </c>
      <c r="F3980" s="131"/>
      <c r="G3980" s="132"/>
      <c r="H3980" s="162" t="s">
        <v>24415</v>
      </c>
      <c r="I3980" s="158" t="s">
        <v>24416</v>
      </c>
      <c r="J3980" s="128"/>
      <c r="K3980" s="128"/>
      <c r="L3980" s="128"/>
      <c r="M3980" s="129"/>
      <c r="N3980" s="129"/>
      <c r="O3980" s="129"/>
    </row>
    <row r="3981" spans="1:15" ht="12.5">
      <c r="A3981" s="158" t="s">
        <v>24417</v>
      </c>
      <c r="B3981" s="159">
        <v>40</v>
      </c>
      <c r="C3981" s="159">
        <v>50</v>
      </c>
      <c r="D3981" s="159">
        <v>21</v>
      </c>
      <c r="E3981" s="159">
        <v>47</v>
      </c>
      <c r="F3981" s="131"/>
      <c r="G3981" s="132"/>
      <c r="H3981" s="162" t="s">
        <v>24418</v>
      </c>
      <c r="I3981" s="128"/>
      <c r="J3981" s="128"/>
      <c r="K3981" s="128"/>
      <c r="L3981" s="128"/>
      <c r="M3981" s="129"/>
      <c r="N3981" s="129"/>
      <c r="O3981" s="129"/>
    </row>
    <row r="3982" spans="1:15" ht="12.5">
      <c r="A3982" s="158" t="s">
        <v>24419</v>
      </c>
      <c r="B3982" s="159">
        <v>40</v>
      </c>
      <c r="C3982" s="159">
        <v>50</v>
      </c>
      <c r="D3982" s="159">
        <v>21</v>
      </c>
      <c r="E3982" s="159">
        <v>48</v>
      </c>
      <c r="F3982" s="131"/>
      <c r="G3982" s="132"/>
      <c r="H3982" s="162" t="s">
        <v>24420</v>
      </c>
      <c r="I3982" s="128"/>
      <c r="J3982" s="128"/>
      <c r="K3982" s="128"/>
      <c r="L3982" s="128"/>
      <c r="M3982" s="129"/>
      <c r="N3982" s="129"/>
      <c r="O3982" s="129"/>
    </row>
    <row r="3983" spans="1:15" ht="12.5">
      <c r="A3983" s="158" t="s">
        <v>24421</v>
      </c>
      <c r="B3983" s="159">
        <v>40</v>
      </c>
      <c r="C3983" s="159">
        <v>50</v>
      </c>
      <c r="D3983" s="159">
        <v>21</v>
      </c>
      <c r="E3983" s="159">
        <v>49</v>
      </c>
      <c r="F3983" s="131"/>
      <c r="G3983" s="132"/>
      <c r="H3983" s="162" t="s">
        <v>24422</v>
      </c>
      <c r="I3983" s="128"/>
      <c r="J3983" s="128"/>
      <c r="K3983" s="128"/>
      <c r="L3983" s="128"/>
      <c r="M3983" s="129"/>
      <c r="N3983" s="129"/>
      <c r="O3983" s="129"/>
    </row>
    <row r="3984" spans="1:15" ht="12.5">
      <c r="A3984" s="158" t="s">
        <v>24423</v>
      </c>
      <c r="B3984" s="159">
        <v>40</v>
      </c>
      <c r="C3984" s="159">
        <v>50</v>
      </c>
      <c r="D3984" s="159">
        <v>21</v>
      </c>
      <c r="E3984" s="159">
        <v>50</v>
      </c>
      <c r="F3984" s="131"/>
      <c r="G3984" s="132"/>
      <c r="H3984" s="162" t="s">
        <v>24424</v>
      </c>
      <c r="I3984" s="128"/>
      <c r="J3984" s="128"/>
      <c r="K3984" s="128"/>
      <c r="L3984" s="128"/>
      <c r="M3984" s="129"/>
      <c r="N3984" s="129"/>
      <c r="O3984" s="129"/>
    </row>
    <row r="3985" spans="1:15" ht="12.5">
      <c r="A3985" s="158" t="s">
        <v>24425</v>
      </c>
      <c r="B3985" s="159">
        <v>40</v>
      </c>
      <c r="C3985" s="159">
        <v>50</v>
      </c>
      <c r="D3985" s="159">
        <v>21</v>
      </c>
      <c r="E3985" s="159">
        <v>51</v>
      </c>
      <c r="F3985" s="131"/>
      <c r="G3985" s="132"/>
      <c r="H3985" s="162" t="s">
        <v>24426</v>
      </c>
      <c r="I3985" s="128"/>
      <c r="J3985" s="128"/>
      <c r="K3985" s="128"/>
      <c r="L3985" s="128"/>
      <c r="M3985" s="129"/>
      <c r="N3985" s="129"/>
      <c r="O3985" s="129"/>
    </row>
    <row r="3986" spans="1:15" ht="12.5">
      <c r="A3986" s="158" t="s">
        <v>24427</v>
      </c>
      <c r="B3986" s="159">
        <v>40</v>
      </c>
      <c r="C3986" s="159">
        <v>50</v>
      </c>
      <c r="D3986" s="159">
        <v>21</v>
      </c>
      <c r="E3986" s="159">
        <v>58</v>
      </c>
      <c r="F3986" s="131"/>
      <c r="G3986" s="132"/>
      <c r="H3986" s="162" t="s">
        <v>24428</v>
      </c>
      <c r="I3986" s="128"/>
      <c r="J3986" s="128"/>
      <c r="K3986" s="128"/>
      <c r="L3986" s="128"/>
      <c r="M3986" s="129"/>
      <c r="N3986" s="129"/>
      <c r="O3986" s="129"/>
    </row>
    <row r="3987" spans="1:15" ht="12.5">
      <c r="A3987" s="158" t="s">
        <v>24429</v>
      </c>
      <c r="B3987" s="159">
        <v>40</v>
      </c>
      <c r="C3987" s="159">
        <v>50</v>
      </c>
      <c r="D3987" s="159">
        <v>21</v>
      </c>
      <c r="E3987" s="159">
        <v>59</v>
      </c>
      <c r="F3987" s="131"/>
      <c r="G3987" s="132"/>
      <c r="H3987" s="162" t="s">
        <v>24430</v>
      </c>
      <c r="I3987" s="158" t="s">
        <v>24431</v>
      </c>
      <c r="J3987" s="128"/>
      <c r="K3987" s="128"/>
      <c r="L3987" s="128"/>
      <c r="M3987" s="129"/>
      <c r="N3987" s="129"/>
      <c r="O3987" s="129"/>
    </row>
    <row r="3988" spans="1:15" ht="12.5">
      <c r="A3988" s="158" t="s">
        <v>24432</v>
      </c>
      <c r="B3988" s="159">
        <v>40</v>
      </c>
      <c r="C3988" s="159">
        <v>50</v>
      </c>
      <c r="D3988" s="159">
        <v>21</v>
      </c>
      <c r="E3988" s="159">
        <v>60</v>
      </c>
      <c r="F3988" s="131"/>
      <c r="G3988" s="132"/>
      <c r="H3988" s="162" t="s">
        <v>24433</v>
      </c>
      <c r="I3988" s="158" t="s">
        <v>24434</v>
      </c>
      <c r="J3988" s="128"/>
      <c r="K3988" s="128"/>
      <c r="L3988" s="128"/>
      <c r="M3988" s="129"/>
      <c r="N3988" s="129"/>
      <c r="O3988" s="129"/>
    </row>
    <row r="3989" spans="1:15" ht="12.5">
      <c r="A3989" s="158" t="s">
        <v>24435</v>
      </c>
      <c r="B3989" s="159">
        <v>40</v>
      </c>
      <c r="C3989" s="159">
        <v>50</v>
      </c>
      <c r="D3989" s="159">
        <v>21</v>
      </c>
      <c r="E3989" s="159">
        <v>63</v>
      </c>
      <c r="F3989" s="131"/>
      <c r="G3989" s="132"/>
      <c r="H3989" s="162" t="s">
        <v>24436</v>
      </c>
      <c r="I3989" s="128"/>
      <c r="J3989" s="128"/>
      <c r="K3989" s="128"/>
      <c r="L3989" s="128"/>
      <c r="M3989" s="129"/>
      <c r="N3989" s="129"/>
      <c r="O3989" s="129"/>
    </row>
    <row r="3990" spans="1:15" ht="12.5">
      <c r="A3990" s="158" t="s">
        <v>24437</v>
      </c>
      <c r="B3990" s="159">
        <v>40</v>
      </c>
      <c r="C3990" s="159">
        <v>50</v>
      </c>
      <c r="D3990" s="159">
        <v>21</v>
      </c>
      <c r="E3990" s="159">
        <v>70</v>
      </c>
      <c r="F3990" s="131"/>
      <c r="G3990" s="132"/>
      <c r="H3990" s="162" t="s">
        <v>24438</v>
      </c>
      <c r="I3990" s="128"/>
      <c r="J3990" s="128"/>
      <c r="K3990" s="128"/>
      <c r="L3990" s="128"/>
      <c r="M3990" s="129"/>
      <c r="N3990" s="129"/>
      <c r="O3990" s="129"/>
    </row>
    <row r="3991" spans="1:15" ht="12.5">
      <c r="A3991" s="158" t="s">
        <v>24439</v>
      </c>
      <c r="B3991" s="159">
        <v>40</v>
      </c>
      <c r="C3991" s="159">
        <v>50</v>
      </c>
      <c r="D3991" s="159">
        <v>21</v>
      </c>
      <c r="E3991" s="159">
        <v>73</v>
      </c>
      <c r="F3991" s="131"/>
      <c r="G3991" s="132"/>
      <c r="H3991" s="162" t="s">
        <v>24440</v>
      </c>
      <c r="I3991" s="128"/>
      <c r="J3991" s="128"/>
      <c r="K3991" s="128"/>
      <c r="L3991" s="128"/>
      <c r="M3991" s="129"/>
      <c r="N3991" s="129"/>
      <c r="O3991" s="129"/>
    </row>
    <row r="3992" spans="1:15" ht="12.5">
      <c r="A3992" s="158" t="s">
        <v>24441</v>
      </c>
      <c r="B3992" s="159">
        <v>40</v>
      </c>
      <c r="C3992" s="159">
        <v>50</v>
      </c>
      <c r="D3992" s="159">
        <v>21</v>
      </c>
      <c r="E3992" s="159">
        <v>76</v>
      </c>
      <c r="F3992" s="131"/>
      <c r="G3992" s="132"/>
      <c r="H3992" s="162" t="s">
        <v>24442</v>
      </c>
      <c r="I3992" s="158" t="s">
        <v>24443</v>
      </c>
      <c r="J3992" s="128"/>
      <c r="K3992" s="128"/>
      <c r="L3992" s="128"/>
      <c r="M3992" s="129"/>
      <c r="N3992" s="129"/>
      <c r="O3992" s="129"/>
    </row>
    <row r="3993" spans="1:15" ht="12.5">
      <c r="A3993" s="158" t="s">
        <v>24444</v>
      </c>
      <c r="B3993" s="159">
        <v>40</v>
      </c>
      <c r="C3993" s="159">
        <v>50</v>
      </c>
      <c r="D3993" s="159">
        <v>21</v>
      </c>
      <c r="E3993" s="159">
        <v>84</v>
      </c>
      <c r="F3993" s="131"/>
      <c r="G3993" s="132"/>
      <c r="H3993" s="162" t="s">
        <v>24445</v>
      </c>
      <c r="I3993" s="128"/>
      <c r="J3993" s="128"/>
      <c r="K3993" s="128"/>
      <c r="L3993" s="128"/>
      <c r="M3993" s="129"/>
      <c r="N3993" s="129"/>
      <c r="O3993" s="129"/>
    </row>
    <row r="3994" spans="1:15" ht="12.5">
      <c r="A3994" s="158" t="s">
        <v>24446</v>
      </c>
      <c r="B3994" s="159">
        <v>40</v>
      </c>
      <c r="C3994" s="159">
        <v>50</v>
      </c>
      <c r="D3994" s="159">
        <v>21</v>
      </c>
      <c r="E3994" s="159">
        <v>85</v>
      </c>
      <c r="F3994" s="131"/>
      <c r="G3994" s="132"/>
      <c r="H3994" s="162" t="s">
        <v>24447</v>
      </c>
      <c r="I3994" s="128"/>
      <c r="J3994" s="128"/>
      <c r="K3994" s="128"/>
      <c r="L3994" s="128"/>
      <c r="M3994" s="129"/>
      <c r="N3994" s="129"/>
      <c r="O3994" s="129"/>
    </row>
    <row r="3995" spans="1:15" ht="12.5">
      <c r="A3995" s="158" t="s">
        <v>24448</v>
      </c>
      <c r="B3995" s="159">
        <v>40</v>
      </c>
      <c r="C3995" s="159">
        <v>50</v>
      </c>
      <c r="D3995" s="159">
        <v>21</v>
      </c>
      <c r="E3995" s="159">
        <v>90</v>
      </c>
      <c r="F3995" s="131"/>
      <c r="G3995" s="132"/>
      <c r="H3995" s="162" t="s">
        <v>24449</v>
      </c>
      <c r="I3995" s="128"/>
      <c r="J3995" s="128"/>
      <c r="K3995" s="128"/>
      <c r="L3995" s="128"/>
      <c r="M3995" s="129"/>
      <c r="N3995" s="129"/>
      <c r="O3995" s="129"/>
    </row>
    <row r="3996" spans="1:15" ht="12.5">
      <c r="A3996" s="158" t="s">
        <v>24450</v>
      </c>
      <c r="B3996" s="159">
        <v>40</v>
      </c>
      <c r="C3996" s="159">
        <v>50</v>
      </c>
      <c r="D3996" s="159">
        <v>21</v>
      </c>
      <c r="E3996" s="159">
        <v>96</v>
      </c>
      <c r="F3996" s="131"/>
      <c r="G3996" s="132"/>
      <c r="H3996" s="162" t="s">
        <v>24451</v>
      </c>
      <c r="I3996" s="128"/>
      <c r="J3996" s="128"/>
      <c r="K3996" s="128"/>
      <c r="L3996" s="128"/>
      <c r="M3996" s="129"/>
      <c r="N3996" s="129"/>
      <c r="O3996" s="129"/>
    </row>
    <row r="3997" spans="1:15" ht="12.5">
      <c r="A3997" s="158" t="s">
        <v>24452</v>
      </c>
      <c r="B3997" s="159">
        <v>40</v>
      </c>
      <c r="C3997" s="159">
        <v>50</v>
      </c>
      <c r="D3997" s="159">
        <v>21</v>
      </c>
      <c r="E3997" s="159">
        <v>98</v>
      </c>
      <c r="F3997" s="131"/>
      <c r="G3997" s="132"/>
      <c r="H3997" s="162" t="s">
        <v>24453</v>
      </c>
      <c r="I3997" s="128"/>
      <c r="J3997" s="128"/>
      <c r="K3997" s="128"/>
      <c r="L3997" s="128"/>
      <c r="M3997" s="129"/>
      <c r="N3997" s="129"/>
      <c r="O3997" s="129"/>
    </row>
    <row r="3998" spans="1:15" ht="12.5">
      <c r="A3998" s="158" t="s">
        <v>24454</v>
      </c>
      <c r="B3998" s="159">
        <v>40</v>
      </c>
      <c r="C3998" s="159">
        <v>50</v>
      </c>
      <c r="D3998" s="159">
        <v>21</v>
      </c>
      <c r="E3998" s="159">
        <v>99</v>
      </c>
      <c r="F3998" s="131"/>
      <c r="G3998" s="132"/>
      <c r="H3998" s="162" t="s">
        <v>24455</v>
      </c>
      <c r="I3998" s="128"/>
      <c r="J3998" s="128"/>
      <c r="K3998" s="128"/>
      <c r="L3998" s="128"/>
      <c r="M3998" s="129"/>
      <c r="N3998" s="129"/>
      <c r="O3998" s="129"/>
    </row>
    <row r="3999" spans="1:15" ht="12.5">
      <c r="A3999" s="158" t="s">
        <v>24456</v>
      </c>
      <c r="B3999" s="159">
        <v>40</v>
      </c>
      <c r="C3999" s="159">
        <v>50</v>
      </c>
      <c r="D3999" s="159">
        <v>28</v>
      </c>
      <c r="E3999" s="130"/>
      <c r="F3999" s="131"/>
      <c r="G3999" s="132"/>
      <c r="H3999" s="162" t="s">
        <v>24457</v>
      </c>
      <c r="I3999" s="128"/>
      <c r="J3999" s="128"/>
      <c r="K3999" s="128"/>
      <c r="L3999" s="128"/>
      <c r="M3999" s="129"/>
      <c r="N3999" s="129"/>
      <c r="O3999" s="129"/>
    </row>
    <row r="4000" spans="1:15" ht="12.5">
      <c r="A4000" s="158" t="s">
        <v>24458</v>
      </c>
      <c r="B4000" s="159">
        <v>40</v>
      </c>
      <c r="C4000" s="159">
        <v>50</v>
      </c>
      <c r="D4000" s="159">
        <v>28</v>
      </c>
      <c r="E4000" s="159">
        <v>11</v>
      </c>
      <c r="F4000" s="131"/>
      <c r="G4000" s="132"/>
      <c r="H4000" s="162" t="s">
        <v>24459</v>
      </c>
      <c r="I4000" s="158" t="s">
        <v>24460</v>
      </c>
      <c r="J4000" s="128"/>
      <c r="K4000" s="128"/>
      <c r="L4000" s="128"/>
      <c r="M4000" s="129"/>
      <c r="N4000" s="129"/>
      <c r="O4000" s="129"/>
    </row>
    <row r="4001" spans="1:15" ht="12.5">
      <c r="A4001" s="158" t="s">
        <v>24461</v>
      </c>
      <c r="B4001" s="159">
        <v>40</v>
      </c>
      <c r="C4001" s="159">
        <v>50</v>
      </c>
      <c r="D4001" s="159">
        <v>28</v>
      </c>
      <c r="E4001" s="159">
        <v>12</v>
      </c>
      <c r="F4001" s="131"/>
      <c r="G4001" s="132"/>
      <c r="H4001" s="162" t="s">
        <v>24462</v>
      </c>
      <c r="I4001" s="158" t="s">
        <v>24463</v>
      </c>
      <c r="J4001" s="128"/>
      <c r="K4001" s="128"/>
      <c r="L4001" s="128"/>
      <c r="M4001" s="129"/>
      <c r="N4001" s="129"/>
      <c r="O4001" s="129"/>
    </row>
    <row r="4002" spans="1:15" ht="12.5">
      <c r="A4002" s="158" t="s">
        <v>24464</v>
      </c>
      <c r="B4002" s="159">
        <v>40</v>
      </c>
      <c r="C4002" s="159">
        <v>50</v>
      </c>
      <c r="D4002" s="159">
        <v>28</v>
      </c>
      <c r="E4002" s="159">
        <v>24</v>
      </c>
      <c r="F4002" s="131"/>
      <c r="G4002" s="132"/>
      <c r="H4002" s="162" t="s">
        <v>24465</v>
      </c>
      <c r="I4002" s="158" t="s">
        <v>24466</v>
      </c>
      <c r="J4002" s="128"/>
      <c r="K4002" s="128"/>
      <c r="L4002" s="128"/>
      <c r="M4002" s="129"/>
      <c r="N4002" s="129"/>
      <c r="O4002" s="129"/>
    </row>
    <row r="4003" spans="1:15" ht="12.5">
      <c r="A4003" s="158" t="s">
        <v>24467</v>
      </c>
      <c r="B4003" s="159">
        <v>40</v>
      </c>
      <c r="C4003" s="159">
        <v>50</v>
      </c>
      <c r="D4003" s="159">
        <v>28</v>
      </c>
      <c r="E4003" s="159">
        <v>28</v>
      </c>
      <c r="F4003" s="131"/>
      <c r="G4003" s="132"/>
      <c r="H4003" s="162" t="s">
        <v>24468</v>
      </c>
      <c r="I4003" s="158" t="s">
        <v>24469</v>
      </c>
      <c r="J4003" s="128"/>
      <c r="K4003" s="128"/>
      <c r="L4003" s="128"/>
      <c r="M4003" s="129"/>
      <c r="N4003" s="129"/>
      <c r="O4003" s="129"/>
    </row>
    <row r="4004" spans="1:15" ht="12.5">
      <c r="A4004" s="158" t="s">
        <v>24470</v>
      </c>
      <c r="B4004" s="159">
        <v>40</v>
      </c>
      <c r="C4004" s="159">
        <v>50</v>
      </c>
      <c r="D4004" s="159">
        <v>28</v>
      </c>
      <c r="E4004" s="159">
        <v>29</v>
      </c>
      <c r="F4004" s="131"/>
      <c r="G4004" s="132"/>
      <c r="H4004" s="162" t="s">
        <v>24471</v>
      </c>
      <c r="I4004" s="158" t="s">
        <v>24472</v>
      </c>
      <c r="J4004" s="128"/>
      <c r="K4004" s="128"/>
      <c r="L4004" s="128"/>
      <c r="M4004" s="129"/>
      <c r="N4004" s="129"/>
      <c r="O4004" s="129"/>
    </row>
    <row r="4005" spans="1:15" ht="12.5">
      <c r="A4005" s="158" t="s">
        <v>24473</v>
      </c>
      <c r="B4005" s="159">
        <v>40</v>
      </c>
      <c r="C4005" s="159">
        <v>50</v>
      </c>
      <c r="D4005" s="159">
        <v>28</v>
      </c>
      <c r="E4005" s="159">
        <v>30</v>
      </c>
      <c r="F4005" s="131"/>
      <c r="G4005" s="132"/>
      <c r="H4005" s="162" t="s">
        <v>24474</v>
      </c>
      <c r="I4005" s="158" t="s">
        <v>24475</v>
      </c>
      <c r="J4005" s="128"/>
      <c r="K4005" s="128"/>
      <c r="L4005" s="128"/>
      <c r="M4005" s="129"/>
      <c r="N4005" s="129"/>
      <c r="O4005" s="129"/>
    </row>
    <row r="4006" spans="1:15" ht="12.5">
      <c r="A4006" s="158" t="s">
        <v>24476</v>
      </c>
      <c r="B4006" s="159">
        <v>40</v>
      </c>
      <c r="C4006" s="159">
        <v>50</v>
      </c>
      <c r="D4006" s="159">
        <v>28</v>
      </c>
      <c r="E4006" s="159">
        <v>31</v>
      </c>
      <c r="F4006" s="131"/>
      <c r="G4006" s="132"/>
      <c r="H4006" s="162" t="s">
        <v>24477</v>
      </c>
      <c r="I4006" s="128"/>
      <c r="J4006" s="128"/>
      <c r="K4006" s="128"/>
      <c r="L4006" s="128"/>
      <c r="M4006" s="129"/>
      <c r="N4006" s="129"/>
      <c r="O4006" s="129"/>
    </row>
    <row r="4007" spans="1:15" ht="12.5">
      <c r="A4007" s="158" t="s">
        <v>24478</v>
      </c>
      <c r="B4007" s="159">
        <v>40</v>
      </c>
      <c r="C4007" s="159">
        <v>50</v>
      </c>
      <c r="D4007" s="159">
        <v>28</v>
      </c>
      <c r="E4007" s="159">
        <v>47</v>
      </c>
      <c r="F4007" s="131"/>
      <c r="G4007" s="132"/>
      <c r="H4007" s="162" t="s">
        <v>24479</v>
      </c>
      <c r="I4007" s="158" t="s">
        <v>24480</v>
      </c>
      <c r="J4007" s="128"/>
      <c r="K4007" s="128"/>
      <c r="L4007" s="128"/>
      <c r="M4007" s="129"/>
      <c r="N4007" s="129"/>
      <c r="O4007" s="129"/>
    </row>
    <row r="4008" spans="1:15" ht="12.5">
      <c r="A4008" s="158" t="s">
        <v>24481</v>
      </c>
      <c r="B4008" s="159">
        <v>40</v>
      </c>
      <c r="C4008" s="159">
        <v>50</v>
      </c>
      <c r="D4008" s="159">
        <v>28</v>
      </c>
      <c r="E4008" s="159">
        <v>64</v>
      </c>
      <c r="F4008" s="131"/>
      <c r="G4008" s="132"/>
      <c r="H4008" s="162" t="s">
        <v>24482</v>
      </c>
      <c r="I4008" s="128"/>
      <c r="J4008" s="128"/>
      <c r="K4008" s="128"/>
      <c r="L4008" s="128"/>
      <c r="M4008" s="129"/>
      <c r="N4008" s="129"/>
      <c r="O4008" s="129"/>
    </row>
    <row r="4009" spans="1:15" ht="12.5">
      <c r="A4009" s="158" t="s">
        <v>24483</v>
      </c>
      <c r="B4009" s="159">
        <v>40</v>
      </c>
      <c r="C4009" s="159">
        <v>50</v>
      </c>
      <c r="D4009" s="159">
        <v>28</v>
      </c>
      <c r="E4009" s="159">
        <v>96</v>
      </c>
      <c r="F4009" s="131"/>
      <c r="G4009" s="132"/>
      <c r="H4009" s="162" t="s">
        <v>24484</v>
      </c>
      <c r="I4009" s="158" t="s">
        <v>24485</v>
      </c>
      <c r="J4009" s="128"/>
      <c r="K4009" s="128"/>
      <c r="L4009" s="128"/>
      <c r="M4009" s="129"/>
      <c r="N4009" s="129"/>
      <c r="O4009" s="129"/>
    </row>
    <row r="4010" spans="1:15" ht="12.5">
      <c r="A4010" s="158" t="s">
        <v>24486</v>
      </c>
      <c r="B4010" s="159">
        <v>40</v>
      </c>
      <c r="C4010" s="159">
        <v>50</v>
      </c>
      <c r="D4010" s="159">
        <v>28</v>
      </c>
      <c r="E4010" s="159">
        <v>97</v>
      </c>
      <c r="F4010" s="131"/>
      <c r="G4010" s="132"/>
      <c r="H4010" s="162" t="s">
        <v>24487</v>
      </c>
      <c r="I4010" s="158" t="s">
        <v>24488</v>
      </c>
      <c r="J4010" s="128"/>
      <c r="K4010" s="128"/>
      <c r="L4010" s="128"/>
      <c r="M4010" s="129"/>
      <c r="N4010" s="129"/>
      <c r="O4010" s="129"/>
    </row>
    <row r="4011" spans="1:15" ht="12.5">
      <c r="A4011" s="158" t="s">
        <v>24495</v>
      </c>
      <c r="B4011" s="159">
        <v>40</v>
      </c>
      <c r="C4011" s="159">
        <v>50</v>
      </c>
      <c r="D4011" s="159">
        <v>33</v>
      </c>
      <c r="E4011" s="130"/>
      <c r="F4011" s="131"/>
      <c r="G4011" s="132"/>
      <c r="H4011" s="162" t="s">
        <v>24496</v>
      </c>
      <c r="I4011" s="128"/>
      <c r="J4011" s="128"/>
      <c r="K4011" s="128"/>
      <c r="L4011" s="128"/>
      <c r="M4011" s="129"/>
      <c r="N4011" s="129"/>
      <c r="O4011" s="129"/>
    </row>
    <row r="4012" spans="1:15" ht="12.5">
      <c r="A4012" s="158" t="s">
        <v>24497</v>
      </c>
      <c r="B4012" s="159">
        <v>40</v>
      </c>
      <c r="C4012" s="159">
        <v>50</v>
      </c>
      <c r="D4012" s="159">
        <v>33</v>
      </c>
      <c r="E4012" s="159">
        <v>33</v>
      </c>
      <c r="F4012" s="131"/>
      <c r="G4012" s="132"/>
      <c r="H4012" s="162" t="s">
        <v>24498</v>
      </c>
      <c r="I4012" s="128"/>
      <c r="J4012" s="128"/>
      <c r="K4012" s="128"/>
      <c r="L4012" s="128"/>
      <c r="M4012" s="129"/>
      <c r="N4012" s="129"/>
      <c r="O4012" s="129"/>
    </row>
    <row r="4013" spans="1:15" ht="12.5">
      <c r="A4013" s="158" t="s">
        <v>24499</v>
      </c>
      <c r="B4013" s="159">
        <v>40</v>
      </c>
      <c r="C4013" s="159">
        <v>50</v>
      </c>
      <c r="D4013" s="159">
        <v>33</v>
      </c>
      <c r="E4013" s="159">
        <v>34</v>
      </c>
      <c r="F4013" s="131"/>
      <c r="G4013" s="132"/>
      <c r="H4013" s="162" t="s">
        <v>24500</v>
      </c>
      <c r="I4013" s="128"/>
      <c r="J4013" s="128"/>
      <c r="K4013" s="128"/>
      <c r="L4013" s="128"/>
      <c r="M4013" s="129"/>
      <c r="N4013" s="129"/>
      <c r="O4013" s="129"/>
    </row>
    <row r="4014" spans="1:15" ht="12.5">
      <c r="A4014" s="158" t="s">
        <v>24501</v>
      </c>
      <c r="B4014" s="159">
        <v>40</v>
      </c>
      <c r="C4014" s="159">
        <v>50</v>
      </c>
      <c r="D4014" s="159">
        <v>51</v>
      </c>
      <c r="E4014" s="130"/>
      <c r="F4014" s="131"/>
      <c r="G4014" s="132"/>
      <c r="H4014" s="162" t="s">
        <v>24502</v>
      </c>
      <c r="I4014" s="128"/>
      <c r="J4014" s="128"/>
      <c r="K4014" s="128"/>
      <c r="L4014" s="128"/>
      <c r="M4014" s="129"/>
      <c r="N4014" s="129"/>
      <c r="O4014" s="129"/>
    </row>
    <row r="4015" spans="1:15" ht="12.5">
      <c r="A4015" s="158" t="s">
        <v>24503</v>
      </c>
      <c r="B4015" s="159">
        <v>40</v>
      </c>
      <c r="C4015" s="159">
        <v>50</v>
      </c>
      <c r="D4015" s="159">
        <v>51</v>
      </c>
      <c r="E4015" s="159">
        <v>5</v>
      </c>
      <c r="F4015" s="131"/>
      <c r="G4015" s="132"/>
      <c r="H4015" s="162" t="s">
        <v>24504</v>
      </c>
      <c r="I4015" s="128"/>
      <c r="J4015" s="128"/>
      <c r="K4015" s="128"/>
      <c r="L4015" s="128"/>
      <c r="M4015" s="129"/>
      <c r="N4015" s="129"/>
      <c r="O4015" s="129"/>
    </row>
    <row r="4016" spans="1:15" ht="12.5">
      <c r="A4016" s="158" t="s">
        <v>24505</v>
      </c>
      <c r="B4016" s="159">
        <v>40</v>
      </c>
      <c r="C4016" s="159">
        <v>50</v>
      </c>
      <c r="D4016" s="159">
        <v>51</v>
      </c>
      <c r="E4016" s="159">
        <v>6</v>
      </c>
      <c r="F4016" s="131"/>
      <c r="G4016" s="132"/>
      <c r="H4016" s="162" t="s">
        <v>24506</v>
      </c>
      <c r="I4016" s="128"/>
      <c r="J4016" s="128"/>
      <c r="K4016" s="128"/>
      <c r="L4016" s="128"/>
      <c r="M4016" s="129"/>
      <c r="N4016" s="129"/>
      <c r="O4016" s="129"/>
    </row>
    <row r="4017" spans="1:15" ht="12.5">
      <c r="A4017" s="158" t="s">
        <v>24507</v>
      </c>
      <c r="B4017" s="159">
        <v>40</v>
      </c>
      <c r="C4017" s="159">
        <v>50</v>
      </c>
      <c r="D4017" s="159">
        <v>51</v>
      </c>
      <c r="E4017" s="159">
        <v>7</v>
      </c>
      <c r="F4017" s="131"/>
      <c r="G4017" s="132"/>
      <c r="H4017" s="162" t="s">
        <v>24508</v>
      </c>
      <c r="I4017" s="128"/>
      <c r="J4017" s="128"/>
      <c r="K4017" s="128"/>
      <c r="L4017" s="128"/>
      <c r="M4017" s="129"/>
      <c r="N4017" s="129"/>
      <c r="O4017" s="129"/>
    </row>
    <row r="4018" spans="1:15" ht="12.5">
      <c r="A4018" s="158" t="s">
        <v>24509</v>
      </c>
      <c r="B4018" s="159">
        <v>40</v>
      </c>
      <c r="C4018" s="159">
        <v>50</v>
      </c>
      <c r="D4018" s="159">
        <v>51</v>
      </c>
      <c r="E4018" s="159">
        <v>8</v>
      </c>
      <c r="F4018" s="131"/>
      <c r="G4018" s="132"/>
      <c r="H4018" s="162" t="s">
        <v>24510</v>
      </c>
      <c r="I4018" s="128"/>
      <c r="J4018" s="128"/>
      <c r="K4018" s="128"/>
      <c r="L4018" s="128"/>
      <c r="M4018" s="129"/>
      <c r="N4018" s="129"/>
      <c r="O4018" s="129"/>
    </row>
    <row r="4019" spans="1:15" ht="12.5">
      <c r="A4019" s="158" t="s">
        <v>24511</v>
      </c>
      <c r="B4019" s="159">
        <v>40</v>
      </c>
      <c r="C4019" s="159">
        <v>50</v>
      </c>
      <c r="D4019" s="159">
        <v>51</v>
      </c>
      <c r="E4019" s="159">
        <v>15</v>
      </c>
      <c r="F4019" s="131"/>
      <c r="G4019" s="132"/>
      <c r="H4019" s="162" t="s">
        <v>24512</v>
      </c>
      <c r="I4019" s="128"/>
      <c r="J4019" s="128"/>
      <c r="K4019" s="128"/>
      <c r="L4019" s="128"/>
      <c r="M4019" s="129"/>
      <c r="N4019" s="129"/>
      <c r="O4019" s="129"/>
    </row>
    <row r="4020" spans="1:15" ht="12.5">
      <c r="A4020" s="158" t="s">
        <v>24513</v>
      </c>
      <c r="B4020" s="159">
        <v>40</v>
      </c>
      <c r="C4020" s="159">
        <v>50</v>
      </c>
      <c r="D4020" s="159">
        <v>51</v>
      </c>
      <c r="E4020" s="159">
        <v>21</v>
      </c>
      <c r="F4020" s="131"/>
      <c r="G4020" s="132"/>
      <c r="H4020" s="162" t="s">
        <v>24514</v>
      </c>
      <c r="I4020" s="128"/>
      <c r="J4020" s="128"/>
      <c r="K4020" s="128"/>
      <c r="L4020" s="128"/>
      <c r="M4020" s="129"/>
      <c r="N4020" s="129"/>
      <c r="O4020" s="129"/>
    </row>
    <row r="4021" spans="1:15" ht="12.5">
      <c r="A4021" s="158" t="s">
        <v>24515</v>
      </c>
      <c r="B4021" s="159">
        <v>40</v>
      </c>
      <c r="C4021" s="159">
        <v>50</v>
      </c>
      <c r="D4021" s="159">
        <v>51</v>
      </c>
      <c r="E4021" s="159">
        <v>22</v>
      </c>
      <c r="F4021" s="131"/>
      <c r="G4021" s="132"/>
      <c r="H4021" s="162" t="s">
        <v>24516</v>
      </c>
      <c r="I4021" s="128"/>
      <c r="J4021" s="128"/>
      <c r="K4021" s="128"/>
      <c r="L4021" s="128"/>
      <c r="M4021" s="129"/>
      <c r="N4021" s="129"/>
      <c r="O4021" s="129"/>
    </row>
    <row r="4022" spans="1:15" ht="12.5">
      <c r="A4022" s="158" t="s">
        <v>24517</v>
      </c>
      <c r="B4022" s="159">
        <v>40</v>
      </c>
      <c r="C4022" s="159">
        <v>50</v>
      </c>
      <c r="D4022" s="159">
        <v>51</v>
      </c>
      <c r="E4022" s="159">
        <v>23</v>
      </c>
      <c r="F4022" s="131"/>
      <c r="G4022" s="132"/>
      <c r="H4022" s="162" t="s">
        <v>24518</v>
      </c>
      <c r="I4022" s="128"/>
      <c r="J4022" s="128"/>
      <c r="K4022" s="128"/>
      <c r="L4022" s="128"/>
      <c r="M4022" s="129"/>
      <c r="N4022" s="129"/>
      <c r="O4022" s="129"/>
    </row>
    <row r="4023" spans="1:15" ht="12.5">
      <c r="A4023" s="158" t="s">
        <v>24519</v>
      </c>
      <c r="B4023" s="159">
        <v>40</v>
      </c>
      <c r="C4023" s="159">
        <v>50</v>
      </c>
      <c r="D4023" s="159">
        <v>51</v>
      </c>
      <c r="E4023" s="159">
        <v>25</v>
      </c>
      <c r="F4023" s="131"/>
      <c r="G4023" s="132"/>
      <c r="H4023" s="162" t="s">
        <v>24520</v>
      </c>
      <c r="I4023" s="128"/>
      <c r="J4023" s="128"/>
      <c r="K4023" s="128"/>
      <c r="L4023" s="128"/>
      <c r="M4023" s="129"/>
      <c r="N4023" s="129"/>
      <c r="O4023" s="129"/>
    </row>
    <row r="4024" spans="1:15" ht="12.5">
      <c r="A4024" s="158" t="s">
        <v>24521</v>
      </c>
      <c r="B4024" s="159">
        <v>40</v>
      </c>
      <c r="C4024" s="159">
        <v>50</v>
      </c>
      <c r="D4024" s="159">
        <v>51</v>
      </c>
      <c r="E4024" s="159">
        <v>26</v>
      </c>
      <c r="F4024" s="131"/>
      <c r="G4024" s="132"/>
      <c r="H4024" s="162" t="s">
        <v>24522</v>
      </c>
      <c r="I4024" s="128"/>
      <c r="J4024" s="128"/>
      <c r="K4024" s="128"/>
      <c r="L4024" s="128"/>
      <c r="M4024" s="129"/>
      <c r="N4024" s="129"/>
      <c r="O4024" s="129"/>
    </row>
    <row r="4025" spans="1:15" ht="12.5">
      <c r="A4025" s="158" t="s">
        <v>24523</v>
      </c>
      <c r="B4025" s="159">
        <v>40</v>
      </c>
      <c r="C4025" s="159">
        <v>50</v>
      </c>
      <c r="D4025" s="159">
        <v>51</v>
      </c>
      <c r="E4025" s="159">
        <v>27</v>
      </c>
      <c r="F4025" s="131"/>
      <c r="G4025" s="132"/>
      <c r="H4025" s="162" t="s">
        <v>24524</v>
      </c>
      <c r="I4025" s="128"/>
      <c r="J4025" s="128"/>
      <c r="K4025" s="128"/>
      <c r="L4025" s="128"/>
      <c r="M4025" s="129"/>
      <c r="N4025" s="129"/>
      <c r="O4025" s="129"/>
    </row>
    <row r="4026" spans="1:15" ht="12.5">
      <c r="A4026" s="158" t="s">
        <v>24525</v>
      </c>
      <c r="B4026" s="159">
        <v>40</v>
      </c>
      <c r="C4026" s="159">
        <v>50</v>
      </c>
      <c r="D4026" s="159">
        <v>51</v>
      </c>
      <c r="E4026" s="159">
        <v>28</v>
      </c>
      <c r="F4026" s="131"/>
      <c r="G4026" s="132"/>
      <c r="H4026" s="162" t="s">
        <v>24526</v>
      </c>
      <c r="I4026" s="128"/>
      <c r="J4026" s="128"/>
      <c r="K4026" s="128"/>
      <c r="L4026" s="128"/>
      <c r="M4026" s="129"/>
      <c r="N4026" s="129"/>
      <c r="O4026" s="129"/>
    </row>
    <row r="4027" spans="1:15" ht="12.5">
      <c r="A4027" s="158" t="s">
        <v>24527</v>
      </c>
      <c r="B4027" s="159">
        <v>40</v>
      </c>
      <c r="C4027" s="159">
        <v>50</v>
      </c>
      <c r="D4027" s="159">
        <v>51</v>
      </c>
      <c r="E4027" s="159">
        <v>31</v>
      </c>
      <c r="F4027" s="131"/>
      <c r="G4027" s="132"/>
      <c r="H4027" s="162" t="s">
        <v>24528</v>
      </c>
      <c r="I4027" s="128"/>
      <c r="J4027" s="128"/>
      <c r="K4027" s="128"/>
      <c r="L4027" s="128"/>
      <c r="M4027" s="129"/>
      <c r="N4027" s="129"/>
      <c r="O4027" s="129"/>
    </row>
    <row r="4028" spans="1:15" ht="12.5">
      <c r="A4028" s="158" t="s">
        <v>24529</v>
      </c>
      <c r="B4028" s="159">
        <v>40</v>
      </c>
      <c r="C4028" s="159">
        <v>50</v>
      </c>
      <c r="D4028" s="159">
        <v>51</v>
      </c>
      <c r="E4028" s="159">
        <v>34</v>
      </c>
      <c r="F4028" s="131"/>
      <c r="G4028" s="132"/>
      <c r="H4028" s="162" t="s">
        <v>24530</v>
      </c>
      <c r="I4028" s="128"/>
      <c r="J4028" s="128"/>
      <c r="K4028" s="128"/>
      <c r="L4028" s="128"/>
      <c r="M4028" s="129"/>
      <c r="N4028" s="129"/>
      <c r="O4028" s="129"/>
    </row>
    <row r="4029" spans="1:15" ht="12.5">
      <c r="A4029" s="158" t="s">
        <v>24531</v>
      </c>
      <c r="B4029" s="159">
        <v>40</v>
      </c>
      <c r="C4029" s="159">
        <v>50</v>
      </c>
      <c r="D4029" s="159">
        <v>51</v>
      </c>
      <c r="E4029" s="159">
        <v>35</v>
      </c>
      <c r="F4029" s="131"/>
      <c r="G4029" s="132"/>
      <c r="H4029" s="162" t="s">
        <v>24532</v>
      </c>
      <c r="I4029" s="128"/>
      <c r="J4029" s="128"/>
      <c r="K4029" s="128"/>
      <c r="L4029" s="128"/>
      <c r="M4029" s="129"/>
      <c r="N4029" s="129"/>
      <c r="O4029" s="129"/>
    </row>
    <row r="4030" spans="1:15" ht="12.5">
      <c r="A4030" s="158" t="s">
        <v>24533</v>
      </c>
      <c r="B4030" s="159">
        <v>40</v>
      </c>
      <c r="C4030" s="159">
        <v>50</v>
      </c>
      <c r="D4030" s="159">
        <v>51</v>
      </c>
      <c r="E4030" s="159">
        <v>51</v>
      </c>
      <c r="F4030" s="131"/>
      <c r="G4030" s="132"/>
      <c r="H4030" s="162" t="s">
        <v>24534</v>
      </c>
      <c r="I4030" s="128"/>
      <c r="J4030" s="128"/>
      <c r="K4030" s="128"/>
      <c r="L4030" s="128"/>
      <c r="M4030" s="129"/>
      <c r="N4030" s="129"/>
      <c r="O4030" s="129"/>
    </row>
    <row r="4031" spans="1:15" ht="12.5">
      <c r="A4031" s="158" t="s">
        <v>24535</v>
      </c>
      <c r="B4031" s="159">
        <v>40</v>
      </c>
      <c r="C4031" s="159">
        <v>50</v>
      </c>
      <c r="D4031" s="159">
        <v>51</v>
      </c>
      <c r="E4031" s="159">
        <v>58</v>
      </c>
      <c r="F4031" s="131"/>
      <c r="G4031" s="132"/>
      <c r="H4031" s="162" t="s">
        <v>24536</v>
      </c>
      <c r="I4031" s="128"/>
      <c r="J4031" s="128"/>
      <c r="K4031" s="128"/>
      <c r="L4031" s="128"/>
      <c r="M4031" s="129"/>
      <c r="N4031" s="129"/>
      <c r="O4031" s="129"/>
    </row>
    <row r="4032" spans="1:15" ht="12.5">
      <c r="A4032" s="158" t="s">
        <v>24537</v>
      </c>
      <c r="B4032" s="159">
        <v>40</v>
      </c>
      <c r="C4032" s="159">
        <v>50</v>
      </c>
      <c r="D4032" s="159">
        <v>51</v>
      </c>
      <c r="E4032" s="159">
        <v>59</v>
      </c>
      <c r="F4032" s="131"/>
      <c r="G4032" s="132"/>
      <c r="H4032" s="162" t="s">
        <v>24538</v>
      </c>
      <c r="I4032" s="128"/>
      <c r="J4032" s="128"/>
      <c r="K4032" s="128"/>
      <c r="L4032" s="128"/>
      <c r="M4032" s="129"/>
      <c r="N4032" s="129"/>
      <c r="O4032" s="129"/>
    </row>
    <row r="4033" spans="1:15" ht="12.5">
      <c r="A4033" s="158" t="s">
        <v>24539</v>
      </c>
      <c r="B4033" s="159">
        <v>40</v>
      </c>
      <c r="C4033" s="159">
        <v>50</v>
      </c>
      <c r="D4033" s="159">
        <v>51</v>
      </c>
      <c r="E4033" s="159">
        <v>61</v>
      </c>
      <c r="F4033" s="131"/>
      <c r="G4033" s="132"/>
      <c r="H4033" s="162" t="s">
        <v>24540</v>
      </c>
      <c r="I4033" s="128"/>
      <c r="J4033" s="128"/>
      <c r="K4033" s="128"/>
      <c r="L4033" s="128"/>
      <c r="M4033" s="129"/>
      <c r="N4033" s="129"/>
      <c r="O4033" s="129"/>
    </row>
    <row r="4034" spans="1:15" ht="12.5">
      <c r="A4034" s="158" t="s">
        <v>24541</v>
      </c>
      <c r="B4034" s="159">
        <v>40</v>
      </c>
      <c r="C4034" s="159">
        <v>50</v>
      </c>
      <c r="D4034" s="159">
        <v>51</v>
      </c>
      <c r="E4034" s="159">
        <v>62</v>
      </c>
      <c r="F4034" s="131"/>
      <c r="G4034" s="132"/>
      <c r="H4034" s="162" t="s">
        <v>24542</v>
      </c>
      <c r="I4034" s="128"/>
      <c r="J4034" s="128"/>
      <c r="K4034" s="128"/>
      <c r="L4034" s="128"/>
      <c r="M4034" s="129"/>
      <c r="N4034" s="129"/>
      <c r="O4034" s="129"/>
    </row>
    <row r="4035" spans="1:15" ht="12.5">
      <c r="A4035" s="158" t="s">
        <v>24543</v>
      </c>
      <c r="B4035" s="159">
        <v>40</v>
      </c>
      <c r="C4035" s="159">
        <v>50</v>
      </c>
      <c r="D4035" s="159">
        <v>51</v>
      </c>
      <c r="E4035" s="159">
        <v>63</v>
      </c>
      <c r="F4035" s="131"/>
      <c r="G4035" s="132"/>
      <c r="H4035" s="162" t="s">
        <v>24544</v>
      </c>
      <c r="I4035" s="128"/>
      <c r="J4035" s="128"/>
      <c r="K4035" s="128"/>
      <c r="L4035" s="128"/>
      <c r="M4035" s="129"/>
      <c r="N4035" s="129"/>
      <c r="O4035" s="129"/>
    </row>
    <row r="4036" spans="1:15" ht="12.5">
      <c r="A4036" s="158" t="s">
        <v>24545</v>
      </c>
      <c r="B4036" s="159">
        <v>40</v>
      </c>
      <c r="C4036" s="159">
        <v>50</v>
      </c>
      <c r="D4036" s="159">
        <v>51</v>
      </c>
      <c r="E4036" s="159">
        <v>65</v>
      </c>
      <c r="F4036" s="131"/>
      <c r="G4036" s="132"/>
      <c r="H4036" s="162" t="s">
        <v>24546</v>
      </c>
      <c r="I4036" s="128"/>
      <c r="J4036" s="128"/>
      <c r="K4036" s="128"/>
      <c r="L4036" s="128"/>
      <c r="M4036" s="129"/>
      <c r="N4036" s="129"/>
      <c r="O4036" s="129"/>
    </row>
    <row r="4037" spans="1:15" ht="12.5">
      <c r="A4037" s="158" t="s">
        <v>24547</v>
      </c>
      <c r="B4037" s="159">
        <v>40</v>
      </c>
      <c r="C4037" s="159">
        <v>50</v>
      </c>
      <c r="D4037" s="159">
        <v>51</v>
      </c>
      <c r="E4037" s="159">
        <v>71</v>
      </c>
      <c r="F4037" s="131"/>
      <c r="G4037" s="132"/>
      <c r="H4037" s="162" t="s">
        <v>24548</v>
      </c>
      <c r="I4037" s="128"/>
      <c r="J4037" s="128"/>
      <c r="K4037" s="128"/>
      <c r="L4037" s="128"/>
      <c r="M4037" s="129"/>
      <c r="N4037" s="129"/>
      <c r="O4037" s="129"/>
    </row>
    <row r="4038" spans="1:15" ht="12.5">
      <c r="A4038" s="158" t="s">
        <v>24549</v>
      </c>
      <c r="B4038" s="159">
        <v>40</v>
      </c>
      <c r="C4038" s="159">
        <v>50</v>
      </c>
      <c r="D4038" s="159">
        <v>51</v>
      </c>
      <c r="E4038" s="159">
        <v>75</v>
      </c>
      <c r="F4038" s="131"/>
      <c r="G4038" s="132"/>
      <c r="H4038" s="162" t="s">
        <v>24550</v>
      </c>
      <c r="I4038" s="128"/>
      <c r="J4038" s="128"/>
      <c r="K4038" s="128"/>
      <c r="L4038" s="128"/>
      <c r="M4038" s="129"/>
      <c r="N4038" s="129"/>
      <c r="O4038" s="129"/>
    </row>
    <row r="4039" spans="1:15" ht="12.5">
      <c r="A4039" s="158" t="s">
        <v>24551</v>
      </c>
      <c r="B4039" s="159">
        <v>40</v>
      </c>
      <c r="C4039" s="159">
        <v>50</v>
      </c>
      <c r="D4039" s="159">
        <v>51</v>
      </c>
      <c r="E4039" s="159">
        <v>84</v>
      </c>
      <c r="F4039" s="131"/>
      <c r="G4039" s="132"/>
      <c r="H4039" s="162" t="s">
        <v>24552</v>
      </c>
      <c r="I4039" s="128"/>
      <c r="J4039" s="128"/>
      <c r="K4039" s="128"/>
      <c r="L4039" s="128"/>
      <c r="M4039" s="129"/>
      <c r="N4039" s="129"/>
      <c r="O4039" s="129"/>
    </row>
    <row r="4040" spans="1:15" ht="12.5">
      <c r="A4040" s="158" t="s">
        <v>24553</v>
      </c>
      <c r="B4040" s="159">
        <v>40</v>
      </c>
      <c r="C4040" s="159">
        <v>50</v>
      </c>
      <c r="D4040" s="159">
        <v>51</v>
      </c>
      <c r="E4040" s="159">
        <v>92</v>
      </c>
      <c r="F4040" s="131"/>
      <c r="G4040" s="132"/>
      <c r="H4040" s="162" t="s">
        <v>24554</v>
      </c>
      <c r="I4040" s="128"/>
      <c r="J4040" s="128"/>
      <c r="K4040" s="128"/>
      <c r="L4040" s="128"/>
      <c r="M4040" s="129"/>
      <c r="N4040" s="129"/>
      <c r="O4040" s="129"/>
    </row>
    <row r="4041" spans="1:15" ht="12.5">
      <c r="A4041" s="158" t="s">
        <v>24555</v>
      </c>
      <c r="B4041" s="159">
        <v>40</v>
      </c>
      <c r="C4041" s="159">
        <v>50</v>
      </c>
      <c r="D4041" s="159">
        <v>52</v>
      </c>
      <c r="E4041" s="130"/>
      <c r="F4041" s="131"/>
      <c r="G4041" s="132"/>
      <c r="H4041" s="162" t="s">
        <v>24556</v>
      </c>
      <c r="I4041" s="128"/>
      <c r="J4041" s="128"/>
      <c r="K4041" s="128"/>
      <c r="L4041" s="128"/>
      <c r="M4041" s="129"/>
      <c r="N4041" s="129"/>
      <c r="O4041" s="129"/>
    </row>
    <row r="4042" spans="1:15" ht="12.5">
      <c r="A4042" s="158" t="s">
        <v>24557</v>
      </c>
      <c r="B4042" s="159">
        <v>40</v>
      </c>
      <c r="C4042" s="159">
        <v>50</v>
      </c>
      <c r="D4042" s="159">
        <v>52</v>
      </c>
      <c r="E4042" s="159">
        <v>22</v>
      </c>
      <c r="F4042" s="131"/>
      <c r="G4042" s="132"/>
      <c r="H4042" s="162" t="s">
        <v>24558</v>
      </c>
      <c r="I4042" s="128"/>
      <c r="J4042" s="128"/>
      <c r="K4042" s="128"/>
      <c r="L4042" s="128"/>
      <c r="M4042" s="129"/>
      <c r="N4042" s="129"/>
      <c r="O4042" s="129"/>
    </row>
    <row r="4043" spans="1:15" ht="12.5">
      <c r="A4043" s="158" t="s">
        <v>24559</v>
      </c>
      <c r="B4043" s="159">
        <v>40</v>
      </c>
      <c r="C4043" s="159">
        <v>50</v>
      </c>
      <c r="D4043" s="159">
        <v>52</v>
      </c>
      <c r="E4043" s="159">
        <v>50</v>
      </c>
      <c r="F4043" s="131"/>
      <c r="G4043" s="132"/>
      <c r="H4043" s="162" t="s">
        <v>24560</v>
      </c>
      <c r="I4043" s="128"/>
      <c r="J4043" s="128"/>
      <c r="K4043" s="128"/>
      <c r="L4043" s="128"/>
      <c r="M4043" s="129"/>
      <c r="N4043" s="129"/>
      <c r="O4043" s="129"/>
    </row>
    <row r="4044" spans="1:15" ht="12.5">
      <c r="A4044" s="158" t="s">
        <v>24561</v>
      </c>
      <c r="B4044" s="159">
        <v>40</v>
      </c>
      <c r="C4044" s="159">
        <v>50</v>
      </c>
      <c r="D4044" s="159">
        <v>52</v>
      </c>
      <c r="E4044" s="159">
        <v>57</v>
      </c>
      <c r="F4044" s="131"/>
      <c r="G4044" s="132"/>
      <c r="H4044" s="162" t="s">
        <v>24562</v>
      </c>
      <c r="I4044" s="128"/>
      <c r="J4044" s="128"/>
      <c r="K4044" s="128"/>
      <c r="L4044" s="128"/>
      <c r="M4044" s="129"/>
      <c r="N4044" s="129"/>
      <c r="O4044" s="129"/>
    </row>
    <row r="4045" spans="1:15" ht="12.5">
      <c r="A4045" s="158" t="s">
        <v>24563</v>
      </c>
      <c r="B4045" s="159">
        <v>40</v>
      </c>
      <c r="C4045" s="159">
        <v>50</v>
      </c>
      <c r="D4045" s="159">
        <v>52</v>
      </c>
      <c r="E4045" s="159">
        <v>58</v>
      </c>
      <c r="F4045" s="131"/>
      <c r="G4045" s="132"/>
      <c r="H4045" s="162" t="s">
        <v>24564</v>
      </c>
      <c r="I4045" s="128"/>
      <c r="J4045" s="128"/>
      <c r="K4045" s="128"/>
      <c r="L4045" s="128"/>
      <c r="M4045" s="129"/>
      <c r="N4045" s="129"/>
      <c r="O4045" s="129"/>
    </row>
    <row r="4046" spans="1:15" ht="12.5">
      <c r="A4046" s="158" t="s">
        <v>24565</v>
      </c>
      <c r="B4046" s="159">
        <v>40</v>
      </c>
      <c r="C4046" s="159">
        <v>50</v>
      </c>
      <c r="D4046" s="159">
        <v>52</v>
      </c>
      <c r="E4046" s="159">
        <v>59</v>
      </c>
      <c r="F4046" s="131"/>
      <c r="G4046" s="132"/>
      <c r="H4046" s="162" t="s">
        <v>24566</v>
      </c>
      <c r="I4046" s="128"/>
      <c r="J4046" s="128"/>
      <c r="K4046" s="128"/>
      <c r="L4046" s="128"/>
      <c r="M4046" s="129"/>
      <c r="N4046" s="129"/>
      <c r="O4046" s="129"/>
    </row>
    <row r="4047" spans="1:15" ht="12.5">
      <c r="A4047" s="158" t="s">
        <v>24567</v>
      </c>
      <c r="B4047" s="159">
        <v>40</v>
      </c>
      <c r="C4047" s="159">
        <v>50</v>
      </c>
      <c r="D4047" s="159">
        <v>52</v>
      </c>
      <c r="E4047" s="159">
        <v>65</v>
      </c>
      <c r="F4047" s="131"/>
      <c r="G4047" s="132"/>
      <c r="H4047" s="162" t="s">
        <v>24568</v>
      </c>
      <c r="I4047" s="128"/>
      <c r="J4047" s="128"/>
      <c r="K4047" s="128"/>
      <c r="L4047" s="128"/>
      <c r="M4047" s="129"/>
      <c r="N4047" s="129"/>
      <c r="O4047" s="129"/>
    </row>
    <row r="4048" spans="1:15" ht="12.5">
      <c r="A4048" s="158" t="s">
        <v>24569</v>
      </c>
      <c r="B4048" s="159">
        <v>40</v>
      </c>
      <c r="C4048" s="159">
        <v>50</v>
      </c>
      <c r="D4048" s="159">
        <v>52</v>
      </c>
      <c r="E4048" s="159">
        <v>88</v>
      </c>
      <c r="F4048" s="131"/>
      <c r="G4048" s="132"/>
      <c r="H4048" s="162" t="s">
        <v>24570</v>
      </c>
      <c r="I4048" s="128"/>
      <c r="J4048" s="128"/>
      <c r="K4048" s="128"/>
      <c r="L4048" s="128"/>
      <c r="M4048" s="129"/>
      <c r="N4048" s="129"/>
      <c r="O4048" s="129"/>
    </row>
    <row r="4049" spans="1:15" ht="12.5">
      <c r="A4049" s="158" t="s">
        <v>24571</v>
      </c>
      <c r="B4049" s="159">
        <v>40</v>
      </c>
      <c r="C4049" s="159">
        <v>50</v>
      </c>
      <c r="D4049" s="159">
        <v>53</v>
      </c>
      <c r="E4049" s="130"/>
      <c r="F4049" s="131"/>
      <c r="G4049" s="132"/>
      <c r="H4049" s="162" t="s">
        <v>24572</v>
      </c>
      <c r="I4049" s="128"/>
      <c r="J4049" s="128"/>
      <c r="K4049" s="128"/>
      <c r="L4049" s="128"/>
      <c r="M4049" s="129"/>
      <c r="N4049" s="129"/>
      <c r="O4049" s="129"/>
    </row>
    <row r="4050" spans="1:15" ht="12.5">
      <c r="A4050" s="158" t="s">
        <v>24573</v>
      </c>
      <c r="B4050" s="159">
        <v>40</v>
      </c>
      <c r="C4050" s="159">
        <v>50</v>
      </c>
      <c r="D4050" s="159">
        <v>53</v>
      </c>
      <c r="E4050" s="159">
        <v>4</v>
      </c>
      <c r="F4050" s="131"/>
      <c r="G4050" s="132"/>
      <c r="H4050" s="162" t="s">
        <v>24574</v>
      </c>
      <c r="I4050" s="128"/>
      <c r="J4050" s="128"/>
      <c r="K4050" s="128"/>
      <c r="L4050" s="128"/>
      <c r="M4050" s="129"/>
      <c r="N4050" s="129"/>
      <c r="O4050" s="129"/>
    </row>
    <row r="4051" spans="1:15" ht="12.5">
      <c r="A4051" s="158" t="s">
        <v>24575</v>
      </c>
      <c r="B4051" s="159">
        <v>40</v>
      </c>
      <c r="C4051" s="159">
        <v>50</v>
      </c>
      <c r="D4051" s="159">
        <v>53</v>
      </c>
      <c r="E4051" s="159">
        <v>6</v>
      </c>
      <c r="F4051" s="131"/>
      <c r="G4051" s="132"/>
      <c r="H4051" s="162" t="s">
        <v>24576</v>
      </c>
      <c r="I4051" s="128"/>
      <c r="J4051" s="128"/>
      <c r="K4051" s="128"/>
      <c r="L4051" s="128"/>
      <c r="M4051" s="129"/>
      <c r="N4051" s="129"/>
      <c r="O4051" s="129"/>
    </row>
    <row r="4052" spans="1:15" ht="12.5">
      <c r="A4052" s="158" t="s">
        <v>24577</v>
      </c>
      <c r="B4052" s="159">
        <v>40</v>
      </c>
      <c r="C4052" s="159">
        <v>50</v>
      </c>
      <c r="D4052" s="159">
        <v>53</v>
      </c>
      <c r="E4052" s="159">
        <v>24</v>
      </c>
      <c r="F4052" s="131"/>
      <c r="G4052" s="132"/>
      <c r="H4052" s="162" t="s">
        <v>24578</v>
      </c>
      <c r="I4052" s="128"/>
      <c r="J4052" s="128"/>
      <c r="K4052" s="128"/>
      <c r="L4052" s="128"/>
      <c r="M4052" s="129"/>
      <c r="N4052" s="129"/>
      <c r="O4052" s="129"/>
    </row>
    <row r="4053" spans="1:15" ht="12.5">
      <c r="A4053" s="158" t="s">
        <v>24579</v>
      </c>
      <c r="B4053" s="159">
        <v>40</v>
      </c>
      <c r="C4053" s="159">
        <v>50</v>
      </c>
      <c r="D4053" s="159">
        <v>53</v>
      </c>
      <c r="E4053" s="159">
        <v>27</v>
      </c>
      <c r="F4053" s="131"/>
      <c r="G4053" s="132"/>
      <c r="H4053" s="162" t="s">
        <v>24580</v>
      </c>
      <c r="I4053" s="128"/>
      <c r="J4053" s="128"/>
      <c r="K4053" s="128"/>
      <c r="L4053" s="128"/>
      <c r="M4053" s="129"/>
      <c r="N4053" s="129"/>
      <c r="O4053" s="129"/>
    </row>
    <row r="4054" spans="1:15" ht="12.5">
      <c r="A4054" s="158" t="s">
        <v>24581</v>
      </c>
      <c r="B4054" s="159">
        <v>40</v>
      </c>
      <c r="C4054" s="159">
        <v>50</v>
      </c>
      <c r="D4054" s="159">
        <v>53</v>
      </c>
      <c r="E4054" s="159">
        <v>33</v>
      </c>
      <c r="F4054" s="131"/>
      <c r="G4054" s="132"/>
      <c r="H4054" s="162" t="s">
        <v>24582</v>
      </c>
      <c r="I4054" s="128"/>
      <c r="J4054" s="128"/>
      <c r="K4054" s="128"/>
      <c r="L4054" s="128"/>
      <c r="M4054" s="129"/>
      <c r="N4054" s="129"/>
      <c r="O4054" s="129"/>
    </row>
    <row r="4055" spans="1:15" ht="12.5">
      <c r="A4055" s="158" t="s">
        <v>24583</v>
      </c>
      <c r="B4055" s="159">
        <v>40</v>
      </c>
      <c r="C4055" s="159">
        <v>50</v>
      </c>
      <c r="D4055" s="159">
        <v>53</v>
      </c>
      <c r="E4055" s="159">
        <v>41</v>
      </c>
      <c r="F4055" s="131"/>
      <c r="G4055" s="132"/>
      <c r="H4055" s="162" t="s">
        <v>24584</v>
      </c>
      <c r="I4055" s="128"/>
      <c r="J4055" s="128"/>
      <c r="K4055" s="128"/>
      <c r="L4055" s="128"/>
      <c r="M4055" s="129"/>
      <c r="N4055" s="129"/>
      <c r="O4055" s="129"/>
    </row>
    <row r="4056" spans="1:15" ht="12.5">
      <c r="A4056" s="158" t="s">
        <v>24585</v>
      </c>
      <c r="B4056" s="159">
        <v>40</v>
      </c>
      <c r="C4056" s="159">
        <v>50</v>
      </c>
      <c r="D4056" s="159">
        <v>53</v>
      </c>
      <c r="E4056" s="159">
        <v>48</v>
      </c>
      <c r="F4056" s="131"/>
      <c r="G4056" s="132"/>
      <c r="H4056" s="162" t="s">
        <v>24586</v>
      </c>
      <c r="I4056" s="128"/>
      <c r="J4056" s="128"/>
      <c r="K4056" s="128"/>
      <c r="L4056" s="128"/>
      <c r="M4056" s="129"/>
      <c r="N4056" s="129"/>
      <c r="O4056" s="129"/>
    </row>
    <row r="4057" spans="1:15" ht="12.5">
      <c r="A4057" s="158" t="s">
        <v>24587</v>
      </c>
      <c r="B4057" s="159">
        <v>40</v>
      </c>
      <c r="C4057" s="159">
        <v>50</v>
      </c>
      <c r="D4057" s="159">
        <v>53</v>
      </c>
      <c r="E4057" s="159">
        <v>51</v>
      </c>
      <c r="F4057" s="131"/>
      <c r="G4057" s="132"/>
      <c r="H4057" s="162" t="s">
        <v>24588</v>
      </c>
      <c r="I4057" s="128"/>
      <c r="J4057" s="128"/>
      <c r="K4057" s="128"/>
      <c r="L4057" s="128"/>
      <c r="M4057" s="129"/>
      <c r="N4057" s="129"/>
      <c r="O4057" s="129"/>
    </row>
    <row r="4058" spans="1:15" ht="12.5">
      <c r="A4058" s="158" t="s">
        <v>24589</v>
      </c>
      <c r="B4058" s="159">
        <v>40</v>
      </c>
      <c r="C4058" s="159">
        <v>50</v>
      </c>
      <c r="D4058" s="159">
        <v>53</v>
      </c>
      <c r="E4058" s="159">
        <v>60</v>
      </c>
      <c r="F4058" s="131"/>
      <c r="G4058" s="132"/>
      <c r="H4058" s="162" t="s">
        <v>24590</v>
      </c>
      <c r="I4058" s="128"/>
      <c r="J4058" s="128"/>
      <c r="K4058" s="128"/>
      <c r="L4058" s="128"/>
      <c r="M4058" s="129"/>
      <c r="N4058" s="129"/>
      <c r="O4058" s="129"/>
    </row>
    <row r="4059" spans="1:15" ht="12.5">
      <c r="A4059" s="158" t="s">
        <v>24591</v>
      </c>
      <c r="B4059" s="159">
        <v>40</v>
      </c>
      <c r="C4059" s="159">
        <v>50</v>
      </c>
      <c r="D4059" s="159">
        <v>53</v>
      </c>
      <c r="E4059" s="159">
        <v>61</v>
      </c>
      <c r="F4059" s="131"/>
      <c r="G4059" s="132"/>
      <c r="H4059" s="162" t="s">
        <v>24592</v>
      </c>
      <c r="I4059" s="128"/>
      <c r="J4059" s="128"/>
      <c r="K4059" s="128"/>
      <c r="L4059" s="128"/>
      <c r="M4059" s="129"/>
      <c r="N4059" s="129"/>
      <c r="O4059" s="129"/>
    </row>
    <row r="4060" spans="1:15" ht="12.5">
      <c r="A4060" s="158" t="s">
        <v>24593</v>
      </c>
      <c r="B4060" s="159">
        <v>40</v>
      </c>
      <c r="C4060" s="159">
        <v>50</v>
      </c>
      <c r="D4060" s="159">
        <v>53</v>
      </c>
      <c r="E4060" s="159">
        <v>62</v>
      </c>
      <c r="F4060" s="131"/>
      <c r="G4060" s="132"/>
      <c r="H4060" s="162" t="s">
        <v>24594</v>
      </c>
      <c r="I4060" s="128"/>
      <c r="J4060" s="128"/>
      <c r="K4060" s="128"/>
      <c r="L4060" s="128"/>
      <c r="M4060" s="129"/>
      <c r="N4060" s="129"/>
      <c r="O4060" s="129"/>
    </row>
    <row r="4061" spans="1:15" ht="12.5">
      <c r="A4061" s="158" t="s">
        <v>24595</v>
      </c>
      <c r="B4061" s="159">
        <v>40</v>
      </c>
      <c r="C4061" s="159">
        <v>50</v>
      </c>
      <c r="D4061" s="159">
        <v>53</v>
      </c>
      <c r="E4061" s="159">
        <v>66</v>
      </c>
      <c r="F4061" s="131"/>
      <c r="G4061" s="132"/>
      <c r="H4061" s="162" t="s">
        <v>24596</v>
      </c>
      <c r="I4061" s="128"/>
      <c r="J4061" s="128"/>
      <c r="K4061" s="128"/>
      <c r="L4061" s="128"/>
      <c r="M4061" s="129"/>
      <c r="N4061" s="129"/>
      <c r="O4061" s="129"/>
    </row>
    <row r="4062" spans="1:15" ht="12.5">
      <c r="A4062" s="158" t="s">
        <v>24597</v>
      </c>
      <c r="B4062" s="159">
        <v>40</v>
      </c>
      <c r="C4062" s="159">
        <v>50</v>
      </c>
      <c r="D4062" s="159">
        <v>53</v>
      </c>
      <c r="E4062" s="159">
        <v>81</v>
      </c>
      <c r="F4062" s="131"/>
      <c r="G4062" s="132"/>
      <c r="H4062" s="162" t="s">
        <v>24598</v>
      </c>
      <c r="I4062" s="128"/>
      <c r="J4062" s="128"/>
      <c r="K4062" s="128"/>
      <c r="L4062" s="128"/>
      <c r="M4062" s="129"/>
      <c r="N4062" s="129"/>
      <c r="O4062" s="129"/>
    </row>
    <row r="4063" spans="1:15" ht="12.5">
      <c r="A4063" s="158" t="s">
        <v>24599</v>
      </c>
      <c r="B4063" s="159">
        <v>40</v>
      </c>
      <c r="C4063" s="159">
        <v>50</v>
      </c>
      <c r="D4063" s="159">
        <v>81</v>
      </c>
      <c r="E4063" s="130"/>
      <c r="F4063" s="131"/>
      <c r="G4063" s="132"/>
      <c r="H4063" s="162" t="s">
        <v>24600</v>
      </c>
      <c r="I4063" s="128"/>
      <c r="J4063" s="128"/>
      <c r="K4063" s="128"/>
      <c r="L4063" s="128"/>
      <c r="M4063" s="129"/>
      <c r="N4063" s="129"/>
      <c r="O4063" s="129"/>
    </row>
    <row r="4064" spans="1:15" ht="12.5">
      <c r="A4064" s="158" t="s">
        <v>24601</v>
      </c>
      <c r="B4064" s="159">
        <v>40</v>
      </c>
      <c r="C4064" s="159">
        <v>50</v>
      </c>
      <c r="D4064" s="159">
        <v>81</v>
      </c>
      <c r="E4064" s="159">
        <v>6</v>
      </c>
      <c r="F4064" s="131"/>
      <c r="G4064" s="132"/>
      <c r="H4064" s="162" t="s">
        <v>24602</v>
      </c>
      <c r="I4064" s="128"/>
      <c r="J4064" s="128"/>
      <c r="K4064" s="128"/>
      <c r="L4064" s="128"/>
      <c r="M4064" s="129"/>
      <c r="N4064" s="129"/>
      <c r="O4064" s="129"/>
    </row>
    <row r="4065" spans="1:15" ht="12.5">
      <c r="A4065" s="158" t="s">
        <v>24603</v>
      </c>
      <c r="B4065" s="159">
        <v>40</v>
      </c>
      <c r="C4065" s="159">
        <v>50</v>
      </c>
      <c r="D4065" s="159">
        <v>81</v>
      </c>
      <c r="E4065" s="159">
        <v>7</v>
      </c>
      <c r="F4065" s="131"/>
      <c r="G4065" s="132"/>
      <c r="H4065" s="162" t="s">
        <v>24604</v>
      </c>
      <c r="I4065" s="128"/>
      <c r="J4065" s="128"/>
      <c r="K4065" s="128"/>
      <c r="L4065" s="128"/>
      <c r="M4065" s="129"/>
      <c r="N4065" s="129"/>
      <c r="O4065" s="129"/>
    </row>
    <row r="4066" spans="1:15" ht="12.5">
      <c r="A4066" s="158" t="s">
        <v>24605</v>
      </c>
      <c r="B4066" s="159">
        <v>40</v>
      </c>
      <c r="C4066" s="159">
        <v>50</v>
      </c>
      <c r="D4066" s="159">
        <v>81</v>
      </c>
      <c r="E4066" s="159">
        <v>20</v>
      </c>
      <c r="F4066" s="131"/>
      <c r="G4066" s="132"/>
      <c r="H4066" s="162" t="s">
        <v>24606</v>
      </c>
      <c r="I4066" s="128"/>
      <c r="J4066" s="128"/>
      <c r="K4066" s="128"/>
      <c r="L4066" s="128"/>
      <c r="M4066" s="129"/>
      <c r="N4066" s="129"/>
      <c r="O4066" s="129"/>
    </row>
    <row r="4067" spans="1:15" ht="12.5">
      <c r="A4067" s="158" t="s">
        <v>24607</v>
      </c>
      <c r="B4067" s="159">
        <v>40</v>
      </c>
      <c r="C4067" s="159">
        <v>50</v>
      </c>
      <c r="D4067" s="159">
        <v>81</v>
      </c>
      <c r="E4067" s="159">
        <v>25</v>
      </c>
      <c r="F4067" s="131"/>
      <c r="G4067" s="132"/>
      <c r="H4067" s="162" t="s">
        <v>24608</v>
      </c>
      <c r="I4067" s="128"/>
      <c r="J4067" s="128"/>
      <c r="K4067" s="128"/>
      <c r="L4067" s="128"/>
      <c r="M4067" s="129"/>
      <c r="N4067" s="129"/>
      <c r="O4067" s="129"/>
    </row>
    <row r="4068" spans="1:15" ht="12.5">
      <c r="A4068" s="158" t="s">
        <v>24609</v>
      </c>
      <c r="B4068" s="159">
        <v>40</v>
      </c>
      <c r="C4068" s="159">
        <v>50</v>
      </c>
      <c r="D4068" s="159">
        <v>81</v>
      </c>
      <c r="E4068" s="159">
        <v>29</v>
      </c>
      <c r="F4068" s="131"/>
      <c r="G4068" s="132"/>
      <c r="H4068" s="162" t="s">
        <v>24610</v>
      </c>
      <c r="I4068" s="128"/>
      <c r="J4068" s="128"/>
      <c r="K4068" s="128"/>
      <c r="L4068" s="128"/>
      <c r="M4068" s="129"/>
      <c r="N4068" s="129"/>
      <c r="O4068" s="129"/>
    </row>
    <row r="4069" spans="1:15" ht="12.5">
      <c r="A4069" s="158" t="s">
        <v>24611</v>
      </c>
      <c r="B4069" s="159">
        <v>40</v>
      </c>
      <c r="C4069" s="159">
        <v>50</v>
      </c>
      <c r="D4069" s="159">
        <v>81</v>
      </c>
      <c r="E4069" s="159">
        <v>56</v>
      </c>
      <c r="F4069" s="131"/>
      <c r="G4069" s="132"/>
      <c r="H4069" s="162" t="s">
        <v>24612</v>
      </c>
      <c r="I4069" s="128"/>
      <c r="J4069" s="128"/>
      <c r="K4069" s="128"/>
      <c r="L4069" s="128"/>
      <c r="M4069" s="129"/>
      <c r="N4069" s="129"/>
      <c r="O4069" s="129"/>
    </row>
    <row r="4070" spans="1:15" ht="12.5">
      <c r="A4070" s="158" t="s">
        <v>24613</v>
      </c>
      <c r="B4070" s="159">
        <v>40</v>
      </c>
      <c r="C4070" s="159">
        <v>50</v>
      </c>
      <c r="D4070" s="159">
        <v>81</v>
      </c>
      <c r="E4070" s="159">
        <v>62</v>
      </c>
      <c r="F4070" s="131"/>
      <c r="G4070" s="132"/>
      <c r="H4070" s="162" t="s">
        <v>24614</v>
      </c>
      <c r="I4070" s="128"/>
      <c r="J4070" s="128"/>
      <c r="K4070" s="128"/>
      <c r="L4070" s="128"/>
      <c r="M4070" s="129"/>
      <c r="N4070" s="129"/>
      <c r="O4070" s="129"/>
    </row>
    <row r="4071" spans="1:15" ht="12.5">
      <c r="A4071" s="158" t="s">
        <v>24615</v>
      </c>
      <c r="B4071" s="159">
        <v>40</v>
      </c>
      <c r="C4071" s="159">
        <v>50</v>
      </c>
      <c r="D4071" s="159">
        <v>81</v>
      </c>
      <c r="E4071" s="159">
        <v>63</v>
      </c>
      <c r="F4071" s="131"/>
      <c r="G4071" s="132"/>
      <c r="H4071" s="162" t="s">
        <v>24616</v>
      </c>
      <c r="I4071" s="128"/>
      <c r="J4071" s="128"/>
      <c r="K4071" s="128"/>
      <c r="L4071" s="128"/>
      <c r="M4071" s="129"/>
      <c r="N4071" s="129"/>
      <c r="O4071" s="129"/>
    </row>
    <row r="4072" spans="1:15" ht="12.5">
      <c r="A4072" s="158" t="s">
        <v>24617</v>
      </c>
      <c r="B4072" s="159">
        <v>40</v>
      </c>
      <c r="C4072" s="159">
        <v>50</v>
      </c>
      <c r="D4072" s="159">
        <v>81</v>
      </c>
      <c r="E4072" s="159">
        <v>73</v>
      </c>
      <c r="F4072" s="131"/>
      <c r="G4072" s="132"/>
      <c r="H4072" s="162" t="s">
        <v>24618</v>
      </c>
      <c r="I4072" s="128"/>
      <c r="J4072" s="128"/>
      <c r="K4072" s="128"/>
      <c r="L4072" s="128"/>
      <c r="M4072" s="129"/>
      <c r="N4072" s="129"/>
      <c r="O4072" s="129"/>
    </row>
    <row r="4073" spans="1:15" ht="12.5">
      <c r="A4073" s="158" t="s">
        <v>24619</v>
      </c>
      <c r="B4073" s="159">
        <v>40</v>
      </c>
      <c r="C4073" s="159">
        <v>50</v>
      </c>
      <c r="D4073" s="159">
        <v>81</v>
      </c>
      <c r="E4073" s="159">
        <v>74</v>
      </c>
      <c r="F4073" s="131"/>
      <c r="G4073" s="132"/>
      <c r="H4073" s="162" t="s">
        <v>24620</v>
      </c>
      <c r="I4073" s="128"/>
      <c r="J4073" s="128"/>
      <c r="K4073" s="128"/>
      <c r="L4073" s="128"/>
      <c r="M4073" s="129"/>
      <c r="N4073" s="129"/>
      <c r="O4073" s="129"/>
    </row>
    <row r="4074" spans="1:15" ht="12.5">
      <c r="A4074" s="158" t="s">
        <v>24621</v>
      </c>
      <c r="B4074" s="159">
        <v>40</v>
      </c>
      <c r="C4074" s="159">
        <v>50</v>
      </c>
      <c r="D4074" s="159">
        <v>81</v>
      </c>
      <c r="E4074" s="159">
        <v>77</v>
      </c>
      <c r="F4074" s="131"/>
      <c r="G4074" s="132"/>
      <c r="H4074" s="162" t="s">
        <v>24622</v>
      </c>
      <c r="I4074" s="128"/>
      <c r="J4074" s="128"/>
      <c r="K4074" s="128"/>
      <c r="L4074" s="128"/>
      <c r="M4074" s="129"/>
      <c r="N4074" s="129"/>
      <c r="O4074" s="129"/>
    </row>
    <row r="4075" spans="1:15" ht="12.5">
      <c r="A4075" s="158" t="s">
        <v>24623</v>
      </c>
      <c r="B4075" s="159">
        <v>40</v>
      </c>
      <c r="C4075" s="159">
        <v>50</v>
      </c>
      <c r="D4075" s="159">
        <v>81</v>
      </c>
      <c r="E4075" s="159">
        <v>86</v>
      </c>
      <c r="F4075" s="131"/>
      <c r="G4075" s="132"/>
      <c r="H4075" s="162" t="s">
        <v>24624</v>
      </c>
      <c r="I4075" s="128"/>
      <c r="J4075" s="128"/>
      <c r="K4075" s="128"/>
      <c r="L4075" s="128"/>
      <c r="M4075" s="129"/>
      <c r="N4075" s="129"/>
      <c r="O4075" s="129"/>
    </row>
    <row r="4076" spans="1:15" ht="12.5">
      <c r="A4076" s="158" t="s">
        <v>24625</v>
      </c>
      <c r="B4076" s="159">
        <v>40</v>
      </c>
      <c r="C4076" s="159">
        <v>50</v>
      </c>
      <c r="D4076" s="159">
        <v>81</v>
      </c>
      <c r="E4076" s="159">
        <v>87</v>
      </c>
      <c r="F4076" s="131"/>
      <c r="G4076" s="132"/>
      <c r="H4076" s="162" t="s">
        <v>24626</v>
      </c>
      <c r="I4076" s="128"/>
      <c r="J4076" s="128"/>
      <c r="K4076" s="128"/>
      <c r="L4076" s="128"/>
      <c r="M4076" s="129"/>
      <c r="N4076" s="129"/>
      <c r="O4076" s="129"/>
    </row>
    <row r="4077" spans="1:15" ht="12.5">
      <c r="A4077" s="158" t="s">
        <v>24627</v>
      </c>
      <c r="B4077" s="159">
        <v>40</v>
      </c>
      <c r="C4077" s="159">
        <v>50</v>
      </c>
      <c r="D4077" s="159">
        <v>81</v>
      </c>
      <c r="E4077" s="159">
        <v>90</v>
      </c>
      <c r="F4077" s="131"/>
      <c r="G4077" s="132"/>
      <c r="H4077" s="162" t="s">
        <v>24628</v>
      </c>
      <c r="I4077" s="128"/>
      <c r="J4077" s="128"/>
      <c r="K4077" s="128"/>
      <c r="L4077" s="128"/>
      <c r="M4077" s="129"/>
      <c r="N4077" s="129"/>
      <c r="O4077" s="129"/>
    </row>
    <row r="4078" spans="1:15" ht="12.5">
      <c r="A4078" s="158" t="s">
        <v>24629</v>
      </c>
      <c r="B4078" s="159">
        <v>40</v>
      </c>
      <c r="C4078" s="159">
        <v>50</v>
      </c>
      <c r="D4078" s="159">
        <v>81</v>
      </c>
      <c r="E4078" s="159">
        <v>91</v>
      </c>
      <c r="F4078" s="131"/>
      <c r="G4078" s="132"/>
      <c r="H4078" s="162" t="s">
        <v>24630</v>
      </c>
      <c r="I4078" s="128"/>
      <c r="J4078" s="128"/>
      <c r="K4078" s="128"/>
      <c r="L4078" s="128"/>
      <c r="M4078" s="129"/>
      <c r="N4078" s="129"/>
      <c r="O4078" s="129"/>
    </row>
    <row r="4079" spans="1:15" ht="12.5">
      <c r="A4079" s="158" t="s">
        <v>24631</v>
      </c>
      <c r="B4079" s="159">
        <v>40</v>
      </c>
      <c r="C4079" s="159">
        <v>50</v>
      </c>
      <c r="D4079" s="159">
        <v>81</v>
      </c>
      <c r="E4079" s="159">
        <v>94</v>
      </c>
      <c r="F4079" s="131"/>
      <c r="G4079" s="132"/>
      <c r="H4079" s="162" t="s">
        <v>24632</v>
      </c>
      <c r="I4079" s="128"/>
      <c r="J4079" s="128"/>
      <c r="K4079" s="128"/>
      <c r="L4079" s="128"/>
      <c r="M4079" s="129"/>
      <c r="N4079" s="129"/>
      <c r="O4079" s="129"/>
    </row>
    <row r="4080" spans="1:15" ht="12.5">
      <c r="A4080" s="158" t="s">
        <v>24633</v>
      </c>
      <c r="B4080" s="159">
        <v>40</v>
      </c>
      <c r="C4080" s="159">
        <v>50</v>
      </c>
      <c r="D4080" s="159">
        <v>83</v>
      </c>
      <c r="E4080" s="130"/>
      <c r="F4080" s="131"/>
      <c r="G4080" s="132"/>
      <c r="H4080" s="162" t="s">
        <v>24634</v>
      </c>
      <c r="I4080" s="128"/>
      <c r="J4080" s="128"/>
      <c r="K4080" s="128"/>
      <c r="L4080" s="128"/>
      <c r="M4080" s="129"/>
      <c r="N4080" s="129"/>
      <c r="O4080" s="129"/>
    </row>
    <row r="4081" spans="1:15" ht="12.5">
      <c r="A4081" s="158" t="s">
        <v>24635</v>
      </c>
      <c r="B4081" s="159">
        <v>40</v>
      </c>
      <c r="C4081" s="159">
        <v>50</v>
      </c>
      <c r="D4081" s="159">
        <v>83</v>
      </c>
      <c r="E4081" s="159">
        <v>6</v>
      </c>
      <c r="F4081" s="131"/>
      <c r="G4081" s="132"/>
      <c r="H4081" s="162" t="s">
        <v>24636</v>
      </c>
      <c r="I4081" s="158" t="s">
        <v>24637</v>
      </c>
      <c r="J4081" s="128"/>
      <c r="K4081" s="128"/>
      <c r="L4081" s="128"/>
      <c r="M4081" s="129"/>
      <c r="N4081" s="129"/>
      <c r="O4081" s="129"/>
    </row>
    <row r="4082" spans="1:15" ht="12.5">
      <c r="A4082" s="158" t="s">
        <v>24638</v>
      </c>
      <c r="B4082" s="159">
        <v>40</v>
      </c>
      <c r="C4082" s="159">
        <v>50</v>
      </c>
      <c r="D4082" s="159">
        <v>83</v>
      </c>
      <c r="E4082" s="159">
        <v>19</v>
      </c>
      <c r="F4082" s="131"/>
      <c r="G4082" s="132"/>
      <c r="H4082" s="162" t="s">
        <v>24639</v>
      </c>
      <c r="I4082" s="158" t="s">
        <v>24640</v>
      </c>
      <c r="J4082" s="128"/>
      <c r="K4082" s="128"/>
      <c r="L4082" s="128"/>
      <c r="M4082" s="129"/>
      <c r="N4082" s="129"/>
      <c r="O4082" s="129"/>
    </row>
    <row r="4083" spans="1:15" ht="12.5">
      <c r="A4083" s="158" t="s">
        <v>24641</v>
      </c>
      <c r="B4083" s="159">
        <v>40</v>
      </c>
      <c r="C4083" s="159">
        <v>50</v>
      </c>
      <c r="D4083" s="159">
        <v>83</v>
      </c>
      <c r="E4083" s="159">
        <v>20</v>
      </c>
      <c r="F4083" s="131"/>
      <c r="G4083" s="132"/>
      <c r="H4083" s="162" t="s">
        <v>24642</v>
      </c>
      <c r="I4083" s="158" t="s">
        <v>24643</v>
      </c>
      <c r="J4083" s="128"/>
      <c r="K4083" s="128"/>
      <c r="L4083" s="128"/>
      <c r="M4083" s="129"/>
      <c r="N4083" s="129"/>
      <c r="O4083" s="129"/>
    </row>
    <row r="4084" spans="1:15" ht="12.5">
      <c r="A4084" s="158" t="s">
        <v>24644</v>
      </c>
      <c r="B4084" s="159">
        <v>40</v>
      </c>
      <c r="C4084" s="159">
        <v>50</v>
      </c>
      <c r="D4084" s="159">
        <v>83</v>
      </c>
      <c r="E4084" s="159">
        <v>28</v>
      </c>
      <c r="F4084" s="131"/>
      <c r="G4084" s="132"/>
      <c r="H4084" s="162" t="s">
        <v>24645</v>
      </c>
      <c r="I4084" s="158" t="s">
        <v>24646</v>
      </c>
      <c r="J4084" s="128"/>
      <c r="K4084" s="128"/>
      <c r="L4084" s="128"/>
      <c r="M4084" s="129"/>
      <c r="N4084" s="129"/>
      <c r="O4084" s="129"/>
    </row>
    <row r="4085" spans="1:15" ht="12.5">
      <c r="A4085" s="158" t="s">
        <v>24647</v>
      </c>
      <c r="B4085" s="159">
        <v>40</v>
      </c>
      <c r="C4085" s="159">
        <v>50</v>
      </c>
      <c r="D4085" s="159">
        <v>83</v>
      </c>
      <c r="E4085" s="159">
        <v>29</v>
      </c>
      <c r="F4085" s="131"/>
      <c r="G4085" s="132"/>
      <c r="H4085" s="162" t="s">
        <v>24648</v>
      </c>
      <c r="I4085" s="128"/>
      <c r="J4085" s="128"/>
      <c r="K4085" s="128"/>
      <c r="L4085" s="128"/>
      <c r="M4085" s="129"/>
      <c r="N4085" s="129"/>
      <c r="O4085" s="129"/>
    </row>
    <row r="4086" spans="1:15" ht="12.5">
      <c r="A4086" s="158" t="s">
        <v>24649</v>
      </c>
      <c r="B4086" s="159">
        <v>40</v>
      </c>
      <c r="C4086" s="159">
        <v>50</v>
      </c>
      <c r="D4086" s="159">
        <v>83</v>
      </c>
      <c r="E4086" s="159">
        <v>44</v>
      </c>
      <c r="F4086" s="131"/>
      <c r="G4086" s="132"/>
      <c r="H4086" s="162" t="s">
        <v>24650</v>
      </c>
      <c r="I4086" s="158" t="s">
        <v>24651</v>
      </c>
      <c r="J4086" s="128"/>
      <c r="K4086" s="128"/>
      <c r="L4086" s="128"/>
      <c r="M4086" s="129"/>
      <c r="N4086" s="129"/>
      <c r="O4086" s="129"/>
    </row>
    <row r="4087" spans="1:15" ht="12.5">
      <c r="A4087" s="158" t="s">
        <v>24652</v>
      </c>
      <c r="B4087" s="159">
        <v>40</v>
      </c>
      <c r="C4087" s="159">
        <v>50</v>
      </c>
      <c r="D4087" s="159">
        <v>84</v>
      </c>
      <c r="E4087" s="130"/>
      <c r="F4087" s="131"/>
      <c r="G4087" s="132"/>
      <c r="H4087" s="162" t="s">
        <v>24653</v>
      </c>
      <c r="I4087" s="128"/>
      <c r="J4087" s="128"/>
      <c r="K4087" s="128"/>
      <c r="L4087" s="128"/>
      <c r="M4087" s="129"/>
      <c r="N4087" s="129"/>
      <c r="O4087" s="129"/>
    </row>
    <row r="4088" spans="1:15" ht="12.5">
      <c r="A4088" s="158" t="s">
        <v>24654</v>
      </c>
      <c r="B4088" s="159">
        <v>40</v>
      </c>
      <c r="C4088" s="159">
        <v>50</v>
      </c>
      <c r="D4088" s="159">
        <v>84</v>
      </c>
      <c r="E4088" s="159">
        <v>9</v>
      </c>
      <c r="F4088" s="131"/>
      <c r="G4088" s="132"/>
      <c r="H4088" s="162" t="s">
        <v>24655</v>
      </c>
      <c r="I4088" s="128"/>
      <c r="J4088" s="128"/>
      <c r="K4088" s="128"/>
      <c r="L4088" s="128"/>
      <c r="M4088" s="129"/>
      <c r="N4088" s="129"/>
      <c r="O4088" s="129"/>
    </row>
    <row r="4089" spans="1:15" ht="12.5">
      <c r="A4089" s="158" t="s">
        <v>24656</v>
      </c>
      <c r="B4089" s="159">
        <v>40</v>
      </c>
      <c r="C4089" s="159">
        <v>50</v>
      </c>
      <c r="D4089" s="159">
        <v>84</v>
      </c>
      <c r="E4089" s="159">
        <v>23</v>
      </c>
      <c r="F4089" s="131"/>
      <c r="G4089" s="132"/>
      <c r="H4089" s="162" t="s">
        <v>24657</v>
      </c>
      <c r="I4089" s="128"/>
      <c r="J4089" s="128"/>
      <c r="K4089" s="128"/>
      <c r="L4089" s="128"/>
      <c r="M4089" s="129"/>
      <c r="N4089" s="129"/>
      <c r="O4089" s="129"/>
    </row>
    <row r="4090" spans="1:15" ht="12.5">
      <c r="A4090" s="158" t="s">
        <v>24658</v>
      </c>
      <c r="B4090" s="159">
        <v>40</v>
      </c>
      <c r="C4090" s="159">
        <v>50</v>
      </c>
      <c r="D4090" s="159">
        <v>84</v>
      </c>
      <c r="E4090" s="159">
        <v>28</v>
      </c>
      <c r="F4090" s="131"/>
      <c r="G4090" s="132"/>
      <c r="H4090" s="162" t="s">
        <v>24659</v>
      </c>
      <c r="I4090" s="128"/>
      <c r="J4090" s="128"/>
      <c r="K4090" s="128"/>
      <c r="L4090" s="128"/>
      <c r="M4090" s="129"/>
      <c r="N4090" s="129"/>
      <c r="O4090" s="129"/>
    </row>
    <row r="4091" spans="1:15" ht="12.5">
      <c r="A4091" s="158" t="s">
        <v>24660</v>
      </c>
      <c r="B4091" s="159">
        <v>40</v>
      </c>
      <c r="C4091" s="159">
        <v>50</v>
      </c>
      <c r="D4091" s="159">
        <v>84</v>
      </c>
      <c r="E4091" s="159">
        <v>36</v>
      </c>
      <c r="F4091" s="131"/>
      <c r="G4091" s="132"/>
      <c r="H4091" s="162" t="s">
        <v>24661</v>
      </c>
      <c r="I4091" s="128"/>
      <c r="J4091" s="128"/>
      <c r="K4091" s="128"/>
      <c r="L4091" s="128"/>
      <c r="M4091" s="129"/>
      <c r="N4091" s="129"/>
      <c r="O4091" s="129"/>
    </row>
    <row r="4092" spans="1:15" ht="12.5">
      <c r="A4092" s="158" t="s">
        <v>24662</v>
      </c>
      <c r="B4092" s="159">
        <v>40</v>
      </c>
      <c r="C4092" s="159">
        <v>50</v>
      </c>
      <c r="D4092" s="159">
        <v>84</v>
      </c>
      <c r="E4092" s="159">
        <v>42</v>
      </c>
      <c r="F4092" s="131"/>
      <c r="G4092" s="132"/>
      <c r="H4092" s="162" t="s">
        <v>24663</v>
      </c>
      <c r="I4092" s="128"/>
      <c r="J4092" s="128"/>
      <c r="K4092" s="128"/>
      <c r="L4092" s="128"/>
      <c r="M4092" s="129"/>
      <c r="N4092" s="129"/>
      <c r="O4092" s="129"/>
    </row>
    <row r="4093" spans="1:15" ht="12.5">
      <c r="A4093" s="158" t="s">
        <v>24664</v>
      </c>
      <c r="B4093" s="159">
        <v>40</v>
      </c>
      <c r="C4093" s="159">
        <v>50</v>
      </c>
      <c r="D4093" s="159">
        <v>84</v>
      </c>
      <c r="E4093" s="159">
        <v>51</v>
      </c>
      <c r="F4093" s="131"/>
      <c r="G4093" s="132"/>
      <c r="H4093" s="162" t="s">
        <v>24665</v>
      </c>
      <c r="I4093" s="128"/>
      <c r="J4093" s="128"/>
      <c r="K4093" s="128"/>
      <c r="L4093" s="128"/>
      <c r="M4093" s="129"/>
      <c r="N4093" s="129"/>
      <c r="O4093" s="129"/>
    </row>
    <row r="4094" spans="1:15" ht="12.5">
      <c r="A4094" s="158" t="s">
        <v>24666</v>
      </c>
      <c r="B4094" s="159">
        <v>40</v>
      </c>
      <c r="C4094" s="159">
        <v>50</v>
      </c>
      <c r="D4094" s="159">
        <v>84</v>
      </c>
      <c r="E4094" s="159">
        <v>66</v>
      </c>
      <c r="F4094" s="131"/>
      <c r="G4094" s="132"/>
      <c r="H4094" s="162" t="s">
        <v>24667</v>
      </c>
      <c r="I4094" s="128"/>
      <c r="J4094" s="128"/>
      <c r="K4094" s="128"/>
      <c r="L4094" s="128"/>
      <c r="M4094" s="129"/>
      <c r="N4094" s="129"/>
      <c r="O4094" s="129"/>
    </row>
    <row r="4095" spans="1:15" ht="12.5">
      <c r="A4095" s="158" t="s">
        <v>24668</v>
      </c>
      <c r="B4095" s="159">
        <v>40</v>
      </c>
      <c r="C4095" s="159">
        <v>50</v>
      </c>
      <c r="D4095" s="159">
        <v>84</v>
      </c>
      <c r="E4095" s="159">
        <v>92</v>
      </c>
      <c r="F4095" s="131"/>
      <c r="G4095" s="132"/>
      <c r="H4095" s="162" t="s">
        <v>24669</v>
      </c>
      <c r="I4095" s="128"/>
      <c r="J4095" s="128"/>
      <c r="K4095" s="128"/>
      <c r="L4095" s="128"/>
      <c r="M4095" s="129"/>
      <c r="N4095" s="129"/>
      <c r="O4095" s="129"/>
    </row>
    <row r="4096" spans="1:15" ht="12.5">
      <c r="A4096" s="158" t="s">
        <v>24670</v>
      </c>
      <c r="B4096" s="159">
        <v>40</v>
      </c>
      <c r="C4096" s="159">
        <v>50</v>
      </c>
      <c r="D4096" s="159">
        <v>86</v>
      </c>
      <c r="E4096" s="130"/>
      <c r="F4096" s="131"/>
      <c r="G4096" s="132"/>
      <c r="H4096" s="162" t="s">
        <v>24671</v>
      </c>
      <c r="I4096" s="128"/>
      <c r="J4096" s="128"/>
      <c r="K4096" s="128"/>
      <c r="L4096" s="128"/>
      <c r="M4096" s="129"/>
      <c r="N4096" s="129"/>
      <c r="O4096" s="129"/>
    </row>
    <row r="4097" spans="1:15" ht="12.5">
      <c r="A4097" s="158" t="s">
        <v>24672</v>
      </c>
      <c r="B4097" s="159">
        <v>40</v>
      </c>
      <c r="C4097" s="159">
        <v>50</v>
      </c>
      <c r="D4097" s="159">
        <v>86</v>
      </c>
      <c r="E4097" s="159">
        <v>46</v>
      </c>
      <c r="F4097" s="131"/>
      <c r="G4097" s="132"/>
      <c r="H4097" s="162" t="s">
        <v>24673</v>
      </c>
      <c r="I4097" s="158" t="s">
        <v>24674</v>
      </c>
      <c r="J4097" s="128"/>
      <c r="K4097" s="128"/>
      <c r="L4097" s="128"/>
      <c r="M4097" s="129"/>
      <c r="N4097" s="129"/>
      <c r="O4097" s="129"/>
    </row>
    <row r="4098" spans="1:15" ht="12.5">
      <c r="A4098" s="158" t="s">
        <v>24675</v>
      </c>
      <c r="B4098" s="159">
        <v>40</v>
      </c>
      <c r="C4098" s="159">
        <v>50</v>
      </c>
      <c r="D4098" s="159">
        <v>86</v>
      </c>
      <c r="E4098" s="159">
        <v>62</v>
      </c>
      <c r="F4098" s="131"/>
      <c r="G4098" s="132"/>
      <c r="H4098" s="162" t="s">
        <v>24676</v>
      </c>
      <c r="I4098" s="158" t="s">
        <v>24677</v>
      </c>
      <c r="J4098" s="128"/>
      <c r="K4098" s="128"/>
      <c r="L4098" s="128"/>
      <c r="M4098" s="129"/>
      <c r="N4098" s="129"/>
      <c r="O4098" s="129"/>
    </row>
    <row r="4099" spans="1:15" ht="12.5">
      <c r="A4099" s="158" t="s">
        <v>24678</v>
      </c>
      <c r="B4099" s="159">
        <v>40</v>
      </c>
      <c r="C4099" s="159">
        <v>50</v>
      </c>
      <c r="D4099" s="159">
        <v>86</v>
      </c>
      <c r="E4099" s="159">
        <v>64</v>
      </c>
      <c r="F4099" s="131"/>
      <c r="G4099" s="132"/>
      <c r="H4099" s="162" t="s">
        <v>24679</v>
      </c>
      <c r="I4099" s="128"/>
      <c r="J4099" s="128"/>
      <c r="K4099" s="128"/>
      <c r="L4099" s="128"/>
      <c r="M4099" s="129"/>
      <c r="N4099" s="129"/>
      <c r="O4099" s="129"/>
    </row>
    <row r="4100" spans="1:15" ht="12.5">
      <c r="A4100" s="158" t="s">
        <v>24680</v>
      </c>
      <c r="B4100" s="159">
        <v>40</v>
      </c>
      <c r="C4100" s="159">
        <v>50</v>
      </c>
      <c r="D4100" s="159">
        <v>86</v>
      </c>
      <c r="E4100" s="159">
        <v>66</v>
      </c>
      <c r="F4100" s="131"/>
      <c r="G4100" s="132"/>
      <c r="H4100" s="162" t="s">
        <v>24681</v>
      </c>
      <c r="I4100" s="158" t="s">
        <v>24682</v>
      </c>
      <c r="J4100" s="128"/>
      <c r="K4100" s="128"/>
      <c r="L4100" s="128"/>
      <c r="M4100" s="129"/>
      <c r="N4100" s="129"/>
      <c r="O4100" s="129"/>
    </row>
    <row r="4101" spans="1:15" ht="12.5">
      <c r="A4101" s="158" t="s">
        <v>24683</v>
      </c>
      <c r="B4101" s="159">
        <v>40</v>
      </c>
      <c r="C4101" s="159">
        <v>50</v>
      </c>
      <c r="D4101" s="159">
        <v>86</v>
      </c>
      <c r="E4101" s="159">
        <v>68</v>
      </c>
      <c r="F4101" s="131"/>
      <c r="G4101" s="132"/>
      <c r="H4101" s="162" t="s">
        <v>24684</v>
      </c>
      <c r="I4101" s="158" t="s">
        <v>24685</v>
      </c>
      <c r="J4101" s="128"/>
      <c r="K4101" s="128"/>
      <c r="L4101" s="128"/>
      <c r="M4101" s="129"/>
      <c r="N4101" s="129"/>
      <c r="O4101" s="129"/>
    </row>
    <row r="4102" spans="1:15" ht="12.5">
      <c r="A4102" s="158" t="s">
        <v>24686</v>
      </c>
      <c r="B4102" s="159">
        <v>40</v>
      </c>
      <c r="C4102" s="159">
        <v>50</v>
      </c>
      <c r="D4102" s="159">
        <v>90</v>
      </c>
      <c r="E4102" s="130"/>
      <c r="F4102" s="131"/>
      <c r="G4102" s="132"/>
      <c r="H4102" s="162" t="s">
        <v>24687</v>
      </c>
      <c r="I4102" s="128"/>
      <c r="J4102" s="128"/>
      <c r="K4102" s="128"/>
      <c r="L4102" s="128"/>
      <c r="M4102" s="129"/>
      <c r="N4102" s="129"/>
      <c r="O4102" s="129"/>
    </row>
    <row r="4103" spans="1:15" ht="12.5">
      <c r="A4103" s="158" t="s">
        <v>24688</v>
      </c>
      <c r="B4103" s="159">
        <v>40</v>
      </c>
      <c r="C4103" s="159">
        <v>50</v>
      </c>
      <c r="D4103" s="159">
        <v>90</v>
      </c>
      <c r="E4103" s="159">
        <v>8</v>
      </c>
      <c r="F4103" s="131"/>
      <c r="G4103" s="132"/>
      <c r="H4103" s="162" t="s">
        <v>24689</v>
      </c>
      <c r="I4103" s="128"/>
      <c r="J4103" s="128"/>
      <c r="K4103" s="128"/>
      <c r="L4103" s="128"/>
      <c r="M4103" s="129"/>
      <c r="N4103" s="129"/>
      <c r="O4103" s="129"/>
    </row>
    <row r="4104" spans="1:15" ht="12.5">
      <c r="A4104" s="158" t="s">
        <v>24690</v>
      </c>
      <c r="B4104" s="159">
        <v>40</v>
      </c>
      <c r="C4104" s="159">
        <v>50</v>
      </c>
      <c r="D4104" s="159">
        <v>90</v>
      </c>
      <c r="E4104" s="159">
        <v>15</v>
      </c>
      <c r="F4104" s="131"/>
      <c r="G4104" s="132"/>
      <c r="H4104" s="162" t="s">
        <v>24691</v>
      </c>
      <c r="I4104" s="128"/>
      <c r="J4104" s="128"/>
      <c r="K4104" s="128"/>
      <c r="L4104" s="128"/>
      <c r="M4104" s="129"/>
      <c r="N4104" s="129"/>
      <c r="O4104" s="129"/>
    </row>
    <row r="4105" spans="1:15" ht="12.5">
      <c r="A4105" s="158" t="s">
        <v>24692</v>
      </c>
      <c r="B4105" s="159">
        <v>40</v>
      </c>
      <c r="C4105" s="159">
        <v>50</v>
      </c>
      <c r="D4105" s="159">
        <v>90</v>
      </c>
      <c r="E4105" s="159">
        <v>30</v>
      </c>
      <c r="F4105" s="131"/>
      <c r="G4105" s="132"/>
      <c r="H4105" s="162" t="s">
        <v>24693</v>
      </c>
      <c r="I4105" s="158" t="s">
        <v>24694</v>
      </c>
      <c r="J4105" s="128"/>
      <c r="K4105" s="128"/>
      <c r="L4105" s="128"/>
      <c r="M4105" s="129"/>
      <c r="N4105" s="129"/>
      <c r="O4105" s="129"/>
    </row>
    <row r="4106" spans="1:15" ht="12.5">
      <c r="A4106" s="158" t="s">
        <v>24695</v>
      </c>
      <c r="B4106" s="159">
        <v>40</v>
      </c>
      <c r="C4106" s="159">
        <v>50</v>
      </c>
      <c r="D4106" s="159">
        <v>90</v>
      </c>
      <c r="E4106" s="159">
        <v>31</v>
      </c>
      <c r="F4106" s="131"/>
      <c r="G4106" s="132"/>
      <c r="H4106" s="162" t="s">
        <v>24696</v>
      </c>
      <c r="I4106" s="128"/>
      <c r="J4106" s="128"/>
      <c r="K4106" s="128"/>
      <c r="L4106" s="128"/>
      <c r="M4106" s="129"/>
      <c r="N4106" s="129"/>
      <c r="O4106" s="129"/>
    </row>
    <row r="4107" spans="1:15" ht="12.5">
      <c r="A4107" s="158" t="s">
        <v>24697</v>
      </c>
      <c r="B4107" s="159">
        <v>40</v>
      </c>
      <c r="C4107" s="159">
        <v>50</v>
      </c>
      <c r="D4107" s="159">
        <v>90</v>
      </c>
      <c r="E4107" s="159">
        <v>32</v>
      </c>
      <c r="F4107" s="131"/>
      <c r="G4107" s="132"/>
      <c r="H4107" s="162" t="s">
        <v>24698</v>
      </c>
      <c r="I4107" s="158" t="s">
        <v>24699</v>
      </c>
      <c r="J4107" s="128"/>
      <c r="K4107" s="128"/>
      <c r="L4107" s="128"/>
      <c r="M4107" s="129"/>
      <c r="N4107" s="129"/>
      <c r="O4107" s="129"/>
    </row>
    <row r="4108" spans="1:15" ht="12.5">
      <c r="A4108" s="158" t="s">
        <v>24700</v>
      </c>
      <c r="B4108" s="159">
        <v>40</v>
      </c>
      <c r="C4108" s="159">
        <v>50</v>
      </c>
      <c r="D4108" s="159">
        <v>90</v>
      </c>
      <c r="E4108" s="159">
        <v>33</v>
      </c>
      <c r="F4108" s="131"/>
      <c r="G4108" s="132"/>
      <c r="H4108" s="162" t="s">
        <v>24701</v>
      </c>
      <c r="I4108" s="128"/>
      <c r="J4108" s="128"/>
      <c r="K4108" s="128"/>
      <c r="L4108" s="128"/>
      <c r="M4108" s="129"/>
      <c r="N4108" s="129"/>
      <c r="O4108" s="129"/>
    </row>
    <row r="4109" spans="1:15" ht="12.5">
      <c r="A4109" s="158" t="s">
        <v>24702</v>
      </c>
      <c r="B4109" s="159">
        <v>40</v>
      </c>
      <c r="C4109" s="159">
        <v>50</v>
      </c>
      <c r="D4109" s="159">
        <v>90</v>
      </c>
      <c r="E4109" s="159">
        <v>46</v>
      </c>
      <c r="F4109" s="131"/>
      <c r="G4109" s="132"/>
      <c r="H4109" s="162" t="s">
        <v>24703</v>
      </c>
      <c r="I4109" s="158" t="s">
        <v>24704</v>
      </c>
      <c r="J4109" s="128"/>
      <c r="K4109" s="128"/>
      <c r="L4109" s="128"/>
      <c r="M4109" s="129"/>
      <c r="N4109" s="129"/>
      <c r="O4109" s="129"/>
    </row>
    <row r="4110" spans="1:15" ht="12.5">
      <c r="A4110" s="158" t="s">
        <v>24705</v>
      </c>
      <c r="B4110" s="159">
        <v>40</v>
      </c>
      <c r="C4110" s="159">
        <v>50</v>
      </c>
      <c r="D4110" s="159">
        <v>90</v>
      </c>
      <c r="E4110" s="159">
        <v>47</v>
      </c>
      <c r="F4110" s="131"/>
      <c r="G4110" s="132"/>
      <c r="H4110" s="162" t="s">
        <v>24706</v>
      </c>
      <c r="I4110" s="158" t="s">
        <v>24707</v>
      </c>
      <c r="J4110" s="128"/>
      <c r="K4110" s="128"/>
      <c r="L4110" s="128"/>
      <c r="M4110" s="129"/>
      <c r="N4110" s="129"/>
      <c r="O4110" s="129"/>
    </row>
    <row r="4111" spans="1:15" ht="12.5">
      <c r="A4111" s="158" t="s">
        <v>24708</v>
      </c>
      <c r="B4111" s="159">
        <v>40</v>
      </c>
      <c r="C4111" s="159">
        <v>50</v>
      </c>
      <c r="D4111" s="159">
        <v>90</v>
      </c>
      <c r="E4111" s="159">
        <v>49</v>
      </c>
      <c r="F4111" s="131"/>
      <c r="G4111" s="132"/>
      <c r="H4111" s="162" t="s">
        <v>24709</v>
      </c>
      <c r="I4111" s="128"/>
      <c r="J4111" s="128"/>
      <c r="K4111" s="128"/>
      <c r="L4111" s="128"/>
      <c r="M4111" s="129"/>
      <c r="N4111" s="129"/>
      <c r="O4111" s="129"/>
    </row>
    <row r="4112" spans="1:15" ht="12.5">
      <c r="A4112" s="158" t="s">
        <v>24710</v>
      </c>
      <c r="B4112" s="159">
        <v>40</v>
      </c>
      <c r="C4112" s="159">
        <v>50</v>
      </c>
      <c r="D4112" s="159">
        <v>90</v>
      </c>
      <c r="E4112" s="159">
        <v>52</v>
      </c>
      <c r="F4112" s="131"/>
      <c r="G4112" s="132"/>
      <c r="H4112" s="162" t="s">
        <v>24711</v>
      </c>
      <c r="I4112" s="158" t="s">
        <v>24712</v>
      </c>
      <c r="J4112" s="128"/>
      <c r="K4112" s="128"/>
      <c r="L4112" s="128"/>
      <c r="M4112" s="129"/>
      <c r="N4112" s="129"/>
      <c r="O4112" s="129"/>
    </row>
    <row r="4113" spans="1:15" ht="12.5">
      <c r="A4113" s="158" t="s">
        <v>24713</v>
      </c>
      <c r="B4113" s="159">
        <v>40</v>
      </c>
      <c r="C4113" s="159">
        <v>50</v>
      </c>
      <c r="D4113" s="159">
        <v>90</v>
      </c>
      <c r="E4113" s="159">
        <v>64</v>
      </c>
      <c r="F4113" s="131"/>
      <c r="G4113" s="132"/>
      <c r="H4113" s="162" t="s">
        <v>24714</v>
      </c>
      <c r="I4113" s="158" t="s">
        <v>24715</v>
      </c>
      <c r="J4113" s="128"/>
      <c r="K4113" s="128"/>
      <c r="L4113" s="128"/>
      <c r="M4113" s="129"/>
      <c r="N4113" s="129"/>
      <c r="O4113" s="129"/>
    </row>
    <row r="4114" spans="1:15" ht="12.5">
      <c r="A4114" s="158" t="s">
        <v>24716</v>
      </c>
      <c r="B4114" s="159">
        <v>40</v>
      </c>
      <c r="C4114" s="159">
        <v>50</v>
      </c>
      <c r="D4114" s="159">
        <v>90</v>
      </c>
      <c r="E4114" s="159">
        <v>72</v>
      </c>
      <c r="F4114" s="131"/>
      <c r="G4114" s="132"/>
      <c r="H4114" s="162" t="s">
        <v>24717</v>
      </c>
      <c r="I4114" s="158" t="s">
        <v>24718</v>
      </c>
      <c r="J4114" s="128"/>
      <c r="K4114" s="128"/>
      <c r="L4114" s="128"/>
      <c r="M4114" s="129"/>
      <c r="N4114" s="129"/>
      <c r="O4114" s="129"/>
    </row>
    <row r="4115" spans="1:15" ht="12.5">
      <c r="A4115" s="158" t="s">
        <v>24719</v>
      </c>
      <c r="B4115" s="159">
        <v>40</v>
      </c>
      <c r="C4115" s="159">
        <v>50</v>
      </c>
      <c r="D4115" s="159">
        <v>90</v>
      </c>
      <c r="E4115" s="159">
        <v>76</v>
      </c>
      <c r="F4115" s="131"/>
      <c r="G4115" s="132"/>
      <c r="H4115" s="162" t="s">
        <v>24720</v>
      </c>
      <c r="I4115" s="128"/>
      <c r="J4115" s="128"/>
      <c r="K4115" s="128"/>
      <c r="L4115" s="128"/>
      <c r="M4115" s="129"/>
      <c r="N4115" s="129"/>
      <c r="O4115" s="129"/>
    </row>
    <row r="4116" spans="1:15" ht="12.5">
      <c r="A4116" s="158" t="s">
        <v>24721</v>
      </c>
      <c r="B4116" s="159">
        <v>40</v>
      </c>
      <c r="C4116" s="159">
        <v>50</v>
      </c>
      <c r="D4116" s="159">
        <v>90</v>
      </c>
      <c r="E4116" s="159">
        <v>82</v>
      </c>
      <c r="F4116" s="131"/>
      <c r="G4116" s="132"/>
      <c r="H4116" s="162" t="s">
        <v>24722</v>
      </c>
      <c r="I4116" s="128"/>
      <c r="J4116" s="128"/>
      <c r="K4116" s="128"/>
      <c r="L4116" s="128"/>
      <c r="M4116" s="129"/>
      <c r="N4116" s="129"/>
      <c r="O4116" s="129"/>
    </row>
    <row r="4117" spans="1:15" ht="12.5">
      <c r="A4117" s="158" t="s">
        <v>24723</v>
      </c>
      <c r="B4117" s="159">
        <v>40</v>
      </c>
      <c r="C4117" s="159">
        <v>50</v>
      </c>
      <c r="D4117" s="159">
        <v>90</v>
      </c>
      <c r="E4117" s="159">
        <v>87</v>
      </c>
      <c r="F4117" s="131"/>
      <c r="G4117" s="132"/>
      <c r="H4117" s="162" t="s">
        <v>24724</v>
      </c>
      <c r="I4117" s="128"/>
      <c r="J4117" s="128"/>
      <c r="K4117" s="128"/>
      <c r="L4117" s="128"/>
      <c r="M4117" s="129"/>
      <c r="N4117" s="129"/>
      <c r="O4117" s="129"/>
    </row>
    <row r="4118" spans="1:15" ht="12.5">
      <c r="A4118" s="158" t="s">
        <v>24725</v>
      </c>
      <c r="B4118" s="159">
        <v>40</v>
      </c>
      <c r="C4118" s="159">
        <v>50</v>
      </c>
      <c r="D4118" s="159">
        <v>90</v>
      </c>
      <c r="E4118" s="159">
        <v>88</v>
      </c>
      <c r="F4118" s="131"/>
      <c r="G4118" s="132"/>
      <c r="H4118" s="162" t="s">
        <v>24726</v>
      </c>
      <c r="I4118" s="158" t="s">
        <v>24727</v>
      </c>
      <c r="J4118" s="128"/>
      <c r="K4118" s="128"/>
      <c r="L4118" s="128"/>
      <c r="M4118" s="129"/>
      <c r="N4118" s="129"/>
      <c r="O4118" s="129"/>
    </row>
    <row r="4119" spans="1:15" ht="12.5">
      <c r="A4119" s="158" t="s">
        <v>24728</v>
      </c>
      <c r="B4119" s="159">
        <v>40</v>
      </c>
      <c r="C4119" s="159">
        <v>50</v>
      </c>
      <c r="D4119" s="159">
        <v>96</v>
      </c>
      <c r="E4119" s="130"/>
      <c r="F4119" s="131"/>
      <c r="G4119" s="132"/>
      <c r="H4119" s="162" t="s">
        <v>24729</v>
      </c>
      <c r="I4119" s="128"/>
      <c r="J4119" s="128"/>
      <c r="K4119" s="128"/>
      <c r="L4119" s="128"/>
      <c r="M4119" s="129"/>
      <c r="N4119" s="129"/>
      <c r="O4119" s="129"/>
    </row>
    <row r="4120" spans="1:15" ht="12.5">
      <c r="A4120" s="158" t="s">
        <v>24730</v>
      </c>
      <c r="B4120" s="159">
        <v>40</v>
      </c>
      <c r="C4120" s="159">
        <v>50</v>
      </c>
      <c r="D4120" s="159">
        <v>96</v>
      </c>
      <c r="E4120" s="159">
        <v>11</v>
      </c>
      <c r="F4120" s="131"/>
      <c r="G4120" s="132"/>
      <c r="H4120" s="162" t="s">
        <v>24731</v>
      </c>
      <c r="I4120" s="128"/>
      <c r="J4120" s="128"/>
      <c r="K4120" s="128"/>
      <c r="L4120" s="128"/>
      <c r="M4120" s="129"/>
      <c r="N4120" s="129"/>
      <c r="O4120" s="129"/>
    </row>
    <row r="4121" spans="1:15" ht="12.5">
      <c r="A4121" s="144" t="s">
        <v>24732</v>
      </c>
      <c r="B4121" s="145">
        <v>40</v>
      </c>
      <c r="C4121" s="145">
        <v>70</v>
      </c>
      <c r="D4121" s="146"/>
      <c r="E4121" s="146"/>
      <c r="F4121" s="147" t="s">
        <v>33465</v>
      </c>
      <c r="G4121" s="190"/>
      <c r="H4121" s="149" t="s">
        <v>7699</v>
      </c>
      <c r="I4121" s="150"/>
      <c r="J4121" s="150"/>
      <c r="K4121" s="150"/>
      <c r="L4121" s="150"/>
      <c r="M4121" s="191"/>
      <c r="N4121" s="191"/>
      <c r="O4121" s="191"/>
    </row>
    <row r="4122" spans="1:15" ht="12.5">
      <c r="A4122" s="158" t="s">
        <v>24739</v>
      </c>
      <c r="B4122" s="159">
        <v>40</v>
      </c>
      <c r="C4122" s="159">
        <v>70</v>
      </c>
      <c r="D4122" s="159">
        <v>13</v>
      </c>
      <c r="E4122" s="130"/>
      <c r="F4122" s="131"/>
      <c r="G4122" s="132"/>
      <c r="H4122" s="162" t="s">
        <v>24740</v>
      </c>
      <c r="I4122" s="128"/>
      <c r="J4122" s="128"/>
      <c r="K4122" s="128"/>
      <c r="L4122" s="128"/>
      <c r="M4122" s="129"/>
      <c r="N4122" s="129"/>
      <c r="O4122" s="129"/>
    </row>
    <row r="4123" spans="1:15" ht="12.5">
      <c r="A4123" s="158" t="s">
        <v>24743</v>
      </c>
      <c r="B4123" s="159">
        <v>40</v>
      </c>
      <c r="C4123" s="159">
        <v>70</v>
      </c>
      <c r="D4123" s="159">
        <v>13</v>
      </c>
      <c r="E4123" s="159">
        <v>58</v>
      </c>
      <c r="F4123" s="131"/>
      <c r="G4123" s="132"/>
      <c r="H4123" s="162" t="s">
        <v>24744</v>
      </c>
      <c r="I4123" s="128"/>
      <c r="J4123" s="128"/>
      <c r="K4123" s="128"/>
      <c r="L4123" s="128"/>
      <c r="M4123" s="129"/>
      <c r="N4123" s="129"/>
      <c r="O4123" s="129"/>
    </row>
    <row r="4124" spans="1:15" ht="12.5">
      <c r="A4124" s="158" t="s">
        <v>24747</v>
      </c>
      <c r="B4124" s="159">
        <v>40</v>
      </c>
      <c r="C4124" s="159">
        <v>70</v>
      </c>
      <c r="D4124" s="159">
        <v>13</v>
      </c>
      <c r="E4124" s="159">
        <v>72</v>
      </c>
      <c r="F4124" s="131"/>
      <c r="G4124" s="132"/>
      <c r="H4124" s="162" t="s">
        <v>24748</v>
      </c>
      <c r="I4124" s="158" t="s">
        <v>24749</v>
      </c>
      <c r="J4124" s="128"/>
      <c r="K4124" s="128"/>
      <c r="L4124" s="128"/>
      <c r="M4124" s="129"/>
      <c r="N4124" s="129"/>
      <c r="O4124" s="129"/>
    </row>
    <row r="4125" spans="1:15" ht="12.5">
      <c r="A4125" s="158" t="s">
        <v>24750</v>
      </c>
      <c r="B4125" s="159">
        <v>40</v>
      </c>
      <c r="C4125" s="159">
        <v>70</v>
      </c>
      <c r="D4125" s="159">
        <v>15</v>
      </c>
      <c r="E4125" s="130"/>
      <c r="F4125" s="131"/>
      <c r="G4125" s="132"/>
      <c r="H4125" s="162" t="s">
        <v>24751</v>
      </c>
      <c r="I4125" s="128"/>
      <c r="J4125" s="128"/>
      <c r="K4125" s="128"/>
      <c r="L4125" s="128"/>
      <c r="M4125" s="129"/>
      <c r="N4125" s="129"/>
      <c r="O4125" s="129"/>
    </row>
    <row r="4126" spans="1:15" ht="12.5">
      <c r="A4126" s="158" t="s">
        <v>24752</v>
      </c>
      <c r="B4126" s="159">
        <v>40</v>
      </c>
      <c r="C4126" s="159">
        <v>70</v>
      </c>
      <c r="D4126" s="159">
        <v>15</v>
      </c>
      <c r="E4126" s="159">
        <v>96</v>
      </c>
      <c r="F4126" s="131"/>
      <c r="G4126" s="132"/>
      <c r="H4126" s="162" t="s">
        <v>24753</v>
      </c>
      <c r="I4126" s="158" t="s">
        <v>24754</v>
      </c>
      <c r="J4126" s="128"/>
      <c r="K4126" s="128"/>
      <c r="L4126" s="128"/>
      <c r="M4126" s="129"/>
      <c r="N4126" s="129"/>
      <c r="O4126" s="129"/>
    </row>
    <row r="4127" spans="1:15" ht="12.5">
      <c r="A4127" s="158" t="s">
        <v>24755</v>
      </c>
      <c r="B4127" s="159">
        <v>40</v>
      </c>
      <c r="C4127" s="159">
        <v>70</v>
      </c>
      <c r="D4127" s="159">
        <v>21</v>
      </c>
      <c r="E4127" s="130"/>
      <c r="F4127" s="131"/>
      <c r="G4127" s="132"/>
      <c r="H4127" s="162" t="s">
        <v>24756</v>
      </c>
      <c r="I4127" s="128"/>
      <c r="J4127" s="128"/>
      <c r="K4127" s="128"/>
      <c r="L4127" s="128"/>
      <c r="M4127" s="129"/>
      <c r="N4127" s="129"/>
      <c r="O4127" s="129"/>
    </row>
    <row r="4128" spans="1:15" ht="12.5">
      <c r="A4128" s="158" t="s">
        <v>24757</v>
      </c>
      <c r="B4128" s="159">
        <v>40</v>
      </c>
      <c r="C4128" s="159">
        <v>70</v>
      </c>
      <c r="D4128" s="159">
        <v>21</v>
      </c>
      <c r="E4128" s="159">
        <v>16</v>
      </c>
      <c r="F4128" s="131"/>
      <c r="G4128" s="132"/>
      <c r="H4128" s="162" t="s">
        <v>24758</v>
      </c>
      <c r="I4128" s="158" t="s">
        <v>24759</v>
      </c>
      <c r="J4128" s="128"/>
      <c r="K4128" s="128"/>
      <c r="L4128" s="128"/>
      <c r="M4128" s="129"/>
      <c r="N4128" s="129"/>
      <c r="O4128" s="129"/>
    </row>
    <row r="4129" spans="1:15" ht="12.5">
      <c r="A4129" s="158" t="s">
        <v>24760</v>
      </c>
      <c r="B4129" s="159">
        <v>40</v>
      </c>
      <c r="C4129" s="159">
        <v>70</v>
      </c>
      <c r="D4129" s="159">
        <v>21</v>
      </c>
      <c r="E4129" s="159">
        <v>22</v>
      </c>
      <c r="F4129" s="131"/>
      <c r="G4129" s="132"/>
      <c r="H4129" s="162" t="s">
        <v>24761</v>
      </c>
      <c r="I4129" s="128"/>
      <c r="J4129" s="128"/>
      <c r="K4129" s="128"/>
      <c r="L4129" s="128"/>
      <c r="M4129" s="129"/>
      <c r="N4129" s="129"/>
      <c r="O4129" s="129"/>
    </row>
    <row r="4130" spans="1:15" ht="12.5">
      <c r="A4130" s="158" t="s">
        <v>24762</v>
      </c>
      <c r="B4130" s="159">
        <v>40</v>
      </c>
      <c r="C4130" s="159">
        <v>70</v>
      </c>
      <c r="D4130" s="159">
        <v>21</v>
      </c>
      <c r="E4130" s="159">
        <v>24</v>
      </c>
      <c r="F4130" s="131"/>
      <c r="G4130" s="132"/>
      <c r="H4130" s="162" t="s">
        <v>24763</v>
      </c>
      <c r="I4130" s="158" t="s">
        <v>24764</v>
      </c>
      <c r="J4130" s="128"/>
      <c r="K4130" s="128"/>
      <c r="L4130" s="128"/>
      <c r="M4130" s="129"/>
      <c r="N4130" s="129"/>
      <c r="O4130" s="129"/>
    </row>
    <row r="4131" spans="1:15" ht="12.5">
      <c r="A4131" s="158" t="s">
        <v>24765</v>
      </c>
      <c r="B4131" s="159">
        <v>40</v>
      </c>
      <c r="C4131" s="159">
        <v>70</v>
      </c>
      <c r="D4131" s="159">
        <v>21</v>
      </c>
      <c r="E4131" s="159">
        <v>30</v>
      </c>
      <c r="F4131" s="131"/>
      <c r="G4131" s="132"/>
      <c r="H4131" s="162" t="s">
        <v>24766</v>
      </c>
      <c r="I4131" s="128"/>
      <c r="J4131" s="128"/>
      <c r="K4131" s="128"/>
      <c r="L4131" s="128"/>
      <c r="M4131" s="129"/>
      <c r="N4131" s="129"/>
      <c r="O4131" s="129"/>
    </row>
    <row r="4132" spans="1:15" ht="12.5">
      <c r="A4132" s="158" t="s">
        <v>24767</v>
      </c>
      <c r="B4132" s="159">
        <v>40</v>
      </c>
      <c r="C4132" s="159">
        <v>70</v>
      </c>
      <c r="D4132" s="159">
        <v>21</v>
      </c>
      <c r="E4132" s="159">
        <v>60</v>
      </c>
      <c r="F4132" s="131"/>
      <c r="G4132" s="132"/>
      <c r="H4132" s="162" t="s">
        <v>24768</v>
      </c>
      <c r="I4132" s="158" t="s">
        <v>24769</v>
      </c>
      <c r="J4132" s="128"/>
      <c r="K4132" s="128"/>
      <c r="L4132" s="128"/>
      <c r="M4132" s="129"/>
      <c r="N4132" s="129"/>
      <c r="O4132" s="129"/>
    </row>
    <row r="4133" spans="1:15" ht="12.5">
      <c r="A4133" s="158" t="s">
        <v>24770</v>
      </c>
      <c r="B4133" s="159">
        <v>40</v>
      </c>
      <c r="C4133" s="159">
        <v>70</v>
      </c>
      <c r="D4133" s="159">
        <v>21</v>
      </c>
      <c r="E4133" s="159">
        <v>92</v>
      </c>
      <c r="F4133" s="131"/>
      <c r="G4133" s="132"/>
      <c r="H4133" s="162" t="s">
        <v>24771</v>
      </c>
      <c r="I4133" s="158" t="s">
        <v>24772</v>
      </c>
      <c r="J4133" s="128"/>
      <c r="K4133" s="128"/>
      <c r="L4133" s="128"/>
      <c r="M4133" s="129"/>
      <c r="N4133" s="129"/>
      <c r="O4133" s="129"/>
    </row>
    <row r="4134" spans="1:15" ht="12.5">
      <c r="A4134" s="158" t="s">
        <v>24773</v>
      </c>
      <c r="B4134" s="159">
        <v>40</v>
      </c>
      <c r="C4134" s="159">
        <v>70</v>
      </c>
      <c r="D4134" s="159">
        <v>22</v>
      </c>
      <c r="E4134" s="130"/>
      <c r="F4134" s="131"/>
      <c r="G4134" s="132"/>
      <c r="H4134" s="162" t="s">
        <v>24774</v>
      </c>
      <c r="I4134" s="128"/>
      <c r="J4134" s="128"/>
      <c r="K4134" s="128"/>
      <c r="L4134" s="128"/>
      <c r="M4134" s="129"/>
      <c r="N4134" s="129"/>
      <c r="O4134" s="129"/>
    </row>
    <row r="4135" spans="1:15" ht="12.5">
      <c r="A4135" s="158" t="s">
        <v>24775</v>
      </c>
      <c r="B4135" s="159">
        <v>40</v>
      </c>
      <c r="C4135" s="159">
        <v>70</v>
      </c>
      <c r="D4135" s="159">
        <v>22</v>
      </c>
      <c r="E4135" s="159">
        <v>5</v>
      </c>
      <c r="F4135" s="131"/>
      <c r="G4135" s="132"/>
      <c r="H4135" s="162" t="s">
        <v>24776</v>
      </c>
      <c r="I4135" s="128"/>
      <c r="J4135" s="128"/>
      <c r="K4135" s="128"/>
      <c r="L4135" s="128"/>
      <c r="M4135" s="129"/>
      <c r="N4135" s="129"/>
      <c r="O4135" s="129"/>
    </row>
    <row r="4136" spans="1:15" ht="12.5">
      <c r="A4136" s="158" t="s">
        <v>24777</v>
      </c>
      <c r="B4136" s="159">
        <v>40</v>
      </c>
      <c r="C4136" s="159">
        <v>70</v>
      </c>
      <c r="D4136" s="159">
        <v>22</v>
      </c>
      <c r="E4136" s="159">
        <v>6</v>
      </c>
      <c r="F4136" s="131"/>
      <c r="G4136" s="132"/>
      <c r="H4136" s="162" t="s">
        <v>24778</v>
      </c>
      <c r="I4136" s="158" t="s">
        <v>24779</v>
      </c>
      <c r="J4136" s="128"/>
      <c r="K4136" s="128"/>
      <c r="L4136" s="128"/>
      <c r="M4136" s="129"/>
      <c r="N4136" s="129"/>
      <c r="O4136" s="129"/>
    </row>
    <row r="4137" spans="1:15" ht="12.5">
      <c r="A4137" s="158" t="s">
        <v>24780</v>
      </c>
      <c r="B4137" s="159">
        <v>40</v>
      </c>
      <c r="C4137" s="159">
        <v>70</v>
      </c>
      <c r="D4137" s="159">
        <v>22</v>
      </c>
      <c r="E4137" s="159">
        <v>11</v>
      </c>
      <c r="F4137" s="131"/>
      <c r="G4137" s="132"/>
      <c r="H4137" s="162" t="s">
        <v>24781</v>
      </c>
      <c r="I4137" s="128"/>
      <c r="J4137" s="128"/>
      <c r="K4137" s="128"/>
      <c r="L4137" s="128"/>
      <c r="M4137" s="129"/>
      <c r="N4137" s="129"/>
      <c r="O4137" s="129"/>
    </row>
    <row r="4138" spans="1:15" ht="12.5">
      <c r="A4138" s="158" t="s">
        <v>24782</v>
      </c>
      <c r="B4138" s="159">
        <v>40</v>
      </c>
      <c r="C4138" s="159">
        <v>70</v>
      </c>
      <c r="D4138" s="159">
        <v>22</v>
      </c>
      <c r="E4138" s="159">
        <v>15</v>
      </c>
      <c r="F4138" s="131"/>
      <c r="G4138" s="132"/>
      <c r="H4138" s="162" t="s">
        <v>24783</v>
      </c>
      <c r="I4138" s="128"/>
      <c r="J4138" s="128"/>
      <c r="K4138" s="128"/>
      <c r="L4138" s="128"/>
      <c r="M4138" s="129"/>
      <c r="N4138" s="129"/>
      <c r="O4138" s="129"/>
    </row>
    <row r="4139" spans="1:15" ht="12.5">
      <c r="A4139" s="158" t="s">
        <v>24784</v>
      </c>
      <c r="B4139" s="159">
        <v>40</v>
      </c>
      <c r="C4139" s="159">
        <v>70</v>
      </c>
      <c r="D4139" s="159">
        <v>22</v>
      </c>
      <c r="E4139" s="159">
        <v>16</v>
      </c>
      <c r="F4139" s="131"/>
      <c r="G4139" s="132"/>
      <c r="H4139" s="162" t="s">
        <v>24785</v>
      </c>
      <c r="I4139" s="128"/>
      <c r="J4139" s="128"/>
      <c r="K4139" s="128"/>
      <c r="L4139" s="128"/>
      <c r="M4139" s="129"/>
      <c r="N4139" s="129"/>
      <c r="O4139" s="129"/>
    </row>
    <row r="4140" spans="1:15" ht="12.5">
      <c r="A4140" s="158" t="s">
        <v>24786</v>
      </c>
      <c r="B4140" s="159">
        <v>40</v>
      </c>
      <c r="C4140" s="159">
        <v>70</v>
      </c>
      <c r="D4140" s="159">
        <v>22</v>
      </c>
      <c r="E4140" s="159">
        <v>17</v>
      </c>
      <c r="F4140" s="131"/>
      <c r="G4140" s="132"/>
      <c r="H4140" s="162" t="s">
        <v>24787</v>
      </c>
      <c r="I4140" s="128"/>
      <c r="J4140" s="128"/>
      <c r="K4140" s="128"/>
      <c r="L4140" s="128"/>
      <c r="M4140" s="129"/>
      <c r="N4140" s="129"/>
      <c r="O4140" s="129"/>
    </row>
    <row r="4141" spans="1:15" ht="12.5">
      <c r="A4141" s="158" t="s">
        <v>24788</v>
      </c>
      <c r="B4141" s="159">
        <v>40</v>
      </c>
      <c r="C4141" s="159">
        <v>70</v>
      </c>
      <c r="D4141" s="159">
        <v>22</v>
      </c>
      <c r="E4141" s="159">
        <v>22</v>
      </c>
      <c r="F4141" s="131"/>
      <c r="G4141" s="132"/>
      <c r="H4141" s="162" t="s">
        <v>24789</v>
      </c>
      <c r="I4141" s="158" t="s">
        <v>24790</v>
      </c>
      <c r="J4141" s="128"/>
      <c r="K4141" s="128"/>
      <c r="L4141" s="128"/>
      <c r="M4141" s="129"/>
      <c r="N4141" s="129"/>
      <c r="O4141" s="129"/>
    </row>
    <row r="4142" spans="1:15" ht="12.5">
      <c r="A4142" s="158" t="s">
        <v>24791</v>
      </c>
      <c r="B4142" s="159">
        <v>40</v>
      </c>
      <c r="C4142" s="159">
        <v>70</v>
      </c>
      <c r="D4142" s="159">
        <v>22</v>
      </c>
      <c r="E4142" s="159">
        <v>23</v>
      </c>
      <c r="F4142" s="131"/>
      <c r="G4142" s="132"/>
      <c r="H4142" s="162" t="s">
        <v>24792</v>
      </c>
      <c r="I4142" s="158" t="s">
        <v>24793</v>
      </c>
      <c r="J4142" s="128"/>
      <c r="K4142" s="128"/>
      <c r="L4142" s="128"/>
      <c r="M4142" s="129"/>
      <c r="N4142" s="129"/>
      <c r="O4142" s="129"/>
    </row>
    <row r="4143" spans="1:15" ht="12.5">
      <c r="A4143" s="158" t="s">
        <v>24794</v>
      </c>
      <c r="B4143" s="159">
        <v>40</v>
      </c>
      <c r="C4143" s="159">
        <v>70</v>
      </c>
      <c r="D4143" s="159">
        <v>22</v>
      </c>
      <c r="E4143" s="159">
        <v>24</v>
      </c>
      <c r="F4143" s="131"/>
      <c r="G4143" s="132"/>
      <c r="H4143" s="162" t="s">
        <v>24795</v>
      </c>
      <c r="I4143" s="158" t="s">
        <v>24796</v>
      </c>
      <c r="J4143" s="128"/>
      <c r="K4143" s="128"/>
      <c r="L4143" s="128"/>
      <c r="M4143" s="129"/>
      <c r="N4143" s="129"/>
      <c r="O4143" s="129"/>
    </row>
    <row r="4144" spans="1:15" ht="12.5">
      <c r="A4144" s="158" t="s">
        <v>24797</v>
      </c>
      <c r="B4144" s="159">
        <v>40</v>
      </c>
      <c r="C4144" s="159">
        <v>70</v>
      </c>
      <c r="D4144" s="159">
        <v>22</v>
      </c>
      <c r="E4144" s="159">
        <v>25</v>
      </c>
      <c r="F4144" s="131"/>
      <c r="G4144" s="132"/>
      <c r="H4144" s="162" t="s">
        <v>24798</v>
      </c>
      <c r="I4144" s="128"/>
      <c r="J4144" s="128"/>
      <c r="K4144" s="128"/>
      <c r="L4144" s="128"/>
      <c r="M4144" s="129"/>
      <c r="N4144" s="129"/>
      <c r="O4144" s="129"/>
    </row>
    <row r="4145" spans="1:15" ht="12.5">
      <c r="A4145" s="158" t="s">
        <v>24799</v>
      </c>
      <c r="B4145" s="159">
        <v>40</v>
      </c>
      <c r="C4145" s="159">
        <v>70</v>
      </c>
      <c r="D4145" s="159">
        <v>22</v>
      </c>
      <c r="E4145" s="159">
        <v>29</v>
      </c>
      <c r="F4145" s="131"/>
      <c r="G4145" s="132"/>
      <c r="H4145" s="162" t="s">
        <v>24800</v>
      </c>
      <c r="I4145" s="158" t="s">
        <v>24801</v>
      </c>
      <c r="J4145" s="128"/>
      <c r="K4145" s="128"/>
      <c r="L4145" s="128"/>
      <c r="M4145" s="129"/>
      <c r="N4145" s="129"/>
      <c r="O4145" s="129"/>
    </row>
    <row r="4146" spans="1:15" ht="12.5">
      <c r="A4146" s="158" t="s">
        <v>24802</v>
      </c>
      <c r="B4146" s="159">
        <v>40</v>
      </c>
      <c r="C4146" s="159">
        <v>70</v>
      </c>
      <c r="D4146" s="159">
        <v>22</v>
      </c>
      <c r="E4146" s="159">
        <v>31</v>
      </c>
      <c r="F4146" s="131"/>
      <c r="G4146" s="132"/>
      <c r="H4146" s="162" t="s">
        <v>24803</v>
      </c>
      <c r="I4146" s="158" t="s">
        <v>24804</v>
      </c>
      <c r="J4146" s="128"/>
      <c r="K4146" s="128"/>
      <c r="L4146" s="128"/>
      <c r="M4146" s="129"/>
      <c r="N4146" s="129"/>
      <c r="O4146" s="129"/>
    </row>
    <row r="4147" spans="1:15" ht="12.5">
      <c r="A4147" s="158" t="s">
        <v>24805</v>
      </c>
      <c r="B4147" s="159">
        <v>40</v>
      </c>
      <c r="C4147" s="159">
        <v>70</v>
      </c>
      <c r="D4147" s="159">
        <v>22</v>
      </c>
      <c r="E4147" s="159">
        <v>36</v>
      </c>
      <c r="F4147" s="131"/>
      <c r="G4147" s="132"/>
      <c r="H4147" s="162" t="s">
        <v>24806</v>
      </c>
      <c r="I4147" s="158" t="s">
        <v>24807</v>
      </c>
      <c r="J4147" s="128"/>
      <c r="K4147" s="128"/>
      <c r="L4147" s="128"/>
      <c r="M4147" s="129"/>
      <c r="N4147" s="129"/>
      <c r="O4147" s="129"/>
    </row>
    <row r="4148" spans="1:15" ht="12.5">
      <c r="A4148" s="158" t="s">
        <v>24808</v>
      </c>
      <c r="B4148" s="159">
        <v>40</v>
      </c>
      <c r="C4148" s="159">
        <v>70</v>
      </c>
      <c r="D4148" s="159">
        <v>22</v>
      </c>
      <c r="E4148" s="159">
        <v>37</v>
      </c>
      <c r="F4148" s="131"/>
      <c r="G4148" s="132"/>
      <c r="H4148" s="162" t="s">
        <v>24809</v>
      </c>
      <c r="I4148" s="128"/>
      <c r="J4148" s="128"/>
      <c r="K4148" s="128"/>
      <c r="L4148" s="128"/>
      <c r="M4148" s="129"/>
      <c r="N4148" s="129"/>
      <c r="O4148" s="129"/>
    </row>
    <row r="4149" spans="1:15" ht="12.5">
      <c r="A4149" s="158" t="s">
        <v>24810</v>
      </c>
      <c r="B4149" s="159">
        <v>40</v>
      </c>
      <c r="C4149" s="159">
        <v>70</v>
      </c>
      <c r="D4149" s="159">
        <v>22</v>
      </c>
      <c r="E4149" s="159">
        <v>38</v>
      </c>
      <c r="F4149" s="131"/>
      <c r="G4149" s="132"/>
      <c r="H4149" s="162" t="s">
        <v>24811</v>
      </c>
      <c r="I4149" s="128"/>
      <c r="J4149" s="128"/>
      <c r="K4149" s="128"/>
      <c r="L4149" s="128"/>
      <c r="M4149" s="129"/>
      <c r="N4149" s="129"/>
      <c r="O4149" s="129"/>
    </row>
    <row r="4150" spans="1:15" ht="12.5">
      <c r="A4150" s="158" t="s">
        <v>24812</v>
      </c>
      <c r="B4150" s="159">
        <v>40</v>
      </c>
      <c r="C4150" s="159">
        <v>70</v>
      </c>
      <c r="D4150" s="159">
        <v>22</v>
      </c>
      <c r="E4150" s="159">
        <v>47</v>
      </c>
      <c r="F4150" s="131"/>
      <c r="G4150" s="132"/>
      <c r="H4150" s="162" t="s">
        <v>24813</v>
      </c>
      <c r="I4150" s="158" t="s">
        <v>24814</v>
      </c>
      <c r="J4150" s="128"/>
      <c r="K4150" s="128"/>
      <c r="L4150" s="128"/>
      <c r="M4150" s="129"/>
      <c r="N4150" s="129"/>
      <c r="O4150" s="129"/>
    </row>
    <row r="4151" spans="1:15" ht="12.5">
      <c r="A4151" s="158" t="s">
        <v>24815</v>
      </c>
      <c r="B4151" s="159">
        <v>40</v>
      </c>
      <c r="C4151" s="159">
        <v>70</v>
      </c>
      <c r="D4151" s="159">
        <v>22</v>
      </c>
      <c r="E4151" s="159">
        <v>52</v>
      </c>
      <c r="F4151" s="131"/>
      <c r="G4151" s="132"/>
      <c r="H4151" s="162" t="s">
        <v>24816</v>
      </c>
      <c r="I4151" s="158" t="s">
        <v>24817</v>
      </c>
      <c r="J4151" s="128"/>
      <c r="K4151" s="128"/>
      <c r="L4151" s="128"/>
      <c r="M4151" s="129"/>
      <c r="N4151" s="129"/>
      <c r="O4151" s="129"/>
    </row>
    <row r="4152" spans="1:15" ht="12.5">
      <c r="A4152" s="158" t="s">
        <v>24818</v>
      </c>
      <c r="B4152" s="159">
        <v>40</v>
      </c>
      <c r="C4152" s="159">
        <v>70</v>
      </c>
      <c r="D4152" s="159">
        <v>22</v>
      </c>
      <c r="E4152" s="159">
        <v>56</v>
      </c>
      <c r="F4152" s="131"/>
      <c r="G4152" s="132"/>
      <c r="H4152" s="162" t="s">
        <v>24819</v>
      </c>
      <c r="I4152" s="128"/>
      <c r="J4152" s="128"/>
      <c r="K4152" s="128"/>
      <c r="L4152" s="128"/>
      <c r="M4152" s="129"/>
      <c r="N4152" s="129"/>
      <c r="O4152" s="129"/>
    </row>
    <row r="4153" spans="1:15" ht="12.5">
      <c r="A4153" s="158" t="s">
        <v>24820</v>
      </c>
      <c r="B4153" s="159">
        <v>40</v>
      </c>
      <c r="C4153" s="159">
        <v>70</v>
      </c>
      <c r="D4153" s="159">
        <v>22</v>
      </c>
      <c r="E4153" s="159">
        <v>60</v>
      </c>
      <c r="F4153" s="131"/>
      <c r="G4153" s="132"/>
      <c r="H4153" s="162" t="s">
        <v>24821</v>
      </c>
      <c r="I4153" s="128"/>
      <c r="J4153" s="128"/>
      <c r="K4153" s="128"/>
      <c r="L4153" s="128"/>
      <c r="M4153" s="129"/>
      <c r="N4153" s="129"/>
      <c r="O4153" s="129"/>
    </row>
    <row r="4154" spans="1:15" ht="12.5">
      <c r="A4154" s="158" t="s">
        <v>24822</v>
      </c>
      <c r="B4154" s="159">
        <v>40</v>
      </c>
      <c r="C4154" s="159">
        <v>70</v>
      </c>
      <c r="D4154" s="159">
        <v>22</v>
      </c>
      <c r="E4154" s="159">
        <v>61</v>
      </c>
      <c r="F4154" s="131"/>
      <c r="G4154" s="132"/>
      <c r="H4154" s="162" t="s">
        <v>24823</v>
      </c>
      <c r="I4154" s="158" t="s">
        <v>24824</v>
      </c>
      <c r="J4154" s="128"/>
      <c r="K4154" s="128"/>
      <c r="L4154" s="128"/>
      <c r="M4154" s="129"/>
      <c r="N4154" s="129"/>
      <c r="O4154" s="129"/>
    </row>
    <row r="4155" spans="1:15" ht="12.5">
      <c r="A4155" s="158" t="s">
        <v>24825</v>
      </c>
      <c r="B4155" s="159">
        <v>40</v>
      </c>
      <c r="C4155" s="159">
        <v>70</v>
      </c>
      <c r="D4155" s="159">
        <v>22</v>
      </c>
      <c r="E4155" s="159">
        <v>62</v>
      </c>
      <c r="F4155" s="131"/>
      <c r="G4155" s="132"/>
      <c r="H4155" s="162" t="s">
        <v>24826</v>
      </c>
      <c r="I4155" s="158" t="s">
        <v>24827</v>
      </c>
      <c r="J4155" s="128"/>
      <c r="K4155" s="128"/>
      <c r="L4155" s="128"/>
      <c r="M4155" s="129"/>
      <c r="N4155" s="129"/>
      <c r="O4155" s="129"/>
    </row>
    <row r="4156" spans="1:15" ht="12.5">
      <c r="A4156" s="158" t="s">
        <v>24828</v>
      </c>
      <c r="B4156" s="159">
        <v>40</v>
      </c>
      <c r="C4156" s="159">
        <v>70</v>
      </c>
      <c r="D4156" s="159">
        <v>22</v>
      </c>
      <c r="E4156" s="159">
        <v>63</v>
      </c>
      <c r="F4156" s="131"/>
      <c r="G4156" s="132"/>
      <c r="H4156" s="162" t="s">
        <v>24829</v>
      </c>
      <c r="I4156" s="158" t="s">
        <v>24830</v>
      </c>
      <c r="J4156" s="128"/>
      <c r="K4156" s="128"/>
      <c r="L4156" s="128"/>
      <c r="M4156" s="129"/>
      <c r="N4156" s="129"/>
      <c r="O4156" s="129"/>
    </row>
    <row r="4157" spans="1:15" ht="12.5">
      <c r="A4157" s="158" t="s">
        <v>24831</v>
      </c>
      <c r="B4157" s="159">
        <v>40</v>
      </c>
      <c r="C4157" s="159">
        <v>70</v>
      </c>
      <c r="D4157" s="159">
        <v>22</v>
      </c>
      <c r="E4157" s="159">
        <v>64</v>
      </c>
      <c r="F4157" s="131"/>
      <c r="G4157" s="132"/>
      <c r="H4157" s="162" t="s">
        <v>24832</v>
      </c>
      <c r="I4157" s="158" t="s">
        <v>24833</v>
      </c>
      <c r="J4157" s="128"/>
      <c r="K4157" s="128"/>
      <c r="L4157" s="128"/>
      <c r="M4157" s="129"/>
      <c r="N4157" s="129"/>
      <c r="O4157" s="129"/>
    </row>
    <row r="4158" spans="1:15" ht="12.5">
      <c r="A4158" s="158" t="s">
        <v>24834</v>
      </c>
      <c r="B4158" s="159">
        <v>40</v>
      </c>
      <c r="C4158" s="159">
        <v>70</v>
      </c>
      <c r="D4158" s="159">
        <v>22</v>
      </c>
      <c r="E4158" s="159">
        <v>66</v>
      </c>
      <c r="F4158" s="131"/>
      <c r="G4158" s="132"/>
      <c r="H4158" s="162" t="s">
        <v>24835</v>
      </c>
      <c r="I4158" s="158" t="s">
        <v>24836</v>
      </c>
      <c r="J4158" s="128"/>
      <c r="K4158" s="128"/>
      <c r="L4158" s="128"/>
      <c r="M4158" s="129"/>
      <c r="N4158" s="129"/>
      <c r="O4158" s="129"/>
    </row>
    <row r="4159" spans="1:15" ht="12.5">
      <c r="A4159" s="158" t="s">
        <v>24837</v>
      </c>
      <c r="B4159" s="159">
        <v>40</v>
      </c>
      <c r="C4159" s="159">
        <v>70</v>
      </c>
      <c r="D4159" s="159">
        <v>22</v>
      </c>
      <c r="E4159" s="159">
        <v>71</v>
      </c>
      <c r="F4159" s="131"/>
      <c r="G4159" s="132"/>
      <c r="H4159" s="162" t="s">
        <v>24838</v>
      </c>
      <c r="I4159" s="158" t="s">
        <v>24839</v>
      </c>
      <c r="J4159" s="128"/>
      <c r="K4159" s="128"/>
      <c r="L4159" s="128"/>
      <c r="M4159" s="129"/>
      <c r="N4159" s="129"/>
      <c r="O4159" s="129"/>
    </row>
    <row r="4160" spans="1:15" ht="12.5">
      <c r="A4160" s="158" t="s">
        <v>24840</v>
      </c>
      <c r="B4160" s="159">
        <v>40</v>
      </c>
      <c r="C4160" s="159">
        <v>70</v>
      </c>
      <c r="D4160" s="159">
        <v>22</v>
      </c>
      <c r="E4160" s="159">
        <v>75</v>
      </c>
      <c r="F4160" s="131"/>
      <c r="G4160" s="132"/>
      <c r="H4160" s="162" t="s">
        <v>24841</v>
      </c>
      <c r="I4160" s="158" t="s">
        <v>24842</v>
      </c>
      <c r="J4160" s="128"/>
      <c r="K4160" s="128"/>
      <c r="L4160" s="128"/>
      <c r="M4160" s="129"/>
      <c r="N4160" s="129"/>
      <c r="O4160" s="129"/>
    </row>
    <row r="4161" spans="1:15" ht="12.5">
      <c r="A4161" s="158" t="s">
        <v>24843</v>
      </c>
      <c r="B4161" s="159">
        <v>40</v>
      </c>
      <c r="C4161" s="159">
        <v>70</v>
      </c>
      <c r="D4161" s="159">
        <v>22</v>
      </c>
      <c r="E4161" s="159">
        <v>77</v>
      </c>
      <c r="F4161" s="131"/>
      <c r="G4161" s="132"/>
      <c r="H4161" s="162" t="s">
        <v>24844</v>
      </c>
      <c r="I4161" s="128"/>
      <c r="J4161" s="128"/>
      <c r="K4161" s="128"/>
      <c r="L4161" s="128"/>
      <c r="M4161" s="129"/>
      <c r="N4161" s="129"/>
      <c r="O4161" s="129"/>
    </row>
    <row r="4162" spans="1:15" ht="12.5">
      <c r="A4162" s="158" t="s">
        <v>24845</v>
      </c>
      <c r="B4162" s="159">
        <v>40</v>
      </c>
      <c r="C4162" s="159">
        <v>70</v>
      </c>
      <c r="D4162" s="159">
        <v>22</v>
      </c>
      <c r="E4162" s="159">
        <v>80</v>
      </c>
      <c r="F4162" s="131"/>
      <c r="G4162" s="132"/>
      <c r="H4162" s="162" t="s">
        <v>24846</v>
      </c>
      <c r="I4162" s="128"/>
      <c r="J4162" s="128"/>
      <c r="K4162" s="128"/>
      <c r="L4162" s="128"/>
      <c r="M4162" s="129"/>
      <c r="N4162" s="129"/>
      <c r="O4162" s="129"/>
    </row>
    <row r="4163" spans="1:15" ht="12.5">
      <c r="A4163" s="158" t="s">
        <v>24847</v>
      </c>
      <c r="B4163" s="159">
        <v>40</v>
      </c>
      <c r="C4163" s="159">
        <v>70</v>
      </c>
      <c r="D4163" s="159">
        <v>22</v>
      </c>
      <c r="E4163" s="159">
        <v>81</v>
      </c>
      <c r="F4163" s="131"/>
      <c r="G4163" s="132"/>
      <c r="H4163" s="162" t="s">
        <v>24848</v>
      </c>
      <c r="I4163" s="158" t="s">
        <v>24849</v>
      </c>
      <c r="J4163" s="128"/>
      <c r="K4163" s="128"/>
      <c r="L4163" s="128"/>
      <c r="M4163" s="129"/>
      <c r="N4163" s="129"/>
      <c r="O4163" s="129"/>
    </row>
    <row r="4164" spans="1:15" ht="12.5">
      <c r="A4164" s="158" t="s">
        <v>24850</v>
      </c>
      <c r="B4164" s="159">
        <v>40</v>
      </c>
      <c r="C4164" s="159">
        <v>70</v>
      </c>
      <c r="D4164" s="159">
        <v>22</v>
      </c>
      <c r="E4164" s="159">
        <v>85</v>
      </c>
      <c r="F4164" s="131"/>
      <c r="G4164" s="132"/>
      <c r="H4164" s="162" t="s">
        <v>24851</v>
      </c>
      <c r="I4164" s="158" t="s">
        <v>24852</v>
      </c>
      <c r="J4164" s="128"/>
      <c r="K4164" s="128"/>
      <c r="L4164" s="128"/>
      <c r="M4164" s="129"/>
      <c r="N4164" s="129"/>
      <c r="O4164" s="129"/>
    </row>
    <row r="4165" spans="1:15" ht="12.5">
      <c r="A4165" s="158" t="s">
        <v>24853</v>
      </c>
      <c r="B4165" s="159">
        <v>40</v>
      </c>
      <c r="C4165" s="159">
        <v>70</v>
      </c>
      <c r="D4165" s="159">
        <v>22</v>
      </c>
      <c r="E4165" s="159">
        <v>86</v>
      </c>
      <c r="F4165" s="131"/>
      <c r="G4165" s="132"/>
      <c r="H4165" s="162" t="s">
        <v>24854</v>
      </c>
      <c r="I4165" s="128"/>
      <c r="J4165" s="128"/>
      <c r="K4165" s="128"/>
      <c r="L4165" s="128"/>
      <c r="M4165" s="129"/>
      <c r="N4165" s="129"/>
      <c r="O4165" s="129"/>
    </row>
    <row r="4166" spans="1:15" ht="12.5">
      <c r="A4166" s="158" t="s">
        <v>24855</v>
      </c>
      <c r="B4166" s="159">
        <v>40</v>
      </c>
      <c r="C4166" s="159">
        <v>70</v>
      </c>
      <c r="D4166" s="159">
        <v>22</v>
      </c>
      <c r="E4166" s="159">
        <v>88</v>
      </c>
      <c r="F4166" s="131"/>
      <c r="G4166" s="132"/>
      <c r="H4166" s="162" t="s">
        <v>24856</v>
      </c>
      <c r="I4166" s="128"/>
      <c r="J4166" s="128"/>
      <c r="K4166" s="128"/>
      <c r="L4166" s="128"/>
      <c r="M4166" s="129"/>
      <c r="N4166" s="129"/>
      <c r="O4166" s="129"/>
    </row>
    <row r="4167" spans="1:15" ht="12.5">
      <c r="A4167" s="158" t="s">
        <v>24857</v>
      </c>
      <c r="B4167" s="159">
        <v>40</v>
      </c>
      <c r="C4167" s="159">
        <v>70</v>
      </c>
      <c r="D4167" s="159">
        <v>22</v>
      </c>
      <c r="E4167" s="159">
        <v>90</v>
      </c>
      <c r="F4167" s="131"/>
      <c r="G4167" s="132"/>
      <c r="H4167" s="162" t="s">
        <v>24858</v>
      </c>
      <c r="I4167" s="158" t="s">
        <v>24859</v>
      </c>
      <c r="J4167" s="128"/>
      <c r="K4167" s="128"/>
      <c r="L4167" s="128"/>
      <c r="M4167" s="129"/>
      <c r="N4167" s="129"/>
      <c r="O4167" s="129"/>
    </row>
    <row r="4168" spans="1:15" ht="12.5">
      <c r="A4168" s="158" t="s">
        <v>24860</v>
      </c>
      <c r="B4168" s="159">
        <v>40</v>
      </c>
      <c r="C4168" s="159">
        <v>70</v>
      </c>
      <c r="D4168" s="159">
        <v>22</v>
      </c>
      <c r="E4168" s="159">
        <v>92</v>
      </c>
      <c r="F4168" s="131"/>
      <c r="G4168" s="132"/>
      <c r="H4168" s="162" t="s">
        <v>24861</v>
      </c>
      <c r="I4168" s="128"/>
      <c r="J4168" s="128"/>
      <c r="K4168" s="128"/>
      <c r="L4168" s="128"/>
      <c r="M4168" s="129"/>
      <c r="N4168" s="129"/>
      <c r="O4168" s="129"/>
    </row>
    <row r="4169" spans="1:15" ht="12.5">
      <c r="A4169" s="158" t="s">
        <v>24862</v>
      </c>
      <c r="B4169" s="159">
        <v>40</v>
      </c>
      <c r="C4169" s="159">
        <v>70</v>
      </c>
      <c r="D4169" s="159">
        <v>23</v>
      </c>
      <c r="E4169" s="130"/>
      <c r="F4169" s="131"/>
      <c r="G4169" s="132"/>
      <c r="H4169" s="162" t="s">
        <v>24863</v>
      </c>
      <c r="I4169" s="128"/>
      <c r="J4169" s="128"/>
      <c r="K4169" s="128"/>
      <c r="L4169" s="128"/>
      <c r="M4169" s="129"/>
      <c r="N4169" s="129"/>
      <c r="O4169" s="129"/>
    </row>
    <row r="4170" spans="1:15" ht="12.5">
      <c r="A4170" s="158" t="s">
        <v>24864</v>
      </c>
      <c r="B4170" s="159">
        <v>40</v>
      </c>
      <c r="C4170" s="159">
        <v>70</v>
      </c>
      <c r="D4170" s="159">
        <v>23</v>
      </c>
      <c r="E4170" s="159">
        <v>6</v>
      </c>
      <c r="F4170" s="131"/>
      <c r="G4170" s="132"/>
      <c r="H4170" s="162" t="s">
        <v>24865</v>
      </c>
      <c r="I4170" s="158" t="s">
        <v>24866</v>
      </c>
      <c r="J4170" s="128"/>
      <c r="K4170" s="128"/>
      <c r="L4170" s="128"/>
      <c r="M4170" s="129"/>
      <c r="N4170" s="129"/>
      <c r="O4170" s="129"/>
    </row>
    <row r="4171" spans="1:15" ht="12.5">
      <c r="A4171" s="158" t="s">
        <v>24867</v>
      </c>
      <c r="B4171" s="159">
        <v>40</v>
      </c>
      <c r="C4171" s="159">
        <v>70</v>
      </c>
      <c r="D4171" s="159">
        <v>23</v>
      </c>
      <c r="E4171" s="159">
        <v>24</v>
      </c>
      <c r="F4171" s="131"/>
      <c r="G4171" s="132"/>
      <c r="H4171" s="162" t="s">
        <v>24868</v>
      </c>
      <c r="I4171" s="128"/>
      <c r="J4171" s="128"/>
      <c r="K4171" s="128"/>
      <c r="L4171" s="128"/>
      <c r="M4171" s="129"/>
      <c r="N4171" s="129"/>
      <c r="O4171" s="129"/>
    </row>
    <row r="4172" spans="1:15" ht="12.5">
      <c r="A4172" s="158" t="s">
        <v>24869</v>
      </c>
      <c r="B4172" s="159">
        <v>40</v>
      </c>
      <c r="C4172" s="159">
        <v>70</v>
      </c>
      <c r="D4172" s="159">
        <v>23</v>
      </c>
      <c r="E4172" s="159">
        <v>27</v>
      </c>
      <c r="F4172" s="131"/>
      <c r="G4172" s="132"/>
      <c r="H4172" s="162" t="s">
        <v>24870</v>
      </c>
      <c r="I4172" s="128"/>
      <c r="J4172" s="128"/>
      <c r="K4172" s="128"/>
      <c r="L4172" s="128"/>
      <c r="M4172" s="129"/>
      <c r="N4172" s="129"/>
      <c r="O4172" s="129"/>
    </row>
    <row r="4173" spans="1:15" ht="12.5">
      <c r="A4173" s="158" t="s">
        <v>24871</v>
      </c>
      <c r="B4173" s="159">
        <v>40</v>
      </c>
      <c r="C4173" s="159">
        <v>70</v>
      </c>
      <c r="D4173" s="159">
        <v>23</v>
      </c>
      <c r="E4173" s="159">
        <v>31</v>
      </c>
      <c r="F4173" s="131"/>
      <c r="G4173" s="132"/>
      <c r="H4173" s="162" t="s">
        <v>24872</v>
      </c>
      <c r="I4173" s="128"/>
      <c r="J4173" s="128"/>
      <c r="K4173" s="128"/>
      <c r="L4173" s="128"/>
      <c r="M4173" s="129"/>
      <c r="N4173" s="129"/>
      <c r="O4173" s="129"/>
    </row>
    <row r="4174" spans="1:15" ht="12.5">
      <c r="A4174" s="158" t="s">
        <v>24873</v>
      </c>
      <c r="B4174" s="159">
        <v>40</v>
      </c>
      <c r="C4174" s="159">
        <v>70</v>
      </c>
      <c r="D4174" s="159">
        <v>23</v>
      </c>
      <c r="E4174" s="159">
        <v>33</v>
      </c>
      <c r="F4174" s="131"/>
      <c r="G4174" s="132"/>
      <c r="H4174" s="162" t="s">
        <v>24874</v>
      </c>
      <c r="I4174" s="158" t="s">
        <v>24875</v>
      </c>
      <c r="J4174" s="128"/>
      <c r="K4174" s="128"/>
      <c r="L4174" s="128"/>
      <c r="M4174" s="129"/>
      <c r="N4174" s="129"/>
      <c r="O4174" s="129"/>
    </row>
    <row r="4175" spans="1:15" ht="12.5">
      <c r="A4175" s="158" t="s">
        <v>24876</v>
      </c>
      <c r="B4175" s="159">
        <v>40</v>
      </c>
      <c r="C4175" s="159">
        <v>70</v>
      </c>
      <c r="D4175" s="159">
        <v>23</v>
      </c>
      <c r="E4175" s="159">
        <v>40</v>
      </c>
      <c r="F4175" s="131"/>
      <c r="G4175" s="132"/>
      <c r="H4175" s="162" t="s">
        <v>24877</v>
      </c>
      <c r="I4175" s="128"/>
      <c r="J4175" s="128"/>
      <c r="K4175" s="128"/>
      <c r="L4175" s="128"/>
      <c r="M4175" s="129"/>
      <c r="N4175" s="129"/>
      <c r="O4175" s="129"/>
    </row>
    <row r="4176" spans="1:15" ht="12.5">
      <c r="A4176" s="158" t="s">
        <v>24878</v>
      </c>
      <c r="B4176" s="159">
        <v>40</v>
      </c>
      <c r="C4176" s="159">
        <v>70</v>
      </c>
      <c r="D4176" s="159">
        <v>23</v>
      </c>
      <c r="E4176" s="159">
        <v>42</v>
      </c>
      <c r="F4176" s="131"/>
      <c r="G4176" s="132"/>
      <c r="H4176" s="162" t="s">
        <v>24879</v>
      </c>
      <c r="I4176" s="128"/>
      <c r="J4176" s="128"/>
      <c r="K4176" s="128"/>
      <c r="L4176" s="128"/>
      <c r="M4176" s="129"/>
      <c r="N4176" s="129"/>
      <c r="O4176" s="129"/>
    </row>
    <row r="4177" spans="1:15" ht="12.5">
      <c r="A4177" s="158" t="s">
        <v>24881</v>
      </c>
      <c r="B4177" s="159">
        <v>40</v>
      </c>
      <c r="C4177" s="159">
        <v>70</v>
      </c>
      <c r="D4177" s="159">
        <v>23</v>
      </c>
      <c r="E4177" s="159">
        <v>53</v>
      </c>
      <c r="F4177" s="131"/>
      <c r="G4177" s="132"/>
      <c r="H4177" s="162" t="s">
        <v>24882</v>
      </c>
      <c r="I4177" s="158" t="s">
        <v>24883</v>
      </c>
      <c r="J4177" s="128"/>
      <c r="K4177" s="128"/>
      <c r="L4177" s="128"/>
      <c r="M4177" s="129"/>
      <c r="N4177" s="129"/>
      <c r="O4177" s="129"/>
    </row>
    <row r="4178" spans="1:15" ht="12.5">
      <c r="A4178" s="158" t="s">
        <v>24884</v>
      </c>
      <c r="B4178" s="159">
        <v>40</v>
      </c>
      <c r="C4178" s="159">
        <v>70</v>
      </c>
      <c r="D4178" s="159">
        <v>23</v>
      </c>
      <c r="E4178" s="159">
        <v>54</v>
      </c>
      <c r="F4178" s="131"/>
      <c r="G4178" s="132"/>
      <c r="H4178" s="162" t="s">
        <v>24885</v>
      </c>
      <c r="I4178" s="158" t="s">
        <v>24886</v>
      </c>
      <c r="J4178" s="128"/>
      <c r="K4178" s="128"/>
      <c r="L4178" s="128"/>
      <c r="M4178" s="129"/>
      <c r="N4178" s="129"/>
      <c r="O4178" s="129"/>
    </row>
    <row r="4179" spans="1:15" ht="12.5">
      <c r="A4179" s="158" t="s">
        <v>24887</v>
      </c>
      <c r="B4179" s="159">
        <v>40</v>
      </c>
      <c r="C4179" s="159">
        <v>70</v>
      </c>
      <c r="D4179" s="159">
        <v>23</v>
      </c>
      <c r="E4179" s="159">
        <v>71</v>
      </c>
      <c r="F4179" s="131"/>
      <c r="G4179" s="132"/>
      <c r="H4179" s="162" t="s">
        <v>24888</v>
      </c>
      <c r="I4179" s="128"/>
      <c r="J4179" s="128"/>
      <c r="K4179" s="128"/>
      <c r="L4179" s="128"/>
      <c r="M4179" s="129"/>
      <c r="N4179" s="129"/>
      <c r="O4179" s="129"/>
    </row>
    <row r="4180" spans="1:15" ht="12.5">
      <c r="A4180" s="158" t="s">
        <v>24889</v>
      </c>
      <c r="B4180" s="159">
        <v>40</v>
      </c>
      <c r="C4180" s="159">
        <v>70</v>
      </c>
      <c r="D4180" s="159">
        <v>23</v>
      </c>
      <c r="E4180" s="159">
        <v>72</v>
      </c>
      <c r="F4180" s="131"/>
      <c r="G4180" s="132"/>
      <c r="H4180" s="162" t="s">
        <v>24890</v>
      </c>
      <c r="I4180" s="128"/>
      <c r="J4180" s="128"/>
      <c r="K4180" s="128"/>
      <c r="L4180" s="128"/>
      <c r="M4180" s="129"/>
      <c r="N4180" s="129"/>
      <c r="O4180" s="129"/>
    </row>
    <row r="4181" spans="1:15" ht="12.5">
      <c r="A4181" s="158" t="s">
        <v>24891</v>
      </c>
      <c r="B4181" s="159">
        <v>40</v>
      </c>
      <c r="C4181" s="159">
        <v>70</v>
      </c>
      <c r="D4181" s="159">
        <v>23</v>
      </c>
      <c r="E4181" s="159">
        <v>84</v>
      </c>
      <c r="F4181" s="131"/>
      <c r="G4181" s="132"/>
      <c r="H4181" s="162" t="s">
        <v>24892</v>
      </c>
      <c r="I4181" s="128"/>
      <c r="J4181" s="128"/>
      <c r="K4181" s="128"/>
      <c r="L4181" s="128"/>
      <c r="M4181" s="129"/>
      <c r="N4181" s="129"/>
      <c r="O4181" s="129"/>
    </row>
    <row r="4182" spans="1:15" ht="12.5">
      <c r="A4182" s="158" t="s">
        <v>24893</v>
      </c>
      <c r="B4182" s="159">
        <v>40</v>
      </c>
      <c r="C4182" s="159">
        <v>70</v>
      </c>
      <c r="D4182" s="159">
        <v>23</v>
      </c>
      <c r="E4182" s="159">
        <v>86</v>
      </c>
      <c r="F4182" s="131"/>
      <c r="G4182" s="132"/>
      <c r="H4182" s="162" t="s">
        <v>24894</v>
      </c>
      <c r="I4182" s="128"/>
      <c r="J4182" s="128"/>
      <c r="K4182" s="128"/>
      <c r="L4182" s="128"/>
      <c r="M4182" s="129"/>
      <c r="N4182" s="129"/>
      <c r="O4182" s="129"/>
    </row>
    <row r="4183" spans="1:15" ht="12.5">
      <c r="A4183" s="158" t="s">
        <v>24895</v>
      </c>
      <c r="B4183" s="159">
        <v>40</v>
      </c>
      <c r="C4183" s="159">
        <v>70</v>
      </c>
      <c r="D4183" s="159">
        <v>24</v>
      </c>
      <c r="E4183" s="130"/>
      <c r="F4183" s="131"/>
      <c r="G4183" s="132"/>
      <c r="H4183" s="162" t="s">
        <v>24896</v>
      </c>
      <c r="I4183" s="128"/>
      <c r="J4183" s="128"/>
      <c r="K4183" s="128"/>
      <c r="L4183" s="128"/>
      <c r="M4183" s="129"/>
      <c r="N4183" s="129"/>
      <c r="O4183" s="129"/>
    </row>
    <row r="4184" spans="1:15" ht="12.5">
      <c r="A4184" s="158" t="s">
        <v>24897</v>
      </c>
      <c r="B4184" s="159">
        <v>40</v>
      </c>
      <c r="C4184" s="159">
        <v>70</v>
      </c>
      <c r="D4184" s="159">
        <v>24</v>
      </c>
      <c r="E4184" s="159">
        <v>7</v>
      </c>
      <c r="F4184" s="131"/>
      <c r="G4184" s="132"/>
      <c r="H4184" s="162" t="s">
        <v>24898</v>
      </c>
      <c r="I4184" s="158" t="s">
        <v>24899</v>
      </c>
      <c r="J4184" s="128"/>
      <c r="K4184" s="128"/>
      <c r="L4184" s="128"/>
      <c r="M4184" s="129"/>
      <c r="N4184" s="129"/>
      <c r="O4184" s="129"/>
    </row>
    <row r="4185" spans="1:15" ht="12.5">
      <c r="A4185" s="158" t="s">
        <v>24900</v>
      </c>
      <c r="B4185" s="159">
        <v>40</v>
      </c>
      <c r="C4185" s="159">
        <v>70</v>
      </c>
      <c r="D4185" s="159">
        <v>24</v>
      </c>
      <c r="E4185" s="159">
        <v>8</v>
      </c>
      <c r="F4185" s="131"/>
      <c r="G4185" s="132"/>
      <c r="H4185" s="162" t="s">
        <v>24901</v>
      </c>
      <c r="I4185" s="158" t="s">
        <v>24902</v>
      </c>
      <c r="J4185" s="128"/>
      <c r="K4185" s="128"/>
      <c r="L4185" s="128"/>
      <c r="M4185" s="129"/>
      <c r="N4185" s="129"/>
      <c r="O4185" s="129"/>
    </row>
    <row r="4186" spans="1:15" ht="12.5">
      <c r="A4186" s="158" t="s">
        <v>24903</v>
      </c>
      <c r="B4186" s="159">
        <v>40</v>
      </c>
      <c r="C4186" s="159">
        <v>70</v>
      </c>
      <c r="D4186" s="159">
        <v>24</v>
      </c>
      <c r="E4186" s="159">
        <v>9</v>
      </c>
      <c r="F4186" s="131"/>
      <c r="G4186" s="132"/>
      <c r="H4186" s="162" t="s">
        <v>24904</v>
      </c>
      <c r="I4186" s="158" t="s">
        <v>24905</v>
      </c>
      <c r="J4186" s="128"/>
      <c r="K4186" s="128"/>
      <c r="L4186" s="128"/>
      <c r="M4186" s="129"/>
      <c r="N4186" s="129"/>
      <c r="O4186" s="129"/>
    </row>
    <row r="4187" spans="1:15" ht="12.5">
      <c r="A4187" s="158" t="s">
        <v>24906</v>
      </c>
      <c r="B4187" s="159">
        <v>40</v>
      </c>
      <c r="C4187" s="159">
        <v>70</v>
      </c>
      <c r="D4187" s="159">
        <v>24</v>
      </c>
      <c r="E4187" s="159">
        <v>10</v>
      </c>
      <c r="F4187" s="131"/>
      <c r="G4187" s="132"/>
      <c r="H4187" s="162" t="s">
        <v>24907</v>
      </c>
      <c r="I4187" s="158" t="s">
        <v>24908</v>
      </c>
      <c r="J4187" s="128"/>
      <c r="K4187" s="128"/>
      <c r="L4187" s="128"/>
      <c r="M4187" s="129"/>
      <c r="N4187" s="129"/>
      <c r="O4187" s="129"/>
    </row>
    <row r="4188" spans="1:15" ht="12.5">
      <c r="A4188" s="158" t="s">
        <v>24911</v>
      </c>
      <c r="B4188" s="159">
        <v>40</v>
      </c>
      <c r="C4188" s="159">
        <v>70</v>
      </c>
      <c r="D4188" s="159">
        <v>24</v>
      </c>
      <c r="E4188" s="159">
        <v>15</v>
      </c>
      <c r="F4188" s="131"/>
      <c r="G4188" s="132"/>
      <c r="H4188" s="162" t="s">
        <v>24912</v>
      </c>
      <c r="I4188" s="158" t="s">
        <v>24913</v>
      </c>
      <c r="J4188" s="128"/>
      <c r="K4188" s="128"/>
      <c r="L4188" s="128"/>
      <c r="M4188" s="129"/>
      <c r="N4188" s="129"/>
      <c r="O4188" s="129"/>
    </row>
    <row r="4189" spans="1:15" ht="12.5">
      <c r="A4189" s="158" t="s">
        <v>24914</v>
      </c>
      <c r="B4189" s="159">
        <v>40</v>
      </c>
      <c r="C4189" s="159">
        <v>70</v>
      </c>
      <c r="D4189" s="159">
        <v>24</v>
      </c>
      <c r="E4189" s="159">
        <v>26</v>
      </c>
      <c r="F4189" s="131"/>
      <c r="G4189" s="132"/>
      <c r="H4189" s="162" t="s">
        <v>24915</v>
      </c>
      <c r="I4189" s="128"/>
      <c r="J4189" s="128"/>
      <c r="K4189" s="128"/>
      <c r="L4189" s="128"/>
      <c r="M4189" s="129"/>
      <c r="N4189" s="129"/>
      <c r="O4189" s="129"/>
    </row>
    <row r="4190" spans="1:15" ht="12.5">
      <c r="A4190" s="158" t="s">
        <v>24916</v>
      </c>
      <c r="B4190" s="159">
        <v>40</v>
      </c>
      <c r="C4190" s="159">
        <v>70</v>
      </c>
      <c r="D4190" s="159">
        <v>24</v>
      </c>
      <c r="E4190" s="159">
        <v>27</v>
      </c>
      <c r="F4190" s="131"/>
      <c r="G4190" s="132"/>
      <c r="H4190" s="162" t="s">
        <v>24917</v>
      </c>
      <c r="I4190" s="158" t="s">
        <v>24918</v>
      </c>
      <c r="J4190" s="128"/>
      <c r="K4190" s="128"/>
      <c r="L4190" s="128"/>
      <c r="M4190" s="129"/>
      <c r="N4190" s="129"/>
      <c r="O4190" s="129"/>
    </row>
    <row r="4191" spans="1:15" ht="12.5">
      <c r="A4191" s="158" t="s">
        <v>24919</v>
      </c>
      <c r="B4191" s="159">
        <v>40</v>
      </c>
      <c r="C4191" s="159">
        <v>70</v>
      </c>
      <c r="D4191" s="159">
        <v>24</v>
      </c>
      <c r="E4191" s="159">
        <v>33</v>
      </c>
      <c r="F4191" s="131"/>
      <c r="G4191" s="132"/>
      <c r="H4191" s="162" t="s">
        <v>24920</v>
      </c>
      <c r="I4191" s="128"/>
      <c r="J4191" s="128"/>
      <c r="K4191" s="128"/>
      <c r="L4191" s="128"/>
      <c r="M4191" s="129"/>
      <c r="N4191" s="129"/>
      <c r="O4191" s="129"/>
    </row>
    <row r="4192" spans="1:15" ht="12.5">
      <c r="A4192" s="158" t="s">
        <v>24921</v>
      </c>
      <c r="B4192" s="159">
        <v>40</v>
      </c>
      <c r="C4192" s="159">
        <v>70</v>
      </c>
      <c r="D4192" s="159">
        <v>24</v>
      </c>
      <c r="E4192" s="159">
        <v>34</v>
      </c>
      <c r="F4192" s="131"/>
      <c r="G4192" s="132"/>
      <c r="H4192" s="162" t="s">
        <v>24922</v>
      </c>
      <c r="I4192" s="158" t="s">
        <v>24923</v>
      </c>
      <c r="J4192" s="128"/>
      <c r="K4192" s="128"/>
      <c r="L4192" s="128"/>
      <c r="M4192" s="129"/>
      <c r="N4192" s="129"/>
      <c r="O4192" s="129"/>
    </row>
    <row r="4193" spans="1:15" ht="12.5">
      <c r="A4193" s="158" t="s">
        <v>24924</v>
      </c>
      <c r="B4193" s="159">
        <v>40</v>
      </c>
      <c r="C4193" s="159">
        <v>70</v>
      </c>
      <c r="D4193" s="159">
        <v>24</v>
      </c>
      <c r="E4193" s="159">
        <v>35</v>
      </c>
      <c r="F4193" s="131"/>
      <c r="G4193" s="132"/>
      <c r="H4193" s="162" t="s">
        <v>24925</v>
      </c>
      <c r="I4193" s="158" t="s">
        <v>24926</v>
      </c>
      <c r="J4193" s="128"/>
      <c r="K4193" s="128"/>
      <c r="L4193" s="128"/>
      <c r="M4193" s="129"/>
      <c r="N4193" s="129"/>
      <c r="O4193" s="129"/>
    </row>
    <row r="4194" spans="1:15" ht="12.5">
      <c r="A4194" s="158" t="s">
        <v>24927</v>
      </c>
      <c r="B4194" s="159">
        <v>40</v>
      </c>
      <c r="C4194" s="159">
        <v>70</v>
      </c>
      <c r="D4194" s="159">
        <v>24</v>
      </c>
      <c r="E4194" s="159">
        <v>45</v>
      </c>
      <c r="F4194" s="131"/>
      <c r="G4194" s="132"/>
      <c r="H4194" s="162" t="s">
        <v>24928</v>
      </c>
      <c r="I4194" s="128"/>
      <c r="J4194" s="128"/>
      <c r="K4194" s="128"/>
      <c r="L4194" s="128"/>
      <c r="M4194" s="129"/>
      <c r="N4194" s="129"/>
      <c r="O4194" s="129"/>
    </row>
    <row r="4195" spans="1:15" ht="12.5">
      <c r="A4195" s="158" t="s">
        <v>24929</v>
      </c>
      <c r="B4195" s="159">
        <v>40</v>
      </c>
      <c r="C4195" s="159">
        <v>70</v>
      </c>
      <c r="D4195" s="159">
        <v>24</v>
      </c>
      <c r="E4195" s="159">
        <v>81</v>
      </c>
      <c r="F4195" s="131"/>
      <c r="G4195" s="132"/>
      <c r="H4195" s="162" t="s">
        <v>24930</v>
      </c>
      <c r="I4195" s="128"/>
      <c r="J4195" s="128"/>
      <c r="K4195" s="128"/>
      <c r="L4195" s="128"/>
      <c r="M4195" s="129"/>
      <c r="N4195" s="129"/>
      <c r="O4195" s="129"/>
    </row>
    <row r="4196" spans="1:15" ht="12.5">
      <c r="A4196" s="158" t="s">
        <v>24931</v>
      </c>
      <c r="B4196" s="159">
        <v>40</v>
      </c>
      <c r="C4196" s="159">
        <v>70</v>
      </c>
      <c r="D4196" s="159">
        <v>25</v>
      </c>
      <c r="E4196" s="130"/>
      <c r="F4196" s="131"/>
      <c r="G4196" s="132"/>
      <c r="H4196" s="162" t="s">
        <v>24932</v>
      </c>
      <c r="I4196" s="128"/>
      <c r="J4196" s="128"/>
      <c r="K4196" s="128"/>
      <c r="L4196" s="128"/>
      <c r="M4196" s="129"/>
      <c r="N4196" s="129"/>
      <c r="O4196" s="129"/>
    </row>
    <row r="4197" spans="1:15" ht="12.5">
      <c r="A4197" s="158" t="s">
        <v>24933</v>
      </c>
      <c r="B4197" s="159">
        <v>40</v>
      </c>
      <c r="C4197" s="159">
        <v>70</v>
      </c>
      <c r="D4197" s="159">
        <v>25</v>
      </c>
      <c r="E4197" s="159">
        <v>45</v>
      </c>
      <c r="F4197" s="131"/>
      <c r="G4197" s="132"/>
      <c r="H4197" s="162" t="s">
        <v>33466</v>
      </c>
      <c r="I4197" s="158" t="s">
        <v>24935</v>
      </c>
      <c r="J4197" s="128"/>
      <c r="K4197" s="128"/>
      <c r="L4197" s="128"/>
      <c r="M4197" s="129"/>
      <c r="N4197" s="129"/>
      <c r="O4197" s="129"/>
    </row>
    <row r="4198" spans="1:15" ht="12.5">
      <c r="A4198" s="158" t="s">
        <v>24936</v>
      </c>
      <c r="B4198" s="159">
        <v>40</v>
      </c>
      <c r="C4198" s="159">
        <v>70</v>
      </c>
      <c r="D4198" s="159">
        <v>25</v>
      </c>
      <c r="E4198" s="159">
        <v>46</v>
      </c>
      <c r="F4198" s="131"/>
      <c r="G4198" s="132"/>
      <c r="H4198" s="162" t="s">
        <v>33467</v>
      </c>
      <c r="I4198" s="158" t="s">
        <v>24938</v>
      </c>
      <c r="J4198" s="128"/>
      <c r="K4198" s="128"/>
      <c r="L4198" s="128"/>
      <c r="M4198" s="129"/>
      <c r="N4198" s="129"/>
      <c r="O4198" s="129"/>
    </row>
    <row r="4199" spans="1:15" ht="12.5">
      <c r="A4199" s="158" t="s">
        <v>24939</v>
      </c>
      <c r="B4199" s="159">
        <v>40</v>
      </c>
      <c r="C4199" s="159">
        <v>70</v>
      </c>
      <c r="D4199" s="159">
        <v>25</v>
      </c>
      <c r="E4199" s="159">
        <v>47</v>
      </c>
      <c r="F4199" s="131"/>
      <c r="G4199" s="132"/>
      <c r="H4199" s="162" t="s">
        <v>24940</v>
      </c>
      <c r="I4199" s="158" t="s">
        <v>24941</v>
      </c>
      <c r="J4199" s="128"/>
      <c r="K4199" s="128"/>
      <c r="L4199" s="128"/>
      <c r="M4199" s="129"/>
      <c r="N4199" s="129"/>
      <c r="O4199" s="129"/>
    </row>
    <row r="4200" spans="1:15" ht="12.5">
      <c r="A4200" s="158" t="s">
        <v>24946</v>
      </c>
      <c r="B4200" s="159">
        <v>40</v>
      </c>
      <c r="C4200" s="159">
        <v>70</v>
      </c>
      <c r="D4200" s="159">
        <v>29</v>
      </c>
      <c r="E4200" s="130"/>
      <c r="F4200" s="131"/>
      <c r="G4200" s="132"/>
      <c r="H4200" s="162" t="s">
        <v>24947</v>
      </c>
      <c r="I4200" s="128"/>
      <c r="J4200" s="128"/>
      <c r="K4200" s="128"/>
      <c r="L4200" s="128"/>
      <c r="M4200" s="129"/>
      <c r="N4200" s="129"/>
      <c r="O4200" s="129"/>
    </row>
    <row r="4201" spans="1:15" ht="12.5">
      <c r="A4201" s="158" t="s">
        <v>24948</v>
      </c>
      <c r="B4201" s="159">
        <v>40</v>
      </c>
      <c r="C4201" s="159">
        <v>70</v>
      </c>
      <c r="D4201" s="159">
        <v>29</v>
      </c>
      <c r="E4201" s="159">
        <v>1</v>
      </c>
      <c r="F4201" s="131"/>
      <c r="G4201" s="132"/>
      <c r="H4201" s="162" t="s">
        <v>24949</v>
      </c>
      <c r="I4201" s="158" t="s">
        <v>24950</v>
      </c>
      <c r="J4201" s="128"/>
      <c r="K4201" s="128"/>
      <c r="L4201" s="128"/>
      <c r="M4201" s="129"/>
      <c r="N4201" s="129"/>
      <c r="O4201" s="129"/>
    </row>
    <row r="4202" spans="1:15" ht="12.5">
      <c r="A4202" s="158" t="s">
        <v>24951</v>
      </c>
      <c r="B4202" s="159">
        <v>40</v>
      </c>
      <c r="C4202" s="159">
        <v>70</v>
      </c>
      <c r="D4202" s="159">
        <v>31</v>
      </c>
      <c r="E4202" s="130"/>
      <c r="F4202" s="131"/>
      <c r="G4202" s="132"/>
      <c r="H4202" s="162" t="s">
        <v>24952</v>
      </c>
      <c r="I4202" s="128"/>
      <c r="J4202" s="128"/>
      <c r="K4202" s="128"/>
      <c r="L4202" s="128"/>
      <c r="M4202" s="129"/>
      <c r="N4202" s="129"/>
      <c r="O4202" s="129"/>
    </row>
    <row r="4203" spans="1:15" ht="12.5">
      <c r="A4203" s="158" t="s">
        <v>24953</v>
      </c>
      <c r="B4203" s="159">
        <v>40</v>
      </c>
      <c r="C4203" s="159">
        <v>70</v>
      </c>
      <c r="D4203" s="159">
        <v>31</v>
      </c>
      <c r="E4203" s="159">
        <v>6</v>
      </c>
      <c r="F4203" s="131"/>
      <c r="G4203" s="132"/>
      <c r="H4203" s="162" t="s">
        <v>24954</v>
      </c>
      <c r="I4203" s="158" t="s">
        <v>24955</v>
      </c>
      <c r="J4203" s="128"/>
      <c r="K4203" s="128"/>
      <c r="L4203" s="128"/>
      <c r="M4203" s="129"/>
      <c r="N4203" s="129"/>
      <c r="O4203" s="129"/>
    </row>
    <row r="4204" spans="1:15" ht="12.5">
      <c r="A4204" s="158" t="s">
        <v>24956</v>
      </c>
      <c r="B4204" s="159">
        <v>40</v>
      </c>
      <c r="C4204" s="159">
        <v>70</v>
      </c>
      <c r="D4204" s="159">
        <v>31</v>
      </c>
      <c r="E4204" s="159">
        <v>8</v>
      </c>
      <c r="F4204" s="131"/>
      <c r="G4204" s="132"/>
      <c r="H4204" s="162" t="s">
        <v>24957</v>
      </c>
      <c r="I4204" s="158" t="s">
        <v>24958</v>
      </c>
      <c r="J4204" s="128"/>
      <c r="K4204" s="128"/>
      <c r="L4204" s="128"/>
      <c r="M4204" s="129"/>
      <c r="N4204" s="129"/>
      <c r="O4204" s="129"/>
    </row>
    <row r="4205" spans="1:15" ht="12.5">
      <c r="A4205" s="158" t="s">
        <v>24959</v>
      </c>
      <c r="B4205" s="159">
        <v>40</v>
      </c>
      <c r="C4205" s="159">
        <v>70</v>
      </c>
      <c r="D4205" s="159">
        <v>31</v>
      </c>
      <c r="E4205" s="159">
        <v>29</v>
      </c>
      <c r="F4205" s="131"/>
      <c r="G4205" s="132"/>
      <c r="H4205" s="162" t="s">
        <v>24960</v>
      </c>
      <c r="I4205" s="158" t="s">
        <v>24961</v>
      </c>
      <c r="J4205" s="128"/>
      <c r="K4205" s="128"/>
      <c r="L4205" s="128"/>
      <c r="M4205" s="129"/>
      <c r="N4205" s="129"/>
      <c r="O4205" s="129"/>
    </row>
    <row r="4206" spans="1:15" ht="12.5">
      <c r="A4206" s="158" t="s">
        <v>24962</v>
      </c>
      <c r="B4206" s="159">
        <v>40</v>
      </c>
      <c r="C4206" s="159">
        <v>70</v>
      </c>
      <c r="D4206" s="159">
        <v>31</v>
      </c>
      <c r="E4206" s="159">
        <v>30</v>
      </c>
      <c r="F4206" s="131"/>
      <c r="G4206" s="132"/>
      <c r="H4206" s="162" t="s">
        <v>24963</v>
      </c>
      <c r="I4206" s="158" t="s">
        <v>24964</v>
      </c>
      <c r="J4206" s="128"/>
      <c r="K4206" s="128"/>
      <c r="L4206" s="128"/>
      <c r="M4206" s="129"/>
      <c r="N4206" s="129"/>
      <c r="O4206" s="129"/>
    </row>
    <row r="4207" spans="1:15" ht="12.5">
      <c r="A4207" s="158" t="s">
        <v>24965</v>
      </c>
      <c r="B4207" s="159">
        <v>40</v>
      </c>
      <c r="C4207" s="159">
        <v>70</v>
      </c>
      <c r="D4207" s="159">
        <v>31</v>
      </c>
      <c r="E4207" s="159">
        <v>31</v>
      </c>
      <c r="F4207" s="131"/>
      <c r="G4207" s="132"/>
      <c r="H4207" s="162" t="s">
        <v>24966</v>
      </c>
      <c r="I4207" s="158" t="s">
        <v>24967</v>
      </c>
      <c r="J4207" s="128"/>
      <c r="K4207" s="128"/>
      <c r="L4207" s="128"/>
      <c r="M4207" s="129"/>
      <c r="N4207" s="129"/>
      <c r="O4207" s="129"/>
    </row>
    <row r="4208" spans="1:15" ht="12.5">
      <c r="A4208" s="158" t="s">
        <v>24968</v>
      </c>
      <c r="B4208" s="159">
        <v>40</v>
      </c>
      <c r="C4208" s="159">
        <v>70</v>
      </c>
      <c r="D4208" s="159">
        <v>31</v>
      </c>
      <c r="E4208" s="159">
        <v>32</v>
      </c>
      <c r="F4208" s="131"/>
      <c r="G4208" s="132"/>
      <c r="H4208" s="162" t="s">
        <v>24969</v>
      </c>
      <c r="I4208" s="158" t="s">
        <v>24970</v>
      </c>
      <c r="J4208" s="128"/>
      <c r="K4208" s="128"/>
      <c r="L4208" s="128"/>
      <c r="M4208" s="129"/>
      <c r="N4208" s="129"/>
      <c r="O4208" s="129"/>
    </row>
    <row r="4209" spans="1:15" ht="12.5">
      <c r="A4209" s="158" t="s">
        <v>24971</v>
      </c>
      <c r="B4209" s="159">
        <v>40</v>
      </c>
      <c r="C4209" s="159">
        <v>70</v>
      </c>
      <c r="D4209" s="159">
        <v>31</v>
      </c>
      <c r="E4209" s="159">
        <v>70</v>
      </c>
      <c r="F4209" s="131"/>
      <c r="G4209" s="132"/>
      <c r="H4209" s="162" t="s">
        <v>24972</v>
      </c>
      <c r="I4209" s="158" t="s">
        <v>24973</v>
      </c>
      <c r="J4209" s="128"/>
      <c r="K4209" s="128"/>
      <c r="L4209" s="128"/>
      <c r="M4209" s="129"/>
      <c r="N4209" s="129"/>
      <c r="O4209" s="129"/>
    </row>
    <row r="4210" spans="1:15" ht="12.5">
      <c r="A4210" s="158" t="s">
        <v>24974</v>
      </c>
      <c r="B4210" s="159">
        <v>40</v>
      </c>
      <c r="C4210" s="159">
        <v>70</v>
      </c>
      <c r="D4210" s="159">
        <v>31</v>
      </c>
      <c r="E4210" s="159">
        <v>71</v>
      </c>
      <c r="F4210" s="131"/>
      <c r="G4210" s="132"/>
      <c r="H4210" s="162" t="s">
        <v>24975</v>
      </c>
      <c r="I4210" s="158" t="s">
        <v>24976</v>
      </c>
      <c r="J4210" s="128"/>
      <c r="K4210" s="128"/>
      <c r="L4210" s="128"/>
      <c r="M4210" s="129"/>
      <c r="N4210" s="129"/>
      <c r="O4210" s="129"/>
    </row>
    <row r="4211" spans="1:15" ht="12.5">
      <c r="A4211" s="158" t="s">
        <v>24977</v>
      </c>
      <c r="B4211" s="159">
        <v>40</v>
      </c>
      <c r="C4211" s="159">
        <v>70</v>
      </c>
      <c r="D4211" s="159">
        <v>31</v>
      </c>
      <c r="E4211" s="159">
        <v>72</v>
      </c>
      <c r="F4211" s="131"/>
      <c r="G4211" s="132"/>
      <c r="H4211" s="162" t="s">
        <v>24978</v>
      </c>
      <c r="I4211" s="158" t="s">
        <v>24979</v>
      </c>
      <c r="J4211" s="128"/>
      <c r="K4211" s="128"/>
      <c r="L4211" s="128"/>
      <c r="M4211" s="129"/>
      <c r="N4211" s="129"/>
      <c r="O4211" s="129"/>
    </row>
    <row r="4212" spans="1:15" ht="12.5">
      <c r="A4212" s="158" t="s">
        <v>25000</v>
      </c>
      <c r="B4212" s="159">
        <v>40</v>
      </c>
      <c r="C4212" s="159">
        <v>70</v>
      </c>
      <c r="D4212" s="159">
        <v>46</v>
      </c>
      <c r="E4212" s="130"/>
      <c r="F4212" s="131"/>
      <c r="G4212" s="132"/>
      <c r="H4212" s="162" t="s">
        <v>25001</v>
      </c>
      <c r="I4212" s="128"/>
      <c r="J4212" s="128"/>
      <c r="K4212" s="128"/>
      <c r="L4212" s="128"/>
      <c r="M4212" s="129"/>
      <c r="N4212" s="129"/>
      <c r="O4212" s="129"/>
    </row>
    <row r="4213" spans="1:15" ht="12.5">
      <c r="A4213" s="158" t="s">
        <v>25002</v>
      </c>
      <c r="B4213" s="159">
        <v>40</v>
      </c>
      <c r="C4213" s="159">
        <v>70</v>
      </c>
      <c r="D4213" s="159">
        <v>46</v>
      </c>
      <c r="E4213" s="159">
        <v>24</v>
      </c>
      <c r="F4213" s="131"/>
      <c r="G4213" s="132"/>
      <c r="H4213" s="162" t="s">
        <v>33468</v>
      </c>
      <c r="I4213" s="158" t="s">
        <v>25004</v>
      </c>
      <c r="J4213" s="128"/>
      <c r="K4213" s="128"/>
      <c r="L4213" s="128"/>
      <c r="M4213" s="129"/>
      <c r="N4213" s="129"/>
      <c r="O4213" s="129"/>
    </row>
    <row r="4214" spans="1:15" ht="12.5">
      <c r="A4214" s="158" t="s">
        <v>25005</v>
      </c>
      <c r="B4214" s="159">
        <v>40</v>
      </c>
      <c r="C4214" s="159">
        <v>70</v>
      </c>
      <c r="D4214" s="159">
        <v>46</v>
      </c>
      <c r="E4214" s="159">
        <v>25</v>
      </c>
      <c r="F4214" s="131"/>
      <c r="G4214" s="132"/>
      <c r="H4214" s="162" t="s">
        <v>25006</v>
      </c>
      <c r="I4214" s="158" t="s">
        <v>25007</v>
      </c>
      <c r="J4214" s="128"/>
      <c r="K4214" s="128"/>
      <c r="L4214" s="128"/>
      <c r="M4214" s="129"/>
      <c r="N4214" s="129"/>
      <c r="O4214" s="129"/>
    </row>
    <row r="4215" spans="1:15" ht="12.5">
      <c r="A4215" s="158" t="s">
        <v>25008</v>
      </c>
      <c r="B4215" s="159">
        <v>40</v>
      </c>
      <c r="C4215" s="159">
        <v>70</v>
      </c>
      <c r="D4215" s="159">
        <v>46</v>
      </c>
      <c r="E4215" s="159">
        <v>30</v>
      </c>
      <c r="F4215" s="131"/>
      <c r="G4215" s="132"/>
      <c r="H4215" s="162" t="s">
        <v>25009</v>
      </c>
      <c r="I4215" s="158" t="s">
        <v>25010</v>
      </c>
      <c r="J4215" s="128"/>
      <c r="K4215" s="128"/>
      <c r="L4215" s="128"/>
      <c r="M4215" s="129"/>
      <c r="N4215" s="129"/>
      <c r="O4215" s="129"/>
    </row>
    <row r="4216" spans="1:15" ht="12.5">
      <c r="A4216" s="158" t="s">
        <v>25011</v>
      </c>
      <c r="B4216" s="159">
        <v>40</v>
      </c>
      <c r="C4216" s="159">
        <v>70</v>
      </c>
      <c r="D4216" s="159">
        <v>46</v>
      </c>
      <c r="E4216" s="159">
        <v>31</v>
      </c>
      <c r="F4216" s="131"/>
      <c r="G4216" s="132"/>
      <c r="H4216" s="162" t="s">
        <v>25012</v>
      </c>
      <c r="I4216" s="158" t="s">
        <v>25013</v>
      </c>
      <c r="J4216" s="128"/>
      <c r="K4216" s="128"/>
      <c r="L4216" s="128"/>
      <c r="M4216" s="129"/>
      <c r="N4216" s="129"/>
      <c r="O4216" s="129"/>
    </row>
    <row r="4217" spans="1:15" ht="12.5">
      <c r="A4217" s="158" t="s">
        <v>25014</v>
      </c>
      <c r="B4217" s="159">
        <v>40</v>
      </c>
      <c r="C4217" s="159">
        <v>70</v>
      </c>
      <c r="D4217" s="159">
        <v>46</v>
      </c>
      <c r="E4217" s="159">
        <v>39</v>
      </c>
      <c r="F4217" s="131"/>
      <c r="G4217" s="132"/>
      <c r="H4217" s="162" t="s">
        <v>25015</v>
      </c>
      <c r="I4217" s="158" t="s">
        <v>25016</v>
      </c>
      <c r="J4217" s="128"/>
      <c r="K4217" s="128"/>
      <c r="L4217" s="128"/>
      <c r="M4217" s="129"/>
      <c r="N4217" s="129"/>
      <c r="O4217" s="129"/>
    </row>
    <row r="4218" spans="1:15" ht="12.5">
      <c r="A4218" s="158" t="s">
        <v>25017</v>
      </c>
      <c r="B4218" s="159">
        <v>40</v>
      </c>
      <c r="C4218" s="159">
        <v>70</v>
      </c>
      <c r="D4218" s="159">
        <v>46</v>
      </c>
      <c r="E4218" s="159">
        <v>42</v>
      </c>
      <c r="F4218" s="131"/>
      <c r="G4218" s="132"/>
      <c r="H4218" s="162" t="s">
        <v>25018</v>
      </c>
      <c r="I4218" s="158" t="s">
        <v>25019</v>
      </c>
      <c r="J4218" s="128"/>
      <c r="K4218" s="128"/>
      <c r="L4218" s="128"/>
      <c r="M4218" s="129"/>
      <c r="N4218" s="129"/>
      <c r="O4218" s="129"/>
    </row>
    <row r="4219" spans="1:15" ht="12.5">
      <c r="A4219" s="158" t="s">
        <v>25020</v>
      </c>
      <c r="B4219" s="159">
        <v>40</v>
      </c>
      <c r="C4219" s="159">
        <v>70</v>
      </c>
      <c r="D4219" s="159">
        <v>46</v>
      </c>
      <c r="E4219" s="159">
        <v>45</v>
      </c>
      <c r="F4219" s="131"/>
      <c r="G4219" s="132"/>
      <c r="H4219" s="162" t="s">
        <v>25021</v>
      </c>
      <c r="I4219" s="158" t="s">
        <v>25022</v>
      </c>
      <c r="J4219" s="128"/>
      <c r="K4219" s="128"/>
      <c r="L4219" s="128"/>
      <c r="M4219" s="129"/>
      <c r="N4219" s="129"/>
      <c r="O4219" s="129"/>
    </row>
    <row r="4220" spans="1:15" ht="12.5">
      <c r="A4220" s="158" t="s">
        <v>25023</v>
      </c>
      <c r="B4220" s="159">
        <v>40</v>
      </c>
      <c r="C4220" s="159">
        <v>70</v>
      </c>
      <c r="D4220" s="159">
        <v>46</v>
      </c>
      <c r="E4220" s="159">
        <v>46</v>
      </c>
      <c r="F4220" s="131"/>
      <c r="G4220" s="132"/>
      <c r="H4220" s="162" t="s">
        <v>25024</v>
      </c>
      <c r="I4220" s="158" t="s">
        <v>25025</v>
      </c>
      <c r="J4220" s="128"/>
      <c r="K4220" s="128"/>
      <c r="L4220" s="128"/>
      <c r="M4220" s="129"/>
      <c r="N4220" s="129"/>
      <c r="O4220" s="129"/>
    </row>
    <row r="4221" spans="1:15" ht="12.5">
      <c r="A4221" s="158" t="s">
        <v>25026</v>
      </c>
      <c r="B4221" s="159">
        <v>40</v>
      </c>
      <c r="C4221" s="159">
        <v>70</v>
      </c>
      <c r="D4221" s="159">
        <v>46</v>
      </c>
      <c r="E4221" s="159">
        <v>47</v>
      </c>
      <c r="F4221" s="131"/>
      <c r="G4221" s="132"/>
      <c r="H4221" s="162" t="s">
        <v>25027</v>
      </c>
      <c r="I4221" s="158" t="s">
        <v>25028</v>
      </c>
      <c r="J4221" s="128"/>
      <c r="K4221" s="128"/>
      <c r="L4221" s="128"/>
      <c r="M4221" s="129"/>
      <c r="N4221" s="129"/>
      <c r="O4221" s="129"/>
    </row>
    <row r="4222" spans="1:15" ht="12.5">
      <c r="A4222" s="158" t="s">
        <v>25029</v>
      </c>
      <c r="B4222" s="159">
        <v>40</v>
      </c>
      <c r="C4222" s="159">
        <v>70</v>
      </c>
      <c r="D4222" s="159">
        <v>46</v>
      </c>
      <c r="E4222" s="159">
        <v>48</v>
      </c>
      <c r="F4222" s="131"/>
      <c r="G4222" s="132"/>
      <c r="H4222" s="162" t="s">
        <v>25030</v>
      </c>
      <c r="I4222" s="158" t="s">
        <v>25031</v>
      </c>
      <c r="J4222" s="128"/>
      <c r="K4222" s="128"/>
      <c r="L4222" s="128"/>
      <c r="M4222" s="129"/>
      <c r="N4222" s="129"/>
      <c r="O4222" s="129"/>
    </row>
    <row r="4223" spans="1:15" ht="12.5">
      <c r="A4223" s="158" t="s">
        <v>25032</v>
      </c>
      <c r="B4223" s="159">
        <v>40</v>
      </c>
      <c r="C4223" s="159">
        <v>70</v>
      </c>
      <c r="D4223" s="159">
        <v>46</v>
      </c>
      <c r="E4223" s="159">
        <v>72</v>
      </c>
      <c r="F4223" s="131"/>
      <c r="G4223" s="132"/>
      <c r="H4223" s="162" t="s">
        <v>25033</v>
      </c>
      <c r="I4223" s="158" t="s">
        <v>25010</v>
      </c>
      <c r="J4223" s="128"/>
      <c r="K4223" s="128"/>
      <c r="L4223" s="128"/>
      <c r="M4223" s="129"/>
      <c r="N4223" s="129"/>
      <c r="O4223" s="129"/>
    </row>
    <row r="4224" spans="1:15" ht="12.5">
      <c r="A4224" s="158" t="s">
        <v>25034</v>
      </c>
      <c r="B4224" s="159">
        <v>40</v>
      </c>
      <c r="C4224" s="159">
        <v>70</v>
      </c>
      <c r="D4224" s="159">
        <v>46</v>
      </c>
      <c r="E4224" s="159">
        <v>77</v>
      </c>
      <c r="F4224" s="131"/>
      <c r="G4224" s="132"/>
      <c r="H4224" s="162" t="s">
        <v>25035</v>
      </c>
      <c r="I4224" s="158" t="s">
        <v>25036</v>
      </c>
      <c r="J4224" s="128"/>
      <c r="K4224" s="128"/>
      <c r="L4224" s="128"/>
      <c r="M4224" s="129"/>
      <c r="N4224" s="129"/>
      <c r="O4224" s="129"/>
    </row>
    <row r="4225" spans="1:15" ht="12.5">
      <c r="A4225" s="158" t="s">
        <v>25037</v>
      </c>
      <c r="B4225" s="159">
        <v>40</v>
      </c>
      <c r="C4225" s="159">
        <v>70</v>
      </c>
      <c r="D4225" s="159">
        <v>46</v>
      </c>
      <c r="E4225" s="159">
        <v>82</v>
      </c>
      <c r="F4225" s="131"/>
      <c r="G4225" s="132"/>
      <c r="H4225" s="162" t="s">
        <v>25038</v>
      </c>
      <c r="I4225" s="158" t="s">
        <v>25039</v>
      </c>
      <c r="J4225" s="128"/>
      <c r="K4225" s="128"/>
      <c r="L4225" s="128"/>
      <c r="M4225" s="129"/>
      <c r="N4225" s="129"/>
      <c r="O4225" s="129"/>
    </row>
    <row r="4226" spans="1:15" ht="12.5">
      <c r="A4226" s="158" t="s">
        <v>25040</v>
      </c>
      <c r="B4226" s="159">
        <v>40</v>
      </c>
      <c r="C4226" s="159">
        <v>70</v>
      </c>
      <c r="D4226" s="159">
        <v>46</v>
      </c>
      <c r="E4226" s="159">
        <v>83</v>
      </c>
      <c r="F4226" s="131"/>
      <c r="G4226" s="132"/>
      <c r="H4226" s="162" t="s">
        <v>25041</v>
      </c>
      <c r="I4226" s="158" t="s">
        <v>25042</v>
      </c>
      <c r="J4226" s="128"/>
      <c r="K4226" s="128"/>
      <c r="L4226" s="128"/>
      <c r="M4226" s="129"/>
      <c r="N4226" s="129"/>
      <c r="O4226" s="129"/>
    </row>
    <row r="4227" spans="1:15" ht="12.5">
      <c r="A4227" s="158" t="s">
        <v>25043</v>
      </c>
      <c r="B4227" s="159">
        <v>40</v>
      </c>
      <c r="C4227" s="159">
        <v>70</v>
      </c>
      <c r="D4227" s="159">
        <v>46</v>
      </c>
      <c r="E4227" s="159">
        <v>90</v>
      </c>
      <c r="F4227" s="131"/>
      <c r="G4227" s="132"/>
      <c r="H4227" s="162" t="s">
        <v>25044</v>
      </c>
      <c r="I4227" s="158" t="s">
        <v>25045</v>
      </c>
      <c r="J4227" s="128"/>
      <c r="K4227" s="128"/>
      <c r="L4227" s="128"/>
      <c r="M4227" s="129"/>
      <c r="N4227" s="129"/>
      <c r="O4227" s="129"/>
    </row>
    <row r="4228" spans="1:15" ht="12.5">
      <c r="A4228" s="158" t="s">
        <v>25046</v>
      </c>
      <c r="B4228" s="159">
        <v>40</v>
      </c>
      <c r="C4228" s="159">
        <v>70</v>
      </c>
      <c r="D4228" s="159">
        <v>46</v>
      </c>
      <c r="E4228" s="159">
        <v>96</v>
      </c>
      <c r="F4228" s="131"/>
      <c r="G4228" s="132"/>
      <c r="H4228" s="162" t="s">
        <v>25047</v>
      </c>
      <c r="I4228" s="128"/>
      <c r="J4228" s="128"/>
      <c r="K4228" s="128"/>
      <c r="L4228" s="128"/>
      <c r="M4228" s="129"/>
      <c r="N4228" s="129"/>
      <c r="O4228" s="129"/>
    </row>
    <row r="4229" spans="1:15" ht="12.5">
      <c r="A4229" s="158" t="s">
        <v>25048</v>
      </c>
      <c r="B4229" s="159">
        <v>40</v>
      </c>
      <c r="C4229" s="159">
        <v>70</v>
      </c>
      <c r="D4229" s="159">
        <v>46</v>
      </c>
      <c r="E4229" s="159">
        <v>98</v>
      </c>
      <c r="F4229" s="131"/>
      <c r="G4229" s="132"/>
      <c r="H4229" s="162" t="s">
        <v>25049</v>
      </c>
      <c r="I4229" s="158" t="s">
        <v>25050</v>
      </c>
      <c r="J4229" s="128"/>
      <c r="K4229" s="128"/>
      <c r="L4229" s="128"/>
      <c r="M4229" s="129"/>
      <c r="N4229" s="129"/>
      <c r="O4229" s="129"/>
    </row>
    <row r="4230" spans="1:15" ht="12.5">
      <c r="A4230" s="158" t="s">
        <v>25051</v>
      </c>
      <c r="B4230" s="159">
        <v>40</v>
      </c>
      <c r="C4230" s="159">
        <v>70</v>
      </c>
      <c r="D4230" s="159">
        <v>46</v>
      </c>
      <c r="E4230" s="159">
        <v>99</v>
      </c>
      <c r="F4230" s="131"/>
      <c r="G4230" s="132"/>
      <c r="H4230" s="162" t="s">
        <v>25052</v>
      </c>
      <c r="I4230" s="158" t="s">
        <v>25053</v>
      </c>
      <c r="J4230" s="128"/>
      <c r="K4230" s="128"/>
      <c r="L4230" s="128"/>
      <c r="M4230" s="129"/>
      <c r="N4230" s="129"/>
      <c r="O4230" s="129"/>
    </row>
    <row r="4231" spans="1:15" ht="12.5">
      <c r="A4231" s="158" t="s">
        <v>25054</v>
      </c>
      <c r="B4231" s="159">
        <v>40</v>
      </c>
      <c r="C4231" s="159">
        <v>70</v>
      </c>
      <c r="D4231" s="159">
        <v>47</v>
      </c>
      <c r="E4231" s="130"/>
      <c r="F4231" s="131"/>
      <c r="G4231" s="132"/>
      <c r="H4231" s="162" t="s">
        <v>33469</v>
      </c>
      <c r="I4231" s="128"/>
      <c r="J4231" s="128"/>
      <c r="K4231" s="128"/>
      <c r="L4231" s="128"/>
      <c r="M4231" s="129"/>
      <c r="N4231" s="129"/>
      <c r="O4231" s="129"/>
    </row>
    <row r="4232" spans="1:15" ht="12.5">
      <c r="A4232" s="158" t="s">
        <v>25056</v>
      </c>
      <c r="B4232" s="159">
        <v>40</v>
      </c>
      <c r="C4232" s="159">
        <v>70</v>
      </c>
      <c r="D4232" s="159">
        <v>47</v>
      </c>
      <c r="E4232" s="159">
        <v>6</v>
      </c>
      <c r="F4232" s="131"/>
      <c r="G4232" s="132"/>
      <c r="H4232" s="162" t="s">
        <v>25057</v>
      </c>
      <c r="I4232" s="158" t="s">
        <v>25058</v>
      </c>
      <c r="J4232" s="128"/>
      <c r="K4232" s="128"/>
      <c r="L4232" s="128"/>
      <c r="M4232" s="129"/>
      <c r="N4232" s="129"/>
      <c r="O4232" s="129"/>
    </row>
    <row r="4233" spans="1:15" ht="12.5">
      <c r="A4233" s="158" t="s">
        <v>25059</v>
      </c>
      <c r="B4233" s="159">
        <v>40</v>
      </c>
      <c r="C4233" s="159">
        <v>70</v>
      </c>
      <c r="D4233" s="159">
        <v>47</v>
      </c>
      <c r="E4233" s="159">
        <v>7</v>
      </c>
      <c r="F4233" s="131"/>
      <c r="G4233" s="132"/>
      <c r="H4233" s="162" t="s">
        <v>33470</v>
      </c>
      <c r="I4233" s="158" t="s">
        <v>25061</v>
      </c>
      <c r="J4233" s="128"/>
      <c r="K4233" s="128"/>
      <c r="L4233" s="128"/>
      <c r="M4233" s="129"/>
      <c r="N4233" s="129"/>
      <c r="O4233" s="129"/>
    </row>
    <row r="4234" spans="1:15" ht="12.5">
      <c r="A4234" s="158" t="s">
        <v>25062</v>
      </c>
      <c r="B4234" s="159">
        <v>40</v>
      </c>
      <c r="C4234" s="159">
        <v>70</v>
      </c>
      <c r="D4234" s="159">
        <v>47</v>
      </c>
      <c r="E4234" s="159">
        <v>8</v>
      </c>
      <c r="F4234" s="131"/>
      <c r="G4234" s="132"/>
      <c r="H4234" s="162" t="s">
        <v>25063</v>
      </c>
      <c r="I4234" s="158" t="s">
        <v>25064</v>
      </c>
      <c r="J4234" s="128"/>
      <c r="K4234" s="128"/>
      <c r="L4234" s="128"/>
      <c r="M4234" s="129"/>
      <c r="N4234" s="129"/>
      <c r="O4234" s="129"/>
    </row>
    <row r="4235" spans="1:15" ht="12.5">
      <c r="A4235" s="158" t="s">
        <v>25065</v>
      </c>
      <c r="B4235" s="159">
        <v>40</v>
      </c>
      <c r="C4235" s="159">
        <v>70</v>
      </c>
      <c r="D4235" s="159">
        <v>47</v>
      </c>
      <c r="E4235" s="159">
        <v>32</v>
      </c>
      <c r="F4235" s="131"/>
      <c r="G4235" s="132"/>
      <c r="H4235" s="162" t="s">
        <v>25066</v>
      </c>
      <c r="I4235" s="158" t="s">
        <v>25067</v>
      </c>
      <c r="J4235" s="128"/>
      <c r="K4235" s="128"/>
      <c r="L4235" s="128"/>
      <c r="M4235" s="129"/>
      <c r="N4235" s="129"/>
      <c r="O4235" s="129"/>
    </row>
    <row r="4236" spans="1:15" ht="12.5">
      <c r="A4236" s="158" t="s">
        <v>25068</v>
      </c>
      <c r="B4236" s="159">
        <v>40</v>
      </c>
      <c r="C4236" s="159">
        <v>70</v>
      </c>
      <c r="D4236" s="159">
        <v>47</v>
      </c>
      <c r="E4236" s="159">
        <v>46</v>
      </c>
      <c r="F4236" s="131"/>
      <c r="G4236" s="132"/>
      <c r="H4236" s="162" t="s">
        <v>33471</v>
      </c>
      <c r="I4236" s="128"/>
      <c r="J4236" s="128"/>
      <c r="K4236" s="128"/>
      <c r="L4236" s="128"/>
      <c r="M4236" s="129"/>
      <c r="N4236" s="129"/>
      <c r="O4236" s="129"/>
    </row>
    <row r="4237" spans="1:15" ht="12.5">
      <c r="A4237" s="158" t="s">
        <v>25070</v>
      </c>
      <c r="B4237" s="159">
        <v>40</v>
      </c>
      <c r="C4237" s="159">
        <v>70</v>
      </c>
      <c r="D4237" s="159">
        <v>47</v>
      </c>
      <c r="E4237" s="159">
        <v>75</v>
      </c>
      <c r="F4237" s="131"/>
      <c r="G4237" s="132"/>
      <c r="H4237" s="162" t="s">
        <v>25071</v>
      </c>
      <c r="I4237" s="128"/>
      <c r="J4237" s="128"/>
      <c r="K4237" s="128"/>
      <c r="L4237" s="128"/>
      <c r="M4237" s="129"/>
      <c r="N4237" s="129"/>
      <c r="O4237" s="129"/>
    </row>
    <row r="4238" spans="1:15" ht="12.5">
      <c r="A4238" s="158" t="s">
        <v>25072</v>
      </c>
      <c r="B4238" s="159">
        <v>40</v>
      </c>
      <c r="C4238" s="159">
        <v>70</v>
      </c>
      <c r="D4238" s="159">
        <v>47</v>
      </c>
      <c r="E4238" s="159">
        <v>91</v>
      </c>
      <c r="F4238" s="131"/>
      <c r="G4238" s="132"/>
      <c r="H4238" s="162" t="s">
        <v>33472</v>
      </c>
      <c r="I4238" s="158" t="s">
        <v>25074</v>
      </c>
      <c r="J4238" s="128"/>
      <c r="K4238" s="128"/>
      <c r="L4238" s="128"/>
      <c r="M4238" s="129"/>
      <c r="N4238" s="129"/>
      <c r="O4238" s="129"/>
    </row>
    <row r="4239" spans="1:15" ht="12.5">
      <c r="A4239" s="158" t="s">
        <v>25075</v>
      </c>
      <c r="B4239" s="159">
        <v>40</v>
      </c>
      <c r="C4239" s="159">
        <v>70</v>
      </c>
      <c r="D4239" s="159">
        <v>47</v>
      </c>
      <c r="E4239" s="159">
        <v>97</v>
      </c>
      <c r="F4239" s="131"/>
      <c r="G4239" s="132"/>
      <c r="H4239" s="162" t="s">
        <v>33473</v>
      </c>
      <c r="I4239" s="158" t="s">
        <v>25077</v>
      </c>
      <c r="J4239" s="128"/>
      <c r="K4239" s="128"/>
      <c r="L4239" s="128"/>
      <c r="M4239" s="129"/>
      <c r="N4239" s="129"/>
      <c r="O4239" s="129"/>
    </row>
    <row r="4240" spans="1:15" ht="12.5">
      <c r="A4240" s="158" t="s">
        <v>25078</v>
      </c>
      <c r="B4240" s="159">
        <v>40</v>
      </c>
      <c r="C4240" s="159">
        <v>70</v>
      </c>
      <c r="D4240" s="159">
        <v>50</v>
      </c>
      <c r="E4240" s="130"/>
      <c r="F4240" s="131"/>
      <c r="G4240" s="132"/>
      <c r="H4240" s="162" t="s">
        <v>25079</v>
      </c>
      <c r="I4240" s="128"/>
      <c r="J4240" s="128"/>
      <c r="K4240" s="128"/>
      <c r="L4240" s="128"/>
      <c r="M4240" s="129"/>
      <c r="N4240" s="129"/>
      <c r="O4240" s="129"/>
    </row>
    <row r="4241" spans="1:15" ht="12.5">
      <c r="A4241" s="158" t="s">
        <v>25080</v>
      </c>
      <c r="B4241" s="159">
        <v>40</v>
      </c>
      <c r="C4241" s="159">
        <v>70</v>
      </c>
      <c r="D4241" s="159">
        <v>50</v>
      </c>
      <c r="E4241" s="159">
        <v>32</v>
      </c>
      <c r="F4241" s="131"/>
      <c r="G4241" s="132"/>
      <c r="H4241" s="162" t="s">
        <v>25081</v>
      </c>
      <c r="I4241" s="128"/>
      <c r="J4241" s="128"/>
      <c r="K4241" s="128"/>
      <c r="L4241" s="128"/>
      <c r="M4241" s="129"/>
      <c r="N4241" s="129"/>
      <c r="O4241" s="129"/>
    </row>
    <row r="4242" spans="1:15" ht="12.5">
      <c r="A4242" s="158" t="s">
        <v>25082</v>
      </c>
      <c r="B4242" s="159">
        <v>40</v>
      </c>
      <c r="C4242" s="159">
        <v>70</v>
      </c>
      <c r="D4242" s="159">
        <v>50</v>
      </c>
      <c r="E4242" s="159">
        <v>65</v>
      </c>
      <c r="F4242" s="131"/>
      <c r="G4242" s="132"/>
      <c r="H4242" s="162" t="s">
        <v>25083</v>
      </c>
      <c r="I4242" s="128"/>
      <c r="J4242" s="128"/>
      <c r="K4242" s="128"/>
      <c r="L4242" s="128"/>
      <c r="M4242" s="129"/>
      <c r="N4242" s="129"/>
      <c r="O4242" s="129"/>
    </row>
    <row r="4243" spans="1:15" ht="12.5">
      <c r="A4243" s="158" t="s">
        <v>25084</v>
      </c>
      <c r="B4243" s="159">
        <v>40</v>
      </c>
      <c r="C4243" s="159">
        <v>70</v>
      </c>
      <c r="D4243" s="159">
        <v>51</v>
      </c>
      <c r="E4243" s="130"/>
      <c r="F4243" s="131"/>
      <c r="G4243" s="132"/>
      <c r="H4243" s="162" t="s">
        <v>25085</v>
      </c>
      <c r="I4243" s="128"/>
      <c r="J4243" s="128"/>
      <c r="K4243" s="128"/>
      <c r="L4243" s="128"/>
      <c r="M4243" s="129"/>
      <c r="N4243" s="129"/>
      <c r="O4243" s="129"/>
    </row>
    <row r="4244" spans="1:15" ht="12.5">
      <c r="A4244" s="158" t="s">
        <v>25086</v>
      </c>
      <c r="B4244" s="159">
        <v>40</v>
      </c>
      <c r="C4244" s="159">
        <v>70</v>
      </c>
      <c r="D4244" s="159">
        <v>51</v>
      </c>
      <c r="E4244" s="159">
        <v>4</v>
      </c>
      <c r="F4244" s="131"/>
      <c r="G4244" s="132"/>
      <c r="H4244" s="162" t="s">
        <v>25087</v>
      </c>
      <c r="I4244" s="128"/>
      <c r="J4244" s="128"/>
      <c r="K4244" s="128"/>
      <c r="L4244" s="128"/>
      <c r="M4244" s="129"/>
      <c r="N4244" s="129"/>
      <c r="O4244" s="129"/>
    </row>
    <row r="4245" spans="1:15" ht="12.5">
      <c r="A4245" s="158" t="s">
        <v>25088</v>
      </c>
      <c r="B4245" s="159">
        <v>40</v>
      </c>
      <c r="C4245" s="159">
        <v>70</v>
      </c>
      <c r="D4245" s="159">
        <v>51</v>
      </c>
      <c r="E4245" s="159">
        <v>10</v>
      </c>
      <c r="F4245" s="131"/>
      <c r="G4245" s="132"/>
      <c r="H4245" s="162" t="s">
        <v>25089</v>
      </c>
      <c r="I4245" s="128"/>
      <c r="J4245" s="128"/>
      <c r="K4245" s="128"/>
      <c r="L4245" s="128"/>
      <c r="M4245" s="129"/>
      <c r="N4245" s="129"/>
      <c r="O4245" s="129"/>
    </row>
    <row r="4246" spans="1:15" ht="12.5">
      <c r="A4246" s="158" t="s">
        <v>25090</v>
      </c>
      <c r="B4246" s="159">
        <v>40</v>
      </c>
      <c r="C4246" s="159">
        <v>70</v>
      </c>
      <c r="D4246" s="159">
        <v>51</v>
      </c>
      <c r="E4246" s="159">
        <v>16</v>
      </c>
      <c r="F4246" s="131"/>
      <c r="G4246" s="132"/>
      <c r="H4246" s="162" t="s">
        <v>25091</v>
      </c>
      <c r="I4246" s="128"/>
      <c r="J4246" s="128"/>
      <c r="K4246" s="128"/>
      <c r="L4246" s="128"/>
      <c r="M4246" s="129"/>
      <c r="N4246" s="129"/>
      <c r="O4246" s="129"/>
    </row>
    <row r="4247" spans="1:15" ht="12.5">
      <c r="A4247" s="158" t="s">
        <v>25094</v>
      </c>
      <c r="B4247" s="159">
        <v>40</v>
      </c>
      <c r="C4247" s="159">
        <v>70</v>
      </c>
      <c r="D4247" s="159">
        <v>51</v>
      </c>
      <c r="E4247" s="159">
        <v>30</v>
      </c>
      <c r="F4247" s="131"/>
      <c r="G4247" s="132"/>
      <c r="H4247" s="162" t="s">
        <v>25095</v>
      </c>
      <c r="I4247" s="128"/>
      <c r="J4247" s="128"/>
      <c r="K4247" s="128"/>
      <c r="L4247" s="128"/>
      <c r="M4247" s="129"/>
      <c r="N4247" s="129"/>
      <c r="O4247" s="129"/>
    </row>
    <row r="4248" spans="1:15" ht="12.5">
      <c r="A4248" s="158" t="s">
        <v>25100</v>
      </c>
      <c r="B4248" s="159">
        <v>40</v>
      </c>
      <c r="C4248" s="159">
        <v>70</v>
      </c>
      <c r="D4248" s="159">
        <v>51</v>
      </c>
      <c r="E4248" s="159">
        <v>44</v>
      </c>
      <c r="F4248" s="131"/>
      <c r="G4248" s="132"/>
      <c r="H4248" s="162" t="s">
        <v>25101</v>
      </c>
      <c r="I4248" s="128"/>
      <c r="J4248" s="128"/>
      <c r="K4248" s="128"/>
      <c r="L4248" s="128"/>
      <c r="M4248" s="129"/>
      <c r="N4248" s="129"/>
      <c r="O4248" s="129"/>
    </row>
    <row r="4249" spans="1:15" ht="12.5">
      <c r="A4249" s="158" t="s">
        <v>25104</v>
      </c>
      <c r="B4249" s="159">
        <v>40</v>
      </c>
      <c r="C4249" s="159">
        <v>70</v>
      </c>
      <c r="D4249" s="159">
        <v>51</v>
      </c>
      <c r="E4249" s="159">
        <v>59</v>
      </c>
      <c r="F4249" s="131"/>
      <c r="G4249" s="132"/>
      <c r="H4249" s="162" t="s">
        <v>25105</v>
      </c>
      <c r="I4249" s="128"/>
      <c r="J4249" s="128"/>
      <c r="K4249" s="128"/>
      <c r="L4249" s="128"/>
      <c r="M4249" s="129"/>
      <c r="N4249" s="129"/>
      <c r="O4249" s="129"/>
    </row>
    <row r="4250" spans="1:15" ht="12.5">
      <c r="A4250" s="158" t="s">
        <v>25108</v>
      </c>
      <c r="B4250" s="159">
        <v>40</v>
      </c>
      <c r="C4250" s="159">
        <v>70</v>
      </c>
      <c r="D4250" s="159">
        <v>51</v>
      </c>
      <c r="E4250" s="159">
        <v>70</v>
      </c>
      <c r="F4250" s="131"/>
      <c r="G4250" s="132"/>
      <c r="H4250" s="162" t="s">
        <v>25109</v>
      </c>
      <c r="I4250" s="128"/>
      <c r="J4250" s="128"/>
      <c r="K4250" s="128"/>
      <c r="L4250" s="128"/>
      <c r="M4250" s="129"/>
      <c r="N4250" s="129"/>
      <c r="O4250" s="129"/>
    </row>
    <row r="4251" spans="1:15" ht="12.5">
      <c r="A4251" s="158" t="s">
        <v>25110</v>
      </c>
      <c r="B4251" s="159">
        <v>40</v>
      </c>
      <c r="C4251" s="159">
        <v>70</v>
      </c>
      <c r="D4251" s="159">
        <v>51</v>
      </c>
      <c r="E4251" s="159">
        <v>84</v>
      </c>
      <c r="F4251" s="131"/>
      <c r="G4251" s="132"/>
      <c r="H4251" s="162" t="s">
        <v>25111</v>
      </c>
      <c r="I4251" s="128"/>
      <c r="J4251" s="128"/>
      <c r="K4251" s="128"/>
      <c r="L4251" s="128"/>
      <c r="M4251" s="129"/>
      <c r="N4251" s="129"/>
      <c r="O4251" s="129"/>
    </row>
    <row r="4252" spans="1:15" ht="12.5">
      <c r="A4252" s="158" t="s">
        <v>25112</v>
      </c>
      <c r="B4252" s="159">
        <v>40</v>
      </c>
      <c r="C4252" s="159">
        <v>70</v>
      </c>
      <c r="D4252" s="159">
        <v>51</v>
      </c>
      <c r="E4252" s="159">
        <v>94</v>
      </c>
      <c r="F4252" s="131"/>
      <c r="G4252" s="132"/>
      <c r="H4252" s="162" t="s">
        <v>25113</v>
      </c>
      <c r="I4252" s="128"/>
      <c r="J4252" s="128"/>
      <c r="K4252" s="128"/>
      <c r="L4252" s="128"/>
      <c r="M4252" s="129"/>
      <c r="N4252" s="129"/>
      <c r="O4252" s="129"/>
    </row>
    <row r="4253" spans="1:15" ht="12.5">
      <c r="A4253" s="158" t="s">
        <v>25134</v>
      </c>
      <c r="B4253" s="159">
        <v>40</v>
      </c>
      <c r="C4253" s="159">
        <v>70</v>
      </c>
      <c r="D4253" s="159">
        <v>58</v>
      </c>
      <c r="E4253" s="130"/>
      <c r="F4253" s="131"/>
      <c r="G4253" s="132"/>
      <c r="H4253" s="162" t="s">
        <v>25135</v>
      </c>
      <c r="I4253" s="128"/>
      <c r="J4253" s="128"/>
      <c r="K4253" s="128"/>
      <c r="L4253" s="128"/>
      <c r="M4253" s="129"/>
      <c r="N4253" s="129"/>
      <c r="O4253" s="129"/>
    </row>
    <row r="4254" spans="1:15" ht="12.5">
      <c r="A4254" s="158" t="s">
        <v>25136</v>
      </c>
      <c r="B4254" s="159">
        <v>40</v>
      </c>
      <c r="C4254" s="159">
        <v>70</v>
      </c>
      <c r="D4254" s="159">
        <v>58</v>
      </c>
      <c r="E4254" s="159">
        <v>23</v>
      </c>
      <c r="F4254" s="131"/>
      <c r="G4254" s="132"/>
      <c r="H4254" s="162" t="s">
        <v>25137</v>
      </c>
      <c r="I4254" s="128"/>
      <c r="J4254" s="128"/>
      <c r="K4254" s="128"/>
      <c r="L4254" s="128"/>
      <c r="M4254" s="129"/>
      <c r="N4254" s="129"/>
      <c r="O4254" s="129"/>
    </row>
    <row r="4255" spans="1:15" ht="12.5">
      <c r="A4255" s="158" t="s">
        <v>25142</v>
      </c>
      <c r="B4255" s="159">
        <v>40</v>
      </c>
      <c r="C4255" s="159">
        <v>70</v>
      </c>
      <c r="D4255" s="159">
        <v>62</v>
      </c>
      <c r="E4255" s="130"/>
      <c r="F4255" s="131"/>
      <c r="G4255" s="132"/>
      <c r="H4255" s="162" t="s">
        <v>33474</v>
      </c>
      <c r="I4255" s="128"/>
      <c r="J4255" s="128"/>
      <c r="K4255" s="128"/>
      <c r="L4255" s="128"/>
      <c r="M4255" s="129"/>
      <c r="N4255" s="129"/>
      <c r="O4255" s="129"/>
    </row>
    <row r="4256" spans="1:15" ht="12.5">
      <c r="A4256" s="158" t="s">
        <v>25144</v>
      </c>
      <c r="B4256" s="159">
        <v>40</v>
      </c>
      <c r="C4256" s="159">
        <v>70</v>
      </c>
      <c r="D4256" s="159">
        <v>62</v>
      </c>
      <c r="E4256" s="159">
        <v>9</v>
      </c>
      <c r="F4256" s="131"/>
      <c r="G4256" s="132"/>
      <c r="H4256" s="162" t="s">
        <v>33475</v>
      </c>
      <c r="I4256" s="128"/>
      <c r="J4256" s="128"/>
      <c r="K4256" s="128"/>
      <c r="L4256" s="128"/>
      <c r="M4256" s="129"/>
      <c r="N4256" s="129"/>
      <c r="O4256" s="129"/>
    </row>
    <row r="4257" spans="1:15" ht="12.5">
      <c r="A4257" s="158" t="s">
        <v>25146</v>
      </c>
      <c r="B4257" s="159">
        <v>40</v>
      </c>
      <c r="C4257" s="159">
        <v>70</v>
      </c>
      <c r="D4257" s="159">
        <v>62</v>
      </c>
      <c r="E4257" s="159">
        <v>29</v>
      </c>
      <c r="F4257" s="131"/>
      <c r="G4257" s="132"/>
      <c r="H4257" s="162" t="s">
        <v>33476</v>
      </c>
      <c r="I4257" s="128"/>
      <c r="J4257" s="128"/>
      <c r="K4257" s="128"/>
      <c r="L4257" s="128"/>
      <c r="M4257" s="129"/>
      <c r="N4257" s="129"/>
      <c r="O4257" s="129"/>
    </row>
    <row r="4258" spans="1:15" ht="12.5">
      <c r="A4258" s="158" t="s">
        <v>25148</v>
      </c>
      <c r="B4258" s="159">
        <v>40</v>
      </c>
      <c r="C4258" s="159">
        <v>70</v>
      </c>
      <c r="D4258" s="159">
        <v>62</v>
      </c>
      <c r="E4258" s="159">
        <v>36</v>
      </c>
      <c r="F4258" s="131"/>
      <c r="G4258" s="132"/>
      <c r="H4258" s="162" t="s">
        <v>33477</v>
      </c>
      <c r="I4258" s="128"/>
      <c r="J4258" s="128"/>
      <c r="K4258" s="128"/>
      <c r="L4258" s="128"/>
      <c r="M4258" s="129"/>
      <c r="N4258" s="129"/>
      <c r="O4258" s="129"/>
    </row>
    <row r="4259" spans="1:15" ht="12.5">
      <c r="A4259" s="158" t="s">
        <v>25151</v>
      </c>
      <c r="B4259" s="159">
        <v>40</v>
      </c>
      <c r="C4259" s="159">
        <v>70</v>
      </c>
      <c r="D4259" s="159">
        <v>62</v>
      </c>
      <c r="E4259" s="159">
        <v>37</v>
      </c>
      <c r="F4259" s="131"/>
      <c r="G4259" s="132"/>
      <c r="H4259" s="162" t="s">
        <v>33478</v>
      </c>
      <c r="I4259" s="158" t="s">
        <v>25153</v>
      </c>
      <c r="J4259" s="128"/>
      <c r="K4259" s="128"/>
      <c r="L4259" s="128"/>
      <c r="M4259" s="129"/>
      <c r="N4259" s="129"/>
      <c r="O4259" s="129"/>
    </row>
    <row r="4260" spans="1:15" ht="12.5">
      <c r="A4260" s="158" t="s">
        <v>25154</v>
      </c>
      <c r="B4260" s="159">
        <v>40</v>
      </c>
      <c r="C4260" s="159">
        <v>70</v>
      </c>
      <c r="D4260" s="159">
        <v>63</v>
      </c>
      <c r="E4260" s="130"/>
      <c r="F4260" s="131"/>
      <c r="G4260" s="132"/>
      <c r="H4260" s="162" t="s">
        <v>25155</v>
      </c>
      <c r="I4260" s="128"/>
      <c r="J4260" s="128"/>
      <c r="K4260" s="128"/>
      <c r="L4260" s="128"/>
      <c r="M4260" s="129"/>
      <c r="N4260" s="129"/>
      <c r="O4260" s="129"/>
    </row>
    <row r="4261" spans="1:15" ht="12.5">
      <c r="A4261" s="158" t="s">
        <v>25156</v>
      </c>
      <c r="B4261" s="159">
        <v>40</v>
      </c>
      <c r="C4261" s="159">
        <v>70</v>
      </c>
      <c r="D4261" s="159">
        <v>63</v>
      </c>
      <c r="E4261" s="159">
        <v>4</v>
      </c>
      <c r="F4261" s="131"/>
      <c r="G4261" s="132"/>
      <c r="H4261" s="162" t="s">
        <v>25157</v>
      </c>
      <c r="I4261" s="128"/>
      <c r="J4261" s="128"/>
      <c r="K4261" s="128"/>
      <c r="L4261" s="128"/>
      <c r="M4261" s="129"/>
      <c r="N4261" s="129"/>
      <c r="O4261" s="129"/>
    </row>
    <row r="4262" spans="1:15" ht="12.5">
      <c r="A4262" s="158" t="s">
        <v>25158</v>
      </c>
      <c r="B4262" s="159">
        <v>40</v>
      </c>
      <c r="C4262" s="159">
        <v>70</v>
      </c>
      <c r="D4262" s="159">
        <v>63</v>
      </c>
      <c r="E4262" s="159">
        <v>5</v>
      </c>
      <c r="F4262" s="131"/>
      <c r="G4262" s="132"/>
      <c r="H4262" s="162" t="s">
        <v>25159</v>
      </c>
      <c r="I4262" s="128"/>
      <c r="J4262" s="128"/>
      <c r="K4262" s="128"/>
      <c r="L4262" s="128"/>
      <c r="M4262" s="129"/>
      <c r="N4262" s="129"/>
      <c r="O4262" s="129"/>
    </row>
    <row r="4263" spans="1:15" ht="12.5">
      <c r="A4263" s="158" t="s">
        <v>25160</v>
      </c>
      <c r="B4263" s="159">
        <v>40</v>
      </c>
      <c r="C4263" s="159">
        <v>70</v>
      </c>
      <c r="D4263" s="159">
        <v>63</v>
      </c>
      <c r="E4263" s="159">
        <v>28</v>
      </c>
      <c r="F4263" s="131"/>
      <c r="G4263" s="132"/>
      <c r="H4263" s="162" t="s">
        <v>25161</v>
      </c>
      <c r="I4263" s="128"/>
      <c r="J4263" s="128"/>
      <c r="K4263" s="128"/>
      <c r="L4263" s="128"/>
      <c r="M4263" s="129"/>
      <c r="N4263" s="129"/>
      <c r="O4263" s="129"/>
    </row>
    <row r="4264" spans="1:15" ht="12.5">
      <c r="A4264" s="158" t="s">
        <v>25162</v>
      </c>
      <c r="B4264" s="159">
        <v>40</v>
      </c>
      <c r="C4264" s="159">
        <v>70</v>
      </c>
      <c r="D4264" s="159">
        <v>63</v>
      </c>
      <c r="E4264" s="159">
        <v>35</v>
      </c>
      <c r="F4264" s="131"/>
      <c r="G4264" s="132"/>
      <c r="H4264" s="162" t="s">
        <v>25163</v>
      </c>
      <c r="I4264" s="128"/>
      <c r="J4264" s="128"/>
      <c r="K4264" s="128"/>
      <c r="L4264" s="128"/>
      <c r="M4264" s="129"/>
      <c r="N4264" s="129"/>
      <c r="O4264" s="129"/>
    </row>
    <row r="4265" spans="1:15" ht="12.5">
      <c r="A4265" s="158" t="s">
        <v>25164</v>
      </c>
      <c r="B4265" s="159">
        <v>40</v>
      </c>
      <c r="C4265" s="159">
        <v>70</v>
      </c>
      <c r="D4265" s="159">
        <v>65</v>
      </c>
      <c r="E4265" s="130"/>
      <c r="F4265" s="131"/>
      <c r="G4265" s="132"/>
      <c r="H4265" s="162" t="s">
        <v>25165</v>
      </c>
      <c r="I4265" s="128"/>
      <c r="J4265" s="128"/>
      <c r="K4265" s="128"/>
      <c r="L4265" s="128"/>
      <c r="M4265" s="129"/>
      <c r="N4265" s="129"/>
      <c r="O4265" s="129"/>
    </row>
    <row r="4266" spans="1:15" ht="12.5">
      <c r="A4266" s="158" t="s">
        <v>25166</v>
      </c>
      <c r="B4266" s="159">
        <v>40</v>
      </c>
      <c r="C4266" s="159">
        <v>70</v>
      </c>
      <c r="D4266" s="159">
        <v>65</v>
      </c>
      <c r="E4266" s="159">
        <v>16</v>
      </c>
      <c r="F4266" s="131"/>
      <c r="G4266" s="132"/>
      <c r="H4266" s="162" t="s">
        <v>25167</v>
      </c>
      <c r="I4266" s="158" t="s">
        <v>25168</v>
      </c>
      <c r="J4266" s="128"/>
      <c r="K4266" s="128"/>
      <c r="L4266" s="128"/>
      <c r="M4266" s="129"/>
      <c r="N4266" s="129"/>
      <c r="O4266" s="129"/>
    </row>
    <row r="4267" spans="1:15" ht="12.5">
      <c r="A4267" s="158" t="s">
        <v>25169</v>
      </c>
      <c r="B4267" s="159">
        <v>40</v>
      </c>
      <c r="C4267" s="159">
        <v>70</v>
      </c>
      <c r="D4267" s="159">
        <v>65</v>
      </c>
      <c r="E4267" s="159">
        <v>17</v>
      </c>
      <c r="F4267" s="131"/>
      <c r="G4267" s="132"/>
      <c r="H4267" s="162" t="s">
        <v>25170</v>
      </c>
      <c r="I4267" s="128"/>
      <c r="J4267" s="128"/>
      <c r="K4267" s="128"/>
      <c r="L4267" s="128"/>
      <c r="M4267" s="129"/>
      <c r="N4267" s="129"/>
      <c r="O4267" s="129"/>
    </row>
    <row r="4268" spans="1:15" ht="12.5">
      <c r="A4268" s="158" t="s">
        <v>25171</v>
      </c>
      <c r="B4268" s="159">
        <v>40</v>
      </c>
      <c r="C4268" s="159">
        <v>70</v>
      </c>
      <c r="D4268" s="159">
        <v>65</v>
      </c>
      <c r="E4268" s="159">
        <v>18</v>
      </c>
      <c r="F4268" s="131"/>
      <c r="G4268" s="132"/>
      <c r="H4268" s="162" t="s">
        <v>25172</v>
      </c>
      <c r="I4268" s="158" t="s">
        <v>25173</v>
      </c>
      <c r="J4268" s="128"/>
      <c r="K4268" s="128"/>
      <c r="L4268" s="128"/>
      <c r="M4268" s="129"/>
      <c r="N4268" s="129"/>
      <c r="O4268" s="129"/>
    </row>
    <row r="4269" spans="1:15" ht="12.5">
      <c r="A4269" s="158" t="s">
        <v>25174</v>
      </c>
      <c r="B4269" s="159">
        <v>40</v>
      </c>
      <c r="C4269" s="159">
        <v>70</v>
      </c>
      <c r="D4269" s="159">
        <v>65</v>
      </c>
      <c r="E4269" s="159">
        <v>19</v>
      </c>
      <c r="F4269" s="131"/>
      <c r="G4269" s="132"/>
      <c r="H4269" s="162" t="s">
        <v>25175</v>
      </c>
      <c r="I4269" s="158" t="s">
        <v>25176</v>
      </c>
      <c r="J4269" s="128"/>
      <c r="K4269" s="128"/>
      <c r="L4269" s="128"/>
      <c r="M4269" s="129"/>
      <c r="N4269" s="129"/>
      <c r="O4269" s="129"/>
    </row>
    <row r="4270" spans="1:15" ht="12.5">
      <c r="A4270" s="158" t="s">
        <v>25177</v>
      </c>
      <c r="B4270" s="159">
        <v>40</v>
      </c>
      <c r="C4270" s="159">
        <v>70</v>
      </c>
      <c r="D4270" s="159">
        <v>65</v>
      </c>
      <c r="E4270" s="159">
        <v>20</v>
      </c>
      <c r="F4270" s="131"/>
      <c r="G4270" s="132"/>
      <c r="H4270" s="162" t="s">
        <v>25178</v>
      </c>
      <c r="I4270" s="158" t="s">
        <v>25179</v>
      </c>
      <c r="J4270" s="128"/>
      <c r="K4270" s="128"/>
      <c r="L4270" s="128"/>
      <c r="M4270" s="129"/>
      <c r="N4270" s="129"/>
      <c r="O4270" s="129"/>
    </row>
    <row r="4271" spans="1:15" ht="12.5">
      <c r="A4271" s="158" t="s">
        <v>25180</v>
      </c>
      <c r="B4271" s="159">
        <v>40</v>
      </c>
      <c r="C4271" s="159">
        <v>70</v>
      </c>
      <c r="D4271" s="159">
        <v>65</v>
      </c>
      <c r="E4271" s="159">
        <v>21</v>
      </c>
      <c r="F4271" s="131"/>
      <c r="G4271" s="132"/>
      <c r="H4271" s="162" t="s">
        <v>25181</v>
      </c>
      <c r="I4271" s="158" t="s">
        <v>25182</v>
      </c>
      <c r="J4271" s="128"/>
      <c r="K4271" s="128"/>
      <c r="L4271" s="128"/>
      <c r="M4271" s="129"/>
      <c r="N4271" s="129"/>
      <c r="O4271" s="129"/>
    </row>
    <row r="4272" spans="1:15" ht="12.5">
      <c r="A4272" s="158" t="s">
        <v>25183</v>
      </c>
      <c r="B4272" s="159">
        <v>40</v>
      </c>
      <c r="C4272" s="159">
        <v>70</v>
      </c>
      <c r="D4272" s="159">
        <v>65</v>
      </c>
      <c r="E4272" s="159">
        <v>22</v>
      </c>
      <c r="F4272" s="131"/>
      <c r="G4272" s="132"/>
      <c r="H4272" s="162" t="s">
        <v>25184</v>
      </c>
      <c r="I4272" s="158" t="s">
        <v>25185</v>
      </c>
      <c r="J4272" s="128"/>
      <c r="K4272" s="128"/>
      <c r="L4272" s="128"/>
      <c r="M4272" s="129"/>
      <c r="N4272" s="129"/>
      <c r="O4272" s="129"/>
    </row>
    <row r="4273" spans="1:15" ht="12.5">
      <c r="A4273" s="158" t="s">
        <v>25186</v>
      </c>
      <c r="B4273" s="159">
        <v>40</v>
      </c>
      <c r="C4273" s="159">
        <v>70</v>
      </c>
      <c r="D4273" s="159">
        <v>65</v>
      </c>
      <c r="E4273" s="159">
        <v>23</v>
      </c>
      <c r="F4273" s="131"/>
      <c r="G4273" s="132"/>
      <c r="H4273" s="162" t="s">
        <v>25187</v>
      </c>
      <c r="I4273" s="128"/>
      <c r="J4273" s="128"/>
      <c r="K4273" s="128"/>
      <c r="L4273" s="128"/>
      <c r="M4273" s="129"/>
      <c r="N4273" s="129"/>
      <c r="O4273" s="129"/>
    </row>
    <row r="4274" spans="1:15" ht="12.5">
      <c r="A4274" s="158" t="s">
        <v>25188</v>
      </c>
      <c r="B4274" s="159">
        <v>40</v>
      </c>
      <c r="C4274" s="159">
        <v>70</v>
      </c>
      <c r="D4274" s="159">
        <v>65</v>
      </c>
      <c r="E4274" s="159">
        <v>24</v>
      </c>
      <c r="F4274" s="131"/>
      <c r="G4274" s="132"/>
      <c r="H4274" s="162" t="s">
        <v>25189</v>
      </c>
      <c r="I4274" s="158" t="s">
        <v>25190</v>
      </c>
      <c r="J4274" s="128"/>
      <c r="K4274" s="128"/>
      <c r="L4274" s="128"/>
      <c r="M4274" s="129"/>
      <c r="N4274" s="129"/>
      <c r="O4274" s="129"/>
    </row>
    <row r="4275" spans="1:15" ht="12.5">
      <c r="A4275" s="158" t="s">
        <v>25191</v>
      </c>
      <c r="B4275" s="159">
        <v>40</v>
      </c>
      <c r="C4275" s="159">
        <v>70</v>
      </c>
      <c r="D4275" s="159">
        <v>65</v>
      </c>
      <c r="E4275" s="159">
        <v>25</v>
      </c>
      <c r="F4275" s="131"/>
      <c r="G4275" s="132"/>
      <c r="H4275" s="162" t="s">
        <v>25192</v>
      </c>
      <c r="I4275" s="128"/>
      <c r="J4275" s="128"/>
      <c r="K4275" s="128"/>
      <c r="L4275" s="128"/>
      <c r="M4275" s="129"/>
      <c r="N4275" s="129"/>
      <c r="O4275" s="129"/>
    </row>
    <row r="4276" spans="1:15" ht="12.5">
      <c r="A4276" s="158" t="s">
        <v>25193</v>
      </c>
      <c r="B4276" s="159">
        <v>40</v>
      </c>
      <c r="C4276" s="159">
        <v>70</v>
      </c>
      <c r="D4276" s="159">
        <v>65</v>
      </c>
      <c r="E4276" s="159">
        <v>26</v>
      </c>
      <c r="F4276" s="131"/>
      <c r="G4276" s="132"/>
      <c r="H4276" s="162" t="s">
        <v>25194</v>
      </c>
      <c r="I4276" s="158" t="s">
        <v>25195</v>
      </c>
      <c r="J4276" s="128"/>
      <c r="K4276" s="128"/>
      <c r="L4276" s="128"/>
      <c r="M4276" s="129"/>
      <c r="N4276" s="129"/>
      <c r="O4276" s="129"/>
    </row>
    <row r="4277" spans="1:15" ht="12.5">
      <c r="A4277" s="158" t="s">
        <v>25196</v>
      </c>
      <c r="B4277" s="159">
        <v>40</v>
      </c>
      <c r="C4277" s="159">
        <v>70</v>
      </c>
      <c r="D4277" s="159">
        <v>65</v>
      </c>
      <c r="E4277" s="159">
        <v>27</v>
      </c>
      <c r="F4277" s="131"/>
      <c r="G4277" s="132"/>
      <c r="H4277" s="162" t="s">
        <v>25197</v>
      </c>
      <c r="I4277" s="128"/>
      <c r="J4277" s="128"/>
      <c r="K4277" s="128"/>
      <c r="L4277" s="128"/>
      <c r="M4277" s="129"/>
      <c r="N4277" s="129"/>
      <c r="O4277" s="129"/>
    </row>
    <row r="4278" spans="1:15" ht="12.5">
      <c r="A4278" s="158" t="s">
        <v>25198</v>
      </c>
      <c r="B4278" s="159">
        <v>40</v>
      </c>
      <c r="C4278" s="159">
        <v>70</v>
      </c>
      <c r="D4278" s="159">
        <v>65</v>
      </c>
      <c r="E4278" s="159">
        <v>28</v>
      </c>
      <c r="F4278" s="131"/>
      <c r="G4278" s="132"/>
      <c r="H4278" s="162" t="s">
        <v>25199</v>
      </c>
      <c r="I4278" s="158" t="s">
        <v>25200</v>
      </c>
      <c r="J4278" s="128"/>
      <c r="K4278" s="128"/>
      <c r="L4278" s="128"/>
      <c r="M4278" s="129"/>
      <c r="N4278" s="129"/>
      <c r="O4278" s="129"/>
    </row>
    <row r="4279" spans="1:15" ht="12.5">
      <c r="A4279" s="158" t="s">
        <v>25201</v>
      </c>
      <c r="B4279" s="159">
        <v>40</v>
      </c>
      <c r="C4279" s="159">
        <v>70</v>
      </c>
      <c r="D4279" s="159">
        <v>65</v>
      </c>
      <c r="E4279" s="159">
        <v>29</v>
      </c>
      <c r="F4279" s="131"/>
      <c r="G4279" s="132"/>
      <c r="H4279" s="162" t="s">
        <v>25202</v>
      </c>
      <c r="I4279" s="128"/>
      <c r="J4279" s="128"/>
      <c r="K4279" s="128"/>
      <c r="L4279" s="128"/>
      <c r="M4279" s="129"/>
      <c r="N4279" s="129"/>
      <c r="O4279" s="129"/>
    </row>
    <row r="4280" spans="1:15" ht="12.5">
      <c r="A4280" s="158" t="s">
        <v>25203</v>
      </c>
      <c r="B4280" s="159">
        <v>40</v>
      </c>
      <c r="C4280" s="159">
        <v>70</v>
      </c>
      <c r="D4280" s="159">
        <v>65</v>
      </c>
      <c r="E4280" s="159">
        <v>30</v>
      </c>
      <c r="F4280" s="131"/>
      <c r="G4280" s="132"/>
      <c r="H4280" s="162" t="s">
        <v>25204</v>
      </c>
      <c r="I4280" s="128"/>
      <c r="J4280" s="128"/>
      <c r="K4280" s="128"/>
      <c r="L4280" s="128"/>
      <c r="M4280" s="129"/>
      <c r="N4280" s="129"/>
      <c r="O4280" s="129"/>
    </row>
    <row r="4281" spans="1:15" ht="12.5">
      <c r="A4281" s="158" t="s">
        <v>25205</v>
      </c>
      <c r="B4281" s="159">
        <v>40</v>
      </c>
      <c r="C4281" s="159">
        <v>70</v>
      </c>
      <c r="D4281" s="159">
        <v>65</v>
      </c>
      <c r="E4281" s="159">
        <v>31</v>
      </c>
      <c r="F4281" s="131"/>
      <c r="G4281" s="132"/>
      <c r="H4281" s="162" t="s">
        <v>25206</v>
      </c>
      <c r="I4281" s="158" t="s">
        <v>25207</v>
      </c>
      <c r="J4281" s="128"/>
      <c r="K4281" s="128"/>
      <c r="L4281" s="128"/>
      <c r="M4281" s="129"/>
      <c r="N4281" s="129"/>
      <c r="O4281" s="129"/>
    </row>
    <row r="4282" spans="1:15" ht="12.5">
      <c r="A4282" s="158" t="s">
        <v>25208</v>
      </c>
      <c r="B4282" s="159">
        <v>40</v>
      </c>
      <c r="C4282" s="159">
        <v>70</v>
      </c>
      <c r="D4282" s="159">
        <v>65</v>
      </c>
      <c r="E4282" s="159">
        <v>32</v>
      </c>
      <c r="F4282" s="131"/>
      <c r="G4282" s="132"/>
      <c r="H4282" s="162" t="s">
        <v>25209</v>
      </c>
      <c r="I4282" s="128"/>
      <c r="J4282" s="128"/>
      <c r="K4282" s="128"/>
      <c r="L4282" s="128"/>
      <c r="M4282" s="129"/>
      <c r="N4282" s="129"/>
      <c r="O4282" s="129"/>
    </row>
    <row r="4283" spans="1:15" ht="12.5">
      <c r="A4283" s="158" t="s">
        <v>25210</v>
      </c>
      <c r="B4283" s="159">
        <v>40</v>
      </c>
      <c r="C4283" s="159">
        <v>70</v>
      </c>
      <c r="D4283" s="159">
        <v>65</v>
      </c>
      <c r="E4283" s="159">
        <v>33</v>
      </c>
      <c r="F4283" s="131"/>
      <c r="G4283" s="132"/>
      <c r="H4283" s="162" t="s">
        <v>25211</v>
      </c>
      <c r="I4283" s="158" t="s">
        <v>25212</v>
      </c>
      <c r="J4283" s="128"/>
      <c r="K4283" s="128"/>
      <c r="L4283" s="128"/>
      <c r="M4283" s="129"/>
      <c r="N4283" s="129"/>
      <c r="O4283" s="129"/>
    </row>
    <row r="4284" spans="1:15" ht="12.5">
      <c r="A4284" s="158" t="s">
        <v>25213</v>
      </c>
      <c r="B4284" s="159">
        <v>40</v>
      </c>
      <c r="C4284" s="159">
        <v>70</v>
      </c>
      <c r="D4284" s="159">
        <v>65</v>
      </c>
      <c r="E4284" s="159">
        <v>34</v>
      </c>
      <c r="F4284" s="131"/>
      <c r="G4284" s="132"/>
      <c r="H4284" s="162" t="s">
        <v>25214</v>
      </c>
      <c r="I4284" s="158" t="s">
        <v>25215</v>
      </c>
      <c r="J4284" s="128"/>
      <c r="K4284" s="128"/>
      <c r="L4284" s="128"/>
      <c r="M4284" s="129"/>
      <c r="N4284" s="129"/>
      <c r="O4284" s="129"/>
    </row>
    <row r="4285" spans="1:15" ht="12.5">
      <c r="A4285" s="158" t="s">
        <v>25216</v>
      </c>
      <c r="B4285" s="159">
        <v>40</v>
      </c>
      <c r="C4285" s="159">
        <v>70</v>
      </c>
      <c r="D4285" s="159">
        <v>65</v>
      </c>
      <c r="E4285" s="159">
        <v>35</v>
      </c>
      <c r="F4285" s="131"/>
      <c r="G4285" s="132"/>
      <c r="H4285" s="162" t="s">
        <v>25217</v>
      </c>
      <c r="I4285" s="158" t="s">
        <v>25218</v>
      </c>
      <c r="J4285" s="128"/>
      <c r="K4285" s="128"/>
      <c r="L4285" s="128"/>
      <c r="M4285" s="129"/>
      <c r="N4285" s="129"/>
      <c r="O4285" s="129"/>
    </row>
    <row r="4286" spans="1:15" ht="12.5">
      <c r="A4286" s="158" t="s">
        <v>25219</v>
      </c>
      <c r="B4286" s="159">
        <v>40</v>
      </c>
      <c r="C4286" s="159">
        <v>70</v>
      </c>
      <c r="D4286" s="159">
        <v>65</v>
      </c>
      <c r="E4286" s="159">
        <v>36</v>
      </c>
      <c r="F4286" s="131"/>
      <c r="G4286" s="132"/>
      <c r="H4286" s="162" t="s">
        <v>25220</v>
      </c>
      <c r="I4286" s="158" t="s">
        <v>25221</v>
      </c>
      <c r="J4286" s="128"/>
      <c r="K4286" s="128"/>
      <c r="L4286" s="128"/>
      <c r="M4286" s="129"/>
      <c r="N4286" s="129"/>
      <c r="O4286" s="129"/>
    </row>
    <row r="4287" spans="1:15" ht="12.5">
      <c r="A4287" s="158" t="s">
        <v>25222</v>
      </c>
      <c r="B4287" s="159">
        <v>40</v>
      </c>
      <c r="C4287" s="159">
        <v>70</v>
      </c>
      <c r="D4287" s="159">
        <v>65</v>
      </c>
      <c r="E4287" s="159">
        <v>37</v>
      </c>
      <c r="F4287" s="131"/>
      <c r="G4287" s="132"/>
      <c r="H4287" s="162" t="s">
        <v>25223</v>
      </c>
      <c r="I4287" s="158" t="s">
        <v>25224</v>
      </c>
      <c r="J4287" s="128"/>
      <c r="K4287" s="128"/>
      <c r="L4287" s="128"/>
      <c r="M4287" s="129"/>
      <c r="N4287" s="129"/>
      <c r="O4287" s="129"/>
    </row>
    <row r="4288" spans="1:15" ht="12.5">
      <c r="A4288" s="158" t="s">
        <v>25225</v>
      </c>
      <c r="B4288" s="159">
        <v>40</v>
      </c>
      <c r="C4288" s="159">
        <v>70</v>
      </c>
      <c r="D4288" s="159">
        <v>65</v>
      </c>
      <c r="E4288" s="159">
        <v>38</v>
      </c>
      <c r="F4288" s="131"/>
      <c r="G4288" s="132"/>
      <c r="H4288" s="162" t="s">
        <v>25226</v>
      </c>
      <c r="I4288" s="128"/>
      <c r="J4288" s="128"/>
      <c r="K4288" s="128"/>
      <c r="L4288" s="128"/>
      <c r="M4288" s="129"/>
      <c r="N4288" s="129"/>
      <c r="O4288" s="129"/>
    </row>
    <row r="4289" spans="1:15" ht="12.5">
      <c r="A4289" s="158" t="s">
        <v>25227</v>
      </c>
      <c r="B4289" s="159">
        <v>40</v>
      </c>
      <c r="C4289" s="159">
        <v>70</v>
      </c>
      <c r="D4289" s="159">
        <v>65</v>
      </c>
      <c r="E4289" s="159">
        <v>39</v>
      </c>
      <c r="F4289" s="131"/>
      <c r="G4289" s="132"/>
      <c r="H4289" s="162" t="s">
        <v>25228</v>
      </c>
      <c r="I4289" s="128"/>
      <c r="J4289" s="128"/>
      <c r="K4289" s="128"/>
      <c r="L4289" s="128"/>
      <c r="M4289" s="129"/>
      <c r="N4289" s="129"/>
      <c r="O4289" s="129"/>
    </row>
    <row r="4290" spans="1:15" ht="12.5">
      <c r="A4290" s="158" t="s">
        <v>25229</v>
      </c>
      <c r="B4290" s="159">
        <v>40</v>
      </c>
      <c r="C4290" s="159">
        <v>70</v>
      </c>
      <c r="D4290" s="159">
        <v>65</v>
      </c>
      <c r="E4290" s="159">
        <v>40</v>
      </c>
      <c r="F4290" s="131"/>
      <c r="G4290" s="132"/>
      <c r="H4290" s="162" t="s">
        <v>25230</v>
      </c>
      <c r="I4290" s="158" t="s">
        <v>25231</v>
      </c>
      <c r="J4290" s="128"/>
      <c r="K4290" s="128"/>
      <c r="L4290" s="128"/>
      <c r="M4290" s="129"/>
      <c r="N4290" s="129"/>
      <c r="O4290" s="129"/>
    </row>
    <row r="4291" spans="1:15" ht="12.5">
      <c r="A4291" s="158" t="s">
        <v>25232</v>
      </c>
      <c r="B4291" s="159">
        <v>40</v>
      </c>
      <c r="C4291" s="159">
        <v>70</v>
      </c>
      <c r="D4291" s="159">
        <v>65</v>
      </c>
      <c r="E4291" s="159">
        <v>41</v>
      </c>
      <c r="F4291" s="131"/>
      <c r="G4291" s="132"/>
      <c r="H4291" s="162" t="s">
        <v>25233</v>
      </c>
      <c r="I4291" s="128"/>
      <c r="J4291" s="128"/>
      <c r="K4291" s="128"/>
      <c r="L4291" s="128"/>
      <c r="M4291" s="129"/>
      <c r="N4291" s="129"/>
      <c r="O4291" s="129"/>
    </row>
    <row r="4292" spans="1:15" ht="12.5">
      <c r="A4292" s="158" t="s">
        <v>25234</v>
      </c>
      <c r="B4292" s="159">
        <v>40</v>
      </c>
      <c r="C4292" s="159">
        <v>70</v>
      </c>
      <c r="D4292" s="159">
        <v>65</v>
      </c>
      <c r="E4292" s="159">
        <v>42</v>
      </c>
      <c r="F4292" s="131"/>
      <c r="G4292" s="132"/>
      <c r="H4292" s="162" t="s">
        <v>25235</v>
      </c>
      <c r="I4292" s="158" t="s">
        <v>25236</v>
      </c>
      <c r="J4292" s="128"/>
      <c r="K4292" s="128"/>
      <c r="L4292" s="128"/>
      <c r="M4292" s="129"/>
      <c r="N4292" s="129"/>
      <c r="O4292" s="129"/>
    </row>
    <row r="4293" spans="1:15" ht="12.5">
      <c r="A4293" s="158" t="s">
        <v>25237</v>
      </c>
      <c r="B4293" s="159">
        <v>40</v>
      </c>
      <c r="C4293" s="159">
        <v>70</v>
      </c>
      <c r="D4293" s="159">
        <v>65</v>
      </c>
      <c r="E4293" s="159">
        <v>43</v>
      </c>
      <c r="F4293" s="131"/>
      <c r="G4293" s="132"/>
      <c r="H4293" s="162" t="s">
        <v>25238</v>
      </c>
      <c r="I4293" s="158" t="s">
        <v>25239</v>
      </c>
      <c r="J4293" s="128"/>
      <c r="K4293" s="128"/>
      <c r="L4293" s="128"/>
      <c r="M4293" s="129"/>
      <c r="N4293" s="129"/>
      <c r="O4293" s="129"/>
    </row>
    <row r="4294" spans="1:15" ht="12.5">
      <c r="A4294" s="158" t="s">
        <v>25240</v>
      </c>
      <c r="B4294" s="159">
        <v>40</v>
      </c>
      <c r="C4294" s="159">
        <v>70</v>
      </c>
      <c r="D4294" s="159">
        <v>65</v>
      </c>
      <c r="E4294" s="159">
        <v>44</v>
      </c>
      <c r="F4294" s="131"/>
      <c r="G4294" s="132"/>
      <c r="H4294" s="162" t="s">
        <v>25241</v>
      </c>
      <c r="I4294" s="158" t="s">
        <v>25242</v>
      </c>
      <c r="J4294" s="128"/>
      <c r="K4294" s="128"/>
      <c r="L4294" s="128"/>
      <c r="M4294" s="129"/>
      <c r="N4294" s="129"/>
      <c r="O4294" s="129"/>
    </row>
    <row r="4295" spans="1:15" ht="12.5">
      <c r="A4295" s="158" t="s">
        <v>25243</v>
      </c>
      <c r="B4295" s="159">
        <v>40</v>
      </c>
      <c r="C4295" s="159">
        <v>70</v>
      </c>
      <c r="D4295" s="159">
        <v>65</v>
      </c>
      <c r="E4295" s="159">
        <v>45</v>
      </c>
      <c r="F4295" s="131"/>
      <c r="G4295" s="132"/>
      <c r="H4295" s="162" t="s">
        <v>25244</v>
      </c>
      <c r="I4295" s="158" t="s">
        <v>25245</v>
      </c>
      <c r="J4295" s="128"/>
      <c r="K4295" s="128"/>
      <c r="L4295" s="128"/>
      <c r="M4295" s="129"/>
      <c r="N4295" s="129"/>
      <c r="O4295" s="129"/>
    </row>
    <row r="4296" spans="1:15" ht="12.5">
      <c r="A4296" s="158" t="s">
        <v>25246</v>
      </c>
      <c r="B4296" s="159">
        <v>40</v>
      </c>
      <c r="C4296" s="159">
        <v>70</v>
      </c>
      <c r="D4296" s="159">
        <v>65</v>
      </c>
      <c r="E4296" s="159">
        <v>46</v>
      </c>
      <c r="F4296" s="131"/>
      <c r="G4296" s="132"/>
      <c r="H4296" s="162" t="s">
        <v>25247</v>
      </c>
      <c r="I4296" s="158" t="s">
        <v>25248</v>
      </c>
      <c r="J4296" s="128"/>
      <c r="K4296" s="128"/>
      <c r="L4296" s="128"/>
      <c r="M4296" s="129"/>
      <c r="N4296" s="129"/>
      <c r="O4296" s="129"/>
    </row>
    <row r="4297" spans="1:15" ht="12.5">
      <c r="A4297" s="158" t="s">
        <v>25249</v>
      </c>
      <c r="B4297" s="159">
        <v>40</v>
      </c>
      <c r="C4297" s="159">
        <v>70</v>
      </c>
      <c r="D4297" s="159">
        <v>65</v>
      </c>
      <c r="E4297" s="159">
        <v>51</v>
      </c>
      <c r="F4297" s="131"/>
      <c r="G4297" s="132"/>
      <c r="H4297" s="162" t="s">
        <v>25250</v>
      </c>
      <c r="I4297" s="158" t="s">
        <v>25251</v>
      </c>
      <c r="J4297" s="128"/>
      <c r="K4297" s="128"/>
      <c r="L4297" s="128"/>
      <c r="M4297" s="129"/>
      <c r="N4297" s="129"/>
      <c r="O4297" s="129"/>
    </row>
    <row r="4298" spans="1:15" ht="12.5">
      <c r="A4298" s="158" t="s">
        <v>25252</v>
      </c>
      <c r="B4298" s="159">
        <v>40</v>
      </c>
      <c r="C4298" s="159">
        <v>70</v>
      </c>
      <c r="D4298" s="159">
        <v>65</v>
      </c>
      <c r="E4298" s="159">
        <v>65</v>
      </c>
      <c r="F4298" s="131"/>
      <c r="G4298" s="132"/>
      <c r="H4298" s="162" t="s">
        <v>25253</v>
      </c>
      <c r="I4298" s="158" t="s">
        <v>25254</v>
      </c>
      <c r="J4298" s="128"/>
      <c r="K4298" s="128"/>
      <c r="L4298" s="128"/>
      <c r="M4298" s="129"/>
      <c r="N4298" s="129"/>
      <c r="O4298" s="129"/>
    </row>
    <row r="4299" spans="1:15" ht="12.5">
      <c r="A4299" s="158" t="s">
        <v>25255</v>
      </c>
      <c r="B4299" s="159">
        <v>40</v>
      </c>
      <c r="C4299" s="159">
        <v>70</v>
      </c>
      <c r="D4299" s="159">
        <v>65</v>
      </c>
      <c r="E4299" s="159">
        <v>79</v>
      </c>
      <c r="F4299" s="131"/>
      <c r="G4299" s="132"/>
      <c r="H4299" s="162" t="s">
        <v>25256</v>
      </c>
      <c r="I4299" s="158" t="s">
        <v>25257</v>
      </c>
      <c r="J4299" s="128"/>
      <c r="K4299" s="128"/>
      <c r="L4299" s="128"/>
      <c r="M4299" s="129"/>
      <c r="N4299" s="129"/>
      <c r="O4299" s="129"/>
    </row>
    <row r="4300" spans="1:15" ht="12.5">
      <c r="A4300" s="158" t="s">
        <v>25258</v>
      </c>
      <c r="B4300" s="159">
        <v>40</v>
      </c>
      <c r="C4300" s="159">
        <v>70</v>
      </c>
      <c r="D4300" s="159">
        <v>65</v>
      </c>
      <c r="E4300" s="159">
        <v>94</v>
      </c>
      <c r="F4300" s="131"/>
      <c r="G4300" s="132"/>
      <c r="H4300" s="162" t="s">
        <v>25259</v>
      </c>
      <c r="I4300" s="158" t="s">
        <v>25260</v>
      </c>
      <c r="J4300" s="128"/>
      <c r="K4300" s="128"/>
      <c r="L4300" s="128"/>
      <c r="M4300" s="129"/>
      <c r="N4300" s="129"/>
      <c r="O4300" s="129"/>
    </row>
    <row r="4301" spans="1:15" ht="12.5">
      <c r="A4301" s="158" t="s">
        <v>25261</v>
      </c>
      <c r="B4301" s="159">
        <v>40</v>
      </c>
      <c r="C4301" s="159">
        <v>70</v>
      </c>
      <c r="D4301" s="159">
        <v>67</v>
      </c>
      <c r="E4301" s="130"/>
      <c r="F4301" s="131"/>
      <c r="G4301" s="132"/>
      <c r="H4301" s="162" t="s">
        <v>25262</v>
      </c>
      <c r="I4301" s="128"/>
      <c r="J4301" s="128"/>
      <c r="K4301" s="128"/>
      <c r="L4301" s="128"/>
      <c r="M4301" s="129"/>
      <c r="N4301" s="129"/>
      <c r="O4301" s="129"/>
    </row>
    <row r="4302" spans="1:15" ht="12.5">
      <c r="A4302" s="158" t="s">
        <v>25263</v>
      </c>
      <c r="B4302" s="159">
        <v>40</v>
      </c>
      <c r="C4302" s="159">
        <v>70</v>
      </c>
      <c r="D4302" s="159">
        <v>67</v>
      </c>
      <c r="E4302" s="159">
        <v>14</v>
      </c>
      <c r="F4302" s="131"/>
      <c r="G4302" s="132"/>
      <c r="H4302" s="162" t="s">
        <v>25264</v>
      </c>
      <c r="I4302" s="128"/>
      <c r="J4302" s="128"/>
      <c r="K4302" s="128"/>
      <c r="L4302" s="128"/>
      <c r="M4302" s="129"/>
      <c r="N4302" s="129"/>
      <c r="O4302" s="129"/>
    </row>
    <row r="4303" spans="1:15" ht="12.5">
      <c r="A4303" s="158" t="s">
        <v>25265</v>
      </c>
      <c r="B4303" s="159">
        <v>40</v>
      </c>
      <c r="C4303" s="159">
        <v>70</v>
      </c>
      <c r="D4303" s="159">
        <v>67</v>
      </c>
      <c r="E4303" s="159">
        <v>22</v>
      </c>
      <c r="F4303" s="131"/>
      <c r="G4303" s="132"/>
      <c r="H4303" s="162" t="s">
        <v>25266</v>
      </c>
      <c r="I4303" s="128"/>
      <c r="J4303" s="128"/>
      <c r="K4303" s="128"/>
      <c r="L4303" s="128"/>
      <c r="M4303" s="129"/>
      <c r="N4303" s="129"/>
      <c r="O4303" s="129"/>
    </row>
    <row r="4304" spans="1:15" ht="12.5">
      <c r="A4304" s="158" t="s">
        <v>25267</v>
      </c>
      <c r="B4304" s="159">
        <v>40</v>
      </c>
      <c r="C4304" s="159">
        <v>70</v>
      </c>
      <c r="D4304" s="159">
        <v>67</v>
      </c>
      <c r="E4304" s="159">
        <v>29</v>
      </c>
      <c r="F4304" s="131"/>
      <c r="G4304" s="132"/>
      <c r="H4304" s="162" t="s">
        <v>25268</v>
      </c>
      <c r="I4304" s="128"/>
      <c r="J4304" s="128"/>
      <c r="K4304" s="128"/>
      <c r="L4304" s="128"/>
      <c r="M4304" s="129"/>
      <c r="N4304" s="129"/>
      <c r="O4304" s="129"/>
    </row>
    <row r="4305" spans="1:15" ht="12.5">
      <c r="A4305" s="158" t="s">
        <v>25269</v>
      </c>
      <c r="B4305" s="159">
        <v>40</v>
      </c>
      <c r="C4305" s="159">
        <v>70</v>
      </c>
      <c r="D4305" s="159">
        <v>67</v>
      </c>
      <c r="E4305" s="159">
        <v>63</v>
      </c>
      <c r="F4305" s="131"/>
      <c r="G4305" s="132"/>
      <c r="H4305" s="162" t="s">
        <v>25270</v>
      </c>
      <c r="I4305" s="128"/>
      <c r="J4305" s="128"/>
      <c r="K4305" s="128"/>
      <c r="L4305" s="128"/>
      <c r="M4305" s="129"/>
      <c r="N4305" s="129"/>
      <c r="O4305" s="129"/>
    </row>
    <row r="4306" spans="1:15" ht="12.5">
      <c r="A4306" s="158" t="s">
        <v>25271</v>
      </c>
      <c r="B4306" s="159">
        <v>40</v>
      </c>
      <c r="C4306" s="159">
        <v>70</v>
      </c>
      <c r="D4306" s="159">
        <v>67</v>
      </c>
      <c r="E4306" s="159">
        <v>79</v>
      </c>
      <c r="F4306" s="131"/>
      <c r="G4306" s="132"/>
      <c r="H4306" s="162" t="s">
        <v>25272</v>
      </c>
      <c r="I4306" s="128"/>
      <c r="J4306" s="128"/>
      <c r="K4306" s="128"/>
      <c r="L4306" s="128"/>
      <c r="M4306" s="129"/>
      <c r="N4306" s="129"/>
      <c r="O4306" s="129"/>
    </row>
    <row r="4307" spans="1:15" ht="12.5">
      <c r="A4307" s="158" t="s">
        <v>25273</v>
      </c>
      <c r="B4307" s="159">
        <v>40</v>
      </c>
      <c r="C4307" s="159">
        <v>70</v>
      </c>
      <c r="D4307" s="159">
        <v>71</v>
      </c>
      <c r="E4307" s="130"/>
      <c r="F4307" s="131"/>
      <c r="G4307" s="132"/>
      <c r="H4307" s="162" t="s">
        <v>25274</v>
      </c>
      <c r="I4307" s="128"/>
      <c r="J4307" s="128"/>
      <c r="K4307" s="128"/>
      <c r="L4307" s="128"/>
      <c r="M4307" s="129"/>
      <c r="N4307" s="129"/>
      <c r="O4307" s="129"/>
    </row>
    <row r="4308" spans="1:15" ht="12.5">
      <c r="A4308" s="158" t="s">
        <v>25275</v>
      </c>
      <c r="B4308" s="159">
        <v>40</v>
      </c>
      <c r="C4308" s="159">
        <v>70</v>
      </c>
      <c r="D4308" s="159">
        <v>71</v>
      </c>
      <c r="E4308" s="159">
        <v>4</v>
      </c>
      <c r="F4308" s="131"/>
      <c r="G4308" s="132"/>
      <c r="H4308" s="162" t="s">
        <v>25276</v>
      </c>
      <c r="I4308" s="128"/>
      <c r="J4308" s="128"/>
      <c r="K4308" s="128"/>
      <c r="L4308" s="128"/>
      <c r="M4308" s="129"/>
      <c r="N4308" s="129"/>
      <c r="O4308" s="129"/>
    </row>
    <row r="4309" spans="1:15" ht="12.5">
      <c r="A4309" s="158" t="s">
        <v>25277</v>
      </c>
      <c r="B4309" s="159">
        <v>40</v>
      </c>
      <c r="C4309" s="159">
        <v>70</v>
      </c>
      <c r="D4309" s="159">
        <v>71</v>
      </c>
      <c r="E4309" s="159">
        <v>87</v>
      </c>
      <c r="F4309" s="131"/>
      <c r="G4309" s="132"/>
      <c r="H4309" s="162" t="s">
        <v>25278</v>
      </c>
      <c r="I4309" s="128"/>
      <c r="J4309" s="128"/>
      <c r="K4309" s="128"/>
      <c r="L4309" s="128"/>
      <c r="M4309" s="129"/>
      <c r="N4309" s="129"/>
      <c r="O4309" s="129"/>
    </row>
    <row r="4310" spans="1:15" ht="12.5">
      <c r="A4310" s="158" t="s">
        <v>25279</v>
      </c>
      <c r="B4310" s="159">
        <v>40</v>
      </c>
      <c r="C4310" s="159">
        <v>70</v>
      </c>
      <c r="D4310" s="159">
        <v>73</v>
      </c>
      <c r="E4310" s="130"/>
      <c r="F4310" s="131"/>
      <c r="G4310" s="132"/>
      <c r="H4310" s="162" t="s">
        <v>25280</v>
      </c>
      <c r="I4310" s="128"/>
      <c r="J4310" s="128"/>
      <c r="K4310" s="128"/>
      <c r="L4310" s="128"/>
      <c r="M4310" s="129"/>
      <c r="N4310" s="129"/>
      <c r="O4310" s="129"/>
    </row>
    <row r="4311" spans="1:15" ht="12.5">
      <c r="A4311" s="158" t="s">
        <v>25281</v>
      </c>
      <c r="B4311" s="159">
        <v>40</v>
      </c>
      <c r="C4311" s="159">
        <v>70</v>
      </c>
      <c r="D4311" s="159">
        <v>73</v>
      </c>
      <c r="E4311" s="159">
        <v>6</v>
      </c>
      <c r="F4311" s="131"/>
      <c r="G4311" s="132"/>
      <c r="H4311" s="162" t="s">
        <v>25282</v>
      </c>
      <c r="I4311" s="158" t="s">
        <v>25283</v>
      </c>
      <c r="J4311" s="128"/>
      <c r="K4311" s="128"/>
      <c r="L4311" s="128"/>
      <c r="M4311" s="129"/>
      <c r="N4311" s="129"/>
      <c r="O4311" s="129"/>
    </row>
    <row r="4312" spans="1:15" ht="12.5">
      <c r="A4312" s="158" t="s">
        <v>25284</v>
      </c>
      <c r="B4312" s="159">
        <v>40</v>
      </c>
      <c r="C4312" s="159">
        <v>70</v>
      </c>
      <c r="D4312" s="159">
        <v>73</v>
      </c>
      <c r="E4312" s="159">
        <v>7</v>
      </c>
      <c r="F4312" s="131"/>
      <c r="G4312" s="132"/>
      <c r="H4312" s="162" t="s">
        <v>25285</v>
      </c>
      <c r="I4312" s="158" t="s">
        <v>25286</v>
      </c>
      <c r="J4312" s="128"/>
      <c r="K4312" s="128"/>
      <c r="L4312" s="128"/>
      <c r="M4312" s="129"/>
      <c r="N4312" s="129"/>
      <c r="O4312" s="129"/>
    </row>
    <row r="4313" spans="1:15" ht="12.5">
      <c r="A4313" s="158" t="s">
        <v>25287</v>
      </c>
      <c r="B4313" s="159">
        <v>40</v>
      </c>
      <c r="C4313" s="159">
        <v>70</v>
      </c>
      <c r="D4313" s="159">
        <v>73</v>
      </c>
      <c r="E4313" s="159">
        <v>8</v>
      </c>
      <c r="F4313" s="131"/>
      <c r="G4313" s="132"/>
      <c r="H4313" s="162" t="s">
        <v>25288</v>
      </c>
      <c r="I4313" s="158" t="s">
        <v>25289</v>
      </c>
      <c r="J4313" s="128"/>
      <c r="K4313" s="128"/>
      <c r="L4313" s="128"/>
      <c r="M4313" s="129"/>
      <c r="N4313" s="129"/>
      <c r="O4313" s="129"/>
    </row>
    <row r="4314" spans="1:15" ht="12.5">
      <c r="A4314" s="158" t="s">
        <v>25290</v>
      </c>
      <c r="B4314" s="159">
        <v>40</v>
      </c>
      <c r="C4314" s="159">
        <v>70</v>
      </c>
      <c r="D4314" s="159">
        <v>73</v>
      </c>
      <c r="E4314" s="159">
        <v>9</v>
      </c>
      <c r="F4314" s="131"/>
      <c r="G4314" s="132"/>
      <c r="H4314" s="162" t="s">
        <v>25291</v>
      </c>
      <c r="I4314" s="158" t="s">
        <v>25292</v>
      </c>
      <c r="J4314" s="128"/>
      <c r="K4314" s="128"/>
      <c r="L4314" s="128"/>
      <c r="M4314" s="129"/>
      <c r="N4314" s="129"/>
      <c r="O4314" s="129"/>
    </row>
    <row r="4315" spans="1:15" ht="12.5">
      <c r="A4315" s="158" t="s">
        <v>25293</v>
      </c>
      <c r="B4315" s="159">
        <v>40</v>
      </c>
      <c r="C4315" s="159">
        <v>70</v>
      </c>
      <c r="D4315" s="159">
        <v>73</v>
      </c>
      <c r="E4315" s="159">
        <v>10</v>
      </c>
      <c r="F4315" s="131"/>
      <c r="G4315" s="132"/>
      <c r="H4315" s="162" t="s">
        <v>25294</v>
      </c>
      <c r="I4315" s="158" t="s">
        <v>25295</v>
      </c>
      <c r="J4315" s="128"/>
      <c r="K4315" s="128"/>
      <c r="L4315" s="128"/>
      <c r="M4315" s="129"/>
      <c r="N4315" s="129"/>
      <c r="O4315" s="129"/>
    </row>
    <row r="4316" spans="1:15" ht="12.5">
      <c r="A4316" s="158" t="s">
        <v>25296</v>
      </c>
      <c r="B4316" s="159">
        <v>40</v>
      </c>
      <c r="C4316" s="159">
        <v>70</v>
      </c>
      <c r="D4316" s="159">
        <v>73</v>
      </c>
      <c r="E4316" s="159">
        <v>23</v>
      </c>
      <c r="F4316" s="131"/>
      <c r="G4316" s="132"/>
      <c r="H4316" s="162" t="s">
        <v>25297</v>
      </c>
      <c r="I4316" s="128"/>
      <c r="J4316" s="128"/>
      <c r="K4316" s="128"/>
      <c r="L4316" s="128"/>
      <c r="M4316" s="129"/>
      <c r="N4316" s="129"/>
      <c r="O4316" s="129"/>
    </row>
    <row r="4317" spans="1:15" ht="12.5">
      <c r="A4317" s="158" t="s">
        <v>25298</v>
      </c>
      <c r="B4317" s="159">
        <v>40</v>
      </c>
      <c r="C4317" s="159">
        <v>70</v>
      </c>
      <c r="D4317" s="159">
        <v>73</v>
      </c>
      <c r="E4317" s="159">
        <v>24</v>
      </c>
      <c r="F4317" s="131"/>
      <c r="G4317" s="132"/>
      <c r="H4317" s="162" t="s">
        <v>25299</v>
      </c>
      <c r="I4317" s="128"/>
      <c r="J4317" s="128"/>
      <c r="K4317" s="128"/>
      <c r="L4317" s="128"/>
      <c r="M4317" s="129"/>
      <c r="N4317" s="129"/>
      <c r="O4317" s="129"/>
    </row>
    <row r="4318" spans="1:15" ht="12.5">
      <c r="A4318" s="158" t="s">
        <v>25300</v>
      </c>
      <c r="B4318" s="159">
        <v>40</v>
      </c>
      <c r="C4318" s="159">
        <v>70</v>
      </c>
      <c r="D4318" s="159">
        <v>73</v>
      </c>
      <c r="E4318" s="159">
        <v>30</v>
      </c>
      <c r="F4318" s="131"/>
      <c r="G4318" s="132"/>
      <c r="H4318" s="162" t="s">
        <v>25301</v>
      </c>
      <c r="I4318" s="158" t="s">
        <v>25302</v>
      </c>
      <c r="J4318" s="128"/>
      <c r="K4318" s="128"/>
      <c r="L4318" s="128"/>
      <c r="M4318" s="129"/>
      <c r="N4318" s="129"/>
      <c r="O4318" s="129"/>
    </row>
    <row r="4319" spans="1:15" ht="12.5">
      <c r="A4319" s="158" t="s">
        <v>25303</v>
      </c>
      <c r="B4319" s="159">
        <v>40</v>
      </c>
      <c r="C4319" s="159">
        <v>70</v>
      </c>
      <c r="D4319" s="159">
        <v>73</v>
      </c>
      <c r="E4319" s="159">
        <v>47</v>
      </c>
      <c r="F4319" s="131"/>
      <c r="G4319" s="132"/>
      <c r="H4319" s="162" t="s">
        <v>25304</v>
      </c>
      <c r="I4319" s="158" t="s">
        <v>25305</v>
      </c>
      <c r="J4319" s="128"/>
      <c r="K4319" s="128"/>
      <c r="L4319" s="128"/>
      <c r="M4319" s="129"/>
      <c r="N4319" s="129"/>
      <c r="O4319" s="129"/>
    </row>
    <row r="4320" spans="1:15" ht="12.5">
      <c r="A4320" s="158" t="s">
        <v>25306</v>
      </c>
      <c r="B4320" s="159">
        <v>40</v>
      </c>
      <c r="C4320" s="159">
        <v>70</v>
      </c>
      <c r="D4320" s="159">
        <v>73</v>
      </c>
      <c r="E4320" s="159">
        <v>70</v>
      </c>
      <c r="F4320" s="131"/>
      <c r="G4320" s="132"/>
      <c r="H4320" s="162" t="s">
        <v>25307</v>
      </c>
      <c r="I4320" s="158" t="s">
        <v>25308</v>
      </c>
      <c r="J4320" s="128"/>
      <c r="K4320" s="128"/>
      <c r="L4320" s="128"/>
      <c r="M4320" s="129"/>
      <c r="N4320" s="129"/>
      <c r="O4320" s="129"/>
    </row>
    <row r="4321" spans="1:15" ht="12.5">
      <c r="A4321" s="158" t="s">
        <v>25309</v>
      </c>
      <c r="B4321" s="159">
        <v>40</v>
      </c>
      <c r="C4321" s="159">
        <v>70</v>
      </c>
      <c r="D4321" s="159">
        <v>73</v>
      </c>
      <c r="E4321" s="159">
        <v>73</v>
      </c>
      <c r="F4321" s="131"/>
      <c r="G4321" s="132"/>
      <c r="H4321" s="162" t="s">
        <v>25310</v>
      </c>
      <c r="I4321" s="128"/>
      <c r="J4321" s="128"/>
      <c r="K4321" s="128"/>
      <c r="L4321" s="128"/>
      <c r="M4321" s="129"/>
      <c r="N4321" s="129"/>
      <c r="O4321" s="129"/>
    </row>
    <row r="4322" spans="1:15" ht="12.5">
      <c r="A4322" s="158" t="s">
        <v>25311</v>
      </c>
      <c r="B4322" s="159">
        <v>40</v>
      </c>
      <c r="C4322" s="159">
        <v>70</v>
      </c>
      <c r="D4322" s="159">
        <v>73</v>
      </c>
      <c r="E4322" s="159">
        <v>75</v>
      </c>
      <c r="F4322" s="131"/>
      <c r="G4322" s="132"/>
      <c r="H4322" s="162" t="s">
        <v>25312</v>
      </c>
      <c r="I4322" s="158" t="s">
        <v>25313</v>
      </c>
      <c r="J4322" s="128"/>
      <c r="K4322" s="128"/>
      <c r="L4322" s="128"/>
      <c r="M4322" s="129"/>
      <c r="N4322" s="129"/>
      <c r="O4322" s="129"/>
    </row>
    <row r="4323" spans="1:15" ht="12.5">
      <c r="A4323" s="158" t="s">
        <v>25314</v>
      </c>
      <c r="B4323" s="159">
        <v>40</v>
      </c>
      <c r="C4323" s="159">
        <v>70</v>
      </c>
      <c r="D4323" s="159">
        <v>73</v>
      </c>
      <c r="E4323" s="159">
        <v>95</v>
      </c>
      <c r="F4323" s="131"/>
      <c r="G4323" s="132"/>
      <c r="H4323" s="162" t="s">
        <v>25315</v>
      </c>
      <c r="I4323" s="158" t="s">
        <v>25316</v>
      </c>
      <c r="J4323" s="128"/>
      <c r="K4323" s="128"/>
      <c r="L4323" s="128"/>
      <c r="M4323" s="129"/>
      <c r="N4323" s="129"/>
      <c r="O4323" s="129"/>
    </row>
    <row r="4324" spans="1:15" ht="12.5">
      <c r="A4324" s="158" t="s">
        <v>25317</v>
      </c>
      <c r="B4324" s="159">
        <v>40</v>
      </c>
      <c r="C4324" s="159">
        <v>70</v>
      </c>
      <c r="D4324" s="159">
        <v>73</v>
      </c>
      <c r="E4324" s="159">
        <v>96</v>
      </c>
      <c r="F4324" s="131"/>
      <c r="G4324" s="132"/>
      <c r="H4324" s="162" t="s">
        <v>25318</v>
      </c>
      <c r="I4324" s="158" t="s">
        <v>25319</v>
      </c>
      <c r="J4324" s="128"/>
      <c r="K4324" s="128"/>
      <c r="L4324" s="128"/>
      <c r="M4324" s="129"/>
      <c r="N4324" s="129"/>
      <c r="O4324" s="129"/>
    </row>
    <row r="4325" spans="1:15" ht="12.5">
      <c r="A4325" s="158" t="s">
        <v>25320</v>
      </c>
      <c r="B4325" s="159">
        <v>40</v>
      </c>
      <c r="C4325" s="159">
        <v>70</v>
      </c>
      <c r="D4325" s="159">
        <v>73</v>
      </c>
      <c r="E4325" s="159">
        <v>97</v>
      </c>
      <c r="F4325" s="131"/>
      <c r="G4325" s="132"/>
      <c r="H4325" s="162" t="s">
        <v>25321</v>
      </c>
      <c r="I4325" s="158" t="s">
        <v>25322</v>
      </c>
      <c r="J4325" s="128"/>
      <c r="K4325" s="128"/>
      <c r="L4325" s="128"/>
      <c r="M4325" s="129"/>
      <c r="N4325" s="129"/>
      <c r="O4325" s="129"/>
    </row>
    <row r="4326" spans="1:15" ht="12.5">
      <c r="A4326" s="158" t="s">
        <v>25323</v>
      </c>
      <c r="B4326" s="159">
        <v>40</v>
      </c>
      <c r="C4326" s="159">
        <v>70</v>
      </c>
      <c r="D4326" s="159">
        <v>73</v>
      </c>
      <c r="E4326" s="159">
        <v>98</v>
      </c>
      <c r="F4326" s="131"/>
      <c r="G4326" s="132"/>
      <c r="H4326" s="162" t="s">
        <v>25324</v>
      </c>
      <c r="I4326" s="158" t="s">
        <v>25325</v>
      </c>
      <c r="J4326" s="128"/>
      <c r="K4326" s="128"/>
      <c r="L4326" s="128"/>
      <c r="M4326" s="129"/>
      <c r="N4326" s="129"/>
      <c r="O4326" s="129"/>
    </row>
    <row r="4327" spans="1:15" ht="12.5">
      <c r="A4327" s="158" t="s">
        <v>25326</v>
      </c>
      <c r="B4327" s="159">
        <v>40</v>
      </c>
      <c r="C4327" s="159">
        <v>70</v>
      </c>
      <c r="D4327" s="159">
        <v>75</v>
      </c>
      <c r="E4327" s="130"/>
      <c r="F4327" s="131"/>
      <c r="G4327" s="132"/>
      <c r="H4327" s="162" t="s">
        <v>25327</v>
      </c>
      <c r="I4327" s="128"/>
      <c r="J4327" s="128"/>
      <c r="K4327" s="128"/>
      <c r="L4327" s="128"/>
      <c r="M4327" s="129"/>
      <c r="N4327" s="129"/>
      <c r="O4327" s="129"/>
    </row>
    <row r="4328" spans="1:15" ht="12.5">
      <c r="A4328" s="158" t="s">
        <v>25328</v>
      </c>
      <c r="B4328" s="159">
        <v>40</v>
      </c>
      <c r="C4328" s="159">
        <v>70</v>
      </c>
      <c r="D4328" s="159">
        <v>75</v>
      </c>
      <c r="E4328" s="159">
        <v>1</v>
      </c>
      <c r="F4328" s="131"/>
      <c r="G4328" s="132"/>
      <c r="H4328" s="162" t="s">
        <v>25329</v>
      </c>
      <c r="I4328" s="158" t="s">
        <v>25330</v>
      </c>
      <c r="J4328" s="128"/>
      <c r="K4328" s="128"/>
      <c r="L4328" s="128"/>
      <c r="M4328" s="129"/>
      <c r="N4328" s="129"/>
      <c r="O4328" s="129"/>
    </row>
    <row r="4329" spans="1:15" ht="12.5">
      <c r="A4329" s="158" t="s">
        <v>25331</v>
      </c>
      <c r="B4329" s="159">
        <v>40</v>
      </c>
      <c r="C4329" s="159">
        <v>70</v>
      </c>
      <c r="D4329" s="159">
        <v>75</v>
      </c>
      <c r="E4329" s="159">
        <v>27</v>
      </c>
      <c r="F4329" s="131"/>
      <c r="G4329" s="132"/>
      <c r="H4329" s="162" t="s">
        <v>25332</v>
      </c>
      <c r="I4329" s="158" t="s">
        <v>25333</v>
      </c>
      <c r="J4329" s="128"/>
      <c r="K4329" s="128"/>
      <c r="L4329" s="128"/>
      <c r="M4329" s="129"/>
      <c r="N4329" s="129"/>
      <c r="O4329" s="129"/>
    </row>
    <row r="4330" spans="1:15" ht="12.5">
      <c r="A4330" s="158" t="s">
        <v>25336</v>
      </c>
      <c r="B4330" s="159">
        <v>40</v>
      </c>
      <c r="C4330" s="159">
        <v>70</v>
      </c>
      <c r="D4330" s="159">
        <v>75</v>
      </c>
      <c r="E4330" s="159">
        <v>29</v>
      </c>
      <c r="F4330" s="131"/>
      <c r="G4330" s="132"/>
      <c r="H4330" s="162" t="s">
        <v>25337</v>
      </c>
      <c r="I4330" s="158" t="s">
        <v>25338</v>
      </c>
      <c r="J4330" s="128"/>
      <c r="K4330" s="128"/>
      <c r="L4330" s="128"/>
      <c r="M4330" s="129"/>
      <c r="N4330" s="129"/>
      <c r="O4330" s="129"/>
    </row>
    <row r="4331" spans="1:15" ht="12.5">
      <c r="A4331" s="158" t="s">
        <v>25339</v>
      </c>
      <c r="B4331" s="159">
        <v>40</v>
      </c>
      <c r="C4331" s="159">
        <v>70</v>
      </c>
      <c r="D4331" s="159">
        <v>75</v>
      </c>
      <c r="E4331" s="159">
        <v>33</v>
      </c>
      <c r="F4331" s="131"/>
      <c r="G4331" s="132"/>
      <c r="H4331" s="162" t="s">
        <v>25340</v>
      </c>
      <c r="I4331" s="158" t="s">
        <v>25341</v>
      </c>
      <c r="J4331" s="128"/>
      <c r="K4331" s="128"/>
      <c r="L4331" s="128"/>
      <c r="M4331" s="129"/>
      <c r="N4331" s="129"/>
      <c r="O4331" s="129"/>
    </row>
    <row r="4332" spans="1:15" ht="12.5">
      <c r="A4332" s="158" t="s">
        <v>25342</v>
      </c>
      <c r="B4332" s="159">
        <v>40</v>
      </c>
      <c r="C4332" s="159">
        <v>70</v>
      </c>
      <c r="D4332" s="159">
        <v>75</v>
      </c>
      <c r="E4332" s="159">
        <v>35</v>
      </c>
      <c r="F4332" s="131"/>
      <c r="G4332" s="132"/>
      <c r="H4332" s="162" t="s">
        <v>25343</v>
      </c>
      <c r="I4332" s="128"/>
      <c r="J4332" s="128"/>
      <c r="K4332" s="128"/>
      <c r="L4332" s="128"/>
      <c r="M4332" s="129"/>
      <c r="N4332" s="129"/>
      <c r="O4332" s="129"/>
    </row>
    <row r="4333" spans="1:15" ht="12.5">
      <c r="A4333" s="158" t="s">
        <v>25344</v>
      </c>
      <c r="B4333" s="159">
        <v>40</v>
      </c>
      <c r="C4333" s="159">
        <v>70</v>
      </c>
      <c r="D4333" s="159">
        <v>75</v>
      </c>
      <c r="E4333" s="159">
        <v>36</v>
      </c>
      <c r="F4333" s="131"/>
      <c r="G4333" s="132"/>
      <c r="H4333" s="162" t="s">
        <v>25345</v>
      </c>
      <c r="I4333" s="128"/>
      <c r="J4333" s="128"/>
      <c r="K4333" s="128"/>
      <c r="L4333" s="128"/>
      <c r="M4333" s="129"/>
      <c r="N4333" s="129"/>
      <c r="O4333" s="129"/>
    </row>
    <row r="4334" spans="1:15" ht="12.5">
      <c r="A4334" s="158" t="s">
        <v>25346</v>
      </c>
      <c r="B4334" s="159">
        <v>40</v>
      </c>
      <c r="C4334" s="159">
        <v>70</v>
      </c>
      <c r="D4334" s="159">
        <v>75</v>
      </c>
      <c r="E4334" s="159">
        <v>37</v>
      </c>
      <c r="F4334" s="131"/>
      <c r="G4334" s="132"/>
      <c r="H4334" s="162" t="s">
        <v>25347</v>
      </c>
      <c r="I4334" s="158" t="s">
        <v>25348</v>
      </c>
      <c r="J4334" s="128"/>
      <c r="K4334" s="128"/>
      <c r="L4334" s="128"/>
      <c r="M4334" s="129"/>
      <c r="N4334" s="129"/>
      <c r="O4334" s="129"/>
    </row>
    <row r="4335" spans="1:15" ht="12.5">
      <c r="A4335" s="158" t="s">
        <v>25349</v>
      </c>
      <c r="B4335" s="159">
        <v>40</v>
      </c>
      <c r="C4335" s="159">
        <v>70</v>
      </c>
      <c r="D4335" s="159">
        <v>75</v>
      </c>
      <c r="E4335" s="159">
        <v>39</v>
      </c>
      <c r="F4335" s="131"/>
      <c r="G4335" s="132"/>
      <c r="H4335" s="162" t="s">
        <v>25350</v>
      </c>
      <c r="I4335" s="158" t="s">
        <v>25351</v>
      </c>
      <c r="J4335" s="128"/>
      <c r="K4335" s="128"/>
      <c r="L4335" s="128"/>
      <c r="M4335" s="129"/>
      <c r="N4335" s="129"/>
      <c r="O4335" s="129"/>
    </row>
    <row r="4336" spans="1:15" ht="12.5">
      <c r="A4336" s="158" t="s">
        <v>25352</v>
      </c>
      <c r="B4336" s="159">
        <v>40</v>
      </c>
      <c r="C4336" s="159">
        <v>70</v>
      </c>
      <c r="D4336" s="159">
        <v>75</v>
      </c>
      <c r="E4336" s="159">
        <v>50</v>
      </c>
      <c r="F4336" s="131"/>
      <c r="G4336" s="132"/>
      <c r="H4336" s="162" t="s">
        <v>25353</v>
      </c>
      <c r="I4336" s="128"/>
      <c r="J4336" s="128"/>
      <c r="K4336" s="128"/>
      <c r="L4336" s="128"/>
      <c r="M4336" s="129"/>
      <c r="N4336" s="129"/>
      <c r="O4336" s="129"/>
    </row>
    <row r="4337" spans="1:15" ht="12.5">
      <c r="A4337" s="158" t="s">
        <v>25354</v>
      </c>
      <c r="B4337" s="159">
        <v>40</v>
      </c>
      <c r="C4337" s="159">
        <v>70</v>
      </c>
      <c r="D4337" s="159">
        <v>75</v>
      </c>
      <c r="E4337" s="159">
        <v>51</v>
      </c>
      <c r="F4337" s="131"/>
      <c r="G4337" s="132"/>
      <c r="H4337" s="162" t="s">
        <v>25355</v>
      </c>
      <c r="I4337" s="158" t="s">
        <v>25356</v>
      </c>
      <c r="J4337" s="128"/>
      <c r="K4337" s="128"/>
      <c r="L4337" s="128"/>
      <c r="M4337" s="129"/>
      <c r="N4337" s="129"/>
      <c r="O4337" s="129"/>
    </row>
    <row r="4338" spans="1:15" ht="12.5">
      <c r="A4338" s="158" t="s">
        <v>25357</v>
      </c>
      <c r="B4338" s="159">
        <v>40</v>
      </c>
      <c r="C4338" s="159">
        <v>70</v>
      </c>
      <c r="D4338" s="159">
        <v>75</v>
      </c>
      <c r="E4338" s="159">
        <v>55</v>
      </c>
      <c r="F4338" s="131"/>
      <c r="G4338" s="132"/>
      <c r="H4338" s="162" t="s">
        <v>25358</v>
      </c>
      <c r="I4338" s="158" t="s">
        <v>25359</v>
      </c>
      <c r="J4338" s="128"/>
      <c r="K4338" s="128"/>
      <c r="L4338" s="128"/>
      <c r="M4338" s="129"/>
      <c r="N4338" s="129"/>
      <c r="O4338" s="129"/>
    </row>
    <row r="4339" spans="1:15" ht="12.5">
      <c r="A4339" s="158" t="s">
        <v>25360</v>
      </c>
      <c r="B4339" s="159">
        <v>40</v>
      </c>
      <c r="C4339" s="159">
        <v>70</v>
      </c>
      <c r="D4339" s="159">
        <v>75</v>
      </c>
      <c r="E4339" s="159">
        <v>66</v>
      </c>
      <c r="F4339" s="131"/>
      <c r="G4339" s="132"/>
      <c r="H4339" s="162" t="s">
        <v>25361</v>
      </c>
      <c r="I4339" s="158" t="s">
        <v>25362</v>
      </c>
      <c r="J4339" s="128"/>
      <c r="K4339" s="128"/>
      <c r="L4339" s="128"/>
      <c r="M4339" s="129"/>
      <c r="N4339" s="129"/>
      <c r="O4339" s="129"/>
    </row>
    <row r="4340" spans="1:15" ht="12.5">
      <c r="A4340" s="158" t="s">
        <v>25363</v>
      </c>
      <c r="B4340" s="159">
        <v>40</v>
      </c>
      <c r="C4340" s="159">
        <v>70</v>
      </c>
      <c r="D4340" s="159">
        <v>75</v>
      </c>
      <c r="E4340" s="159">
        <v>72</v>
      </c>
      <c r="F4340" s="131"/>
      <c r="G4340" s="132"/>
      <c r="H4340" s="162" t="s">
        <v>25364</v>
      </c>
      <c r="I4340" s="128"/>
      <c r="J4340" s="128"/>
      <c r="K4340" s="128"/>
      <c r="L4340" s="128"/>
      <c r="M4340" s="129"/>
      <c r="N4340" s="129"/>
      <c r="O4340" s="129"/>
    </row>
    <row r="4341" spans="1:15" ht="12.5">
      <c r="A4341" s="158" t="s">
        <v>25365</v>
      </c>
      <c r="B4341" s="159">
        <v>40</v>
      </c>
      <c r="C4341" s="159">
        <v>70</v>
      </c>
      <c r="D4341" s="159">
        <v>75</v>
      </c>
      <c r="E4341" s="159">
        <v>75</v>
      </c>
      <c r="F4341" s="131"/>
      <c r="G4341" s="132"/>
      <c r="H4341" s="162" t="s">
        <v>25366</v>
      </c>
      <c r="I4341" s="158" t="s">
        <v>25367</v>
      </c>
      <c r="J4341" s="128"/>
      <c r="K4341" s="128"/>
      <c r="L4341" s="128"/>
      <c r="M4341" s="129"/>
      <c r="N4341" s="129"/>
      <c r="O4341" s="129"/>
    </row>
    <row r="4342" spans="1:15" ht="12.5">
      <c r="A4342" s="158" t="s">
        <v>25368</v>
      </c>
      <c r="B4342" s="159">
        <v>40</v>
      </c>
      <c r="C4342" s="159">
        <v>70</v>
      </c>
      <c r="D4342" s="159">
        <v>75</v>
      </c>
      <c r="E4342" s="159">
        <v>76</v>
      </c>
      <c r="F4342" s="131"/>
      <c r="G4342" s="132"/>
      <c r="H4342" s="162" t="s">
        <v>25369</v>
      </c>
      <c r="I4342" s="128"/>
      <c r="J4342" s="128"/>
      <c r="K4342" s="128"/>
      <c r="L4342" s="128"/>
      <c r="M4342" s="129"/>
      <c r="N4342" s="129"/>
      <c r="O4342" s="129"/>
    </row>
    <row r="4343" spans="1:15" ht="12.5">
      <c r="A4343" s="158" t="s">
        <v>25370</v>
      </c>
      <c r="B4343" s="159">
        <v>40</v>
      </c>
      <c r="C4343" s="159">
        <v>70</v>
      </c>
      <c r="D4343" s="159">
        <v>75</v>
      </c>
      <c r="E4343" s="159">
        <v>77</v>
      </c>
      <c r="F4343" s="131"/>
      <c r="G4343" s="132"/>
      <c r="H4343" s="162" t="s">
        <v>25371</v>
      </c>
      <c r="I4343" s="128"/>
      <c r="J4343" s="128"/>
      <c r="K4343" s="128"/>
      <c r="L4343" s="128"/>
      <c r="M4343" s="129"/>
      <c r="N4343" s="129"/>
      <c r="O4343" s="129"/>
    </row>
    <row r="4344" spans="1:15" ht="12.5">
      <c r="A4344" s="158" t="s">
        <v>25372</v>
      </c>
      <c r="B4344" s="159">
        <v>40</v>
      </c>
      <c r="C4344" s="159">
        <v>70</v>
      </c>
      <c r="D4344" s="159">
        <v>75</v>
      </c>
      <c r="E4344" s="159">
        <v>79</v>
      </c>
      <c r="F4344" s="131"/>
      <c r="G4344" s="132"/>
      <c r="H4344" s="162" t="s">
        <v>25373</v>
      </c>
      <c r="I4344" s="158" t="s">
        <v>25374</v>
      </c>
      <c r="J4344" s="128"/>
      <c r="K4344" s="128"/>
      <c r="L4344" s="128"/>
      <c r="M4344" s="129"/>
      <c r="N4344" s="129"/>
      <c r="O4344" s="129"/>
    </row>
    <row r="4345" spans="1:15" ht="12.5">
      <c r="A4345" s="158" t="s">
        <v>25375</v>
      </c>
      <c r="B4345" s="159">
        <v>40</v>
      </c>
      <c r="C4345" s="159">
        <v>70</v>
      </c>
      <c r="D4345" s="159">
        <v>75</v>
      </c>
      <c r="E4345" s="159">
        <v>81</v>
      </c>
      <c r="F4345" s="131"/>
      <c r="G4345" s="132"/>
      <c r="H4345" s="162" t="s">
        <v>25376</v>
      </c>
      <c r="I4345" s="128"/>
      <c r="J4345" s="128"/>
      <c r="K4345" s="128"/>
      <c r="L4345" s="128"/>
      <c r="M4345" s="129"/>
      <c r="N4345" s="129"/>
      <c r="O4345" s="129"/>
    </row>
    <row r="4346" spans="1:15" ht="12.5">
      <c r="A4346" s="158" t="s">
        <v>25377</v>
      </c>
      <c r="B4346" s="159">
        <v>40</v>
      </c>
      <c r="C4346" s="159">
        <v>70</v>
      </c>
      <c r="D4346" s="159">
        <v>75</v>
      </c>
      <c r="E4346" s="159">
        <v>82</v>
      </c>
      <c r="F4346" s="131"/>
      <c r="G4346" s="132"/>
      <c r="H4346" s="162" t="s">
        <v>25378</v>
      </c>
      <c r="I4346" s="128"/>
      <c r="J4346" s="128"/>
      <c r="K4346" s="128"/>
      <c r="L4346" s="128"/>
      <c r="M4346" s="129"/>
      <c r="N4346" s="129"/>
      <c r="O4346" s="129"/>
    </row>
    <row r="4347" spans="1:15" ht="12.5">
      <c r="A4347" s="158" t="s">
        <v>25379</v>
      </c>
      <c r="B4347" s="159">
        <v>40</v>
      </c>
      <c r="C4347" s="159">
        <v>70</v>
      </c>
      <c r="D4347" s="159">
        <v>75</v>
      </c>
      <c r="E4347" s="159">
        <v>83</v>
      </c>
      <c r="F4347" s="131"/>
      <c r="G4347" s="132"/>
      <c r="H4347" s="162" t="s">
        <v>25380</v>
      </c>
      <c r="I4347" s="158" t="s">
        <v>25381</v>
      </c>
      <c r="J4347" s="128"/>
      <c r="K4347" s="128"/>
      <c r="L4347" s="128"/>
      <c r="M4347" s="129"/>
      <c r="N4347" s="129"/>
      <c r="O4347" s="129"/>
    </row>
    <row r="4348" spans="1:15" ht="12.5">
      <c r="A4348" s="158" t="s">
        <v>25382</v>
      </c>
      <c r="B4348" s="159">
        <v>40</v>
      </c>
      <c r="C4348" s="159">
        <v>70</v>
      </c>
      <c r="D4348" s="159">
        <v>75</v>
      </c>
      <c r="E4348" s="159">
        <v>84</v>
      </c>
      <c r="F4348" s="131"/>
      <c r="G4348" s="132"/>
      <c r="H4348" s="162" t="s">
        <v>25383</v>
      </c>
      <c r="I4348" s="158" t="s">
        <v>25384</v>
      </c>
      <c r="J4348" s="128"/>
      <c r="K4348" s="128"/>
      <c r="L4348" s="128"/>
      <c r="M4348" s="129"/>
      <c r="N4348" s="129"/>
      <c r="O4348" s="129"/>
    </row>
    <row r="4349" spans="1:15" ht="12.5">
      <c r="A4349" s="158" t="s">
        <v>25385</v>
      </c>
      <c r="B4349" s="159">
        <v>40</v>
      </c>
      <c r="C4349" s="159">
        <v>70</v>
      </c>
      <c r="D4349" s="159">
        <v>75</v>
      </c>
      <c r="E4349" s="159">
        <v>85</v>
      </c>
      <c r="F4349" s="131"/>
      <c r="G4349" s="132"/>
      <c r="H4349" s="162" t="s">
        <v>25386</v>
      </c>
      <c r="I4349" s="158" t="s">
        <v>25387</v>
      </c>
      <c r="J4349" s="128"/>
      <c r="K4349" s="128"/>
      <c r="L4349" s="128"/>
      <c r="M4349" s="129"/>
      <c r="N4349" s="129"/>
      <c r="O4349" s="129"/>
    </row>
    <row r="4350" spans="1:15" ht="12.5">
      <c r="A4350" s="158" t="s">
        <v>25388</v>
      </c>
      <c r="B4350" s="159">
        <v>40</v>
      </c>
      <c r="C4350" s="159">
        <v>70</v>
      </c>
      <c r="D4350" s="159">
        <v>75</v>
      </c>
      <c r="E4350" s="159">
        <v>86</v>
      </c>
      <c r="F4350" s="131"/>
      <c r="G4350" s="132"/>
      <c r="H4350" s="162" t="s">
        <v>25389</v>
      </c>
      <c r="I4350" s="158" t="s">
        <v>25390</v>
      </c>
      <c r="J4350" s="128"/>
      <c r="K4350" s="128"/>
      <c r="L4350" s="128"/>
      <c r="M4350" s="129"/>
      <c r="N4350" s="129"/>
      <c r="O4350" s="129"/>
    </row>
    <row r="4351" spans="1:15" ht="12.5">
      <c r="A4351" s="158" t="s">
        <v>25391</v>
      </c>
      <c r="B4351" s="159">
        <v>40</v>
      </c>
      <c r="C4351" s="159">
        <v>70</v>
      </c>
      <c r="D4351" s="159">
        <v>75</v>
      </c>
      <c r="E4351" s="159">
        <v>96</v>
      </c>
      <c r="F4351" s="131"/>
      <c r="G4351" s="132"/>
      <c r="H4351" s="162" t="s">
        <v>25392</v>
      </c>
      <c r="I4351" s="158" t="s">
        <v>25393</v>
      </c>
      <c r="J4351" s="128"/>
      <c r="K4351" s="128"/>
      <c r="L4351" s="128"/>
      <c r="M4351" s="129"/>
      <c r="N4351" s="129"/>
      <c r="O4351" s="129"/>
    </row>
    <row r="4352" spans="1:15" ht="12.5">
      <c r="A4352" s="158" t="s">
        <v>25394</v>
      </c>
      <c r="B4352" s="159">
        <v>40</v>
      </c>
      <c r="C4352" s="159">
        <v>70</v>
      </c>
      <c r="D4352" s="159">
        <v>75</v>
      </c>
      <c r="E4352" s="159">
        <v>97</v>
      </c>
      <c r="F4352" s="131"/>
      <c r="G4352" s="132"/>
      <c r="H4352" s="162" t="s">
        <v>25395</v>
      </c>
      <c r="I4352" s="158" t="s">
        <v>25396</v>
      </c>
      <c r="J4352" s="128"/>
      <c r="K4352" s="128"/>
      <c r="L4352" s="128"/>
      <c r="M4352" s="129"/>
      <c r="N4352" s="129"/>
      <c r="O4352" s="129"/>
    </row>
    <row r="4353" spans="1:15" ht="12.5">
      <c r="A4353" s="158" t="s">
        <v>25397</v>
      </c>
      <c r="B4353" s="159">
        <v>40</v>
      </c>
      <c r="C4353" s="159">
        <v>70</v>
      </c>
      <c r="D4353" s="159">
        <v>84</v>
      </c>
      <c r="E4353" s="130"/>
      <c r="F4353" s="131"/>
      <c r="G4353" s="132"/>
      <c r="H4353" s="162" t="s">
        <v>25398</v>
      </c>
      <c r="I4353" s="128"/>
      <c r="J4353" s="128"/>
      <c r="K4353" s="128"/>
      <c r="L4353" s="128"/>
      <c r="M4353" s="129"/>
      <c r="N4353" s="129"/>
      <c r="O4353" s="129"/>
    </row>
    <row r="4354" spans="1:15" ht="12.5">
      <c r="A4354" s="158" t="s">
        <v>25399</v>
      </c>
      <c r="B4354" s="159">
        <v>40</v>
      </c>
      <c r="C4354" s="159">
        <v>70</v>
      </c>
      <c r="D4354" s="159">
        <v>84</v>
      </c>
      <c r="E4354" s="159">
        <v>1</v>
      </c>
      <c r="F4354" s="131"/>
      <c r="G4354" s="132"/>
      <c r="H4354" s="162" t="s">
        <v>25400</v>
      </c>
      <c r="I4354" s="128"/>
      <c r="J4354" s="128"/>
      <c r="K4354" s="128"/>
      <c r="L4354" s="128"/>
      <c r="M4354" s="129"/>
      <c r="N4354" s="129"/>
      <c r="O4354" s="129"/>
    </row>
    <row r="4355" spans="1:15" ht="12.5">
      <c r="A4355" s="158" t="s">
        <v>25401</v>
      </c>
      <c r="B4355" s="159">
        <v>40</v>
      </c>
      <c r="C4355" s="159">
        <v>70</v>
      </c>
      <c r="D4355" s="159">
        <v>84</v>
      </c>
      <c r="E4355" s="159">
        <v>4</v>
      </c>
      <c r="F4355" s="131"/>
      <c r="G4355" s="132"/>
      <c r="H4355" s="162" t="s">
        <v>25402</v>
      </c>
      <c r="I4355" s="128"/>
      <c r="J4355" s="128"/>
      <c r="K4355" s="128"/>
      <c r="L4355" s="128"/>
      <c r="M4355" s="129"/>
      <c r="N4355" s="129"/>
      <c r="O4355" s="129"/>
    </row>
    <row r="4356" spans="1:15" ht="12.5">
      <c r="A4356" s="158" t="s">
        <v>25403</v>
      </c>
      <c r="B4356" s="159">
        <v>40</v>
      </c>
      <c r="C4356" s="159">
        <v>70</v>
      </c>
      <c r="D4356" s="159">
        <v>84</v>
      </c>
      <c r="E4356" s="159">
        <v>6</v>
      </c>
      <c r="F4356" s="131"/>
      <c r="G4356" s="132"/>
      <c r="H4356" s="162" t="s">
        <v>25404</v>
      </c>
      <c r="I4356" s="128"/>
      <c r="J4356" s="128"/>
      <c r="K4356" s="128"/>
      <c r="L4356" s="128"/>
      <c r="M4356" s="129"/>
      <c r="N4356" s="129"/>
      <c r="O4356" s="129"/>
    </row>
    <row r="4357" spans="1:15" ht="12.5">
      <c r="A4357" s="158" t="s">
        <v>25405</v>
      </c>
      <c r="B4357" s="159">
        <v>40</v>
      </c>
      <c r="C4357" s="159">
        <v>70</v>
      </c>
      <c r="D4357" s="159">
        <v>84</v>
      </c>
      <c r="E4357" s="159">
        <v>11</v>
      </c>
      <c r="F4357" s="131"/>
      <c r="G4357" s="132"/>
      <c r="H4357" s="162" t="s">
        <v>25406</v>
      </c>
      <c r="I4357" s="128"/>
      <c r="J4357" s="128"/>
      <c r="K4357" s="128"/>
      <c r="L4357" s="128"/>
      <c r="M4357" s="129"/>
      <c r="N4357" s="129"/>
      <c r="O4357" s="129"/>
    </row>
    <row r="4358" spans="1:15" ht="12.5">
      <c r="A4358" s="158" t="s">
        <v>25407</v>
      </c>
      <c r="B4358" s="159">
        <v>40</v>
      </c>
      <c r="C4358" s="159">
        <v>70</v>
      </c>
      <c r="D4358" s="159">
        <v>84</v>
      </c>
      <c r="E4358" s="159">
        <v>13</v>
      </c>
      <c r="F4358" s="131"/>
      <c r="G4358" s="132"/>
      <c r="H4358" s="162" t="s">
        <v>25408</v>
      </c>
      <c r="I4358" s="128"/>
      <c r="J4358" s="128"/>
      <c r="K4358" s="128"/>
      <c r="L4358" s="128"/>
      <c r="M4358" s="129"/>
      <c r="N4358" s="129"/>
      <c r="O4358" s="129"/>
    </row>
    <row r="4359" spans="1:15" ht="12.5">
      <c r="A4359" s="158" t="s">
        <v>25409</v>
      </c>
      <c r="B4359" s="159">
        <v>40</v>
      </c>
      <c r="C4359" s="159">
        <v>70</v>
      </c>
      <c r="D4359" s="159">
        <v>84</v>
      </c>
      <c r="E4359" s="159">
        <v>16</v>
      </c>
      <c r="F4359" s="131"/>
      <c r="G4359" s="132"/>
      <c r="H4359" s="162" t="s">
        <v>25410</v>
      </c>
      <c r="I4359" s="128"/>
      <c r="J4359" s="128"/>
      <c r="K4359" s="128"/>
      <c r="L4359" s="128"/>
      <c r="M4359" s="129"/>
      <c r="N4359" s="129"/>
      <c r="O4359" s="129"/>
    </row>
    <row r="4360" spans="1:15" ht="12.5">
      <c r="A4360" s="158" t="s">
        <v>25411</v>
      </c>
      <c r="B4360" s="159">
        <v>40</v>
      </c>
      <c r="C4360" s="159">
        <v>70</v>
      </c>
      <c r="D4360" s="159">
        <v>84</v>
      </c>
      <c r="E4360" s="159">
        <v>26</v>
      </c>
      <c r="F4360" s="131"/>
      <c r="G4360" s="132"/>
      <c r="H4360" s="162" t="s">
        <v>25412</v>
      </c>
      <c r="I4360" s="128"/>
      <c r="J4360" s="128"/>
      <c r="K4360" s="128"/>
      <c r="L4360" s="128"/>
      <c r="M4360" s="129"/>
      <c r="N4360" s="129"/>
      <c r="O4360" s="129"/>
    </row>
    <row r="4361" spans="1:15" ht="12.5">
      <c r="A4361" s="158" t="s">
        <v>25413</v>
      </c>
      <c r="B4361" s="159">
        <v>40</v>
      </c>
      <c r="C4361" s="159">
        <v>70</v>
      </c>
      <c r="D4361" s="159">
        <v>84</v>
      </c>
      <c r="E4361" s="159">
        <v>27</v>
      </c>
      <c r="F4361" s="131"/>
      <c r="G4361" s="132"/>
      <c r="H4361" s="162" t="s">
        <v>25414</v>
      </c>
      <c r="I4361" s="128"/>
      <c r="J4361" s="128"/>
      <c r="K4361" s="128"/>
      <c r="L4361" s="128"/>
      <c r="M4361" s="129"/>
      <c r="N4361" s="129"/>
      <c r="O4361" s="129"/>
    </row>
    <row r="4362" spans="1:15" ht="12.5">
      <c r="A4362" s="158" t="s">
        <v>25415</v>
      </c>
      <c r="B4362" s="159">
        <v>40</v>
      </c>
      <c r="C4362" s="159">
        <v>70</v>
      </c>
      <c r="D4362" s="159">
        <v>84</v>
      </c>
      <c r="E4362" s="159">
        <v>46</v>
      </c>
      <c r="F4362" s="131"/>
      <c r="G4362" s="132"/>
      <c r="H4362" s="162" t="s">
        <v>25416</v>
      </c>
      <c r="I4362" s="128"/>
      <c r="J4362" s="128"/>
      <c r="K4362" s="128"/>
      <c r="L4362" s="128"/>
      <c r="M4362" s="129"/>
      <c r="N4362" s="129"/>
      <c r="O4362" s="129"/>
    </row>
    <row r="4363" spans="1:15" ht="12.5">
      <c r="A4363" s="158" t="s">
        <v>25417</v>
      </c>
      <c r="B4363" s="159">
        <v>40</v>
      </c>
      <c r="C4363" s="159">
        <v>70</v>
      </c>
      <c r="D4363" s="159">
        <v>84</v>
      </c>
      <c r="E4363" s="159">
        <v>47</v>
      </c>
      <c r="F4363" s="131"/>
      <c r="G4363" s="132"/>
      <c r="H4363" s="162" t="s">
        <v>25418</v>
      </c>
      <c r="I4363" s="128"/>
      <c r="J4363" s="128"/>
      <c r="K4363" s="128"/>
      <c r="L4363" s="128"/>
      <c r="M4363" s="129"/>
      <c r="N4363" s="129"/>
      <c r="O4363" s="129"/>
    </row>
    <row r="4364" spans="1:15" ht="12.5">
      <c r="A4364" s="158" t="s">
        <v>25419</v>
      </c>
      <c r="B4364" s="159">
        <v>40</v>
      </c>
      <c r="C4364" s="159">
        <v>70</v>
      </c>
      <c r="D4364" s="159">
        <v>84</v>
      </c>
      <c r="E4364" s="159">
        <v>55</v>
      </c>
      <c r="F4364" s="131"/>
      <c r="G4364" s="132"/>
      <c r="H4364" s="162" t="s">
        <v>25420</v>
      </c>
      <c r="I4364" s="128"/>
      <c r="J4364" s="128"/>
      <c r="K4364" s="128"/>
      <c r="L4364" s="128"/>
      <c r="M4364" s="129"/>
      <c r="N4364" s="129"/>
      <c r="O4364" s="129"/>
    </row>
    <row r="4365" spans="1:15" ht="12.5">
      <c r="A4365" s="158" t="s">
        <v>25421</v>
      </c>
      <c r="B4365" s="159">
        <v>40</v>
      </c>
      <c r="C4365" s="159">
        <v>70</v>
      </c>
      <c r="D4365" s="159">
        <v>84</v>
      </c>
      <c r="E4365" s="159">
        <v>65</v>
      </c>
      <c r="F4365" s="131"/>
      <c r="G4365" s="132"/>
      <c r="H4365" s="162" t="s">
        <v>25422</v>
      </c>
      <c r="I4365" s="128"/>
      <c r="J4365" s="128"/>
      <c r="K4365" s="128"/>
      <c r="L4365" s="128"/>
      <c r="M4365" s="129"/>
      <c r="N4365" s="129"/>
      <c r="O4365" s="129"/>
    </row>
    <row r="4366" spans="1:15" ht="12.5">
      <c r="A4366" s="158" t="s">
        <v>25423</v>
      </c>
      <c r="B4366" s="159">
        <v>40</v>
      </c>
      <c r="C4366" s="159">
        <v>70</v>
      </c>
      <c r="D4366" s="159">
        <v>84</v>
      </c>
      <c r="E4366" s="159">
        <v>66</v>
      </c>
      <c r="F4366" s="131"/>
      <c r="G4366" s="132"/>
      <c r="H4366" s="162" t="s">
        <v>25424</v>
      </c>
      <c r="I4366" s="128"/>
      <c r="J4366" s="128"/>
      <c r="K4366" s="128"/>
      <c r="L4366" s="128"/>
      <c r="M4366" s="129"/>
      <c r="N4366" s="129"/>
      <c r="O4366" s="129"/>
    </row>
    <row r="4367" spans="1:15" ht="12.5">
      <c r="A4367" s="158" t="s">
        <v>25425</v>
      </c>
      <c r="B4367" s="159">
        <v>40</v>
      </c>
      <c r="C4367" s="159">
        <v>70</v>
      </c>
      <c r="D4367" s="159">
        <v>84</v>
      </c>
      <c r="E4367" s="159">
        <v>67</v>
      </c>
      <c r="F4367" s="131"/>
      <c r="G4367" s="132"/>
      <c r="H4367" s="162" t="s">
        <v>25426</v>
      </c>
      <c r="I4367" s="128"/>
      <c r="J4367" s="128"/>
      <c r="K4367" s="128"/>
      <c r="L4367" s="128"/>
      <c r="M4367" s="129"/>
      <c r="N4367" s="129"/>
      <c r="O4367" s="129"/>
    </row>
    <row r="4368" spans="1:15" ht="12.5">
      <c r="A4368" s="158" t="s">
        <v>25427</v>
      </c>
      <c r="B4368" s="159">
        <v>40</v>
      </c>
      <c r="C4368" s="159">
        <v>70</v>
      </c>
      <c r="D4368" s="159">
        <v>84</v>
      </c>
      <c r="E4368" s="159">
        <v>68</v>
      </c>
      <c r="F4368" s="131"/>
      <c r="G4368" s="132"/>
      <c r="H4368" s="162" t="s">
        <v>25428</v>
      </c>
      <c r="I4368" s="128"/>
      <c r="J4368" s="128"/>
      <c r="K4368" s="128"/>
      <c r="L4368" s="128"/>
      <c r="M4368" s="129"/>
      <c r="N4368" s="129"/>
      <c r="O4368" s="129"/>
    </row>
    <row r="4369" spans="1:15" ht="12.5">
      <c r="A4369" s="158" t="s">
        <v>25429</v>
      </c>
      <c r="B4369" s="159">
        <v>40</v>
      </c>
      <c r="C4369" s="159">
        <v>70</v>
      </c>
      <c r="D4369" s="159">
        <v>84</v>
      </c>
      <c r="E4369" s="159">
        <v>72</v>
      </c>
      <c r="F4369" s="131"/>
      <c r="G4369" s="132"/>
      <c r="H4369" s="162" t="s">
        <v>25430</v>
      </c>
      <c r="I4369" s="128"/>
      <c r="J4369" s="128"/>
      <c r="K4369" s="128"/>
      <c r="L4369" s="128"/>
      <c r="M4369" s="129"/>
      <c r="N4369" s="129"/>
      <c r="O4369" s="129"/>
    </row>
    <row r="4370" spans="1:15" ht="12.5">
      <c r="A4370" s="158" t="s">
        <v>25431</v>
      </c>
      <c r="B4370" s="159">
        <v>40</v>
      </c>
      <c r="C4370" s="159">
        <v>70</v>
      </c>
      <c r="D4370" s="159">
        <v>84</v>
      </c>
      <c r="E4370" s="159">
        <v>80</v>
      </c>
      <c r="F4370" s="131"/>
      <c r="G4370" s="132"/>
      <c r="H4370" s="162" t="s">
        <v>25432</v>
      </c>
      <c r="I4370" s="128"/>
      <c r="J4370" s="128"/>
      <c r="K4370" s="128"/>
      <c r="L4370" s="128"/>
      <c r="M4370" s="129"/>
      <c r="N4370" s="129"/>
      <c r="O4370" s="129"/>
    </row>
    <row r="4371" spans="1:15" ht="12.5">
      <c r="A4371" s="158" t="s">
        <v>25433</v>
      </c>
      <c r="B4371" s="159">
        <v>40</v>
      </c>
      <c r="C4371" s="159">
        <v>70</v>
      </c>
      <c r="D4371" s="159">
        <v>84</v>
      </c>
      <c r="E4371" s="159">
        <v>84</v>
      </c>
      <c r="F4371" s="131"/>
      <c r="G4371" s="132"/>
      <c r="H4371" s="162" t="s">
        <v>25434</v>
      </c>
      <c r="I4371" s="128"/>
      <c r="J4371" s="128"/>
      <c r="K4371" s="128"/>
      <c r="L4371" s="128"/>
      <c r="M4371" s="129"/>
      <c r="N4371" s="129"/>
      <c r="O4371" s="129"/>
    </row>
    <row r="4372" spans="1:15" ht="12.5">
      <c r="A4372" s="158" t="s">
        <v>25435</v>
      </c>
      <c r="B4372" s="159">
        <v>40</v>
      </c>
      <c r="C4372" s="159">
        <v>70</v>
      </c>
      <c r="D4372" s="159">
        <v>84</v>
      </c>
      <c r="E4372" s="159">
        <v>86</v>
      </c>
      <c r="F4372" s="131"/>
      <c r="G4372" s="132"/>
      <c r="H4372" s="162" t="s">
        <v>25436</v>
      </c>
      <c r="I4372" s="128"/>
      <c r="J4372" s="128"/>
      <c r="K4372" s="128"/>
      <c r="L4372" s="128"/>
      <c r="M4372" s="129"/>
      <c r="N4372" s="129"/>
      <c r="O4372" s="129"/>
    </row>
    <row r="4373" spans="1:15" ht="12.5">
      <c r="A4373" s="158" t="s">
        <v>25437</v>
      </c>
      <c r="B4373" s="159">
        <v>40</v>
      </c>
      <c r="C4373" s="159">
        <v>70</v>
      </c>
      <c r="D4373" s="159">
        <v>84</v>
      </c>
      <c r="E4373" s="159">
        <v>90</v>
      </c>
      <c r="F4373" s="131"/>
      <c r="G4373" s="132"/>
      <c r="H4373" s="162" t="s">
        <v>25438</v>
      </c>
      <c r="I4373" s="128"/>
      <c r="J4373" s="128"/>
      <c r="K4373" s="128"/>
      <c r="L4373" s="128"/>
      <c r="M4373" s="129"/>
      <c r="N4373" s="129"/>
      <c r="O4373" s="129"/>
    </row>
    <row r="4374" spans="1:15" ht="12.5">
      <c r="A4374" s="158" t="s">
        <v>25439</v>
      </c>
      <c r="B4374" s="159">
        <v>40</v>
      </c>
      <c r="C4374" s="159">
        <v>70</v>
      </c>
      <c r="D4374" s="159">
        <v>84</v>
      </c>
      <c r="E4374" s="159">
        <v>91</v>
      </c>
      <c r="F4374" s="131"/>
      <c r="G4374" s="132"/>
      <c r="H4374" s="162" t="s">
        <v>25440</v>
      </c>
      <c r="I4374" s="128"/>
      <c r="J4374" s="128"/>
      <c r="K4374" s="128"/>
      <c r="L4374" s="128"/>
      <c r="M4374" s="129"/>
      <c r="N4374" s="129"/>
      <c r="O4374" s="129"/>
    </row>
    <row r="4375" spans="1:15" ht="12.5">
      <c r="A4375" s="158" t="s">
        <v>25441</v>
      </c>
      <c r="B4375" s="159">
        <v>40</v>
      </c>
      <c r="C4375" s="159">
        <v>70</v>
      </c>
      <c r="D4375" s="159">
        <v>84</v>
      </c>
      <c r="E4375" s="159">
        <v>92</v>
      </c>
      <c r="F4375" s="131"/>
      <c r="G4375" s="132"/>
      <c r="H4375" s="162" t="s">
        <v>25442</v>
      </c>
      <c r="I4375" s="128"/>
      <c r="J4375" s="128"/>
      <c r="K4375" s="128"/>
      <c r="L4375" s="128"/>
      <c r="M4375" s="129"/>
      <c r="N4375" s="129"/>
      <c r="O4375" s="129"/>
    </row>
    <row r="4376" spans="1:15" ht="12.5">
      <c r="A4376" s="158" t="s">
        <v>25443</v>
      </c>
      <c r="B4376" s="159">
        <v>40</v>
      </c>
      <c r="C4376" s="159">
        <v>70</v>
      </c>
      <c r="D4376" s="159">
        <v>84</v>
      </c>
      <c r="E4376" s="159">
        <v>94</v>
      </c>
      <c r="F4376" s="131"/>
      <c r="G4376" s="132"/>
      <c r="H4376" s="162" t="s">
        <v>25444</v>
      </c>
      <c r="I4376" s="128"/>
      <c r="J4376" s="128"/>
      <c r="K4376" s="128"/>
      <c r="L4376" s="128"/>
      <c r="M4376" s="129"/>
      <c r="N4376" s="129"/>
      <c r="O4376" s="129"/>
    </row>
    <row r="4377" spans="1:15" ht="12.5">
      <c r="A4377" s="158" t="s">
        <v>25445</v>
      </c>
      <c r="B4377" s="159">
        <v>40</v>
      </c>
      <c r="C4377" s="159">
        <v>70</v>
      </c>
      <c r="D4377" s="159">
        <v>85</v>
      </c>
      <c r="E4377" s="130"/>
      <c r="F4377" s="131"/>
      <c r="G4377" s="132"/>
      <c r="H4377" s="162" t="s">
        <v>25446</v>
      </c>
      <c r="I4377" s="128"/>
      <c r="J4377" s="128"/>
      <c r="K4377" s="128"/>
      <c r="L4377" s="128"/>
      <c r="M4377" s="129"/>
      <c r="N4377" s="129"/>
      <c r="O4377" s="129"/>
    </row>
    <row r="4378" spans="1:15" ht="12.5">
      <c r="A4378" s="158" t="s">
        <v>25447</v>
      </c>
      <c r="B4378" s="159">
        <v>40</v>
      </c>
      <c r="C4378" s="159">
        <v>70</v>
      </c>
      <c r="D4378" s="159">
        <v>85</v>
      </c>
      <c r="E4378" s="159">
        <v>31</v>
      </c>
      <c r="F4378" s="131"/>
      <c r="G4378" s="132"/>
      <c r="H4378" s="162" t="s">
        <v>25448</v>
      </c>
      <c r="I4378" s="128"/>
      <c r="J4378" s="128"/>
      <c r="K4378" s="128"/>
      <c r="L4378" s="128"/>
      <c r="M4378" s="129"/>
      <c r="N4378" s="129"/>
      <c r="O4378" s="129"/>
    </row>
    <row r="4379" spans="1:15" ht="12.5">
      <c r="A4379" s="158" t="s">
        <v>25449</v>
      </c>
      <c r="B4379" s="159">
        <v>40</v>
      </c>
      <c r="C4379" s="159">
        <v>70</v>
      </c>
      <c r="D4379" s="159">
        <v>86</v>
      </c>
      <c r="E4379" s="130"/>
      <c r="F4379" s="131"/>
      <c r="G4379" s="132"/>
      <c r="H4379" s="162" t="s">
        <v>25450</v>
      </c>
      <c r="I4379" s="128"/>
      <c r="J4379" s="128"/>
      <c r="K4379" s="128"/>
      <c r="L4379" s="128"/>
      <c r="M4379" s="129"/>
      <c r="N4379" s="129"/>
      <c r="O4379" s="129"/>
    </row>
    <row r="4380" spans="1:15" ht="12.5">
      <c r="A4380" s="158" t="s">
        <v>25451</v>
      </c>
      <c r="B4380" s="159">
        <v>40</v>
      </c>
      <c r="C4380" s="159">
        <v>70</v>
      </c>
      <c r="D4380" s="159">
        <v>86</v>
      </c>
      <c r="E4380" s="159">
        <v>2</v>
      </c>
      <c r="F4380" s="131"/>
      <c r="G4380" s="132"/>
      <c r="H4380" s="162" t="s">
        <v>25452</v>
      </c>
      <c r="I4380" s="158" t="s">
        <v>25453</v>
      </c>
      <c r="J4380" s="128"/>
      <c r="K4380" s="128"/>
      <c r="L4380" s="128"/>
      <c r="M4380" s="129"/>
      <c r="N4380" s="129"/>
      <c r="O4380" s="129"/>
    </row>
    <row r="4381" spans="1:15" ht="12.5">
      <c r="A4381" s="158" t="s">
        <v>25454</v>
      </c>
      <c r="B4381" s="159">
        <v>40</v>
      </c>
      <c r="C4381" s="159">
        <v>70</v>
      </c>
      <c r="D4381" s="159">
        <v>86</v>
      </c>
      <c r="E4381" s="159">
        <v>8</v>
      </c>
      <c r="F4381" s="131"/>
      <c r="G4381" s="132"/>
      <c r="H4381" s="162" t="s">
        <v>25455</v>
      </c>
      <c r="I4381" s="158" t="s">
        <v>25456</v>
      </c>
      <c r="J4381" s="128"/>
      <c r="K4381" s="128"/>
      <c r="L4381" s="128"/>
      <c r="M4381" s="129"/>
      <c r="N4381" s="129"/>
      <c r="O4381" s="129"/>
    </row>
    <row r="4382" spans="1:15" ht="12.5">
      <c r="A4382" s="158" t="s">
        <v>25457</v>
      </c>
      <c r="B4382" s="159">
        <v>40</v>
      </c>
      <c r="C4382" s="159">
        <v>70</v>
      </c>
      <c r="D4382" s="159">
        <v>86</v>
      </c>
      <c r="E4382" s="159">
        <v>10</v>
      </c>
      <c r="F4382" s="131"/>
      <c r="G4382" s="132"/>
      <c r="H4382" s="162" t="s">
        <v>25458</v>
      </c>
      <c r="I4382" s="158" t="s">
        <v>25459</v>
      </c>
      <c r="J4382" s="128"/>
      <c r="K4382" s="128"/>
      <c r="L4382" s="128"/>
      <c r="M4382" s="129"/>
      <c r="N4382" s="129"/>
      <c r="O4382" s="129"/>
    </row>
    <row r="4383" spans="1:15" ht="12.5">
      <c r="A4383" s="158" t="s">
        <v>25460</v>
      </c>
      <c r="B4383" s="159">
        <v>40</v>
      </c>
      <c r="C4383" s="159">
        <v>70</v>
      </c>
      <c r="D4383" s="159">
        <v>86</v>
      </c>
      <c r="E4383" s="159">
        <v>52</v>
      </c>
      <c r="F4383" s="131"/>
      <c r="G4383" s="132"/>
      <c r="H4383" s="162" t="s">
        <v>25461</v>
      </c>
      <c r="I4383" s="158" t="s">
        <v>25462</v>
      </c>
      <c r="J4383" s="128"/>
      <c r="K4383" s="128"/>
      <c r="L4383" s="128"/>
      <c r="M4383" s="129"/>
      <c r="N4383" s="129"/>
      <c r="O4383" s="129"/>
    </row>
    <row r="4384" spans="1:15" ht="12.5">
      <c r="A4384" s="158" t="s">
        <v>25463</v>
      </c>
      <c r="B4384" s="159">
        <v>40</v>
      </c>
      <c r="C4384" s="159">
        <v>70</v>
      </c>
      <c r="D4384" s="159">
        <v>86</v>
      </c>
      <c r="E4384" s="159">
        <v>60</v>
      </c>
      <c r="F4384" s="131"/>
      <c r="G4384" s="132"/>
      <c r="H4384" s="162" t="s">
        <v>25464</v>
      </c>
      <c r="I4384" s="158" t="s">
        <v>25465</v>
      </c>
      <c r="J4384" s="128"/>
      <c r="K4384" s="128"/>
      <c r="L4384" s="128"/>
      <c r="M4384" s="129"/>
      <c r="N4384" s="129"/>
      <c r="O4384" s="129"/>
    </row>
    <row r="4385" spans="1:15" ht="12.5">
      <c r="A4385" s="158" t="s">
        <v>25466</v>
      </c>
      <c r="B4385" s="159">
        <v>40</v>
      </c>
      <c r="C4385" s="159">
        <v>70</v>
      </c>
      <c r="D4385" s="159">
        <v>86</v>
      </c>
      <c r="E4385" s="159">
        <v>84</v>
      </c>
      <c r="F4385" s="131"/>
      <c r="G4385" s="132"/>
      <c r="H4385" s="162" t="s">
        <v>25467</v>
      </c>
      <c r="I4385" s="158" t="s">
        <v>25468</v>
      </c>
      <c r="J4385" s="128"/>
      <c r="K4385" s="128"/>
      <c r="L4385" s="128"/>
      <c r="M4385" s="129"/>
      <c r="N4385" s="129"/>
      <c r="O4385" s="129"/>
    </row>
    <row r="4386" spans="1:15" ht="12.5">
      <c r="A4386" s="158" t="s">
        <v>25469</v>
      </c>
      <c r="B4386" s="159">
        <v>40</v>
      </c>
      <c r="C4386" s="159">
        <v>70</v>
      </c>
      <c r="D4386" s="159">
        <v>86</v>
      </c>
      <c r="E4386" s="159">
        <v>94</v>
      </c>
      <c r="F4386" s="131"/>
      <c r="G4386" s="132"/>
      <c r="H4386" s="162" t="s">
        <v>25470</v>
      </c>
      <c r="I4386" s="158" t="s">
        <v>25471</v>
      </c>
      <c r="J4386" s="128"/>
      <c r="K4386" s="128"/>
      <c r="L4386" s="128"/>
      <c r="M4386" s="129"/>
      <c r="N4386" s="129"/>
      <c r="O4386" s="129"/>
    </row>
    <row r="4387" spans="1:15" ht="12.5">
      <c r="A4387" s="158" t="s">
        <v>25472</v>
      </c>
      <c r="B4387" s="159">
        <v>40</v>
      </c>
      <c r="C4387" s="159">
        <v>70</v>
      </c>
      <c r="D4387" s="159">
        <v>86</v>
      </c>
      <c r="E4387" s="159">
        <v>98</v>
      </c>
      <c r="F4387" s="131"/>
      <c r="G4387" s="132"/>
      <c r="H4387" s="162" t="s">
        <v>25473</v>
      </c>
      <c r="I4387" s="128"/>
      <c r="J4387" s="128"/>
      <c r="K4387" s="128"/>
      <c r="L4387" s="128"/>
      <c r="M4387" s="129"/>
      <c r="N4387" s="129"/>
      <c r="O4387" s="129"/>
    </row>
    <row r="4388" spans="1:15" ht="12.5">
      <c r="A4388" s="158" t="s">
        <v>25474</v>
      </c>
      <c r="B4388" s="159">
        <v>40</v>
      </c>
      <c r="C4388" s="159">
        <v>70</v>
      </c>
      <c r="D4388" s="159">
        <v>96</v>
      </c>
      <c r="E4388" s="130"/>
      <c r="F4388" s="131"/>
      <c r="G4388" s="132"/>
      <c r="H4388" s="162" t="s">
        <v>25475</v>
      </c>
      <c r="I4388" s="128"/>
      <c r="J4388" s="128"/>
      <c r="K4388" s="128"/>
      <c r="L4388" s="128"/>
      <c r="M4388" s="129"/>
      <c r="N4388" s="129"/>
      <c r="O4388" s="129"/>
    </row>
    <row r="4389" spans="1:15" ht="12.5">
      <c r="A4389" s="158" t="s">
        <v>25476</v>
      </c>
      <c r="B4389" s="159">
        <v>40</v>
      </c>
      <c r="C4389" s="159">
        <v>70</v>
      </c>
      <c r="D4389" s="159">
        <v>96</v>
      </c>
      <c r="E4389" s="159">
        <v>30</v>
      </c>
      <c r="F4389" s="131"/>
      <c r="G4389" s="132"/>
      <c r="H4389" s="162" t="s">
        <v>25477</v>
      </c>
      <c r="I4389" s="128"/>
      <c r="J4389" s="128"/>
      <c r="K4389" s="128"/>
      <c r="L4389" s="128"/>
      <c r="M4389" s="129"/>
      <c r="N4389" s="129"/>
      <c r="O4389" s="129"/>
    </row>
    <row r="4390" spans="1:15" ht="12.5">
      <c r="A4390" s="158" t="s">
        <v>25478</v>
      </c>
      <c r="B4390" s="159">
        <v>40</v>
      </c>
      <c r="C4390" s="159">
        <v>70</v>
      </c>
      <c r="D4390" s="159">
        <v>96</v>
      </c>
      <c r="E4390" s="159">
        <v>31</v>
      </c>
      <c r="F4390" s="131"/>
      <c r="G4390" s="132"/>
      <c r="H4390" s="162" t="s">
        <v>25479</v>
      </c>
      <c r="I4390" s="128"/>
      <c r="J4390" s="128"/>
      <c r="K4390" s="128"/>
      <c r="L4390" s="128"/>
      <c r="M4390" s="129"/>
      <c r="N4390" s="129"/>
      <c r="O4390" s="129"/>
    </row>
    <row r="4391" spans="1:15" ht="12.5">
      <c r="A4391" s="158" t="s">
        <v>25480</v>
      </c>
      <c r="B4391" s="159">
        <v>40</v>
      </c>
      <c r="C4391" s="159">
        <v>70</v>
      </c>
      <c r="D4391" s="159">
        <v>99</v>
      </c>
      <c r="E4391" s="130"/>
      <c r="F4391" s="131"/>
      <c r="G4391" s="132"/>
      <c r="H4391" s="162" t="s">
        <v>25481</v>
      </c>
      <c r="I4391" s="128"/>
      <c r="J4391" s="128"/>
      <c r="K4391" s="128"/>
      <c r="L4391" s="128"/>
      <c r="M4391" s="129"/>
      <c r="N4391" s="129"/>
      <c r="O4391" s="129"/>
    </row>
    <row r="4392" spans="1:15" ht="12.5">
      <c r="A4392" s="158" t="s">
        <v>25482</v>
      </c>
      <c r="B4392" s="159">
        <v>40</v>
      </c>
      <c r="C4392" s="159">
        <v>70</v>
      </c>
      <c r="D4392" s="159">
        <v>99</v>
      </c>
      <c r="E4392" s="159">
        <v>22</v>
      </c>
      <c r="F4392" s="131"/>
      <c r="G4392" s="132"/>
      <c r="H4392" s="162" t="s">
        <v>25483</v>
      </c>
      <c r="I4392" s="128"/>
      <c r="J4392" s="128"/>
      <c r="K4392" s="128"/>
      <c r="L4392" s="128"/>
      <c r="M4392" s="129"/>
      <c r="N4392" s="129"/>
      <c r="O4392" s="129"/>
    </row>
    <row r="4393" spans="1:15" ht="12.5">
      <c r="A4393" s="158" t="s">
        <v>25484</v>
      </c>
      <c r="B4393" s="159">
        <v>40</v>
      </c>
      <c r="C4393" s="159">
        <v>70</v>
      </c>
      <c r="D4393" s="159">
        <v>99</v>
      </c>
      <c r="E4393" s="159">
        <v>42</v>
      </c>
      <c r="F4393" s="131"/>
      <c r="G4393" s="132"/>
      <c r="H4393" s="162" t="s">
        <v>25485</v>
      </c>
      <c r="I4393" s="128"/>
      <c r="J4393" s="128"/>
      <c r="K4393" s="128"/>
      <c r="L4393" s="128"/>
      <c r="M4393" s="129"/>
      <c r="N4393" s="129"/>
      <c r="O4393" s="129"/>
    </row>
    <row r="4394" spans="1:15" ht="12.5">
      <c r="A4394" s="158" t="s">
        <v>25486</v>
      </c>
      <c r="B4394" s="159">
        <v>40</v>
      </c>
      <c r="C4394" s="159">
        <v>70</v>
      </c>
      <c r="D4394" s="159">
        <v>99</v>
      </c>
      <c r="E4394" s="159">
        <v>45</v>
      </c>
      <c r="F4394" s="131"/>
      <c r="G4394" s="132"/>
      <c r="H4394" s="162" t="s">
        <v>25487</v>
      </c>
      <c r="I4394" s="128"/>
      <c r="J4394" s="128"/>
      <c r="K4394" s="128"/>
      <c r="L4394" s="128"/>
      <c r="M4394" s="129"/>
      <c r="N4394" s="129"/>
      <c r="O4394" s="129"/>
    </row>
    <row r="4395" spans="1:15" ht="12.5">
      <c r="A4395" s="158" t="s">
        <v>25488</v>
      </c>
      <c r="B4395" s="159">
        <v>40</v>
      </c>
      <c r="C4395" s="159">
        <v>70</v>
      </c>
      <c r="D4395" s="159">
        <v>99</v>
      </c>
      <c r="E4395" s="159">
        <v>62</v>
      </c>
      <c r="F4395" s="131"/>
      <c r="G4395" s="132"/>
      <c r="H4395" s="162" t="s">
        <v>25489</v>
      </c>
      <c r="I4395" s="128"/>
      <c r="J4395" s="128"/>
      <c r="K4395" s="128"/>
      <c r="L4395" s="128"/>
      <c r="M4395" s="129"/>
      <c r="N4395" s="129"/>
      <c r="O4395" s="129"/>
    </row>
    <row r="4396" spans="1:15" ht="12.5">
      <c r="A4396" s="137" t="s">
        <v>25490</v>
      </c>
      <c r="B4396" s="138">
        <v>45</v>
      </c>
      <c r="C4396" s="139"/>
      <c r="D4396" s="139"/>
      <c r="E4396" s="139"/>
      <c r="F4396" s="140" t="s">
        <v>33479</v>
      </c>
      <c r="G4396" s="141"/>
      <c r="H4396" s="142" t="s">
        <v>25491</v>
      </c>
      <c r="I4396" s="143"/>
      <c r="J4396" s="143"/>
      <c r="K4396" s="143"/>
      <c r="L4396" s="143"/>
      <c r="M4396" s="192"/>
      <c r="N4396" s="192"/>
      <c r="O4396" s="192"/>
    </row>
    <row r="4397" spans="1:15" ht="12.5">
      <c r="A4397" s="144" t="s">
        <v>25492</v>
      </c>
      <c r="B4397" s="145">
        <v>45</v>
      </c>
      <c r="C4397" s="145">
        <v>28</v>
      </c>
      <c r="D4397" s="146"/>
      <c r="E4397" s="146"/>
      <c r="F4397" s="147" t="s">
        <v>33480</v>
      </c>
      <c r="G4397" s="190"/>
      <c r="H4397" s="149" t="s">
        <v>25493</v>
      </c>
      <c r="I4397" s="150"/>
      <c r="J4397" s="150"/>
      <c r="K4397" s="150"/>
      <c r="L4397" s="150"/>
      <c r="M4397" s="191"/>
      <c r="N4397" s="191"/>
      <c r="O4397" s="191"/>
    </row>
    <row r="4398" spans="1:15" ht="12.5">
      <c r="A4398" s="158" t="s">
        <v>25494</v>
      </c>
      <c r="B4398" s="159">
        <v>45</v>
      </c>
      <c r="C4398" s="159">
        <v>28</v>
      </c>
      <c r="D4398" s="159">
        <v>30</v>
      </c>
      <c r="E4398" s="130"/>
      <c r="F4398" s="131"/>
      <c r="G4398" s="132"/>
      <c r="H4398" s="162" t="s">
        <v>33481</v>
      </c>
      <c r="I4398" s="128"/>
      <c r="J4398" s="128"/>
      <c r="K4398" s="128"/>
      <c r="L4398" s="128"/>
      <c r="M4398" s="129"/>
      <c r="N4398" s="129"/>
      <c r="O4398" s="129"/>
    </row>
    <row r="4399" spans="1:15" ht="12.5">
      <c r="A4399" s="158" t="s">
        <v>25498</v>
      </c>
      <c r="B4399" s="159">
        <v>45</v>
      </c>
      <c r="C4399" s="159">
        <v>28</v>
      </c>
      <c r="D4399" s="159">
        <v>30</v>
      </c>
      <c r="E4399" s="159">
        <v>27</v>
      </c>
      <c r="F4399" s="131"/>
      <c r="G4399" s="132"/>
      <c r="H4399" s="162" t="s">
        <v>33482</v>
      </c>
      <c r="I4399" s="158" t="s">
        <v>25500</v>
      </c>
      <c r="J4399" s="128"/>
      <c r="K4399" s="128"/>
      <c r="L4399" s="128"/>
      <c r="M4399" s="129"/>
      <c r="N4399" s="129"/>
      <c r="O4399" s="129"/>
    </row>
    <row r="4400" spans="1:15" ht="12.5">
      <c r="A4400" s="158" t="s">
        <v>25501</v>
      </c>
      <c r="B4400" s="159">
        <v>45</v>
      </c>
      <c r="C4400" s="159">
        <v>28</v>
      </c>
      <c r="D4400" s="159">
        <v>30</v>
      </c>
      <c r="E4400" s="159">
        <v>46</v>
      </c>
      <c r="F4400" s="131"/>
      <c r="G4400" s="132"/>
      <c r="H4400" s="162" t="s">
        <v>33483</v>
      </c>
      <c r="I4400" s="158" t="s">
        <v>25503</v>
      </c>
      <c r="J4400" s="128"/>
      <c r="K4400" s="128"/>
      <c r="L4400" s="128"/>
      <c r="M4400" s="129"/>
      <c r="N4400" s="129"/>
      <c r="O4400" s="129"/>
    </row>
    <row r="4401" spans="1:15" ht="12.5">
      <c r="A4401" s="158" t="s">
        <v>25504</v>
      </c>
      <c r="B4401" s="159">
        <v>45</v>
      </c>
      <c r="C4401" s="159">
        <v>28</v>
      </c>
      <c r="D4401" s="159">
        <v>30</v>
      </c>
      <c r="E4401" s="159">
        <v>78</v>
      </c>
      <c r="F4401" s="131"/>
      <c r="G4401" s="132"/>
      <c r="H4401" s="162" t="s">
        <v>25505</v>
      </c>
      <c r="I4401" s="158" t="s">
        <v>25506</v>
      </c>
      <c r="J4401" s="128"/>
      <c r="K4401" s="128"/>
      <c r="L4401" s="128"/>
      <c r="M4401" s="129"/>
      <c r="N4401" s="129"/>
      <c r="O4401" s="129"/>
    </row>
    <row r="4402" spans="1:15" ht="12.5">
      <c r="A4402" s="144" t="s">
        <v>25507</v>
      </c>
      <c r="B4402" s="145">
        <v>45</v>
      </c>
      <c r="C4402" s="145">
        <v>30</v>
      </c>
      <c r="D4402" s="146"/>
      <c r="E4402" s="146"/>
      <c r="F4402" s="147" t="s">
        <v>33484</v>
      </c>
      <c r="G4402" s="190"/>
      <c r="H4402" s="149" t="s">
        <v>25508</v>
      </c>
      <c r="I4402" s="150"/>
      <c r="J4402" s="150"/>
      <c r="K4402" s="150"/>
      <c r="L4402" s="150"/>
      <c r="M4402" s="191"/>
      <c r="N4402" s="191"/>
      <c r="O4402" s="191"/>
    </row>
    <row r="4403" spans="1:15" ht="12.5">
      <c r="A4403" s="158" t="s">
        <v>25509</v>
      </c>
      <c r="B4403" s="159">
        <v>45</v>
      </c>
      <c r="C4403" s="159">
        <v>30</v>
      </c>
      <c r="D4403" s="159">
        <v>4</v>
      </c>
      <c r="E4403" s="130"/>
      <c r="F4403" s="131"/>
      <c r="G4403" s="132"/>
      <c r="H4403" s="162" t="s">
        <v>25510</v>
      </c>
      <c r="I4403" s="128"/>
      <c r="J4403" s="128"/>
      <c r="K4403" s="128"/>
      <c r="L4403" s="128"/>
      <c r="M4403" s="129"/>
      <c r="N4403" s="129"/>
      <c r="O4403" s="129"/>
    </row>
    <row r="4404" spans="1:15" ht="12.5">
      <c r="A4404" s="158" t="s">
        <v>25513</v>
      </c>
      <c r="B4404" s="159">
        <v>45</v>
      </c>
      <c r="C4404" s="159">
        <v>30</v>
      </c>
      <c r="D4404" s="159">
        <v>4</v>
      </c>
      <c r="E4404" s="159">
        <v>3</v>
      </c>
      <c r="F4404" s="131"/>
      <c r="G4404" s="132"/>
      <c r="H4404" s="162" t="s">
        <v>25514</v>
      </c>
      <c r="I4404" s="158" t="s">
        <v>25515</v>
      </c>
      <c r="J4404" s="128"/>
      <c r="K4404" s="128"/>
      <c r="L4404" s="128"/>
      <c r="M4404" s="129"/>
      <c r="N4404" s="129"/>
      <c r="O4404" s="129"/>
    </row>
    <row r="4405" spans="1:15" ht="12.5">
      <c r="A4405" s="158" t="s">
        <v>25516</v>
      </c>
      <c r="B4405" s="159">
        <v>45</v>
      </c>
      <c r="C4405" s="159">
        <v>30</v>
      </c>
      <c r="D4405" s="159">
        <v>4</v>
      </c>
      <c r="E4405" s="159">
        <v>4</v>
      </c>
      <c r="F4405" s="131"/>
      <c r="G4405" s="132"/>
      <c r="H4405" s="162" t="s">
        <v>25517</v>
      </c>
      <c r="I4405" s="158" t="s">
        <v>25518</v>
      </c>
      <c r="J4405" s="128"/>
      <c r="K4405" s="128"/>
      <c r="L4405" s="128"/>
      <c r="M4405" s="129"/>
      <c r="N4405" s="129"/>
      <c r="O4405" s="129"/>
    </row>
    <row r="4406" spans="1:15" ht="12.5">
      <c r="A4406" s="158" t="s">
        <v>25519</v>
      </c>
      <c r="B4406" s="159">
        <v>45</v>
      </c>
      <c r="C4406" s="159">
        <v>30</v>
      </c>
      <c r="D4406" s="159">
        <v>4</v>
      </c>
      <c r="E4406" s="159">
        <v>5</v>
      </c>
      <c r="F4406" s="131"/>
      <c r="G4406" s="132"/>
      <c r="H4406" s="162" t="s">
        <v>25520</v>
      </c>
      <c r="I4406" s="158" t="s">
        <v>25521</v>
      </c>
      <c r="J4406" s="128"/>
      <c r="K4406" s="128"/>
      <c r="L4406" s="128"/>
      <c r="M4406" s="129"/>
      <c r="N4406" s="129"/>
      <c r="O4406" s="129"/>
    </row>
    <row r="4407" spans="1:15" ht="12.5">
      <c r="A4407" s="158" t="s">
        <v>25522</v>
      </c>
      <c r="B4407" s="159">
        <v>45</v>
      </c>
      <c r="C4407" s="159">
        <v>30</v>
      </c>
      <c r="D4407" s="159">
        <v>4</v>
      </c>
      <c r="E4407" s="159">
        <v>64</v>
      </c>
      <c r="F4407" s="131"/>
      <c r="G4407" s="132"/>
      <c r="H4407" s="162" t="s">
        <v>25523</v>
      </c>
      <c r="I4407" s="158" t="s">
        <v>25524</v>
      </c>
      <c r="J4407" s="128"/>
      <c r="K4407" s="128"/>
      <c r="L4407" s="128"/>
      <c r="M4407" s="129"/>
      <c r="N4407" s="129"/>
      <c r="O4407" s="129"/>
    </row>
    <row r="4408" spans="1:15" ht="12.5">
      <c r="A4408" s="158" t="s">
        <v>25525</v>
      </c>
      <c r="B4408" s="159">
        <v>45</v>
      </c>
      <c r="C4408" s="159">
        <v>30</v>
      </c>
      <c r="D4408" s="159">
        <v>4</v>
      </c>
      <c r="E4408" s="159">
        <v>66</v>
      </c>
      <c r="F4408" s="131"/>
      <c r="G4408" s="132"/>
      <c r="H4408" s="162" t="s">
        <v>25526</v>
      </c>
      <c r="I4408" s="158" t="s">
        <v>25527</v>
      </c>
      <c r="J4408" s="128"/>
      <c r="K4408" s="128"/>
      <c r="L4408" s="128"/>
      <c r="M4408" s="129"/>
      <c r="N4408" s="129"/>
      <c r="O4408" s="129"/>
    </row>
    <row r="4409" spans="1:15" ht="12.5">
      <c r="A4409" s="158" t="s">
        <v>25528</v>
      </c>
      <c r="B4409" s="159">
        <v>45</v>
      </c>
      <c r="C4409" s="159">
        <v>30</v>
      </c>
      <c r="D4409" s="159">
        <v>10</v>
      </c>
      <c r="E4409" s="130"/>
      <c r="F4409" s="131"/>
      <c r="G4409" s="132"/>
      <c r="H4409" s="162" t="s">
        <v>25529</v>
      </c>
      <c r="I4409" s="128"/>
      <c r="J4409" s="128"/>
      <c r="K4409" s="128"/>
      <c r="L4409" s="128"/>
      <c r="M4409" s="129"/>
      <c r="N4409" s="129"/>
      <c r="O4409" s="129"/>
    </row>
    <row r="4410" spans="1:15" ht="12.5">
      <c r="A4410" s="158" t="s">
        <v>25530</v>
      </c>
      <c r="B4410" s="159">
        <v>45</v>
      </c>
      <c r="C4410" s="159">
        <v>30</v>
      </c>
      <c r="D4410" s="159">
        <v>10</v>
      </c>
      <c r="E4410" s="159">
        <v>4</v>
      </c>
      <c r="F4410" s="131"/>
      <c r="G4410" s="132"/>
      <c r="H4410" s="162" t="s">
        <v>25531</v>
      </c>
      <c r="I4410" s="128"/>
      <c r="J4410" s="128"/>
      <c r="K4410" s="128"/>
      <c r="L4410" s="128"/>
      <c r="M4410" s="129"/>
      <c r="N4410" s="129"/>
      <c r="O4410" s="129"/>
    </row>
    <row r="4411" spans="1:15" ht="12.5">
      <c r="A4411" s="158" t="s">
        <v>25532</v>
      </c>
      <c r="B4411" s="159">
        <v>45</v>
      </c>
      <c r="C4411" s="159">
        <v>30</v>
      </c>
      <c r="D4411" s="159">
        <v>10</v>
      </c>
      <c r="E4411" s="159">
        <v>10</v>
      </c>
      <c r="F4411" s="131"/>
      <c r="G4411" s="132"/>
      <c r="H4411" s="162" t="s">
        <v>25533</v>
      </c>
      <c r="I4411" s="158" t="s">
        <v>25534</v>
      </c>
      <c r="J4411" s="128"/>
      <c r="K4411" s="128"/>
      <c r="L4411" s="128"/>
      <c r="M4411" s="129"/>
      <c r="N4411" s="129"/>
      <c r="O4411" s="129"/>
    </row>
    <row r="4412" spans="1:15" ht="12.5">
      <c r="A4412" s="158" t="s">
        <v>25535</v>
      </c>
      <c r="B4412" s="159">
        <v>45</v>
      </c>
      <c r="C4412" s="159">
        <v>30</v>
      </c>
      <c r="D4412" s="159">
        <v>10</v>
      </c>
      <c r="E4412" s="159">
        <v>15</v>
      </c>
      <c r="F4412" s="131"/>
      <c r="G4412" s="132"/>
      <c r="H4412" s="162" t="s">
        <v>25536</v>
      </c>
      <c r="I4412" s="158" t="s">
        <v>25534</v>
      </c>
      <c r="J4412" s="128"/>
      <c r="K4412" s="128"/>
      <c r="L4412" s="128"/>
      <c r="M4412" s="129"/>
      <c r="N4412" s="129"/>
      <c r="O4412" s="129"/>
    </row>
    <row r="4413" spans="1:15" ht="12.5">
      <c r="A4413" s="158" t="s">
        <v>25537</v>
      </c>
      <c r="B4413" s="159">
        <v>45</v>
      </c>
      <c r="C4413" s="159">
        <v>30</v>
      </c>
      <c r="D4413" s="159">
        <v>10</v>
      </c>
      <c r="E4413" s="159">
        <v>62</v>
      </c>
      <c r="F4413" s="131"/>
      <c r="G4413" s="132"/>
      <c r="H4413" s="162" t="s">
        <v>25538</v>
      </c>
      <c r="I4413" s="128"/>
      <c r="J4413" s="128"/>
      <c r="K4413" s="128"/>
      <c r="L4413" s="128"/>
      <c r="M4413" s="129"/>
      <c r="N4413" s="129"/>
      <c r="O4413" s="129"/>
    </row>
    <row r="4414" spans="1:15" ht="12.5">
      <c r="A4414" s="158" t="s">
        <v>25539</v>
      </c>
      <c r="B4414" s="159">
        <v>45</v>
      </c>
      <c r="C4414" s="159">
        <v>30</v>
      </c>
      <c r="D4414" s="159">
        <v>10</v>
      </c>
      <c r="E4414" s="159">
        <v>63</v>
      </c>
      <c r="F4414" s="131"/>
      <c r="G4414" s="132"/>
      <c r="H4414" s="162" t="s">
        <v>25540</v>
      </c>
      <c r="I4414" s="158" t="s">
        <v>25534</v>
      </c>
      <c r="J4414" s="128"/>
      <c r="K4414" s="128"/>
      <c r="L4414" s="128"/>
      <c r="M4414" s="129"/>
      <c r="N4414" s="129"/>
      <c r="O4414" s="129"/>
    </row>
    <row r="4415" spans="1:15" ht="12.5">
      <c r="A4415" s="158" t="s">
        <v>25541</v>
      </c>
      <c r="B4415" s="159">
        <v>45</v>
      </c>
      <c r="C4415" s="159">
        <v>30</v>
      </c>
      <c r="D4415" s="159">
        <v>36</v>
      </c>
      <c r="E4415" s="130"/>
      <c r="F4415" s="131"/>
      <c r="G4415" s="132"/>
      <c r="H4415" s="162" t="s">
        <v>25542</v>
      </c>
      <c r="I4415" s="128"/>
      <c r="J4415" s="128"/>
      <c r="K4415" s="128"/>
      <c r="L4415" s="128"/>
      <c r="M4415" s="129"/>
      <c r="N4415" s="129"/>
      <c r="O4415" s="129"/>
    </row>
    <row r="4416" spans="1:15" ht="12.5">
      <c r="A4416" s="158" t="s">
        <v>25543</v>
      </c>
      <c r="B4416" s="159">
        <v>45</v>
      </c>
      <c r="C4416" s="159">
        <v>30</v>
      </c>
      <c r="D4416" s="159">
        <v>36</v>
      </c>
      <c r="E4416" s="159">
        <v>2</v>
      </c>
      <c r="F4416" s="131"/>
      <c r="G4416" s="132"/>
      <c r="H4416" s="162" t="s">
        <v>25544</v>
      </c>
      <c r="I4416" s="158" t="s">
        <v>25545</v>
      </c>
      <c r="J4416" s="128"/>
      <c r="K4416" s="128"/>
      <c r="L4416" s="128"/>
      <c r="M4416" s="129"/>
      <c r="N4416" s="129"/>
      <c r="O4416" s="129"/>
    </row>
    <row r="4417" spans="1:15" ht="12.5">
      <c r="A4417" s="158" t="s">
        <v>25546</v>
      </c>
      <c r="B4417" s="159">
        <v>45</v>
      </c>
      <c r="C4417" s="159">
        <v>30</v>
      </c>
      <c r="D4417" s="159">
        <v>36</v>
      </c>
      <c r="E4417" s="159">
        <v>3</v>
      </c>
      <c r="F4417" s="131"/>
      <c r="G4417" s="132"/>
      <c r="H4417" s="162" t="s">
        <v>25547</v>
      </c>
      <c r="I4417" s="158" t="s">
        <v>25548</v>
      </c>
      <c r="J4417" s="128"/>
      <c r="K4417" s="128"/>
      <c r="L4417" s="128"/>
      <c r="M4417" s="129"/>
      <c r="N4417" s="129"/>
      <c r="O4417" s="129"/>
    </row>
    <row r="4418" spans="1:15" ht="12.5">
      <c r="A4418" s="158" t="s">
        <v>25549</v>
      </c>
      <c r="B4418" s="159">
        <v>45</v>
      </c>
      <c r="C4418" s="159">
        <v>30</v>
      </c>
      <c r="D4418" s="159">
        <v>36</v>
      </c>
      <c r="E4418" s="159">
        <v>4</v>
      </c>
      <c r="F4418" s="131"/>
      <c r="G4418" s="132"/>
      <c r="H4418" s="162" t="s">
        <v>25550</v>
      </c>
      <c r="I4418" s="158" t="s">
        <v>25551</v>
      </c>
      <c r="J4418" s="128"/>
      <c r="K4418" s="128"/>
      <c r="L4418" s="128"/>
      <c r="M4418" s="129"/>
      <c r="N4418" s="129"/>
      <c r="O4418" s="129"/>
    </row>
    <row r="4419" spans="1:15" ht="12.5">
      <c r="A4419" s="158" t="s">
        <v>25552</v>
      </c>
      <c r="B4419" s="159">
        <v>45</v>
      </c>
      <c r="C4419" s="159">
        <v>30</v>
      </c>
      <c r="D4419" s="159">
        <v>36</v>
      </c>
      <c r="E4419" s="159">
        <v>5</v>
      </c>
      <c r="F4419" s="131"/>
      <c r="G4419" s="132"/>
      <c r="H4419" s="162" t="s">
        <v>25553</v>
      </c>
      <c r="I4419" s="158" t="s">
        <v>25554</v>
      </c>
      <c r="J4419" s="128"/>
      <c r="K4419" s="128"/>
      <c r="L4419" s="128"/>
      <c r="M4419" s="129"/>
      <c r="N4419" s="129"/>
      <c r="O4419" s="129"/>
    </row>
    <row r="4420" spans="1:15" ht="12.5">
      <c r="A4420" s="158" t="s">
        <v>25555</v>
      </c>
      <c r="B4420" s="159">
        <v>45</v>
      </c>
      <c r="C4420" s="159">
        <v>30</v>
      </c>
      <c r="D4420" s="159">
        <v>36</v>
      </c>
      <c r="E4420" s="159">
        <v>6</v>
      </c>
      <c r="F4420" s="131"/>
      <c r="G4420" s="132"/>
      <c r="H4420" s="162" t="s">
        <v>25556</v>
      </c>
      <c r="I4420" s="158" t="s">
        <v>25557</v>
      </c>
      <c r="J4420" s="128"/>
      <c r="K4420" s="128"/>
      <c r="L4420" s="128"/>
      <c r="M4420" s="129"/>
      <c r="N4420" s="129"/>
      <c r="O4420" s="129"/>
    </row>
    <row r="4421" spans="1:15" ht="12.5">
      <c r="A4421" s="158" t="s">
        <v>25558</v>
      </c>
      <c r="B4421" s="159">
        <v>45</v>
      </c>
      <c r="C4421" s="159">
        <v>30</v>
      </c>
      <c r="D4421" s="159">
        <v>36</v>
      </c>
      <c r="E4421" s="159">
        <v>11</v>
      </c>
      <c r="F4421" s="131"/>
      <c r="G4421" s="132"/>
      <c r="H4421" s="162" t="s">
        <v>25559</v>
      </c>
      <c r="I4421" s="128"/>
      <c r="J4421" s="128"/>
      <c r="K4421" s="128"/>
      <c r="L4421" s="128"/>
      <c r="M4421" s="129"/>
      <c r="N4421" s="129"/>
      <c r="O4421" s="129"/>
    </row>
    <row r="4422" spans="1:15" ht="12.5">
      <c r="A4422" s="158" t="s">
        <v>25560</v>
      </c>
      <c r="B4422" s="159">
        <v>45</v>
      </c>
      <c r="C4422" s="159">
        <v>30</v>
      </c>
      <c r="D4422" s="159">
        <v>36</v>
      </c>
      <c r="E4422" s="159">
        <v>13</v>
      </c>
      <c r="F4422" s="131"/>
      <c r="G4422" s="132"/>
      <c r="H4422" s="162" t="s">
        <v>25561</v>
      </c>
      <c r="I4422" s="128"/>
      <c r="J4422" s="128"/>
      <c r="K4422" s="128"/>
      <c r="L4422" s="128"/>
      <c r="M4422" s="129"/>
      <c r="N4422" s="129"/>
      <c r="O4422" s="129"/>
    </row>
    <row r="4423" spans="1:15" ht="12.5">
      <c r="A4423" s="158" t="s">
        <v>25564</v>
      </c>
      <c r="B4423" s="159">
        <v>45</v>
      </c>
      <c r="C4423" s="159">
        <v>30</v>
      </c>
      <c r="D4423" s="159">
        <v>36</v>
      </c>
      <c r="E4423" s="159">
        <v>15</v>
      </c>
      <c r="F4423" s="131"/>
      <c r="G4423" s="132"/>
      <c r="H4423" s="162" t="s">
        <v>25565</v>
      </c>
      <c r="I4423" s="158" t="s">
        <v>25566</v>
      </c>
      <c r="J4423" s="128"/>
      <c r="K4423" s="128"/>
      <c r="L4423" s="128"/>
      <c r="M4423" s="129"/>
      <c r="N4423" s="129"/>
      <c r="O4423" s="129"/>
    </row>
    <row r="4424" spans="1:15" ht="12.5">
      <c r="A4424" s="158" t="s">
        <v>25567</v>
      </c>
      <c r="B4424" s="159">
        <v>45</v>
      </c>
      <c r="C4424" s="159">
        <v>30</v>
      </c>
      <c r="D4424" s="159">
        <v>36</v>
      </c>
      <c r="E4424" s="159">
        <v>16</v>
      </c>
      <c r="F4424" s="131"/>
      <c r="G4424" s="132"/>
      <c r="H4424" s="162" t="s">
        <v>25568</v>
      </c>
      <c r="I4424" s="158" t="s">
        <v>25569</v>
      </c>
      <c r="J4424" s="128"/>
      <c r="K4424" s="128"/>
      <c r="L4424" s="128"/>
      <c r="M4424" s="129"/>
      <c r="N4424" s="129"/>
      <c r="O4424" s="129"/>
    </row>
    <row r="4425" spans="1:15" ht="12.5">
      <c r="A4425" s="158" t="s">
        <v>25570</v>
      </c>
      <c r="B4425" s="159">
        <v>45</v>
      </c>
      <c r="C4425" s="159">
        <v>30</v>
      </c>
      <c r="D4425" s="159">
        <v>36</v>
      </c>
      <c r="E4425" s="159">
        <v>64</v>
      </c>
      <c r="F4425" s="131"/>
      <c r="G4425" s="132"/>
      <c r="H4425" s="162" t="s">
        <v>25571</v>
      </c>
      <c r="I4425" s="158" t="s">
        <v>25572</v>
      </c>
      <c r="J4425" s="128"/>
      <c r="K4425" s="128"/>
      <c r="L4425" s="128"/>
      <c r="M4425" s="129"/>
      <c r="N4425" s="129"/>
      <c r="O4425" s="129"/>
    </row>
    <row r="4426" spans="1:15" ht="12.5">
      <c r="A4426" s="158" t="s">
        <v>25573</v>
      </c>
      <c r="B4426" s="159">
        <v>45</v>
      </c>
      <c r="C4426" s="159">
        <v>30</v>
      </c>
      <c r="D4426" s="159">
        <v>36</v>
      </c>
      <c r="E4426" s="159">
        <v>65</v>
      </c>
      <c r="F4426" s="131"/>
      <c r="G4426" s="132"/>
      <c r="H4426" s="162" t="s">
        <v>25574</v>
      </c>
      <c r="I4426" s="158" t="s">
        <v>25575</v>
      </c>
      <c r="J4426" s="128"/>
      <c r="K4426" s="128"/>
      <c r="L4426" s="128"/>
      <c r="M4426" s="129"/>
      <c r="N4426" s="129"/>
      <c r="O4426" s="129"/>
    </row>
    <row r="4427" spans="1:15" ht="12.5">
      <c r="A4427" s="158" t="s">
        <v>25576</v>
      </c>
      <c r="B4427" s="159">
        <v>45</v>
      </c>
      <c r="C4427" s="159">
        <v>30</v>
      </c>
      <c r="D4427" s="159">
        <v>76</v>
      </c>
      <c r="E4427" s="130"/>
      <c r="F4427" s="131"/>
      <c r="G4427" s="132"/>
      <c r="H4427" s="162" t="s">
        <v>25577</v>
      </c>
      <c r="I4427" s="128"/>
      <c r="J4427" s="128"/>
      <c r="K4427" s="128"/>
      <c r="L4427" s="128"/>
      <c r="M4427" s="129"/>
      <c r="N4427" s="129"/>
      <c r="O4427" s="129"/>
    </row>
    <row r="4428" spans="1:15" ht="12.5">
      <c r="A4428" s="158" t="s">
        <v>25578</v>
      </c>
      <c r="B4428" s="159">
        <v>45</v>
      </c>
      <c r="C4428" s="159">
        <v>30</v>
      </c>
      <c r="D4428" s="159">
        <v>76</v>
      </c>
      <c r="E4428" s="159">
        <v>29</v>
      </c>
      <c r="F4428" s="131"/>
      <c r="G4428" s="132"/>
      <c r="H4428" s="162" t="s">
        <v>25579</v>
      </c>
      <c r="I4428" s="128"/>
      <c r="J4428" s="128"/>
      <c r="K4428" s="128"/>
      <c r="L4428" s="128"/>
      <c r="M4428" s="129"/>
      <c r="N4428" s="129"/>
      <c r="O4428" s="129"/>
    </row>
    <row r="4429" spans="1:15" ht="12.5">
      <c r="A4429" s="158" t="s">
        <v>25580</v>
      </c>
      <c r="B4429" s="159">
        <v>45</v>
      </c>
      <c r="C4429" s="159">
        <v>30</v>
      </c>
      <c r="D4429" s="159">
        <v>76</v>
      </c>
      <c r="E4429" s="159">
        <v>32</v>
      </c>
      <c r="F4429" s="131"/>
      <c r="G4429" s="132"/>
      <c r="H4429" s="162" t="s">
        <v>25581</v>
      </c>
      <c r="I4429" s="128"/>
      <c r="J4429" s="128"/>
      <c r="K4429" s="128"/>
      <c r="L4429" s="128"/>
      <c r="M4429" s="129"/>
      <c r="N4429" s="129"/>
      <c r="O4429" s="129"/>
    </row>
    <row r="4430" spans="1:15" ht="12.5">
      <c r="A4430" s="158" t="s">
        <v>25582</v>
      </c>
      <c r="B4430" s="159">
        <v>45</v>
      </c>
      <c r="C4430" s="159">
        <v>30</v>
      </c>
      <c r="D4430" s="159">
        <v>76</v>
      </c>
      <c r="E4430" s="159">
        <v>34</v>
      </c>
      <c r="F4430" s="131"/>
      <c r="G4430" s="132"/>
      <c r="H4430" s="162" t="s">
        <v>25583</v>
      </c>
      <c r="I4430" s="158" t="s">
        <v>25584</v>
      </c>
      <c r="J4430" s="128"/>
      <c r="K4430" s="128"/>
      <c r="L4430" s="128"/>
      <c r="M4430" s="129"/>
      <c r="N4430" s="129"/>
      <c r="O4430" s="129"/>
    </row>
    <row r="4431" spans="1:15" ht="12.5">
      <c r="A4431" s="158" t="s">
        <v>25585</v>
      </c>
      <c r="B4431" s="159">
        <v>45</v>
      </c>
      <c r="C4431" s="159">
        <v>30</v>
      </c>
      <c r="D4431" s="159">
        <v>76</v>
      </c>
      <c r="E4431" s="159">
        <v>39</v>
      </c>
      <c r="F4431" s="131"/>
      <c r="G4431" s="132"/>
      <c r="H4431" s="162" t="s">
        <v>25586</v>
      </c>
      <c r="I4431" s="128"/>
      <c r="J4431" s="128"/>
      <c r="K4431" s="128"/>
      <c r="L4431" s="128"/>
      <c r="M4431" s="129"/>
      <c r="N4431" s="129"/>
      <c r="O4431" s="129"/>
    </row>
    <row r="4432" spans="1:15" ht="12.5">
      <c r="A4432" s="158" t="s">
        <v>25587</v>
      </c>
      <c r="B4432" s="159">
        <v>45</v>
      </c>
      <c r="C4432" s="159">
        <v>30</v>
      </c>
      <c r="D4432" s="159">
        <v>76</v>
      </c>
      <c r="E4432" s="159">
        <v>48</v>
      </c>
      <c r="F4432" s="131"/>
      <c r="G4432" s="132"/>
      <c r="H4432" s="162" t="s">
        <v>25588</v>
      </c>
      <c r="I4432" s="158" t="s">
        <v>25589</v>
      </c>
      <c r="J4432" s="128"/>
      <c r="K4432" s="128"/>
      <c r="L4432" s="128"/>
      <c r="M4432" s="129"/>
      <c r="N4432" s="129"/>
      <c r="O4432" s="129"/>
    </row>
    <row r="4433" spans="1:15" ht="12.5">
      <c r="A4433" s="158" t="s">
        <v>25590</v>
      </c>
      <c r="B4433" s="159">
        <v>45</v>
      </c>
      <c r="C4433" s="159">
        <v>30</v>
      </c>
      <c r="D4433" s="159">
        <v>76</v>
      </c>
      <c r="E4433" s="159">
        <v>77</v>
      </c>
      <c r="F4433" s="131"/>
      <c r="G4433" s="132"/>
      <c r="H4433" s="162" t="s">
        <v>25591</v>
      </c>
      <c r="I4433" s="158" t="s">
        <v>25592</v>
      </c>
      <c r="J4433" s="128"/>
      <c r="K4433" s="128"/>
      <c r="L4433" s="128"/>
      <c r="M4433" s="129"/>
      <c r="N4433" s="129"/>
      <c r="O4433" s="129"/>
    </row>
    <row r="4434" spans="1:15" ht="12.5">
      <c r="A4434" s="158" t="s">
        <v>25593</v>
      </c>
      <c r="B4434" s="159">
        <v>45</v>
      </c>
      <c r="C4434" s="159">
        <v>30</v>
      </c>
      <c r="D4434" s="159">
        <v>76</v>
      </c>
      <c r="E4434" s="159">
        <v>90</v>
      </c>
      <c r="F4434" s="131"/>
      <c r="G4434" s="132"/>
      <c r="H4434" s="162" t="s">
        <v>25594</v>
      </c>
      <c r="I4434" s="158" t="s">
        <v>25595</v>
      </c>
      <c r="J4434" s="128"/>
      <c r="K4434" s="128"/>
      <c r="L4434" s="128"/>
      <c r="M4434" s="129"/>
      <c r="N4434" s="129"/>
      <c r="O4434" s="129"/>
    </row>
    <row r="4435" spans="1:15" ht="12.5">
      <c r="A4435" s="158" t="s">
        <v>25596</v>
      </c>
      <c r="B4435" s="159">
        <v>45</v>
      </c>
      <c r="C4435" s="159">
        <v>30</v>
      </c>
      <c r="D4435" s="159">
        <v>76</v>
      </c>
      <c r="E4435" s="159">
        <v>94</v>
      </c>
      <c r="F4435" s="131"/>
      <c r="G4435" s="132"/>
      <c r="H4435" s="162" t="s">
        <v>25597</v>
      </c>
      <c r="I4435" s="128"/>
      <c r="J4435" s="128"/>
      <c r="K4435" s="128"/>
      <c r="L4435" s="128"/>
      <c r="M4435" s="129"/>
      <c r="N4435" s="129"/>
      <c r="O4435" s="129"/>
    </row>
    <row r="4436" spans="1:15" ht="12.5">
      <c r="A4436" s="158" t="s">
        <v>25598</v>
      </c>
      <c r="B4436" s="159">
        <v>45</v>
      </c>
      <c r="C4436" s="159">
        <v>30</v>
      </c>
      <c r="D4436" s="159">
        <v>76</v>
      </c>
      <c r="E4436" s="159">
        <v>97</v>
      </c>
      <c r="F4436" s="131"/>
      <c r="G4436" s="132"/>
      <c r="H4436" s="162" t="s">
        <v>25599</v>
      </c>
      <c r="I4436" s="158" t="s">
        <v>25600</v>
      </c>
      <c r="J4436" s="128"/>
      <c r="K4436" s="128"/>
      <c r="L4436" s="128"/>
      <c r="M4436" s="129"/>
      <c r="N4436" s="129"/>
      <c r="O4436" s="129"/>
    </row>
    <row r="4437" spans="1:15" ht="12.5">
      <c r="A4437" s="158" t="s">
        <v>25641</v>
      </c>
      <c r="B4437" s="159">
        <v>45</v>
      </c>
      <c r="C4437" s="159">
        <v>30</v>
      </c>
      <c r="D4437" s="159">
        <v>90</v>
      </c>
      <c r="E4437" s="130"/>
      <c r="F4437" s="131"/>
      <c r="G4437" s="132"/>
      <c r="H4437" s="162" t="s">
        <v>33485</v>
      </c>
      <c r="I4437" s="128"/>
      <c r="J4437" s="128"/>
      <c r="K4437" s="128"/>
      <c r="L4437" s="128"/>
      <c r="M4437" s="129"/>
      <c r="N4437" s="129"/>
      <c r="O4437" s="129"/>
    </row>
    <row r="4438" spans="1:15" ht="12.5">
      <c r="A4438" s="158" t="s">
        <v>33486</v>
      </c>
      <c r="B4438" s="159">
        <v>45</v>
      </c>
      <c r="C4438" s="159">
        <v>30</v>
      </c>
      <c r="D4438" s="159">
        <v>90</v>
      </c>
      <c r="E4438" s="159">
        <v>4</v>
      </c>
      <c r="F4438" s="131"/>
      <c r="G4438" s="132"/>
      <c r="H4438" s="162" t="s">
        <v>25604</v>
      </c>
      <c r="I4438" s="158" t="s">
        <v>25605</v>
      </c>
      <c r="J4438" s="128"/>
      <c r="K4438" s="128"/>
      <c r="L4438" s="128"/>
      <c r="M4438" s="129"/>
      <c r="N4438" s="129"/>
      <c r="O4438" s="129"/>
    </row>
    <row r="4439" spans="1:15" ht="12.5">
      <c r="A4439" s="158" t="s">
        <v>25643</v>
      </c>
      <c r="B4439" s="159">
        <v>45</v>
      </c>
      <c r="C4439" s="159">
        <v>30</v>
      </c>
      <c r="D4439" s="159">
        <v>90</v>
      </c>
      <c r="E4439" s="159">
        <v>5</v>
      </c>
      <c r="F4439" s="131"/>
      <c r="G4439" s="132"/>
      <c r="H4439" s="162" t="s">
        <v>25644</v>
      </c>
      <c r="I4439" s="158" t="s">
        <v>25645</v>
      </c>
      <c r="J4439" s="128"/>
      <c r="K4439" s="128"/>
      <c r="L4439" s="128"/>
      <c r="M4439" s="129"/>
      <c r="N4439" s="129"/>
      <c r="O4439" s="129"/>
    </row>
    <row r="4440" spans="1:15" ht="12.5">
      <c r="A4440" s="158" t="s">
        <v>33487</v>
      </c>
      <c r="B4440" s="159">
        <v>45</v>
      </c>
      <c r="C4440" s="159">
        <v>30</v>
      </c>
      <c r="D4440" s="159">
        <v>90</v>
      </c>
      <c r="E4440" s="159">
        <v>6</v>
      </c>
      <c r="F4440" s="131"/>
      <c r="G4440" s="132"/>
      <c r="H4440" s="162" t="s">
        <v>25607</v>
      </c>
      <c r="I4440" s="158" t="s">
        <v>25608</v>
      </c>
      <c r="J4440" s="128"/>
      <c r="K4440" s="128"/>
      <c r="L4440" s="128"/>
      <c r="M4440" s="129"/>
      <c r="N4440" s="129"/>
      <c r="O4440" s="129"/>
    </row>
    <row r="4441" spans="1:15" ht="12.5">
      <c r="A4441" s="158" t="s">
        <v>25646</v>
      </c>
      <c r="B4441" s="159">
        <v>45</v>
      </c>
      <c r="C4441" s="159">
        <v>30</v>
      </c>
      <c r="D4441" s="159">
        <v>90</v>
      </c>
      <c r="E4441" s="159">
        <v>7</v>
      </c>
      <c r="F4441" s="131"/>
      <c r="G4441" s="132"/>
      <c r="H4441" s="162" t="s">
        <v>25647</v>
      </c>
      <c r="I4441" s="158" t="s">
        <v>25648</v>
      </c>
      <c r="J4441" s="128"/>
      <c r="K4441" s="128"/>
      <c r="L4441" s="128"/>
      <c r="M4441" s="129"/>
      <c r="N4441" s="129"/>
      <c r="O4441" s="129"/>
    </row>
    <row r="4442" spans="1:15" ht="12.5">
      <c r="A4442" s="158" t="s">
        <v>33488</v>
      </c>
      <c r="B4442" s="159">
        <v>45</v>
      </c>
      <c r="C4442" s="159">
        <v>30</v>
      </c>
      <c r="D4442" s="159">
        <v>90</v>
      </c>
      <c r="E4442" s="159">
        <v>8</v>
      </c>
      <c r="F4442" s="131"/>
      <c r="G4442" s="132"/>
      <c r="H4442" s="162" t="s">
        <v>25610</v>
      </c>
      <c r="I4442" s="158" t="s">
        <v>25611</v>
      </c>
      <c r="J4442" s="128"/>
      <c r="K4442" s="128"/>
      <c r="L4442" s="128"/>
      <c r="M4442" s="129"/>
      <c r="N4442" s="129"/>
      <c r="O4442" s="129"/>
    </row>
    <row r="4443" spans="1:15" ht="12.5">
      <c r="A4443" s="158" t="s">
        <v>25649</v>
      </c>
      <c r="B4443" s="159">
        <v>45</v>
      </c>
      <c r="C4443" s="159">
        <v>30</v>
      </c>
      <c r="D4443" s="159">
        <v>90</v>
      </c>
      <c r="E4443" s="159">
        <v>9</v>
      </c>
      <c r="F4443" s="131"/>
      <c r="G4443" s="132"/>
      <c r="H4443" s="162" t="s">
        <v>25650</v>
      </c>
      <c r="I4443" s="158" t="s">
        <v>25651</v>
      </c>
      <c r="J4443" s="128"/>
      <c r="K4443" s="128"/>
      <c r="L4443" s="128"/>
      <c r="M4443" s="129"/>
      <c r="N4443" s="129"/>
      <c r="O4443" s="129"/>
    </row>
    <row r="4444" spans="1:15" ht="12.5">
      <c r="A4444" s="158" t="s">
        <v>33489</v>
      </c>
      <c r="B4444" s="159">
        <v>45</v>
      </c>
      <c r="C4444" s="159">
        <v>30</v>
      </c>
      <c r="D4444" s="159">
        <v>90</v>
      </c>
      <c r="E4444" s="159">
        <v>10</v>
      </c>
      <c r="F4444" s="131"/>
      <c r="G4444" s="132"/>
      <c r="H4444" s="162" t="s">
        <v>25613</v>
      </c>
      <c r="I4444" s="158" t="s">
        <v>25614</v>
      </c>
      <c r="J4444" s="128"/>
      <c r="K4444" s="128"/>
      <c r="L4444" s="128"/>
      <c r="M4444" s="129"/>
      <c r="N4444" s="129"/>
      <c r="O4444" s="129"/>
    </row>
    <row r="4445" spans="1:15" ht="12.5">
      <c r="A4445" s="158" t="s">
        <v>25652</v>
      </c>
      <c r="B4445" s="159">
        <v>45</v>
      </c>
      <c r="C4445" s="159">
        <v>30</v>
      </c>
      <c r="D4445" s="159">
        <v>90</v>
      </c>
      <c r="E4445" s="159">
        <v>11</v>
      </c>
      <c r="F4445" s="131"/>
      <c r="G4445" s="132"/>
      <c r="H4445" s="162" t="s">
        <v>25653</v>
      </c>
      <c r="I4445" s="158" t="s">
        <v>25654</v>
      </c>
      <c r="J4445" s="128"/>
      <c r="K4445" s="128"/>
      <c r="L4445" s="128"/>
      <c r="M4445" s="129"/>
      <c r="N4445" s="129"/>
      <c r="O4445" s="129"/>
    </row>
    <row r="4446" spans="1:15" ht="12.5">
      <c r="A4446" s="158" t="s">
        <v>33490</v>
      </c>
      <c r="B4446" s="159">
        <v>45</v>
      </c>
      <c r="C4446" s="159">
        <v>30</v>
      </c>
      <c r="D4446" s="159">
        <v>90</v>
      </c>
      <c r="E4446" s="159">
        <v>12</v>
      </c>
      <c r="F4446" s="131"/>
      <c r="G4446" s="132"/>
      <c r="H4446" s="162" t="s">
        <v>25618</v>
      </c>
      <c r="I4446" s="158" t="s">
        <v>25619</v>
      </c>
      <c r="J4446" s="128"/>
      <c r="K4446" s="128"/>
      <c r="L4446" s="128"/>
      <c r="M4446" s="129"/>
      <c r="N4446" s="129"/>
      <c r="O4446" s="129"/>
    </row>
    <row r="4447" spans="1:15" ht="12.5">
      <c r="A4447" s="158" t="s">
        <v>25655</v>
      </c>
      <c r="B4447" s="159">
        <v>45</v>
      </c>
      <c r="C4447" s="159">
        <v>30</v>
      </c>
      <c r="D4447" s="159">
        <v>90</v>
      </c>
      <c r="E4447" s="159">
        <v>13</v>
      </c>
      <c r="F4447" s="131"/>
      <c r="G4447" s="132"/>
      <c r="H4447" s="162" t="s">
        <v>25656</v>
      </c>
      <c r="I4447" s="158" t="s">
        <v>25657</v>
      </c>
      <c r="J4447" s="128"/>
      <c r="K4447" s="128"/>
      <c r="L4447" s="128"/>
      <c r="M4447" s="129"/>
      <c r="N4447" s="129"/>
      <c r="O4447" s="129"/>
    </row>
    <row r="4448" spans="1:15" ht="12.5">
      <c r="A4448" s="158" t="s">
        <v>33491</v>
      </c>
      <c r="B4448" s="159">
        <v>45</v>
      </c>
      <c r="C4448" s="159">
        <v>30</v>
      </c>
      <c r="D4448" s="159">
        <v>90</v>
      </c>
      <c r="E4448" s="159">
        <v>14</v>
      </c>
      <c r="F4448" s="131"/>
      <c r="G4448" s="132"/>
      <c r="H4448" s="162" t="s">
        <v>25621</v>
      </c>
      <c r="I4448" s="158" t="s">
        <v>25622</v>
      </c>
      <c r="J4448" s="128"/>
      <c r="K4448" s="128"/>
      <c r="L4448" s="128"/>
      <c r="M4448" s="129"/>
      <c r="N4448" s="129"/>
      <c r="O4448" s="129"/>
    </row>
    <row r="4449" spans="1:15" ht="12.5">
      <c r="A4449" s="158" t="s">
        <v>33492</v>
      </c>
      <c r="B4449" s="159">
        <v>45</v>
      </c>
      <c r="C4449" s="159">
        <v>30</v>
      </c>
      <c r="D4449" s="159">
        <v>90</v>
      </c>
      <c r="E4449" s="159">
        <v>15</v>
      </c>
      <c r="F4449" s="131"/>
      <c r="G4449" s="132"/>
      <c r="H4449" s="162" t="s">
        <v>25624</v>
      </c>
      <c r="I4449" s="158" t="s">
        <v>25625</v>
      </c>
      <c r="J4449" s="128"/>
      <c r="K4449" s="128"/>
      <c r="L4449" s="128"/>
      <c r="M4449" s="129"/>
      <c r="N4449" s="129"/>
      <c r="O4449" s="129"/>
    </row>
    <row r="4450" spans="1:15" ht="12.5">
      <c r="A4450" s="158" t="s">
        <v>33493</v>
      </c>
      <c r="B4450" s="159">
        <v>45</v>
      </c>
      <c r="C4450" s="159">
        <v>30</v>
      </c>
      <c r="D4450" s="159">
        <v>90</v>
      </c>
      <c r="E4450" s="159">
        <v>16</v>
      </c>
      <c r="F4450" s="131"/>
      <c r="G4450" s="132"/>
      <c r="H4450" s="162" t="s">
        <v>25627</v>
      </c>
      <c r="I4450" s="158" t="s">
        <v>25628</v>
      </c>
      <c r="J4450" s="128"/>
      <c r="K4450" s="128"/>
      <c r="L4450" s="128"/>
      <c r="M4450" s="129"/>
      <c r="N4450" s="129"/>
      <c r="O4450" s="129"/>
    </row>
    <row r="4451" spans="1:15" ht="12.5">
      <c r="A4451" s="158" t="s">
        <v>25658</v>
      </c>
      <c r="B4451" s="159">
        <v>45</v>
      </c>
      <c r="C4451" s="159">
        <v>30</v>
      </c>
      <c r="D4451" s="159">
        <v>90</v>
      </c>
      <c r="E4451" s="159">
        <v>17</v>
      </c>
      <c r="F4451" s="131"/>
      <c r="G4451" s="132"/>
      <c r="H4451" s="162" t="s">
        <v>25659</v>
      </c>
      <c r="I4451" s="158" t="s">
        <v>25660</v>
      </c>
      <c r="J4451" s="128"/>
      <c r="K4451" s="128"/>
      <c r="L4451" s="128"/>
      <c r="M4451" s="129"/>
      <c r="N4451" s="129"/>
      <c r="O4451" s="129"/>
    </row>
    <row r="4452" spans="1:15" ht="12.5">
      <c r="A4452" s="158" t="s">
        <v>33494</v>
      </c>
      <c r="B4452" s="159">
        <v>45</v>
      </c>
      <c r="C4452" s="159">
        <v>30</v>
      </c>
      <c r="D4452" s="159">
        <v>90</v>
      </c>
      <c r="E4452" s="159">
        <v>18</v>
      </c>
      <c r="F4452" s="131"/>
      <c r="G4452" s="132"/>
      <c r="H4452" s="162" t="s">
        <v>25630</v>
      </c>
      <c r="I4452" s="158" t="s">
        <v>25631</v>
      </c>
      <c r="J4452" s="128"/>
      <c r="K4452" s="128"/>
      <c r="L4452" s="128"/>
      <c r="M4452" s="129"/>
      <c r="N4452" s="129"/>
      <c r="O4452" s="129"/>
    </row>
    <row r="4453" spans="1:15" ht="12.5">
      <c r="A4453" s="158" t="s">
        <v>25661</v>
      </c>
      <c r="B4453" s="159">
        <v>45</v>
      </c>
      <c r="C4453" s="159">
        <v>30</v>
      </c>
      <c r="D4453" s="159">
        <v>90</v>
      </c>
      <c r="E4453" s="159">
        <v>19</v>
      </c>
      <c r="F4453" s="131"/>
      <c r="G4453" s="132"/>
      <c r="H4453" s="162" t="s">
        <v>25662</v>
      </c>
      <c r="I4453" s="158" t="s">
        <v>25663</v>
      </c>
      <c r="J4453" s="128"/>
      <c r="K4453" s="128"/>
      <c r="L4453" s="128"/>
      <c r="M4453" s="129"/>
      <c r="N4453" s="129"/>
      <c r="O4453" s="129"/>
    </row>
    <row r="4454" spans="1:15" ht="12.5">
      <c r="A4454" s="158" t="s">
        <v>33495</v>
      </c>
      <c r="B4454" s="159">
        <v>45</v>
      </c>
      <c r="C4454" s="159">
        <v>30</v>
      </c>
      <c r="D4454" s="159">
        <v>90</v>
      </c>
      <c r="E4454" s="159">
        <v>20</v>
      </c>
      <c r="F4454" s="131"/>
      <c r="G4454" s="132"/>
      <c r="H4454" s="162" t="s">
        <v>25633</v>
      </c>
      <c r="I4454" s="158" t="s">
        <v>25634</v>
      </c>
      <c r="J4454" s="128"/>
      <c r="K4454" s="128"/>
      <c r="L4454" s="128"/>
      <c r="M4454" s="129"/>
      <c r="N4454" s="129"/>
      <c r="O4454" s="129"/>
    </row>
    <row r="4455" spans="1:15" ht="12.5">
      <c r="A4455" s="158" t="s">
        <v>25664</v>
      </c>
      <c r="B4455" s="159">
        <v>45</v>
      </c>
      <c r="C4455" s="159">
        <v>30</v>
      </c>
      <c r="D4455" s="159">
        <v>90</v>
      </c>
      <c r="E4455" s="159">
        <v>21</v>
      </c>
      <c r="F4455" s="131"/>
      <c r="G4455" s="132"/>
      <c r="H4455" s="162" t="s">
        <v>25665</v>
      </c>
      <c r="I4455" s="158" t="s">
        <v>25666</v>
      </c>
      <c r="J4455" s="128"/>
      <c r="K4455" s="128"/>
      <c r="L4455" s="128"/>
      <c r="M4455" s="129"/>
      <c r="N4455" s="129"/>
      <c r="O4455" s="129"/>
    </row>
    <row r="4456" spans="1:15" ht="12.5">
      <c r="A4456" s="158" t="s">
        <v>33496</v>
      </c>
      <c r="B4456" s="159">
        <v>45</v>
      </c>
      <c r="C4456" s="159">
        <v>30</v>
      </c>
      <c r="D4456" s="159">
        <v>90</v>
      </c>
      <c r="E4456" s="159">
        <v>71</v>
      </c>
      <c r="F4456" s="131"/>
      <c r="G4456" s="132"/>
      <c r="H4456" s="162" t="s">
        <v>25636</v>
      </c>
      <c r="I4456" s="158" t="s">
        <v>25637</v>
      </c>
      <c r="J4456" s="128"/>
      <c r="K4456" s="128"/>
      <c r="L4456" s="128"/>
      <c r="M4456" s="129"/>
      <c r="N4456" s="129"/>
      <c r="O4456" s="129"/>
    </row>
    <row r="4457" spans="1:15" ht="12.5">
      <c r="A4457" s="158" t="s">
        <v>25667</v>
      </c>
      <c r="B4457" s="159">
        <v>45</v>
      </c>
      <c r="C4457" s="159">
        <v>30</v>
      </c>
      <c r="D4457" s="159">
        <v>90</v>
      </c>
      <c r="E4457" s="159">
        <v>72</v>
      </c>
      <c r="F4457" s="131"/>
      <c r="G4457" s="132"/>
      <c r="H4457" s="162" t="s">
        <v>25668</v>
      </c>
      <c r="I4457" s="158" t="s">
        <v>25669</v>
      </c>
      <c r="J4457" s="128"/>
      <c r="K4457" s="128"/>
      <c r="L4457" s="128"/>
      <c r="M4457" s="129"/>
      <c r="N4457" s="129"/>
      <c r="O4457" s="129"/>
    </row>
    <row r="4458" spans="1:15" ht="12.5">
      <c r="A4458" s="158" t="s">
        <v>33497</v>
      </c>
      <c r="B4458" s="159">
        <v>45</v>
      </c>
      <c r="C4458" s="159">
        <v>30</v>
      </c>
      <c r="D4458" s="159">
        <v>90</v>
      </c>
      <c r="E4458" s="159">
        <v>73</v>
      </c>
      <c r="F4458" s="131"/>
      <c r="G4458" s="132"/>
      <c r="H4458" s="162" t="s">
        <v>25639</v>
      </c>
      <c r="I4458" s="158" t="s">
        <v>25640</v>
      </c>
      <c r="J4458" s="128"/>
      <c r="K4458" s="128"/>
      <c r="L4458" s="128"/>
      <c r="M4458" s="129"/>
      <c r="N4458" s="129"/>
      <c r="O4458" s="129"/>
    </row>
    <row r="4459" spans="1:15" ht="12.5">
      <c r="A4459" s="158" t="s">
        <v>25670</v>
      </c>
      <c r="B4459" s="159">
        <v>45</v>
      </c>
      <c r="C4459" s="159">
        <v>30</v>
      </c>
      <c r="D4459" s="159">
        <v>90</v>
      </c>
      <c r="E4459" s="159">
        <v>74</v>
      </c>
      <c r="F4459" s="131"/>
      <c r="G4459" s="132"/>
      <c r="H4459" s="162" t="s">
        <v>25671</v>
      </c>
      <c r="I4459" s="158" t="s">
        <v>25672</v>
      </c>
      <c r="J4459" s="128"/>
      <c r="K4459" s="128"/>
      <c r="L4459" s="128"/>
      <c r="M4459" s="129"/>
      <c r="N4459" s="129"/>
      <c r="O4459" s="129"/>
    </row>
    <row r="4460" spans="1:15" ht="12.5">
      <c r="A4460" s="144" t="s">
        <v>25673</v>
      </c>
      <c r="B4460" s="145">
        <v>45</v>
      </c>
      <c r="C4460" s="145">
        <v>31</v>
      </c>
      <c r="D4460" s="146"/>
      <c r="E4460" s="146"/>
      <c r="F4460" s="147" t="s">
        <v>33498</v>
      </c>
      <c r="G4460" s="190"/>
      <c r="H4460" s="149" t="s">
        <v>25674</v>
      </c>
      <c r="I4460" s="150"/>
      <c r="J4460" s="150"/>
      <c r="K4460" s="150"/>
      <c r="L4460" s="150"/>
      <c r="M4460" s="191"/>
      <c r="N4460" s="191"/>
      <c r="O4460" s="191"/>
    </row>
    <row r="4461" spans="1:15" ht="12.5">
      <c r="A4461" s="158" t="s">
        <v>25675</v>
      </c>
      <c r="B4461" s="159">
        <v>45</v>
      </c>
      <c r="C4461" s="159">
        <v>31</v>
      </c>
      <c r="D4461" s="159">
        <v>3</v>
      </c>
      <c r="E4461" s="130"/>
      <c r="F4461" s="131"/>
      <c r="G4461" s="132"/>
      <c r="H4461" s="162" t="s">
        <v>25676</v>
      </c>
      <c r="I4461" s="128"/>
      <c r="J4461" s="128"/>
      <c r="K4461" s="128"/>
      <c r="L4461" s="128"/>
      <c r="M4461" s="129"/>
      <c r="N4461" s="129"/>
      <c r="O4461" s="129"/>
    </row>
    <row r="4462" spans="1:15" ht="12.5">
      <c r="A4462" s="158" t="s">
        <v>25677</v>
      </c>
      <c r="B4462" s="159">
        <v>45</v>
      </c>
      <c r="C4462" s="159">
        <v>31</v>
      </c>
      <c r="D4462" s="159">
        <v>3</v>
      </c>
      <c r="E4462" s="159">
        <v>8</v>
      </c>
      <c r="F4462" s="131"/>
      <c r="G4462" s="132"/>
      <c r="H4462" s="162" t="s">
        <v>25678</v>
      </c>
      <c r="I4462" s="158" t="s">
        <v>25679</v>
      </c>
      <c r="J4462" s="128"/>
      <c r="K4462" s="128"/>
      <c r="L4462" s="128"/>
      <c r="M4462" s="129"/>
      <c r="N4462" s="129"/>
      <c r="O4462" s="129"/>
    </row>
    <row r="4463" spans="1:15" ht="12.5">
      <c r="A4463" s="158" t="s">
        <v>25680</v>
      </c>
      <c r="B4463" s="159">
        <v>45</v>
      </c>
      <c r="C4463" s="159">
        <v>31</v>
      </c>
      <c r="D4463" s="159">
        <v>3</v>
      </c>
      <c r="E4463" s="159">
        <v>42</v>
      </c>
      <c r="F4463" s="131"/>
      <c r="G4463" s="132"/>
      <c r="H4463" s="162" t="s">
        <v>25681</v>
      </c>
      <c r="I4463" s="158" t="s">
        <v>25682</v>
      </c>
      <c r="J4463" s="128"/>
      <c r="K4463" s="128"/>
      <c r="L4463" s="128"/>
      <c r="M4463" s="129"/>
      <c r="N4463" s="129"/>
      <c r="O4463" s="129"/>
    </row>
    <row r="4464" spans="1:15" ht="12.5">
      <c r="A4464" s="158" t="s">
        <v>25683</v>
      </c>
      <c r="B4464" s="159">
        <v>45</v>
      </c>
      <c r="C4464" s="159">
        <v>31</v>
      </c>
      <c r="D4464" s="159">
        <v>3</v>
      </c>
      <c r="E4464" s="159">
        <v>64</v>
      </c>
      <c r="F4464" s="131"/>
      <c r="G4464" s="132"/>
      <c r="H4464" s="162" t="s">
        <v>25684</v>
      </c>
      <c r="I4464" s="128"/>
      <c r="J4464" s="128"/>
      <c r="K4464" s="128"/>
      <c r="L4464" s="128"/>
      <c r="M4464" s="129"/>
      <c r="N4464" s="129"/>
      <c r="O4464" s="129"/>
    </row>
    <row r="4465" spans="1:15" ht="12.5">
      <c r="A4465" s="158" t="s">
        <v>25685</v>
      </c>
      <c r="B4465" s="159">
        <v>45</v>
      </c>
      <c r="C4465" s="159">
        <v>31</v>
      </c>
      <c r="D4465" s="159">
        <v>3</v>
      </c>
      <c r="E4465" s="159">
        <v>72</v>
      </c>
      <c r="F4465" s="131"/>
      <c r="G4465" s="132"/>
      <c r="H4465" s="162" t="s">
        <v>25686</v>
      </c>
      <c r="I4465" s="158" t="s">
        <v>25687</v>
      </c>
      <c r="J4465" s="128"/>
      <c r="K4465" s="128"/>
      <c r="L4465" s="128"/>
      <c r="M4465" s="129"/>
      <c r="N4465" s="129"/>
      <c r="O4465" s="129"/>
    </row>
    <row r="4466" spans="1:15" ht="12.5">
      <c r="A4466" s="158" t="s">
        <v>25692</v>
      </c>
      <c r="B4466" s="159">
        <v>45</v>
      </c>
      <c r="C4466" s="159">
        <v>31</v>
      </c>
      <c r="D4466" s="159">
        <v>3</v>
      </c>
      <c r="E4466" s="159">
        <v>96</v>
      </c>
      <c r="F4466" s="131"/>
      <c r="G4466" s="132"/>
      <c r="H4466" s="162" t="s">
        <v>25693</v>
      </c>
      <c r="I4466" s="158" t="s">
        <v>25694</v>
      </c>
      <c r="J4466" s="128"/>
      <c r="K4466" s="128"/>
      <c r="L4466" s="128"/>
      <c r="M4466" s="129"/>
      <c r="N4466" s="129"/>
      <c r="O4466" s="129"/>
    </row>
    <row r="4467" spans="1:15" ht="12.5">
      <c r="A4467" s="158" t="s">
        <v>25695</v>
      </c>
      <c r="B4467" s="159">
        <v>45</v>
      </c>
      <c r="C4467" s="159">
        <v>31</v>
      </c>
      <c r="D4467" s="159">
        <v>37</v>
      </c>
      <c r="E4467" s="130"/>
      <c r="F4467" s="131"/>
      <c r="G4467" s="132"/>
      <c r="H4467" s="162" t="s">
        <v>25696</v>
      </c>
      <c r="I4467" s="128"/>
      <c r="J4467" s="128"/>
      <c r="K4467" s="128"/>
      <c r="L4467" s="128"/>
      <c r="M4467" s="129"/>
      <c r="N4467" s="129"/>
      <c r="O4467" s="129"/>
    </row>
    <row r="4468" spans="1:15" ht="12.5">
      <c r="A4468" s="158" t="s">
        <v>25697</v>
      </c>
      <c r="B4468" s="159">
        <v>45</v>
      </c>
      <c r="C4468" s="159">
        <v>31</v>
      </c>
      <c r="D4468" s="159">
        <v>37</v>
      </c>
      <c r="E4468" s="159">
        <v>15</v>
      </c>
      <c r="F4468" s="131"/>
      <c r="G4468" s="132"/>
      <c r="H4468" s="162" t="s">
        <v>25698</v>
      </c>
      <c r="I4468" s="158" t="s">
        <v>25699</v>
      </c>
      <c r="J4468" s="128"/>
      <c r="K4468" s="128"/>
      <c r="L4468" s="128"/>
      <c r="M4468" s="129"/>
      <c r="N4468" s="129"/>
      <c r="O4468" s="129"/>
    </row>
    <row r="4469" spans="1:15" ht="12.5">
      <c r="A4469" s="158" t="s">
        <v>25700</v>
      </c>
      <c r="B4469" s="159">
        <v>45</v>
      </c>
      <c r="C4469" s="159">
        <v>31</v>
      </c>
      <c r="D4469" s="159">
        <v>37</v>
      </c>
      <c r="E4469" s="159">
        <v>56</v>
      </c>
      <c r="F4469" s="131"/>
      <c r="G4469" s="132"/>
      <c r="H4469" s="162" t="s">
        <v>25701</v>
      </c>
      <c r="I4469" s="158" t="s">
        <v>25702</v>
      </c>
      <c r="J4469" s="128"/>
      <c r="K4469" s="128"/>
      <c r="L4469" s="128"/>
      <c r="M4469" s="129"/>
      <c r="N4469" s="129"/>
      <c r="O4469" s="129"/>
    </row>
    <row r="4470" spans="1:15" ht="12.5">
      <c r="A4470" s="158" t="s">
        <v>25703</v>
      </c>
      <c r="B4470" s="159">
        <v>45</v>
      </c>
      <c r="C4470" s="159">
        <v>31</v>
      </c>
      <c r="D4470" s="159">
        <v>37</v>
      </c>
      <c r="E4470" s="159">
        <v>57</v>
      </c>
      <c r="F4470" s="131"/>
      <c r="G4470" s="132"/>
      <c r="H4470" s="162" t="s">
        <v>25704</v>
      </c>
      <c r="I4470" s="158" t="s">
        <v>25705</v>
      </c>
      <c r="J4470" s="128"/>
      <c r="K4470" s="128"/>
      <c r="L4470" s="128"/>
      <c r="M4470" s="129"/>
      <c r="N4470" s="129"/>
      <c r="O4470" s="129"/>
    </row>
    <row r="4471" spans="1:15" ht="12.5">
      <c r="A4471" s="158" t="s">
        <v>25706</v>
      </c>
      <c r="B4471" s="159">
        <v>45</v>
      </c>
      <c r="C4471" s="159">
        <v>31</v>
      </c>
      <c r="D4471" s="159">
        <v>37</v>
      </c>
      <c r="E4471" s="159">
        <v>58</v>
      </c>
      <c r="F4471" s="131"/>
      <c r="G4471" s="132"/>
      <c r="H4471" s="162" t="s">
        <v>25707</v>
      </c>
      <c r="I4471" s="158" t="s">
        <v>25708</v>
      </c>
      <c r="J4471" s="128"/>
      <c r="K4471" s="128"/>
      <c r="L4471" s="128"/>
      <c r="M4471" s="129"/>
      <c r="N4471" s="129"/>
      <c r="O4471" s="129"/>
    </row>
    <row r="4472" spans="1:15" ht="12.5">
      <c r="A4472" s="158" t="s">
        <v>25709</v>
      </c>
      <c r="B4472" s="159">
        <v>45</v>
      </c>
      <c r="C4472" s="159">
        <v>31</v>
      </c>
      <c r="D4472" s="159">
        <v>37</v>
      </c>
      <c r="E4472" s="159">
        <v>76</v>
      </c>
      <c r="F4472" s="131"/>
      <c r="G4472" s="132"/>
      <c r="H4472" s="162" t="s">
        <v>25710</v>
      </c>
      <c r="I4472" s="158" t="s">
        <v>25711</v>
      </c>
      <c r="J4472" s="128"/>
      <c r="K4472" s="128"/>
      <c r="L4472" s="128"/>
      <c r="M4472" s="129"/>
      <c r="N4472" s="129"/>
      <c r="O4472" s="129"/>
    </row>
    <row r="4473" spans="1:15" ht="12.5">
      <c r="A4473" s="158" t="s">
        <v>25712</v>
      </c>
      <c r="B4473" s="159">
        <v>45</v>
      </c>
      <c r="C4473" s="159">
        <v>31</v>
      </c>
      <c r="D4473" s="159">
        <v>52</v>
      </c>
      <c r="E4473" s="130"/>
      <c r="F4473" s="131"/>
      <c r="G4473" s="132"/>
      <c r="H4473" s="162" t="s">
        <v>25713</v>
      </c>
      <c r="I4473" s="128"/>
      <c r="J4473" s="128"/>
      <c r="K4473" s="128"/>
      <c r="L4473" s="128"/>
      <c r="M4473" s="129"/>
      <c r="N4473" s="129"/>
      <c r="O4473" s="129"/>
    </row>
    <row r="4474" spans="1:15" ht="12.5">
      <c r="A4474" s="158" t="s">
        <v>25714</v>
      </c>
      <c r="B4474" s="159">
        <v>45</v>
      </c>
      <c r="C4474" s="159">
        <v>31</v>
      </c>
      <c r="D4474" s="159">
        <v>52</v>
      </c>
      <c r="E4474" s="159">
        <v>3</v>
      </c>
      <c r="F4474" s="131"/>
      <c r="G4474" s="132"/>
      <c r="H4474" s="162" t="s">
        <v>25715</v>
      </c>
      <c r="I4474" s="158" t="s">
        <v>25716</v>
      </c>
      <c r="J4474" s="128"/>
      <c r="K4474" s="128"/>
      <c r="L4474" s="128"/>
      <c r="M4474" s="129"/>
      <c r="N4474" s="129"/>
      <c r="O4474" s="129"/>
    </row>
    <row r="4475" spans="1:15" ht="12.5">
      <c r="A4475" s="158" t="s">
        <v>25717</v>
      </c>
      <c r="B4475" s="159">
        <v>45</v>
      </c>
      <c r="C4475" s="159">
        <v>31</v>
      </c>
      <c r="D4475" s="159">
        <v>52</v>
      </c>
      <c r="E4475" s="159">
        <v>7</v>
      </c>
      <c r="F4475" s="131"/>
      <c r="G4475" s="132"/>
      <c r="H4475" s="162" t="s">
        <v>25718</v>
      </c>
      <c r="I4475" s="158" t="s">
        <v>25719</v>
      </c>
      <c r="J4475" s="128"/>
      <c r="K4475" s="128"/>
      <c r="L4475" s="128"/>
      <c r="M4475" s="129"/>
      <c r="N4475" s="129"/>
      <c r="O4475" s="129"/>
    </row>
    <row r="4476" spans="1:15" ht="12.5">
      <c r="A4476" s="158" t="s">
        <v>25720</v>
      </c>
      <c r="B4476" s="159">
        <v>45</v>
      </c>
      <c r="C4476" s="159">
        <v>31</v>
      </c>
      <c r="D4476" s="159">
        <v>52</v>
      </c>
      <c r="E4476" s="159">
        <v>31</v>
      </c>
      <c r="F4476" s="131"/>
      <c r="G4476" s="132"/>
      <c r="H4476" s="162" t="s">
        <v>25721</v>
      </c>
      <c r="I4476" s="158" t="s">
        <v>25722</v>
      </c>
      <c r="J4476" s="128"/>
      <c r="K4476" s="128"/>
      <c r="L4476" s="128"/>
      <c r="M4476" s="129"/>
      <c r="N4476" s="129"/>
      <c r="O4476" s="129"/>
    </row>
    <row r="4477" spans="1:15" ht="12.5">
      <c r="A4477" s="158" t="s">
        <v>25723</v>
      </c>
      <c r="B4477" s="159">
        <v>45</v>
      </c>
      <c r="C4477" s="159">
        <v>31</v>
      </c>
      <c r="D4477" s="159">
        <v>52</v>
      </c>
      <c r="E4477" s="159">
        <v>32</v>
      </c>
      <c r="F4477" s="131"/>
      <c r="G4477" s="132"/>
      <c r="H4477" s="162" t="s">
        <v>25724</v>
      </c>
      <c r="I4477" s="128"/>
      <c r="J4477" s="128"/>
      <c r="K4477" s="128"/>
      <c r="L4477" s="128"/>
      <c r="M4477" s="129"/>
      <c r="N4477" s="129"/>
      <c r="O4477" s="129"/>
    </row>
    <row r="4478" spans="1:15" ht="12.5">
      <c r="A4478" s="158" t="s">
        <v>25725</v>
      </c>
      <c r="B4478" s="159">
        <v>45</v>
      </c>
      <c r="C4478" s="159">
        <v>31</v>
      </c>
      <c r="D4478" s="159">
        <v>52</v>
      </c>
      <c r="E4478" s="159">
        <v>55</v>
      </c>
      <c r="F4478" s="131"/>
      <c r="G4478" s="132"/>
      <c r="H4478" s="162" t="s">
        <v>25726</v>
      </c>
      <c r="I4478" s="158" t="s">
        <v>25727</v>
      </c>
      <c r="J4478" s="128"/>
      <c r="K4478" s="128"/>
      <c r="L4478" s="128"/>
      <c r="M4478" s="129"/>
      <c r="N4478" s="129"/>
      <c r="O4478" s="129"/>
    </row>
    <row r="4479" spans="1:15" ht="12.5">
      <c r="A4479" s="158" t="s">
        <v>25728</v>
      </c>
      <c r="B4479" s="159">
        <v>45</v>
      </c>
      <c r="C4479" s="159">
        <v>31</v>
      </c>
      <c r="D4479" s="159">
        <v>52</v>
      </c>
      <c r="E4479" s="159">
        <v>59</v>
      </c>
      <c r="F4479" s="131"/>
      <c r="G4479" s="132"/>
      <c r="H4479" s="162" t="s">
        <v>25729</v>
      </c>
      <c r="I4479" s="158" t="s">
        <v>25730</v>
      </c>
      <c r="J4479" s="128"/>
      <c r="K4479" s="128"/>
      <c r="L4479" s="128"/>
      <c r="M4479" s="129"/>
      <c r="N4479" s="129"/>
      <c r="O4479" s="129"/>
    </row>
    <row r="4480" spans="1:15" ht="12.5">
      <c r="A4480" s="158" t="s">
        <v>25731</v>
      </c>
      <c r="B4480" s="159">
        <v>45</v>
      </c>
      <c r="C4480" s="159">
        <v>31</v>
      </c>
      <c r="D4480" s="159">
        <v>52</v>
      </c>
      <c r="E4480" s="159">
        <v>62</v>
      </c>
      <c r="F4480" s="131"/>
      <c r="G4480" s="132"/>
      <c r="H4480" s="162" t="s">
        <v>25732</v>
      </c>
      <c r="I4480" s="158" t="s">
        <v>25733</v>
      </c>
      <c r="J4480" s="128"/>
      <c r="K4480" s="128"/>
      <c r="L4480" s="128"/>
      <c r="M4480" s="129"/>
      <c r="N4480" s="129"/>
      <c r="O4480" s="129"/>
    </row>
    <row r="4481" spans="1:15" ht="12.5">
      <c r="A4481" s="158" t="s">
        <v>25734</v>
      </c>
      <c r="B4481" s="159">
        <v>45</v>
      </c>
      <c r="C4481" s="159">
        <v>31</v>
      </c>
      <c r="D4481" s="159">
        <v>52</v>
      </c>
      <c r="E4481" s="159">
        <v>73</v>
      </c>
      <c r="F4481" s="131"/>
      <c r="G4481" s="132"/>
      <c r="H4481" s="162" t="s">
        <v>25735</v>
      </c>
      <c r="I4481" s="158" t="s">
        <v>25736</v>
      </c>
      <c r="J4481" s="128"/>
      <c r="K4481" s="128"/>
      <c r="L4481" s="128"/>
      <c r="M4481" s="129"/>
      <c r="N4481" s="129"/>
      <c r="O4481" s="129"/>
    </row>
    <row r="4482" spans="1:15" ht="12.5">
      <c r="A4482" s="158" t="s">
        <v>25737</v>
      </c>
      <c r="B4482" s="159">
        <v>45</v>
      </c>
      <c r="C4482" s="159">
        <v>31</v>
      </c>
      <c r="D4482" s="159">
        <v>52</v>
      </c>
      <c r="E4482" s="159">
        <v>86</v>
      </c>
      <c r="F4482" s="131"/>
      <c r="G4482" s="132"/>
      <c r="H4482" s="162" t="s">
        <v>25738</v>
      </c>
      <c r="I4482" s="158" t="s">
        <v>25739</v>
      </c>
      <c r="J4482" s="128"/>
      <c r="K4482" s="128"/>
      <c r="L4482" s="128"/>
      <c r="M4482" s="129"/>
      <c r="N4482" s="129"/>
      <c r="O4482" s="129"/>
    </row>
    <row r="4483" spans="1:15" ht="12.5">
      <c r="A4483" s="158" t="s">
        <v>25740</v>
      </c>
      <c r="B4483" s="159">
        <v>45</v>
      </c>
      <c r="C4483" s="159">
        <v>31</v>
      </c>
      <c r="D4483" s="159">
        <v>52</v>
      </c>
      <c r="E4483" s="159">
        <v>97</v>
      </c>
      <c r="F4483" s="131"/>
      <c r="G4483" s="132"/>
      <c r="H4483" s="162" t="s">
        <v>25741</v>
      </c>
      <c r="I4483" s="128"/>
      <c r="J4483" s="128"/>
      <c r="K4483" s="128"/>
      <c r="L4483" s="128"/>
      <c r="M4483" s="129"/>
      <c r="N4483" s="129"/>
      <c r="O4483" s="129"/>
    </row>
    <row r="4484" spans="1:15" ht="12.5">
      <c r="A4484" s="158" t="s">
        <v>25742</v>
      </c>
      <c r="B4484" s="159">
        <v>45</v>
      </c>
      <c r="C4484" s="159">
        <v>31</v>
      </c>
      <c r="D4484" s="159">
        <v>63</v>
      </c>
      <c r="E4484" s="130"/>
      <c r="F4484" s="131"/>
      <c r="G4484" s="132"/>
      <c r="H4484" s="162" t="s">
        <v>25743</v>
      </c>
      <c r="I4484" s="128"/>
      <c r="J4484" s="128"/>
      <c r="K4484" s="128"/>
      <c r="L4484" s="128"/>
      <c r="M4484" s="129"/>
      <c r="N4484" s="129"/>
      <c r="O4484" s="129"/>
    </row>
    <row r="4485" spans="1:15" ht="12.5">
      <c r="A4485" s="158" t="s">
        <v>25744</v>
      </c>
      <c r="B4485" s="159">
        <v>45</v>
      </c>
      <c r="C4485" s="159">
        <v>31</v>
      </c>
      <c r="D4485" s="159">
        <v>63</v>
      </c>
      <c r="E4485" s="159">
        <v>14</v>
      </c>
      <c r="F4485" s="131"/>
      <c r="G4485" s="132"/>
      <c r="H4485" s="162" t="s">
        <v>25745</v>
      </c>
      <c r="I4485" s="158" t="s">
        <v>25746</v>
      </c>
      <c r="J4485" s="128"/>
      <c r="K4485" s="128"/>
      <c r="L4485" s="128"/>
      <c r="M4485" s="129"/>
      <c r="N4485" s="129"/>
      <c r="O4485" s="129"/>
    </row>
    <row r="4486" spans="1:15" ht="12.5">
      <c r="A4486" s="158" t="s">
        <v>25747</v>
      </c>
      <c r="B4486" s="159">
        <v>45</v>
      </c>
      <c r="C4486" s="159">
        <v>31</v>
      </c>
      <c r="D4486" s="159">
        <v>63</v>
      </c>
      <c r="E4486" s="159">
        <v>15</v>
      </c>
      <c r="F4486" s="131"/>
      <c r="G4486" s="132"/>
      <c r="H4486" s="162" t="s">
        <v>25748</v>
      </c>
      <c r="I4486" s="158" t="s">
        <v>25749</v>
      </c>
      <c r="J4486" s="128"/>
      <c r="K4486" s="128"/>
      <c r="L4486" s="128"/>
      <c r="M4486" s="129"/>
      <c r="N4486" s="129"/>
      <c r="O4486" s="129"/>
    </row>
    <row r="4487" spans="1:15" ht="12.5">
      <c r="A4487" s="158" t="s">
        <v>25750</v>
      </c>
      <c r="B4487" s="159">
        <v>45</v>
      </c>
      <c r="C4487" s="159">
        <v>31</v>
      </c>
      <c r="D4487" s="159">
        <v>63</v>
      </c>
      <c r="E4487" s="159">
        <v>16</v>
      </c>
      <c r="F4487" s="131"/>
      <c r="G4487" s="132"/>
      <c r="H4487" s="162" t="s">
        <v>25751</v>
      </c>
      <c r="I4487" s="158" t="s">
        <v>25752</v>
      </c>
      <c r="J4487" s="128"/>
      <c r="K4487" s="128"/>
      <c r="L4487" s="128"/>
      <c r="M4487" s="129"/>
      <c r="N4487" s="129"/>
      <c r="O4487" s="129"/>
    </row>
    <row r="4488" spans="1:15" ht="12.5">
      <c r="A4488" s="158" t="s">
        <v>25753</v>
      </c>
      <c r="B4488" s="159">
        <v>45</v>
      </c>
      <c r="C4488" s="159">
        <v>31</v>
      </c>
      <c r="D4488" s="159">
        <v>63</v>
      </c>
      <c r="E4488" s="159">
        <v>30</v>
      </c>
      <c r="F4488" s="131"/>
      <c r="G4488" s="132"/>
      <c r="H4488" s="162" t="s">
        <v>25754</v>
      </c>
      <c r="I4488" s="158" t="s">
        <v>25755</v>
      </c>
      <c r="J4488" s="128"/>
      <c r="K4488" s="128"/>
      <c r="L4488" s="128"/>
      <c r="M4488" s="129"/>
      <c r="N4488" s="129"/>
      <c r="O4488" s="129"/>
    </row>
    <row r="4489" spans="1:15" ht="12.5">
      <c r="A4489" s="158" t="s">
        <v>25756</v>
      </c>
      <c r="B4489" s="159">
        <v>45</v>
      </c>
      <c r="C4489" s="159">
        <v>31</v>
      </c>
      <c r="D4489" s="159">
        <v>63</v>
      </c>
      <c r="E4489" s="159">
        <v>37</v>
      </c>
      <c r="F4489" s="131"/>
      <c r="G4489" s="132"/>
      <c r="H4489" s="162" t="s">
        <v>25757</v>
      </c>
      <c r="I4489" s="158" t="s">
        <v>25758</v>
      </c>
      <c r="J4489" s="128"/>
      <c r="K4489" s="128"/>
      <c r="L4489" s="128"/>
      <c r="M4489" s="129"/>
      <c r="N4489" s="129"/>
      <c r="O4489" s="129"/>
    </row>
    <row r="4490" spans="1:15" ht="12.5">
      <c r="A4490" s="158" t="s">
        <v>25759</v>
      </c>
      <c r="B4490" s="159">
        <v>45</v>
      </c>
      <c r="C4490" s="159">
        <v>31</v>
      </c>
      <c r="D4490" s="159">
        <v>63</v>
      </c>
      <c r="E4490" s="159">
        <v>44</v>
      </c>
      <c r="F4490" s="131"/>
      <c r="G4490" s="132"/>
      <c r="H4490" s="162" t="s">
        <v>25760</v>
      </c>
      <c r="I4490" s="158" t="s">
        <v>25761</v>
      </c>
      <c r="J4490" s="128"/>
      <c r="K4490" s="128"/>
      <c r="L4490" s="128"/>
      <c r="M4490" s="129"/>
      <c r="N4490" s="129"/>
      <c r="O4490" s="129"/>
    </row>
    <row r="4491" spans="1:15" ht="12.5">
      <c r="A4491" s="158" t="s">
        <v>25762</v>
      </c>
      <c r="B4491" s="159">
        <v>45</v>
      </c>
      <c r="C4491" s="159">
        <v>31</v>
      </c>
      <c r="D4491" s="159">
        <v>63</v>
      </c>
      <c r="E4491" s="159">
        <v>47</v>
      </c>
      <c r="F4491" s="131"/>
      <c r="G4491" s="132"/>
      <c r="H4491" s="162" t="s">
        <v>25763</v>
      </c>
      <c r="I4491" s="158" t="s">
        <v>25764</v>
      </c>
      <c r="J4491" s="128"/>
      <c r="K4491" s="128"/>
      <c r="L4491" s="128"/>
      <c r="M4491" s="129"/>
      <c r="N4491" s="129"/>
      <c r="O4491" s="129"/>
    </row>
    <row r="4492" spans="1:15" ht="12.5">
      <c r="A4492" s="158" t="s">
        <v>25765</v>
      </c>
      <c r="B4492" s="159">
        <v>45</v>
      </c>
      <c r="C4492" s="159">
        <v>31</v>
      </c>
      <c r="D4492" s="159">
        <v>63</v>
      </c>
      <c r="E4492" s="159">
        <v>48</v>
      </c>
      <c r="F4492" s="131"/>
      <c r="G4492" s="132"/>
      <c r="H4492" s="162" t="s">
        <v>25766</v>
      </c>
      <c r="I4492" s="158" t="s">
        <v>25767</v>
      </c>
      <c r="J4492" s="128"/>
      <c r="K4492" s="128"/>
      <c r="L4492" s="128"/>
      <c r="M4492" s="129"/>
      <c r="N4492" s="129"/>
      <c r="O4492" s="129"/>
    </row>
    <row r="4493" spans="1:15" ht="12.5">
      <c r="A4493" s="158" t="s">
        <v>25768</v>
      </c>
      <c r="B4493" s="159">
        <v>45</v>
      </c>
      <c r="C4493" s="159">
        <v>31</v>
      </c>
      <c r="D4493" s="159">
        <v>63</v>
      </c>
      <c r="E4493" s="159">
        <v>56</v>
      </c>
      <c r="F4493" s="131"/>
      <c r="G4493" s="132"/>
      <c r="H4493" s="162" t="s">
        <v>25769</v>
      </c>
      <c r="I4493" s="158" t="s">
        <v>25770</v>
      </c>
      <c r="J4493" s="128"/>
      <c r="K4493" s="128"/>
      <c r="L4493" s="128"/>
      <c r="M4493" s="129"/>
      <c r="N4493" s="129"/>
      <c r="O4493" s="129"/>
    </row>
    <row r="4494" spans="1:15" ht="12.5">
      <c r="A4494" s="158" t="s">
        <v>25771</v>
      </c>
      <c r="B4494" s="159">
        <v>45</v>
      </c>
      <c r="C4494" s="159">
        <v>31</v>
      </c>
      <c r="D4494" s="159">
        <v>63</v>
      </c>
      <c r="E4494" s="159">
        <v>60</v>
      </c>
      <c r="F4494" s="131"/>
      <c r="G4494" s="132"/>
      <c r="H4494" s="162" t="s">
        <v>25772</v>
      </c>
      <c r="I4494" s="128"/>
      <c r="J4494" s="128"/>
      <c r="K4494" s="128"/>
      <c r="L4494" s="128"/>
      <c r="M4494" s="129"/>
      <c r="N4494" s="129"/>
      <c r="O4494" s="129"/>
    </row>
    <row r="4495" spans="1:15" ht="12.5">
      <c r="A4495" s="158" t="s">
        <v>25773</v>
      </c>
      <c r="B4495" s="159">
        <v>45</v>
      </c>
      <c r="C4495" s="159">
        <v>31</v>
      </c>
      <c r="D4495" s="159">
        <v>63</v>
      </c>
      <c r="E4495" s="159">
        <v>64</v>
      </c>
      <c r="F4495" s="131"/>
      <c r="G4495" s="132"/>
      <c r="H4495" s="162" t="s">
        <v>25774</v>
      </c>
      <c r="I4495" s="158" t="s">
        <v>25775</v>
      </c>
      <c r="J4495" s="128"/>
      <c r="K4495" s="128"/>
      <c r="L4495" s="128"/>
      <c r="M4495" s="129"/>
      <c r="N4495" s="129"/>
      <c r="O4495" s="129"/>
    </row>
    <row r="4496" spans="1:15" ht="12.5">
      <c r="A4496" s="158" t="s">
        <v>25776</v>
      </c>
      <c r="B4496" s="159">
        <v>45</v>
      </c>
      <c r="C4496" s="159">
        <v>31</v>
      </c>
      <c r="D4496" s="159">
        <v>63</v>
      </c>
      <c r="E4496" s="159">
        <v>76</v>
      </c>
      <c r="F4496" s="131"/>
      <c r="G4496" s="132"/>
      <c r="H4496" s="162" t="s">
        <v>25777</v>
      </c>
      <c r="I4496" s="158" t="s">
        <v>25778</v>
      </c>
      <c r="J4496" s="128"/>
      <c r="K4496" s="128"/>
      <c r="L4496" s="128"/>
      <c r="M4496" s="129"/>
      <c r="N4496" s="129"/>
      <c r="O4496" s="129"/>
    </row>
    <row r="4497" spans="1:15" ht="12.5">
      <c r="A4497" s="158" t="s">
        <v>25779</v>
      </c>
      <c r="B4497" s="159">
        <v>45</v>
      </c>
      <c r="C4497" s="159">
        <v>31</v>
      </c>
      <c r="D4497" s="159">
        <v>63</v>
      </c>
      <c r="E4497" s="159">
        <v>78</v>
      </c>
      <c r="F4497" s="131"/>
      <c r="G4497" s="132"/>
      <c r="H4497" s="162" t="s">
        <v>25780</v>
      </c>
      <c r="I4497" s="158" t="s">
        <v>25781</v>
      </c>
      <c r="J4497" s="128"/>
      <c r="K4497" s="128"/>
      <c r="L4497" s="128"/>
      <c r="M4497" s="129"/>
      <c r="N4497" s="129"/>
      <c r="O4497" s="129"/>
    </row>
    <row r="4498" spans="1:15" ht="12.5">
      <c r="A4498" s="158" t="s">
        <v>25782</v>
      </c>
      <c r="B4498" s="159">
        <v>45</v>
      </c>
      <c r="C4498" s="159">
        <v>31</v>
      </c>
      <c r="D4498" s="159">
        <v>63</v>
      </c>
      <c r="E4498" s="159">
        <v>80</v>
      </c>
      <c r="F4498" s="131"/>
      <c r="G4498" s="132"/>
      <c r="H4498" s="162" t="s">
        <v>25783</v>
      </c>
      <c r="I4498" s="158" t="s">
        <v>25784</v>
      </c>
      <c r="J4498" s="128"/>
      <c r="K4498" s="128"/>
      <c r="L4498" s="128"/>
      <c r="M4498" s="129"/>
      <c r="N4498" s="129"/>
      <c r="O4498" s="129"/>
    </row>
    <row r="4499" spans="1:15" ht="12.5">
      <c r="A4499" s="158" t="s">
        <v>25785</v>
      </c>
      <c r="B4499" s="159">
        <v>45</v>
      </c>
      <c r="C4499" s="159">
        <v>31</v>
      </c>
      <c r="D4499" s="159">
        <v>63</v>
      </c>
      <c r="E4499" s="159">
        <v>84</v>
      </c>
      <c r="F4499" s="131"/>
      <c r="G4499" s="132"/>
      <c r="H4499" s="162" t="s">
        <v>25786</v>
      </c>
      <c r="I4499" s="158" t="s">
        <v>25787</v>
      </c>
      <c r="J4499" s="128"/>
      <c r="K4499" s="128"/>
      <c r="L4499" s="128"/>
      <c r="M4499" s="129"/>
      <c r="N4499" s="129"/>
      <c r="O4499" s="129"/>
    </row>
    <row r="4500" spans="1:15" ht="12.5">
      <c r="A4500" s="158" t="s">
        <v>25788</v>
      </c>
      <c r="B4500" s="159">
        <v>45</v>
      </c>
      <c r="C4500" s="159">
        <v>31</v>
      </c>
      <c r="D4500" s="159">
        <v>63</v>
      </c>
      <c r="E4500" s="159">
        <v>96</v>
      </c>
      <c r="F4500" s="131"/>
      <c r="G4500" s="132"/>
      <c r="H4500" s="162" t="s">
        <v>25789</v>
      </c>
      <c r="I4500" s="158" t="s">
        <v>25790</v>
      </c>
      <c r="J4500" s="128"/>
      <c r="K4500" s="128"/>
      <c r="L4500" s="128"/>
      <c r="M4500" s="129"/>
      <c r="N4500" s="129"/>
      <c r="O4500" s="129"/>
    </row>
    <row r="4501" spans="1:15" ht="12.5">
      <c r="A4501" s="158" t="s">
        <v>25791</v>
      </c>
      <c r="B4501" s="159">
        <v>45</v>
      </c>
      <c r="C4501" s="159">
        <v>31</v>
      </c>
      <c r="D4501" s="159">
        <v>63</v>
      </c>
      <c r="E4501" s="159">
        <v>97</v>
      </c>
      <c r="F4501" s="131"/>
      <c r="G4501" s="132"/>
      <c r="H4501" s="162" t="s">
        <v>25792</v>
      </c>
      <c r="I4501" s="158" t="s">
        <v>25793</v>
      </c>
      <c r="J4501" s="128"/>
      <c r="K4501" s="128"/>
      <c r="L4501" s="128"/>
      <c r="M4501" s="129"/>
      <c r="N4501" s="129"/>
      <c r="O4501" s="129"/>
    </row>
    <row r="4502" spans="1:15" ht="12.5">
      <c r="A4502" s="158" t="s">
        <v>25794</v>
      </c>
      <c r="B4502" s="159">
        <v>45</v>
      </c>
      <c r="C4502" s="159">
        <v>31</v>
      </c>
      <c r="D4502" s="159">
        <v>63</v>
      </c>
      <c r="E4502" s="159">
        <v>98</v>
      </c>
      <c r="F4502" s="131"/>
      <c r="G4502" s="132"/>
      <c r="H4502" s="162" t="s">
        <v>25795</v>
      </c>
      <c r="I4502" s="158" t="s">
        <v>25796</v>
      </c>
      <c r="J4502" s="128"/>
      <c r="K4502" s="128"/>
      <c r="L4502" s="128"/>
      <c r="M4502" s="129"/>
      <c r="N4502" s="129"/>
      <c r="O4502" s="129"/>
    </row>
    <row r="4503" spans="1:15" ht="12.5">
      <c r="A4503" s="158" t="s">
        <v>25797</v>
      </c>
      <c r="B4503" s="159">
        <v>45</v>
      </c>
      <c r="C4503" s="159">
        <v>31</v>
      </c>
      <c r="D4503" s="159">
        <v>89</v>
      </c>
      <c r="E4503" s="130"/>
      <c r="F4503" s="131"/>
      <c r="G4503" s="132"/>
      <c r="H4503" s="162" t="s">
        <v>25798</v>
      </c>
      <c r="I4503" s="128"/>
      <c r="J4503" s="128"/>
      <c r="K4503" s="128"/>
      <c r="L4503" s="128"/>
      <c r="M4503" s="129"/>
      <c r="N4503" s="129"/>
      <c r="O4503" s="129"/>
    </row>
    <row r="4504" spans="1:15" ht="12.5">
      <c r="A4504" s="158" t="s">
        <v>25799</v>
      </c>
      <c r="B4504" s="159">
        <v>45</v>
      </c>
      <c r="C4504" s="159">
        <v>31</v>
      </c>
      <c r="D4504" s="159">
        <v>89</v>
      </c>
      <c r="E4504" s="159">
        <v>8</v>
      </c>
      <c r="F4504" s="131"/>
      <c r="G4504" s="132"/>
      <c r="H4504" s="162" t="s">
        <v>25800</v>
      </c>
      <c r="I4504" s="158" t="s">
        <v>25801</v>
      </c>
      <c r="J4504" s="128"/>
      <c r="K4504" s="128"/>
      <c r="L4504" s="128"/>
      <c r="M4504" s="129"/>
      <c r="N4504" s="129"/>
      <c r="O4504" s="129"/>
    </row>
    <row r="4505" spans="1:15" ht="12.5">
      <c r="A4505" s="158" t="s">
        <v>25802</v>
      </c>
      <c r="B4505" s="159">
        <v>45</v>
      </c>
      <c r="C4505" s="159">
        <v>31</v>
      </c>
      <c r="D4505" s="159">
        <v>89</v>
      </c>
      <c r="E4505" s="159">
        <v>15</v>
      </c>
      <c r="F4505" s="131"/>
      <c r="G4505" s="132"/>
      <c r="H4505" s="162" t="s">
        <v>25803</v>
      </c>
      <c r="I4505" s="158" t="s">
        <v>25804</v>
      </c>
      <c r="J4505" s="128"/>
      <c r="K4505" s="128"/>
      <c r="L4505" s="128"/>
      <c r="M4505" s="129"/>
      <c r="N4505" s="129"/>
      <c r="O4505" s="129"/>
    </row>
    <row r="4506" spans="1:15" ht="12.5">
      <c r="A4506" s="158" t="s">
        <v>25805</v>
      </c>
      <c r="B4506" s="159">
        <v>45</v>
      </c>
      <c r="C4506" s="159">
        <v>31</v>
      </c>
      <c r="D4506" s="159">
        <v>89</v>
      </c>
      <c r="E4506" s="159">
        <v>16</v>
      </c>
      <c r="F4506" s="131"/>
      <c r="G4506" s="132"/>
      <c r="H4506" s="162" t="s">
        <v>25806</v>
      </c>
      <c r="I4506" s="158" t="s">
        <v>25807</v>
      </c>
      <c r="J4506" s="128"/>
      <c r="K4506" s="128"/>
      <c r="L4506" s="128"/>
      <c r="M4506" s="129"/>
      <c r="N4506" s="129"/>
      <c r="O4506" s="129"/>
    </row>
    <row r="4507" spans="1:15" ht="12.5">
      <c r="A4507" s="158" t="s">
        <v>25808</v>
      </c>
      <c r="B4507" s="159">
        <v>45</v>
      </c>
      <c r="C4507" s="159">
        <v>31</v>
      </c>
      <c r="D4507" s="159">
        <v>89</v>
      </c>
      <c r="E4507" s="159">
        <v>35</v>
      </c>
      <c r="F4507" s="131"/>
      <c r="G4507" s="132"/>
      <c r="H4507" s="162" t="s">
        <v>25809</v>
      </c>
      <c r="I4507" s="158" t="s">
        <v>25810</v>
      </c>
      <c r="J4507" s="128"/>
      <c r="K4507" s="128"/>
      <c r="L4507" s="128"/>
      <c r="M4507" s="129"/>
      <c r="N4507" s="129"/>
      <c r="O4507" s="129"/>
    </row>
    <row r="4508" spans="1:15" ht="12.5">
      <c r="A4508" s="158" t="s">
        <v>25811</v>
      </c>
      <c r="B4508" s="159">
        <v>45</v>
      </c>
      <c r="C4508" s="159">
        <v>31</v>
      </c>
      <c r="D4508" s="159">
        <v>89</v>
      </c>
      <c r="E4508" s="159">
        <v>41</v>
      </c>
      <c r="F4508" s="131"/>
      <c r="G4508" s="132"/>
      <c r="H4508" s="162" t="s">
        <v>25812</v>
      </c>
      <c r="I4508" s="158" t="s">
        <v>25813</v>
      </c>
      <c r="J4508" s="128"/>
      <c r="K4508" s="128"/>
      <c r="L4508" s="128"/>
      <c r="M4508" s="129"/>
      <c r="N4508" s="129"/>
      <c r="O4508" s="129"/>
    </row>
    <row r="4509" spans="1:15" ht="12.5">
      <c r="A4509" s="158" t="s">
        <v>25814</v>
      </c>
      <c r="B4509" s="159">
        <v>45</v>
      </c>
      <c r="C4509" s="159">
        <v>31</v>
      </c>
      <c r="D4509" s="159">
        <v>89</v>
      </c>
      <c r="E4509" s="159">
        <v>42</v>
      </c>
      <c r="F4509" s="131"/>
      <c r="G4509" s="132"/>
      <c r="H4509" s="162" t="s">
        <v>25815</v>
      </c>
      <c r="I4509" s="158" t="s">
        <v>25816</v>
      </c>
      <c r="J4509" s="128"/>
      <c r="K4509" s="128"/>
      <c r="L4509" s="128"/>
      <c r="M4509" s="129"/>
      <c r="N4509" s="129"/>
      <c r="O4509" s="129"/>
    </row>
    <row r="4510" spans="1:15" ht="12.5">
      <c r="A4510" s="158" t="s">
        <v>25817</v>
      </c>
      <c r="B4510" s="159">
        <v>45</v>
      </c>
      <c r="C4510" s="159">
        <v>31</v>
      </c>
      <c r="D4510" s="159">
        <v>89</v>
      </c>
      <c r="E4510" s="159">
        <v>43</v>
      </c>
      <c r="F4510" s="131"/>
      <c r="G4510" s="132"/>
      <c r="H4510" s="162" t="s">
        <v>25818</v>
      </c>
      <c r="I4510" s="158" t="s">
        <v>25819</v>
      </c>
      <c r="J4510" s="128"/>
      <c r="K4510" s="128"/>
      <c r="L4510" s="128"/>
      <c r="M4510" s="129"/>
      <c r="N4510" s="129"/>
      <c r="O4510" s="129"/>
    </row>
    <row r="4511" spans="1:15" ht="12.5">
      <c r="A4511" s="158" t="s">
        <v>25820</v>
      </c>
      <c r="B4511" s="159">
        <v>45</v>
      </c>
      <c r="C4511" s="159">
        <v>31</v>
      </c>
      <c r="D4511" s="159">
        <v>89</v>
      </c>
      <c r="E4511" s="159">
        <v>50</v>
      </c>
      <c r="F4511" s="131"/>
      <c r="G4511" s="132"/>
      <c r="H4511" s="162" t="s">
        <v>25821</v>
      </c>
      <c r="I4511" s="158" t="s">
        <v>25822</v>
      </c>
      <c r="J4511" s="128"/>
      <c r="K4511" s="128"/>
      <c r="L4511" s="128"/>
      <c r="M4511" s="129"/>
      <c r="N4511" s="129"/>
      <c r="O4511" s="129"/>
    </row>
    <row r="4512" spans="1:15" ht="12.5">
      <c r="A4512" s="158" t="s">
        <v>25823</v>
      </c>
      <c r="B4512" s="159">
        <v>45</v>
      </c>
      <c r="C4512" s="159">
        <v>31</v>
      </c>
      <c r="D4512" s="159">
        <v>89</v>
      </c>
      <c r="E4512" s="159">
        <v>51</v>
      </c>
      <c r="F4512" s="131"/>
      <c r="G4512" s="132"/>
      <c r="H4512" s="162" t="s">
        <v>25824</v>
      </c>
      <c r="I4512" s="158" t="s">
        <v>25825</v>
      </c>
      <c r="J4512" s="128"/>
      <c r="K4512" s="128"/>
      <c r="L4512" s="128"/>
      <c r="M4512" s="129"/>
      <c r="N4512" s="129"/>
      <c r="O4512" s="129"/>
    </row>
    <row r="4513" spans="1:15" ht="12.5">
      <c r="A4513" s="158" t="s">
        <v>25826</v>
      </c>
      <c r="B4513" s="159">
        <v>45</v>
      </c>
      <c r="C4513" s="159">
        <v>31</v>
      </c>
      <c r="D4513" s="159">
        <v>89</v>
      </c>
      <c r="E4513" s="159">
        <v>52</v>
      </c>
      <c r="F4513" s="131"/>
      <c r="G4513" s="132"/>
      <c r="H4513" s="162" t="s">
        <v>25827</v>
      </c>
      <c r="I4513" s="158" t="s">
        <v>25828</v>
      </c>
      <c r="J4513" s="128"/>
      <c r="K4513" s="128"/>
      <c r="L4513" s="128"/>
      <c r="M4513" s="129"/>
      <c r="N4513" s="129"/>
      <c r="O4513" s="129"/>
    </row>
    <row r="4514" spans="1:15" ht="12.5">
      <c r="A4514" s="158" t="s">
        <v>25829</v>
      </c>
      <c r="B4514" s="159">
        <v>45</v>
      </c>
      <c r="C4514" s="159">
        <v>31</v>
      </c>
      <c r="D4514" s="159">
        <v>89</v>
      </c>
      <c r="E4514" s="159">
        <v>55</v>
      </c>
      <c r="F4514" s="131"/>
      <c r="G4514" s="132"/>
      <c r="H4514" s="162" t="s">
        <v>25830</v>
      </c>
      <c r="I4514" s="158" t="s">
        <v>25831</v>
      </c>
      <c r="J4514" s="128"/>
      <c r="K4514" s="128"/>
      <c r="L4514" s="128"/>
      <c r="M4514" s="129"/>
      <c r="N4514" s="129"/>
      <c r="O4514" s="129"/>
    </row>
    <row r="4515" spans="1:15" ht="12.5">
      <c r="A4515" s="158" t="s">
        <v>25832</v>
      </c>
      <c r="B4515" s="159">
        <v>45</v>
      </c>
      <c r="C4515" s="159">
        <v>31</v>
      </c>
      <c r="D4515" s="159">
        <v>89</v>
      </c>
      <c r="E4515" s="159">
        <v>57</v>
      </c>
      <c r="F4515" s="131"/>
      <c r="G4515" s="132"/>
      <c r="H4515" s="162" t="s">
        <v>33499</v>
      </c>
      <c r="I4515" s="158" t="s">
        <v>25834</v>
      </c>
      <c r="J4515" s="128"/>
      <c r="K4515" s="128"/>
      <c r="L4515" s="128"/>
      <c r="M4515" s="129"/>
      <c r="N4515" s="129"/>
      <c r="O4515" s="129"/>
    </row>
    <row r="4516" spans="1:15" ht="12.5">
      <c r="A4516" s="158" t="s">
        <v>25835</v>
      </c>
      <c r="B4516" s="159">
        <v>45</v>
      </c>
      <c r="C4516" s="159">
        <v>31</v>
      </c>
      <c r="D4516" s="159">
        <v>89</v>
      </c>
      <c r="E4516" s="159">
        <v>58</v>
      </c>
      <c r="F4516" s="131"/>
      <c r="G4516" s="132"/>
      <c r="H4516" s="162" t="s">
        <v>25836</v>
      </c>
      <c r="I4516" s="158" t="s">
        <v>25837</v>
      </c>
      <c r="J4516" s="128"/>
      <c r="K4516" s="128"/>
      <c r="L4516" s="128"/>
      <c r="M4516" s="129"/>
      <c r="N4516" s="129"/>
      <c r="O4516" s="129"/>
    </row>
    <row r="4517" spans="1:15" ht="12.5">
      <c r="A4517" s="158" t="s">
        <v>25838</v>
      </c>
      <c r="B4517" s="159">
        <v>45</v>
      </c>
      <c r="C4517" s="159">
        <v>31</v>
      </c>
      <c r="D4517" s="159">
        <v>89</v>
      </c>
      <c r="E4517" s="159">
        <v>75</v>
      </c>
      <c r="F4517" s="131"/>
      <c r="G4517" s="132"/>
      <c r="H4517" s="162" t="s">
        <v>25839</v>
      </c>
      <c r="I4517" s="158" t="s">
        <v>25840</v>
      </c>
      <c r="J4517" s="128"/>
      <c r="K4517" s="128"/>
      <c r="L4517" s="128"/>
      <c r="M4517" s="129"/>
      <c r="N4517" s="129"/>
      <c r="O4517" s="129"/>
    </row>
    <row r="4518" spans="1:15" ht="12.5">
      <c r="A4518" s="158" t="s">
        <v>25841</v>
      </c>
      <c r="B4518" s="159">
        <v>45</v>
      </c>
      <c r="C4518" s="159">
        <v>31</v>
      </c>
      <c r="D4518" s="159">
        <v>89</v>
      </c>
      <c r="E4518" s="159">
        <v>80</v>
      </c>
      <c r="F4518" s="131"/>
      <c r="G4518" s="132"/>
      <c r="H4518" s="162" t="s">
        <v>14999</v>
      </c>
      <c r="I4518" s="158" t="s">
        <v>25842</v>
      </c>
      <c r="J4518" s="128"/>
      <c r="K4518" s="128"/>
      <c r="L4518" s="128"/>
      <c r="M4518" s="129"/>
      <c r="N4518" s="129"/>
      <c r="O4518" s="129"/>
    </row>
    <row r="4519" spans="1:15" ht="12.5">
      <c r="A4519" s="158" t="s">
        <v>25843</v>
      </c>
      <c r="B4519" s="159">
        <v>45</v>
      </c>
      <c r="C4519" s="159">
        <v>31</v>
      </c>
      <c r="D4519" s="159">
        <v>89</v>
      </c>
      <c r="E4519" s="159">
        <v>81</v>
      </c>
      <c r="F4519" s="131"/>
      <c r="G4519" s="132"/>
      <c r="H4519" s="162" t="s">
        <v>25844</v>
      </c>
      <c r="I4519" s="158" t="s">
        <v>25845</v>
      </c>
      <c r="J4519" s="128"/>
      <c r="K4519" s="128"/>
      <c r="L4519" s="128"/>
      <c r="M4519" s="129"/>
      <c r="N4519" s="129"/>
      <c r="O4519" s="129"/>
    </row>
    <row r="4520" spans="1:15" ht="12.5">
      <c r="A4520" s="158" t="s">
        <v>25846</v>
      </c>
      <c r="B4520" s="159">
        <v>45</v>
      </c>
      <c r="C4520" s="159">
        <v>31</v>
      </c>
      <c r="D4520" s="159">
        <v>89</v>
      </c>
      <c r="E4520" s="159">
        <v>82</v>
      </c>
      <c r="F4520" s="131"/>
      <c r="G4520" s="132"/>
      <c r="H4520" s="162" t="s">
        <v>25847</v>
      </c>
      <c r="I4520" s="158" t="s">
        <v>25848</v>
      </c>
      <c r="J4520" s="128"/>
      <c r="K4520" s="128"/>
      <c r="L4520" s="128"/>
      <c r="M4520" s="129"/>
      <c r="N4520" s="129"/>
      <c r="O4520" s="129"/>
    </row>
    <row r="4521" spans="1:15" ht="12.5">
      <c r="A4521" s="158" t="s">
        <v>25849</v>
      </c>
      <c r="B4521" s="159">
        <v>45</v>
      </c>
      <c r="C4521" s="159">
        <v>31</v>
      </c>
      <c r="D4521" s="159">
        <v>89</v>
      </c>
      <c r="E4521" s="159">
        <v>83</v>
      </c>
      <c r="F4521" s="131"/>
      <c r="G4521" s="132"/>
      <c r="H4521" s="162" t="s">
        <v>25850</v>
      </c>
      <c r="I4521" s="128"/>
      <c r="J4521" s="128"/>
      <c r="K4521" s="128"/>
      <c r="L4521" s="128"/>
      <c r="M4521" s="129"/>
      <c r="N4521" s="129"/>
      <c r="O4521" s="129"/>
    </row>
    <row r="4522" spans="1:15" ht="12.5">
      <c r="A4522" s="158" t="s">
        <v>25851</v>
      </c>
      <c r="B4522" s="159">
        <v>45</v>
      </c>
      <c r="C4522" s="159">
        <v>31</v>
      </c>
      <c r="D4522" s="159">
        <v>89</v>
      </c>
      <c r="E4522" s="159">
        <v>84</v>
      </c>
      <c r="F4522" s="131"/>
      <c r="G4522" s="132"/>
      <c r="H4522" s="162" t="s">
        <v>25852</v>
      </c>
      <c r="I4522" s="158" t="s">
        <v>25853</v>
      </c>
      <c r="J4522" s="128"/>
      <c r="K4522" s="128"/>
      <c r="L4522" s="128"/>
      <c r="M4522" s="129"/>
      <c r="N4522" s="129"/>
      <c r="O4522" s="129"/>
    </row>
    <row r="4523" spans="1:15" ht="12.5">
      <c r="A4523" s="144" t="s">
        <v>25854</v>
      </c>
      <c r="B4523" s="145">
        <v>45</v>
      </c>
      <c r="C4523" s="145">
        <v>57</v>
      </c>
      <c r="D4523" s="146"/>
      <c r="E4523" s="146"/>
      <c r="F4523" s="147" t="s">
        <v>33500</v>
      </c>
      <c r="G4523" s="190"/>
      <c r="H4523" s="149" t="s">
        <v>25855</v>
      </c>
      <c r="I4523" s="150"/>
      <c r="J4523" s="150"/>
      <c r="K4523" s="150"/>
      <c r="L4523" s="150"/>
      <c r="M4523" s="191"/>
      <c r="N4523" s="191"/>
      <c r="O4523" s="191"/>
    </row>
    <row r="4524" spans="1:15" ht="12.5">
      <c r="A4524" s="158" t="s">
        <v>25856</v>
      </c>
      <c r="B4524" s="159">
        <v>45</v>
      </c>
      <c r="C4524" s="159">
        <v>57</v>
      </c>
      <c r="D4524" s="159">
        <v>91</v>
      </c>
      <c r="E4524" s="130"/>
      <c r="F4524" s="131"/>
      <c r="G4524" s="132"/>
      <c r="H4524" s="162" t="s">
        <v>25857</v>
      </c>
      <c r="I4524" s="128"/>
      <c r="J4524" s="128"/>
      <c r="K4524" s="128"/>
      <c r="L4524" s="128"/>
      <c r="M4524" s="129"/>
      <c r="N4524" s="129"/>
      <c r="O4524" s="129"/>
    </row>
    <row r="4525" spans="1:15" ht="12.5">
      <c r="A4525" s="158" t="s">
        <v>25858</v>
      </c>
      <c r="B4525" s="159">
        <v>45</v>
      </c>
      <c r="C4525" s="159">
        <v>57</v>
      </c>
      <c r="D4525" s="159">
        <v>91</v>
      </c>
      <c r="E4525" s="159">
        <v>20</v>
      </c>
      <c r="F4525" s="131"/>
      <c r="G4525" s="132"/>
      <c r="H4525" s="162" t="s">
        <v>25859</v>
      </c>
      <c r="I4525" s="158" t="s">
        <v>25860</v>
      </c>
      <c r="J4525" s="128"/>
      <c r="K4525" s="128"/>
      <c r="L4525" s="128"/>
      <c r="M4525" s="129"/>
      <c r="N4525" s="129"/>
      <c r="O4525" s="129"/>
    </row>
    <row r="4526" spans="1:15" ht="12.5">
      <c r="A4526" s="158" t="s">
        <v>25861</v>
      </c>
      <c r="B4526" s="159">
        <v>45</v>
      </c>
      <c r="C4526" s="159">
        <v>57</v>
      </c>
      <c r="D4526" s="159">
        <v>91</v>
      </c>
      <c r="E4526" s="159">
        <v>56</v>
      </c>
      <c r="F4526" s="131"/>
      <c r="G4526" s="132"/>
      <c r="H4526" s="162" t="s">
        <v>25862</v>
      </c>
      <c r="I4526" s="158" t="s">
        <v>25863</v>
      </c>
      <c r="J4526" s="128"/>
      <c r="K4526" s="128"/>
      <c r="L4526" s="128"/>
      <c r="M4526" s="129"/>
      <c r="N4526" s="129"/>
      <c r="O4526" s="129"/>
    </row>
    <row r="4527" spans="1:15" ht="12.5">
      <c r="A4527" s="158" t="s">
        <v>25864</v>
      </c>
      <c r="B4527" s="159">
        <v>45</v>
      </c>
      <c r="C4527" s="159">
        <v>57</v>
      </c>
      <c r="D4527" s="159">
        <v>91</v>
      </c>
      <c r="E4527" s="159">
        <v>63</v>
      </c>
      <c r="F4527" s="131"/>
      <c r="G4527" s="132"/>
      <c r="H4527" s="162" t="s">
        <v>25865</v>
      </c>
      <c r="I4527" s="158" t="s">
        <v>25866</v>
      </c>
      <c r="J4527" s="128"/>
      <c r="K4527" s="128"/>
      <c r="L4527" s="128"/>
      <c r="M4527" s="129"/>
      <c r="N4527" s="129"/>
      <c r="O4527" s="129"/>
    </row>
    <row r="4528" spans="1:15" ht="12.5">
      <c r="A4528" s="158" t="s">
        <v>25867</v>
      </c>
      <c r="B4528" s="159">
        <v>45</v>
      </c>
      <c r="C4528" s="159">
        <v>57</v>
      </c>
      <c r="D4528" s="159">
        <v>91</v>
      </c>
      <c r="E4528" s="159">
        <v>64</v>
      </c>
      <c r="F4528" s="131"/>
      <c r="G4528" s="132"/>
      <c r="H4528" s="162" t="s">
        <v>25868</v>
      </c>
      <c r="I4528" s="158" t="s">
        <v>25869</v>
      </c>
      <c r="J4528" s="128"/>
      <c r="K4528" s="128"/>
      <c r="L4528" s="128"/>
      <c r="M4528" s="129"/>
      <c r="N4528" s="129"/>
      <c r="O4528" s="129"/>
    </row>
    <row r="4529" spans="1:15" ht="12.5">
      <c r="A4529" s="158" t="s">
        <v>25870</v>
      </c>
      <c r="B4529" s="159">
        <v>45</v>
      </c>
      <c r="C4529" s="159">
        <v>57</v>
      </c>
      <c r="D4529" s="159">
        <v>91</v>
      </c>
      <c r="E4529" s="159">
        <v>65</v>
      </c>
      <c r="F4529" s="131"/>
      <c r="G4529" s="132"/>
      <c r="H4529" s="162" t="s">
        <v>33501</v>
      </c>
      <c r="I4529" s="158" t="s">
        <v>25872</v>
      </c>
      <c r="J4529" s="128"/>
      <c r="K4529" s="128"/>
      <c r="L4529" s="128"/>
      <c r="M4529" s="129"/>
      <c r="N4529" s="129"/>
      <c r="O4529" s="129"/>
    </row>
    <row r="4530" spans="1:15" ht="12.5">
      <c r="A4530" s="158" t="s">
        <v>25873</v>
      </c>
      <c r="B4530" s="159">
        <v>45</v>
      </c>
      <c r="C4530" s="159">
        <v>57</v>
      </c>
      <c r="D4530" s="159">
        <v>91</v>
      </c>
      <c r="E4530" s="159">
        <v>67</v>
      </c>
      <c r="F4530" s="131"/>
      <c r="G4530" s="132"/>
      <c r="H4530" s="162" t="s">
        <v>25874</v>
      </c>
      <c r="I4530" s="158" t="s">
        <v>25875</v>
      </c>
      <c r="J4530" s="128"/>
      <c r="K4530" s="128"/>
      <c r="L4530" s="128"/>
      <c r="M4530" s="129"/>
      <c r="N4530" s="129"/>
      <c r="O4530" s="129"/>
    </row>
    <row r="4531" spans="1:15" ht="12.5">
      <c r="A4531" s="158" t="s">
        <v>25876</v>
      </c>
      <c r="B4531" s="159">
        <v>45</v>
      </c>
      <c r="C4531" s="159">
        <v>57</v>
      </c>
      <c r="D4531" s="159">
        <v>91</v>
      </c>
      <c r="E4531" s="159">
        <v>76</v>
      </c>
      <c r="F4531" s="131"/>
      <c r="G4531" s="132"/>
      <c r="H4531" s="162" t="s">
        <v>25877</v>
      </c>
      <c r="I4531" s="158" t="s">
        <v>33502</v>
      </c>
      <c r="J4531" s="128"/>
      <c r="K4531" s="128"/>
      <c r="L4531" s="128"/>
      <c r="M4531" s="129"/>
      <c r="N4531" s="129"/>
      <c r="O4531" s="129"/>
    </row>
    <row r="4532" spans="1:15" ht="12.5">
      <c r="A4532" s="144" t="s">
        <v>25878</v>
      </c>
      <c r="B4532" s="145">
        <v>45</v>
      </c>
      <c r="C4532" s="145">
        <v>63</v>
      </c>
      <c r="D4532" s="146"/>
      <c r="E4532" s="146"/>
      <c r="F4532" s="147" t="s">
        <v>33503</v>
      </c>
      <c r="G4532" s="190"/>
      <c r="H4532" s="149" t="s">
        <v>25879</v>
      </c>
      <c r="I4532" s="150"/>
      <c r="J4532" s="150"/>
      <c r="K4532" s="150"/>
      <c r="L4532" s="150"/>
      <c r="M4532" s="191"/>
      <c r="N4532" s="191"/>
      <c r="O4532" s="191"/>
    </row>
    <row r="4533" spans="1:15" ht="12.5">
      <c r="A4533" s="158" t="s">
        <v>25880</v>
      </c>
      <c r="B4533" s="159">
        <v>45</v>
      </c>
      <c r="C4533" s="159">
        <v>63</v>
      </c>
      <c r="D4533" s="159">
        <v>63</v>
      </c>
      <c r="E4533" s="130"/>
      <c r="F4533" s="131"/>
      <c r="G4533" s="132"/>
      <c r="H4533" s="162" t="s">
        <v>25881</v>
      </c>
      <c r="I4533" s="128"/>
      <c r="J4533" s="128"/>
      <c r="K4533" s="128"/>
      <c r="L4533" s="128"/>
      <c r="M4533" s="129"/>
      <c r="N4533" s="129"/>
      <c r="O4533" s="129"/>
    </row>
    <row r="4534" spans="1:15" ht="12.5">
      <c r="A4534" s="158" t="s">
        <v>25882</v>
      </c>
      <c r="B4534" s="159">
        <v>45</v>
      </c>
      <c r="C4534" s="159">
        <v>63</v>
      </c>
      <c r="D4534" s="159">
        <v>63</v>
      </c>
      <c r="E4534" s="159">
        <v>2</v>
      </c>
      <c r="F4534" s="131"/>
      <c r="G4534" s="132"/>
      <c r="H4534" s="162" t="s">
        <v>25883</v>
      </c>
      <c r="I4534" s="158" t="s">
        <v>25884</v>
      </c>
      <c r="J4534" s="128"/>
      <c r="K4534" s="128"/>
      <c r="L4534" s="128"/>
      <c r="M4534" s="129"/>
      <c r="N4534" s="129"/>
      <c r="O4534" s="129"/>
    </row>
    <row r="4535" spans="1:15" ht="12.5">
      <c r="A4535" s="158" t="s">
        <v>25885</v>
      </c>
      <c r="B4535" s="159">
        <v>45</v>
      </c>
      <c r="C4535" s="159">
        <v>63</v>
      </c>
      <c r="D4535" s="159">
        <v>63</v>
      </c>
      <c r="E4535" s="159">
        <v>3</v>
      </c>
      <c r="F4535" s="131"/>
      <c r="G4535" s="132"/>
      <c r="H4535" s="162" t="s">
        <v>25886</v>
      </c>
      <c r="I4535" s="158" t="s">
        <v>25887</v>
      </c>
      <c r="J4535" s="128"/>
      <c r="K4535" s="128"/>
      <c r="L4535" s="128"/>
      <c r="M4535" s="129"/>
      <c r="N4535" s="129"/>
      <c r="O4535" s="129"/>
    </row>
    <row r="4536" spans="1:15" ht="12.5">
      <c r="A4536" s="158" t="s">
        <v>25888</v>
      </c>
      <c r="B4536" s="159">
        <v>45</v>
      </c>
      <c r="C4536" s="159">
        <v>63</v>
      </c>
      <c r="D4536" s="159">
        <v>63</v>
      </c>
      <c r="E4536" s="159">
        <v>4</v>
      </c>
      <c r="F4536" s="131"/>
      <c r="G4536" s="132"/>
      <c r="H4536" s="162" t="s">
        <v>25889</v>
      </c>
      <c r="I4536" s="158" t="s">
        <v>25890</v>
      </c>
      <c r="J4536" s="128"/>
      <c r="K4536" s="128"/>
      <c r="L4536" s="128"/>
      <c r="M4536" s="129"/>
      <c r="N4536" s="129"/>
      <c r="O4536" s="129"/>
    </row>
    <row r="4537" spans="1:15" ht="12.5">
      <c r="A4537" s="158" t="s">
        <v>25891</v>
      </c>
      <c r="B4537" s="159">
        <v>45</v>
      </c>
      <c r="C4537" s="159">
        <v>63</v>
      </c>
      <c r="D4537" s="159">
        <v>63</v>
      </c>
      <c r="E4537" s="159">
        <v>5</v>
      </c>
      <c r="F4537" s="131"/>
      <c r="G4537" s="132"/>
      <c r="H4537" s="162" t="s">
        <v>25892</v>
      </c>
      <c r="I4537" s="128"/>
      <c r="J4537" s="128"/>
      <c r="K4537" s="128"/>
      <c r="L4537" s="128"/>
      <c r="M4537" s="129"/>
      <c r="N4537" s="129"/>
      <c r="O4537" s="129"/>
    </row>
    <row r="4538" spans="1:15" ht="12.5">
      <c r="A4538" s="158" t="s">
        <v>25893</v>
      </c>
      <c r="B4538" s="159">
        <v>45</v>
      </c>
      <c r="C4538" s="159">
        <v>63</v>
      </c>
      <c r="D4538" s="159">
        <v>63</v>
      </c>
      <c r="E4538" s="159">
        <v>7</v>
      </c>
      <c r="F4538" s="131"/>
      <c r="G4538" s="132"/>
      <c r="H4538" s="162" t="s">
        <v>25894</v>
      </c>
      <c r="I4538" s="128"/>
      <c r="J4538" s="128"/>
      <c r="K4538" s="128"/>
      <c r="L4538" s="128"/>
      <c r="M4538" s="129"/>
      <c r="N4538" s="129"/>
      <c r="O4538" s="129"/>
    </row>
    <row r="4539" spans="1:15" ht="12.5">
      <c r="A4539" s="158" t="s">
        <v>25895</v>
      </c>
      <c r="B4539" s="159">
        <v>45</v>
      </c>
      <c r="C4539" s="159">
        <v>63</v>
      </c>
      <c r="D4539" s="159">
        <v>63</v>
      </c>
      <c r="E4539" s="159">
        <v>11</v>
      </c>
      <c r="F4539" s="131"/>
      <c r="G4539" s="132"/>
      <c r="H4539" s="162" t="s">
        <v>25896</v>
      </c>
      <c r="I4539" s="128"/>
      <c r="J4539" s="128"/>
      <c r="K4539" s="128"/>
      <c r="L4539" s="128"/>
      <c r="M4539" s="129"/>
      <c r="N4539" s="129"/>
      <c r="O4539" s="129"/>
    </row>
    <row r="4540" spans="1:15" ht="12.5">
      <c r="A4540" s="158" t="s">
        <v>25897</v>
      </c>
      <c r="B4540" s="159">
        <v>45</v>
      </c>
      <c r="C4540" s="159">
        <v>63</v>
      </c>
      <c r="D4540" s="159">
        <v>63</v>
      </c>
      <c r="E4540" s="159">
        <v>15</v>
      </c>
      <c r="F4540" s="131"/>
      <c r="G4540" s="132"/>
      <c r="H4540" s="162" t="s">
        <v>25898</v>
      </c>
      <c r="I4540" s="158" t="s">
        <v>25899</v>
      </c>
      <c r="J4540" s="128"/>
      <c r="K4540" s="128"/>
      <c r="L4540" s="128"/>
      <c r="M4540" s="129"/>
      <c r="N4540" s="129"/>
      <c r="O4540" s="129"/>
    </row>
    <row r="4541" spans="1:15" ht="12.5">
      <c r="A4541" s="158" t="s">
        <v>25900</v>
      </c>
      <c r="B4541" s="159">
        <v>45</v>
      </c>
      <c r="C4541" s="159">
        <v>63</v>
      </c>
      <c r="D4541" s="159">
        <v>63</v>
      </c>
      <c r="E4541" s="159">
        <v>17</v>
      </c>
      <c r="F4541" s="131"/>
      <c r="G4541" s="132"/>
      <c r="H4541" s="162" t="s">
        <v>25901</v>
      </c>
      <c r="I4541" s="128"/>
      <c r="J4541" s="128"/>
      <c r="K4541" s="128"/>
      <c r="L4541" s="128"/>
      <c r="M4541" s="129"/>
      <c r="N4541" s="129"/>
      <c r="O4541" s="129"/>
    </row>
    <row r="4542" spans="1:15" ht="12.5">
      <c r="A4542" s="158" t="s">
        <v>25902</v>
      </c>
      <c r="B4542" s="159">
        <v>45</v>
      </c>
      <c r="C4542" s="159">
        <v>63</v>
      </c>
      <c r="D4542" s="159">
        <v>63</v>
      </c>
      <c r="E4542" s="159">
        <v>22</v>
      </c>
      <c r="F4542" s="131"/>
      <c r="G4542" s="132"/>
      <c r="H4542" s="162" t="s">
        <v>25903</v>
      </c>
      <c r="I4542" s="128"/>
      <c r="J4542" s="128"/>
      <c r="K4542" s="128"/>
      <c r="L4542" s="128"/>
      <c r="M4542" s="129"/>
      <c r="N4542" s="129"/>
      <c r="O4542" s="129"/>
    </row>
    <row r="4543" spans="1:15" ht="12.5">
      <c r="A4543" s="158" t="s">
        <v>25904</v>
      </c>
      <c r="B4543" s="159">
        <v>45</v>
      </c>
      <c r="C4543" s="159">
        <v>63</v>
      </c>
      <c r="D4543" s="159">
        <v>63</v>
      </c>
      <c r="E4543" s="159">
        <v>29</v>
      </c>
      <c r="F4543" s="131"/>
      <c r="G4543" s="132"/>
      <c r="H4543" s="162" t="s">
        <v>25905</v>
      </c>
      <c r="I4543" s="128"/>
      <c r="J4543" s="128"/>
      <c r="K4543" s="128"/>
      <c r="L4543" s="128"/>
      <c r="M4543" s="129"/>
      <c r="N4543" s="129"/>
      <c r="O4543" s="129"/>
    </row>
    <row r="4544" spans="1:15" ht="12.5">
      <c r="A4544" s="158" t="s">
        <v>25906</v>
      </c>
      <c r="B4544" s="159">
        <v>45</v>
      </c>
      <c r="C4544" s="159">
        <v>63</v>
      </c>
      <c r="D4544" s="159">
        <v>63</v>
      </c>
      <c r="E4544" s="159">
        <v>34</v>
      </c>
      <c r="F4544" s="131"/>
      <c r="G4544" s="132"/>
      <c r="H4544" s="162" t="s">
        <v>25907</v>
      </c>
      <c r="I4544" s="158" t="s">
        <v>25908</v>
      </c>
      <c r="J4544" s="128"/>
      <c r="K4544" s="128"/>
      <c r="L4544" s="128"/>
      <c r="M4544" s="129"/>
      <c r="N4544" s="129"/>
      <c r="O4544" s="129"/>
    </row>
    <row r="4545" spans="1:15" ht="12.5">
      <c r="A4545" s="158" t="s">
        <v>25909</v>
      </c>
      <c r="B4545" s="159">
        <v>45</v>
      </c>
      <c r="C4545" s="159">
        <v>63</v>
      </c>
      <c r="D4545" s="159">
        <v>63</v>
      </c>
      <c r="E4545" s="159">
        <v>36</v>
      </c>
      <c r="F4545" s="131"/>
      <c r="G4545" s="132"/>
      <c r="H4545" s="162" t="s">
        <v>25910</v>
      </c>
      <c r="I4545" s="158" t="s">
        <v>25911</v>
      </c>
      <c r="J4545" s="128"/>
      <c r="K4545" s="128"/>
      <c r="L4545" s="128"/>
      <c r="M4545" s="129"/>
      <c r="N4545" s="129"/>
      <c r="O4545" s="129"/>
    </row>
    <row r="4546" spans="1:15" ht="12.5">
      <c r="A4546" s="158" t="s">
        <v>25912</v>
      </c>
      <c r="B4546" s="159">
        <v>45</v>
      </c>
      <c r="C4546" s="159">
        <v>63</v>
      </c>
      <c r="D4546" s="159">
        <v>63</v>
      </c>
      <c r="E4546" s="159">
        <v>37</v>
      </c>
      <c r="F4546" s="131"/>
      <c r="G4546" s="132"/>
      <c r="H4546" s="162" t="s">
        <v>25913</v>
      </c>
      <c r="I4546" s="128"/>
      <c r="J4546" s="128"/>
      <c r="K4546" s="128"/>
      <c r="L4546" s="128"/>
      <c r="M4546" s="129"/>
      <c r="N4546" s="129"/>
      <c r="O4546" s="129"/>
    </row>
    <row r="4547" spans="1:15" ht="12.5">
      <c r="A4547" s="158" t="s">
        <v>25914</v>
      </c>
      <c r="B4547" s="159">
        <v>45</v>
      </c>
      <c r="C4547" s="159">
        <v>63</v>
      </c>
      <c r="D4547" s="159">
        <v>63</v>
      </c>
      <c r="E4547" s="159">
        <v>38</v>
      </c>
      <c r="F4547" s="131"/>
      <c r="G4547" s="132"/>
      <c r="H4547" s="162" t="s">
        <v>25915</v>
      </c>
      <c r="I4547" s="128"/>
      <c r="J4547" s="128"/>
      <c r="K4547" s="128"/>
      <c r="L4547" s="128"/>
      <c r="M4547" s="129"/>
      <c r="N4547" s="129"/>
      <c r="O4547" s="129"/>
    </row>
    <row r="4548" spans="1:15" ht="12.5">
      <c r="A4548" s="158" t="s">
        <v>25916</v>
      </c>
      <c r="B4548" s="159">
        <v>45</v>
      </c>
      <c r="C4548" s="159">
        <v>63</v>
      </c>
      <c r="D4548" s="159">
        <v>63</v>
      </c>
      <c r="E4548" s="159">
        <v>56</v>
      </c>
      <c r="F4548" s="131"/>
      <c r="G4548" s="132"/>
      <c r="H4548" s="162" t="s">
        <v>25917</v>
      </c>
      <c r="I4548" s="158" t="s">
        <v>25918</v>
      </c>
      <c r="J4548" s="128"/>
      <c r="K4548" s="128"/>
      <c r="L4548" s="128"/>
      <c r="M4548" s="129"/>
      <c r="N4548" s="129"/>
      <c r="O4548" s="129"/>
    </row>
    <row r="4549" spans="1:15" ht="12.5">
      <c r="A4549" s="158" t="s">
        <v>25919</v>
      </c>
      <c r="B4549" s="159">
        <v>45</v>
      </c>
      <c r="C4549" s="159">
        <v>63</v>
      </c>
      <c r="D4549" s="159">
        <v>63</v>
      </c>
      <c r="E4549" s="159">
        <v>62</v>
      </c>
      <c r="F4549" s="131"/>
      <c r="G4549" s="132"/>
      <c r="H4549" s="162" t="s">
        <v>25920</v>
      </c>
      <c r="I4549" s="158" t="s">
        <v>25921</v>
      </c>
      <c r="J4549" s="128"/>
      <c r="K4549" s="128"/>
      <c r="L4549" s="128"/>
      <c r="M4549" s="129"/>
      <c r="N4549" s="129"/>
      <c r="O4549" s="129"/>
    </row>
    <row r="4550" spans="1:15" ht="12.5">
      <c r="A4550" s="158" t="s">
        <v>25922</v>
      </c>
      <c r="B4550" s="159">
        <v>45</v>
      </c>
      <c r="C4550" s="159">
        <v>63</v>
      </c>
      <c r="D4550" s="159">
        <v>63</v>
      </c>
      <c r="E4550" s="159">
        <v>64</v>
      </c>
      <c r="F4550" s="131"/>
      <c r="G4550" s="132"/>
      <c r="H4550" s="162" t="s">
        <v>25923</v>
      </c>
      <c r="I4550" s="128"/>
      <c r="J4550" s="128"/>
      <c r="K4550" s="128"/>
      <c r="L4550" s="128"/>
      <c r="M4550" s="129"/>
      <c r="N4550" s="129"/>
      <c r="O4550" s="129"/>
    </row>
    <row r="4551" spans="1:15" ht="12.5">
      <c r="A4551" s="158" t="s">
        <v>25924</v>
      </c>
      <c r="B4551" s="159">
        <v>45</v>
      </c>
      <c r="C4551" s="159">
        <v>63</v>
      </c>
      <c r="D4551" s="159">
        <v>63</v>
      </c>
      <c r="E4551" s="159">
        <v>65</v>
      </c>
      <c r="F4551" s="131"/>
      <c r="G4551" s="132"/>
      <c r="H4551" s="162" t="s">
        <v>25925</v>
      </c>
      <c r="I4551" s="128"/>
      <c r="J4551" s="128"/>
      <c r="K4551" s="128"/>
      <c r="L4551" s="128"/>
      <c r="M4551" s="129"/>
      <c r="N4551" s="129"/>
      <c r="O4551" s="129"/>
    </row>
    <row r="4552" spans="1:15" ht="12.5">
      <c r="A4552" s="158" t="s">
        <v>25926</v>
      </c>
      <c r="B4552" s="159">
        <v>45</v>
      </c>
      <c r="C4552" s="159">
        <v>63</v>
      </c>
      <c r="D4552" s="159">
        <v>63</v>
      </c>
      <c r="E4552" s="159">
        <v>72</v>
      </c>
      <c r="F4552" s="131"/>
      <c r="G4552" s="132"/>
      <c r="H4552" s="162" t="s">
        <v>25927</v>
      </c>
      <c r="I4552" s="128"/>
      <c r="J4552" s="128"/>
      <c r="K4552" s="128"/>
      <c r="L4552" s="128"/>
      <c r="M4552" s="129"/>
      <c r="N4552" s="129"/>
      <c r="O4552" s="129"/>
    </row>
    <row r="4553" spans="1:15" ht="12.5">
      <c r="A4553" s="158" t="s">
        <v>25928</v>
      </c>
      <c r="B4553" s="159">
        <v>45</v>
      </c>
      <c r="C4553" s="159">
        <v>63</v>
      </c>
      <c r="D4553" s="159">
        <v>63</v>
      </c>
      <c r="E4553" s="159">
        <v>80</v>
      </c>
      <c r="F4553" s="131"/>
      <c r="G4553" s="132"/>
      <c r="H4553" s="162" t="s">
        <v>25929</v>
      </c>
      <c r="I4553" s="128"/>
      <c r="J4553" s="128"/>
      <c r="K4553" s="128"/>
      <c r="L4553" s="128"/>
      <c r="M4553" s="129"/>
      <c r="N4553" s="129"/>
      <c r="O4553" s="129"/>
    </row>
    <row r="4554" spans="1:15" ht="12.5">
      <c r="A4554" s="158" t="s">
        <v>25930</v>
      </c>
      <c r="B4554" s="159">
        <v>45</v>
      </c>
      <c r="C4554" s="159">
        <v>63</v>
      </c>
      <c r="D4554" s="159">
        <v>63</v>
      </c>
      <c r="E4554" s="159">
        <v>81</v>
      </c>
      <c r="F4554" s="131"/>
      <c r="G4554" s="132"/>
      <c r="H4554" s="162" t="s">
        <v>25931</v>
      </c>
      <c r="I4554" s="158" t="s">
        <v>25932</v>
      </c>
      <c r="J4554" s="128"/>
      <c r="K4554" s="128"/>
      <c r="L4554" s="128"/>
      <c r="M4554" s="129"/>
      <c r="N4554" s="129"/>
      <c r="O4554" s="129"/>
    </row>
    <row r="4555" spans="1:15" ht="12.5">
      <c r="A4555" s="158" t="s">
        <v>25933</v>
      </c>
      <c r="B4555" s="159">
        <v>45</v>
      </c>
      <c r="C4555" s="159">
        <v>63</v>
      </c>
      <c r="D4555" s="159">
        <v>63</v>
      </c>
      <c r="E4555" s="159">
        <v>82</v>
      </c>
      <c r="F4555" s="131"/>
      <c r="G4555" s="132"/>
      <c r="H4555" s="162" t="s">
        <v>25934</v>
      </c>
      <c r="I4555" s="158" t="s">
        <v>25935</v>
      </c>
      <c r="J4555" s="128"/>
      <c r="K4555" s="128"/>
      <c r="L4555" s="128"/>
      <c r="M4555" s="129"/>
      <c r="N4555" s="129"/>
      <c r="O4555" s="129"/>
    </row>
    <row r="4556" spans="1:15" ht="12.5">
      <c r="A4556" s="158" t="s">
        <v>25936</v>
      </c>
      <c r="B4556" s="159">
        <v>45</v>
      </c>
      <c r="C4556" s="159">
        <v>63</v>
      </c>
      <c r="D4556" s="159">
        <v>63</v>
      </c>
      <c r="E4556" s="159">
        <v>83</v>
      </c>
      <c r="F4556" s="131"/>
      <c r="G4556" s="132"/>
      <c r="H4556" s="162" t="s">
        <v>25937</v>
      </c>
      <c r="I4556" s="158" t="s">
        <v>25938</v>
      </c>
      <c r="J4556" s="128"/>
      <c r="K4556" s="128"/>
      <c r="L4556" s="128"/>
      <c r="M4556" s="129"/>
      <c r="N4556" s="129"/>
      <c r="O4556" s="129"/>
    </row>
    <row r="4557" spans="1:15" ht="12.5">
      <c r="A4557" s="158" t="s">
        <v>25939</v>
      </c>
      <c r="B4557" s="159">
        <v>45</v>
      </c>
      <c r="C4557" s="159">
        <v>63</v>
      </c>
      <c r="D4557" s="159">
        <v>63</v>
      </c>
      <c r="E4557" s="159">
        <v>84</v>
      </c>
      <c r="F4557" s="131"/>
      <c r="G4557" s="132"/>
      <c r="H4557" s="162" t="s">
        <v>25940</v>
      </c>
      <c r="I4557" s="158" t="s">
        <v>25941</v>
      </c>
      <c r="J4557" s="128"/>
      <c r="K4557" s="128"/>
      <c r="L4557" s="128"/>
      <c r="M4557" s="129"/>
      <c r="N4557" s="129"/>
      <c r="O4557" s="129"/>
    </row>
    <row r="4558" spans="1:15" ht="12.5">
      <c r="A4558" s="158" t="s">
        <v>25942</v>
      </c>
      <c r="B4558" s="159">
        <v>45</v>
      </c>
      <c r="C4558" s="159">
        <v>63</v>
      </c>
      <c r="D4558" s="159">
        <v>63</v>
      </c>
      <c r="E4558" s="159">
        <v>85</v>
      </c>
      <c r="F4558" s="131"/>
      <c r="G4558" s="132"/>
      <c r="H4558" s="162" t="s">
        <v>25943</v>
      </c>
      <c r="I4558" s="158" t="s">
        <v>25944</v>
      </c>
      <c r="J4558" s="128"/>
      <c r="K4558" s="128"/>
      <c r="L4558" s="128"/>
      <c r="M4558" s="129"/>
      <c r="N4558" s="129"/>
      <c r="O4558" s="129"/>
    </row>
    <row r="4559" spans="1:15" ht="12.5">
      <c r="A4559" s="158" t="s">
        <v>25945</v>
      </c>
      <c r="B4559" s="159">
        <v>45</v>
      </c>
      <c r="C4559" s="159">
        <v>63</v>
      </c>
      <c r="D4559" s="159">
        <v>63</v>
      </c>
      <c r="E4559" s="159">
        <v>86</v>
      </c>
      <c r="F4559" s="131"/>
      <c r="G4559" s="132"/>
      <c r="H4559" s="162" t="s">
        <v>25946</v>
      </c>
      <c r="I4559" s="128"/>
      <c r="J4559" s="128"/>
      <c r="K4559" s="128"/>
      <c r="L4559" s="128"/>
      <c r="M4559" s="129"/>
      <c r="N4559" s="129"/>
      <c r="O4559" s="129"/>
    </row>
    <row r="4560" spans="1:15" ht="12.5">
      <c r="A4560" s="158" t="s">
        <v>25947</v>
      </c>
      <c r="B4560" s="159">
        <v>45</v>
      </c>
      <c r="C4560" s="159">
        <v>63</v>
      </c>
      <c r="D4560" s="159">
        <v>63</v>
      </c>
      <c r="E4560" s="159">
        <v>87</v>
      </c>
      <c r="F4560" s="131"/>
      <c r="G4560" s="132"/>
      <c r="H4560" s="162" t="s">
        <v>25948</v>
      </c>
      <c r="I4560" s="158" t="s">
        <v>25949</v>
      </c>
      <c r="J4560" s="128"/>
      <c r="K4560" s="128"/>
      <c r="L4560" s="128"/>
      <c r="M4560" s="129"/>
      <c r="N4560" s="129"/>
      <c r="O4560" s="129"/>
    </row>
    <row r="4561" spans="1:15" ht="12.5">
      <c r="A4561" s="158" t="s">
        <v>25950</v>
      </c>
      <c r="B4561" s="159">
        <v>45</v>
      </c>
      <c r="C4561" s="159">
        <v>63</v>
      </c>
      <c r="D4561" s="159">
        <v>63</v>
      </c>
      <c r="E4561" s="159">
        <v>88</v>
      </c>
      <c r="F4561" s="131"/>
      <c r="G4561" s="132"/>
      <c r="H4561" s="162" t="s">
        <v>25951</v>
      </c>
      <c r="I4561" s="128"/>
      <c r="J4561" s="128"/>
      <c r="K4561" s="128"/>
      <c r="L4561" s="128"/>
      <c r="M4561" s="129"/>
      <c r="N4561" s="129"/>
      <c r="O4561" s="129"/>
    </row>
    <row r="4562" spans="1:15" ht="12.5">
      <c r="A4562" s="158" t="s">
        <v>25952</v>
      </c>
      <c r="B4562" s="159">
        <v>45</v>
      </c>
      <c r="C4562" s="159">
        <v>63</v>
      </c>
      <c r="D4562" s="159">
        <v>63</v>
      </c>
      <c r="E4562" s="159">
        <v>89</v>
      </c>
      <c r="F4562" s="131"/>
      <c r="G4562" s="132"/>
      <c r="H4562" s="162" t="s">
        <v>25953</v>
      </c>
      <c r="I4562" s="158" t="s">
        <v>25954</v>
      </c>
      <c r="J4562" s="128"/>
      <c r="K4562" s="128"/>
      <c r="L4562" s="128"/>
      <c r="M4562" s="129"/>
      <c r="N4562" s="129"/>
      <c r="O4562" s="129"/>
    </row>
    <row r="4563" spans="1:15" ht="12.5">
      <c r="A4563" s="158" t="s">
        <v>25955</v>
      </c>
      <c r="B4563" s="159">
        <v>45</v>
      </c>
      <c r="C4563" s="159">
        <v>63</v>
      </c>
      <c r="D4563" s="159">
        <v>63</v>
      </c>
      <c r="E4563" s="159">
        <v>90</v>
      </c>
      <c r="F4563" s="131"/>
      <c r="G4563" s="132"/>
      <c r="H4563" s="162" t="s">
        <v>25956</v>
      </c>
      <c r="I4563" s="128"/>
      <c r="J4563" s="128"/>
      <c r="K4563" s="128"/>
      <c r="L4563" s="128"/>
      <c r="M4563" s="129"/>
      <c r="N4563" s="129"/>
      <c r="O4563" s="129"/>
    </row>
    <row r="4564" spans="1:15" ht="12.5">
      <c r="A4564" s="158" t="s">
        <v>25957</v>
      </c>
      <c r="B4564" s="159">
        <v>45</v>
      </c>
      <c r="C4564" s="159">
        <v>63</v>
      </c>
      <c r="D4564" s="159">
        <v>63</v>
      </c>
      <c r="E4564" s="159">
        <v>92</v>
      </c>
      <c r="F4564" s="131"/>
      <c r="G4564" s="132"/>
      <c r="H4564" s="162" t="s">
        <v>25958</v>
      </c>
      <c r="I4564" s="158" t="s">
        <v>25959</v>
      </c>
      <c r="J4564" s="128"/>
      <c r="K4564" s="128"/>
      <c r="L4564" s="128"/>
      <c r="M4564" s="129"/>
      <c r="N4564" s="129"/>
      <c r="O4564" s="129"/>
    </row>
    <row r="4565" spans="1:15" ht="12.5">
      <c r="A4565" s="158" t="s">
        <v>25960</v>
      </c>
      <c r="B4565" s="159">
        <v>45</v>
      </c>
      <c r="C4565" s="159">
        <v>63</v>
      </c>
      <c r="D4565" s="159">
        <v>63</v>
      </c>
      <c r="E4565" s="159">
        <v>94</v>
      </c>
      <c r="F4565" s="131"/>
      <c r="G4565" s="132"/>
      <c r="H4565" s="162" t="s">
        <v>25961</v>
      </c>
      <c r="I4565" s="128"/>
      <c r="J4565" s="128"/>
      <c r="K4565" s="128"/>
      <c r="L4565" s="128"/>
      <c r="M4565" s="129"/>
      <c r="N4565" s="129"/>
      <c r="O4565" s="129"/>
    </row>
    <row r="4566" spans="1:15" ht="12.5">
      <c r="A4566" s="158" t="s">
        <v>25962</v>
      </c>
      <c r="B4566" s="159">
        <v>45</v>
      </c>
      <c r="C4566" s="159">
        <v>63</v>
      </c>
      <c r="D4566" s="159">
        <v>63</v>
      </c>
      <c r="E4566" s="159">
        <v>96</v>
      </c>
      <c r="F4566" s="131"/>
      <c r="G4566" s="132"/>
      <c r="H4566" s="162" t="s">
        <v>25963</v>
      </c>
      <c r="I4566" s="128"/>
      <c r="J4566" s="128"/>
      <c r="K4566" s="128"/>
      <c r="L4566" s="128"/>
      <c r="M4566" s="129"/>
      <c r="N4566" s="129"/>
      <c r="O4566" s="129"/>
    </row>
    <row r="4567" spans="1:15" ht="12.5">
      <c r="A4567" s="158" t="s">
        <v>25964</v>
      </c>
      <c r="B4567" s="159">
        <v>45</v>
      </c>
      <c r="C4567" s="159">
        <v>63</v>
      </c>
      <c r="D4567" s="159">
        <v>63</v>
      </c>
      <c r="E4567" s="159">
        <v>97</v>
      </c>
      <c r="F4567" s="131"/>
      <c r="G4567" s="132"/>
      <c r="H4567" s="162" t="s">
        <v>25965</v>
      </c>
      <c r="I4567" s="128"/>
      <c r="J4567" s="128"/>
      <c r="K4567" s="128"/>
      <c r="L4567" s="128"/>
      <c r="M4567" s="129"/>
      <c r="N4567" s="129"/>
      <c r="O4567" s="129"/>
    </row>
    <row r="4568" spans="1:15" ht="12.5">
      <c r="A4568" s="158" t="s">
        <v>25966</v>
      </c>
      <c r="B4568" s="159">
        <v>45</v>
      </c>
      <c r="C4568" s="159">
        <v>63</v>
      </c>
      <c r="D4568" s="159">
        <v>64</v>
      </c>
      <c r="E4568" s="130"/>
      <c r="F4568" s="131"/>
      <c r="G4568" s="132"/>
      <c r="H4568" s="162" t="s">
        <v>25967</v>
      </c>
      <c r="I4568" s="128"/>
      <c r="J4568" s="128"/>
      <c r="K4568" s="128"/>
      <c r="L4568" s="128"/>
      <c r="M4568" s="129"/>
      <c r="N4568" s="129"/>
      <c r="O4568" s="129"/>
    </row>
    <row r="4569" spans="1:15" ht="12.5">
      <c r="A4569" s="158" t="s">
        <v>25968</v>
      </c>
      <c r="B4569" s="159">
        <v>45</v>
      </c>
      <c r="C4569" s="159">
        <v>63</v>
      </c>
      <c r="D4569" s="159">
        <v>64</v>
      </c>
      <c r="E4569" s="159">
        <v>11</v>
      </c>
      <c r="F4569" s="131"/>
      <c r="G4569" s="132"/>
      <c r="H4569" s="162" t="s">
        <v>25969</v>
      </c>
      <c r="I4569" s="158" t="s">
        <v>25970</v>
      </c>
      <c r="J4569" s="128"/>
      <c r="K4569" s="128"/>
      <c r="L4569" s="128"/>
      <c r="M4569" s="129"/>
      <c r="N4569" s="129"/>
      <c r="O4569" s="129"/>
    </row>
    <row r="4570" spans="1:15" ht="12.5">
      <c r="A4570" s="158" t="s">
        <v>25971</v>
      </c>
      <c r="B4570" s="159">
        <v>45</v>
      </c>
      <c r="C4570" s="159">
        <v>63</v>
      </c>
      <c r="D4570" s="159">
        <v>64</v>
      </c>
      <c r="E4570" s="159">
        <v>14</v>
      </c>
      <c r="F4570" s="131"/>
      <c r="G4570" s="132"/>
      <c r="H4570" s="162" t="s">
        <v>25972</v>
      </c>
      <c r="I4570" s="158" t="s">
        <v>25973</v>
      </c>
      <c r="J4570" s="128"/>
      <c r="K4570" s="128"/>
      <c r="L4570" s="128"/>
      <c r="M4570" s="129"/>
      <c r="N4570" s="129"/>
      <c r="O4570" s="129"/>
    </row>
    <row r="4571" spans="1:15" ht="12.5">
      <c r="A4571" s="158" t="s">
        <v>25974</v>
      </c>
      <c r="B4571" s="159">
        <v>45</v>
      </c>
      <c r="C4571" s="159">
        <v>63</v>
      </c>
      <c r="D4571" s="159">
        <v>64</v>
      </c>
      <c r="E4571" s="159">
        <v>15</v>
      </c>
      <c r="F4571" s="131"/>
      <c r="G4571" s="132"/>
      <c r="H4571" s="162" t="s">
        <v>25975</v>
      </c>
      <c r="I4571" s="158" t="s">
        <v>25976</v>
      </c>
      <c r="J4571" s="128"/>
      <c r="K4571" s="128"/>
      <c r="L4571" s="128"/>
      <c r="M4571" s="129"/>
      <c r="N4571" s="129"/>
      <c r="O4571" s="129"/>
    </row>
    <row r="4572" spans="1:15" ht="12.5">
      <c r="A4572" s="158" t="s">
        <v>25977</v>
      </c>
      <c r="B4572" s="159">
        <v>45</v>
      </c>
      <c r="C4572" s="159">
        <v>63</v>
      </c>
      <c r="D4572" s="159">
        <v>64</v>
      </c>
      <c r="E4572" s="159">
        <v>30</v>
      </c>
      <c r="F4572" s="131"/>
      <c r="G4572" s="132"/>
      <c r="H4572" s="162" t="s">
        <v>25978</v>
      </c>
      <c r="I4572" s="158" t="s">
        <v>25979</v>
      </c>
      <c r="J4572" s="128"/>
      <c r="K4572" s="128"/>
      <c r="L4572" s="128"/>
      <c r="M4572" s="129"/>
      <c r="N4572" s="129"/>
      <c r="O4572" s="129"/>
    </row>
    <row r="4573" spans="1:15" ht="12.5">
      <c r="A4573" s="158" t="s">
        <v>25980</v>
      </c>
      <c r="B4573" s="159">
        <v>45</v>
      </c>
      <c r="C4573" s="159">
        <v>63</v>
      </c>
      <c r="D4573" s="159">
        <v>64</v>
      </c>
      <c r="E4573" s="159">
        <v>33</v>
      </c>
      <c r="F4573" s="131"/>
      <c r="G4573" s="132"/>
      <c r="H4573" s="162" t="s">
        <v>25981</v>
      </c>
      <c r="I4573" s="158" t="s">
        <v>25982</v>
      </c>
      <c r="J4573" s="128"/>
      <c r="K4573" s="128"/>
      <c r="L4573" s="128"/>
      <c r="M4573" s="129"/>
      <c r="N4573" s="129"/>
      <c r="O4573" s="129"/>
    </row>
    <row r="4574" spans="1:15" ht="12.5">
      <c r="A4574" s="158" t="s">
        <v>25983</v>
      </c>
      <c r="B4574" s="159">
        <v>45</v>
      </c>
      <c r="C4574" s="159">
        <v>63</v>
      </c>
      <c r="D4574" s="159">
        <v>64</v>
      </c>
      <c r="E4574" s="159">
        <v>35</v>
      </c>
      <c r="F4574" s="131"/>
      <c r="G4574" s="132"/>
      <c r="H4574" s="162" t="s">
        <v>25984</v>
      </c>
      <c r="I4574" s="158" t="s">
        <v>25985</v>
      </c>
      <c r="J4574" s="128"/>
      <c r="K4574" s="128"/>
      <c r="L4574" s="128"/>
      <c r="M4574" s="129"/>
      <c r="N4574" s="129"/>
      <c r="O4574" s="129"/>
    </row>
    <row r="4575" spans="1:15" ht="12.5">
      <c r="A4575" s="158" t="s">
        <v>25986</v>
      </c>
      <c r="B4575" s="159">
        <v>45</v>
      </c>
      <c r="C4575" s="159">
        <v>63</v>
      </c>
      <c r="D4575" s="159">
        <v>64</v>
      </c>
      <c r="E4575" s="159">
        <v>63</v>
      </c>
      <c r="F4575" s="131"/>
      <c r="G4575" s="132"/>
      <c r="H4575" s="162" t="s">
        <v>25987</v>
      </c>
      <c r="I4575" s="158" t="s">
        <v>25988</v>
      </c>
      <c r="J4575" s="128"/>
      <c r="K4575" s="128"/>
      <c r="L4575" s="128"/>
      <c r="M4575" s="129"/>
      <c r="N4575" s="129"/>
      <c r="O4575" s="129"/>
    </row>
    <row r="4576" spans="1:15" ht="12.5">
      <c r="A4576" s="158" t="s">
        <v>25989</v>
      </c>
      <c r="B4576" s="159">
        <v>45</v>
      </c>
      <c r="C4576" s="159">
        <v>63</v>
      </c>
      <c r="D4576" s="159">
        <v>64</v>
      </c>
      <c r="E4576" s="159">
        <v>66</v>
      </c>
      <c r="F4576" s="131"/>
      <c r="G4576" s="132"/>
      <c r="H4576" s="162" t="s">
        <v>25990</v>
      </c>
      <c r="I4576" s="158" t="s">
        <v>25991</v>
      </c>
      <c r="J4576" s="128"/>
      <c r="K4576" s="128"/>
      <c r="L4576" s="128"/>
      <c r="M4576" s="129"/>
      <c r="N4576" s="129"/>
      <c r="O4576" s="129"/>
    </row>
    <row r="4577" spans="1:15" ht="12.5">
      <c r="A4577" s="158" t="s">
        <v>25992</v>
      </c>
      <c r="B4577" s="159">
        <v>45</v>
      </c>
      <c r="C4577" s="159">
        <v>63</v>
      </c>
      <c r="D4577" s="159">
        <v>64</v>
      </c>
      <c r="E4577" s="159">
        <v>67</v>
      </c>
      <c r="F4577" s="131"/>
      <c r="G4577" s="132"/>
      <c r="H4577" s="162" t="s">
        <v>25993</v>
      </c>
      <c r="I4577" s="158" t="s">
        <v>25994</v>
      </c>
      <c r="J4577" s="128"/>
      <c r="K4577" s="128"/>
      <c r="L4577" s="128"/>
      <c r="M4577" s="129"/>
      <c r="N4577" s="129"/>
      <c r="O4577" s="129"/>
    </row>
    <row r="4578" spans="1:15" ht="12.5">
      <c r="A4578" s="158" t="s">
        <v>25995</v>
      </c>
      <c r="B4578" s="159">
        <v>45</v>
      </c>
      <c r="C4578" s="159">
        <v>63</v>
      </c>
      <c r="D4578" s="159">
        <v>64</v>
      </c>
      <c r="E4578" s="159">
        <v>72</v>
      </c>
      <c r="F4578" s="131"/>
      <c r="G4578" s="132"/>
      <c r="H4578" s="162" t="s">
        <v>25996</v>
      </c>
      <c r="I4578" s="158" t="s">
        <v>25997</v>
      </c>
      <c r="J4578" s="128"/>
      <c r="K4578" s="128"/>
      <c r="L4578" s="128"/>
      <c r="M4578" s="129"/>
      <c r="N4578" s="129"/>
      <c r="O4578" s="129"/>
    </row>
    <row r="4579" spans="1:15" ht="12.5">
      <c r="A4579" s="158" t="s">
        <v>25998</v>
      </c>
      <c r="B4579" s="159">
        <v>45</v>
      </c>
      <c r="C4579" s="159">
        <v>63</v>
      </c>
      <c r="D4579" s="159">
        <v>64</v>
      </c>
      <c r="E4579" s="159">
        <v>78</v>
      </c>
      <c r="F4579" s="131"/>
      <c r="G4579" s="132"/>
      <c r="H4579" s="162" t="s">
        <v>25999</v>
      </c>
      <c r="I4579" s="158" t="s">
        <v>26000</v>
      </c>
      <c r="J4579" s="128"/>
      <c r="K4579" s="128"/>
      <c r="L4579" s="128"/>
      <c r="M4579" s="129"/>
      <c r="N4579" s="129"/>
      <c r="O4579" s="129"/>
    </row>
    <row r="4580" spans="1:15" ht="12.5">
      <c r="A4580" s="158" t="s">
        <v>26001</v>
      </c>
      <c r="B4580" s="159">
        <v>45</v>
      </c>
      <c r="C4580" s="159">
        <v>63</v>
      </c>
      <c r="D4580" s="159">
        <v>64</v>
      </c>
      <c r="E4580" s="159">
        <v>80</v>
      </c>
      <c r="F4580" s="131"/>
      <c r="G4580" s="132"/>
      <c r="H4580" s="162" t="s">
        <v>26002</v>
      </c>
      <c r="I4580" s="158" t="s">
        <v>26003</v>
      </c>
      <c r="J4580" s="128"/>
      <c r="K4580" s="128"/>
      <c r="L4580" s="128"/>
      <c r="M4580" s="129"/>
      <c r="N4580" s="129"/>
      <c r="O4580" s="129"/>
    </row>
    <row r="4581" spans="1:15" ht="12.5">
      <c r="A4581" s="158" t="s">
        <v>26004</v>
      </c>
      <c r="B4581" s="159">
        <v>45</v>
      </c>
      <c r="C4581" s="159">
        <v>63</v>
      </c>
      <c r="D4581" s="159">
        <v>64</v>
      </c>
      <c r="E4581" s="159">
        <v>83</v>
      </c>
      <c r="F4581" s="131"/>
      <c r="G4581" s="132"/>
      <c r="H4581" s="162" t="s">
        <v>26005</v>
      </c>
      <c r="I4581" s="158" t="s">
        <v>26006</v>
      </c>
      <c r="J4581" s="128"/>
      <c r="K4581" s="128"/>
      <c r="L4581" s="128"/>
      <c r="M4581" s="129"/>
      <c r="N4581" s="129"/>
      <c r="O4581" s="129"/>
    </row>
    <row r="4582" spans="1:15" ht="12.5">
      <c r="A4582" s="158" t="s">
        <v>26007</v>
      </c>
      <c r="B4582" s="159">
        <v>45</v>
      </c>
      <c r="C4582" s="159">
        <v>63</v>
      </c>
      <c r="D4582" s="159">
        <v>64</v>
      </c>
      <c r="E4582" s="159">
        <v>84</v>
      </c>
      <c r="F4582" s="131"/>
      <c r="G4582" s="132"/>
      <c r="H4582" s="162" t="s">
        <v>26008</v>
      </c>
      <c r="I4582" s="158" t="s">
        <v>26009</v>
      </c>
      <c r="J4582" s="128"/>
      <c r="K4582" s="128"/>
      <c r="L4582" s="128"/>
      <c r="M4582" s="129"/>
      <c r="N4582" s="129"/>
      <c r="O4582" s="129"/>
    </row>
    <row r="4583" spans="1:15" ht="12.5">
      <c r="A4583" s="158" t="s">
        <v>26010</v>
      </c>
      <c r="B4583" s="159">
        <v>45</v>
      </c>
      <c r="C4583" s="159">
        <v>63</v>
      </c>
      <c r="D4583" s="159">
        <v>64</v>
      </c>
      <c r="E4583" s="159">
        <v>86</v>
      </c>
      <c r="F4583" s="131"/>
      <c r="G4583" s="132"/>
      <c r="H4583" s="162" t="s">
        <v>26011</v>
      </c>
      <c r="I4583" s="158" t="s">
        <v>26012</v>
      </c>
      <c r="J4583" s="128"/>
      <c r="K4583" s="128"/>
      <c r="L4583" s="128"/>
      <c r="M4583" s="129"/>
      <c r="N4583" s="129"/>
      <c r="O4583" s="129"/>
    </row>
    <row r="4584" spans="1:15" ht="12.5">
      <c r="A4584" s="158" t="s">
        <v>26013</v>
      </c>
      <c r="B4584" s="159">
        <v>45</v>
      </c>
      <c r="C4584" s="159">
        <v>63</v>
      </c>
      <c r="D4584" s="159">
        <v>64</v>
      </c>
      <c r="E4584" s="159">
        <v>87</v>
      </c>
      <c r="F4584" s="131"/>
      <c r="G4584" s="132"/>
      <c r="H4584" s="162" t="s">
        <v>26014</v>
      </c>
      <c r="I4584" s="158" t="s">
        <v>26015</v>
      </c>
      <c r="J4584" s="128"/>
      <c r="K4584" s="128"/>
      <c r="L4584" s="128"/>
      <c r="M4584" s="129"/>
      <c r="N4584" s="129"/>
      <c r="O4584" s="129"/>
    </row>
    <row r="4585" spans="1:15" ht="12.5">
      <c r="A4585" s="158" t="s">
        <v>26016</v>
      </c>
      <c r="B4585" s="159">
        <v>45</v>
      </c>
      <c r="C4585" s="159">
        <v>63</v>
      </c>
      <c r="D4585" s="159">
        <v>64</v>
      </c>
      <c r="E4585" s="159">
        <v>88</v>
      </c>
      <c r="F4585" s="131"/>
      <c r="G4585" s="132"/>
      <c r="H4585" s="162" t="s">
        <v>26017</v>
      </c>
      <c r="I4585" s="158" t="s">
        <v>26018</v>
      </c>
      <c r="J4585" s="128"/>
      <c r="K4585" s="128"/>
      <c r="L4585" s="128"/>
      <c r="M4585" s="129"/>
      <c r="N4585" s="129"/>
      <c r="O4585" s="129"/>
    </row>
    <row r="4586" spans="1:15" ht="12.5">
      <c r="A4586" s="158" t="s">
        <v>26019</v>
      </c>
      <c r="B4586" s="159">
        <v>45</v>
      </c>
      <c r="C4586" s="159">
        <v>63</v>
      </c>
      <c r="D4586" s="159">
        <v>64</v>
      </c>
      <c r="E4586" s="159">
        <v>89</v>
      </c>
      <c r="F4586" s="131"/>
      <c r="G4586" s="132"/>
      <c r="H4586" s="162" t="s">
        <v>26020</v>
      </c>
      <c r="I4586" s="158" t="s">
        <v>26021</v>
      </c>
      <c r="J4586" s="128"/>
      <c r="K4586" s="128"/>
      <c r="L4586" s="128"/>
      <c r="M4586" s="129"/>
      <c r="N4586" s="129"/>
      <c r="O4586" s="129"/>
    </row>
    <row r="4587" spans="1:15" ht="12.5">
      <c r="A4587" s="158" t="s">
        <v>26022</v>
      </c>
      <c r="B4587" s="159">
        <v>45</v>
      </c>
      <c r="C4587" s="159">
        <v>63</v>
      </c>
      <c r="D4587" s="159">
        <v>64</v>
      </c>
      <c r="E4587" s="159">
        <v>90</v>
      </c>
      <c r="F4587" s="131"/>
      <c r="G4587" s="132"/>
      <c r="H4587" s="162" t="s">
        <v>26023</v>
      </c>
      <c r="I4587" s="158" t="s">
        <v>26024</v>
      </c>
      <c r="J4587" s="128"/>
      <c r="K4587" s="128"/>
      <c r="L4587" s="128"/>
      <c r="M4587" s="129"/>
      <c r="N4587" s="129"/>
      <c r="O4587" s="129"/>
    </row>
    <row r="4588" spans="1:15" ht="12.5">
      <c r="A4588" s="158" t="s">
        <v>26025</v>
      </c>
      <c r="B4588" s="159">
        <v>45</v>
      </c>
      <c r="C4588" s="159">
        <v>63</v>
      </c>
      <c r="D4588" s="159">
        <v>64</v>
      </c>
      <c r="E4588" s="159">
        <v>96</v>
      </c>
      <c r="F4588" s="131"/>
      <c r="G4588" s="132"/>
      <c r="H4588" s="162" t="s">
        <v>26026</v>
      </c>
      <c r="I4588" s="158" t="s">
        <v>26027</v>
      </c>
      <c r="J4588" s="128"/>
      <c r="K4588" s="128"/>
      <c r="L4588" s="128"/>
      <c r="M4588" s="129"/>
      <c r="N4588" s="129"/>
      <c r="O4588" s="129"/>
    </row>
    <row r="4589" spans="1:15" ht="12.5">
      <c r="A4589" s="137" t="s">
        <v>26028</v>
      </c>
      <c r="B4589" s="138">
        <v>50</v>
      </c>
      <c r="C4589" s="139"/>
      <c r="D4589" s="139"/>
      <c r="E4589" s="139"/>
      <c r="F4589" s="140" t="s">
        <v>33504</v>
      </c>
      <c r="G4589" s="141"/>
      <c r="H4589" s="142" t="s">
        <v>26029</v>
      </c>
      <c r="I4589" s="143"/>
      <c r="J4589" s="143"/>
      <c r="K4589" s="143"/>
      <c r="L4589" s="143"/>
      <c r="M4589" s="192"/>
      <c r="N4589" s="192"/>
      <c r="O4589" s="192"/>
    </row>
    <row r="4590" spans="1:15" ht="12.5">
      <c r="A4590" s="137" t="s">
        <v>26030</v>
      </c>
      <c r="B4590" s="138">
        <v>60</v>
      </c>
      <c r="C4590" s="139"/>
      <c r="D4590" s="139"/>
      <c r="E4590" s="139"/>
      <c r="F4590" s="140" t="s">
        <v>33505</v>
      </c>
      <c r="G4590" s="141"/>
      <c r="H4590" s="142" t="s">
        <v>26031</v>
      </c>
      <c r="I4590" s="143"/>
      <c r="J4590" s="143"/>
      <c r="K4590" s="143"/>
      <c r="L4590" s="143"/>
      <c r="M4590" s="192"/>
      <c r="N4590" s="192"/>
      <c r="O4590" s="192"/>
    </row>
    <row r="4591" spans="1:15" ht="12.5">
      <c r="A4591" s="144" t="s">
        <v>26032</v>
      </c>
      <c r="B4591" s="145">
        <v>60</v>
      </c>
      <c r="C4591" s="145">
        <v>45</v>
      </c>
      <c r="D4591" s="146"/>
      <c r="E4591" s="146"/>
      <c r="F4591" s="147" t="s">
        <v>33506</v>
      </c>
      <c r="G4591" s="190"/>
      <c r="H4591" s="149" t="s">
        <v>26033</v>
      </c>
      <c r="I4591" s="150"/>
      <c r="J4591" s="150"/>
      <c r="K4591" s="150"/>
      <c r="L4591" s="150"/>
      <c r="M4591" s="191"/>
      <c r="N4591" s="191"/>
      <c r="O4591" s="191"/>
    </row>
    <row r="4592" spans="1:15" ht="12.5">
      <c r="A4592" s="158" t="s">
        <v>26034</v>
      </c>
      <c r="B4592" s="159">
        <v>60</v>
      </c>
      <c r="C4592" s="159">
        <v>45</v>
      </c>
      <c r="D4592" s="159">
        <v>1</v>
      </c>
      <c r="E4592" s="130"/>
      <c r="F4592" s="131"/>
      <c r="G4592" s="132"/>
      <c r="H4592" s="162" t="s">
        <v>26035</v>
      </c>
      <c r="I4592" s="128"/>
      <c r="J4592" s="128"/>
      <c r="K4592" s="128"/>
      <c r="L4592" s="128"/>
      <c r="M4592" s="129"/>
      <c r="N4592" s="129"/>
      <c r="O4592" s="129"/>
    </row>
    <row r="4593" spans="1:15" ht="12.5">
      <c r="A4593" s="158" t="s">
        <v>26036</v>
      </c>
      <c r="B4593" s="159">
        <v>60</v>
      </c>
      <c r="C4593" s="159">
        <v>45</v>
      </c>
      <c r="D4593" s="159">
        <v>1</v>
      </c>
      <c r="E4593" s="159">
        <v>11</v>
      </c>
      <c r="F4593" s="131"/>
      <c r="G4593" s="132"/>
      <c r="H4593" s="162" t="s">
        <v>26037</v>
      </c>
      <c r="I4593" s="158" t="s">
        <v>26038</v>
      </c>
      <c r="J4593" s="128"/>
      <c r="K4593" s="128"/>
      <c r="L4593" s="128"/>
      <c r="M4593" s="129"/>
      <c r="N4593" s="129"/>
      <c r="O4593" s="129"/>
    </row>
    <row r="4594" spans="1:15" ht="12.5">
      <c r="A4594" s="158" t="s">
        <v>26039</v>
      </c>
      <c r="B4594" s="159">
        <v>60</v>
      </c>
      <c r="C4594" s="159">
        <v>45</v>
      </c>
      <c r="D4594" s="159">
        <v>1</v>
      </c>
      <c r="E4594" s="159">
        <v>30</v>
      </c>
      <c r="F4594" s="131"/>
      <c r="G4594" s="132"/>
      <c r="H4594" s="162" t="s">
        <v>26040</v>
      </c>
      <c r="I4594" s="158" t="s">
        <v>26041</v>
      </c>
      <c r="J4594" s="128"/>
      <c r="K4594" s="128"/>
      <c r="L4594" s="128"/>
      <c r="M4594" s="129"/>
      <c r="N4594" s="129"/>
      <c r="O4594" s="129"/>
    </row>
    <row r="4595" spans="1:15" ht="12.5">
      <c r="A4595" s="158" t="s">
        <v>26042</v>
      </c>
      <c r="B4595" s="159">
        <v>60</v>
      </c>
      <c r="C4595" s="159">
        <v>45</v>
      </c>
      <c r="D4595" s="159">
        <v>1</v>
      </c>
      <c r="E4595" s="159">
        <v>37</v>
      </c>
      <c r="F4595" s="131"/>
      <c r="G4595" s="132"/>
      <c r="H4595" s="162" t="s">
        <v>26043</v>
      </c>
      <c r="I4595" s="158" t="s">
        <v>26044</v>
      </c>
      <c r="J4595" s="128"/>
      <c r="K4595" s="128"/>
      <c r="L4595" s="128"/>
      <c r="M4595" s="129"/>
      <c r="N4595" s="129"/>
      <c r="O4595" s="129"/>
    </row>
    <row r="4596" spans="1:15" ht="12.5">
      <c r="A4596" s="158" t="s">
        <v>26045</v>
      </c>
      <c r="B4596" s="159">
        <v>60</v>
      </c>
      <c r="C4596" s="159">
        <v>45</v>
      </c>
      <c r="D4596" s="159">
        <v>1</v>
      </c>
      <c r="E4596" s="159">
        <v>38</v>
      </c>
      <c r="F4596" s="131"/>
      <c r="G4596" s="132"/>
      <c r="H4596" s="162" t="s">
        <v>26046</v>
      </c>
      <c r="I4596" s="158" t="s">
        <v>26047</v>
      </c>
      <c r="J4596" s="128"/>
      <c r="K4596" s="128"/>
      <c r="L4596" s="128"/>
      <c r="M4596" s="129"/>
      <c r="N4596" s="129"/>
      <c r="O4596" s="129"/>
    </row>
    <row r="4597" spans="1:15" ht="12.5">
      <c r="A4597" s="158" t="s">
        <v>26048</v>
      </c>
      <c r="B4597" s="159">
        <v>60</v>
      </c>
      <c r="C4597" s="159">
        <v>45</v>
      </c>
      <c r="D4597" s="159">
        <v>1</v>
      </c>
      <c r="E4597" s="159">
        <v>44</v>
      </c>
      <c r="F4597" s="131"/>
      <c r="G4597" s="132"/>
      <c r="H4597" s="162" t="s">
        <v>26049</v>
      </c>
      <c r="I4597" s="158" t="s">
        <v>26050</v>
      </c>
      <c r="J4597" s="128"/>
      <c r="K4597" s="128"/>
      <c r="L4597" s="128"/>
      <c r="M4597" s="129"/>
      <c r="N4597" s="129"/>
      <c r="O4597" s="129"/>
    </row>
    <row r="4598" spans="1:15" ht="12.5">
      <c r="A4598" s="158" t="s">
        <v>26051</v>
      </c>
      <c r="B4598" s="159">
        <v>60</v>
      </c>
      <c r="C4598" s="159">
        <v>45</v>
      </c>
      <c r="D4598" s="159">
        <v>1</v>
      </c>
      <c r="E4598" s="159">
        <v>48</v>
      </c>
      <c r="F4598" s="131"/>
      <c r="G4598" s="132"/>
      <c r="H4598" s="162" t="s">
        <v>26052</v>
      </c>
      <c r="I4598" s="158" t="s">
        <v>26053</v>
      </c>
      <c r="J4598" s="128"/>
      <c r="K4598" s="128"/>
      <c r="L4598" s="128"/>
      <c r="M4598" s="129"/>
      <c r="N4598" s="129"/>
      <c r="O4598" s="129"/>
    </row>
    <row r="4599" spans="1:15" ht="12.5">
      <c r="A4599" s="158" t="s">
        <v>26054</v>
      </c>
      <c r="B4599" s="159">
        <v>60</v>
      </c>
      <c r="C4599" s="159">
        <v>45</v>
      </c>
      <c r="D4599" s="159">
        <v>1</v>
      </c>
      <c r="E4599" s="159">
        <v>96</v>
      </c>
      <c r="F4599" s="131"/>
      <c r="G4599" s="132"/>
      <c r="H4599" s="162" t="s">
        <v>26055</v>
      </c>
      <c r="I4599" s="158" t="s">
        <v>26056</v>
      </c>
      <c r="J4599" s="128"/>
      <c r="K4599" s="128"/>
      <c r="L4599" s="128"/>
      <c r="M4599" s="129"/>
      <c r="N4599" s="129"/>
      <c r="O4599" s="129"/>
    </row>
    <row r="4600" spans="1:15" ht="12.5">
      <c r="A4600" s="158" t="s">
        <v>26057</v>
      </c>
      <c r="B4600" s="159">
        <v>60</v>
      </c>
      <c r="C4600" s="159">
        <v>45</v>
      </c>
      <c r="D4600" s="159">
        <v>3</v>
      </c>
      <c r="E4600" s="130"/>
      <c r="F4600" s="131"/>
      <c r="G4600" s="132"/>
      <c r="H4600" s="162" t="s">
        <v>26058</v>
      </c>
      <c r="I4600" s="128"/>
      <c r="J4600" s="128"/>
      <c r="K4600" s="128"/>
      <c r="L4600" s="128"/>
      <c r="M4600" s="129"/>
      <c r="N4600" s="129"/>
      <c r="O4600" s="129"/>
    </row>
    <row r="4601" spans="1:15" ht="12.5">
      <c r="A4601" s="158" t="s">
        <v>26059</v>
      </c>
      <c r="B4601" s="159">
        <v>60</v>
      </c>
      <c r="C4601" s="159">
        <v>45</v>
      </c>
      <c r="D4601" s="159">
        <v>3</v>
      </c>
      <c r="E4601" s="159">
        <v>12</v>
      </c>
      <c r="F4601" s="131"/>
      <c r="G4601" s="132"/>
      <c r="H4601" s="162" t="s">
        <v>26060</v>
      </c>
      <c r="I4601" s="158" t="s">
        <v>26061</v>
      </c>
      <c r="J4601" s="128"/>
      <c r="K4601" s="128"/>
      <c r="L4601" s="128"/>
      <c r="M4601" s="129"/>
      <c r="N4601" s="129"/>
      <c r="O4601" s="129"/>
    </row>
    <row r="4602" spans="1:15" ht="12.5">
      <c r="A4602" s="158" t="s">
        <v>26064</v>
      </c>
      <c r="B4602" s="159">
        <v>60</v>
      </c>
      <c r="C4602" s="159">
        <v>45</v>
      </c>
      <c r="D4602" s="159">
        <v>3</v>
      </c>
      <c r="E4602" s="159">
        <v>72</v>
      </c>
      <c r="F4602" s="131"/>
      <c r="G4602" s="132"/>
      <c r="H4602" s="162" t="s">
        <v>26065</v>
      </c>
      <c r="I4602" s="158" t="s">
        <v>26066</v>
      </c>
      <c r="J4602" s="128"/>
      <c r="K4602" s="128"/>
      <c r="L4602" s="128"/>
      <c r="M4602" s="129"/>
      <c r="N4602" s="129"/>
      <c r="O4602" s="129"/>
    </row>
    <row r="4603" spans="1:15" ht="12.5">
      <c r="A4603" s="158" t="s">
        <v>26067</v>
      </c>
      <c r="B4603" s="159">
        <v>60</v>
      </c>
      <c r="C4603" s="159">
        <v>45</v>
      </c>
      <c r="D4603" s="159">
        <v>3</v>
      </c>
      <c r="E4603" s="159">
        <v>73</v>
      </c>
      <c r="F4603" s="131"/>
      <c r="G4603" s="132"/>
      <c r="H4603" s="162" t="s">
        <v>26068</v>
      </c>
      <c r="I4603" s="158" t="s">
        <v>26069</v>
      </c>
      <c r="J4603" s="128"/>
      <c r="K4603" s="128"/>
      <c r="L4603" s="128"/>
      <c r="M4603" s="129"/>
      <c r="N4603" s="129"/>
      <c r="O4603" s="129"/>
    </row>
    <row r="4604" spans="1:15" ht="12.5">
      <c r="A4604" s="158" t="s">
        <v>26070</v>
      </c>
      <c r="B4604" s="159">
        <v>60</v>
      </c>
      <c r="C4604" s="159">
        <v>45</v>
      </c>
      <c r="D4604" s="159">
        <v>3</v>
      </c>
      <c r="E4604" s="159">
        <v>78</v>
      </c>
      <c r="F4604" s="131"/>
      <c r="G4604" s="132"/>
      <c r="H4604" s="162" t="s">
        <v>26071</v>
      </c>
      <c r="I4604" s="158" t="s">
        <v>26072</v>
      </c>
      <c r="J4604" s="128"/>
      <c r="K4604" s="128"/>
      <c r="L4604" s="128"/>
      <c r="M4604" s="129"/>
      <c r="N4604" s="129"/>
      <c r="O4604" s="129"/>
    </row>
    <row r="4605" spans="1:15" ht="12.5">
      <c r="A4605" s="158" t="s">
        <v>26075</v>
      </c>
      <c r="B4605" s="159">
        <v>60</v>
      </c>
      <c r="C4605" s="159">
        <v>45</v>
      </c>
      <c r="D4605" s="159">
        <v>7</v>
      </c>
      <c r="E4605" s="130"/>
      <c r="F4605" s="131"/>
      <c r="G4605" s="132"/>
      <c r="H4605" s="162" t="s">
        <v>26076</v>
      </c>
      <c r="I4605" s="128"/>
      <c r="J4605" s="128"/>
      <c r="K4605" s="128"/>
      <c r="L4605" s="128"/>
      <c r="M4605" s="129"/>
      <c r="N4605" s="129"/>
      <c r="O4605" s="129"/>
    </row>
    <row r="4606" spans="1:15" ht="12.5">
      <c r="A4606" s="158" t="s">
        <v>26077</v>
      </c>
      <c r="B4606" s="159">
        <v>60</v>
      </c>
      <c r="C4606" s="159">
        <v>45</v>
      </c>
      <c r="D4606" s="159">
        <v>7</v>
      </c>
      <c r="E4606" s="159">
        <v>21</v>
      </c>
      <c r="F4606" s="131"/>
      <c r="G4606" s="132"/>
      <c r="H4606" s="162" t="s">
        <v>26078</v>
      </c>
      <c r="I4606" s="158" t="s">
        <v>26079</v>
      </c>
      <c r="J4606" s="128"/>
      <c r="K4606" s="128"/>
      <c r="L4606" s="128"/>
      <c r="M4606" s="129"/>
      <c r="N4606" s="129"/>
      <c r="O4606" s="129"/>
    </row>
    <row r="4607" spans="1:15" ht="12.5">
      <c r="A4607" s="158" t="s">
        <v>26080</v>
      </c>
      <c r="B4607" s="159">
        <v>60</v>
      </c>
      <c r="C4607" s="159">
        <v>45</v>
      </c>
      <c r="D4607" s="159">
        <v>7</v>
      </c>
      <c r="E4607" s="159">
        <v>22</v>
      </c>
      <c r="F4607" s="131"/>
      <c r="G4607" s="132"/>
      <c r="H4607" s="162" t="s">
        <v>26081</v>
      </c>
      <c r="I4607" s="158" t="s">
        <v>26082</v>
      </c>
      <c r="J4607" s="128"/>
      <c r="K4607" s="128"/>
      <c r="L4607" s="128"/>
      <c r="M4607" s="129"/>
      <c r="N4607" s="129"/>
      <c r="O4607" s="129"/>
    </row>
    <row r="4608" spans="1:15" ht="12.5">
      <c r="A4608" s="158" t="s">
        <v>26083</v>
      </c>
      <c r="B4608" s="159">
        <v>60</v>
      </c>
      <c r="C4608" s="159">
        <v>45</v>
      </c>
      <c r="D4608" s="159">
        <v>7</v>
      </c>
      <c r="E4608" s="159">
        <v>23</v>
      </c>
      <c r="F4608" s="131"/>
      <c r="G4608" s="132"/>
      <c r="H4608" s="162" t="s">
        <v>26084</v>
      </c>
      <c r="I4608" s="158" t="s">
        <v>26085</v>
      </c>
      <c r="J4608" s="128"/>
      <c r="K4608" s="128"/>
      <c r="L4608" s="128"/>
      <c r="M4608" s="129"/>
      <c r="N4608" s="129"/>
      <c r="O4608" s="129"/>
    </row>
    <row r="4609" spans="1:15" ht="12.5">
      <c r="A4609" s="158" t="s">
        <v>26086</v>
      </c>
      <c r="B4609" s="159">
        <v>60</v>
      </c>
      <c r="C4609" s="159">
        <v>45</v>
      </c>
      <c r="D4609" s="159">
        <v>7</v>
      </c>
      <c r="E4609" s="159">
        <v>25</v>
      </c>
      <c r="F4609" s="131"/>
      <c r="G4609" s="132"/>
      <c r="H4609" s="162" t="s">
        <v>26087</v>
      </c>
      <c r="I4609" s="158" t="s">
        <v>26088</v>
      </c>
      <c r="J4609" s="128"/>
      <c r="K4609" s="128"/>
      <c r="L4609" s="128"/>
      <c r="M4609" s="129"/>
      <c r="N4609" s="129"/>
      <c r="O4609" s="129"/>
    </row>
    <row r="4610" spans="1:15" ht="12.5">
      <c r="A4610" s="158" t="s">
        <v>26089</v>
      </c>
      <c r="B4610" s="159">
        <v>60</v>
      </c>
      <c r="C4610" s="159">
        <v>45</v>
      </c>
      <c r="D4610" s="159">
        <v>7</v>
      </c>
      <c r="E4610" s="159">
        <v>46</v>
      </c>
      <c r="F4610" s="131"/>
      <c r="G4610" s="132"/>
      <c r="H4610" s="162" t="s">
        <v>26090</v>
      </c>
      <c r="I4610" s="158" t="s">
        <v>26091</v>
      </c>
      <c r="J4610" s="128"/>
      <c r="K4610" s="128"/>
      <c r="L4610" s="128"/>
      <c r="M4610" s="129"/>
      <c r="N4610" s="129"/>
      <c r="O4610" s="129"/>
    </row>
    <row r="4611" spans="1:15" ht="12.5">
      <c r="A4611" s="158" t="s">
        <v>26092</v>
      </c>
      <c r="B4611" s="159">
        <v>60</v>
      </c>
      <c r="C4611" s="159">
        <v>45</v>
      </c>
      <c r="D4611" s="159">
        <v>7</v>
      </c>
      <c r="E4611" s="159">
        <v>51</v>
      </c>
      <c r="F4611" s="131"/>
      <c r="G4611" s="132"/>
      <c r="H4611" s="162" t="s">
        <v>26093</v>
      </c>
      <c r="I4611" s="158" t="s">
        <v>26094</v>
      </c>
      <c r="J4611" s="128"/>
      <c r="K4611" s="128"/>
      <c r="L4611" s="128"/>
      <c r="M4611" s="129"/>
      <c r="N4611" s="129"/>
      <c r="O4611" s="129"/>
    </row>
    <row r="4612" spans="1:15" ht="12.5">
      <c r="A4612" s="158" t="s">
        <v>26095</v>
      </c>
      <c r="B4612" s="159">
        <v>60</v>
      </c>
      <c r="C4612" s="159">
        <v>45</v>
      </c>
      <c r="D4612" s="159">
        <v>7</v>
      </c>
      <c r="E4612" s="159">
        <v>60</v>
      </c>
      <c r="F4612" s="131"/>
      <c r="G4612" s="132"/>
      <c r="H4612" s="162" t="s">
        <v>26096</v>
      </c>
      <c r="I4612" s="158" t="s">
        <v>26097</v>
      </c>
      <c r="J4612" s="128"/>
      <c r="K4612" s="128"/>
      <c r="L4612" s="128"/>
      <c r="M4612" s="129"/>
      <c r="N4612" s="129"/>
      <c r="O4612" s="129"/>
    </row>
    <row r="4613" spans="1:15" ht="12.5">
      <c r="A4613" s="158" t="s">
        <v>26098</v>
      </c>
      <c r="B4613" s="159">
        <v>60</v>
      </c>
      <c r="C4613" s="159">
        <v>45</v>
      </c>
      <c r="D4613" s="159">
        <v>7</v>
      </c>
      <c r="E4613" s="159">
        <v>72</v>
      </c>
      <c r="F4613" s="131"/>
      <c r="G4613" s="132"/>
      <c r="H4613" s="162" t="s">
        <v>26099</v>
      </c>
      <c r="I4613" s="158" t="s">
        <v>26100</v>
      </c>
      <c r="J4613" s="128"/>
      <c r="K4613" s="128"/>
      <c r="L4613" s="128"/>
      <c r="M4613" s="129"/>
      <c r="N4613" s="129"/>
      <c r="O4613" s="129"/>
    </row>
    <row r="4614" spans="1:15" ht="12.5">
      <c r="A4614" s="158" t="s">
        <v>26101</v>
      </c>
      <c r="B4614" s="159">
        <v>60</v>
      </c>
      <c r="C4614" s="159">
        <v>45</v>
      </c>
      <c r="D4614" s="159">
        <v>12</v>
      </c>
      <c r="E4614" s="130"/>
      <c r="F4614" s="131"/>
      <c r="G4614" s="132"/>
      <c r="H4614" s="162" t="s">
        <v>26102</v>
      </c>
      <c r="I4614" s="128"/>
      <c r="J4614" s="128"/>
      <c r="K4614" s="128"/>
      <c r="L4614" s="128"/>
      <c r="M4614" s="129"/>
      <c r="N4614" s="129"/>
      <c r="O4614" s="129"/>
    </row>
    <row r="4615" spans="1:15" ht="12.5">
      <c r="A4615" s="158" t="s">
        <v>26103</v>
      </c>
      <c r="B4615" s="159">
        <v>60</v>
      </c>
      <c r="C4615" s="159">
        <v>45</v>
      </c>
      <c r="D4615" s="159">
        <v>22</v>
      </c>
      <c r="E4615" s="130"/>
      <c r="F4615" s="131"/>
      <c r="G4615" s="132"/>
      <c r="H4615" s="162" t="s">
        <v>26104</v>
      </c>
      <c r="I4615" s="128"/>
      <c r="J4615" s="128"/>
      <c r="K4615" s="128"/>
      <c r="L4615" s="128"/>
      <c r="M4615" s="129"/>
      <c r="N4615" s="129"/>
      <c r="O4615" s="129"/>
    </row>
    <row r="4616" spans="1:15" ht="12.5">
      <c r="A4616" s="158" t="s">
        <v>26105</v>
      </c>
      <c r="B4616" s="159">
        <v>60</v>
      </c>
      <c r="C4616" s="159">
        <v>45</v>
      </c>
      <c r="D4616" s="159">
        <v>22</v>
      </c>
      <c r="E4616" s="159">
        <v>30</v>
      </c>
      <c r="F4616" s="131"/>
      <c r="G4616" s="132"/>
      <c r="H4616" s="162" t="s">
        <v>26106</v>
      </c>
      <c r="I4616" s="158" t="s">
        <v>26107</v>
      </c>
      <c r="J4616" s="128"/>
      <c r="K4616" s="128"/>
      <c r="L4616" s="128"/>
      <c r="M4616" s="129"/>
      <c r="N4616" s="129"/>
      <c r="O4616" s="129"/>
    </row>
    <row r="4617" spans="1:15" ht="12.5">
      <c r="A4617" s="158" t="s">
        <v>26108</v>
      </c>
      <c r="B4617" s="159">
        <v>60</v>
      </c>
      <c r="C4617" s="159">
        <v>45</v>
      </c>
      <c r="D4617" s="159">
        <v>22</v>
      </c>
      <c r="E4617" s="159">
        <v>52</v>
      </c>
      <c r="F4617" s="131"/>
      <c r="G4617" s="132"/>
      <c r="H4617" s="162" t="s">
        <v>26109</v>
      </c>
      <c r="I4617" s="158" t="s">
        <v>26110</v>
      </c>
      <c r="J4617" s="128"/>
      <c r="K4617" s="128"/>
      <c r="L4617" s="128"/>
      <c r="M4617" s="129"/>
      <c r="N4617" s="129"/>
      <c r="O4617" s="129"/>
    </row>
    <row r="4618" spans="1:15" ht="12.5">
      <c r="A4618" s="158" t="s">
        <v>26111</v>
      </c>
      <c r="B4618" s="159">
        <v>60</v>
      </c>
      <c r="C4618" s="159">
        <v>45</v>
      </c>
      <c r="D4618" s="159">
        <v>24</v>
      </c>
      <c r="E4618" s="130"/>
      <c r="F4618" s="131"/>
      <c r="G4618" s="132"/>
      <c r="H4618" s="162" t="s">
        <v>26112</v>
      </c>
      <c r="I4618" s="128"/>
      <c r="J4618" s="128"/>
      <c r="K4618" s="128"/>
      <c r="L4618" s="128"/>
      <c r="M4618" s="129"/>
      <c r="N4618" s="129"/>
      <c r="O4618" s="129"/>
    </row>
    <row r="4619" spans="1:15" ht="12.5">
      <c r="A4619" s="158" t="s">
        <v>26113</v>
      </c>
      <c r="B4619" s="159">
        <v>60</v>
      </c>
      <c r="C4619" s="159">
        <v>45</v>
      </c>
      <c r="D4619" s="159">
        <v>24</v>
      </c>
      <c r="E4619" s="159">
        <v>52</v>
      </c>
      <c r="F4619" s="131"/>
      <c r="G4619" s="132"/>
      <c r="H4619" s="162" t="s">
        <v>26114</v>
      </c>
      <c r="I4619" s="158" t="s">
        <v>26115</v>
      </c>
      <c r="J4619" s="128"/>
      <c r="K4619" s="128"/>
      <c r="L4619" s="128"/>
      <c r="M4619" s="129"/>
      <c r="N4619" s="129"/>
      <c r="O4619" s="129"/>
    </row>
    <row r="4620" spans="1:15" ht="12.5">
      <c r="A4620" s="158" t="s">
        <v>26116</v>
      </c>
      <c r="B4620" s="159">
        <v>60</v>
      </c>
      <c r="C4620" s="159">
        <v>45</v>
      </c>
      <c r="D4620" s="159">
        <v>24</v>
      </c>
      <c r="E4620" s="159">
        <v>60</v>
      </c>
      <c r="F4620" s="131"/>
      <c r="G4620" s="132"/>
      <c r="H4620" s="162" t="s">
        <v>26117</v>
      </c>
      <c r="I4620" s="158" t="s">
        <v>26118</v>
      </c>
      <c r="J4620" s="128"/>
      <c r="K4620" s="128"/>
      <c r="L4620" s="128"/>
      <c r="M4620" s="129"/>
      <c r="N4620" s="129"/>
      <c r="O4620" s="129"/>
    </row>
    <row r="4621" spans="1:15" ht="12.5">
      <c r="A4621" s="158" t="s">
        <v>26119</v>
      </c>
      <c r="B4621" s="159">
        <v>60</v>
      </c>
      <c r="C4621" s="159">
        <v>45</v>
      </c>
      <c r="D4621" s="159">
        <v>24</v>
      </c>
      <c r="E4621" s="159">
        <v>72</v>
      </c>
      <c r="F4621" s="131"/>
      <c r="G4621" s="132"/>
      <c r="H4621" s="162" t="s">
        <v>26120</v>
      </c>
      <c r="I4621" s="158" t="s">
        <v>26121</v>
      </c>
      <c r="J4621" s="128"/>
      <c r="K4621" s="128"/>
      <c r="L4621" s="128"/>
      <c r="M4621" s="129"/>
      <c r="N4621" s="129"/>
      <c r="O4621" s="129"/>
    </row>
    <row r="4622" spans="1:15" ht="12.5">
      <c r="A4622" s="158" t="s">
        <v>26122</v>
      </c>
      <c r="B4622" s="159">
        <v>60</v>
      </c>
      <c r="C4622" s="159">
        <v>45</v>
      </c>
      <c r="D4622" s="159">
        <v>24</v>
      </c>
      <c r="E4622" s="159">
        <v>90</v>
      </c>
      <c r="F4622" s="131"/>
      <c r="G4622" s="132"/>
      <c r="H4622" s="162" t="s">
        <v>26123</v>
      </c>
      <c r="I4622" s="158" t="s">
        <v>26124</v>
      </c>
      <c r="J4622" s="128"/>
      <c r="K4622" s="128"/>
      <c r="L4622" s="128"/>
      <c r="M4622" s="129"/>
      <c r="N4622" s="129"/>
      <c r="O4622" s="129"/>
    </row>
    <row r="4623" spans="1:15" ht="12.5">
      <c r="A4623" s="158" t="s">
        <v>26125</v>
      </c>
      <c r="B4623" s="159">
        <v>60</v>
      </c>
      <c r="C4623" s="159">
        <v>45</v>
      </c>
      <c r="D4623" s="159">
        <v>29</v>
      </c>
      <c r="E4623" s="130"/>
      <c r="F4623" s="131"/>
      <c r="G4623" s="132"/>
      <c r="H4623" s="162" t="s">
        <v>26126</v>
      </c>
      <c r="I4623" s="128"/>
      <c r="J4623" s="128"/>
      <c r="K4623" s="128"/>
      <c r="L4623" s="128"/>
      <c r="M4623" s="129"/>
      <c r="N4623" s="129"/>
      <c r="O4623" s="129"/>
    </row>
    <row r="4624" spans="1:15" ht="12.5">
      <c r="A4624" s="158" t="s">
        <v>26127</v>
      </c>
      <c r="B4624" s="159">
        <v>60</v>
      </c>
      <c r="C4624" s="159">
        <v>45</v>
      </c>
      <c r="D4624" s="159">
        <v>29</v>
      </c>
      <c r="E4624" s="159">
        <v>14</v>
      </c>
      <c r="F4624" s="131"/>
      <c r="G4624" s="132"/>
      <c r="H4624" s="162" t="s">
        <v>26128</v>
      </c>
      <c r="I4624" s="158" t="s">
        <v>26129</v>
      </c>
      <c r="J4624" s="128"/>
      <c r="K4624" s="128"/>
      <c r="L4624" s="128"/>
      <c r="M4624" s="129"/>
      <c r="N4624" s="129"/>
      <c r="O4624" s="129"/>
    </row>
    <row r="4625" spans="1:15" ht="12.5">
      <c r="A4625" s="158" t="s">
        <v>26130</v>
      </c>
      <c r="B4625" s="159">
        <v>60</v>
      </c>
      <c r="C4625" s="159">
        <v>45</v>
      </c>
      <c r="D4625" s="159">
        <v>29</v>
      </c>
      <c r="E4625" s="159">
        <v>16</v>
      </c>
      <c r="F4625" s="131"/>
      <c r="G4625" s="132"/>
      <c r="H4625" s="162" t="s">
        <v>26131</v>
      </c>
      <c r="I4625" s="158" t="s">
        <v>26132</v>
      </c>
      <c r="J4625" s="128"/>
      <c r="K4625" s="128"/>
      <c r="L4625" s="128"/>
      <c r="M4625" s="129"/>
      <c r="N4625" s="129"/>
      <c r="O4625" s="129"/>
    </row>
    <row r="4626" spans="1:15" ht="12.5">
      <c r="A4626" s="158" t="s">
        <v>26133</v>
      </c>
      <c r="B4626" s="159">
        <v>60</v>
      </c>
      <c r="C4626" s="159">
        <v>45</v>
      </c>
      <c r="D4626" s="159">
        <v>29</v>
      </c>
      <c r="E4626" s="159">
        <v>65</v>
      </c>
      <c r="F4626" s="131"/>
      <c r="G4626" s="132"/>
      <c r="H4626" s="162" t="s">
        <v>26134</v>
      </c>
      <c r="I4626" s="158" t="s">
        <v>26135</v>
      </c>
      <c r="J4626" s="128"/>
      <c r="K4626" s="128"/>
      <c r="L4626" s="128"/>
      <c r="M4626" s="129"/>
      <c r="N4626" s="129"/>
      <c r="O4626" s="129"/>
    </row>
    <row r="4627" spans="1:15" ht="12.5">
      <c r="A4627" s="158" t="s">
        <v>26136</v>
      </c>
      <c r="B4627" s="159">
        <v>60</v>
      </c>
      <c r="C4627" s="159">
        <v>45</v>
      </c>
      <c r="D4627" s="159">
        <v>29</v>
      </c>
      <c r="E4627" s="159">
        <v>70</v>
      </c>
      <c r="F4627" s="131"/>
      <c r="G4627" s="132"/>
      <c r="H4627" s="162" t="s">
        <v>26137</v>
      </c>
      <c r="I4627" s="158" t="s">
        <v>26138</v>
      </c>
      <c r="J4627" s="128"/>
      <c r="K4627" s="128"/>
      <c r="L4627" s="128"/>
      <c r="M4627" s="129"/>
      <c r="N4627" s="129"/>
      <c r="O4627" s="129"/>
    </row>
    <row r="4628" spans="1:15" ht="12.5">
      <c r="A4628" s="158" t="s">
        <v>26139</v>
      </c>
      <c r="B4628" s="159">
        <v>60</v>
      </c>
      <c r="C4628" s="159">
        <v>45</v>
      </c>
      <c r="D4628" s="159">
        <v>30</v>
      </c>
      <c r="E4628" s="130"/>
      <c r="F4628" s="131"/>
      <c r="G4628" s="132"/>
      <c r="H4628" s="162" t="s">
        <v>26140</v>
      </c>
      <c r="I4628" s="128"/>
      <c r="J4628" s="128"/>
      <c r="K4628" s="128"/>
      <c r="L4628" s="128"/>
      <c r="M4628" s="129"/>
      <c r="N4628" s="129"/>
      <c r="O4628" s="129"/>
    </row>
    <row r="4629" spans="1:15" ht="12.5">
      <c r="A4629" s="158" t="s">
        <v>26141</v>
      </c>
      <c r="B4629" s="159">
        <v>60</v>
      </c>
      <c r="C4629" s="159">
        <v>45</v>
      </c>
      <c r="D4629" s="159">
        <v>30</v>
      </c>
      <c r="E4629" s="159">
        <v>15</v>
      </c>
      <c r="F4629" s="131"/>
      <c r="G4629" s="132"/>
      <c r="H4629" s="162" t="s">
        <v>26142</v>
      </c>
      <c r="I4629" s="158" t="s">
        <v>26143</v>
      </c>
      <c r="J4629" s="128"/>
      <c r="K4629" s="128"/>
      <c r="L4629" s="128"/>
      <c r="M4629" s="129"/>
      <c r="N4629" s="129"/>
      <c r="O4629" s="129"/>
    </row>
    <row r="4630" spans="1:15" ht="12.5">
      <c r="A4630" s="158" t="s">
        <v>26144</v>
      </c>
      <c r="B4630" s="159">
        <v>60</v>
      </c>
      <c r="C4630" s="159">
        <v>45</v>
      </c>
      <c r="D4630" s="159">
        <v>30</v>
      </c>
      <c r="E4630" s="159">
        <v>23</v>
      </c>
      <c r="F4630" s="131"/>
      <c r="G4630" s="132"/>
      <c r="H4630" s="162" t="s">
        <v>26145</v>
      </c>
      <c r="I4630" s="158" t="s">
        <v>26146</v>
      </c>
      <c r="J4630" s="128"/>
      <c r="K4630" s="128"/>
      <c r="L4630" s="128"/>
      <c r="M4630" s="129"/>
      <c r="N4630" s="129"/>
      <c r="O4630" s="129"/>
    </row>
    <row r="4631" spans="1:15" ht="12.5">
      <c r="A4631" s="158" t="s">
        <v>26147</v>
      </c>
      <c r="B4631" s="159">
        <v>60</v>
      </c>
      <c r="C4631" s="159">
        <v>45</v>
      </c>
      <c r="D4631" s="159">
        <v>30</v>
      </c>
      <c r="E4631" s="159">
        <v>31</v>
      </c>
      <c r="F4631" s="131"/>
      <c r="G4631" s="132"/>
      <c r="H4631" s="162" t="s">
        <v>26148</v>
      </c>
      <c r="I4631" s="158" t="s">
        <v>26149</v>
      </c>
      <c r="J4631" s="128"/>
      <c r="K4631" s="128"/>
      <c r="L4631" s="128"/>
      <c r="M4631" s="129"/>
      <c r="N4631" s="129"/>
      <c r="O4631" s="129"/>
    </row>
    <row r="4632" spans="1:15" ht="12.5">
      <c r="A4632" s="158" t="s">
        <v>26150</v>
      </c>
      <c r="B4632" s="159">
        <v>60</v>
      </c>
      <c r="C4632" s="159">
        <v>45</v>
      </c>
      <c r="D4632" s="159">
        <v>30</v>
      </c>
      <c r="E4632" s="159">
        <v>52</v>
      </c>
      <c r="F4632" s="131"/>
      <c r="G4632" s="132"/>
      <c r="H4632" s="162" t="s">
        <v>26151</v>
      </c>
      <c r="I4632" s="158" t="s">
        <v>26152</v>
      </c>
      <c r="J4632" s="128"/>
      <c r="K4632" s="128"/>
      <c r="L4632" s="128"/>
      <c r="M4632" s="129"/>
      <c r="N4632" s="129"/>
      <c r="O4632" s="129"/>
    </row>
    <row r="4633" spans="1:15" ht="12.5">
      <c r="A4633" s="158" t="s">
        <v>26153</v>
      </c>
      <c r="B4633" s="159">
        <v>60</v>
      </c>
      <c r="C4633" s="159">
        <v>45</v>
      </c>
      <c r="D4633" s="159">
        <v>30</v>
      </c>
      <c r="E4633" s="159">
        <v>83</v>
      </c>
      <c r="F4633" s="131"/>
      <c r="G4633" s="132"/>
      <c r="H4633" s="162" t="s">
        <v>26154</v>
      </c>
      <c r="I4633" s="158" t="s">
        <v>26155</v>
      </c>
      <c r="J4633" s="128"/>
      <c r="K4633" s="128"/>
      <c r="L4633" s="128"/>
      <c r="M4633" s="129"/>
      <c r="N4633" s="129"/>
      <c r="O4633" s="129"/>
    </row>
    <row r="4634" spans="1:15" ht="12.5">
      <c r="A4634" s="158" t="s">
        <v>26156</v>
      </c>
      <c r="B4634" s="159">
        <v>60</v>
      </c>
      <c r="C4634" s="159">
        <v>45</v>
      </c>
      <c r="D4634" s="159">
        <v>30</v>
      </c>
      <c r="E4634" s="159">
        <v>84</v>
      </c>
      <c r="F4634" s="131"/>
      <c r="G4634" s="132"/>
      <c r="H4634" s="162" t="s">
        <v>26157</v>
      </c>
      <c r="I4634" s="158" t="s">
        <v>26158</v>
      </c>
      <c r="J4634" s="128"/>
      <c r="K4634" s="128"/>
      <c r="L4634" s="128"/>
      <c r="M4634" s="129"/>
      <c r="N4634" s="129"/>
      <c r="O4634" s="129"/>
    </row>
    <row r="4635" spans="1:15" ht="12.5">
      <c r="A4635" s="158" t="s">
        <v>26159</v>
      </c>
      <c r="B4635" s="159">
        <v>60</v>
      </c>
      <c r="C4635" s="159">
        <v>45</v>
      </c>
      <c r="D4635" s="159">
        <v>30</v>
      </c>
      <c r="E4635" s="159">
        <v>93</v>
      </c>
      <c r="F4635" s="131"/>
      <c r="G4635" s="132"/>
      <c r="H4635" s="162" t="s">
        <v>26160</v>
      </c>
      <c r="I4635" s="128"/>
      <c r="J4635" s="128"/>
      <c r="K4635" s="128"/>
      <c r="L4635" s="128"/>
      <c r="M4635" s="129"/>
      <c r="N4635" s="129"/>
      <c r="O4635" s="129"/>
    </row>
    <row r="4636" spans="1:15" ht="12.5">
      <c r="A4636" s="158" t="s">
        <v>26161</v>
      </c>
      <c r="B4636" s="159">
        <v>60</v>
      </c>
      <c r="C4636" s="159">
        <v>45</v>
      </c>
      <c r="D4636" s="159">
        <v>30</v>
      </c>
      <c r="E4636" s="159">
        <v>95</v>
      </c>
      <c r="F4636" s="131"/>
      <c r="G4636" s="132"/>
      <c r="H4636" s="162" t="s">
        <v>26162</v>
      </c>
      <c r="I4636" s="158" t="s">
        <v>26163</v>
      </c>
      <c r="J4636" s="128"/>
      <c r="K4636" s="128"/>
      <c r="L4636" s="128"/>
      <c r="M4636" s="129"/>
      <c r="N4636" s="129"/>
      <c r="O4636" s="129"/>
    </row>
    <row r="4637" spans="1:15" ht="12.5">
      <c r="A4637" s="158" t="s">
        <v>26164</v>
      </c>
      <c r="B4637" s="159">
        <v>60</v>
      </c>
      <c r="C4637" s="159">
        <v>45</v>
      </c>
      <c r="D4637" s="159">
        <v>30</v>
      </c>
      <c r="E4637" s="159">
        <v>96</v>
      </c>
      <c r="F4637" s="131"/>
      <c r="G4637" s="132"/>
      <c r="H4637" s="162" t="s">
        <v>26165</v>
      </c>
      <c r="I4637" s="158" t="s">
        <v>26166</v>
      </c>
      <c r="J4637" s="128"/>
      <c r="K4637" s="128"/>
      <c r="L4637" s="128"/>
      <c r="M4637" s="129"/>
      <c r="N4637" s="129"/>
      <c r="O4637" s="129"/>
    </row>
    <row r="4638" spans="1:15" ht="12.5">
      <c r="A4638" s="158" t="s">
        <v>26167</v>
      </c>
      <c r="B4638" s="159">
        <v>60</v>
      </c>
      <c r="C4638" s="159">
        <v>45</v>
      </c>
      <c r="D4638" s="159">
        <v>30</v>
      </c>
      <c r="E4638" s="159">
        <v>97</v>
      </c>
      <c r="F4638" s="131"/>
      <c r="G4638" s="132"/>
      <c r="H4638" s="162" t="s">
        <v>26168</v>
      </c>
      <c r="I4638" s="158" t="s">
        <v>26169</v>
      </c>
      <c r="J4638" s="128"/>
      <c r="K4638" s="128"/>
      <c r="L4638" s="128"/>
      <c r="M4638" s="129"/>
      <c r="N4638" s="129"/>
      <c r="O4638" s="129"/>
    </row>
    <row r="4639" spans="1:15" ht="12.5">
      <c r="A4639" s="158" t="s">
        <v>26170</v>
      </c>
      <c r="B4639" s="159">
        <v>60</v>
      </c>
      <c r="C4639" s="159">
        <v>45</v>
      </c>
      <c r="D4639" s="159">
        <v>33</v>
      </c>
      <c r="E4639" s="130"/>
      <c r="F4639" s="131"/>
      <c r="G4639" s="132"/>
      <c r="H4639" s="162" t="s">
        <v>26171</v>
      </c>
      <c r="I4639" s="128"/>
      <c r="J4639" s="128"/>
      <c r="K4639" s="128"/>
      <c r="L4639" s="128"/>
      <c r="M4639" s="129"/>
      <c r="N4639" s="129"/>
      <c r="O4639" s="129"/>
    </row>
    <row r="4640" spans="1:15" ht="12.5">
      <c r="A4640" s="158" t="s">
        <v>26172</v>
      </c>
      <c r="B4640" s="159">
        <v>60</v>
      </c>
      <c r="C4640" s="159">
        <v>45</v>
      </c>
      <c r="D4640" s="159">
        <v>33</v>
      </c>
      <c r="E4640" s="159">
        <v>17</v>
      </c>
      <c r="F4640" s="131"/>
      <c r="G4640" s="132"/>
      <c r="H4640" s="162" t="s">
        <v>26173</v>
      </c>
      <c r="I4640" s="158" t="s">
        <v>26174</v>
      </c>
      <c r="J4640" s="128"/>
      <c r="K4640" s="128"/>
      <c r="L4640" s="128"/>
      <c r="M4640" s="129"/>
      <c r="N4640" s="129"/>
      <c r="O4640" s="129"/>
    </row>
    <row r="4641" spans="1:15" ht="12.5">
      <c r="A4641" s="158" t="s">
        <v>26175</v>
      </c>
      <c r="B4641" s="159">
        <v>60</v>
      </c>
      <c r="C4641" s="159">
        <v>45</v>
      </c>
      <c r="D4641" s="159">
        <v>33</v>
      </c>
      <c r="E4641" s="159">
        <v>57</v>
      </c>
      <c r="F4641" s="131"/>
      <c r="G4641" s="132"/>
      <c r="H4641" s="162" t="s">
        <v>26176</v>
      </c>
      <c r="I4641" s="158" t="s">
        <v>26177</v>
      </c>
      <c r="J4641" s="128"/>
      <c r="K4641" s="128"/>
      <c r="L4641" s="128"/>
      <c r="M4641" s="129"/>
      <c r="N4641" s="129"/>
      <c r="O4641" s="129"/>
    </row>
    <row r="4642" spans="1:15" ht="12.5">
      <c r="A4642" s="158" t="s">
        <v>26178</v>
      </c>
      <c r="B4642" s="159">
        <v>60</v>
      </c>
      <c r="C4642" s="159">
        <v>45</v>
      </c>
      <c r="D4642" s="159">
        <v>33</v>
      </c>
      <c r="E4642" s="159">
        <v>65</v>
      </c>
      <c r="F4642" s="131"/>
      <c r="G4642" s="132"/>
      <c r="H4642" s="162" t="s">
        <v>26179</v>
      </c>
      <c r="I4642" s="158" t="s">
        <v>26180</v>
      </c>
      <c r="J4642" s="128"/>
      <c r="K4642" s="128"/>
      <c r="L4642" s="128"/>
      <c r="M4642" s="129"/>
      <c r="N4642" s="129"/>
      <c r="O4642" s="129"/>
    </row>
    <row r="4643" spans="1:15" ht="12.5">
      <c r="A4643" s="158" t="s">
        <v>26181</v>
      </c>
      <c r="B4643" s="159">
        <v>60</v>
      </c>
      <c r="C4643" s="159">
        <v>45</v>
      </c>
      <c r="D4643" s="159">
        <v>34</v>
      </c>
      <c r="E4643" s="130"/>
      <c r="F4643" s="131"/>
      <c r="G4643" s="132"/>
      <c r="H4643" s="162" t="s">
        <v>26182</v>
      </c>
      <c r="I4643" s="128"/>
      <c r="J4643" s="128"/>
      <c r="K4643" s="128"/>
      <c r="L4643" s="128"/>
      <c r="M4643" s="129"/>
      <c r="N4643" s="129"/>
      <c r="O4643" s="129"/>
    </row>
    <row r="4644" spans="1:15" ht="12.5">
      <c r="A4644" s="158" t="s">
        <v>26183</v>
      </c>
      <c r="B4644" s="159">
        <v>60</v>
      </c>
      <c r="C4644" s="159">
        <v>45</v>
      </c>
      <c r="D4644" s="159">
        <v>34</v>
      </c>
      <c r="E4644" s="159">
        <v>15</v>
      </c>
      <c r="F4644" s="131"/>
      <c r="G4644" s="132"/>
      <c r="H4644" s="162" t="s">
        <v>26184</v>
      </c>
      <c r="I4644" s="158" t="s">
        <v>26185</v>
      </c>
      <c r="J4644" s="128"/>
      <c r="K4644" s="128"/>
      <c r="L4644" s="128"/>
      <c r="M4644" s="129"/>
      <c r="N4644" s="129"/>
      <c r="O4644" s="129"/>
    </row>
    <row r="4645" spans="1:15" ht="12.5">
      <c r="A4645" s="158" t="s">
        <v>26186</v>
      </c>
      <c r="B4645" s="159">
        <v>60</v>
      </c>
      <c r="C4645" s="159">
        <v>45</v>
      </c>
      <c r="D4645" s="159">
        <v>34</v>
      </c>
      <c r="E4645" s="159">
        <v>71</v>
      </c>
      <c r="F4645" s="131"/>
      <c r="G4645" s="132"/>
      <c r="H4645" s="162" t="s">
        <v>26187</v>
      </c>
      <c r="I4645" s="158" t="s">
        <v>26188</v>
      </c>
      <c r="J4645" s="128"/>
      <c r="K4645" s="128"/>
      <c r="L4645" s="128"/>
      <c r="M4645" s="129"/>
      <c r="N4645" s="129"/>
      <c r="O4645" s="129"/>
    </row>
    <row r="4646" spans="1:15" ht="12.5">
      <c r="A4646" s="158" t="s">
        <v>26189</v>
      </c>
      <c r="B4646" s="159">
        <v>60</v>
      </c>
      <c r="C4646" s="159">
        <v>45</v>
      </c>
      <c r="D4646" s="159">
        <v>34</v>
      </c>
      <c r="E4646" s="159">
        <v>76</v>
      </c>
      <c r="F4646" s="131"/>
      <c r="G4646" s="132"/>
      <c r="H4646" s="162" t="s">
        <v>26190</v>
      </c>
      <c r="I4646" s="158" t="s">
        <v>26191</v>
      </c>
      <c r="J4646" s="128"/>
      <c r="K4646" s="128"/>
      <c r="L4646" s="128"/>
      <c r="M4646" s="129"/>
      <c r="N4646" s="129"/>
      <c r="O4646" s="129"/>
    </row>
    <row r="4647" spans="1:15" ht="12.5">
      <c r="A4647" s="158" t="s">
        <v>26192</v>
      </c>
      <c r="B4647" s="159">
        <v>60</v>
      </c>
      <c r="C4647" s="159">
        <v>45</v>
      </c>
      <c r="D4647" s="159">
        <v>46</v>
      </c>
      <c r="E4647" s="130"/>
      <c r="F4647" s="131"/>
      <c r="G4647" s="132"/>
      <c r="H4647" s="162" t="s">
        <v>26193</v>
      </c>
      <c r="I4647" s="128"/>
      <c r="J4647" s="128"/>
      <c r="K4647" s="128"/>
      <c r="L4647" s="128"/>
      <c r="M4647" s="129"/>
      <c r="N4647" s="129"/>
      <c r="O4647" s="129"/>
    </row>
    <row r="4648" spans="1:15" ht="12.5">
      <c r="A4648" s="158" t="s">
        <v>26194</v>
      </c>
      <c r="B4648" s="159">
        <v>60</v>
      </c>
      <c r="C4648" s="159">
        <v>45</v>
      </c>
      <c r="D4648" s="159">
        <v>46</v>
      </c>
      <c r="E4648" s="159">
        <v>46</v>
      </c>
      <c r="F4648" s="131"/>
      <c r="G4648" s="132"/>
      <c r="H4648" s="162" t="s">
        <v>26195</v>
      </c>
      <c r="I4648" s="158" t="s">
        <v>26196</v>
      </c>
      <c r="J4648" s="128"/>
      <c r="K4648" s="128"/>
      <c r="L4648" s="128"/>
      <c r="M4648" s="129"/>
      <c r="N4648" s="129"/>
      <c r="O4648" s="129"/>
    </row>
    <row r="4649" spans="1:15" ht="12.5">
      <c r="A4649" s="158" t="s">
        <v>26197</v>
      </c>
      <c r="B4649" s="159">
        <v>60</v>
      </c>
      <c r="C4649" s="159">
        <v>45</v>
      </c>
      <c r="D4649" s="159">
        <v>58</v>
      </c>
      <c r="E4649" s="130"/>
      <c r="F4649" s="131"/>
      <c r="G4649" s="132"/>
      <c r="H4649" s="162" t="s">
        <v>26198</v>
      </c>
      <c r="I4649" s="128"/>
      <c r="J4649" s="128"/>
      <c r="K4649" s="128"/>
      <c r="L4649" s="128"/>
      <c r="M4649" s="129"/>
      <c r="N4649" s="129"/>
      <c r="O4649" s="129"/>
    </row>
    <row r="4650" spans="1:15" ht="12.5">
      <c r="A4650" s="158" t="s">
        <v>26199</v>
      </c>
      <c r="B4650" s="159">
        <v>60</v>
      </c>
      <c r="C4650" s="159">
        <v>45</v>
      </c>
      <c r="D4650" s="159">
        <v>58</v>
      </c>
      <c r="E4650" s="159">
        <v>33</v>
      </c>
      <c r="F4650" s="131"/>
      <c r="G4650" s="132"/>
      <c r="H4650" s="162" t="s">
        <v>26200</v>
      </c>
      <c r="I4650" s="158" t="s">
        <v>26201</v>
      </c>
      <c r="J4650" s="128"/>
      <c r="K4650" s="128"/>
      <c r="L4650" s="128"/>
      <c r="M4650" s="129"/>
      <c r="N4650" s="129"/>
      <c r="O4650" s="129"/>
    </row>
    <row r="4651" spans="1:15" ht="12.5">
      <c r="A4651" s="158" t="s">
        <v>26202</v>
      </c>
      <c r="B4651" s="159">
        <v>60</v>
      </c>
      <c r="C4651" s="159">
        <v>45</v>
      </c>
      <c r="D4651" s="159">
        <v>58</v>
      </c>
      <c r="E4651" s="159">
        <v>58</v>
      </c>
      <c r="F4651" s="131"/>
      <c r="G4651" s="132"/>
      <c r="H4651" s="162" t="s">
        <v>26203</v>
      </c>
      <c r="I4651" s="158" t="s">
        <v>26204</v>
      </c>
      <c r="J4651" s="128"/>
      <c r="K4651" s="128"/>
      <c r="L4651" s="128"/>
      <c r="M4651" s="129"/>
      <c r="N4651" s="129"/>
      <c r="O4651" s="129"/>
    </row>
    <row r="4652" spans="1:15" ht="12.5">
      <c r="A4652" s="158" t="s">
        <v>26205</v>
      </c>
      <c r="B4652" s="159">
        <v>60</v>
      </c>
      <c r="C4652" s="159">
        <v>45</v>
      </c>
      <c r="D4652" s="159">
        <v>74</v>
      </c>
      <c r="E4652" s="130"/>
      <c r="F4652" s="131"/>
      <c r="G4652" s="132"/>
      <c r="H4652" s="162" t="s">
        <v>26206</v>
      </c>
      <c r="I4652" s="128"/>
      <c r="J4652" s="128"/>
      <c r="K4652" s="128"/>
      <c r="L4652" s="128"/>
      <c r="M4652" s="129"/>
      <c r="N4652" s="129"/>
      <c r="O4652" s="129"/>
    </row>
    <row r="4653" spans="1:15" ht="12.5">
      <c r="A4653" s="158" t="s">
        <v>26207</v>
      </c>
      <c r="B4653" s="159">
        <v>60</v>
      </c>
      <c r="C4653" s="159">
        <v>45</v>
      </c>
      <c r="D4653" s="159">
        <v>74</v>
      </c>
      <c r="E4653" s="159">
        <v>30</v>
      </c>
      <c r="F4653" s="131"/>
      <c r="G4653" s="132"/>
      <c r="H4653" s="162" t="s">
        <v>26208</v>
      </c>
      <c r="I4653" s="158" t="s">
        <v>26209</v>
      </c>
      <c r="J4653" s="128"/>
      <c r="K4653" s="128"/>
      <c r="L4653" s="128"/>
      <c r="M4653" s="129"/>
      <c r="N4653" s="129"/>
      <c r="O4653" s="129"/>
    </row>
    <row r="4654" spans="1:15" ht="12.5">
      <c r="A4654" s="158" t="s">
        <v>26210</v>
      </c>
      <c r="B4654" s="159">
        <v>60</v>
      </c>
      <c r="C4654" s="159">
        <v>45</v>
      </c>
      <c r="D4654" s="159">
        <v>74</v>
      </c>
      <c r="E4654" s="159">
        <v>72</v>
      </c>
      <c r="F4654" s="131"/>
      <c r="G4654" s="132"/>
      <c r="H4654" s="162" t="s">
        <v>26211</v>
      </c>
      <c r="I4654" s="158" t="s">
        <v>26212</v>
      </c>
      <c r="J4654" s="128"/>
      <c r="K4654" s="128"/>
      <c r="L4654" s="128"/>
      <c r="M4654" s="129"/>
      <c r="N4654" s="129"/>
      <c r="O4654" s="129"/>
    </row>
    <row r="4655" spans="1:15" ht="12.5">
      <c r="A4655" s="158" t="s">
        <v>26213</v>
      </c>
      <c r="B4655" s="159">
        <v>60</v>
      </c>
      <c r="C4655" s="159">
        <v>45</v>
      </c>
      <c r="D4655" s="159">
        <v>74</v>
      </c>
      <c r="E4655" s="159">
        <v>75</v>
      </c>
      <c r="F4655" s="131"/>
      <c r="G4655" s="132"/>
      <c r="H4655" s="162" t="s">
        <v>26214</v>
      </c>
      <c r="I4655" s="158" t="s">
        <v>26215</v>
      </c>
      <c r="J4655" s="128"/>
      <c r="K4655" s="128"/>
      <c r="L4655" s="128"/>
      <c r="M4655" s="129"/>
      <c r="N4655" s="129"/>
      <c r="O4655" s="129"/>
    </row>
    <row r="4656" spans="1:15" ht="12.5">
      <c r="A4656" s="158" t="s">
        <v>26216</v>
      </c>
      <c r="B4656" s="159">
        <v>60</v>
      </c>
      <c r="C4656" s="159">
        <v>45</v>
      </c>
      <c r="D4656" s="159">
        <v>74</v>
      </c>
      <c r="E4656" s="159">
        <v>76</v>
      </c>
      <c r="F4656" s="131"/>
      <c r="G4656" s="132"/>
      <c r="H4656" s="162" t="s">
        <v>26217</v>
      </c>
      <c r="I4656" s="158" t="s">
        <v>26218</v>
      </c>
      <c r="J4656" s="128"/>
      <c r="K4656" s="128"/>
      <c r="L4656" s="128"/>
      <c r="M4656" s="129"/>
      <c r="N4656" s="129"/>
      <c r="O4656" s="129"/>
    </row>
    <row r="4657" spans="1:15" ht="12.5">
      <c r="A4657" s="158" t="s">
        <v>26219</v>
      </c>
      <c r="B4657" s="159">
        <v>60</v>
      </c>
      <c r="C4657" s="159">
        <v>45</v>
      </c>
      <c r="D4657" s="159">
        <v>74</v>
      </c>
      <c r="E4657" s="159">
        <v>77</v>
      </c>
      <c r="F4657" s="131"/>
      <c r="G4657" s="132"/>
      <c r="H4657" s="162" t="s">
        <v>26220</v>
      </c>
      <c r="I4657" s="158" t="s">
        <v>26221</v>
      </c>
      <c r="J4657" s="128"/>
      <c r="K4657" s="128"/>
      <c r="L4657" s="128"/>
      <c r="M4657" s="129"/>
      <c r="N4657" s="129"/>
      <c r="O4657" s="129"/>
    </row>
    <row r="4658" spans="1:15" ht="12.5">
      <c r="A4658" s="158" t="s">
        <v>26222</v>
      </c>
      <c r="B4658" s="159">
        <v>60</v>
      </c>
      <c r="C4658" s="159">
        <v>45</v>
      </c>
      <c r="D4658" s="159">
        <v>74</v>
      </c>
      <c r="E4658" s="159">
        <v>85</v>
      </c>
      <c r="F4658" s="131"/>
      <c r="G4658" s="132"/>
      <c r="H4658" s="162" t="s">
        <v>26223</v>
      </c>
      <c r="I4658" s="158" t="s">
        <v>26224</v>
      </c>
      <c r="J4658" s="128"/>
      <c r="K4658" s="128"/>
      <c r="L4658" s="128"/>
      <c r="M4658" s="129"/>
      <c r="N4658" s="129"/>
      <c r="O4658" s="129"/>
    </row>
    <row r="4659" spans="1:15" ht="12.5">
      <c r="A4659" s="158" t="s">
        <v>26225</v>
      </c>
      <c r="B4659" s="159">
        <v>60</v>
      </c>
      <c r="C4659" s="159">
        <v>45</v>
      </c>
      <c r="D4659" s="159">
        <v>76</v>
      </c>
      <c r="E4659" s="130"/>
      <c r="F4659" s="131"/>
      <c r="G4659" s="132"/>
      <c r="H4659" s="162" t="s">
        <v>26226</v>
      </c>
      <c r="I4659" s="128"/>
      <c r="J4659" s="128"/>
      <c r="K4659" s="128"/>
      <c r="L4659" s="128"/>
      <c r="M4659" s="129"/>
      <c r="N4659" s="129"/>
      <c r="O4659" s="129"/>
    </row>
    <row r="4660" spans="1:15" ht="12.5">
      <c r="A4660" s="158" t="s">
        <v>26227</v>
      </c>
      <c r="B4660" s="159">
        <v>60</v>
      </c>
      <c r="C4660" s="159">
        <v>45</v>
      </c>
      <c r="D4660" s="159">
        <v>76</v>
      </c>
      <c r="E4660" s="159">
        <v>7</v>
      </c>
      <c r="F4660" s="131"/>
      <c r="G4660" s="132"/>
      <c r="H4660" s="162" t="s">
        <v>26228</v>
      </c>
      <c r="I4660" s="158" t="s">
        <v>26229</v>
      </c>
      <c r="J4660" s="128"/>
      <c r="K4660" s="128"/>
      <c r="L4660" s="128"/>
      <c r="M4660" s="129"/>
      <c r="N4660" s="129"/>
      <c r="O4660" s="129"/>
    </row>
    <row r="4661" spans="1:15" ht="12.5">
      <c r="A4661" s="158" t="s">
        <v>26230</v>
      </c>
      <c r="B4661" s="159">
        <v>60</v>
      </c>
      <c r="C4661" s="159">
        <v>45</v>
      </c>
      <c r="D4661" s="159">
        <v>76</v>
      </c>
      <c r="E4661" s="159">
        <v>22</v>
      </c>
      <c r="F4661" s="131"/>
      <c r="G4661" s="132"/>
      <c r="H4661" s="162" t="s">
        <v>26231</v>
      </c>
      <c r="I4661" s="158" t="s">
        <v>26232</v>
      </c>
      <c r="J4661" s="128"/>
      <c r="K4661" s="128"/>
      <c r="L4661" s="128"/>
      <c r="M4661" s="129"/>
      <c r="N4661" s="129"/>
      <c r="O4661" s="129"/>
    </row>
    <row r="4662" spans="1:15" ht="12.5">
      <c r="A4662" s="158" t="s">
        <v>26233</v>
      </c>
      <c r="B4662" s="159">
        <v>60</v>
      </c>
      <c r="C4662" s="159">
        <v>45</v>
      </c>
      <c r="D4662" s="159">
        <v>76</v>
      </c>
      <c r="E4662" s="159">
        <v>65</v>
      </c>
      <c r="F4662" s="131"/>
      <c r="G4662" s="132"/>
      <c r="H4662" s="162" t="s">
        <v>26234</v>
      </c>
      <c r="I4662" s="158" t="s">
        <v>26235</v>
      </c>
      <c r="J4662" s="128"/>
      <c r="K4662" s="128"/>
      <c r="L4662" s="128"/>
      <c r="M4662" s="129"/>
      <c r="N4662" s="129"/>
      <c r="O4662" s="129"/>
    </row>
    <row r="4663" spans="1:15" ht="12.5">
      <c r="A4663" s="158" t="s">
        <v>26236</v>
      </c>
      <c r="B4663" s="159">
        <v>60</v>
      </c>
      <c r="C4663" s="159">
        <v>45</v>
      </c>
      <c r="D4663" s="159">
        <v>78</v>
      </c>
      <c r="E4663" s="130"/>
      <c r="F4663" s="131"/>
      <c r="G4663" s="132"/>
      <c r="H4663" s="162" t="s">
        <v>26237</v>
      </c>
      <c r="I4663" s="128"/>
      <c r="J4663" s="128"/>
      <c r="K4663" s="128"/>
      <c r="L4663" s="128"/>
      <c r="M4663" s="129"/>
      <c r="N4663" s="129"/>
      <c r="O4663" s="129"/>
    </row>
    <row r="4664" spans="1:15" ht="12.5">
      <c r="A4664" s="158" t="s">
        <v>26238</v>
      </c>
      <c r="B4664" s="159">
        <v>60</v>
      </c>
      <c r="C4664" s="159">
        <v>45</v>
      </c>
      <c r="D4664" s="159">
        <v>78</v>
      </c>
      <c r="E4664" s="159">
        <v>8</v>
      </c>
      <c r="F4664" s="131"/>
      <c r="G4664" s="132"/>
      <c r="H4664" s="162" t="s">
        <v>26239</v>
      </c>
      <c r="I4664" s="158" t="s">
        <v>26240</v>
      </c>
      <c r="J4664" s="128"/>
      <c r="K4664" s="128"/>
      <c r="L4664" s="128"/>
      <c r="M4664" s="129"/>
      <c r="N4664" s="129"/>
      <c r="O4664" s="129"/>
    </row>
    <row r="4665" spans="1:15" ht="12.5">
      <c r="A4665" s="158" t="s">
        <v>26241</v>
      </c>
      <c r="B4665" s="159">
        <v>60</v>
      </c>
      <c r="C4665" s="159">
        <v>45</v>
      </c>
      <c r="D4665" s="159">
        <v>78</v>
      </c>
      <c r="E4665" s="159">
        <v>12</v>
      </c>
      <c r="F4665" s="131"/>
      <c r="G4665" s="132"/>
      <c r="H4665" s="162" t="s">
        <v>26242</v>
      </c>
      <c r="I4665" s="158" t="s">
        <v>26243</v>
      </c>
      <c r="J4665" s="128"/>
      <c r="K4665" s="128"/>
      <c r="L4665" s="128"/>
      <c r="M4665" s="129"/>
      <c r="N4665" s="129"/>
      <c r="O4665" s="129"/>
    </row>
    <row r="4666" spans="1:15" ht="12.5">
      <c r="A4666" s="158" t="s">
        <v>26244</v>
      </c>
      <c r="B4666" s="159">
        <v>60</v>
      </c>
      <c r="C4666" s="159">
        <v>45</v>
      </c>
      <c r="D4666" s="159">
        <v>78</v>
      </c>
      <c r="E4666" s="159">
        <v>72</v>
      </c>
      <c r="F4666" s="131"/>
      <c r="G4666" s="132"/>
      <c r="H4666" s="162" t="s">
        <v>26245</v>
      </c>
      <c r="I4666" s="158" t="s">
        <v>26246</v>
      </c>
      <c r="J4666" s="128"/>
      <c r="K4666" s="128"/>
      <c r="L4666" s="128"/>
      <c r="M4666" s="129"/>
      <c r="N4666" s="129"/>
      <c r="O4666" s="129"/>
    </row>
    <row r="4667" spans="1:15" ht="12.5">
      <c r="A4667" s="158" t="s">
        <v>26247</v>
      </c>
      <c r="B4667" s="159">
        <v>60</v>
      </c>
      <c r="C4667" s="159">
        <v>45</v>
      </c>
      <c r="D4667" s="159">
        <v>78</v>
      </c>
      <c r="E4667" s="159">
        <v>73</v>
      </c>
      <c r="F4667" s="131"/>
      <c r="G4667" s="132"/>
      <c r="H4667" s="162" t="s">
        <v>26248</v>
      </c>
      <c r="I4667" s="158" t="s">
        <v>26249</v>
      </c>
      <c r="J4667" s="128"/>
      <c r="K4667" s="128"/>
      <c r="L4667" s="128"/>
      <c r="M4667" s="129"/>
      <c r="N4667" s="129"/>
      <c r="O4667" s="129"/>
    </row>
    <row r="4668" spans="1:15" ht="12.5">
      <c r="A4668" s="158" t="s">
        <v>26250</v>
      </c>
      <c r="B4668" s="159">
        <v>60</v>
      </c>
      <c r="C4668" s="159">
        <v>45</v>
      </c>
      <c r="D4668" s="159">
        <v>78</v>
      </c>
      <c r="E4668" s="159">
        <v>78</v>
      </c>
      <c r="F4668" s="131"/>
      <c r="G4668" s="132"/>
      <c r="H4668" s="162" t="s">
        <v>26251</v>
      </c>
      <c r="I4668" s="158" t="s">
        <v>26252</v>
      </c>
      <c r="J4668" s="128"/>
      <c r="K4668" s="128"/>
      <c r="L4668" s="128"/>
      <c r="M4668" s="129"/>
      <c r="N4668" s="129"/>
      <c r="O4668" s="129"/>
    </row>
    <row r="4669" spans="1:15" ht="12.5">
      <c r="A4669" s="158" t="s">
        <v>26253</v>
      </c>
      <c r="B4669" s="159">
        <v>60</v>
      </c>
      <c r="C4669" s="159">
        <v>45</v>
      </c>
      <c r="D4669" s="159">
        <v>79</v>
      </c>
      <c r="E4669" s="130"/>
      <c r="F4669" s="131"/>
      <c r="G4669" s="132"/>
      <c r="H4669" s="162" t="s">
        <v>26254</v>
      </c>
      <c r="I4669" s="128"/>
      <c r="J4669" s="128"/>
      <c r="K4669" s="128"/>
      <c r="L4669" s="128"/>
      <c r="M4669" s="129"/>
      <c r="N4669" s="129"/>
      <c r="O4669" s="129"/>
    </row>
    <row r="4670" spans="1:15" ht="12.5">
      <c r="A4670" s="158" t="s">
        <v>26255</v>
      </c>
      <c r="B4670" s="159">
        <v>60</v>
      </c>
      <c r="C4670" s="159">
        <v>45</v>
      </c>
      <c r="D4670" s="159">
        <v>79</v>
      </c>
      <c r="E4670" s="159">
        <v>34</v>
      </c>
      <c r="F4670" s="131"/>
      <c r="G4670" s="132"/>
      <c r="H4670" s="162" t="s">
        <v>26256</v>
      </c>
      <c r="I4670" s="158" t="s">
        <v>26257</v>
      </c>
      <c r="J4670" s="128"/>
      <c r="K4670" s="128"/>
      <c r="L4670" s="128"/>
      <c r="M4670" s="129"/>
      <c r="N4670" s="129"/>
      <c r="O4670" s="129"/>
    </row>
    <row r="4671" spans="1:15" ht="12.5">
      <c r="A4671" s="158" t="s">
        <v>26258</v>
      </c>
      <c r="B4671" s="159">
        <v>60</v>
      </c>
      <c r="C4671" s="159">
        <v>45</v>
      </c>
      <c r="D4671" s="159">
        <v>79</v>
      </c>
      <c r="E4671" s="159">
        <v>65</v>
      </c>
      <c r="F4671" s="131"/>
      <c r="G4671" s="132"/>
      <c r="H4671" s="162" t="s">
        <v>26259</v>
      </c>
      <c r="I4671" s="158" t="s">
        <v>26260</v>
      </c>
      <c r="J4671" s="128"/>
      <c r="K4671" s="128"/>
      <c r="L4671" s="128"/>
      <c r="M4671" s="129"/>
      <c r="N4671" s="129"/>
      <c r="O4671" s="129"/>
    </row>
    <row r="4672" spans="1:15" ht="12.5">
      <c r="A4672" s="158" t="s">
        <v>26261</v>
      </c>
      <c r="B4672" s="159">
        <v>60</v>
      </c>
      <c r="C4672" s="159">
        <v>45</v>
      </c>
      <c r="D4672" s="159">
        <v>80</v>
      </c>
      <c r="E4672" s="130"/>
      <c r="F4672" s="131"/>
      <c r="G4672" s="132"/>
      <c r="H4672" s="162" t="s">
        <v>26262</v>
      </c>
      <c r="I4672" s="128"/>
      <c r="J4672" s="128"/>
      <c r="K4672" s="128"/>
      <c r="L4672" s="128"/>
      <c r="M4672" s="129"/>
      <c r="N4672" s="129"/>
      <c r="O4672" s="129"/>
    </row>
    <row r="4673" spans="1:15" ht="12.5">
      <c r="A4673" s="158" t="s">
        <v>26263</v>
      </c>
      <c r="B4673" s="159">
        <v>60</v>
      </c>
      <c r="C4673" s="159">
        <v>45</v>
      </c>
      <c r="D4673" s="159">
        <v>80</v>
      </c>
      <c r="E4673" s="159">
        <v>24</v>
      </c>
      <c r="F4673" s="131"/>
      <c r="G4673" s="132"/>
      <c r="H4673" s="162" t="s">
        <v>26264</v>
      </c>
      <c r="I4673" s="158" t="s">
        <v>26265</v>
      </c>
      <c r="J4673" s="128"/>
      <c r="K4673" s="128"/>
      <c r="L4673" s="128"/>
      <c r="M4673" s="129"/>
      <c r="N4673" s="129"/>
      <c r="O4673" s="129"/>
    </row>
    <row r="4674" spans="1:15" ht="12.5">
      <c r="A4674" s="158" t="s">
        <v>26266</v>
      </c>
      <c r="B4674" s="159">
        <v>60</v>
      </c>
      <c r="C4674" s="159">
        <v>45</v>
      </c>
      <c r="D4674" s="159">
        <v>80</v>
      </c>
      <c r="E4674" s="159">
        <v>34</v>
      </c>
      <c r="F4674" s="131"/>
      <c r="G4674" s="132"/>
      <c r="H4674" s="162" t="s">
        <v>26267</v>
      </c>
      <c r="I4674" s="158" t="s">
        <v>26268</v>
      </c>
      <c r="J4674" s="128"/>
      <c r="K4674" s="128"/>
      <c r="L4674" s="128"/>
      <c r="M4674" s="129"/>
      <c r="N4674" s="129"/>
      <c r="O4674" s="129"/>
    </row>
    <row r="4675" spans="1:15" ht="12.5">
      <c r="A4675" s="158" t="s">
        <v>26269</v>
      </c>
      <c r="B4675" s="159">
        <v>60</v>
      </c>
      <c r="C4675" s="159">
        <v>45</v>
      </c>
      <c r="D4675" s="159">
        <v>80</v>
      </c>
      <c r="E4675" s="159">
        <v>63</v>
      </c>
      <c r="F4675" s="131"/>
      <c r="G4675" s="132"/>
      <c r="H4675" s="162" t="s">
        <v>26270</v>
      </c>
      <c r="I4675" s="158" t="s">
        <v>26271</v>
      </c>
      <c r="J4675" s="128"/>
      <c r="K4675" s="128"/>
      <c r="L4675" s="128"/>
      <c r="M4675" s="129"/>
      <c r="N4675" s="129"/>
      <c r="O4675" s="129"/>
    </row>
    <row r="4676" spans="1:15" ht="12.5">
      <c r="A4676" s="158" t="s">
        <v>26272</v>
      </c>
      <c r="B4676" s="159">
        <v>60</v>
      </c>
      <c r="C4676" s="159">
        <v>45</v>
      </c>
      <c r="D4676" s="159">
        <v>85</v>
      </c>
      <c r="E4676" s="130"/>
      <c r="F4676" s="131"/>
      <c r="G4676" s="132"/>
      <c r="H4676" s="162" t="s">
        <v>26273</v>
      </c>
      <c r="I4676" s="128"/>
      <c r="J4676" s="128"/>
      <c r="K4676" s="128"/>
      <c r="L4676" s="128"/>
      <c r="M4676" s="129"/>
      <c r="N4676" s="129"/>
      <c r="O4676" s="129"/>
    </row>
    <row r="4677" spans="1:15" ht="12.5">
      <c r="A4677" s="158" t="s">
        <v>26274</v>
      </c>
      <c r="B4677" s="159">
        <v>60</v>
      </c>
      <c r="C4677" s="159">
        <v>45</v>
      </c>
      <c r="D4677" s="159">
        <v>90</v>
      </c>
      <c r="E4677" s="130"/>
      <c r="F4677" s="131"/>
      <c r="G4677" s="132"/>
      <c r="H4677" s="162" t="s">
        <v>26275</v>
      </c>
      <c r="I4677" s="128"/>
      <c r="J4677" s="128"/>
      <c r="K4677" s="128"/>
      <c r="L4677" s="128"/>
      <c r="M4677" s="129"/>
      <c r="N4677" s="129"/>
      <c r="O4677" s="129"/>
    </row>
    <row r="4678" spans="1:15" ht="12.5">
      <c r="A4678" s="158" t="s">
        <v>26276</v>
      </c>
      <c r="B4678" s="159">
        <v>60</v>
      </c>
      <c r="C4678" s="159">
        <v>45</v>
      </c>
      <c r="D4678" s="159">
        <v>90</v>
      </c>
      <c r="E4678" s="159">
        <v>15</v>
      </c>
      <c r="F4678" s="131"/>
      <c r="G4678" s="132"/>
      <c r="H4678" s="162" t="s">
        <v>26277</v>
      </c>
      <c r="I4678" s="158" t="s">
        <v>26278</v>
      </c>
      <c r="J4678" s="128"/>
      <c r="K4678" s="128"/>
      <c r="L4678" s="128"/>
      <c r="M4678" s="129"/>
      <c r="N4678" s="129"/>
      <c r="O4678" s="129"/>
    </row>
    <row r="4679" spans="1:15" ht="12.5">
      <c r="A4679" s="158" t="s">
        <v>26279</v>
      </c>
      <c r="B4679" s="159">
        <v>60</v>
      </c>
      <c r="C4679" s="159">
        <v>45</v>
      </c>
      <c r="D4679" s="159">
        <v>90</v>
      </c>
      <c r="E4679" s="159">
        <v>51</v>
      </c>
      <c r="F4679" s="131"/>
      <c r="G4679" s="132"/>
      <c r="H4679" s="162" t="s">
        <v>26280</v>
      </c>
      <c r="I4679" s="158" t="s">
        <v>26281</v>
      </c>
      <c r="J4679" s="128"/>
      <c r="K4679" s="128"/>
      <c r="L4679" s="128"/>
      <c r="M4679" s="129"/>
      <c r="N4679" s="129"/>
      <c r="O4679" s="129"/>
    </row>
    <row r="4680" spans="1:15" ht="12.5">
      <c r="A4680" s="158" t="s">
        <v>26282</v>
      </c>
      <c r="B4680" s="159">
        <v>60</v>
      </c>
      <c r="C4680" s="159">
        <v>45</v>
      </c>
      <c r="D4680" s="159">
        <v>90</v>
      </c>
      <c r="E4680" s="159">
        <v>85</v>
      </c>
      <c r="F4680" s="131"/>
      <c r="G4680" s="132"/>
      <c r="H4680" s="162" t="s">
        <v>26283</v>
      </c>
      <c r="I4680" s="158" t="s">
        <v>26284</v>
      </c>
      <c r="J4680" s="128"/>
      <c r="K4680" s="128"/>
      <c r="L4680" s="128"/>
      <c r="M4680" s="129"/>
      <c r="N4680" s="129"/>
      <c r="O4680" s="129"/>
    </row>
    <row r="4681" spans="1:15" ht="12.5">
      <c r="A4681" s="158" t="s">
        <v>26287</v>
      </c>
      <c r="B4681" s="159">
        <v>60</v>
      </c>
      <c r="C4681" s="159">
        <v>45</v>
      </c>
      <c r="D4681" s="159">
        <v>93</v>
      </c>
      <c r="E4681" s="130"/>
      <c r="F4681" s="131"/>
      <c r="G4681" s="132"/>
      <c r="H4681" s="162" t="s">
        <v>26288</v>
      </c>
      <c r="I4681" s="128"/>
      <c r="J4681" s="128"/>
      <c r="K4681" s="128"/>
      <c r="L4681" s="128"/>
      <c r="M4681" s="129"/>
      <c r="N4681" s="129"/>
      <c r="O4681" s="129"/>
    </row>
    <row r="4682" spans="1:15" ht="12.5">
      <c r="A4682" s="158" t="s">
        <v>26289</v>
      </c>
      <c r="B4682" s="159">
        <v>60</v>
      </c>
      <c r="C4682" s="159">
        <v>45</v>
      </c>
      <c r="D4682" s="159">
        <v>93</v>
      </c>
      <c r="E4682" s="159">
        <v>42</v>
      </c>
      <c r="F4682" s="131"/>
      <c r="G4682" s="132"/>
      <c r="H4682" s="162" t="s">
        <v>26290</v>
      </c>
      <c r="I4682" s="158" t="s">
        <v>26291</v>
      </c>
      <c r="J4682" s="128"/>
      <c r="K4682" s="128"/>
      <c r="L4682" s="128"/>
      <c r="M4682" s="129"/>
      <c r="N4682" s="129"/>
      <c r="O4682" s="129"/>
    </row>
    <row r="4683" spans="1:15" ht="12.5">
      <c r="A4683" s="158" t="s">
        <v>26292</v>
      </c>
      <c r="B4683" s="159">
        <v>60</v>
      </c>
      <c r="C4683" s="159">
        <v>45</v>
      </c>
      <c r="D4683" s="159">
        <v>93</v>
      </c>
      <c r="E4683" s="159">
        <v>50</v>
      </c>
      <c r="F4683" s="131"/>
      <c r="G4683" s="132"/>
      <c r="H4683" s="162" t="s">
        <v>26293</v>
      </c>
      <c r="I4683" s="158" t="s">
        <v>26294</v>
      </c>
      <c r="J4683" s="128"/>
      <c r="K4683" s="128"/>
      <c r="L4683" s="128"/>
      <c r="M4683" s="129"/>
      <c r="N4683" s="129"/>
      <c r="O4683" s="129"/>
    </row>
    <row r="4684" spans="1:15" ht="12.5">
      <c r="A4684" s="158" t="s">
        <v>26295</v>
      </c>
      <c r="B4684" s="159">
        <v>60</v>
      </c>
      <c r="C4684" s="159">
        <v>45</v>
      </c>
      <c r="D4684" s="159">
        <v>93</v>
      </c>
      <c r="E4684" s="159">
        <v>75</v>
      </c>
      <c r="F4684" s="131"/>
      <c r="G4684" s="132"/>
      <c r="H4684" s="162" t="s">
        <v>26296</v>
      </c>
      <c r="I4684" s="158" t="s">
        <v>26297</v>
      </c>
      <c r="J4684" s="128"/>
      <c r="K4684" s="128"/>
      <c r="L4684" s="128"/>
      <c r="M4684" s="129"/>
      <c r="N4684" s="129"/>
      <c r="O4684" s="129"/>
    </row>
    <row r="4685" spans="1:15" ht="12.5">
      <c r="A4685" s="158" t="s">
        <v>26298</v>
      </c>
      <c r="B4685" s="159">
        <v>60</v>
      </c>
      <c r="C4685" s="159">
        <v>45</v>
      </c>
      <c r="D4685" s="159">
        <v>93</v>
      </c>
      <c r="E4685" s="159">
        <v>96</v>
      </c>
      <c r="F4685" s="131"/>
      <c r="G4685" s="132"/>
      <c r="H4685" s="162" t="s">
        <v>26299</v>
      </c>
      <c r="I4685" s="158" t="s">
        <v>26300</v>
      </c>
      <c r="J4685" s="128"/>
      <c r="K4685" s="128"/>
      <c r="L4685" s="128"/>
      <c r="M4685" s="129"/>
      <c r="N4685" s="129"/>
      <c r="O4685" s="129"/>
    </row>
    <row r="4686" spans="1:15" ht="12.5">
      <c r="A4686" s="158" t="s">
        <v>26301</v>
      </c>
      <c r="B4686" s="159">
        <v>60</v>
      </c>
      <c r="C4686" s="159">
        <v>45</v>
      </c>
      <c r="D4686" s="159">
        <v>94</v>
      </c>
      <c r="E4686" s="130"/>
      <c r="F4686" s="131"/>
      <c r="G4686" s="132"/>
      <c r="H4686" s="162" t="s">
        <v>26302</v>
      </c>
      <c r="I4686" s="128"/>
      <c r="J4686" s="128"/>
      <c r="K4686" s="128"/>
      <c r="L4686" s="128"/>
      <c r="M4686" s="129"/>
      <c r="N4686" s="129"/>
      <c r="O4686" s="129"/>
    </row>
    <row r="4687" spans="1:15" ht="12.5">
      <c r="A4687" s="158" t="s">
        <v>26303</v>
      </c>
      <c r="B4687" s="159">
        <v>60</v>
      </c>
      <c r="C4687" s="159">
        <v>45</v>
      </c>
      <c r="D4687" s="159">
        <v>94</v>
      </c>
      <c r="E4687" s="159">
        <v>6</v>
      </c>
      <c r="F4687" s="131"/>
      <c r="G4687" s="132"/>
      <c r="H4687" s="162" t="s">
        <v>26304</v>
      </c>
      <c r="I4687" s="158" t="s">
        <v>26305</v>
      </c>
      <c r="J4687" s="128"/>
      <c r="K4687" s="128"/>
      <c r="L4687" s="128"/>
      <c r="M4687" s="129"/>
      <c r="N4687" s="129"/>
      <c r="O4687" s="129"/>
    </row>
    <row r="4688" spans="1:15" ht="12.5">
      <c r="A4688" s="158" t="s">
        <v>26306</v>
      </c>
      <c r="B4688" s="159">
        <v>60</v>
      </c>
      <c r="C4688" s="159">
        <v>45</v>
      </c>
      <c r="D4688" s="159">
        <v>94</v>
      </c>
      <c r="E4688" s="159">
        <v>8</v>
      </c>
      <c r="F4688" s="131"/>
      <c r="G4688" s="132"/>
      <c r="H4688" s="162" t="s">
        <v>26307</v>
      </c>
      <c r="I4688" s="158" t="s">
        <v>26308</v>
      </c>
      <c r="J4688" s="128"/>
      <c r="K4688" s="128"/>
      <c r="L4688" s="128"/>
      <c r="M4688" s="129"/>
      <c r="N4688" s="129"/>
      <c r="O4688" s="129"/>
    </row>
    <row r="4689" spans="1:15" ht="12.5">
      <c r="A4689" s="158" t="s">
        <v>26309</v>
      </c>
      <c r="B4689" s="159">
        <v>60</v>
      </c>
      <c r="C4689" s="159">
        <v>45</v>
      </c>
      <c r="D4689" s="159">
        <v>94</v>
      </c>
      <c r="E4689" s="159">
        <v>9</v>
      </c>
      <c r="F4689" s="131"/>
      <c r="G4689" s="132"/>
      <c r="H4689" s="162" t="s">
        <v>26310</v>
      </c>
      <c r="I4689" s="158" t="s">
        <v>26311</v>
      </c>
      <c r="J4689" s="128"/>
      <c r="K4689" s="128"/>
      <c r="L4689" s="128"/>
      <c r="M4689" s="129"/>
      <c r="N4689" s="129"/>
      <c r="O4689" s="129"/>
    </row>
    <row r="4690" spans="1:15" ht="12.5">
      <c r="A4690" s="158" t="s">
        <v>26312</v>
      </c>
      <c r="B4690" s="159">
        <v>60</v>
      </c>
      <c r="C4690" s="159">
        <v>45</v>
      </c>
      <c r="D4690" s="159">
        <v>94</v>
      </c>
      <c r="E4690" s="159">
        <v>15</v>
      </c>
      <c r="F4690" s="131"/>
      <c r="G4690" s="132"/>
      <c r="H4690" s="162" t="s">
        <v>26313</v>
      </c>
      <c r="I4690" s="158" t="s">
        <v>26314</v>
      </c>
      <c r="J4690" s="128"/>
      <c r="K4690" s="128"/>
      <c r="L4690" s="128"/>
      <c r="M4690" s="129"/>
      <c r="N4690" s="129"/>
      <c r="O4690" s="129"/>
    </row>
    <row r="4691" spans="1:15" ht="12.5">
      <c r="A4691" s="158" t="s">
        <v>26315</v>
      </c>
      <c r="B4691" s="159">
        <v>60</v>
      </c>
      <c r="C4691" s="159">
        <v>45</v>
      </c>
      <c r="D4691" s="159">
        <v>94</v>
      </c>
      <c r="E4691" s="159">
        <v>23</v>
      </c>
      <c r="F4691" s="131"/>
      <c r="G4691" s="132"/>
      <c r="H4691" s="162" t="s">
        <v>26316</v>
      </c>
      <c r="I4691" s="158" t="s">
        <v>26317</v>
      </c>
      <c r="J4691" s="128"/>
      <c r="K4691" s="128"/>
      <c r="L4691" s="128"/>
      <c r="M4691" s="129"/>
      <c r="N4691" s="129"/>
      <c r="O4691" s="129"/>
    </row>
    <row r="4692" spans="1:15" ht="12.5">
      <c r="A4692" s="158" t="s">
        <v>26318</v>
      </c>
      <c r="B4692" s="159">
        <v>60</v>
      </c>
      <c r="C4692" s="159">
        <v>45</v>
      </c>
      <c r="D4692" s="159">
        <v>94</v>
      </c>
      <c r="E4692" s="159">
        <v>25</v>
      </c>
      <c r="F4692" s="131"/>
      <c r="G4692" s="132"/>
      <c r="H4692" s="162" t="s">
        <v>26319</v>
      </c>
      <c r="I4692" s="158" t="s">
        <v>26320</v>
      </c>
      <c r="J4692" s="128"/>
      <c r="K4692" s="128"/>
      <c r="L4692" s="128"/>
      <c r="M4692" s="129"/>
      <c r="N4692" s="129"/>
      <c r="O4692" s="129"/>
    </row>
    <row r="4693" spans="1:15" ht="12.5">
      <c r="A4693" s="158" t="s">
        <v>26321</v>
      </c>
      <c r="B4693" s="159">
        <v>60</v>
      </c>
      <c r="C4693" s="159">
        <v>45</v>
      </c>
      <c r="D4693" s="159">
        <v>94</v>
      </c>
      <c r="E4693" s="159">
        <v>29</v>
      </c>
      <c r="F4693" s="131"/>
      <c r="G4693" s="132"/>
      <c r="H4693" s="162" t="s">
        <v>26322</v>
      </c>
      <c r="I4693" s="158" t="s">
        <v>26323</v>
      </c>
      <c r="J4693" s="128"/>
      <c r="K4693" s="128"/>
      <c r="L4693" s="128"/>
      <c r="M4693" s="129"/>
      <c r="N4693" s="129"/>
      <c r="O4693" s="129"/>
    </row>
    <row r="4694" spans="1:15" ht="12.5">
      <c r="A4694" s="158" t="s">
        <v>26324</v>
      </c>
      <c r="B4694" s="159">
        <v>60</v>
      </c>
      <c r="C4694" s="159">
        <v>45</v>
      </c>
      <c r="D4694" s="159">
        <v>94</v>
      </c>
      <c r="E4694" s="159">
        <v>30</v>
      </c>
      <c r="F4694" s="131"/>
      <c r="G4694" s="132"/>
      <c r="H4694" s="162" t="s">
        <v>26325</v>
      </c>
      <c r="I4694" s="158" t="s">
        <v>26326</v>
      </c>
      <c r="J4694" s="128"/>
      <c r="K4694" s="128"/>
      <c r="L4694" s="128"/>
      <c r="M4694" s="129"/>
      <c r="N4694" s="129"/>
      <c r="O4694" s="129"/>
    </row>
    <row r="4695" spans="1:15" ht="12.5">
      <c r="A4695" s="158" t="s">
        <v>26327</v>
      </c>
      <c r="B4695" s="159">
        <v>60</v>
      </c>
      <c r="C4695" s="159">
        <v>45</v>
      </c>
      <c r="D4695" s="159">
        <v>94</v>
      </c>
      <c r="E4695" s="159">
        <v>34</v>
      </c>
      <c r="F4695" s="131"/>
      <c r="G4695" s="132"/>
      <c r="H4695" s="162" t="s">
        <v>26328</v>
      </c>
      <c r="I4695" s="158" t="s">
        <v>26329</v>
      </c>
      <c r="J4695" s="128"/>
      <c r="K4695" s="128"/>
      <c r="L4695" s="128"/>
      <c r="M4695" s="129"/>
      <c r="N4695" s="129"/>
      <c r="O4695" s="129"/>
    </row>
    <row r="4696" spans="1:15" ht="12.5">
      <c r="A4696" s="158" t="s">
        <v>26330</v>
      </c>
      <c r="B4696" s="159">
        <v>60</v>
      </c>
      <c r="C4696" s="159">
        <v>45</v>
      </c>
      <c r="D4696" s="159">
        <v>94</v>
      </c>
      <c r="E4696" s="159">
        <v>70</v>
      </c>
      <c r="F4696" s="131"/>
      <c r="G4696" s="132"/>
      <c r="H4696" s="162" t="s">
        <v>26331</v>
      </c>
      <c r="I4696" s="158" t="s">
        <v>26332</v>
      </c>
      <c r="J4696" s="128"/>
      <c r="K4696" s="128"/>
      <c r="L4696" s="128"/>
      <c r="M4696" s="129"/>
      <c r="N4696" s="129"/>
      <c r="O4696" s="129"/>
    </row>
    <row r="4697" spans="1:15" ht="12.5">
      <c r="A4697" s="158" t="s">
        <v>26333</v>
      </c>
      <c r="B4697" s="159">
        <v>60</v>
      </c>
      <c r="C4697" s="159">
        <v>45</v>
      </c>
      <c r="D4697" s="159">
        <v>94</v>
      </c>
      <c r="E4697" s="159">
        <v>72</v>
      </c>
      <c r="F4697" s="131"/>
      <c r="G4697" s="132"/>
      <c r="H4697" s="162" t="s">
        <v>26334</v>
      </c>
      <c r="I4697" s="158" t="s">
        <v>26335</v>
      </c>
      <c r="J4697" s="128"/>
      <c r="K4697" s="128"/>
      <c r="L4697" s="128"/>
      <c r="M4697" s="129"/>
      <c r="N4697" s="129"/>
      <c r="O4697" s="129"/>
    </row>
    <row r="4698" spans="1:15" ht="12.5">
      <c r="A4698" s="158" t="s">
        <v>26336</v>
      </c>
      <c r="B4698" s="159">
        <v>60</v>
      </c>
      <c r="C4698" s="159">
        <v>45</v>
      </c>
      <c r="D4698" s="159">
        <v>94</v>
      </c>
      <c r="E4698" s="159">
        <v>73</v>
      </c>
      <c r="F4698" s="131"/>
      <c r="G4698" s="132"/>
      <c r="H4698" s="162" t="s">
        <v>26337</v>
      </c>
      <c r="I4698" s="158" t="s">
        <v>26338</v>
      </c>
      <c r="J4698" s="128"/>
      <c r="K4698" s="128"/>
      <c r="L4698" s="128"/>
      <c r="M4698" s="129"/>
      <c r="N4698" s="129"/>
      <c r="O4698" s="129"/>
    </row>
    <row r="4699" spans="1:15" ht="12.5">
      <c r="A4699" s="158" t="s">
        <v>26339</v>
      </c>
      <c r="B4699" s="159">
        <v>60</v>
      </c>
      <c r="C4699" s="159">
        <v>45</v>
      </c>
      <c r="D4699" s="159">
        <v>94</v>
      </c>
      <c r="E4699" s="159">
        <v>78</v>
      </c>
      <c r="F4699" s="131"/>
      <c r="G4699" s="132"/>
      <c r="H4699" s="162" t="s">
        <v>26340</v>
      </c>
      <c r="I4699" s="158" t="s">
        <v>26341</v>
      </c>
      <c r="J4699" s="128"/>
      <c r="K4699" s="128"/>
      <c r="L4699" s="128"/>
      <c r="M4699" s="129"/>
      <c r="N4699" s="129"/>
      <c r="O4699" s="129"/>
    </row>
    <row r="4700" spans="1:15" ht="12.5">
      <c r="A4700" s="158" t="s">
        <v>26342</v>
      </c>
      <c r="B4700" s="159">
        <v>60</v>
      </c>
      <c r="C4700" s="159">
        <v>45</v>
      </c>
      <c r="D4700" s="159">
        <v>94</v>
      </c>
      <c r="E4700" s="159">
        <v>80</v>
      </c>
      <c r="F4700" s="131"/>
      <c r="G4700" s="132"/>
      <c r="H4700" s="162" t="s">
        <v>26343</v>
      </c>
      <c r="I4700" s="158" t="s">
        <v>26344</v>
      </c>
      <c r="J4700" s="128"/>
      <c r="K4700" s="128"/>
      <c r="L4700" s="128"/>
      <c r="M4700" s="129"/>
      <c r="N4700" s="129"/>
      <c r="O4700" s="129"/>
    </row>
    <row r="4701" spans="1:15" ht="12.5">
      <c r="A4701" s="158" t="s">
        <v>26345</v>
      </c>
      <c r="B4701" s="159">
        <v>60</v>
      </c>
      <c r="C4701" s="159">
        <v>45</v>
      </c>
      <c r="D4701" s="159">
        <v>94</v>
      </c>
      <c r="E4701" s="159">
        <v>81</v>
      </c>
      <c r="F4701" s="131"/>
      <c r="G4701" s="132"/>
      <c r="H4701" s="162" t="s">
        <v>26346</v>
      </c>
      <c r="I4701" s="158" t="s">
        <v>26347</v>
      </c>
      <c r="J4701" s="128"/>
      <c r="K4701" s="128"/>
      <c r="L4701" s="128"/>
      <c r="M4701" s="129"/>
      <c r="N4701" s="129"/>
      <c r="O4701" s="129"/>
    </row>
    <row r="4702" spans="1:15" ht="12.5">
      <c r="A4702" s="158" t="s">
        <v>26348</v>
      </c>
      <c r="B4702" s="159">
        <v>60</v>
      </c>
      <c r="C4702" s="159">
        <v>45</v>
      </c>
      <c r="D4702" s="159">
        <v>94</v>
      </c>
      <c r="E4702" s="159">
        <v>83</v>
      </c>
      <c r="F4702" s="131"/>
      <c r="G4702" s="132"/>
      <c r="H4702" s="162" t="s">
        <v>26349</v>
      </c>
      <c r="I4702" s="158" t="s">
        <v>26350</v>
      </c>
      <c r="J4702" s="128"/>
      <c r="K4702" s="128"/>
      <c r="L4702" s="128"/>
      <c r="M4702" s="129"/>
      <c r="N4702" s="129"/>
      <c r="O4702" s="129"/>
    </row>
    <row r="4703" spans="1:15" ht="12.5">
      <c r="A4703" s="158" t="s">
        <v>26351</v>
      </c>
      <c r="B4703" s="159">
        <v>60</v>
      </c>
      <c r="C4703" s="159">
        <v>45</v>
      </c>
      <c r="D4703" s="159">
        <v>94</v>
      </c>
      <c r="E4703" s="159">
        <v>84</v>
      </c>
      <c r="F4703" s="131"/>
      <c r="G4703" s="132"/>
      <c r="H4703" s="162" t="s">
        <v>26352</v>
      </c>
      <c r="I4703" s="158" t="s">
        <v>26353</v>
      </c>
      <c r="J4703" s="128"/>
      <c r="K4703" s="128"/>
      <c r="L4703" s="128"/>
      <c r="M4703" s="129"/>
      <c r="N4703" s="129"/>
      <c r="O4703" s="129"/>
    </row>
    <row r="4704" spans="1:15" ht="12.5">
      <c r="A4704" s="158" t="s">
        <v>26354</v>
      </c>
      <c r="B4704" s="159">
        <v>60</v>
      </c>
      <c r="C4704" s="159">
        <v>45</v>
      </c>
      <c r="D4704" s="159">
        <v>94</v>
      </c>
      <c r="E4704" s="159">
        <v>85</v>
      </c>
      <c r="F4704" s="131"/>
      <c r="G4704" s="132"/>
      <c r="H4704" s="162" t="s">
        <v>26355</v>
      </c>
      <c r="I4704" s="158" t="s">
        <v>26356</v>
      </c>
      <c r="J4704" s="128"/>
      <c r="K4704" s="128"/>
      <c r="L4704" s="128"/>
      <c r="M4704" s="129"/>
      <c r="N4704" s="129"/>
      <c r="O4704" s="129"/>
    </row>
    <row r="4705" spans="1:15" ht="12.5">
      <c r="A4705" s="158" t="s">
        <v>26357</v>
      </c>
      <c r="B4705" s="159">
        <v>60</v>
      </c>
      <c r="C4705" s="159">
        <v>45</v>
      </c>
      <c r="D4705" s="159">
        <v>95</v>
      </c>
      <c r="E4705" s="130"/>
      <c r="F4705" s="131"/>
      <c r="G4705" s="132"/>
      <c r="H4705" s="162" t="s">
        <v>26358</v>
      </c>
      <c r="I4705" s="128"/>
      <c r="J4705" s="128"/>
      <c r="K4705" s="128"/>
      <c r="L4705" s="128"/>
      <c r="M4705" s="129"/>
      <c r="N4705" s="129"/>
      <c r="O4705" s="129"/>
    </row>
    <row r="4706" spans="1:15" ht="12.5">
      <c r="A4706" s="158" t="s">
        <v>26359</v>
      </c>
      <c r="B4706" s="159">
        <v>60</v>
      </c>
      <c r="C4706" s="159">
        <v>45</v>
      </c>
      <c r="D4706" s="159">
        <v>95</v>
      </c>
      <c r="E4706" s="159">
        <v>15</v>
      </c>
      <c r="F4706" s="131"/>
      <c r="G4706" s="132"/>
      <c r="H4706" s="162" t="s">
        <v>26360</v>
      </c>
      <c r="I4706" s="158" t="s">
        <v>26361</v>
      </c>
      <c r="J4706" s="128"/>
      <c r="K4706" s="128"/>
      <c r="L4706" s="128"/>
      <c r="M4706" s="129"/>
      <c r="N4706" s="129"/>
      <c r="O4706" s="129"/>
    </row>
    <row r="4707" spans="1:15" ht="12.5">
      <c r="A4707" s="158" t="s">
        <v>26362</v>
      </c>
      <c r="B4707" s="159">
        <v>60</v>
      </c>
      <c r="C4707" s="159">
        <v>45</v>
      </c>
      <c r="D4707" s="159">
        <v>96</v>
      </c>
      <c r="E4707" s="130"/>
      <c r="F4707" s="131"/>
      <c r="G4707" s="132"/>
      <c r="H4707" s="162" t="s">
        <v>26363</v>
      </c>
      <c r="I4707" s="128"/>
      <c r="J4707" s="128"/>
      <c r="K4707" s="128"/>
      <c r="L4707" s="128"/>
      <c r="M4707" s="129"/>
      <c r="N4707" s="129"/>
      <c r="O4707" s="129"/>
    </row>
    <row r="4708" spans="1:15" ht="12.5">
      <c r="A4708" s="158" t="s">
        <v>26364</v>
      </c>
      <c r="B4708" s="159">
        <v>60</v>
      </c>
      <c r="C4708" s="159">
        <v>45</v>
      </c>
      <c r="D4708" s="159">
        <v>96</v>
      </c>
      <c r="E4708" s="159">
        <v>14</v>
      </c>
      <c r="F4708" s="131"/>
      <c r="G4708" s="132"/>
      <c r="H4708" s="162" t="s">
        <v>26365</v>
      </c>
      <c r="I4708" s="158" t="s">
        <v>26366</v>
      </c>
      <c r="J4708" s="128"/>
      <c r="K4708" s="128"/>
      <c r="L4708" s="128"/>
      <c r="M4708" s="129"/>
      <c r="N4708" s="129"/>
      <c r="O4708" s="129"/>
    </row>
    <row r="4709" spans="1:15" ht="12.5">
      <c r="A4709" s="158" t="s">
        <v>26367</v>
      </c>
      <c r="B4709" s="159">
        <v>60</v>
      </c>
      <c r="C4709" s="159">
        <v>45</v>
      </c>
      <c r="D4709" s="159">
        <v>96</v>
      </c>
      <c r="E4709" s="159">
        <v>30</v>
      </c>
      <c r="F4709" s="131"/>
      <c r="G4709" s="132"/>
      <c r="H4709" s="162" t="s">
        <v>26368</v>
      </c>
      <c r="I4709" s="158" t="s">
        <v>26369</v>
      </c>
      <c r="J4709" s="128"/>
      <c r="K4709" s="128"/>
      <c r="L4709" s="128"/>
      <c r="M4709" s="129"/>
      <c r="N4709" s="129"/>
      <c r="O4709" s="129"/>
    </row>
    <row r="4710" spans="1:15" ht="12.5">
      <c r="A4710" s="158" t="s">
        <v>26370</v>
      </c>
      <c r="B4710" s="159">
        <v>60</v>
      </c>
      <c r="C4710" s="159">
        <v>45</v>
      </c>
      <c r="D4710" s="159">
        <v>96</v>
      </c>
      <c r="E4710" s="159">
        <v>89</v>
      </c>
      <c r="F4710" s="131"/>
      <c r="G4710" s="132"/>
      <c r="H4710" s="162" t="s">
        <v>26371</v>
      </c>
      <c r="I4710" s="158" t="s">
        <v>26372</v>
      </c>
      <c r="J4710" s="128"/>
      <c r="K4710" s="128"/>
      <c r="L4710" s="128"/>
      <c r="M4710" s="129"/>
      <c r="N4710" s="129"/>
      <c r="O4710" s="129"/>
    </row>
    <row r="4711" spans="1:15" ht="12.5">
      <c r="A4711" s="158" t="s">
        <v>26373</v>
      </c>
      <c r="B4711" s="159">
        <v>60</v>
      </c>
      <c r="C4711" s="159">
        <v>45</v>
      </c>
      <c r="D4711" s="159">
        <v>96</v>
      </c>
      <c r="E4711" s="159">
        <v>94</v>
      </c>
      <c r="F4711" s="131"/>
      <c r="G4711" s="132"/>
      <c r="H4711" s="162" t="s">
        <v>26374</v>
      </c>
      <c r="I4711" s="158" t="s">
        <v>26375</v>
      </c>
      <c r="J4711" s="128"/>
      <c r="K4711" s="128"/>
      <c r="L4711" s="128"/>
      <c r="M4711" s="129"/>
      <c r="N4711" s="129"/>
      <c r="O4711" s="129"/>
    </row>
    <row r="4712" spans="1:15" ht="12.5">
      <c r="A4712" s="144" t="s">
        <v>26376</v>
      </c>
      <c r="B4712" s="145">
        <v>60</v>
      </c>
      <c r="C4712" s="145">
        <v>50</v>
      </c>
      <c r="D4712" s="146"/>
      <c r="E4712" s="146"/>
      <c r="F4712" s="147" t="s">
        <v>33507</v>
      </c>
      <c r="G4712" s="190"/>
      <c r="H4712" s="149" t="s">
        <v>26377</v>
      </c>
      <c r="I4712" s="150"/>
      <c r="J4712" s="150"/>
      <c r="K4712" s="150"/>
      <c r="L4712" s="150"/>
      <c r="M4712" s="191"/>
      <c r="N4712" s="191"/>
      <c r="O4712" s="191"/>
    </row>
    <row r="4713" spans="1:15" ht="12.5">
      <c r="A4713" s="158" t="s">
        <v>26378</v>
      </c>
      <c r="B4713" s="159">
        <v>60</v>
      </c>
      <c r="C4713" s="159">
        <v>50</v>
      </c>
      <c r="D4713" s="159">
        <v>10</v>
      </c>
      <c r="E4713" s="130"/>
      <c r="F4713" s="131"/>
      <c r="G4713" s="132"/>
      <c r="H4713" s="162" t="s">
        <v>26379</v>
      </c>
      <c r="I4713" s="128"/>
      <c r="J4713" s="128"/>
      <c r="K4713" s="128"/>
      <c r="L4713" s="128"/>
      <c r="M4713" s="129"/>
      <c r="N4713" s="129"/>
      <c r="O4713" s="129"/>
    </row>
    <row r="4714" spans="1:15" ht="12.5">
      <c r="A4714" s="158" t="s">
        <v>26380</v>
      </c>
      <c r="B4714" s="159">
        <v>60</v>
      </c>
      <c r="C4714" s="159">
        <v>50</v>
      </c>
      <c r="D4714" s="159">
        <v>10</v>
      </c>
      <c r="E4714" s="159">
        <v>34</v>
      </c>
      <c r="F4714" s="131"/>
      <c r="G4714" s="132"/>
      <c r="H4714" s="162" t="s">
        <v>26381</v>
      </c>
      <c r="I4714" s="158" t="s">
        <v>26382</v>
      </c>
      <c r="J4714" s="128"/>
      <c r="K4714" s="128"/>
      <c r="L4714" s="128"/>
      <c r="M4714" s="129"/>
      <c r="N4714" s="129"/>
      <c r="O4714" s="129"/>
    </row>
    <row r="4715" spans="1:15" ht="12.5">
      <c r="A4715" s="158" t="s">
        <v>26383</v>
      </c>
      <c r="B4715" s="159">
        <v>60</v>
      </c>
      <c r="C4715" s="159">
        <v>50</v>
      </c>
      <c r="D4715" s="159">
        <v>10</v>
      </c>
      <c r="E4715" s="159">
        <v>64</v>
      </c>
      <c r="F4715" s="131"/>
      <c r="G4715" s="132"/>
      <c r="H4715" s="162" t="s">
        <v>26384</v>
      </c>
      <c r="I4715" s="158" t="s">
        <v>26385</v>
      </c>
      <c r="J4715" s="128"/>
      <c r="K4715" s="128"/>
      <c r="L4715" s="128"/>
      <c r="M4715" s="129"/>
      <c r="N4715" s="129"/>
      <c r="O4715" s="129"/>
    </row>
    <row r="4716" spans="1:15" ht="12.5">
      <c r="A4716" s="158" t="s">
        <v>26386</v>
      </c>
      <c r="B4716" s="159">
        <v>60</v>
      </c>
      <c r="C4716" s="159">
        <v>50</v>
      </c>
      <c r="D4716" s="159">
        <v>10</v>
      </c>
      <c r="E4716" s="159">
        <v>66</v>
      </c>
      <c r="F4716" s="131"/>
      <c r="G4716" s="132"/>
      <c r="H4716" s="162" t="s">
        <v>26387</v>
      </c>
      <c r="I4716" s="158" t="s">
        <v>26388</v>
      </c>
      <c r="J4716" s="128"/>
      <c r="K4716" s="128"/>
      <c r="L4716" s="128"/>
      <c r="M4716" s="129"/>
      <c r="N4716" s="129"/>
      <c r="O4716" s="129"/>
    </row>
    <row r="4717" spans="1:15" ht="12.5">
      <c r="A4717" s="158" t="s">
        <v>26389</v>
      </c>
      <c r="B4717" s="159">
        <v>60</v>
      </c>
      <c r="C4717" s="159">
        <v>50</v>
      </c>
      <c r="D4717" s="159">
        <v>20</v>
      </c>
      <c r="E4717" s="130"/>
      <c r="F4717" s="131"/>
      <c r="G4717" s="132"/>
      <c r="H4717" s="162" t="s">
        <v>26390</v>
      </c>
      <c r="I4717" s="128"/>
      <c r="J4717" s="128"/>
      <c r="K4717" s="128"/>
      <c r="L4717" s="128"/>
      <c r="M4717" s="129"/>
      <c r="N4717" s="129"/>
      <c r="O4717" s="129"/>
    </row>
    <row r="4718" spans="1:15" ht="12.5">
      <c r="A4718" s="158" t="s">
        <v>26391</v>
      </c>
      <c r="B4718" s="159">
        <v>60</v>
      </c>
      <c r="C4718" s="159">
        <v>50</v>
      </c>
      <c r="D4718" s="159">
        <v>20</v>
      </c>
      <c r="E4718" s="159">
        <v>2</v>
      </c>
      <c r="F4718" s="131"/>
      <c r="G4718" s="132"/>
      <c r="H4718" s="162" t="s">
        <v>26392</v>
      </c>
      <c r="I4718" s="158" t="s">
        <v>26393</v>
      </c>
      <c r="J4718" s="128"/>
      <c r="K4718" s="128"/>
      <c r="L4718" s="128"/>
      <c r="M4718" s="129"/>
      <c r="N4718" s="129"/>
      <c r="O4718" s="129"/>
    </row>
    <row r="4719" spans="1:15" ht="12.5">
      <c r="A4719" s="158" t="s">
        <v>26394</v>
      </c>
      <c r="B4719" s="159">
        <v>60</v>
      </c>
      <c r="C4719" s="159">
        <v>50</v>
      </c>
      <c r="D4719" s="159">
        <v>20</v>
      </c>
      <c r="E4719" s="159">
        <v>10</v>
      </c>
      <c r="F4719" s="131"/>
      <c r="G4719" s="132"/>
      <c r="H4719" s="162" t="s">
        <v>26395</v>
      </c>
      <c r="I4719" s="158" t="s">
        <v>26396</v>
      </c>
      <c r="J4719" s="128"/>
      <c r="K4719" s="128"/>
      <c r="L4719" s="128"/>
      <c r="M4719" s="129"/>
      <c r="N4719" s="129"/>
      <c r="O4719" s="129"/>
    </row>
    <row r="4720" spans="1:15" ht="12.5">
      <c r="A4720" s="158" t="s">
        <v>26397</v>
      </c>
      <c r="B4720" s="159">
        <v>60</v>
      </c>
      <c r="C4720" s="159">
        <v>50</v>
      </c>
      <c r="D4720" s="159">
        <v>20</v>
      </c>
      <c r="E4720" s="159">
        <v>21</v>
      </c>
      <c r="F4720" s="131"/>
      <c r="G4720" s="132"/>
      <c r="H4720" s="162" t="s">
        <v>26398</v>
      </c>
      <c r="I4720" s="158" t="s">
        <v>26399</v>
      </c>
      <c r="J4720" s="128"/>
      <c r="K4720" s="128"/>
      <c r="L4720" s="128"/>
      <c r="M4720" s="129"/>
      <c r="N4720" s="129"/>
      <c r="O4720" s="129"/>
    </row>
    <row r="4721" spans="1:15" ht="12.5">
      <c r="A4721" s="158" t="s">
        <v>26400</v>
      </c>
      <c r="B4721" s="159">
        <v>60</v>
      </c>
      <c r="C4721" s="159">
        <v>50</v>
      </c>
      <c r="D4721" s="159">
        <v>20</v>
      </c>
      <c r="E4721" s="159">
        <v>22</v>
      </c>
      <c r="F4721" s="131"/>
      <c r="G4721" s="132"/>
      <c r="H4721" s="162" t="s">
        <v>26401</v>
      </c>
      <c r="I4721" s="158" t="s">
        <v>26402</v>
      </c>
      <c r="J4721" s="128"/>
      <c r="K4721" s="128"/>
      <c r="L4721" s="128"/>
      <c r="M4721" s="129"/>
      <c r="N4721" s="129"/>
      <c r="O4721" s="129"/>
    </row>
    <row r="4722" spans="1:15" ht="12.5">
      <c r="A4722" s="158" t="s">
        <v>26403</v>
      </c>
      <c r="B4722" s="159">
        <v>60</v>
      </c>
      <c r="C4722" s="159">
        <v>50</v>
      </c>
      <c r="D4722" s="159">
        <v>20</v>
      </c>
      <c r="E4722" s="159">
        <v>23</v>
      </c>
      <c r="F4722" s="131"/>
      <c r="G4722" s="132"/>
      <c r="H4722" s="162" t="s">
        <v>26404</v>
      </c>
      <c r="I4722" s="158" t="s">
        <v>26405</v>
      </c>
      <c r="J4722" s="128"/>
      <c r="K4722" s="128"/>
      <c r="L4722" s="128"/>
      <c r="M4722" s="129"/>
      <c r="N4722" s="129"/>
      <c r="O4722" s="129"/>
    </row>
    <row r="4723" spans="1:15" ht="12.5">
      <c r="A4723" s="158" t="s">
        <v>26406</v>
      </c>
      <c r="B4723" s="159">
        <v>60</v>
      </c>
      <c r="C4723" s="159">
        <v>50</v>
      </c>
      <c r="D4723" s="159">
        <v>20</v>
      </c>
      <c r="E4723" s="159">
        <v>24</v>
      </c>
      <c r="F4723" s="131"/>
      <c r="G4723" s="132"/>
      <c r="H4723" s="162" t="s">
        <v>26407</v>
      </c>
      <c r="I4723" s="158" t="s">
        <v>26408</v>
      </c>
      <c r="J4723" s="128"/>
      <c r="K4723" s="128"/>
      <c r="L4723" s="128"/>
      <c r="M4723" s="129"/>
      <c r="N4723" s="129"/>
      <c r="O4723" s="129"/>
    </row>
    <row r="4724" spans="1:15" ht="12.5">
      <c r="A4724" s="158" t="s">
        <v>26409</v>
      </c>
      <c r="B4724" s="159">
        <v>60</v>
      </c>
      <c r="C4724" s="159">
        <v>50</v>
      </c>
      <c r="D4724" s="159">
        <v>20</v>
      </c>
      <c r="E4724" s="159">
        <v>25</v>
      </c>
      <c r="F4724" s="131"/>
      <c r="G4724" s="132"/>
      <c r="H4724" s="162" t="s">
        <v>26410</v>
      </c>
      <c r="I4724" s="158" t="s">
        <v>26411</v>
      </c>
      <c r="J4724" s="128"/>
      <c r="K4724" s="128"/>
      <c r="L4724" s="128"/>
      <c r="M4724" s="129"/>
      <c r="N4724" s="129"/>
      <c r="O4724" s="129"/>
    </row>
    <row r="4725" spans="1:15" ht="12.5">
      <c r="A4725" s="158" t="s">
        <v>26412</v>
      </c>
      <c r="B4725" s="159">
        <v>60</v>
      </c>
      <c r="C4725" s="159">
        <v>50</v>
      </c>
      <c r="D4725" s="159">
        <v>20</v>
      </c>
      <c r="E4725" s="159">
        <v>28</v>
      </c>
      <c r="F4725" s="131"/>
      <c r="G4725" s="132"/>
      <c r="H4725" s="162" t="s">
        <v>26413</v>
      </c>
      <c r="I4725" s="158" t="s">
        <v>26414</v>
      </c>
      <c r="J4725" s="128"/>
      <c r="K4725" s="128"/>
      <c r="L4725" s="128"/>
      <c r="M4725" s="129"/>
      <c r="N4725" s="129"/>
      <c r="O4725" s="129"/>
    </row>
    <row r="4726" spans="1:15" ht="12.5">
      <c r="A4726" s="158" t="s">
        <v>26415</v>
      </c>
      <c r="B4726" s="159">
        <v>60</v>
      </c>
      <c r="C4726" s="159">
        <v>50</v>
      </c>
      <c r="D4726" s="159">
        <v>20</v>
      </c>
      <c r="E4726" s="159">
        <v>42</v>
      </c>
      <c r="F4726" s="131"/>
      <c r="G4726" s="132"/>
      <c r="H4726" s="162" t="s">
        <v>26416</v>
      </c>
      <c r="I4726" s="158" t="s">
        <v>26417</v>
      </c>
      <c r="J4726" s="128"/>
      <c r="K4726" s="128"/>
      <c r="L4726" s="128"/>
      <c r="M4726" s="129"/>
      <c r="N4726" s="129"/>
      <c r="O4726" s="129"/>
    </row>
    <row r="4727" spans="1:15" ht="12.5">
      <c r="A4727" s="158" t="s">
        <v>26418</v>
      </c>
      <c r="B4727" s="159">
        <v>60</v>
      </c>
      <c r="C4727" s="159">
        <v>50</v>
      </c>
      <c r="D4727" s="159">
        <v>20</v>
      </c>
      <c r="E4727" s="159">
        <v>77</v>
      </c>
      <c r="F4727" s="131"/>
      <c r="G4727" s="132"/>
      <c r="H4727" s="162" t="s">
        <v>26419</v>
      </c>
      <c r="I4727" s="158" t="s">
        <v>26420</v>
      </c>
      <c r="J4727" s="128"/>
      <c r="K4727" s="128"/>
      <c r="L4727" s="128"/>
      <c r="M4727" s="129"/>
      <c r="N4727" s="129"/>
      <c r="O4727" s="129"/>
    </row>
    <row r="4728" spans="1:15" ht="12.5">
      <c r="A4728" s="158" t="s">
        <v>26421</v>
      </c>
      <c r="B4728" s="159">
        <v>60</v>
      </c>
      <c r="C4728" s="159">
        <v>50</v>
      </c>
      <c r="D4728" s="159">
        <v>20</v>
      </c>
      <c r="E4728" s="159">
        <v>78</v>
      </c>
      <c r="F4728" s="131"/>
      <c r="G4728" s="132"/>
      <c r="H4728" s="162" t="s">
        <v>26422</v>
      </c>
      <c r="I4728" s="158" t="s">
        <v>26423</v>
      </c>
      <c r="J4728" s="128"/>
      <c r="K4728" s="128"/>
      <c r="L4728" s="128"/>
      <c r="M4728" s="129"/>
      <c r="N4728" s="129"/>
      <c r="O4728" s="129"/>
    </row>
    <row r="4729" spans="1:15" ht="12.5">
      <c r="A4729" s="158" t="s">
        <v>26424</v>
      </c>
      <c r="B4729" s="159">
        <v>60</v>
      </c>
      <c r="C4729" s="159">
        <v>50</v>
      </c>
      <c r="D4729" s="159">
        <v>33</v>
      </c>
      <c r="E4729" s="130"/>
      <c r="F4729" s="131"/>
      <c r="G4729" s="132"/>
      <c r="H4729" s="162" t="s">
        <v>26425</v>
      </c>
      <c r="I4729" s="128"/>
      <c r="J4729" s="128"/>
      <c r="K4729" s="128"/>
      <c r="L4729" s="128"/>
      <c r="M4729" s="129"/>
      <c r="N4729" s="129"/>
      <c r="O4729" s="129"/>
    </row>
    <row r="4730" spans="1:15" ht="12.5">
      <c r="A4730" s="158" t="s">
        <v>26426</v>
      </c>
      <c r="B4730" s="159">
        <v>60</v>
      </c>
      <c r="C4730" s="159">
        <v>50</v>
      </c>
      <c r="D4730" s="159">
        <v>33</v>
      </c>
      <c r="E4730" s="159">
        <v>14</v>
      </c>
      <c r="F4730" s="131"/>
      <c r="G4730" s="132"/>
      <c r="H4730" s="162" t="s">
        <v>26427</v>
      </c>
      <c r="I4730" s="158" t="s">
        <v>26428</v>
      </c>
      <c r="J4730" s="128"/>
      <c r="K4730" s="128"/>
      <c r="L4730" s="128"/>
      <c r="M4730" s="129"/>
      <c r="N4730" s="129"/>
      <c r="O4730" s="129"/>
    </row>
    <row r="4731" spans="1:15" ht="12.5">
      <c r="A4731" s="158" t="s">
        <v>26429</v>
      </c>
      <c r="B4731" s="159">
        <v>60</v>
      </c>
      <c r="C4731" s="159">
        <v>50</v>
      </c>
      <c r="D4731" s="159">
        <v>33</v>
      </c>
      <c r="E4731" s="159">
        <v>15</v>
      </c>
      <c r="F4731" s="131"/>
      <c r="G4731" s="132"/>
      <c r="H4731" s="162" t="s">
        <v>26430</v>
      </c>
      <c r="I4731" s="158" t="s">
        <v>26431</v>
      </c>
      <c r="J4731" s="128"/>
      <c r="K4731" s="128"/>
      <c r="L4731" s="128"/>
      <c r="M4731" s="129"/>
      <c r="N4731" s="129"/>
      <c r="O4731" s="129"/>
    </row>
    <row r="4732" spans="1:15" ht="12.5">
      <c r="A4732" s="158" t="s">
        <v>26432</v>
      </c>
      <c r="B4732" s="159">
        <v>60</v>
      </c>
      <c r="C4732" s="159">
        <v>50</v>
      </c>
      <c r="D4732" s="159">
        <v>33</v>
      </c>
      <c r="E4732" s="159">
        <v>37</v>
      </c>
      <c r="F4732" s="131"/>
      <c r="G4732" s="132"/>
      <c r="H4732" s="162" t="s">
        <v>26433</v>
      </c>
      <c r="I4732" s="158" t="s">
        <v>26434</v>
      </c>
      <c r="J4732" s="128"/>
      <c r="K4732" s="128"/>
      <c r="L4732" s="128"/>
      <c r="M4732" s="129"/>
      <c r="N4732" s="129"/>
      <c r="O4732" s="129"/>
    </row>
    <row r="4733" spans="1:15" ht="12.5">
      <c r="A4733" s="158" t="s">
        <v>26435</v>
      </c>
      <c r="B4733" s="159">
        <v>60</v>
      </c>
      <c r="C4733" s="159">
        <v>50</v>
      </c>
      <c r="D4733" s="159">
        <v>33</v>
      </c>
      <c r="E4733" s="159">
        <v>46</v>
      </c>
      <c r="F4733" s="131"/>
      <c r="G4733" s="132"/>
      <c r="H4733" s="162" t="s">
        <v>26436</v>
      </c>
      <c r="I4733" s="158" t="s">
        <v>26437</v>
      </c>
      <c r="J4733" s="128"/>
      <c r="K4733" s="128"/>
      <c r="L4733" s="128"/>
      <c r="M4733" s="129"/>
      <c r="N4733" s="129"/>
      <c r="O4733" s="129"/>
    </row>
    <row r="4734" spans="1:15" ht="12.5">
      <c r="A4734" s="158" t="s">
        <v>26438</v>
      </c>
      <c r="B4734" s="159">
        <v>60</v>
      </c>
      <c r="C4734" s="159">
        <v>50</v>
      </c>
      <c r="D4734" s="159">
        <v>33</v>
      </c>
      <c r="E4734" s="159">
        <v>47</v>
      </c>
      <c r="F4734" s="131"/>
      <c r="G4734" s="132"/>
      <c r="H4734" s="162" t="s">
        <v>26439</v>
      </c>
      <c r="I4734" s="158" t="s">
        <v>26440</v>
      </c>
      <c r="J4734" s="128"/>
      <c r="K4734" s="128"/>
      <c r="L4734" s="128"/>
      <c r="M4734" s="129"/>
      <c r="N4734" s="129"/>
      <c r="O4734" s="129"/>
    </row>
    <row r="4735" spans="1:15" ht="12.5">
      <c r="A4735" s="158" t="s">
        <v>26441</v>
      </c>
      <c r="B4735" s="159">
        <v>60</v>
      </c>
      <c r="C4735" s="159">
        <v>50</v>
      </c>
      <c r="D4735" s="159">
        <v>33</v>
      </c>
      <c r="E4735" s="159">
        <v>48</v>
      </c>
      <c r="F4735" s="131"/>
      <c r="G4735" s="132"/>
      <c r="H4735" s="162" t="s">
        <v>26442</v>
      </c>
      <c r="I4735" s="158" t="s">
        <v>26443</v>
      </c>
      <c r="J4735" s="128"/>
      <c r="K4735" s="128"/>
      <c r="L4735" s="128"/>
      <c r="M4735" s="129"/>
      <c r="N4735" s="129"/>
      <c r="O4735" s="129"/>
    </row>
    <row r="4736" spans="1:15" ht="12.5">
      <c r="A4736" s="158" t="s">
        <v>26444</v>
      </c>
      <c r="B4736" s="159">
        <v>60</v>
      </c>
      <c r="C4736" s="159">
        <v>50</v>
      </c>
      <c r="D4736" s="159">
        <v>33</v>
      </c>
      <c r="E4736" s="159">
        <v>51</v>
      </c>
      <c r="F4736" s="131"/>
      <c r="G4736" s="132"/>
      <c r="H4736" s="162" t="s">
        <v>26445</v>
      </c>
      <c r="I4736" s="158" t="s">
        <v>26446</v>
      </c>
      <c r="J4736" s="128"/>
      <c r="K4736" s="128"/>
      <c r="L4736" s="128"/>
      <c r="M4736" s="129"/>
      <c r="N4736" s="129"/>
      <c r="O4736" s="129"/>
    </row>
    <row r="4737" spans="1:15" ht="12.5">
      <c r="A4737" s="158" t="s">
        <v>26447</v>
      </c>
      <c r="B4737" s="159">
        <v>60</v>
      </c>
      <c r="C4737" s="159">
        <v>50</v>
      </c>
      <c r="D4737" s="159">
        <v>41</v>
      </c>
      <c r="E4737" s="130"/>
      <c r="F4737" s="131"/>
      <c r="G4737" s="132"/>
      <c r="H4737" s="162" t="s">
        <v>26448</v>
      </c>
      <c r="I4737" s="128"/>
      <c r="J4737" s="128"/>
      <c r="K4737" s="128"/>
      <c r="L4737" s="128"/>
      <c r="M4737" s="129"/>
      <c r="N4737" s="129"/>
      <c r="O4737" s="129"/>
    </row>
    <row r="4738" spans="1:15" ht="12.5">
      <c r="A4738" s="158" t="s">
        <v>26449</v>
      </c>
      <c r="B4738" s="159">
        <v>60</v>
      </c>
      <c r="C4738" s="159">
        <v>50</v>
      </c>
      <c r="D4738" s="159">
        <v>41</v>
      </c>
      <c r="E4738" s="159">
        <v>41</v>
      </c>
      <c r="F4738" s="131"/>
      <c r="G4738" s="132"/>
      <c r="H4738" s="162" t="s">
        <v>26450</v>
      </c>
      <c r="I4738" s="158" t="s">
        <v>26451</v>
      </c>
      <c r="J4738" s="128"/>
      <c r="K4738" s="128"/>
      <c r="L4738" s="128"/>
      <c r="M4738" s="129"/>
      <c r="N4738" s="129"/>
      <c r="O4738" s="129"/>
    </row>
    <row r="4739" spans="1:15" ht="12.5">
      <c r="A4739" s="158" t="s">
        <v>26452</v>
      </c>
      <c r="B4739" s="159">
        <v>60</v>
      </c>
      <c r="C4739" s="159">
        <v>50</v>
      </c>
      <c r="D4739" s="159">
        <v>41</v>
      </c>
      <c r="E4739" s="159">
        <v>53</v>
      </c>
      <c r="F4739" s="131"/>
      <c r="G4739" s="132"/>
      <c r="H4739" s="162" t="s">
        <v>26453</v>
      </c>
      <c r="I4739" s="158" t="s">
        <v>26454</v>
      </c>
      <c r="J4739" s="128"/>
      <c r="K4739" s="128"/>
      <c r="L4739" s="128"/>
      <c r="M4739" s="129"/>
      <c r="N4739" s="129"/>
      <c r="O4739" s="129"/>
    </row>
    <row r="4740" spans="1:15" ht="12.5">
      <c r="A4740" s="158" t="s">
        <v>26455</v>
      </c>
      <c r="B4740" s="159">
        <v>60</v>
      </c>
      <c r="C4740" s="159">
        <v>50</v>
      </c>
      <c r="D4740" s="159">
        <v>41</v>
      </c>
      <c r="E4740" s="159">
        <v>65</v>
      </c>
      <c r="F4740" s="131"/>
      <c r="G4740" s="132"/>
      <c r="H4740" s="162" t="s">
        <v>26456</v>
      </c>
      <c r="I4740" s="158" t="s">
        <v>26457</v>
      </c>
      <c r="J4740" s="128"/>
      <c r="K4740" s="128"/>
      <c r="L4740" s="128"/>
      <c r="M4740" s="129"/>
      <c r="N4740" s="129"/>
      <c r="O4740" s="129"/>
    </row>
    <row r="4741" spans="1:15" ht="12.5">
      <c r="A4741" s="158" t="s">
        <v>26458</v>
      </c>
      <c r="B4741" s="159">
        <v>60</v>
      </c>
      <c r="C4741" s="159">
        <v>50</v>
      </c>
      <c r="D4741" s="159">
        <v>41</v>
      </c>
      <c r="E4741" s="159">
        <v>66</v>
      </c>
      <c r="F4741" s="131"/>
      <c r="G4741" s="132"/>
      <c r="H4741" s="162" t="s">
        <v>26459</v>
      </c>
      <c r="I4741" s="158" t="s">
        <v>26460</v>
      </c>
      <c r="J4741" s="128"/>
      <c r="K4741" s="128"/>
      <c r="L4741" s="128"/>
      <c r="M4741" s="129"/>
      <c r="N4741" s="129"/>
      <c r="O4741" s="129"/>
    </row>
    <row r="4742" spans="1:15" ht="12.5">
      <c r="A4742" s="158" t="s">
        <v>26461</v>
      </c>
      <c r="B4742" s="159">
        <v>60</v>
      </c>
      <c r="C4742" s="159">
        <v>50</v>
      </c>
      <c r="D4742" s="159">
        <v>41</v>
      </c>
      <c r="E4742" s="159">
        <v>77</v>
      </c>
      <c r="F4742" s="131"/>
      <c r="G4742" s="132"/>
      <c r="H4742" s="162" t="s">
        <v>26462</v>
      </c>
      <c r="I4742" s="158" t="s">
        <v>26463</v>
      </c>
      <c r="J4742" s="128"/>
      <c r="K4742" s="128"/>
      <c r="L4742" s="128"/>
      <c r="M4742" s="129"/>
      <c r="N4742" s="129"/>
      <c r="O4742" s="129"/>
    </row>
    <row r="4743" spans="1:15" ht="12.5">
      <c r="A4743" s="158" t="s">
        <v>26464</v>
      </c>
      <c r="B4743" s="159">
        <v>60</v>
      </c>
      <c r="C4743" s="159">
        <v>50</v>
      </c>
      <c r="D4743" s="159">
        <v>41</v>
      </c>
      <c r="E4743" s="159">
        <v>96</v>
      </c>
      <c r="F4743" s="131"/>
      <c r="G4743" s="132"/>
      <c r="H4743" s="162" t="s">
        <v>26465</v>
      </c>
      <c r="I4743" s="158" t="s">
        <v>26466</v>
      </c>
      <c r="J4743" s="128"/>
      <c r="K4743" s="128"/>
      <c r="L4743" s="128"/>
      <c r="M4743" s="129"/>
      <c r="N4743" s="129"/>
      <c r="O4743" s="129"/>
    </row>
    <row r="4744" spans="1:15" ht="12.5">
      <c r="A4744" s="158" t="s">
        <v>26467</v>
      </c>
      <c r="B4744" s="159">
        <v>60</v>
      </c>
      <c r="C4744" s="159">
        <v>50</v>
      </c>
      <c r="D4744" s="159">
        <v>46</v>
      </c>
      <c r="E4744" s="130"/>
      <c r="F4744" s="131"/>
      <c r="G4744" s="132"/>
      <c r="H4744" s="162" t="s">
        <v>26468</v>
      </c>
      <c r="I4744" s="128"/>
      <c r="J4744" s="128"/>
      <c r="K4744" s="128"/>
      <c r="L4744" s="128"/>
      <c r="M4744" s="129"/>
      <c r="N4744" s="129"/>
      <c r="O4744" s="129"/>
    </row>
    <row r="4745" spans="1:15" ht="12.5">
      <c r="A4745" s="158" t="s">
        <v>26469</v>
      </c>
      <c r="B4745" s="159">
        <v>60</v>
      </c>
      <c r="C4745" s="159">
        <v>50</v>
      </c>
      <c r="D4745" s="159">
        <v>46</v>
      </c>
      <c r="E4745" s="159">
        <v>45</v>
      </c>
      <c r="F4745" s="131"/>
      <c r="G4745" s="132"/>
      <c r="H4745" s="162" t="s">
        <v>26470</v>
      </c>
      <c r="I4745" s="158" t="s">
        <v>26471</v>
      </c>
      <c r="J4745" s="128"/>
      <c r="K4745" s="128"/>
      <c r="L4745" s="128"/>
      <c r="M4745" s="129"/>
      <c r="N4745" s="129"/>
      <c r="O4745" s="129"/>
    </row>
    <row r="4746" spans="1:15" ht="12.5">
      <c r="A4746" s="158" t="s">
        <v>26472</v>
      </c>
      <c r="B4746" s="159">
        <v>60</v>
      </c>
      <c r="C4746" s="159">
        <v>50</v>
      </c>
      <c r="D4746" s="159">
        <v>46</v>
      </c>
      <c r="E4746" s="159">
        <v>46</v>
      </c>
      <c r="F4746" s="131"/>
      <c r="G4746" s="132"/>
      <c r="H4746" s="162" t="s">
        <v>26473</v>
      </c>
      <c r="I4746" s="158" t="s">
        <v>26474</v>
      </c>
      <c r="J4746" s="128"/>
      <c r="K4746" s="128"/>
      <c r="L4746" s="128"/>
      <c r="M4746" s="129"/>
      <c r="N4746" s="129"/>
      <c r="O4746" s="129"/>
    </row>
    <row r="4747" spans="1:15" ht="12.5">
      <c r="A4747" s="158" t="s">
        <v>26475</v>
      </c>
      <c r="B4747" s="159">
        <v>60</v>
      </c>
      <c r="C4747" s="159">
        <v>50</v>
      </c>
      <c r="D4747" s="159">
        <v>46</v>
      </c>
      <c r="E4747" s="159">
        <v>47</v>
      </c>
      <c r="F4747" s="131"/>
      <c r="G4747" s="132"/>
      <c r="H4747" s="162" t="s">
        <v>26476</v>
      </c>
      <c r="I4747" s="158" t="s">
        <v>26477</v>
      </c>
      <c r="J4747" s="128"/>
      <c r="K4747" s="128"/>
      <c r="L4747" s="128"/>
      <c r="M4747" s="129"/>
      <c r="N4747" s="129"/>
      <c r="O4747" s="129"/>
    </row>
    <row r="4748" spans="1:15" ht="12.5">
      <c r="A4748" s="158" t="s">
        <v>26478</v>
      </c>
      <c r="B4748" s="159">
        <v>60</v>
      </c>
      <c r="C4748" s="159">
        <v>50</v>
      </c>
      <c r="D4748" s="159">
        <v>46</v>
      </c>
      <c r="E4748" s="159">
        <v>48</v>
      </c>
      <c r="F4748" s="131"/>
      <c r="G4748" s="132"/>
      <c r="H4748" s="162" t="s">
        <v>26479</v>
      </c>
      <c r="I4748" s="158" t="s">
        <v>26480</v>
      </c>
      <c r="J4748" s="128"/>
      <c r="K4748" s="128"/>
      <c r="L4748" s="128"/>
      <c r="M4748" s="129"/>
      <c r="N4748" s="129"/>
      <c r="O4748" s="129"/>
    </row>
    <row r="4749" spans="1:15" ht="12.5">
      <c r="A4749" s="158" t="s">
        <v>26481</v>
      </c>
      <c r="B4749" s="159">
        <v>60</v>
      </c>
      <c r="C4749" s="159">
        <v>50</v>
      </c>
      <c r="D4749" s="159">
        <v>46</v>
      </c>
      <c r="E4749" s="159">
        <v>49</v>
      </c>
      <c r="F4749" s="131"/>
      <c r="G4749" s="132"/>
      <c r="H4749" s="162" t="s">
        <v>26482</v>
      </c>
      <c r="I4749" s="158" t="s">
        <v>26483</v>
      </c>
      <c r="J4749" s="128"/>
      <c r="K4749" s="128"/>
      <c r="L4749" s="128"/>
      <c r="M4749" s="129"/>
      <c r="N4749" s="129"/>
      <c r="O4749" s="129"/>
    </row>
    <row r="4750" spans="1:15" ht="12.5">
      <c r="A4750" s="158" t="s">
        <v>26484</v>
      </c>
      <c r="B4750" s="159">
        <v>60</v>
      </c>
      <c r="C4750" s="159">
        <v>50</v>
      </c>
      <c r="D4750" s="159">
        <v>46</v>
      </c>
      <c r="E4750" s="159">
        <v>59</v>
      </c>
      <c r="F4750" s="131"/>
      <c r="G4750" s="132"/>
      <c r="H4750" s="162" t="s">
        <v>26485</v>
      </c>
      <c r="I4750" s="158" t="s">
        <v>26486</v>
      </c>
      <c r="J4750" s="128"/>
      <c r="K4750" s="128"/>
      <c r="L4750" s="128"/>
      <c r="M4750" s="129"/>
      <c r="N4750" s="129"/>
      <c r="O4750" s="129"/>
    </row>
    <row r="4751" spans="1:15" ht="12.5">
      <c r="A4751" s="158" t="s">
        <v>26487</v>
      </c>
      <c r="B4751" s="159">
        <v>60</v>
      </c>
      <c r="C4751" s="159">
        <v>50</v>
      </c>
      <c r="D4751" s="159">
        <v>46</v>
      </c>
      <c r="E4751" s="159">
        <v>87</v>
      </c>
      <c r="F4751" s="131"/>
      <c r="G4751" s="132"/>
      <c r="H4751" s="162" t="s">
        <v>26488</v>
      </c>
      <c r="I4751" s="158" t="s">
        <v>26489</v>
      </c>
      <c r="J4751" s="128"/>
      <c r="K4751" s="128"/>
      <c r="L4751" s="128"/>
      <c r="M4751" s="129"/>
      <c r="N4751" s="129"/>
      <c r="O4751" s="129"/>
    </row>
    <row r="4752" spans="1:15" ht="12.5">
      <c r="A4752" s="158" t="s">
        <v>26490</v>
      </c>
      <c r="B4752" s="159">
        <v>60</v>
      </c>
      <c r="C4752" s="159">
        <v>50</v>
      </c>
      <c r="D4752" s="159">
        <v>47</v>
      </c>
      <c r="E4752" s="130"/>
      <c r="F4752" s="131"/>
      <c r="G4752" s="132"/>
      <c r="H4752" s="162" t="s">
        <v>26491</v>
      </c>
      <c r="I4752" s="128"/>
      <c r="J4752" s="128"/>
      <c r="K4752" s="128"/>
      <c r="L4752" s="128"/>
      <c r="M4752" s="129"/>
      <c r="N4752" s="129"/>
      <c r="O4752" s="129"/>
    </row>
    <row r="4753" spans="1:15" ht="12.5">
      <c r="A4753" s="158" t="s">
        <v>26492</v>
      </c>
      <c r="B4753" s="159">
        <v>60</v>
      </c>
      <c r="C4753" s="159">
        <v>50</v>
      </c>
      <c r="D4753" s="159">
        <v>47</v>
      </c>
      <c r="E4753" s="159">
        <v>11</v>
      </c>
      <c r="F4753" s="131"/>
      <c r="G4753" s="132"/>
      <c r="H4753" s="162" t="s">
        <v>26493</v>
      </c>
      <c r="I4753" s="128"/>
      <c r="J4753" s="128"/>
      <c r="K4753" s="128"/>
      <c r="L4753" s="128"/>
      <c r="M4753" s="129"/>
      <c r="N4753" s="129"/>
      <c r="O4753" s="129"/>
    </row>
    <row r="4754" spans="1:15" ht="12.5">
      <c r="A4754" s="158" t="s">
        <v>26494</v>
      </c>
      <c r="B4754" s="159">
        <v>60</v>
      </c>
      <c r="C4754" s="159">
        <v>50</v>
      </c>
      <c r="D4754" s="159">
        <v>47</v>
      </c>
      <c r="E4754" s="159">
        <v>12</v>
      </c>
      <c r="F4754" s="131"/>
      <c r="G4754" s="132"/>
      <c r="H4754" s="162" t="s">
        <v>26495</v>
      </c>
      <c r="I4754" s="158" t="s">
        <v>26496</v>
      </c>
      <c r="J4754" s="128"/>
      <c r="K4754" s="128"/>
      <c r="L4754" s="128"/>
      <c r="M4754" s="129"/>
      <c r="N4754" s="129"/>
      <c r="O4754" s="129"/>
    </row>
    <row r="4755" spans="1:15" ht="12.5">
      <c r="A4755" s="158" t="s">
        <v>26497</v>
      </c>
      <c r="B4755" s="159">
        <v>60</v>
      </c>
      <c r="C4755" s="159">
        <v>50</v>
      </c>
      <c r="D4755" s="159">
        <v>47</v>
      </c>
      <c r="E4755" s="159">
        <v>13</v>
      </c>
      <c r="F4755" s="131"/>
      <c r="G4755" s="132"/>
      <c r="H4755" s="162" t="s">
        <v>26498</v>
      </c>
      <c r="I4755" s="158" t="s">
        <v>26499</v>
      </c>
      <c r="J4755" s="128"/>
      <c r="K4755" s="128"/>
      <c r="L4755" s="128"/>
      <c r="M4755" s="129"/>
      <c r="N4755" s="129"/>
      <c r="O4755" s="129"/>
    </row>
    <row r="4756" spans="1:15" ht="12.5">
      <c r="A4756" s="158" t="s">
        <v>26500</v>
      </c>
      <c r="B4756" s="159">
        <v>60</v>
      </c>
      <c r="C4756" s="159">
        <v>50</v>
      </c>
      <c r="D4756" s="159">
        <v>47</v>
      </c>
      <c r="E4756" s="159">
        <v>34</v>
      </c>
      <c r="F4756" s="131"/>
      <c r="G4756" s="132"/>
      <c r="H4756" s="162" t="s">
        <v>26501</v>
      </c>
      <c r="I4756" s="158" t="s">
        <v>26502</v>
      </c>
      <c r="J4756" s="128"/>
      <c r="K4756" s="128"/>
      <c r="L4756" s="128"/>
      <c r="M4756" s="129"/>
      <c r="N4756" s="129"/>
      <c r="O4756" s="129"/>
    </row>
    <row r="4757" spans="1:15" ht="12.5">
      <c r="A4757" s="158" t="s">
        <v>26503</v>
      </c>
      <c r="B4757" s="159">
        <v>60</v>
      </c>
      <c r="C4757" s="159">
        <v>50</v>
      </c>
      <c r="D4757" s="159">
        <v>47</v>
      </c>
      <c r="E4757" s="159">
        <v>63</v>
      </c>
      <c r="F4757" s="131"/>
      <c r="G4757" s="132"/>
      <c r="H4757" s="162" t="s">
        <v>26504</v>
      </c>
      <c r="I4757" s="158" t="s">
        <v>26505</v>
      </c>
      <c r="J4757" s="128"/>
      <c r="K4757" s="128"/>
      <c r="L4757" s="128"/>
      <c r="M4757" s="129"/>
      <c r="N4757" s="129"/>
      <c r="O4757" s="129"/>
    </row>
    <row r="4758" spans="1:15" ht="12.5">
      <c r="A4758" s="158" t="s">
        <v>26506</v>
      </c>
      <c r="B4758" s="159">
        <v>60</v>
      </c>
      <c r="C4758" s="159">
        <v>50</v>
      </c>
      <c r="D4758" s="159">
        <v>47</v>
      </c>
      <c r="E4758" s="159">
        <v>84</v>
      </c>
      <c r="F4758" s="131"/>
      <c r="G4758" s="132"/>
      <c r="H4758" s="162" t="s">
        <v>26507</v>
      </c>
      <c r="I4758" s="158" t="s">
        <v>26477</v>
      </c>
      <c r="J4758" s="128"/>
      <c r="K4758" s="128"/>
      <c r="L4758" s="128"/>
      <c r="M4758" s="129"/>
      <c r="N4758" s="129"/>
      <c r="O4758" s="129"/>
    </row>
    <row r="4759" spans="1:15" ht="12.5">
      <c r="A4759" s="158" t="s">
        <v>26508</v>
      </c>
      <c r="B4759" s="159">
        <v>60</v>
      </c>
      <c r="C4759" s="159">
        <v>50</v>
      </c>
      <c r="D4759" s="159">
        <v>67</v>
      </c>
      <c r="E4759" s="130"/>
      <c r="F4759" s="131"/>
      <c r="G4759" s="132"/>
      <c r="H4759" s="162" t="s">
        <v>26509</v>
      </c>
      <c r="I4759" s="128"/>
      <c r="J4759" s="128"/>
      <c r="K4759" s="128"/>
      <c r="L4759" s="128"/>
      <c r="M4759" s="129"/>
      <c r="N4759" s="129"/>
      <c r="O4759" s="129"/>
    </row>
    <row r="4760" spans="1:15" ht="12.5">
      <c r="A4760" s="158" t="s">
        <v>26510</v>
      </c>
      <c r="B4760" s="159">
        <v>60</v>
      </c>
      <c r="C4760" s="159">
        <v>50</v>
      </c>
      <c r="D4760" s="159">
        <v>67</v>
      </c>
      <c r="E4760" s="159">
        <v>31</v>
      </c>
      <c r="F4760" s="131"/>
      <c r="G4760" s="132"/>
      <c r="H4760" s="162" t="s">
        <v>26511</v>
      </c>
      <c r="I4760" s="158" t="s">
        <v>26512</v>
      </c>
      <c r="J4760" s="128"/>
      <c r="K4760" s="128"/>
      <c r="L4760" s="128"/>
      <c r="M4760" s="129"/>
      <c r="N4760" s="129"/>
      <c r="O4760" s="129"/>
    </row>
    <row r="4761" spans="1:15" ht="12.5">
      <c r="A4761" s="158" t="s">
        <v>26513</v>
      </c>
      <c r="B4761" s="159">
        <v>60</v>
      </c>
      <c r="C4761" s="159">
        <v>50</v>
      </c>
      <c r="D4761" s="159">
        <v>67</v>
      </c>
      <c r="E4761" s="159">
        <v>48</v>
      </c>
      <c r="F4761" s="131"/>
      <c r="G4761" s="132"/>
      <c r="H4761" s="162" t="s">
        <v>26514</v>
      </c>
      <c r="I4761" s="158" t="s">
        <v>26515</v>
      </c>
      <c r="J4761" s="128"/>
      <c r="K4761" s="128"/>
      <c r="L4761" s="128"/>
      <c r="M4761" s="129"/>
      <c r="N4761" s="129"/>
      <c r="O4761" s="129"/>
    </row>
    <row r="4762" spans="1:15" ht="12.5">
      <c r="A4762" s="158" t="s">
        <v>26516</v>
      </c>
      <c r="B4762" s="159">
        <v>60</v>
      </c>
      <c r="C4762" s="159">
        <v>50</v>
      </c>
      <c r="D4762" s="159">
        <v>67</v>
      </c>
      <c r="E4762" s="159">
        <v>52</v>
      </c>
      <c r="F4762" s="131"/>
      <c r="G4762" s="132"/>
      <c r="H4762" s="162" t="s">
        <v>26517</v>
      </c>
      <c r="I4762" s="158" t="s">
        <v>26518</v>
      </c>
      <c r="J4762" s="128"/>
      <c r="K4762" s="128"/>
      <c r="L4762" s="128"/>
      <c r="M4762" s="129"/>
      <c r="N4762" s="129"/>
      <c r="O4762" s="129"/>
    </row>
    <row r="4763" spans="1:15" ht="12.5">
      <c r="A4763" s="158" t="s">
        <v>26519</v>
      </c>
      <c r="B4763" s="159">
        <v>60</v>
      </c>
      <c r="C4763" s="159">
        <v>50</v>
      </c>
      <c r="D4763" s="159">
        <v>67</v>
      </c>
      <c r="E4763" s="159">
        <v>70</v>
      </c>
      <c r="F4763" s="131"/>
      <c r="G4763" s="132"/>
      <c r="H4763" s="162" t="s">
        <v>26520</v>
      </c>
      <c r="I4763" s="128"/>
      <c r="J4763" s="128"/>
      <c r="K4763" s="128"/>
      <c r="L4763" s="128"/>
      <c r="M4763" s="129"/>
      <c r="N4763" s="129"/>
      <c r="O4763" s="129"/>
    </row>
    <row r="4764" spans="1:15" ht="12.5">
      <c r="A4764" s="158" t="s">
        <v>26521</v>
      </c>
      <c r="B4764" s="159">
        <v>60</v>
      </c>
      <c r="C4764" s="159">
        <v>50</v>
      </c>
      <c r="D4764" s="159">
        <v>67</v>
      </c>
      <c r="E4764" s="159">
        <v>93</v>
      </c>
      <c r="F4764" s="131"/>
      <c r="G4764" s="132"/>
      <c r="H4764" s="162" t="s">
        <v>26522</v>
      </c>
      <c r="I4764" s="128"/>
      <c r="J4764" s="128"/>
      <c r="K4764" s="128"/>
      <c r="L4764" s="128"/>
      <c r="M4764" s="129"/>
      <c r="N4764" s="129"/>
      <c r="O4764" s="129"/>
    </row>
    <row r="4765" spans="1:15" ht="12.5">
      <c r="A4765" s="158" t="s">
        <v>26523</v>
      </c>
      <c r="B4765" s="159">
        <v>60</v>
      </c>
      <c r="C4765" s="159">
        <v>50</v>
      </c>
      <c r="D4765" s="159">
        <v>67</v>
      </c>
      <c r="E4765" s="159">
        <v>94</v>
      </c>
      <c r="F4765" s="131"/>
      <c r="G4765" s="132"/>
      <c r="H4765" s="162" t="s">
        <v>26524</v>
      </c>
      <c r="I4765" s="158" t="s">
        <v>26525</v>
      </c>
      <c r="J4765" s="128"/>
      <c r="K4765" s="128"/>
      <c r="L4765" s="128"/>
      <c r="M4765" s="129"/>
      <c r="N4765" s="129"/>
      <c r="O4765" s="129"/>
    </row>
    <row r="4766" spans="1:15" ht="12.5">
      <c r="A4766" s="158" t="s">
        <v>26526</v>
      </c>
      <c r="B4766" s="159">
        <v>60</v>
      </c>
      <c r="C4766" s="159">
        <v>50</v>
      </c>
      <c r="D4766" s="159">
        <v>85</v>
      </c>
      <c r="E4766" s="130"/>
      <c r="F4766" s="131"/>
      <c r="G4766" s="132"/>
      <c r="H4766" s="162" t="s">
        <v>26527</v>
      </c>
      <c r="I4766" s="128"/>
      <c r="J4766" s="128"/>
      <c r="K4766" s="128"/>
      <c r="L4766" s="128"/>
      <c r="M4766" s="129"/>
      <c r="N4766" s="129"/>
      <c r="O4766" s="129"/>
    </row>
    <row r="4767" spans="1:15" ht="12.5">
      <c r="A4767" s="158" t="s">
        <v>26528</v>
      </c>
      <c r="B4767" s="159">
        <v>60</v>
      </c>
      <c r="C4767" s="159">
        <v>50</v>
      </c>
      <c r="D4767" s="159">
        <v>85</v>
      </c>
      <c r="E4767" s="159">
        <v>1</v>
      </c>
      <c r="F4767" s="131"/>
      <c r="G4767" s="132"/>
      <c r="H4767" s="162" t="s">
        <v>26529</v>
      </c>
      <c r="I4767" s="158" t="s">
        <v>26530</v>
      </c>
      <c r="J4767" s="128"/>
      <c r="K4767" s="128"/>
      <c r="L4767" s="128"/>
      <c r="M4767" s="129"/>
      <c r="N4767" s="129"/>
      <c r="O4767" s="129"/>
    </row>
    <row r="4768" spans="1:15" ht="12.5">
      <c r="A4768" s="158" t="s">
        <v>26531</v>
      </c>
      <c r="B4768" s="159">
        <v>60</v>
      </c>
      <c r="C4768" s="159">
        <v>50</v>
      </c>
      <c r="D4768" s="159">
        <v>85</v>
      </c>
      <c r="E4768" s="159">
        <v>7</v>
      </c>
      <c r="F4768" s="131"/>
      <c r="G4768" s="132"/>
      <c r="H4768" s="162" t="s">
        <v>26532</v>
      </c>
      <c r="I4768" s="158" t="s">
        <v>26533</v>
      </c>
      <c r="J4768" s="128"/>
      <c r="K4768" s="128"/>
      <c r="L4768" s="128"/>
      <c r="M4768" s="129"/>
      <c r="N4768" s="129"/>
      <c r="O4768" s="129"/>
    </row>
    <row r="4769" spans="1:15" ht="12.5">
      <c r="A4769" s="158" t="s">
        <v>26534</v>
      </c>
      <c r="B4769" s="159">
        <v>60</v>
      </c>
      <c r="C4769" s="159">
        <v>50</v>
      </c>
      <c r="D4769" s="159">
        <v>85</v>
      </c>
      <c r="E4769" s="159">
        <v>78</v>
      </c>
      <c r="F4769" s="131"/>
      <c r="G4769" s="132"/>
      <c r="H4769" s="162" t="s">
        <v>26535</v>
      </c>
      <c r="I4769" s="158" t="s">
        <v>26536</v>
      </c>
      <c r="J4769" s="128"/>
      <c r="K4769" s="128"/>
      <c r="L4769" s="128"/>
      <c r="M4769" s="129"/>
      <c r="N4769" s="129"/>
      <c r="O4769" s="129"/>
    </row>
    <row r="4770" spans="1:15" ht="12.5">
      <c r="A4770" s="158" t="s">
        <v>26537</v>
      </c>
      <c r="B4770" s="159">
        <v>60</v>
      </c>
      <c r="C4770" s="159">
        <v>50</v>
      </c>
      <c r="D4770" s="159">
        <v>96</v>
      </c>
      <c r="E4770" s="130"/>
      <c r="F4770" s="131"/>
      <c r="G4770" s="132"/>
      <c r="H4770" s="162" t="s">
        <v>26538</v>
      </c>
      <c r="I4770" s="128"/>
      <c r="J4770" s="128"/>
      <c r="K4770" s="128"/>
      <c r="L4770" s="128"/>
      <c r="M4770" s="129"/>
      <c r="N4770" s="129"/>
      <c r="O4770" s="129"/>
    </row>
    <row r="4771" spans="1:15" ht="12.5">
      <c r="A4771" s="158" t="s">
        <v>26539</v>
      </c>
      <c r="B4771" s="159">
        <v>60</v>
      </c>
      <c r="C4771" s="159">
        <v>50</v>
      </c>
      <c r="D4771" s="159">
        <v>96</v>
      </c>
      <c r="E4771" s="159">
        <v>15</v>
      </c>
      <c r="F4771" s="131"/>
      <c r="G4771" s="132"/>
      <c r="H4771" s="162" t="s">
        <v>26540</v>
      </c>
      <c r="I4771" s="128"/>
      <c r="J4771" s="128"/>
      <c r="K4771" s="128"/>
      <c r="L4771" s="128"/>
      <c r="M4771" s="129"/>
      <c r="N4771" s="129"/>
      <c r="O4771" s="129"/>
    </row>
    <row r="4772" spans="1:15" ht="12.5">
      <c r="A4772" s="158" t="s">
        <v>26541</v>
      </c>
      <c r="B4772" s="159">
        <v>60</v>
      </c>
      <c r="C4772" s="159">
        <v>50</v>
      </c>
      <c r="D4772" s="159">
        <v>96</v>
      </c>
      <c r="E4772" s="159">
        <v>20</v>
      </c>
      <c r="F4772" s="131"/>
      <c r="G4772" s="132"/>
      <c r="H4772" s="162" t="s">
        <v>26542</v>
      </c>
      <c r="I4772" s="158" t="s">
        <v>26543</v>
      </c>
      <c r="J4772" s="128"/>
      <c r="K4772" s="128"/>
      <c r="L4772" s="128"/>
      <c r="M4772" s="129"/>
      <c r="N4772" s="129"/>
      <c r="O4772" s="129"/>
    </row>
    <row r="4773" spans="1:15" ht="12.5">
      <c r="A4773" s="158" t="s">
        <v>26544</v>
      </c>
      <c r="B4773" s="159">
        <v>60</v>
      </c>
      <c r="C4773" s="159">
        <v>50</v>
      </c>
      <c r="D4773" s="159">
        <v>96</v>
      </c>
      <c r="E4773" s="159">
        <v>32</v>
      </c>
      <c r="F4773" s="131"/>
      <c r="G4773" s="132"/>
      <c r="H4773" s="162" t="s">
        <v>26545</v>
      </c>
      <c r="I4773" s="158" t="s">
        <v>26546</v>
      </c>
      <c r="J4773" s="128"/>
      <c r="K4773" s="128"/>
      <c r="L4773" s="128"/>
      <c r="M4773" s="129"/>
      <c r="N4773" s="129"/>
      <c r="O4773" s="129"/>
    </row>
    <row r="4774" spans="1:15" ht="12.5">
      <c r="A4774" s="158" t="s">
        <v>26547</v>
      </c>
      <c r="B4774" s="159">
        <v>60</v>
      </c>
      <c r="C4774" s="159">
        <v>50</v>
      </c>
      <c r="D4774" s="159">
        <v>96</v>
      </c>
      <c r="E4774" s="159">
        <v>33</v>
      </c>
      <c r="F4774" s="131"/>
      <c r="G4774" s="132"/>
      <c r="H4774" s="162" t="s">
        <v>26548</v>
      </c>
      <c r="I4774" s="158" t="s">
        <v>26549</v>
      </c>
      <c r="J4774" s="128"/>
      <c r="K4774" s="128"/>
      <c r="L4774" s="128"/>
      <c r="M4774" s="129"/>
      <c r="N4774" s="129"/>
      <c r="O4774" s="129"/>
    </row>
    <row r="4775" spans="1:15" ht="12.5">
      <c r="A4775" s="158" t="s">
        <v>26550</v>
      </c>
      <c r="B4775" s="159">
        <v>60</v>
      </c>
      <c r="C4775" s="159">
        <v>50</v>
      </c>
      <c r="D4775" s="159">
        <v>96</v>
      </c>
      <c r="E4775" s="159">
        <v>34</v>
      </c>
      <c r="F4775" s="131"/>
      <c r="G4775" s="132"/>
      <c r="H4775" s="162" t="s">
        <v>26551</v>
      </c>
      <c r="I4775" s="158" t="s">
        <v>26552</v>
      </c>
      <c r="J4775" s="128"/>
      <c r="K4775" s="128"/>
      <c r="L4775" s="128"/>
      <c r="M4775" s="129"/>
      <c r="N4775" s="129"/>
      <c r="O4775" s="129"/>
    </row>
    <row r="4776" spans="1:15" ht="12.5">
      <c r="A4776" s="158" t="s">
        <v>26553</v>
      </c>
      <c r="B4776" s="159">
        <v>60</v>
      </c>
      <c r="C4776" s="159">
        <v>50</v>
      </c>
      <c r="D4776" s="159">
        <v>96</v>
      </c>
      <c r="E4776" s="159">
        <v>35</v>
      </c>
      <c r="F4776" s="131"/>
      <c r="G4776" s="132"/>
      <c r="H4776" s="162" t="s">
        <v>26554</v>
      </c>
      <c r="I4776" s="158" t="s">
        <v>26555</v>
      </c>
      <c r="J4776" s="128"/>
      <c r="K4776" s="128"/>
      <c r="L4776" s="128"/>
      <c r="M4776" s="129"/>
      <c r="N4776" s="129"/>
      <c r="O4776" s="129"/>
    </row>
    <row r="4777" spans="1:15" ht="12.5">
      <c r="A4777" s="158" t="s">
        <v>26556</v>
      </c>
      <c r="B4777" s="159">
        <v>60</v>
      </c>
      <c r="C4777" s="159">
        <v>50</v>
      </c>
      <c r="D4777" s="159">
        <v>96</v>
      </c>
      <c r="E4777" s="159">
        <v>36</v>
      </c>
      <c r="F4777" s="131"/>
      <c r="G4777" s="132"/>
      <c r="H4777" s="162" t="s">
        <v>26557</v>
      </c>
      <c r="I4777" s="158" t="s">
        <v>26552</v>
      </c>
      <c r="J4777" s="128"/>
      <c r="K4777" s="128"/>
      <c r="L4777" s="128"/>
      <c r="M4777" s="129"/>
      <c r="N4777" s="129"/>
      <c r="O4777" s="129"/>
    </row>
    <row r="4778" spans="1:15" ht="12.5">
      <c r="A4778" s="158" t="s">
        <v>26558</v>
      </c>
      <c r="B4778" s="159">
        <v>60</v>
      </c>
      <c r="C4778" s="159">
        <v>50</v>
      </c>
      <c r="D4778" s="159">
        <v>96</v>
      </c>
      <c r="E4778" s="159">
        <v>52</v>
      </c>
      <c r="F4778" s="131"/>
      <c r="G4778" s="132"/>
      <c r="H4778" s="162" t="s">
        <v>26559</v>
      </c>
      <c r="I4778" s="128"/>
      <c r="J4778" s="128"/>
      <c r="K4778" s="128"/>
      <c r="L4778" s="128"/>
      <c r="M4778" s="129"/>
      <c r="N4778" s="129"/>
      <c r="O4778" s="129"/>
    </row>
    <row r="4779" spans="1:15" ht="12.5">
      <c r="A4779" s="158" t="s">
        <v>26560</v>
      </c>
      <c r="B4779" s="159">
        <v>60</v>
      </c>
      <c r="C4779" s="159">
        <v>50</v>
      </c>
      <c r="D4779" s="159">
        <v>96</v>
      </c>
      <c r="E4779" s="159">
        <v>53</v>
      </c>
      <c r="F4779" s="131"/>
      <c r="G4779" s="132"/>
      <c r="H4779" s="162" t="s">
        <v>26561</v>
      </c>
      <c r="I4779" s="158" t="s">
        <v>26562</v>
      </c>
      <c r="J4779" s="128"/>
      <c r="K4779" s="128"/>
      <c r="L4779" s="128"/>
      <c r="M4779" s="129"/>
      <c r="N4779" s="129"/>
      <c r="O4779" s="129"/>
    </row>
    <row r="4780" spans="1:15" ht="12.5">
      <c r="A4780" s="158" t="s">
        <v>26563</v>
      </c>
      <c r="B4780" s="159">
        <v>60</v>
      </c>
      <c r="C4780" s="159">
        <v>50</v>
      </c>
      <c r="D4780" s="159">
        <v>96</v>
      </c>
      <c r="E4780" s="159">
        <v>62</v>
      </c>
      <c r="F4780" s="131"/>
      <c r="G4780" s="132"/>
      <c r="H4780" s="162" t="s">
        <v>26564</v>
      </c>
      <c r="I4780" s="158" t="s">
        <v>26565</v>
      </c>
      <c r="J4780" s="128"/>
      <c r="K4780" s="128"/>
      <c r="L4780" s="128"/>
      <c r="M4780" s="129"/>
      <c r="N4780" s="129"/>
      <c r="O4780" s="129"/>
    </row>
    <row r="4781" spans="1:15" ht="12.5">
      <c r="A4781" s="158" t="s">
        <v>26566</v>
      </c>
      <c r="B4781" s="159">
        <v>60</v>
      </c>
      <c r="C4781" s="159">
        <v>50</v>
      </c>
      <c r="D4781" s="159">
        <v>96</v>
      </c>
      <c r="E4781" s="159">
        <v>63</v>
      </c>
      <c r="F4781" s="131"/>
      <c r="G4781" s="132"/>
      <c r="H4781" s="162" t="s">
        <v>26567</v>
      </c>
      <c r="I4781" s="128"/>
      <c r="J4781" s="128"/>
      <c r="K4781" s="128"/>
      <c r="L4781" s="128"/>
      <c r="M4781" s="129"/>
      <c r="N4781" s="129"/>
      <c r="O4781" s="129"/>
    </row>
    <row r="4782" spans="1:15" ht="12.5">
      <c r="A4782" s="158" t="s">
        <v>26568</v>
      </c>
      <c r="B4782" s="159">
        <v>60</v>
      </c>
      <c r="C4782" s="159">
        <v>50</v>
      </c>
      <c r="D4782" s="159">
        <v>96</v>
      </c>
      <c r="E4782" s="159">
        <v>64</v>
      </c>
      <c r="F4782" s="131"/>
      <c r="G4782" s="132"/>
      <c r="H4782" s="162" t="s">
        <v>26569</v>
      </c>
      <c r="I4782" s="158" t="s">
        <v>26570</v>
      </c>
      <c r="J4782" s="128"/>
      <c r="K4782" s="128"/>
      <c r="L4782" s="128"/>
      <c r="M4782" s="129"/>
      <c r="N4782" s="129"/>
      <c r="O4782" s="129"/>
    </row>
    <row r="4783" spans="1:15" ht="12.5">
      <c r="A4783" s="158" t="s">
        <v>26571</v>
      </c>
      <c r="B4783" s="159">
        <v>60</v>
      </c>
      <c r="C4783" s="159">
        <v>50</v>
      </c>
      <c r="D4783" s="159">
        <v>96</v>
      </c>
      <c r="E4783" s="159">
        <v>65</v>
      </c>
      <c r="F4783" s="131"/>
      <c r="G4783" s="132"/>
      <c r="H4783" s="162" t="s">
        <v>26572</v>
      </c>
      <c r="I4783" s="158" t="s">
        <v>26573</v>
      </c>
      <c r="J4783" s="128"/>
      <c r="K4783" s="128"/>
      <c r="L4783" s="128"/>
      <c r="M4783" s="129"/>
      <c r="N4783" s="129"/>
      <c r="O4783" s="129"/>
    </row>
    <row r="4784" spans="1:15" ht="12.5">
      <c r="A4784" s="158" t="s">
        <v>26574</v>
      </c>
      <c r="B4784" s="159">
        <v>60</v>
      </c>
      <c r="C4784" s="159">
        <v>50</v>
      </c>
      <c r="D4784" s="159">
        <v>96</v>
      </c>
      <c r="E4784" s="159">
        <v>70</v>
      </c>
      <c r="F4784" s="131"/>
      <c r="G4784" s="132"/>
      <c r="H4784" s="162" t="s">
        <v>26575</v>
      </c>
      <c r="I4784" s="158" t="s">
        <v>26576</v>
      </c>
      <c r="J4784" s="128"/>
      <c r="K4784" s="128"/>
      <c r="L4784" s="128"/>
      <c r="M4784" s="129"/>
      <c r="N4784" s="129"/>
      <c r="O4784" s="129"/>
    </row>
    <row r="4785" spans="1:15" ht="12.5">
      <c r="A4785" s="158" t="s">
        <v>26577</v>
      </c>
      <c r="B4785" s="159">
        <v>60</v>
      </c>
      <c r="C4785" s="159">
        <v>50</v>
      </c>
      <c r="D4785" s="159">
        <v>96</v>
      </c>
      <c r="E4785" s="159">
        <v>76</v>
      </c>
      <c r="F4785" s="131"/>
      <c r="G4785" s="132"/>
      <c r="H4785" s="162" t="s">
        <v>26578</v>
      </c>
      <c r="I4785" s="158" t="s">
        <v>26579</v>
      </c>
      <c r="J4785" s="128"/>
      <c r="K4785" s="128"/>
      <c r="L4785" s="128"/>
      <c r="M4785" s="129"/>
      <c r="N4785" s="129"/>
      <c r="O4785" s="129"/>
    </row>
    <row r="4786" spans="1:15" ht="12.5">
      <c r="A4786" s="158" t="s">
        <v>26580</v>
      </c>
      <c r="B4786" s="159">
        <v>60</v>
      </c>
      <c r="C4786" s="159">
        <v>50</v>
      </c>
      <c r="D4786" s="159">
        <v>96</v>
      </c>
      <c r="E4786" s="159">
        <v>84</v>
      </c>
      <c r="F4786" s="131"/>
      <c r="G4786" s="132"/>
      <c r="H4786" s="162" t="s">
        <v>26581</v>
      </c>
      <c r="I4786" s="128"/>
      <c r="J4786" s="128"/>
      <c r="K4786" s="128"/>
      <c r="L4786" s="128"/>
      <c r="M4786" s="129"/>
      <c r="N4786" s="129"/>
      <c r="O4786" s="129"/>
    </row>
    <row r="4787" spans="1:15" ht="12.5">
      <c r="A4787" s="144" t="s">
        <v>26582</v>
      </c>
      <c r="B4787" s="145">
        <v>60</v>
      </c>
      <c r="C4787" s="145">
        <v>55</v>
      </c>
      <c r="D4787" s="146"/>
      <c r="E4787" s="146"/>
      <c r="F4787" s="147" t="s">
        <v>33508</v>
      </c>
      <c r="G4787" s="190"/>
      <c r="H4787" s="149" t="s">
        <v>26583</v>
      </c>
      <c r="I4787" s="150"/>
      <c r="J4787" s="150"/>
      <c r="K4787" s="150"/>
      <c r="L4787" s="150"/>
      <c r="M4787" s="191"/>
      <c r="N4787" s="191"/>
      <c r="O4787" s="191"/>
    </row>
    <row r="4788" spans="1:15" ht="12.5">
      <c r="A4788" s="158" t="s">
        <v>26584</v>
      </c>
      <c r="B4788" s="159">
        <v>60</v>
      </c>
      <c r="C4788" s="159">
        <v>55</v>
      </c>
      <c r="D4788" s="159">
        <v>31</v>
      </c>
      <c r="E4788" s="130"/>
      <c r="F4788" s="131"/>
      <c r="G4788" s="132"/>
      <c r="H4788" s="162" t="s">
        <v>26585</v>
      </c>
      <c r="I4788" s="128"/>
      <c r="J4788" s="128"/>
      <c r="K4788" s="128"/>
      <c r="L4788" s="128"/>
      <c r="M4788" s="129"/>
      <c r="N4788" s="129"/>
      <c r="O4788" s="129"/>
    </row>
    <row r="4789" spans="1:15" ht="12.5">
      <c r="A4789" s="158" t="s">
        <v>26586</v>
      </c>
      <c r="B4789" s="159">
        <v>60</v>
      </c>
      <c r="C4789" s="159">
        <v>55</v>
      </c>
      <c r="D4789" s="159">
        <v>31</v>
      </c>
      <c r="E4789" s="159">
        <v>29</v>
      </c>
      <c r="F4789" s="131"/>
      <c r="G4789" s="132"/>
      <c r="H4789" s="162" t="s">
        <v>26587</v>
      </c>
      <c r="I4789" s="158" t="s">
        <v>26588</v>
      </c>
      <c r="J4789" s="128"/>
      <c r="K4789" s="128"/>
      <c r="L4789" s="128"/>
      <c r="M4789" s="129"/>
      <c r="N4789" s="129"/>
      <c r="O4789" s="129"/>
    </row>
    <row r="4790" spans="1:15" ht="12.5">
      <c r="A4790" s="158" t="s">
        <v>26589</v>
      </c>
      <c r="B4790" s="159">
        <v>60</v>
      </c>
      <c r="C4790" s="159">
        <v>55</v>
      </c>
      <c r="D4790" s="159">
        <v>31</v>
      </c>
      <c r="E4790" s="159">
        <v>30</v>
      </c>
      <c r="F4790" s="131"/>
      <c r="G4790" s="132"/>
      <c r="H4790" s="162" t="s">
        <v>26590</v>
      </c>
      <c r="I4790" s="158" t="s">
        <v>26591</v>
      </c>
      <c r="J4790" s="128"/>
      <c r="K4790" s="128"/>
      <c r="L4790" s="128"/>
      <c r="M4790" s="129"/>
      <c r="N4790" s="129"/>
      <c r="O4790" s="129"/>
    </row>
    <row r="4791" spans="1:15" ht="12.5">
      <c r="A4791" s="158" t="s">
        <v>26592</v>
      </c>
      <c r="B4791" s="159">
        <v>60</v>
      </c>
      <c r="C4791" s="159">
        <v>55</v>
      </c>
      <c r="D4791" s="159">
        <v>31</v>
      </c>
      <c r="E4791" s="159">
        <v>42</v>
      </c>
      <c r="F4791" s="131"/>
      <c r="G4791" s="132"/>
      <c r="H4791" s="162" t="s">
        <v>26593</v>
      </c>
      <c r="I4791" s="128"/>
      <c r="J4791" s="128"/>
      <c r="K4791" s="128"/>
      <c r="L4791" s="128"/>
      <c r="M4791" s="129"/>
      <c r="N4791" s="129"/>
      <c r="O4791" s="129"/>
    </row>
    <row r="4792" spans="1:15" ht="12.5">
      <c r="A4792" s="158" t="s">
        <v>26594</v>
      </c>
      <c r="B4792" s="159">
        <v>60</v>
      </c>
      <c r="C4792" s="159">
        <v>55</v>
      </c>
      <c r="D4792" s="159">
        <v>31</v>
      </c>
      <c r="E4792" s="159">
        <v>47</v>
      </c>
      <c r="F4792" s="131"/>
      <c r="G4792" s="132"/>
      <c r="H4792" s="162" t="s">
        <v>26595</v>
      </c>
      <c r="I4792" s="158" t="s">
        <v>26596</v>
      </c>
      <c r="J4792" s="128"/>
      <c r="K4792" s="128"/>
      <c r="L4792" s="128"/>
      <c r="M4792" s="129"/>
      <c r="N4792" s="129"/>
      <c r="O4792" s="129"/>
    </row>
    <row r="4793" spans="1:15" ht="12.5">
      <c r="A4793" s="158" t="s">
        <v>26597</v>
      </c>
      <c r="B4793" s="159">
        <v>60</v>
      </c>
      <c r="C4793" s="159">
        <v>55</v>
      </c>
      <c r="D4793" s="159">
        <v>31</v>
      </c>
      <c r="E4793" s="159">
        <v>96</v>
      </c>
      <c r="F4793" s="131"/>
      <c r="G4793" s="132"/>
      <c r="H4793" s="162" t="s">
        <v>26598</v>
      </c>
      <c r="I4793" s="128"/>
      <c r="J4793" s="128"/>
      <c r="K4793" s="128"/>
      <c r="L4793" s="128"/>
      <c r="M4793" s="129"/>
      <c r="N4793" s="129"/>
      <c r="O4793" s="129"/>
    </row>
    <row r="4794" spans="1:15" ht="12.5">
      <c r="A4794" s="158" t="s">
        <v>26599</v>
      </c>
      <c r="B4794" s="159">
        <v>60</v>
      </c>
      <c r="C4794" s="159">
        <v>55</v>
      </c>
      <c r="D4794" s="159">
        <v>31</v>
      </c>
      <c r="E4794" s="159">
        <v>97</v>
      </c>
      <c r="F4794" s="131"/>
      <c r="G4794" s="132"/>
      <c r="H4794" s="162" t="s">
        <v>26600</v>
      </c>
      <c r="I4794" s="128"/>
      <c r="J4794" s="128"/>
      <c r="K4794" s="128"/>
      <c r="L4794" s="128"/>
      <c r="M4794" s="129"/>
      <c r="N4794" s="129"/>
      <c r="O4794" s="129"/>
    </row>
    <row r="4795" spans="1:15" ht="12.5">
      <c r="A4795" s="158" t="s">
        <v>26601</v>
      </c>
      <c r="B4795" s="159">
        <v>60</v>
      </c>
      <c r="C4795" s="159">
        <v>55</v>
      </c>
      <c r="D4795" s="159">
        <v>33</v>
      </c>
      <c r="E4795" s="130"/>
      <c r="F4795" s="131"/>
      <c r="G4795" s="132"/>
      <c r="H4795" s="162" t="s">
        <v>26602</v>
      </c>
      <c r="I4795" s="128"/>
      <c r="J4795" s="128"/>
      <c r="K4795" s="128"/>
      <c r="L4795" s="128"/>
      <c r="M4795" s="129"/>
      <c r="N4795" s="129"/>
      <c r="O4795" s="129"/>
    </row>
    <row r="4796" spans="1:15" ht="12.5">
      <c r="A4796" s="158" t="s">
        <v>26603</v>
      </c>
      <c r="B4796" s="159">
        <v>60</v>
      </c>
      <c r="C4796" s="159">
        <v>55</v>
      </c>
      <c r="D4796" s="159">
        <v>33</v>
      </c>
      <c r="E4796" s="159">
        <v>4</v>
      </c>
      <c r="F4796" s="131"/>
      <c r="G4796" s="132"/>
      <c r="H4796" s="162" t="s">
        <v>26604</v>
      </c>
      <c r="I4796" s="158" t="s">
        <v>26605</v>
      </c>
      <c r="J4796" s="128"/>
      <c r="K4796" s="128"/>
      <c r="L4796" s="128"/>
      <c r="M4796" s="129"/>
      <c r="N4796" s="129"/>
      <c r="O4796" s="129"/>
    </row>
    <row r="4797" spans="1:15" ht="12.5">
      <c r="A4797" s="158" t="s">
        <v>26606</v>
      </c>
      <c r="B4797" s="159">
        <v>60</v>
      </c>
      <c r="C4797" s="159">
        <v>55</v>
      </c>
      <c r="D4797" s="159">
        <v>33</v>
      </c>
      <c r="E4797" s="159">
        <v>13</v>
      </c>
      <c r="F4797" s="131"/>
      <c r="G4797" s="132"/>
      <c r="H4797" s="162" t="s">
        <v>26607</v>
      </c>
      <c r="I4797" s="128"/>
      <c r="J4797" s="128"/>
      <c r="K4797" s="128"/>
      <c r="L4797" s="128"/>
      <c r="M4797" s="129"/>
      <c r="N4797" s="129"/>
      <c r="O4797" s="129"/>
    </row>
    <row r="4798" spans="1:15" ht="12.5">
      <c r="A4798" s="158" t="s">
        <v>26608</v>
      </c>
      <c r="B4798" s="159">
        <v>60</v>
      </c>
      <c r="C4798" s="159">
        <v>55</v>
      </c>
      <c r="D4798" s="159">
        <v>33</v>
      </c>
      <c r="E4798" s="159">
        <v>39</v>
      </c>
      <c r="F4798" s="131"/>
      <c r="G4798" s="132"/>
      <c r="H4798" s="162" t="s">
        <v>26609</v>
      </c>
      <c r="I4798" s="158" t="s">
        <v>26610</v>
      </c>
      <c r="J4798" s="128"/>
      <c r="K4798" s="128"/>
      <c r="L4798" s="128"/>
      <c r="M4798" s="129"/>
      <c r="N4798" s="129"/>
      <c r="O4798" s="129"/>
    </row>
    <row r="4799" spans="1:15" ht="12.5">
      <c r="A4799" s="158" t="s">
        <v>26611</v>
      </c>
      <c r="B4799" s="159">
        <v>60</v>
      </c>
      <c r="C4799" s="159">
        <v>55</v>
      </c>
      <c r="D4799" s="159">
        <v>33</v>
      </c>
      <c r="E4799" s="159">
        <v>56</v>
      </c>
      <c r="F4799" s="131"/>
      <c r="G4799" s="132"/>
      <c r="H4799" s="162" t="s">
        <v>26612</v>
      </c>
      <c r="I4799" s="158" t="s">
        <v>26613</v>
      </c>
      <c r="J4799" s="128"/>
      <c r="K4799" s="128"/>
      <c r="L4799" s="128"/>
      <c r="M4799" s="129"/>
      <c r="N4799" s="129"/>
      <c r="O4799" s="129"/>
    </row>
    <row r="4800" spans="1:15" ht="12.5">
      <c r="A4800" s="158" t="s">
        <v>26614</v>
      </c>
      <c r="B4800" s="159">
        <v>60</v>
      </c>
      <c r="C4800" s="159">
        <v>55</v>
      </c>
      <c r="D4800" s="159">
        <v>33</v>
      </c>
      <c r="E4800" s="159">
        <v>73</v>
      </c>
      <c r="F4800" s="131"/>
      <c r="G4800" s="132"/>
      <c r="H4800" s="162" t="s">
        <v>26615</v>
      </c>
      <c r="I4800" s="158" t="s">
        <v>26616</v>
      </c>
      <c r="J4800" s="128"/>
      <c r="K4800" s="128"/>
      <c r="L4800" s="128"/>
      <c r="M4800" s="129"/>
      <c r="N4800" s="129"/>
      <c r="O4800" s="129"/>
    </row>
    <row r="4801" spans="1:15" ht="12.5">
      <c r="A4801" s="158" t="s">
        <v>26617</v>
      </c>
      <c r="B4801" s="159">
        <v>60</v>
      </c>
      <c r="C4801" s="159">
        <v>55</v>
      </c>
      <c r="D4801" s="159">
        <v>33</v>
      </c>
      <c r="E4801" s="159">
        <v>94</v>
      </c>
      <c r="F4801" s="131"/>
      <c r="G4801" s="132"/>
      <c r="H4801" s="162" t="s">
        <v>26618</v>
      </c>
      <c r="I4801" s="158" t="s">
        <v>26619</v>
      </c>
      <c r="J4801" s="128"/>
      <c r="K4801" s="128"/>
      <c r="L4801" s="128"/>
      <c r="M4801" s="129"/>
      <c r="N4801" s="129"/>
      <c r="O4801" s="129"/>
    </row>
    <row r="4802" spans="1:15" ht="12.5">
      <c r="A4802" s="158" t="s">
        <v>26620</v>
      </c>
      <c r="B4802" s="159">
        <v>60</v>
      </c>
      <c r="C4802" s="159">
        <v>55</v>
      </c>
      <c r="D4802" s="159">
        <v>96</v>
      </c>
      <c r="E4802" s="130"/>
      <c r="F4802" s="131"/>
      <c r="G4802" s="132"/>
      <c r="H4802" s="162" t="s">
        <v>26621</v>
      </c>
      <c r="I4802" s="128"/>
      <c r="J4802" s="128"/>
      <c r="K4802" s="128"/>
      <c r="L4802" s="128"/>
      <c r="M4802" s="129"/>
      <c r="N4802" s="129"/>
      <c r="O4802" s="129"/>
    </row>
    <row r="4803" spans="1:15" ht="12.5">
      <c r="A4803" s="158" t="s">
        <v>26622</v>
      </c>
      <c r="B4803" s="159">
        <v>60</v>
      </c>
      <c r="C4803" s="159">
        <v>55</v>
      </c>
      <c r="D4803" s="159">
        <v>96</v>
      </c>
      <c r="E4803" s="159">
        <v>6</v>
      </c>
      <c r="F4803" s="131"/>
      <c r="G4803" s="132"/>
      <c r="H4803" s="162" t="s">
        <v>26623</v>
      </c>
      <c r="I4803" s="158" t="s">
        <v>26624</v>
      </c>
      <c r="J4803" s="128"/>
      <c r="K4803" s="128"/>
      <c r="L4803" s="128"/>
      <c r="M4803" s="129"/>
      <c r="N4803" s="129"/>
      <c r="O4803" s="129"/>
    </row>
    <row r="4804" spans="1:15" ht="12.5">
      <c r="A4804" s="158" t="s">
        <v>26625</v>
      </c>
      <c r="B4804" s="159">
        <v>60</v>
      </c>
      <c r="C4804" s="159">
        <v>55</v>
      </c>
      <c r="D4804" s="159">
        <v>96</v>
      </c>
      <c r="E4804" s="159">
        <v>7</v>
      </c>
      <c r="F4804" s="131"/>
      <c r="G4804" s="132"/>
      <c r="H4804" s="162" t="s">
        <v>26626</v>
      </c>
      <c r="I4804" s="128"/>
      <c r="J4804" s="128"/>
      <c r="K4804" s="128"/>
      <c r="L4804" s="128"/>
      <c r="M4804" s="129"/>
      <c r="N4804" s="129"/>
      <c r="O4804" s="129"/>
    </row>
    <row r="4805" spans="1:15" ht="12.5">
      <c r="A4805" s="158" t="s">
        <v>26627</v>
      </c>
      <c r="B4805" s="159">
        <v>60</v>
      </c>
      <c r="C4805" s="159">
        <v>55</v>
      </c>
      <c r="D4805" s="159">
        <v>96</v>
      </c>
      <c r="E4805" s="159">
        <v>8</v>
      </c>
      <c r="F4805" s="131"/>
      <c r="G4805" s="132"/>
      <c r="H4805" s="162" t="s">
        <v>26628</v>
      </c>
      <c r="I4805" s="158" t="s">
        <v>26629</v>
      </c>
      <c r="J4805" s="128"/>
      <c r="K4805" s="128"/>
      <c r="L4805" s="128"/>
      <c r="M4805" s="129"/>
      <c r="N4805" s="129"/>
      <c r="O4805" s="129"/>
    </row>
    <row r="4806" spans="1:15" ht="12.5">
      <c r="A4806" s="158" t="s">
        <v>26630</v>
      </c>
      <c r="B4806" s="159">
        <v>60</v>
      </c>
      <c r="C4806" s="159">
        <v>55</v>
      </c>
      <c r="D4806" s="159">
        <v>96</v>
      </c>
      <c r="E4806" s="159">
        <v>12</v>
      </c>
      <c r="F4806" s="131"/>
      <c r="G4806" s="132"/>
      <c r="H4806" s="162" t="s">
        <v>26631</v>
      </c>
      <c r="I4806" s="158" t="s">
        <v>26632</v>
      </c>
      <c r="J4806" s="128"/>
      <c r="K4806" s="128"/>
      <c r="L4806" s="128"/>
      <c r="M4806" s="129"/>
      <c r="N4806" s="129"/>
      <c r="O4806" s="129"/>
    </row>
    <row r="4807" spans="1:15" ht="12.5">
      <c r="A4807" s="158" t="s">
        <v>26633</v>
      </c>
      <c r="B4807" s="159">
        <v>60</v>
      </c>
      <c r="C4807" s="159">
        <v>55</v>
      </c>
      <c r="D4807" s="159">
        <v>96</v>
      </c>
      <c r="E4807" s="159">
        <v>15</v>
      </c>
      <c r="F4807" s="131"/>
      <c r="G4807" s="132"/>
      <c r="H4807" s="162" t="s">
        <v>26634</v>
      </c>
      <c r="I4807" s="158" t="s">
        <v>26635</v>
      </c>
      <c r="J4807" s="128"/>
      <c r="K4807" s="128"/>
      <c r="L4807" s="128"/>
      <c r="M4807" s="129"/>
      <c r="N4807" s="129"/>
      <c r="O4807" s="129"/>
    </row>
    <row r="4808" spans="1:15" ht="12.5">
      <c r="A4808" s="158" t="s">
        <v>26636</v>
      </c>
      <c r="B4808" s="159">
        <v>60</v>
      </c>
      <c r="C4808" s="159">
        <v>55</v>
      </c>
      <c r="D4808" s="159">
        <v>96</v>
      </c>
      <c r="E4808" s="159">
        <v>16</v>
      </c>
      <c r="F4808" s="131"/>
      <c r="G4808" s="132"/>
      <c r="H4808" s="162" t="s">
        <v>26637</v>
      </c>
      <c r="I4808" s="158" t="s">
        <v>26638</v>
      </c>
      <c r="J4808" s="128"/>
      <c r="K4808" s="128"/>
      <c r="L4808" s="128"/>
      <c r="M4808" s="129"/>
      <c r="N4808" s="129"/>
      <c r="O4808" s="129"/>
    </row>
    <row r="4809" spans="1:15" ht="12.5">
      <c r="A4809" s="158" t="s">
        <v>26639</v>
      </c>
      <c r="B4809" s="159">
        <v>60</v>
      </c>
      <c r="C4809" s="159">
        <v>55</v>
      </c>
      <c r="D4809" s="159">
        <v>96</v>
      </c>
      <c r="E4809" s="159">
        <v>21</v>
      </c>
      <c r="F4809" s="131"/>
      <c r="G4809" s="132"/>
      <c r="H4809" s="162" t="s">
        <v>26640</v>
      </c>
      <c r="I4809" s="158" t="s">
        <v>26641</v>
      </c>
      <c r="J4809" s="128"/>
      <c r="K4809" s="128"/>
      <c r="L4809" s="128"/>
      <c r="M4809" s="129"/>
      <c r="N4809" s="129"/>
      <c r="O4809" s="129"/>
    </row>
    <row r="4810" spans="1:15" ht="12.5">
      <c r="A4810" s="158" t="s">
        <v>26642</v>
      </c>
      <c r="B4810" s="159">
        <v>60</v>
      </c>
      <c r="C4810" s="159">
        <v>55</v>
      </c>
      <c r="D4810" s="159">
        <v>96</v>
      </c>
      <c r="E4810" s="159">
        <v>22</v>
      </c>
      <c r="F4810" s="131"/>
      <c r="G4810" s="132"/>
      <c r="H4810" s="162" t="s">
        <v>26643</v>
      </c>
      <c r="I4810" s="158" t="s">
        <v>26644</v>
      </c>
      <c r="J4810" s="128"/>
      <c r="K4810" s="128"/>
      <c r="L4810" s="128"/>
      <c r="M4810" s="129"/>
      <c r="N4810" s="129"/>
      <c r="O4810" s="129"/>
    </row>
    <row r="4811" spans="1:15" ht="12.5">
      <c r="A4811" s="158" t="s">
        <v>26645</v>
      </c>
      <c r="B4811" s="159">
        <v>60</v>
      </c>
      <c r="C4811" s="159">
        <v>55</v>
      </c>
      <c r="D4811" s="159">
        <v>96</v>
      </c>
      <c r="E4811" s="159">
        <v>58</v>
      </c>
      <c r="F4811" s="131"/>
      <c r="G4811" s="132"/>
      <c r="H4811" s="162" t="s">
        <v>26646</v>
      </c>
      <c r="I4811" s="158" t="s">
        <v>26647</v>
      </c>
      <c r="J4811" s="128"/>
      <c r="K4811" s="128"/>
      <c r="L4811" s="128"/>
      <c r="M4811" s="129"/>
      <c r="N4811" s="129"/>
      <c r="O4811" s="129"/>
    </row>
    <row r="4812" spans="1:15" ht="12.5">
      <c r="A4812" s="158" t="s">
        <v>26648</v>
      </c>
      <c r="B4812" s="159">
        <v>60</v>
      </c>
      <c r="C4812" s="159">
        <v>55</v>
      </c>
      <c r="D4812" s="159">
        <v>96</v>
      </c>
      <c r="E4812" s="159">
        <v>64</v>
      </c>
      <c r="F4812" s="131"/>
      <c r="G4812" s="132"/>
      <c r="H4812" s="162" t="s">
        <v>26649</v>
      </c>
      <c r="I4812" s="158" t="s">
        <v>26650</v>
      </c>
      <c r="J4812" s="128"/>
      <c r="K4812" s="128"/>
      <c r="L4812" s="128"/>
      <c r="M4812" s="129"/>
      <c r="N4812" s="129"/>
      <c r="O4812" s="129"/>
    </row>
    <row r="4813" spans="1:15" ht="12.5">
      <c r="A4813" s="158" t="s">
        <v>26651</v>
      </c>
      <c r="B4813" s="159">
        <v>60</v>
      </c>
      <c r="C4813" s="159">
        <v>55</v>
      </c>
      <c r="D4813" s="159">
        <v>96</v>
      </c>
      <c r="E4813" s="159">
        <v>77</v>
      </c>
      <c r="F4813" s="131"/>
      <c r="G4813" s="132"/>
      <c r="H4813" s="162" t="s">
        <v>26652</v>
      </c>
      <c r="I4813" s="158" t="s">
        <v>26653</v>
      </c>
      <c r="J4813" s="128"/>
      <c r="K4813" s="128"/>
      <c r="L4813" s="128"/>
      <c r="M4813" s="129"/>
      <c r="N4813" s="129"/>
      <c r="O4813" s="129"/>
    </row>
    <row r="4814" spans="1:15" ht="12.5">
      <c r="A4814" s="158" t="s">
        <v>26654</v>
      </c>
      <c r="B4814" s="159">
        <v>60</v>
      </c>
      <c r="C4814" s="159">
        <v>55</v>
      </c>
      <c r="D4814" s="159">
        <v>96</v>
      </c>
      <c r="E4814" s="159">
        <v>78</v>
      </c>
      <c r="F4814" s="131"/>
      <c r="G4814" s="132"/>
      <c r="H4814" s="162" t="s">
        <v>26655</v>
      </c>
      <c r="I4814" s="158" t="s">
        <v>26656</v>
      </c>
      <c r="J4814" s="128"/>
      <c r="K4814" s="128"/>
      <c r="L4814" s="128"/>
      <c r="M4814" s="129"/>
      <c r="N4814" s="129"/>
      <c r="O4814" s="129"/>
    </row>
    <row r="4815" spans="1:15" ht="12.5">
      <c r="A4815" s="158" t="s">
        <v>26657</v>
      </c>
      <c r="B4815" s="159">
        <v>60</v>
      </c>
      <c r="C4815" s="159">
        <v>55</v>
      </c>
      <c r="D4815" s="159">
        <v>96</v>
      </c>
      <c r="E4815" s="159">
        <v>79</v>
      </c>
      <c r="F4815" s="131"/>
      <c r="G4815" s="132"/>
      <c r="H4815" s="162" t="s">
        <v>26658</v>
      </c>
      <c r="I4815" s="158" t="s">
        <v>26659</v>
      </c>
      <c r="J4815" s="128"/>
      <c r="K4815" s="128"/>
      <c r="L4815" s="128"/>
      <c r="M4815" s="129"/>
      <c r="N4815" s="129"/>
      <c r="O4815" s="129"/>
    </row>
    <row r="4816" spans="1:15" ht="12.5">
      <c r="A4816" s="158" t="s">
        <v>26660</v>
      </c>
      <c r="B4816" s="159">
        <v>60</v>
      </c>
      <c r="C4816" s="159">
        <v>55</v>
      </c>
      <c r="D4816" s="159">
        <v>96</v>
      </c>
      <c r="E4816" s="159">
        <v>96</v>
      </c>
      <c r="F4816" s="131"/>
      <c r="G4816" s="132"/>
      <c r="H4816" s="162" t="s">
        <v>26661</v>
      </c>
      <c r="I4816" s="158" t="s">
        <v>26662</v>
      </c>
      <c r="J4816" s="128"/>
      <c r="K4816" s="128"/>
      <c r="L4816" s="128"/>
      <c r="M4816" s="129"/>
      <c r="N4816" s="129"/>
      <c r="O4816" s="129"/>
    </row>
    <row r="4817" spans="1:15" ht="12.5">
      <c r="A4817" s="158" t="s">
        <v>26663</v>
      </c>
      <c r="B4817" s="159">
        <v>60</v>
      </c>
      <c r="C4817" s="159">
        <v>55</v>
      </c>
      <c r="D4817" s="159">
        <v>97</v>
      </c>
      <c r="E4817" s="130"/>
      <c r="F4817" s="131"/>
      <c r="G4817" s="132"/>
      <c r="H4817" s="162" t="s">
        <v>26664</v>
      </c>
      <c r="I4817" s="128"/>
      <c r="J4817" s="128"/>
      <c r="K4817" s="128"/>
      <c r="L4817" s="128"/>
      <c r="M4817" s="129"/>
      <c r="N4817" s="129"/>
      <c r="O4817" s="129"/>
    </row>
    <row r="4818" spans="1:15" ht="12.5">
      <c r="A4818" s="158" t="s">
        <v>26665</v>
      </c>
      <c r="B4818" s="159">
        <v>60</v>
      </c>
      <c r="C4818" s="159">
        <v>55</v>
      </c>
      <c r="D4818" s="159">
        <v>97</v>
      </c>
      <c r="E4818" s="159">
        <v>2</v>
      </c>
      <c r="F4818" s="131"/>
      <c r="G4818" s="132"/>
      <c r="H4818" s="162" t="s">
        <v>26666</v>
      </c>
      <c r="I4818" s="158" t="s">
        <v>26667</v>
      </c>
      <c r="J4818" s="128"/>
      <c r="K4818" s="128"/>
      <c r="L4818" s="128"/>
      <c r="M4818" s="129"/>
      <c r="N4818" s="129"/>
      <c r="O4818" s="129"/>
    </row>
    <row r="4819" spans="1:15" ht="12.5">
      <c r="A4819" s="158" t="s">
        <v>26668</v>
      </c>
      <c r="B4819" s="159">
        <v>60</v>
      </c>
      <c r="C4819" s="159">
        <v>55</v>
      </c>
      <c r="D4819" s="159">
        <v>97</v>
      </c>
      <c r="E4819" s="159">
        <v>6</v>
      </c>
      <c r="F4819" s="131"/>
      <c r="G4819" s="132"/>
      <c r="H4819" s="162" t="s">
        <v>26669</v>
      </c>
      <c r="I4819" s="158" t="s">
        <v>26670</v>
      </c>
      <c r="J4819" s="128"/>
      <c r="K4819" s="128"/>
      <c r="L4819" s="128"/>
      <c r="M4819" s="129"/>
      <c r="N4819" s="129"/>
      <c r="O4819" s="129"/>
    </row>
    <row r="4820" spans="1:15" ht="12.5">
      <c r="A4820" s="158" t="s">
        <v>26671</v>
      </c>
      <c r="B4820" s="159">
        <v>60</v>
      </c>
      <c r="C4820" s="159">
        <v>55</v>
      </c>
      <c r="D4820" s="159">
        <v>97</v>
      </c>
      <c r="E4820" s="159">
        <v>7</v>
      </c>
      <c r="F4820" s="131"/>
      <c r="G4820" s="132"/>
      <c r="H4820" s="162" t="s">
        <v>26672</v>
      </c>
      <c r="I4820" s="158" t="s">
        <v>26673</v>
      </c>
      <c r="J4820" s="128"/>
      <c r="K4820" s="128"/>
      <c r="L4820" s="128"/>
      <c r="M4820" s="129"/>
      <c r="N4820" s="129"/>
      <c r="O4820" s="129"/>
    </row>
    <row r="4821" spans="1:15" ht="12.5">
      <c r="A4821" s="158" t="s">
        <v>26674</v>
      </c>
      <c r="B4821" s="159">
        <v>60</v>
      </c>
      <c r="C4821" s="159">
        <v>55</v>
      </c>
      <c r="D4821" s="159">
        <v>97</v>
      </c>
      <c r="E4821" s="159">
        <v>11</v>
      </c>
      <c r="F4821" s="131"/>
      <c r="G4821" s="132"/>
      <c r="H4821" s="162" t="s">
        <v>26675</v>
      </c>
      <c r="I4821" s="128"/>
      <c r="J4821" s="128"/>
      <c r="K4821" s="128"/>
      <c r="L4821" s="128"/>
      <c r="M4821" s="129"/>
      <c r="N4821" s="129"/>
      <c r="O4821" s="129"/>
    </row>
    <row r="4822" spans="1:15" ht="12.5">
      <c r="A4822" s="158" t="s">
        <v>26676</v>
      </c>
      <c r="B4822" s="159">
        <v>60</v>
      </c>
      <c r="C4822" s="159">
        <v>55</v>
      </c>
      <c r="D4822" s="159">
        <v>97</v>
      </c>
      <c r="E4822" s="159">
        <v>12</v>
      </c>
      <c r="F4822" s="131"/>
      <c r="G4822" s="132"/>
      <c r="H4822" s="162" t="s">
        <v>26677</v>
      </c>
      <c r="I4822" s="158" t="s">
        <v>26673</v>
      </c>
      <c r="J4822" s="128"/>
      <c r="K4822" s="128"/>
      <c r="L4822" s="128"/>
      <c r="M4822" s="129"/>
      <c r="N4822" s="129"/>
      <c r="O4822" s="129"/>
    </row>
    <row r="4823" spans="1:15" ht="12.5">
      <c r="A4823" s="158" t="s">
        <v>26678</v>
      </c>
      <c r="B4823" s="159">
        <v>60</v>
      </c>
      <c r="C4823" s="159">
        <v>55</v>
      </c>
      <c r="D4823" s="159">
        <v>97</v>
      </c>
      <c r="E4823" s="159">
        <v>13</v>
      </c>
      <c r="F4823" s="131"/>
      <c r="G4823" s="132"/>
      <c r="H4823" s="162" t="s">
        <v>26679</v>
      </c>
      <c r="I4823" s="158" t="s">
        <v>26680</v>
      </c>
      <c r="J4823" s="128"/>
      <c r="K4823" s="128"/>
      <c r="L4823" s="128"/>
      <c r="M4823" s="129"/>
      <c r="N4823" s="129"/>
      <c r="O4823" s="129"/>
    </row>
    <row r="4824" spans="1:15" ht="12.5">
      <c r="A4824" s="158" t="s">
        <v>26681</v>
      </c>
      <c r="B4824" s="159">
        <v>60</v>
      </c>
      <c r="C4824" s="159">
        <v>55</v>
      </c>
      <c r="D4824" s="159">
        <v>97</v>
      </c>
      <c r="E4824" s="159">
        <v>14</v>
      </c>
      <c r="F4824" s="131"/>
      <c r="G4824" s="132"/>
      <c r="H4824" s="162" t="s">
        <v>26682</v>
      </c>
      <c r="I4824" s="158" t="s">
        <v>26683</v>
      </c>
      <c r="J4824" s="128"/>
      <c r="K4824" s="128"/>
      <c r="L4824" s="128"/>
      <c r="M4824" s="129"/>
      <c r="N4824" s="129"/>
      <c r="O4824" s="129"/>
    </row>
    <row r="4825" spans="1:15" ht="12.5">
      <c r="A4825" s="158" t="s">
        <v>26684</v>
      </c>
      <c r="B4825" s="159">
        <v>60</v>
      </c>
      <c r="C4825" s="159">
        <v>55</v>
      </c>
      <c r="D4825" s="159">
        <v>97</v>
      </c>
      <c r="E4825" s="159">
        <v>15</v>
      </c>
      <c r="F4825" s="131"/>
      <c r="G4825" s="132"/>
      <c r="H4825" s="162" t="s">
        <v>26685</v>
      </c>
      <c r="I4825" s="158" t="s">
        <v>26686</v>
      </c>
      <c r="J4825" s="128"/>
      <c r="K4825" s="128"/>
      <c r="L4825" s="128"/>
      <c r="M4825" s="129"/>
      <c r="N4825" s="129"/>
      <c r="O4825" s="129"/>
    </row>
    <row r="4826" spans="1:15" ht="12.5">
      <c r="A4826" s="158" t="s">
        <v>26687</v>
      </c>
      <c r="B4826" s="159">
        <v>60</v>
      </c>
      <c r="C4826" s="159">
        <v>55</v>
      </c>
      <c r="D4826" s="159">
        <v>97</v>
      </c>
      <c r="E4826" s="159">
        <v>20</v>
      </c>
      <c r="F4826" s="131"/>
      <c r="G4826" s="132"/>
      <c r="H4826" s="162" t="s">
        <v>26688</v>
      </c>
      <c r="I4826" s="128"/>
      <c r="J4826" s="128"/>
      <c r="K4826" s="128"/>
      <c r="L4826" s="128"/>
      <c r="M4826" s="129"/>
      <c r="N4826" s="129"/>
      <c r="O4826" s="129"/>
    </row>
    <row r="4827" spans="1:15" ht="12.5">
      <c r="A4827" s="158" t="s">
        <v>26689</v>
      </c>
      <c r="B4827" s="159">
        <v>60</v>
      </c>
      <c r="C4827" s="159">
        <v>55</v>
      </c>
      <c r="D4827" s="159">
        <v>97</v>
      </c>
      <c r="E4827" s="159">
        <v>21</v>
      </c>
      <c r="F4827" s="131"/>
      <c r="G4827" s="132"/>
      <c r="H4827" s="162" t="s">
        <v>26690</v>
      </c>
      <c r="I4827" s="128"/>
      <c r="J4827" s="128"/>
      <c r="K4827" s="128"/>
      <c r="L4827" s="128"/>
      <c r="M4827" s="129"/>
      <c r="N4827" s="129"/>
      <c r="O4827" s="129"/>
    </row>
    <row r="4828" spans="1:15" ht="12.5">
      <c r="A4828" s="158" t="s">
        <v>26691</v>
      </c>
      <c r="B4828" s="159">
        <v>60</v>
      </c>
      <c r="C4828" s="159">
        <v>55</v>
      </c>
      <c r="D4828" s="159">
        <v>97</v>
      </c>
      <c r="E4828" s="159">
        <v>22</v>
      </c>
      <c r="F4828" s="131"/>
      <c r="G4828" s="132"/>
      <c r="H4828" s="162" t="s">
        <v>26692</v>
      </c>
      <c r="I4828" s="158" t="s">
        <v>26693</v>
      </c>
      <c r="J4828" s="128"/>
      <c r="K4828" s="128"/>
      <c r="L4828" s="128"/>
      <c r="M4828" s="129"/>
      <c r="N4828" s="129"/>
      <c r="O4828" s="129"/>
    </row>
    <row r="4829" spans="1:15" ht="12.5">
      <c r="A4829" s="158" t="s">
        <v>26694</v>
      </c>
      <c r="B4829" s="159">
        <v>60</v>
      </c>
      <c r="C4829" s="159">
        <v>55</v>
      </c>
      <c r="D4829" s="159">
        <v>97</v>
      </c>
      <c r="E4829" s="159">
        <v>23</v>
      </c>
      <c r="F4829" s="131"/>
      <c r="G4829" s="132"/>
      <c r="H4829" s="162" t="s">
        <v>26695</v>
      </c>
      <c r="I4829" s="128"/>
      <c r="J4829" s="128"/>
      <c r="K4829" s="128"/>
      <c r="L4829" s="128"/>
      <c r="M4829" s="129"/>
      <c r="N4829" s="129"/>
      <c r="O4829" s="129"/>
    </row>
    <row r="4830" spans="1:15" ht="12.5">
      <c r="A4830" s="158" t="s">
        <v>26696</v>
      </c>
      <c r="B4830" s="159">
        <v>60</v>
      </c>
      <c r="C4830" s="159">
        <v>55</v>
      </c>
      <c r="D4830" s="159">
        <v>97</v>
      </c>
      <c r="E4830" s="159">
        <v>24</v>
      </c>
      <c r="F4830" s="131"/>
      <c r="G4830" s="132"/>
      <c r="H4830" s="162" t="s">
        <v>26697</v>
      </c>
      <c r="I4830" s="158" t="s">
        <v>26698</v>
      </c>
      <c r="J4830" s="128"/>
      <c r="K4830" s="128"/>
      <c r="L4830" s="128"/>
      <c r="M4830" s="129"/>
      <c r="N4830" s="129"/>
      <c r="O4830" s="129"/>
    </row>
    <row r="4831" spans="1:15" ht="12.5">
      <c r="A4831" s="158" t="s">
        <v>26699</v>
      </c>
      <c r="B4831" s="159">
        <v>60</v>
      </c>
      <c r="C4831" s="159">
        <v>55</v>
      </c>
      <c r="D4831" s="159">
        <v>97</v>
      </c>
      <c r="E4831" s="159">
        <v>27</v>
      </c>
      <c r="F4831" s="131"/>
      <c r="G4831" s="132"/>
      <c r="H4831" s="162" t="s">
        <v>26700</v>
      </c>
      <c r="I4831" s="158" t="s">
        <v>26701</v>
      </c>
      <c r="J4831" s="128"/>
      <c r="K4831" s="128"/>
      <c r="L4831" s="128"/>
      <c r="M4831" s="129"/>
      <c r="N4831" s="129"/>
      <c r="O4831" s="129"/>
    </row>
    <row r="4832" spans="1:15" ht="12.5">
      <c r="A4832" s="158" t="s">
        <v>26702</v>
      </c>
      <c r="B4832" s="159">
        <v>60</v>
      </c>
      <c r="C4832" s="159">
        <v>55</v>
      </c>
      <c r="D4832" s="159">
        <v>97</v>
      </c>
      <c r="E4832" s="159">
        <v>41</v>
      </c>
      <c r="F4832" s="131"/>
      <c r="G4832" s="132"/>
      <c r="H4832" s="162" t="s">
        <v>26703</v>
      </c>
      <c r="I4832" s="158" t="s">
        <v>26704</v>
      </c>
      <c r="J4832" s="128"/>
      <c r="K4832" s="128"/>
      <c r="L4832" s="128"/>
      <c r="M4832" s="129"/>
      <c r="N4832" s="129"/>
      <c r="O4832" s="129"/>
    </row>
    <row r="4833" spans="1:15" ht="12.5">
      <c r="A4833" s="158" t="s">
        <v>26705</v>
      </c>
      <c r="B4833" s="159">
        <v>60</v>
      </c>
      <c r="C4833" s="159">
        <v>55</v>
      </c>
      <c r="D4833" s="159">
        <v>97</v>
      </c>
      <c r="E4833" s="159">
        <v>43</v>
      </c>
      <c r="F4833" s="131"/>
      <c r="G4833" s="132"/>
      <c r="H4833" s="162" t="s">
        <v>26706</v>
      </c>
      <c r="I4833" s="158" t="s">
        <v>26707</v>
      </c>
      <c r="J4833" s="128"/>
      <c r="K4833" s="128"/>
      <c r="L4833" s="128"/>
      <c r="M4833" s="129"/>
      <c r="N4833" s="129"/>
      <c r="O4833" s="129"/>
    </row>
    <row r="4834" spans="1:15" ht="12.5">
      <c r="A4834" s="158" t="s">
        <v>26708</v>
      </c>
      <c r="B4834" s="159">
        <v>60</v>
      </c>
      <c r="C4834" s="159">
        <v>55</v>
      </c>
      <c r="D4834" s="159">
        <v>97</v>
      </c>
      <c r="E4834" s="159">
        <v>44</v>
      </c>
      <c r="F4834" s="131"/>
      <c r="G4834" s="132"/>
      <c r="H4834" s="162" t="s">
        <v>26709</v>
      </c>
      <c r="I4834" s="158" t="s">
        <v>26710</v>
      </c>
      <c r="J4834" s="128"/>
      <c r="K4834" s="128"/>
      <c r="L4834" s="128"/>
      <c r="M4834" s="129"/>
      <c r="N4834" s="129"/>
      <c r="O4834" s="129"/>
    </row>
    <row r="4835" spans="1:15" ht="12.5">
      <c r="A4835" s="158" t="s">
        <v>26711</v>
      </c>
      <c r="B4835" s="159">
        <v>60</v>
      </c>
      <c r="C4835" s="159">
        <v>55</v>
      </c>
      <c r="D4835" s="159">
        <v>97</v>
      </c>
      <c r="E4835" s="159">
        <v>50</v>
      </c>
      <c r="F4835" s="131"/>
      <c r="G4835" s="132"/>
      <c r="H4835" s="162" t="s">
        <v>26712</v>
      </c>
      <c r="I4835" s="158" t="s">
        <v>26713</v>
      </c>
      <c r="J4835" s="128"/>
      <c r="K4835" s="128"/>
      <c r="L4835" s="128"/>
      <c r="M4835" s="129"/>
      <c r="N4835" s="129"/>
      <c r="O4835" s="129"/>
    </row>
    <row r="4836" spans="1:15" ht="12.5">
      <c r="A4836" s="158" t="s">
        <v>26714</v>
      </c>
      <c r="B4836" s="159">
        <v>60</v>
      </c>
      <c r="C4836" s="159">
        <v>55</v>
      </c>
      <c r="D4836" s="159">
        <v>97</v>
      </c>
      <c r="E4836" s="159">
        <v>63</v>
      </c>
      <c r="F4836" s="131"/>
      <c r="G4836" s="132"/>
      <c r="H4836" s="162" t="s">
        <v>26715</v>
      </c>
      <c r="I4836" s="158" t="s">
        <v>26716</v>
      </c>
      <c r="J4836" s="128"/>
      <c r="K4836" s="128"/>
      <c r="L4836" s="128"/>
      <c r="M4836" s="129"/>
      <c r="N4836" s="129"/>
      <c r="O4836" s="129"/>
    </row>
    <row r="4837" spans="1:15" ht="12.5">
      <c r="A4837" s="158" t="s">
        <v>26717</v>
      </c>
      <c r="B4837" s="159">
        <v>60</v>
      </c>
      <c r="C4837" s="159">
        <v>55</v>
      </c>
      <c r="D4837" s="159">
        <v>97</v>
      </c>
      <c r="E4837" s="159">
        <v>72</v>
      </c>
      <c r="F4837" s="131"/>
      <c r="G4837" s="132"/>
      <c r="H4837" s="162" t="s">
        <v>26718</v>
      </c>
      <c r="I4837" s="158" t="s">
        <v>26719</v>
      </c>
      <c r="J4837" s="128"/>
      <c r="K4837" s="128"/>
      <c r="L4837" s="128"/>
      <c r="M4837" s="129"/>
      <c r="N4837" s="129"/>
      <c r="O4837" s="129"/>
    </row>
    <row r="4838" spans="1:15" ht="12.5">
      <c r="A4838" s="158" t="s">
        <v>26720</v>
      </c>
      <c r="B4838" s="159">
        <v>60</v>
      </c>
      <c r="C4838" s="159">
        <v>55</v>
      </c>
      <c r="D4838" s="159">
        <v>97</v>
      </c>
      <c r="E4838" s="159">
        <v>85</v>
      </c>
      <c r="F4838" s="131"/>
      <c r="G4838" s="132"/>
      <c r="H4838" s="162" t="s">
        <v>26721</v>
      </c>
      <c r="I4838" s="158" t="s">
        <v>26722</v>
      </c>
      <c r="J4838" s="128"/>
      <c r="K4838" s="128"/>
      <c r="L4838" s="128"/>
      <c r="M4838" s="129"/>
      <c r="N4838" s="129"/>
      <c r="O4838" s="129"/>
    </row>
    <row r="4839" spans="1:15" ht="12.5">
      <c r="A4839" s="158" t="s">
        <v>26723</v>
      </c>
      <c r="B4839" s="159">
        <v>60</v>
      </c>
      <c r="C4839" s="159">
        <v>55</v>
      </c>
      <c r="D4839" s="159">
        <v>97</v>
      </c>
      <c r="E4839" s="159">
        <v>86</v>
      </c>
      <c r="F4839" s="131"/>
      <c r="G4839" s="132"/>
      <c r="H4839" s="162" t="s">
        <v>26724</v>
      </c>
      <c r="I4839" s="158" t="s">
        <v>26725</v>
      </c>
      <c r="J4839" s="128"/>
      <c r="K4839" s="128"/>
      <c r="L4839" s="128"/>
      <c r="M4839" s="129"/>
      <c r="N4839" s="129"/>
      <c r="O4839" s="129"/>
    </row>
    <row r="4840" spans="1:15" ht="12.5">
      <c r="A4840" s="158" t="s">
        <v>26726</v>
      </c>
      <c r="B4840" s="159">
        <v>60</v>
      </c>
      <c r="C4840" s="159">
        <v>55</v>
      </c>
      <c r="D4840" s="159">
        <v>97</v>
      </c>
      <c r="E4840" s="159">
        <v>93</v>
      </c>
      <c r="F4840" s="131"/>
      <c r="G4840" s="132"/>
      <c r="H4840" s="162" t="s">
        <v>26727</v>
      </c>
      <c r="I4840" s="158" t="s">
        <v>26728</v>
      </c>
      <c r="J4840" s="128"/>
      <c r="K4840" s="128"/>
      <c r="L4840" s="128"/>
      <c r="M4840" s="129"/>
      <c r="N4840" s="129"/>
      <c r="O4840" s="129"/>
    </row>
    <row r="4841" spans="1:15" ht="12.5">
      <c r="A4841" s="158" t="s">
        <v>26729</v>
      </c>
      <c r="B4841" s="159">
        <v>60</v>
      </c>
      <c r="C4841" s="159">
        <v>55</v>
      </c>
      <c r="D4841" s="159">
        <v>97</v>
      </c>
      <c r="E4841" s="159">
        <v>95</v>
      </c>
      <c r="F4841" s="131"/>
      <c r="G4841" s="132"/>
      <c r="H4841" s="162" t="s">
        <v>26730</v>
      </c>
      <c r="I4841" s="158" t="s">
        <v>26731</v>
      </c>
      <c r="J4841" s="128"/>
      <c r="K4841" s="128"/>
      <c r="L4841" s="128"/>
      <c r="M4841" s="129"/>
      <c r="N4841" s="129"/>
      <c r="O4841" s="129"/>
    </row>
    <row r="4842" spans="1:15" ht="12.5">
      <c r="A4842" s="158" t="s">
        <v>26732</v>
      </c>
      <c r="B4842" s="159">
        <v>60</v>
      </c>
      <c r="C4842" s="159">
        <v>55</v>
      </c>
      <c r="D4842" s="159">
        <v>97</v>
      </c>
      <c r="E4842" s="159">
        <v>96</v>
      </c>
      <c r="F4842" s="131"/>
      <c r="G4842" s="132"/>
      <c r="H4842" s="162" t="s">
        <v>26733</v>
      </c>
      <c r="I4842" s="158" t="s">
        <v>26734</v>
      </c>
      <c r="J4842" s="128"/>
      <c r="K4842" s="128"/>
      <c r="L4842" s="128"/>
      <c r="M4842" s="129"/>
      <c r="N4842" s="129"/>
      <c r="O4842" s="129"/>
    </row>
    <row r="4843" spans="1:15" ht="12.5">
      <c r="A4843" s="158" t="s">
        <v>26735</v>
      </c>
      <c r="B4843" s="159">
        <v>60</v>
      </c>
      <c r="C4843" s="159">
        <v>55</v>
      </c>
      <c r="D4843" s="159">
        <v>97</v>
      </c>
      <c r="E4843" s="159">
        <v>97</v>
      </c>
      <c r="F4843" s="131"/>
      <c r="G4843" s="132"/>
      <c r="H4843" s="162" t="s">
        <v>26736</v>
      </c>
      <c r="I4843" s="128"/>
      <c r="J4843" s="128"/>
      <c r="K4843" s="128"/>
      <c r="L4843" s="128"/>
      <c r="M4843" s="129"/>
      <c r="N4843" s="129"/>
      <c r="O4843" s="129"/>
    </row>
    <row r="4844" spans="1:15" ht="12.5">
      <c r="A4844" s="144" t="s">
        <v>26737</v>
      </c>
      <c r="B4844" s="145">
        <v>60</v>
      </c>
      <c r="C4844" s="145">
        <v>60</v>
      </c>
      <c r="D4844" s="146"/>
      <c r="E4844" s="146"/>
      <c r="F4844" s="147" t="s">
        <v>33509</v>
      </c>
      <c r="G4844" s="190"/>
      <c r="H4844" s="149" t="s">
        <v>26738</v>
      </c>
      <c r="I4844" s="150"/>
      <c r="J4844" s="150"/>
      <c r="K4844" s="150"/>
      <c r="L4844" s="150"/>
      <c r="M4844" s="191"/>
      <c r="N4844" s="191"/>
      <c r="O4844" s="191"/>
    </row>
    <row r="4845" spans="1:15" ht="12.5">
      <c r="A4845" s="158" t="s">
        <v>26739</v>
      </c>
      <c r="B4845" s="159">
        <v>60</v>
      </c>
      <c r="C4845" s="159">
        <v>60</v>
      </c>
      <c r="D4845" s="159">
        <v>8</v>
      </c>
      <c r="E4845" s="130"/>
      <c r="F4845" s="131"/>
      <c r="G4845" s="132"/>
      <c r="H4845" s="162" t="s">
        <v>26740</v>
      </c>
      <c r="I4845" s="128"/>
      <c r="J4845" s="128"/>
      <c r="K4845" s="128"/>
      <c r="L4845" s="128"/>
      <c r="M4845" s="129"/>
      <c r="N4845" s="129"/>
      <c r="O4845" s="129"/>
    </row>
    <row r="4846" spans="1:15" ht="12.5">
      <c r="A4846" s="158" t="s">
        <v>26743</v>
      </c>
      <c r="B4846" s="159">
        <v>60</v>
      </c>
      <c r="C4846" s="159">
        <v>60</v>
      </c>
      <c r="D4846" s="159">
        <v>8</v>
      </c>
      <c r="E4846" s="159">
        <v>24</v>
      </c>
      <c r="F4846" s="131"/>
      <c r="G4846" s="132"/>
      <c r="H4846" s="162" t="s">
        <v>26744</v>
      </c>
      <c r="I4846" s="158" t="s">
        <v>26745</v>
      </c>
      <c r="J4846" s="128"/>
      <c r="K4846" s="128"/>
      <c r="L4846" s="128"/>
      <c r="M4846" s="129"/>
      <c r="N4846" s="129"/>
      <c r="O4846" s="129"/>
    </row>
    <row r="4847" spans="1:15" ht="12.5">
      <c r="A4847" s="158" t="s">
        <v>26746</v>
      </c>
      <c r="B4847" s="159">
        <v>60</v>
      </c>
      <c r="C4847" s="159">
        <v>60</v>
      </c>
      <c r="D4847" s="159">
        <v>8</v>
      </c>
      <c r="E4847" s="159">
        <v>25</v>
      </c>
      <c r="F4847" s="131"/>
      <c r="G4847" s="132"/>
      <c r="H4847" s="162" t="s">
        <v>26747</v>
      </c>
      <c r="I4847" s="158" t="s">
        <v>26748</v>
      </c>
      <c r="J4847" s="128"/>
      <c r="K4847" s="128"/>
      <c r="L4847" s="128"/>
      <c r="M4847" s="129"/>
      <c r="N4847" s="129"/>
      <c r="O4847" s="129"/>
    </row>
    <row r="4848" spans="1:15" ht="12.5">
      <c r="A4848" s="158" t="s">
        <v>26749</v>
      </c>
      <c r="B4848" s="159">
        <v>60</v>
      </c>
      <c r="C4848" s="159">
        <v>60</v>
      </c>
      <c r="D4848" s="159">
        <v>8</v>
      </c>
      <c r="E4848" s="159">
        <v>27</v>
      </c>
      <c r="F4848" s="131"/>
      <c r="G4848" s="132"/>
      <c r="H4848" s="162" t="s">
        <v>26750</v>
      </c>
      <c r="I4848" s="128"/>
      <c r="J4848" s="128"/>
      <c r="K4848" s="128"/>
      <c r="L4848" s="128"/>
      <c r="M4848" s="129"/>
      <c r="N4848" s="129"/>
      <c r="O4848" s="129"/>
    </row>
    <row r="4849" spans="1:15" ht="12.5">
      <c r="A4849" s="158" t="s">
        <v>26751</v>
      </c>
      <c r="B4849" s="159">
        <v>60</v>
      </c>
      <c r="C4849" s="159">
        <v>60</v>
      </c>
      <c r="D4849" s="159">
        <v>8</v>
      </c>
      <c r="E4849" s="159">
        <v>33</v>
      </c>
      <c r="F4849" s="131"/>
      <c r="G4849" s="132"/>
      <c r="H4849" s="162" t="s">
        <v>26752</v>
      </c>
      <c r="I4849" s="158" t="s">
        <v>26753</v>
      </c>
      <c r="J4849" s="128"/>
      <c r="K4849" s="128"/>
      <c r="L4849" s="128"/>
      <c r="M4849" s="129"/>
      <c r="N4849" s="129"/>
      <c r="O4849" s="129"/>
    </row>
    <row r="4850" spans="1:15" ht="12.5">
      <c r="A4850" s="158" t="s">
        <v>26754</v>
      </c>
      <c r="B4850" s="159">
        <v>60</v>
      </c>
      <c r="C4850" s="159">
        <v>60</v>
      </c>
      <c r="D4850" s="159">
        <v>8</v>
      </c>
      <c r="E4850" s="159">
        <v>34</v>
      </c>
      <c r="F4850" s="131"/>
      <c r="G4850" s="132"/>
      <c r="H4850" s="162" t="s">
        <v>26755</v>
      </c>
      <c r="I4850" s="158" t="s">
        <v>26756</v>
      </c>
      <c r="J4850" s="128"/>
      <c r="K4850" s="128"/>
      <c r="L4850" s="128"/>
      <c r="M4850" s="129"/>
      <c r="N4850" s="129"/>
      <c r="O4850" s="129"/>
    </row>
    <row r="4851" spans="1:15" ht="12.5">
      <c r="A4851" s="158" t="s">
        <v>26757</v>
      </c>
      <c r="B4851" s="159">
        <v>60</v>
      </c>
      <c r="C4851" s="159">
        <v>60</v>
      </c>
      <c r="D4851" s="159">
        <v>8</v>
      </c>
      <c r="E4851" s="159">
        <v>35</v>
      </c>
      <c r="F4851" s="131"/>
      <c r="G4851" s="132"/>
      <c r="H4851" s="162" t="s">
        <v>26758</v>
      </c>
      <c r="I4851" s="158" t="s">
        <v>26759</v>
      </c>
      <c r="J4851" s="128"/>
      <c r="K4851" s="128"/>
      <c r="L4851" s="128"/>
      <c r="M4851" s="129"/>
      <c r="N4851" s="129"/>
      <c r="O4851" s="129"/>
    </row>
    <row r="4852" spans="1:15" ht="12.5">
      <c r="A4852" s="158" t="s">
        <v>26760</v>
      </c>
      <c r="B4852" s="159">
        <v>60</v>
      </c>
      <c r="C4852" s="159">
        <v>60</v>
      </c>
      <c r="D4852" s="159">
        <v>8</v>
      </c>
      <c r="E4852" s="159">
        <v>36</v>
      </c>
      <c r="F4852" s="131"/>
      <c r="G4852" s="132"/>
      <c r="H4852" s="162" t="s">
        <v>26761</v>
      </c>
      <c r="I4852" s="158" t="s">
        <v>26762</v>
      </c>
      <c r="J4852" s="128"/>
      <c r="K4852" s="128"/>
      <c r="L4852" s="128"/>
      <c r="M4852" s="129"/>
      <c r="N4852" s="129"/>
      <c r="O4852" s="129"/>
    </row>
    <row r="4853" spans="1:15" ht="12.5">
      <c r="A4853" s="158" t="s">
        <v>26763</v>
      </c>
      <c r="B4853" s="159">
        <v>60</v>
      </c>
      <c r="C4853" s="159">
        <v>60</v>
      </c>
      <c r="D4853" s="159">
        <v>8</v>
      </c>
      <c r="E4853" s="159">
        <v>37</v>
      </c>
      <c r="F4853" s="131"/>
      <c r="G4853" s="132"/>
      <c r="H4853" s="162" t="s">
        <v>26764</v>
      </c>
      <c r="I4853" s="158" t="s">
        <v>26765</v>
      </c>
      <c r="J4853" s="128"/>
      <c r="K4853" s="128"/>
      <c r="L4853" s="128"/>
      <c r="M4853" s="129"/>
      <c r="N4853" s="129"/>
      <c r="O4853" s="129"/>
    </row>
    <row r="4854" spans="1:15" ht="12.5">
      <c r="A4854" s="158" t="s">
        <v>26772</v>
      </c>
      <c r="B4854" s="159">
        <v>60</v>
      </c>
      <c r="C4854" s="159">
        <v>60</v>
      </c>
      <c r="D4854" s="159">
        <v>8</v>
      </c>
      <c r="E4854" s="159">
        <v>58</v>
      </c>
      <c r="F4854" s="131"/>
      <c r="G4854" s="132"/>
      <c r="H4854" s="162" t="s">
        <v>26773</v>
      </c>
      <c r="I4854" s="158" t="s">
        <v>26774</v>
      </c>
      <c r="J4854" s="128"/>
      <c r="K4854" s="128"/>
      <c r="L4854" s="128"/>
      <c r="M4854" s="129"/>
      <c r="N4854" s="129"/>
      <c r="O4854" s="129"/>
    </row>
    <row r="4855" spans="1:15" ht="12.5">
      <c r="A4855" s="158" t="s">
        <v>26775</v>
      </c>
      <c r="B4855" s="159">
        <v>60</v>
      </c>
      <c r="C4855" s="159">
        <v>60</v>
      </c>
      <c r="D4855" s="159">
        <v>8</v>
      </c>
      <c r="E4855" s="159">
        <v>59</v>
      </c>
      <c r="F4855" s="131"/>
      <c r="G4855" s="132"/>
      <c r="H4855" s="162" t="s">
        <v>26776</v>
      </c>
      <c r="I4855" s="158" t="s">
        <v>26777</v>
      </c>
      <c r="J4855" s="128"/>
      <c r="K4855" s="128"/>
      <c r="L4855" s="128"/>
      <c r="M4855" s="129"/>
      <c r="N4855" s="129"/>
      <c r="O4855" s="129"/>
    </row>
    <row r="4856" spans="1:15" ht="12.5">
      <c r="A4856" s="158" t="s">
        <v>26778</v>
      </c>
      <c r="B4856" s="159">
        <v>60</v>
      </c>
      <c r="C4856" s="159">
        <v>60</v>
      </c>
      <c r="D4856" s="159">
        <v>8</v>
      </c>
      <c r="E4856" s="159">
        <v>60</v>
      </c>
      <c r="F4856" s="131"/>
      <c r="G4856" s="132"/>
      <c r="H4856" s="162" t="s">
        <v>26779</v>
      </c>
      <c r="I4856" s="158" t="s">
        <v>26780</v>
      </c>
      <c r="J4856" s="128"/>
      <c r="K4856" s="128"/>
      <c r="L4856" s="128"/>
      <c r="M4856" s="129"/>
      <c r="N4856" s="129"/>
      <c r="O4856" s="129"/>
    </row>
    <row r="4857" spans="1:15" ht="12.5">
      <c r="A4857" s="158" t="s">
        <v>26781</v>
      </c>
      <c r="B4857" s="159">
        <v>60</v>
      </c>
      <c r="C4857" s="159">
        <v>60</v>
      </c>
      <c r="D4857" s="159">
        <v>8</v>
      </c>
      <c r="E4857" s="159">
        <v>80</v>
      </c>
      <c r="F4857" s="131"/>
      <c r="G4857" s="132"/>
      <c r="H4857" s="162" t="s">
        <v>26782</v>
      </c>
      <c r="I4857" s="158" t="s">
        <v>26783</v>
      </c>
      <c r="J4857" s="128"/>
      <c r="K4857" s="128"/>
      <c r="L4857" s="128"/>
      <c r="M4857" s="129"/>
      <c r="N4857" s="129"/>
      <c r="O4857" s="129"/>
    </row>
    <row r="4858" spans="1:15" ht="12.5">
      <c r="A4858" s="158" t="s">
        <v>26784</v>
      </c>
      <c r="B4858" s="159">
        <v>60</v>
      </c>
      <c r="C4858" s="159">
        <v>60</v>
      </c>
      <c r="D4858" s="159">
        <v>8</v>
      </c>
      <c r="E4858" s="159">
        <v>81</v>
      </c>
      <c r="F4858" s="131"/>
      <c r="G4858" s="132"/>
      <c r="H4858" s="162" t="s">
        <v>26785</v>
      </c>
      <c r="I4858" s="158" t="s">
        <v>26786</v>
      </c>
      <c r="J4858" s="128"/>
      <c r="K4858" s="128"/>
      <c r="L4858" s="128"/>
      <c r="M4858" s="129"/>
      <c r="N4858" s="129"/>
      <c r="O4858" s="129"/>
    </row>
    <row r="4859" spans="1:15" ht="12.5">
      <c r="A4859" s="158" t="s">
        <v>26793</v>
      </c>
      <c r="B4859" s="159">
        <v>60</v>
      </c>
      <c r="C4859" s="159">
        <v>60</v>
      </c>
      <c r="D4859" s="159">
        <v>10</v>
      </c>
      <c r="E4859" s="130"/>
      <c r="F4859" s="131"/>
      <c r="G4859" s="132"/>
      <c r="H4859" s="162" t="s">
        <v>26794</v>
      </c>
      <c r="I4859" s="128"/>
      <c r="J4859" s="128"/>
      <c r="K4859" s="128"/>
      <c r="L4859" s="128"/>
      <c r="M4859" s="129"/>
      <c r="N4859" s="129"/>
      <c r="O4859" s="129"/>
    </row>
    <row r="4860" spans="1:15" ht="12.5">
      <c r="A4860" s="158" t="s">
        <v>26795</v>
      </c>
      <c r="B4860" s="159">
        <v>60</v>
      </c>
      <c r="C4860" s="159">
        <v>60</v>
      </c>
      <c r="D4860" s="159">
        <v>10</v>
      </c>
      <c r="E4860" s="159">
        <v>3</v>
      </c>
      <c r="F4860" s="131"/>
      <c r="G4860" s="132"/>
      <c r="H4860" s="162" t="s">
        <v>26796</v>
      </c>
      <c r="I4860" s="128"/>
      <c r="J4860" s="128"/>
      <c r="K4860" s="128"/>
      <c r="L4860" s="128"/>
      <c r="M4860" s="129"/>
      <c r="N4860" s="129"/>
      <c r="O4860" s="129"/>
    </row>
    <row r="4861" spans="1:15" ht="12.5">
      <c r="A4861" s="158" t="s">
        <v>26797</v>
      </c>
      <c r="B4861" s="159">
        <v>60</v>
      </c>
      <c r="C4861" s="159">
        <v>60</v>
      </c>
      <c r="D4861" s="159">
        <v>10</v>
      </c>
      <c r="E4861" s="159">
        <v>5</v>
      </c>
      <c r="F4861" s="131"/>
      <c r="G4861" s="132"/>
      <c r="H4861" s="162" t="s">
        <v>26798</v>
      </c>
      <c r="I4861" s="128"/>
      <c r="J4861" s="128"/>
      <c r="K4861" s="128"/>
      <c r="L4861" s="128"/>
      <c r="M4861" s="129"/>
      <c r="N4861" s="129"/>
      <c r="O4861" s="129"/>
    </row>
    <row r="4862" spans="1:15" ht="12.5">
      <c r="A4862" s="158" t="s">
        <v>26799</v>
      </c>
      <c r="B4862" s="159">
        <v>60</v>
      </c>
      <c r="C4862" s="159">
        <v>60</v>
      </c>
      <c r="D4862" s="159">
        <v>10</v>
      </c>
      <c r="E4862" s="159">
        <v>29</v>
      </c>
      <c r="F4862" s="131"/>
      <c r="G4862" s="132"/>
      <c r="H4862" s="162" t="s">
        <v>26800</v>
      </c>
      <c r="I4862" s="158" t="s">
        <v>26801</v>
      </c>
      <c r="J4862" s="128"/>
      <c r="K4862" s="128"/>
      <c r="L4862" s="128"/>
      <c r="M4862" s="129"/>
      <c r="N4862" s="129"/>
      <c r="O4862" s="129"/>
    </row>
    <row r="4863" spans="1:15" ht="12.5">
      <c r="A4863" s="158" t="s">
        <v>26802</v>
      </c>
      <c r="B4863" s="159">
        <v>60</v>
      </c>
      <c r="C4863" s="159">
        <v>60</v>
      </c>
      <c r="D4863" s="159">
        <v>10</v>
      </c>
      <c r="E4863" s="159">
        <v>30</v>
      </c>
      <c r="F4863" s="131"/>
      <c r="G4863" s="132"/>
      <c r="H4863" s="162" t="s">
        <v>26803</v>
      </c>
      <c r="I4863" s="158" t="s">
        <v>26804</v>
      </c>
      <c r="J4863" s="128"/>
      <c r="K4863" s="128"/>
      <c r="L4863" s="128"/>
      <c r="M4863" s="129"/>
      <c r="N4863" s="129"/>
      <c r="O4863" s="129"/>
    </row>
    <row r="4864" spans="1:15" ht="12.5">
      <c r="A4864" s="158" t="s">
        <v>26805</v>
      </c>
      <c r="B4864" s="159">
        <v>60</v>
      </c>
      <c r="C4864" s="159">
        <v>60</v>
      </c>
      <c r="D4864" s="159">
        <v>10</v>
      </c>
      <c r="E4864" s="159">
        <v>31</v>
      </c>
      <c r="F4864" s="131"/>
      <c r="G4864" s="132"/>
      <c r="H4864" s="162" t="s">
        <v>26806</v>
      </c>
      <c r="I4864" s="158" t="s">
        <v>26807</v>
      </c>
      <c r="J4864" s="128"/>
      <c r="K4864" s="128"/>
      <c r="L4864" s="128"/>
      <c r="M4864" s="129"/>
      <c r="N4864" s="129"/>
      <c r="O4864" s="129"/>
    </row>
    <row r="4865" spans="1:15" ht="12.5">
      <c r="A4865" s="158" t="s">
        <v>26808</v>
      </c>
      <c r="B4865" s="159">
        <v>60</v>
      </c>
      <c r="C4865" s="159">
        <v>60</v>
      </c>
      <c r="D4865" s="159">
        <v>10</v>
      </c>
      <c r="E4865" s="159">
        <v>65</v>
      </c>
      <c r="F4865" s="131"/>
      <c r="G4865" s="132"/>
      <c r="H4865" s="162" t="s">
        <v>26809</v>
      </c>
      <c r="I4865" s="128"/>
      <c r="J4865" s="128"/>
      <c r="K4865" s="128"/>
      <c r="L4865" s="128"/>
      <c r="M4865" s="129"/>
      <c r="N4865" s="129"/>
      <c r="O4865" s="129"/>
    </row>
    <row r="4866" spans="1:15" ht="12.5">
      <c r="A4866" s="158" t="s">
        <v>26810</v>
      </c>
      <c r="B4866" s="159">
        <v>60</v>
      </c>
      <c r="C4866" s="159">
        <v>60</v>
      </c>
      <c r="D4866" s="159">
        <v>13</v>
      </c>
      <c r="E4866" s="130"/>
      <c r="F4866" s="131"/>
      <c r="G4866" s="132"/>
      <c r="H4866" s="162" t="s">
        <v>26811</v>
      </c>
      <c r="I4866" s="128"/>
      <c r="J4866" s="128"/>
      <c r="K4866" s="128"/>
      <c r="L4866" s="128"/>
      <c r="M4866" s="129"/>
      <c r="N4866" s="129"/>
      <c r="O4866" s="129"/>
    </row>
    <row r="4867" spans="1:15" ht="12.5">
      <c r="A4867" s="158" t="s">
        <v>26812</v>
      </c>
      <c r="B4867" s="159">
        <v>60</v>
      </c>
      <c r="C4867" s="159">
        <v>60</v>
      </c>
      <c r="D4867" s="159">
        <v>13</v>
      </c>
      <c r="E4867" s="159">
        <v>1</v>
      </c>
      <c r="F4867" s="131"/>
      <c r="G4867" s="132"/>
      <c r="H4867" s="162" t="s">
        <v>26813</v>
      </c>
      <c r="I4867" s="128"/>
      <c r="J4867" s="128"/>
      <c r="K4867" s="128"/>
      <c r="L4867" s="128"/>
      <c r="M4867" s="129"/>
      <c r="N4867" s="129"/>
      <c r="O4867" s="129"/>
    </row>
    <row r="4868" spans="1:15" ht="12.5">
      <c r="A4868" s="158" t="s">
        <v>26816</v>
      </c>
      <c r="B4868" s="159">
        <v>60</v>
      </c>
      <c r="C4868" s="159">
        <v>60</v>
      </c>
      <c r="D4868" s="159">
        <v>13</v>
      </c>
      <c r="E4868" s="159">
        <v>4</v>
      </c>
      <c r="F4868" s="131"/>
      <c r="G4868" s="132"/>
      <c r="H4868" s="162" t="s">
        <v>26817</v>
      </c>
      <c r="I4868" s="158" t="s">
        <v>26818</v>
      </c>
      <c r="J4868" s="128"/>
      <c r="K4868" s="128"/>
      <c r="L4868" s="128"/>
      <c r="M4868" s="129"/>
      <c r="N4868" s="129"/>
      <c r="O4868" s="129"/>
    </row>
    <row r="4869" spans="1:15" ht="12.5">
      <c r="A4869" s="158" t="s">
        <v>26819</v>
      </c>
      <c r="B4869" s="159">
        <v>60</v>
      </c>
      <c r="C4869" s="159">
        <v>60</v>
      </c>
      <c r="D4869" s="159">
        <v>13</v>
      </c>
      <c r="E4869" s="159">
        <v>14</v>
      </c>
      <c r="F4869" s="131"/>
      <c r="G4869" s="132"/>
      <c r="H4869" s="162" t="s">
        <v>26820</v>
      </c>
      <c r="I4869" s="158" t="s">
        <v>26821</v>
      </c>
      <c r="J4869" s="128"/>
      <c r="K4869" s="128"/>
      <c r="L4869" s="128"/>
      <c r="M4869" s="129"/>
      <c r="N4869" s="129"/>
      <c r="O4869" s="129"/>
    </row>
    <row r="4870" spans="1:15" ht="12.5">
      <c r="A4870" s="158" t="s">
        <v>26822</v>
      </c>
      <c r="B4870" s="159">
        <v>60</v>
      </c>
      <c r="C4870" s="159">
        <v>60</v>
      </c>
      <c r="D4870" s="159">
        <v>13</v>
      </c>
      <c r="E4870" s="159">
        <v>22</v>
      </c>
      <c r="F4870" s="131"/>
      <c r="G4870" s="132"/>
      <c r="H4870" s="162" t="s">
        <v>26823</v>
      </c>
      <c r="I4870" s="158" t="s">
        <v>26824</v>
      </c>
      <c r="J4870" s="128"/>
      <c r="K4870" s="128"/>
      <c r="L4870" s="128"/>
      <c r="M4870" s="129"/>
      <c r="N4870" s="129"/>
      <c r="O4870" s="129"/>
    </row>
    <row r="4871" spans="1:15" ht="12.5">
      <c r="A4871" s="158" t="s">
        <v>26825</v>
      </c>
      <c r="B4871" s="159">
        <v>60</v>
      </c>
      <c r="C4871" s="159">
        <v>60</v>
      </c>
      <c r="D4871" s="159">
        <v>13</v>
      </c>
      <c r="E4871" s="159">
        <v>27</v>
      </c>
      <c r="F4871" s="131"/>
      <c r="G4871" s="132"/>
      <c r="H4871" s="162" t="s">
        <v>26826</v>
      </c>
      <c r="I4871" s="158" t="s">
        <v>26827</v>
      </c>
      <c r="J4871" s="128"/>
      <c r="K4871" s="128"/>
      <c r="L4871" s="128"/>
      <c r="M4871" s="129"/>
      <c r="N4871" s="129"/>
      <c r="O4871" s="129"/>
    </row>
    <row r="4872" spans="1:15" ht="12.5">
      <c r="A4872" s="158" t="s">
        <v>26828</v>
      </c>
      <c r="B4872" s="159">
        <v>60</v>
      </c>
      <c r="C4872" s="159">
        <v>60</v>
      </c>
      <c r="D4872" s="159">
        <v>13</v>
      </c>
      <c r="E4872" s="159">
        <v>33</v>
      </c>
      <c r="F4872" s="131"/>
      <c r="G4872" s="132"/>
      <c r="H4872" s="162" t="s">
        <v>26829</v>
      </c>
      <c r="I4872" s="158" t="s">
        <v>26830</v>
      </c>
      <c r="J4872" s="128"/>
      <c r="K4872" s="128"/>
      <c r="L4872" s="128"/>
      <c r="M4872" s="129"/>
      <c r="N4872" s="129"/>
      <c r="O4872" s="129"/>
    </row>
    <row r="4873" spans="1:15" ht="12.5">
      <c r="A4873" s="158" t="s">
        <v>26831</v>
      </c>
      <c r="B4873" s="159">
        <v>60</v>
      </c>
      <c r="C4873" s="159">
        <v>60</v>
      </c>
      <c r="D4873" s="159">
        <v>13</v>
      </c>
      <c r="E4873" s="159">
        <v>38</v>
      </c>
      <c r="F4873" s="131"/>
      <c r="G4873" s="132"/>
      <c r="H4873" s="162" t="s">
        <v>26832</v>
      </c>
      <c r="I4873" s="158" t="s">
        <v>26833</v>
      </c>
      <c r="J4873" s="128"/>
      <c r="K4873" s="128"/>
      <c r="L4873" s="128"/>
      <c r="M4873" s="129"/>
      <c r="N4873" s="129"/>
      <c r="O4873" s="129"/>
    </row>
    <row r="4874" spans="1:15" ht="12.5">
      <c r="A4874" s="158" t="s">
        <v>26834</v>
      </c>
      <c r="B4874" s="159">
        <v>60</v>
      </c>
      <c r="C4874" s="159">
        <v>60</v>
      </c>
      <c r="D4874" s="159">
        <v>13</v>
      </c>
      <c r="E4874" s="159">
        <v>59</v>
      </c>
      <c r="F4874" s="131"/>
      <c r="G4874" s="132"/>
      <c r="H4874" s="162" t="s">
        <v>26835</v>
      </c>
      <c r="I4874" s="158" t="s">
        <v>26836</v>
      </c>
      <c r="J4874" s="128"/>
      <c r="K4874" s="128"/>
      <c r="L4874" s="128"/>
      <c r="M4874" s="129"/>
      <c r="N4874" s="129"/>
      <c r="O4874" s="129"/>
    </row>
    <row r="4875" spans="1:15" ht="12.5">
      <c r="A4875" s="158" t="s">
        <v>26837</v>
      </c>
      <c r="B4875" s="159">
        <v>60</v>
      </c>
      <c r="C4875" s="159">
        <v>60</v>
      </c>
      <c r="D4875" s="159">
        <v>13</v>
      </c>
      <c r="E4875" s="159">
        <v>84</v>
      </c>
      <c r="F4875" s="131"/>
      <c r="G4875" s="132"/>
      <c r="H4875" s="162" t="s">
        <v>26838</v>
      </c>
      <c r="I4875" s="158" t="s">
        <v>26839</v>
      </c>
      <c r="J4875" s="128"/>
      <c r="K4875" s="128"/>
      <c r="L4875" s="128"/>
      <c r="M4875" s="129"/>
      <c r="N4875" s="129"/>
      <c r="O4875" s="129"/>
    </row>
    <row r="4876" spans="1:15" ht="12.5">
      <c r="A4876" s="158" t="s">
        <v>26840</v>
      </c>
      <c r="B4876" s="159">
        <v>60</v>
      </c>
      <c r="C4876" s="159">
        <v>60</v>
      </c>
      <c r="D4876" s="159">
        <v>13</v>
      </c>
      <c r="E4876" s="159">
        <v>96</v>
      </c>
      <c r="F4876" s="131"/>
      <c r="G4876" s="132"/>
      <c r="H4876" s="162" t="s">
        <v>26841</v>
      </c>
      <c r="I4876" s="158" t="s">
        <v>26842</v>
      </c>
      <c r="J4876" s="128"/>
      <c r="K4876" s="128"/>
      <c r="L4876" s="128"/>
      <c r="M4876" s="129"/>
      <c r="N4876" s="129"/>
      <c r="O4876" s="129"/>
    </row>
    <row r="4877" spans="1:15" ht="12.5">
      <c r="A4877" s="158" t="s">
        <v>26843</v>
      </c>
      <c r="B4877" s="159">
        <v>60</v>
      </c>
      <c r="C4877" s="159">
        <v>60</v>
      </c>
      <c r="D4877" s="159">
        <v>36</v>
      </c>
      <c r="E4877" s="130"/>
      <c r="F4877" s="131"/>
      <c r="G4877" s="132"/>
      <c r="H4877" s="162" t="s">
        <v>26844</v>
      </c>
      <c r="I4877" s="128"/>
      <c r="J4877" s="128"/>
      <c r="K4877" s="128"/>
      <c r="L4877" s="128"/>
      <c r="M4877" s="129"/>
      <c r="N4877" s="129"/>
      <c r="O4877" s="129"/>
    </row>
    <row r="4878" spans="1:15" ht="12.5">
      <c r="A4878" s="158" t="s">
        <v>26845</v>
      </c>
      <c r="B4878" s="159">
        <v>60</v>
      </c>
      <c r="C4878" s="159">
        <v>60</v>
      </c>
      <c r="D4878" s="159">
        <v>36</v>
      </c>
      <c r="E4878" s="159">
        <v>26</v>
      </c>
      <c r="F4878" s="131"/>
      <c r="G4878" s="132"/>
      <c r="H4878" s="162" t="s">
        <v>26846</v>
      </c>
      <c r="I4878" s="128"/>
      <c r="J4878" s="128"/>
      <c r="K4878" s="128"/>
      <c r="L4878" s="128"/>
      <c r="M4878" s="129"/>
      <c r="N4878" s="129"/>
      <c r="O4878" s="129"/>
    </row>
    <row r="4879" spans="1:15" ht="12.5">
      <c r="A4879" s="158" t="s">
        <v>26847</v>
      </c>
      <c r="B4879" s="159">
        <v>60</v>
      </c>
      <c r="C4879" s="159">
        <v>60</v>
      </c>
      <c r="D4879" s="159">
        <v>36</v>
      </c>
      <c r="E4879" s="159">
        <v>36</v>
      </c>
      <c r="F4879" s="131"/>
      <c r="G4879" s="132"/>
      <c r="H4879" s="162" t="s">
        <v>26848</v>
      </c>
      <c r="I4879" s="158" t="s">
        <v>26849</v>
      </c>
      <c r="J4879" s="128"/>
      <c r="K4879" s="128"/>
      <c r="L4879" s="128"/>
      <c r="M4879" s="129"/>
      <c r="N4879" s="129"/>
      <c r="O4879" s="129"/>
    </row>
    <row r="4880" spans="1:15" ht="12.5">
      <c r="A4880" s="158" t="s">
        <v>26850</v>
      </c>
      <c r="B4880" s="159">
        <v>60</v>
      </c>
      <c r="C4880" s="159">
        <v>60</v>
      </c>
      <c r="D4880" s="159">
        <v>36</v>
      </c>
      <c r="E4880" s="159">
        <v>60</v>
      </c>
      <c r="F4880" s="131"/>
      <c r="G4880" s="132"/>
      <c r="H4880" s="162" t="s">
        <v>26851</v>
      </c>
      <c r="I4880" s="158" t="s">
        <v>26852</v>
      </c>
      <c r="J4880" s="128"/>
      <c r="K4880" s="128"/>
      <c r="L4880" s="128"/>
      <c r="M4880" s="129"/>
      <c r="N4880" s="129"/>
      <c r="O4880" s="129"/>
    </row>
    <row r="4881" spans="1:15" ht="12.5">
      <c r="A4881" s="158" t="s">
        <v>26853</v>
      </c>
      <c r="B4881" s="159">
        <v>60</v>
      </c>
      <c r="C4881" s="159">
        <v>60</v>
      </c>
      <c r="D4881" s="159">
        <v>36</v>
      </c>
      <c r="E4881" s="159">
        <v>62</v>
      </c>
      <c r="F4881" s="131"/>
      <c r="G4881" s="132"/>
      <c r="H4881" s="162" t="s">
        <v>26854</v>
      </c>
      <c r="I4881" s="158" t="s">
        <v>26855</v>
      </c>
      <c r="J4881" s="128"/>
      <c r="K4881" s="128"/>
      <c r="L4881" s="128"/>
      <c r="M4881" s="129"/>
      <c r="N4881" s="129"/>
      <c r="O4881" s="129"/>
    </row>
    <row r="4882" spans="1:15" ht="12.5">
      <c r="A4882" s="158" t="s">
        <v>26856</v>
      </c>
      <c r="B4882" s="159">
        <v>60</v>
      </c>
      <c r="C4882" s="159">
        <v>60</v>
      </c>
      <c r="D4882" s="159">
        <v>36</v>
      </c>
      <c r="E4882" s="159">
        <v>72</v>
      </c>
      <c r="F4882" s="131"/>
      <c r="G4882" s="132"/>
      <c r="H4882" s="162" t="s">
        <v>26857</v>
      </c>
      <c r="I4882" s="158" t="s">
        <v>26858</v>
      </c>
      <c r="J4882" s="128"/>
      <c r="K4882" s="128"/>
      <c r="L4882" s="128"/>
      <c r="M4882" s="129"/>
      <c r="N4882" s="129"/>
      <c r="O4882" s="129"/>
    </row>
    <row r="4883" spans="1:15" ht="12.5">
      <c r="A4883" s="158" t="s">
        <v>26859</v>
      </c>
      <c r="B4883" s="159">
        <v>60</v>
      </c>
      <c r="C4883" s="159">
        <v>60</v>
      </c>
      <c r="D4883" s="159">
        <v>36</v>
      </c>
      <c r="E4883" s="159">
        <v>74</v>
      </c>
      <c r="F4883" s="131"/>
      <c r="G4883" s="132"/>
      <c r="H4883" s="162" t="s">
        <v>26860</v>
      </c>
      <c r="I4883" s="158" t="s">
        <v>26861</v>
      </c>
      <c r="J4883" s="128"/>
      <c r="K4883" s="128"/>
      <c r="L4883" s="128"/>
      <c r="M4883" s="129"/>
      <c r="N4883" s="129"/>
      <c r="O4883" s="129"/>
    </row>
    <row r="4884" spans="1:15" ht="12.5">
      <c r="A4884" s="158" t="s">
        <v>26862</v>
      </c>
      <c r="B4884" s="159">
        <v>60</v>
      </c>
      <c r="C4884" s="159">
        <v>60</v>
      </c>
      <c r="D4884" s="159">
        <v>36</v>
      </c>
      <c r="E4884" s="159">
        <v>88</v>
      </c>
      <c r="F4884" s="131"/>
      <c r="G4884" s="132"/>
      <c r="H4884" s="162" t="s">
        <v>26863</v>
      </c>
      <c r="I4884" s="158" t="s">
        <v>26864</v>
      </c>
      <c r="J4884" s="128"/>
      <c r="K4884" s="128"/>
      <c r="L4884" s="128"/>
      <c r="M4884" s="129"/>
      <c r="N4884" s="129"/>
      <c r="O4884" s="129"/>
    </row>
    <row r="4885" spans="1:15" ht="12.5">
      <c r="A4885" s="158" t="s">
        <v>26865</v>
      </c>
      <c r="B4885" s="159">
        <v>60</v>
      </c>
      <c r="C4885" s="159">
        <v>60</v>
      </c>
      <c r="D4885" s="159">
        <v>38</v>
      </c>
      <c r="E4885" s="130"/>
      <c r="F4885" s="131"/>
      <c r="G4885" s="132"/>
      <c r="H4885" s="162" t="s">
        <v>26866</v>
      </c>
      <c r="I4885" s="128"/>
      <c r="J4885" s="128"/>
      <c r="K4885" s="128"/>
      <c r="L4885" s="128"/>
      <c r="M4885" s="129"/>
      <c r="N4885" s="129"/>
      <c r="O4885" s="129"/>
    </row>
    <row r="4886" spans="1:15" ht="12.5">
      <c r="A4886" s="158" t="s">
        <v>26867</v>
      </c>
      <c r="B4886" s="159">
        <v>60</v>
      </c>
      <c r="C4886" s="159">
        <v>60</v>
      </c>
      <c r="D4886" s="159">
        <v>38</v>
      </c>
      <c r="E4886" s="159">
        <v>36</v>
      </c>
      <c r="F4886" s="131"/>
      <c r="G4886" s="132"/>
      <c r="H4886" s="162" t="s">
        <v>26868</v>
      </c>
      <c r="I4886" s="128"/>
      <c r="J4886" s="128"/>
      <c r="K4886" s="128"/>
      <c r="L4886" s="128"/>
      <c r="M4886" s="129"/>
      <c r="N4886" s="129"/>
      <c r="O4886" s="129"/>
    </row>
    <row r="4887" spans="1:15" ht="12.5">
      <c r="A4887" s="158" t="s">
        <v>26870</v>
      </c>
      <c r="B4887" s="159">
        <v>60</v>
      </c>
      <c r="C4887" s="159">
        <v>60</v>
      </c>
      <c r="D4887" s="159">
        <v>38</v>
      </c>
      <c r="E4887" s="159">
        <v>38</v>
      </c>
      <c r="F4887" s="131"/>
      <c r="G4887" s="132"/>
      <c r="H4887" s="162" t="s">
        <v>26871</v>
      </c>
      <c r="I4887" s="158" t="s">
        <v>26872</v>
      </c>
      <c r="J4887" s="128"/>
      <c r="K4887" s="128"/>
      <c r="L4887" s="128"/>
      <c r="M4887" s="129"/>
      <c r="N4887" s="129"/>
      <c r="O4887" s="129"/>
    </row>
    <row r="4888" spans="1:15" ht="12.5">
      <c r="A4888" s="158" t="s">
        <v>26873</v>
      </c>
      <c r="B4888" s="159">
        <v>60</v>
      </c>
      <c r="C4888" s="159">
        <v>60</v>
      </c>
      <c r="D4888" s="159">
        <v>38</v>
      </c>
      <c r="E4888" s="159">
        <v>42</v>
      </c>
      <c r="F4888" s="131"/>
      <c r="G4888" s="132"/>
      <c r="H4888" s="162" t="s">
        <v>26874</v>
      </c>
      <c r="I4888" s="158" t="s">
        <v>26875</v>
      </c>
      <c r="J4888" s="128"/>
      <c r="K4888" s="128"/>
      <c r="L4888" s="128"/>
      <c r="M4888" s="129"/>
      <c r="N4888" s="129"/>
      <c r="O4888" s="129"/>
    </row>
    <row r="4889" spans="1:15" ht="12.5">
      <c r="A4889" s="158" t="s">
        <v>26876</v>
      </c>
      <c r="B4889" s="159">
        <v>60</v>
      </c>
      <c r="C4889" s="159">
        <v>60</v>
      </c>
      <c r="D4889" s="159">
        <v>38</v>
      </c>
      <c r="E4889" s="159">
        <v>62</v>
      </c>
      <c r="F4889" s="131"/>
      <c r="G4889" s="132"/>
      <c r="H4889" s="162" t="s">
        <v>26877</v>
      </c>
      <c r="I4889" s="158" t="s">
        <v>26878</v>
      </c>
      <c r="J4889" s="128"/>
      <c r="K4889" s="128"/>
      <c r="L4889" s="128"/>
      <c r="M4889" s="129"/>
      <c r="N4889" s="129"/>
      <c r="O4889" s="129"/>
    </row>
    <row r="4890" spans="1:15" ht="12.5">
      <c r="A4890" s="158" t="s">
        <v>26879</v>
      </c>
      <c r="B4890" s="159">
        <v>60</v>
      </c>
      <c r="C4890" s="159">
        <v>60</v>
      </c>
      <c r="D4890" s="159">
        <v>38</v>
      </c>
      <c r="E4890" s="159">
        <v>84</v>
      </c>
      <c r="F4890" s="131"/>
      <c r="G4890" s="132"/>
      <c r="H4890" s="162" t="s">
        <v>26880</v>
      </c>
      <c r="I4890" s="158" t="s">
        <v>26881</v>
      </c>
      <c r="J4890" s="128"/>
      <c r="K4890" s="128"/>
      <c r="L4890" s="128"/>
      <c r="M4890" s="129"/>
      <c r="N4890" s="129"/>
      <c r="O4890" s="129"/>
    </row>
    <row r="4891" spans="1:15" ht="12.5">
      <c r="A4891" s="158" t="s">
        <v>26882</v>
      </c>
      <c r="B4891" s="159">
        <v>60</v>
      </c>
      <c r="C4891" s="159">
        <v>60</v>
      </c>
      <c r="D4891" s="159">
        <v>38</v>
      </c>
      <c r="E4891" s="159">
        <v>85</v>
      </c>
      <c r="F4891" s="131"/>
      <c r="G4891" s="132"/>
      <c r="H4891" s="162" t="s">
        <v>26883</v>
      </c>
      <c r="I4891" s="128"/>
      <c r="J4891" s="128"/>
      <c r="K4891" s="128"/>
      <c r="L4891" s="128"/>
      <c r="M4891" s="129"/>
      <c r="N4891" s="129"/>
      <c r="O4891" s="129"/>
    </row>
    <row r="4892" spans="1:15" ht="12.5">
      <c r="A4892" s="158" t="s">
        <v>26884</v>
      </c>
      <c r="B4892" s="159">
        <v>60</v>
      </c>
      <c r="C4892" s="159">
        <v>60</v>
      </c>
      <c r="D4892" s="159">
        <v>81</v>
      </c>
      <c r="E4892" s="130"/>
      <c r="F4892" s="131"/>
      <c r="G4892" s="132"/>
      <c r="H4892" s="162" t="s">
        <v>26885</v>
      </c>
      <c r="I4892" s="128"/>
      <c r="J4892" s="128"/>
      <c r="K4892" s="128"/>
      <c r="L4892" s="128"/>
      <c r="M4892" s="129"/>
      <c r="N4892" s="129"/>
      <c r="O4892" s="129"/>
    </row>
    <row r="4893" spans="1:15" ht="12.5">
      <c r="A4893" s="158" t="s">
        <v>26886</v>
      </c>
      <c r="B4893" s="159">
        <v>60</v>
      </c>
      <c r="C4893" s="159">
        <v>60</v>
      </c>
      <c r="D4893" s="159">
        <v>81</v>
      </c>
      <c r="E4893" s="159">
        <v>26</v>
      </c>
      <c r="F4893" s="131"/>
      <c r="G4893" s="132"/>
      <c r="H4893" s="162" t="s">
        <v>26887</v>
      </c>
      <c r="I4893" s="158" t="s">
        <v>26888</v>
      </c>
      <c r="J4893" s="128"/>
      <c r="K4893" s="128"/>
      <c r="L4893" s="128"/>
      <c r="M4893" s="129"/>
      <c r="N4893" s="129"/>
      <c r="O4893" s="129"/>
    </row>
    <row r="4894" spans="1:15" ht="12.5">
      <c r="A4894" s="158" t="s">
        <v>26889</v>
      </c>
      <c r="B4894" s="159">
        <v>60</v>
      </c>
      <c r="C4894" s="159">
        <v>60</v>
      </c>
      <c r="D4894" s="159">
        <v>81</v>
      </c>
      <c r="E4894" s="159">
        <v>30</v>
      </c>
      <c r="F4894" s="131"/>
      <c r="G4894" s="132"/>
      <c r="H4894" s="162" t="s">
        <v>26890</v>
      </c>
      <c r="I4894" s="158" t="s">
        <v>26891</v>
      </c>
      <c r="J4894" s="128"/>
      <c r="K4894" s="128"/>
      <c r="L4894" s="128"/>
      <c r="M4894" s="129"/>
      <c r="N4894" s="129"/>
      <c r="O4894" s="129"/>
    </row>
    <row r="4895" spans="1:15" ht="12.5">
      <c r="A4895" s="158" t="s">
        <v>26892</v>
      </c>
      <c r="B4895" s="159">
        <v>60</v>
      </c>
      <c r="C4895" s="159">
        <v>60</v>
      </c>
      <c r="D4895" s="159">
        <v>81</v>
      </c>
      <c r="E4895" s="159">
        <v>80</v>
      </c>
      <c r="F4895" s="131"/>
      <c r="G4895" s="132"/>
      <c r="H4895" s="162" t="s">
        <v>26893</v>
      </c>
      <c r="I4895" s="128"/>
      <c r="J4895" s="128"/>
      <c r="K4895" s="128"/>
      <c r="L4895" s="128"/>
      <c r="M4895" s="129"/>
      <c r="N4895" s="129"/>
      <c r="O4895" s="129"/>
    </row>
    <row r="4896" spans="1:15" ht="12.5">
      <c r="A4896" s="158" t="s">
        <v>26894</v>
      </c>
      <c r="B4896" s="159">
        <v>60</v>
      </c>
      <c r="C4896" s="159">
        <v>60</v>
      </c>
      <c r="D4896" s="159">
        <v>81</v>
      </c>
      <c r="E4896" s="159">
        <v>81</v>
      </c>
      <c r="F4896" s="131"/>
      <c r="G4896" s="132"/>
      <c r="H4896" s="162" t="s">
        <v>26895</v>
      </c>
      <c r="I4896" s="158" t="s">
        <v>26896</v>
      </c>
      <c r="J4896" s="128"/>
      <c r="K4896" s="128"/>
      <c r="L4896" s="128"/>
      <c r="M4896" s="129"/>
      <c r="N4896" s="129"/>
      <c r="O4896" s="129"/>
    </row>
    <row r="4897" spans="1:15" ht="12.5">
      <c r="A4897" s="158" t="s">
        <v>26897</v>
      </c>
      <c r="B4897" s="159">
        <v>60</v>
      </c>
      <c r="C4897" s="159">
        <v>60</v>
      </c>
      <c r="D4897" s="159">
        <v>83</v>
      </c>
      <c r="E4897" s="130"/>
      <c r="F4897" s="131"/>
      <c r="G4897" s="132"/>
      <c r="H4897" s="162" t="s">
        <v>26898</v>
      </c>
      <c r="I4897" s="128"/>
      <c r="J4897" s="128"/>
      <c r="K4897" s="128"/>
      <c r="L4897" s="128"/>
      <c r="M4897" s="129"/>
      <c r="N4897" s="129"/>
      <c r="O4897" s="129"/>
    </row>
    <row r="4898" spans="1:15" ht="12.5">
      <c r="A4898" s="158" t="s">
        <v>26899</v>
      </c>
      <c r="B4898" s="159">
        <v>60</v>
      </c>
      <c r="C4898" s="159">
        <v>60</v>
      </c>
      <c r="D4898" s="159">
        <v>83</v>
      </c>
      <c r="E4898" s="159">
        <v>5</v>
      </c>
      <c r="F4898" s="131"/>
      <c r="G4898" s="132"/>
      <c r="H4898" s="162" t="s">
        <v>26900</v>
      </c>
      <c r="I4898" s="158" t="s">
        <v>26901</v>
      </c>
      <c r="J4898" s="128"/>
      <c r="K4898" s="128"/>
      <c r="L4898" s="128"/>
      <c r="M4898" s="129"/>
      <c r="N4898" s="129"/>
      <c r="O4898" s="129"/>
    </row>
    <row r="4899" spans="1:15" ht="12.5">
      <c r="A4899" s="158" t="s">
        <v>26902</v>
      </c>
      <c r="B4899" s="159">
        <v>60</v>
      </c>
      <c r="C4899" s="159">
        <v>60</v>
      </c>
      <c r="D4899" s="159">
        <v>83</v>
      </c>
      <c r="E4899" s="159">
        <v>81</v>
      </c>
      <c r="F4899" s="131"/>
      <c r="G4899" s="132"/>
      <c r="H4899" s="162" t="s">
        <v>26903</v>
      </c>
      <c r="I4899" s="158" t="s">
        <v>26904</v>
      </c>
      <c r="J4899" s="128"/>
      <c r="K4899" s="128"/>
      <c r="L4899" s="128"/>
      <c r="M4899" s="129"/>
      <c r="N4899" s="129"/>
      <c r="O4899" s="129"/>
    </row>
    <row r="4900" spans="1:15" ht="12.5">
      <c r="A4900" s="158" t="s">
        <v>26905</v>
      </c>
      <c r="B4900" s="159">
        <v>60</v>
      </c>
      <c r="C4900" s="159">
        <v>60</v>
      </c>
      <c r="D4900" s="159">
        <v>84</v>
      </c>
      <c r="E4900" s="130"/>
      <c r="F4900" s="131"/>
      <c r="G4900" s="132"/>
      <c r="H4900" s="162" t="s">
        <v>26906</v>
      </c>
      <c r="I4900" s="128"/>
      <c r="J4900" s="128"/>
      <c r="K4900" s="128"/>
      <c r="L4900" s="128"/>
      <c r="M4900" s="129"/>
      <c r="N4900" s="129"/>
      <c r="O4900" s="129"/>
    </row>
    <row r="4901" spans="1:15" ht="12.5">
      <c r="A4901" s="158" t="s">
        <v>26907</v>
      </c>
      <c r="B4901" s="159">
        <v>60</v>
      </c>
      <c r="C4901" s="159">
        <v>60</v>
      </c>
      <c r="D4901" s="159">
        <v>84</v>
      </c>
      <c r="E4901" s="159">
        <v>14</v>
      </c>
      <c r="F4901" s="131"/>
      <c r="G4901" s="132"/>
      <c r="H4901" s="162" t="s">
        <v>26908</v>
      </c>
      <c r="I4901" s="158" t="s">
        <v>26909</v>
      </c>
      <c r="J4901" s="128"/>
      <c r="K4901" s="128"/>
      <c r="L4901" s="128"/>
      <c r="M4901" s="129"/>
      <c r="N4901" s="129"/>
      <c r="O4901" s="129"/>
    </row>
    <row r="4902" spans="1:15" ht="12.5">
      <c r="A4902" s="158" t="s">
        <v>26910</v>
      </c>
      <c r="B4902" s="159">
        <v>60</v>
      </c>
      <c r="C4902" s="159">
        <v>60</v>
      </c>
      <c r="D4902" s="159">
        <v>96</v>
      </c>
      <c r="E4902" s="130"/>
      <c r="F4902" s="131"/>
      <c r="G4902" s="132"/>
      <c r="H4902" s="162" t="s">
        <v>26911</v>
      </c>
      <c r="I4902" s="128"/>
      <c r="J4902" s="128"/>
      <c r="K4902" s="128"/>
      <c r="L4902" s="128"/>
      <c r="M4902" s="129"/>
      <c r="N4902" s="129"/>
      <c r="O4902" s="129"/>
    </row>
    <row r="4903" spans="1:15" ht="12.5">
      <c r="A4903" s="158" t="s">
        <v>26912</v>
      </c>
      <c r="B4903" s="159">
        <v>60</v>
      </c>
      <c r="C4903" s="159">
        <v>60</v>
      </c>
      <c r="D4903" s="159">
        <v>96</v>
      </c>
      <c r="E4903" s="159">
        <v>26</v>
      </c>
      <c r="F4903" s="131"/>
      <c r="G4903" s="132"/>
      <c r="H4903" s="162" t="s">
        <v>26913</v>
      </c>
      <c r="I4903" s="158" t="s">
        <v>26914</v>
      </c>
      <c r="J4903" s="128"/>
      <c r="K4903" s="128"/>
      <c r="L4903" s="128"/>
      <c r="M4903" s="129"/>
      <c r="N4903" s="129"/>
      <c r="O4903" s="129"/>
    </row>
    <row r="4904" spans="1:15" ht="12.5">
      <c r="A4904" s="158" t="s">
        <v>26915</v>
      </c>
      <c r="B4904" s="159">
        <v>60</v>
      </c>
      <c r="C4904" s="159">
        <v>60</v>
      </c>
      <c r="D4904" s="159">
        <v>96</v>
      </c>
      <c r="E4904" s="159">
        <v>27</v>
      </c>
      <c r="F4904" s="131"/>
      <c r="G4904" s="132"/>
      <c r="H4904" s="162" t="s">
        <v>26916</v>
      </c>
      <c r="I4904" s="158" t="s">
        <v>26917</v>
      </c>
      <c r="J4904" s="128"/>
      <c r="K4904" s="128"/>
      <c r="L4904" s="128"/>
      <c r="M4904" s="129"/>
      <c r="N4904" s="129"/>
      <c r="O4904" s="129"/>
    </row>
    <row r="4905" spans="1:15" ht="12.5">
      <c r="A4905" s="158" t="s">
        <v>26918</v>
      </c>
      <c r="B4905" s="159">
        <v>60</v>
      </c>
      <c r="C4905" s="159">
        <v>60</v>
      </c>
      <c r="D4905" s="159">
        <v>96</v>
      </c>
      <c r="E4905" s="159">
        <v>28</v>
      </c>
      <c r="F4905" s="131"/>
      <c r="G4905" s="132"/>
      <c r="H4905" s="162" t="s">
        <v>26919</v>
      </c>
      <c r="I4905" s="158" t="s">
        <v>26920</v>
      </c>
      <c r="J4905" s="128"/>
      <c r="K4905" s="128"/>
      <c r="L4905" s="128"/>
      <c r="M4905" s="129"/>
      <c r="N4905" s="129"/>
      <c r="O4905" s="129"/>
    </row>
    <row r="4906" spans="1:15" ht="12.5">
      <c r="A4906" s="158" t="s">
        <v>26921</v>
      </c>
      <c r="B4906" s="159">
        <v>60</v>
      </c>
      <c r="C4906" s="159">
        <v>60</v>
      </c>
      <c r="D4906" s="159">
        <v>96</v>
      </c>
      <c r="E4906" s="159">
        <v>33</v>
      </c>
      <c r="F4906" s="131"/>
      <c r="G4906" s="132"/>
      <c r="H4906" s="162" t="s">
        <v>26922</v>
      </c>
      <c r="I4906" s="158" t="s">
        <v>26923</v>
      </c>
      <c r="J4906" s="128"/>
      <c r="K4906" s="128"/>
      <c r="L4906" s="128"/>
      <c r="M4906" s="129"/>
      <c r="N4906" s="129"/>
      <c r="O4906" s="129"/>
    </row>
    <row r="4907" spans="1:15" ht="12.5">
      <c r="A4907" s="158" t="s">
        <v>26924</v>
      </c>
      <c r="B4907" s="159">
        <v>60</v>
      </c>
      <c r="C4907" s="159">
        <v>60</v>
      </c>
      <c r="D4907" s="159">
        <v>96</v>
      </c>
      <c r="E4907" s="159">
        <v>34</v>
      </c>
      <c r="F4907" s="131"/>
      <c r="G4907" s="132"/>
      <c r="H4907" s="162" t="s">
        <v>26925</v>
      </c>
      <c r="I4907" s="158" t="s">
        <v>26926</v>
      </c>
      <c r="J4907" s="128"/>
      <c r="K4907" s="128"/>
      <c r="L4907" s="128"/>
      <c r="M4907" s="129"/>
      <c r="N4907" s="129"/>
      <c r="O4907" s="129"/>
    </row>
    <row r="4908" spans="1:15" ht="12.5">
      <c r="A4908" s="158" t="s">
        <v>26927</v>
      </c>
      <c r="B4908" s="159">
        <v>60</v>
      </c>
      <c r="C4908" s="159">
        <v>60</v>
      </c>
      <c r="D4908" s="159">
        <v>96</v>
      </c>
      <c r="E4908" s="159">
        <v>42</v>
      </c>
      <c r="F4908" s="131"/>
      <c r="G4908" s="132"/>
      <c r="H4908" s="162" t="s">
        <v>26928</v>
      </c>
      <c r="I4908" s="158" t="s">
        <v>26929</v>
      </c>
      <c r="J4908" s="128"/>
      <c r="K4908" s="128"/>
      <c r="L4908" s="128"/>
      <c r="M4908" s="129"/>
      <c r="N4908" s="129"/>
      <c r="O4908" s="129"/>
    </row>
    <row r="4909" spans="1:15" ht="12.5">
      <c r="A4909" s="144" t="s">
        <v>26930</v>
      </c>
      <c r="B4909" s="145">
        <v>60</v>
      </c>
      <c r="C4909" s="145">
        <v>65</v>
      </c>
      <c r="D4909" s="146"/>
      <c r="E4909" s="146"/>
      <c r="F4909" s="147" t="s">
        <v>33510</v>
      </c>
      <c r="G4909" s="190"/>
      <c r="H4909" s="149" t="s">
        <v>26931</v>
      </c>
      <c r="I4909" s="150"/>
      <c r="J4909" s="150"/>
      <c r="K4909" s="150"/>
      <c r="L4909" s="150"/>
      <c r="M4909" s="191"/>
      <c r="N4909" s="191"/>
      <c r="O4909" s="191"/>
    </row>
    <row r="4910" spans="1:15" ht="12.5">
      <c r="A4910" s="158" t="s">
        <v>26932</v>
      </c>
      <c r="B4910" s="159">
        <v>60</v>
      </c>
      <c r="C4910" s="159">
        <v>65</v>
      </c>
      <c r="D4910" s="159">
        <v>3</v>
      </c>
      <c r="E4910" s="130"/>
      <c r="F4910" s="131"/>
      <c r="G4910" s="132"/>
      <c r="H4910" s="162" t="s">
        <v>26933</v>
      </c>
      <c r="I4910" s="128"/>
      <c r="J4910" s="128"/>
      <c r="K4910" s="128"/>
      <c r="L4910" s="128"/>
      <c r="M4910" s="129"/>
      <c r="N4910" s="129"/>
      <c r="O4910" s="129"/>
    </row>
    <row r="4911" spans="1:15" ht="12.5">
      <c r="A4911" s="158" t="s">
        <v>26934</v>
      </c>
      <c r="B4911" s="159">
        <v>60</v>
      </c>
      <c r="C4911" s="159">
        <v>65</v>
      </c>
      <c r="D4911" s="159">
        <v>3</v>
      </c>
      <c r="E4911" s="159">
        <v>28</v>
      </c>
      <c r="F4911" s="131"/>
      <c r="G4911" s="132"/>
      <c r="H4911" s="162" t="s">
        <v>26935</v>
      </c>
      <c r="I4911" s="128"/>
      <c r="J4911" s="128"/>
      <c r="K4911" s="128"/>
      <c r="L4911" s="128"/>
      <c r="M4911" s="129"/>
      <c r="N4911" s="129"/>
      <c r="O4911" s="129"/>
    </row>
    <row r="4912" spans="1:15" ht="12.5">
      <c r="A4912" s="158" t="s">
        <v>26936</v>
      </c>
      <c r="B4912" s="159">
        <v>60</v>
      </c>
      <c r="C4912" s="159">
        <v>65</v>
      </c>
      <c r="D4912" s="159">
        <v>3</v>
      </c>
      <c r="E4912" s="159">
        <v>86</v>
      </c>
      <c r="F4912" s="131"/>
      <c r="G4912" s="132"/>
      <c r="H4912" s="162" t="s">
        <v>26937</v>
      </c>
      <c r="I4912" s="158" t="s">
        <v>26938</v>
      </c>
      <c r="J4912" s="128"/>
      <c r="K4912" s="128"/>
      <c r="L4912" s="128"/>
      <c r="M4912" s="129"/>
      <c r="N4912" s="129"/>
      <c r="O4912" s="129"/>
    </row>
    <row r="4913" spans="1:15" ht="12.5">
      <c r="A4913" s="158" t="s">
        <v>26939</v>
      </c>
      <c r="B4913" s="159">
        <v>60</v>
      </c>
      <c r="C4913" s="159">
        <v>65</v>
      </c>
      <c r="D4913" s="159">
        <v>3</v>
      </c>
      <c r="E4913" s="159">
        <v>87</v>
      </c>
      <c r="F4913" s="131"/>
      <c r="G4913" s="132"/>
      <c r="H4913" s="162" t="s">
        <v>26940</v>
      </c>
      <c r="I4913" s="158" t="s">
        <v>26941</v>
      </c>
      <c r="J4913" s="128"/>
      <c r="K4913" s="128"/>
      <c r="L4913" s="128"/>
      <c r="M4913" s="129"/>
      <c r="N4913" s="129"/>
      <c r="O4913" s="129"/>
    </row>
    <row r="4914" spans="1:15" ht="12.5">
      <c r="A4914" s="158" t="s">
        <v>26942</v>
      </c>
      <c r="B4914" s="159">
        <v>60</v>
      </c>
      <c r="C4914" s="159">
        <v>65</v>
      </c>
      <c r="D4914" s="159">
        <v>31</v>
      </c>
      <c r="E4914" s="130"/>
      <c r="F4914" s="131"/>
      <c r="G4914" s="132"/>
      <c r="H4914" s="162" t="s">
        <v>26943</v>
      </c>
      <c r="I4914" s="128"/>
      <c r="J4914" s="128"/>
      <c r="K4914" s="128"/>
      <c r="L4914" s="128"/>
      <c r="M4914" s="129"/>
      <c r="N4914" s="129"/>
      <c r="O4914" s="129"/>
    </row>
    <row r="4915" spans="1:15" ht="12.5">
      <c r="A4915" s="158" t="s">
        <v>26944</v>
      </c>
      <c r="B4915" s="159">
        <v>60</v>
      </c>
      <c r="C4915" s="159">
        <v>65</v>
      </c>
      <c r="D4915" s="159">
        <v>31</v>
      </c>
      <c r="E4915" s="159">
        <v>33</v>
      </c>
      <c r="F4915" s="131"/>
      <c r="G4915" s="132"/>
      <c r="H4915" s="162" t="s">
        <v>26945</v>
      </c>
      <c r="I4915" s="158" t="s">
        <v>26946</v>
      </c>
      <c r="J4915" s="128"/>
      <c r="K4915" s="128"/>
      <c r="L4915" s="128"/>
      <c r="M4915" s="129"/>
      <c r="N4915" s="129"/>
      <c r="O4915" s="129"/>
    </row>
    <row r="4916" spans="1:15" ht="12.5">
      <c r="A4916" s="158" t="s">
        <v>26947</v>
      </c>
      <c r="B4916" s="159">
        <v>60</v>
      </c>
      <c r="C4916" s="159">
        <v>65</v>
      </c>
      <c r="D4916" s="159">
        <v>31</v>
      </c>
      <c r="E4916" s="159">
        <v>46</v>
      </c>
      <c r="F4916" s="131"/>
      <c r="G4916" s="132"/>
      <c r="H4916" s="162" t="s">
        <v>26948</v>
      </c>
      <c r="I4916" s="158" t="s">
        <v>26949</v>
      </c>
      <c r="J4916" s="128"/>
      <c r="K4916" s="128"/>
      <c r="L4916" s="128"/>
      <c r="M4916" s="129"/>
      <c r="N4916" s="129"/>
      <c r="O4916" s="129"/>
    </row>
    <row r="4917" spans="1:15" ht="12.5">
      <c r="A4917" s="158" t="s">
        <v>26950</v>
      </c>
      <c r="B4917" s="159">
        <v>60</v>
      </c>
      <c r="C4917" s="159">
        <v>65</v>
      </c>
      <c r="D4917" s="159">
        <v>31</v>
      </c>
      <c r="E4917" s="159">
        <v>52</v>
      </c>
      <c r="F4917" s="131"/>
      <c r="G4917" s="132"/>
      <c r="H4917" s="162" t="s">
        <v>26951</v>
      </c>
      <c r="I4917" s="158" t="s">
        <v>26952</v>
      </c>
      <c r="J4917" s="128"/>
      <c r="K4917" s="128"/>
      <c r="L4917" s="128"/>
      <c r="M4917" s="129"/>
      <c r="N4917" s="129"/>
      <c r="O4917" s="129"/>
    </row>
    <row r="4918" spans="1:15" ht="12.5">
      <c r="A4918" s="158" t="s">
        <v>26953</v>
      </c>
      <c r="B4918" s="159">
        <v>60</v>
      </c>
      <c r="C4918" s="159">
        <v>65</v>
      </c>
      <c r="D4918" s="159">
        <v>31</v>
      </c>
      <c r="E4918" s="159">
        <v>71</v>
      </c>
      <c r="F4918" s="131"/>
      <c r="G4918" s="132"/>
      <c r="H4918" s="162" t="s">
        <v>26954</v>
      </c>
      <c r="I4918" s="158" t="s">
        <v>26955</v>
      </c>
      <c r="J4918" s="128"/>
      <c r="K4918" s="128"/>
      <c r="L4918" s="128"/>
      <c r="M4918" s="129"/>
      <c r="N4918" s="129"/>
      <c r="O4918" s="129"/>
    </row>
    <row r="4919" spans="1:15" ht="12.5">
      <c r="A4919" s="158" t="s">
        <v>26956</v>
      </c>
      <c r="B4919" s="159">
        <v>60</v>
      </c>
      <c r="C4919" s="159">
        <v>65</v>
      </c>
      <c r="D4919" s="159">
        <v>31</v>
      </c>
      <c r="E4919" s="159">
        <v>76</v>
      </c>
      <c r="F4919" s="131"/>
      <c r="G4919" s="132"/>
      <c r="H4919" s="162" t="s">
        <v>26957</v>
      </c>
      <c r="I4919" s="158" t="s">
        <v>26958</v>
      </c>
      <c r="J4919" s="128"/>
      <c r="K4919" s="128"/>
      <c r="L4919" s="128"/>
      <c r="M4919" s="129"/>
      <c r="N4919" s="129"/>
      <c r="O4919" s="129"/>
    </row>
    <row r="4920" spans="1:15" ht="12.5">
      <c r="A4920" s="158" t="s">
        <v>26959</v>
      </c>
      <c r="B4920" s="159">
        <v>60</v>
      </c>
      <c r="C4920" s="159">
        <v>65</v>
      </c>
      <c r="D4920" s="159">
        <v>31</v>
      </c>
      <c r="E4920" s="159">
        <v>94</v>
      </c>
      <c r="F4920" s="131"/>
      <c r="G4920" s="132"/>
      <c r="H4920" s="162" t="s">
        <v>26960</v>
      </c>
      <c r="I4920" s="158" t="s">
        <v>26961</v>
      </c>
      <c r="J4920" s="128"/>
      <c r="K4920" s="128"/>
      <c r="L4920" s="128"/>
      <c r="M4920" s="129"/>
      <c r="N4920" s="129"/>
      <c r="O4920" s="129"/>
    </row>
    <row r="4921" spans="1:15" ht="12.5">
      <c r="A4921" s="158" t="s">
        <v>26962</v>
      </c>
      <c r="B4921" s="159">
        <v>60</v>
      </c>
      <c r="C4921" s="159">
        <v>65</v>
      </c>
      <c r="D4921" s="159">
        <v>37</v>
      </c>
      <c r="E4921" s="130"/>
      <c r="F4921" s="131"/>
      <c r="G4921" s="132"/>
      <c r="H4921" s="162" t="s">
        <v>26963</v>
      </c>
      <c r="I4921" s="128"/>
      <c r="J4921" s="128"/>
      <c r="K4921" s="128"/>
      <c r="L4921" s="128"/>
      <c r="M4921" s="129"/>
      <c r="N4921" s="129"/>
      <c r="O4921" s="129"/>
    </row>
    <row r="4922" spans="1:15" ht="12.5">
      <c r="A4922" s="158" t="s">
        <v>26964</v>
      </c>
      <c r="B4922" s="159">
        <v>60</v>
      </c>
      <c r="C4922" s="159">
        <v>65</v>
      </c>
      <c r="D4922" s="159">
        <v>37</v>
      </c>
      <c r="E4922" s="159">
        <v>12</v>
      </c>
      <c r="F4922" s="131"/>
      <c r="G4922" s="132"/>
      <c r="H4922" s="162" t="s">
        <v>26965</v>
      </c>
      <c r="I4922" s="158" t="s">
        <v>26966</v>
      </c>
      <c r="J4922" s="128"/>
      <c r="K4922" s="128"/>
      <c r="L4922" s="128"/>
      <c r="M4922" s="129"/>
      <c r="N4922" s="129"/>
      <c r="O4922" s="129"/>
    </row>
    <row r="4923" spans="1:15" ht="12.5">
      <c r="A4923" s="158" t="s">
        <v>26967</v>
      </c>
      <c r="B4923" s="159">
        <v>60</v>
      </c>
      <c r="C4923" s="159">
        <v>65</v>
      </c>
      <c r="D4923" s="159">
        <v>37</v>
      </c>
      <c r="E4923" s="159">
        <v>27</v>
      </c>
      <c r="F4923" s="131"/>
      <c r="G4923" s="132"/>
      <c r="H4923" s="162" t="s">
        <v>26968</v>
      </c>
      <c r="I4923" s="158" t="s">
        <v>26969</v>
      </c>
      <c r="J4923" s="128"/>
      <c r="K4923" s="128"/>
      <c r="L4923" s="128"/>
      <c r="M4923" s="129"/>
      <c r="N4923" s="129"/>
      <c r="O4923" s="129"/>
    </row>
    <row r="4924" spans="1:15" ht="12.5">
      <c r="A4924" s="158" t="s">
        <v>26970</v>
      </c>
      <c r="B4924" s="159">
        <v>60</v>
      </c>
      <c r="C4924" s="159">
        <v>65</v>
      </c>
      <c r="D4924" s="159">
        <v>37</v>
      </c>
      <c r="E4924" s="159">
        <v>33</v>
      </c>
      <c r="F4924" s="131"/>
      <c r="G4924" s="132"/>
      <c r="H4924" s="162" t="s">
        <v>26971</v>
      </c>
      <c r="I4924" s="158" t="s">
        <v>26972</v>
      </c>
      <c r="J4924" s="128"/>
      <c r="K4924" s="128"/>
      <c r="L4924" s="128"/>
      <c r="M4924" s="129"/>
      <c r="N4924" s="129"/>
      <c r="O4924" s="129"/>
    </row>
    <row r="4925" spans="1:15" ht="12.5">
      <c r="A4925" s="158" t="s">
        <v>26973</v>
      </c>
      <c r="B4925" s="159">
        <v>60</v>
      </c>
      <c r="C4925" s="159">
        <v>65</v>
      </c>
      <c r="D4925" s="159">
        <v>37</v>
      </c>
      <c r="E4925" s="159">
        <v>41</v>
      </c>
      <c r="F4925" s="131"/>
      <c r="G4925" s="132"/>
      <c r="H4925" s="162" t="s">
        <v>26974</v>
      </c>
      <c r="I4925" s="128"/>
      <c r="J4925" s="128"/>
      <c r="K4925" s="128"/>
      <c r="L4925" s="128"/>
      <c r="M4925" s="129"/>
      <c r="N4925" s="129"/>
      <c r="O4925" s="129"/>
    </row>
    <row r="4926" spans="1:15" ht="12.5">
      <c r="A4926" s="158" t="s">
        <v>26975</v>
      </c>
      <c r="B4926" s="159">
        <v>60</v>
      </c>
      <c r="C4926" s="159">
        <v>65</v>
      </c>
      <c r="D4926" s="159">
        <v>37</v>
      </c>
      <c r="E4926" s="159">
        <v>47</v>
      </c>
      <c r="F4926" s="131"/>
      <c r="G4926" s="132"/>
      <c r="H4926" s="162" t="s">
        <v>26976</v>
      </c>
      <c r="I4926" s="158" t="s">
        <v>26977</v>
      </c>
      <c r="J4926" s="128"/>
      <c r="K4926" s="128"/>
      <c r="L4926" s="128"/>
      <c r="M4926" s="129"/>
      <c r="N4926" s="129"/>
      <c r="O4926" s="129"/>
    </row>
    <row r="4927" spans="1:15" ht="12.5">
      <c r="A4927" s="158" t="s">
        <v>26978</v>
      </c>
      <c r="B4927" s="159">
        <v>60</v>
      </c>
      <c r="C4927" s="159">
        <v>65</v>
      </c>
      <c r="D4927" s="159">
        <v>37</v>
      </c>
      <c r="E4927" s="159">
        <v>72</v>
      </c>
      <c r="F4927" s="131"/>
      <c r="G4927" s="132"/>
      <c r="H4927" s="162" t="s">
        <v>26979</v>
      </c>
      <c r="I4927" s="158" t="s">
        <v>26980</v>
      </c>
      <c r="J4927" s="128"/>
      <c r="K4927" s="128"/>
      <c r="L4927" s="128"/>
      <c r="M4927" s="129"/>
      <c r="N4927" s="129"/>
      <c r="O4927" s="129"/>
    </row>
    <row r="4928" spans="1:15" ht="12.5">
      <c r="A4928" s="158" t="s">
        <v>26981</v>
      </c>
      <c r="B4928" s="159">
        <v>60</v>
      </c>
      <c r="C4928" s="159">
        <v>65</v>
      </c>
      <c r="D4928" s="159">
        <v>94</v>
      </c>
      <c r="E4928" s="130"/>
      <c r="F4928" s="131"/>
      <c r="G4928" s="132"/>
      <c r="H4928" s="162" t="s">
        <v>26982</v>
      </c>
      <c r="I4928" s="128"/>
      <c r="J4928" s="128"/>
      <c r="K4928" s="128"/>
      <c r="L4928" s="128"/>
      <c r="M4928" s="129"/>
      <c r="N4928" s="129"/>
      <c r="O4928" s="129"/>
    </row>
    <row r="4929" spans="1:15" ht="12.5">
      <c r="A4929" s="158" t="s">
        <v>26983</v>
      </c>
      <c r="B4929" s="159">
        <v>60</v>
      </c>
      <c r="C4929" s="159">
        <v>65</v>
      </c>
      <c r="D4929" s="159">
        <v>94</v>
      </c>
      <c r="E4929" s="159">
        <v>29</v>
      </c>
      <c r="F4929" s="131"/>
      <c r="G4929" s="132"/>
      <c r="H4929" s="162" t="s">
        <v>26984</v>
      </c>
      <c r="I4929" s="158" t="s">
        <v>26985</v>
      </c>
      <c r="J4929" s="128"/>
      <c r="K4929" s="128"/>
      <c r="L4929" s="128"/>
      <c r="M4929" s="129"/>
      <c r="N4929" s="129"/>
      <c r="O4929" s="129"/>
    </row>
    <row r="4930" spans="1:15" ht="12.5">
      <c r="A4930" s="158" t="s">
        <v>26986</v>
      </c>
      <c r="B4930" s="159">
        <v>60</v>
      </c>
      <c r="C4930" s="159">
        <v>65</v>
      </c>
      <c r="D4930" s="159">
        <v>94</v>
      </c>
      <c r="E4930" s="159">
        <v>30</v>
      </c>
      <c r="F4930" s="131"/>
      <c r="G4930" s="132"/>
      <c r="H4930" s="162" t="s">
        <v>26987</v>
      </c>
      <c r="I4930" s="158" t="s">
        <v>26988</v>
      </c>
      <c r="J4930" s="128"/>
      <c r="K4930" s="128"/>
      <c r="L4930" s="128"/>
      <c r="M4930" s="129"/>
      <c r="N4930" s="129"/>
      <c r="O4930" s="129"/>
    </row>
    <row r="4931" spans="1:15" ht="12.5">
      <c r="A4931" s="158" t="s">
        <v>26989</v>
      </c>
      <c r="B4931" s="159">
        <v>60</v>
      </c>
      <c r="C4931" s="159">
        <v>65</v>
      </c>
      <c r="D4931" s="159">
        <v>94</v>
      </c>
      <c r="E4931" s="159">
        <v>31</v>
      </c>
      <c r="F4931" s="131"/>
      <c r="G4931" s="132"/>
      <c r="H4931" s="162" t="s">
        <v>26990</v>
      </c>
      <c r="I4931" s="158" t="s">
        <v>26991</v>
      </c>
      <c r="J4931" s="128"/>
      <c r="K4931" s="128"/>
      <c r="L4931" s="128"/>
      <c r="M4931" s="129"/>
      <c r="N4931" s="129"/>
      <c r="O4931" s="129"/>
    </row>
    <row r="4932" spans="1:15" ht="12.5">
      <c r="A4932" s="158" t="s">
        <v>26992</v>
      </c>
      <c r="B4932" s="159">
        <v>60</v>
      </c>
      <c r="C4932" s="159">
        <v>65</v>
      </c>
      <c r="D4932" s="159">
        <v>94</v>
      </c>
      <c r="E4932" s="159">
        <v>32</v>
      </c>
      <c r="F4932" s="131"/>
      <c r="G4932" s="132"/>
      <c r="H4932" s="162" t="s">
        <v>26993</v>
      </c>
      <c r="I4932" s="158" t="s">
        <v>26994</v>
      </c>
      <c r="J4932" s="128"/>
      <c r="K4932" s="128"/>
      <c r="L4932" s="128"/>
      <c r="M4932" s="129"/>
      <c r="N4932" s="129"/>
      <c r="O4932" s="129"/>
    </row>
    <row r="4933" spans="1:15" ht="12.5">
      <c r="A4933" s="158" t="s">
        <v>26995</v>
      </c>
      <c r="B4933" s="159">
        <v>60</v>
      </c>
      <c r="C4933" s="159">
        <v>65</v>
      </c>
      <c r="D4933" s="159">
        <v>94</v>
      </c>
      <c r="E4933" s="159">
        <v>45</v>
      </c>
      <c r="F4933" s="131"/>
      <c r="G4933" s="132"/>
      <c r="H4933" s="162" t="s">
        <v>26996</v>
      </c>
      <c r="I4933" s="158" t="s">
        <v>26997</v>
      </c>
      <c r="J4933" s="128"/>
      <c r="K4933" s="128"/>
      <c r="L4933" s="128"/>
      <c r="M4933" s="129"/>
      <c r="N4933" s="129"/>
      <c r="O4933" s="129"/>
    </row>
    <row r="4934" spans="1:15" ht="12.5">
      <c r="A4934" s="158" t="s">
        <v>26998</v>
      </c>
      <c r="B4934" s="159">
        <v>60</v>
      </c>
      <c r="C4934" s="159">
        <v>65</v>
      </c>
      <c r="D4934" s="159">
        <v>94</v>
      </c>
      <c r="E4934" s="159">
        <v>46</v>
      </c>
      <c r="F4934" s="131"/>
      <c r="G4934" s="132"/>
      <c r="H4934" s="162" t="s">
        <v>26999</v>
      </c>
      <c r="I4934" s="158" t="s">
        <v>27000</v>
      </c>
      <c r="J4934" s="128"/>
      <c r="K4934" s="128"/>
      <c r="L4934" s="128"/>
      <c r="M4934" s="129"/>
      <c r="N4934" s="129"/>
      <c r="O4934" s="129"/>
    </row>
    <row r="4935" spans="1:15" ht="12.5">
      <c r="A4935" s="158" t="s">
        <v>27001</v>
      </c>
      <c r="B4935" s="159">
        <v>60</v>
      </c>
      <c r="C4935" s="159">
        <v>65</v>
      </c>
      <c r="D4935" s="159">
        <v>94</v>
      </c>
      <c r="E4935" s="159">
        <v>94</v>
      </c>
      <c r="F4935" s="131"/>
      <c r="G4935" s="132"/>
      <c r="H4935" s="162" t="s">
        <v>27002</v>
      </c>
      <c r="I4935" s="158" t="s">
        <v>27003</v>
      </c>
      <c r="J4935" s="128"/>
      <c r="K4935" s="128"/>
      <c r="L4935" s="128"/>
      <c r="M4935" s="129"/>
      <c r="N4935" s="129"/>
      <c r="O4935" s="129"/>
    </row>
    <row r="4936" spans="1:15" ht="12.5">
      <c r="A4936" s="144" t="s">
        <v>27004</v>
      </c>
      <c r="B4936" s="145">
        <v>60</v>
      </c>
      <c r="C4936" s="145">
        <v>70</v>
      </c>
      <c r="D4936" s="146"/>
      <c r="E4936" s="146"/>
      <c r="F4936" s="147" t="s">
        <v>33511</v>
      </c>
      <c r="G4936" s="190"/>
      <c r="H4936" s="149" t="s">
        <v>27005</v>
      </c>
      <c r="I4936" s="150"/>
      <c r="J4936" s="150"/>
      <c r="K4936" s="150"/>
      <c r="L4936" s="150"/>
      <c r="M4936" s="191"/>
      <c r="N4936" s="191"/>
      <c r="O4936" s="191"/>
    </row>
    <row r="4937" spans="1:15" ht="12.5">
      <c r="A4937" s="158" t="s">
        <v>27006</v>
      </c>
      <c r="B4937" s="159">
        <v>60</v>
      </c>
      <c r="C4937" s="159">
        <v>70</v>
      </c>
      <c r="D4937" s="159">
        <v>6</v>
      </c>
      <c r="E4937" s="130"/>
      <c r="F4937" s="131"/>
      <c r="G4937" s="132"/>
      <c r="H4937" s="162" t="s">
        <v>27007</v>
      </c>
      <c r="I4937" s="128"/>
      <c r="J4937" s="128"/>
      <c r="K4937" s="128"/>
      <c r="L4937" s="128"/>
      <c r="M4937" s="129"/>
      <c r="N4937" s="129"/>
      <c r="O4937" s="129"/>
    </row>
    <row r="4938" spans="1:15" ht="12.5">
      <c r="A4938" s="158" t="s">
        <v>27008</v>
      </c>
      <c r="B4938" s="159">
        <v>60</v>
      </c>
      <c r="C4938" s="159">
        <v>70</v>
      </c>
      <c r="D4938" s="159">
        <v>6</v>
      </c>
      <c r="E4938" s="159">
        <v>5</v>
      </c>
      <c r="F4938" s="131"/>
      <c r="G4938" s="132"/>
      <c r="H4938" s="162" t="s">
        <v>27009</v>
      </c>
      <c r="I4938" s="158" t="s">
        <v>27010</v>
      </c>
      <c r="J4938" s="128"/>
      <c r="K4938" s="128"/>
      <c r="L4938" s="128"/>
      <c r="M4938" s="129"/>
      <c r="N4938" s="129"/>
      <c r="O4938" s="129"/>
    </row>
    <row r="4939" spans="1:15" ht="12.5">
      <c r="A4939" s="158" t="s">
        <v>27011</v>
      </c>
      <c r="B4939" s="159">
        <v>60</v>
      </c>
      <c r="C4939" s="159">
        <v>70</v>
      </c>
      <c r="D4939" s="159">
        <v>6</v>
      </c>
      <c r="E4939" s="159">
        <v>6</v>
      </c>
      <c r="F4939" s="131"/>
      <c r="G4939" s="132"/>
      <c r="H4939" s="162" t="s">
        <v>27012</v>
      </c>
      <c r="I4939" s="158" t="s">
        <v>27013</v>
      </c>
      <c r="J4939" s="128"/>
      <c r="K4939" s="128"/>
      <c r="L4939" s="128"/>
      <c r="M4939" s="129"/>
      <c r="N4939" s="129"/>
      <c r="O4939" s="129"/>
    </row>
    <row r="4940" spans="1:15" ht="12.5">
      <c r="A4940" s="158" t="s">
        <v>27014</v>
      </c>
      <c r="B4940" s="159">
        <v>60</v>
      </c>
      <c r="C4940" s="159">
        <v>70</v>
      </c>
      <c r="D4940" s="159">
        <v>6</v>
      </c>
      <c r="E4940" s="159">
        <v>12</v>
      </c>
      <c r="F4940" s="131"/>
      <c r="G4940" s="132"/>
      <c r="H4940" s="162" t="s">
        <v>27015</v>
      </c>
      <c r="I4940" s="158" t="s">
        <v>27016</v>
      </c>
      <c r="J4940" s="128"/>
      <c r="K4940" s="128"/>
      <c r="L4940" s="128"/>
      <c r="M4940" s="129"/>
      <c r="N4940" s="129"/>
      <c r="O4940" s="129"/>
    </row>
    <row r="4941" spans="1:15" ht="12.5">
      <c r="A4941" s="158" t="s">
        <v>27017</v>
      </c>
      <c r="B4941" s="159">
        <v>60</v>
      </c>
      <c r="C4941" s="159">
        <v>70</v>
      </c>
      <c r="D4941" s="159">
        <v>6</v>
      </c>
      <c r="E4941" s="159">
        <v>23</v>
      </c>
      <c r="F4941" s="131"/>
      <c r="G4941" s="132"/>
      <c r="H4941" s="162" t="s">
        <v>27018</v>
      </c>
      <c r="I4941" s="158" t="s">
        <v>27019</v>
      </c>
      <c r="J4941" s="128"/>
      <c r="K4941" s="128"/>
      <c r="L4941" s="128"/>
      <c r="M4941" s="129"/>
      <c r="N4941" s="129"/>
      <c r="O4941" s="129"/>
    </row>
    <row r="4942" spans="1:15" ht="12.5">
      <c r="A4942" s="158" t="s">
        <v>27020</v>
      </c>
      <c r="B4942" s="159">
        <v>60</v>
      </c>
      <c r="C4942" s="159">
        <v>70</v>
      </c>
      <c r="D4942" s="159">
        <v>6</v>
      </c>
      <c r="E4942" s="159">
        <v>27</v>
      </c>
      <c r="F4942" s="131"/>
      <c r="G4942" s="132"/>
      <c r="H4942" s="162" t="s">
        <v>27021</v>
      </c>
      <c r="I4942" s="158" t="s">
        <v>27022</v>
      </c>
      <c r="J4942" s="128"/>
      <c r="K4942" s="128"/>
      <c r="L4942" s="128"/>
      <c r="M4942" s="129"/>
      <c r="N4942" s="129"/>
      <c r="O4942" s="129"/>
    </row>
    <row r="4943" spans="1:15" ht="12.5">
      <c r="A4943" s="158" t="s">
        <v>27023</v>
      </c>
      <c r="B4943" s="159">
        <v>60</v>
      </c>
      <c r="C4943" s="159">
        <v>70</v>
      </c>
      <c r="D4943" s="159">
        <v>6</v>
      </c>
      <c r="E4943" s="159">
        <v>67</v>
      </c>
      <c r="F4943" s="131"/>
      <c r="G4943" s="132"/>
      <c r="H4943" s="162" t="s">
        <v>27024</v>
      </c>
      <c r="I4943" s="158" t="s">
        <v>27025</v>
      </c>
      <c r="J4943" s="128"/>
      <c r="K4943" s="128"/>
      <c r="L4943" s="128"/>
      <c r="M4943" s="129"/>
      <c r="N4943" s="129"/>
      <c r="O4943" s="129"/>
    </row>
    <row r="4944" spans="1:15" ht="12.5">
      <c r="A4944" s="158" t="s">
        <v>27026</v>
      </c>
      <c r="B4944" s="159">
        <v>60</v>
      </c>
      <c r="C4944" s="159">
        <v>70</v>
      </c>
      <c r="D4944" s="159">
        <v>6</v>
      </c>
      <c r="E4944" s="159">
        <v>71</v>
      </c>
      <c r="F4944" s="131"/>
      <c r="G4944" s="132"/>
      <c r="H4944" s="162" t="s">
        <v>27027</v>
      </c>
      <c r="I4944" s="158" t="s">
        <v>27028</v>
      </c>
      <c r="J4944" s="128"/>
      <c r="K4944" s="128"/>
      <c r="L4944" s="128"/>
      <c r="M4944" s="129"/>
      <c r="N4944" s="129"/>
      <c r="O4944" s="129"/>
    </row>
    <row r="4945" spans="1:15" ht="12.5">
      <c r="A4945" s="158" t="s">
        <v>27029</v>
      </c>
      <c r="B4945" s="159">
        <v>60</v>
      </c>
      <c r="C4945" s="159">
        <v>70</v>
      </c>
      <c r="D4945" s="159">
        <v>6</v>
      </c>
      <c r="E4945" s="159">
        <v>76</v>
      </c>
      <c r="F4945" s="131"/>
      <c r="G4945" s="132"/>
      <c r="H4945" s="162" t="s">
        <v>27030</v>
      </c>
      <c r="I4945" s="158" t="s">
        <v>27031</v>
      </c>
      <c r="J4945" s="128"/>
      <c r="K4945" s="128"/>
      <c r="L4945" s="128"/>
      <c r="M4945" s="129"/>
      <c r="N4945" s="129"/>
      <c r="O4945" s="129"/>
    </row>
    <row r="4946" spans="1:15" ht="12.5">
      <c r="A4946" s="158" t="s">
        <v>27032</v>
      </c>
      <c r="B4946" s="159">
        <v>60</v>
      </c>
      <c r="C4946" s="159">
        <v>70</v>
      </c>
      <c r="D4946" s="159">
        <v>6</v>
      </c>
      <c r="E4946" s="159">
        <v>77</v>
      </c>
      <c r="F4946" s="131"/>
      <c r="G4946" s="132"/>
      <c r="H4946" s="162" t="s">
        <v>27033</v>
      </c>
      <c r="I4946" s="158" t="s">
        <v>27031</v>
      </c>
      <c r="J4946" s="128"/>
      <c r="K4946" s="128"/>
      <c r="L4946" s="128"/>
      <c r="M4946" s="129"/>
      <c r="N4946" s="129"/>
      <c r="O4946" s="129"/>
    </row>
    <row r="4947" spans="1:15" ht="12.5">
      <c r="A4947" s="158" t="s">
        <v>27034</v>
      </c>
      <c r="B4947" s="159">
        <v>60</v>
      </c>
      <c r="C4947" s="159">
        <v>70</v>
      </c>
      <c r="D4947" s="159">
        <v>6</v>
      </c>
      <c r="E4947" s="159">
        <v>94</v>
      </c>
      <c r="F4947" s="131"/>
      <c r="G4947" s="132"/>
      <c r="H4947" s="162" t="s">
        <v>27035</v>
      </c>
      <c r="I4947" s="158" t="s">
        <v>27031</v>
      </c>
      <c r="J4947" s="128"/>
      <c r="K4947" s="128"/>
      <c r="L4947" s="128"/>
      <c r="M4947" s="129"/>
      <c r="N4947" s="129"/>
      <c r="O4947" s="129"/>
    </row>
    <row r="4948" spans="1:15" ht="12.5">
      <c r="A4948" s="158" t="s">
        <v>27036</v>
      </c>
      <c r="B4948" s="159">
        <v>60</v>
      </c>
      <c r="C4948" s="159">
        <v>70</v>
      </c>
      <c r="D4948" s="159">
        <v>6</v>
      </c>
      <c r="E4948" s="159">
        <v>95</v>
      </c>
      <c r="F4948" s="131"/>
      <c r="G4948" s="132"/>
      <c r="H4948" s="162" t="s">
        <v>27037</v>
      </c>
      <c r="I4948" s="158" t="s">
        <v>27031</v>
      </c>
      <c r="J4948" s="128"/>
      <c r="K4948" s="128"/>
      <c r="L4948" s="128"/>
      <c r="M4948" s="129"/>
      <c r="N4948" s="129"/>
      <c r="O4948" s="129"/>
    </row>
    <row r="4949" spans="1:15" ht="12.5">
      <c r="A4949" s="158" t="s">
        <v>27038</v>
      </c>
      <c r="B4949" s="159">
        <v>60</v>
      </c>
      <c r="C4949" s="159">
        <v>70</v>
      </c>
      <c r="D4949" s="159">
        <v>6</v>
      </c>
      <c r="E4949" s="159">
        <v>96</v>
      </c>
      <c r="F4949" s="131"/>
      <c r="G4949" s="132"/>
      <c r="H4949" s="162" t="s">
        <v>27039</v>
      </c>
      <c r="I4949" s="158" t="s">
        <v>27031</v>
      </c>
      <c r="J4949" s="128"/>
      <c r="K4949" s="128"/>
      <c r="L4949" s="128"/>
      <c r="M4949" s="129"/>
      <c r="N4949" s="129"/>
      <c r="O4949" s="129"/>
    </row>
    <row r="4950" spans="1:15" ht="12.5">
      <c r="A4950" s="158" t="s">
        <v>27040</v>
      </c>
      <c r="B4950" s="159">
        <v>60</v>
      </c>
      <c r="C4950" s="159">
        <v>70</v>
      </c>
      <c r="D4950" s="159">
        <v>22</v>
      </c>
      <c r="E4950" s="130"/>
      <c r="F4950" s="131"/>
      <c r="G4950" s="132"/>
      <c r="H4950" s="162" t="s">
        <v>27041</v>
      </c>
      <c r="I4950" s="128"/>
      <c r="J4950" s="128"/>
      <c r="K4950" s="128"/>
      <c r="L4950" s="128"/>
      <c r="M4950" s="129"/>
      <c r="N4950" s="129"/>
      <c r="O4950" s="129"/>
    </row>
    <row r="4951" spans="1:15" ht="12.5">
      <c r="A4951" s="158" t="s">
        <v>27042</v>
      </c>
      <c r="B4951" s="159">
        <v>60</v>
      </c>
      <c r="C4951" s="159">
        <v>70</v>
      </c>
      <c r="D4951" s="159">
        <v>22</v>
      </c>
      <c r="E4951" s="159">
        <v>11</v>
      </c>
      <c r="F4951" s="131"/>
      <c r="G4951" s="132"/>
      <c r="H4951" s="162" t="s">
        <v>27043</v>
      </c>
      <c r="I4951" s="158" t="s">
        <v>27044</v>
      </c>
      <c r="J4951" s="128"/>
      <c r="K4951" s="128"/>
      <c r="L4951" s="128"/>
      <c r="M4951" s="129"/>
      <c r="N4951" s="129"/>
      <c r="O4951" s="129"/>
    </row>
    <row r="4952" spans="1:15" ht="12.5">
      <c r="A4952" s="158" t="s">
        <v>27045</v>
      </c>
      <c r="B4952" s="159">
        <v>60</v>
      </c>
      <c r="C4952" s="159">
        <v>70</v>
      </c>
      <c r="D4952" s="159">
        <v>22</v>
      </c>
      <c r="E4952" s="159">
        <v>15</v>
      </c>
      <c r="F4952" s="131"/>
      <c r="G4952" s="132"/>
      <c r="H4952" s="162" t="s">
        <v>27046</v>
      </c>
      <c r="I4952" s="128"/>
      <c r="J4952" s="128"/>
      <c r="K4952" s="128"/>
      <c r="L4952" s="128"/>
      <c r="M4952" s="129"/>
      <c r="N4952" s="129"/>
      <c r="O4952" s="129"/>
    </row>
    <row r="4953" spans="1:15" ht="12.5">
      <c r="A4953" s="158" t="s">
        <v>27047</v>
      </c>
      <c r="B4953" s="159">
        <v>60</v>
      </c>
      <c r="C4953" s="159">
        <v>70</v>
      </c>
      <c r="D4953" s="159">
        <v>22</v>
      </c>
      <c r="E4953" s="159">
        <v>19</v>
      </c>
      <c r="F4953" s="131"/>
      <c r="G4953" s="132"/>
      <c r="H4953" s="162" t="s">
        <v>27048</v>
      </c>
      <c r="I4953" s="158" t="s">
        <v>27049</v>
      </c>
      <c r="J4953" s="128"/>
      <c r="K4953" s="128"/>
      <c r="L4953" s="128"/>
      <c r="M4953" s="129"/>
      <c r="N4953" s="129"/>
      <c r="O4953" s="129"/>
    </row>
    <row r="4954" spans="1:15" ht="12.5">
      <c r="A4954" s="158" t="s">
        <v>27050</v>
      </c>
      <c r="B4954" s="159">
        <v>60</v>
      </c>
      <c r="C4954" s="159">
        <v>70</v>
      </c>
      <c r="D4954" s="159">
        <v>22</v>
      </c>
      <c r="E4954" s="159">
        <v>22</v>
      </c>
      <c r="F4954" s="131"/>
      <c r="G4954" s="132"/>
      <c r="H4954" s="162" t="s">
        <v>27051</v>
      </c>
      <c r="I4954" s="158" t="s">
        <v>27052</v>
      </c>
      <c r="J4954" s="128"/>
      <c r="K4954" s="128"/>
      <c r="L4954" s="128"/>
      <c r="M4954" s="129"/>
      <c r="N4954" s="129"/>
      <c r="O4954" s="129"/>
    </row>
    <row r="4955" spans="1:15" ht="12.5">
      <c r="A4955" s="158" t="s">
        <v>27053</v>
      </c>
      <c r="B4955" s="159">
        <v>60</v>
      </c>
      <c r="C4955" s="159">
        <v>70</v>
      </c>
      <c r="D4955" s="159">
        <v>22</v>
      </c>
      <c r="E4955" s="159">
        <v>28</v>
      </c>
      <c r="F4955" s="131"/>
      <c r="G4955" s="132"/>
      <c r="H4955" s="162" t="s">
        <v>27054</v>
      </c>
      <c r="I4955" s="128"/>
      <c r="J4955" s="128"/>
      <c r="K4955" s="128"/>
      <c r="L4955" s="128"/>
      <c r="M4955" s="129"/>
      <c r="N4955" s="129"/>
      <c r="O4955" s="129"/>
    </row>
    <row r="4956" spans="1:15" ht="12.5">
      <c r="A4956" s="158" t="s">
        <v>27055</v>
      </c>
      <c r="B4956" s="159">
        <v>60</v>
      </c>
      <c r="C4956" s="159">
        <v>70</v>
      </c>
      <c r="D4956" s="159">
        <v>22</v>
      </c>
      <c r="E4956" s="159">
        <v>46</v>
      </c>
      <c r="F4956" s="131"/>
      <c r="G4956" s="132"/>
      <c r="H4956" s="162" t="s">
        <v>27056</v>
      </c>
      <c r="I4956" s="158" t="s">
        <v>27057</v>
      </c>
      <c r="J4956" s="128"/>
      <c r="K4956" s="128"/>
      <c r="L4956" s="128"/>
      <c r="M4956" s="129"/>
      <c r="N4956" s="129"/>
      <c r="O4956" s="129"/>
    </row>
    <row r="4957" spans="1:15" ht="12.5">
      <c r="A4957" s="158" t="s">
        <v>27058</v>
      </c>
      <c r="B4957" s="159">
        <v>60</v>
      </c>
      <c r="C4957" s="159">
        <v>70</v>
      </c>
      <c r="D4957" s="159">
        <v>22</v>
      </c>
      <c r="E4957" s="159">
        <v>50</v>
      </c>
      <c r="F4957" s="131"/>
      <c r="G4957" s="132"/>
      <c r="H4957" s="162" t="s">
        <v>27059</v>
      </c>
      <c r="I4957" s="158" t="s">
        <v>27060</v>
      </c>
      <c r="J4957" s="128"/>
      <c r="K4957" s="128"/>
      <c r="L4957" s="128"/>
      <c r="M4957" s="129"/>
      <c r="N4957" s="129"/>
      <c r="O4957" s="129"/>
    </row>
    <row r="4958" spans="1:15" ht="12.5">
      <c r="A4958" s="158" t="s">
        <v>27061</v>
      </c>
      <c r="B4958" s="159">
        <v>60</v>
      </c>
      <c r="C4958" s="159">
        <v>70</v>
      </c>
      <c r="D4958" s="159">
        <v>22</v>
      </c>
      <c r="E4958" s="159">
        <v>79</v>
      </c>
      <c r="F4958" s="131"/>
      <c r="G4958" s="132"/>
      <c r="H4958" s="162" t="s">
        <v>27062</v>
      </c>
      <c r="I4958" s="158" t="s">
        <v>27063</v>
      </c>
      <c r="J4958" s="128"/>
      <c r="K4958" s="128"/>
      <c r="L4958" s="128"/>
      <c r="M4958" s="129"/>
      <c r="N4958" s="129"/>
      <c r="O4958" s="129"/>
    </row>
    <row r="4959" spans="1:15" ht="12.5">
      <c r="A4959" s="158" t="s">
        <v>27064</v>
      </c>
      <c r="B4959" s="159">
        <v>60</v>
      </c>
      <c r="C4959" s="159">
        <v>70</v>
      </c>
      <c r="D4959" s="159">
        <v>22</v>
      </c>
      <c r="E4959" s="159">
        <v>80</v>
      </c>
      <c r="F4959" s="131"/>
      <c r="G4959" s="132"/>
      <c r="H4959" s="162" t="s">
        <v>27065</v>
      </c>
      <c r="I4959" s="128"/>
      <c r="J4959" s="128"/>
      <c r="K4959" s="128"/>
      <c r="L4959" s="128"/>
      <c r="M4959" s="129"/>
      <c r="N4959" s="129"/>
      <c r="O4959" s="129"/>
    </row>
    <row r="4960" spans="1:15" ht="12.5">
      <c r="A4960" s="158" t="s">
        <v>27068</v>
      </c>
      <c r="B4960" s="159">
        <v>60</v>
      </c>
      <c r="C4960" s="159">
        <v>70</v>
      </c>
      <c r="D4960" s="159">
        <v>28</v>
      </c>
      <c r="E4960" s="130"/>
      <c r="F4960" s="131"/>
      <c r="G4960" s="132"/>
      <c r="H4960" s="162" t="s">
        <v>27069</v>
      </c>
      <c r="I4960" s="128"/>
      <c r="J4960" s="128"/>
      <c r="K4960" s="128"/>
      <c r="L4960" s="128"/>
      <c r="M4960" s="129"/>
      <c r="N4960" s="129"/>
      <c r="O4960" s="129"/>
    </row>
    <row r="4961" spans="1:15" ht="12.5">
      <c r="A4961" s="158" t="s">
        <v>27070</v>
      </c>
      <c r="B4961" s="159">
        <v>60</v>
      </c>
      <c r="C4961" s="159">
        <v>70</v>
      </c>
      <c r="D4961" s="159">
        <v>36</v>
      </c>
      <c r="E4961" s="130"/>
      <c r="F4961" s="131"/>
      <c r="G4961" s="132"/>
      <c r="H4961" s="162" t="s">
        <v>27071</v>
      </c>
      <c r="I4961" s="128"/>
      <c r="J4961" s="128"/>
      <c r="K4961" s="128"/>
      <c r="L4961" s="128"/>
      <c r="M4961" s="129"/>
      <c r="N4961" s="129"/>
      <c r="O4961" s="129"/>
    </row>
    <row r="4962" spans="1:15" ht="12.5">
      <c r="A4962" s="158" t="s">
        <v>27072</v>
      </c>
      <c r="B4962" s="159">
        <v>60</v>
      </c>
      <c r="C4962" s="159">
        <v>70</v>
      </c>
      <c r="D4962" s="159">
        <v>36</v>
      </c>
      <c r="E4962" s="159">
        <v>6</v>
      </c>
      <c r="F4962" s="131"/>
      <c r="G4962" s="132"/>
      <c r="H4962" s="162" t="s">
        <v>27073</v>
      </c>
      <c r="I4962" s="158" t="s">
        <v>27074</v>
      </c>
      <c r="J4962" s="128"/>
      <c r="K4962" s="128"/>
      <c r="L4962" s="128"/>
      <c r="M4962" s="129"/>
      <c r="N4962" s="129"/>
      <c r="O4962" s="129"/>
    </row>
    <row r="4963" spans="1:15" ht="12.5">
      <c r="A4963" s="158" t="s">
        <v>27075</v>
      </c>
      <c r="B4963" s="159">
        <v>60</v>
      </c>
      <c r="C4963" s="159">
        <v>70</v>
      </c>
      <c r="D4963" s="159">
        <v>36</v>
      </c>
      <c r="E4963" s="159">
        <v>7</v>
      </c>
      <c r="F4963" s="131"/>
      <c r="G4963" s="132"/>
      <c r="H4963" s="162" t="s">
        <v>27076</v>
      </c>
      <c r="I4963" s="158" t="s">
        <v>27077</v>
      </c>
      <c r="J4963" s="128"/>
      <c r="K4963" s="128"/>
      <c r="L4963" s="128"/>
      <c r="M4963" s="129"/>
      <c r="N4963" s="129"/>
      <c r="O4963" s="129"/>
    </row>
    <row r="4964" spans="1:15" ht="12.5">
      <c r="A4964" s="158" t="s">
        <v>27078</v>
      </c>
      <c r="B4964" s="159">
        <v>60</v>
      </c>
      <c r="C4964" s="159">
        <v>70</v>
      </c>
      <c r="D4964" s="159">
        <v>36</v>
      </c>
      <c r="E4964" s="159">
        <v>12</v>
      </c>
      <c r="F4964" s="131"/>
      <c r="G4964" s="132"/>
      <c r="H4964" s="162" t="s">
        <v>27079</v>
      </c>
      <c r="I4964" s="128"/>
      <c r="J4964" s="128"/>
      <c r="K4964" s="128"/>
      <c r="L4964" s="128"/>
      <c r="M4964" s="129"/>
      <c r="N4964" s="129"/>
      <c r="O4964" s="129"/>
    </row>
    <row r="4965" spans="1:15" ht="12.5">
      <c r="A4965" s="158" t="s">
        <v>27080</v>
      </c>
      <c r="B4965" s="159">
        <v>60</v>
      </c>
      <c r="C4965" s="159">
        <v>70</v>
      </c>
      <c r="D4965" s="159">
        <v>36</v>
      </c>
      <c r="E4965" s="159">
        <v>18</v>
      </c>
      <c r="F4965" s="131"/>
      <c r="G4965" s="132"/>
      <c r="H4965" s="162" t="s">
        <v>27081</v>
      </c>
      <c r="I4965" s="158" t="s">
        <v>27082</v>
      </c>
      <c r="J4965" s="128"/>
      <c r="K4965" s="128"/>
      <c r="L4965" s="128"/>
      <c r="M4965" s="129"/>
      <c r="N4965" s="129"/>
      <c r="O4965" s="129"/>
    </row>
    <row r="4966" spans="1:15" ht="12.5">
      <c r="A4966" s="158" t="s">
        <v>27083</v>
      </c>
      <c r="B4966" s="159">
        <v>60</v>
      </c>
      <c r="C4966" s="159">
        <v>70</v>
      </c>
      <c r="D4966" s="159">
        <v>36</v>
      </c>
      <c r="E4966" s="159">
        <v>22</v>
      </c>
      <c r="F4966" s="131"/>
      <c r="G4966" s="132"/>
      <c r="H4966" s="162" t="s">
        <v>27084</v>
      </c>
      <c r="I4966" s="128"/>
      <c r="J4966" s="128"/>
      <c r="K4966" s="128"/>
      <c r="L4966" s="128"/>
      <c r="M4966" s="129"/>
      <c r="N4966" s="129"/>
      <c r="O4966" s="129"/>
    </row>
    <row r="4967" spans="1:15" ht="12.5">
      <c r="A4967" s="158" t="s">
        <v>27085</v>
      </c>
      <c r="B4967" s="159">
        <v>60</v>
      </c>
      <c r="C4967" s="159">
        <v>70</v>
      </c>
      <c r="D4967" s="159">
        <v>36</v>
      </c>
      <c r="E4967" s="159">
        <v>24</v>
      </c>
      <c r="F4967" s="131"/>
      <c r="G4967" s="132"/>
      <c r="H4967" s="162" t="s">
        <v>27086</v>
      </c>
      <c r="I4967" s="158" t="s">
        <v>27087</v>
      </c>
      <c r="J4967" s="128"/>
      <c r="K4967" s="128"/>
      <c r="L4967" s="128"/>
      <c r="M4967" s="129"/>
      <c r="N4967" s="129"/>
      <c r="O4967" s="129"/>
    </row>
    <row r="4968" spans="1:15" ht="12.5">
      <c r="A4968" s="158" t="s">
        <v>27088</v>
      </c>
      <c r="B4968" s="159">
        <v>60</v>
      </c>
      <c r="C4968" s="159">
        <v>70</v>
      </c>
      <c r="D4968" s="159">
        <v>36</v>
      </c>
      <c r="E4968" s="159">
        <v>26</v>
      </c>
      <c r="F4968" s="131"/>
      <c r="G4968" s="132"/>
      <c r="H4968" s="162" t="s">
        <v>27089</v>
      </c>
      <c r="I4968" s="128"/>
      <c r="J4968" s="128"/>
      <c r="K4968" s="128"/>
      <c r="L4968" s="128"/>
      <c r="M4968" s="129"/>
      <c r="N4968" s="129"/>
      <c r="O4968" s="129"/>
    </row>
    <row r="4969" spans="1:15" ht="12.5">
      <c r="A4969" s="158" t="s">
        <v>27090</v>
      </c>
      <c r="B4969" s="159">
        <v>60</v>
      </c>
      <c r="C4969" s="159">
        <v>70</v>
      </c>
      <c r="D4969" s="159">
        <v>36</v>
      </c>
      <c r="E4969" s="159">
        <v>30</v>
      </c>
      <c r="F4969" s="131"/>
      <c r="G4969" s="132"/>
      <c r="H4969" s="162" t="s">
        <v>27091</v>
      </c>
      <c r="I4969" s="158" t="s">
        <v>27092</v>
      </c>
      <c r="J4969" s="128"/>
      <c r="K4969" s="128"/>
      <c r="L4969" s="128"/>
      <c r="M4969" s="129"/>
      <c r="N4969" s="129"/>
      <c r="O4969" s="129"/>
    </row>
    <row r="4970" spans="1:15" ht="12.5">
      <c r="A4970" s="158" t="s">
        <v>27093</v>
      </c>
      <c r="B4970" s="159">
        <v>60</v>
      </c>
      <c r="C4970" s="159">
        <v>70</v>
      </c>
      <c r="D4970" s="159">
        <v>36</v>
      </c>
      <c r="E4970" s="159">
        <v>37</v>
      </c>
      <c r="F4970" s="131"/>
      <c r="G4970" s="132"/>
      <c r="H4970" s="162" t="s">
        <v>27094</v>
      </c>
      <c r="I4970" s="128"/>
      <c r="J4970" s="128"/>
      <c r="K4970" s="128"/>
      <c r="L4970" s="128"/>
      <c r="M4970" s="129"/>
      <c r="N4970" s="129"/>
      <c r="O4970" s="129"/>
    </row>
    <row r="4971" spans="1:15" ht="12.5">
      <c r="A4971" s="158" t="s">
        <v>27095</v>
      </c>
      <c r="B4971" s="159">
        <v>60</v>
      </c>
      <c r="C4971" s="159">
        <v>70</v>
      </c>
      <c r="D4971" s="159">
        <v>36</v>
      </c>
      <c r="E4971" s="159">
        <v>53</v>
      </c>
      <c r="F4971" s="131"/>
      <c r="G4971" s="132"/>
      <c r="H4971" s="162" t="s">
        <v>27096</v>
      </c>
      <c r="I4971" s="158" t="s">
        <v>27097</v>
      </c>
      <c r="J4971" s="128"/>
      <c r="K4971" s="128"/>
      <c r="L4971" s="128"/>
      <c r="M4971" s="129"/>
      <c r="N4971" s="129"/>
      <c r="O4971" s="129"/>
    </row>
    <row r="4972" spans="1:15" ht="12.5">
      <c r="A4972" s="158" t="s">
        <v>27100</v>
      </c>
      <c r="B4972" s="159">
        <v>60</v>
      </c>
      <c r="C4972" s="159">
        <v>70</v>
      </c>
      <c r="D4972" s="159">
        <v>36</v>
      </c>
      <c r="E4972" s="159">
        <v>72</v>
      </c>
      <c r="F4972" s="131"/>
      <c r="G4972" s="132"/>
      <c r="H4972" s="162" t="s">
        <v>27101</v>
      </c>
      <c r="I4972" s="158" t="s">
        <v>27102</v>
      </c>
      <c r="J4972" s="128"/>
      <c r="K4972" s="128"/>
      <c r="L4972" s="128"/>
      <c r="M4972" s="129"/>
      <c r="N4972" s="129"/>
      <c r="O4972" s="129"/>
    </row>
    <row r="4973" spans="1:15" ht="12.5">
      <c r="A4973" s="158" t="s">
        <v>27103</v>
      </c>
      <c r="B4973" s="159">
        <v>60</v>
      </c>
      <c r="C4973" s="159">
        <v>70</v>
      </c>
      <c r="D4973" s="159">
        <v>36</v>
      </c>
      <c r="E4973" s="159">
        <v>75</v>
      </c>
      <c r="F4973" s="131"/>
      <c r="G4973" s="132"/>
      <c r="H4973" s="162" t="s">
        <v>27104</v>
      </c>
      <c r="I4973" s="158" t="s">
        <v>27105</v>
      </c>
      <c r="J4973" s="128"/>
      <c r="K4973" s="128"/>
      <c r="L4973" s="128"/>
      <c r="M4973" s="129"/>
      <c r="N4973" s="129"/>
      <c r="O4973" s="129"/>
    </row>
    <row r="4974" spans="1:15" ht="12.5">
      <c r="A4974" s="158" t="s">
        <v>27106</v>
      </c>
      <c r="B4974" s="159">
        <v>60</v>
      </c>
      <c r="C4974" s="159">
        <v>70</v>
      </c>
      <c r="D4974" s="159">
        <v>36</v>
      </c>
      <c r="E4974" s="159">
        <v>80</v>
      </c>
      <c r="F4974" s="131"/>
      <c r="G4974" s="132"/>
      <c r="H4974" s="162" t="s">
        <v>27107</v>
      </c>
      <c r="I4974" s="128"/>
      <c r="J4974" s="128"/>
      <c r="K4974" s="128"/>
      <c r="L4974" s="128"/>
      <c r="M4974" s="129"/>
      <c r="N4974" s="129"/>
      <c r="O4974" s="129"/>
    </row>
    <row r="4975" spans="1:15" ht="12.5">
      <c r="A4975" s="158" t="s">
        <v>27108</v>
      </c>
      <c r="B4975" s="159">
        <v>60</v>
      </c>
      <c r="C4975" s="159">
        <v>70</v>
      </c>
      <c r="D4975" s="159">
        <v>36</v>
      </c>
      <c r="E4975" s="159">
        <v>81</v>
      </c>
      <c r="F4975" s="131"/>
      <c r="G4975" s="132"/>
      <c r="H4975" s="162" t="s">
        <v>27109</v>
      </c>
      <c r="I4975" s="128"/>
      <c r="J4975" s="128"/>
      <c r="K4975" s="128"/>
      <c r="L4975" s="128"/>
      <c r="M4975" s="129"/>
      <c r="N4975" s="129"/>
      <c r="O4975" s="129"/>
    </row>
    <row r="4976" spans="1:15" ht="12.5">
      <c r="A4976" s="158" t="s">
        <v>27110</v>
      </c>
      <c r="B4976" s="159">
        <v>60</v>
      </c>
      <c r="C4976" s="159">
        <v>70</v>
      </c>
      <c r="D4976" s="159">
        <v>36</v>
      </c>
      <c r="E4976" s="159">
        <v>82</v>
      </c>
      <c r="F4976" s="131"/>
      <c r="G4976" s="132"/>
      <c r="H4976" s="162" t="s">
        <v>27111</v>
      </c>
      <c r="I4976" s="128"/>
      <c r="J4976" s="128"/>
      <c r="K4976" s="128"/>
      <c r="L4976" s="128"/>
      <c r="M4976" s="129"/>
      <c r="N4976" s="129"/>
      <c r="O4976" s="129"/>
    </row>
    <row r="4977" spans="1:15" ht="12.5">
      <c r="A4977" s="158" t="s">
        <v>27112</v>
      </c>
      <c r="B4977" s="159">
        <v>60</v>
      </c>
      <c r="C4977" s="159">
        <v>70</v>
      </c>
      <c r="D4977" s="159">
        <v>36</v>
      </c>
      <c r="E4977" s="159">
        <v>83</v>
      </c>
      <c r="F4977" s="131"/>
      <c r="G4977" s="132"/>
      <c r="H4977" s="162" t="s">
        <v>27113</v>
      </c>
      <c r="I4977" s="158" t="s">
        <v>27114</v>
      </c>
      <c r="J4977" s="128"/>
      <c r="K4977" s="128"/>
      <c r="L4977" s="128"/>
      <c r="M4977" s="129"/>
      <c r="N4977" s="129"/>
      <c r="O4977" s="129"/>
    </row>
    <row r="4978" spans="1:15" ht="12.5">
      <c r="A4978" s="158" t="s">
        <v>27115</v>
      </c>
      <c r="B4978" s="159">
        <v>60</v>
      </c>
      <c r="C4978" s="159">
        <v>70</v>
      </c>
      <c r="D4978" s="159">
        <v>36</v>
      </c>
      <c r="E4978" s="159">
        <v>94</v>
      </c>
      <c r="F4978" s="131"/>
      <c r="G4978" s="132"/>
      <c r="H4978" s="162" t="s">
        <v>27116</v>
      </c>
      <c r="I4978" s="158" t="s">
        <v>27117</v>
      </c>
      <c r="J4978" s="128"/>
      <c r="K4978" s="128"/>
      <c r="L4978" s="128"/>
      <c r="M4978" s="129"/>
      <c r="N4978" s="129"/>
      <c r="O4978" s="129"/>
    </row>
    <row r="4979" spans="1:15" ht="12.5">
      <c r="A4979" s="158" t="s">
        <v>27118</v>
      </c>
      <c r="B4979" s="159">
        <v>60</v>
      </c>
      <c r="C4979" s="159">
        <v>70</v>
      </c>
      <c r="D4979" s="159">
        <v>48</v>
      </c>
      <c r="E4979" s="130"/>
      <c r="F4979" s="131"/>
      <c r="G4979" s="132"/>
      <c r="H4979" s="162" t="s">
        <v>27119</v>
      </c>
      <c r="I4979" s="128"/>
      <c r="J4979" s="128"/>
      <c r="K4979" s="128"/>
      <c r="L4979" s="128"/>
      <c r="M4979" s="129"/>
      <c r="N4979" s="129"/>
      <c r="O4979" s="129"/>
    </row>
    <row r="4980" spans="1:15" ht="12.5">
      <c r="A4980" s="158" t="s">
        <v>27120</v>
      </c>
      <c r="B4980" s="159">
        <v>60</v>
      </c>
      <c r="C4980" s="159">
        <v>70</v>
      </c>
      <c r="D4980" s="159">
        <v>48</v>
      </c>
      <c r="E4980" s="159">
        <v>5</v>
      </c>
      <c r="F4980" s="131"/>
      <c r="G4980" s="132"/>
      <c r="H4980" s="162" t="s">
        <v>27121</v>
      </c>
      <c r="I4980" s="158" t="s">
        <v>27122</v>
      </c>
      <c r="J4980" s="128"/>
      <c r="K4980" s="128"/>
      <c r="L4980" s="128"/>
      <c r="M4980" s="129"/>
      <c r="N4980" s="129"/>
      <c r="O4980" s="129"/>
    </row>
    <row r="4981" spans="1:15" ht="12.5">
      <c r="A4981" s="158" t="s">
        <v>27123</v>
      </c>
      <c r="B4981" s="159">
        <v>60</v>
      </c>
      <c r="C4981" s="159">
        <v>70</v>
      </c>
      <c r="D4981" s="159">
        <v>48</v>
      </c>
      <c r="E4981" s="159">
        <v>6</v>
      </c>
      <c r="F4981" s="131"/>
      <c r="G4981" s="132"/>
      <c r="H4981" s="162" t="s">
        <v>27124</v>
      </c>
      <c r="I4981" s="158" t="s">
        <v>27125</v>
      </c>
      <c r="J4981" s="128"/>
      <c r="K4981" s="128"/>
      <c r="L4981" s="128"/>
      <c r="M4981" s="129"/>
      <c r="N4981" s="129"/>
      <c r="O4981" s="129"/>
    </row>
    <row r="4982" spans="1:15" ht="12.5">
      <c r="A4982" s="158" t="s">
        <v>27126</v>
      </c>
      <c r="B4982" s="159">
        <v>60</v>
      </c>
      <c r="C4982" s="159">
        <v>70</v>
      </c>
      <c r="D4982" s="159">
        <v>48</v>
      </c>
      <c r="E4982" s="159">
        <v>7</v>
      </c>
      <c r="F4982" s="131"/>
      <c r="G4982" s="132"/>
      <c r="H4982" s="162" t="s">
        <v>27127</v>
      </c>
      <c r="I4982" s="158" t="s">
        <v>27128</v>
      </c>
      <c r="J4982" s="128"/>
      <c r="K4982" s="128"/>
      <c r="L4982" s="128"/>
      <c r="M4982" s="129"/>
      <c r="N4982" s="129"/>
      <c r="O4982" s="129"/>
    </row>
    <row r="4983" spans="1:15" ht="12.5">
      <c r="A4983" s="158" t="s">
        <v>27129</v>
      </c>
      <c r="B4983" s="159">
        <v>60</v>
      </c>
      <c r="C4983" s="159">
        <v>70</v>
      </c>
      <c r="D4983" s="159">
        <v>48</v>
      </c>
      <c r="E4983" s="159">
        <v>8</v>
      </c>
      <c r="F4983" s="131"/>
      <c r="G4983" s="132"/>
      <c r="H4983" s="162" t="s">
        <v>27130</v>
      </c>
      <c r="I4983" s="158" t="s">
        <v>27131</v>
      </c>
      <c r="J4983" s="128"/>
      <c r="K4983" s="128"/>
      <c r="L4983" s="128"/>
      <c r="M4983" s="129"/>
      <c r="N4983" s="129"/>
      <c r="O4983" s="129"/>
    </row>
    <row r="4984" spans="1:15" ht="12.5">
      <c r="A4984" s="158" t="s">
        <v>27132</v>
      </c>
      <c r="B4984" s="159">
        <v>60</v>
      </c>
      <c r="C4984" s="159">
        <v>70</v>
      </c>
      <c r="D4984" s="159">
        <v>48</v>
      </c>
      <c r="E4984" s="159">
        <v>9</v>
      </c>
      <c r="F4984" s="131"/>
      <c r="G4984" s="132"/>
      <c r="H4984" s="162" t="s">
        <v>27133</v>
      </c>
      <c r="I4984" s="158" t="s">
        <v>27134</v>
      </c>
      <c r="J4984" s="128"/>
      <c r="K4984" s="128"/>
      <c r="L4984" s="128"/>
      <c r="M4984" s="129"/>
      <c r="N4984" s="129"/>
      <c r="O4984" s="129"/>
    </row>
    <row r="4985" spans="1:15" ht="12.5">
      <c r="A4985" s="158" t="s">
        <v>27135</v>
      </c>
      <c r="B4985" s="159">
        <v>60</v>
      </c>
      <c r="C4985" s="159">
        <v>70</v>
      </c>
      <c r="D4985" s="159">
        <v>48</v>
      </c>
      <c r="E4985" s="159">
        <v>11</v>
      </c>
      <c r="F4985" s="131"/>
      <c r="G4985" s="132"/>
      <c r="H4985" s="162" t="s">
        <v>27136</v>
      </c>
      <c r="I4985" s="158" t="s">
        <v>27137</v>
      </c>
      <c r="J4985" s="128"/>
      <c r="K4985" s="128"/>
      <c r="L4985" s="128"/>
      <c r="M4985" s="129"/>
      <c r="N4985" s="129"/>
      <c r="O4985" s="129"/>
    </row>
    <row r="4986" spans="1:15" ht="12.5">
      <c r="A4986" s="158" t="s">
        <v>27138</v>
      </c>
      <c r="B4986" s="159">
        <v>60</v>
      </c>
      <c r="C4986" s="159">
        <v>70</v>
      </c>
      <c r="D4986" s="159">
        <v>48</v>
      </c>
      <c r="E4986" s="159">
        <v>27</v>
      </c>
      <c r="F4986" s="131"/>
      <c r="G4986" s="132"/>
      <c r="H4986" s="162" t="s">
        <v>27139</v>
      </c>
      <c r="I4986" s="158" t="s">
        <v>27140</v>
      </c>
      <c r="J4986" s="128"/>
      <c r="K4986" s="128"/>
      <c r="L4986" s="128"/>
      <c r="M4986" s="129"/>
      <c r="N4986" s="129"/>
      <c r="O4986" s="129"/>
    </row>
    <row r="4987" spans="1:15" ht="12.5">
      <c r="A4987" s="158" t="s">
        <v>27141</v>
      </c>
      <c r="B4987" s="159">
        <v>60</v>
      </c>
      <c r="C4987" s="159">
        <v>70</v>
      </c>
      <c r="D4987" s="159">
        <v>48</v>
      </c>
      <c r="E4987" s="159">
        <v>30</v>
      </c>
      <c r="F4987" s="131"/>
      <c r="G4987" s="132"/>
      <c r="H4987" s="162" t="s">
        <v>27142</v>
      </c>
      <c r="I4987" s="128"/>
      <c r="J4987" s="128"/>
      <c r="K4987" s="128"/>
      <c r="L4987" s="128"/>
      <c r="M4987" s="129"/>
      <c r="N4987" s="129"/>
      <c r="O4987" s="129"/>
    </row>
    <row r="4988" spans="1:15" ht="12.5">
      <c r="A4988" s="158" t="s">
        <v>27143</v>
      </c>
      <c r="B4988" s="159">
        <v>60</v>
      </c>
      <c r="C4988" s="159">
        <v>70</v>
      </c>
      <c r="D4988" s="159">
        <v>48</v>
      </c>
      <c r="E4988" s="159">
        <v>44</v>
      </c>
      <c r="F4988" s="131"/>
      <c r="G4988" s="132"/>
      <c r="H4988" s="162" t="s">
        <v>27144</v>
      </c>
      <c r="I4988" s="158" t="s">
        <v>27145</v>
      </c>
      <c r="J4988" s="128"/>
      <c r="K4988" s="128"/>
      <c r="L4988" s="128"/>
      <c r="M4988" s="129"/>
      <c r="N4988" s="129"/>
      <c r="O4988" s="129"/>
    </row>
    <row r="4989" spans="1:15" ht="12.5">
      <c r="A4989" s="158" t="s">
        <v>27146</v>
      </c>
      <c r="B4989" s="159">
        <v>60</v>
      </c>
      <c r="C4989" s="159">
        <v>70</v>
      </c>
      <c r="D4989" s="159">
        <v>48</v>
      </c>
      <c r="E4989" s="159">
        <v>45</v>
      </c>
      <c r="F4989" s="131"/>
      <c r="G4989" s="132"/>
      <c r="H4989" s="162" t="s">
        <v>27147</v>
      </c>
      <c r="I4989" s="128"/>
      <c r="J4989" s="128"/>
      <c r="K4989" s="128"/>
      <c r="L4989" s="128"/>
      <c r="M4989" s="129"/>
      <c r="N4989" s="129"/>
      <c r="O4989" s="129"/>
    </row>
    <row r="4990" spans="1:15" ht="12.5">
      <c r="A4990" s="158" t="s">
        <v>27148</v>
      </c>
      <c r="B4990" s="159">
        <v>60</v>
      </c>
      <c r="C4990" s="159">
        <v>70</v>
      </c>
      <c r="D4990" s="159">
        <v>48</v>
      </c>
      <c r="E4990" s="159">
        <v>46</v>
      </c>
      <c r="F4990" s="131"/>
      <c r="G4990" s="132"/>
      <c r="H4990" s="162" t="s">
        <v>27149</v>
      </c>
      <c r="I4990" s="158" t="s">
        <v>27150</v>
      </c>
      <c r="J4990" s="128"/>
      <c r="K4990" s="128"/>
      <c r="L4990" s="128"/>
      <c r="M4990" s="129"/>
      <c r="N4990" s="129"/>
      <c r="O4990" s="129"/>
    </row>
    <row r="4991" spans="1:15" ht="12.5">
      <c r="A4991" s="158" t="s">
        <v>27151</v>
      </c>
      <c r="B4991" s="159">
        <v>60</v>
      </c>
      <c r="C4991" s="159">
        <v>70</v>
      </c>
      <c r="D4991" s="159">
        <v>48</v>
      </c>
      <c r="E4991" s="159">
        <v>47</v>
      </c>
      <c r="F4991" s="131"/>
      <c r="G4991" s="132"/>
      <c r="H4991" s="162" t="s">
        <v>27152</v>
      </c>
      <c r="I4991" s="158" t="s">
        <v>27153</v>
      </c>
      <c r="J4991" s="128"/>
      <c r="K4991" s="128"/>
      <c r="L4991" s="128"/>
      <c r="M4991" s="129"/>
      <c r="N4991" s="129"/>
      <c r="O4991" s="129"/>
    </row>
    <row r="4992" spans="1:15" ht="12.5">
      <c r="A4992" s="158" t="s">
        <v>27154</v>
      </c>
      <c r="B4992" s="159">
        <v>60</v>
      </c>
      <c r="C4992" s="159">
        <v>70</v>
      </c>
      <c r="D4992" s="159">
        <v>48</v>
      </c>
      <c r="E4992" s="159">
        <v>48</v>
      </c>
      <c r="F4992" s="131"/>
      <c r="G4992" s="132"/>
      <c r="H4992" s="162" t="s">
        <v>27155</v>
      </c>
      <c r="I4992" s="128"/>
      <c r="J4992" s="128"/>
      <c r="K4992" s="128"/>
      <c r="L4992" s="128"/>
      <c r="M4992" s="129"/>
      <c r="N4992" s="129"/>
      <c r="O4992" s="129"/>
    </row>
    <row r="4993" spans="1:15" ht="12.5">
      <c r="A4993" s="158" t="s">
        <v>27156</v>
      </c>
      <c r="B4993" s="159">
        <v>60</v>
      </c>
      <c r="C4993" s="159">
        <v>70</v>
      </c>
      <c r="D4993" s="159">
        <v>48</v>
      </c>
      <c r="E4993" s="159">
        <v>49</v>
      </c>
      <c r="F4993" s="131"/>
      <c r="G4993" s="132"/>
      <c r="H4993" s="162" t="s">
        <v>27157</v>
      </c>
      <c r="I4993" s="158" t="s">
        <v>27158</v>
      </c>
      <c r="J4993" s="128"/>
      <c r="K4993" s="128"/>
      <c r="L4993" s="128"/>
      <c r="M4993" s="129"/>
      <c r="N4993" s="129"/>
      <c r="O4993" s="129"/>
    </row>
    <row r="4994" spans="1:15" ht="12.5">
      <c r="A4994" s="158" t="s">
        <v>27159</v>
      </c>
      <c r="B4994" s="159">
        <v>60</v>
      </c>
      <c r="C4994" s="159">
        <v>70</v>
      </c>
      <c r="D4994" s="159">
        <v>48</v>
      </c>
      <c r="E4994" s="159">
        <v>62</v>
      </c>
      <c r="F4994" s="131"/>
      <c r="G4994" s="132"/>
      <c r="H4994" s="162" t="s">
        <v>27160</v>
      </c>
      <c r="I4994" s="158" t="s">
        <v>27161</v>
      </c>
      <c r="J4994" s="128"/>
      <c r="K4994" s="128"/>
      <c r="L4994" s="128"/>
      <c r="M4994" s="129"/>
      <c r="N4994" s="129"/>
      <c r="O4994" s="129"/>
    </row>
    <row r="4995" spans="1:15" ht="12.5">
      <c r="A4995" s="158" t="s">
        <v>27162</v>
      </c>
      <c r="B4995" s="159">
        <v>60</v>
      </c>
      <c r="C4995" s="159">
        <v>70</v>
      </c>
      <c r="D4995" s="159">
        <v>48</v>
      </c>
      <c r="E4995" s="159">
        <v>63</v>
      </c>
      <c r="F4995" s="131"/>
      <c r="G4995" s="132"/>
      <c r="H4995" s="162" t="s">
        <v>27163</v>
      </c>
      <c r="I4995" s="128"/>
      <c r="J4995" s="128"/>
      <c r="K4995" s="128"/>
      <c r="L4995" s="128"/>
      <c r="M4995" s="129"/>
      <c r="N4995" s="129"/>
      <c r="O4995" s="129"/>
    </row>
    <row r="4996" spans="1:15" ht="12.5">
      <c r="A4996" s="158" t="s">
        <v>27164</v>
      </c>
      <c r="B4996" s="159">
        <v>60</v>
      </c>
      <c r="C4996" s="159">
        <v>70</v>
      </c>
      <c r="D4996" s="159">
        <v>48</v>
      </c>
      <c r="E4996" s="159">
        <v>66</v>
      </c>
      <c r="F4996" s="131"/>
      <c r="G4996" s="132"/>
      <c r="H4996" s="162" t="s">
        <v>27165</v>
      </c>
      <c r="I4996" s="158" t="s">
        <v>27166</v>
      </c>
      <c r="J4996" s="128"/>
      <c r="K4996" s="128"/>
      <c r="L4996" s="128"/>
      <c r="M4996" s="129"/>
      <c r="N4996" s="129"/>
      <c r="O4996" s="129"/>
    </row>
    <row r="4997" spans="1:15" ht="12.5">
      <c r="A4997" s="158" t="s">
        <v>27167</v>
      </c>
      <c r="B4997" s="159">
        <v>60</v>
      </c>
      <c r="C4997" s="159">
        <v>70</v>
      </c>
      <c r="D4997" s="159">
        <v>64</v>
      </c>
      <c r="E4997" s="130"/>
      <c r="F4997" s="131"/>
      <c r="G4997" s="132"/>
      <c r="H4997" s="162" t="s">
        <v>27168</v>
      </c>
      <c r="I4997" s="128"/>
      <c r="J4997" s="128"/>
      <c r="K4997" s="128"/>
      <c r="L4997" s="128"/>
      <c r="M4997" s="129"/>
      <c r="N4997" s="129"/>
      <c r="O4997" s="129"/>
    </row>
    <row r="4998" spans="1:15" ht="12.5">
      <c r="A4998" s="158" t="s">
        <v>27169</v>
      </c>
      <c r="B4998" s="159">
        <v>60</v>
      </c>
      <c r="C4998" s="159">
        <v>70</v>
      </c>
      <c r="D4998" s="159">
        <v>64</v>
      </c>
      <c r="E4998" s="159">
        <v>86</v>
      </c>
      <c r="F4998" s="131"/>
      <c r="G4998" s="132"/>
      <c r="H4998" s="162" t="s">
        <v>27170</v>
      </c>
      <c r="I4998" s="158" t="s">
        <v>27171</v>
      </c>
      <c r="J4998" s="128"/>
      <c r="K4998" s="128"/>
      <c r="L4998" s="128"/>
      <c r="M4998" s="129"/>
      <c r="N4998" s="129"/>
      <c r="O4998" s="129"/>
    </row>
    <row r="4999" spans="1:15" ht="12.5">
      <c r="A4999" s="158" t="s">
        <v>27172</v>
      </c>
      <c r="B4999" s="159">
        <v>60</v>
      </c>
      <c r="C4999" s="159">
        <v>70</v>
      </c>
      <c r="D4999" s="159">
        <v>64</v>
      </c>
      <c r="E4999" s="159">
        <v>93</v>
      </c>
      <c r="F4999" s="131"/>
      <c r="G4999" s="132"/>
      <c r="H4999" s="162" t="s">
        <v>27173</v>
      </c>
      <c r="I4999" s="158" t="s">
        <v>27174</v>
      </c>
      <c r="J4999" s="128"/>
      <c r="K4999" s="128"/>
      <c r="L4999" s="128"/>
      <c r="M4999" s="129"/>
      <c r="N4999" s="129"/>
      <c r="O4999" s="129"/>
    </row>
    <row r="5000" spans="1:15" ht="12.5">
      <c r="A5000" s="158" t="s">
        <v>27175</v>
      </c>
      <c r="B5000" s="159">
        <v>60</v>
      </c>
      <c r="C5000" s="159">
        <v>70</v>
      </c>
      <c r="D5000" s="159">
        <v>64</v>
      </c>
      <c r="E5000" s="159">
        <v>94</v>
      </c>
      <c r="F5000" s="131"/>
      <c r="G5000" s="132"/>
      <c r="H5000" s="162" t="s">
        <v>27176</v>
      </c>
      <c r="I5000" s="158" t="s">
        <v>27177</v>
      </c>
      <c r="J5000" s="128"/>
      <c r="K5000" s="128"/>
      <c r="L5000" s="128"/>
      <c r="M5000" s="129"/>
      <c r="N5000" s="129"/>
      <c r="O5000" s="129"/>
    </row>
    <row r="5001" spans="1:15" ht="12.5">
      <c r="A5001" s="158" t="s">
        <v>27178</v>
      </c>
      <c r="B5001" s="159">
        <v>60</v>
      </c>
      <c r="C5001" s="159">
        <v>70</v>
      </c>
      <c r="D5001" s="159">
        <v>65</v>
      </c>
      <c r="E5001" s="130"/>
      <c r="F5001" s="131"/>
      <c r="G5001" s="132"/>
      <c r="H5001" s="162" t="s">
        <v>27179</v>
      </c>
      <c r="I5001" s="128"/>
      <c r="J5001" s="128"/>
      <c r="K5001" s="128"/>
      <c r="L5001" s="128"/>
      <c r="M5001" s="129"/>
      <c r="N5001" s="129"/>
      <c r="O5001" s="129"/>
    </row>
    <row r="5002" spans="1:15" ht="12.5">
      <c r="A5002" s="158" t="s">
        <v>27180</v>
      </c>
      <c r="B5002" s="159">
        <v>60</v>
      </c>
      <c r="C5002" s="159">
        <v>70</v>
      </c>
      <c r="D5002" s="159">
        <v>65</v>
      </c>
      <c r="E5002" s="159">
        <v>3</v>
      </c>
      <c r="F5002" s="131"/>
      <c r="G5002" s="132"/>
      <c r="H5002" s="162" t="s">
        <v>27181</v>
      </c>
      <c r="I5002" s="158" t="s">
        <v>33512</v>
      </c>
      <c r="J5002" s="128"/>
      <c r="K5002" s="128"/>
      <c r="L5002" s="128"/>
      <c r="M5002" s="129"/>
      <c r="N5002" s="129"/>
      <c r="O5002" s="129"/>
    </row>
    <row r="5003" spans="1:15" ht="12.5">
      <c r="A5003" s="158" t="s">
        <v>27182</v>
      </c>
      <c r="B5003" s="159">
        <v>60</v>
      </c>
      <c r="C5003" s="159">
        <v>70</v>
      </c>
      <c r="D5003" s="159">
        <v>65</v>
      </c>
      <c r="E5003" s="159">
        <v>5</v>
      </c>
      <c r="F5003" s="131"/>
      <c r="G5003" s="132"/>
      <c r="H5003" s="162" t="s">
        <v>27183</v>
      </c>
      <c r="I5003" s="158" t="s">
        <v>33513</v>
      </c>
      <c r="J5003" s="128"/>
      <c r="K5003" s="128"/>
      <c r="L5003" s="128"/>
      <c r="M5003" s="129"/>
      <c r="N5003" s="129"/>
      <c r="O5003" s="129"/>
    </row>
    <row r="5004" spans="1:15" ht="12.5">
      <c r="A5004" s="158" t="s">
        <v>27184</v>
      </c>
      <c r="B5004" s="159">
        <v>60</v>
      </c>
      <c r="C5004" s="159">
        <v>70</v>
      </c>
      <c r="D5004" s="159">
        <v>65</v>
      </c>
      <c r="E5004" s="159">
        <v>32</v>
      </c>
      <c r="F5004" s="131"/>
      <c r="G5004" s="132"/>
      <c r="H5004" s="162" t="s">
        <v>27185</v>
      </c>
      <c r="I5004" s="158" t="s">
        <v>27186</v>
      </c>
      <c r="J5004" s="128"/>
      <c r="K5004" s="128"/>
      <c r="L5004" s="128"/>
      <c r="M5004" s="129"/>
      <c r="N5004" s="129"/>
      <c r="O5004" s="129"/>
    </row>
    <row r="5005" spans="1:15" ht="12.5">
      <c r="A5005" s="158" t="s">
        <v>27187</v>
      </c>
      <c r="B5005" s="159">
        <v>60</v>
      </c>
      <c r="C5005" s="159">
        <v>70</v>
      </c>
      <c r="D5005" s="159">
        <v>65</v>
      </c>
      <c r="E5005" s="159">
        <v>33</v>
      </c>
      <c r="F5005" s="131"/>
      <c r="G5005" s="132"/>
      <c r="H5005" s="162" t="s">
        <v>27188</v>
      </c>
      <c r="I5005" s="158" t="s">
        <v>33514</v>
      </c>
      <c r="J5005" s="128"/>
      <c r="K5005" s="128"/>
      <c r="L5005" s="128"/>
      <c r="M5005" s="129"/>
      <c r="N5005" s="129"/>
      <c r="O5005" s="129"/>
    </row>
    <row r="5006" spans="1:15" ht="12.5">
      <c r="A5006" s="158" t="s">
        <v>27189</v>
      </c>
      <c r="B5006" s="159">
        <v>60</v>
      </c>
      <c r="C5006" s="159">
        <v>70</v>
      </c>
      <c r="D5006" s="159">
        <v>65</v>
      </c>
      <c r="E5006" s="159">
        <v>34</v>
      </c>
      <c r="F5006" s="131"/>
      <c r="G5006" s="132"/>
      <c r="H5006" s="162" t="s">
        <v>27190</v>
      </c>
      <c r="I5006" s="158" t="s">
        <v>27191</v>
      </c>
      <c r="J5006" s="128"/>
      <c r="K5006" s="128"/>
      <c r="L5006" s="128"/>
      <c r="M5006" s="129"/>
      <c r="N5006" s="129"/>
      <c r="O5006" s="129"/>
    </row>
    <row r="5007" spans="1:15" ht="12.5">
      <c r="A5007" s="158" t="s">
        <v>27192</v>
      </c>
      <c r="B5007" s="159">
        <v>60</v>
      </c>
      <c r="C5007" s="159">
        <v>70</v>
      </c>
      <c r="D5007" s="159">
        <v>65</v>
      </c>
      <c r="E5007" s="159">
        <v>35</v>
      </c>
      <c r="F5007" s="131"/>
      <c r="G5007" s="132"/>
      <c r="H5007" s="162" t="s">
        <v>27193</v>
      </c>
      <c r="I5007" s="158" t="s">
        <v>33515</v>
      </c>
      <c r="J5007" s="128"/>
      <c r="K5007" s="128"/>
      <c r="L5007" s="128"/>
      <c r="M5007" s="129"/>
      <c r="N5007" s="129"/>
      <c r="O5007" s="129"/>
    </row>
    <row r="5008" spans="1:15" ht="12.5">
      <c r="A5008" s="158" t="s">
        <v>27194</v>
      </c>
      <c r="B5008" s="159">
        <v>60</v>
      </c>
      <c r="C5008" s="159">
        <v>70</v>
      </c>
      <c r="D5008" s="159">
        <v>65</v>
      </c>
      <c r="E5008" s="159">
        <v>37</v>
      </c>
      <c r="F5008" s="131"/>
      <c r="G5008" s="132"/>
      <c r="H5008" s="162" t="s">
        <v>27195</v>
      </c>
      <c r="I5008" s="158" t="s">
        <v>27196</v>
      </c>
      <c r="J5008" s="128"/>
      <c r="K5008" s="128"/>
      <c r="L5008" s="128"/>
      <c r="M5008" s="129"/>
      <c r="N5008" s="129"/>
      <c r="O5008" s="129"/>
    </row>
    <row r="5009" spans="1:15" ht="12.5">
      <c r="A5009" s="158" t="s">
        <v>27199</v>
      </c>
      <c r="B5009" s="159">
        <v>60</v>
      </c>
      <c r="C5009" s="159">
        <v>70</v>
      </c>
      <c r="D5009" s="159">
        <v>65</v>
      </c>
      <c r="E5009" s="159">
        <v>39</v>
      </c>
      <c r="F5009" s="131"/>
      <c r="G5009" s="132"/>
      <c r="H5009" s="162" t="s">
        <v>27200</v>
      </c>
      <c r="I5009" s="158" t="s">
        <v>27201</v>
      </c>
      <c r="J5009" s="128"/>
      <c r="K5009" s="128"/>
      <c r="L5009" s="128"/>
      <c r="M5009" s="129"/>
      <c r="N5009" s="129"/>
      <c r="O5009" s="129"/>
    </row>
    <row r="5010" spans="1:15" ht="12.5">
      <c r="A5010" s="158" t="s">
        <v>27202</v>
      </c>
      <c r="B5010" s="159">
        <v>60</v>
      </c>
      <c r="C5010" s="159">
        <v>70</v>
      </c>
      <c r="D5010" s="159">
        <v>65</v>
      </c>
      <c r="E5010" s="159">
        <v>41</v>
      </c>
      <c r="F5010" s="131"/>
      <c r="G5010" s="132"/>
      <c r="H5010" s="162" t="s">
        <v>27203</v>
      </c>
      <c r="I5010" s="158" t="s">
        <v>33516</v>
      </c>
      <c r="J5010" s="128"/>
      <c r="K5010" s="128"/>
      <c r="L5010" s="128"/>
      <c r="M5010" s="129"/>
      <c r="N5010" s="129"/>
      <c r="O5010" s="129"/>
    </row>
    <row r="5011" spans="1:15" ht="12.5">
      <c r="A5011" s="158" t="s">
        <v>27204</v>
      </c>
      <c r="B5011" s="159">
        <v>60</v>
      </c>
      <c r="C5011" s="159">
        <v>70</v>
      </c>
      <c r="D5011" s="159">
        <v>65</v>
      </c>
      <c r="E5011" s="159">
        <v>47</v>
      </c>
      <c r="F5011" s="131"/>
      <c r="G5011" s="132"/>
      <c r="H5011" s="162" t="s">
        <v>27205</v>
      </c>
      <c r="I5011" s="158" t="s">
        <v>27206</v>
      </c>
      <c r="J5011" s="128"/>
      <c r="K5011" s="128"/>
      <c r="L5011" s="128"/>
      <c r="M5011" s="129"/>
      <c r="N5011" s="129"/>
      <c r="O5011" s="129"/>
    </row>
    <row r="5012" spans="1:15" ht="12.5">
      <c r="A5012" s="158" t="s">
        <v>27207</v>
      </c>
      <c r="B5012" s="159">
        <v>60</v>
      </c>
      <c r="C5012" s="159">
        <v>70</v>
      </c>
      <c r="D5012" s="159">
        <v>65</v>
      </c>
      <c r="E5012" s="159">
        <v>58</v>
      </c>
      <c r="F5012" s="131"/>
      <c r="G5012" s="132"/>
      <c r="H5012" s="162" t="s">
        <v>27208</v>
      </c>
      <c r="I5012" s="158" t="s">
        <v>27209</v>
      </c>
      <c r="J5012" s="128"/>
      <c r="K5012" s="128"/>
      <c r="L5012" s="128"/>
      <c r="M5012" s="129"/>
      <c r="N5012" s="129"/>
      <c r="O5012" s="129"/>
    </row>
    <row r="5013" spans="1:15" ht="12.5">
      <c r="A5013" s="158" t="s">
        <v>27210</v>
      </c>
      <c r="B5013" s="159">
        <v>60</v>
      </c>
      <c r="C5013" s="159">
        <v>70</v>
      </c>
      <c r="D5013" s="159">
        <v>65</v>
      </c>
      <c r="E5013" s="159">
        <v>59</v>
      </c>
      <c r="F5013" s="131"/>
      <c r="G5013" s="132"/>
      <c r="H5013" s="162" t="s">
        <v>27211</v>
      </c>
      <c r="I5013" s="158" t="s">
        <v>27212</v>
      </c>
      <c r="J5013" s="128"/>
      <c r="K5013" s="128"/>
      <c r="L5013" s="128"/>
      <c r="M5013" s="129"/>
      <c r="N5013" s="129"/>
      <c r="O5013" s="129"/>
    </row>
    <row r="5014" spans="1:15" ht="12.5">
      <c r="A5014" s="158" t="s">
        <v>27213</v>
      </c>
      <c r="B5014" s="159">
        <v>60</v>
      </c>
      <c r="C5014" s="159">
        <v>70</v>
      </c>
      <c r="D5014" s="159">
        <v>65</v>
      </c>
      <c r="E5014" s="159">
        <v>60</v>
      </c>
      <c r="F5014" s="131"/>
      <c r="G5014" s="132"/>
      <c r="H5014" s="162" t="s">
        <v>27214</v>
      </c>
      <c r="I5014" s="158" t="s">
        <v>27215</v>
      </c>
      <c r="J5014" s="128"/>
      <c r="K5014" s="128"/>
      <c r="L5014" s="128"/>
      <c r="M5014" s="129"/>
      <c r="N5014" s="129"/>
      <c r="O5014" s="129"/>
    </row>
    <row r="5015" spans="1:15" ht="12.5">
      <c r="A5015" s="158" t="s">
        <v>27216</v>
      </c>
      <c r="B5015" s="159">
        <v>60</v>
      </c>
      <c r="C5015" s="159">
        <v>70</v>
      </c>
      <c r="D5015" s="159">
        <v>65</v>
      </c>
      <c r="E5015" s="159">
        <v>63</v>
      </c>
      <c r="F5015" s="131"/>
      <c r="G5015" s="132"/>
      <c r="H5015" s="162" t="s">
        <v>27217</v>
      </c>
      <c r="I5015" s="158" t="s">
        <v>27218</v>
      </c>
      <c r="J5015" s="128"/>
      <c r="K5015" s="128"/>
      <c r="L5015" s="128"/>
      <c r="M5015" s="129"/>
      <c r="N5015" s="129"/>
      <c r="O5015" s="129"/>
    </row>
    <row r="5016" spans="1:15" ht="12.5">
      <c r="A5016" s="158" t="s">
        <v>27219</v>
      </c>
      <c r="B5016" s="159">
        <v>60</v>
      </c>
      <c r="C5016" s="159">
        <v>70</v>
      </c>
      <c r="D5016" s="159">
        <v>65</v>
      </c>
      <c r="E5016" s="159">
        <v>94</v>
      </c>
      <c r="F5016" s="131"/>
      <c r="G5016" s="132"/>
      <c r="H5016" s="162" t="s">
        <v>27220</v>
      </c>
      <c r="I5016" s="158" t="s">
        <v>27221</v>
      </c>
      <c r="J5016" s="128"/>
      <c r="K5016" s="128"/>
      <c r="L5016" s="128"/>
      <c r="M5016" s="129"/>
      <c r="N5016" s="129"/>
      <c r="O5016" s="129"/>
    </row>
    <row r="5017" spans="1:15" ht="12.5">
      <c r="A5017" s="158" t="s">
        <v>27222</v>
      </c>
      <c r="B5017" s="159">
        <v>60</v>
      </c>
      <c r="C5017" s="159">
        <v>70</v>
      </c>
      <c r="D5017" s="159">
        <v>65</v>
      </c>
      <c r="E5017" s="159">
        <v>97</v>
      </c>
      <c r="F5017" s="131"/>
      <c r="G5017" s="132"/>
      <c r="H5017" s="162" t="s">
        <v>27223</v>
      </c>
      <c r="I5017" s="158" t="s">
        <v>27224</v>
      </c>
      <c r="J5017" s="128"/>
      <c r="K5017" s="128"/>
      <c r="L5017" s="128"/>
      <c r="M5017" s="129"/>
      <c r="N5017" s="129"/>
      <c r="O5017" s="129"/>
    </row>
    <row r="5018" spans="1:15" ht="12.5">
      <c r="A5018" s="144" t="s">
        <v>27225</v>
      </c>
      <c r="B5018" s="145">
        <v>60</v>
      </c>
      <c r="C5018" s="145">
        <v>75</v>
      </c>
      <c r="D5018" s="146"/>
      <c r="E5018" s="146"/>
      <c r="F5018" s="147" t="s">
        <v>33517</v>
      </c>
      <c r="G5018" s="190"/>
      <c r="H5018" s="149" t="s">
        <v>27226</v>
      </c>
      <c r="I5018" s="150"/>
      <c r="J5018" s="150"/>
      <c r="K5018" s="150"/>
      <c r="L5018" s="150"/>
      <c r="M5018" s="191"/>
      <c r="N5018" s="191"/>
      <c r="O5018" s="191"/>
    </row>
    <row r="5019" spans="1:15" ht="12.5">
      <c r="A5019" s="158" t="s">
        <v>27227</v>
      </c>
      <c r="B5019" s="159">
        <v>60</v>
      </c>
      <c r="C5019" s="159">
        <v>75</v>
      </c>
      <c r="D5019" s="159">
        <v>1</v>
      </c>
      <c r="E5019" s="130"/>
      <c r="F5019" s="131"/>
      <c r="G5019" s="132"/>
      <c r="H5019" s="162" t="s">
        <v>27228</v>
      </c>
      <c r="I5019" s="128"/>
      <c r="J5019" s="128"/>
      <c r="K5019" s="128"/>
      <c r="L5019" s="128"/>
      <c r="M5019" s="129"/>
      <c r="N5019" s="129"/>
      <c r="O5019" s="129"/>
    </row>
    <row r="5020" spans="1:15" ht="12.5">
      <c r="A5020" s="158" t="s">
        <v>27229</v>
      </c>
      <c r="B5020" s="159">
        <v>60</v>
      </c>
      <c r="C5020" s="159">
        <v>75</v>
      </c>
      <c r="D5020" s="159">
        <v>1</v>
      </c>
      <c r="E5020" s="159">
        <v>22</v>
      </c>
      <c r="F5020" s="131"/>
      <c r="G5020" s="132"/>
      <c r="H5020" s="162" t="s">
        <v>27230</v>
      </c>
      <c r="I5020" s="158" t="s">
        <v>27231</v>
      </c>
      <c r="J5020" s="128"/>
      <c r="K5020" s="128"/>
      <c r="L5020" s="128"/>
      <c r="M5020" s="129"/>
      <c r="N5020" s="129"/>
      <c r="O5020" s="129"/>
    </row>
    <row r="5021" spans="1:15" ht="12.5">
      <c r="A5021" s="158" t="s">
        <v>27232</v>
      </c>
      <c r="B5021" s="159">
        <v>60</v>
      </c>
      <c r="C5021" s="159">
        <v>75</v>
      </c>
      <c r="D5021" s="159">
        <v>1</v>
      </c>
      <c r="E5021" s="159">
        <v>31</v>
      </c>
      <c r="F5021" s="131"/>
      <c r="G5021" s="132"/>
      <c r="H5021" s="162" t="s">
        <v>27233</v>
      </c>
      <c r="I5021" s="158" t="s">
        <v>27234</v>
      </c>
      <c r="J5021" s="128"/>
      <c r="K5021" s="128"/>
      <c r="L5021" s="128"/>
      <c r="M5021" s="129"/>
      <c r="N5021" s="129"/>
      <c r="O5021" s="129"/>
    </row>
    <row r="5022" spans="1:15" ht="12.5">
      <c r="A5022" s="158" t="s">
        <v>27235</v>
      </c>
      <c r="B5022" s="159">
        <v>60</v>
      </c>
      <c r="C5022" s="159">
        <v>75</v>
      </c>
      <c r="D5022" s="159">
        <v>1</v>
      </c>
      <c r="E5022" s="159">
        <v>75</v>
      </c>
      <c r="F5022" s="131"/>
      <c r="G5022" s="132"/>
      <c r="H5022" s="162" t="s">
        <v>27236</v>
      </c>
      <c r="I5022" s="158" t="s">
        <v>27237</v>
      </c>
      <c r="J5022" s="128"/>
      <c r="K5022" s="128"/>
      <c r="L5022" s="128"/>
      <c r="M5022" s="129"/>
      <c r="N5022" s="129"/>
      <c r="O5022" s="129"/>
    </row>
    <row r="5023" spans="1:15" ht="12.5">
      <c r="A5023" s="158" t="s">
        <v>27238</v>
      </c>
      <c r="B5023" s="159">
        <v>60</v>
      </c>
      <c r="C5023" s="159">
        <v>75</v>
      </c>
      <c r="D5023" s="159">
        <v>1</v>
      </c>
      <c r="E5023" s="159">
        <v>92</v>
      </c>
      <c r="F5023" s="131"/>
      <c r="G5023" s="132"/>
      <c r="H5023" s="162" t="s">
        <v>27239</v>
      </c>
      <c r="I5023" s="158" t="s">
        <v>27240</v>
      </c>
      <c r="J5023" s="128"/>
      <c r="K5023" s="128"/>
      <c r="L5023" s="128"/>
      <c r="M5023" s="129"/>
      <c r="N5023" s="129"/>
      <c r="O5023" s="129"/>
    </row>
    <row r="5024" spans="1:15" ht="12.5">
      <c r="A5024" s="158" t="s">
        <v>27241</v>
      </c>
      <c r="B5024" s="159">
        <v>60</v>
      </c>
      <c r="C5024" s="159">
        <v>75</v>
      </c>
      <c r="D5024" s="159">
        <v>3</v>
      </c>
      <c r="E5024" s="130"/>
      <c r="F5024" s="131"/>
      <c r="G5024" s="132"/>
      <c r="H5024" s="162" t="s">
        <v>27242</v>
      </c>
      <c r="I5024" s="128"/>
      <c r="J5024" s="128"/>
      <c r="K5024" s="128"/>
      <c r="L5024" s="128"/>
      <c r="M5024" s="129"/>
      <c r="N5024" s="129"/>
      <c r="O5024" s="129"/>
    </row>
    <row r="5025" spans="1:15" ht="12.5">
      <c r="A5025" s="158" t="s">
        <v>27243</v>
      </c>
      <c r="B5025" s="159">
        <v>60</v>
      </c>
      <c r="C5025" s="159">
        <v>75</v>
      </c>
      <c r="D5025" s="159">
        <v>3</v>
      </c>
      <c r="E5025" s="159">
        <v>7</v>
      </c>
      <c r="F5025" s="131"/>
      <c r="G5025" s="132"/>
      <c r="H5025" s="162" t="s">
        <v>27244</v>
      </c>
      <c r="I5025" s="128"/>
      <c r="J5025" s="128"/>
      <c r="K5025" s="128"/>
      <c r="L5025" s="128"/>
      <c r="M5025" s="129"/>
      <c r="N5025" s="129"/>
      <c r="O5025" s="129"/>
    </row>
    <row r="5026" spans="1:15" ht="12.5">
      <c r="A5026" s="158" t="s">
        <v>27245</v>
      </c>
      <c r="B5026" s="159">
        <v>60</v>
      </c>
      <c r="C5026" s="159">
        <v>75</v>
      </c>
      <c r="D5026" s="159">
        <v>3</v>
      </c>
      <c r="E5026" s="159">
        <v>11</v>
      </c>
      <c r="F5026" s="131"/>
      <c r="G5026" s="132"/>
      <c r="H5026" s="162" t="s">
        <v>27246</v>
      </c>
      <c r="I5026" s="158" t="s">
        <v>27247</v>
      </c>
      <c r="J5026" s="128"/>
      <c r="K5026" s="128"/>
      <c r="L5026" s="128"/>
      <c r="M5026" s="129"/>
      <c r="N5026" s="129"/>
      <c r="O5026" s="129"/>
    </row>
    <row r="5027" spans="1:15" ht="12.5">
      <c r="A5027" s="158" t="s">
        <v>27248</v>
      </c>
      <c r="B5027" s="159">
        <v>60</v>
      </c>
      <c r="C5027" s="159">
        <v>75</v>
      </c>
      <c r="D5027" s="159">
        <v>3</v>
      </c>
      <c r="E5027" s="159">
        <v>15</v>
      </c>
      <c r="F5027" s="131"/>
      <c r="G5027" s="132"/>
      <c r="H5027" s="162" t="s">
        <v>27249</v>
      </c>
      <c r="I5027" s="158" t="s">
        <v>27250</v>
      </c>
      <c r="J5027" s="128"/>
      <c r="K5027" s="128"/>
      <c r="L5027" s="128"/>
      <c r="M5027" s="129"/>
      <c r="N5027" s="129"/>
      <c r="O5027" s="129"/>
    </row>
    <row r="5028" spans="1:15" ht="12.5">
      <c r="A5028" s="158" t="s">
        <v>27251</v>
      </c>
      <c r="B5028" s="159">
        <v>60</v>
      </c>
      <c r="C5028" s="159">
        <v>75</v>
      </c>
      <c r="D5028" s="159">
        <v>3</v>
      </c>
      <c r="E5028" s="159">
        <v>22</v>
      </c>
      <c r="F5028" s="131"/>
      <c r="G5028" s="132"/>
      <c r="H5028" s="162" t="s">
        <v>27252</v>
      </c>
      <c r="I5028" s="158" t="s">
        <v>27253</v>
      </c>
      <c r="J5028" s="128"/>
      <c r="K5028" s="128"/>
      <c r="L5028" s="128"/>
      <c r="M5028" s="129"/>
      <c r="N5028" s="129"/>
      <c r="O5028" s="129"/>
    </row>
    <row r="5029" spans="1:15" ht="12.5">
      <c r="A5029" s="158" t="s">
        <v>27254</v>
      </c>
      <c r="B5029" s="159">
        <v>60</v>
      </c>
      <c r="C5029" s="159">
        <v>75</v>
      </c>
      <c r="D5029" s="159">
        <v>3</v>
      </c>
      <c r="E5029" s="159">
        <v>56</v>
      </c>
      <c r="F5029" s="131"/>
      <c r="G5029" s="132"/>
      <c r="H5029" s="162" t="s">
        <v>27255</v>
      </c>
      <c r="I5029" s="158" t="s">
        <v>27256</v>
      </c>
      <c r="J5029" s="128"/>
      <c r="K5029" s="128"/>
      <c r="L5029" s="128"/>
      <c r="M5029" s="129"/>
      <c r="N5029" s="129"/>
      <c r="O5029" s="129"/>
    </row>
    <row r="5030" spans="1:15" ht="12.5">
      <c r="A5030" s="158" t="s">
        <v>27257</v>
      </c>
      <c r="B5030" s="159">
        <v>60</v>
      </c>
      <c r="C5030" s="159">
        <v>75</v>
      </c>
      <c r="D5030" s="159">
        <v>3</v>
      </c>
      <c r="E5030" s="159">
        <v>70</v>
      </c>
      <c r="F5030" s="131"/>
      <c r="G5030" s="132"/>
      <c r="H5030" s="162" t="s">
        <v>27258</v>
      </c>
      <c r="I5030" s="128"/>
      <c r="J5030" s="128"/>
      <c r="K5030" s="128"/>
      <c r="L5030" s="128"/>
      <c r="M5030" s="129"/>
      <c r="N5030" s="129"/>
      <c r="O5030" s="129"/>
    </row>
    <row r="5031" spans="1:15" ht="12.5">
      <c r="A5031" s="158" t="s">
        <v>27259</v>
      </c>
      <c r="B5031" s="159">
        <v>60</v>
      </c>
      <c r="C5031" s="159">
        <v>75</v>
      </c>
      <c r="D5031" s="159">
        <v>3</v>
      </c>
      <c r="E5031" s="159">
        <v>87</v>
      </c>
      <c r="F5031" s="131"/>
      <c r="G5031" s="132"/>
      <c r="H5031" s="162" t="s">
        <v>27260</v>
      </c>
      <c r="I5031" s="158" t="s">
        <v>27261</v>
      </c>
      <c r="J5031" s="128"/>
      <c r="K5031" s="128"/>
      <c r="L5031" s="128"/>
      <c r="M5031" s="129"/>
      <c r="N5031" s="129"/>
      <c r="O5031" s="129"/>
    </row>
    <row r="5032" spans="1:15" ht="12.5">
      <c r="A5032" s="158" t="s">
        <v>27262</v>
      </c>
      <c r="B5032" s="159">
        <v>60</v>
      </c>
      <c r="C5032" s="159">
        <v>75</v>
      </c>
      <c r="D5032" s="159">
        <v>6</v>
      </c>
      <c r="E5032" s="130"/>
      <c r="F5032" s="131"/>
      <c r="G5032" s="132"/>
      <c r="H5032" s="162" t="s">
        <v>27263</v>
      </c>
      <c r="I5032" s="128"/>
      <c r="J5032" s="128"/>
      <c r="K5032" s="128"/>
      <c r="L5032" s="128"/>
      <c r="M5032" s="129"/>
      <c r="N5032" s="129"/>
      <c r="O5032" s="129"/>
    </row>
    <row r="5033" spans="1:15" ht="12.5">
      <c r="A5033" s="158" t="s">
        <v>27264</v>
      </c>
      <c r="B5033" s="159">
        <v>60</v>
      </c>
      <c r="C5033" s="159">
        <v>75</v>
      </c>
      <c r="D5033" s="159">
        <v>6</v>
      </c>
      <c r="E5033" s="159">
        <v>53</v>
      </c>
      <c r="F5033" s="131"/>
      <c r="G5033" s="132"/>
      <c r="H5033" s="162" t="s">
        <v>27265</v>
      </c>
      <c r="I5033" s="158" t="s">
        <v>27266</v>
      </c>
      <c r="J5033" s="128"/>
      <c r="K5033" s="128"/>
      <c r="L5033" s="128"/>
      <c r="M5033" s="129"/>
      <c r="N5033" s="129"/>
      <c r="O5033" s="129"/>
    </row>
    <row r="5034" spans="1:15" ht="12.5">
      <c r="A5034" s="158" t="s">
        <v>27267</v>
      </c>
      <c r="B5034" s="159">
        <v>60</v>
      </c>
      <c r="C5034" s="159">
        <v>75</v>
      </c>
      <c r="D5034" s="159">
        <v>6</v>
      </c>
      <c r="E5034" s="159">
        <v>60</v>
      </c>
      <c r="F5034" s="131"/>
      <c r="G5034" s="132"/>
      <c r="H5034" s="162" t="s">
        <v>27268</v>
      </c>
      <c r="I5034" s="158" t="s">
        <v>27269</v>
      </c>
      <c r="J5034" s="128"/>
      <c r="K5034" s="128"/>
      <c r="L5034" s="128"/>
      <c r="M5034" s="129"/>
      <c r="N5034" s="129"/>
      <c r="O5034" s="129"/>
    </row>
    <row r="5035" spans="1:15" ht="12.5">
      <c r="A5035" s="158" t="s">
        <v>27270</v>
      </c>
      <c r="B5035" s="159">
        <v>60</v>
      </c>
      <c r="C5035" s="159">
        <v>75</v>
      </c>
      <c r="D5035" s="159">
        <v>8</v>
      </c>
      <c r="E5035" s="130"/>
      <c r="F5035" s="131"/>
      <c r="G5035" s="132"/>
      <c r="H5035" s="162" t="s">
        <v>27271</v>
      </c>
      <c r="I5035" s="128"/>
      <c r="J5035" s="128"/>
      <c r="K5035" s="128"/>
      <c r="L5035" s="128"/>
      <c r="M5035" s="129"/>
      <c r="N5035" s="129"/>
      <c r="O5035" s="129"/>
    </row>
    <row r="5036" spans="1:15" ht="12.5">
      <c r="A5036" s="158" t="s">
        <v>27272</v>
      </c>
      <c r="B5036" s="159">
        <v>60</v>
      </c>
      <c r="C5036" s="159">
        <v>75</v>
      </c>
      <c r="D5036" s="159">
        <v>8</v>
      </c>
      <c r="E5036" s="159">
        <v>1</v>
      </c>
      <c r="F5036" s="131"/>
      <c r="G5036" s="132"/>
      <c r="H5036" s="162" t="s">
        <v>27273</v>
      </c>
      <c r="I5036" s="158" t="s">
        <v>27274</v>
      </c>
      <c r="J5036" s="128"/>
      <c r="K5036" s="128"/>
      <c r="L5036" s="128"/>
      <c r="M5036" s="129"/>
      <c r="N5036" s="129"/>
      <c r="O5036" s="129"/>
    </row>
    <row r="5037" spans="1:15" ht="12.5">
      <c r="A5037" s="158" t="s">
        <v>27275</v>
      </c>
      <c r="B5037" s="159">
        <v>60</v>
      </c>
      <c r="C5037" s="159">
        <v>75</v>
      </c>
      <c r="D5037" s="159">
        <v>8</v>
      </c>
      <c r="E5037" s="159">
        <v>2</v>
      </c>
      <c r="F5037" s="131"/>
      <c r="G5037" s="132"/>
      <c r="H5037" s="162" t="s">
        <v>27276</v>
      </c>
      <c r="I5037" s="158" t="s">
        <v>27277</v>
      </c>
      <c r="J5037" s="128"/>
      <c r="K5037" s="128"/>
      <c r="L5037" s="128"/>
      <c r="M5037" s="129"/>
      <c r="N5037" s="129"/>
      <c r="O5037" s="129"/>
    </row>
    <row r="5038" spans="1:15" ht="12.5">
      <c r="A5038" s="158" t="s">
        <v>27278</v>
      </c>
      <c r="B5038" s="159">
        <v>60</v>
      </c>
      <c r="C5038" s="159">
        <v>75</v>
      </c>
      <c r="D5038" s="159">
        <v>8</v>
      </c>
      <c r="E5038" s="159">
        <v>3</v>
      </c>
      <c r="F5038" s="131"/>
      <c r="G5038" s="132"/>
      <c r="H5038" s="162" t="s">
        <v>27279</v>
      </c>
      <c r="I5038" s="158" t="s">
        <v>27280</v>
      </c>
      <c r="J5038" s="128"/>
      <c r="K5038" s="128"/>
      <c r="L5038" s="128"/>
      <c r="M5038" s="129"/>
      <c r="N5038" s="129"/>
      <c r="O5038" s="129"/>
    </row>
    <row r="5039" spans="1:15" ht="12.5">
      <c r="A5039" s="158" t="s">
        <v>27281</v>
      </c>
      <c r="B5039" s="159">
        <v>60</v>
      </c>
      <c r="C5039" s="159">
        <v>75</v>
      </c>
      <c r="D5039" s="159">
        <v>8</v>
      </c>
      <c r="E5039" s="159">
        <v>4</v>
      </c>
      <c r="F5039" s="131"/>
      <c r="G5039" s="132"/>
      <c r="H5039" s="162" t="s">
        <v>27282</v>
      </c>
      <c r="I5039" s="158" t="s">
        <v>27283</v>
      </c>
      <c r="J5039" s="128"/>
      <c r="K5039" s="128"/>
      <c r="L5039" s="128"/>
      <c r="M5039" s="129"/>
      <c r="N5039" s="129"/>
      <c r="O5039" s="129"/>
    </row>
    <row r="5040" spans="1:15" ht="12.5">
      <c r="A5040" s="158" t="s">
        <v>27284</v>
      </c>
      <c r="B5040" s="159">
        <v>60</v>
      </c>
      <c r="C5040" s="159">
        <v>75</v>
      </c>
      <c r="D5040" s="159">
        <v>8</v>
      </c>
      <c r="E5040" s="159">
        <v>5</v>
      </c>
      <c r="F5040" s="131"/>
      <c r="G5040" s="132"/>
      <c r="H5040" s="162" t="s">
        <v>27285</v>
      </c>
      <c r="I5040" s="128"/>
      <c r="J5040" s="128"/>
      <c r="K5040" s="128"/>
      <c r="L5040" s="128"/>
      <c r="M5040" s="129"/>
      <c r="N5040" s="129"/>
      <c r="O5040" s="129"/>
    </row>
    <row r="5041" spans="1:15" ht="12.5">
      <c r="A5041" s="158" t="s">
        <v>27286</v>
      </c>
      <c r="B5041" s="159">
        <v>60</v>
      </c>
      <c r="C5041" s="159">
        <v>75</v>
      </c>
      <c r="D5041" s="159">
        <v>8</v>
      </c>
      <c r="E5041" s="159">
        <v>23</v>
      </c>
      <c r="F5041" s="131"/>
      <c r="G5041" s="132"/>
      <c r="H5041" s="162" t="s">
        <v>27287</v>
      </c>
      <c r="I5041" s="158" t="s">
        <v>27288</v>
      </c>
      <c r="J5041" s="128"/>
      <c r="K5041" s="128"/>
      <c r="L5041" s="128"/>
      <c r="M5041" s="129"/>
      <c r="N5041" s="129"/>
      <c r="O5041" s="129"/>
    </row>
    <row r="5042" spans="1:15" ht="12.5">
      <c r="A5042" s="158" t="s">
        <v>27289</v>
      </c>
      <c r="B5042" s="159">
        <v>60</v>
      </c>
      <c r="C5042" s="159">
        <v>75</v>
      </c>
      <c r="D5042" s="159">
        <v>8</v>
      </c>
      <c r="E5042" s="159">
        <v>28</v>
      </c>
      <c r="F5042" s="131"/>
      <c r="G5042" s="132"/>
      <c r="H5042" s="162" t="s">
        <v>27290</v>
      </c>
      <c r="I5042" s="158" t="s">
        <v>27291</v>
      </c>
      <c r="J5042" s="128"/>
      <c r="K5042" s="128"/>
      <c r="L5042" s="128"/>
      <c r="M5042" s="129"/>
      <c r="N5042" s="129"/>
      <c r="O5042" s="129"/>
    </row>
    <row r="5043" spans="1:15" ht="12.5">
      <c r="A5043" s="158" t="s">
        <v>27292</v>
      </c>
      <c r="B5043" s="159">
        <v>60</v>
      </c>
      <c r="C5043" s="159">
        <v>75</v>
      </c>
      <c r="D5043" s="159">
        <v>8</v>
      </c>
      <c r="E5043" s="159">
        <v>46</v>
      </c>
      <c r="F5043" s="131"/>
      <c r="G5043" s="132"/>
      <c r="H5043" s="162" t="s">
        <v>27293</v>
      </c>
      <c r="I5043" s="158" t="s">
        <v>27294</v>
      </c>
      <c r="J5043" s="128"/>
      <c r="K5043" s="128"/>
      <c r="L5043" s="128"/>
      <c r="M5043" s="129"/>
      <c r="N5043" s="129"/>
      <c r="O5043" s="129"/>
    </row>
    <row r="5044" spans="1:15" ht="12.5">
      <c r="A5044" s="158" t="s">
        <v>27295</v>
      </c>
      <c r="B5044" s="159">
        <v>60</v>
      </c>
      <c r="C5044" s="159">
        <v>75</v>
      </c>
      <c r="D5044" s="159">
        <v>8</v>
      </c>
      <c r="E5044" s="159">
        <v>48</v>
      </c>
      <c r="F5044" s="131"/>
      <c r="G5044" s="132"/>
      <c r="H5044" s="162" t="s">
        <v>27296</v>
      </c>
      <c r="I5044" s="158" t="s">
        <v>27297</v>
      </c>
      <c r="J5044" s="128"/>
      <c r="K5044" s="128"/>
      <c r="L5044" s="128"/>
      <c r="M5044" s="129"/>
      <c r="N5044" s="129"/>
      <c r="O5044" s="129"/>
    </row>
    <row r="5045" spans="1:15" ht="12.5">
      <c r="A5045" s="158" t="s">
        <v>27298</v>
      </c>
      <c r="B5045" s="159">
        <v>60</v>
      </c>
      <c r="C5045" s="159">
        <v>75</v>
      </c>
      <c r="D5045" s="159">
        <v>8</v>
      </c>
      <c r="E5045" s="159">
        <v>50</v>
      </c>
      <c r="F5045" s="131"/>
      <c r="G5045" s="132"/>
      <c r="H5045" s="162" t="s">
        <v>27299</v>
      </c>
      <c r="I5045" s="158" t="s">
        <v>27300</v>
      </c>
      <c r="J5045" s="128"/>
      <c r="K5045" s="128"/>
      <c r="L5045" s="128"/>
      <c r="M5045" s="129"/>
      <c r="N5045" s="129"/>
      <c r="O5045" s="129"/>
    </row>
    <row r="5046" spans="1:15" ht="12.5">
      <c r="A5046" s="158" t="s">
        <v>27301</v>
      </c>
      <c r="B5046" s="159">
        <v>60</v>
      </c>
      <c r="C5046" s="159">
        <v>75</v>
      </c>
      <c r="D5046" s="159">
        <v>8</v>
      </c>
      <c r="E5046" s="159">
        <v>52</v>
      </c>
      <c r="F5046" s="131"/>
      <c r="G5046" s="132"/>
      <c r="H5046" s="162" t="s">
        <v>27302</v>
      </c>
      <c r="I5046" s="158" t="s">
        <v>27303</v>
      </c>
      <c r="J5046" s="128"/>
      <c r="K5046" s="128"/>
      <c r="L5046" s="128"/>
      <c r="M5046" s="129"/>
      <c r="N5046" s="129"/>
      <c r="O5046" s="129"/>
    </row>
    <row r="5047" spans="1:15" ht="12.5">
      <c r="A5047" s="158" t="s">
        <v>27304</v>
      </c>
      <c r="B5047" s="159">
        <v>60</v>
      </c>
      <c r="C5047" s="159">
        <v>75</v>
      </c>
      <c r="D5047" s="159">
        <v>8</v>
      </c>
      <c r="E5047" s="159">
        <v>54</v>
      </c>
      <c r="F5047" s="131"/>
      <c r="G5047" s="132"/>
      <c r="H5047" s="162" t="s">
        <v>27305</v>
      </c>
      <c r="I5047" s="158" t="s">
        <v>27306</v>
      </c>
      <c r="J5047" s="128"/>
      <c r="K5047" s="128"/>
      <c r="L5047" s="128"/>
      <c r="M5047" s="129"/>
      <c r="N5047" s="129"/>
      <c r="O5047" s="129"/>
    </row>
    <row r="5048" spans="1:15" ht="12.5">
      <c r="A5048" s="158" t="s">
        <v>27307</v>
      </c>
      <c r="B5048" s="159">
        <v>60</v>
      </c>
      <c r="C5048" s="159">
        <v>75</v>
      </c>
      <c r="D5048" s="159">
        <v>8</v>
      </c>
      <c r="E5048" s="159">
        <v>55</v>
      </c>
      <c r="F5048" s="131"/>
      <c r="G5048" s="132"/>
      <c r="H5048" s="162" t="s">
        <v>27308</v>
      </c>
      <c r="I5048" s="158" t="s">
        <v>27309</v>
      </c>
      <c r="J5048" s="128"/>
      <c r="K5048" s="128"/>
      <c r="L5048" s="128"/>
      <c r="M5048" s="129"/>
      <c r="N5048" s="129"/>
      <c r="O5048" s="129"/>
    </row>
    <row r="5049" spans="1:15" ht="12.5">
      <c r="A5049" s="158" t="s">
        <v>27310</v>
      </c>
      <c r="B5049" s="159">
        <v>60</v>
      </c>
      <c r="C5049" s="159">
        <v>75</v>
      </c>
      <c r="D5049" s="159">
        <v>8</v>
      </c>
      <c r="E5049" s="159">
        <v>63</v>
      </c>
      <c r="F5049" s="131"/>
      <c r="G5049" s="132"/>
      <c r="H5049" s="162" t="s">
        <v>27311</v>
      </c>
      <c r="I5049" s="158" t="s">
        <v>27312</v>
      </c>
      <c r="J5049" s="128"/>
      <c r="K5049" s="128"/>
      <c r="L5049" s="128"/>
      <c r="M5049" s="129"/>
      <c r="N5049" s="129"/>
      <c r="O5049" s="129"/>
    </row>
    <row r="5050" spans="1:15" ht="12.5">
      <c r="A5050" s="158" t="s">
        <v>27313</v>
      </c>
      <c r="B5050" s="159">
        <v>60</v>
      </c>
      <c r="C5050" s="159">
        <v>75</v>
      </c>
      <c r="D5050" s="159">
        <v>8</v>
      </c>
      <c r="E5050" s="159">
        <v>71</v>
      </c>
      <c r="F5050" s="131"/>
      <c r="G5050" s="132"/>
      <c r="H5050" s="162" t="s">
        <v>27314</v>
      </c>
      <c r="I5050" s="158" t="s">
        <v>27315</v>
      </c>
      <c r="J5050" s="128"/>
      <c r="K5050" s="128"/>
      <c r="L5050" s="128"/>
      <c r="M5050" s="129"/>
      <c r="N5050" s="129"/>
      <c r="O5050" s="129"/>
    </row>
    <row r="5051" spans="1:15" ht="12.5">
      <c r="A5051" s="158" t="s">
        <v>27316</v>
      </c>
      <c r="B5051" s="159">
        <v>60</v>
      </c>
      <c r="C5051" s="159">
        <v>75</v>
      </c>
      <c r="D5051" s="159">
        <v>8</v>
      </c>
      <c r="E5051" s="159">
        <v>78</v>
      </c>
      <c r="F5051" s="131"/>
      <c r="G5051" s="132"/>
      <c r="H5051" s="162" t="s">
        <v>27317</v>
      </c>
      <c r="I5051" s="158" t="s">
        <v>27318</v>
      </c>
      <c r="J5051" s="128"/>
      <c r="K5051" s="128"/>
      <c r="L5051" s="128"/>
      <c r="M5051" s="129"/>
      <c r="N5051" s="129"/>
      <c r="O5051" s="129"/>
    </row>
    <row r="5052" spans="1:15" ht="12.5">
      <c r="A5052" s="158" t="s">
        <v>27319</v>
      </c>
      <c r="B5052" s="159">
        <v>60</v>
      </c>
      <c r="C5052" s="159">
        <v>75</v>
      </c>
      <c r="D5052" s="159">
        <v>78</v>
      </c>
      <c r="E5052" s="130"/>
      <c r="F5052" s="131"/>
      <c r="G5052" s="132"/>
      <c r="H5052" s="162" t="s">
        <v>27320</v>
      </c>
      <c r="I5052" s="128"/>
      <c r="J5052" s="128"/>
      <c r="K5052" s="128"/>
      <c r="L5052" s="128"/>
      <c r="M5052" s="129"/>
      <c r="N5052" s="129"/>
      <c r="O5052" s="129"/>
    </row>
    <row r="5053" spans="1:15" ht="12.5">
      <c r="A5053" s="158" t="s">
        <v>27321</v>
      </c>
      <c r="B5053" s="159">
        <v>60</v>
      </c>
      <c r="C5053" s="159">
        <v>75</v>
      </c>
      <c r="D5053" s="159">
        <v>78</v>
      </c>
      <c r="E5053" s="159">
        <v>85</v>
      </c>
      <c r="F5053" s="131"/>
      <c r="G5053" s="132"/>
      <c r="H5053" s="162" t="s">
        <v>27322</v>
      </c>
      <c r="I5053" s="158" t="s">
        <v>27323</v>
      </c>
      <c r="J5053" s="128"/>
      <c r="K5053" s="128"/>
      <c r="L5053" s="128"/>
      <c r="M5053" s="129"/>
      <c r="N5053" s="129"/>
      <c r="O5053" s="129"/>
    </row>
    <row r="5054" spans="1:15" ht="12.5">
      <c r="A5054" s="158" t="s">
        <v>27324</v>
      </c>
      <c r="B5054" s="159">
        <v>60</v>
      </c>
      <c r="C5054" s="159">
        <v>75</v>
      </c>
      <c r="D5054" s="159">
        <v>78</v>
      </c>
      <c r="E5054" s="159">
        <v>91</v>
      </c>
      <c r="F5054" s="131"/>
      <c r="G5054" s="132"/>
      <c r="H5054" s="162" t="s">
        <v>27325</v>
      </c>
      <c r="I5054" s="158" t="s">
        <v>27326</v>
      </c>
      <c r="J5054" s="128"/>
      <c r="K5054" s="128"/>
      <c r="L5054" s="128"/>
      <c r="M5054" s="129"/>
      <c r="N5054" s="129"/>
      <c r="O5054" s="129"/>
    </row>
    <row r="5055" spans="1:15" ht="12.5">
      <c r="A5055" s="158" t="s">
        <v>27327</v>
      </c>
      <c r="B5055" s="159">
        <v>60</v>
      </c>
      <c r="C5055" s="159">
        <v>75</v>
      </c>
      <c r="D5055" s="159">
        <v>86</v>
      </c>
      <c r="E5055" s="130"/>
      <c r="F5055" s="131"/>
      <c r="G5055" s="132"/>
      <c r="H5055" s="162" t="s">
        <v>27328</v>
      </c>
      <c r="I5055" s="128"/>
      <c r="J5055" s="128"/>
      <c r="K5055" s="128"/>
      <c r="L5055" s="128"/>
      <c r="M5055" s="129"/>
      <c r="N5055" s="129"/>
      <c r="O5055" s="129"/>
    </row>
    <row r="5056" spans="1:15" ht="12.5">
      <c r="A5056" s="158" t="s">
        <v>27329</v>
      </c>
      <c r="B5056" s="159">
        <v>60</v>
      </c>
      <c r="C5056" s="159">
        <v>75</v>
      </c>
      <c r="D5056" s="159">
        <v>86</v>
      </c>
      <c r="E5056" s="159">
        <v>1</v>
      </c>
      <c r="F5056" s="131"/>
      <c r="G5056" s="132"/>
      <c r="H5056" s="162" t="s">
        <v>27330</v>
      </c>
      <c r="I5056" s="128"/>
      <c r="J5056" s="128"/>
      <c r="K5056" s="128"/>
      <c r="L5056" s="128"/>
      <c r="M5056" s="129"/>
      <c r="N5056" s="129"/>
      <c r="O5056" s="129"/>
    </row>
    <row r="5057" spans="1:15" ht="12.5">
      <c r="A5057" s="158" t="s">
        <v>27331</v>
      </c>
      <c r="B5057" s="159">
        <v>60</v>
      </c>
      <c r="C5057" s="159">
        <v>75</v>
      </c>
      <c r="D5057" s="159">
        <v>86</v>
      </c>
      <c r="E5057" s="159">
        <v>2</v>
      </c>
      <c r="F5057" s="131"/>
      <c r="G5057" s="132"/>
      <c r="H5057" s="162" t="s">
        <v>27332</v>
      </c>
      <c r="I5057" s="158" t="s">
        <v>27333</v>
      </c>
      <c r="J5057" s="128"/>
      <c r="K5057" s="128"/>
      <c r="L5057" s="128"/>
      <c r="M5057" s="129"/>
      <c r="N5057" s="129"/>
      <c r="O5057" s="129"/>
    </row>
    <row r="5058" spans="1:15" ht="12.5">
      <c r="A5058" s="158" t="s">
        <v>27334</v>
      </c>
      <c r="B5058" s="159">
        <v>60</v>
      </c>
      <c r="C5058" s="159">
        <v>75</v>
      </c>
      <c r="D5058" s="159">
        <v>86</v>
      </c>
      <c r="E5058" s="159">
        <v>3</v>
      </c>
      <c r="F5058" s="131"/>
      <c r="G5058" s="132"/>
      <c r="H5058" s="162" t="s">
        <v>27335</v>
      </c>
      <c r="I5058" s="158" t="s">
        <v>27336</v>
      </c>
      <c r="J5058" s="128"/>
      <c r="K5058" s="128"/>
      <c r="L5058" s="128"/>
      <c r="M5058" s="129"/>
      <c r="N5058" s="129"/>
      <c r="O5058" s="129"/>
    </row>
    <row r="5059" spans="1:15" ht="12.5">
      <c r="A5059" s="158" t="s">
        <v>27337</v>
      </c>
      <c r="B5059" s="159">
        <v>60</v>
      </c>
      <c r="C5059" s="159">
        <v>75</v>
      </c>
      <c r="D5059" s="159">
        <v>86</v>
      </c>
      <c r="E5059" s="159">
        <v>4</v>
      </c>
      <c r="F5059" s="131"/>
      <c r="G5059" s="132"/>
      <c r="H5059" s="162" t="s">
        <v>27338</v>
      </c>
      <c r="I5059" s="158" t="s">
        <v>27339</v>
      </c>
      <c r="J5059" s="128"/>
      <c r="K5059" s="128"/>
      <c r="L5059" s="128"/>
      <c r="M5059" s="129"/>
      <c r="N5059" s="129"/>
      <c r="O5059" s="129"/>
    </row>
    <row r="5060" spans="1:15" ht="12.5">
      <c r="A5060" s="158" t="s">
        <v>27340</v>
      </c>
      <c r="B5060" s="159">
        <v>60</v>
      </c>
      <c r="C5060" s="159">
        <v>75</v>
      </c>
      <c r="D5060" s="159">
        <v>86</v>
      </c>
      <c r="E5060" s="159">
        <v>5</v>
      </c>
      <c r="F5060" s="131"/>
      <c r="G5060" s="132"/>
      <c r="H5060" s="162" t="s">
        <v>27341</v>
      </c>
      <c r="I5060" s="158" t="s">
        <v>27342</v>
      </c>
      <c r="J5060" s="128"/>
      <c r="K5060" s="128"/>
      <c r="L5060" s="128"/>
      <c r="M5060" s="129"/>
      <c r="N5060" s="129"/>
      <c r="O5060" s="129"/>
    </row>
    <row r="5061" spans="1:15" ht="12.5">
      <c r="A5061" s="158" t="s">
        <v>27343</v>
      </c>
      <c r="B5061" s="159">
        <v>60</v>
      </c>
      <c r="C5061" s="159">
        <v>75</v>
      </c>
      <c r="D5061" s="159">
        <v>86</v>
      </c>
      <c r="E5061" s="159">
        <v>6</v>
      </c>
      <c r="F5061" s="131"/>
      <c r="G5061" s="132"/>
      <c r="H5061" s="162" t="s">
        <v>27344</v>
      </c>
      <c r="I5061" s="158" t="s">
        <v>27345</v>
      </c>
      <c r="J5061" s="128"/>
      <c r="K5061" s="128"/>
      <c r="L5061" s="128"/>
      <c r="M5061" s="129"/>
      <c r="N5061" s="129"/>
      <c r="O5061" s="129"/>
    </row>
    <row r="5062" spans="1:15" ht="12.5">
      <c r="A5062" s="158" t="s">
        <v>27346</v>
      </c>
      <c r="B5062" s="159">
        <v>60</v>
      </c>
      <c r="C5062" s="159">
        <v>75</v>
      </c>
      <c r="D5062" s="159">
        <v>86</v>
      </c>
      <c r="E5062" s="159">
        <v>7</v>
      </c>
      <c r="F5062" s="131"/>
      <c r="G5062" s="132"/>
      <c r="H5062" s="162" t="s">
        <v>27347</v>
      </c>
      <c r="I5062" s="158" t="s">
        <v>27348</v>
      </c>
      <c r="J5062" s="128"/>
      <c r="K5062" s="128"/>
      <c r="L5062" s="128"/>
      <c r="M5062" s="129"/>
      <c r="N5062" s="129"/>
      <c r="O5062" s="129"/>
    </row>
    <row r="5063" spans="1:15" ht="12.5">
      <c r="A5063" s="158" t="s">
        <v>27349</v>
      </c>
      <c r="B5063" s="159">
        <v>60</v>
      </c>
      <c r="C5063" s="159">
        <v>75</v>
      </c>
      <c r="D5063" s="159">
        <v>86</v>
      </c>
      <c r="E5063" s="159">
        <v>8</v>
      </c>
      <c r="F5063" s="131"/>
      <c r="G5063" s="132"/>
      <c r="H5063" s="162" t="s">
        <v>27350</v>
      </c>
      <c r="I5063" s="158" t="s">
        <v>27351</v>
      </c>
      <c r="J5063" s="128"/>
      <c r="K5063" s="128"/>
      <c r="L5063" s="128"/>
      <c r="M5063" s="129"/>
      <c r="N5063" s="129"/>
      <c r="O5063" s="129"/>
    </row>
    <row r="5064" spans="1:15" ht="12.5">
      <c r="A5064" s="158" t="s">
        <v>27352</v>
      </c>
      <c r="B5064" s="159">
        <v>60</v>
      </c>
      <c r="C5064" s="159">
        <v>75</v>
      </c>
      <c r="D5064" s="159">
        <v>86</v>
      </c>
      <c r="E5064" s="159">
        <v>9</v>
      </c>
      <c r="F5064" s="131"/>
      <c r="G5064" s="132"/>
      <c r="H5064" s="162" t="s">
        <v>27353</v>
      </c>
      <c r="I5064" s="158" t="s">
        <v>27354</v>
      </c>
      <c r="J5064" s="128"/>
      <c r="K5064" s="128"/>
      <c r="L5064" s="128"/>
      <c r="M5064" s="129"/>
      <c r="N5064" s="129"/>
      <c r="O5064" s="129"/>
    </row>
    <row r="5065" spans="1:15" ht="12.5">
      <c r="A5065" s="158" t="s">
        <v>27355</v>
      </c>
      <c r="B5065" s="159">
        <v>60</v>
      </c>
      <c r="C5065" s="159">
        <v>75</v>
      </c>
      <c r="D5065" s="159">
        <v>86</v>
      </c>
      <c r="E5065" s="159">
        <v>10</v>
      </c>
      <c r="F5065" s="131"/>
      <c r="G5065" s="132"/>
      <c r="H5065" s="162" t="s">
        <v>27356</v>
      </c>
      <c r="I5065" s="128"/>
      <c r="J5065" s="128"/>
      <c r="K5065" s="128"/>
      <c r="L5065" s="128"/>
      <c r="M5065" s="129"/>
      <c r="N5065" s="129"/>
      <c r="O5065" s="129"/>
    </row>
    <row r="5066" spans="1:15" ht="12.5">
      <c r="A5066" s="158" t="s">
        <v>27357</v>
      </c>
      <c r="B5066" s="159">
        <v>60</v>
      </c>
      <c r="C5066" s="159">
        <v>75</v>
      </c>
      <c r="D5066" s="159">
        <v>86</v>
      </c>
      <c r="E5066" s="159">
        <v>11</v>
      </c>
      <c r="F5066" s="131"/>
      <c r="G5066" s="132"/>
      <c r="H5066" s="162" t="s">
        <v>27358</v>
      </c>
      <c r="I5066" s="158" t="s">
        <v>27359</v>
      </c>
      <c r="J5066" s="128"/>
      <c r="K5066" s="128"/>
      <c r="L5066" s="128"/>
      <c r="M5066" s="129"/>
      <c r="N5066" s="129"/>
      <c r="O5066" s="129"/>
    </row>
    <row r="5067" spans="1:15" ht="12.5">
      <c r="A5067" s="158" t="s">
        <v>27360</v>
      </c>
      <c r="B5067" s="159">
        <v>60</v>
      </c>
      <c r="C5067" s="159">
        <v>75</v>
      </c>
      <c r="D5067" s="159">
        <v>86</v>
      </c>
      <c r="E5067" s="159">
        <v>21</v>
      </c>
      <c r="F5067" s="131"/>
      <c r="G5067" s="132"/>
      <c r="H5067" s="162" t="s">
        <v>27361</v>
      </c>
      <c r="I5067" s="158" t="s">
        <v>27362</v>
      </c>
      <c r="J5067" s="128"/>
      <c r="K5067" s="128"/>
      <c r="L5067" s="128"/>
      <c r="M5067" s="129"/>
      <c r="N5067" s="129"/>
      <c r="O5067" s="129"/>
    </row>
    <row r="5068" spans="1:15" ht="12.5">
      <c r="A5068" s="158" t="s">
        <v>27363</v>
      </c>
      <c r="B5068" s="159">
        <v>60</v>
      </c>
      <c r="C5068" s="159">
        <v>75</v>
      </c>
      <c r="D5068" s="159">
        <v>86</v>
      </c>
      <c r="E5068" s="159">
        <v>24</v>
      </c>
      <c r="F5068" s="131"/>
      <c r="G5068" s="132"/>
      <c r="H5068" s="162" t="s">
        <v>27364</v>
      </c>
      <c r="I5068" s="128"/>
      <c r="J5068" s="128"/>
      <c r="K5068" s="128"/>
      <c r="L5068" s="128"/>
      <c r="M5068" s="129"/>
      <c r="N5068" s="129"/>
      <c r="O5068" s="129"/>
    </row>
    <row r="5069" spans="1:15" ht="12.5">
      <c r="A5069" s="158" t="s">
        <v>27365</v>
      </c>
      <c r="B5069" s="159">
        <v>60</v>
      </c>
      <c r="C5069" s="159">
        <v>75</v>
      </c>
      <c r="D5069" s="159">
        <v>86</v>
      </c>
      <c r="E5069" s="159">
        <v>30</v>
      </c>
      <c r="F5069" s="131"/>
      <c r="G5069" s="132"/>
      <c r="H5069" s="162" t="s">
        <v>27366</v>
      </c>
      <c r="I5069" s="128"/>
      <c r="J5069" s="128"/>
      <c r="K5069" s="128"/>
      <c r="L5069" s="128"/>
      <c r="M5069" s="129"/>
      <c r="N5069" s="129"/>
      <c r="O5069" s="129"/>
    </row>
    <row r="5070" spans="1:15" ht="12.5">
      <c r="A5070" s="158" t="s">
        <v>27367</v>
      </c>
      <c r="B5070" s="159">
        <v>60</v>
      </c>
      <c r="C5070" s="159">
        <v>75</v>
      </c>
      <c r="D5070" s="159">
        <v>86</v>
      </c>
      <c r="E5070" s="159">
        <v>31</v>
      </c>
      <c r="F5070" s="131"/>
      <c r="G5070" s="132"/>
      <c r="H5070" s="162" t="s">
        <v>27368</v>
      </c>
      <c r="I5070" s="158" t="s">
        <v>27369</v>
      </c>
      <c r="J5070" s="128"/>
      <c r="K5070" s="128"/>
      <c r="L5070" s="128"/>
      <c r="M5070" s="129"/>
      <c r="N5070" s="129"/>
      <c r="O5070" s="129"/>
    </row>
    <row r="5071" spans="1:15" ht="12.5">
      <c r="A5071" s="158" t="s">
        <v>27370</v>
      </c>
      <c r="B5071" s="159">
        <v>60</v>
      </c>
      <c r="C5071" s="159">
        <v>75</v>
      </c>
      <c r="D5071" s="159">
        <v>86</v>
      </c>
      <c r="E5071" s="159">
        <v>40</v>
      </c>
      <c r="F5071" s="131"/>
      <c r="G5071" s="132"/>
      <c r="H5071" s="162" t="s">
        <v>27371</v>
      </c>
      <c r="I5071" s="128"/>
      <c r="J5071" s="128"/>
      <c r="K5071" s="128"/>
      <c r="L5071" s="128"/>
      <c r="M5071" s="129"/>
      <c r="N5071" s="129"/>
      <c r="O5071" s="129"/>
    </row>
    <row r="5072" spans="1:15" ht="12.5">
      <c r="A5072" s="158" t="s">
        <v>27372</v>
      </c>
      <c r="B5072" s="159">
        <v>60</v>
      </c>
      <c r="C5072" s="159">
        <v>75</v>
      </c>
      <c r="D5072" s="159">
        <v>86</v>
      </c>
      <c r="E5072" s="159">
        <v>41</v>
      </c>
      <c r="F5072" s="131"/>
      <c r="G5072" s="132"/>
      <c r="H5072" s="162" t="s">
        <v>27373</v>
      </c>
      <c r="I5072" s="128"/>
      <c r="J5072" s="128"/>
      <c r="K5072" s="128"/>
      <c r="L5072" s="128"/>
      <c r="M5072" s="129"/>
      <c r="N5072" s="129"/>
      <c r="O5072" s="129"/>
    </row>
    <row r="5073" spans="1:15" ht="12.5">
      <c r="A5073" s="158" t="s">
        <v>27374</v>
      </c>
      <c r="B5073" s="159">
        <v>60</v>
      </c>
      <c r="C5073" s="159">
        <v>75</v>
      </c>
      <c r="D5073" s="159">
        <v>86</v>
      </c>
      <c r="E5073" s="159">
        <v>42</v>
      </c>
      <c r="F5073" s="131"/>
      <c r="G5073" s="132"/>
      <c r="H5073" s="162" t="s">
        <v>27375</v>
      </c>
      <c r="I5073" s="128"/>
      <c r="J5073" s="128"/>
      <c r="K5073" s="128"/>
      <c r="L5073" s="128"/>
      <c r="M5073" s="129"/>
      <c r="N5073" s="129"/>
      <c r="O5073" s="129"/>
    </row>
    <row r="5074" spans="1:15" ht="12.5">
      <c r="A5074" s="158" t="s">
        <v>27376</v>
      </c>
      <c r="B5074" s="159">
        <v>60</v>
      </c>
      <c r="C5074" s="159">
        <v>75</v>
      </c>
      <c r="D5074" s="159">
        <v>86</v>
      </c>
      <c r="E5074" s="159">
        <v>45</v>
      </c>
      <c r="F5074" s="131"/>
      <c r="G5074" s="132"/>
      <c r="H5074" s="162" t="s">
        <v>27377</v>
      </c>
      <c r="I5074" s="128"/>
      <c r="J5074" s="128"/>
      <c r="K5074" s="128"/>
      <c r="L5074" s="128"/>
      <c r="M5074" s="129"/>
      <c r="N5074" s="129"/>
      <c r="O5074" s="129"/>
    </row>
    <row r="5075" spans="1:15" ht="12.5">
      <c r="A5075" s="158" t="s">
        <v>27378</v>
      </c>
      <c r="B5075" s="159">
        <v>60</v>
      </c>
      <c r="C5075" s="159">
        <v>75</v>
      </c>
      <c r="D5075" s="159">
        <v>86</v>
      </c>
      <c r="E5075" s="159">
        <v>47</v>
      </c>
      <c r="F5075" s="131"/>
      <c r="G5075" s="132"/>
      <c r="H5075" s="162" t="s">
        <v>27379</v>
      </c>
      <c r="I5075" s="128"/>
      <c r="J5075" s="128"/>
      <c r="K5075" s="128"/>
      <c r="L5075" s="128"/>
      <c r="M5075" s="129"/>
      <c r="N5075" s="129"/>
      <c r="O5075" s="129"/>
    </row>
    <row r="5076" spans="1:15" ht="12.5">
      <c r="A5076" s="158" t="s">
        <v>27380</v>
      </c>
      <c r="B5076" s="159">
        <v>60</v>
      </c>
      <c r="C5076" s="159">
        <v>75</v>
      </c>
      <c r="D5076" s="159">
        <v>86</v>
      </c>
      <c r="E5076" s="159">
        <v>60</v>
      </c>
      <c r="F5076" s="131"/>
      <c r="G5076" s="132"/>
      <c r="H5076" s="162" t="s">
        <v>27381</v>
      </c>
      <c r="I5076" s="158" t="s">
        <v>27382</v>
      </c>
      <c r="J5076" s="128"/>
      <c r="K5076" s="128"/>
      <c r="L5076" s="128"/>
      <c r="M5076" s="129"/>
      <c r="N5076" s="129"/>
      <c r="O5076" s="129"/>
    </row>
    <row r="5077" spans="1:15" ht="12.5">
      <c r="A5077" s="158" t="s">
        <v>27383</v>
      </c>
      <c r="B5077" s="159">
        <v>60</v>
      </c>
      <c r="C5077" s="159">
        <v>75</v>
      </c>
      <c r="D5077" s="159">
        <v>86</v>
      </c>
      <c r="E5077" s="159">
        <v>65</v>
      </c>
      <c r="F5077" s="131"/>
      <c r="G5077" s="132"/>
      <c r="H5077" s="162" t="s">
        <v>27384</v>
      </c>
      <c r="I5077" s="158" t="s">
        <v>27385</v>
      </c>
      <c r="J5077" s="128"/>
      <c r="K5077" s="128"/>
      <c r="L5077" s="128"/>
      <c r="M5077" s="129"/>
      <c r="N5077" s="129"/>
      <c r="O5077" s="129"/>
    </row>
    <row r="5078" spans="1:15" ht="12.5">
      <c r="A5078" s="158" t="s">
        <v>27386</v>
      </c>
      <c r="B5078" s="159">
        <v>60</v>
      </c>
      <c r="C5078" s="159">
        <v>75</v>
      </c>
      <c r="D5078" s="159">
        <v>86</v>
      </c>
      <c r="E5078" s="159">
        <v>79</v>
      </c>
      <c r="F5078" s="131"/>
      <c r="G5078" s="132"/>
      <c r="H5078" s="162" t="s">
        <v>27387</v>
      </c>
      <c r="I5078" s="158" t="s">
        <v>27388</v>
      </c>
      <c r="J5078" s="128"/>
      <c r="K5078" s="128"/>
      <c r="L5078" s="128"/>
      <c r="M5078" s="129"/>
      <c r="N5078" s="129"/>
      <c r="O5078" s="129"/>
    </row>
    <row r="5079" spans="1:15" ht="12.5">
      <c r="A5079" s="158" t="s">
        <v>27389</v>
      </c>
      <c r="B5079" s="159">
        <v>60</v>
      </c>
      <c r="C5079" s="159">
        <v>75</v>
      </c>
      <c r="D5079" s="159">
        <v>86</v>
      </c>
      <c r="E5079" s="159">
        <v>80</v>
      </c>
      <c r="F5079" s="131"/>
      <c r="G5079" s="132"/>
      <c r="H5079" s="162" t="s">
        <v>27390</v>
      </c>
      <c r="I5079" s="158" t="s">
        <v>27391</v>
      </c>
      <c r="J5079" s="128"/>
      <c r="K5079" s="128"/>
      <c r="L5079" s="128"/>
      <c r="M5079" s="129"/>
      <c r="N5079" s="129"/>
      <c r="O5079" s="129"/>
    </row>
    <row r="5080" spans="1:15" ht="12.5">
      <c r="A5080" s="158" t="s">
        <v>27392</v>
      </c>
      <c r="B5080" s="159">
        <v>60</v>
      </c>
      <c r="C5080" s="159">
        <v>75</v>
      </c>
      <c r="D5080" s="159">
        <v>86</v>
      </c>
      <c r="E5080" s="159">
        <v>90</v>
      </c>
      <c r="F5080" s="131"/>
      <c r="G5080" s="132"/>
      <c r="H5080" s="162" t="s">
        <v>27393</v>
      </c>
      <c r="I5080" s="128"/>
      <c r="J5080" s="128"/>
      <c r="K5080" s="128"/>
      <c r="L5080" s="128"/>
      <c r="M5080" s="129"/>
      <c r="N5080" s="129"/>
      <c r="O5080" s="129"/>
    </row>
    <row r="5081" spans="1:15" ht="12.5">
      <c r="A5081" s="158" t="s">
        <v>27394</v>
      </c>
      <c r="B5081" s="159">
        <v>60</v>
      </c>
      <c r="C5081" s="159">
        <v>75</v>
      </c>
      <c r="D5081" s="159">
        <v>86</v>
      </c>
      <c r="E5081" s="159">
        <v>92</v>
      </c>
      <c r="F5081" s="131"/>
      <c r="G5081" s="132"/>
      <c r="H5081" s="162" t="s">
        <v>27395</v>
      </c>
      <c r="I5081" s="128"/>
      <c r="J5081" s="128"/>
      <c r="K5081" s="128"/>
      <c r="L5081" s="128"/>
      <c r="M5081" s="129"/>
      <c r="N5081" s="129"/>
      <c r="O5081" s="129"/>
    </row>
    <row r="5082" spans="1:15" ht="12.5">
      <c r="A5082" s="158" t="s">
        <v>27396</v>
      </c>
      <c r="B5082" s="159">
        <v>60</v>
      </c>
      <c r="C5082" s="159">
        <v>75</v>
      </c>
      <c r="D5082" s="159">
        <v>86</v>
      </c>
      <c r="E5082" s="159">
        <v>94</v>
      </c>
      <c r="F5082" s="131"/>
      <c r="G5082" s="132"/>
      <c r="H5082" s="162" t="s">
        <v>27397</v>
      </c>
      <c r="I5082" s="128"/>
      <c r="J5082" s="128"/>
      <c r="K5082" s="128"/>
      <c r="L5082" s="128"/>
      <c r="M5082" s="129"/>
      <c r="N5082" s="129"/>
      <c r="O5082" s="129"/>
    </row>
    <row r="5083" spans="1:15" ht="12.5">
      <c r="A5083" s="158" t="s">
        <v>27398</v>
      </c>
      <c r="B5083" s="159">
        <v>60</v>
      </c>
      <c r="C5083" s="159">
        <v>75</v>
      </c>
      <c r="D5083" s="159">
        <v>86</v>
      </c>
      <c r="E5083" s="159">
        <v>99</v>
      </c>
      <c r="F5083" s="131"/>
      <c r="G5083" s="132"/>
      <c r="H5083" s="162" t="s">
        <v>27399</v>
      </c>
      <c r="I5083" s="128"/>
      <c r="J5083" s="128"/>
      <c r="K5083" s="128"/>
      <c r="L5083" s="128"/>
      <c r="M5083" s="129"/>
      <c r="N5083" s="129"/>
      <c r="O5083" s="129"/>
    </row>
    <row r="5084" spans="1:15" ht="12.5">
      <c r="A5084" s="137" t="s">
        <v>27400</v>
      </c>
      <c r="B5084" s="138">
        <v>65</v>
      </c>
      <c r="C5084" s="139"/>
      <c r="D5084" s="139"/>
      <c r="E5084" s="139"/>
      <c r="F5084" s="140" t="s">
        <v>33518</v>
      </c>
      <c r="G5084" s="141"/>
      <c r="H5084" s="142" t="s">
        <v>27401</v>
      </c>
      <c r="I5084" s="143"/>
      <c r="J5084" s="143"/>
      <c r="K5084" s="143"/>
      <c r="L5084" s="143"/>
      <c r="M5084" s="192"/>
      <c r="N5084" s="192"/>
      <c r="O5084" s="192"/>
    </row>
    <row r="5085" spans="1:15" ht="12.5">
      <c r="A5085" s="144" t="s">
        <v>27402</v>
      </c>
      <c r="B5085" s="145">
        <v>65</v>
      </c>
      <c r="C5085" s="145">
        <v>12</v>
      </c>
      <c r="D5085" s="146"/>
      <c r="E5085" s="146"/>
      <c r="F5085" s="147" t="s">
        <v>33519</v>
      </c>
      <c r="G5085" s="190"/>
      <c r="H5085" s="149" t="s">
        <v>7598</v>
      </c>
      <c r="I5085" s="150"/>
      <c r="J5085" s="150"/>
      <c r="K5085" s="150"/>
      <c r="L5085" s="150"/>
      <c r="M5085" s="191"/>
      <c r="N5085" s="191"/>
      <c r="O5085" s="191"/>
    </row>
    <row r="5086" spans="1:15" ht="12.5">
      <c r="A5086" s="158" t="s">
        <v>27403</v>
      </c>
      <c r="B5086" s="159">
        <v>65</v>
      </c>
      <c r="C5086" s="159">
        <v>12</v>
      </c>
      <c r="D5086" s="159">
        <v>70</v>
      </c>
      <c r="E5086" s="130"/>
      <c r="F5086" s="131"/>
      <c r="G5086" s="132"/>
      <c r="H5086" s="162" t="s">
        <v>27404</v>
      </c>
      <c r="I5086" s="128"/>
      <c r="J5086" s="128"/>
      <c r="K5086" s="128"/>
      <c r="L5086" s="128"/>
      <c r="M5086" s="129"/>
      <c r="N5086" s="129"/>
      <c r="O5086" s="129"/>
    </row>
    <row r="5087" spans="1:15" ht="12.5">
      <c r="A5087" s="158" t="s">
        <v>27405</v>
      </c>
      <c r="B5087" s="159">
        <v>65</v>
      </c>
      <c r="C5087" s="159">
        <v>12</v>
      </c>
      <c r="D5087" s="159">
        <v>70</v>
      </c>
      <c r="E5087" s="159">
        <v>22</v>
      </c>
      <c r="F5087" s="131"/>
      <c r="G5087" s="132"/>
      <c r="H5087" s="162" t="s">
        <v>27406</v>
      </c>
      <c r="I5087" s="158" t="s">
        <v>27407</v>
      </c>
      <c r="J5087" s="128"/>
      <c r="K5087" s="128"/>
      <c r="L5087" s="128"/>
      <c r="M5087" s="129"/>
      <c r="N5087" s="129"/>
      <c r="O5087" s="129"/>
    </row>
    <row r="5088" spans="1:15" ht="12.5">
      <c r="A5088" s="158" t="s">
        <v>27408</v>
      </c>
      <c r="B5088" s="159">
        <v>65</v>
      </c>
      <c r="C5088" s="159">
        <v>12</v>
      </c>
      <c r="D5088" s="159">
        <v>70</v>
      </c>
      <c r="E5088" s="159">
        <v>47</v>
      </c>
      <c r="F5088" s="131"/>
      <c r="G5088" s="132"/>
      <c r="H5088" s="162" t="s">
        <v>27409</v>
      </c>
      <c r="I5088" s="158" t="s">
        <v>27410</v>
      </c>
      <c r="J5088" s="128"/>
      <c r="K5088" s="128"/>
      <c r="L5088" s="128"/>
      <c r="M5088" s="129"/>
      <c r="N5088" s="129"/>
      <c r="O5088" s="129"/>
    </row>
    <row r="5089" spans="1:15" ht="12.5">
      <c r="A5089" s="158" t="s">
        <v>27411</v>
      </c>
      <c r="B5089" s="159">
        <v>65</v>
      </c>
      <c r="C5089" s="159">
        <v>12</v>
      </c>
      <c r="D5089" s="159">
        <v>71</v>
      </c>
      <c r="E5089" s="130"/>
      <c r="F5089" s="131"/>
      <c r="G5089" s="132"/>
      <c r="H5089" s="162" t="s">
        <v>27412</v>
      </c>
      <c r="I5089" s="128"/>
      <c r="J5089" s="128"/>
      <c r="K5089" s="128"/>
      <c r="L5089" s="128"/>
      <c r="M5089" s="129"/>
      <c r="N5089" s="129"/>
      <c r="O5089" s="129"/>
    </row>
    <row r="5090" spans="1:15" ht="12.5">
      <c r="A5090" s="158" t="s">
        <v>27413</v>
      </c>
      <c r="B5090" s="159">
        <v>65</v>
      </c>
      <c r="C5090" s="159">
        <v>12</v>
      </c>
      <c r="D5090" s="159">
        <v>71</v>
      </c>
      <c r="E5090" s="159">
        <v>12</v>
      </c>
      <c r="F5090" s="131"/>
      <c r="G5090" s="132"/>
      <c r="H5090" s="162" t="s">
        <v>27414</v>
      </c>
      <c r="I5090" s="158" t="s">
        <v>27415</v>
      </c>
      <c r="J5090" s="128"/>
      <c r="K5090" s="128"/>
      <c r="L5090" s="128"/>
      <c r="M5090" s="129"/>
      <c r="N5090" s="129"/>
      <c r="O5090" s="129"/>
    </row>
    <row r="5091" spans="1:15" ht="12.5">
      <c r="A5091" s="158" t="s">
        <v>27416</v>
      </c>
      <c r="B5091" s="159">
        <v>65</v>
      </c>
      <c r="C5091" s="159">
        <v>12</v>
      </c>
      <c r="D5091" s="159">
        <v>71</v>
      </c>
      <c r="E5091" s="159">
        <v>72</v>
      </c>
      <c r="F5091" s="131"/>
      <c r="G5091" s="132"/>
      <c r="H5091" s="162" t="s">
        <v>27417</v>
      </c>
      <c r="I5091" s="158" t="s">
        <v>27418</v>
      </c>
      <c r="J5091" s="128"/>
      <c r="K5091" s="128"/>
      <c r="L5091" s="128"/>
      <c r="M5091" s="129"/>
      <c r="N5091" s="129"/>
      <c r="O5091" s="129"/>
    </row>
    <row r="5092" spans="1:15" ht="12.5">
      <c r="A5092" s="144" t="s">
        <v>27419</v>
      </c>
      <c r="B5092" s="145">
        <v>65</v>
      </c>
      <c r="C5092" s="145">
        <v>50</v>
      </c>
      <c r="D5092" s="146"/>
      <c r="E5092" s="146"/>
      <c r="F5092" s="147" t="s">
        <v>33520</v>
      </c>
      <c r="G5092" s="190"/>
      <c r="H5092" s="149" t="s">
        <v>27420</v>
      </c>
      <c r="I5092" s="150"/>
      <c r="J5092" s="150"/>
      <c r="K5092" s="150"/>
      <c r="L5092" s="150"/>
      <c r="M5092" s="191"/>
      <c r="N5092" s="191"/>
      <c r="O5092" s="191"/>
    </row>
    <row r="5093" spans="1:15" ht="12.5">
      <c r="A5093" s="158" t="s">
        <v>27421</v>
      </c>
      <c r="B5093" s="159">
        <v>65</v>
      </c>
      <c r="C5093" s="159">
        <v>50</v>
      </c>
      <c r="D5093" s="159">
        <v>35</v>
      </c>
      <c r="E5093" s="130"/>
      <c r="F5093" s="131"/>
      <c r="G5093" s="132"/>
      <c r="H5093" s="162" t="s">
        <v>27422</v>
      </c>
      <c r="I5093" s="128"/>
      <c r="J5093" s="128"/>
      <c r="K5093" s="128"/>
      <c r="L5093" s="128"/>
      <c r="M5093" s="129"/>
      <c r="N5093" s="129"/>
      <c r="O5093" s="129"/>
    </row>
    <row r="5094" spans="1:15" ht="12.5">
      <c r="A5094" s="158" t="s">
        <v>27423</v>
      </c>
      <c r="B5094" s="159">
        <v>65</v>
      </c>
      <c r="C5094" s="159">
        <v>50</v>
      </c>
      <c r="D5094" s="159">
        <v>35</v>
      </c>
      <c r="E5094" s="159">
        <v>2</v>
      </c>
      <c r="F5094" s="131"/>
      <c r="G5094" s="132"/>
      <c r="H5094" s="162" t="s">
        <v>27424</v>
      </c>
      <c r="I5094" s="158" t="s">
        <v>27425</v>
      </c>
      <c r="J5094" s="128"/>
      <c r="K5094" s="128"/>
      <c r="L5094" s="128"/>
      <c r="M5094" s="129"/>
      <c r="N5094" s="129"/>
      <c r="O5094" s="129"/>
    </row>
    <row r="5095" spans="1:15" ht="12.5">
      <c r="A5095" s="158" t="s">
        <v>27426</v>
      </c>
      <c r="B5095" s="159">
        <v>65</v>
      </c>
      <c r="C5095" s="159">
        <v>50</v>
      </c>
      <c r="D5095" s="159">
        <v>35</v>
      </c>
      <c r="E5095" s="159">
        <v>4</v>
      </c>
      <c r="F5095" s="131"/>
      <c r="G5095" s="132"/>
      <c r="H5095" s="162" t="s">
        <v>33521</v>
      </c>
      <c r="I5095" s="158" t="s">
        <v>27428</v>
      </c>
      <c r="J5095" s="128"/>
      <c r="K5095" s="128"/>
      <c r="L5095" s="128"/>
      <c r="M5095" s="129"/>
      <c r="N5095" s="129"/>
      <c r="O5095" s="129"/>
    </row>
    <row r="5096" spans="1:15" ht="12.5">
      <c r="A5096" s="158" t="s">
        <v>27429</v>
      </c>
      <c r="B5096" s="159">
        <v>65</v>
      </c>
      <c r="C5096" s="159">
        <v>50</v>
      </c>
      <c r="D5096" s="159">
        <v>35</v>
      </c>
      <c r="E5096" s="159">
        <v>6</v>
      </c>
      <c r="F5096" s="131"/>
      <c r="G5096" s="132"/>
      <c r="H5096" s="162" t="s">
        <v>27430</v>
      </c>
      <c r="I5096" s="158" t="s">
        <v>27431</v>
      </c>
      <c r="J5096" s="128"/>
      <c r="K5096" s="128"/>
      <c r="L5096" s="128"/>
      <c r="M5096" s="129"/>
      <c r="N5096" s="129"/>
      <c r="O5096" s="129"/>
    </row>
    <row r="5097" spans="1:15" ht="12.5">
      <c r="A5097" s="158" t="s">
        <v>27432</v>
      </c>
      <c r="B5097" s="159">
        <v>65</v>
      </c>
      <c r="C5097" s="159">
        <v>50</v>
      </c>
      <c r="D5097" s="159">
        <v>35</v>
      </c>
      <c r="E5097" s="159">
        <v>8</v>
      </c>
      <c r="F5097" s="131"/>
      <c r="G5097" s="132"/>
      <c r="H5097" s="162" t="s">
        <v>33522</v>
      </c>
      <c r="I5097" s="158" t="s">
        <v>27434</v>
      </c>
      <c r="J5097" s="128"/>
      <c r="K5097" s="128"/>
      <c r="L5097" s="128"/>
      <c r="M5097" s="129"/>
      <c r="N5097" s="129"/>
      <c r="O5097" s="129"/>
    </row>
    <row r="5098" spans="1:15" ht="12.5">
      <c r="A5098" s="158" t="s">
        <v>27437</v>
      </c>
      <c r="B5098" s="159">
        <v>65</v>
      </c>
      <c r="C5098" s="159">
        <v>50</v>
      </c>
      <c r="D5098" s="159">
        <v>35</v>
      </c>
      <c r="E5098" s="159">
        <v>11</v>
      </c>
      <c r="F5098" s="131"/>
      <c r="G5098" s="132"/>
      <c r="H5098" s="162" t="s">
        <v>27438</v>
      </c>
      <c r="I5098" s="158" t="s">
        <v>27439</v>
      </c>
      <c r="J5098" s="128"/>
      <c r="K5098" s="128"/>
      <c r="L5098" s="128"/>
      <c r="M5098" s="129"/>
      <c r="N5098" s="129"/>
      <c r="O5098" s="129"/>
    </row>
    <row r="5099" spans="1:15" ht="12.5">
      <c r="A5099" s="158" t="s">
        <v>27440</v>
      </c>
      <c r="B5099" s="159">
        <v>65</v>
      </c>
      <c r="C5099" s="159">
        <v>50</v>
      </c>
      <c r="D5099" s="159">
        <v>35</v>
      </c>
      <c r="E5099" s="159">
        <v>15</v>
      </c>
      <c r="F5099" s="131"/>
      <c r="G5099" s="132"/>
      <c r="H5099" s="162" t="s">
        <v>27441</v>
      </c>
      <c r="I5099" s="158" t="s">
        <v>27442</v>
      </c>
      <c r="J5099" s="128"/>
      <c r="K5099" s="128"/>
      <c r="L5099" s="128"/>
      <c r="M5099" s="129"/>
      <c r="N5099" s="129"/>
      <c r="O5099" s="129"/>
    </row>
    <row r="5100" spans="1:15" ht="12.5">
      <c r="A5100" s="158" t="s">
        <v>27443</v>
      </c>
      <c r="B5100" s="159">
        <v>65</v>
      </c>
      <c r="C5100" s="159">
        <v>50</v>
      </c>
      <c r="D5100" s="159">
        <v>35</v>
      </c>
      <c r="E5100" s="159">
        <v>26</v>
      </c>
      <c r="F5100" s="131"/>
      <c r="G5100" s="132"/>
      <c r="H5100" s="162" t="s">
        <v>27444</v>
      </c>
      <c r="I5100" s="158" t="s">
        <v>27445</v>
      </c>
      <c r="J5100" s="128"/>
      <c r="K5100" s="128"/>
      <c r="L5100" s="128"/>
      <c r="M5100" s="129"/>
      <c r="N5100" s="129"/>
      <c r="O5100" s="129"/>
    </row>
    <row r="5101" spans="1:15" ht="12.5">
      <c r="A5101" s="158" t="s">
        <v>27446</v>
      </c>
      <c r="B5101" s="159">
        <v>65</v>
      </c>
      <c r="C5101" s="159">
        <v>50</v>
      </c>
      <c r="D5101" s="159">
        <v>35</v>
      </c>
      <c r="E5101" s="159">
        <v>27</v>
      </c>
      <c r="F5101" s="131"/>
      <c r="G5101" s="132"/>
      <c r="H5101" s="162" t="s">
        <v>33523</v>
      </c>
      <c r="I5101" s="158" t="s">
        <v>27448</v>
      </c>
      <c r="J5101" s="128"/>
      <c r="K5101" s="128"/>
      <c r="L5101" s="128"/>
      <c r="M5101" s="129"/>
      <c r="N5101" s="129"/>
      <c r="O5101" s="129"/>
    </row>
    <row r="5102" spans="1:15" ht="12.5">
      <c r="A5102" s="158" t="s">
        <v>27449</v>
      </c>
      <c r="B5102" s="159">
        <v>65</v>
      </c>
      <c r="C5102" s="159">
        <v>50</v>
      </c>
      <c r="D5102" s="159">
        <v>35</v>
      </c>
      <c r="E5102" s="159">
        <v>28</v>
      </c>
      <c r="F5102" s="131"/>
      <c r="G5102" s="132"/>
      <c r="H5102" s="162" t="s">
        <v>27450</v>
      </c>
      <c r="I5102" s="128"/>
      <c r="J5102" s="128"/>
      <c r="K5102" s="128"/>
      <c r="L5102" s="128"/>
      <c r="M5102" s="129"/>
      <c r="N5102" s="129"/>
      <c r="O5102" s="129"/>
    </row>
    <row r="5103" spans="1:15" ht="12.5">
      <c r="A5103" s="158" t="s">
        <v>27451</v>
      </c>
      <c r="B5103" s="159">
        <v>65</v>
      </c>
      <c r="C5103" s="159">
        <v>50</v>
      </c>
      <c r="D5103" s="159">
        <v>35</v>
      </c>
      <c r="E5103" s="159">
        <v>29</v>
      </c>
      <c r="F5103" s="131"/>
      <c r="G5103" s="132"/>
      <c r="H5103" s="162" t="s">
        <v>27452</v>
      </c>
      <c r="I5103" s="158" t="s">
        <v>27425</v>
      </c>
      <c r="J5103" s="128"/>
      <c r="K5103" s="128"/>
      <c r="L5103" s="128"/>
      <c r="M5103" s="129"/>
      <c r="N5103" s="129"/>
      <c r="O5103" s="129"/>
    </row>
    <row r="5104" spans="1:15" ht="12.5">
      <c r="A5104" s="158" t="s">
        <v>27453</v>
      </c>
      <c r="B5104" s="159">
        <v>65</v>
      </c>
      <c r="C5104" s="159">
        <v>50</v>
      </c>
      <c r="D5104" s="159">
        <v>35</v>
      </c>
      <c r="E5104" s="159">
        <v>30</v>
      </c>
      <c r="F5104" s="131"/>
      <c r="G5104" s="132"/>
      <c r="H5104" s="162" t="s">
        <v>27454</v>
      </c>
      <c r="I5104" s="158" t="s">
        <v>27455</v>
      </c>
      <c r="J5104" s="128"/>
      <c r="K5104" s="128"/>
      <c r="L5104" s="128"/>
      <c r="M5104" s="129"/>
      <c r="N5104" s="129"/>
      <c r="O5104" s="129"/>
    </row>
    <row r="5105" spans="1:15" ht="12.5">
      <c r="A5105" s="158" t="s">
        <v>27456</v>
      </c>
      <c r="B5105" s="159">
        <v>65</v>
      </c>
      <c r="C5105" s="159">
        <v>50</v>
      </c>
      <c r="D5105" s="159">
        <v>35</v>
      </c>
      <c r="E5105" s="159">
        <v>31</v>
      </c>
      <c r="F5105" s="131"/>
      <c r="G5105" s="132"/>
      <c r="H5105" s="162" t="s">
        <v>27457</v>
      </c>
      <c r="I5105" s="128"/>
      <c r="J5105" s="128"/>
      <c r="K5105" s="128"/>
      <c r="L5105" s="128"/>
      <c r="M5105" s="129"/>
      <c r="N5105" s="129"/>
      <c r="O5105" s="129"/>
    </row>
    <row r="5106" spans="1:15" ht="12.5">
      <c r="A5106" s="158" t="s">
        <v>27458</v>
      </c>
      <c r="B5106" s="159">
        <v>65</v>
      </c>
      <c r="C5106" s="159">
        <v>50</v>
      </c>
      <c r="D5106" s="159">
        <v>35</v>
      </c>
      <c r="E5106" s="159">
        <v>33</v>
      </c>
      <c r="F5106" s="131"/>
      <c r="G5106" s="132"/>
      <c r="H5106" s="162" t="s">
        <v>33524</v>
      </c>
      <c r="I5106" s="158" t="s">
        <v>27460</v>
      </c>
      <c r="J5106" s="128"/>
      <c r="K5106" s="128"/>
      <c r="L5106" s="128"/>
      <c r="M5106" s="129"/>
      <c r="N5106" s="129"/>
      <c r="O5106" s="129"/>
    </row>
    <row r="5107" spans="1:15" ht="12.5">
      <c r="A5107" s="158" t="s">
        <v>27461</v>
      </c>
      <c r="B5107" s="159">
        <v>65</v>
      </c>
      <c r="C5107" s="159">
        <v>50</v>
      </c>
      <c r="D5107" s="159">
        <v>35</v>
      </c>
      <c r="E5107" s="159">
        <v>34</v>
      </c>
      <c r="F5107" s="131"/>
      <c r="G5107" s="132"/>
      <c r="H5107" s="162" t="s">
        <v>33525</v>
      </c>
      <c r="I5107" s="158" t="s">
        <v>27463</v>
      </c>
      <c r="J5107" s="128"/>
      <c r="K5107" s="128"/>
      <c r="L5107" s="128"/>
      <c r="M5107" s="129"/>
      <c r="N5107" s="129"/>
      <c r="O5107" s="129"/>
    </row>
    <row r="5108" spans="1:15" ht="12.5">
      <c r="A5108" s="158" t="s">
        <v>27464</v>
      </c>
      <c r="B5108" s="159">
        <v>65</v>
      </c>
      <c r="C5108" s="159">
        <v>50</v>
      </c>
      <c r="D5108" s="159">
        <v>35</v>
      </c>
      <c r="E5108" s="159">
        <v>35</v>
      </c>
      <c r="F5108" s="131"/>
      <c r="G5108" s="132"/>
      <c r="H5108" s="162" t="s">
        <v>27465</v>
      </c>
      <c r="I5108" s="158" t="s">
        <v>27466</v>
      </c>
      <c r="J5108" s="128"/>
      <c r="K5108" s="128"/>
      <c r="L5108" s="128"/>
      <c r="M5108" s="129"/>
      <c r="N5108" s="129"/>
      <c r="O5108" s="129"/>
    </row>
    <row r="5109" spans="1:15" ht="12.5">
      <c r="A5109" s="158" t="s">
        <v>27467</v>
      </c>
      <c r="B5109" s="159">
        <v>65</v>
      </c>
      <c r="C5109" s="159">
        <v>50</v>
      </c>
      <c r="D5109" s="159">
        <v>35</v>
      </c>
      <c r="E5109" s="159">
        <v>36</v>
      </c>
      <c r="F5109" s="131"/>
      <c r="G5109" s="132"/>
      <c r="H5109" s="162" t="s">
        <v>27468</v>
      </c>
      <c r="I5109" s="128"/>
      <c r="J5109" s="128"/>
      <c r="K5109" s="128"/>
      <c r="L5109" s="128"/>
      <c r="M5109" s="129"/>
      <c r="N5109" s="129"/>
      <c r="O5109" s="129"/>
    </row>
    <row r="5110" spans="1:15" ht="12.5">
      <c r="A5110" s="158" t="s">
        <v>27469</v>
      </c>
      <c r="B5110" s="159">
        <v>65</v>
      </c>
      <c r="C5110" s="159">
        <v>50</v>
      </c>
      <c r="D5110" s="159">
        <v>35</v>
      </c>
      <c r="E5110" s="159">
        <v>37</v>
      </c>
      <c r="F5110" s="131"/>
      <c r="G5110" s="132"/>
      <c r="H5110" s="162" t="s">
        <v>27470</v>
      </c>
      <c r="I5110" s="158" t="s">
        <v>27471</v>
      </c>
      <c r="J5110" s="128"/>
      <c r="K5110" s="128"/>
      <c r="L5110" s="128"/>
      <c r="M5110" s="129"/>
      <c r="N5110" s="129"/>
      <c r="O5110" s="129"/>
    </row>
    <row r="5111" spans="1:15" ht="12.5">
      <c r="A5111" s="158" t="s">
        <v>27472</v>
      </c>
      <c r="B5111" s="159">
        <v>65</v>
      </c>
      <c r="C5111" s="159">
        <v>50</v>
      </c>
      <c r="D5111" s="159">
        <v>35</v>
      </c>
      <c r="E5111" s="159">
        <v>38</v>
      </c>
      <c r="F5111" s="131"/>
      <c r="G5111" s="132"/>
      <c r="H5111" s="162" t="s">
        <v>27473</v>
      </c>
      <c r="I5111" s="158" t="s">
        <v>27474</v>
      </c>
      <c r="J5111" s="128"/>
      <c r="K5111" s="128"/>
      <c r="L5111" s="128"/>
      <c r="M5111" s="129"/>
      <c r="N5111" s="129"/>
      <c r="O5111" s="129"/>
    </row>
    <row r="5112" spans="1:15" ht="12.5">
      <c r="A5112" s="158" t="s">
        <v>27475</v>
      </c>
      <c r="B5112" s="159">
        <v>65</v>
      </c>
      <c r="C5112" s="159">
        <v>50</v>
      </c>
      <c r="D5112" s="159">
        <v>35</v>
      </c>
      <c r="E5112" s="159">
        <v>40</v>
      </c>
      <c r="F5112" s="131"/>
      <c r="G5112" s="132"/>
      <c r="H5112" s="162" t="s">
        <v>27476</v>
      </c>
      <c r="I5112" s="158" t="s">
        <v>27425</v>
      </c>
      <c r="J5112" s="128"/>
      <c r="K5112" s="128"/>
      <c r="L5112" s="128"/>
      <c r="M5112" s="129"/>
      <c r="N5112" s="129"/>
      <c r="O5112" s="129"/>
    </row>
    <row r="5113" spans="1:15" ht="12.5">
      <c r="A5113" s="158" t="s">
        <v>27477</v>
      </c>
      <c r="B5113" s="159">
        <v>65</v>
      </c>
      <c r="C5113" s="159">
        <v>50</v>
      </c>
      <c r="D5113" s="159">
        <v>35</v>
      </c>
      <c r="E5113" s="159">
        <v>42</v>
      </c>
      <c r="F5113" s="131"/>
      <c r="G5113" s="132"/>
      <c r="H5113" s="162" t="s">
        <v>27478</v>
      </c>
      <c r="I5113" s="158" t="s">
        <v>27479</v>
      </c>
      <c r="J5113" s="128"/>
      <c r="K5113" s="128"/>
      <c r="L5113" s="128"/>
      <c r="M5113" s="129"/>
      <c r="N5113" s="129"/>
      <c r="O5113" s="129"/>
    </row>
    <row r="5114" spans="1:15" ht="12.5">
      <c r="A5114" s="158" t="s">
        <v>27482</v>
      </c>
      <c r="B5114" s="159">
        <v>65</v>
      </c>
      <c r="C5114" s="159">
        <v>50</v>
      </c>
      <c r="D5114" s="159">
        <v>35</v>
      </c>
      <c r="E5114" s="159">
        <v>47</v>
      </c>
      <c r="F5114" s="131"/>
      <c r="G5114" s="132"/>
      <c r="H5114" s="162" t="s">
        <v>27483</v>
      </c>
      <c r="I5114" s="158" t="s">
        <v>27484</v>
      </c>
      <c r="J5114" s="128"/>
      <c r="K5114" s="128"/>
      <c r="L5114" s="128"/>
      <c r="M5114" s="129"/>
      <c r="N5114" s="129"/>
      <c r="O5114" s="129"/>
    </row>
    <row r="5115" spans="1:15" ht="12.5">
      <c r="A5115" s="158" t="s">
        <v>27485</v>
      </c>
      <c r="B5115" s="159">
        <v>65</v>
      </c>
      <c r="C5115" s="159">
        <v>50</v>
      </c>
      <c r="D5115" s="159">
        <v>35</v>
      </c>
      <c r="E5115" s="159">
        <v>68</v>
      </c>
      <c r="F5115" s="131"/>
      <c r="G5115" s="132"/>
      <c r="H5115" s="162" t="s">
        <v>27486</v>
      </c>
      <c r="I5115" s="128"/>
      <c r="J5115" s="128"/>
      <c r="K5115" s="128"/>
      <c r="L5115" s="128"/>
      <c r="M5115" s="129"/>
      <c r="N5115" s="129"/>
      <c r="O5115" s="129"/>
    </row>
    <row r="5116" spans="1:15" ht="12.5">
      <c r="A5116" s="158" t="s">
        <v>27487</v>
      </c>
      <c r="B5116" s="159">
        <v>65</v>
      </c>
      <c r="C5116" s="159">
        <v>50</v>
      </c>
      <c r="D5116" s="159">
        <v>35</v>
      </c>
      <c r="E5116" s="159">
        <v>70</v>
      </c>
      <c r="F5116" s="131"/>
      <c r="G5116" s="132"/>
      <c r="H5116" s="162" t="s">
        <v>27488</v>
      </c>
      <c r="I5116" s="158" t="s">
        <v>27489</v>
      </c>
      <c r="J5116" s="128"/>
      <c r="K5116" s="128"/>
      <c r="L5116" s="128"/>
      <c r="M5116" s="129"/>
      <c r="N5116" s="129"/>
      <c r="O5116" s="129"/>
    </row>
    <row r="5117" spans="1:15" ht="12.5">
      <c r="A5117" s="158" t="s">
        <v>27490</v>
      </c>
      <c r="B5117" s="159">
        <v>65</v>
      </c>
      <c r="C5117" s="159">
        <v>50</v>
      </c>
      <c r="D5117" s="159">
        <v>35</v>
      </c>
      <c r="E5117" s="159">
        <v>72</v>
      </c>
      <c r="F5117" s="131"/>
      <c r="G5117" s="132"/>
      <c r="H5117" s="162" t="s">
        <v>27491</v>
      </c>
      <c r="I5117" s="128"/>
      <c r="J5117" s="128"/>
      <c r="K5117" s="128"/>
      <c r="L5117" s="128"/>
      <c r="M5117" s="129"/>
      <c r="N5117" s="129"/>
      <c r="O5117" s="129"/>
    </row>
    <row r="5118" spans="1:15" ht="12.5">
      <c r="A5118" s="158" t="s">
        <v>27492</v>
      </c>
      <c r="B5118" s="159">
        <v>65</v>
      </c>
      <c r="C5118" s="159">
        <v>50</v>
      </c>
      <c r="D5118" s="159">
        <v>35</v>
      </c>
      <c r="E5118" s="159">
        <v>81</v>
      </c>
      <c r="F5118" s="131"/>
      <c r="G5118" s="132"/>
      <c r="H5118" s="162" t="s">
        <v>27493</v>
      </c>
      <c r="I5118" s="158" t="s">
        <v>27494</v>
      </c>
      <c r="J5118" s="128"/>
      <c r="K5118" s="128"/>
      <c r="L5118" s="128"/>
      <c r="M5118" s="129"/>
      <c r="N5118" s="129"/>
      <c r="O5118" s="129"/>
    </row>
    <row r="5119" spans="1:15" ht="12.5">
      <c r="A5119" s="158" t="s">
        <v>27495</v>
      </c>
      <c r="B5119" s="159">
        <v>65</v>
      </c>
      <c r="C5119" s="159">
        <v>50</v>
      </c>
      <c r="D5119" s="159">
        <v>35</v>
      </c>
      <c r="E5119" s="159">
        <v>82</v>
      </c>
      <c r="F5119" s="131"/>
      <c r="G5119" s="132"/>
      <c r="H5119" s="162" t="s">
        <v>27496</v>
      </c>
      <c r="I5119" s="158" t="s">
        <v>27497</v>
      </c>
      <c r="J5119" s="128"/>
      <c r="K5119" s="128"/>
      <c r="L5119" s="128"/>
      <c r="M5119" s="129"/>
      <c r="N5119" s="129"/>
      <c r="O5119" s="129"/>
    </row>
    <row r="5120" spans="1:15" ht="12.5">
      <c r="A5120" s="158" t="s">
        <v>27498</v>
      </c>
      <c r="B5120" s="159">
        <v>65</v>
      </c>
      <c r="C5120" s="159">
        <v>50</v>
      </c>
      <c r="D5120" s="159">
        <v>35</v>
      </c>
      <c r="E5120" s="159">
        <v>83</v>
      </c>
      <c r="F5120" s="131"/>
      <c r="G5120" s="132"/>
      <c r="H5120" s="162" t="s">
        <v>27499</v>
      </c>
      <c r="I5120" s="158" t="s">
        <v>27500</v>
      </c>
      <c r="J5120" s="128"/>
      <c r="K5120" s="128"/>
      <c r="L5120" s="128"/>
      <c r="M5120" s="129"/>
      <c r="N5120" s="129"/>
      <c r="O5120" s="129"/>
    </row>
    <row r="5121" spans="1:15" ht="12.5">
      <c r="A5121" s="158" t="s">
        <v>27503</v>
      </c>
      <c r="B5121" s="159">
        <v>65</v>
      </c>
      <c r="C5121" s="159">
        <v>50</v>
      </c>
      <c r="D5121" s="159">
        <v>35</v>
      </c>
      <c r="E5121" s="159">
        <v>92</v>
      </c>
      <c r="F5121" s="131"/>
      <c r="G5121" s="132"/>
      <c r="H5121" s="162" t="s">
        <v>27504</v>
      </c>
      <c r="I5121" s="158" t="s">
        <v>27505</v>
      </c>
      <c r="J5121" s="128"/>
      <c r="K5121" s="128"/>
      <c r="L5121" s="128"/>
      <c r="M5121" s="129"/>
      <c r="N5121" s="129"/>
      <c r="O5121" s="129"/>
    </row>
    <row r="5122" spans="1:15" ht="12.5">
      <c r="A5122" s="158" t="s">
        <v>27506</v>
      </c>
      <c r="B5122" s="159">
        <v>65</v>
      </c>
      <c r="C5122" s="159">
        <v>50</v>
      </c>
      <c r="D5122" s="159">
        <v>35</v>
      </c>
      <c r="E5122" s="159">
        <v>98</v>
      </c>
      <c r="F5122" s="131"/>
      <c r="G5122" s="132"/>
      <c r="H5122" s="162" t="s">
        <v>27507</v>
      </c>
      <c r="I5122" s="158" t="s">
        <v>27508</v>
      </c>
      <c r="J5122" s="128"/>
      <c r="K5122" s="128"/>
      <c r="L5122" s="128"/>
      <c r="M5122" s="129"/>
      <c r="N5122" s="129"/>
      <c r="O5122" s="129"/>
    </row>
    <row r="5123" spans="1:15" ht="12.5">
      <c r="A5123" s="158" t="s">
        <v>27509</v>
      </c>
      <c r="B5123" s="159">
        <v>65</v>
      </c>
      <c r="C5123" s="159">
        <v>50</v>
      </c>
      <c r="D5123" s="159">
        <v>35</v>
      </c>
      <c r="E5123" s="159">
        <v>99</v>
      </c>
      <c r="F5123" s="131"/>
      <c r="G5123" s="132"/>
      <c r="H5123" s="162" t="s">
        <v>27510</v>
      </c>
      <c r="I5123" s="158" t="s">
        <v>27511</v>
      </c>
      <c r="J5123" s="128"/>
      <c r="K5123" s="128"/>
      <c r="L5123" s="128"/>
      <c r="M5123" s="129"/>
      <c r="N5123" s="129"/>
      <c r="O5123" s="129"/>
    </row>
    <row r="5124" spans="1:15" ht="12.5">
      <c r="A5124" s="144" t="s">
        <v>27512</v>
      </c>
      <c r="B5124" s="145">
        <v>65</v>
      </c>
      <c r="C5124" s="145">
        <v>52</v>
      </c>
      <c r="D5124" s="146"/>
      <c r="E5124" s="146"/>
      <c r="F5124" s="147" t="s">
        <v>33526</v>
      </c>
      <c r="G5124" s="190"/>
      <c r="H5124" s="149" t="s">
        <v>27513</v>
      </c>
      <c r="I5124" s="150"/>
      <c r="J5124" s="150"/>
      <c r="K5124" s="150"/>
      <c r="L5124" s="150"/>
      <c r="M5124" s="191"/>
      <c r="N5124" s="191"/>
      <c r="O5124" s="191"/>
    </row>
    <row r="5125" spans="1:15" ht="12.5">
      <c r="A5125" s="158" t="s">
        <v>27514</v>
      </c>
      <c r="B5125" s="159">
        <v>65</v>
      </c>
      <c r="C5125" s="159">
        <v>52</v>
      </c>
      <c r="D5125" s="159">
        <v>1</v>
      </c>
      <c r="E5125" s="130"/>
      <c r="F5125" s="131"/>
      <c r="G5125" s="132"/>
      <c r="H5125" s="162" t="s">
        <v>27515</v>
      </c>
      <c r="I5125" s="128"/>
      <c r="J5125" s="128"/>
      <c r="K5125" s="128"/>
      <c r="L5125" s="128"/>
      <c r="M5125" s="129"/>
      <c r="N5125" s="129"/>
      <c r="O5125" s="129"/>
    </row>
    <row r="5126" spans="1:15" ht="12.5">
      <c r="A5126" s="158" t="s">
        <v>27516</v>
      </c>
      <c r="B5126" s="159">
        <v>65</v>
      </c>
      <c r="C5126" s="159">
        <v>52</v>
      </c>
      <c r="D5126" s="159">
        <v>1</v>
      </c>
      <c r="E5126" s="159">
        <v>1</v>
      </c>
      <c r="F5126" s="131"/>
      <c r="G5126" s="132"/>
      <c r="H5126" s="162" t="s">
        <v>27517</v>
      </c>
      <c r="I5126" s="128"/>
      <c r="J5126" s="128"/>
      <c r="K5126" s="128"/>
      <c r="L5126" s="128"/>
      <c r="M5126" s="129"/>
      <c r="N5126" s="129"/>
      <c r="O5126" s="129"/>
    </row>
    <row r="5127" spans="1:15" ht="12.5">
      <c r="A5127" s="158" t="s">
        <v>27518</v>
      </c>
      <c r="B5127" s="159">
        <v>65</v>
      </c>
      <c r="C5127" s="159">
        <v>52</v>
      </c>
      <c r="D5127" s="159">
        <v>1</v>
      </c>
      <c r="E5127" s="159">
        <v>2</v>
      </c>
      <c r="F5127" s="131"/>
      <c r="G5127" s="132"/>
      <c r="H5127" s="162" t="s">
        <v>27519</v>
      </c>
      <c r="I5127" s="158" t="s">
        <v>27520</v>
      </c>
      <c r="J5127" s="128"/>
      <c r="K5127" s="128"/>
      <c r="L5127" s="128"/>
      <c r="M5127" s="129"/>
      <c r="N5127" s="129"/>
      <c r="O5127" s="129"/>
    </row>
    <row r="5128" spans="1:15" ht="12.5">
      <c r="A5128" s="158" t="s">
        <v>27521</v>
      </c>
      <c r="B5128" s="159">
        <v>65</v>
      </c>
      <c r="C5128" s="159">
        <v>52</v>
      </c>
      <c r="D5128" s="159">
        <v>1</v>
      </c>
      <c r="E5128" s="159">
        <v>3</v>
      </c>
      <c r="F5128" s="131"/>
      <c r="G5128" s="132"/>
      <c r="H5128" s="162" t="s">
        <v>27522</v>
      </c>
      <c r="I5128" s="128"/>
      <c r="J5128" s="128"/>
      <c r="K5128" s="128"/>
      <c r="L5128" s="128"/>
      <c r="M5128" s="129"/>
      <c r="N5128" s="129"/>
      <c r="O5128" s="129"/>
    </row>
    <row r="5129" spans="1:15" ht="12.5">
      <c r="A5129" s="158" t="s">
        <v>27523</v>
      </c>
      <c r="B5129" s="159">
        <v>65</v>
      </c>
      <c r="C5129" s="159">
        <v>52</v>
      </c>
      <c r="D5129" s="159">
        <v>1</v>
      </c>
      <c r="E5129" s="159">
        <v>4</v>
      </c>
      <c r="F5129" s="131"/>
      <c r="G5129" s="132"/>
      <c r="H5129" s="162" t="s">
        <v>27524</v>
      </c>
      <c r="I5129" s="128"/>
      <c r="J5129" s="128"/>
      <c r="K5129" s="128"/>
      <c r="L5129" s="128"/>
      <c r="M5129" s="129"/>
      <c r="N5129" s="129"/>
      <c r="O5129" s="129"/>
    </row>
    <row r="5130" spans="1:15" ht="12.5">
      <c r="A5130" s="158" t="s">
        <v>27525</v>
      </c>
      <c r="B5130" s="159">
        <v>65</v>
      </c>
      <c r="C5130" s="159">
        <v>52</v>
      </c>
      <c r="D5130" s="159">
        <v>1</v>
      </c>
      <c r="E5130" s="159">
        <v>8</v>
      </c>
      <c r="F5130" s="131"/>
      <c r="G5130" s="132"/>
      <c r="H5130" s="162" t="s">
        <v>27526</v>
      </c>
      <c r="I5130" s="158" t="s">
        <v>27527</v>
      </c>
      <c r="J5130" s="128"/>
      <c r="K5130" s="128"/>
      <c r="L5130" s="128"/>
      <c r="M5130" s="129"/>
      <c r="N5130" s="129"/>
      <c r="O5130" s="129"/>
    </row>
    <row r="5131" spans="1:15" ht="12.5">
      <c r="A5131" s="158" t="s">
        <v>27528</v>
      </c>
      <c r="B5131" s="159">
        <v>65</v>
      </c>
      <c r="C5131" s="159">
        <v>52</v>
      </c>
      <c r="D5131" s="159">
        <v>1</v>
      </c>
      <c r="E5131" s="159">
        <v>9</v>
      </c>
      <c r="F5131" s="131"/>
      <c r="G5131" s="132"/>
      <c r="H5131" s="162" t="s">
        <v>27529</v>
      </c>
      <c r="I5131" s="128"/>
      <c r="J5131" s="128"/>
      <c r="K5131" s="128"/>
      <c r="L5131" s="128"/>
      <c r="M5131" s="129"/>
      <c r="N5131" s="129"/>
      <c r="O5131" s="129"/>
    </row>
    <row r="5132" spans="1:15" ht="12.5">
      <c r="A5132" s="158" t="s">
        <v>27530</v>
      </c>
      <c r="B5132" s="159">
        <v>65</v>
      </c>
      <c r="C5132" s="159">
        <v>52</v>
      </c>
      <c r="D5132" s="159">
        <v>1</v>
      </c>
      <c r="E5132" s="159">
        <v>14</v>
      </c>
      <c r="F5132" s="131"/>
      <c r="G5132" s="132"/>
      <c r="H5132" s="162" t="s">
        <v>27531</v>
      </c>
      <c r="I5132" s="158" t="s">
        <v>27532</v>
      </c>
      <c r="J5132" s="128"/>
      <c r="K5132" s="128"/>
      <c r="L5132" s="128"/>
      <c r="M5132" s="129"/>
      <c r="N5132" s="129"/>
      <c r="O5132" s="129"/>
    </row>
    <row r="5133" spans="1:15" ht="12.5">
      <c r="A5133" s="158" t="s">
        <v>27533</v>
      </c>
      <c r="B5133" s="159">
        <v>65</v>
      </c>
      <c r="C5133" s="159">
        <v>52</v>
      </c>
      <c r="D5133" s="159">
        <v>1</v>
      </c>
      <c r="E5133" s="159">
        <v>16</v>
      </c>
      <c r="F5133" s="131"/>
      <c r="G5133" s="132"/>
      <c r="H5133" s="162" t="s">
        <v>27534</v>
      </c>
      <c r="I5133" s="158" t="s">
        <v>27535</v>
      </c>
      <c r="J5133" s="128"/>
      <c r="K5133" s="128"/>
      <c r="L5133" s="128"/>
      <c r="M5133" s="129"/>
      <c r="N5133" s="129"/>
      <c r="O5133" s="129"/>
    </row>
    <row r="5134" spans="1:15" ht="12.5">
      <c r="A5134" s="158" t="s">
        <v>27536</v>
      </c>
      <c r="B5134" s="159">
        <v>65</v>
      </c>
      <c r="C5134" s="159">
        <v>52</v>
      </c>
      <c r="D5134" s="159">
        <v>1</v>
      </c>
      <c r="E5134" s="159">
        <v>17</v>
      </c>
      <c r="F5134" s="131"/>
      <c r="G5134" s="132"/>
      <c r="H5134" s="162" t="s">
        <v>27537</v>
      </c>
      <c r="I5134" s="158" t="s">
        <v>27538</v>
      </c>
      <c r="J5134" s="128"/>
      <c r="K5134" s="128"/>
      <c r="L5134" s="128"/>
      <c r="M5134" s="129"/>
      <c r="N5134" s="129"/>
      <c r="O5134" s="129"/>
    </row>
    <row r="5135" spans="1:15" ht="12.5">
      <c r="A5135" s="158" t="s">
        <v>27539</v>
      </c>
      <c r="B5135" s="159">
        <v>65</v>
      </c>
      <c r="C5135" s="159">
        <v>52</v>
      </c>
      <c r="D5135" s="159">
        <v>1</v>
      </c>
      <c r="E5135" s="159">
        <v>18</v>
      </c>
      <c r="F5135" s="131"/>
      <c r="G5135" s="132"/>
      <c r="H5135" s="162" t="s">
        <v>27540</v>
      </c>
      <c r="I5135" s="158" t="s">
        <v>27541</v>
      </c>
      <c r="J5135" s="128"/>
      <c r="K5135" s="128"/>
      <c r="L5135" s="128"/>
      <c r="M5135" s="129"/>
      <c r="N5135" s="129"/>
      <c r="O5135" s="129"/>
    </row>
    <row r="5136" spans="1:15" ht="12.5">
      <c r="A5136" s="158" t="s">
        <v>27542</v>
      </c>
      <c r="B5136" s="159">
        <v>65</v>
      </c>
      <c r="C5136" s="159">
        <v>52</v>
      </c>
      <c r="D5136" s="159">
        <v>1</v>
      </c>
      <c r="E5136" s="159">
        <v>19</v>
      </c>
      <c r="F5136" s="131"/>
      <c r="G5136" s="132"/>
      <c r="H5136" s="162" t="s">
        <v>27543</v>
      </c>
      <c r="I5136" s="158" t="s">
        <v>27544</v>
      </c>
      <c r="J5136" s="128"/>
      <c r="K5136" s="128"/>
      <c r="L5136" s="128"/>
      <c r="M5136" s="129"/>
      <c r="N5136" s="129"/>
      <c r="O5136" s="129"/>
    </row>
    <row r="5137" spans="1:15" ht="12.5">
      <c r="A5137" s="158" t="s">
        <v>27545</v>
      </c>
      <c r="B5137" s="159">
        <v>65</v>
      </c>
      <c r="C5137" s="159">
        <v>52</v>
      </c>
      <c r="D5137" s="159">
        <v>1</v>
      </c>
      <c r="E5137" s="159">
        <v>20</v>
      </c>
      <c r="F5137" s="131"/>
      <c r="G5137" s="132"/>
      <c r="H5137" s="162" t="s">
        <v>27546</v>
      </c>
      <c r="I5137" s="158" t="s">
        <v>27547</v>
      </c>
      <c r="J5137" s="128"/>
      <c r="K5137" s="128"/>
      <c r="L5137" s="128"/>
      <c r="M5137" s="129"/>
      <c r="N5137" s="129"/>
      <c r="O5137" s="129"/>
    </row>
    <row r="5138" spans="1:15" ht="12.5">
      <c r="A5138" s="158" t="s">
        <v>27548</v>
      </c>
      <c r="B5138" s="159">
        <v>65</v>
      </c>
      <c r="C5138" s="159">
        <v>52</v>
      </c>
      <c r="D5138" s="159">
        <v>1</v>
      </c>
      <c r="E5138" s="159">
        <v>21</v>
      </c>
      <c r="F5138" s="131"/>
      <c r="G5138" s="132"/>
      <c r="H5138" s="162" t="s">
        <v>27549</v>
      </c>
      <c r="I5138" s="158" t="s">
        <v>27550</v>
      </c>
      <c r="J5138" s="128"/>
      <c r="K5138" s="128"/>
      <c r="L5138" s="128"/>
      <c r="M5138" s="129"/>
      <c r="N5138" s="129"/>
      <c r="O5138" s="129"/>
    </row>
    <row r="5139" spans="1:15" ht="12.5">
      <c r="A5139" s="158" t="s">
        <v>27551</v>
      </c>
      <c r="B5139" s="159">
        <v>65</v>
      </c>
      <c r="C5139" s="159">
        <v>52</v>
      </c>
      <c r="D5139" s="159">
        <v>1</v>
      </c>
      <c r="E5139" s="159">
        <v>22</v>
      </c>
      <c r="F5139" s="131"/>
      <c r="G5139" s="132"/>
      <c r="H5139" s="162" t="s">
        <v>27552</v>
      </c>
      <c r="I5139" s="158" t="s">
        <v>27553</v>
      </c>
      <c r="J5139" s="128"/>
      <c r="K5139" s="128"/>
      <c r="L5139" s="128"/>
      <c r="M5139" s="129"/>
      <c r="N5139" s="129"/>
      <c r="O5139" s="129"/>
    </row>
    <row r="5140" spans="1:15" ht="12.5">
      <c r="A5140" s="158" t="s">
        <v>27554</v>
      </c>
      <c r="B5140" s="159">
        <v>65</v>
      </c>
      <c r="C5140" s="159">
        <v>52</v>
      </c>
      <c r="D5140" s="159">
        <v>1</v>
      </c>
      <c r="E5140" s="159">
        <v>23</v>
      </c>
      <c r="F5140" s="131"/>
      <c r="G5140" s="132"/>
      <c r="H5140" s="162" t="s">
        <v>27555</v>
      </c>
      <c r="I5140" s="158" t="s">
        <v>27556</v>
      </c>
      <c r="J5140" s="128"/>
      <c r="K5140" s="128"/>
      <c r="L5140" s="128"/>
      <c r="M5140" s="129"/>
      <c r="N5140" s="129"/>
      <c r="O5140" s="129"/>
    </row>
    <row r="5141" spans="1:15" ht="12.5">
      <c r="A5141" s="158" t="s">
        <v>27557</v>
      </c>
      <c r="B5141" s="159">
        <v>65</v>
      </c>
      <c r="C5141" s="159">
        <v>52</v>
      </c>
      <c r="D5141" s="159">
        <v>1</v>
      </c>
      <c r="E5141" s="159">
        <v>24</v>
      </c>
      <c r="F5141" s="131"/>
      <c r="G5141" s="132"/>
      <c r="H5141" s="162" t="s">
        <v>27558</v>
      </c>
      <c r="I5141" s="158" t="s">
        <v>27559</v>
      </c>
      <c r="J5141" s="128"/>
      <c r="K5141" s="128"/>
      <c r="L5141" s="128"/>
      <c r="M5141" s="129"/>
      <c r="N5141" s="129"/>
      <c r="O5141" s="129"/>
    </row>
    <row r="5142" spans="1:15" ht="12.5">
      <c r="A5142" s="158" t="s">
        <v>27560</v>
      </c>
      <c r="B5142" s="159">
        <v>65</v>
      </c>
      <c r="C5142" s="159">
        <v>52</v>
      </c>
      <c r="D5142" s="159">
        <v>1</v>
      </c>
      <c r="E5142" s="159">
        <v>25</v>
      </c>
      <c r="F5142" s="131"/>
      <c r="G5142" s="132"/>
      <c r="H5142" s="162" t="s">
        <v>27561</v>
      </c>
      <c r="I5142" s="158" t="s">
        <v>27562</v>
      </c>
      <c r="J5142" s="128"/>
      <c r="K5142" s="128"/>
      <c r="L5142" s="128"/>
      <c r="M5142" s="129"/>
      <c r="N5142" s="129"/>
      <c r="O5142" s="129"/>
    </row>
    <row r="5143" spans="1:15" ht="12.5">
      <c r="A5143" s="158" t="s">
        <v>27563</v>
      </c>
      <c r="B5143" s="159">
        <v>65</v>
      </c>
      <c r="C5143" s="159">
        <v>52</v>
      </c>
      <c r="D5143" s="159">
        <v>1</v>
      </c>
      <c r="E5143" s="159">
        <v>50</v>
      </c>
      <c r="F5143" s="131"/>
      <c r="G5143" s="132"/>
      <c r="H5143" s="162" t="s">
        <v>27564</v>
      </c>
      <c r="I5143" s="128"/>
      <c r="J5143" s="128"/>
      <c r="K5143" s="128"/>
      <c r="L5143" s="128"/>
      <c r="M5143" s="129"/>
      <c r="N5143" s="129"/>
      <c r="O5143" s="129"/>
    </row>
    <row r="5144" spans="1:15" ht="12.5">
      <c r="A5144" s="158" t="s">
        <v>27565</v>
      </c>
      <c r="B5144" s="159">
        <v>65</v>
      </c>
      <c r="C5144" s="159">
        <v>52</v>
      </c>
      <c r="D5144" s="159">
        <v>1</v>
      </c>
      <c r="E5144" s="159">
        <v>58</v>
      </c>
      <c r="F5144" s="131"/>
      <c r="G5144" s="132"/>
      <c r="H5144" s="162" t="s">
        <v>27566</v>
      </c>
      <c r="I5144" s="158" t="s">
        <v>27567</v>
      </c>
      <c r="J5144" s="128"/>
      <c r="K5144" s="128"/>
      <c r="L5144" s="128"/>
      <c r="M5144" s="129"/>
      <c r="N5144" s="129"/>
      <c r="O5144" s="129"/>
    </row>
    <row r="5145" spans="1:15" ht="12.5">
      <c r="A5145" s="158" t="s">
        <v>27568</v>
      </c>
      <c r="B5145" s="159">
        <v>65</v>
      </c>
      <c r="C5145" s="159">
        <v>52</v>
      </c>
      <c r="D5145" s="159">
        <v>1</v>
      </c>
      <c r="E5145" s="159">
        <v>60</v>
      </c>
      <c r="F5145" s="131"/>
      <c r="G5145" s="132"/>
      <c r="H5145" s="162" t="s">
        <v>27569</v>
      </c>
      <c r="I5145" s="128"/>
      <c r="J5145" s="128"/>
      <c r="K5145" s="128"/>
      <c r="L5145" s="128"/>
      <c r="M5145" s="129"/>
      <c r="N5145" s="129"/>
      <c r="O5145" s="129"/>
    </row>
    <row r="5146" spans="1:15" ht="12.5">
      <c r="A5146" s="158" t="s">
        <v>27570</v>
      </c>
      <c r="B5146" s="159">
        <v>65</v>
      </c>
      <c r="C5146" s="159">
        <v>52</v>
      </c>
      <c r="D5146" s="159">
        <v>1</v>
      </c>
      <c r="E5146" s="159">
        <v>61</v>
      </c>
      <c r="F5146" s="131"/>
      <c r="G5146" s="132"/>
      <c r="H5146" s="162" t="s">
        <v>27571</v>
      </c>
      <c r="I5146" s="158" t="s">
        <v>27572</v>
      </c>
      <c r="J5146" s="128"/>
      <c r="K5146" s="128"/>
      <c r="L5146" s="128"/>
      <c r="M5146" s="129"/>
      <c r="N5146" s="129"/>
      <c r="O5146" s="129"/>
    </row>
    <row r="5147" spans="1:15" ht="12.5">
      <c r="A5147" s="158" t="s">
        <v>27573</v>
      </c>
      <c r="B5147" s="159">
        <v>65</v>
      </c>
      <c r="C5147" s="159">
        <v>52</v>
      </c>
      <c r="D5147" s="159">
        <v>1</v>
      </c>
      <c r="E5147" s="159">
        <v>62</v>
      </c>
      <c r="F5147" s="131"/>
      <c r="G5147" s="132"/>
      <c r="H5147" s="162" t="s">
        <v>27574</v>
      </c>
      <c r="I5147" s="158" t="s">
        <v>27575</v>
      </c>
      <c r="J5147" s="128"/>
      <c r="K5147" s="128"/>
      <c r="L5147" s="128"/>
      <c r="M5147" s="129"/>
      <c r="N5147" s="129"/>
      <c r="O5147" s="129"/>
    </row>
    <row r="5148" spans="1:15" ht="12.5">
      <c r="A5148" s="158" t="s">
        <v>27576</v>
      </c>
      <c r="B5148" s="159">
        <v>65</v>
      </c>
      <c r="C5148" s="159">
        <v>52</v>
      </c>
      <c r="D5148" s="159">
        <v>1</v>
      </c>
      <c r="E5148" s="159">
        <v>63</v>
      </c>
      <c r="F5148" s="131"/>
      <c r="G5148" s="132"/>
      <c r="H5148" s="162" t="s">
        <v>27577</v>
      </c>
      <c r="I5148" s="158" t="s">
        <v>27578</v>
      </c>
      <c r="J5148" s="128"/>
      <c r="K5148" s="128"/>
      <c r="L5148" s="128"/>
      <c r="M5148" s="129"/>
      <c r="N5148" s="129"/>
      <c r="O5148" s="129"/>
    </row>
    <row r="5149" spans="1:15" ht="12.5">
      <c r="A5149" s="158" t="s">
        <v>27579</v>
      </c>
      <c r="B5149" s="159">
        <v>65</v>
      </c>
      <c r="C5149" s="159">
        <v>52</v>
      </c>
      <c r="D5149" s="159">
        <v>1</v>
      </c>
      <c r="E5149" s="159">
        <v>64</v>
      </c>
      <c r="F5149" s="131"/>
      <c r="G5149" s="132"/>
      <c r="H5149" s="162" t="s">
        <v>27580</v>
      </c>
      <c r="I5149" s="158" t="s">
        <v>27581</v>
      </c>
      <c r="J5149" s="128"/>
      <c r="K5149" s="128"/>
      <c r="L5149" s="128"/>
      <c r="M5149" s="129"/>
      <c r="N5149" s="129"/>
      <c r="O5149" s="129"/>
    </row>
    <row r="5150" spans="1:15" ht="12.5">
      <c r="A5150" s="158" t="s">
        <v>27582</v>
      </c>
      <c r="B5150" s="159">
        <v>65</v>
      </c>
      <c r="C5150" s="159">
        <v>52</v>
      </c>
      <c r="D5150" s="159">
        <v>1</v>
      </c>
      <c r="E5150" s="159">
        <v>65</v>
      </c>
      <c r="F5150" s="131"/>
      <c r="G5150" s="132"/>
      <c r="H5150" s="162" t="s">
        <v>27583</v>
      </c>
      <c r="I5150" s="158" t="s">
        <v>27584</v>
      </c>
      <c r="J5150" s="128"/>
      <c r="K5150" s="128"/>
      <c r="L5150" s="128"/>
      <c r="M5150" s="129"/>
      <c r="N5150" s="129"/>
      <c r="O5150" s="129"/>
    </row>
    <row r="5151" spans="1:15" ht="12.5">
      <c r="A5151" s="158" t="s">
        <v>27585</v>
      </c>
      <c r="B5151" s="159">
        <v>65</v>
      </c>
      <c r="C5151" s="159">
        <v>52</v>
      </c>
      <c r="D5151" s="159">
        <v>1</v>
      </c>
      <c r="E5151" s="159">
        <v>66</v>
      </c>
      <c r="F5151" s="131"/>
      <c r="G5151" s="132"/>
      <c r="H5151" s="162" t="s">
        <v>27586</v>
      </c>
      <c r="I5151" s="158" t="s">
        <v>27587</v>
      </c>
      <c r="J5151" s="128"/>
      <c r="K5151" s="128"/>
      <c r="L5151" s="128"/>
      <c r="M5151" s="129"/>
      <c r="N5151" s="129"/>
      <c r="O5151" s="129"/>
    </row>
    <row r="5152" spans="1:15" ht="12.5">
      <c r="A5152" s="158" t="s">
        <v>27588</v>
      </c>
      <c r="B5152" s="159">
        <v>65</v>
      </c>
      <c r="C5152" s="159">
        <v>52</v>
      </c>
      <c r="D5152" s="159">
        <v>1</v>
      </c>
      <c r="E5152" s="159">
        <v>67</v>
      </c>
      <c r="F5152" s="131"/>
      <c r="G5152" s="132"/>
      <c r="H5152" s="162" t="s">
        <v>27589</v>
      </c>
      <c r="I5152" s="158" t="s">
        <v>27590</v>
      </c>
      <c r="J5152" s="128"/>
      <c r="K5152" s="128"/>
      <c r="L5152" s="128"/>
      <c r="M5152" s="129"/>
      <c r="N5152" s="129"/>
      <c r="O5152" s="129"/>
    </row>
    <row r="5153" spans="1:15" ht="12.5">
      <c r="A5153" s="158" t="s">
        <v>27591</v>
      </c>
      <c r="B5153" s="159">
        <v>65</v>
      </c>
      <c r="C5153" s="159">
        <v>52</v>
      </c>
      <c r="D5153" s="159">
        <v>1</v>
      </c>
      <c r="E5153" s="159">
        <v>68</v>
      </c>
      <c r="F5153" s="131"/>
      <c r="G5153" s="132"/>
      <c r="H5153" s="162" t="s">
        <v>27592</v>
      </c>
      <c r="I5153" s="158" t="s">
        <v>27593</v>
      </c>
      <c r="J5153" s="128"/>
      <c r="K5153" s="128"/>
      <c r="L5153" s="128"/>
      <c r="M5153" s="129"/>
      <c r="N5153" s="129"/>
      <c r="O5153" s="129"/>
    </row>
    <row r="5154" spans="1:15" ht="12.5">
      <c r="A5154" s="158" t="s">
        <v>27594</v>
      </c>
      <c r="B5154" s="159">
        <v>65</v>
      </c>
      <c r="C5154" s="159">
        <v>52</v>
      </c>
      <c r="D5154" s="159">
        <v>1</v>
      </c>
      <c r="E5154" s="159">
        <v>72</v>
      </c>
      <c r="F5154" s="131"/>
      <c r="G5154" s="132"/>
      <c r="H5154" s="162" t="s">
        <v>27595</v>
      </c>
      <c r="I5154" s="128"/>
      <c r="J5154" s="128"/>
      <c r="K5154" s="128"/>
      <c r="L5154" s="128"/>
      <c r="M5154" s="129"/>
      <c r="N5154" s="129"/>
      <c r="O5154" s="129"/>
    </row>
    <row r="5155" spans="1:15" ht="12.5">
      <c r="A5155" s="158" t="s">
        <v>27596</v>
      </c>
      <c r="B5155" s="159">
        <v>65</v>
      </c>
      <c r="C5155" s="159">
        <v>52</v>
      </c>
      <c r="D5155" s="159">
        <v>1</v>
      </c>
      <c r="E5155" s="159">
        <v>83</v>
      </c>
      <c r="F5155" s="131"/>
      <c r="G5155" s="132"/>
      <c r="H5155" s="162" t="s">
        <v>27597</v>
      </c>
      <c r="I5155" s="158" t="s">
        <v>27598</v>
      </c>
      <c r="J5155" s="128"/>
      <c r="K5155" s="128"/>
      <c r="L5155" s="128"/>
      <c r="M5155" s="129"/>
      <c r="N5155" s="129"/>
      <c r="O5155" s="129"/>
    </row>
    <row r="5156" spans="1:15" ht="12.5">
      <c r="A5156" s="158" t="s">
        <v>27599</v>
      </c>
      <c r="B5156" s="159">
        <v>65</v>
      </c>
      <c r="C5156" s="159">
        <v>52</v>
      </c>
      <c r="D5156" s="159">
        <v>1</v>
      </c>
      <c r="E5156" s="159">
        <v>84</v>
      </c>
      <c r="F5156" s="131"/>
      <c r="G5156" s="132"/>
      <c r="H5156" s="162" t="s">
        <v>27600</v>
      </c>
      <c r="I5156" s="128"/>
      <c r="J5156" s="128"/>
      <c r="K5156" s="128"/>
      <c r="L5156" s="128"/>
      <c r="M5156" s="129"/>
      <c r="N5156" s="129"/>
      <c r="O5156" s="129"/>
    </row>
    <row r="5157" spans="1:15" ht="12.5">
      <c r="A5157" s="158" t="s">
        <v>27601</v>
      </c>
      <c r="B5157" s="159">
        <v>65</v>
      </c>
      <c r="C5157" s="159">
        <v>52</v>
      </c>
      <c r="D5157" s="159">
        <v>1</v>
      </c>
      <c r="E5157" s="159">
        <v>86</v>
      </c>
      <c r="F5157" s="131"/>
      <c r="G5157" s="132"/>
      <c r="H5157" s="162" t="s">
        <v>27602</v>
      </c>
      <c r="I5157" s="158" t="s">
        <v>27603</v>
      </c>
      <c r="J5157" s="128"/>
      <c r="K5157" s="128"/>
      <c r="L5157" s="128"/>
      <c r="M5157" s="129"/>
      <c r="N5157" s="129"/>
      <c r="O5157" s="129"/>
    </row>
    <row r="5158" spans="1:15" ht="12.5">
      <c r="A5158" s="158" t="s">
        <v>27604</v>
      </c>
      <c r="B5158" s="159">
        <v>65</v>
      </c>
      <c r="C5158" s="159">
        <v>52</v>
      </c>
      <c r="D5158" s="159">
        <v>1</v>
      </c>
      <c r="E5158" s="159">
        <v>95</v>
      </c>
      <c r="F5158" s="131"/>
      <c r="G5158" s="132"/>
      <c r="H5158" s="162" t="s">
        <v>27605</v>
      </c>
      <c r="I5158" s="158" t="s">
        <v>27606</v>
      </c>
      <c r="J5158" s="128"/>
      <c r="K5158" s="128"/>
      <c r="L5158" s="128"/>
      <c r="M5158" s="129"/>
      <c r="N5158" s="129"/>
      <c r="O5158" s="129"/>
    </row>
    <row r="5159" spans="1:15" ht="12.5">
      <c r="A5159" s="158" t="s">
        <v>27607</v>
      </c>
      <c r="B5159" s="159">
        <v>65</v>
      </c>
      <c r="C5159" s="159">
        <v>52</v>
      </c>
      <c r="D5159" s="159">
        <v>7</v>
      </c>
      <c r="E5159" s="130"/>
      <c r="F5159" s="131"/>
      <c r="G5159" s="132"/>
      <c r="H5159" s="162" t="s">
        <v>27608</v>
      </c>
      <c r="I5159" s="128"/>
      <c r="J5159" s="128"/>
      <c r="K5159" s="128"/>
      <c r="L5159" s="128"/>
      <c r="M5159" s="129"/>
      <c r="N5159" s="129"/>
      <c r="O5159" s="129"/>
    </row>
    <row r="5160" spans="1:15" ht="12.5">
      <c r="A5160" s="158" t="s">
        <v>27609</v>
      </c>
      <c r="B5160" s="159">
        <v>65</v>
      </c>
      <c r="C5160" s="159">
        <v>52</v>
      </c>
      <c r="D5160" s="159">
        <v>7</v>
      </c>
      <c r="E5160" s="159">
        <v>13</v>
      </c>
      <c r="F5160" s="131"/>
      <c r="G5160" s="132"/>
      <c r="H5160" s="162" t="s">
        <v>27610</v>
      </c>
      <c r="I5160" s="128"/>
      <c r="J5160" s="128"/>
      <c r="K5160" s="128"/>
      <c r="L5160" s="128"/>
      <c r="M5160" s="129"/>
      <c r="N5160" s="129"/>
      <c r="O5160" s="129"/>
    </row>
    <row r="5161" spans="1:15" ht="12.5">
      <c r="A5161" s="158" t="s">
        <v>27611</v>
      </c>
      <c r="B5161" s="159">
        <v>65</v>
      </c>
      <c r="C5161" s="159">
        <v>52</v>
      </c>
      <c r="D5161" s="159">
        <v>7</v>
      </c>
      <c r="E5161" s="159">
        <v>15</v>
      </c>
      <c r="F5161" s="131"/>
      <c r="G5161" s="132"/>
      <c r="H5161" s="162" t="s">
        <v>27612</v>
      </c>
      <c r="I5161" s="158" t="s">
        <v>27613</v>
      </c>
      <c r="J5161" s="128"/>
      <c r="K5161" s="128"/>
      <c r="L5161" s="128"/>
      <c r="M5161" s="129"/>
      <c r="N5161" s="129"/>
      <c r="O5161" s="129"/>
    </row>
    <row r="5162" spans="1:15" ht="12.5">
      <c r="A5162" s="158" t="s">
        <v>27614</v>
      </c>
      <c r="B5162" s="159">
        <v>65</v>
      </c>
      <c r="C5162" s="159">
        <v>52</v>
      </c>
      <c r="D5162" s="159">
        <v>7</v>
      </c>
      <c r="E5162" s="159">
        <v>16</v>
      </c>
      <c r="F5162" s="131"/>
      <c r="G5162" s="132"/>
      <c r="H5162" s="162" t="s">
        <v>27615</v>
      </c>
      <c r="I5162" s="158" t="s">
        <v>27616</v>
      </c>
      <c r="J5162" s="128"/>
      <c r="K5162" s="128"/>
      <c r="L5162" s="128"/>
      <c r="M5162" s="129"/>
      <c r="N5162" s="129"/>
      <c r="O5162" s="129"/>
    </row>
    <row r="5163" spans="1:15" ht="12.5">
      <c r="A5163" s="158" t="s">
        <v>27617</v>
      </c>
      <c r="B5163" s="159">
        <v>65</v>
      </c>
      <c r="C5163" s="159">
        <v>52</v>
      </c>
      <c r="D5163" s="159">
        <v>7</v>
      </c>
      <c r="E5163" s="159">
        <v>25</v>
      </c>
      <c r="F5163" s="131"/>
      <c r="G5163" s="132"/>
      <c r="H5163" s="162" t="s">
        <v>27618</v>
      </c>
      <c r="I5163" s="158" t="s">
        <v>27619</v>
      </c>
      <c r="J5163" s="128"/>
      <c r="K5163" s="128"/>
      <c r="L5163" s="128"/>
      <c r="M5163" s="129"/>
      <c r="N5163" s="129"/>
      <c r="O5163" s="129"/>
    </row>
    <row r="5164" spans="1:15" ht="12.5">
      <c r="A5164" s="158" t="s">
        <v>27620</v>
      </c>
      <c r="B5164" s="159">
        <v>65</v>
      </c>
      <c r="C5164" s="159">
        <v>52</v>
      </c>
      <c r="D5164" s="159">
        <v>7</v>
      </c>
      <c r="E5164" s="159">
        <v>27</v>
      </c>
      <c r="F5164" s="131"/>
      <c r="G5164" s="132"/>
      <c r="H5164" s="162" t="s">
        <v>27621</v>
      </c>
      <c r="I5164" s="128"/>
      <c r="J5164" s="128"/>
      <c r="K5164" s="128"/>
      <c r="L5164" s="128"/>
      <c r="M5164" s="129"/>
      <c r="N5164" s="129"/>
      <c r="O5164" s="129"/>
    </row>
    <row r="5165" spans="1:15" ht="12.5">
      <c r="A5165" s="158" t="s">
        <v>27622</v>
      </c>
      <c r="B5165" s="159">
        <v>65</v>
      </c>
      <c r="C5165" s="159">
        <v>52</v>
      </c>
      <c r="D5165" s="159">
        <v>7</v>
      </c>
      <c r="E5165" s="159">
        <v>28</v>
      </c>
      <c r="F5165" s="131"/>
      <c r="G5165" s="132"/>
      <c r="H5165" s="162" t="s">
        <v>27623</v>
      </c>
      <c r="I5165" s="158" t="s">
        <v>27624</v>
      </c>
      <c r="J5165" s="128"/>
      <c r="K5165" s="128"/>
      <c r="L5165" s="128"/>
      <c r="M5165" s="129"/>
      <c r="N5165" s="129"/>
      <c r="O5165" s="129"/>
    </row>
    <row r="5166" spans="1:15" ht="12.5">
      <c r="A5166" s="158" t="s">
        <v>27625</v>
      </c>
      <c r="B5166" s="159">
        <v>65</v>
      </c>
      <c r="C5166" s="159">
        <v>52</v>
      </c>
      <c r="D5166" s="159">
        <v>7</v>
      </c>
      <c r="E5166" s="159">
        <v>34</v>
      </c>
      <c r="F5166" s="131"/>
      <c r="G5166" s="132"/>
      <c r="H5166" s="162" t="s">
        <v>27626</v>
      </c>
      <c r="I5166" s="158" t="s">
        <v>27627</v>
      </c>
      <c r="J5166" s="128"/>
      <c r="K5166" s="128"/>
      <c r="L5166" s="128"/>
      <c r="M5166" s="129"/>
      <c r="N5166" s="129"/>
      <c r="O5166" s="129"/>
    </row>
    <row r="5167" spans="1:15" ht="12.5">
      <c r="A5167" s="158" t="s">
        <v>27628</v>
      </c>
      <c r="B5167" s="159">
        <v>65</v>
      </c>
      <c r="C5167" s="159">
        <v>52</v>
      </c>
      <c r="D5167" s="159">
        <v>7</v>
      </c>
      <c r="E5167" s="159">
        <v>36</v>
      </c>
      <c r="F5167" s="131"/>
      <c r="G5167" s="132"/>
      <c r="H5167" s="162" t="s">
        <v>27629</v>
      </c>
      <c r="I5167" s="158" t="s">
        <v>27630</v>
      </c>
      <c r="J5167" s="128"/>
      <c r="K5167" s="128"/>
      <c r="L5167" s="128"/>
      <c r="M5167" s="129"/>
      <c r="N5167" s="129"/>
      <c r="O5167" s="129"/>
    </row>
    <row r="5168" spans="1:15" ht="12.5">
      <c r="A5168" s="158" t="s">
        <v>27631</v>
      </c>
      <c r="B5168" s="159">
        <v>65</v>
      </c>
      <c r="C5168" s="159">
        <v>52</v>
      </c>
      <c r="D5168" s="159">
        <v>7</v>
      </c>
      <c r="E5168" s="159">
        <v>38</v>
      </c>
      <c r="F5168" s="131"/>
      <c r="G5168" s="132"/>
      <c r="H5168" s="162" t="s">
        <v>27632</v>
      </c>
      <c r="I5168" s="158" t="s">
        <v>27633</v>
      </c>
      <c r="J5168" s="128"/>
      <c r="K5168" s="128"/>
      <c r="L5168" s="128"/>
      <c r="M5168" s="129"/>
      <c r="N5168" s="129"/>
      <c r="O5168" s="129"/>
    </row>
    <row r="5169" spans="1:15" ht="12.5">
      <c r="A5169" s="158" t="s">
        <v>27634</v>
      </c>
      <c r="B5169" s="159">
        <v>65</v>
      </c>
      <c r="C5169" s="159">
        <v>52</v>
      </c>
      <c r="D5169" s="159">
        <v>7</v>
      </c>
      <c r="E5169" s="159">
        <v>39</v>
      </c>
      <c r="F5169" s="131"/>
      <c r="G5169" s="132"/>
      <c r="H5169" s="162" t="s">
        <v>27635</v>
      </c>
      <c r="I5169" s="158" t="s">
        <v>27636</v>
      </c>
      <c r="J5169" s="128"/>
      <c r="K5169" s="128"/>
      <c r="L5169" s="128"/>
      <c r="M5169" s="129"/>
      <c r="N5169" s="129"/>
      <c r="O5169" s="129"/>
    </row>
    <row r="5170" spans="1:15" ht="12.5">
      <c r="A5170" s="158" t="s">
        <v>27637</v>
      </c>
      <c r="B5170" s="159">
        <v>65</v>
      </c>
      <c r="C5170" s="159">
        <v>52</v>
      </c>
      <c r="D5170" s="159">
        <v>7</v>
      </c>
      <c r="E5170" s="159">
        <v>40</v>
      </c>
      <c r="F5170" s="131"/>
      <c r="G5170" s="132"/>
      <c r="H5170" s="162" t="s">
        <v>27638</v>
      </c>
      <c r="I5170" s="158" t="s">
        <v>27639</v>
      </c>
      <c r="J5170" s="128"/>
      <c r="K5170" s="128"/>
      <c r="L5170" s="128"/>
      <c r="M5170" s="129"/>
      <c r="N5170" s="129"/>
      <c r="O5170" s="129"/>
    </row>
    <row r="5171" spans="1:15" ht="12.5">
      <c r="A5171" s="158" t="s">
        <v>27640</v>
      </c>
      <c r="B5171" s="159">
        <v>65</v>
      </c>
      <c r="C5171" s="159">
        <v>52</v>
      </c>
      <c r="D5171" s="159">
        <v>7</v>
      </c>
      <c r="E5171" s="159">
        <v>58</v>
      </c>
      <c r="F5171" s="131"/>
      <c r="G5171" s="132"/>
      <c r="H5171" s="162" t="s">
        <v>27641</v>
      </c>
      <c r="I5171" s="158" t="s">
        <v>27642</v>
      </c>
      <c r="J5171" s="128"/>
      <c r="K5171" s="128"/>
      <c r="L5171" s="128"/>
      <c r="M5171" s="129"/>
      <c r="N5171" s="129"/>
      <c r="O5171" s="129"/>
    </row>
    <row r="5172" spans="1:15" ht="12.5">
      <c r="A5172" s="158" t="s">
        <v>27643</v>
      </c>
      <c r="B5172" s="159">
        <v>65</v>
      </c>
      <c r="C5172" s="159">
        <v>52</v>
      </c>
      <c r="D5172" s="159">
        <v>7</v>
      </c>
      <c r="E5172" s="159">
        <v>63</v>
      </c>
      <c r="F5172" s="131"/>
      <c r="G5172" s="132"/>
      <c r="H5172" s="162" t="s">
        <v>27644</v>
      </c>
      <c r="I5172" s="158" t="s">
        <v>27645</v>
      </c>
      <c r="J5172" s="128"/>
      <c r="K5172" s="128"/>
      <c r="L5172" s="128"/>
      <c r="M5172" s="129"/>
      <c r="N5172" s="129"/>
      <c r="O5172" s="129"/>
    </row>
    <row r="5173" spans="1:15" ht="12.5">
      <c r="A5173" s="158" t="s">
        <v>27646</v>
      </c>
      <c r="B5173" s="159">
        <v>65</v>
      </c>
      <c r="C5173" s="159">
        <v>52</v>
      </c>
      <c r="D5173" s="159">
        <v>7</v>
      </c>
      <c r="E5173" s="159">
        <v>64</v>
      </c>
      <c r="F5173" s="131"/>
      <c r="G5173" s="132"/>
      <c r="H5173" s="162" t="s">
        <v>27647</v>
      </c>
      <c r="I5173" s="158" t="s">
        <v>27648</v>
      </c>
      <c r="J5173" s="128"/>
      <c r="K5173" s="128"/>
      <c r="L5173" s="128"/>
      <c r="M5173" s="129"/>
      <c r="N5173" s="129"/>
      <c r="O5173" s="129"/>
    </row>
    <row r="5174" spans="1:15" ht="12.5">
      <c r="A5174" s="158" t="s">
        <v>27649</v>
      </c>
      <c r="B5174" s="159">
        <v>65</v>
      </c>
      <c r="C5174" s="159">
        <v>52</v>
      </c>
      <c r="D5174" s="159">
        <v>7</v>
      </c>
      <c r="E5174" s="159">
        <v>65</v>
      </c>
      <c r="F5174" s="131"/>
      <c r="G5174" s="132"/>
      <c r="H5174" s="162" t="s">
        <v>27650</v>
      </c>
      <c r="I5174" s="158" t="s">
        <v>27651</v>
      </c>
      <c r="J5174" s="128"/>
      <c r="K5174" s="128"/>
      <c r="L5174" s="128"/>
      <c r="M5174" s="129"/>
      <c r="N5174" s="129"/>
      <c r="O5174" s="129"/>
    </row>
    <row r="5175" spans="1:15" ht="12.5">
      <c r="A5175" s="158" t="s">
        <v>27652</v>
      </c>
      <c r="B5175" s="159">
        <v>65</v>
      </c>
      <c r="C5175" s="159">
        <v>52</v>
      </c>
      <c r="D5175" s="159">
        <v>7</v>
      </c>
      <c r="E5175" s="159">
        <v>66</v>
      </c>
      <c r="F5175" s="131"/>
      <c r="G5175" s="132"/>
      <c r="H5175" s="162" t="s">
        <v>27653</v>
      </c>
      <c r="I5175" s="158" t="s">
        <v>27654</v>
      </c>
      <c r="J5175" s="128"/>
      <c r="K5175" s="128"/>
      <c r="L5175" s="128"/>
      <c r="M5175" s="129"/>
      <c r="N5175" s="129"/>
      <c r="O5175" s="129"/>
    </row>
    <row r="5176" spans="1:15" ht="12.5">
      <c r="A5176" s="158" t="s">
        <v>27655</v>
      </c>
      <c r="B5176" s="159">
        <v>65</v>
      </c>
      <c r="C5176" s="159">
        <v>52</v>
      </c>
      <c r="D5176" s="159">
        <v>7</v>
      </c>
      <c r="E5176" s="159">
        <v>67</v>
      </c>
      <c r="F5176" s="131"/>
      <c r="G5176" s="132"/>
      <c r="H5176" s="162" t="s">
        <v>27656</v>
      </c>
      <c r="I5176" s="158" t="s">
        <v>27657</v>
      </c>
      <c r="J5176" s="128"/>
      <c r="K5176" s="128"/>
      <c r="L5176" s="128"/>
      <c r="M5176" s="129"/>
      <c r="N5176" s="129"/>
      <c r="O5176" s="129"/>
    </row>
    <row r="5177" spans="1:15" ht="12.5">
      <c r="A5177" s="158" t="s">
        <v>27658</v>
      </c>
      <c r="B5177" s="159">
        <v>65</v>
      </c>
      <c r="C5177" s="159">
        <v>52</v>
      </c>
      <c r="D5177" s="159">
        <v>7</v>
      </c>
      <c r="E5177" s="159">
        <v>75</v>
      </c>
      <c r="F5177" s="131"/>
      <c r="G5177" s="132"/>
      <c r="H5177" s="162" t="s">
        <v>27659</v>
      </c>
      <c r="I5177" s="158" t="s">
        <v>27660</v>
      </c>
      <c r="J5177" s="128"/>
      <c r="K5177" s="128"/>
      <c r="L5177" s="128"/>
      <c r="M5177" s="129"/>
      <c r="N5177" s="129"/>
      <c r="O5177" s="129"/>
    </row>
    <row r="5178" spans="1:15" ht="12.5">
      <c r="A5178" s="158" t="s">
        <v>27661</v>
      </c>
      <c r="B5178" s="159">
        <v>65</v>
      </c>
      <c r="C5178" s="159">
        <v>52</v>
      </c>
      <c r="D5178" s="159">
        <v>7</v>
      </c>
      <c r="E5178" s="159">
        <v>84</v>
      </c>
      <c r="F5178" s="131"/>
      <c r="G5178" s="132"/>
      <c r="H5178" s="162" t="s">
        <v>27662</v>
      </c>
      <c r="I5178" s="158" t="s">
        <v>27663</v>
      </c>
      <c r="J5178" s="128"/>
      <c r="K5178" s="128"/>
      <c r="L5178" s="128"/>
      <c r="M5178" s="129"/>
      <c r="N5178" s="129"/>
      <c r="O5178" s="129"/>
    </row>
    <row r="5179" spans="1:15" ht="12.5">
      <c r="A5179" s="158" t="s">
        <v>27664</v>
      </c>
      <c r="B5179" s="159">
        <v>65</v>
      </c>
      <c r="C5179" s="159">
        <v>52</v>
      </c>
      <c r="D5179" s="159">
        <v>7</v>
      </c>
      <c r="E5179" s="159">
        <v>87</v>
      </c>
      <c r="F5179" s="131"/>
      <c r="G5179" s="132"/>
      <c r="H5179" s="162" t="s">
        <v>27665</v>
      </c>
      <c r="I5179" s="158" t="s">
        <v>27666</v>
      </c>
      <c r="J5179" s="128"/>
      <c r="K5179" s="128"/>
      <c r="L5179" s="128"/>
      <c r="M5179" s="129"/>
      <c r="N5179" s="129"/>
      <c r="O5179" s="129"/>
    </row>
    <row r="5180" spans="1:15" ht="12.5">
      <c r="A5180" s="158" t="s">
        <v>27667</v>
      </c>
      <c r="B5180" s="159">
        <v>65</v>
      </c>
      <c r="C5180" s="159">
        <v>52</v>
      </c>
      <c r="D5180" s="159">
        <v>7</v>
      </c>
      <c r="E5180" s="159">
        <v>88</v>
      </c>
      <c r="F5180" s="131"/>
      <c r="G5180" s="132"/>
      <c r="H5180" s="162" t="s">
        <v>27668</v>
      </c>
      <c r="I5180" s="158" t="s">
        <v>27669</v>
      </c>
      <c r="J5180" s="128"/>
      <c r="K5180" s="128"/>
      <c r="L5180" s="128"/>
      <c r="M5180" s="129"/>
      <c r="N5180" s="129"/>
      <c r="O5180" s="129"/>
    </row>
    <row r="5181" spans="1:15" ht="12.5">
      <c r="A5181" s="158" t="s">
        <v>27670</v>
      </c>
      <c r="B5181" s="159">
        <v>65</v>
      </c>
      <c r="C5181" s="159">
        <v>52</v>
      </c>
      <c r="D5181" s="159">
        <v>7</v>
      </c>
      <c r="E5181" s="159">
        <v>89</v>
      </c>
      <c r="F5181" s="131"/>
      <c r="G5181" s="132"/>
      <c r="H5181" s="162" t="s">
        <v>27671</v>
      </c>
      <c r="I5181" s="158" t="s">
        <v>27672</v>
      </c>
      <c r="J5181" s="128"/>
      <c r="K5181" s="128"/>
      <c r="L5181" s="128"/>
      <c r="M5181" s="129"/>
      <c r="N5181" s="129"/>
      <c r="O5181" s="129"/>
    </row>
    <row r="5182" spans="1:15" ht="12.5">
      <c r="A5182" s="158" t="s">
        <v>27673</v>
      </c>
      <c r="B5182" s="159">
        <v>65</v>
      </c>
      <c r="C5182" s="159">
        <v>52</v>
      </c>
      <c r="D5182" s="159">
        <v>7</v>
      </c>
      <c r="E5182" s="159">
        <v>90</v>
      </c>
      <c r="F5182" s="131"/>
      <c r="G5182" s="132"/>
      <c r="H5182" s="162" t="s">
        <v>27674</v>
      </c>
      <c r="I5182" s="158" t="s">
        <v>27675</v>
      </c>
      <c r="J5182" s="128"/>
      <c r="K5182" s="128"/>
      <c r="L5182" s="128"/>
      <c r="M5182" s="129"/>
      <c r="N5182" s="129"/>
      <c r="O5182" s="129"/>
    </row>
    <row r="5183" spans="1:15" ht="12.5">
      <c r="A5183" s="158" t="s">
        <v>27676</v>
      </c>
      <c r="B5183" s="159">
        <v>65</v>
      </c>
      <c r="C5183" s="159">
        <v>52</v>
      </c>
      <c r="D5183" s="159">
        <v>7</v>
      </c>
      <c r="E5183" s="159">
        <v>91</v>
      </c>
      <c r="F5183" s="131"/>
      <c r="G5183" s="132"/>
      <c r="H5183" s="162" t="s">
        <v>27677</v>
      </c>
      <c r="I5183" s="158" t="s">
        <v>27678</v>
      </c>
      <c r="J5183" s="128"/>
      <c r="K5183" s="128"/>
      <c r="L5183" s="128"/>
      <c r="M5183" s="129"/>
      <c r="N5183" s="129"/>
      <c r="O5183" s="129"/>
    </row>
    <row r="5184" spans="1:15" ht="12.5">
      <c r="A5184" s="158" t="s">
        <v>27679</v>
      </c>
      <c r="B5184" s="159">
        <v>65</v>
      </c>
      <c r="C5184" s="159">
        <v>52</v>
      </c>
      <c r="D5184" s="159">
        <v>7</v>
      </c>
      <c r="E5184" s="159">
        <v>92</v>
      </c>
      <c r="F5184" s="131"/>
      <c r="G5184" s="132"/>
      <c r="H5184" s="162" t="s">
        <v>27680</v>
      </c>
      <c r="I5184" s="158" t="s">
        <v>27681</v>
      </c>
      <c r="J5184" s="128"/>
      <c r="K5184" s="128"/>
      <c r="L5184" s="128"/>
      <c r="M5184" s="129"/>
      <c r="N5184" s="129"/>
      <c r="O5184" s="129"/>
    </row>
    <row r="5185" spans="1:15" ht="12.5">
      <c r="A5185" s="158" t="s">
        <v>27682</v>
      </c>
      <c r="B5185" s="159">
        <v>65</v>
      </c>
      <c r="C5185" s="159">
        <v>52</v>
      </c>
      <c r="D5185" s="159">
        <v>7</v>
      </c>
      <c r="E5185" s="159">
        <v>94</v>
      </c>
      <c r="F5185" s="131"/>
      <c r="G5185" s="132"/>
      <c r="H5185" s="162" t="s">
        <v>27683</v>
      </c>
      <c r="I5185" s="158" t="s">
        <v>27684</v>
      </c>
      <c r="J5185" s="128"/>
      <c r="K5185" s="128"/>
      <c r="L5185" s="128"/>
      <c r="M5185" s="129"/>
      <c r="N5185" s="129"/>
      <c r="O5185" s="129"/>
    </row>
    <row r="5186" spans="1:15" ht="12.5">
      <c r="A5186" s="158" t="s">
        <v>27685</v>
      </c>
      <c r="B5186" s="159">
        <v>65</v>
      </c>
      <c r="C5186" s="159">
        <v>52</v>
      </c>
      <c r="D5186" s="159">
        <v>7</v>
      </c>
      <c r="E5186" s="159">
        <v>96</v>
      </c>
      <c r="F5186" s="131"/>
      <c r="G5186" s="132"/>
      <c r="H5186" s="162" t="s">
        <v>27686</v>
      </c>
      <c r="I5186" s="158" t="s">
        <v>27687</v>
      </c>
      <c r="J5186" s="128"/>
      <c r="K5186" s="128"/>
      <c r="L5186" s="128"/>
      <c r="M5186" s="129"/>
      <c r="N5186" s="129"/>
      <c r="O5186" s="129"/>
    </row>
    <row r="5187" spans="1:15" ht="12.5">
      <c r="A5187" s="158" t="s">
        <v>27688</v>
      </c>
      <c r="B5187" s="159">
        <v>65</v>
      </c>
      <c r="C5187" s="159">
        <v>52</v>
      </c>
      <c r="D5187" s="159">
        <v>7</v>
      </c>
      <c r="E5187" s="159">
        <v>97</v>
      </c>
      <c r="F5187" s="131"/>
      <c r="G5187" s="132"/>
      <c r="H5187" s="162" t="s">
        <v>27689</v>
      </c>
      <c r="I5187" s="158" t="s">
        <v>27690</v>
      </c>
      <c r="J5187" s="128"/>
      <c r="K5187" s="128"/>
      <c r="L5187" s="128"/>
      <c r="M5187" s="129"/>
      <c r="N5187" s="129"/>
      <c r="O5187" s="129"/>
    </row>
    <row r="5188" spans="1:15" ht="12.5">
      <c r="A5188" s="158" t="s">
        <v>27691</v>
      </c>
      <c r="B5188" s="159">
        <v>65</v>
      </c>
      <c r="C5188" s="159">
        <v>52</v>
      </c>
      <c r="D5188" s="159">
        <v>7</v>
      </c>
      <c r="E5188" s="159">
        <v>98</v>
      </c>
      <c r="F5188" s="131"/>
      <c r="G5188" s="132"/>
      <c r="H5188" s="162" t="s">
        <v>27692</v>
      </c>
      <c r="I5188" s="158" t="s">
        <v>27693</v>
      </c>
      <c r="J5188" s="128"/>
      <c r="K5188" s="128"/>
      <c r="L5188" s="128"/>
      <c r="M5188" s="129"/>
      <c r="N5188" s="129"/>
      <c r="O5188" s="129"/>
    </row>
    <row r="5189" spans="1:15" ht="12.5">
      <c r="A5189" s="158" t="s">
        <v>27694</v>
      </c>
      <c r="B5189" s="159">
        <v>65</v>
      </c>
      <c r="C5189" s="159">
        <v>52</v>
      </c>
      <c r="D5189" s="159">
        <v>20</v>
      </c>
      <c r="E5189" s="130"/>
      <c r="F5189" s="131"/>
      <c r="G5189" s="132"/>
      <c r="H5189" s="162" t="s">
        <v>27695</v>
      </c>
      <c r="I5189" s="128"/>
      <c r="J5189" s="128"/>
      <c r="K5189" s="128"/>
      <c r="L5189" s="128"/>
      <c r="M5189" s="129"/>
      <c r="N5189" s="129"/>
      <c r="O5189" s="129"/>
    </row>
    <row r="5190" spans="1:15" ht="12.5">
      <c r="A5190" s="158" t="s">
        <v>27696</v>
      </c>
      <c r="B5190" s="159">
        <v>65</v>
      </c>
      <c r="C5190" s="159">
        <v>52</v>
      </c>
      <c r="D5190" s="159">
        <v>20</v>
      </c>
      <c r="E5190" s="159">
        <v>15</v>
      </c>
      <c r="F5190" s="131"/>
      <c r="G5190" s="132"/>
      <c r="H5190" s="162" t="s">
        <v>27697</v>
      </c>
      <c r="I5190" s="128"/>
      <c r="J5190" s="128"/>
      <c r="K5190" s="128"/>
      <c r="L5190" s="128"/>
      <c r="M5190" s="129"/>
      <c r="N5190" s="129"/>
      <c r="O5190" s="129"/>
    </row>
    <row r="5191" spans="1:15" ht="12.5">
      <c r="A5191" s="158" t="s">
        <v>27698</v>
      </c>
      <c r="B5191" s="159">
        <v>65</v>
      </c>
      <c r="C5191" s="159">
        <v>52</v>
      </c>
      <c r="D5191" s="159">
        <v>20</v>
      </c>
      <c r="E5191" s="159">
        <v>16</v>
      </c>
      <c r="F5191" s="131"/>
      <c r="G5191" s="132"/>
      <c r="H5191" s="162" t="s">
        <v>27699</v>
      </c>
      <c r="I5191" s="158" t="s">
        <v>27700</v>
      </c>
      <c r="J5191" s="128"/>
      <c r="K5191" s="128"/>
      <c r="L5191" s="128"/>
      <c r="M5191" s="129"/>
      <c r="N5191" s="129"/>
      <c r="O5191" s="129"/>
    </row>
    <row r="5192" spans="1:15" ht="12.5">
      <c r="A5192" s="158" t="s">
        <v>27701</v>
      </c>
      <c r="B5192" s="159">
        <v>65</v>
      </c>
      <c r="C5192" s="159">
        <v>52</v>
      </c>
      <c r="D5192" s="159">
        <v>20</v>
      </c>
      <c r="E5192" s="159">
        <v>17</v>
      </c>
      <c r="F5192" s="131"/>
      <c r="G5192" s="132"/>
      <c r="H5192" s="162" t="s">
        <v>27702</v>
      </c>
      <c r="I5192" s="128"/>
      <c r="J5192" s="128"/>
      <c r="K5192" s="128"/>
      <c r="L5192" s="128"/>
      <c r="M5192" s="129"/>
      <c r="N5192" s="129"/>
      <c r="O5192" s="129"/>
    </row>
    <row r="5193" spans="1:15" ht="12.5">
      <c r="A5193" s="158" t="s">
        <v>27703</v>
      </c>
      <c r="B5193" s="159">
        <v>65</v>
      </c>
      <c r="C5193" s="159">
        <v>52</v>
      </c>
      <c r="D5193" s="159">
        <v>20</v>
      </c>
      <c r="E5193" s="159">
        <v>18</v>
      </c>
      <c r="F5193" s="131"/>
      <c r="G5193" s="132"/>
      <c r="H5193" s="162" t="s">
        <v>27704</v>
      </c>
      <c r="I5193" s="128"/>
      <c r="J5193" s="128"/>
      <c r="K5193" s="128"/>
      <c r="L5193" s="128"/>
      <c r="M5193" s="129"/>
      <c r="N5193" s="129"/>
      <c r="O5193" s="129"/>
    </row>
    <row r="5194" spans="1:15" ht="12.5">
      <c r="A5194" s="158" t="s">
        <v>27705</v>
      </c>
      <c r="B5194" s="159">
        <v>65</v>
      </c>
      <c r="C5194" s="159">
        <v>52</v>
      </c>
      <c r="D5194" s="159">
        <v>20</v>
      </c>
      <c r="E5194" s="159">
        <v>19</v>
      </c>
      <c r="F5194" s="131"/>
      <c r="G5194" s="132"/>
      <c r="H5194" s="162" t="s">
        <v>27706</v>
      </c>
      <c r="I5194" s="128"/>
      <c r="J5194" s="128"/>
      <c r="K5194" s="128"/>
      <c r="L5194" s="128"/>
      <c r="M5194" s="129"/>
      <c r="N5194" s="129"/>
      <c r="O5194" s="129"/>
    </row>
    <row r="5195" spans="1:15" ht="12.5">
      <c r="A5195" s="158" t="s">
        <v>27707</v>
      </c>
      <c r="B5195" s="159">
        <v>65</v>
      </c>
      <c r="C5195" s="159">
        <v>52</v>
      </c>
      <c r="D5195" s="159">
        <v>20</v>
      </c>
      <c r="E5195" s="159">
        <v>20</v>
      </c>
      <c r="F5195" s="131"/>
      <c r="G5195" s="132"/>
      <c r="H5195" s="162" t="s">
        <v>27708</v>
      </c>
      <c r="I5195" s="128"/>
      <c r="J5195" s="128"/>
      <c r="K5195" s="128"/>
      <c r="L5195" s="128"/>
      <c r="M5195" s="129"/>
      <c r="N5195" s="129"/>
      <c r="O5195" s="129"/>
    </row>
    <row r="5196" spans="1:15" ht="12.5">
      <c r="A5196" s="158" t="s">
        <v>27709</v>
      </c>
      <c r="B5196" s="159">
        <v>65</v>
      </c>
      <c r="C5196" s="159">
        <v>52</v>
      </c>
      <c r="D5196" s="159">
        <v>20</v>
      </c>
      <c r="E5196" s="159">
        <v>84</v>
      </c>
      <c r="F5196" s="131"/>
      <c r="G5196" s="132"/>
      <c r="H5196" s="162" t="s">
        <v>27710</v>
      </c>
      <c r="I5196" s="128"/>
      <c r="J5196" s="128"/>
      <c r="K5196" s="128"/>
      <c r="L5196" s="128"/>
      <c r="M5196" s="129"/>
      <c r="N5196" s="129"/>
      <c r="O5196" s="129"/>
    </row>
    <row r="5197" spans="1:15" ht="12.5">
      <c r="A5197" s="158" t="s">
        <v>27711</v>
      </c>
      <c r="B5197" s="159">
        <v>65</v>
      </c>
      <c r="C5197" s="159">
        <v>52</v>
      </c>
      <c r="D5197" s="159">
        <v>24</v>
      </c>
      <c r="E5197" s="130"/>
      <c r="F5197" s="131"/>
      <c r="G5197" s="132"/>
      <c r="H5197" s="162" t="s">
        <v>27712</v>
      </c>
      <c r="I5197" s="128"/>
      <c r="J5197" s="128"/>
      <c r="K5197" s="128"/>
      <c r="L5197" s="128"/>
      <c r="M5197" s="129"/>
      <c r="N5197" s="129"/>
      <c r="O5197" s="129"/>
    </row>
    <row r="5198" spans="1:15" ht="12.5">
      <c r="A5198" s="158" t="s">
        <v>27713</v>
      </c>
      <c r="B5198" s="159">
        <v>65</v>
      </c>
      <c r="C5198" s="159">
        <v>52</v>
      </c>
      <c r="D5198" s="159">
        <v>24</v>
      </c>
      <c r="E5198" s="159">
        <v>2</v>
      </c>
      <c r="F5198" s="131"/>
      <c r="G5198" s="132"/>
      <c r="H5198" s="162" t="s">
        <v>27714</v>
      </c>
      <c r="I5198" s="158" t="s">
        <v>27715</v>
      </c>
      <c r="J5198" s="128"/>
      <c r="K5198" s="128"/>
      <c r="L5198" s="128"/>
      <c r="M5198" s="129"/>
      <c r="N5198" s="129"/>
      <c r="O5198" s="129"/>
    </row>
    <row r="5199" spans="1:15" ht="12.5">
      <c r="A5199" s="158" t="s">
        <v>27716</v>
      </c>
      <c r="B5199" s="159">
        <v>65</v>
      </c>
      <c r="C5199" s="159">
        <v>52</v>
      </c>
      <c r="D5199" s="159">
        <v>24</v>
      </c>
      <c r="E5199" s="159">
        <v>3</v>
      </c>
      <c r="F5199" s="131"/>
      <c r="G5199" s="132"/>
      <c r="H5199" s="162" t="s">
        <v>27717</v>
      </c>
      <c r="I5199" s="158" t="s">
        <v>27718</v>
      </c>
      <c r="J5199" s="128"/>
      <c r="K5199" s="128"/>
      <c r="L5199" s="128"/>
      <c r="M5199" s="129"/>
      <c r="N5199" s="129"/>
      <c r="O5199" s="129"/>
    </row>
    <row r="5200" spans="1:15" ht="12.5">
      <c r="A5200" s="158" t="s">
        <v>27719</v>
      </c>
      <c r="B5200" s="159">
        <v>65</v>
      </c>
      <c r="C5200" s="159">
        <v>52</v>
      </c>
      <c r="D5200" s="159">
        <v>24</v>
      </c>
      <c r="E5200" s="159">
        <v>11</v>
      </c>
      <c r="F5200" s="131"/>
      <c r="G5200" s="132"/>
      <c r="H5200" s="162" t="s">
        <v>27720</v>
      </c>
      <c r="I5200" s="128"/>
      <c r="J5200" s="128"/>
      <c r="K5200" s="128"/>
      <c r="L5200" s="128"/>
      <c r="M5200" s="129"/>
      <c r="N5200" s="129"/>
      <c r="O5200" s="129"/>
    </row>
    <row r="5201" spans="1:15" ht="12.5">
      <c r="A5201" s="158" t="s">
        <v>27721</v>
      </c>
      <c r="B5201" s="159">
        <v>65</v>
      </c>
      <c r="C5201" s="159">
        <v>52</v>
      </c>
      <c r="D5201" s="159">
        <v>24</v>
      </c>
      <c r="E5201" s="159">
        <v>12</v>
      </c>
      <c r="F5201" s="131"/>
      <c r="G5201" s="132"/>
      <c r="H5201" s="162" t="s">
        <v>27722</v>
      </c>
      <c r="I5201" s="158" t="s">
        <v>27723</v>
      </c>
      <c r="J5201" s="128"/>
      <c r="K5201" s="128"/>
      <c r="L5201" s="128"/>
      <c r="M5201" s="129"/>
      <c r="N5201" s="129"/>
      <c r="O5201" s="129"/>
    </row>
    <row r="5202" spans="1:15" ht="12.5">
      <c r="A5202" s="158" t="s">
        <v>27724</v>
      </c>
      <c r="B5202" s="159">
        <v>65</v>
      </c>
      <c r="C5202" s="159">
        <v>52</v>
      </c>
      <c r="D5202" s="159">
        <v>24</v>
      </c>
      <c r="E5202" s="159">
        <v>13</v>
      </c>
      <c r="F5202" s="131"/>
      <c r="G5202" s="132"/>
      <c r="H5202" s="162" t="s">
        <v>27725</v>
      </c>
      <c r="I5202" s="158" t="s">
        <v>27726</v>
      </c>
      <c r="J5202" s="128"/>
      <c r="K5202" s="128"/>
      <c r="L5202" s="128"/>
      <c r="M5202" s="129"/>
      <c r="N5202" s="129"/>
      <c r="O5202" s="129"/>
    </row>
    <row r="5203" spans="1:15" ht="12.5">
      <c r="A5203" s="158" t="s">
        <v>27727</v>
      </c>
      <c r="B5203" s="159">
        <v>65</v>
      </c>
      <c r="C5203" s="159">
        <v>52</v>
      </c>
      <c r="D5203" s="159">
        <v>24</v>
      </c>
      <c r="E5203" s="159">
        <v>14</v>
      </c>
      <c r="F5203" s="131"/>
      <c r="G5203" s="132"/>
      <c r="H5203" s="162" t="s">
        <v>27728</v>
      </c>
      <c r="I5203" s="158" t="s">
        <v>27729</v>
      </c>
      <c r="J5203" s="128"/>
      <c r="K5203" s="128"/>
      <c r="L5203" s="128"/>
      <c r="M5203" s="129"/>
      <c r="N5203" s="129"/>
      <c r="O5203" s="129"/>
    </row>
    <row r="5204" spans="1:15" ht="12.5">
      <c r="A5204" s="158" t="s">
        <v>27730</v>
      </c>
      <c r="B5204" s="159">
        <v>65</v>
      </c>
      <c r="C5204" s="159">
        <v>52</v>
      </c>
      <c r="D5204" s="159">
        <v>24</v>
      </c>
      <c r="E5204" s="159">
        <v>15</v>
      </c>
      <c r="F5204" s="131"/>
      <c r="G5204" s="132"/>
      <c r="H5204" s="162" t="s">
        <v>27731</v>
      </c>
      <c r="I5204" s="158" t="s">
        <v>27732</v>
      </c>
      <c r="J5204" s="128"/>
      <c r="K5204" s="128"/>
      <c r="L5204" s="128"/>
      <c r="M5204" s="129"/>
      <c r="N5204" s="129"/>
      <c r="O5204" s="129"/>
    </row>
    <row r="5205" spans="1:15" ht="12.5">
      <c r="A5205" s="158" t="s">
        <v>27733</v>
      </c>
      <c r="B5205" s="159">
        <v>65</v>
      </c>
      <c r="C5205" s="159">
        <v>52</v>
      </c>
      <c r="D5205" s="159">
        <v>24</v>
      </c>
      <c r="E5205" s="159">
        <v>18</v>
      </c>
      <c r="F5205" s="131"/>
      <c r="G5205" s="132"/>
      <c r="H5205" s="162" t="s">
        <v>27734</v>
      </c>
      <c r="I5205" s="158" t="s">
        <v>27735</v>
      </c>
      <c r="J5205" s="128"/>
      <c r="K5205" s="128"/>
      <c r="L5205" s="128"/>
      <c r="M5205" s="129"/>
      <c r="N5205" s="129"/>
      <c r="O5205" s="129"/>
    </row>
    <row r="5206" spans="1:15" ht="12.5">
      <c r="A5206" s="158" t="s">
        <v>27736</v>
      </c>
      <c r="B5206" s="159">
        <v>65</v>
      </c>
      <c r="C5206" s="159">
        <v>52</v>
      </c>
      <c r="D5206" s="159">
        <v>24</v>
      </c>
      <c r="E5206" s="159">
        <v>24</v>
      </c>
      <c r="F5206" s="131"/>
      <c r="G5206" s="132"/>
      <c r="H5206" s="162" t="s">
        <v>27737</v>
      </c>
      <c r="I5206" s="158" t="s">
        <v>27738</v>
      </c>
      <c r="J5206" s="128"/>
      <c r="K5206" s="128"/>
      <c r="L5206" s="128"/>
      <c r="M5206" s="129"/>
      <c r="N5206" s="129"/>
      <c r="O5206" s="129"/>
    </row>
    <row r="5207" spans="1:15" ht="12.5">
      <c r="A5207" s="158" t="s">
        <v>27739</v>
      </c>
      <c r="B5207" s="159">
        <v>65</v>
      </c>
      <c r="C5207" s="159">
        <v>52</v>
      </c>
      <c r="D5207" s="159">
        <v>24</v>
      </c>
      <c r="E5207" s="159">
        <v>26</v>
      </c>
      <c r="F5207" s="131"/>
      <c r="G5207" s="132"/>
      <c r="H5207" s="162" t="s">
        <v>27740</v>
      </c>
      <c r="I5207" s="158" t="s">
        <v>27741</v>
      </c>
      <c r="J5207" s="128"/>
      <c r="K5207" s="128"/>
      <c r="L5207" s="128"/>
      <c r="M5207" s="129"/>
      <c r="N5207" s="129"/>
      <c r="O5207" s="129"/>
    </row>
    <row r="5208" spans="1:15" ht="12.5">
      <c r="A5208" s="158" t="s">
        <v>27742</v>
      </c>
      <c r="B5208" s="159">
        <v>65</v>
      </c>
      <c r="C5208" s="159">
        <v>52</v>
      </c>
      <c r="D5208" s="159">
        <v>24</v>
      </c>
      <c r="E5208" s="159">
        <v>28</v>
      </c>
      <c r="F5208" s="131"/>
      <c r="G5208" s="132"/>
      <c r="H5208" s="162" t="s">
        <v>27743</v>
      </c>
      <c r="I5208" s="158" t="s">
        <v>27744</v>
      </c>
      <c r="J5208" s="128"/>
      <c r="K5208" s="128"/>
      <c r="L5208" s="128"/>
      <c r="M5208" s="129"/>
      <c r="N5208" s="129"/>
      <c r="O5208" s="129"/>
    </row>
    <row r="5209" spans="1:15" ht="12.5">
      <c r="A5209" s="158" t="s">
        <v>27745</v>
      </c>
      <c r="B5209" s="159">
        <v>65</v>
      </c>
      <c r="C5209" s="159">
        <v>52</v>
      </c>
      <c r="D5209" s="159">
        <v>24</v>
      </c>
      <c r="E5209" s="159">
        <v>29</v>
      </c>
      <c r="F5209" s="131"/>
      <c r="G5209" s="132"/>
      <c r="H5209" s="162" t="s">
        <v>27746</v>
      </c>
      <c r="I5209" s="158" t="s">
        <v>27747</v>
      </c>
      <c r="J5209" s="128"/>
      <c r="K5209" s="128"/>
      <c r="L5209" s="128"/>
      <c r="M5209" s="129"/>
      <c r="N5209" s="129"/>
      <c r="O5209" s="129"/>
    </row>
    <row r="5210" spans="1:15" ht="12.5">
      <c r="A5210" s="158" t="s">
        <v>27748</v>
      </c>
      <c r="B5210" s="159">
        <v>65</v>
      </c>
      <c r="C5210" s="159">
        <v>52</v>
      </c>
      <c r="D5210" s="159">
        <v>24</v>
      </c>
      <c r="E5210" s="159">
        <v>30</v>
      </c>
      <c r="F5210" s="131"/>
      <c r="G5210" s="132"/>
      <c r="H5210" s="162" t="s">
        <v>27749</v>
      </c>
      <c r="I5210" s="158" t="s">
        <v>27750</v>
      </c>
      <c r="J5210" s="128"/>
      <c r="K5210" s="128"/>
      <c r="L5210" s="128"/>
      <c r="M5210" s="129"/>
      <c r="N5210" s="129"/>
      <c r="O5210" s="129"/>
    </row>
    <row r="5211" spans="1:15" ht="12.5">
      <c r="A5211" s="158" t="s">
        <v>27751</v>
      </c>
      <c r="B5211" s="159">
        <v>65</v>
      </c>
      <c r="C5211" s="159">
        <v>52</v>
      </c>
      <c r="D5211" s="159">
        <v>24</v>
      </c>
      <c r="E5211" s="159">
        <v>31</v>
      </c>
      <c r="F5211" s="131"/>
      <c r="G5211" s="132"/>
      <c r="H5211" s="162" t="s">
        <v>27752</v>
      </c>
      <c r="I5211" s="158" t="s">
        <v>27753</v>
      </c>
      <c r="J5211" s="128"/>
      <c r="K5211" s="128"/>
      <c r="L5211" s="128"/>
      <c r="M5211" s="129"/>
      <c r="N5211" s="129"/>
      <c r="O5211" s="129"/>
    </row>
    <row r="5212" spans="1:15" ht="12.5">
      <c r="A5212" s="158" t="s">
        <v>27754</v>
      </c>
      <c r="B5212" s="159">
        <v>65</v>
      </c>
      <c r="C5212" s="159">
        <v>52</v>
      </c>
      <c r="D5212" s="159">
        <v>24</v>
      </c>
      <c r="E5212" s="159">
        <v>47</v>
      </c>
      <c r="F5212" s="131"/>
      <c r="G5212" s="132"/>
      <c r="H5212" s="162" t="s">
        <v>27755</v>
      </c>
      <c r="I5212" s="158" t="s">
        <v>27756</v>
      </c>
      <c r="J5212" s="128"/>
      <c r="K5212" s="128"/>
      <c r="L5212" s="128"/>
      <c r="M5212" s="129"/>
      <c r="N5212" s="129"/>
      <c r="O5212" s="129"/>
    </row>
    <row r="5213" spans="1:15" ht="12.5">
      <c r="A5213" s="158" t="s">
        <v>27757</v>
      </c>
      <c r="B5213" s="159">
        <v>65</v>
      </c>
      <c r="C5213" s="159">
        <v>52</v>
      </c>
      <c r="D5213" s="159">
        <v>24</v>
      </c>
      <c r="E5213" s="159">
        <v>59</v>
      </c>
      <c r="F5213" s="131"/>
      <c r="G5213" s="132"/>
      <c r="H5213" s="162" t="s">
        <v>27758</v>
      </c>
      <c r="I5213" s="158" t="s">
        <v>27759</v>
      </c>
      <c r="J5213" s="128"/>
      <c r="K5213" s="128"/>
      <c r="L5213" s="128"/>
      <c r="M5213" s="129"/>
      <c r="N5213" s="129"/>
      <c r="O5213" s="129"/>
    </row>
    <row r="5214" spans="1:15" ht="12.5">
      <c r="A5214" s="158" t="s">
        <v>27760</v>
      </c>
      <c r="B5214" s="159">
        <v>65</v>
      </c>
      <c r="C5214" s="159">
        <v>52</v>
      </c>
      <c r="D5214" s="159">
        <v>24</v>
      </c>
      <c r="E5214" s="159">
        <v>60</v>
      </c>
      <c r="F5214" s="131"/>
      <c r="G5214" s="132"/>
      <c r="H5214" s="162" t="s">
        <v>27761</v>
      </c>
      <c r="I5214" s="158" t="s">
        <v>27762</v>
      </c>
      <c r="J5214" s="128"/>
      <c r="K5214" s="128"/>
      <c r="L5214" s="128"/>
      <c r="M5214" s="129"/>
      <c r="N5214" s="129"/>
      <c r="O5214" s="129"/>
    </row>
    <row r="5215" spans="1:15" ht="12.5">
      <c r="A5215" s="158" t="s">
        <v>27763</v>
      </c>
      <c r="B5215" s="159">
        <v>65</v>
      </c>
      <c r="C5215" s="159">
        <v>52</v>
      </c>
      <c r="D5215" s="159">
        <v>24</v>
      </c>
      <c r="E5215" s="159">
        <v>61</v>
      </c>
      <c r="F5215" s="131"/>
      <c r="G5215" s="132"/>
      <c r="H5215" s="162" t="s">
        <v>27764</v>
      </c>
      <c r="I5215" s="158" t="s">
        <v>27765</v>
      </c>
      <c r="J5215" s="128"/>
      <c r="K5215" s="128"/>
      <c r="L5215" s="128"/>
      <c r="M5215" s="129"/>
      <c r="N5215" s="129"/>
      <c r="O5215" s="129"/>
    </row>
    <row r="5216" spans="1:15" ht="12.5">
      <c r="A5216" s="158" t="s">
        <v>27766</v>
      </c>
      <c r="B5216" s="159">
        <v>65</v>
      </c>
      <c r="C5216" s="159">
        <v>52</v>
      </c>
      <c r="D5216" s="159">
        <v>24</v>
      </c>
      <c r="E5216" s="159">
        <v>64</v>
      </c>
      <c r="F5216" s="131"/>
      <c r="G5216" s="132"/>
      <c r="H5216" s="162" t="s">
        <v>27767</v>
      </c>
      <c r="I5216" s="158" t="s">
        <v>27768</v>
      </c>
      <c r="J5216" s="128"/>
      <c r="K5216" s="128"/>
      <c r="L5216" s="128"/>
      <c r="M5216" s="129"/>
      <c r="N5216" s="129"/>
      <c r="O5216" s="129"/>
    </row>
    <row r="5217" spans="1:15" ht="12.5">
      <c r="A5217" s="158" t="s">
        <v>27769</v>
      </c>
      <c r="B5217" s="159">
        <v>65</v>
      </c>
      <c r="C5217" s="159">
        <v>52</v>
      </c>
      <c r="D5217" s="159">
        <v>24</v>
      </c>
      <c r="E5217" s="159">
        <v>65</v>
      </c>
      <c r="F5217" s="131"/>
      <c r="G5217" s="132"/>
      <c r="H5217" s="162" t="s">
        <v>27770</v>
      </c>
      <c r="I5217" s="158" t="s">
        <v>27771</v>
      </c>
      <c r="J5217" s="128"/>
      <c r="K5217" s="128"/>
      <c r="L5217" s="128"/>
      <c r="M5217" s="129"/>
      <c r="N5217" s="129"/>
      <c r="O5217" s="129"/>
    </row>
    <row r="5218" spans="1:15" ht="12.5">
      <c r="A5218" s="158" t="s">
        <v>27772</v>
      </c>
      <c r="B5218" s="159">
        <v>65</v>
      </c>
      <c r="C5218" s="159">
        <v>52</v>
      </c>
      <c r="D5218" s="159">
        <v>24</v>
      </c>
      <c r="E5218" s="159">
        <v>73</v>
      </c>
      <c r="F5218" s="131"/>
      <c r="G5218" s="132"/>
      <c r="H5218" s="162" t="s">
        <v>27773</v>
      </c>
      <c r="I5218" s="158" t="s">
        <v>27774</v>
      </c>
      <c r="J5218" s="128"/>
      <c r="K5218" s="128"/>
      <c r="L5218" s="128"/>
      <c r="M5218" s="129"/>
      <c r="N5218" s="129"/>
      <c r="O5218" s="129"/>
    </row>
    <row r="5219" spans="1:15" ht="12.5">
      <c r="A5219" s="158" t="s">
        <v>27775</v>
      </c>
      <c r="B5219" s="159">
        <v>65</v>
      </c>
      <c r="C5219" s="159">
        <v>52</v>
      </c>
      <c r="D5219" s="159">
        <v>24</v>
      </c>
      <c r="E5219" s="159">
        <v>85</v>
      </c>
      <c r="F5219" s="131"/>
      <c r="G5219" s="132"/>
      <c r="H5219" s="162" t="s">
        <v>27776</v>
      </c>
      <c r="I5219" s="158" t="s">
        <v>27777</v>
      </c>
      <c r="J5219" s="128"/>
      <c r="K5219" s="128"/>
      <c r="L5219" s="128"/>
      <c r="M5219" s="129"/>
      <c r="N5219" s="129"/>
      <c r="O5219" s="129"/>
    </row>
    <row r="5220" spans="1:15" ht="12.5">
      <c r="A5220" s="158" t="s">
        <v>27778</v>
      </c>
      <c r="B5220" s="159">
        <v>65</v>
      </c>
      <c r="C5220" s="159">
        <v>52</v>
      </c>
      <c r="D5220" s="159">
        <v>24</v>
      </c>
      <c r="E5220" s="159">
        <v>91</v>
      </c>
      <c r="F5220" s="131"/>
      <c r="G5220" s="132"/>
      <c r="H5220" s="162" t="s">
        <v>27779</v>
      </c>
      <c r="I5220" s="158" t="s">
        <v>27780</v>
      </c>
      <c r="J5220" s="128"/>
      <c r="K5220" s="128"/>
      <c r="L5220" s="128"/>
      <c r="M5220" s="129"/>
      <c r="N5220" s="129"/>
      <c r="O5220" s="129"/>
    </row>
    <row r="5221" spans="1:15" ht="12.5">
      <c r="A5221" s="158" t="s">
        <v>27781</v>
      </c>
      <c r="B5221" s="159">
        <v>65</v>
      </c>
      <c r="C5221" s="159">
        <v>52</v>
      </c>
      <c r="D5221" s="159">
        <v>24</v>
      </c>
      <c r="E5221" s="159">
        <v>92</v>
      </c>
      <c r="F5221" s="131"/>
      <c r="G5221" s="132"/>
      <c r="H5221" s="162" t="s">
        <v>27782</v>
      </c>
      <c r="I5221" s="158" t="s">
        <v>27783</v>
      </c>
      <c r="J5221" s="128"/>
      <c r="K5221" s="128"/>
      <c r="L5221" s="128"/>
      <c r="M5221" s="129"/>
      <c r="N5221" s="129"/>
      <c r="O5221" s="129"/>
    </row>
    <row r="5222" spans="1:15" ht="12.5">
      <c r="A5222" s="158" t="s">
        <v>27784</v>
      </c>
      <c r="B5222" s="159">
        <v>65</v>
      </c>
      <c r="C5222" s="159">
        <v>52</v>
      </c>
      <c r="D5222" s="159">
        <v>24</v>
      </c>
      <c r="E5222" s="159">
        <v>94</v>
      </c>
      <c r="F5222" s="131"/>
      <c r="G5222" s="132"/>
      <c r="H5222" s="162" t="s">
        <v>27785</v>
      </c>
      <c r="I5222" s="158" t="s">
        <v>27786</v>
      </c>
      <c r="J5222" s="128"/>
      <c r="K5222" s="128"/>
      <c r="L5222" s="128"/>
      <c r="M5222" s="129"/>
      <c r="N5222" s="129"/>
      <c r="O5222" s="129"/>
    </row>
    <row r="5223" spans="1:15" ht="12.5">
      <c r="A5223" s="158" t="s">
        <v>27787</v>
      </c>
      <c r="B5223" s="159">
        <v>65</v>
      </c>
      <c r="C5223" s="159">
        <v>52</v>
      </c>
      <c r="D5223" s="159">
        <v>24</v>
      </c>
      <c r="E5223" s="159">
        <v>95</v>
      </c>
      <c r="F5223" s="131"/>
      <c r="G5223" s="132"/>
      <c r="H5223" s="162" t="s">
        <v>27788</v>
      </c>
      <c r="I5223" s="158" t="s">
        <v>27789</v>
      </c>
      <c r="J5223" s="128"/>
      <c r="K5223" s="128"/>
      <c r="L5223" s="128"/>
      <c r="M5223" s="129"/>
      <c r="N5223" s="129"/>
      <c r="O5223" s="129"/>
    </row>
    <row r="5224" spans="1:15" ht="12.5">
      <c r="A5224" s="158" t="s">
        <v>27790</v>
      </c>
      <c r="B5224" s="159">
        <v>65</v>
      </c>
      <c r="C5224" s="159">
        <v>52</v>
      </c>
      <c r="D5224" s="159">
        <v>24</v>
      </c>
      <c r="E5224" s="159">
        <v>96</v>
      </c>
      <c r="F5224" s="131"/>
      <c r="G5224" s="132"/>
      <c r="H5224" s="162" t="s">
        <v>27791</v>
      </c>
      <c r="I5224" s="158" t="s">
        <v>27792</v>
      </c>
      <c r="J5224" s="128"/>
      <c r="K5224" s="128"/>
      <c r="L5224" s="128"/>
      <c r="M5224" s="129"/>
      <c r="N5224" s="129"/>
      <c r="O5224" s="129"/>
    </row>
    <row r="5225" spans="1:15" ht="12.5">
      <c r="A5225" s="158" t="s">
        <v>27793</v>
      </c>
      <c r="B5225" s="159">
        <v>65</v>
      </c>
      <c r="C5225" s="159">
        <v>52</v>
      </c>
      <c r="D5225" s="159">
        <v>25</v>
      </c>
      <c r="E5225" s="130"/>
      <c r="F5225" s="131"/>
      <c r="G5225" s="132"/>
      <c r="H5225" s="162" t="s">
        <v>27794</v>
      </c>
      <c r="I5225" s="128"/>
      <c r="J5225" s="128"/>
      <c r="K5225" s="128"/>
      <c r="L5225" s="128"/>
      <c r="M5225" s="129"/>
      <c r="N5225" s="129"/>
      <c r="O5225" s="129"/>
    </row>
    <row r="5226" spans="1:15" ht="12.5">
      <c r="A5226" s="158" t="s">
        <v>27795</v>
      </c>
      <c r="B5226" s="159">
        <v>65</v>
      </c>
      <c r="C5226" s="159">
        <v>52</v>
      </c>
      <c r="D5226" s="159">
        <v>25</v>
      </c>
      <c r="E5226" s="159">
        <v>6</v>
      </c>
      <c r="F5226" s="131"/>
      <c r="G5226" s="132"/>
      <c r="H5226" s="162" t="s">
        <v>27796</v>
      </c>
      <c r="I5226" s="158" t="s">
        <v>27797</v>
      </c>
      <c r="J5226" s="128"/>
      <c r="K5226" s="128"/>
      <c r="L5226" s="128"/>
      <c r="M5226" s="129"/>
      <c r="N5226" s="129"/>
      <c r="O5226" s="129"/>
    </row>
    <row r="5227" spans="1:15" ht="12.5">
      <c r="A5227" s="158" t="s">
        <v>27798</v>
      </c>
      <c r="B5227" s="159">
        <v>65</v>
      </c>
      <c r="C5227" s="159">
        <v>52</v>
      </c>
      <c r="D5227" s="159">
        <v>25</v>
      </c>
      <c r="E5227" s="159">
        <v>15</v>
      </c>
      <c r="F5227" s="131"/>
      <c r="G5227" s="132"/>
      <c r="H5227" s="162" t="s">
        <v>27799</v>
      </c>
      <c r="I5227" s="158" t="s">
        <v>27800</v>
      </c>
      <c r="J5227" s="128"/>
      <c r="K5227" s="128"/>
      <c r="L5227" s="128"/>
      <c r="M5227" s="129"/>
      <c r="N5227" s="129"/>
      <c r="O5227" s="129"/>
    </row>
    <row r="5228" spans="1:15" ht="12.5">
      <c r="A5228" s="158" t="s">
        <v>27801</v>
      </c>
      <c r="B5228" s="159">
        <v>65</v>
      </c>
      <c r="C5228" s="159">
        <v>52</v>
      </c>
      <c r="D5228" s="159">
        <v>25</v>
      </c>
      <c r="E5228" s="159">
        <v>23</v>
      </c>
      <c r="F5228" s="131"/>
      <c r="G5228" s="132"/>
      <c r="H5228" s="162" t="s">
        <v>27802</v>
      </c>
      <c r="I5228" s="158" t="s">
        <v>27803</v>
      </c>
      <c r="J5228" s="128"/>
      <c r="K5228" s="128"/>
      <c r="L5228" s="128"/>
      <c r="M5228" s="129"/>
      <c r="N5228" s="129"/>
      <c r="O5228" s="129"/>
    </row>
    <row r="5229" spans="1:15" ht="12.5">
      <c r="A5229" s="158" t="s">
        <v>27804</v>
      </c>
      <c r="B5229" s="159">
        <v>65</v>
      </c>
      <c r="C5229" s="159">
        <v>52</v>
      </c>
      <c r="D5229" s="159">
        <v>25</v>
      </c>
      <c r="E5229" s="159">
        <v>27</v>
      </c>
      <c r="F5229" s="131"/>
      <c r="G5229" s="132"/>
      <c r="H5229" s="162" t="s">
        <v>27805</v>
      </c>
      <c r="I5229" s="158" t="s">
        <v>27806</v>
      </c>
      <c r="J5229" s="128"/>
      <c r="K5229" s="128"/>
      <c r="L5229" s="128"/>
      <c r="M5229" s="129"/>
      <c r="N5229" s="129"/>
      <c r="O5229" s="129"/>
    </row>
    <row r="5230" spans="1:15" ht="12.5">
      <c r="A5230" s="158" t="s">
        <v>27807</v>
      </c>
      <c r="B5230" s="159">
        <v>65</v>
      </c>
      <c r="C5230" s="159">
        <v>52</v>
      </c>
      <c r="D5230" s="159">
        <v>25</v>
      </c>
      <c r="E5230" s="159">
        <v>32</v>
      </c>
      <c r="F5230" s="131"/>
      <c r="G5230" s="132"/>
      <c r="H5230" s="162" t="s">
        <v>27808</v>
      </c>
      <c r="I5230" s="158" t="s">
        <v>27809</v>
      </c>
      <c r="J5230" s="128"/>
      <c r="K5230" s="128"/>
      <c r="L5230" s="128"/>
      <c r="M5230" s="129"/>
      <c r="N5230" s="129"/>
      <c r="O5230" s="129"/>
    </row>
    <row r="5231" spans="1:15" ht="12.5">
      <c r="A5231" s="158" t="s">
        <v>27810</v>
      </c>
      <c r="B5231" s="159">
        <v>65</v>
      </c>
      <c r="C5231" s="159">
        <v>52</v>
      </c>
      <c r="D5231" s="159">
        <v>25</v>
      </c>
      <c r="E5231" s="159">
        <v>60</v>
      </c>
      <c r="F5231" s="131"/>
      <c r="G5231" s="132"/>
      <c r="H5231" s="162" t="s">
        <v>27811</v>
      </c>
      <c r="I5231" s="128"/>
      <c r="J5231" s="128"/>
      <c r="K5231" s="128"/>
      <c r="L5231" s="128"/>
      <c r="M5231" s="129"/>
      <c r="N5231" s="129"/>
      <c r="O5231" s="129"/>
    </row>
    <row r="5232" spans="1:15" ht="12.5">
      <c r="A5232" s="158" t="s">
        <v>27812</v>
      </c>
      <c r="B5232" s="159">
        <v>65</v>
      </c>
      <c r="C5232" s="159">
        <v>52</v>
      </c>
      <c r="D5232" s="159">
        <v>25</v>
      </c>
      <c r="E5232" s="159">
        <v>62</v>
      </c>
      <c r="F5232" s="131"/>
      <c r="G5232" s="132"/>
      <c r="H5232" s="162" t="s">
        <v>27813</v>
      </c>
      <c r="I5232" s="158" t="s">
        <v>27814</v>
      </c>
      <c r="J5232" s="128"/>
      <c r="K5232" s="128"/>
      <c r="L5232" s="128"/>
      <c r="M5232" s="129"/>
      <c r="N5232" s="129"/>
      <c r="O5232" s="129"/>
    </row>
    <row r="5233" spans="1:15" ht="12.5">
      <c r="A5233" s="158" t="s">
        <v>27815</v>
      </c>
      <c r="B5233" s="159">
        <v>65</v>
      </c>
      <c r="C5233" s="159">
        <v>52</v>
      </c>
      <c r="D5233" s="159">
        <v>25</v>
      </c>
      <c r="E5233" s="159">
        <v>72</v>
      </c>
      <c r="F5233" s="131"/>
      <c r="G5233" s="132"/>
      <c r="H5233" s="162" t="s">
        <v>27816</v>
      </c>
      <c r="I5233" s="128"/>
      <c r="J5233" s="128"/>
      <c r="K5233" s="128"/>
      <c r="L5233" s="128"/>
      <c r="M5233" s="129"/>
      <c r="N5233" s="129"/>
      <c r="O5233" s="129"/>
    </row>
    <row r="5234" spans="1:15" ht="12.5">
      <c r="A5234" s="158" t="s">
        <v>27817</v>
      </c>
      <c r="B5234" s="159">
        <v>65</v>
      </c>
      <c r="C5234" s="159">
        <v>52</v>
      </c>
      <c r="D5234" s="159">
        <v>25</v>
      </c>
      <c r="E5234" s="159">
        <v>75</v>
      </c>
      <c r="F5234" s="131"/>
      <c r="G5234" s="132"/>
      <c r="H5234" s="162" t="s">
        <v>27818</v>
      </c>
      <c r="I5234" s="158" t="s">
        <v>27819</v>
      </c>
      <c r="J5234" s="128"/>
      <c r="K5234" s="128"/>
      <c r="L5234" s="128"/>
      <c r="M5234" s="129"/>
      <c r="N5234" s="129"/>
      <c r="O5234" s="129"/>
    </row>
    <row r="5235" spans="1:15" ht="12.5">
      <c r="A5235" s="158" t="s">
        <v>27820</v>
      </c>
      <c r="B5235" s="159">
        <v>65</v>
      </c>
      <c r="C5235" s="159">
        <v>52</v>
      </c>
      <c r="D5235" s="159">
        <v>25</v>
      </c>
      <c r="E5235" s="159">
        <v>78</v>
      </c>
      <c r="F5235" s="131"/>
      <c r="G5235" s="132"/>
      <c r="H5235" s="162" t="s">
        <v>27821</v>
      </c>
      <c r="I5235" s="158" t="s">
        <v>27822</v>
      </c>
      <c r="J5235" s="128"/>
      <c r="K5235" s="128"/>
      <c r="L5235" s="128"/>
      <c r="M5235" s="129"/>
      <c r="N5235" s="129"/>
      <c r="O5235" s="129"/>
    </row>
    <row r="5236" spans="1:15" ht="12.5">
      <c r="A5236" s="158" t="s">
        <v>27823</v>
      </c>
      <c r="B5236" s="159">
        <v>65</v>
      </c>
      <c r="C5236" s="159">
        <v>52</v>
      </c>
      <c r="D5236" s="159">
        <v>25</v>
      </c>
      <c r="E5236" s="159">
        <v>93</v>
      </c>
      <c r="F5236" s="131"/>
      <c r="G5236" s="132"/>
      <c r="H5236" s="162" t="s">
        <v>27824</v>
      </c>
      <c r="I5236" s="158" t="s">
        <v>27825</v>
      </c>
      <c r="J5236" s="128"/>
      <c r="K5236" s="128"/>
      <c r="L5236" s="128"/>
      <c r="M5236" s="129"/>
      <c r="N5236" s="129"/>
      <c r="O5236" s="129"/>
    </row>
    <row r="5237" spans="1:15" ht="12.5">
      <c r="A5237" s="158" t="s">
        <v>27826</v>
      </c>
      <c r="B5237" s="159">
        <v>65</v>
      </c>
      <c r="C5237" s="159">
        <v>52</v>
      </c>
      <c r="D5237" s="159">
        <v>25</v>
      </c>
      <c r="E5237" s="159">
        <v>96</v>
      </c>
      <c r="F5237" s="131"/>
      <c r="G5237" s="132"/>
      <c r="H5237" s="162" t="s">
        <v>27827</v>
      </c>
      <c r="I5237" s="158" t="s">
        <v>27828</v>
      </c>
      <c r="J5237" s="128"/>
      <c r="K5237" s="128"/>
      <c r="L5237" s="128"/>
      <c r="M5237" s="129"/>
      <c r="N5237" s="129"/>
      <c r="O5237" s="129"/>
    </row>
    <row r="5238" spans="1:15" ht="12.5">
      <c r="A5238" s="158" t="s">
        <v>27829</v>
      </c>
      <c r="B5238" s="159">
        <v>65</v>
      </c>
      <c r="C5238" s="159">
        <v>52</v>
      </c>
      <c r="D5238" s="159">
        <v>25</v>
      </c>
      <c r="E5238" s="159">
        <v>98</v>
      </c>
      <c r="F5238" s="131"/>
      <c r="G5238" s="132"/>
      <c r="H5238" s="162" t="s">
        <v>27830</v>
      </c>
      <c r="I5238" s="128"/>
      <c r="J5238" s="128"/>
      <c r="K5238" s="128"/>
      <c r="L5238" s="128"/>
      <c r="M5238" s="129"/>
      <c r="N5238" s="129"/>
      <c r="O5238" s="129"/>
    </row>
    <row r="5239" spans="1:15" ht="12.5">
      <c r="A5239" s="158" t="s">
        <v>27831</v>
      </c>
      <c r="B5239" s="159">
        <v>65</v>
      </c>
      <c r="C5239" s="159">
        <v>52</v>
      </c>
      <c r="D5239" s="159">
        <v>34</v>
      </c>
      <c r="E5239" s="130"/>
      <c r="F5239" s="131"/>
      <c r="G5239" s="132"/>
      <c r="H5239" s="162" t="s">
        <v>27832</v>
      </c>
      <c r="I5239" s="128"/>
      <c r="J5239" s="128"/>
      <c r="K5239" s="128"/>
      <c r="L5239" s="128"/>
      <c r="M5239" s="129"/>
      <c r="N5239" s="129"/>
      <c r="O5239" s="129"/>
    </row>
    <row r="5240" spans="1:15" ht="12.5">
      <c r="A5240" s="158" t="s">
        <v>27833</v>
      </c>
      <c r="B5240" s="159">
        <v>65</v>
      </c>
      <c r="C5240" s="159">
        <v>52</v>
      </c>
      <c r="D5240" s="159">
        <v>34</v>
      </c>
      <c r="E5240" s="159">
        <v>8</v>
      </c>
      <c r="F5240" s="131"/>
      <c r="G5240" s="132"/>
      <c r="H5240" s="162" t="s">
        <v>27834</v>
      </c>
      <c r="I5240" s="158" t="s">
        <v>27835</v>
      </c>
      <c r="J5240" s="128"/>
      <c r="K5240" s="128"/>
      <c r="L5240" s="128"/>
      <c r="M5240" s="129"/>
      <c r="N5240" s="129"/>
      <c r="O5240" s="129"/>
    </row>
    <row r="5241" spans="1:15" ht="12.5">
      <c r="A5241" s="158" t="s">
        <v>27836</v>
      </c>
      <c r="B5241" s="159">
        <v>65</v>
      </c>
      <c r="C5241" s="159">
        <v>52</v>
      </c>
      <c r="D5241" s="159">
        <v>34</v>
      </c>
      <c r="E5241" s="159">
        <v>15</v>
      </c>
      <c r="F5241" s="131"/>
      <c r="G5241" s="132"/>
      <c r="H5241" s="162" t="s">
        <v>27837</v>
      </c>
      <c r="I5241" s="158" t="s">
        <v>27838</v>
      </c>
      <c r="J5241" s="128"/>
      <c r="K5241" s="128"/>
      <c r="L5241" s="128"/>
      <c r="M5241" s="129"/>
      <c r="N5241" s="129"/>
      <c r="O5241" s="129"/>
    </row>
    <row r="5242" spans="1:15" ht="12.5">
      <c r="A5242" s="158" t="s">
        <v>27839</v>
      </c>
      <c r="B5242" s="159">
        <v>65</v>
      </c>
      <c r="C5242" s="159">
        <v>52</v>
      </c>
      <c r="D5242" s="159">
        <v>34</v>
      </c>
      <c r="E5242" s="159">
        <v>16</v>
      </c>
      <c r="F5242" s="131"/>
      <c r="G5242" s="132"/>
      <c r="H5242" s="162" t="s">
        <v>27840</v>
      </c>
      <c r="I5242" s="158" t="s">
        <v>27841</v>
      </c>
      <c r="J5242" s="128"/>
      <c r="K5242" s="128"/>
      <c r="L5242" s="128"/>
      <c r="M5242" s="129"/>
      <c r="N5242" s="129"/>
      <c r="O5242" s="129"/>
    </row>
    <row r="5243" spans="1:15" ht="12.5">
      <c r="A5243" s="158" t="s">
        <v>27842</v>
      </c>
      <c r="B5243" s="159">
        <v>65</v>
      </c>
      <c r="C5243" s="159">
        <v>52</v>
      </c>
      <c r="D5243" s="159">
        <v>34</v>
      </c>
      <c r="E5243" s="159">
        <v>18</v>
      </c>
      <c r="F5243" s="131"/>
      <c r="G5243" s="132"/>
      <c r="H5243" s="162" t="s">
        <v>27843</v>
      </c>
      <c r="I5243" s="158" t="s">
        <v>27844</v>
      </c>
      <c r="J5243" s="128"/>
      <c r="K5243" s="128"/>
      <c r="L5243" s="128"/>
      <c r="M5243" s="129"/>
      <c r="N5243" s="129"/>
      <c r="O5243" s="129"/>
    </row>
    <row r="5244" spans="1:15" ht="12.5">
      <c r="A5244" s="158" t="s">
        <v>27845</v>
      </c>
      <c r="B5244" s="159">
        <v>65</v>
      </c>
      <c r="C5244" s="159">
        <v>52</v>
      </c>
      <c r="D5244" s="159">
        <v>34</v>
      </c>
      <c r="E5244" s="159">
        <v>22</v>
      </c>
      <c r="F5244" s="131"/>
      <c r="G5244" s="132"/>
      <c r="H5244" s="162" t="s">
        <v>27846</v>
      </c>
      <c r="I5244" s="158" t="s">
        <v>27847</v>
      </c>
      <c r="J5244" s="128"/>
      <c r="K5244" s="128"/>
      <c r="L5244" s="128"/>
      <c r="M5244" s="129"/>
      <c r="N5244" s="129"/>
      <c r="O5244" s="129"/>
    </row>
    <row r="5245" spans="1:15" ht="12.5">
      <c r="A5245" s="158" t="s">
        <v>27848</v>
      </c>
      <c r="B5245" s="159">
        <v>65</v>
      </c>
      <c r="C5245" s="159">
        <v>52</v>
      </c>
      <c r="D5245" s="159">
        <v>34</v>
      </c>
      <c r="E5245" s="159">
        <v>24</v>
      </c>
      <c r="F5245" s="131"/>
      <c r="G5245" s="132"/>
      <c r="H5245" s="162" t="s">
        <v>27849</v>
      </c>
      <c r="I5245" s="158" t="s">
        <v>27850</v>
      </c>
      <c r="J5245" s="128"/>
      <c r="K5245" s="128"/>
      <c r="L5245" s="128"/>
      <c r="M5245" s="129"/>
      <c r="N5245" s="129"/>
      <c r="O5245" s="129"/>
    </row>
    <row r="5246" spans="1:15" ht="12.5">
      <c r="A5246" s="158" t="s">
        <v>27851</v>
      </c>
      <c r="B5246" s="159">
        <v>65</v>
      </c>
      <c r="C5246" s="159">
        <v>52</v>
      </c>
      <c r="D5246" s="159">
        <v>34</v>
      </c>
      <c r="E5246" s="159">
        <v>48</v>
      </c>
      <c r="F5246" s="131"/>
      <c r="G5246" s="132"/>
      <c r="H5246" s="162" t="s">
        <v>27852</v>
      </c>
      <c r="I5246" s="128"/>
      <c r="J5246" s="128"/>
      <c r="K5246" s="128"/>
      <c r="L5246" s="128"/>
      <c r="M5246" s="129"/>
      <c r="N5246" s="129"/>
      <c r="O5246" s="129"/>
    </row>
    <row r="5247" spans="1:15" ht="12.5">
      <c r="A5247" s="158" t="s">
        <v>27853</v>
      </c>
      <c r="B5247" s="159">
        <v>65</v>
      </c>
      <c r="C5247" s="159">
        <v>52</v>
      </c>
      <c r="D5247" s="159">
        <v>34</v>
      </c>
      <c r="E5247" s="159">
        <v>50</v>
      </c>
      <c r="F5247" s="131"/>
      <c r="G5247" s="132"/>
      <c r="H5247" s="162" t="s">
        <v>27854</v>
      </c>
      <c r="I5247" s="158" t="s">
        <v>27847</v>
      </c>
      <c r="J5247" s="128"/>
      <c r="K5247" s="128"/>
      <c r="L5247" s="128"/>
      <c r="M5247" s="129"/>
      <c r="N5247" s="129"/>
      <c r="O5247" s="129"/>
    </row>
    <row r="5248" spans="1:15" ht="12.5">
      <c r="A5248" s="158" t="s">
        <v>27855</v>
      </c>
      <c r="B5248" s="159">
        <v>65</v>
      </c>
      <c r="C5248" s="159">
        <v>52</v>
      </c>
      <c r="D5248" s="159">
        <v>34</v>
      </c>
      <c r="E5248" s="159">
        <v>55</v>
      </c>
      <c r="F5248" s="131"/>
      <c r="G5248" s="132"/>
      <c r="H5248" s="162" t="s">
        <v>27856</v>
      </c>
      <c r="I5248" s="158" t="s">
        <v>27857</v>
      </c>
      <c r="J5248" s="128"/>
      <c r="K5248" s="128"/>
      <c r="L5248" s="128"/>
      <c r="M5248" s="129"/>
      <c r="N5248" s="129"/>
      <c r="O5248" s="129"/>
    </row>
    <row r="5249" spans="1:15" ht="12.5">
      <c r="A5249" s="158" t="s">
        <v>27858</v>
      </c>
      <c r="B5249" s="159">
        <v>65</v>
      </c>
      <c r="C5249" s="159">
        <v>52</v>
      </c>
      <c r="D5249" s="159">
        <v>34</v>
      </c>
      <c r="E5249" s="159">
        <v>65</v>
      </c>
      <c r="F5249" s="131"/>
      <c r="G5249" s="132"/>
      <c r="H5249" s="162" t="s">
        <v>27859</v>
      </c>
      <c r="I5249" s="158" t="s">
        <v>27860</v>
      </c>
      <c r="J5249" s="128"/>
      <c r="K5249" s="128"/>
      <c r="L5249" s="128"/>
      <c r="M5249" s="129"/>
      <c r="N5249" s="129"/>
      <c r="O5249" s="129"/>
    </row>
    <row r="5250" spans="1:15" ht="12.5">
      <c r="A5250" s="158" t="s">
        <v>27861</v>
      </c>
      <c r="B5250" s="159">
        <v>65</v>
      </c>
      <c r="C5250" s="159">
        <v>52</v>
      </c>
      <c r="D5250" s="159">
        <v>34</v>
      </c>
      <c r="E5250" s="159">
        <v>66</v>
      </c>
      <c r="F5250" s="131"/>
      <c r="G5250" s="132"/>
      <c r="H5250" s="162" t="s">
        <v>27862</v>
      </c>
      <c r="I5250" s="158" t="s">
        <v>27863</v>
      </c>
      <c r="J5250" s="128"/>
      <c r="K5250" s="128"/>
      <c r="L5250" s="128"/>
      <c r="M5250" s="129"/>
      <c r="N5250" s="129"/>
      <c r="O5250" s="129"/>
    </row>
    <row r="5251" spans="1:15" ht="12.5">
      <c r="A5251" s="158" t="s">
        <v>27864</v>
      </c>
      <c r="B5251" s="159">
        <v>65</v>
      </c>
      <c r="C5251" s="159">
        <v>52</v>
      </c>
      <c r="D5251" s="159">
        <v>34</v>
      </c>
      <c r="E5251" s="159">
        <v>77</v>
      </c>
      <c r="F5251" s="131"/>
      <c r="G5251" s="132"/>
      <c r="H5251" s="162" t="s">
        <v>27865</v>
      </c>
      <c r="I5251" s="158" t="s">
        <v>27866</v>
      </c>
      <c r="J5251" s="128"/>
      <c r="K5251" s="128"/>
      <c r="L5251" s="128"/>
      <c r="M5251" s="129"/>
      <c r="N5251" s="129"/>
      <c r="O5251" s="129"/>
    </row>
    <row r="5252" spans="1:15" ht="12.5">
      <c r="A5252" s="158" t="s">
        <v>27867</v>
      </c>
      <c r="B5252" s="159">
        <v>65</v>
      </c>
      <c r="C5252" s="159">
        <v>52</v>
      </c>
      <c r="D5252" s="159">
        <v>34</v>
      </c>
      <c r="E5252" s="159">
        <v>88</v>
      </c>
      <c r="F5252" s="131"/>
      <c r="G5252" s="132"/>
      <c r="H5252" s="162" t="s">
        <v>27868</v>
      </c>
      <c r="I5252" s="158" t="s">
        <v>27869</v>
      </c>
      <c r="J5252" s="128"/>
      <c r="K5252" s="128"/>
      <c r="L5252" s="128"/>
      <c r="M5252" s="129"/>
      <c r="N5252" s="129"/>
      <c r="O5252" s="129"/>
    </row>
    <row r="5253" spans="1:15" ht="12.5">
      <c r="A5253" s="158" t="s">
        <v>27870</v>
      </c>
      <c r="B5253" s="159">
        <v>65</v>
      </c>
      <c r="C5253" s="159">
        <v>52</v>
      </c>
      <c r="D5253" s="159">
        <v>38</v>
      </c>
      <c r="E5253" s="130"/>
      <c r="F5253" s="131"/>
      <c r="G5253" s="132"/>
      <c r="H5253" s="162" t="s">
        <v>27871</v>
      </c>
      <c r="I5253" s="128"/>
      <c r="J5253" s="128"/>
      <c r="K5253" s="128"/>
      <c r="L5253" s="128"/>
      <c r="M5253" s="129"/>
      <c r="N5253" s="129"/>
      <c r="O5253" s="129"/>
    </row>
    <row r="5254" spans="1:15" ht="12.5">
      <c r="A5254" s="158" t="s">
        <v>27872</v>
      </c>
      <c r="B5254" s="159">
        <v>65</v>
      </c>
      <c r="C5254" s="159">
        <v>52</v>
      </c>
      <c r="D5254" s="159">
        <v>38</v>
      </c>
      <c r="E5254" s="159">
        <v>14</v>
      </c>
      <c r="F5254" s="131"/>
      <c r="G5254" s="132"/>
      <c r="H5254" s="162" t="s">
        <v>27873</v>
      </c>
      <c r="I5254" s="158" t="s">
        <v>27874</v>
      </c>
      <c r="J5254" s="128"/>
      <c r="K5254" s="128"/>
      <c r="L5254" s="128"/>
      <c r="M5254" s="129"/>
      <c r="N5254" s="129"/>
      <c r="O5254" s="129"/>
    </row>
    <row r="5255" spans="1:15" ht="12.5">
      <c r="A5255" s="158" t="s">
        <v>27875</v>
      </c>
      <c r="B5255" s="159">
        <v>65</v>
      </c>
      <c r="C5255" s="159">
        <v>52</v>
      </c>
      <c r="D5255" s="159">
        <v>38</v>
      </c>
      <c r="E5255" s="159">
        <v>15</v>
      </c>
      <c r="F5255" s="131"/>
      <c r="G5255" s="132"/>
      <c r="H5255" s="162" t="s">
        <v>27876</v>
      </c>
      <c r="I5255" s="158" t="s">
        <v>27877</v>
      </c>
      <c r="J5255" s="128"/>
      <c r="K5255" s="128"/>
      <c r="L5255" s="128"/>
      <c r="M5255" s="129"/>
      <c r="N5255" s="129"/>
      <c r="O5255" s="129"/>
    </row>
    <row r="5256" spans="1:15" ht="12.5">
      <c r="A5256" s="158" t="s">
        <v>27878</v>
      </c>
      <c r="B5256" s="159">
        <v>65</v>
      </c>
      <c r="C5256" s="159">
        <v>52</v>
      </c>
      <c r="D5256" s="159">
        <v>38</v>
      </c>
      <c r="E5256" s="159">
        <v>16</v>
      </c>
      <c r="F5256" s="131"/>
      <c r="G5256" s="132"/>
      <c r="H5256" s="162" t="s">
        <v>27879</v>
      </c>
      <c r="I5256" s="158" t="s">
        <v>27880</v>
      </c>
      <c r="J5256" s="128"/>
      <c r="K5256" s="128"/>
      <c r="L5256" s="128"/>
      <c r="M5256" s="129"/>
      <c r="N5256" s="129"/>
      <c r="O5256" s="129"/>
    </row>
    <row r="5257" spans="1:15" ht="12.5">
      <c r="A5257" s="158" t="s">
        <v>27881</v>
      </c>
      <c r="B5257" s="159">
        <v>65</v>
      </c>
      <c r="C5257" s="159">
        <v>52</v>
      </c>
      <c r="D5257" s="159">
        <v>38</v>
      </c>
      <c r="E5257" s="159">
        <v>18</v>
      </c>
      <c r="F5257" s="131"/>
      <c r="G5257" s="132"/>
      <c r="H5257" s="162" t="s">
        <v>27882</v>
      </c>
      <c r="I5257" s="158" t="s">
        <v>27883</v>
      </c>
      <c r="J5257" s="128"/>
      <c r="K5257" s="128"/>
      <c r="L5257" s="128"/>
      <c r="M5257" s="129"/>
      <c r="N5257" s="129"/>
      <c r="O5257" s="129"/>
    </row>
    <row r="5258" spans="1:15" ht="12.5">
      <c r="A5258" s="158" t="s">
        <v>27884</v>
      </c>
      <c r="B5258" s="159">
        <v>65</v>
      </c>
      <c r="C5258" s="159">
        <v>52</v>
      </c>
      <c r="D5258" s="159">
        <v>38</v>
      </c>
      <c r="E5258" s="159">
        <v>20</v>
      </c>
      <c r="F5258" s="131"/>
      <c r="G5258" s="132"/>
      <c r="H5258" s="162" t="s">
        <v>27885</v>
      </c>
      <c r="I5258" s="158" t="s">
        <v>27886</v>
      </c>
      <c r="J5258" s="128"/>
      <c r="K5258" s="128"/>
      <c r="L5258" s="128"/>
      <c r="M5258" s="129"/>
      <c r="N5258" s="129"/>
      <c r="O5258" s="129"/>
    </row>
    <row r="5259" spans="1:15" ht="12.5">
      <c r="A5259" s="158" t="s">
        <v>27887</v>
      </c>
      <c r="B5259" s="159">
        <v>65</v>
      </c>
      <c r="C5259" s="159">
        <v>52</v>
      </c>
      <c r="D5259" s="159">
        <v>38</v>
      </c>
      <c r="E5259" s="159">
        <v>30</v>
      </c>
      <c r="F5259" s="131"/>
      <c r="G5259" s="132"/>
      <c r="H5259" s="162" t="s">
        <v>27888</v>
      </c>
      <c r="I5259" s="158" t="s">
        <v>27889</v>
      </c>
      <c r="J5259" s="128"/>
      <c r="K5259" s="128"/>
      <c r="L5259" s="128"/>
      <c r="M5259" s="129"/>
      <c r="N5259" s="129"/>
      <c r="O5259" s="129"/>
    </row>
    <row r="5260" spans="1:15" ht="12.5">
      <c r="A5260" s="158" t="s">
        <v>27890</v>
      </c>
      <c r="B5260" s="159">
        <v>65</v>
      </c>
      <c r="C5260" s="159">
        <v>52</v>
      </c>
      <c r="D5260" s="159">
        <v>38</v>
      </c>
      <c r="E5260" s="159">
        <v>31</v>
      </c>
      <c r="F5260" s="131"/>
      <c r="G5260" s="132"/>
      <c r="H5260" s="162" t="s">
        <v>27891</v>
      </c>
      <c r="I5260" s="158" t="s">
        <v>27892</v>
      </c>
      <c r="J5260" s="128"/>
      <c r="K5260" s="128"/>
      <c r="L5260" s="128"/>
      <c r="M5260" s="129"/>
      <c r="N5260" s="129"/>
      <c r="O5260" s="129"/>
    </row>
    <row r="5261" spans="1:15" ht="12.5">
      <c r="A5261" s="158" t="s">
        <v>27893</v>
      </c>
      <c r="B5261" s="159">
        <v>65</v>
      </c>
      <c r="C5261" s="159">
        <v>52</v>
      </c>
      <c r="D5261" s="159">
        <v>38</v>
      </c>
      <c r="E5261" s="159">
        <v>32</v>
      </c>
      <c r="F5261" s="131"/>
      <c r="G5261" s="132"/>
      <c r="H5261" s="162" t="s">
        <v>27894</v>
      </c>
      <c r="I5261" s="158" t="s">
        <v>27895</v>
      </c>
      <c r="J5261" s="128"/>
      <c r="K5261" s="128"/>
      <c r="L5261" s="128"/>
      <c r="M5261" s="129"/>
      <c r="N5261" s="129"/>
      <c r="O5261" s="129"/>
    </row>
    <row r="5262" spans="1:15" ht="12.5">
      <c r="A5262" s="158" t="s">
        <v>27896</v>
      </c>
      <c r="B5262" s="159">
        <v>65</v>
      </c>
      <c r="C5262" s="159">
        <v>52</v>
      </c>
      <c r="D5262" s="159">
        <v>38</v>
      </c>
      <c r="E5262" s="159">
        <v>33</v>
      </c>
      <c r="F5262" s="131"/>
      <c r="G5262" s="132"/>
      <c r="H5262" s="162" t="s">
        <v>27897</v>
      </c>
      <c r="I5262" s="158" t="s">
        <v>27898</v>
      </c>
      <c r="J5262" s="128"/>
      <c r="K5262" s="128"/>
      <c r="L5262" s="128"/>
      <c r="M5262" s="129"/>
      <c r="N5262" s="129"/>
      <c r="O5262" s="129"/>
    </row>
    <row r="5263" spans="1:15" ht="12.5">
      <c r="A5263" s="158" t="s">
        <v>27899</v>
      </c>
      <c r="B5263" s="159">
        <v>65</v>
      </c>
      <c r="C5263" s="159">
        <v>52</v>
      </c>
      <c r="D5263" s="159">
        <v>38</v>
      </c>
      <c r="E5263" s="159">
        <v>42</v>
      </c>
      <c r="F5263" s="131"/>
      <c r="G5263" s="132"/>
      <c r="H5263" s="162" t="s">
        <v>27900</v>
      </c>
      <c r="I5263" s="158" t="s">
        <v>27901</v>
      </c>
      <c r="J5263" s="128"/>
      <c r="K5263" s="128"/>
      <c r="L5263" s="128"/>
      <c r="M5263" s="129"/>
      <c r="N5263" s="129"/>
      <c r="O5263" s="129"/>
    </row>
    <row r="5264" spans="1:15" ht="12.5">
      <c r="A5264" s="158" t="s">
        <v>27902</v>
      </c>
      <c r="B5264" s="159">
        <v>65</v>
      </c>
      <c r="C5264" s="159">
        <v>52</v>
      </c>
      <c r="D5264" s="159">
        <v>38</v>
      </c>
      <c r="E5264" s="159">
        <v>48</v>
      </c>
      <c r="F5264" s="131"/>
      <c r="G5264" s="132"/>
      <c r="H5264" s="162" t="s">
        <v>27903</v>
      </c>
      <c r="I5264" s="158" t="s">
        <v>27904</v>
      </c>
      <c r="J5264" s="128"/>
      <c r="K5264" s="128"/>
      <c r="L5264" s="128"/>
      <c r="M5264" s="129"/>
      <c r="N5264" s="129"/>
      <c r="O5264" s="129"/>
    </row>
    <row r="5265" spans="1:15" ht="12.5">
      <c r="A5265" s="158" t="s">
        <v>27905</v>
      </c>
      <c r="B5265" s="159">
        <v>65</v>
      </c>
      <c r="C5265" s="159">
        <v>52</v>
      </c>
      <c r="D5265" s="159">
        <v>38</v>
      </c>
      <c r="E5265" s="159">
        <v>69</v>
      </c>
      <c r="F5265" s="131"/>
      <c r="G5265" s="132"/>
      <c r="H5265" s="162" t="s">
        <v>27906</v>
      </c>
      <c r="I5265" s="128"/>
      <c r="J5265" s="128"/>
      <c r="K5265" s="128"/>
      <c r="L5265" s="128"/>
      <c r="M5265" s="129"/>
      <c r="N5265" s="129"/>
      <c r="O5265" s="129"/>
    </row>
    <row r="5266" spans="1:15" ht="12.5">
      <c r="A5266" s="158" t="s">
        <v>27909</v>
      </c>
      <c r="B5266" s="159">
        <v>65</v>
      </c>
      <c r="C5266" s="159">
        <v>52</v>
      </c>
      <c r="D5266" s="159">
        <v>38</v>
      </c>
      <c r="E5266" s="159">
        <v>84</v>
      </c>
      <c r="F5266" s="131"/>
      <c r="G5266" s="132"/>
      <c r="H5266" s="162" t="s">
        <v>27910</v>
      </c>
      <c r="I5266" s="158" t="s">
        <v>27911</v>
      </c>
      <c r="J5266" s="128"/>
      <c r="K5266" s="128"/>
      <c r="L5266" s="128"/>
      <c r="M5266" s="129"/>
      <c r="N5266" s="129"/>
      <c r="O5266" s="129"/>
    </row>
    <row r="5267" spans="1:15" ht="12.5">
      <c r="A5267" s="158" t="s">
        <v>27912</v>
      </c>
      <c r="B5267" s="159">
        <v>65</v>
      </c>
      <c r="C5267" s="159">
        <v>52</v>
      </c>
      <c r="D5267" s="159">
        <v>38</v>
      </c>
      <c r="E5267" s="159">
        <v>85</v>
      </c>
      <c r="F5267" s="131"/>
      <c r="G5267" s="132"/>
      <c r="H5267" s="162" t="s">
        <v>27913</v>
      </c>
      <c r="I5267" s="128"/>
      <c r="J5267" s="128"/>
      <c r="K5267" s="128"/>
      <c r="L5267" s="128"/>
      <c r="M5267" s="129"/>
      <c r="N5267" s="129"/>
      <c r="O5267" s="129"/>
    </row>
    <row r="5268" spans="1:15" ht="12.5">
      <c r="A5268" s="158" t="s">
        <v>27914</v>
      </c>
      <c r="B5268" s="159">
        <v>65</v>
      </c>
      <c r="C5268" s="159">
        <v>52</v>
      </c>
      <c r="D5268" s="159">
        <v>38</v>
      </c>
      <c r="E5268" s="159">
        <v>86</v>
      </c>
      <c r="F5268" s="131"/>
      <c r="G5268" s="132"/>
      <c r="H5268" s="162" t="s">
        <v>27915</v>
      </c>
      <c r="I5268" s="158" t="s">
        <v>27916</v>
      </c>
      <c r="J5268" s="128"/>
      <c r="K5268" s="128"/>
      <c r="L5268" s="128"/>
      <c r="M5268" s="129"/>
      <c r="N5268" s="129"/>
      <c r="O5268" s="129"/>
    </row>
    <row r="5269" spans="1:15" ht="12.5">
      <c r="A5269" s="158" t="s">
        <v>27917</v>
      </c>
      <c r="B5269" s="159">
        <v>65</v>
      </c>
      <c r="C5269" s="159">
        <v>52</v>
      </c>
      <c r="D5269" s="159">
        <v>38</v>
      </c>
      <c r="E5269" s="159">
        <v>94</v>
      </c>
      <c r="F5269" s="131"/>
      <c r="G5269" s="132"/>
      <c r="H5269" s="162" t="s">
        <v>27918</v>
      </c>
      <c r="I5269" s="158" t="s">
        <v>27919</v>
      </c>
      <c r="J5269" s="128"/>
      <c r="K5269" s="128"/>
      <c r="L5269" s="128"/>
      <c r="M5269" s="129"/>
      <c r="N5269" s="129"/>
      <c r="O5269" s="129"/>
    </row>
    <row r="5270" spans="1:15" ht="12.5">
      <c r="A5270" s="158" t="s">
        <v>27920</v>
      </c>
      <c r="B5270" s="159">
        <v>65</v>
      </c>
      <c r="C5270" s="159">
        <v>52</v>
      </c>
      <c r="D5270" s="159">
        <v>38</v>
      </c>
      <c r="E5270" s="159">
        <v>95</v>
      </c>
      <c r="F5270" s="131"/>
      <c r="G5270" s="132"/>
      <c r="H5270" s="162" t="s">
        <v>27921</v>
      </c>
      <c r="I5270" s="128"/>
      <c r="J5270" s="128"/>
      <c r="K5270" s="128"/>
      <c r="L5270" s="128"/>
      <c r="M5270" s="129"/>
      <c r="N5270" s="129"/>
      <c r="O5270" s="129"/>
    </row>
    <row r="5271" spans="1:15" ht="12.5">
      <c r="A5271" s="158" t="s">
        <v>27922</v>
      </c>
      <c r="B5271" s="159">
        <v>65</v>
      </c>
      <c r="C5271" s="159">
        <v>52</v>
      </c>
      <c r="D5271" s="159">
        <v>38</v>
      </c>
      <c r="E5271" s="159">
        <v>96</v>
      </c>
      <c r="F5271" s="131"/>
      <c r="G5271" s="132"/>
      <c r="H5271" s="162" t="s">
        <v>27923</v>
      </c>
      <c r="I5271" s="128"/>
      <c r="J5271" s="128"/>
      <c r="K5271" s="128"/>
      <c r="L5271" s="128"/>
      <c r="M5271" s="129"/>
      <c r="N5271" s="129"/>
      <c r="O5271" s="129"/>
    </row>
    <row r="5272" spans="1:15" ht="12.5">
      <c r="A5272" s="158" t="s">
        <v>27924</v>
      </c>
      <c r="B5272" s="159">
        <v>65</v>
      </c>
      <c r="C5272" s="159">
        <v>52</v>
      </c>
      <c r="D5272" s="159">
        <v>38</v>
      </c>
      <c r="E5272" s="159">
        <v>97</v>
      </c>
      <c r="F5272" s="131"/>
      <c r="G5272" s="132"/>
      <c r="H5272" s="162" t="s">
        <v>27925</v>
      </c>
      <c r="I5272" s="158" t="s">
        <v>27926</v>
      </c>
      <c r="J5272" s="128"/>
      <c r="K5272" s="128"/>
      <c r="L5272" s="128"/>
      <c r="M5272" s="129"/>
      <c r="N5272" s="129"/>
      <c r="O5272" s="129"/>
    </row>
    <row r="5273" spans="1:15" ht="12.5">
      <c r="A5273" s="158" t="s">
        <v>27927</v>
      </c>
      <c r="B5273" s="159">
        <v>65</v>
      </c>
      <c r="C5273" s="159">
        <v>52</v>
      </c>
      <c r="D5273" s="159">
        <v>38</v>
      </c>
      <c r="E5273" s="159">
        <v>98</v>
      </c>
      <c r="F5273" s="131"/>
      <c r="G5273" s="132"/>
      <c r="H5273" s="162" t="s">
        <v>27928</v>
      </c>
      <c r="I5273" s="158" t="s">
        <v>27929</v>
      </c>
      <c r="J5273" s="128"/>
      <c r="K5273" s="128"/>
      <c r="L5273" s="128"/>
      <c r="M5273" s="129"/>
      <c r="N5273" s="129"/>
      <c r="O5273" s="129"/>
    </row>
    <row r="5274" spans="1:15" ht="12.5">
      <c r="A5274" s="158" t="s">
        <v>27930</v>
      </c>
      <c r="B5274" s="159">
        <v>65</v>
      </c>
      <c r="C5274" s="159">
        <v>52</v>
      </c>
      <c r="D5274" s="159">
        <v>61</v>
      </c>
      <c r="E5274" s="130"/>
      <c r="F5274" s="131"/>
      <c r="G5274" s="132"/>
      <c r="H5274" s="162" t="s">
        <v>27931</v>
      </c>
      <c r="I5274" s="128"/>
      <c r="J5274" s="128"/>
      <c r="K5274" s="128"/>
      <c r="L5274" s="128"/>
      <c r="M5274" s="129"/>
      <c r="N5274" s="129"/>
      <c r="O5274" s="129"/>
    </row>
    <row r="5275" spans="1:15" ht="12.5">
      <c r="A5275" s="158" t="s">
        <v>27932</v>
      </c>
      <c r="B5275" s="159">
        <v>65</v>
      </c>
      <c r="C5275" s="159">
        <v>52</v>
      </c>
      <c r="D5275" s="159">
        <v>61</v>
      </c>
      <c r="E5275" s="159">
        <v>4</v>
      </c>
      <c r="F5275" s="131"/>
      <c r="G5275" s="132"/>
      <c r="H5275" s="162" t="s">
        <v>27933</v>
      </c>
      <c r="I5275" s="158" t="s">
        <v>27934</v>
      </c>
      <c r="J5275" s="128"/>
      <c r="K5275" s="128"/>
      <c r="L5275" s="128"/>
      <c r="M5275" s="129"/>
      <c r="N5275" s="129"/>
      <c r="O5275" s="129"/>
    </row>
    <row r="5276" spans="1:15" ht="12.5">
      <c r="A5276" s="158" t="s">
        <v>27935</v>
      </c>
      <c r="B5276" s="159">
        <v>65</v>
      </c>
      <c r="C5276" s="159">
        <v>52</v>
      </c>
      <c r="D5276" s="159">
        <v>61</v>
      </c>
      <c r="E5276" s="159">
        <v>15</v>
      </c>
      <c r="F5276" s="131"/>
      <c r="G5276" s="132"/>
      <c r="H5276" s="162" t="s">
        <v>27936</v>
      </c>
      <c r="I5276" s="158" t="s">
        <v>27937</v>
      </c>
      <c r="J5276" s="128"/>
      <c r="K5276" s="128"/>
      <c r="L5276" s="128"/>
      <c r="M5276" s="129"/>
      <c r="N5276" s="129"/>
      <c r="O5276" s="129"/>
    </row>
    <row r="5277" spans="1:15" ht="12.5">
      <c r="A5277" s="158" t="s">
        <v>27938</v>
      </c>
      <c r="B5277" s="159">
        <v>65</v>
      </c>
      <c r="C5277" s="159">
        <v>52</v>
      </c>
      <c r="D5277" s="159">
        <v>61</v>
      </c>
      <c r="E5277" s="159">
        <v>22</v>
      </c>
      <c r="F5277" s="131"/>
      <c r="G5277" s="132"/>
      <c r="H5277" s="162" t="s">
        <v>27939</v>
      </c>
      <c r="I5277" s="128"/>
      <c r="J5277" s="128"/>
      <c r="K5277" s="128"/>
      <c r="L5277" s="128"/>
      <c r="M5277" s="129"/>
      <c r="N5277" s="129"/>
      <c r="O5277" s="129"/>
    </row>
    <row r="5278" spans="1:15" ht="12.5">
      <c r="A5278" s="158" t="s">
        <v>27940</v>
      </c>
      <c r="B5278" s="159">
        <v>65</v>
      </c>
      <c r="C5278" s="159">
        <v>52</v>
      </c>
      <c r="D5278" s="159">
        <v>61</v>
      </c>
      <c r="E5278" s="159">
        <v>23</v>
      </c>
      <c r="F5278" s="131"/>
      <c r="G5278" s="132"/>
      <c r="H5278" s="162" t="s">
        <v>27941</v>
      </c>
      <c r="I5278" s="158" t="s">
        <v>27942</v>
      </c>
      <c r="J5278" s="128"/>
      <c r="K5278" s="128"/>
      <c r="L5278" s="128"/>
      <c r="M5278" s="129"/>
      <c r="N5278" s="129"/>
      <c r="O5278" s="129"/>
    </row>
    <row r="5279" spans="1:15" ht="12.5">
      <c r="A5279" s="158" t="s">
        <v>33527</v>
      </c>
      <c r="B5279" s="159">
        <v>65</v>
      </c>
      <c r="C5279" s="159">
        <v>52</v>
      </c>
      <c r="D5279" s="159">
        <v>61</v>
      </c>
      <c r="E5279" s="159">
        <v>28</v>
      </c>
      <c r="F5279" s="131"/>
      <c r="G5279" s="132"/>
      <c r="H5279" s="162" t="s">
        <v>33528</v>
      </c>
      <c r="I5279" s="158" t="s">
        <v>33529</v>
      </c>
      <c r="J5279" s="128"/>
      <c r="K5279" s="128"/>
      <c r="L5279" s="128"/>
      <c r="M5279" s="129"/>
      <c r="N5279" s="129"/>
      <c r="O5279" s="129"/>
    </row>
    <row r="5280" spans="1:15" ht="12.5">
      <c r="A5280" s="158" t="s">
        <v>33530</v>
      </c>
      <c r="B5280" s="159">
        <v>65</v>
      </c>
      <c r="C5280" s="159">
        <v>52</v>
      </c>
      <c r="D5280" s="159">
        <v>61</v>
      </c>
      <c r="E5280" s="159">
        <v>29</v>
      </c>
      <c r="F5280" s="131"/>
      <c r="G5280" s="132"/>
      <c r="H5280" s="162" t="s">
        <v>33531</v>
      </c>
      <c r="I5280" s="158" t="s">
        <v>33532</v>
      </c>
      <c r="J5280" s="128"/>
      <c r="K5280" s="128"/>
      <c r="L5280" s="128"/>
      <c r="M5280" s="129"/>
      <c r="N5280" s="129"/>
      <c r="O5280" s="129"/>
    </row>
    <row r="5281" spans="1:15" ht="12.5">
      <c r="A5281" s="158" t="s">
        <v>27943</v>
      </c>
      <c r="B5281" s="159">
        <v>65</v>
      </c>
      <c r="C5281" s="159">
        <v>52</v>
      </c>
      <c r="D5281" s="159">
        <v>61</v>
      </c>
      <c r="E5281" s="159">
        <v>42</v>
      </c>
      <c r="F5281" s="131"/>
      <c r="G5281" s="132"/>
      <c r="H5281" s="162" t="s">
        <v>27944</v>
      </c>
      <c r="I5281" s="128"/>
      <c r="J5281" s="128"/>
      <c r="K5281" s="128"/>
      <c r="L5281" s="128"/>
      <c r="M5281" s="129"/>
      <c r="N5281" s="129"/>
      <c r="O5281" s="129"/>
    </row>
    <row r="5282" spans="1:15" ht="12.5">
      <c r="A5282" s="158" t="s">
        <v>27945</v>
      </c>
      <c r="B5282" s="159">
        <v>65</v>
      </c>
      <c r="C5282" s="159">
        <v>52</v>
      </c>
      <c r="D5282" s="159">
        <v>61</v>
      </c>
      <c r="E5282" s="159">
        <v>50</v>
      </c>
      <c r="F5282" s="131"/>
      <c r="G5282" s="132"/>
      <c r="H5282" s="162" t="s">
        <v>27946</v>
      </c>
      <c r="I5282" s="158" t="s">
        <v>27947</v>
      </c>
      <c r="J5282" s="128"/>
      <c r="K5282" s="128"/>
      <c r="L5282" s="128"/>
      <c r="M5282" s="129"/>
      <c r="N5282" s="129"/>
      <c r="O5282" s="129"/>
    </row>
    <row r="5283" spans="1:15" ht="12.5">
      <c r="A5283" s="158" t="s">
        <v>27948</v>
      </c>
      <c r="B5283" s="159">
        <v>65</v>
      </c>
      <c r="C5283" s="159">
        <v>52</v>
      </c>
      <c r="D5283" s="159">
        <v>61</v>
      </c>
      <c r="E5283" s="159">
        <v>61</v>
      </c>
      <c r="F5283" s="131"/>
      <c r="G5283" s="132"/>
      <c r="H5283" s="162" t="s">
        <v>27949</v>
      </c>
      <c r="I5283" s="158" t="s">
        <v>27950</v>
      </c>
      <c r="J5283" s="128"/>
      <c r="K5283" s="128"/>
      <c r="L5283" s="128"/>
      <c r="M5283" s="129"/>
      <c r="N5283" s="129"/>
      <c r="O5283" s="129"/>
    </row>
    <row r="5284" spans="1:15" ht="12.5">
      <c r="A5284" s="158" t="s">
        <v>27951</v>
      </c>
      <c r="B5284" s="159">
        <v>65</v>
      </c>
      <c r="C5284" s="159">
        <v>52</v>
      </c>
      <c r="D5284" s="159">
        <v>61</v>
      </c>
      <c r="E5284" s="159">
        <v>62</v>
      </c>
      <c r="F5284" s="131"/>
      <c r="G5284" s="132"/>
      <c r="H5284" s="162" t="s">
        <v>27952</v>
      </c>
      <c r="I5284" s="158" t="s">
        <v>27953</v>
      </c>
      <c r="J5284" s="128"/>
      <c r="K5284" s="128"/>
      <c r="L5284" s="128"/>
      <c r="M5284" s="129"/>
      <c r="N5284" s="129"/>
      <c r="O5284" s="129"/>
    </row>
    <row r="5285" spans="1:15" ht="12.5">
      <c r="A5285" s="158" t="s">
        <v>27954</v>
      </c>
      <c r="B5285" s="159">
        <v>65</v>
      </c>
      <c r="C5285" s="159">
        <v>52</v>
      </c>
      <c r="D5285" s="159">
        <v>61</v>
      </c>
      <c r="E5285" s="159">
        <v>63</v>
      </c>
      <c r="F5285" s="131"/>
      <c r="G5285" s="132"/>
      <c r="H5285" s="162" t="s">
        <v>27955</v>
      </c>
      <c r="I5285" s="158" t="s">
        <v>27956</v>
      </c>
      <c r="J5285" s="128"/>
      <c r="K5285" s="128"/>
      <c r="L5285" s="128"/>
      <c r="M5285" s="129"/>
      <c r="N5285" s="129"/>
      <c r="O5285" s="129"/>
    </row>
    <row r="5286" spans="1:15" ht="12.5">
      <c r="A5286" s="158" t="s">
        <v>27957</v>
      </c>
      <c r="B5286" s="159">
        <v>65</v>
      </c>
      <c r="C5286" s="159">
        <v>52</v>
      </c>
      <c r="D5286" s="159">
        <v>61</v>
      </c>
      <c r="E5286" s="159">
        <v>64</v>
      </c>
      <c r="F5286" s="131"/>
      <c r="G5286" s="132"/>
      <c r="H5286" s="162" t="s">
        <v>27958</v>
      </c>
      <c r="I5286" s="158" t="s">
        <v>27959</v>
      </c>
      <c r="J5286" s="128"/>
      <c r="K5286" s="128"/>
      <c r="L5286" s="128"/>
      <c r="M5286" s="129"/>
      <c r="N5286" s="129"/>
      <c r="O5286" s="129"/>
    </row>
    <row r="5287" spans="1:15" ht="12.5">
      <c r="A5287" s="158" t="s">
        <v>27960</v>
      </c>
      <c r="B5287" s="159">
        <v>65</v>
      </c>
      <c r="C5287" s="159">
        <v>52</v>
      </c>
      <c r="D5287" s="159">
        <v>61</v>
      </c>
      <c r="E5287" s="159">
        <v>65</v>
      </c>
      <c r="F5287" s="131"/>
      <c r="G5287" s="132"/>
      <c r="H5287" s="162" t="s">
        <v>27961</v>
      </c>
      <c r="I5287" s="158" t="s">
        <v>27962</v>
      </c>
      <c r="J5287" s="128"/>
      <c r="K5287" s="128"/>
      <c r="L5287" s="128"/>
      <c r="M5287" s="129"/>
      <c r="N5287" s="129"/>
      <c r="O5287" s="129"/>
    </row>
    <row r="5288" spans="1:15" ht="12.5">
      <c r="A5288" s="158" t="s">
        <v>27963</v>
      </c>
      <c r="B5288" s="159">
        <v>65</v>
      </c>
      <c r="C5288" s="159">
        <v>52</v>
      </c>
      <c r="D5288" s="159">
        <v>61</v>
      </c>
      <c r="E5288" s="159">
        <v>68</v>
      </c>
      <c r="F5288" s="131"/>
      <c r="G5288" s="132"/>
      <c r="H5288" s="162" t="s">
        <v>27964</v>
      </c>
      <c r="I5288" s="158" t="s">
        <v>27965</v>
      </c>
      <c r="J5288" s="128"/>
      <c r="K5288" s="128"/>
      <c r="L5288" s="128"/>
      <c r="M5288" s="129"/>
      <c r="N5288" s="129"/>
      <c r="O5288" s="129"/>
    </row>
    <row r="5289" spans="1:15" ht="12.5">
      <c r="A5289" s="158" t="s">
        <v>27966</v>
      </c>
      <c r="B5289" s="159">
        <v>65</v>
      </c>
      <c r="C5289" s="159">
        <v>52</v>
      </c>
      <c r="D5289" s="159">
        <v>61</v>
      </c>
      <c r="E5289" s="159">
        <v>72</v>
      </c>
      <c r="F5289" s="131"/>
      <c r="G5289" s="132"/>
      <c r="H5289" s="162" t="s">
        <v>27967</v>
      </c>
      <c r="I5289" s="158" t="s">
        <v>27968</v>
      </c>
      <c r="J5289" s="128"/>
      <c r="K5289" s="128"/>
      <c r="L5289" s="128"/>
      <c r="M5289" s="129"/>
      <c r="N5289" s="129"/>
      <c r="O5289" s="129"/>
    </row>
    <row r="5290" spans="1:15" ht="12.5">
      <c r="A5290" s="158" t="s">
        <v>27969</v>
      </c>
      <c r="B5290" s="159">
        <v>65</v>
      </c>
      <c r="C5290" s="159">
        <v>52</v>
      </c>
      <c r="D5290" s="159">
        <v>61</v>
      </c>
      <c r="E5290" s="159">
        <v>86</v>
      </c>
      <c r="F5290" s="131"/>
      <c r="G5290" s="132"/>
      <c r="H5290" s="162" t="s">
        <v>27970</v>
      </c>
      <c r="I5290" s="158" t="s">
        <v>27937</v>
      </c>
      <c r="J5290" s="128"/>
      <c r="K5290" s="128"/>
      <c r="L5290" s="128"/>
      <c r="M5290" s="129"/>
      <c r="N5290" s="129"/>
      <c r="O5290" s="129"/>
    </row>
    <row r="5291" spans="1:15" ht="12.5">
      <c r="A5291" s="158" t="s">
        <v>27971</v>
      </c>
      <c r="B5291" s="159">
        <v>65</v>
      </c>
      <c r="C5291" s="159">
        <v>52</v>
      </c>
      <c r="D5291" s="159">
        <v>61</v>
      </c>
      <c r="E5291" s="159">
        <v>91</v>
      </c>
      <c r="F5291" s="131"/>
      <c r="G5291" s="132"/>
      <c r="H5291" s="162" t="s">
        <v>27972</v>
      </c>
      <c r="I5291" s="158" t="s">
        <v>27973</v>
      </c>
      <c r="J5291" s="128"/>
      <c r="K5291" s="128"/>
      <c r="L5291" s="128"/>
      <c r="M5291" s="129"/>
      <c r="N5291" s="129"/>
      <c r="O5291" s="129"/>
    </row>
    <row r="5292" spans="1:15" ht="12.5">
      <c r="A5292" s="158" t="s">
        <v>27974</v>
      </c>
      <c r="B5292" s="159">
        <v>65</v>
      </c>
      <c r="C5292" s="159">
        <v>52</v>
      </c>
      <c r="D5292" s="159">
        <v>61</v>
      </c>
      <c r="E5292" s="159">
        <v>96</v>
      </c>
      <c r="F5292" s="131"/>
      <c r="G5292" s="132"/>
      <c r="H5292" s="162" t="s">
        <v>27975</v>
      </c>
      <c r="I5292" s="158" t="s">
        <v>27976</v>
      </c>
      <c r="J5292" s="128"/>
      <c r="K5292" s="128"/>
      <c r="L5292" s="128"/>
      <c r="M5292" s="129"/>
      <c r="N5292" s="129"/>
      <c r="O5292" s="129"/>
    </row>
    <row r="5293" spans="1:15" ht="12.5">
      <c r="A5293" s="158" t="s">
        <v>27977</v>
      </c>
      <c r="B5293" s="159">
        <v>65</v>
      </c>
      <c r="C5293" s="159">
        <v>52</v>
      </c>
      <c r="D5293" s="159">
        <v>62</v>
      </c>
      <c r="E5293" s="130"/>
      <c r="F5293" s="131"/>
      <c r="G5293" s="132"/>
      <c r="H5293" s="162" t="s">
        <v>27978</v>
      </c>
      <c r="I5293" s="128"/>
      <c r="J5293" s="128"/>
      <c r="K5293" s="128"/>
      <c r="L5293" s="128"/>
      <c r="M5293" s="129"/>
      <c r="N5293" s="129"/>
      <c r="O5293" s="129"/>
    </row>
    <row r="5294" spans="1:15" ht="12.5">
      <c r="A5294" s="158" t="s">
        <v>27979</v>
      </c>
      <c r="B5294" s="159">
        <v>65</v>
      </c>
      <c r="C5294" s="159">
        <v>52</v>
      </c>
      <c r="D5294" s="159">
        <v>62</v>
      </c>
      <c r="E5294" s="159">
        <v>3</v>
      </c>
      <c r="F5294" s="131"/>
      <c r="G5294" s="132"/>
      <c r="H5294" s="162" t="s">
        <v>27980</v>
      </c>
      <c r="I5294" s="128"/>
      <c r="J5294" s="128"/>
      <c r="K5294" s="128"/>
      <c r="L5294" s="128"/>
      <c r="M5294" s="129"/>
      <c r="N5294" s="129"/>
      <c r="O5294" s="129"/>
    </row>
    <row r="5295" spans="1:15" ht="12.5">
      <c r="A5295" s="158" t="s">
        <v>27981</v>
      </c>
      <c r="B5295" s="159">
        <v>65</v>
      </c>
      <c r="C5295" s="159">
        <v>52</v>
      </c>
      <c r="D5295" s="159">
        <v>62</v>
      </c>
      <c r="E5295" s="159">
        <v>9</v>
      </c>
      <c r="F5295" s="131"/>
      <c r="G5295" s="132"/>
      <c r="H5295" s="162" t="s">
        <v>27982</v>
      </c>
      <c r="I5295" s="158" t="s">
        <v>27983</v>
      </c>
      <c r="J5295" s="128"/>
      <c r="K5295" s="128"/>
      <c r="L5295" s="128"/>
      <c r="M5295" s="129"/>
      <c r="N5295" s="129"/>
      <c r="O5295" s="129"/>
    </row>
    <row r="5296" spans="1:15" ht="12.5">
      <c r="A5296" s="158" t="s">
        <v>27984</v>
      </c>
      <c r="B5296" s="159">
        <v>65</v>
      </c>
      <c r="C5296" s="159">
        <v>52</v>
      </c>
      <c r="D5296" s="159">
        <v>62</v>
      </c>
      <c r="E5296" s="159">
        <v>11</v>
      </c>
      <c r="F5296" s="131"/>
      <c r="G5296" s="132"/>
      <c r="H5296" s="162" t="s">
        <v>27985</v>
      </c>
      <c r="I5296" s="158" t="s">
        <v>27986</v>
      </c>
      <c r="J5296" s="128"/>
      <c r="K5296" s="128"/>
      <c r="L5296" s="128"/>
      <c r="M5296" s="129"/>
      <c r="N5296" s="129"/>
      <c r="O5296" s="129"/>
    </row>
    <row r="5297" spans="1:15" ht="12.5">
      <c r="A5297" s="158" t="s">
        <v>27987</v>
      </c>
      <c r="B5297" s="159">
        <v>65</v>
      </c>
      <c r="C5297" s="159">
        <v>52</v>
      </c>
      <c r="D5297" s="159">
        <v>62</v>
      </c>
      <c r="E5297" s="159">
        <v>27</v>
      </c>
      <c r="F5297" s="131"/>
      <c r="G5297" s="132"/>
      <c r="H5297" s="162" t="s">
        <v>27988</v>
      </c>
      <c r="I5297" s="158" t="s">
        <v>27989</v>
      </c>
      <c r="J5297" s="128"/>
      <c r="K5297" s="128"/>
      <c r="L5297" s="128"/>
      <c r="M5297" s="129"/>
      <c r="N5297" s="129"/>
      <c r="O5297" s="129"/>
    </row>
    <row r="5298" spans="1:15" ht="12.5">
      <c r="A5298" s="158" t="s">
        <v>27992</v>
      </c>
      <c r="B5298" s="159">
        <v>65</v>
      </c>
      <c r="C5298" s="159">
        <v>52</v>
      </c>
      <c r="D5298" s="159">
        <v>62</v>
      </c>
      <c r="E5298" s="159">
        <v>29</v>
      </c>
      <c r="F5298" s="131"/>
      <c r="G5298" s="132"/>
      <c r="H5298" s="162" t="s">
        <v>27993</v>
      </c>
      <c r="I5298" s="158" t="s">
        <v>27983</v>
      </c>
      <c r="J5298" s="128"/>
      <c r="K5298" s="128"/>
      <c r="L5298" s="128"/>
      <c r="M5298" s="129"/>
      <c r="N5298" s="129"/>
      <c r="O5298" s="129"/>
    </row>
    <row r="5299" spans="1:15" ht="12.5">
      <c r="A5299" s="158" t="s">
        <v>27994</v>
      </c>
      <c r="B5299" s="159">
        <v>65</v>
      </c>
      <c r="C5299" s="159">
        <v>52</v>
      </c>
      <c r="D5299" s="159">
        <v>62</v>
      </c>
      <c r="E5299" s="159">
        <v>30</v>
      </c>
      <c r="F5299" s="131"/>
      <c r="G5299" s="132"/>
      <c r="H5299" s="162" t="s">
        <v>27995</v>
      </c>
      <c r="I5299" s="158" t="s">
        <v>27996</v>
      </c>
      <c r="J5299" s="128"/>
      <c r="K5299" s="128"/>
      <c r="L5299" s="128"/>
      <c r="M5299" s="129"/>
      <c r="N5299" s="129"/>
      <c r="O5299" s="129"/>
    </row>
    <row r="5300" spans="1:15" ht="12.5">
      <c r="A5300" s="158" t="s">
        <v>27997</v>
      </c>
      <c r="B5300" s="159">
        <v>65</v>
      </c>
      <c r="C5300" s="159">
        <v>52</v>
      </c>
      <c r="D5300" s="159">
        <v>62</v>
      </c>
      <c r="E5300" s="159">
        <v>31</v>
      </c>
      <c r="F5300" s="131"/>
      <c r="G5300" s="132"/>
      <c r="H5300" s="162" t="s">
        <v>27998</v>
      </c>
      <c r="I5300" s="158" t="s">
        <v>27999</v>
      </c>
      <c r="J5300" s="128"/>
      <c r="K5300" s="128"/>
      <c r="L5300" s="128"/>
      <c r="M5300" s="129"/>
      <c r="N5300" s="129"/>
      <c r="O5300" s="129"/>
    </row>
    <row r="5301" spans="1:15" ht="12.5">
      <c r="A5301" s="158" t="s">
        <v>28000</v>
      </c>
      <c r="B5301" s="159">
        <v>65</v>
      </c>
      <c r="C5301" s="159">
        <v>52</v>
      </c>
      <c r="D5301" s="159">
        <v>62</v>
      </c>
      <c r="E5301" s="159">
        <v>32</v>
      </c>
      <c r="F5301" s="131"/>
      <c r="G5301" s="132"/>
      <c r="H5301" s="162" t="s">
        <v>28001</v>
      </c>
      <c r="I5301" s="158" t="s">
        <v>27996</v>
      </c>
      <c r="J5301" s="128"/>
      <c r="K5301" s="128"/>
      <c r="L5301" s="128"/>
      <c r="M5301" s="129"/>
      <c r="N5301" s="129"/>
      <c r="O5301" s="129"/>
    </row>
    <row r="5302" spans="1:15" ht="12.5">
      <c r="A5302" s="158" t="s">
        <v>28002</v>
      </c>
      <c r="B5302" s="159">
        <v>65</v>
      </c>
      <c r="C5302" s="159">
        <v>52</v>
      </c>
      <c r="D5302" s="159">
        <v>62</v>
      </c>
      <c r="E5302" s="159">
        <v>36</v>
      </c>
      <c r="F5302" s="131"/>
      <c r="G5302" s="132"/>
      <c r="H5302" s="162" t="s">
        <v>28003</v>
      </c>
      <c r="I5302" s="158" t="s">
        <v>27999</v>
      </c>
      <c r="J5302" s="128"/>
      <c r="K5302" s="128"/>
      <c r="L5302" s="128"/>
      <c r="M5302" s="129"/>
      <c r="N5302" s="129"/>
      <c r="O5302" s="129"/>
    </row>
    <row r="5303" spans="1:15" ht="12.5">
      <c r="A5303" s="158" t="s">
        <v>28006</v>
      </c>
      <c r="B5303" s="159">
        <v>65</v>
      </c>
      <c r="C5303" s="159">
        <v>52</v>
      </c>
      <c r="D5303" s="159">
        <v>62</v>
      </c>
      <c r="E5303" s="159">
        <v>62</v>
      </c>
      <c r="F5303" s="131"/>
      <c r="G5303" s="132"/>
      <c r="H5303" s="162" t="s">
        <v>28007</v>
      </c>
      <c r="I5303" s="128"/>
      <c r="J5303" s="128"/>
      <c r="K5303" s="128"/>
      <c r="L5303" s="128"/>
      <c r="M5303" s="129"/>
      <c r="N5303" s="129"/>
      <c r="O5303" s="129"/>
    </row>
    <row r="5304" spans="1:15" ht="12.5">
      <c r="A5304" s="158" t="s">
        <v>28008</v>
      </c>
      <c r="B5304" s="159">
        <v>65</v>
      </c>
      <c r="C5304" s="159">
        <v>52</v>
      </c>
      <c r="D5304" s="159">
        <v>62</v>
      </c>
      <c r="E5304" s="159">
        <v>65</v>
      </c>
      <c r="F5304" s="131"/>
      <c r="G5304" s="132"/>
      <c r="H5304" s="162" t="s">
        <v>28009</v>
      </c>
      <c r="I5304" s="158" t="s">
        <v>28010</v>
      </c>
      <c r="J5304" s="128"/>
      <c r="K5304" s="128"/>
      <c r="L5304" s="128"/>
      <c r="M5304" s="129"/>
      <c r="N5304" s="129"/>
      <c r="O5304" s="129"/>
    </row>
    <row r="5305" spans="1:15" ht="12.5">
      <c r="A5305" s="158" t="s">
        <v>28011</v>
      </c>
      <c r="B5305" s="159">
        <v>65</v>
      </c>
      <c r="C5305" s="159">
        <v>52</v>
      </c>
      <c r="D5305" s="159">
        <v>62</v>
      </c>
      <c r="E5305" s="159">
        <v>71</v>
      </c>
      <c r="F5305" s="131"/>
      <c r="G5305" s="132"/>
      <c r="H5305" s="162" t="s">
        <v>28012</v>
      </c>
      <c r="I5305" s="158" t="s">
        <v>27986</v>
      </c>
      <c r="J5305" s="128"/>
      <c r="K5305" s="128"/>
      <c r="L5305" s="128"/>
      <c r="M5305" s="129"/>
      <c r="N5305" s="129"/>
      <c r="O5305" s="129"/>
    </row>
    <row r="5306" spans="1:15" ht="12.5">
      <c r="A5306" s="158" t="s">
        <v>28013</v>
      </c>
      <c r="B5306" s="159">
        <v>65</v>
      </c>
      <c r="C5306" s="159">
        <v>52</v>
      </c>
      <c r="D5306" s="159">
        <v>62</v>
      </c>
      <c r="E5306" s="159">
        <v>81</v>
      </c>
      <c r="F5306" s="131"/>
      <c r="G5306" s="132"/>
      <c r="H5306" s="162" t="s">
        <v>28014</v>
      </c>
      <c r="I5306" s="158" t="s">
        <v>27983</v>
      </c>
      <c r="J5306" s="128"/>
      <c r="K5306" s="128"/>
      <c r="L5306" s="128"/>
      <c r="M5306" s="129"/>
      <c r="N5306" s="129"/>
      <c r="O5306" s="129"/>
    </row>
    <row r="5307" spans="1:15" ht="12.5">
      <c r="A5307" s="158" t="s">
        <v>28015</v>
      </c>
      <c r="B5307" s="159">
        <v>65</v>
      </c>
      <c r="C5307" s="159">
        <v>52</v>
      </c>
      <c r="D5307" s="159">
        <v>62</v>
      </c>
      <c r="E5307" s="159">
        <v>82</v>
      </c>
      <c r="F5307" s="131"/>
      <c r="G5307" s="132"/>
      <c r="H5307" s="162" t="s">
        <v>28016</v>
      </c>
      <c r="I5307" s="158" t="s">
        <v>28017</v>
      </c>
      <c r="J5307" s="128"/>
      <c r="K5307" s="128"/>
      <c r="L5307" s="128"/>
      <c r="M5307" s="129"/>
      <c r="N5307" s="129"/>
      <c r="O5307" s="129"/>
    </row>
    <row r="5308" spans="1:15" ht="12.5">
      <c r="A5308" s="158" t="s">
        <v>28018</v>
      </c>
      <c r="B5308" s="159">
        <v>65</v>
      </c>
      <c r="C5308" s="159">
        <v>52</v>
      </c>
      <c r="D5308" s="159">
        <v>63</v>
      </c>
      <c r="E5308" s="130"/>
      <c r="F5308" s="131"/>
      <c r="G5308" s="132"/>
      <c r="H5308" s="162" t="s">
        <v>28019</v>
      </c>
      <c r="I5308" s="128"/>
      <c r="J5308" s="128"/>
      <c r="K5308" s="128"/>
      <c r="L5308" s="128"/>
      <c r="M5308" s="129"/>
      <c r="N5308" s="129"/>
      <c r="O5308" s="129"/>
    </row>
    <row r="5309" spans="1:15" ht="12.5">
      <c r="A5309" s="158" t="s">
        <v>28020</v>
      </c>
      <c r="B5309" s="159">
        <v>65</v>
      </c>
      <c r="C5309" s="159">
        <v>52</v>
      </c>
      <c r="D5309" s="159">
        <v>63</v>
      </c>
      <c r="E5309" s="159">
        <v>2</v>
      </c>
      <c r="F5309" s="131"/>
      <c r="G5309" s="132"/>
      <c r="H5309" s="162" t="s">
        <v>28021</v>
      </c>
      <c r="I5309" s="158" t="s">
        <v>28022</v>
      </c>
      <c r="J5309" s="128"/>
      <c r="K5309" s="128"/>
      <c r="L5309" s="128"/>
      <c r="M5309" s="129"/>
      <c r="N5309" s="129"/>
      <c r="O5309" s="129"/>
    </row>
    <row r="5310" spans="1:15" ht="12.5">
      <c r="A5310" s="158" t="s">
        <v>28023</v>
      </c>
      <c r="B5310" s="159">
        <v>65</v>
      </c>
      <c r="C5310" s="159">
        <v>52</v>
      </c>
      <c r="D5310" s="159">
        <v>63</v>
      </c>
      <c r="E5310" s="159">
        <v>3</v>
      </c>
      <c r="F5310" s="131"/>
      <c r="G5310" s="132"/>
      <c r="H5310" s="162" t="s">
        <v>28024</v>
      </c>
      <c r="I5310" s="158" t="s">
        <v>28025</v>
      </c>
      <c r="J5310" s="128"/>
      <c r="K5310" s="128"/>
      <c r="L5310" s="128"/>
      <c r="M5310" s="129"/>
      <c r="N5310" s="129"/>
      <c r="O5310" s="129"/>
    </row>
    <row r="5311" spans="1:15" ht="12.5">
      <c r="A5311" s="158" t="s">
        <v>28026</v>
      </c>
      <c r="B5311" s="159">
        <v>65</v>
      </c>
      <c r="C5311" s="159">
        <v>52</v>
      </c>
      <c r="D5311" s="159">
        <v>63</v>
      </c>
      <c r="E5311" s="159">
        <v>4</v>
      </c>
      <c r="F5311" s="131"/>
      <c r="G5311" s="132"/>
      <c r="H5311" s="162" t="s">
        <v>28027</v>
      </c>
      <c r="I5311" s="158" t="s">
        <v>28028</v>
      </c>
      <c r="J5311" s="128"/>
      <c r="K5311" s="128"/>
      <c r="L5311" s="128"/>
      <c r="M5311" s="129"/>
      <c r="N5311" s="129"/>
      <c r="O5311" s="129"/>
    </row>
    <row r="5312" spans="1:15" ht="12.5">
      <c r="A5312" s="158" t="s">
        <v>28029</v>
      </c>
      <c r="B5312" s="159">
        <v>65</v>
      </c>
      <c r="C5312" s="159">
        <v>52</v>
      </c>
      <c r="D5312" s="159">
        <v>63</v>
      </c>
      <c r="E5312" s="159">
        <v>8</v>
      </c>
      <c r="F5312" s="131"/>
      <c r="G5312" s="132"/>
      <c r="H5312" s="162" t="s">
        <v>28030</v>
      </c>
      <c r="I5312" s="158" t="s">
        <v>28031</v>
      </c>
      <c r="J5312" s="128"/>
      <c r="K5312" s="128"/>
      <c r="L5312" s="128"/>
      <c r="M5312" s="129"/>
      <c r="N5312" s="129"/>
      <c r="O5312" s="129"/>
    </row>
    <row r="5313" spans="1:15" ht="12.5">
      <c r="A5313" s="158" t="s">
        <v>28032</v>
      </c>
      <c r="B5313" s="159">
        <v>65</v>
      </c>
      <c r="C5313" s="159">
        <v>52</v>
      </c>
      <c r="D5313" s="159">
        <v>63</v>
      </c>
      <c r="E5313" s="159">
        <v>10</v>
      </c>
      <c r="F5313" s="131"/>
      <c r="G5313" s="132"/>
      <c r="H5313" s="162" t="s">
        <v>28033</v>
      </c>
      <c r="I5313" s="128"/>
      <c r="J5313" s="128"/>
      <c r="K5313" s="128"/>
      <c r="L5313" s="128"/>
      <c r="M5313" s="129"/>
      <c r="N5313" s="129"/>
      <c r="O5313" s="129"/>
    </row>
    <row r="5314" spans="1:15" ht="12.5">
      <c r="A5314" s="158" t="s">
        <v>28034</v>
      </c>
      <c r="B5314" s="159">
        <v>65</v>
      </c>
      <c r="C5314" s="159">
        <v>52</v>
      </c>
      <c r="D5314" s="159">
        <v>63</v>
      </c>
      <c r="E5314" s="159">
        <v>11</v>
      </c>
      <c r="F5314" s="131"/>
      <c r="G5314" s="132"/>
      <c r="H5314" s="162" t="s">
        <v>28035</v>
      </c>
      <c r="I5314" s="158" t="s">
        <v>28036</v>
      </c>
      <c r="J5314" s="128"/>
      <c r="K5314" s="128"/>
      <c r="L5314" s="128"/>
      <c r="M5314" s="129"/>
      <c r="N5314" s="129"/>
      <c r="O5314" s="129"/>
    </row>
    <row r="5315" spans="1:15" ht="12.5">
      <c r="A5315" s="158" t="s">
        <v>28037</v>
      </c>
      <c r="B5315" s="159">
        <v>65</v>
      </c>
      <c r="C5315" s="159">
        <v>52</v>
      </c>
      <c r="D5315" s="159">
        <v>63</v>
      </c>
      <c r="E5315" s="159">
        <v>12</v>
      </c>
      <c r="F5315" s="131"/>
      <c r="G5315" s="132"/>
      <c r="H5315" s="162" t="s">
        <v>28038</v>
      </c>
      <c r="I5315" s="158" t="s">
        <v>28039</v>
      </c>
      <c r="J5315" s="128"/>
      <c r="K5315" s="128"/>
      <c r="L5315" s="128"/>
      <c r="M5315" s="129"/>
      <c r="N5315" s="129"/>
      <c r="O5315" s="129"/>
    </row>
    <row r="5316" spans="1:15" ht="12.5">
      <c r="A5316" s="158" t="s">
        <v>28040</v>
      </c>
      <c r="B5316" s="159">
        <v>65</v>
      </c>
      <c r="C5316" s="159">
        <v>52</v>
      </c>
      <c r="D5316" s="159">
        <v>63</v>
      </c>
      <c r="E5316" s="159">
        <v>13</v>
      </c>
      <c r="F5316" s="131"/>
      <c r="G5316" s="132"/>
      <c r="H5316" s="162" t="s">
        <v>28041</v>
      </c>
      <c r="I5316" s="158" t="s">
        <v>28042</v>
      </c>
      <c r="J5316" s="128"/>
      <c r="K5316" s="128"/>
      <c r="L5316" s="128"/>
      <c r="M5316" s="129"/>
      <c r="N5316" s="129"/>
      <c r="O5316" s="129"/>
    </row>
    <row r="5317" spans="1:15" ht="12.5">
      <c r="A5317" s="158" t="s">
        <v>28043</v>
      </c>
      <c r="B5317" s="159">
        <v>65</v>
      </c>
      <c r="C5317" s="159">
        <v>52</v>
      </c>
      <c r="D5317" s="159">
        <v>63</v>
      </c>
      <c r="E5317" s="159">
        <v>14</v>
      </c>
      <c r="F5317" s="131"/>
      <c r="G5317" s="132"/>
      <c r="H5317" s="162" t="s">
        <v>28044</v>
      </c>
      <c r="I5317" s="158" t="s">
        <v>28045</v>
      </c>
      <c r="J5317" s="128"/>
      <c r="K5317" s="128"/>
      <c r="L5317" s="128"/>
      <c r="M5317" s="129"/>
      <c r="N5317" s="129"/>
      <c r="O5317" s="129"/>
    </row>
    <row r="5318" spans="1:15" ht="12.5">
      <c r="A5318" s="158" t="s">
        <v>28046</v>
      </c>
      <c r="B5318" s="159">
        <v>65</v>
      </c>
      <c r="C5318" s="159">
        <v>52</v>
      </c>
      <c r="D5318" s="159">
        <v>63</v>
      </c>
      <c r="E5318" s="159">
        <v>15</v>
      </c>
      <c r="F5318" s="131"/>
      <c r="G5318" s="132"/>
      <c r="H5318" s="162" t="s">
        <v>28047</v>
      </c>
      <c r="I5318" s="128"/>
      <c r="J5318" s="128"/>
      <c r="K5318" s="128"/>
      <c r="L5318" s="128"/>
      <c r="M5318" s="129"/>
      <c r="N5318" s="129"/>
      <c r="O5318" s="129"/>
    </row>
    <row r="5319" spans="1:15" ht="12.5">
      <c r="A5319" s="158" t="s">
        <v>28048</v>
      </c>
      <c r="B5319" s="159">
        <v>65</v>
      </c>
      <c r="C5319" s="159">
        <v>52</v>
      </c>
      <c r="D5319" s="159">
        <v>63</v>
      </c>
      <c r="E5319" s="159">
        <v>16</v>
      </c>
      <c r="F5319" s="131"/>
      <c r="G5319" s="132"/>
      <c r="H5319" s="162" t="s">
        <v>28049</v>
      </c>
      <c r="I5319" s="128"/>
      <c r="J5319" s="128"/>
      <c r="K5319" s="128"/>
      <c r="L5319" s="128"/>
      <c r="M5319" s="129"/>
      <c r="N5319" s="129"/>
      <c r="O5319" s="129"/>
    </row>
    <row r="5320" spans="1:15" ht="12.5">
      <c r="A5320" s="158" t="s">
        <v>28050</v>
      </c>
      <c r="B5320" s="159">
        <v>65</v>
      </c>
      <c r="C5320" s="159">
        <v>52</v>
      </c>
      <c r="D5320" s="159">
        <v>63</v>
      </c>
      <c r="E5320" s="159">
        <v>17</v>
      </c>
      <c r="F5320" s="131"/>
      <c r="G5320" s="132"/>
      <c r="H5320" s="162" t="s">
        <v>28051</v>
      </c>
      <c r="I5320" s="158" t="s">
        <v>28052</v>
      </c>
      <c r="J5320" s="128"/>
      <c r="K5320" s="128"/>
      <c r="L5320" s="128"/>
      <c r="M5320" s="129"/>
      <c r="N5320" s="129"/>
      <c r="O5320" s="129"/>
    </row>
    <row r="5321" spans="1:15" ht="12.5">
      <c r="A5321" s="158" t="s">
        <v>28053</v>
      </c>
      <c r="B5321" s="159">
        <v>65</v>
      </c>
      <c r="C5321" s="159">
        <v>52</v>
      </c>
      <c r="D5321" s="159">
        <v>63</v>
      </c>
      <c r="E5321" s="159">
        <v>18</v>
      </c>
      <c r="F5321" s="131"/>
      <c r="G5321" s="132"/>
      <c r="H5321" s="162" t="s">
        <v>28054</v>
      </c>
      <c r="I5321" s="158" t="s">
        <v>28055</v>
      </c>
      <c r="J5321" s="128"/>
      <c r="K5321" s="128"/>
      <c r="L5321" s="128"/>
      <c r="M5321" s="129"/>
      <c r="N5321" s="129"/>
      <c r="O5321" s="129"/>
    </row>
    <row r="5322" spans="1:15" ht="12.5">
      <c r="A5322" s="158" t="s">
        <v>28056</v>
      </c>
      <c r="B5322" s="159">
        <v>65</v>
      </c>
      <c r="C5322" s="159">
        <v>52</v>
      </c>
      <c r="D5322" s="159">
        <v>63</v>
      </c>
      <c r="E5322" s="159">
        <v>19</v>
      </c>
      <c r="F5322" s="131"/>
      <c r="G5322" s="132"/>
      <c r="H5322" s="162" t="s">
        <v>28057</v>
      </c>
      <c r="I5322" s="158" t="s">
        <v>28058</v>
      </c>
      <c r="J5322" s="128"/>
      <c r="K5322" s="128"/>
      <c r="L5322" s="128"/>
      <c r="M5322" s="129"/>
      <c r="N5322" s="129"/>
      <c r="O5322" s="129"/>
    </row>
    <row r="5323" spans="1:15" ht="12.5">
      <c r="A5323" s="158" t="s">
        <v>28059</v>
      </c>
      <c r="B5323" s="159">
        <v>65</v>
      </c>
      <c r="C5323" s="159">
        <v>52</v>
      </c>
      <c r="D5323" s="159">
        <v>63</v>
      </c>
      <c r="E5323" s="159">
        <v>20</v>
      </c>
      <c r="F5323" s="131"/>
      <c r="G5323" s="132"/>
      <c r="H5323" s="162" t="s">
        <v>28060</v>
      </c>
      <c r="I5323" s="158" t="s">
        <v>28061</v>
      </c>
      <c r="J5323" s="128"/>
      <c r="K5323" s="128"/>
      <c r="L5323" s="128"/>
      <c r="M5323" s="129"/>
      <c r="N5323" s="129"/>
      <c r="O5323" s="129"/>
    </row>
    <row r="5324" spans="1:15" ht="12.5">
      <c r="A5324" s="158" t="s">
        <v>28062</v>
      </c>
      <c r="B5324" s="159">
        <v>65</v>
      </c>
      <c r="C5324" s="159">
        <v>52</v>
      </c>
      <c r="D5324" s="159">
        <v>63</v>
      </c>
      <c r="E5324" s="159">
        <v>21</v>
      </c>
      <c r="F5324" s="131"/>
      <c r="G5324" s="132"/>
      <c r="H5324" s="162" t="s">
        <v>28063</v>
      </c>
      <c r="I5324" s="128"/>
      <c r="J5324" s="128"/>
      <c r="K5324" s="128"/>
      <c r="L5324" s="128"/>
      <c r="M5324" s="129"/>
      <c r="N5324" s="129"/>
      <c r="O5324" s="129"/>
    </row>
    <row r="5325" spans="1:15" ht="12.5">
      <c r="A5325" s="158" t="s">
        <v>28064</v>
      </c>
      <c r="B5325" s="159">
        <v>65</v>
      </c>
      <c r="C5325" s="159">
        <v>52</v>
      </c>
      <c r="D5325" s="159">
        <v>63</v>
      </c>
      <c r="E5325" s="159">
        <v>22</v>
      </c>
      <c r="F5325" s="131"/>
      <c r="G5325" s="132"/>
      <c r="H5325" s="162" t="s">
        <v>28065</v>
      </c>
      <c r="I5325" s="158" t="s">
        <v>28066</v>
      </c>
      <c r="J5325" s="128"/>
      <c r="K5325" s="128"/>
      <c r="L5325" s="128"/>
      <c r="M5325" s="129"/>
      <c r="N5325" s="129"/>
      <c r="O5325" s="129"/>
    </row>
    <row r="5326" spans="1:15" ht="12.5">
      <c r="A5326" s="158" t="s">
        <v>28067</v>
      </c>
      <c r="B5326" s="159">
        <v>65</v>
      </c>
      <c r="C5326" s="159">
        <v>52</v>
      </c>
      <c r="D5326" s="159">
        <v>63</v>
      </c>
      <c r="E5326" s="159">
        <v>23</v>
      </c>
      <c r="F5326" s="131"/>
      <c r="G5326" s="132"/>
      <c r="H5326" s="162" t="s">
        <v>28068</v>
      </c>
      <c r="I5326" s="158" t="s">
        <v>28069</v>
      </c>
      <c r="J5326" s="128"/>
      <c r="K5326" s="128"/>
      <c r="L5326" s="128"/>
      <c r="M5326" s="129"/>
      <c r="N5326" s="129"/>
      <c r="O5326" s="129"/>
    </row>
    <row r="5327" spans="1:15" ht="12.5">
      <c r="A5327" s="158" t="s">
        <v>28070</v>
      </c>
      <c r="B5327" s="159">
        <v>65</v>
      </c>
      <c r="C5327" s="159">
        <v>52</v>
      </c>
      <c r="D5327" s="159">
        <v>63</v>
      </c>
      <c r="E5327" s="159">
        <v>25</v>
      </c>
      <c r="F5327" s="131"/>
      <c r="G5327" s="132"/>
      <c r="H5327" s="162" t="s">
        <v>28071</v>
      </c>
      <c r="I5327" s="158" t="s">
        <v>28072</v>
      </c>
      <c r="J5327" s="128"/>
      <c r="K5327" s="128"/>
      <c r="L5327" s="128"/>
      <c r="M5327" s="129"/>
      <c r="N5327" s="129"/>
      <c r="O5327" s="129"/>
    </row>
    <row r="5328" spans="1:15" ht="12.5">
      <c r="A5328" s="158" t="s">
        <v>28073</v>
      </c>
      <c r="B5328" s="159">
        <v>65</v>
      </c>
      <c r="C5328" s="159">
        <v>52</v>
      </c>
      <c r="D5328" s="159">
        <v>63</v>
      </c>
      <c r="E5328" s="159">
        <v>29</v>
      </c>
      <c r="F5328" s="131"/>
      <c r="G5328" s="132"/>
      <c r="H5328" s="162" t="s">
        <v>28074</v>
      </c>
      <c r="I5328" s="158" t="s">
        <v>28075</v>
      </c>
      <c r="J5328" s="128"/>
      <c r="K5328" s="128"/>
      <c r="L5328" s="128"/>
      <c r="M5328" s="129"/>
      <c r="N5328" s="129"/>
      <c r="O5328" s="129"/>
    </row>
    <row r="5329" spans="1:15" ht="12.5">
      <c r="A5329" s="158" t="s">
        <v>28078</v>
      </c>
      <c r="B5329" s="159">
        <v>65</v>
      </c>
      <c r="C5329" s="159">
        <v>52</v>
      </c>
      <c r="D5329" s="159">
        <v>63</v>
      </c>
      <c r="E5329" s="159">
        <v>31</v>
      </c>
      <c r="F5329" s="131"/>
      <c r="G5329" s="132"/>
      <c r="H5329" s="162" t="s">
        <v>28079</v>
      </c>
      <c r="I5329" s="158" t="s">
        <v>28080</v>
      </c>
      <c r="J5329" s="128"/>
      <c r="K5329" s="128"/>
      <c r="L5329" s="128"/>
      <c r="M5329" s="129"/>
      <c r="N5329" s="129"/>
      <c r="O5329" s="129"/>
    </row>
    <row r="5330" spans="1:15" ht="12.5">
      <c r="A5330" s="158" t="s">
        <v>28081</v>
      </c>
      <c r="B5330" s="159">
        <v>65</v>
      </c>
      <c r="C5330" s="159">
        <v>52</v>
      </c>
      <c r="D5330" s="159">
        <v>63</v>
      </c>
      <c r="E5330" s="159">
        <v>32</v>
      </c>
      <c r="F5330" s="131"/>
      <c r="G5330" s="132"/>
      <c r="H5330" s="162" t="s">
        <v>28082</v>
      </c>
      <c r="I5330" s="158" t="s">
        <v>28083</v>
      </c>
      <c r="J5330" s="128"/>
      <c r="K5330" s="128"/>
      <c r="L5330" s="128"/>
      <c r="M5330" s="129"/>
      <c r="N5330" s="129"/>
      <c r="O5330" s="129"/>
    </row>
    <row r="5331" spans="1:15" ht="12.5">
      <c r="A5331" s="158" t="s">
        <v>28084</v>
      </c>
      <c r="B5331" s="159">
        <v>65</v>
      </c>
      <c r="C5331" s="159">
        <v>52</v>
      </c>
      <c r="D5331" s="159">
        <v>63</v>
      </c>
      <c r="E5331" s="159">
        <v>33</v>
      </c>
      <c r="F5331" s="131"/>
      <c r="G5331" s="132"/>
      <c r="H5331" s="162" t="s">
        <v>28085</v>
      </c>
      <c r="I5331" s="158" t="s">
        <v>28086</v>
      </c>
      <c r="J5331" s="128"/>
      <c r="K5331" s="128"/>
      <c r="L5331" s="128"/>
      <c r="M5331" s="129"/>
      <c r="N5331" s="129"/>
      <c r="O5331" s="129"/>
    </row>
    <row r="5332" spans="1:15" ht="12.5">
      <c r="A5332" s="158" t="s">
        <v>28087</v>
      </c>
      <c r="B5332" s="159">
        <v>65</v>
      </c>
      <c r="C5332" s="159">
        <v>52</v>
      </c>
      <c r="D5332" s="159">
        <v>63</v>
      </c>
      <c r="E5332" s="159">
        <v>34</v>
      </c>
      <c r="F5332" s="131"/>
      <c r="G5332" s="132"/>
      <c r="H5332" s="162" t="s">
        <v>28088</v>
      </c>
      <c r="I5332" s="158" t="s">
        <v>28089</v>
      </c>
      <c r="J5332" s="128"/>
      <c r="K5332" s="128"/>
      <c r="L5332" s="128"/>
      <c r="M5332" s="129"/>
      <c r="N5332" s="129"/>
      <c r="O5332" s="129"/>
    </row>
    <row r="5333" spans="1:15" ht="12.5">
      <c r="A5333" s="158" t="s">
        <v>28090</v>
      </c>
      <c r="B5333" s="159">
        <v>65</v>
      </c>
      <c r="C5333" s="159">
        <v>52</v>
      </c>
      <c r="D5333" s="159">
        <v>63</v>
      </c>
      <c r="E5333" s="159">
        <v>35</v>
      </c>
      <c r="F5333" s="131"/>
      <c r="G5333" s="132"/>
      <c r="H5333" s="162" t="s">
        <v>28091</v>
      </c>
      <c r="I5333" s="158" t="s">
        <v>28092</v>
      </c>
      <c r="J5333" s="128"/>
      <c r="K5333" s="128"/>
      <c r="L5333" s="128"/>
      <c r="M5333" s="129"/>
      <c r="N5333" s="129"/>
      <c r="O5333" s="129"/>
    </row>
    <row r="5334" spans="1:15" ht="12.5">
      <c r="A5334" s="158" t="s">
        <v>28093</v>
      </c>
      <c r="B5334" s="159">
        <v>65</v>
      </c>
      <c r="C5334" s="159">
        <v>52</v>
      </c>
      <c r="D5334" s="159">
        <v>63</v>
      </c>
      <c r="E5334" s="159">
        <v>46</v>
      </c>
      <c r="F5334" s="131"/>
      <c r="G5334" s="132"/>
      <c r="H5334" s="162" t="s">
        <v>28094</v>
      </c>
      <c r="I5334" s="128"/>
      <c r="J5334" s="128"/>
      <c r="K5334" s="128"/>
      <c r="L5334" s="128"/>
      <c r="M5334" s="129"/>
      <c r="N5334" s="129"/>
      <c r="O5334" s="129"/>
    </row>
    <row r="5335" spans="1:15" ht="12.5">
      <c r="A5335" s="158" t="s">
        <v>28095</v>
      </c>
      <c r="B5335" s="159">
        <v>65</v>
      </c>
      <c r="C5335" s="159">
        <v>52</v>
      </c>
      <c r="D5335" s="159">
        <v>63</v>
      </c>
      <c r="E5335" s="159">
        <v>50</v>
      </c>
      <c r="F5335" s="131"/>
      <c r="G5335" s="132"/>
      <c r="H5335" s="162" t="s">
        <v>28096</v>
      </c>
      <c r="I5335" s="158" t="s">
        <v>28097</v>
      </c>
      <c r="J5335" s="128"/>
      <c r="K5335" s="128"/>
      <c r="L5335" s="128"/>
      <c r="M5335" s="129"/>
      <c r="N5335" s="129"/>
      <c r="O5335" s="129"/>
    </row>
    <row r="5336" spans="1:15" ht="12.5">
      <c r="A5336" s="158" t="s">
        <v>28098</v>
      </c>
      <c r="B5336" s="159">
        <v>65</v>
      </c>
      <c r="C5336" s="159">
        <v>52</v>
      </c>
      <c r="D5336" s="159">
        <v>63</v>
      </c>
      <c r="E5336" s="159">
        <v>52</v>
      </c>
      <c r="F5336" s="131"/>
      <c r="G5336" s="132"/>
      <c r="H5336" s="162" t="s">
        <v>28099</v>
      </c>
      <c r="I5336" s="158" t="s">
        <v>28100</v>
      </c>
      <c r="J5336" s="128"/>
      <c r="K5336" s="128"/>
      <c r="L5336" s="128"/>
      <c r="M5336" s="129"/>
      <c r="N5336" s="129"/>
      <c r="O5336" s="129"/>
    </row>
    <row r="5337" spans="1:15" ht="12.5">
      <c r="A5337" s="158" t="s">
        <v>28101</v>
      </c>
      <c r="B5337" s="159">
        <v>65</v>
      </c>
      <c r="C5337" s="159">
        <v>52</v>
      </c>
      <c r="D5337" s="159">
        <v>63</v>
      </c>
      <c r="E5337" s="159">
        <v>54</v>
      </c>
      <c r="F5337" s="131"/>
      <c r="G5337" s="132"/>
      <c r="H5337" s="162" t="s">
        <v>28102</v>
      </c>
      <c r="I5337" s="158" t="s">
        <v>28103</v>
      </c>
      <c r="J5337" s="128"/>
      <c r="K5337" s="128"/>
      <c r="L5337" s="128"/>
      <c r="M5337" s="129"/>
      <c r="N5337" s="129"/>
      <c r="O5337" s="129"/>
    </row>
    <row r="5338" spans="1:15" ht="12.5">
      <c r="A5338" s="158" t="s">
        <v>28104</v>
      </c>
      <c r="B5338" s="159">
        <v>65</v>
      </c>
      <c r="C5338" s="159">
        <v>52</v>
      </c>
      <c r="D5338" s="159">
        <v>63</v>
      </c>
      <c r="E5338" s="159">
        <v>55</v>
      </c>
      <c r="F5338" s="131"/>
      <c r="G5338" s="132"/>
      <c r="H5338" s="162" t="s">
        <v>28105</v>
      </c>
      <c r="I5338" s="158" t="s">
        <v>28106</v>
      </c>
      <c r="J5338" s="128"/>
      <c r="K5338" s="128"/>
      <c r="L5338" s="128"/>
      <c r="M5338" s="129"/>
      <c r="N5338" s="129"/>
      <c r="O5338" s="129"/>
    </row>
    <row r="5339" spans="1:15" ht="12.5">
      <c r="A5339" s="158" t="s">
        <v>28107</v>
      </c>
      <c r="B5339" s="159">
        <v>65</v>
      </c>
      <c r="C5339" s="159">
        <v>52</v>
      </c>
      <c r="D5339" s="159">
        <v>63</v>
      </c>
      <c r="E5339" s="159">
        <v>60</v>
      </c>
      <c r="F5339" s="131"/>
      <c r="G5339" s="132"/>
      <c r="H5339" s="162" t="s">
        <v>28108</v>
      </c>
      <c r="I5339" s="158" t="s">
        <v>28109</v>
      </c>
      <c r="J5339" s="128"/>
      <c r="K5339" s="128"/>
      <c r="L5339" s="128"/>
      <c r="M5339" s="129"/>
      <c r="N5339" s="129"/>
      <c r="O5339" s="129"/>
    </row>
    <row r="5340" spans="1:15" ht="12.5">
      <c r="A5340" s="158" t="s">
        <v>28110</v>
      </c>
      <c r="B5340" s="159">
        <v>65</v>
      </c>
      <c r="C5340" s="159">
        <v>52</v>
      </c>
      <c r="D5340" s="159">
        <v>63</v>
      </c>
      <c r="E5340" s="159">
        <v>61</v>
      </c>
      <c r="F5340" s="131"/>
      <c r="G5340" s="132"/>
      <c r="H5340" s="162" t="s">
        <v>28111</v>
      </c>
      <c r="I5340" s="158" t="s">
        <v>28112</v>
      </c>
      <c r="J5340" s="128"/>
      <c r="K5340" s="128"/>
      <c r="L5340" s="128"/>
      <c r="M5340" s="129"/>
      <c r="N5340" s="129"/>
      <c r="O5340" s="129"/>
    </row>
    <row r="5341" spans="1:15" ht="12.5">
      <c r="A5341" s="158" t="s">
        <v>28113</v>
      </c>
      <c r="B5341" s="159">
        <v>65</v>
      </c>
      <c r="C5341" s="159">
        <v>52</v>
      </c>
      <c r="D5341" s="159">
        <v>63</v>
      </c>
      <c r="E5341" s="159">
        <v>62</v>
      </c>
      <c r="F5341" s="131"/>
      <c r="G5341" s="132"/>
      <c r="H5341" s="162" t="s">
        <v>28114</v>
      </c>
      <c r="I5341" s="158" t="s">
        <v>28115</v>
      </c>
      <c r="J5341" s="128"/>
      <c r="K5341" s="128"/>
      <c r="L5341" s="128"/>
      <c r="M5341" s="129"/>
      <c r="N5341" s="129"/>
      <c r="O5341" s="129"/>
    </row>
    <row r="5342" spans="1:15" ht="12.5">
      <c r="A5342" s="158" t="s">
        <v>28116</v>
      </c>
      <c r="B5342" s="159">
        <v>65</v>
      </c>
      <c r="C5342" s="159">
        <v>52</v>
      </c>
      <c r="D5342" s="159">
        <v>63</v>
      </c>
      <c r="E5342" s="159">
        <v>63</v>
      </c>
      <c r="F5342" s="131"/>
      <c r="G5342" s="132"/>
      <c r="H5342" s="162" t="s">
        <v>28117</v>
      </c>
      <c r="I5342" s="158" t="s">
        <v>28118</v>
      </c>
      <c r="J5342" s="128"/>
      <c r="K5342" s="128"/>
      <c r="L5342" s="128"/>
      <c r="M5342" s="129"/>
      <c r="N5342" s="129"/>
      <c r="O5342" s="129"/>
    </row>
    <row r="5343" spans="1:15" ht="12.5">
      <c r="A5343" s="158" t="s">
        <v>28119</v>
      </c>
      <c r="B5343" s="159">
        <v>65</v>
      </c>
      <c r="C5343" s="159">
        <v>52</v>
      </c>
      <c r="D5343" s="159">
        <v>63</v>
      </c>
      <c r="E5343" s="159">
        <v>64</v>
      </c>
      <c r="F5343" s="131"/>
      <c r="G5343" s="132"/>
      <c r="H5343" s="162" t="s">
        <v>28120</v>
      </c>
      <c r="I5343" s="158" t="s">
        <v>28121</v>
      </c>
      <c r="J5343" s="128"/>
      <c r="K5343" s="128"/>
      <c r="L5343" s="128"/>
      <c r="M5343" s="129"/>
      <c r="N5343" s="129"/>
      <c r="O5343" s="129"/>
    </row>
    <row r="5344" spans="1:15" ht="12.5">
      <c r="A5344" s="158" t="s">
        <v>28122</v>
      </c>
      <c r="B5344" s="159">
        <v>65</v>
      </c>
      <c r="C5344" s="159">
        <v>52</v>
      </c>
      <c r="D5344" s="159">
        <v>63</v>
      </c>
      <c r="E5344" s="159">
        <v>65</v>
      </c>
      <c r="F5344" s="131"/>
      <c r="G5344" s="132"/>
      <c r="H5344" s="162" t="s">
        <v>28123</v>
      </c>
      <c r="I5344" s="158" t="s">
        <v>28124</v>
      </c>
      <c r="J5344" s="128"/>
      <c r="K5344" s="128"/>
      <c r="L5344" s="128"/>
      <c r="M5344" s="129"/>
      <c r="N5344" s="129"/>
      <c r="O5344" s="129"/>
    </row>
    <row r="5345" spans="1:15" ht="12.5">
      <c r="A5345" s="158" t="s">
        <v>28125</v>
      </c>
      <c r="B5345" s="159">
        <v>65</v>
      </c>
      <c r="C5345" s="159">
        <v>52</v>
      </c>
      <c r="D5345" s="159">
        <v>63</v>
      </c>
      <c r="E5345" s="159">
        <v>66</v>
      </c>
      <c r="F5345" s="131"/>
      <c r="G5345" s="132"/>
      <c r="H5345" s="162" t="s">
        <v>28126</v>
      </c>
      <c r="I5345" s="158" t="s">
        <v>28127</v>
      </c>
      <c r="J5345" s="128"/>
      <c r="K5345" s="128"/>
      <c r="L5345" s="128"/>
      <c r="M5345" s="129"/>
      <c r="N5345" s="129"/>
      <c r="O5345" s="129"/>
    </row>
    <row r="5346" spans="1:15" ht="12.5">
      <c r="A5346" s="158" t="s">
        <v>28128</v>
      </c>
      <c r="B5346" s="159">
        <v>65</v>
      </c>
      <c r="C5346" s="159">
        <v>52</v>
      </c>
      <c r="D5346" s="159">
        <v>63</v>
      </c>
      <c r="E5346" s="159">
        <v>67</v>
      </c>
      <c r="F5346" s="131"/>
      <c r="G5346" s="132"/>
      <c r="H5346" s="162" t="s">
        <v>28129</v>
      </c>
      <c r="I5346" s="128"/>
      <c r="J5346" s="128"/>
      <c r="K5346" s="128"/>
      <c r="L5346" s="128"/>
      <c r="M5346" s="129"/>
      <c r="N5346" s="129"/>
      <c r="O5346" s="129"/>
    </row>
    <row r="5347" spans="1:15" ht="12.5">
      <c r="A5347" s="158" t="s">
        <v>28130</v>
      </c>
      <c r="B5347" s="159">
        <v>65</v>
      </c>
      <c r="C5347" s="159">
        <v>52</v>
      </c>
      <c r="D5347" s="159">
        <v>63</v>
      </c>
      <c r="E5347" s="159">
        <v>68</v>
      </c>
      <c r="F5347" s="131"/>
      <c r="G5347" s="132"/>
      <c r="H5347" s="162" t="s">
        <v>28131</v>
      </c>
      <c r="I5347" s="158" t="s">
        <v>28132</v>
      </c>
      <c r="J5347" s="128"/>
      <c r="K5347" s="128"/>
      <c r="L5347" s="128"/>
      <c r="M5347" s="129"/>
      <c r="N5347" s="129"/>
      <c r="O5347" s="129"/>
    </row>
    <row r="5348" spans="1:15" ht="12.5">
      <c r="A5348" s="158" t="s">
        <v>28133</v>
      </c>
      <c r="B5348" s="159">
        <v>65</v>
      </c>
      <c r="C5348" s="159">
        <v>52</v>
      </c>
      <c r="D5348" s="159">
        <v>63</v>
      </c>
      <c r="E5348" s="159">
        <v>70</v>
      </c>
      <c r="F5348" s="131"/>
      <c r="G5348" s="132"/>
      <c r="H5348" s="162" t="s">
        <v>28134</v>
      </c>
      <c r="I5348" s="158" t="s">
        <v>28135</v>
      </c>
      <c r="J5348" s="128"/>
      <c r="K5348" s="128"/>
      <c r="L5348" s="128"/>
      <c r="M5348" s="129"/>
      <c r="N5348" s="129"/>
      <c r="O5348" s="129"/>
    </row>
    <row r="5349" spans="1:15" ht="12.5">
      <c r="A5349" s="158" t="s">
        <v>28136</v>
      </c>
      <c r="B5349" s="159">
        <v>65</v>
      </c>
      <c r="C5349" s="159">
        <v>52</v>
      </c>
      <c r="D5349" s="159">
        <v>63</v>
      </c>
      <c r="E5349" s="159">
        <v>78</v>
      </c>
      <c r="F5349" s="131"/>
      <c r="G5349" s="132"/>
      <c r="H5349" s="162" t="s">
        <v>28137</v>
      </c>
      <c r="I5349" s="158" t="s">
        <v>28138</v>
      </c>
      <c r="J5349" s="128"/>
      <c r="K5349" s="128"/>
      <c r="L5349" s="128"/>
      <c r="M5349" s="129"/>
      <c r="N5349" s="129"/>
      <c r="O5349" s="129"/>
    </row>
    <row r="5350" spans="1:15" ht="12.5">
      <c r="A5350" s="158" t="s">
        <v>28139</v>
      </c>
      <c r="B5350" s="159">
        <v>65</v>
      </c>
      <c r="C5350" s="159">
        <v>52</v>
      </c>
      <c r="D5350" s="159">
        <v>63</v>
      </c>
      <c r="E5350" s="159">
        <v>79</v>
      </c>
      <c r="F5350" s="131"/>
      <c r="G5350" s="132"/>
      <c r="H5350" s="162" t="s">
        <v>28140</v>
      </c>
      <c r="I5350" s="158" t="s">
        <v>28141</v>
      </c>
      <c r="J5350" s="128"/>
      <c r="K5350" s="128"/>
      <c r="L5350" s="128"/>
      <c r="M5350" s="129"/>
      <c r="N5350" s="129"/>
      <c r="O5350" s="129"/>
    </row>
    <row r="5351" spans="1:15" ht="12.5">
      <c r="A5351" s="158" t="s">
        <v>28142</v>
      </c>
      <c r="B5351" s="159">
        <v>65</v>
      </c>
      <c r="C5351" s="159">
        <v>52</v>
      </c>
      <c r="D5351" s="159">
        <v>63</v>
      </c>
      <c r="E5351" s="159">
        <v>80</v>
      </c>
      <c r="F5351" s="131"/>
      <c r="G5351" s="132"/>
      <c r="H5351" s="162" t="s">
        <v>28143</v>
      </c>
      <c r="I5351" s="158" t="s">
        <v>28144</v>
      </c>
      <c r="J5351" s="128"/>
      <c r="K5351" s="128"/>
      <c r="L5351" s="128"/>
      <c r="M5351" s="129"/>
      <c r="N5351" s="129"/>
      <c r="O5351" s="129"/>
    </row>
    <row r="5352" spans="1:15" ht="12.5">
      <c r="A5352" s="158" t="s">
        <v>28145</v>
      </c>
      <c r="B5352" s="159">
        <v>65</v>
      </c>
      <c r="C5352" s="159">
        <v>52</v>
      </c>
      <c r="D5352" s="159">
        <v>63</v>
      </c>
      <c r="E5352" s="159">
        <v>81</v>
      </c>
      <c r="F5352" s="131"/>
      <c r="G5352" s="132"/>
      <c r="H5352" s="162" t="s">
        <v>28146</v>
      </c>
      <c r="I5352" s="158" t="s">
        <v>28147</v>
      </c>
      <c r="J5352" s="128"/>
      <c r="K5352" s="128"/>
      <c r="L5352" s="128"/>
      <c r="M5352" s="129"/>
      <c r="N5352" s="129"/>
      <c r="O5352" s="129"/>
    </row>
    <row r="5353" spans="1:15" ht="12.5">
      <c r="A5353" s="158" t="s">
        <v>28148</v>
      </c>
      <c r="B5353" s="159">
        <v>65</v>
      </c>
      <c r="C5353" s="159">
        <v>52</v>
      </c>
      <c r="D5353" s="159">
        <v>63</v>
      </c>
      <c r="E5353" s="159">
        <v>82</v>
      </c>
      <c r="F5353" s="131"/>
      <c r="G5353" s="132"/>
      <c r="H5353" s="162" t="s">
        <v>28149</v>
      </c>
      <c r="I5353" s="158" t="s">
        <v>28150</v>
      </c>
      <c r="J5353" s="128"/>
      <c r="K5353" s="128"/>
      <c r="L5353" s="128"/>
      <c r="M5353" s="129"/>
      <c r="N5353" s="129"/>
      <c r="O5353" s="129"/>
    </row>
    <row r="5354" spans="1:15" ht="12.5">
      <c r="A5354" s="158" t="s">
        <v>28151</v>
      </c>
      <c r="B5354" s="159">
        <v>65</v>
      </c>
      <c r="C5354" s="159">
        <v>52</v>
      </c>
      <c r="D5354" s="159">
        <v>63</v>
      </c>
      <c r="E5354" s="159">
        <v>83</v>
      </c>
      <c r="F5354" s="131"/>
      <c r="G5354" s="132"/>
      <c r="H5354" s="162" t="s">
        <v>28152</v>
      </c>
      <c r="I5354" s="158" t="s">
        <v>28153</v>
      </c>
      <c r="J5354" s="128"/>
      <c r="K5354" s="128"/>
      <c r="L5354" s="128"/>
      <c r="M5354" s="129"/>
      <c r="N5354" s="129"/>
      <c r="O5354" s="129"/>
    </row>
    <row r="5355" spans="1:15" ht="12.5">
      <c r="A5355" s="158" t="s">
        <v>28154</v>
      </c>
      <c r="B5355" s="159">
        <v>65</v>
      </c>
      <c r="C5355" s="159">
        <v>52</v>
      </c>
      <c r="D5355" s="159">
        <v>63</v>
      </c>
      <c r="E5355" s="159">
        <v>84</v>
      </c>
      <c r="F5355" s="131"/>
      <c r="G5355" s="132"/>
      <c r="H5355" s="162" t="s">
        <v>28155</v>
      </c>
      <c r="I5355" s="158" t="s">
        <v>28156</v>
      </c>
      <c r="J5355" s="128"/>
      <c r="K5355" s="128"/>
      <c r="L5355" s="128"/>
      <c r="M5355" s="129"/>
      <c r="N5355" s="129"/>
      <c r="O5355" s="129"/>
    </row>
    <row r="5356" spans="1:15" ht="12.5">
      <c r="A5356" s="158" t="s">
        <v>28157</v>
      </c>
      <c r="B5356" s="159">
        <v>65</v>
      </c>
      <c r="C5356" s="159">
        <v>52</v>
      </c>
      <c r="D5356" s="159">
        <v>63</v>
      </c>
      <c r="E5356" s="159">
        <v>87</v>
      </c>
      <c r="F5356" s="131"/>
      <c r="G5356" s="132"/>
      <c r="H5356" s="162" t="s">
        <v>28158</v>
      </c>
      <c r="I5356" s="158" t="s">
        <v>28159</v>
      </c>
      <c r="J5356" s="128"/>
      <c r="K5356" s="128"/>
      <c r="L5356" s="128"/>
      <c r="M5356" s="129"/>
      <c r="N5356" s="129"/>
      <c r="O5356" s="129"/>
    </row>
    <row r="5357" spans="1:15" ht="12.5">
      <c r="A5357" s="158" t="s">
        <v>28160</v>
      </c>
      <c r="B5357" s="159">
        <v>65</v>
      </c>
      <c r="C5357" s="159">
        <v>52</v>
      </c>
      <c r="D5357" s="159">
        <v>63</v>
      </c>
      <c r="E5357" s="159">
        <v>88</v>
      </c>
      <c r="F5357" s="131"/>
      <c r="G5357" s="132"/>
      <c r="H5357" s="162" t="s">
        <v>28161</v>
      </c>
      <c r="I5357" s="158" t="s">
        <v>28162</v>
      </c>
      <c r="J5357" s="128"/>
      <c r="K5357" s="128"/>
      <c r="L5357" s="128"/>
      <c r="M5357" s="129"/>
      <c r="N5357" s="129"/>
      <c r="O5357" s="129"/>
    </row>
    <row r="5358" spans="1:15" ht="12.5">
      <c r="A5358" s="158" t="s">
        <v>28163</v>
      </c>
      <c r="B5358" s="159">
        <v>65</v>
      </c>
      <c r="C5358" s="159">
        <v>52</v>
      </c>
      <c r="D5358" s="159">
        <v>63</v>
      </c>
      <c r="E5358" s="159">
        <v>89</v>
      </c>
      <c r="F5358" s="131"/>
      <c r="G5358" s="132"/>
      <c r="H5358" s="162" t="s">
        <v>28164</v>
      </c>
      <c r="I5358" s="158" t="s">
        <v>28165</v>
      </c>
      <c r="J5358" s="128"/>
      <c r="K5358" s="128"/>
      <c r="L5358" s="128"/>
      <c r="M5358" s="129"/>
      <c r="N5358" s="129"/>
      <c r="O5358" s="129"/>
    </row>
    <row r="5359" spans="1:15" ht="12.5">
      <c r="A5359" s="158" t="s">
        <v>28166</v>
      </c>
      <c r="B5359" s="159">
        <v>65</v>
      </c>
      <c r="C5359" s="159">
        <v>52</v>
      </c>
      <c r="D5359" s="159">
        <v>63</v>
      </c>
      <c r="E5359" s="159">
        <v>90</v>
      </c>
      <c r="F5359" s="131"/>
      <c r="G5359" s="132"/>
      <c r="H5359" s="162" t="s">
        <v>28167</v>
      </c>
      <c r="I5359" s="128"/>
      <c r="J5359" s="128"/>
      <c r="K5359" s="128"/>
      <c r="L5359" s="128"/>
      <c r="M5359" s="129"/>
      <c r="N5359" s="129"/>
      <c r="O5359" s="129"/>
    </row>
    <row r="5360" spans="1:15" ht="12.5">
      <c r="A5360" s="158" t="s">
        <v>28168</v>
      </c>
      <c r="B5360" s="159">
        <v>65</v>
      </c>
      <c r="C5360" s="159">
        <v>52</v>
      </c>
      <c r="D5360" s="159">
        <v>63</v>
      </c>
      <c r="E5360" s="159">
        <v>91</v>
      </c>
      <c r="F5360" s="131"/>
      <c r="G5360" s="132"/>
      <c r="H5360" s="162" t="s">
        <v>28169</v>
      </c>
      <c r="I5360" s="128"/>
      <c r="J5360" s="128"/>
      <c r="K5360" s="128"/>
      <c r="L5360" s="128"/>
      <c r="M5360" s="129"/>
      <c r="N5360" s="129"/>
      <c r="O5360" s="129"/>
    </row>
    <row r="5361" spans="1:15" ht="12.5">
      <c r="A5361" s="158" t="s">
        <v>28170</v>
      </c>
      <c r="B5361" s="159">
        <v>65</v>
      </c>
      <c r="C5361" s="159">
        <v>52</v>
      </c>
      <c r="D5361" s="159">
        <v>63</v>
      </c>
      <c r="E5361" s="159">
        <v>92</v>
      </c>
      <c r="F5361" s="131"/>
      <c r="G5361" s="132"/>
      <c r="H5361" s="162" t="s">
        <v>28171</v>
      </c>
      <c r="I5361" s="128"/>
      <c r="J5361" s="128"/>
      <c r="K5361" s="128"/>
      <c r="L5361" s="128"/>
      <c r="M5361" s="129"/>
      <c r="N5361" s="129"/>
      <c r="O5361" s="129"/>
    </row>
    <row r="5362" spans="1:15" ht="12.5">
      <c r="A5362" s="158" t="s">
        <v>28172</v>
      </c>
      <c r="B5362" s="159">
        <v>65</v>
      </c>
      <c r="C5362" s="159">
        <v>52</v>
      </c>
      <c r="D5362" s="159">
        <v>63</v>
      </c>
      <c r="E5362" s="159">
        <v>93</v>
      </c>
      <c r="F5362" s="131"/>
      <c r="G5362" s="132"/>
      <c r="H5362" s="162" t="s">
        <v>28173</v>
      </c>
      <c r="I5362" s="128"/>
      <c r="J5362" s="128"/>
      <c r="K5362" s="128"/>
      <c r="L5362" s="128"/>
      <c r="M5362" s="129"/>
      <c r="N5362" s="129"/>
      <c r="O5362" s="129"/>
    </row>
    <row r="5363" spans="1:15" ht="12.5">
      <c r="A5363" s="158" t="s">
        <v>28174</v>
      </c>
      <c r="B5363" s="159">
        <v>65</v>
      </c>
      <c r="C5363" s="159">
        <v>52</v>
      </c>
      <c r="D5363" s="159">
        <v>63</v>
      </c>
      <c r="E5363" s="159">
        <v>94</v>
      </c>
      <c r="F5363" s="131"/>
      <c r="G5363" s="132"/>
      <c r="H5363" s="162" t="s">
        <v>28175</v>
      </c>
      <c r="I5363" s="128"/>
      <c r="J5363" s="128"/>
      <c r="K5363" s="128"/>
      <c r="L5363" s="128"/>
      <c r="M5363" s="129"/>
      <c r="N5363" s="129"/>
      <c r="O5363" s="129"/>
    </row>
    <row r="5364" spans="1:15" ht="12.5">
      <c r="A5364" s="158" t="s">
        <v>28176</v>
      </c>
      <c r="B5364" s="159">
        <v>65</v>
      </c>
      <c r="C5364" s="159">
        <v>52</v>
      </c>
      <c r="D5364" s="159">
        <v>63</v>
      </c>
      <c r="E5364" s="159">
        <v>95</v>
      </c>
      <c r="F5364" s="131"/>
      <c r="G5364" s="132"/>
      <c r="H5364" s="162" t="s">
        <v>28177</v>
      </c>
      <c r="I5364" s="128"/>
      <c r="J5364" s="128"/>
      <c r="K5364" s="128"/>
      <c r="L5364" s="128"/>
      <c r="M5364" s="129"/>
      <c r="N5364" s="129"/>
      <c r="O5364" s="129"/>
    </row>
    <row r="5365" spans="1:15" ht="12.5">
      <c r="A5365" s="158" t="s">
        <v>28178</v>
      </c>
      <c r="B5365" s="159">
        <v>65</v>
      </c>
      <c r="C5365" s="159">
        <v>52</v>
      </c>
      <c r="D5365" s="159">
        <v>63</v>
      </c>
      <c r="E5365" s="159">
        <v>96</v>
      </c>
      <c r="F5365" s="131"/>
      <c r="G5365" s="132"/>
      <c r="H5365" s="162" t="s">
        <v>28179</v>
      </c>
      <c r="I5365" s="128"/>
      <c r="J5365" s="128"/>
      <c r="K5365" s="128"/>
      <c r="L5365" s="128"/>
      <c r="M5365" s="129"/>
      <c r="N5365" s="129"/>
      <c r="O5365" s="129"/>
    </row>
    <row r="5366" spans="1:15" ht="12.5">
      <c r="A5366" s="158" t="s">
        <v>28180</v>
      </c>
      <c r="B5366" s="159">
        <v>65</v>
      </c>
      <c r="C5366" s="159">
        <v>52</v>
      </c>
      <c r="D5366" s="159">
        <v>63</v>
      </c>
      <c r="E5366" s="159">
        <v>99</v>
      </c>
      <c r="F5366" s="131"/>
      <c r="G5366" s="132"/>
      <c r="H5366" s="162" t="s">
        <v>28181</v>
      </c>
      <c r="I5366" s="158" t="s">
        <v>28182</v>
      </c>
      <c r="J5366" s="128"/>
      <c r="K5366" s="128"/>
      <c r="L5366" s="128"/>
      <c r="M5366" s="129"/>
      <c r="N5366" s="129"/>
      <c r="O5366" s="129"/>
    </row>
    <row r="5367" spans="1:15" ht="12.5">
      <c r="A5367" s="144" t="s">
        <v>28183</v>
      </c>
      <c r="B5367" s="145">
        <v>65</v>
      </c>
      <c r="C5367" s="145">
        <v>53</v>
      </c>
      <c r="D5367" s="146"/>
      <c r="E5367" s="146"/>
      <c r="F5367" s="147" t="s">
        <v>33533</v>
      </c>
      <c r="G5367" s="190"/>
      <c r="H5367" s="149" t="s">
        <v>28184</v>
      </c>
      <c r="I5367" s="150"/>
      <c r="J5367" s="150"/>
      <c r="K5367" s="150"/>
      <c r="L5367" s="150"/>
      <c r="M5367" s="191"/>
      <c r="N5367" s="191"/>
      <c r="O5367" s="191"/>
    </row>
    <row r="5368" spans="1:15" ht="12.5">
      <c r="A5368" s="158" t="s">
        <v>28185</v>
      </c>
      <c r="B5368" s="159">
        <v>65</v>
      </c>
      <c r="C5368" s="159">
        <v>53</v>
      </c>
      <c r="D5368" s="159">
        <v>24</v>
      </c>
      <c r="E5368" s="130"/>
      <c r="F5368" s="131"/>
      <c r="G5368" s="132"/>
      <c r="H5368" s="162" t="s">
        <v>28186</v>
      </c>
      <c r="I5368" s="128"/>
      <c r="J5368" s="128"/>
      <c r="K5368" s="128"/>
      <c r="L5368" s="128"/>
      <c r="M5368" s="129"/>
      <c r="N5368" s="129"/>
      <c r="O5368" s="129"/>
    </row>
    <row r="5369" spans="1:15" ht="12.5">
      <c r="A5369" s="158" t="s">
        <v>28187</v>
      </c>
      <c r="B5369" s="159">
        <v>65</v>
      </c>
      <c r="C5369" s="159">
        <v>53</v>
      </c>
      <c r="D5369" s="159">
        <v>24</v>
      </c>
      <c r="E5369" s="159">
        <v>80</v>
      </c>
      <c r="F5369" s="131"/>
      <c r="G5369" s="132"/>
      <c r="H5369" s="162" t="s">
        <v>28188</v>
      </c>
      <c r="I5369" s="158" t="s">
        <v>28189</v>
      </c>
      <c r="J5369" s="128"/>
      <c r="K5369" s="128"/>
      <c r="L5369" s="128"/>
      <c r="M5369" s="129"/>
      <c r="N5369" s="129"/>
      <c r="O5369" s="129"/>
    </row>
    <row r="5370" spans="1:15" ht="12.5">
      <c r="A5370" s="158" t="s">
        <v>28190</v>
      </c>
      <c r="B5370" s="159">
        <v>65</v>
      </c>
      <c r="C5370" s="159">
        <v>53</v>
      </c>
      <c r="D5370" s="159">
        <v>24</v>
      </c>
      <c r="E5370" s="159">
        <v>81</v>
      </c>
      <c r="F5370" s="131"/>
      <c r="G5370" s="132"/>
      <c r="H5370" s="162" t="s">
        <v>28191</v>
      </c>
      <c r="I5370" s="158" t="s">
        <v>28192</v>
      </c>
      <c r="J5370" s="128"/>
      <c r="K5370" s="128"/>
      <c r="L5370" s="128"/>
      <c r="M5370" s="129"/>
      <c r="N5370" s="129"/>
      <c r="O5370" s="129"/>
    </row>
    <row r="5371" spans="1:15" ht="12.5">
      <c r="A5371" s="158" t="s">
        <v>28193</v>
      </c>
      <c r="B5371" s="159">
        <v>65</v>
      </c>
      <c r="C5371" s="159">
        <v>53</v>
      </c>
      <c r="D5371" s="159">
        <v>24</v>
      </c>
      <c r="E5371" s="159">
        <v>86</v>
      </c>
      <c r="F5371" s="131"/>
      <c r="G5371" s="132"/>
      <c r="H5371" s="162" t="s">
        <v>28194</v>
      </c>
      <c r="I5371" s="158" t="s">
        <v>28195</v>
      </c>
      <c r="J5371" s="128"/>
      <c r="K5371" s="128"/>
      <c r="L5371" s="128"/>
      <c r="M5371" s="129"/>
      <c r="N5371" s="129"/>
      <c r="O5371" s="129"/>
    </row>
    <row r="5372" spans="1:15" ht="12.5">
      <c r="A5372" s="158" t="s">
        <v>28196</v>
      </c>
      <c r="B5372" s="159">
        <v>65</v>
      </c>
      <c r="C5372" s="159">
        <v>53</v>
      </c>
      <c r="D5372" s="159">
        <v>65</v>
      </c>
      <c r="E5372" s="130"/>
      <c r="F5372" s="131"/>
      <c r="G5372" s="132"/>
      <c r="H5372" s="162" t="s">
        <v>28197</v>
      </c>
      <c r="I5372" s="128"/>
      <c r="J5372" s="128"/>
      <c r="K5372" s="128"/>
      <c r="L5372" s="128"/>
      <c r="M5372" s="129"/>
      <c r="N5372" s="129"/>
      <c r="O5372" s="129"/>
    </row>
    <row r="5373" spans="1:15" ht="12.5">
      <c r="A5373" s="158" t="s">
        <v>28198</v>
      </c>
      <c r="B5373" s="159">
        <v>65</v>
      </c>
      <c r="C5373" s="159">
        <v>53</v>
      </c>
      <c r="D5373" s="159">
        <v>65</v>
      </c>
      <c r="E5373" s="159">
        <v>4</v>
      </c>
      <c r="F5373" s="131"/>
      <c r="G5373" s="132"/>
      <c r="H5373" s="162" t="s">
        <v>28199</v>
      </c>
      <c r="I5373" s="128"/>
      <c r="J5373" s="128"/>
      <c r="K5373" s="128"/>
      <c r="L5373" s="128"/>
      <c r="M5373" s="129"/>
      <c r="N5373" s="129"/>
      <c r="O5373" s="129"/>
    </row>
    <row r="5374" spans="1:15" ht="12.5">
      <c r="A5374" s="158" t="s">
        <v>28200</v>
      </c>
      <c r="B5374" s="159">
        <v>65</v>
      </c>
      <c r="C5374" s="159">
        <v>53</v>
      </c>
      <c r="D5374" s="159">
        <v>86</v>
      </c>
      <c r="E5374" s="130"/>
      <c r="F5374" s="131"/>
      <c r="G5374" s="132"/>
      <c r="H5374" s="162" t="s">
        <v>28201</v>
      </c>
      <c r="I5374" s="128"/>
      <c r="J5374" s="128"/>
      <c r="K5374" s="128"/>
      <c r="L5374" s="128"/>
      <c r="M5374" s="129"/>
      <c r="N5374" s="129"/>
      <c r="O5374" s="129"/>
    </row>
    <row r="5375" spans="1:15" ht="12.5">
      <c r="A5375" s="158" t="s">
        <v>28202</v>
      </c>
      <c r="B5375" s="159">
        <v>65</v>
      </c>
      <c r="C5375" s="159">
        <v>53</v>
      </c>
      <c r="D5375" s="159">
        <v>86</v>
      </c>
      <c r="E5375" s="159">
        <v>5</v>
      </c>
      <c r="F5375" s="131"/>
      <c r="G5375" s="132"/>
      <c r="H5375" s="162" t="s">
        <v>28203</v>
      </c>
      <c r="I5375" s="158" t="s">
        <v>28204</v>
      </c>
      <c r="J5375" s="128"/>
      <c r="K5375" s="128"/>
      <c r="L5375" s="128"/>
      <c r="M5375" s="129"/>
      <c r="N5375" s="129"/>
      <c r="O5375" s="129"/>
    </row>
    <row r="5376" spans="1:15" ht="12.5">
      <c r="A5376" s="158" t="s">
        <v>28205</v>
      </c>
      <c r="B5376" s="159">
        <v>65</v>
      </c>
      <c r="C5376" s="159">
        <v>53</v>
      </c>
      <c r="D5376" s="159">
        <v>86</v>
      </c>
      <c r="E5376" s="159">
        <v>7</v>
      </c>
      <c r="F5376" s="131"/>
      <c r="G5376" s="132"/>
      <c r="H5376" s="162" t="s">
        <v>28206</v>
      </c>
      <c r="I5376" s="158" t="s">
        <v>28207</v>
      </c>
      <c r="J5376" s="128"/>
      <c r="K5376" s="128"/>
      <c r="L5376" s="128"/>
      <c r="M5376" s="129"/>
      <c r="N5376" s="129"/>
      <c r="O5376" s="129"/>
    </row>
    <row r="5377" spans="1:15" ht="12.5">
      <c r="A5377" s="158" t="s">
        <v>28208</v>
      </c>
      <c r="B5377" s="159">
        <v>65</v>
      </c>
      <c r="C5377" s="159">
        <v>53</v>
      </c>
      <c r="D5377" s="159">
        <v>86</v>
      </c>
      <c r="E5377" s="159">
        <v>11</v>
      </c>
      <c r="F5377" s="131"/>
      <c r="G5377" s="132"/>
      <c r="H5377" s="162" t="s">
        <v>28209</v>
      </c>
      <c r="I5377" s="158" t="s">
        <v>28210</v>
      </c>
      <c r="J5377" s="128"/>
      <c r="K5377" s="128"/>
      <c r="L5377" s="128"/>
      <c r="M5377" s="129"/>
      <c r="N5377" s="129"/>
      <c r="O5377" s="129"/>
    </row>
    <row r="5378" spans="1:15" ht="12.5">
      <c r="A5378" s="158" t="s">
        <v>28211</v>
      </c>
      <c r="B5378" s="159">
        <v>65</v>
      </c>
      <c r="C5378" s="159">
        <v>53</v>
      </c>
      <c r="D5378" s="159">
        <v>86</v>
      </c>
      <c r="E5378" s="159">
        <v>12</v>
      </c>
      <c r="F5378" s="131"/>
      <c r="G5378" s="132"/>
      <c r="H5378" s="162" t="s">
        <v>28212</v>
      </c>
      <c r="I5378" s="128"/>
      <c r="J5378" s="128"/>
      <c r="K5378" s="128"/>
      <c r="L5378" s="128"/>
      <c r="M5378" s="129"/>
      <c r="N5378" s="129"/>
      <c r="O5378" s="129"/>
    </row>
    <row r="5379" spans="1:15" ht="12.5">
      <c r="A5379" s="158" t="s">
        <v>28213</v>
      </c>
      <c r="B5379" s="159">
        <v>65</v>
      </c>
      <c r="C5379" s="159">
        <v>53</v>
      </c>
      <c r="D5379" s="159">
        <v>86</v>
      </c>
      <c r="E5379" s="159">
        <v>13</v>
      </c>
      <c r="F5379" s="131"/>
      <c r="G5379" s="132"/>
      <c r="H5379" s="162" t="s">
        <v>28214</v>
      </c>
      <c r="I5379" s="158" t="s">
        <v>28215</v>
      </c>
      <c r="J5379" s="128"/>
      <c r="K5379" s="128"/>
      <c r="L5379" s="128"/>
      <c r="M5379" s="129"/>
      <c r="N5379" s="129"/>
      <c r="O5379" s="129"/>
    </row>
    <row r="5380" spans="1:15" ht="12.5">
      <c r="A5380" s="158" t="s">
        <v>28216</v>
      </c>
      <c r="B5380" s="159">
        <v>65</v>
      </c>
      <c r="C5380" s="159">
        <v>53</v>
      </c>
      <c r="D5380" s="159">
        <v>86</v>
      </c>
      <c r="E5380" s="159">
        <v>15</v>
      </c>
      <c r="F5380" s="131"/>
      <c r="G5380" s="132"/>
      <c r="H5380" s="162" t="s">
        <v>28217</v>
      </c>
      <c r="I5380" s="158" t="s">
        <v>28218</v>
      </c>
      <c r="J5380" s="128"/>
      <c r="K5380" s="128"/>
      <c r="L5380" s="128"/>
      <c r="M5380" s="129"/>
      <c r="N5380" s="129"/>
      <c r="O5380" s="129"/>
    </row>
    <row r="5381" spans="1:15" ht="12.5">
      <c r="A5381" s="158" t="s">
        <v>28219</v>
      </c>
      <c r="B5381" s="159">
        <v>65</v>
      </c>
      <c r="C5381" s="159">
        <v>53</v>
      </c>
      <c r="D5381" s="159">
        <v>86</v>
      </c>
      <c r="E5381" s="159">
        <v>17</v>
      </c>
      <c r="F5381" s="131"/>
      <c r="G5381" s="132"/>
      <c r="H5381" s="162" t="s">
        <v>28220</v>
      </c>
      <c r="I5381" s="158" t="s">
        <v>28221</v>
      </c>
      <c r="J5381" s="128"/>
      <c r="K5381" s="128"/>
      <c r="L5381" s="128"/>
      <c r="M5381" s="129"/>
      <c r="N5381" s="129"/>
      <c r="O5381" s="129"/>
    </row>
    <row r="5382" spans="1:15" ht="12.5">
      <c r="A5382" s="158" t="s">
        <v>28222</v>
      </c>
      <c r="B5382" s="159">
        <v>65</v>
      </c>
      <c r="C5382" s="159">
        <v>53</v>
      </c>
      <c r="D5382" s="159">
        <v>86</v>
      </c>
      <c r="E5382" s="159">
        <v>24</v>
      </c>
      <c r="F5382" s="131"/>
      <c r="G5382" s="132"/>
      <c r="H5382" s="162" t="s">
        <v>28223</v>
      </c>
      <c r="I5382" s="158" t="s">
        <v>28224</v>
      </c>
      <c r="J5382" s="128"/>
      <c r="K5382" s="128"/>
      <c r="L5382" s="128"/>
      <c r="M5382" s="129"/>
      <c r="N5382" s="129"/>
      <c r="O5382" s="129"/>
    </row>
    <row r="5383" spans="1:15" ht="12.5">
      <c r="A5383" s="158" t="s">
        <v>28225</v>
      </c>
      <c r="B5383" s="159">
        <v>65</v>
      </c>
      <c r="C5383" s="159">
        <v>53</v>
      </c>
      <c r="D5383" s="159">
        <v>86</v>
      </c>
      <c r="E5383" s="159">
        <v>32</v>
      </c>
      <c r="F5383" s="131"/>
      <c r="G5383" s="132"/>
      <c r="H5383" s="162" t="s">
        <v>28226</v>
      </c>
      <c r="I5383" s="158" t="s">
        <v>28227</v>
      </c>
      <c r="J5383" s="128"/>
      <c r="K5383" s="128"/>
      <c r="L5383" s="128"/>
      <c r="M5383" s="129"/>
      <c r="N5383" s="129"/>
      <c r="O5383" s="129"/>
    </row>
    <row r="5384" spans="1:15" ht="12.5">
      <c r="A5384" s="158" t="s">
        <v>28228</v>
      </c>
      <c r="B5384" s="159">
        <v>65</v>
      </c>
      <c r="C5384" s="159">
        <v>53</v>
      </c>
      <c r="D5384" s="159">
        <v>86</v>
      </c>
      <c r="E5384" s="159">
        <v>33</v>
      </c>
      <c r="F5384" s="131"/>
      <c r="G5384" s="132"/>
      <c r="H5384" s="162" t="s">
        <v>28229</v>
      </c>
      <c r="I5384" s="158" t="s">
        <v>28230</v>
      </c>
      <c r="J5384" s="128"/>
      <c r="K5384" s="128"/>
      <c r="L5384" s="128"/>
      <c r="M5384" s="129"/>
      <c r="N5384" s="129"/>
      <c r="O5384" s="129"/>
    </row>
    <row r="5385" spans="1:15" ht="12.5">
      <c r="A5385" s="158" t="s">
        <v>28231</v>
      </c>
      <c r="B5385" s="159">
        <v>65</v>
      </c>
      <c r="C5385" s="159">
        <v>53</v>
      </c>
      <c r="D5385" s="159">
        <v>86</v>
      </c>
      <c r="E5385" s="159">
        <v>50</v>
      </c>
      <c r="F5385" s="131"/>
      <c r="G5385" s="132"/>
      <c r="H5385" s="162" t="s">
        <v>28232</v>
      </c>
      <c r="I5385" s="158" t="s">
        <v>28233</v>
      </c>
      <c r="J5385" s="128"/>
      <c r="K5385" s="128"/>
      <c r="L5385" s="128"/>
      <c r="M5385" s="129"/>
      <c r="N5385" s="129"/>
      <c r="O5385" s="129"/>
    </row>
    <row r="5386" spans="1:15" ht="12.5">
      <c r="A5386" s="158" t="s">
        <v>28234</v>
      </c>
      <c r="B5386" s="159">
        <v>65</v>
      </c>
      <c r="C5386" s="159">
        <v>53</v>
      </c>
      <c r="D5386" s="159">
        <v>86</v>
      </c>
      <c r="E5386" s="159">
        <v>51</v>
      </c>
      <c r="F5386" s="131"/>
      <c r="G5386" s="132"/>
      <c r="H5386" s="162" t="s">
        <v>28235</v>
      </c>
      <c r="I5386" s="158" t="s">
        <v>28236</v>
      </c>
      <c r="J5386" s="128"/>
      <c r="K5386" s="128"/>
      <c r="L5386" s="128"/>
      <c r="M5386" s="129"/>
      <c r="N5386" s="129"/>
      <c r="O5386" s="129"/>
    </row>
    <row r="5387" spans="1:15" ht="12.5">
      <c r="A5387" s="158" t="s">
        <v>28237</v>
      </c>
      <c r="B5387" s="159">
        <v>65</v>
      </c>
      <c r="C5387" s="159">
        <v>53</v>
      </c>
      <c r="D5387" s="159">
        <v>86</v>
      </c>
      <c r="E5387" s="159">
        <v>55</v>
      </c>
      <c r="F5387" s="131"/>
      <c r="G5387" s="132"/>
      <c r="H5387" s="162" t="s">
        <v>28238</v>
      </c>
      <c r="I5387" s="158" t="s">
        <v>28239</v>
      </c>
      <c r="J5387" s="128"/>
      <c r="K5387" s="128"/>
      <c r="L5387" s="128"/>
      <c r="M5387" s="129"/>
      <c r="N5387" s="129"/>
      <c r="O5387" s="129"/>
    </row>
    <row r="5388" spans="1:15" ht="12.5">
      <c r="A5388" s="158" t="s">
        <v>28240</v>
      </c>
      <c r="B5388" s="159">
        <v>65</v>
      </c>
      <c r="C5388" s="159">
        <v>53</v>
      </c>
      <c r="D5388" s="159">
        <v>86</v>
      </c>
      <c r="E5388" s="159">
        <v>66</v>
      </c>
      <c r="F5388" s="131"/>
      <c r="G5388" s="132"/>
      <c r="H5388" s="162" t="s">
        <v>28241</v>
      </c>
      <c r="I5388" s="158" t="s">
        <v>28242</v>
      </c>
      <c r="J5388" s="128"/>
      <c r="K5388" s="128"/>
      <c r="L5388" s="128"/>
      <c r="M5388" s="129"/>
      <c r="N5388" s="129"/>
      <c r="O5388" s="129"/>
    </row>
    <row r="5389" spans="1:15" ht="12.5">
      <c r="A5389" s="158" t="s">
        <v>28243</v>
      </c>
      <c r="B5389" s="159">
        <v>65</v>
      </c>
      <c r="C5389" s="159">
        <v>53</v>
      </c>
      <c r="D5389" s="159">
        <v>86</v>
      </c>
      <c r="E5389" s="159">
        <v>68</v>
      </c>
      <c r="F5389" s="131"/>
      <c r="G5389" s="132"/>
      <c r="H5389" s="162" t="s">
        <v>28244</v>
      </c>
      <c r="I5389" s="158" t="s">
        <v>28245</v>
      </c>
      <c r="J5389" s="128"/>
      <c r="K5389" s="128"/>
      <c r="L5389" s="128"/>
      <c r="M5389" s="129"/>
      <c r="N5389" s="129"/>
      <c r="O5389" s="129"/>
    </row>
    <row r="5390" spans="1:15" ht="12.5">
      <c r="A5390" s="158" t="s">
        <v>28246</v>
      </c>
      <c r="B5390" s="159">
        <v>65</v>
      </c>
      <c r="C5390" s="159">
        <v>53</v>
      </c>
      <c r="D5390" s="159">
        <v>86</v>
      </c>
      <c r="E5390" s="159">
        <v>86</v>
      </c>
      <c r="F5390" s="131"/>
      <c r="G5390" s="132"/>
      <c r="H5390" s="162" t="s">
        <v>28247</v>
      </c>
      <c r="I5390" s="158" t="s">
        <v>28248</v>
      </c>
      <c r="J5390" s="128"/>
      <c r="K5390" s="128"/>
      <c r="L5390" s="128"/>
      <c r="M5390" s="129"/>
      <c r="N5390" s="129"/>
      <c r="O5390" s="129"/>
    </row>
    <row r="5391" spans="1:15" ht="12.5">
      <c r="A5391" s="158" t="s">
        <v>28249</v>
      </c>
      <c r="B5391" s="159">
        <v>65</v>
      </c>
      <c r="C5391" s="159">
        <v>53</v>
      </c>
      <c r="D5391" s="159">
        <v>86</v>
      </c>
      <c r="E5391" s="159">
        <v>94</v>
      </c>
      <c r="F5391" s="131"/>
      <c r="G5391" s="132"/>
      <c r="H5391" s="162" t="s">
        <v>28250</v>
      </c>
      <c r="I5391" s="158" t="s">
        <v>28251</v>
      </c>
      <c r="J5391" s="128"/>
      <c r="K5391" s="128"/>
      <c r="L5391" s="128"/>
      <c r="M5391" s="129"/>
      <c r="N5391" s="129"/>
      <c r="O5391" s="129"/>
    </row>
    <row r="5392" spans="1:15" ht="12.5">
      <c r="A5392" s="158" t="s">
        <v>28252</v>
      </c>
      <c r="B5392" s="159">
        <v>65</v>
      </c>
      <c r="C5392" s="159">
        <v>53</v>
      </c>
      <c r="D5392" s="159">
        <v>96</v>
      </c>
      <c r="E5392" s="130"/>
      <c r="F5392" s="131"/>
      <c r="G5392" s="132"/>
      <c r="H5392" s="162" t="s">
        <v>33534</v>
      </c>
      <c r="I5392" s="128"/>
      <c r="J5392" s="128"/>
      <c r="K5392" s="128"/>
      <c r="L5392" s="128"/>
      <c r="M5392" s="129"/>
      <c r="N5392" s="129"/>
      <c r="O5392" s="129"/>
    </row>
    <row r="5393" spans="1:15" ht="12.5">
      <c r="A5393" s="158" t="s">
        <v>28254</v>
      </c>
      <c r="B5393" s="159">
        <v>65</v>
      </c>
      <c r="C5393" s="159">
        <v>53</v>
      </c>
      <c r="D5393" s="159">
        <v>96</v>
      </c>
      <c r="E5393" s="159">
        <v>2</v>
      </c>
      <c r="F5393" s="131"/>
      <c r="G5393" s="132"/>
      <c r="H5393" s="162" t="s">
        <v>28255</v>
      </c>
      <c r="I5393" s="158" t="s">
        <v>28256</v>
      </c>
      <c r="J5393" s="128"/>
      <c r="K5393" s="128"/>
      <c r="L5393" s="128"/>
      <c r="M5393" s="129"/>
      <c r="N5393" s="129"/>
      <c r="O5393" s="129"/>
    </row>
    <row r="5394" spans="1:15" ht="12.5">
      <c r="A5394" s="158" t="s">
        <v>28261</v>
      </c>
      <c r="B5394" s="159">
        <v>65</v>
      </c>
      <c r="C5394" s="159">
        <v>53</v>
      </c>
      <c r="D5394" s="159">
        <v>96</v>
      </c>
      <c r="E5394" s="159">
        <v>5</v>
      </c>
      <c r="F5394" s="131"/>
      <c r="G5394" s="132"/>
      <c r="H5394" s="162" t="s">
        <v>33535</v>
      </c>
      <c r="I5394" s="158" t="s">
        <v>28263</v>
      </c>
      <c r="J5394" s="128"/>
      <c r="K5394" s="128"/>
      <c r="L5394" s="128"/>
      <c r="M5394" s="129"/>
      <c r="N5394" s="129"/>
      <c r="O5394" s="129"/>
    </row>
    <row r="5395" spans="1:15" ht="12.5">
      <c r="A5395" s="158" t="s">
        <v>28264</v>
      </c>
      <c r="B5395" s="159">
        <v>65</v>
      </c>
      <c r="C5395" s="159">
        <v>53</v>
      </c>
      <c r="D5395" s="159">
        <v>96</v>
      </c>
      <c r="E5395" s="159">
        <v>6</v>
      </c>
      <c r="F5395" s="131"/>
      <c r="G5395" s="132"/>
      <c r="H5395" s="162" t="s">
        <v>33536</v>
      </c>
      <c r="I5395" s="158" t="s">
        <v>28266</v>
      </c>
      <c r="J5395" s="128"/>
      <c r="K5395" s="128"/>
      <c r="L5395" s="128"/>
      <c r="M5395" s="129"/>
      <c r="N5395" s="129"/>
      <c r="O5395" s="129"/>
    </row>
    <row r="5396" spans="1:15" ht="12.5">
      <c r="A5396" s="158" t="s">
        <v>28269</v>
      </c>
      <c r="B5396" s="159">
        <v>65</v>
      </c>
      <c r="C5396" s="159">
        <v>53</v>
      </c>
      <c r="D5396" s="159">
        <v>96</v>
      </c>
      <c r="E5396" s="159">
        <v>23</v>
      </c>
      <c r="F5396" s="131"/>
      <c r="G5396" s="132"/>
      <c r="H5396" s="162" t="s">
        <v>28270</v>
      </c>
      <c r="I5396" s="158" t="s">
        <v>28271</v>
      </c>
      <c r="J5396" s="128"/>
      <c r="K5396" s="128"/>
      <c r="L5396" s="128"/>
      <c r="M5396" s="129"/>
      <c r="N5396" s="129"/>
      <c r="O5396" s="129"/>
    </row>
    <row r="5397" spans="1:15" ht="12.5">
      <c r="A5397" s="158" t="s">
        <v>28278</v>
      </c>
      <c r="B5397" s="159">
        <v>65</v>
      </c>
      <c r="C5397" s="159">
        <v>53</v>
      </c>
      <c r="D5397" s="159">
        <v>96</v>
      </c>
      <c r="E5397" s="159">
        <v>50</v>
      </c>
      <c r="F5397" s="131"/>
      <c r="G5397" s="132"/>
      <c r="H5397" s="162" t="s">
        <v>28279</v>
      </c>
      <c r="I5397" s="158" t="s">
        <v>28280</v>
      </c>
      <c r="J5397" s="128"/>
      <c r="K5397" s="128"/>
      <c r="L5397" s="128"/>
      <c r="M5397" s="129"/>
      <c r="N5397" s="129"/>
      <c r="O5397" s="129"/>
    </row>
    <row r="5398" spans="1:15" ht="12.5">
      <c r="A5398" s="158" t="s">
        <v>28285</v>
      </c>
      <c r="B5398" s="159">
        <v>65</v>
      </c>
      <c r="C5398" s="159">
        <v>53</v>
      </c>
      <c r="D5398" s="159">
        <v>96</v>
      </c>
      <c r="E5398" s="159">
        <v>63</v>
      </c>
      <c r="F5398" s="131"/>
      <c r="G5398" s="132"/>
      <c r="H5398" s="162" t="s">
        <v>28286</v>
      </c>
      <c r="I5398" s="158" t="s">
        <v>28287</v>
      </c>
      <c r="J5398" s="128"/>
      <c r="K5398" s="128"/>
      <c r="L5398" s="128"/>
      <c r="M5398" s="129"/>
      <c r="N5398" s="129"/>
      <c r="O5398" s="129"/>
    </row>
    <row r="5399" spans="1:15" ht="12.5">
      <c r="A5399" s="158" t="s">
        <v>28288</v>
      </c>
      <c r="B5399" s="159">
        <v>65</v>
      </c>
      <c r="C5399" s="159">
        <v>53</v>
      </c>
      <c r="D5399" s="159">
        <v>96</v>
      </c>
      <c r="E5399" s="159">
        <v>64</v>
      </c>
      <c r="F5399" s="131"/>
      <c r="G5399" s="132"/>
      <c r="H5399" s="162" t="s">
        <v>28289</v>
      </c>
      <c r="I5399" s="158" t="s">
        <v>28290</v>
      </c>
      <c r="J5399" s="128"/>
      <c r="K5399" s="128"/>
      <c r="L5399" s="128"/>
      <c r="M5399" s="129"/>
      <c r="N5399" s="129"/>
      <c r="O5399" s="129"/>
    </row>
    <row r="5400" spans="1:15" ht="12.5">
      <c r="A5400" s="158" t="s">
        <v>28291</v>
      </c>
      <c r="B5400" s="159">
        <v>65</v>
      </c>
      <c r="C5400" s="159">
        <v>53</v>
      </c>
      <c r="D5400" s="159">
        <v>96</v>
      </c>
      <c r="E5400" s="159">
        <v>65</v>
      </c>
      <c r="F5400" s="131"/>
      <c r="G5400" s="132"/>
      <c r="H5400" s="162" t="s">
        <v>28292</v>
      </c>
      <c r="I5400" s="158" t="s">
        <v>28293</v>
      </c>
      <c r="J5400" s="128"/>
      <c r="K5400" s="128"/>
      <c r="L5400" s="128"/>
      <c r="M5400" s="129"/>
      <c r="N5400" s="129"/>
      <c r="O5400" s="129"/>
    </row>
    <row r="5401" spans="1:15" ht="12.5">
      <c r="A5401" s="158" t="s">
        <v>28294</v>
      </c>
      <c r="B5401" s="159">
        <v>65</v>
      </c>
      <c r="C5401" s="159">
        <v>53</v>
      </c>
      <c r="D5401" s="159">
        <v>96</v>
      </c>
      <c r="E5401" s="159">
        <v>66</v>
      </c>
      <c r="F5401" s="131"/>
      <c r="G5401" s="132"/>
      <c r="H5401" s="162" t="s">
        <v>33537</v>
      </c>
      <c r="I5401" s="158" t="s">
        <v>28296</v>
      </c>
      <c r="J5401" s="128"/>
      <c r="K5401" s="128"/>
      <c r="L5401" s="128"/>
      <c r="M5401" s="129"/>
      <c r="N5401" s="129"/>
      <c r="O5401" s="129"/>
    </row>
    <row r="5402" spans="1:15" ht="12.5">
      <c r="A5402" s="158" t="s">
        <v>28297</v>
      </c>
      <c r="B5402" s="159">
        <v>65</v>
      </c>
      <c r="C5402" s="159">
        <v>53</v>
      </c>
      <c r="D5402" s="159">
        <v>96</v>
      </c>
      <c r="E5402" s="159">
        <v>70</v>
      </c>
      <c r="F5402" s="131"/>
      <c r="G5402" s="132"/>
      <c r="H5402" s="162" t="s">
        <v>28298</v>
      </c>
      <c r="I5402" s="158" t="s">
        <v>28299</v>
      </c>
      <c r="J5402" s="128"/>
      <c r="K5402" s="128"/>
      <c r="L5402" s="128"/>
      <c r="M5402" s="129"/>
      <c r="N5402" s="129"/>
      <c r="O5402" s="129"/>
    </row>
    <row r="5403" spans="1:15" ht="12.5">
      <c r="A5403" s="158" t="s">
        <v>28302</v>
      </c>
      <c r="B5403" s="159">
        <v>65</v>
      </c>
      <c r="C5403" s="159">
        <v>53</v>
      </c>
      <c r="D5403" s="159">
        <v>96</v>
      </c>
      <c r="E5403" s="159">
        <v>73</v>
      </c>
      <c r="F5403" s="131"/>
      <c r="G5403" s="132"/>
      <c r="H5403" s="162" t="s">
        <v>28303</v>
      </c>
      <c r="I5403" s="158" t="s">
        <v>28304</v>
      </c>
      <c r="J5403" s="128"/>
      <c r="K5403" s="128"/>
      <c r="L5403" s="128"/>
      <c r="M5403" s="129"/>
      <c r="N5403" s="129"/>
      <c r="O5403" s="129"/>
    </row>
    <row r="5404" spans="1:15" ht="12.5">
      <c r="A5404" s="158" t="s">
        <v>28307</v>
      </c>
      <c r="B5404" s="159">
        <v>65</v>
      </c>
      <c r="C5404" s="159">
        <v>53</v>
      </c>
      <c r="D5404" s="159">
        <v>96</v>
      </c>
      <c r="E5404" s="159">
        <v>75</v>
      </c>
      <c r="F5404" s="131"/>
      <c r="G5404" s="132"/>
      <c r="H5404" s="162" t="s">
        <v>28308</v>
      </c>
      <c r="I5404" s="158" t="s">
        <v>28309</v>
      </c>
      <c r="J5404" s="128"/>
      <c r="K5404" s="128"/>
      <c r="L5404" s="128"/>
      <c r="M5404" s="129"/>
      <c r="N5404" s="129"/>
      <c r="O5404" s="129"/>
    </row>
    <row r="5405" spans="1:15" ht="12.5">
      <c r="A5405" s="158" t="s">
        <v>28310</v>
      </c>
      <c r="B5405" s="159">
        <v>65</v>
      </c>
      <c r="C5405" s="159">
        <v>53</v>
      </c>
      <c r="D5405" s="159">
        <v>96</v>
      </c>
      <c r="E5405" s="159">
        <v>78</v>
      </c>
      <c r="F5405" s="131"/>
      <c r="G5405" s="132"/>
      <c r="H5405" s="162" t="s">
        <v>33538</v>
      </c>
      <c r="I5405" s="158" t="s">
        <v>28312</v>
      </c>
      <c r="J5405" s="128"/>
      <c r="K5405" s="128"/>
      <c r="L5405" s="128"/>
      <c r="M5405" s="129"/>
      <c r="N5405" s="129"/>
      <c r="O5405" s="129"/>
    </row>
    <row r="5406" spans="1:15" ht="12.5">
      <c r="A5406" s="158" t="s">
        <v>28315</v>
      </c>
      <c r="B5406" s="159">
        <v>65</v>
      </c>
      <c r="C5406" s="159">
        <v>53</v>
      </c>
      <c r="D5406" s="159">
        <v>96</v>
      </c>
      <c r="E5406" s="159">
        <v>80</v>
      </c>
      <c r="F5406" s="131"/>
      <c r="G5406" s="132"/>
      <c r="H5406" s="162" t="s">
        <v>33539</v>
      </c>
      <c r="I5406" s="158" t="s">
        <v>28317</v>
      </c>
      <c r="J5406" s="128"/>
      <c r="K5406" s="128"/>
      <c r="L5406" s="128"/>
      <c r="M5406" s="129"/>
      <c r="N5406" s="129"/>
      <c r="O5406" s="129"/>
    </row>
    <row r="5407" spans="1:15" ht="12.5">
      <c r="A5407" s="158" t="s">
        <v>28318</v>
      </c>
      <c r="B5407" s="159">
        <v>65</v>
      </c>
      <c r="C5407" s="159">
        <v>53</v>
      </c>
      <c r="D5407" s="159">
        <v>96</v>
      </c>
      <c r="E5407" s="159">
        <v>84</v>
      </c>
      <c r="F5407" s="131"/>
      <c r="G5407" s="132"/>
      <c r="H5407" s="162" t="s">
        <v>33540</v>
      </c>
      <c r="I5407" s="158" t="s">
        <v>28320</v>
      </c>
      <c r="J5407" s="128"/>
      <c r="K5407" s="128"/>
      <c r="L5407" s="128"/>
      <c r="M5407" s="129"/>
      <c r="N5407" s="129"/>
      <c r="O5407" s="129"/>
    </row>
    <row r="5408" spans="1:15" ht="12.5">
      <c r="A5408" s="158" t="s">
        <v>28321</v>
      </c>
      <c r="B5408" s="159">
        <v>65</v>
      </c>
      <c r="C5408" s="159">
        <v>53</v>
      </c>
      <c r="D5408" s="159">
        <v>96</v>
      </c>
      <c r="E5408" s="159">
        <v>85</v>
      </c>
      <c r="F5408" s="131"/>
      <c r="G5408" s="132"/>
      <c r="H5408" s="162" t="s">
        <v>33541</v>
      </c>
      <c r="I5408" s="158" t="s">
        <v>28323</v>
      </c>
      <c r="J5408" s="128"/>
      <c r="K5408" s="128"/>
      <c r="L5408" s="128"/>
      <c r="M5408" s="129"/>
      <c r="N5408" s="129"/>
      <c r="O5408" s="129"/>
    </row>
    <row r="5409" spans="1:15" ht="12.5">
      <c r="A5409" s="158" t="s">
        <v>28328</v>
      </c>
      <c r="B5409" s="159">
        <v>65</v>
      </c>
      <c r="C5409" s="159">
        <v>53</v>
      </c>
      <c r="D5409" s="159">
        <v>96</v>
      </c>
      <c r="E5409" s="159">
        <v>94</v>
      </c>
      <c r="F5409" s="131"/>
      <c r="G5409" s="132"/>
      <c r="H5409" s="162" t="s">
        <v>33542</v>
      </c>
      <c r="I5409" s="158" t="s">
        <v>28330</v>
      </c>
      <c r="J5409" s="128"/>
      <c r="K5409" s="128"/>
      <c r="L5409" s="128"/>
      <c r="M5409" s="129"/>
      <c r="N5409" s="129"/>
      <c r="O5409" s="129"/>
    </row>
    <row r="5410" spans="1:15" ht="12.5">
      <c r="A5410" s="158" t="s">
        <v>28331</v>
      </c>
      <c r="B5410" s="159">
        <v>65</v>
      </c>
      <c r="C5410" s="159">
        <v>53</v>
      </c>
      <c r="D5410" s="159">
        <v>96</v>
      </c>
      <c r="E5410" s="159">
        <v>95</v>
      </c>
      <c r="F5410" s="131"/>
      <c r="G5410" s="132"/>
      <c r="H5410" s="162" t="s">
        <v>33543</v>
      </c>
      <c r="I5410" s="158" t="s">
        <v>28333</v>
      </c>
      <c r="J5410" s="128"/>
      <c r="K5410" s="128"/>
      <c r="L5410" s="128"/>
      <c r="M5410" s="129"/>
      <c r="N5410" s="129"/>
      <c r="O5410" s="129"/>
    </row>
    <row r="5411" spans="1:15" ht="12.5">
      <c r="A5411" s="144" t="s">
        <v>28334</v>
      </c>
      <c r="B5411" s="145">
        <v>65</v>
      </c>
      <c r="C5411" s="145">
        <v>54</v>
      </c>
      <c r="D5411" s="146"/>
      <c r="E5411" s="146"/>
      <c r="F5411" s="147" t="s">
        <v>33544</v>
      </c>
      <c r="G5411" s="190"/>
      <c r="H5411" s="149" t="s">
        <v>28335</v>
      </c>
      <c r="I5411" s="150"/>
      <c r="J5411" s="150"/>
      <c r="K5411" s="150"/>
      <c r="L5411" s="150"/>
      <c r="M5411" s="191"/>
      <c r="N5411" s="191"/>
      <c r="O5411" s="191"/>
    </row>
    <row r="5412" spans="1:15" ht="12.5">
      <c r="A5412" s="158" t="s">
        <v>28336</v>
      </c>
      <c r="B5412" s="159">
        <v>65</v>
      </c>
      <c r="C5412" s="159">
        <v>54</v>
      </c>
      <c r="D5412" s="159">
        <v>24</v>
      </c>
      <c r="E5412" s="130"/>
      <c r="F5412" s="131"/>
      <c r="G5412" s="132"/>
      <c r="H5412" s="162" t="s">
        <v>28337</v>
      </c>
      <c r="I5412" s="128"/>
      <c r="J5412" s="128"/>
      <c r="K5412" s="128"/>
      <c r="L5412" s="128"/>
      <c r="M5412" s="129"/>
      <c r="N5412" s="129"/>
      <c r="O5412" s="129"/>
    </row>
    <row r="5413" spans="1:15" ht="12.5">
      <c r="A5413" s="158" t="s">
        <v>28338</v>
      </c>
      <c r="B5413" s="159">
        <v>65</v>
      </c>
      <c r="C5413" s="159">
        <v>54</v>
      </c>
      <c r="D5413" s="159">
        <v>24</v>
      </c>
      <c r="E5413" s="159">
        <v>2</v>
      </c>
      <c r="F5413" s="131"/>
      <c r="G5413" s="132"/>
      <c r="H5413" s="162" t="s">
        <v>28339</v>
      </c>
      <c r="I5413" s="158" t="s">
        <v>28340</v>
      </c>
      <c r="J5413" s="128"/>
      <c r="K5413" s="128"/>
      <c r="L5413" s="128"/>
      <c r="M5413" s="129"/>
      <c r="N5413" s="129"/>
      <c r="O5413" s="129"/>
    </row>
    <row r="5414" spans="1:15" ht="12.5">
      <c r="A5414" s="158" t="s">
        <v>28341</v>
      </c>
      <c r="B5414" s="159">
        <v>65</v>
      </c>
      <c r="C5414" s="159">
        <v>54</v>
      </c>
      <c r="D5414" s="159">
        <v>24</v>
      </c>
      <c r="E5414" s="159">
        <v>4</v>
      </c>
      <c r="F5414" s="131"/>
      <c r="G5414" s="132"/>
      <c r="H5414" s="162" t="s">
        <v>28342</v>
      </c>
      <c r="I5414" s="158" t="s">
        <v>28343</v>
      </c>
      <c r="J5414" s="128"/>
      <c r="K5414" s="128"/>
      <c r="L5414" s="128"/>
      <c r="M5414" s="129"/>
      <c r="N5414" s="129"/>
      <c r="O5414" s="129"/>
    </row>
    <row r="5415" spans="1:15" ht="12.5">
      <c r="A5415" s="158" t="s">
        <v>28344</v>
      </c>
      <c r="B5415" s="159">
        <v>65</v>
      </c>
      <c r="C5415" s="159">
        <v>54</v>
      </c>
      <c r="D5415" s="159">
        <v>30</v>
      </c>
      <c r="E5415" s="130"/>
      <c r="F5415" s="131"/>
      <c r="G5415" s="132"/>
      <c r="H5415" s="162" t="s">
        <v>28345</v>
      </c>
      <c r="I5415" s="128"/>
      <c r="J5415" s="128"/>
      <c r="K5415" s="128"/>
      <c r="L5415" s="128"/>
      <c r="M5415" s="129"/>
      <c r="N5415" s="129"/>
      <c r="O5415" s="129"/>
    </row>
    <row r="5416" spans="1:15" ht="12.5">
      <c r="A5416" s="158" t="s">
        <v>28346</v>
      </c>
      <c r="B5416" s="159">
        <v>65</v>
      </c>
      <c r="C5416" s="159">
        <v>54</v>
      </c>
      <c r="D5416" s="159">
        <v>30</v>
      </c>
      <c r="E5416" s="159">
        <v>2</v>
      </c>
      <c r="F5416" s="131"/>
      <c r="G5416" s="132"/>
      <c r="H5416" s="162" t="s">
        <v>28347</v>
      </c>
      <c r="I5416" s="158" t="s">
        <v>28348</v>
      </c>
      <c r="J5416" s="128"/>
      <c r="K5416" s="128"/>
      <c r="L5416" s="128"/>
      <c r="M5416" s="129"/>
      <c r="N5416" s="129"/>
      <c r="O5416" s="129"/>
    </row>
    <row r="5417" spans="1:15" ht="12.5">
      <c r="A5417" s="158" t="s">
        <v>28349</v>
      </c>
      <c r="B5417" s="159">
        <v>65</v>
      </c>
      <c r="C5417" s="159">
        <v>54</v>
      </c>
      <c r="D5417" s="159">
        <v>30</v>
      </c>
      <c r="E5417" s="159">
        <v>9</v>
      </c>
      <c r="F5417" s="131"/>
      <c r="G5417" s="132"/>
      <c r="H5417" s="162" t="s">
        <v>28350</v>
      </c>
      <c r="I5417" s="158" t="s">
        <v>28351</v>
      </c>
      <c r="J5417" s="128"/>
      <c r="K5417" s="128"/>
      <c r="L5417" s="128"/>
      <c r="M5417" s="129"/>
      <c r="N5417" s="129"/>
      <c r="O5417" s="129"/>
    </row>
    <row r="5418" spans="1:15" ht="12.5">
      <c r="A5418" s="158" t="s">
        <v>28352</v>
      </c>
      <c r="B5418" s="159">
        <v>65</v>
      </c>
      <c r="C5418" s="159">
        <v>54</v>
      </c>
      <c r="D5418" s="159">
        <v>30</v>
      </c>
      <c r="E5418" s="159">
        <v>10</v>
      </c>
      <c r="F5418" s="131"/>
      <c r="G5418" s="132"/>
      <c r="H5418" s="162" t="s">
        <v>28353</v>
      </c>
      <c r="I5418" s="158" t="s">
        <v>28354</v>
      </c>
      <c r="J5418" s="128"/>
      <c r="K5418" s="128"/>
      <c r="L5418" s="128"/>
      <c r="M5418" s="129"/>
      <c r="N5418" s="129"/>
      <c r="O5418" s="129"/>
    </row>
    <row r="5419" spans="1:15" ht="12.5">
      <c r="A5419" s="158" t="s">
        <v>28355</v>
      </c>
      <c r="B5419" s="159">
        <v>65</v>
      </c>
      <c r="C5419" s="159">
        <v>54</v>
      </c>
      <c r="D5419" s="159">
        <v>30</v>
      </c>
      <c r="E5419" s="159">
        <v>11</v>
      </c>
      <c r="F5419" s="131"/>
      <c r="G5419" s="132"/>
      <c r="H5419" s="162" t="s">
        <v>28356</v>
      </c>
      <c r="I5419" s="158" t="s">
        <v>28357</v>
      </c>
      <c r="J5419" s="128"/>
      <c r="K5419" s="128"/>
      <c r="L5419" s="128"/>
      <c r="M5419" s="129"/>
      <c r="N5419" s="129"/>
      <c r="O5419" s="129"/>
    </row>
    <row r="5420" spans="1:15" ht="12.5">
      <c r="A5420" s="158" t="s">
        <v>28358</v>
      </c>
      <c r="B5420" s="159">
        <v>65</v>
      </c>
      <c r="C5420" s="159">
        <v>54</v>
      </c>
      <c r="D5420" s="159">
        <v>30</v>
      </c>
      <c r="E5420" s="159">
        <v>12</v>
      </c>
      <c r="F5420" s="131"/>
      <c r="G5420" s="132"/>
      <c r="H5420" s="162" t="s">
        <v>28359</v>
      </c>
      <c r="I5420" s="158" t="s">
        <v>28360</v>
      </c>
      <c r="J5420" s="128"/>
      <c r="K5420" s="128"/>
      <c r="L5420" s="128"/>
      <c r="M5420" s="129"/>
      <c r="N5420" s="129"/>
      <c r="O5420" s="129"/>
    </row>
    <row r="5421" spans="1:15" ht="12.5">
      <c r="A5421" s="158" t="s">
        <v>28361</v>
      </c>
      <c r="B5421" s="159">
        <v>65</v>
      </c>
      <c r="C5421" s="159">
        <v>54</v>
      </c>
      <c r="D5421" s="159">
        <v>30</v>
      </c>
      <c r="E5421" s="159">
        <v>15</v>
      </c>
      <c r="F5421" s="131"/>
      <c r="G5421" s="132"/>
      <c r="H5421" s="162" t="s">
        <v>28362</v>
      </c>
      <c r="I5421" s="158" t="s">
        <v>28363</v>
      </c>
      <c r="J5421" s="128"/>
      <c r="K5421" s="128"/>
      <c r="L5421" s="128"/>
      <c r="M5421" s="129"/>
      <c r="N5421" s="129"/>
      <c r="O5421" s="129"/>
    </row>
    <row r="5422" spans="1:15" ht="12.5">
      <c r="A5422" s="158" t="s">
        <v>28364</v>
      </c>
      <c r="B5422" s="159">
        <v>65</v>
      </c>
      <c r="C5422" s="159">
        <v>54</v>
      </c>
      <c r="D5422" s="159">
        <v>30</v>
      </c>
      <c r="E5422" s="159">
        <v>22</v>
      </c>
      <c r="F5422" s="131"/>
      <c r="G5422" s="132"/>
      <c r="H5422" s="162" t="s">
        <v>28365</v>
      </c>
      <c r="I5422" s="158" t="s">
        <v>28366</v>
      </c>
      <c r="J5422" s="128"/>
      <c r="K5422" s="128"/>
      <c r="L5422" s="128"/>
      <c r="M5422" s="129"/>
      <c r="N5422" s="129"/>
      <c r="O5422" s="129"/>
    </row>
    <row r="5423" spans="1:15" ht="12.5">
      <c r="A5423" s="158" t="s">
        <v>28367</v>
      </c>
      <c r="B5423" s="159">
        <v>65</v>
      </c>
      <c r="C5423" s="159">
        <v>54</v>
      </c>
      <c r="D5423" s="159">
        <v>30</v>
      </c>
      <c r="E5423" s="159">
        <v>23</v>
      </c>
      <c r="F5423" s="131"/>
      <c r="G5423" s="132"/>
      <c r="H5423" s="162" t="s">
        <v>28368</v>
      </c>
      <c r="I5423" s="158" t="s">
        <v>28369</v>
      </c>
      <c r="J5423" s="128"/>
      <c r="K5423" s="128"/>
      <c r="L5423" s="128"/>
      <c r="M5423" s="129"/>
      <c r="N5423" s="129"/>
      <c r="O5423" s="129"/>
    </row>
    <row r="5424" spans="1:15" ht="12.5">
      <c r="A5424" s="158" t="s">
        <v>28370</v>
      </c>
      <c r="B5424" s="159">
        <v>65</v>
      </c>
      <c r="C5424" s="159">
        <v>54</v>
      </c>
      <c r="D5424" s="159">
        <v>30</v>
      </c>
      <c r="E5424" s="159">
        <v>24</v>
      </c>
      <c r="F5424" s="131"/>
      <c r="G5424" s="132"/>
      <c r="H5424" s="162" t="s">
        <v>28371</v>
      </c>
      <c r="I5424" s="158" t="s">
        <v>28372</v>
      </c>
      <c r="J5424" s="128"/>
      <c r="K5424" s="128"/>
      <c r="L5424" s="128"/>
      <c r="M5424" s="129"/>
      <c r="N5424" s="129"/>
      <c r="O5424" s="129"/>
    </row>
    <row r="5425" spans="1:15" ht="12.5">
      <c r="A5425" s="158" t="s">
        <v>28375</v>
      </c>
      <c r="B5425" s="159">
        <v>65</v>
      </c>
      <c r="C5425" s="159">
        <v>54</v>
      </c>
      <c r="D5425" s="159">
        <v>30</v>
      </c>
      <c r="E5425" s="159">
        <v>30</v>
      </c>
      <c r="F5425" s="131"/>
      <c r="G5425" s="132"/>
      <c r="H5425" s="162" t="s">
        <v>28376</v>
      </c>
      <c r="I5425" s="158" t="s">
        <v>28377</v>
      </c>
      <c r="J5425" s="128"/>
      <c r="K5425" s="128"/>
      <c r="L5425" s="128"/>
      <c r="M5425" s="129"/>
      <c r="N5425" s="129"/>
      <c r="O5425" s="129"/>
    </row>
    <row r="5426" spans="1:15" ht="12.5">
      <c r="A5426" s="158" t="s">
        <v>28378</v>
      </c>
      <c r="B5426" s="159">
        <v>65</v>
      </c>
      <c r="C5426" s="159">
        <v>54</v>
      </c>
      <c r="D5426" s="159">
        <v>30</v>
      </c>
      <c r="E5426" s="159">
        <v>32</v>
      </c>
      <c r="F5426" s="131"/>
      <c r="G5426" s="132"/>
      <c r="H5426" s="162" t="s">
        <v>28379</v>
      </c>
      <c r="I5426" s="158" t="s">
        <v>28380</v>
      </c>
      <c r="J5426" s="128"/>
      <c r="K5426" s="128"/>
      <c r="L5426" s="128"/>
      <c r="M5426" s="129"/>
      <c r="N5426" s="129"/>
      <c r="O5426" s="129"/>
    </row>
    <row r="5427" spans="1:15" ht="12.5">
      <c r="A5427" s="158" t="s">
        <v>28381</v>
      </c>
      <c r="B5427" s="159">
        <v>65</v>
      </c>
      <c r="C5427" s="159">
        <v>54</v>
      </c>
      <c r="D5427" s="159">
        <v>30</v>
      </c>
      <c r="E5427" s="159">
        <v>37</v>
      </c>
      <c r="F5427" s="131"/>
      <c r="G5427" s="132"/>
      <c r="H5427" s="162" t="s">
        <v>28382</v>
      </c>
      <c r="I5427" s="158" t="s">
        <v>28383</v>
      </c>
      <c r="J5427" s="128"/>
      <c r="K5427" s="128"/>
      <c r="L5427" s="128"/>
      <c r="M5427" s="129"/>
      <c r="N5427" s="129"/>
      <c r="O5427" s="129"/>
    </row>
    <row r="5428" spans="1:15" ht="12.5">
      <c r="A5428" s="158" t="s">
        <v>28384</v>
      </c>
      <c r="B5428" s="159">
        <v>65</v>
      </c>
      <c r="C5428" s="159">
        <v>54</v>
      </c>
      <c r="D5428" s="159">
        <v>30</v>
      </c>
      <c r="E5428" s="159">
        <v>42</v>
      </c>
      <c r="F5428" s="131"/>
      <c r="G5428" s="132"/>
      <c r="H5428" s="162" t="s">
        <v>28385</v>
      </c>
      <c r="I5428" s="128"/>
      <c r="J5428" s="128"/>
      <c r="K5428" s="128"/>
      <c r="L5428" s="128"/>
      <c r="M5428" s="129"/>
      <c r="N5428" s="129"/>
      <c r="O5428" s="129"/>
    </row>
    <row r="5429" spans="1:15" ht="12.5">
      <c r="A5429" s="158" t="s">
        <v>28386</v>
      </c>
      <c r="B5429" s="159">
        <v>65</v>
      </c>
      <c r="C5429" s="159">
        <v>54</v>
      </c>
      <c r="D5429" s="159">
        <v>30</v>
      </c>
      <c r="E5429" s="159">
        <v>50</v>
      </c>
      <c r="F5429" s="131"/>
      <c r="G5429" s="132"/>
      <c r="H5429" s="162" t="s">
        <v>28387</v>
      </c>
      <c r="I5429" s="158" t="s">
        <v>28388</v>
      </c>
      <c r="J5429" s="128"/>
      <c r="K5429" s="128"/>
      <c r="L5429" s="128"/>
      <c r="M5429" s="129"/>
      <c r="N5429" s="129"/>
      <c r="O5429" s="129"/>
    </row>
    <row r="5430" spans="1:15" ht="12.5">
      <c r="A5430" s="158" t="s">
        <v>28389</v>
      </c>
      <c r="B5430" s="159">
        <v>65</v>
      </c>
      <c r="C5430" s="159">
        <v>54</v>
      </c>
      <c r="D5430" s="159">
        <v>30</v>
      </c>
      <c r="E5430" s="159">
        <v>63</v>
      </c>
      <c r="F5430" s="131"/>
      <c r="G5430" s="132"/>
      <c r="H5430" s="162" t="s">
        <v>28390</v>
      </c>
      <c r="I5430" s="158" t="s">
        <v>28391</v>
      </c>
      <c r="J5430" s="128"/>
      <c r="K5430" s="128"/>
      <c r="L5430" s="128"/>
      <c r="M5430" s="129"/>
      <c r="N5430" s="129"/>
      <c r="O5430" s="129"/>
    </row>
    <row r="5431" spans="1:15" ht="12.5">
      <c r="A5431" s="158" t="s">
        <v>28392</v>
      </c>
      <c r="B5431" s="159">
        <v>65</v>
      </c>
      <c r="C5431" s="159">
        <v>54</v>
      </c>
      <c r="D5431" s="159">
        <v>30</v>
      </c>
      <c r="E5431" s="159">
        <v>65</v>
      </c>
      <c r="F5431" s="131"/>
      <c r="G5431" s="132"/>
      <c r="H5431" s="162" t="s">
        <v>28393</v>
      </c>
      <c r="I5431" s="158" t="s">
        <v>28394</v>
      </c>
      <c r="J5431" s="128"/>
      <c r="K5431" s="128"/>
      <c r="L5431" s="128"/>
      <c r="M5431" s="129"/>
      <c r="N5431" s="129"/>
      <c r="O5431" s="129"/>
    </row>
    <row r="5432" spans="1:15" ht="12.5">
      <c r="A5432" s="158" t="s">
        <v>28395</v>
      </c>
      <c r="B5432" s="159">
        <v>65</v>
      </c>
      <c r="C5432" s="159">
        <v>54</v>
      </c>
      <c r="D5432" s="159">
        <v>30</v>
      </c>
      <c r="E5432" s="159">
        <v>85</v>
      </c>
      <c r="F5432" s="131"/>
      <c r="G5432" s="132"/>
      <c r="H5432" s="162" t="s">
        <v>28396</v>
      </c>
      <c r="I5432" s="158" t="s">
        <v>28397</v>
      </c>
      <c r="J5432" s="128"/>
      <c r="K5432" s="128"/>
      <c r="L5432" s="128"/>
      <c r="M5432" s="129"/>
      <c r="N5432" s="129"/>
      <c r="O5432" s="129"/>
    </row>
    <row r="5433" spans="1:15" ht="12.5">
      <c r="A5433" s="158" t="s">
        <v>28398</v>
      </c>
      <c r="B5433" s="159">
        <v>65</v>
      </c>
      <c r="C5433" s="159">
        <v>54</v>
      </c>
      <c r="D5433" s="159">
        <v>30</v>
      </c>
      <c r="E5433" s="159">
        <v>95</v>
      </c>
      <c r="F5433" s="131"/>
      <c r="G5433" s="132"/>
      <c r="H5433" s="162" t="s">
        <v>28399</v>
      </c>
      <c r="I5433" s="158" t="s">
        <v>28400</v>
      </c>
      <c r="J5433" s="128"/>
      <c r="K5433" s="128"/>
      <c r="L5433" s="128"/>
      <c r="M5433" s="129"/>
      <c r="N5433" s="129"/>
      <c r="O5433" s="129"/>
    </row>
    <row r="5434" spans="1:15" ht="12.5">
      <c r="A5434" s="158" t="s">
        <v>28401</v>
      </c>
      <c r="B5434" s="159">
        <v>65</v>
      </c>
      <c r="C5434" s="159">
        <v>54</v>
      </c>
      <c r="D5434" s="159">
        <v>30</v>
      </c>
      <c r="E5434" s="159">
        <v>96</v>
      </c>
      <c r="F5434" s="131"/>
      <c r="G5434" s="132"/>
      <c r="H5434" s="162" t="s">
        <v>28402</v>
      </c>
      <c r="I5434" s="158" t="s">
        <v>28403</v>
      </c>
      <c r="J5434" s="128"/>
      <c r="K5434" s="128"/>
      <c r="L5434" s="128"/>
      <c r="M5434" s="129"/>
      <c r="N5434" s="129"/>
      <c r="O5434" s="129"/>
    </row>
    <row r="5435" spans="1:15" ht="12.5">
      <c r="A5435" s="158" t="s">
        <v>28404</v>
      </c>
      <c r="B5435" s="159">
        <v>65</v>
      </c>
      <c r="C5435" s="159">
        <v>54</v>
      </c>
      <c r="D5435" s="159">
        <v>30</v>
      </c>
      <c r="E5435" s="159">
        <v>97</v>
      </c>
      <c r="F5435" s="131"/>
      <c r="G5435" s="132"/>
      <c r="H5435" s="162" t="s">
        <v>28405</v>
      </c>
      <c r="I5435" s="158" t="s">
        <v>28406</v>
      </c>
      <c r="J5435" s="128"/>
      <c r="K5435" s="128"/>
      <c r="L5435" s="128"/>
      <c r="M5435" s="129"/>
      <c r="N5435" s="129"/>
      <c r="O5435" s="129"/>
    </row>
    <row r="5436" spans="1:15" ht="12.5">
      <c r="A5436" s="158" t="s">
        <v>28407</v>
      </c>
      <c r="B5436" s="159">
        <v>65</v>
      </c>
      <c r="C5436" s="159">
        <v>54</v>
      </c>
      <c r="D5436" s="159">
        <v>33</v>
      </c>
      <c r="E5436" s="130"/>
      <c r="F5436" s="131"/>
      <c r="G5436" s="132"/>
      <c r="H5436" s="162" t="s">
        <v>28408</v>
      </c>
      <c r="I5436" s="128"/>
      <c r="J5436" s="128"/>
      <c r="K5436" s="128"/>
      <c r="L5436" s="128"/>
      <c r="M5436" s="129"/>
      <c r="N5436" s="129"/>
      <c r="O5436" s="129"/>
    </row>
    <row r="5437" spans="1:15" ht="12.5">
      <c r="A5437" s="158" t="s">
        <v>28409</v>
      </c>
      <c r="B5437" s="159">
        <v>65</v>
      </c>
      <c r="C5437" s="159">
        <v>54</v>
      </c>
      <c r="D5437" s="159">
        <v>33</v>
      </c>
      <c r="E5437" s="159">
        <v>3</v>
      </c>
      <c r="F5437" s="131"/>
      <c r="G5437" s="132"/>
      <c r="H5437" s="162" t="s">
        <v>28410</v>
      </c>
      <c r="I5437" s="158" t="s">
        <v>28411</v>
      </c>
      <c r="J5437" s="128"/>
      <c r="K5437" s="128"/>
      <c r="L5437" s="128"/>
      <c r="M5437" s="129"/>
      <c r="N5437" s="129"/>
      <c r="O5437" s="129"/>
    </row>
    <row r="5438" spans="1:15" ht="12.5">
      <c r="A5438" s="158" t="s">
        <v>28412</v>
      </c>
      <c r="B5438" s="159">
        <v>65</v>
      </c>
      <c r="C5438" s="159">
        <v>54</v>
      </c>
      <c r="D5438" s="159">
        <v>33</v>
      </c>
      <c r="E5438" s="159">
        <v>5</v>
      </c>
      <c r="F5438" s="131"/>
      <c r="G5438" s="132"/>
      <c r="H5438" s="162" t="s">
        <v>28413</v>
      </c>
      <c r="I5438" s="158" t="s">
        <v>28414</v>
      </c>
      <c r="J5438" s="128"/>
      <c r="K5438" s="128"/>
      <c r="L5438" s="128"/>
      <c r="M5438" s="129"/>
      <c r="N5438" s="129"/>
      <c r="O5438" s="129"/>
    </row>
    <row r="5439" spans="1:15" ht="12.5">
      <c r="A5439" s="158" t="s">
        <v>28417</v>
      </c>
      <c r="B5439" s="159">
        <v>65</v>
      </c>
      <c r="C5439" s="159">
        <v>54</v>
      </c>
      <c r="D5439" s="159">
        <v>33</v>
      </c>
      <c r="E5439" s="159">
        <v>11</v>
      </c>
      <c r="F5439" s="131"/>
      <c r="G5439" s="132"/>
      <c r="H5439" s="162" t="s">
        <v>28418</v>
      </c>
      <c r="I5439" s="158" t="s">
        <v>28419</v>
      </c>
      <c r="J5439" s="128"/>
      <c r="K5439" s="128"/>
      <c r="L5439" s="128"/>
      <c r="M5439" s="129"/>
      <c r="N5439" s="129"/>
      <c r="O5439" s="129"/>
    </row>
    <row r="5440" spans="1:15" ht="12.5">
      <c r="A5440" s="158" t="s">
        <v>28424</v>
      </c>
      <c r="B5440" s="159">
        <v>65</v>
      </c>
      <c r="C5440" s="159">
        <v>54</v>
      </c>
      <c r="D5440" s="159">
        <v>33</v>
      </c>
      <c r="E5440" s="159">
        <v>14</v>
      </c>
      <c r="F5440" s="131"/>
      <c r="G5440" s="132"/>
      <c r="H5440" s="162" t="s">
        <v>28425</v>
      </c>
      <c r="I5440" s="128"/>
      <c r="J5440" s="128"/>
      <c r="K5440" s="128"/>
      <c r="L5440" s="128"/>
      <c r="M5440" s="129"/>
      <c r="N5440" s="129"/>
      <c r="O5440" s="129"/>
    </row>
    <row r="5441" spans="1:15" ht="12.5">
      <c r="A5441" s="158" t="s">
        <v>28426</v>
      </c>
      <c r="B5441" s="159">
        <v>65</v>
      </c>
      <c r="C5441" s="159">
        <v>54</v>
      </c>
      <c r="D5441" s="159">
        <v>33</v>
      </c>
      <c r="E5441" s="159">
        <v>15</v>
      </c>
      <c r="F5441" s="131"/>
      <c r="G5441" s="132"/>
      <c r="H5441" s="162" t="s">
        <v>28427</v>
      </c>
      <c r="I5441" s="158" t="s">
        <v>28428</v>
      </c>
      <c r="J5441" s="128"/>
      <c r="K5441" s="128"/>
      <c r="L5441" s="128"/>
      <c r="M5441" s="129"/>
      <c r="N5441" s="129"/>
      <c r="O5441" s="129"/>
    </row>
    <row r="5442" spans="1:15" ht="12.5">
      <c r="A5442" s="158" t="s">
        <v>28429</v>
      </c>
      <c r="B5442" s="159">
        <v>65</v>
      </c>
      <c r="C5442" s="159">
        <v>54</v>
      </c>
      <c r="D5442" s="159">
        <v>33</v>
      </c>
      <c r="E5442" s="159">
        <v>17</v>
      </c>
      <c r="F5442" s="131"/>
      <c r="G5442" s="132"/>
      <c r="H5442" s="162" t="s">
        <v>28430</v>
      </c>
      <c r="I5442" s="128"/>
      <c r="J5442" s="128"/>
      <c r="K5442" s="128"/>
      <c r="L5442" s="128"/>
      <c r="M5442" s="129"/>
      <c r="N5442" s="129"/>
      <c r="O5442" s="129"/>
    </row>
    <row r="5443" spans="1:15" ht="12.5">
      <c r="A5443" s="158" t="s">
        <v>28431</v>
      </c>
      <c r="B5443" s="159">
        <v>65</v>
      </c>
      <c r="C5443" s="159">
        <v>54</v>
      </c>
      <c r="D5443" s="159">
        <v>33</v>
      </c>
      <c r="E5443" s="159">
        <v>31</v>
      </c>
      <c r="F5443" s="131"/>
      <c r="G5443" s="132"/>
      <c r="H5443" s="162" t="s">
        <v>28432</v>
      </c>
      <c r="I5443" s="128"/>
      <c r="J5443" s="128"/>
      <c r="K5443" s="128"/>
      <c r="L5443" s="128"/>
      <c r="M5443" s="129"/>
      <c r="N5443" s="129"/>
      <c r="O5443" s="129"/>
    </row>
    <row r="5444" spans="1:15" ht="12.5">
      <c r="A5444" s="158" t="s">
        <v>28433</v>
      </c>
      <c r="B5444" s="159">
        <v>65</v>
      </c>
      <c r="C5444" s="159">
        <v>54</v>
      </c>
      <c r="D5444" s="159">
        <v>33</v>
      </c>
      <c r="E5444" s="159">
        <v>33</v>
      </c>
      <c r="F5444" s="131"/>
      <c r="G5444" s="132"/>
      <c r="H5444" s="162" t="s">
        <v>28434</v>
      </c>
      <c r="I5444" s="158" t="s">
        <v>28435</v>
      </c>
      <c r="J5444" s="128"/>
      <c r="K5444" s="128"/>
      <c r="L5444" s="128"/>
      <c r="M5444" s="129"/>
      <c r="N5444" s="129"/>
      <c r="O5444" s="129"/>
    </row>
    <row r="5445" spans="1:15" ht="12.5">
      <c r="A5445" s="158" t="s">
        <v>28436</v>
      </c>
      <c r="B5445" s="159">
        <v>65</v>
      </c>
      <c r="C5445" s="159">
        <v>54</v>
      </c>
      <c r="D5445" s="159">
        <v>33</v>
      </c>
      <c r="E5445" s="159">
        <v>34</v>
      </c>
      <c r="F5445" s="131"/>
      <c r="G5445" s="132"/>
      <c r="H5445" s="162" t="s">
        <v>28437</v>
      </c>
      <c r="I5445" s="158" t="s">
        <v>28438</v>
      </c>
      <c r="J5445" s="128"/>
      <c r="K5445" s="128"/>
      <c r="L5445" s="128"/>
      <c r="M5445" s="129"/>
      <c r="N5445" s="129"/>
      <c r="O5445" s="129"/>
    </row>
    <row r="5446" spans="1:15" ht="12.5">
      <c r="A5446" s="158" t="s">
        <v>28439</v>
      </c>
      <c r="B5446" s="159">
        <v>65</v>
      </c>
      <c r="C5446" s="159">
        <v>54</v>
      </c>
      <c r="D5446" s="159">
        <v>33</v>
      </c>
      <c r="E5446" s="159">
        <v>35</v>
      </c>
      <c r="F5446" s="131"/>
      <c r="G5446" s="132"/>
      <c r="H5446" s="162" t="s">
        <v>28440</v>
      </c>
      <c r="I5446" s="158" t="s">
        <v>28441</v>
      </c>
      <c r="J5446" s="128"/>
      <c r="K5446" s="128"/>
      <c r="L5446" s="128"/>
      <c r="M5446" s="129"/>
      <c r="N5446" s="129"/>
      <c r="O5446" s="129"/>
    </row>
    <row r="5447" spans="1:15" ht="12.5">
      <c r="A5447" s="158" t="s">
        <v>28442</v>
      </c>
      <c r="B5447" s="159">
        <v>65</v>
      </c>
      <c r="C5447" s="159">
        <v>54</v>
      </c>
      <c r="D5447" s="159">
        <v>33</v>
      </c>
      <c r="E5447" s="159">
        <v>36</v>
      </c>
      <c r="F5447" s="131"/>
      <c r="G5447" s="132"/>
      <c r="H5447" s="162" t="s">
        <v>28443</v>
      </c>
      <c r="I5447" s="158" t="s">
        <v>28444</v>
      </c>
      <c r="J5447" s="128"/>
      <c r="K5447" s="128"/>
      <c r="L5447" s="128"/>
      <c r="M5447" s="129"/>
      <c r="N5447" s="129"/>
      <c r="O5447" s="129"/>
    </row>
    <row r="5448" spans="1:15" ht="12.5">
      <c r="A5448" s="158" t="s">
        <v>28445</v>
      </c>
      <c r="B5448" s="159">
        <v>65</v>
      </c>
      <c r="C5448" s="159">
        <v>54</v>
      </c>
      <c r="D5448" s="159">
        <v>33</v>
      </c>
      <c r="E5448" s="159">
        <v>37</v>
      </c>
      <c r="F5448" s="131"/>
      <c r="G5448" s="132"/>
      <c r="H5448" s="162" t="s">
        <v>28446</v>
      </c>
      <c r="I5448" s="158" t="s">
        <v>28447</v>
      </c>
      <c r="J5448" s="128"/>
      <c r="K5448" s="128"/>
      <c r="L5448" s="128"/>
      <c r="M5448" s="129"/>
      <c r="N5448" s="129"/>
      <c r="O5448" s="129"/>
    </row>
    <row r="5449" spans="1:15" ht="12.5">
      <c r="A5449" s="158" t="s">
        <v>28448</v>
      </c>
      <c r="B5449" s="159">
        <v>65</v>
      </c>
      <c r="C5449" s="159">
        <v>54</v>
      </c>
      <c r="D5449" s="159">
        <v>33</v>
      </c>
      <c r="E5449" s="159">
        <v>38</v>
      </c>
      <c r="F5449" s="131"/>
      <c r="G5449" s="132"/>
      <c r="H5449" s="162" t="s">
        <v>28449</v>
      </c>
      <c r="I5449" s="158" t="s">
        <v>28450</v>
      </c>
      <c r="J5449" s="128"/>
      <c r="K5449" s="128"/>
      <c r="L5449" s="128"/>
      <c r="M5449" s="129"/>
      <c r="N5449" s="129"/>
      <c r="O5449" s="129"/>
    </row>
    <row r="5450" spans="1:15" ht="12.5">
      <c r="A5450" s="158" t="s">
        <v>28453</v>
      </c>
      <c r="B5450" s="159">
        <v>65</v>
      </c>
      <c r="C5450" s="159">
        <v>54</v>
      </c>
      <c r="D5450" s="159">
        <v>33</v>
      </c>
      <c r="E5450" s="159">
        <v>43</v>
      </c>
      <c r="F5450" s="131"/>
      <c r="G5450" s="132"/>
      <c r="H5450" s="162" t="s">
        <v>28454</v>
      </c>
      <c r="I5450" s="128"/>
      <c r="J5450" s="128"/>
      <c r="K5450" s="128"/>
      <c r="L5450" s="128"/>
      <c r="M5450" s="129"/>
      <c r="N5450" s="129"/>
      <c r="O5450" s="129"/>
    </row>
    <row r="5451" spans="1:15" ht="12.5">
      <c r="A5451" s="158" t="s">
        <v>28455</v>
      </c>
      <c r="B5451" s="159">
        <v>65</v>
      </c>
      <c r="C5451" s="159">
        <v>54</v>
      </c>
      <c r="D5451" s="159">
        <v>33</v>
      </c>
      <c r="E5451" s="159">
        <v>44</v>
      </c>
      <c r="F5451" s="131"/>
      <c r="G5451" s="132"/>
      <c r="H5451" s="162" t="s">
        <v>28456</v>
      </c>
      <c r="I5451" s="128"/>
      <c r="J5451" s="128"/>
      <c r="K5451" s="128"/>
      <c r="L5451" s="128"/>
      <c r="M5451" s="129"/>
      <c r="N5451" s="129"/>
      <c r="O5451" s="129"/>
    </row>
    <row r="5452" spans="1:15" ht="12.5">
      <c r="A5452" s="158" t="s">
        <v>28457</v>
      </c>
      <c r="B5452" s="159">
        <v>65</v>
      </c>
      <c r="C5452" s="159">
        <v>54</v>
      </c>
      <c r="D5452" s="159">
        <v>33</v>
      </c>
      <c r="E5452" s="159">
        <v>45</v>
      </c>
      <c r="F5452" s="131"/>
      <c r="G5452" s="132"/>
      <c r="H5452" s="162" t="s">
        <v>28458</v>
      </c>
      <c r="I5452" s="158" t="s">
        <v>28459</v>
      </c>
      <c r="J5452" s="128"/>
      <c r="K5452" s="128"/>
      <c r="L5452" s="128"/>
      <c r="M5452" s="129"/>
      <c r="N5452" s="129"/>
      <c r="O5452" s="129"/>
    </row>
    <row r="5453" spans="1:15" ht="12.5">
      <c r="A5453" s="158" t="s">
        <v>28460</v>
      </c>
      <c r="B5453" s="159">
        <v>65</v>
      </c>
      <c r="C5453" s="159">
        <v>54</v>
      </c>
      <c r="D5453" s="159">
        <v>33</v>
      </c>
      <c r="E5453" s="159">
        <v>46</v>
      </c>
      <c r="F5453" s="131"/>
      <c r="G5453" s="132"/>
      <c r="H5453" s="162" t="s">
        <v>28461</v>
      </c>
      <c r="I5453" s="128"/>
      <c r="J5453" s="128"/>
      <c r="K5453" s="128"/>
      <c r="L5453" s="128"/>
      <c r="M5453" s="129"/>
      <c r="N5453" s="129"/>
      <c r="O5453" s="129"/>
    </row>
    <row r="5454" spans="1:15" ht="12.5">
      <c r="A5454" s="158" t="s">
        <v>28462</v>
      </c>
      <c r="B5454" s="159">
        <v>65</v>
      </c>
      <c r="C5454" s="159">
        <v>54</v>
      </c>
      <c r="D5454" s="159">
        <v>33</v>
      </c>
      <c r="E5454" s="159">
        <v>47</v>
      </c>
      <c r="F5454" s="131"/>
      <c r="G5454" s="132"/>
      <c r="H5454" s="162" t="s">
        <v>28463</v>
      </c>
      <c r="I5454" s="158" t="s">
        <v>28464</v>
      </c>
      <c r="J5454" s="128"/>
      <c r="K5454" s="128"/>
      <c r="L5454" s="128"/>
      <c r="M5454" s="129"/>
      <c r="N5454" s="129"/>
      <c r="O5454" s="129"/>
    </row>
    <row r="5455" spans="1:15" ht="12.5">
      <c r="A5455" s="158" t="s">
        <v>28465</v>
      </c>
      <c r="B5455" s="159">
        <v>65</v>
      </c>
      <c r="C5455" s="159">
        <v>54</v>
      </c>
      <c r="D5455" s="159">
        <v>33</v>
      </c>
      <c r="E5455" s="159">
        <v>48</v>
      </c>
      <c r="F5455" s="131"/>
      <c r="G5455" s="132"/>
      <c r="H5455" s="162" t="s">
        <v>28466</v>
      </c>
      <c r="I5455" s="158" t="s">
        <v>28467</v>
      </c>
      <c r="J5455" s="128"/>
      <c r="K5455" s="128"/>
      <c r="L5455" s="128"/>
      <c r="M5455" s="129"/>
      <c r="N5455" s="129"/>
      <c r="O5455" s="129"/>
    </row>
    <row r="5456" spans="1:15" ht="12.5">
      <c r="A5456" s="158" t="s">
        <v>28468</v>
      </c>
      <c r="B5456" s="159">
        <v>65</v>
      </c>
      <c r="C5456" s="159">
        <v>54</v>
      </c>
      <c r="D5456" s="159">
        <v>33</v>
      </c>
      <c r="E5456" s="159">
        <v>49</v>
      </c>
      <c r="F5456" s="131"/>
      <c r="G5456" s="132"/>
      <c r="H5456" s="162" t="s">
        <v>28469</v>
      </c>
      <c r="I5456" s="158" t="s">
        <v>28470</v>
      </c>
      <c r="J5456" s="128"/>
      <c r="K5456" s="128"/>
      <c r="L5456" s="128"/>
      <c r="M5456" s="129"/>
      <c r="N5456" s="129"/>
      <c r="O5456" s="129"/>
    </row>
    <row r="5457" spans="1:15" ht="12.5">
      <c r="A5457" s="158" t="s">
        <v>28471</v>
      </c>
      <c r="B5457" s="159">
        <v>65</v>
      </c>
      <c r="C5457" s="159">
        <v>54</v>
      </c>
      <c r="D5457" s="159">
        <v>33</v>
      </c>
      <c r="E5457" s="159">
        <v>50</v>
      </c>
      <c r="F5457" s="131"/>
      <c r="G5457" s="132"/>
      <c r="H5457" s="162" t="s">
        <v>28472</v>
      </c>
      <c r="I5457" s="158" t="s">
        <v>28473</v>
      </c>
      <c r="J5457" s="128"/>
      <c r="K5457" s="128"/>
      <c r="L5457" s="128"/>
      <c r="M5457" s="129"/>
      <c r="N5457" s="129"/>
      <c r="O5457" s="129"/>
    </row>
    <row r="5458" spans="1:15" ht="12.5">
      <c r="A5458" s="158" t="s">
        <v>28474</v>
      </c>
      <c r="B5458" s="159">
        <v>65</v>
      </c>
      <c r="C5458" s="159">
        <v>54</v>
      </c>
      <c r="D5458" s="159">
        <v>33</v>
      </c>
      <c r="E5458" s="159">
        <v>51</v>
      </c>
      <c r="F5458" s="131"/>
      <c r="G5458" s="132"/>
      <c r="H5458" s="162" t="s">
        <v>28475</v>
      </c>
      <c r="I5458" s="158" t="s">
        <v>28476</v>
      </c>
      <c r="J5458" s="128"/>
      <c r="K5458" s="128"/>
      <c r="L5458" s="128"/>
      <c r="M5458" s="129"/>
      <c r="N5458" s="129"/>
      <c r="O5458" s="129"/>
    </row>
    <row r="5459" spans="1:15" ht="12.5">
      <c r="A5459" s="158" t="s">
        <v>28477</v>
      </c>
      <c r="B5459" s="159">
        <v>65</v>
      </c>
      <c r="C5459" s="159">
        <v>54</v>
      </c>
      <c r="D5459" s="159">
        <v>33</v>
      </c>
      <c r="E5459" s="159">
        <v>52</v>
      </c>
      <c r="F5459" s="131"/>
      <c r="G5459" s="132"/>
      <c r="H5459" s="162" t="s">
        <v>28478</v>
      </c>
      <c r="I5459" s="158" t="s">
        <v>28479</v>
      </c>
      <c r="J5459" s="128"/>
      <c r="K5459" s="128"/>
      <c r="L5459" s="128"/>
      <c r="M5459" s="129"/>
      <c r="N5459" s="129"/>
      <c r="O5459" s="129"/>
    </row>
    <row r="5460" spans="1:15" ht="12.5">
      <c r="A5460" s="158" t="s">
        <v>28480</v>
      </c>
      <c r="B5460" s="159">
        <v>65</v>
      </c>
      <c r="C5460" s="159">
        <v>54</v>
      </c>
      <c r="D5460" s="159">
        <v>33</v>
      </c>
      <c r="E5460" s="159">
        <v>53</v>
      </c>
      <c r="F5460" s="131"/>
      <c r="G5460" s="132"/>
      <c r="H5460" s="162" t="s">
        <v>28481</v>
      </c>
      <c r="I5460" s="158" t="s">
        <v>28482</v>
      </c>
      <c r="J5460" s="128"/>
      <c r="K5460" s="128"/>
      <c r="L5460" s="128"/>
      <c r="M5460" s="129"/>
      <c r="N5460" s="129"/>
      <c r="O5460" s="129"/>
    </row>
    <row r="5461" spans="1:15" ht="12.5">
      <c r="A5461" s="158" t="s">
        <v>28483</v>
      </c>
      <c r="B5461" s="159">
        <v>65</v>
      </c>
      <c r="C5461" s="159">
        <v>54</v>
      </c>
      <c r="D5461" s="159">
        <v>33</v>
      </c>
      <c r="E5461" s="159">
        <v>54</v>
      </c>
      <c r="F5461" s="131"/>
      <c r="G5461" s="132"/>
      <c r="H5461" s="162" t="s">
        <v>28484</v>
      </c>
      <c r="I5461" s="158" t="s">
        <v>28485</v>
      </c>
      <c r="J5461" s="128"/>
      <c r="K5461" s="128"/>
      <c r="L5461" s="128"/>
      <c r="M5461" s="129"/>
      <c r="N5461" s="129"/>
      <c r="O5461" s="129"/>
    </row>
    <row r="5462" spans="1:15" ht="12.5">
      <c r="A5462" s="158" t="s">
        <v>28486</v>
      </c>
      <c r="B5462" s="159">
        <v>65</v>
      </c>
      <c r="C5462" s="159">
        <v>54</v>
      </c>
      <c r="D5462" s="159">
        <v>33</v>
      </c>
      <c r="E5462" s="159">
        <v>55</v>
      </c>
      <c r="F5462" s="131"/>
      <c r="G5462" s="132"/>
      <c r="H5462" s="162" t="s">
        <v>28487</v>
      </c>
      <c r="I5462" s="158" t="s">
        <v>28488</v>
      </c>
      <c r="J5462" s="128"/>
      <c r="K5462" s="128"/>
      <c r="L5462" s="128"/>
      <c r="M5462" s="129"/>
      <c r="N5462" s="129"/>
      <c r="O5462" s="129"/>
    </row>
    <row r="5463" spans="1:15" ht="12.5">
      <c r="A5463" s="158" t="s">
        <v>28489</v>
      </c>
      <c r="B5463" s="159">
        <v>65</v>
      </c>
      <c r="C5463" s="159">
        <v>54</v>
      </c>
      <c r="D5463" s="159">
        <v>33</v>
      </c>
      <c r="E5463" s="159">
        <v>57</v>
      </c>
      <c r="F5463" s="131"/>
      <c r="G5463" s="132"/>
      <c r="H5463" s="162" t="s">
        <v>28490</v>
      </c>
      <c r="I5463" s="158" t="s">
        <v>28491</v>
      </c>
      <c r="J5463" s="128"/>
      <c r="K5463" s="128"/>
      <c r="L5463" s="128"/>
      <c r="M5463" s="129"/>
      <c r="N5463" s="129"/>
      <c r="O5463" s="129"/>
    </row>
    <row r="5464" spans="1:15" ht="12.5">
      <c r="A5464" s="158" t="s">
        <v>28492</v>
      </c>
      <c r="B5464" s="159">
        <v>65</v>
      </c>
      <c r="C5464" s="159">
        <v>54</v>
      </c>
      <c r="D5464" s="159">
        <v>33</v>
      </c>
      <c r="E5464" s="159">
        <v>65</v>
      </c>
      <c r="F5464" s="131"/>
      <c r="G5464" s="132"/>
      <c r="H5464" s="162" t="s">
        <v>28493</v>
      </c>
      <c r="I5464" s="158" t="s">
        <v>28494</v>
      </c>
      <c r="J5464" s="128"/>
      <c r="K5464" s="128"/>
      <c r="L5464" s="128"/>
      <c r="M5464" s="129"/>
      <c r="N5464" s="129"/>
      <c r="O5464" s="129"/>
    </row>
    <row r="5465" spans="1:15" ht="12.5">
      <c r="A5465" s="158" t="s">
        <v>28495</v>
      </c>
      <c r="B5465" s="159">
        <v>65</v>
      </c>
      <c r="C5465" s="159">
        <v>54</v>
      </c>
      <c r="D5465" s="159">
        <v>33</v>
      </c>
      <c r="E5465" s="159">
        <v>70</v>
      </c>
      <c r="F5465" s="131"/>
      <c r="G5465" s="132"/>
      <c r="H5465" s="162" t="s">
        <v>28496</v>
      </c>
      <c r="I5465" s="128"/>
      <c r="J5465" s="128"/>
      <c r="K5465" s="128"/>
      <c r="L5465" s="128"/>
      <c r="M5465" s="129"/>
      <c r="N5465" s="129"/>
      <c r="O5465" s="129"/>
    </row>
    <row r="5466" spans="1:15" ht="12.5">
      <c r="A5466" s="158" t="s">
        <v>28497</v>
      </c>
      <c r="B5466" s="159">
        <v>65</v>
      </c>
      <c r="C5466" s="159">
        <v>54</v>
      </c>
      <c r="D5466" s="159">
        <v>33</v>
      </c>
      <c r="E5466" s="159">
        <v>71</v>
      </c>
      <c r="F5466" s="131"/>
      <c r="G5466" s="132"/>
      <c r="H5466" s="162" t="s">
        <v>28498</v>
      </c>
      <c r="I5466" s="158" t="s">
        <v>28499</v>
      </c>
      <c r="J5466" s="128"/>
      <c r="K5466" s="128"/>
      <c r="L5466" s="128"/>
      <c r="M5466" s="129"/>
      <c r="N5466" s="129"/>
      <c r="O5466" s="129"/>
    </row>
    <row r="5467" spans="1:15" ht="12.5">
      <c r="A5467" s="158" t="s">
        <v>28500</v>
      </c>
      <c r="B5467" s="159">
        <v>65</v>
      </c>
      <c r="C5467" s="159">
        <v>54</v>
      </c>
      <c r="D5467" s="159">
        <v>33</v>
      </c>
      <c r="E5467" s="159">
        <v>74</v>
      </c>
      <c r="F5467" s="131"/>
      <c r="G5467" s="132"/>
      <c r="H5467" s="162" t="s">
        <v>28501</v>
      </c>
      <c r="I5467" s="128"/>
      <c r="J5467" s="128"/>
      <c r="K5467" s="128"/>
      <c r="L5467" s="128"/>
      <c r="M5467" s="129"/>
      <c r="N5467" s="129"/>
      <c r="O5467" s="129"/>
    </row>
    <row r="5468" spans="1:15" ht="12.5">
      <c r="A5468" s="158" t="s">
        <v>28502</v>
      </c>
      <c r="B5468" s="159">
        <v>65</v>
      </c>
      <c r="C5468" s="159">
        <v>54</v>
      </c>
      <c r="D5468" s="159">
        <v>33</v>
      </c>
      <c r="E5468" s="159">
        <v>76</v>
      </c>
      <c r="F5468" s="131"/>
      <c r="G5468" s="132"/>
      <c r="H5468" s="162" t="s">
        <v>28503</v>
      </c>
      <c r="I5468" s="158" t="s">
        <v>28504</v>
      </c>
      <c r="J5468" s="128"/>
      <c r="K5468" s="128"/>
      <c r="L5468" s="128"/>
      <c r="M5468" s="129"/>
      <c r="N5468" s="129"/>
      <c r="O5468" s="129"/>
    </row>
    <row r="5469" spans="1:15" ht="12.5">
      <c r="A5469" s="158" t="s">
        <v>28505</v>
      </c>
      <c r="B5469" s="159">
        <v>65</v>
      </c>
      <c r="C5469" s="159">
        <v>54</v>
      </c>
      <c r="D5469" s="159">
        <v>33</v>
      </c>
      <c r="E5469" s="159">
        <v>78</v>
      </c>
      <c r="F5469" s="131"/>
      <c r="G5469" s="132"/>
      <c r="H5469" s="162" t="s">
        <v>28506</v>
      </c>
      <c r="I5469" s="158" t="s">
        <v>28507</v>
      </c>
      <c r="J5469" s="128"/>
      <c r="K5469" s="128"/>
      <c r="L5469" s="128"/>
      <c r="M5469" s="129"/>
      <c r="N5469" s="129"/>
      <c r="O5469" s="129"/>
    </row>
    <row r="5470" spans="1:15" ht="12.5">
      <c r="A5470" s="158" t="s">
        <v>28508</v>
      </c>
      <c r="B5470" s="159">
        <v>65</v>
      </c>
      <c r="C5470" s="159">
        <v>54</v>
      </c>
      <c r="D5470" s="159">
        <v>33</v>
      </c>
      <c r="E5470" s="159">
        <v>84</v>
      </c>
      <c r="F5470" s="131"/>
      <c r="G5470" s="132"/>
      <c r="H5470" s="162" t="s">
        <v>28509</v>
      </c>
      <c r="I5470" s="158" t="s">
        <v>28510</v>
      </c>
      <c r="J5470" s="128"/>
      <c r="K5470" s="128"/>
      <c r="L5470" s="128"/>
      <c r="M5470" s="129"/>
      <c r="N5470" s="129"/>
      <c r="O5470" s="129"/>
    </row>
    <row r="5471" spans="1:15" ht="12.5">
      <c r="A5471" s="158" t="s">
        <v>28511</v>
      </c>
      <c r="B5471" s="159">
        <v>65</v>
      </c>
      <c r="C5471" s="159">
        <v>54</v>
      </c>
      <c r="D5471" s="159">
        <v>33</v>
      </c>
      <c r="E5471" s="159">
        <v>87</v>
      </c>
      <c r="F5471" s="131"/>
      <c r="G5471" s="132"/>
      <c r="H5471" s="162" t="s">
        <v>28512</v>
      </c>
      <c r="I5471" s="158" t="s">
        <v>28513</v>
      </c>
      <c r="J5471" s="128"/>
      <c r="K5471" s="128"/>
      <c r="L5471" s="128"/>
      <c r="M5471" s="129"/>
      <c r="N5471" s="129"/>
      <c r="O5471" s="129"/>
    </row>
    <row r="5472" spans="1:15" ht="12.5">
      <c r="A5472" s="158" t="s">
        <v>28516</v>
      </c>
      <c r="B5472" s="159">
        <v>65</v>
      </c>
      <c r="C5472" s="159">
        <v>54</v>
      </c>
      <c r="D5472" s="159">
        <v>33</v>
      </c>
      <c r="E5472" s="159">
        <v>94</v>
      </c>
      <c r="F5472" s="131"/>
      <c r="G5472" s="132"/>
      <c r="H5472" s="162" t="s">
        <v>28517</v>
      </c>
      <c r="I5472" s="158" t="s">
        <v>28518</v>
      </c>
      <c r="J5472" s="128"/>
      <c r="K5472" s="128"/>
      <c r="L5472" s="128"/>
      <c r="M5472" s="129"/>
      <c r="N5472" s="129"/>
      <c r="O5472" s="129"/>
    </row>
    <row r="5473" spans="1:15" ht="12.5">
      <c r="A5473" s="158" t="s">
        <v>28519</v>
      </c>
      <c r="B5473" s="159">
        <v>65</v>
      </c>
      <c r="C5473" s="159">
        <v>54</v>
      </c>
      <c r="D5473" s="159">
        <v>40</v>
      </c>
      <c r="E5473" s="130"/>
      <c r="F5473" s="131"/>
      <c r="G5473" s="132"/>
      <c r="H5473" s="162" t="s">
        <v>28520</v>
      </c>
      <c r="I5473" s="128"/>
      <c r="J5473" s="128"/>
      <c r="K5473" s="128"/>
      <c r="L5473" s="128"/>
      <c r="M5473" s="129"/>
      <c r="N5473" s="129"/>
      <c r="O5473" s="129"/>
    </row>
    <row r="5474" spans="1:15" ht="12.5">
      <c r="A5474" s="158" t="s">
        <v>28521</v>
      </c>
      <c r="B5474" s="159">
        <v>65</v>
      </c>
      <c r="C5474" s="159">
        <v>54</v>
      </c>
      <c r="D5474" s="159">
        <v>40</v>
      </c>
      <c r="E5474" s="159">
        <v>2</v>
      </c>
      <c r="F5474" s="131"/>
      <c r="G5474" s="132"/>
      <c r="H5474" s="162" t="s">
        <v>28522</v>
      </c>
      <c r="I5474" s="158" t="s">
        <v>28523</v>
      </c>
      <c r="J5474" s="128"/>
      <c r="K5474" s="128"/>
      <c r="L5474" s="128"/>
      <c r="M5474" s="129"/>
      <c r="N5474" s="129"/>
      <c r="O5474" s="129"/>
    </row>
    <row r="5475" spans="1:15" ht="12.5">
      <c r="A5475" s="158" t="s">
        <v>28524</v>
      </c>
      <c r="B5475" s="159">
        <v>65</v>
      </c>
      <c r="C5475" s="159">
        <v>54</v>
      </c>
      <c r="D5475" s="159">
        <v>40</v>
      </c>
      <c r="E5475" s="159">
        <v>13</v>
      </c>
      <c r="F5475" s="131"/>
      <c r="G5475" s="132"/>
      <c r="H5475" s="162" t="s">
        <v>28525</v>
      </c>
      <c r="I5475" s="158" t="s">
        <v>28526</v>
      </c>
      <c r="J5475" s="128"/>
      <c r="K5475" s="128"/>
      <c r="L5475" s="128"/>
      <c r="M5475" s="129"/>
      <c r="N5475" s="129"/>
      <c r="O5475" s="129"/>
    </row>
    <row r="5476" spans="1:15" ht="12.5">
      <c r="A5476" s="158" t="s">
        <v>28527</v>
      </c>
      <c r="B5476" s="159">
        <v>65</v>
      </c>
      <c r="C5476" s="159">
        <v>54</v>
      </c>
      <c r="D5476" s="159">
        <v>40</v>
      </c>
      <c r="E5476" s="159">
        <v>16</v>
      </c>
      <c r="F5476" s="131"/>
      <c r="G5476" s="132"/>
      <c r="H5476" s="162" t="s">
        <v>28528</v>
      </c>
      <c r="I5476" s="158" t="s">
        <v>28529</v>
      </c>
      <c r="J5476" s="128"/>
      <c r="K5476" s="128"/>
      <c r="L5476" s="128"/>
      <c r="M5476" s="129"/>
      <c r="N5476" s="129"/>
      <c r="O5476" s="129"/>
    </row>
    <row r="5477" spans="1:15" ht="12.5">
      <c r="A5477" s="158" t="s">
        <v>28530</v>
      </c>
      <c r="B5477" s="159">
        <v>65</v>
      </c>
      <c r="C5477" s="159">
        <v>54</v>
      </c>
      <c r="D5477" s="159">
        <v>40</v>
      </c>
      <c r="E5477" s="159">
        <v>44</v>
      </c>
      <c r="F5477" s="131"/>
      <c r="G5477" s="132"/>
      <c r="H5477" s="162" t="s">
        <v>28531</v>
      </c>
      <c r="I5477" s="158" t="s">
        <v>28532</v>
      </c>
      <c r="J5477" s="128"/>
      <c r="K5477" s="128"/>
      <c r="L5477" s="128"/>
      <c r="M5477" s="129"/>
      <c r="N5477" s="129"/>
      <c r="O5477" s="129"/>
    </row>
    <row r="5478" spans="1:15" ht="12.5">
      <c r="A5478" s="158" t="s">
        <v>28533</v>
      </c>
      <c r="B5478" s="159">
        <v>65</v>
      </c>
      <c r="C5478" s="159">
        <v>54</v>
      </c>
      <c r="D5478" s="159">
        <v>40</v>
      </c>
      <c r="E5478" s="159">
        <v>62</v>
      </c>
      <c r="F5478" s="131"/>
      <c r="G5478" s="132"/>
      <c r="H5478" s="162" t="s">
        <v>28534</v>
      </c>
      <c r="I5478" s="158" t="s">
        <v>28535</v>
      </c>
      <c r="J5478" s="128"/>
      <c r="K5478" s="128"/>
      <c r="L5478" s="128"/>
      <c r="M5478" s="129"/>
      <c r="N5478" s="129"/>
      <c r="O5478" s="129"/>
    </row>
    <row r="5479" spans="1:15" ht="12.5">
      <c r="A5479" s="158" t="s">
        <v>28536</v>
      </c>
      <c r="B5479" s="159">
        <v>65</v>
      </c>
      <c r="C5479" s="159">
        <v>54</v>
      </c>
      <c r="D5479" s="159">
        <v>40</v>
      </c>
      <c r="E5479" s="159">
        <v>94</v>
      </c>
      <c r="F5479" s="131"/>
      <c r="G5479" s="132"/>
      <c r="H5479" s="162" t="s">
        <v>28537</v>
      </c>
      <c r="I5479" s="158" t="s">
        <v>28538</v>
      </c>
      <c r="J5479" s="128"/>
      <c r="K5479" s="128"/>
      <c r="L5479" s="128"/>
      <c r="M5479" s="129"/>
      <c r="N5479" s="129"/>
      <c r="O5479" s="129"/>
    </row>
    <row r="5480" spans="1:15" ht="12.5">
      <c r="A5480" s="158" t="s">
        <v>28539</v>
      </c>
      <c r="B5480" s="159">
        <v>65</v>
      </c>
      <c r="C5480" s="159">
        <v>54</v>
      </c>
      <c r="D5480" s="159">
        <v>85</v>
      </c>
      <c r="E5480" s="130"/>
      <c r="F5480" s="131"/>
      <c r="G5480" s="132"/>
      <c r="H5480" s="162" t="s">
        <v>28540</v>
      </c>
      <c r="I5480" s="128"/>
      <c r="J5480" s="128"/>
      <c r="K5480" s="128"/>
      <c r="L5480" s="128"/>
      <c r="M5480" s="129"/>
      <c r="N5480" s="129"/>
      <c r="O5480" s="129"/>
    </row>
    <row r="5481" spans="1:15" ht="12.5">
      <c r="A5481" s="158" t="s">
        <v>28541</v>
      </c>
      <c r="B5481" s="159">
        <v>65</v>
      </c>
      <c r="C5481" s="159">
        <v>54</v>
      </c>
      <c r="D5481" s="159">
        <v>85</v>
      </c>
      <c r="E5481" s="159">
        <v>6</v>
      </c>
      <c r="F5481" s="131"/>
      <c r="G5481" s="132"/>
      <c r="H5481" s="162" t="s">
        <v>28542</v>
      </c>
      <c r="I5481" s="158" t="s">
        <v>28543</v>
      </c>
      <c r="J5481" s="128"/>
      <c r="K5481" s="128"/>
      <c r="L5481" s="128"/>
      <c r="M5481" s="129"/>
      <c r="N5481" s="129"/>
      <c r="O5481" s="129"/>
    </row>
    <row r="5482" spans="1:15" ht="12.5">
      <c r="A5482" s="158" t="s">
        <v>28544</v>
      </c>
      <c r="B5482" s="159">
        <v>65</v>
      </c>
      <c r="C5482" s="159">
        <v>54</v>
      </c>
      <c r="D5482" s="159">
        <v>85</v>
      </c>
      <c r="E5482" s="159">
        <v>7</v>
      </c>
      <c r="F5482" s="131"/>
      <c r="G5482" s="132"/>
      <c r="H5482" s="162" t="s">
        <v>28545</v>
      </c>
      <c r="I5482" s="158" t="s">
        <v>28546</v>
      </c>
      <c r="J5482" s="128"/>
      <c r="K5482" s="128"/>
      <c r="L5482" s="128"/>
      <c r="M5482" s="129"/>
      <c r="N5482" s="129"/>
      <c r="O5482" s="129"/>
    </row>
    <row r="5483" spans="1:15" ht="12.5">
      <c r="A5483" s="158" t="s">
        <v>28547</v>
      </c>
      <c r="B5483" s="159">
        <v>65</v>
      </c>
      <c r="C5483" s="159">
        <v>54</v>
      </c>
      <c r="D5483" s="159">
        <v>85</v>
      </c>
      <c r="E5483" s="159">
        <v>8</v>
      </c>
      <c r="F5483" s="131"/>
      <c r="G5483" s="132"/>
      <c r="H5483" s="162" t="s">
        <v>28548</v>
      </c>
      <c r="I5483" s="158" t="s">
        <v>28549</v>
      </c>
      <c r="J5483" s="128"/>
      <c r="K5483" s="128"/>
      <c r="L5483" s="128"/>
      <c r="M5483" s="129"/>
      <c r="N5483" s="129"/>
      <c r="O5483" s="129"/>
    </row>
    <row r="5484" spans="1:15" ht="12.5">
      <c r="A5484" s="158" t="s">
        <v>28550</v>
      </c>
      <c r="B5484" s="159">
        <v>65</v>
      </c>
      <c r="C5484" s="159">
        <v>54</v>
      </c>
      <c r="D5484" s="159">
        <v>85</v>
      </c>
      <c r="E5484" s="159">
        <v>22</v>
      </c>
      <c r="F5484" s="131"/>
      <c r="G5484" s="132"/>
      <c r="H5484" s="162" t="s">
        <v>28551</v>
      </c>
      <c r="I5484" s="158" t="s">
        <v>28552</v>
      </c>
      <c r="J5484" s="128"/>
      <c r="K5484" s="128"/>
      <c r="L5484" s="128"/>
      <c r="M5484" s="129"/>
      <c r="N5484" s="129"/>
      <c r="O5484" s="129"/>
    </row>
    <row r="5485" spans="1:15" ht="12.5">
      <c r="A5485" s="158" t="s">
        <v>28553</v>
      </c>
      <c r="B5485" s="159">
        <v>65</v>
      </c>
      <c r="C5485" s="159">
        <v>54</v>
      </c>
      <c r="D5485" s="159">
        <v>85</v>
      </c>
      <c r="E5485" s="159">
        <v>26</v>
      </c>
      <c r="F5485" s="131"/>
      <c r="G5485" s="132"/>
      <c r="H5485" s="162" t="s">
        <v>28554</v>
      </c>
      <c r="I5485" s="158" t="s">
        <v>28555</v>
      </c>
      <c r="J5485" s="128"/>
      <c r="K5485" s="128"/>
      <c r="L5485" s="128"/>
      <c r="M5485" s="129"/>
      <c r="N5485" s="129"/>
      <c r="O5485" s="129"/>
    </row>
    <row r="5486" spans="1:15" ht="12.5">
      <c r="A5486" s="158" t="s">
        <v>28556</v>
      </c>
      <c r="B5486" s="159">
        <v>65</v>
      </c>
      <c r="C5486" s="159">
        <v>54</v>
      </c>
      <c r="D5486" s="159">
        <v>85</v>
      </c>
      <c r="E5486" s="159">
        <v>60</v>
      </c>
      <c r="F5486" s="131"/>
      <c r="G5486" s="132"/>
      <c r="H5486" s="162" t="s">
        <v>28557</v>
      </c>
      <c r="I5486" s="158" t="s">
        <v>28558</v>
      </c>
      <c r="J5486" s="128"/>
      <c r="K5486" s="128"/>
      <c r="L5486" s="128"/>
      <c r="M5486" s="129"/>
      <c r="N5486" s="129"/>
      <c r="O5486" s="129"/>
    </row>
    <row r="5487" spans="1:15" ht="12.5">
      <c r="A5487" s="158" t="s">
        <v>28559</v>
      </c>
      <c r="B5487" s="159">
        <v>65</v>
      </c>
      <c r="C5487" s="159">
        <v>54</v>
      </c>
      <c r="D5487" s="159">
        <v>85</v>
      </c>
      <c r="E5487" s="159">
        <v>62</v>
      </c>
      <c r="F5487" s="131"/>
      <c r="G5487" s="132"/>
      <c r="H5487" s="162" t="s">
        <v>28560</v>
      </c>
      <c r="I5487" s="158" t="s">
        <v>28561</v>
      </c>
      <c r="J5487" s="128"/>
      <c r="K5487" s="128"/>
      <c r="L5487" s="128"/>
      <c r="M5487" s="129"/>
      <c r="N5487" s="129"/>
      <c r="O5487" s="129"/>
    </row>
    <row r="5488" spans="1:15" ht="12.5">
      <c r="A5488" s="158" t="s">
        <v>28562</v>
      </c>
      <c r="B5488" s="159">
        <v>65</v>
      </c>
      <c r="C5488" s="159">
        <v>54</v>
      </c>
      <c r="D5488" s="159">
        <v>85</v>
      </c>
      <c r="E5488" s="159">
        <v>65</v>
      </c>
      <c r="F5488" s="131"/>
      <c r="G5488" s="132"/>
      <c r="H5488" s="162" t="s">
        <v>28563</v>
      </c>
      <c r="I5488" s="158" t="s">
        <v>28564</v>
      </c>
      <c r="J5488" s="128"/>
      <c r="K5488" s="128"/>
      <c r="L5488" s="128"/>
      <c r="M5488" s="129"/>
      <c r="N5488" s="129"/>
      <c r="O5488" s="129"/>
    </row>
    <row r="5489" spans="1:15" ht="12.5">
      <c r="A5489" s="158" t="s">
        <v>28565</v>
      </c>
      <c r="B5489" s="159">
        <v>65</v>
      </c>
      <c r="C5489" s="159">
        <v>54</v>
      </c>
      <c r="D5489" s="159">
        <v>85</v>
      </c>
      <c r="E5489" s="159">
        <v>77</v>
      </c>
      <c r="F5489" s="131"/>
      <c r="G5489" s="132"/>
      <c r="H5489" s="162" t="s">
        <v>28566</v>
      </c>
      <c r="I5489" s="158" t="s">
        <v>28567</v>
      </c>
      <c r="J5489" s="128"/>
      <c r="K5489" s="128"/>
      <c r="L5489" s="128"/>
      <c r="M5489" s="129"/>
      <c r="N5489" s="129"/>
      <c r="O5489" s="129"/>
    </row>
    <row r="5490" spans="1:15" ht="12.5">
      <c r="A5490" s="158" t="s">
        <v>28568</v>
      </c>
      <c r="B5490" s="159">
        <v>65</v>
      </c>
      <c r="C5490" s="159">
        <v>54</v>
      </c>
      <c r="D5490" s="159">
        <v>85</v>
      </c>
      <c r="E5490" s="159">
        <v>78</v>
      </c>
      <c r="F5490" s="131"/>
      <c r="G5490" s="132"/>
      <c r="H5490" s="162" t="s">
        <v>28569</v>
      </c>
      <c r="I5490" s="158" t="s">
        <v>28570</v>
      </c>
      <c r="J5490" s="128"/>
      <c r="K5490" s="128"/>
      <c r="L5490" s="128"/>
      <c r="M5490" s="129"/>
      <c r="N5490" s="129"/>
      <c r="O5490" s="129"/>
    </row>
    <row r="5491" spans="1:15" ht="12.5">
      <c r="A5491" s="158" t="s">
        <v>28571</v>
      </c>
      <c r="B5491" s="159">
        <v>65</v>
      </c>
      <c r="C5491" s="159">
        <v>54</v>
      </c>
      <c r="D5491" s="159">
        <v>85</v>
      </c>
      <c r="E5491" s="159">
        <v>79</v>
      </c>
      <c r="F5491" s="131"/>
      <c r="G5491" s="132"/>
      <c r="H5491" s="162" t="s">
        <v>28572</v>
      </c>
      <c r="I5491" s="158" t="s">
        <v>28573</v>
      </c>
      <c r="J5491" s="128"/>
      <c r="K5491" s="128"/>
      <c r="L5491" s="128"/>
      <c r="M5491" s="129"/>
      <c r="N5491" s="129"/>
      <c r="O5491" s="129"/>
    </row>
    <row r="5492" spans="1:15" ht="12.5">
      <c r="A5492" s="158" t="s">
        <v>28574</v>
      </c>
      <c r="B5492" s="159">
        <v>65</v>
      </c>
      <c r="C5492" s="159">
        <v>54</v>
      </c>
      <c r="D5492" s="159">
        <v>85</v>
      </c>
      <c r="E5492" s="159">
        <v>88</v>
      </c>
      <c r="F5492" s="131"/>
      <c r="G5492" s="132"/>
      <c r="H5492" s="162" t="s">
        <v>28575</v>
      </c>
      <c r="I5492" s="158" t="s">
        <v>28576</v>
      </c>
      <c r="J5492" s="128"/>
      <c r="K5492" s="128"/>
      <c r="L5492" s="128"/>
      <c r="M5492" s="129"/>
      <c r="N5492" s="129"/>
      <c r="O5492" s="129"/>
    </row>
    <row r="5493" spans="1:15" ht="12.5">
      <c r="A5493" s="158" t="s">
        <v>28577</v>
      </c>
      <c r="B5493" s="159">
        <v>65</v>
      </c>
      <c r="C5493" s="159">
        <v>54</v>
      </c>
      <c r="D5493" s="159">
        <v>93</v>
      </c>
      <c r="E5493" s="130"/>
      <c r="F5493" s="131"/>
      <c r="G5493" s="132"/>
      <c r="H5493" s="162" t="s">
        <v>28578</v>
      </c>
      <c r="I5493" s="128"/>
      <c r="J5493" s="128"/>
      <c r="K5493" s="128"/>
      <c r="L5493" s="128"/>
      <c r="M5493" s="129"/>
      <c r="N5493" s="129"/>
      <c r="O5493" s="129"/>
    </row>
    <row r="5494" spans="1:15" ht="12.5">
      <c r="A5494" s="158" t="s">
        <v>28579</v>
      </c>
      <c r="B5494" s="159">
        <v>65</v>
      </c>
      <c r="C5494" s="159">
        <v>54</v>
      </c>
      <c r="D5494" s="159">
        <v>93</v>
      </c>
      <c r="E5494" s="159">
        <v>5</v>
      </c>
      <c r="F5494" s="131"/>
      <c r="G5494" s="132"/>
      <c r="H5494" s="162" t="s">
        <v>28580</v>
      </c>
      <c r="I5494" s="158" t="s">
        <v>28581</v>
      </c>
      <c r="J5494" s="128"/>
      <c r="K5494" s="128"/>
      <c r="L5494" s="128"/>
      <c r="M5494" s="129"/>
      <c r="N5494" s="129"/>
      <c r="O5494" s="129"/>
    </row>
    <row r="5495" spans="1:15" ht="12.5">
      <c r="A5495" s="158" t="s">
        <v>28582</v>
      </c>
      <c r="B5495" s="159">
        <v>65</v>
      </c>
      <c r="C5495" s="159">
        <v>54</v>
      </c>
      <c r="D5495" s="159">
        <v>93</v>
      </c>
      <c r="E5495" s="159">
        <v>6</v>
      </c>
      <c r="F5495" s="131"/>
      <c r="G5495" s="132"/>
      <c r="H5495" s="162" t="s">
        <v>28583</v>
      </c>
      <c r="I5495" s="158" t="s">
        <v>28584</v>
      </c>
      <c r="J5495" s="128"/>
      <c r="K5495" s="128"/>
      <c r="L5495" s="128"/>
      <c r="M5495" s="129"/>
      <c r="N5495" s="129"/>
      <c r="O5495" s="129"/>
    </row>
    <row r="5496" spans="1:15" ht="12.5">
      <c r="A5496" s="158" t="s">
        <v>28585</v>
      </c>
      <c r="B5496" s="159">
        <v>65</v>
      </c>
      <c r="C5496" s="159">
        <v>54</v>
      </c>
      <c r="D5496" s="159">
        <v>93</v>
      </c>
      <c r="E5496" s="159">
        <v>50</v>
      </c>
      <c r="F5496" s="131"/>
      <c r="G5496" s="132"/>
      <c r="H5496" s="162" t="s">
        <v>28586</v>
      </c>
      <c r="I5496" s="128"/>
      <c r="J5496" s="128"/>
      <c r="K5496" s="128"/>
      <c r="L5496" s="128"/>
      <c r="M5496" s="129"/>
      <c r="N5496" s="129"/>
      <c r="O5496" s="129"/>
    </row>
    <row r="5497" spans="1:15" ht="12.5">
      <c r="A5497" s="158" t="s">
        <v>28587</v>
      </c>
      <c r="B5497" s="159">
        <v>65</v>
      </c>
      <c r="C5497" s="159">
        <v>54</v>
      </c>
      <c r="D5497" s="159">
        <v>93</v>
      </c>
      <c r="E5497" s="159">
        <v>87</v>
      </c>
      <c r="F5497" s="131"/>
      <c r="G5497" s="132"/>
      <c r="H5497" s="162" t="s">
        <v>28588</v>
      </c>
      <c r="I5497" s="158" t="s">
        <v>28589</v>
      </c>
      <c r="J5497" s="128"/>
      <c r="K5497" s="128"/>
      <c r="L5497" s="128"/>
      <c r="M5497" s="129"/>
      <c r="N5497" s="129"/>
      <c r="O5497" s="129"/>
    </row>
    <row r="5498" spans="1:15" ht="12.5">
      <c r="A5498" s="158" t="s">
        <v>28590</v>
      </c>
      <c r="B5498" s="159">
        <v>65</v>
      </c>
      <c r="C5498" s="159">
        <v>54</v>
      </c>
      <c r="D5498" s="159">
        <v>93</v>
      </c>
      <c r="E5498" s="159">
        <v>88</v>
      </c>
      <c r="F5498" s="131"/>
      <c r="G5498" s="132"/>
      <c r="H5498" s="162" t="s">
        <v>28591</v>
      </c>
      <c r="I5498" s="158" t="s">
        <v>28592</v>
      </c>
      <c r="J5498" s="128"/>
      <c r="K5498" s="128"/>
      <c r="L5498" s="128"/>
      <c r="M5498" s="129"/>
      <c r="N5498" s="129"/>
      <c r="O5498" s="129"/>
    </row>
    <row r="5499" spans="1:15" ht="12.5">
      <c r="A5499" s="158" t="s">
        <v>28593</v>
      </c>
      <c r="B5499" s="159">
        <v>65</v>
      </c>
      <c r="C5499" s="159">
        <v>54</v>
      </c>
      <c r="D5499" s="159">
        <v>93</v>
      </c>
      <c r="E5499" s="159">
        <v>94</v>
      </c>
      <c r="F5499" s="131"/>
      <c r="G5499" s="132"/>
      <c r="H5499" s="162" t="s">
        <v>28594</v>
      </c>
      <c r="I5499" s="158" t="s">
        <v>28595</v>
      </c>
      <c r="J5499" s="128"/>
      <c r="K5499" s="128"/>
      <c r="L5499" s="128"/>
      <c r="M5499" s="129"/>
      <c r="N5499" s="129"/>
      <c r="O5499" s="129"/>
    </row>
    <row r="5500" spans="1:15" ht="12.5">
      <c r="A5500" s="158" t="s">
        <v>28596</v>
      </c>
      <c r="B5500" s="159">
        <v>65</v>
      </c>
      <c r="C5500" s="159">
        <v>54</v>
      </c>
      <c r="D5500" s="159">
        <v>94</v>
      </c>
      <c r="E5500" s="130"/>
      <c r="F5500" s="131"/>
      <c r="G5500" s="132"/>
      <c r="H5500" s="162" t="s">
        <v>28597</v>
      </c>
      <c r="I5500" s="128"/>
      <c r="J5500" s="128"/>
      <c r="K5500" s="128"/>
      <c r="L5500" s="128"/>
      <c r="M5500" s="129"/>
      <c r="N5500" s="129"/>
      <c r="O5500" s="129"/>
    </row>
    <row r="5501" spans="1:15" ht="12.5">
      <c r="A5501" s="158" t="s">
        <v>28598</v>
      </c>
      <c r="B5501" s="159">
        <v>65</v>
      </c>
      <c r="C5501" s="159">
        <v>54</v>
      </c>
      <c r="D5501" s="159">
        <v>94</v>
      </c>
      <c r="E5501" s="159">
        <v>3</v>
      </c>
      <c r="F5501" s="131"/>
      <c r="G5501" s="132"/>
      <c r="H5501" s="162" t="s">
        <v>28599</v>
      </c>
      <c r="I5501" s="158" t="s">
        <v>28600</v>
      </c>
      <c r="J5501" s="128"/>
      <c r="K5501" s="128"/>
      <c r="L5501" s="128"/>
      <c r="M5501" s="129"/>
      <c r="N5501" s="129"/>
      <c r="O5501" s="129"/>
    </row>
    <row r="5502" spans="1:15" ht="12.5">
      <c r="A5502" s="158" t="s">
        <v>28601</v>
      </c>
      <c r="B5502" s="159">
        <v>65</v>
      </c>
      <c r="C5502" s="159">
        <v>54</v>
      </c>
      <c r="D5502" s="159">
        <v>94</v>
      </c>
      <c r="E5502" s="159">
        <v>11</v>
      </c>
      <c r="F5502" s="131"/>
      <c r="G5502" s="132"/>
      <c r="H5502" s="162" t="s">
        <v>28602</v>
      </c>
      <c r="I5502" s="158" t="s">
        <v>28603</v>
      </c>
      <c r="J5502" s="128"/>
      <c r="K5502" s="128"/>
      <c r="L5502" s="128"/>
      <c r="M5502" s="129"/>
      <c r="N5502" s="129"/>
      <c r="O5502" s="129"/>
    </row>
    <row r="5503" spans="1:15" ht="12.5">
      <c r="A5503" s="158" t="s">
        <v>28604</v>
      </c>
      <c r="B5503" s="159">
        <v>65</v>
      </c>
      <c r="C5503" s="159">
        <v>54</v>
      </c>
      <c r="D5503" s="159">
        <v>94</v>
      </c>
      <c r="E5503" s="159">
        <v>22</v>
      </c>
      <c r="F5503" s="131"/>
      <c r="G5503" s="132"/>
      <c r="H5503" s="162" t="s">
        <v>28605</v>
      </c>
      <c r="I5503" s="158" t="s">
        <v>28606</v>
      </c>
      <c r="J5503" s="128"/>
      <c r="K5503" s="128"/>
      <c r="L5503" s="128"/>
      <c r="M5503" s="129"/>
      <c r="N5503" s="129"/>
      <c r="O5503" s="129"/>
    </row>
    <row r="5504" spans="1:15" ht="12.5">
      <c r="A5504" s="158" t="s">
        <v>28607</v>
      </c>
      <c r="B5504" s="159">
        <v>65</v>
      </c>
      <c r="C5504" s="159">
        <v>54</v>
      </c>
      <c r="D5504" s="159">
        <v>94</v>
      </c>
      <c r="E5504" s="159">
        <v>23</v>
      </c>
      <c r="F5504" s="131"/>
      <c r="G5504" s="132"/>
      <c r="H5504" s="162" t="s">
        <v>28608</v>
      </c>
      <c r="I5504" s="158" t="s">
        <v>28609</v>
      </c>
      <c r="J5504" s="128"/>
      <c r="K5504" s="128"/>
      <c r="L5504" s="128"/>
      <c r="M5504" s="129"/>
      <c r="N5504" s="129"/>
      <c r="O5504" s="129"/>
    </row>
    <row r="5505" spans="1:15" ht="12.5">
      <c r="A5505" s="158" t="s">
        <v>28610</v>
      </c>
      <c r="B5505" s="159">
        <v>65</v>
      </c>
      <c r="C5505" s="159">
        <v>54</v>
      </c>
      <c r="D5505" s="159">
        <v>94</v>
      </c>
      <c r="E5505" s="159">
        <v>24</v>
      </c>
      <c r="F5505" s="131"/>
      <c r="G5505" s="132"/>
      <c r="H5505" s="162" t="s">
        <v>28611</v>
      </c>
      <c r="I5505" s="158" t="s">
        <v>28612</v>
      </c>
      <c r="J5505" s="128"/>
      <c r="K5505" s="128"/>
      <c r="L5505" s="128"/>
      <c r="M5505" s="129"/>
      <c r="N5505" s="129"/>
      <c r="O5505" s="129"/>
    </row>
    <row r="5506" spans="1:15" ht="12.5">
      <c r="A5506" s="158" t="s">
        <v>28613</v>
      </c>
      <c r="B5506" s="159">
        <v>65</v>
      </c>
      <c r="C5506" s="159">
        <v>54</v>
      </c>
      <c r="D5506" s="159">
        <v>94</v>
      </c>
      <c r="E5506" s="159">
        <v>26</v>
      </c>
      <c r="F5506" s="131"/>
      <c r="G5506" s="132"/>
      <c r="H5506" s="162" t="s">
        <v>28614</v>
      </c>
      <c r="I5506" s="158" t="s">
        <v>28615</v>
      </c>
      <c r="J5506" s="128"/>
      <c r="K5506" s="128"/>
      <c r="L5506" s="128"/>
      <c r="M5506" s="129"/>
      <c r="N5506" s="129"/>
      <c r="O5506" s="129"/>
    </row>
    <row r="5507" spans="1:15" ht="12.5">
      <c r="A5507" s="158" t="s">
        <v>28618</v>
      </c>
      <c r="B5507" s="159">
        <v>65</v>
      </c>
      <c r="C5507" s="159">
        <v>54</v>
      </c>
      <c r="D5507" s="159">
        <v>94</v>
      </c>
      <c r="E5507" s="159">
        <v>30</v>
      </c>
      <c r="F5507" s="131"/>
      <c r="G5507" s="132"/>
      <c r="H5507" s="162" t="s">
        <v>28619</v>
      </c>
      <c r="I5507" s="158" t="s">
        <v>28620</v>
      </c>
      <c r="J5507" s="128"/>
      <c r="K5507" s="128"/>
      <c r="L5507" s="128"/>
      <c r="M5507" s="129"/>
      <c r="N5507" s="129"/>
      <c r="O5507" s="129"/>
    </row>
    <row r="5508" spans="1:15" ht="12.5">
      <c r="A5508" s="158" t="s">
        <v>28621</v>
      </c>
      <c r="B5508" s="159">
        <v>65</v>
      </c>
      <c r="C5508" s="159">
        <v>54</v>
      </c>
      <c r="D5508" s="159">
        <v>94</v>
      </c>
      <c r="E5508" s="159">
        <v>31</v>
      </c>
      <c r="F5508" s="131"/>
      <c r="G5508" s="132"/>
      <c r="H5508" s="162" t="s">
        <v>28622</v>
      </c>
      <c r="I5508" s="158" t="s">
        <v>28623</v>
      </c>
      <c r="J5508" s="128"/>
      <c r="K5508" s="128"/>
      <c r="L5508" s="128"/>
      <c r="M5508" s="129"/>
      <c r="N5508" s="129"/>
      <c r="O5508" s="129"/>
    </row>
    <row r="5509" spans="1:15" ht="12.5">
      <c r="A5509" s="158" t="s">
        <v>28624</v>
      </c>
      <c r="B5509" s="159">
        <v>65</v>
      </c>
      <c r="C5509" s="159">
        <v>54</v>
      </c>
      <c r="D5509" s="159">
        <v>94</v>
      </c>
      <c r="E5509" s="159">
        <v>39</v>
      </c>
      <c r="F5509" s="131"/>
      <c r="G5509" s="132"/>
      <c r="H5509" s="162" t="s">
        <v>28625</v>
      </c>
      <c r="I5509" s="158" t="s">
        <v>28626</v>
      </c>
      <c r="J5509" s="128"/>
      <c r="K5509" s="128"/>
      <c r="L5509" s="128"/>
      <c r="M5509" s="129"/>
      <c r="N5509" s="129"/>
      <c r="O5509" s="129"/>
    </row>
    <row r="5510" spans="1:15" ht="12.5">
      <c r="A5510" s="158" t="s">
        <v>28627</v>
      </c>
      <c r="B5510" s="159">
        <v>65</v>
      </c>
      <c r="C5510" s="159">
        <v>54</v>
      </c>
      <c r="D5510" s="159">
        <v>94</v>
      </c>
      <c r="E5510" s="159">
        <v>45</v>
      </c>
      <c r="F5510" s="131"/>
      <c r="G5510" s="132"/>
      <c r="H5510" s="162" t="s">
        <v>28628</v>
      </c>
      <c r="I5510" s="158" t="s">
        <v>28629</v>
      </c>
      <c r="J5510" s="128"/>
      <c r="K5510" s="128"/>
      <c r="L5510" s="128"/>
      <c r="M5510" s="129"/>
      <c r="N5510" s="129"/>
      <c r="O5510" s="129"/>
    </row>
    <row r="5511" spans="1:15" ht="12.5">
      <c r="A5511" s="158" t="s">
        <v>28630</v>
      </c>
      <c r="B5511" s="159">
        <v>65</v>
      </c>
      <c r="C5511" s="159">
        <v>54</v>
      </c>
      <c r="D5511" s="159">
        <v>94</v>
      </c>
      <c r="E5511" s="159">
        <v>47</v>
      </c>
      <c r="F5511" s="131"/>
      <c r="G5511" s="132"/>
      <c r="H5511" s="162" t="s">
        <v>28631</v>
      </c>
      <c r="I5511" s="158" t="s">
        <v>28632</v>
      </c>
      <c r="J5511" s="128"/>
      <c r="K5511" s="128"/>
      <c r="L5511" s="128"/>
      <c r="M5511" s="129"/>
      <c r="N5511" s="129"/>
      <c r="O5511" s="129"/>
    </row>
    <row r="5512" spans="1:15" ht="12.5">
      <c r="A5512" s="158" t="s">
        <v>28635</v>
      </c>
      <c r="B5512" s="159">
        <v>65</v>
      </c>
      <c r="C5512" s="159">
        <v>54</v>
      </c>
      <c r="D5512" s="159">
        <v>94</v>
      </c>
      <c r="E5512" s="159">
        <v>55</v>
      </c>
      <c r="F5512" s="131"/>
      <c r="G5512" s="132"/>
      <c r="H5512" s="162" t="s">
        <v>28636</v>
      </c>
      <c r="I5512" s="128"/>
      <c r="J5512" s="128"/>
      <c r="K5512" s="128"/>
      <c r="L5512" s="128"/>
      <c r="M5512" s="129"/>
      <c r="N5512" s="129"/>
      <c r="O5512" s="129"/>
    </row>
    <row r="5513" spans="1:15" ht="12.5">
      <c r="A5513" s="158" t="s">
        <v>28637</v>
      </c>
      <c r="B5513" s="159">
        <v>65</v>
      </c>
      <c r="C5513" s="159">
        <v>54</v>
      </c>
      <c r="D5513" s="159">
        <v>94</v>
      </c>
      <c r="E5513" s="159">
        <v>56</v>
      </c>
      <c r="F5513" s="131"/>
      <c r="G5513" s="132"/>
      <c r="H5513" s="162" t="s">
        <v>28638</v>
      </c>
      <c r="I5513" s="158" t="s">
        <v>28639</v>
      </c>
      <c r="J5513" s="128"/>
      <c r="K5513" s="128"/>
      <c r="L5513" s="128"/>
      <c r="M5513" s="129"/>
      <c r="N5513" s="129"/>
      <c r="O5513" s="129"/>
    </row>
    <row r="5514" spans="1:15" ht="12.5">
      <c r="A5514" s="158" t="s">
        <v>28640</v>
      </c>
      <c r="B5514" s="159">
        <v>65</v>
      </c>
      <c r="C5514" s="159">
        <v>54</v>
      </c>
      <c r="D5514" s="159">
        <v>94</v>
      </c>
      <c r="E5514" s="159">
        <v>57</v>
      </c>
      <c r="F5514" s="131"/>
      <c r="G5514" s="132"/>
      <c r="H5514" s="162" t="s">
        <v>28641</v>
      </c>
      <c r="I5514" s="158" t="s">
        <v>28642</v>
      </c>
      <c r="J5514" s="128"/>
      <c r="K5514" s="128"/>
      <c r="L5514" s="128"/>
      <c r="M5514" s="129"/>
      <c r="N5514" s="129"/>
      <c r="O5514" s="129"/>
    </row>
    <row r="5515" spans="1:15" ht="12.5">
      <c r="A5515" s="158" t="s">
        <v>28643</v>
      </c>
      <c r="B5515" s="159">
        <v>65</v>
      </c>
      <c r="C5515" s="159">
        <v>54</v>
      </c>
      <c r="D5515" s="159">
        <v>94</v>
      </c>
      <c r="E5515" s="159">
        <v>60</v>
      </c>
      <c r="F5515" s="131"/>
      <c r="G5515" s="132"/>
      <c r="H5515" s="162" t="s">
        <v>28644</v>
      </c>
      <c r="I5515" s="158" t="s">
        <v>28645</v>
      </c>
      <c r="J5515" s="128"/>
      <c r="K5515" s="128"/>
      <c r="L5515" s="128"/>
      <c r="M5515" s="129"/>
      <c r="N5515" s="129"/>
      <c r="O5515" s="129"/>
    </row>
    <row r="5516" spans="1:15" ht="12.5">
      <c r="A5516" s="158" t="s">
        <v>28646</v>
      </c>
      <c r="B5516" s="159">
        <v>65</v>
      </c>
      <c r="C5516" s="159">
        <v>54</v>
      </c>
      <c r="D5516" s="159">
        <v>94</v>
      </c>
      <c r="E5516" s="159">
        <v>62</v>
      </c>
      <c r="F5516" s="131"/>
      <c r="G5516" s="132"/>
      <c r="H5516" s="162" t="s">
        <v>28647</v>
      </c>
      <c r="I5516" s="128"/>
      <c r="J5516" s="128"/>
      <c r="K5516" s="128"/>
      <c r="L5516" s="128"/>
      <c r="M5516" s="129"/>
      <c r="N5516" s="129"/>
      <c r="O5516" s="129"/>
    </row>
    <row r="5517" spans="1:15" ht="12.5">
      <c r="A5517" s="158" t="s">
        <v>28648</v>
      </c>
      <c r="B5517" s="159">
        <v>65</v>
      </c>
      <c r="C5517" s="159">
        <v>54</v>
      </c>
      <c r="D5517" s="159">
        <v>94</v>
      </c>
      <c r="E5517" s="159">
        <v>63</v>
      </c>
      <c r="F5517" s="131"/>
      <c r="G5517" s="132"/>
      <c r="H5517" s="162" t="s">
        <v>28649</v>
      </c>
      <c r="I5517" s="158" t="s">
        <v>28650</v>
      </c>
      <c r="J5517" s="128"/>
      <c r="K5517" s="128"/>
      <c r="L5517" s="128"/>
      <c r="M5517" s="129"/>
      <c r="N5517" s="129"/>
      <c r="O5517" s="129"/>
    </row>
    <row r="5518" spans="1:15" ht="12.5">
      <c r="A5518" s="158" t="s">
        <v>28651</v>
      </c>
      <c r="B5518" s="159">
        <v>65</v>
      </c>
      <c r="C5518" s="159">
        <v>54</v>
      </c>
      <c r="D5518" s="159">
        <v>94</v>
      </c>
      <c r="E5518" s="159">
        <v>65</v>
      </c>
      <c r="F5518" s="131"/>
      <c r="G5518" s="132"/>
      <c r="H5518" s="162" t="s">
        <v>28652</v>
      </c>
      <c r="I5518" s="158" t="s">
        <v>28653</v>
      </c>
      <c r="J5518" s="128"/>
      <c r="K5518" s="128"/>
      <c r="L5518" s="128"/>
      <c r="M5518" s="129"/>
      <c r="N5518" s="129"/>
      <c r="O5518" s="129"/>
    </row>
    <row r="5519" spans="1:15" ht="12.5">
      <c r="A5519" s="158" t="s">
        <v>28654</v>
      </c>
      <c r="B5519" s="159">
        <v>65</v>
      </c>
      <c r="C5519" s="159">
        <v>54</v>
      </c>
      <c r="D5519" s="159">
        <v>94</v>
      </c>
      <c r="E5519" s="159">
        <v>70</v>
      </c>
      <c r="F5519" s="131"/>
      <c r="G5519" s="132"/>
      <c r="H5519" s="162" t="s">
        <v>28655</v>
      </c>
      <c r="I5519" s="158" t="s">
        <v>28656</v>
      </c>
      <c r="J5519" s="128"/>
      <c r="K5519" s="128"/>
      <c r="L5519" s="128"/>
      <c r="M5519" s="129"/>
      <c r="N5519" s="129"/>
      <c r="O5519" s="129"/>
    </row>
    <row r="5520" spans="1:15" ht="12.5">
      <c r="A5520" s="158" t="s">
        <v>28657</v>
      </c>
      <c r="B5520" s="159">
        <v>65</v>
      </c>
      <c r="C5520" s="159">
        <v>54</v>
      </c>
      <c r="D5520" s="159">
        <v>94</v>
      </c>
      <c r="E5520" s="159">
        <v>71</v>
      </c>
      <c r="F5520" s="131"/>
      <c r="G5520" s="132"/>
      <c r="H5520" s="162" t="s">
        <v>28658</v>
      </c>
      <c r="I5520" s="158" t="s">
        <v>28659</v>
      </c>
      <c r="J5520" s="128"/>
      <c r="K5520" s="128"/>
      <c r="L5520" s="128"/>
      <c r="M5520" s="129"/>
      <c r="N5520" s="129"/>
      <c r="O5520" s="129"/>
    </row>
    <row r="5521" spans="1:15" ht="12.5">
      <c r="A5521" s="158" t="s">
        <v>28660</v>
      </c>
      <c r="B5521" s="159">
        <v>65</v>
      </c>
      <c r="C5521" s="159">
        <v>54</v>
      </c>
      <c r="D5521" s="159">
        <v>94</v>
      </c>
      <c r="E5521" s="159">
        <v>72</v>
      </c>
      <c r="F5521" s="131"/>
      <c r="G5521" s="132"/>
      <c r="H5521" s="162" t="s">
        <v>28661</v>
      </c>
      <c r="I5521" s="158" t="s">
        <v>28662</v>
      </c>
      <c r="J5521" s="128"/>
      <c r="K5521" s="128"/>
      <c r="L5521" s="128"/>
      <c r="M5521" s="129"/>
      <c r="N5521" s="129"/>
      <c r="O5521" s="129"/>
    </row>
    <row r="5522" spans="1:15" ht="12.5">
      <c r="A5522" s="158" t="s">
        <v>28663</v>
      </c>
      <c r="B5522" s="159">
        <v>65</v>
      </c>
      <c r="C5522" s="159">
        <v>54</v>
      </c>
      <c r="D5522" s="159">
        <v>94</v>
      </c>
      <c r="E5522" s="159">
        <v>73</v>
      </c>
      <c r="F5522" s="131"/>
      <c r="G5522" s="132"/>
      <c r="H5522" s="162" t="s">
        <v>28664</v>
      </c>
      <c r="I5522" s="158" t="s">
        <v>28665</v>
      </c>
      <c r="J5522" s="128"/>
      <c r="K5522" s="128"/>
      <c r="L5522" s="128"/>
      <c r="M5522" s="129"/>
      <c r="N5522" s="129"/>
      <c r="O5522" s="129"/>
    </row>
    <row r="5523" spans="1:15" ht="12.5">
      <c r="A5523" s="158" t="s">
        <v>28666</v>
      </c>
      <c r="B5523" s="159">
        <v>65</v>
      </c>
      <c r="C5523" s="159">
        <v>54</v>
      </c>
      <c r="D5523" s="159">
        <v>94</v>
      </c>
      <c r="E5523" s="159">
        <v>77</v>
      </c>
      <c r="F5523" s="131"/>
      <c r="G5523" s="132"/>
      <c r="H5523" s="162" t="s">
        <v>28667</v>
      </c>
      <c r="I5523" s="158" t="s">
        <v>28668</v>
      </c>
      <c r="J5523" s="128"/>
      <c r="K5523" s="128"/>
      <c r="L5523" s="128"/>
      <c r="M5523" s="129"/>
      <c r="N5523" s="129"/>
      <c r="O5523" s="129"/>
    </row>
    <row r="5524" spans="1:15" ht="12.5">
      <c r="A5524" s="158" t="s">
        <v>28669</v>
      </c>
      <c r="B5524" s="159">
        <v>65</v>
      </c>
      <c r="C5524" s="159">
        <v>54</v>
      </c>
      <c r="D5524" s="159">
        <v>94</v>
      </c>
      <c r="E5524" s="159">
        <v>78</v>
      </c>
      <c r="F5524" s="131"/>
      <c r="G5524" s="132"/>
      <c r="H5524" s="162" t="s">
        <v>28670</v>
      </c>
      <c r="I5524" s="158" t="s">
        <v>28671</v>
      </c>
      <c r="J5524" s="128"/>
      <c r="K5524" s="128"/>
      <c r="L5524" s="128"/>
      <c r="M5524" s="129"/>
      <c r="N5524" s="129"/>
      <c r="O5524" s="129"/>
    </row>
    <row r="5525" spans="1:15" ht="12.5">
      <c r="A5525" s="158" t="s">
        <v>28672</v>
      </c>
      <c r="B5525" s="159">
        <v>65</v>
      </c>
      <c r="C5525" s="159">
        <v>54</v>
      </c>
      <c r="D5525" s="159">
        <v>94</v>
      </c>
      <c r="E5525" s="159">
        <v>87</v>
      </c>
      <c r="F5525" s="131"/>
      <c r="G5525" s="132"/>
      <c r="H5525" s="162" t="s">
        <v>28673</v>
      </c>
      <c r="I5525" s="128"/>
      <c r="J5525" s="128"/>
      <c r="K5525" s="128"/>
      <c r="L5525" s="128"/>
      <c r="M5525" s="129"/>
      <c r="N5525" s="129"/>
      <c r="O5525" s="129"/>
    </row>
    <row r="5526" spans="1:15" ht="12.5">
      <c r="A5526" s="158" t="s">
        <v>28674</v>
      </c>
      <c r="B5526" s="159">
        <v>65</v>
      </c>
      <c r="C5526" s="159">
        <v>54</v>
      </c>
      <c r="D5526" s="159">
        <v>94</v>
      </c>
      <c r="E5526" s="159">
        <v>90</v>
      </c>
      <c r="F5526" s="131"/>
      <c r="G5526" s="132"/>
      <c r="H5526" s="162" t="s">
        <v>28675</v>
      </c>
      <c r="I5526" s="158" t="s">
        <v>28676</v>
      </c>
      <c r="J5526" s="128"/>
      <c r="K5526" s="128"/>
      <c r="L5526" s="128"/>
      <c r="M5526" s="129"/>
      <c r="N5526" s="129"/>
      <c r="O5526" s="129"/>
    </row>
    <row r="5527" spans="1:15" ht="12.5">
      <c r="A5527" s="158" t="s">
        <v>28677</v>
      </c>
      <c r="B5527" s="159">
        <v>65</v>
      </c>
      <c r="C5527" s="159">
        <v>54</v>
      </c>
      <c r="D5527" s="159">
        <v>94</v>
      </c>
      <c r="E5527" s="159">
        <v>94</v>
      </c>
      <c r="F5527" s="131"/>
      <c r="G5527" s="132"/>
      <c r="H5527" s="162" t="s">
        <v>28678</v>
      </c>
      <c r="I5527" s="158" t="s">
        <v>28679</v>
      </c>
      <c r="J5527" s="128"/>
      <c r="K5527" s="128"/>
      <c r="L5527" s="128"/>
      <c r="M5527" s="129"/>
      <c r="N5527" s="129"/>
      <c r="O5527" s="129"/>
    </row>
    <row r="5528" spans="1:15" ht="12.5">
      <c r="A5528" s="158" t="s">
        <v>28680</v>
      </c>
      <c r="B5528" s="159">
        <v>65</v>
      </c>
      <c r="C5528" s="159">
        <v>54</v>
      </c>
      <c r="D5528" s="159">
        <v>94</v>
      </c>
      <c r="E5528" s="159">
        <v>95</v>
      </c>
      <c r="F5528" s="131"/>
      <c r="G5528" s="132"/>
      <c r="H5528" s="162" t="s">
        <v>28681</v>
      </c>
      <c r="I5528" s="158" t="s">
        <v>28682</v>
      </c>
      <c r="J5528" s="128"/>
      <c r="K5528" s="128"/>
      <c r="L5528" s="128"/>
      <c r="M5528" s="129"/>
      <c r="N5528" s="129"/>
      <c r="O5528" s="129"/>
    </row>
    <row r="5529" spans="1:15" ht="12.5">
      <c r="A5529" s="158" t="s">
        <v>28683</v>
      </c>
      <c r="B5529" s="159">
        <v>65</v>
      </c>
      <c r="C5529" s="159">
        <v>54</v>
      </c>
      <c r="D5529" s="159">
        <v>95</v>
      </c>
      <c r="E5529" s="130"/>
      <c r="F5529" s="131"/>
      <c r="G5529" s="132"/>
      <c r="H5529" s="162" t="s">
        <v>28684</v>
      </c>
      <c r="I5529" s="128"/>
      <c r="J5529" s="128"/>
      <c r="K5529" s="128"/>
      <c r="L5529" s="128"/>
      <c r="M5529" s="129"/>
      <c r="N5529" s="129"/>
      <c r="O5529" s="129"/>
    </row>
    <row r="5530" spans="1:15" ht="12.5">
      <c r="A5530" s="158" t="s">
        <v>28685</v>
      </c>
      <c r="B5530" s="159">
        <v>65</v>
      </c>
      <c r="C5530" s="159">
        <v>54</v>
      </c>
      <c r="D5530" s="159">
        <v>95</v>
      </c>
      <c r="E5530" s="159">
        <v>5</v>
      </c>
      <c r="F5530" s="131"/>
      <c r="G5530" s="132"/>
      <c r="H5530" s="162" t="s">
        <v>33545</v>
      </c>
      <c r="I5530" s="158" t="s">
        <v>33546</v>
      </c>
      <c r="J5530" s="128"/>
      <c r="K5530" s="128"/>
      <c r="L5530" s="128"/>
      <c r="M5530" s="129"/>
      <c r="N5530" s="129"/>
      <c r="O5530" s="129"/>
    </row>
    <row r="5531" spans="1:15" ht="12.5">
      <c r="A5531" s="158" t="s">
        <v>28688</v>
      </c>
      <c r="B5531" s="159">
        <v>65</v>
      </c>
      <c r="C5531" s="159">
        <v>54</v>
      </c>
      <c r="D5531" s="159">
        <v>95</v>
      </c>
      <c r="E5531" s="159">
        <v>6</v>
      </c>
      <c r="F5531" s="131"/>
      <c r="G5531" s="132"/>
      <c r="H5531" s="162" t="s">
        <v>28689</v>
      </c>
      <c r="I5531" s="158" t="s">
        <v>28690</v>
      </c>
      <c r="J5531" s="128"/>
      <c r="K5531" s="128"/>
      <c r="L5531" s="128"/>
      <c r="M5531" s="129"/>
      <c r="N5531" s="129"/>
      <c r="O5531" s="129"/>
    </row>
    <row r="5532" spans="1:15" ht="12.5">
      <c r="A5532" s="158" t="s">
        <v>28691</v>
      </c>
      <c r="B5532" s="159">
        <v>65</v>
      </c>
      <c r="C5532" s="159">
        <v>54</v>
      </c>
      <c r="D5532" s="159">
        <v>95</v>
      </c>
      <c r="E5532" s="159">
        <v>8</v>
      </c>
      <c r="F5532" s="131"/>
      <c r="G5532" s="132"/>
      <c r="H5532" s="162" t="s">
        <v>28692</v>
      </c>
      <c r="I5532" s="158" t="s">
        <v>28441</v>
      </c>
      <c r="J5532" s="128"/>
      <c r="K5532" s="128"/>
      <c r="L5532" s="128"/>
      <c r="M5532" s="129"/>
      <c r="N5532" s="129"/>
      <c r="O5532" s="129"/>
    </row>
    <row r="5533" spans="1:15" ht="12.5">
      <c r="A5533" s="158" t="s">
        <v>28693</v>
      </c>
      <c r="B5533" s="159">
        <v>65</v>
      </c>
      <c r="C5533" s="159">
        <v>54</v>
      </c>
      <c r="D5533" s="159">
        <v>95</v>
      </c>
      <c r="E5533" s="159">
        <v>11</v>
      </c>
      <c r="F5533" s="131"/>
      <c r="G5533" s="132"/>
      <c r="H5533" s="162" t="s">
        <v>28694</v>
      </c>
      <c r="I5533" s="158" t="s">
        <v>28695</v>
      </c>
      <c r="J5533" s="128"/>
      <c r="K5533" s="128"/>
      <c r="L5533" s="128"/>
      <c r="M5533" s="129"/>
      <c r="N5533" s="129"/>
      <c r="O5533" s="129"/>
    </row>
    <row r="5534" spans="1:15" ht="12.5">
      <c r="A5534" s="158" t="s">
        <v>28696</v>
      </c>
      <c r="B5534" s="159">
        <v>65</v>
      </c>
      <c r="C5534" s="159">
        <v>54</v>
      </c>
      <c r="D5534" s="159">
        <v>95</v>
      </c>
      <c r="E5534" s="159">
        <v>12</v>
      </c>
      <c r="F5534" s="131"/>
      <c r="G5534" s="132"/>
      <c r="H5534" s="162" t="s">
        <v>28697</v>
      </c>
      <c r="I5534" s="158" t="s">
        <v>28698</v>
      </c>
      <c r="J5534" s="128"/>
      <c r="K5534" s="128"/>
      <c r="L5534" s="128"/>
      <c r="M5534" s="129"/>
      <c r="N5534" s="129"/>
      <c r="O5534" s="129"/>
    </row>
    <row r="5535" spans="1:15" ht="12.5">
      <c r="A5535" s="158" t="s">
        <v>28699</v>
      </c>
      <c r="B5535" s="159">
        <v>65</v>
      </c>
      <c r="C5535" s="159">
        <v>54</v>
      </c>
      <c r="D5535" s="159">
        <v>95</v>
      </c>
      <c r="E5535" s="159">
        <v>13</v>
      </c>
      <c r="F5535" s="131"/>
      <c r="G5535" s="132"/>
      <c r="H5535" s="162" t="s">
        <v>28700</v>
      </c>
      <c r="I5535" s="158" t="s">
        <v>28701</v>
      </c>
      <c r="J5535" s="128"/>
      <c r="K5535" s="128"/>
      <c r="L5535" s="128"/>
      <c r="M5535" s="129"/>
      <c r="N5535" s="129"/>
      <c r="O5535" s="129"/>
    </row>
    <row r="5536" spans="1:15" ht="12.5">
      <c r="A5536" s="158" t="s">
        <v>28702</v>
      </c>
      <c r="B5536" s="159">
        <v>65</v>
      </c>
      <c r="C5536" s="159">
        <v>54</v>
      </c>
      <c r="D5536" s="159">
        <v>95</v>
      </c>
      <c r="E5536" s="159">
        <v>14</v>
      </c>
      <c r="F5536" s="131"/>
      <c r="G5536" s="132"/>
      <c r="H5536" s="162" t="s">
        <v>28703</v>
      </c>
      <c r="I5536" s="158" t="s">
        <v>28704</v>
      </c>
      <c r="J5536" s="128"/>
      <c r="K5536" s="128"/>
      <c r="L5536" s="128"/>
      <c r="M5536" s="129"/>
      <c r="N5536" s="129"/>
      <c r="O5536" s="129"/>
    </row>
    <row r="5537" spans="1:15" ht="12.5">
      <c r="A5537" s="158" t="s">
        <v>28705</v>
      </c>
      <c r="B5537" s="159">
        <v>65</v>
      </c>
      <c r="C5537" s="159">
        <v>54</v>
      </c>
      <c r="D5537" s="159">
        <v>95</v>
      </c>
      <c r="E5537" s="159">
        <v>15</v>
      </c>
      <c r="F5537" s="131"/>
      <c r="G5537" s="132"/>
      <c r="H5537" s="162" t="s">
        <v>28706</v>
      </c>
      <c r="I5537" s="158" t="s">
        <v>28707</v>
      </c>
      <c r="J5537" s="128"/>
      <c r="K5537" s="128"/>
      <c r="L5537" s="128"/>
      <c r="M5537" s="129"/>
      <c r="N5537" s="129"/>
      <c r="O5537" s="129"/>
    </row>
    <row r="5538" spans="1:15" ht="12.5">
      <c r="A5538" s="158" t="s">
        <v>28708</v>
      </c>
      <c r="B5538" s="159">
        <v>65</v>
      </c>
      <c r="C5538" s="159">
        <v>54</v>
      </c>
      <c r="D5538" s="159">
        <v>95</v>
      </c>
      <c r="E5538" s="159">
        <v>16</v>
      </c>
      <c r="F5538" s="131"/>
      <c r="G5538" s="132"/>
      <c r="H5538" s="162" t="s">
        <v>28709</v>
      </c>
      <c r="I5538" s="158" t="s">
        <v>28710</v>
      </c>
      <c r="J5538" s="128"/>
      <c r="K5538" s="128"/>
      <c r="L5538" s="128"/>
      <c r="M5538" s="129"/>
      <c r="N5538" s="129"/>
      <c r="O5538" s="129"/>
    </row>
    <row r="5539" spans="1:15" ht="12.5">
      <c r="A5539" s="158" t="s">
        <v>28711</v>
      </c>
      <c r="B5539" s="159">
        <v>65</v>
      </c>
      <c r="C5539" s="159">
        <v>54</v>
      </c>
      <c r="D5539" s="159">
        <v>95</v>
      </c>
      <c r="E5539" s="159">
        <v>18</v>
      </c>
      <c r="F5539" s="131"/>
      <c r="G5539" s="132"/>
      <c r="H5539" s="162" t="s">
        <v>28712</v>
      </c>
      <c r="I5539" s="158" t="s">
        <v>28713</v>
      </c>
      <c r="J5539" s="128"/>
      <c r="K5539" s="128"/>
      <c r="L5539" s="128"/>
      <c r="M5539" s="129"/>
      <c r="N5539" s="129"/>
      <c r="O5539" s="129"/>
    </row>
    <row r="5540" spans="1:15" ht="12.5">
      <c r="A5540" s="158" t="s">
        <v>28714</v>
      </c>
      <c r="B5540" s="159">
        <v>65</v>
      </c>
      <c r="C5540" s="159">
        <v>54</v>
      </c>
      <c r="D5540" s="159">
        <v>95</v>
      </c>
      <c r="E5540" s="159">
        <v>19</v>
      </c>
      <c r="F5540" s="131"/>
      <c r="G5540" s="132"/>
      <c r="H5540" s="162" t="s">
        <v>28715</v>
      </c>
      <c r="I5540" s="158" t="s">
        <v>28716</v>
      </c>
      <c r="J5540" s="128"/>
      <c r="K5540" s="128"/>
      <c r="L5540" s="128"/>
      <c r="M5540" s="129"/>
      <c r="N5540" s="129"/>
      <c r="O5540" s="129"/>
    </row>
    <row r="5541" spans="1:15" ht="12.5">
      <c r="A5541" s="158" t="s">
        <v>28717</v>
      </c>
      <c r="B5541" s="159">
        <v>65</v>
      </c>
      <c r="C5541" s="159">
        <v>54</v>
      </c>
      <c r="D5541" s="159">
        <v>95</v>
      </c>
      <c r="E5541" s="159">
        <v>20</v>
      </c>
      <c r="F5541" s="131"/>
      <c r="G5541" s="132"/>
      <c r="H5541" s="162" t="s">
        <v>28718</v>
      </c>
      <c r="I5541" s="158" t="s">
        <v>28719</v>
      </c>
      <c r="J5541" s="128"/>
      <c r="K5541" s="128"/>
      <c r="L5541" s="128"/>
      <c r="M5541" s="129"/>
      <c r="N5541" s="129"/>
      <c r="O5541" s="129"/>
    </row>
    <row r="5542" spans="1:15" ht="12.5">
      <c r="A5542" s="158" t="s">
        <v>28723</v>
      </c>
      <c r="B5542" s="159">
        <v>65</v>
      </c>
      <c r="C5542" s="159">
        <v>54</v>
      </c>
      <c r="D5542" s="159">
        <v>95</v>
      </c>
      <c r="E5542" s="159">
        <v>23</v>
      </c>
      <c r="F5542" s="131"/>
      <c r="G5542" s="132"/>
      <c r="H5542" s="162" t="s">
        <v>28724</v>
      </c>
      <c r="I5542" s="128"/>
      <c r="J5542" s="128"/>
      <c r="K5542" s="128"/>
      <c r="L5542" s="128"/>
      <c r="M5542" s="129"/>
      <c r="N5542" s="129"/>
      <c r="O5542" s="129"/>
    </row>
    <row r="5543" spans="1:15" ht="12.5">
      <c r="A5543" s="158" t="s">
        <v>28725</v>
      </c>
      <c r="B5543" s="159">
        <v>65</v>
      </c>
      <c r="C5543" s="159">
        <v>54</v>
      </c>
      <c r="D5543" s="159">
        <v>95</v>
      </c>
      <c r="E5543" s="159">
        <v>24</v>
      </c>
      <c r="F5543" s="131"/>
      <c r="G5543" s="132"/>
      <c r="H5543" s="162" t="s">
        <v>28726</v>
      </c>
      <c r="I5543" s="158" t="s">
        <v>28727</v>
      </c>
      <c r="J5543" s="128"/>
      <c r="K5543" s="128"/>
      <c r="L5543" s="128"/>
      <c r="M5543" s="129"/>
      <c r="N5543" s="129"/>
      <c r="O5543" s="129"/>
    </row>
    <row r="5544" spans="1:15" ht="12.5">
      <c r="A5544" s="158" t="s">
        <v>28731</v>
      </c>
      <c r="B5544" s="159">
        <v>65</v>
      </c>
      <c r="C5544" s="159">
        <v>54</v>
      </c>
      <c r="D5544" s="159">
        <v>95</v>
      </c>
      <c r="E5544" s="159">
        <v>26</v>
      </c>
      <c r="F5544" s="131"/>
      <c r="G5544" s="132"/>
      <c r="H5544" s="162" t="s">
        <v>28732</v>
      </c>
      <c r="I5544" s="158" t="s">
        <v>28733</v>
      </c>
      <c r="J5544" s="128"/>
      <c r="K5544" s="128"/>
      <c r="L5544" s="128"/>
      <c r="M5544" s="129"/>
      <c r="N5544" s="129"/>
      <c r="O5544" s="129"/>
    </row>
    <row r="5545" spans="1:15" ht="12.5">
      <c r="A5545" s="158" t="s">
        <v>28734</v>
      </c>
      <c r="B5545" s="159">
        <v>65</v>
      </c>
      <c r="C5545" s="159">
        <v>54</v>
      </c>
      <c r="D5545" s="159">
        <v>95</v>
      </c>
      <c r="E5545" s="159">
        <v>27</v>
      </c>
      <c r="F5545" s="131"/>
      <c r="G5545" s="132"/>
      <c r="H5545" s="162" t="s">
        <v>28735</v>
      </c>
      <c r="I5545" s="158" t="s">
        <v>28736</v>
      </c>
      <c r="J5545" s="128"/>
      <c r="K5545" s="128"/>
      <c r="L5545" s="128"/>
      <c r="M5545" s="129"/>
      <c r="N5545" s="129"/>
      <c r="O5545" s="129"/>
    </row>
    <row r="5546" spans="1:15" ht="12.5">
      <c r="A5546" s="158" t="s">
        <v>28737</v>
      </c>
      <c r="B5546" s="159">
        <v>65</v>
      </c>
      <c r="C5546" s="159">
        <v>54</v>
      </c>
      <c r="D5546" s="159">
        <v>95</v>
      </c>
      <c r="E5546" s="159">
        <v>28</v>
      </c>
      <c r="F5546" s="131"/>
      <c r="G5546" s="132"/>
      <c r="H5546" s="162" t="s">
        <v>28738</v>
      </c>
      <c r="I5546" s="158" t="s">
        <v>28739</v>
      </c>
      <c r="J5546" s="128"/>
      <c r="K5546" s="128"/>
      <c r="L5546" s="128"/>
      <c r="M5546" s="129"/>
      <c r="N5546" s="129"/>
      <c r="O5546" s="129"/>
    </row>
    <row r="5547" spans="1:15" ht="12.5">
      <c r="A5547" s="158" t="s">
        <v>28740</v>
      </c>
      <c r="B5547" s="159">
        <v>65</v>
      </c>
      <c r="C5547" s="159">
        <v>54</v>
      </c>
      <c r="D5547" s="159">
        <v>95</v>
      </c>
      <c r="E5547" s="159">
        <v>29</v>
      </c>
      <c r="F5547" s="131"/>
      <c r="G5547" s="132"/>
      <c r="H5547" s="162" t="s">
        <v>28741</v>
      </c>
      <c r="I5547" s="158" t="s">
        <v>28742</v>
      </c>
      <c r="J5547" s="128"/>
      <c r="K5547" s="128"/>
      <c r="L5547" s="128"/>
      <c r="M5547" s="129"/>
      <c r="N5547" s="129"/>
      <c r="O5547" s="129"/>
    </row>
    <row r="5548" spans="1:15" ht="12.5">
      <c r="A5548" s="158" t="s">
        <v>28743</v>
      </c>
      <c r="B5548" s="159">
        <v>65</v>
      </c>
      <c r="C5548" s="159">
        <v>54</v>
      </c>
      <c r="D5548" s="159">
        <v>95</v>
      </c>
      <c r="E5548" s="159">
        <v>30</v>
      </c>
      <c r="F5548" s="131"/>
      <c r="G5548" s="132"/>
      <c r="H5548" s="162" t="s">
        <v>28744</v>
      </c>
      <c r="I5548" s="158" t="s">
        <v>28745</v>
      </c>
      <c r="J5548" s="128"/>
      <c r="K5548" s="128"/>
      <c r="L5548" s="128"/>
      <c r="M5548" s="129"/>
      <c r="N5548" s="129"/>
      <c r="O5548" s="129"/>
    </row>
    <row r="5549" spans="1:15" ht="12.5">
      <c r="A5549" s="158" t="s">
        <v>28746</v>
      </c>
      <c r="B5549" s="159">
        <v>65</v>
      </c>
      <c r="C5549" s="159">
        <v>54</v>
      </c>
      <c r="D5549" s="159">
        <v>95</v>
      </c>
      <c r="E5549" s="159">
        <v>31</v>
      </c>
      <c r="F5549" s="131"/>
      <c r="G5549" s="132"/>
      <c r="H5549" s="162" t="s">
        <v>28747</v>
      </c>
      <c r="I5549" s="128"/>
      <c r="J5549" s="128"/>
      <c r="K5549" s="128"/>
      <c r="L5549" s="128"/>
      <c r="M5549" s="129"/>
      <c r="N5549" s="129"/>
      <c r="O5549" s="129"/>
    </row>
    <row r="5550" spans="1:15" ht="12.5">
      <c r="A5550" s="158" t="s">
        <v>28756</v>
      </c>
      <c r="B5550" s="159">
        <v>65</v>
      </c>
      <c r="C5550" s="159">
        <v>54</v>
      </c>
      <c r="D5550" s="159">
        <v>95</v>
      </c>
      <c r="E5550" s="159">
        <v>47</v>
      </c>
      <c r="F5550" s="131"/>
      <c r="G5550" s="132"/>
      <c r="H5550" s="162" t="s">
        <v>28757</v>
      </c>
      <c r="I5550" s="158" t="s">
        <v>28758</v>
      </c>
      <c r="J5550" s="128"/>
      <c r="K5550" s="128"/>
      <c r="L5550" s="128"/>
      <c r="M5550" s="129"/>
      <c r="N5550" s="129"/>
      <c r="O5550" s="129"/>
    </row>
    <row r="5551" spans="1:15" ht="12.5">
      <c r="A5551" s="158" t="s">
        <v>28759</v>
      </c>
      <c r="B5551" s="159">
        <v>65</v>
      </c>
      <c r="C5551" s="159">
        <v>54</v>
      </c>
      <c r="D5551" s="159">
        <v>95</v>
      </c>
      <c r="E5551" s="159">
        <v>48</v>
      </c>
      <c r="F5551" s="131"/>
      <c r="G5551" s="132"/>
      <c r="H5551" s="162" t="s">
        <v>28760</v>
      </c>
      <c r="I5551" s="158" t="s">
        <v>28761</v>
      </c>
      <c r="J5551" s="128"/>
      <c r="K5551" s="128"/>
      <c r="L5551" s="128"/>
      <c r="M5551" s="129"/>
      <c r="N5551" s="129"/>
      <c r="O5551" s="129"/>
    </row>
    <row r="5552" spans="1:15" ht="12.5">
      <c r="A5552" s="158" t="s">
        <v>28762</v>
      </c>
      <c r="B5552" s="159">
        <v>65</v>
      </c>
      <c r="C5552" s="159">
        <v>54</v>
      </c>
      <c r="D5552" s="159">
        <v>95</v>
      </c>
      <c r="E5552" s="159">
        <v>50</v>
      </c>
      <c r="F5552" s="131"/>
      <c r="G5552" s="132"/>
      <c r="H5552" s="162" t="s">
        <v>28763</v>
      </c>
      <c r="I5552" s="128"/>
      <c r="J5552" s="128"/>
      <c r="K5552" s="128"/>
      <c r="L5552" s="128"/>
      <c r="M5552" s="129"/>
      <c r="N5552" s="129"/>
      <c r="O5552" s="129"/>
    </row>
    <row r="5553" spans="1:15" ht="12.5">
      <c r="A5553" s="158" t="s">
        <v>28764</v>
      </c>
      <c r="B5553" s="159">
        <v>65</v>
      </c>
      <c r="C5553" s="159">
        <v>54</v>
      </c>
      <c r="D5553" s="159">
        <v>95</v>
      </c>
      <c r="E5553" s="159">
        <v>53</v>
      </c>
      <c r="F5553" s="131"/>
      <c r="G5553" s="132"/>
      <c r="H5553" s="162" t="s">
        <v>28765</v>
      </c>
      <c r="I5553" s="158" t="s">
        <v>28766</v>
      </c>
      <c r="J5553" s="128"/>
      <c r="K5553" s="128"/>
      <c r="L5553" s="128"/>
      <c r="M5553" s="129"/>
      <c r="N5553" s="129"/>
      <c r="O5553" s="129"/>
    </row>
    <row r="5554" spans="1:15" ht="12.5">
      <c r="A5554" s="158" t="s">
        <v>28767</v>
      </c>
      <c r="B5554" s="159">
        <v>65</v>
      </c>
      <c r="C5554" s="159">
        <v>54</v>
      </c>
      <c r="D5554" s="159">
        <v>95</v>
      </c>
      <c r="E5554" s="159">
        <v>63</v>
      </c>
      <c r="F5554" s="131"/>
      <c r="G5554" s="132"/>
      <c r="H5554" s="162" t="s">
        <v>28768</v>
      </c>
      <c r="I5554" s="158" t="s">
        <v>28769</v>
      </c>
      <c r="J5554" s="128"/>
      <c r="K5554" s="128"/>
      <c r="L5554" s="128"/>
      <c r="M5554" s="129"/>
      <c r="N5554" s="129"/>
      <c r="O5554" s="129"/>
    </row>
    <row r="5555" spans="1:15" ht="12.5">
      <c r="A5555" s="158" t="s">
        <v>28770</v>
      </c>
      <c r="B5555" s="159">
        <v>65</v>
      </c>
      <c r="C5555" s="159">
        <v>54</v>
      </c>
      <c r="D5555" s="159">
        <v>95</v>
      </c>
      <c r="E5555" s="159">
        <v>64</v>
      </c>
      <c r="F5555" s="131"/>
      <c r="G5555" s="132"/>
      <c r="H5555" s="162" t="s">
        <v>28771</v>
      </c>
      <c r="I5555" s="128"/>
      <c r="J5555" s="128"/>
      <c r="K5555" s="128"/>
      <c r="L5555" s="128"/>
      <c r="M5555" s="129"/>
      <c r="N5555" s="129"/>
      <c r="O5555" s="129"/>
    </row>
    <row r="5556" spans="1:15" ht="12.5">
      <c r="A5556" s="158" t="s">
        <v>28772</v>
      </c>
      <c r="B5556" s="159">
        <v>65</v>
      </c>
      <c r="C5556" s="159">
        <v>54</v>
      </c>
      <c r="D5556" s="159">
        <v>95</v>
      </c>
      <c r="E5556" s="159">
        <v>65</v>
      </c>
      <c r="F5556" s="131"/>
      <c r="G5556" s="132"/>
      <c r="H5556" s="162" t="s">
        <v>28773</v>
      </c>
      <c r="I5556" s="158" t="s">
        <v>28774</v>
      </c>
      <c r="J5556" s="128"/>
      <c r="K5556" s="128"/>
      <c r="L5556" s="128"/>
      <c r="M5556" s="129"/>
      <c r="N5556" s="129"/>
      <c r="O5556" s="129"/>
    </row>
    <row r="5557" spans="1:15" ht="12.5">
      <c r="A5557" s="158" t="s">
        <v>28775</v>
      </c>
      <c r="B5557" s="159">
        <v>65</v>
      </c>
      <c r="C5557" s="159">
        <v>54</v>
      </c>
      <c r="D5557" s="159">
        <v>95</v>
      </c>
      <c r="E5557" s="159">
        <v>66</v>
      </c>
      <c r="F5557" s="131"/>
      <c r="G5557" s="132"/>
      <c r="H5557" s="162" t="s">
        <v>28776</v>
      </c>
      <c r="I5557" s="158" t="s">
        <v>28777</v>
      </c>
      <c r="J5557" s="128"/>
      <c r="K5557" s="128"/>
      <c r="L5557" s="128"/>
      <c r="M5557" s="129"/>
      <c r="N5557" s="129"/>
      <c r="O5557" s="129"/>
    </row>
    <row r="5558" spans="1:15" ht="12.5">
      <c r="A5558" s="158" t="s">
        <v>28778</v>
      </c>
      <c r="B5558" s="159">
        <v>65</v>
      </c>
      <c r="C5558" s="159">
        <v>54</v>
      </c>
      <c r="D5558" s="159">
        <v>95</v>
      </c>
      <c r="E5558" s="159">
        <v>67</v>
      </c>
      <c r="F5558" s="131"/>
      <c r="G5558" s="132"/>
      <c r="H5558" s="162" t="s">
        <v>28779</v>
      </c>
      <c r="I5558" s="158" t="s">
        <v>28780</v>
      </c>
      <c r="J5558" s="128"/>
      <c r="K5558" s="128"/>
      <c r="L5558" s="128"/>
      <c r="M5558" s="129"/>
      <c r="N5558" s="129"/>
      <c r="O5558" s="129"/>
    </row>
    <row r="5559" spans="1:15" ht="12.5">
      <c r="A5559" s="158" t="s">
        <v>28781</v>
      </c>
      <c r="B5559" s="159">
        <v>65</v>
      </c>
      <c r="C5559" s="159">
        <v>54</v>
      </c>
      <c r="D5559" s="159">
        <v>95</v>
      </c>
      <c r="E5559" s="159">
        <v>70</v>
      </c>
      <c r="F5559" s="131"/>
      <c r="G5559" s="132"/>
      <c r="H5559" s="162" t="s">
        <v>28782</v>
      </c>
      <c r="I5559" s="158" t="s">
        <v>28783</v>
      </c>
      <c r="J5559" s="128"/>
      <c r="K5559" s="128"/>
      <c r="L5559" s="128"/>
      <c r="M5559" s="129"/>
      <c r="N5559" s="129"/>
      <c r="O5559" s="129"/>
    </row>
    <row r="5560" spans="1:15" ht="12.5">
      <c r="A5560" s="158" t="s">
        <v>28784</v>
      </c>
      <c r="B5560" s="159">
        <v>65</v>
      </c>
      <c r="C5560" s="159">
        <v>54</v>
      </c>
      <c r="D5560" s="159">
        <v>95</v>
      </c>
      <c r="E5560" s="159">
        <v>75</v>
      </c>
      <c r="F5560" s="131"/>
      <c r="G5560" s="132"/>
      <c r="H5560" s="162" t="s">
        <v>28785</v>
      </c>
      <c r="I5560" s="158" t="s">
        <v>28786</v>
      </c>
      <c r="J5560" s="128"/>
      <c r="K5560" s="128"/>
      <c r="L5560" s="128"/>
      <c r="M5560" s="129"/>
      <c r="N5560" s="129"/>
      <c r="O5560" s="129"/>
    </row>
    <row r="5561" spans="1:15" ht="12.5">
      <c r="A5561" s="158" t="s">
        <v>28787</v>
      </c>
      <c r="B5561" s="159">
        <v>65</v>
      </c>
      <c r="C5561" s="159">
        <v>54</v>
      </c>
      <c r="D5561" s="159">
        <v>95</v>
      </c>
      <c r="E5561" s="159">
        <v>80</v>
      </c>
      <c r="F5561" s="131"/>
      <c r="G5561" s="132"/>
      <c r="H5561" s="162" t="s">
        <v>28788</v>
      </c>
      <c r="I5561" s="158" t="s">
        <v>28789</v>
      </c>
      <c r="J5561" s="128"/>
      <c r="K5561" s="128"/>
      <c r="L5561" s="128"/>
      <c r="M5561" s="129"/>
      <c r="N5561" s="129"/>
      <c r="O5561" s="129"/>
    </row>
    <row r="5562" spans="1:15" ht="12.5">
      <c r="A5562" s="158" t="s">
        <v>28790</v>
      </c>
      <c r="B5562" s="159">
        <v>65</v>
      </c>
      <c r="C5562" s="159">
        <v>54</v>
      </c>
      <c r="D5562" s="159">
        <v>95</v>
      </c>
      <c r="E5562" s="159">
        <v>81</v>
      </c>
      <c r="F5562" s="131"/>
      <c r="G5562" s="132"/>
      <c r="H5562" s="162" t="s">
        <v>28791</v>
      </c>
      <c r="I5562" s="158" t="s">
        <v>28792</v>
      </c>
      <c r="J5562" s="128"/>
      <c r="K5562" s="128"/>
      <c r="L5562" s="128"/>
      <c r="M5562" s="129"/>
      <c r="N5562" s="129"/>
      <c r="O5562" s="129"/>
    </row>
    <row r="5563" spans="1:15" ht="12.5">
      <c r="A5563" s="158" t="s">
        <v>28793</v>
      </c>
      <c r="B5563" s="159">
        <v>65</v>
      </c>
      <c r="C5563" s="159">
        <v>54</v>
      </c>
      <c r="D5563" s="159">
        <v>95</v>
      </c>
      <c r="E5563" s="159">
        <v>82</v>
      </c>
      <c r="F5563" s="131"/>
      <c r="G5563" s="132"/>
      <c r="H5563" s="162" t="s">
        <v>28794</v>
      </c>
      <c r="I5563" s="158" t="s">
        <v>28795</v>
      </c>
      <c r="J5563" s="128"/>
      <c r="K5563" s="128"/>
      <c r="L5563" s="128"/>
      <c r="M5563" s="129"/>
      <c r="N5563" s="129"/>
      <c r="O5563" s="129"/>
    </row>
    <row r="5564" spans="1:15" ht="12.5">
      <c r="A5564" s="158" t="s">
        <v>28796</v>
      </c>
      <c r="B5564" s="159">
        <v>65</v>
      </c>
      <c r="C5564" s="159">
        <v>54</v>
      </c>
      <c r="D5564" s="159">
        <v>95</v>
      </c>
      <c r="E5564" s="159">
        <v>83</v>
      </c>
      <c r="F5564" s="131"/>
      <c r="G5564" s="132"/>
      <c r="H5564" s="162" t="s">
        <v>33547</v>
      </c>
      <c r="I5564" s="158" t="s">
        <v>28798</v>
      </c>
      <c r="J5564" s="128"/>
      <c r="K5564" s="128"/>
      <c r="L5564" s="128"/>
      <c r="M5564" s="129"/>
      <c r="N5564" s="129"/>
      <c r="O5564" s="129"/>
    </row>
    <row r="5565" spans="1:15" ht="12.5">
      <c r="A5565" s="158" t="s">
        <v>28801</v>
      </c>
      <c r="B5565" s="159">
        <v>65</v>
      </c>
      <c r="C5565" s="159">
        <v>54</v>
      </c>
      <c r="D5565" s="159">
        <v>95</v>
      </c>
      <c r="E5565" s="159">
        <v>87</v>
      </c>
      <c r="F5565" s="131"/>
      <c r="G5565" s="132"/>
      <c r="H5565" s="162" t="s">
        <v>28802</v>
      </c>
      <c r="I5565" s="158" t="s">
        <v>28803</v>
      </c>
      <c r="J5565" s="128"/>
      <c r="K5565" s="128"/>
      <c r="L5565" s="128"/>
      <c r="M5565" s="129"/>
      <c r="N5565" s="129"/>
      <c r="O5565" s="129"/>
    </row>
    <row r="5566" spans="1:15" ht="12.5">
      <c r="A5566" s="158" t="s">
        <v>28804</v>
      </c>
      <c r="B5566" s="159">
        <v>65</v>
      </c>
      <c r="C5566" s="159">
        <v>54</v>
      </c>
      <c r="D5566" s="159">
        <v>95</v>
      </c>
      <c r="E5566" s="159">
        <v>88</v>
      </c>
      <c r="F5566" s="131"/>
      <c r="G5566" s="132"/>
      <c r="H5566" s="162" t="s">
        <v>28805</v>
      </c>
      <c r="I5566" s="158" t="s">
        <v>28806</v>
      </c>
      <c r="J5566" s="128"/>
      <c r="K5566" s="128"/>
      <c r="L5566" s="128"/>
      <c r="M5566" s="129"/>
      <c r="N5566" s="129"/>
      <c r="O5566" s="129"/>
    </row>
    <row r="5567" spans="1:15" ht="12.5">
      <c r="A5567" s="158" t="s">
        <v>28807</v>
      </c>
      <c r="B5567" s="159">
        <v>65</v>
      </c>
      <c r="C5567" s="159">
        <v>54</v>
      </c>
      <c r="D5567" s="159">
        <v>95</v>
      </c>
      <c r="E5567" s="159">
        <v>89</v>
      </c>
      <c r="F5567" s="131"/>
      <c r="G5567" s="132"/>
      <c r="H5567" s="162" t="s">
        <v>28808</v>
      </c>
      <c r="I5567" s="158" t="s">
        <v>28809</v>
      </c>
      <c r="J5567" s="128"/>
      <c r="K5567" s="128"/>
      <c r="L5567" s="128"/>
      <c r="M5567" s="129"/>
      <c r="N5567" s="129"/>
      <c r="O5567" s="129"/>
    </row>
    <row r="5568" spans="1:15" ht="12.5">
      <c r="A5568" s="158" t="s">
        <v>28810</v>
      </c>
      <c r="B5568" s="159">
        <v>65</v>
      </c>
      <c r="C5568" s="159">
        <v>54</v>
      </c>
      <c r="D5568" s="159">
        <v>95</v>
      </c>
      <c r="E5568" s="159">
        <v>90</v>
      </c>
      <c r="F5568" s="131"/>
      <c r="G5568" s="132"/>
      <c r="H5568" s="162" t="s">
        <v>28811</v>
      </c>
      <c r="I5568" s="158" t="s">
        <v>28812</v>
      </c>
      <c r="J5568" s="128"/>
      <c r="K5568" s="128"/>
      <c r="L5568" s="128"/>
      <c r="M5568" s="129"/>
      <c r="N5568" s="129"/>
      <c r="O5568" s="129"/>
    </row>
    <row r="5569" spans="1:15" ht="12.5">
      <c r="A5569" s="158" t="s">
        <v>28813</v>
      </c>
      <c r="B5569" s="159">
        <v>65</v>
      </c>
      <c r="C5569" s="159">
        <v>54</v>
      </c>
      <c r="D5569" s="159">
        <v>95</v>
      </c>
      <c r="E5569" s="159">
        <v>92</v>
      </c>
      <c r="F5569" s="131"/>
      <c r="G5569" s="132"/>
      <c r="H5569" s="162" t="s">
        <v>28814</v>
      </c>
      <c r="I5569" s="158" t="s">
        <v>28815</v>
      </c>
      <c r="J5569" s="128"/>
      <c r="K5569" s="128"/>
      <c r="L5569" s="128"/>
      <c r="M5569" s="129"/>
      <c r="N5569" s="129"/>
      <c r="O5569" s="129"/>
    </row>
    <row r="5570" spans="1:15" ht="12.5">
      <c r="A5570" s="158" t="s">
        <v>28819</v>
      </c>
      <c r="B5570" s="159">
        <v>65</v>
      </c>
      <c r="C5570" s="159">
        <v>54</v>
      </c>
      <c r="D5570" s="159">
        <v>95</v>
      </c>
      <c r="E5570" s="159">
        <v>96</v>
      </c>
      <c r="F5570" s="131"/>
      <c r="G5570" s="132"/>
      <c r="H5570" s="162" t="s">
        <v>28820</v>
      </c>
      <c r="I5570" s="158" t="s">
        <v>28821</v>
      </c>
      <c r="J5570" s="128"/>
      <c r="K5570" s="128"/>
      <c r="L5570" s="128"/>
      <c r="M5570" s="129"/>
      <c r="N5570" s="129"/>
      <c r="O5570" s="129"/>
    </row>
    <row r="5571" spans="1:15" ht="12.5">
      <c r="A5571" s="144" t="s">
        <v>28822</v>
      </c>
      <c r="B5571" s="145">
        <v>65</v>
      </c>
      <c r="C5571" s="145">
        <v>55</v>
      </c>
      <c r="D5571" s="146"/>
      <c r="E5571" s="146"/>
      <c r="F5571" s="147" t="s">
        <v>33548</v>
      </c>
      <c r="G5571" s="190"/>
      <c r="H5571" s="149" t="s">
        <v>28823</v>
      </c>
      <c r="I5571" s="150"/>
      <c r="J5571" s="150"/>
      <c r="K5571" s="150"/>
      <c r="L5571" s="150"/>
      <c r="M5571" s="191"/>
      <c r="N5571" s="191"/>
      <c r="O5571" s="191"/>
    </row>
    <row r="5572" spans="1:15" ht="12.5">
      <c r="A5572" s="158" t="s">
        <v>28824</v>
      </c>
      <c r="B5572" s="159">
        <v>65</v>
      </c>
      <c r="C5572" s="159">
        <v>55</v>
      </c>
      <c r="D5572" s="159">
        <v>62</v>
      </c>
      <c r="E5572" s="130"/>
      <c r="F5572" s="131"/>
      <c r="G5572" s="132"/>
      <c r="H5572" s="162" t="s">
        <v>28825</v>
      </c>
      <c r="I5572" s="128"/>
      <c r="J5572" s="128"/>
      <c r="K5572" s="128"/>
      <c r="L5572" s="128"/>
      <c r="M5572" s="129"/>
      <c r="N5572" s="129"/>
      <c r="O5572" s="129"/>
    </row>
    <row r="5573" spans="1:15" ht="12.5">
      <c r="A5573" s="158" t="s">
        <v>28828</v>
      </c>
      <c r="B5573" s="159">
        <v>65</v>
      </c>
      <c r="C5573" s="159">
        <v>55</v>
      </c>
      <c r="D5573" s="159">
        <v>62</v>
      </c>
      <c r="E5573" s="159">
        <v>47</v>
      </c>
      <c r="F5573" s="131"/>
      <c r="G5573" s="132"/>
      <c r="H5573" s="162" t="s">
        <v>28829</v>
      </c>
      <c r="I5573" s="158" t="s">
        <v>28830</v>
      </c>
      <c r="J5573" s="128"/>
      <c r="K5573" s="128"/>
      <c r="L5573" s="128"/>
      <c r="M5573" s="129"/>
      <c r="N5573" s="129"/>
      <c r="O5573" s="129"/>
    </row>
    <row r="5574" spans="1:15" ht="12.5">
      <c r="A5574" s="158" t="s">
        <v>28831</v>
      </c>
      <c r="B5574" s="159">
        <v>65</v>
      </c>
      <c r="C5574" s="159">
        <v>55</v>
      </c>
      <c r="D5574" s="159">
        <v>76</v>
      </c>
      <c r="E5574" s="130"/>
      <c r="F5574" s="131"/>
      <c r="G5574" s="132"/>
      <c r="H5574" s="162" t="s">
        <v>28832</v>
      </c>
      <c r="I5574" s="128"/>
      <c r="J5574" s="128"/>
      <c r="K5574" s="128"/>
      <c r="L5574" s="128"/>
      <c r="M5574" s="129"/>
      <c r="N5574" s="129"/>
      <c r="O5574" s="129"/>
    </row>
    <row r="5575" spans="1:15" ht="12.5">
      <c r="A5575" s="158" t="s">
        <v>28833</v>
      </c>
      <c r="B5575" s="159">
        <v>65</v>
      </c>
      <c r="C5575" s="159">
        <v>55</v>
      </c>
      <c r="D5575" s="159">
        <v>76</v>
      </c>
      <c r="E5575" s="159">
        <v>4</v>
      </c>
      <c r="F5575" s="131"/>
      <c r="G5575" s="132"/>
      <c r="H5575" s="162" t="s">
        <v>28834</v>
      </c>
      <c r="I5575" s="158" t="s">
        <v>28835</v>
      </c>
      <c r="J5575" s="128"/>
      <c r="K5575" s="128"/>
      <c r="L5575" s="128"/>
      <c r="M5575" s="129"/>
      <c r="N5575" s="129"/>
      <c r="O5575" s="129"/>
    </row>
    <row r="5576" spans="1:15" ht="12.5">
      <c r="A5576" s="158" t="s">
        <v>28836</v>
      </c>
      <c r="B5576" s="159">
        <v>65</v>
      </c>
      <c r="C5576" s="159">
        <v>55</v>
      </c>
      <c r="D5576" s="159">
        <v>76</v>
      </c>
      <c r="E5576" s="159">
        <v>11</v>
      </c>
      <c r="F5576" s="131"/>
      <c r="G5576" s="132"/>
      <c r="H5576" s="162" t="s">
        <v>28837</v>
      </c>
      <c r="I5576" s="158" t="s">
        <v>28838</v>
      </c>
      <c r="J5576" s="128"/>
      <c r="K5576" s="128"/>
      <c r="L5576" s="128"/>
      <c r="M5576" s="129"/>
      <c r="N5576" s="129"/>
      <c r="O5576" s="129"/>
    </row>
    <row r="5577" spans="1:15" ht="12.5">
      <c r="A5577" s="158" t="s">
        <v>28839</v>
      </c>
      <c r="B5577" s="159">
        <v>65</v>
      </c>
      <c r="C5577" s="159">
        <v>55</v>
      </c>
      <c r="D5577" s="159">
        <v>76</v>
      </c>
      <c r="E5577" s="159">
        <v>12</v>
      </c>
      <c r="F5577" s="131"/>
      <c r="G5577" s="132"/>
      <c r="H5577" s="162" t="s">
        <v>28840</v>
      </c>
      <c r="I5577" s="158" t="s">
        <v>28841</v>
      </c>
      <c r="J5577" s="128"/>
      <c r="K5577" s="128"/>
      <c r="L5577" s="128"/>
      <c r="M5577" s="129"/>
      <c r="N5577" s="129"/>
      <c r="O5577" s="129"/>
    </row>
    <row r="5578" spans="1:15" ht="12.5">
      <c r="A5578" s="158" t="s">
        <v>28842</v>
      </c>
      <c r="B5578" s="159">
        <v>65</v>
      </c>
      <c r="C5578" s="159">
        <v>55</v>
      </c>
      <c r="D5578" s="159">
        <v>76</v>
      </c>
      <c r="E5578" s="159">
        <v>13</v>
      </c>
      <c r="F5578" s="131"/>
      <c r="G5578" s="132"/>
      <c r="H5578" s="162" t="s">
        <v>28843</v>
      </c>
      <c r="I5578" s="158" t="s">
        <v>28844</v>
      </c>
      <c r="J5578" s="128"/>
      <c r="K5578" s="128"/>
      <c r="L5578" s="128"/>
      <c r="M5578" s="129"/>
      <c r="N5578" s="129"/>
      <c r="O5578" s="129"/>
    </row>
    <row r="5579" spans="1:15" ht="12.5">
      <c r="A5579" s="158" t="s">
        <v>28845</v>
      </c>
      <c r="B5579" s="159">
        <v>65</v>
      </c>
      <c r="C5579" s="159">
        <v>55</v>
      </c>
      <c r="D5579" s="159">
        <v>76</v>
      </c>
      <c r="E5579" s="159">
        <v>15</v>
      </c>
      <c r="F5579" s="131"/>
      <c r="G5579" s="132"/>
      <c r="H5579" s="162" t="s">
        <v>28846</v>
      </c>
      <c r="I5579" s="158" t="s">
        <v>28847</v>
      </c>
      <c r="J5579" s="128"/>
      <c r="K5579" s="128"/>
      <c r="L5579" s="128"/>
      <c r="M5579" s="129"/>
      <c r="N5579" s="129"/>
      <c r="O5579" s="129"/>
    </row>
    <row r="5580" spans="1:15" ht="12.5">
      <c r="A5580" s="158" t="s">
        <v>28848</v>
      </c>
      <c r="B5580" s="159">
        <v>65</v>
      </c>
      <c r="C5580" s="159">
        <v>55</v>
      </c>
      <c r="D5580" s="159">
        <v>76</v>
      </c>
      <c r="E5580" s="159">
        <v>22</v>
      </c>
      <c r="F5580" s="131"/>
      <c r="G5580" s="132"/>
      <c r="H5580" s="162" t="s">
        <v>28849</v>
      </c>
      <c r="I5580" s="158" t="s">
        <v>28850</v>
      </c>
      <c r="J5580" s="128"/>
      <c r="K5580" s="128"/>
      <c r="L5580" s="128"/>
      <c r="M5580" s="129"/>
      <c r="N5580" s="129"/>
      <c r="O5580" s="129"/>
    </row>
    <row r="5581" spans="1:15" ht="12.5">
      <c r="A5581" s="158" t="s">
        <v>28851</v>
      </c>
      <c r="B5581" s="159">
        <v>65</v>
      </c>
      <c r="C5581" s="159">
        <v>55</v>
      </c>
      <c r="D5581" s="159">
        <v>76</v>
      </c>
      <c r="E5581" s="159">
        <v>58</v>
      </c>
      <c r="F5581" s="131"/>
      <c r="G5581" s="132"/>
      <c r="H5581" s="162" t="s">
        <v>28852</v>
      </c>
      <c r="I5581" s="158" t="s">
        <v>28853</v>
      </c>
      <c r="J5581" s="128"/>
      <c r="K5581" s="128"/>
      <c r="L5581" s="128"/>
      <c r="M5581" s="129"/>
      <c r="N5581" s="129"/>
      <c r="O5581" s="129"/>
    </row>
    <row r="5582" spans="1:15" ht="12.5">
      <c r="A5582" s="158" t="s">
        <v>28854</v>
      </c>
      <c r="B5582" s="159">
        <v>65</v>
      </c>
      <c r="C5582" s="159">
        <v>55</v>
      </c>
      <c r="D5582" s="159">
        <v>76</v>
      </c>
      <c r="E5582" s="159">
        <v>59</v>
      </c>
      <c r="F5582" s="131"/>
      <c r="G5582" s="132"/>
      <c r="H5582" s="162" t="s">
        <v>28855</v>
      </c>
      <c r="I5582" s="158" t="s">
        <v>28856</v>
      </c>
      <c r="J5582" s="128"/>
      <c r="K5582" s="128"/>
      <c r="L5582" s="128"/>
      <c r="M5582" s="129"/>
      <c r="N5582" s="129"/>
      <c r="O5582" s="129"/>
    </row>
    <row r="5583" spans="1:15" ht="12.5">
      <c r="A5583" s="158" t="s">
        <v>28857</v>
      </c>
      <c r="B5583" s="159">
        <v>65</v>
      </c>
      <c r="C5583" s="159">
        <v>55</v>
      </c>
      <c r="D5583" s="159">
        <v>76</v>
      </c>
      <c r="E5583" s="159">
        <v>77</v>
      </c>
      <c r="F5583" s="131"/>
      <c r="G5583" s="132"/>
      <c r="H5583" s="162" t="s">
        <v>28858</v>
      </c>
      <c r="I5583" s="158" t="s">
        <v>28859</v>
      </c>
      <c r="J5583" s="128"/>
      <c r="K5583" s="128"/>
      <c r="L5583" s="128"/>
      <c r="M5583" s="129"/>
      <c r="N5583" s="129"/>
      <c r="O5583" s="129"/>
    </row>
    <row r="5584" spans="1:15" ht="12.5">
      <c r="A5584" s="158" t="s">
        <v>28860</v>
      </c>
      <c r="B5584" s="159">
        <v>65</v>
      </c>
      <c r="C5584" s="159">
        <v>55</v>
      </c>
      <c r="D5584" s="159">
        <v>76</v>
      </c>
      <c r="E5584" s="159">
        <v>84</v>
      </c>
      <c r="F5584" s="131"/>
      <c r="G5584" s="132"/>
      <c r="H5584" s="162" t="s">
        <v>28861</v>
      </c>
      <c r="I5584" s="158" t="s">
        <v>28862</v>
      </c>
      <c r="J5584" s="128"/>
      <c r="K5584" s="128"/>
      <c r="L5584" s="128"/>
      <c r="M5584" s="129"/>
      <c r="N5584" s="129"/>
      <c r="O5584" s="129"/>
    </row>
    <row r="5585" spans="1:15" ht="12.5">
      <c r="A5585" s="158" t="s">
        <v>28863</v>
      </c>
      <c r="B5585" s="159">
        <v>65</v>
      </c>
      <c r="C5585" s="159">
        <v>55</v>
      </c>
      <c r="D5585" s="159">
        <v>76</v>
      </c>
      <c r="E5585" s="159">
        <v>96</v>
      </c>
      <c r="F5585" s="131"/>
      <c r="G5585" s="132"/>
      <c r="H5585" s="162" t="s">
        <v>28864</v>
      </c>
      <c r="I5585" s="158" t="s">
        <v>28865</v>
      </c>
      <c r="J5585" s="128"/>
      <c r="K5585" s="128"/>
      <c r="L5585" s="128"/>
      <c r="M5585" s="129"/>
      <c r="N5585" s="129"/>
      <c r="O5585" s="129"/>
    </row>
    <row r="5586" spans="1:15" ht="12.5">
      <c r="A5586" s="158" t="s">
        <v>28866</v>
      </c>
      <c r="B5586" s="159">
        <v>65</v>
      </c>
      <c r="C5586" s="159">
        <v>55</v>
      </c>
      <c r="D5586" s="159">
        <v>84</v>
      </c>
      <c r="E5586" s="130"/>
      <c r="F5586" s="131"/>
      <c r="G5586" s="132"/>
      <c r="H5586" s="162" t="s">
        <v>28867</v>
      </c>
      <c r="I5586" s="128"/>
      <c r="J5586" s="128"/>
      <c r="K5586" s="128"/>
      <c r="L5586" s="128"/>
      <c r="M5586" s="129"/>
      <c r="N5586" s="129"/>
      <c r="O5586" s="129"/>
    </row>
    <row r="5587" spans="1:15" ht="12.5">
      <c r="A5587" s="158" t="s">
        <v>28868</v>
      </c>
      <c r="B5587" s="159">
        <v>65</v>
      </c>
      <c r="C5587" s="159">
        <v>55</v>
      </c>
      <c r="D5587" s="159">
        <v>84</v>
      </c>
      <c r="E5587" s="159">
        <v>50</v>
      </c>
      <c r="F5587" s="131"/>
      <c r="G5587" s="132"/>
      <c r="H5587" s="162" t="s">
        <v>28869</v>
      </c>
      <c r="I5587" s="128"/>
      <c r="J5587" s="128"/>
      <c r="K5587" s="128"/>
      <c r="L5587" s="128"/>
      <c r="M5587" s="129"/>
      <c r="N5587" s="129"/>
      <c r="O5587" s="129"/>
    </row>
    <row r="5588" spans="1:15" ht="12.5">
      <c r="A5588" s="158" t="s">
        <v>28870</v>
      </c>
      <c r="B5588" s="159">
        <v>65</v>
      </c>
      <c r="C5588" s="159">
        <v>55</v>
      </c>
      <c r="D5588" s="159">
        <v>84</v>
      </c>
      <c r="E5588" s="159">
        <v>75</v>
      </c>
      <c r="F5588" s="131"/>
      <c r="G5588" s="132"/>
      <c r="H5588" s="162" t="s">
        <v>28871</v>
      </c>
      <c r="I5588" s="158" t="s">
        <v>28872</v>
      </c>
      <c r="J5588" s="128"/>
      <c r="K5588" s="128"/>
      <c r="L5588" s="128"/>
      <c r="M5588" s="129"/>
      <c r="N5588" s="129"/>
      <c r="O5588" s="129"/>
    </row>
    <row r="5589" spans="1:15" ht="12.5">
      <c r="A5589" s="158" t="s">
        <v>28873</v>
      </c>
      <c r="B5589" s="159">
        <v>65</v>
      </c>
      <c r="C5589" s="159">
        <v>55</v>
      </c>
      <c r="D5589" s="159">
        <v>84</v>
      </c>
      <c r="E5589" s="159">
        <v>94</v>
      </c>
      <c r="F5589" s="131"/>
      <c r="G5589" s="132"/>
      <c r="H5589" s="162" t="s">
        <v>28874</v>
      </c>
      <c r="I5589" s="158" t="s">
        <v>28875</v>
      </c>
      <c r="J5589" s="128"/>
      <c r="K5589" s="128"/>
      <c r="L5589" s="128"/>
      <c r="M5589" s="129"/>
      <c r="N5589" s="129"/>
      <c r="O5589" s="129"/>
    </row>
    <row r="5590" spans="1:15" ht="12.5">
      <c r="A5590" s="158" t="s">
        <v>28876</v>
      </c>
      <c r="B5590" s="159">
        <v>65</v>
      </c>
      <c r="C5590" s="159">
        <v>55</v>
      </c>
      <c r="D5590" s="159">
        <v>85</v>
      </c>
      <c r="E5590" s="130"/>
      <c r="F5590" s="131"/>
      <c r="G5590" s="132"/>
      <c r="H5590" s="162" t="s">
        <v>28877</v>
      </c>
      <c r="I5590" s="128"/>
      <c r="J5590" s="128"/>
      <c r="K5590" s="128"/>
      <c r="L5590" s="128"/>
      <c r="M5590" s="129"/>
      <c r="N5590" s="129"/>
      <c r="O5590" s="129"/>
    </row>
    <row r="5591" spans="1:15" ht="12.5">
      <c r="A5591" s="158" t="s">
        <v>28878</v>
      </c>
      <c r="B5591" s="159">
        <v>65</v>
      </c>
      <c r="C5591" s="159">
        <v>55</v>
      </c>
      <c r="D5591" s="159">
        <v>85</v>
      </c>
      <c r="E5591" s="159">
        <v>8</v>
      </c>
      <c r="F5591" s="131"/>
      <c r="G5591" s="132"/>
      <c r="H5591" s="162" t="s">
        <v>28879</v>
      </c>
      <c r="I5591" s="158" t="s">
        <v>28880</v>
      </c>
      <c r="J5591" s="128"/>
      <c r="K5591" s="128"/>
      <c r="L5591" s="128"/>
      <c r="M5591" s="129"/>
      <c r="N5591" s="129"/>
      <c r="O5591" s="129"/>
    </row>
    <row r="5592" spans="1:15" ht="12.5">
      <c r="A5592" s="158" t="s">
        <v>28881</v>
      </c>
      <c r="B5592" s="159">
        <v>65</v>
      </c>
      <c r="C5592" s="159">
        <v>55</v>
      </c>
      <c r="D5592" s="159">
        <v>85</v>
      </c>
      <c r="E5592" s="159">
        <v>30</v>
      </c>
      <c r="F5592" s="131"/>
      <c r="G5592" s="132"/>
      <c r="H5592" s="162" t="s">
        <v>28882</v>
      </c>
      <c r="I5592" s="158" t="s">
        <v>28883</v>
      </c>
      <c r="J5592" s="128"/>
      <c r="K5592" s="128"/>
      <c r="L5592" s="128"/>
      <c r="M5592" s="129"/>
      <c r="N5592" s="129"/>
      <c r="O5592" s="129"/>
    </row>
    <row r="5593" spans="1:15" ht="12.5">
      <c r="A5593" s="158" t="s">
        <v>28884</v>
      </c>
      <c r="B5593" s="159">
        <v>65</v>
      </c>
      <c r="C5593" s="159">
        <v>55</v>
      </c>
      <c r="D5593" s="159">
        <v>85</v>
      </c>
      <c r="E5593" s="159">
        <v>85</v>
      </c>
      <c r="F5593" s="131"/>
      <c r="G5593" s="132"/>
      <c r="H5593" s="162" t="s">
        <v>28885</v>
      </c>
      <c r="I5593" s="158" t="s">
        <v>28886</v>
      </c>
      <c r="J5593" s="128"/>
      <c r="K5593" s="128"/>
      <c r="L5593" s="128"/>
      <c r="M5593" s="129"/>
      <c r="N5593" s="129"/>
      <c r="O5593" s="129"/>
    </row>
    <row r="5594" spans="1:15" ht="12.5">
      <c r="A5594" s="158" t="s">
        <v>28887</v>
      </c>
      <c r="B5594" s="159">
        <v>65</v>
      </c>
      <c r="C5594" s="159">
        <v>55</v>
      </c>
      <c r="D5594" s="159">
        <v>86</v>
      </c>
      <c r="E5594" s="130"/>
      <c r="F5594" s="131"/>
      <c r="G5594" s="132"/>
      <c r="H5594" s="162" t="s">
        <v>28888</v>
      </c>
      <c r="I5594" s="128"/>
      <c r="J5594" s="128"/>
      <c r="K5594" s="128"/>
      <c r="L5594" s="128"/>
      <c r="M5594" s="129"/>
      <c r="N5594" s="129"/>
      <c r="O5594" s="129"/>
    </row>
    <row r="5595" spans="1:15" ht="12.5">
      <c r="A5595" s="158" t="s">
        <v>28889</v>
      </c>
      <c r="B5595" s="159">
        <v>65</v>
      </c>
      <c r="C5595" s="159">
        <v>55</v>
      </c>
      <c r="D5595" s="159">
        <v>86</v>
      </c>
      <c r="E5595" s="159">
        <v>5</v>
      </c>
      <c r="F5595" s="131"/>
      <c r="G5595" s="132"/>
      <c r="H5595" s="162" t="s">
        <v>28890</v>
      </c>
      <c r="I5595" s="158" t="s">
        <v>28891</v>
      </c>
      <c r="J5595" s="128"/>
      <c r="K5595" s="128"/>
      <c r="L5595" s="128"/>
      <c r="M5595" s="129"/>
      <c r="N5595" s="129"/>
      <c r="O5595" s="129"/>
    </row>
    <row r="5596" spans="1:15" ht="12.5">
      <c r="A5596" s="158" t="s">
        <v>28892</v>
      </c>
      <c r="B5596" s="159">
        <v>65</v>
      </c>
      <c r="C5596" s="159">
        <v>55</v>
      </c>
      <c r="D5596" s="159">
        <v>86</v>
      </c>
      <c r="E5596" s="159">
        <v>6</v>
      </c>
      <c r="F5596" s="131"/>
      <c r="G5596" s="132"/>
      <c r="H5596" s="162" t="s">
        <v>28893</v>
      </c>
      <c r="I5596" s="158" t="s">
        <v>28894</v>
      </c>
      <c r="J5596" s="128"/>
      <c r="K5596" s="128"/>
      <c r="L5596" s="128"/>
      <c r="M5596" s="129"/>
      <c r="N5596" s="129"/>
      <c r="O5596" s="129"/>
    </row>
    <row r="5597" spans="1:15" ht="12.5">
      <c r="A5597" s="158" t="s">
        <v>28895</v>
      </c>
      <c r="B5597" s="159">
        <v>65</v>
      </c>
      <c r="C5597" s="159">
        <v>55</v>
      </c>
      <c r="D5597" s="159">
        <v>86</v>
      </c>
      <c r="E5597" s="159">
        <v>7</v>
      </c>
      <c r="F5597" s="131"/>
      <c r="G5597" s="132"/>
      <c r="H5597" s="162" t="s">
        <v>28896</v>
      </c>
      <c r="I5597" s="158" t="s">
        <v>28897</v>
      </c>
      <c r="J5597" s="128"/>
      <c r="K5597" s="128"/>
      <c r="L5597" s="128"/>
      <c r="M5597" s="129"/>
      <c r="N5597" s="129"/>
      <c r="O5597" s="129"/>
    </row>
    <row r="5598" spans="1:15" ht="12.5">
      <c r="A5598" s="158" t="s">
        <v>28898</v>
      </c>
      <c r="B5598" s="159">
        <v>65</v>
      </c>
      <c r="C5598" s="159">
        <v>55</v>
      </c>
      <c r="D5598" s="159">
        <v>86</v>
      </c>
      <c r="E5598" s="159">
        <v>8</v>
      </c>
      <c r="F5598" s="131"/>
      <c r="G5598" s="132"/>
      <c r="H5598" s="162" t="s">
        <v>28899</v>
      </c>
      <c r="I5598" s="158" t="s">
        <v>28900</v>
      </c>
      <c r="J5598" s="128"/>
      <c r="K5598" s="128"/>
      <c r="L5598" s="128"/>
      <c r="M5598" s="129"/>
      <c r="N5598" s="129"/>
      <c r="O5598" s="129"/>
    </row>
    <row r="5599" spans="1:15" ht="12.5">
      <c r="A5599" s="158" t="s">
        <v>28901</v>
      </c>
      <c r="B5599" s="159">
        <v>65</v>
      </c>
      <c r="C5599" s="159">
        <v>55</v>
      </c>
      <c r="D5599" s="159">
        <v>86</v>
      </c>
      <c r="E5599" s="159">
        <v>42</v>
      </c>
      <c r="F5599" s="131"/>
      <c r="G5599" s="132"/>
      <c r="H5599" s="162" t="s">
        <v>28902</v>
      </c>
      <c r="I5599" s="158" t="s">
        <v>28903</v>
      </c>
      <c r="J5599" s="128"/>
      <c r="K5599" s="128"/>
      <c r="L5599" s="128"/>
      <c r="M5599" s="129"/>
      <c r="N5599" s="129"/>
      <c r="O5599" s="129"/>
    </row>
    <row r="5600" spans="1:15" ht="12.5">
      <c r="A5600" s="158" t="s">
        <v>28904</v>
      </c>
      <c r="B5600" s="159">
        <v>65</v>
      </c>
      <c r="C5600" s="159">
        <v>55</v>
      </c>
      <c r="D5600" s="159">
        <v>86</v>
      </c>
      <c r="E5600" s="159">
        <v>88</v>
      </c>
      <c r="F5600" s="131"/>
      <c r="G5600" s="132"/>
      <c r="H5600" s="162" t="s">
        <v>28905</v>
      </c>
      <c r="I5600" s="158" t="s">
        <v>28906</v>
      </c>
      <c r="J5600" s="128"/>
      <c r="K5600" s="128"/>
      <c r="L5600" s="128"/>
      <c r="M5600" s="129"/>
      <c r="N5600" s="129"/>
      <c r="O5600" s="129"/>
    </row>
    <row r="5601" spans="1:15" ht="12.5">
      <c r="A5601" s="158" t="s">
        <v>28907</v>
      </c>
      <c r="B5601" s="159">
        <v>65</v>
      </c>
      <c r="C5601" s="159">
        <v>55</v>
      </c>
      <c r="D5601" s="159">
        <v>86</v>
      </c>
      <c r="E5601" s="159">
        <v>89</v>
      </c>
      <c r="F5601" s="131"/>
      <c r="G5601" s="132"/>
      <c r="H5601" s="162" t="s">
        <v>28908</v>
      </c>
      <c r="I5601" s="158" t="s">
        <v>28909</v>
      </c>
      <c r="J5601" s="128"/>
      <c r="K5601" s="128"/>
      <c r="L5601" s="128"/>
      <c r="M5601" s="129"/>
      <c r="N5601" s="129"/>
      <c r="O5601" s="129"/>
    </row>
    <row r="5602" spans="1:15" ht="12.5">
      <c r="A5602" s="158" t="s">
        <v>28910</v>
      </c>
      <c r="B5602" s="159">
        <v>65</v>
      </c>
      <c r="C5602" s="159">
        <v>55</v>
      </c>
      <c r="D5602" s="159">
        <v>86</v>
      </c>
      <c r="E5602" s="159">
        <v>99</v>
      </c>
      <c r="F5602" s="131"/>
      <c r="G5602" s="132"/>
      <c r="H5602" s="162" t="s">
        <v>28911</v>
      </c>
      <c r="I5602" s="158" t="s">
        <v>28912</v>
      </c>
      <c r="J5602" s="128"/>
      <c r="K5602" s="128"/>
      <c r="L5602" s="128"/>
      <c r="M5602" s="129"/>
      <c r="N5602" s="129"/>
      <c r="O5602" s="129"/>
    </row>
    <row r="5603" spans="1:15" ht="12.5">
      <c r="A5603" s="158" t="s">
        <v>28913</v>
      </c>
      <c r="B5603" s="159">
        <v>65</v>
      </c>
      <c r="C5603" s="159">
        <v>55</v>
      </c>
      <c r="D5603" s="159">
        <v>96</v>
      </c>
      <c r="E5603" s="130"/>
      <c r="F5603" s="131"/>
      <c r="G5603" s="132"/>
      <c r="H5603" s="162" t="s">
        <v>28914</v>
      </c>
      <c r="I5603" s="128"/>
      <c r="J5603" s="128"/>
      <c r="K5603" s="128"/>
      <c r="L5603" s="128"/>
      <c r="M5603" s="129"/>
      <c r="N5603" s="129"/>
      <c r="O5603" s="129"/>
    </row>
    <row r="5604" spans="1:15" ht="12.5">
      <c r="A5604" s="158" t="s">
        <v>28915</v>
      </c>
      <c r="B5604" s="159">
        <v>65</v>
      </c>
      <c r="C5604" s="159">
        <v>55</v>
      </c>
      <c r="D5604" s="159">
        <v>96</v>
      </c>
      <c r="E5604" s="159">
        <v>24</v>
      </c>
      <c r="F5604" s="131"/>
      <c r="G5604" s="132"/>
      <c r="H5604" s="162" t="s">
        <v>28916</v>
      </c>
      <c r="I5604" s="158" t="s">
        <v>28917</v>
      </c>
      <c r="J5604" s="128"/>
      <c r="K5604" s="128"/>
      <c r="L5604" s="128"/>
      <c r="M5604" s="129"/>
      <c r="N5604" s="129"/>
      <c r="O5604" s="129"/>
    </row>
    <row r="5605" spans="1:15" ht="12.5">
      <c r="A5605" s="158" t="s">
        <v>28918</v>
      </c>
      <c r="B5605" s="159">
        <v>65</v>
      </c>
      <c r="C5605" s="159">
        <v>55</v>
      </c>
      <c r="D5605" s="159">
        <v>96</v>
      </c>
      <c r="E5605" s="159">
        <v>72</v>
      </c>
      <c r="F5605" s="131"/>
      <c r="G5605" s="132"/>
      <c r="H5605" s="162" t="s">
        <v>28919</v>
      </c>
      <c r="I5605" s="158" t="s">
        <v>28920</v>
      </c>
      <c r="J5605" s="128"/>
      <c r="K5605" s="128"/>
      <c r="L5605" s="128"/>
      <c r="M5605" s="129"/>
      <c r="N5605" s="129"/>
      <c r="O5605" s="129"/>
    </row>
    <row r="5606" spans="1:15" ht="12.5">
      <c r="A5606" s="158" t="s">
        <v>28921</v>
      </c>
      <c r="B5606" s="159">
        <v>65</v>
      </c>
      <c r="C5606" s="159">
        <v>55</v>
      </c>
      <c r="D5606" s="159">
        <v>96</v>
      </c>
      <c r="E5606" s="159">
        <v>96</v>
      </c>
      <c r="F5606" s="131"/>
      <c r="G5606" s="132"/>
      <c r="H5606" s="162" t="s">
        <v>28922</v>
      </c>
      <c r="I5606" s="158" t="s">
        <v>28923</v>
      </c>
      <c r="J5606" s="128"/>
      <c r="K5606" s="128"/>
      <c r="L5606" s="128"/>
      <c r="M5606" s="129"/>
      <c r="N5606" s="129"/>
      <c r="O5606" s="129"/>
    </row>
    <row r="5607" spans="1:15" ht="12.5">
      <c r="A5607" s="144" t="s">
        <v>28924</v>
      </c>
      <c r="B5607" s="145">
        <v>65</v>
      </c>
      <c r="C5607" s="145">
        <v>57</v>
      </c>
      <c r="D5607" s="146"/>
      <c r="E5607" s="146"/>
      <c r="F5607" s="147" t="s">
        <v>33549</v>
      </c>
      <c r="G5607" s="190"/>
      <c r="H5607" s="149" t="s">
        <v>28925</v>
      </c>
      <c r="I5607" s="150"/>
      <c r="J5607" s="150"/>
      <c r="K5607" s="150"/>
      <c r="L5607" s="150"/>
      <c r="M5607" s="191"/>
      <c r="N5607" s="191"/>
      <c r="O5607" s="191"/>
    </row>
    <row r="5608" spans="1:15" ht="12.5">
      <c r="A5608" s="158" t="s">
        <v>28926</v>
      </c>
      <c r="B5608" s="159">
        <v>65</v>
      </c>
      <c r="C5608" s="159">
        <v>57</v>
      </c>
      <c r="D5608" s="159">
        <v>2</v>
      </c>
      <c r="E5608" s="130"/>
      <c r="F5608" s="131"/>
      <c r="G5608" s="132"/>
      <c r="H5608" s="162" t="s">
        <v>28927</v>
      </c>
      <c r="I5608" s="128"/>
      <c r="J5608" s="128"/>
      <c r="K5608" s="128"/>
      <c r="L5608" s="128"/>
      <c r="M5608" s="129"/>
      <c r="N5608" s="129"/>
      <c r="O5608" s="129"/>
    </row>
    <row r="5609" spans="1:15" ht="12.5">
      <c r="A5609" s="158" t="s">
        <v>28928</v>
      </c>
      <c r="B5609" s="159">
        <v>65</v>
      </c>
      <c r="C5609" s="159">
        <v>57</v>
      </c>
      <c r="D5609" s="159">
        <v>2</v>
      </c>
      <c r="E5609" s="159">
        <v>2</v>
      </c>
      <c r="F5609" s="131"/>
      <c r="G5609" s="132"/>
      <c r="H5609" s="162" t="s">
        <v>28929</v>
      </c>
      <c r="I5609" s="158" t="s">
        <v>28930</v>
      </c>
      <c r="J5609" s="128"/>
      <c r="K5609" s="128"/>
      <c r="L5609" s="128"/>
      <c r="M5609" s="129"/>
      <c r="N5609" s="129"/>
      <c r="O5609" s="129"/>
    </row>
    <row r="5610" spans="1:15" ht="12.5">
      <c r="A5610" s="158" t="s">
        <v>28931</v>
      </c>
      <c r="B5610" s="159">
        <v>65</v>
      </c>
      <c r="C5610" s="159">
        <v>57</v>
      </c>
      <c r="D5610" s="159">
        <v>2</v>
      </c>
      <c r="E5610" s="159">
        <v>3</v>
      </c>
      <c r="F5610" s="131"/>
      <c r="G5610" s="132"/>
      <c r="H5610" s="162" t="s">
        <v>28932</v>
      </c>
      <c r="I5610" s="128"/>
      <c r="J5610" s="128"/>
      <c r="K5610" s="128"/>
      <c r="L5610" s="128"/>
      <c r="M5610" s="129"/>
      <c r="N5610" s="129"/>
      <c r="O5610" s="129"/>
    </row>
    <row r="5611" spans="1:15" ht="12.5">
      <c r="A5611" s="158" t="s">
        <v>28933</v>
      </c>
      <c r="B5611" s="159">
        <v>65</v>
      </c>
      <c r="C5611" s="159">
        <v>57</v>
      </c>
      <c r="D5611" s="159">
        <v>2</v>
      </c>
      <c r="E5611" s="159">
        <v>4</v>
      </c>
      <c r="F5611" s="131"/>
      <c r="G5611" s="132"/>
      <c r="H5611" s="162" t="s">
        <v>28934</v>
      </c>
      <c r="I5611" s="128"/>
      <c r="J5611" s="128"/>
      <c r="K5611" s="128"/>
      <c r="L5611" s="128"/>
      <c r="M5611" s="129"/>
      <c r="N5611" s="129"/>
      <c r="O5611" s="129"/>
    </row>
    <row r="5612" spans="1:15" ht="12.5">
      <c r="A5612" s="158" t="s">
        <v>28935</v>
      </c>
      <c r="B5612" s="159">
        <v>65</v>
      </c>
      <c r="C5612" s="159">
        <v>57</v>
      </c>
      <c r="D5612" s="159">
        <v>2</v>
      </c>
      <c r="E5612" s="159">
        <v>6</v>
      </c>
      <c r="F5612" s="131"/>
      <c r="G5612" s="132"/>
      <c r="H5612" s="162" t="s">
        <v>28936</v>
      </c>
      <c r="I5612" s="158" t="s">
        <v>28937</v>
      </c>
      <c r="J5612" s="128"/>
      <c r="K5612" s="128"/>
      <c r="L5612" s="128"/>
      <c r="M5612" s="129"/>
      <c r="N5612" s="129"/>
      <c r="O5612" s="129"/>
    </row>
    <row r="5613" spans="1:15" ht="12.5">
      <c r="A5613" s="158" t="s">
        <v>28938</v>
      </c>
      <c r="B5613" s="159">
        <v>65</v>
      </c>
      <c r="C5613" s="159">
        <v>57</v>
      </c>
      <c r="D5613" s="159">
        <v>2</v>
      </c>
      <c r="E5613" s="159">
        <v>7</v>
      </c>
      <c r="F5613" s="131"/>
      <c r="G5613" s="132"/>
      <c r="H5613" s="162" t="s">
        <v>28939</v>
      </c>
      <c r="I5613" s="158" t="s">
        <v>28940</v>
      </c>
      <c r="J5613" s="128"/>
      <c r="K5613" s="128"/>
      <c r="L5613" s="128"/>
      <c r="M5613" s="129"/>
      <c r="N5613" s="129"/>
      <c r="O5613" s="129"/>
    </row>
    <row r="5614" spans="1:15" ht="12.5">
      <c r="A5614" s="158" t="s">
        <v>28941</v>
      </c>
      <c r="B5614" s="159">
        <v>65</v>
      </c>
      <c r="C5614" s="159">
        <v>57</v>
      </c>
      <c r="D5614" s="159">
        <v>2</v>
      </c>
      <c r="E5614" s="159">
        <v>11</v>
      </c>
      <c r="F5614" s="131"/>
      <c r="G5614" s="132"/>
      <c r="H5614" s="162" t="s">
        <v>28942</v>
      </c>
      <c r="I5614" s="158" t="s">
        <v>28937</v>
      </c>
      <c r="J5614" s="128"/>
      <c r="K5614" s="128"/>
      <c r="L5614" s="128"/>
      <c r="M5614" s="129"/>
      <c r="N5614" s="129"/>
      <c r="O5614" s="129"/>
    </row>
    <row r="5615" spans="1:15" ht="12.5">
      <c r="A5615" s="158" t="s">
        <v>28943</v>
      </c>
      <c r="B5615" s="159">
        <v>65</v>
      </c>
      <c r="C5615" s="159">
        <v>57</v>
      </c>
      <c r="D5615" s="159">
        <v>2</v>
      </c>
      <c r="E5615" s="159">
        <v>15</v>
      </c>
      <c r="F5615" s="131"/>
      <c r="G5615" s="132"/>
      <c r="H5615" s="162" t="s">
        <v>28944</v>
      </c>
      <c r="I5615" s="158" t="s">
        <v>28937</v>
      </c>
      <c r="J5615" s="128"/>
      <c r="K5615" s="128"/>
      <c r="L5615" s="128"/>
      <c r="M5615" s="129"/>
      <c r="N5615" s="129"/>
      <c r="O5615" s="129"/>
    </row>
    <row r="5616" spans="1:15" ht="12.5">
      <c r="A5616" s="158" t="s">
        <v>28945</v>
      </c>
      <c r="B5616" s="159">
        <v>65</v>
      </c>
      <c r="C5616" s="159">
        <v>57</v>
      </c>
      <c r="D5616" s="159">
        <v>2</v>
      </c>
      <c r="E5616" s="159">
        <v>20</v>
      </c>
      <c r="F5616" s="131"/>
      <c r="G5616" s="132"/>
      <c r="H5616" s="162" t="s">
        <v>28946</v>
      </c>
      <c r="I5616" s="158" t="s">
        <v>28947</v>
      </c>
      <c r="J5616" s="128"/>
      <c r="K5616" s="128"/>
      <c r="L5616" s="128"/>
      <c r="M5616" s="129"/>
      <c r="N5616" s="129"/>
      <c r="O5616" s="129"/>
    </row>
    <row r="5617" spans="1:15" ht="12.5">
      <c r="A5617" s="158" t="s">
        <v>28948</v>
      </c>
      <c r="B5617" s="159">
        <v>65</v>
      </c>
      <c r="C5617" s="159">
        <v>57</v>
      </c>
      <c r="D5617" s="159">
        <v>2</v>
      </c>
      <c r="E5617" s="159">
        <v>25</v>
      </c>
      <c r="F5617" s="131"/>
      <c r="G5617" s="132"/>
      <c r="H5617" s="162" t="s">
        <v>28949</v>
      </c>
      <c r="I5617" s="128"/>
      <c r="J5617" s="128"/>
      <c r="K5617" s="128"/>
      <c r="L5617" s="128"/>
      <c r="M5617" s="129"/>
      <c r="N5617" s="129"/>
      <c r="O5617" s="129"/>
    </row>
    <row r="5618" spans="1:15" ht="12.5">
      <c r="A5618" s="158" t="s">
        <v>28950</v>
      </c>
      <c r="B5618" s="159">
        <v>65</v>
      </c>
      <c r="C5618" s="159">
        <v>57</v>
      </c>
      <c r="D5618" s="159">
        <v>2</v>
      </c>
      <c r="E5618" s="159">
        <v>26</v>
      </c>
      <c r="F5618" s="131"/>
      <c r="G5618" s="132"/>
      <c r="H5618" s="162" t="s">
        <v>28951</v>
      </c>
      <c r="I5618" s="158" t="s">
        <v>28952</v>
      </c>
      <c r="J5618" s="128"/>
      <c r="K5618" s="128"/>
      <c r="L5618" s="128"/>
      <c r="M5618" s="129"/>
      <c r="N5618" s="129"/>
      <c r="O5618" s="129"/>
    </row>
    <row r="5619" spans="1:15" ht="12.5">
      <c r="A5619" s="158" t="s">
        <v>28953</v>
      </c>
      <c r="B5619" s="159">
        <v>65</v>
      </c>
      <c r="C5619" s="159">
        <v>57</v>
      </c>
      <c r="D5619" s="159">
        <v>2</v>
      </c>
      <c r="E5619" s="159">
        <v>28</v>
      </c>
      <c r="F5619" s="131"/>
      <c r="G5619" s="132"/>
      <c r="H5619" s="162" t="s">
        <v>28954</v>
      </c>
      <c r="I5619" s="158" t="s">
        <v>28955</v>
      </c>
      <c r="J5619" s="128"/>
      <c r="K5619" s="128"/>
      <c r="L5619" s="128"/>
      <c r="M5619" s="129"/>
      <c r="N5619" s="129"/>
      <c r="O5619" s="129"/>
    </row>
    <row r="5620" spans="1:15" ht="12.5">
      <c r="A5620" s="158" t="s">
        <v>28956</v>
      </c>
      <c r="B5620" s="159">
        <v>65</v>
      </c>
      <c r="C5620" s="159">
        <v>57</v>
      </c>
      <c r="D5620" s="159">
        <v>2</v>
      </c>
      <c r="E5620" s="159">
        <v>29</v>
      </c>
      <c r="F5620" s="131"/>
      <c r="G5620" s="132"/>
      <c r="H5620" s="162" t="s">
        <v>28957</v>
      </c>
      <c r="I5620" s="158" t="s">
        <v>28958</v>
      </c>
      <c r="J5620" s="128"/>
      <c r="K5620" s="128"/>
      <c r="L5620" s="128"/>
      <c r="M5620" s="129"/>
      <c r="N5620" s="129"/>
      <c r="O5620" s="129"/>
    </row>
    <row r="5621" spans="1:15" ht="12.5">
      <c r="A5621" s="158" t="s">
        <v>28959</v>
      </c>
      <c r="B5621" s="159">
        <v>65</v>
      </c>
      <c r="C5621" s="159">
        <v>57</v>
      </c>
      <c r="D5621" s="159">
        <v>2</v>
      </c>
      <c r="E5621" s="159">
        <v>37</v>
      </c>
      <c r="F5621" s="131"/>
      <c r="G5621" s="132"/>
      <c r="H5621" s="162" t="s">
        <v>28960</v>
      </c>
      <c r="I5621" s="158" t="s">
        <v>28961</v>
      </c>
      <c r="J5621" s="128"/>
      <c r="K5621" s="128"/>
      <c r="L5621" s="128"/>
      <c r="M5621" s="129"/>
      <c r="N5621" s="129"/>
      <c r="O5621" s="129"/>
    </row>
    <row r="5622" spans="1:15" ht="12.5">
      <c r="A5622" s="158" t="s">
        <v>28962</v>
      </c>
      <c r="B5622" s="159">
        <v>65</v>
      </c>
      <c r="C5622" s="159">
        <v>57</v>
      </c>
      <c r="D5622" s="159">
        <v>2</v>
      </c>
      <c r="E5622" s="159">
        <v>52</v>
      </c>
      <c r="F5622" s="131"/>
      <c r="G5622" s="132"/>
      <c r="H5622" s="162" t="s">
        <v>28963</v>
      </c>
      <c r="I5622" s="158" t="s">
        <v>28964</v>
      </c>
      <c r="J5622" s="128"/>
      <c r="K5622" s="128"/>
      <c r="L5622" s="128"/>
      <c r="M5622" s="129"/>
      <c r="N5622" s="129"/>
      <c r="O5622" s="129"/>
    </row>
    <row r="5623" spans="1:15" ht="12.5">
      <c r="A5623" s="158" t="s">
        <v>28965</v>
      </c>
      <c r="B5623" s="159">
        <v>65</v>
      </c>
      <c r="C5623" s="159">
        <v>57</v>
      </c>
      <c r="D5623" s="159">
        <v>2</v>
      </c>
      <c r="E5623" s="159">
        <v>66</v>
      </c>
      <c r="F5623" s="131"/>
      <c r="G5623" s="132"/>
      <c r="H5623" s="162" t="s">
        <v>28966</v>
      </c>
      <c r="I5623" s="158" t="s">
        <v>28967</v>
      </c>
      <c r="J5623" s="128"/>
      <c r="K5623" s="128"/>
      <c r="L5623" s="128"/>
      <c r="M5623" s="129"/>
      <c r="N5623" s="129"/>
      <c r="O5623" s="129"/>
    </row>
    <row r="5624" spans="1:15" ht="12.5">
      <c r="A5624" s="158" t="s">
        <v>28968</v>
      </c>
      <c r="B5624" s="159">
        <v>65</v>
      </c>
      <c r="C5624" s="159">
        <v>57</v>
      </c>
      <c r="D5624" s="159">
        <v>2</v>
      </c>
      <c r="E5624" s="159">
        <v>70</v>
      </c>
      <c r="F5624" s="131"/>
      <c r="G5624" s="132"/>
      <c r="H5624" s="162" t="s">
        <v>28969</v>
      </c>
      <c r="I5624" s="158" t="s">
        <v>28970</v>
      </c>
      <c r="J5624" s="128"/>
      <c r="K5624" s="128"/>
      <c r="L5624" s="128"/>
      <c r="M5624" s="129"/>
      <c r="N5624" s="129"/>
      <c r="O5624" s="129"/>
    </row>
    <row r="5625" spans="1:15" ht="12.5">
      <c r="A5625" s="158" t="s">
        <v>28971</v>
      </c>
      <c r="B5625" s="159">
        <v>65</v>
      </c>
      <c r="C5625" s="159">
        <v>57</v>
      </c>
      <c r="D5625" s="159">
        <v>2</v>
      </c>
      <c r="E5625" s="159">
        <v>92</v>
      </c>
      <c r="F5625" s="131"/>
      <c r="G5625" s="132"/>
      <c r="H5625" s="162" t="s">
        <v>28972</v>
      </c>
      <c r="I5625" s="158" t="s">
        <v>28973</v>
      </c>
      <c r="J5625" s="128"/>
      <c r="K5625" s="128"/>
      <c r="L5625" s="128"/>
      <c r="M5625" s="129"/>
      <c r="N5625" s="129"/>
      <c r="O5625" s="129"/>
    </row>
    <row r="5626" spans="1:15" ht="12.5">
      <c r="A5626" s="158" t="s">
        <v>28974</v>
      </c>
      <c r="B5626" s="159">
        <v>65</v>
      </c>
      <c r="C5626" s="159">
        <v>57</v>
      </c>
      <c r="D5626" s="159">
        <v>2</v>
      </c>
      <c r="E5626" s="159">
        <v>93</v>
      </c>
      <c r="F5626" s="131"/>
      <c r="G5626" s="132"/>
      <c r="H5626" s="162" t="s">
        <v>28975</v>
      </c>
      <c r="I5626" s="158" t="s">
        <v>28976</v>
      </c>
      <c r="J5626" s="128"/>
      <c r="K5626" s="128"/>
      <c r="L5626" s="128"/>
      <c r="M5626" s="129"/>
      <c r="N5626" s="129"/>
      <c r="O5626" s="129"/>
    </row>
    <row r="5627" spans="1:15" ht="12.5">
      <c r="A5627" s="158" t="s">
        <v>28977</v>
      </c>
      <c r="B5627" s="159">
        <v>65</v>
      </c>
      <c r="C5627" s="159">
        <v>57</v>
      </c>
      <c r="D5627" s="159">
        <v>2</v>
      </c>
      <c r="E5627" s="159">
        <v>96</v>
      </c>
      <c r="F5627" s="131"/>
      <c r="G5627" s="132"/>
      <c r="H5627" s="162" t="s">
        <v>28978</v>
      </c>
      <c r="I5627" s="158" t="s">
        <v>28937</v>
      </c>
      <c r="J5627" s="128"/>
      <c r="K5627" s="128"/>
      <c r="L5627" s="128"/>
      <c r="M5627" s="129"/>
      <c r="N5627" s="129"/>
      <c r="O5627" s="129"/>
    </row>
    <row r="5628" spans="1:15" ht="12.5">
      <c r="A5628" s="158" t="s">
        <v>28979</v>
      </c>
      <c r="B5628" s="159">
        <v>65</v>
      </c>
      <c r="C5628" s="159">
        <v>57</v>
      </c>
      <c r="D5628" s="159">
        <v>2</v>
      </c>
      <c r="E5628" s="159">
        <v>97</v>
      </c>
      <c r="F5628" s="131"/>
      <c r="G5628" s="132"/>
      <c r="H5628" s="162" t="s">
        <v>28980</v>
      </c>
      <c r="I5628" s="158" t="s">
        <v>28981</v>
      </c>
      <c r="J5628" s="128"/>
      <c r="K5628" s="128"/>
      <c r="L5628" s="128"/>
      <c r="M5628" s="129"/>
      <c r="N5628" s="129"/>
      <c r="O5628" s="129"/>
    </row>
    <row r="5629" spans="1:15" ht="12.5">
      <c r="A5629" s="158" t="s">
        <v>28982</v>
      </c>
      <c r="B5629" s="159">
        <v>65</v>
      </c>
      <c r="C5629" s="159">
        <v>57</v>
      </c>
      <c r="D5629" s="159">
        <v>33</v>
      </c>
      <c r="E5629" s="130"/>
      <c r="F5629" s="131"/>
      <c r="G5629" s="132"/>
      <c r="H5629" s="162" t="s">
        <v>28983</v>
      </c>
      <c r="I5629" s="128"/>
      <c r="J5629" s="128"/>
      <c r="K5629" s="128"/>
      <c r="L5629" s="128"/>
      <c r="M5629" s="129"/>
      <c r="N5629" s="129"/>
      <c r="O5629" s="129"/>
    </row>
    <row r="5630" spans="1:15" ht="12.5">
      <c r="A5630" s="158" t="s">
        <v>28984</v>
      </c>
      <c r="B5630" s="159">
        <v>65</v>
      </c>
      <c r="C5630" s="159">
        <v>57</v>
      </c>
      <c r="D5630" s="159">
        <v>33</v>
      </c>
      <c r="E5630" s="159">
        <v>2</v>
      </c>
      <c r="F5630" s="131"/>
      <c r="G5630" s="132"/>
      <c r="H5630" s="162" t="s">
        <v>28985</v>
      </c>
      <c r="I5630" s="158" t="s">
        <v>28986</v>
      </c>
      <c r="J5630" s="128"/>
      <c r="K5630" s="128"/>
      <c r="L5630" s="128"/>
      <c r="M5630" s="129"/>
      <c r="N5630" s="129"/>
      <c r="O5630" s="129"/>
    </row>
    <row r="5631" spans="1:15" ht="12.5">
      <c r="A5631" s="158" t="s">
        <v>28987</v>
      </c>
      <c r="B5631" s="159">
        <v>65</v>
      </c>
      <c r="C5631" s="159">
        <v>57</v>
      </c>
      <c r="D5631" s="159">
        <v>33</v>
      </c>
      <c r="E5631" s="159">
        <v>15</v>
      </c>
      <c r="F5631" s="131"/>
      <c r="G5631" s="132"/>
      <c r="H5631" s="162" t="s">
        <v>28988</v>
      </c>
      <c r="I5631" s="158" t="s">
        <v>28986</v>
      </c>
      <c r="J5631" s="128"/>
      <c r="K5631" s="128"/>
      <c r="L5631" s="128"/>
      <c r="M5631" s="129"/>
      <c r="N5631" s="129"/>
      <c r="O5631" s="129"/>
    </row>
    <row r="5632" spans="1:15" ht="12.5">
      <c r="A5632" s="158" t="s">
        <v>28989</v>
      </c>
      <c r="B5632" s="159">
        <v>65</v>
      </c>
      <c r="C5632" s="159">
        <v>57</v>
      </c>
      <c r="D5632" s="159">
        <v>33</v>
      </c>
      <c r="E5632" s="159">
        <v>25</v>
      </c>
      <c r="F5632" s="131"/>
      <c r="G5632" s="132"/>
      <c r="H5632" s="162" t="s">
        <v>28990</v>
      </c>
      <c r="I5632" s="158" t="s">
        <v>28986</v>
      </c>
      <c r="J5632" s="128"/>
      <c r="K5632" s="128"/>
      <c r="L5632" s="128"/>
      <c r="M5632" s="129"/>
      <c r="N5632" s="129"/>
      <c r="O5632" s="129"/>
    </row>
    <row r="5633" spans="1:15" ht="12.5">
      <c r="A5633" s="158" t="s">
        <v>28991</v>
      </c>
      <c r="B5633" s="159">
        <v>65</v>
      </c>
      <c r="C5633" s="159">
        <v>57</v>
      </c>
      <c r="D5633" s="159">
        <v>33</v>
      </c>
      <c r="E5633" s="159">
        <v>33</v>
      </c>
      <c r="F5633" s="131"/>
      <c r="G5633" s="132"/>
      <c r="H5633" s="162" t="s">
        <v>28992</v>
      </c>
      <c r="I5633" s="158" t="s">
        <v>28993</v>
      </c>
      <c r="J5633" s="128"/>
      <c r="K5633" s="128"/>
      <c r="L5633" s="128"/>
      <c r="M5633" s="129"/>
      <c r="N5633" s="129"/>
      <c r="O5633" s="129"/>
    </row>
    <row r="5634" spans="1:15" ht="12.5">
      <c r="A5634" s="158" t="s">
        <v>28994</v>
      </c>
      <c r="B5634" s="159">
        <v>65</v>
      </c>
      <c r="C5634" s="159">
        <v>57</v>
      </c>
      <c r="D5634" s="159">
        <v>58</v>
      </c>
      <c r="E5634" s="130"/>
      <c r="F5634" s="131"/>
      <c r="G5634" s="132"/>
      <c r="H5634" s="162" t="s">
        <v>28995</v>
      </c>
      <c r="I5634" s="128"/>
      <c r="J5634" s="128"/>
      <c r="K5634" s="128"/>
      <c r="L5634" s="128"/>
      <c r="M5634" s="129"/>
      <c r="N5634" s="129"/>
      <c r="O5634" s="129"/>
    </row>
    <row r="5635" spans="1:15" ht="12.5">
      <c r="A5635" s="158" t="s">
        <v>28996</v>
      </c>
      <c r="B5635" s="159">
        <v>65</v>
      </c>
      <c r="C5635" s="159">
        <v>57</v>
      </c>
      <c r="D5635" s="159">
        <v>58</v>
      </c>
      <c r="E5635" s="159">
        <v>58</v>
      </c>
      <c r="F5635" s="131"/>
      <c r="G5635" s="132"/>
      <c r="H5635" s="162" t="s">
        <v>28997</v>
      </c>
      <c r="I5635" s="158" t="s">
        <v>28998</v>
      </c>
      <c r="J5635" s="128"/>
      <c r="K5635" s="128"/>
      <c r="L5635" s="128"/>
      <c r="M5635" s="129"/>
      <c r="N5635" s="129"/>
      <c r="O5635" s="129"/>
    </row>
    <row r="5636" spans="1:15" ht="12.5">
      <c r="A5636" s="158" t="s">
        <v>28999</v>
      </c>
      <c r="B5636" s="159">
        <v>65</v>
      </c>
      <c r="C5636" s="159">
        <v>57</v>
      </c>
      <c r="D5636" s="159">
        <v>58</v>
      </c>
      <c r="E5636" s="159">
        <v>59</v>
      </c>
      <c r="F5636" s="131"/>
      <c r="G5636" s="132"/>
      <c r="H5636" s="162" t="s">
        <v>29000</v>
      </c>
      <c r="I5636" s="158" t="s">
        <v>29001</v>
      </c>
      <c r="J5636" s="128"/>
      <c r="K5636" s="128"/>
      <c r="L5636" s="128"/>
      <c r="M5636" s="129"/>
      <c r="N5636" s="129"/>
      <c r="O5636" s="129"/>
    </row>
    <row r="5637" spans="1:15" ht="12.5">
      <c r="A5637" s="158" t="s">
        <v>29002</v>
      </c>
      <c r="B5637" s="159">
        <v>65</v>
      </c>
      <c r="C5637" s="159">
        <v>57</v>
      </c>
      <c r="D5637" s="159">
        <v>85</v>
      </c>
      <c r="E5637" s="130"/>
      <c r="F5637" s="131"/>
      <c r="G5637" s="132"/>
      <c r="H5637" s="162" t="s">
        <v>29003</v>
      </c>
      <c r="I5637" s="128"/>
      <c r="J5637" s="128"/>
      <c r="K5637" s="128"/>
      <c r="L5637" s="128"/>
      <c r="M5637" s="129"/>
      <c r="N5637" s="129"/>
      <c r="O5637" s="129"/>
    </row>
    <row r="5638" spans="1:15" ht="12.5">
      <c r="A5638" s="158" t="s">
        <v>29004</v>
      </c>
      <c r="B5638" s="159">
        <v>65</v>
      </c>
      <c r="C5638" s="159">
        <v>57</v>
      </c>
      <c r="D5638" s="159">
        <v>85</v>
      </c>
      <c r="E5638" s="159">
        <v>6</v>
      </c>
      <c r="F5638" s="131"/>
      <c r="G5638" s="132"/>
      <c r="H5638" s="162" t="s">
        <v>29005</v>
      </c>
      <c r="I5638" s="158" t="s">
        <v>29006</v>
      </c>
      <c r="J5638" s="128"/>
      <c r="K5638" s="128"/>
      <c r="L5638" s="128"/>
      <c r="M5638" s="129"/>
      <c r="N5638" s="129"/>
      <c r="O5638" s="129"/>
    </row>
    <row r="5639" spans="1:15" ht="12.5">
      <c r="A5639" s="158" t="s">
        <v>29007</v>
      </c>
      <c r="B5639" s="159">
        <v>65</v>
      </c>
      <c r="C5639" s="159">
        <v>57</v>
      </c>
      <c r="D5639" s="159">
        <v>85</v>
      </c>
      <c r="E5639" s="159">
        <v>7</v>
      </c>
      <c r="F5639" s="131"/>
      <c r="G5639" s="132"/>
      <c r="H5639" s="162" t="s">
        <v>29008</v>
      </c>
      <c r="I5639" s="158" t="s">
        <v>29009</v>
      </c>
      <c r="J5639" s="128"/>
      <c r="K5639" s="128"/>
      <c r="L5639" s="128"/>
      <c r="M5639" s="129"/>
      <c r="N5639" s="129"/>
      <c r="O5639" s="129"/>
    </row>
    <row r="5640" spans="1:15" ht="12.5">
      <c r="A5640" s="158" t="s">
        <v>29010</v>
      </c>
      <c r="B5640" s="159">
        <v>65</v>
      </c>
      <c r="C5640" s="159">
        <v>57</v>
      </c>
      <c r="D5640" s="159">
        <v>85</v>
      </c>
      <c r="E5640" s="159">
        <v>12</v>
      </c>
      <c r="F5640" s="131"/>
      <c r="G5640" s="132"/>
      <c r="H5640" s="162" t="s">
        <v>29011</v>
      </c>
      <c r="I5640" s="158" t="s">
        <v>29012</v>
      </c>
      <c r="J5640" s="128"/>
      <c r="K5640" s="128"/>
      <c r="L5640" s="128"/>
      <c r="M5640" s="129"/>
      <c r="N5640" s="129"/>
      <c r="O5640" s="129"/>
    </row>
    <row r="5641" spans="1:15" ht="12.5">
      <c r="A5641" s="158" t="s">
        <v>29013</v>
      </c>
      <c r="B5641" s="159">
        <v>65</v>
      </c>
      <c r="C5641" s="159">
        <v>57</v>
      </c>
      <c r="D5641" s="159">
        <v>85</v>
      </c>
      <c r="E5641" s="159">
        <v>22</v>
      </c>
      <c r="F5641" s="131"/>
      <c r="G5641" s="132"/>
      <c r="H5641" s="162" t="s">
        <v>29014</v>
      </c>
      <c r="I5641" s="158" t="s">
        <v>29015</v>
      </c>
      <c r="J5641" s="128"/>
      <c r="K5641" s="128"/>
      <c r="L5641" s="128"/>
      <c r="M5641" s="129"/>
      <c r="N5641" s="129"/>
      <c r="O5641" s="129"/>
    </row>
    <row r="5642" spans="1:15" ht="12.5">
      <c r="A5642" s="158" t="s">
        <v>29016</v>
      </c>
      <c r="B5642" s="159">
        <v>65</v>
      </c>
      <c r="C5642" s="159">
        <v>57</v>
      </c>
      <c r="D5642" s="159">
        <v>85</v>
      </c>
      <c r="E5642" s="159">
        <v>33</v>
      </c>
      <c r="F5642" s="131"/>
      <c r="G5642" s="132"/>
      <c r="H5642" s="162" t="s">
        <v>33550</v>
      </c>
      <c r="I5642" s="158" t="s">
        <v>29021</v>
      </c>
      <c r="J5642" s="128"/>
      <c r="K5642" s="128"/>
      <c r="L5642" s="128"/>
      <c r="M5642" s="129"/>
      <c r="N5642" s="129"/>
      <c r="O5642" s="129"/>
    </row>
    <row r="5643" spans="1:15" ht="12.5">
      <c r="A5643" s="158" t="s">
        <v>29025</v>
      </c>
      <c r="B5643" s="159">
        <v>65</v>
      </c>
      <c r="C5643" s="159">
        <v>57</v>
      </c>
      <c r="D5643" s="159">
        <v>85</v>
      </c>
      <c r="E5643" s="159">
        <v>75</v>
      </c>
      <c r="F5643" s="131"/>
      <c r="G5643" s="132"/>
      <c r="H5643" s="162" t="s">
        <v>29026</v>
      </c>
      <c r="I5643" s="158" t="s">
        <v>29021</v>
      </c>
      <c r="J5643" s="128"/>
      <c r="K5643" s="128"/>
      <c r="L5643" s="128"/>
      <c r="M5643" s="129"/>
      <c r="N5643" s="129"/>
      <c r="O5643" s="129"/>
    </row>
    <row r="5644" spans="1:15" ht="12.5">
      <c r="A5644" s="158" t="s">
        <v>29028</v>
      </c>
      <c r="B5644" s="159">
        <v>65</v>
      </c>
      <c r="C5644" s="159">
        <v>57</v>
      </c>
      <c r="D5644" s="159">
        <v>95</v>
      </c>
      <c r="E5644" s="130"/>
      <c r="F5644" s="131"/>
      <c r="G5644" s="132"/>
      <c r="H5644" s="162" t="s">
        <v>29029</v>
      </c>
      <c r="I5644" s="128"/>
      <c r="J5644" s="128"/>
      <c r="K5644" s="128"/>
      <c r="L5644" s="128"/>
      <c r="M5644" s="129"/>
      <c r="N5644" s="129"/>
      <c r="O5644" s="129"/>
    </row>
    <row r="5645" spans="1:15" ht="12.5">
      <c r="A5645" s="158" t="s">
        <v>29030</v>
      </c>
      <c r="B5645" s="159">
        <v>65</v>
      </c>
      <c r="C5645" s="159">
        <v>57</v>
      </c>
      <c r="D5645" s="159">
        <v>95</v>
      </c>
      <c r="E5645" s="159">
        <v>7</v>
      </c>
      <c r="F5645" s="131"/>
      <c r="G5645" s="132"/>
      <c r="H5645" s="162" t="s">
        <v>29031</v>
      </c>
      <c r="I5645" s="158" t="s">
        <v>29032</v>
      </c>
      <c r="J5645" s="128"/>
      <c r="K5645" s="128"/>
      <c r="L5645" s="128"/>
      <c r="M5645" s="129"/>
      <c r="N5645" s="129"/>
      <c r="O5645" s="129"/>
    </row>
    <row r="5646" spans="1:15" ht="12.5">
      <c r="A5646" s="158" t="s">
        <v>29033</v>
      </c>
      <c r="B5646" s="159">
        <v>65</v>
      </c>
      <c r="C5646" s="159">
        <v>57</v>
      </c>
      <c r="D5646" s="159">
        <v>95</v>
      </c>
      <c r="E5646" s="159">
        <v>11</v>
      </c>
      <c r="F5646" s="131"/>
      <c r="G5646" s="132"/>
      <c r="H5646" s="162" t="s">
        <v>29034</v>
      </c>
      <c r="I5646" s="158" t="s">
        <v>29035</v>
      </c>
      <c r="J5646" s="128"/>
      <c r="K5646" s="128"/>
      <c r="L5646" s="128"/>
      <c r="M5646" s="129"/>
      <c r="N5646" s="129"/>
      <c r="O5646" s="129"/>
    </row>
    <row r="5647" spans="1:15" ht="12.5">
      <c r="A5647" s="158" t="s">
        <v>29036</v>
      </c>
      <c r="B5647" s="159">
        <v>65</v>
      </c>
      <c r="C5647" s="159">
        <v>57</v>
      </c>
      <c r="D5647" s="159">
        <v>95</v>
      </c>
      <c r="E5647" s="159">
        <v>13</v>
      </c>
      <c r="F5647" s="131"/>
      <c r="G5647" s="132"/>
      <c r="H5647" s="162" t="s">
        <v>29037</v>
      </c>
      <c r="I5647" s="158" t="s">
        <v>29038</v>
      </c>
      <c r="J5647" s="128"/>
      <c r="K5647" s="128"/>
      <c r="L5647" s="128"/>
      <c r="M5647" s="129"/>
      <c r="N5647" s="129"/>
      <c r="O5647" s="129"/>
    </row>
    <row r="5648" spans="1:15" ht="12.5">
      <c r="A5648" s="158" t="s">
        <v>29039</v>
      </c>
      <c r="B5648" s="159">
        <v>65</v>
      </c>
      <c r="C5648" s="159">
        <v>57</v>
      </c>
      <c r="D5648" s="159">
        <v>95</v>
      </c>
      <c r="E5648" s="159">
        <v>22</v>
      </c>
      <c r="F5648" s="131"/>
      <c r="G5648" s="132"/>
      <c r="H5648" s="162" t="s">
        <v>29040</v>
      </c>
      <c r="I5648" s="158" t="s">
        <v>29041</v>
      </c>
      <c r="J5648" s="128"/>
      <c r="K5648" s="128"/>
      <c r="L5648" s="128"/>
      <c r="M5648" s="129"/>
      <c r="N5648" s="129"/>
      <c r="O5648" s="129"/>
    </row>
    <row r="5649" spans="1:15" ht="12.5">
      <c r="A5649" s="158" t="s">
        <v>29042</v>
      </c>
      <c r="B5649" s="159">
        <v>65</v>
      </c>
      <c r="C5649" s="159">
        <v>57</v>
      </c>
      <c r="D5649" s="159">
        <v>95</v>
      </c>
      <c r="E5649" s="159">
        <v>42</v>
      </c>
      <c r="F5649" s="131"/>
      <c r="G5649" s="132"/>
      <c r="H5649" s="162" t="s">
        <v>29043</v>
      </c>
      <c r="I5649" s="158" t="s">
        <v>29044</v>
      </c>
      <c r="J5649" s="128"/>
      <c r="K5649" s="128"/>
      <c r="L5649" s="128"/>
      <c r="M5649" s="129"/>
      <c r="N5649" s="129"/>
      <c r="O5649" s="129"/>
    </row>
    <row r="5650" spans="1:15" ht="12.5">
      <c r="A5650" s="158" t="s">
        <v>29045</v>
      </c>
      <c r="B5650" s="159">
        <v>65</v>
      </c>
      <c r="C5650" s="159">
        <v>57</v>
      </c>
      <c r="D5650" s="159">
        <v>95</v>
      </c>
      <c r="E5650" s="159">
        <v>51</v>
      </c>
      <c r="F5650" s="131"/>
      <c r="G5650" s="132"/>
      <c r="H5650" s="162" t="s">
        <v>29046</v>
      </c>
      <c r="I5650" s="158" t="s">
        <v>29047</v>
      </c>
      <c r="J5650" s="128"/>
      <c r="K5650" s="128"/>
      <c r="L5650" s="128"/>
      <c r="M5650" s="129"/>
      <c r="N5650" s="129"/>
      <c r="O5650" s="129"/>
    </row>
    <row r="5651" spans="1:15" ht="12.5">
      <c r="A5651" s="158" t="s">
        <v>29048</v>
      </c>
      <c r="B5651" s="159">
        <v>65</v>
      </c>
      <c r="C5651" s="159">
        <v>57</v>
      </c>
      <c r="D5651" s="159">
        <v>95</v>
      </c>
      <c r="E5651" s="159">
        <v>76</v>
      </c>
      <c r="F5651" s="131"/>
      <c r="G5651" s="132"/>
      <c r="H5651" s="162" t="s">
        <v>29049</v>
      </c>
      <c r="I5651" s="158" t="s">
        <v>29050</v>
      </c>
      <c r="J5651" s="128"/>
      <c r="K5651" s="128"/>
      <c r="L5651" s="128"/>
      <c r="M5651" s="129"/>
      <c r="N5651" s="129"/>
      <c r="O5651" s="129"/>
    </row>
    <row r="5652" spans="1:15" ht="12.5">
      <c r="A5652" s="158" t="s">
        <v>29051</v>
      </c>
      <c r="B5652" s="159">
        <v>65</v>
      </c>
      <c r="C5652" s="159">
        <v>57</v>
      </c>
      <c r="D5652" s="159">
        <v>95</v>
      </c>
      <c r="E5652" s="159">
        <v>96</v>
      </c>
      <c r="F5652" s="131"/>
      <c r="G5652" s="132"/>
      <c r="H5652" s="162" t="s">
        <v>29052</v>
      </c>
      <c r="I5652" s="158" t="s">
        <v>29053</v>
      </c>
      <c r="J5652" s="128"/>
      <c r="K5652" s="128"/>
      <c r="L5652" s="128"/>
      <c r="M5652" s="129"/>
      <c r="N5652" s="129"/>
      <c r="O5652" s="129"/>
    </row>
    <row r="5653" spans="1:15" ht="12.5">
      <c r="A5653" s="158" t="s">
        <v>29054</v>
      </c>
      <c r="B5653" s="159">
        <v>65</v>
      </c>
      <c r="C5653" s="159">
        <v>57</v>
      </c>
      <c r="D5653" s="159">
        <v>96</v>
      </c>
      <c r="E5653" s="130"/>
      <c r="F5653" s="131"/>
      <c r="G5653" s="132"/>
      <c r="H5653" s="162" t="s">
        <v>29055</v>
      </c>
      <c r="I5653" s="128"/>
      <c r="J5653" s="128"/>
      <c r="K5653" s="128"/>
      <c r="L5653" s="128"/>
      <c r="M5653" s="129"/>
      <c r="N5653" s="129"/>
      <c r="O5653" s="129"/>
    </row>
    <row r="5654" spans="1:15" ht="12.5">
      <c r="A5654" s="158" t="s">
        <v>29058</v>
      </c>
      <c r="B5654" s="159">
        <v>65</v>
      </c>
      <c r="C5654" s="159">
        <v>57</v>
      </c>
      <c r="D5654" s="159">
        <v>96</v>
      </c>
      <c r="E5654" s="159">
        <v>3</v>
      </c>
      <c r="F5654" s="131"/>
      <c r="G5654" s="132"/>
      <c r="H5654" s="162" t="s">
        <v>29059</v>
      </c>
      <c r="I5654" s="158" t="s">
        <v>29060</v>
      </c>
      <c r="J5654" s="128"/>
      <c r="K5654" s="128"/>
      <c r="L5654" s="128"/>
      <c r="M5654" s="129"/>
      <c r="N5654" s="129"/>
      <c r="O5654" s="129"/>
    </row>
    <row r="5655" spans="1:15" ht="12.5">
      <c r="A5655" s="158" t="s">
        <v>29061</v>
      </c>
      <c r="B5655" s="159">
        <v>65</v>
      </c>
      <c r="C5655" s="159">
        <v>57</v>
      </c>
      <c r="D5655" s="159">
        <v>96</v>
      </c>
      <c r="E5655" s="159">
        <v>4</v>
      </c>
      <c r="F5655" s="131"/>
      <c r="G5655" s="132"/>
      <c r="H5655" s="162" t="s">
        <v>29062</v>
      </c>
      <c r="I5655" s="158" t="s">
        <v>29063</v>
      </c>
      <c r="J5655" s="128"/>
      <c r="K5655" s="128"/>
      <c r="L5655" s="128"/>
      <c r="M5655" s="129"/>
      <c r="N5655" s="129"/>
      <c r="O5655" s="129"/>
    </row>
    <row r="5656" spans="1:15" ht="12.5">
      <c r="A5656" s="158" t="s">
        <v>29064</v>
      </c>
      <c r="B5656" s="159">
        <v>65</v>
      </c>
      <c r="C5656" s="159">
        <v>57</v>
      </c>
      <c r="D5656" s="159">
        <v>96</v>
      </c>
      <c r="E5656" s="159">
        <v>8</v>
      </c>
      <c r="F5656" s="131"/>
      <c r="G5656" s="132"/>
      <c r="H5656" s="162" t="s">
        <v>29065</v>
      </c>
      <c r="I5656" s="158" t="s">
        <v>29063</v>
      </c>
      <c r="J5656" s="128"/>
      <c r="K5656" s="128"/>
      <c r="L5656" s="128"/>
      <c r="M5656" s="129"/>
      <c r="N5656" s="129"/>
      <c r="O5656" s="129"/>
    </row>
    <row r="5657" spans="1:15" ht="12.5">
      <c r="A5657" s="158" t="s">
        <v>29066</v>
      </c>
      <c r="B5657" s="159">
        <v>65</v>
      </c>
      <c r="C5657" s="159">
        <v>57</v>
      </c>
      <c r="D5657" s="159">
        <v>96</v>
      </c>
      <c r="E5657" s="159">
        <v>9</v>
      </c>
      <c r="F5657" s="131"/>
      <c r="G5657" s="132"/>
      <c r="H5657" s="162" t="s">
        <v>29067</v>
      </c>
      <c r="I5657" s="158" t="s">
        <v>29068</v>
      </c>
      <c r="J5657" s="128"/>
      <c r="K5657" s="128"/>
      <c r="L5657" s="128"/>
      <c r="M5657" s="129"/>
      <c r="N5657" s="129"/>
      <c r="O5657" s="129"/>
    </row>
    <row r="5658" spans="1:15" ht="12.5">
      <c r="A5658" s="158" t="s">
        <v>29069</v>
      </c>
      <c r="B5658" s="159">
        <v>65</v>
      </c>
      <c r="C5658" s="159">
        <v>57</v>
      </c>
      <c r="D5658" s="159">
        <v>96</v>
      </c>
      <c r="E5658" s="159">
        <v>11</v>
      </c>
      <c r="F5658" s="131"/>
      <c r="G5658" s="132"/>
      <c r="H5658" s="162" t="s">
        <v>29070</v>
      </c>
      <c r="I5658" s="128"/>
      <c r="J5658" s="128"/>
      <c r="K5658" s="128"/>
      <c r="L5658" s="128"/>
      <c r="M5658" s="129"/>
      <c r="N5658" s="129"/>
      <c r="O5658" s="129"/>
    </row>
    <row r="5659" spans="1:15" ht="12.5">
      <c r="A5659" s="158" t="s">
        <v>29071</v>
      </c>
      <c r="B5659" s="159">
        <v>65</v>
      </c>
      <c r="C5659" s="159">
        <v>57</v>
      </c>
      <c r="D5659" s="159">
        <v>96</v>
      </c>
      <c r="E5659" s="159">
        <v>13</v>
      </c>
      <c r="F5659" s="131"/>
      <c r="G5659" s="132"/>
      <c r="H5659" s="162" t="s">
        <v>29072</v>
      </c>
      <c r="I5659" s="158" t="s">
        <v>29060</v>
      </c>
      <c r="J5659" s="128"/>
      <c r="K5659" s="128"/>
      <c r="L5659" s="128"/>
      <c r="M5659" s="129"/>
      <c r="N5659" s="129"/>
      <c r="O5659" s="129"/>
    </row>
    <row r="5660" spans="1:15" ht="12.5">
      <c r="A5660" s="158" t="s">
        <v>29073</v>
      </c>
      <c r="B5660" s="159">
        <v>65</v>
      </c>
      <c r="C5660" s="159">
        <v>57</v>
      </c>
      <c r="D5660" s="159">
        <v>96</v>
      </c>
      <c r="E5660" s="159">
        <v>16</v>
      </c>
      <c r="F5660" s="131"/>
      <c r="G5660" s="132"/>
      <c r="H5660" s="162" t="s">
        <v>29074</v>
      </c>
      <c r="I5660" s="128"/>
      <c r="J5660" s="128"/>
      <c r="K5660" s="128"/>
      <c r="L5660" s="128"/>
      <c r="M5660" s="129"/>
      <c r="N5660" s="129"/>
      <c r="O5660" s="129"/>
    </row>
    <row r="5661" spans="1:15" ht="12.5">
      <c r="A5661" s="158" t="s">
        <v>29075</v>
      </c>
      <c r="B5661" s="159">
        <v>65</v>
      </c>
      <c r="C5661" s="159">
        <v>57</v>
      </c>
      <c r="D5661" s="159">
        <v>96</v>
      </c>
      <c r="E5661" s="159">
        <v>29</v>
      </c>
      <c r="F5661" s="131"/>
      <c r="G5661" s="132"/>
      <c r="H5661" s="162" t="s">
        <v>29076</v>
      </c>
      <c r="I5661" s="158" t="s">
        <v>29060</v>
      </c>
      <c r="J5661" s="128"/>
      <c r="K5661" s="128"/>
      <c r="L5661" s="128"/>
      <c r="M5661" s="129"/>
      <c r="N5661" s="129"/>
      <c r="O5661" s="129"/>
    </row>
    <row r="5662" spans="1:15" ht="12.5">
      <c r="A5662" s="158" t="s">
        <v>29077</v>
      </c>
      <c r="B5662" s="159">
        <v>65</v>
      </c>
      <c r="C5662" s="159">
        <v>57</v>
      </c>
      <c r="D5662" s="159">
        <v>96</v>
      </c>
      <c r="E5662" s="159">
        <v>30</v>
      </c>
      <c r="F5662" s="131"/>
      <c r="G5662" s="132"/>
      <c r="H5662" s="162" t="s">
        <v>29078</v>
      </c>
      <c r="I5662" s="158" t="s">
        <v>29068</v>
      </c>
      <c r="J5662" s="128"/>
      <c r="K5662" s="128"/>
      <c r="L5662" s="128"/>
      <c r="M5662" s="129"/>
      <c r="N5662" s="129"/>
      <c r="O5662" s="129"/>
    </row>
    <row r="5663" spans="1:15" ht="12.5">
      <c r="A5663" s="158" t="s">
        <v>29079</v>
      </c>
      <c r="B5663" s="159">
        <v>65</v>
      </c>
      <c r="C5663" s="159">
        <v>57</v>
      </c>
      <c r="D5663" s="159">
        <v>96</v>
      </c>
      <c r="E5663" s="159">
        <v>34</v>
      </c>
      <c r="F5663" s="131"/>
      <c r="G5663" s="132"/>
      <c r="H5663" s="162" t="s">
        <v>29080</v>
      </c>
      <c r="I5663" s="158" t="s">
        <v>29060</v>
      </c>
      <c r="J5663" s="128"/>
      <c r="K5663" s="128"/>
      <c r="L5663" s="128"/>
      <c r="M5663" s="129"/>
      <c r="N5663" s="129"/>
      <c r="O5663" s="129"/>
    </row>
    <row r="5664" spans="1:15" ht="12.5">
      <c r="A5664" s="158" t="s">
        <v>29081</v>
      </c>
      <c r="B5664" s="159">
        <v>65</v>
      </c>
      <c r="C5664" s="159">
        <v>57</v>
      </c>
      <c r="D5664" s="159">
        <v>96</v>
      </c>
      <c r="E5664" s="159">
        <v>35</v>
      </c>
      <c r="F5664" s="131"/>
      <c r="G5664" s="132"/>
      <c r="H5664" s="162" t="s">
        <v>29082</v>
      </c>
      <c r="I5664" s="158" t="s">
        <v>29068</v>
      </c>
      <c r="J5664" s="128"/>
      <c r="K5664" s="128"/>
      <c r="L5664" s="128"/>
      <c r="M5664" s="129"/>
      <c r="N5664" s="129"/>
      <c r="O5664" s="129"/>
    </row>
    <row r="5665" spans="1:15" ht="12.5">
      <c r="A5665" s="158" t="s">
        <v>29083</v>
      </c>
      <c r="B5665" s="159">
        <v>65</v>
      </c>
      <c r="C5665" s="159">
        <v>57</v>
      </c>
      <c r="D5665" s="159">
        <v>96</v>
      </c>
      <c r="E5665" s="159">
        <v>52</v>
      </c>
      <c r="F5665" s="131"/>
      <c r="G5665" s="132"/>
      <c r="H5665" s="162" t="s">
        <v>29084</v>
      </c>
      <c r="I5665" s="158" t="s">
        <v>29060</v>
      </c>
      <c r="J5665" s="128"/>
      <c r="K5665" s="128"/>
      <c r="L5665" s="128"/>
      <c r="M5665" s="129"/>
      <c r="N5665" s="129"/>
      <c r="O5665" s="129"/>
    </row>
    <row r="5666" spans="1:15" ht="12.5">
      <c r="A5666" s="158" t="s">
        <v>29085</v>
      </c>
      <c r="B5666" s="159">
        <v>65</v>
      </c>
      <c r="C5666" s="159">
        <v>57</v>
      </c>
      <c r="D5666" s="159">
        <v>96</v>
      </c>
      <c r="E5666" s="159">
        <v>53</v>
      </c>
      <c r="F5666" s="131"/>
      <c r="G5666" s="132"/>
      <c r="H5666" s="162" t="s">
        <v>29086</v>
      </c>
      <c r="I5666" s="158" t="s">
        <v>29068</v>
      </c>
      <c r="J5666" s="128"/>
      <c r="K5666" s="128"/>
      <c r="L5666" s="128"/>
      <c r="M5666" s="129"/>
      <c r="N5666" s="129"/>
      <c r="O5666" s="129"/>
    </row>
    <row r="5667" spans="1:15" ht="12.5">
      <c r="A5667" s="158" t="s">
        <v>29087</v>
      </c>
      <c r="B5667" s="159">
        <v>65</v>
      </c>
      <c r="C5667" s="159">
        <v>57</v>
      </c>
      <c r="D5667" s="159">
        <v>96</v>
      </c>
      <c r="E5667" s="159">
        <v>62</v>
      </c>
      <c r="F5667" s="131"/>
      <c r="G5667" s="132"/>
      <c r="H5667" s="162" t="s">
        <v>29088</v>
      </c>
      <c r="I5667" s="128"/>
      <c r="J5667" s="128"/>
      <c r="K5667" s="128"/>
      <c r="L5667" s="128"/>
      <c r="M5667" s="129"/>
      <c r="N5667" s="129"/>
      <c r="O5667" s="129"/>
    </row>
    <row r="5668" spans="1:15" ht="12.5">
      <c r="A5668" s="158" t="s">
        <v>29089</v>
      </c>
      <c r="B5668" s="159">
        <v>65</v>
      </c>
      <c r="C5668" s="159">
        <v>57</v>
      </c>
      <c r="D5668" s="159">
        <v>96</v>
      </c>
      <c r="E5668" s="159">
        <v>70</v>
      </c>
      <c r="F5668" s="131"/>
      <c r="G5668" s="132"/>
      <c r="H5668" s="162" t="s">
        <v>29090</v>
      </c>
      <c r="I5668" s="158" t="s">
        <v>29068</v>
      </c>
      <c r="J5668" s="128"/>
      <c r="K5668" s="128"/>
      <c r="L5668" s="128"/>
      <c r="M5668" s="129"/>
      <c r="N5668" s="129"/>
      <c r="O5668" s="129"/>
    </row>
    <row r="5669" spans="1:15" ht="12.5">
      <c r="A5669" s="158" t="s">
        <v>29091</v>
      </c>
      <c r="B5669" s="159">
        <v>65</v>
      </c>
      <c r="C5669" s="159">
        <v>57</v>
      </c>
      <c r="D5669" s="159">
        <v>96</v>
      </c>
      <c r="E5669" s="159">
        <v>72</v>
      </c>
      <c r="F5669" s="131"/>
      <c r="G5669" s="132"/>
      <c r="H5669" s="162" t="s">
        <v>29092</v>
      </c>
      <c r="I5669" s="158" t="s">
        <v>29060</v>
      </c>
      <c r="J5669" s="128"/>
      <c r="K5669" s="128"/>
      <c r="L5669" s="128"/>
      <c r="M5669" s="129"/>
      <c r="N5669" s="129"/>
      <c r="O5669" s="129"/>
    </row>
    <row r="5670" spans="1:15" ht="12.5">
      <c r="A5670" s="158" t="s">
        <v>29093</v>
      </c>
      <c r="B5670" s="159">
        <v>65</v>
      </c>
      <c r="C5670" s="159">
        <v>57</v>
      </c>
      <c r="D5670" s="159">
        <v>96</v>
      </c>
      <c r="E5670" s="159">
        <v>77</v>
      </c>
      <c r="F5670" s="131"/>
      <c r="G5670" s="132"/>
      <c r="H5670" s="162" t="s">
        <v>29094</v>
      </c>
      <c r="I5670" s="158" t="s">
        <v>29095</v>
      </c>
      <c r="J5670" s="128"/>
      <c r="K5670" s="128"/>
      <c r="L5670" s="128"/>
      <c r="M5670" s="129"/>
      <c r="N5670" s="129"/>
      <c r="O5670" s="129"/>
    </row>
    <row r="5671" spans="1:15" ht="12.5">
      <c r="A5671" s="158" t="s">
        <v>29096</v>
      </c>
      <c r="B5671" s="159">
        <v>65</v>
      </c>
      <c r="C5671" s="159">
        <v>57</v>
      </c>
      <c r="D5671" s="159">
        <v>96</v>
      </c>
      <c r="E5671" s="159">
        <v>79</v>
      </c>
      <c r="F5671" s="131"/>
      <c r="G5671" s="132"/>
      <c r="H5671" s="162" t="s">
        <v>29097</v>
      </c>
      <c r="I5671" s="158" t="s">
        <v>29060</v>
      </c>
      <c r="J5671" s="128"/>
      <c r="K5671" s="128"/>
      <c r="L5671" s="128"/>
      <c r="M5671" s="129"/>
      <c r="N5671" s="129"/>
      <c r="O5671" s="129"/>
    </row>
    <row r="5672" spans="1:15" ht="12.5">
      <c r="A5672" s="158" t="s">
        <v>29098</v>
      </c>
      <c r="B5672" s="159">
        <v>65</v>
      </c>
      <c r="C5672" s="159">
        <v>57</v>
      </c>
      <c r="D5672" s="159">
        <v>96</v>
      </c>
      <c r="E5672" s="159">
        <v>86</v>
      </c>
      <c r="F5672" s="131"/>
      <c r="G5672" s="132"/>
      <c r="H5672" s="162" t="s">
        <v>29099</v>
      </c>
      <c r="I5672" s="158" t="s">
        <v>29068</v>
      </c>
      <c r="J5672" s="128"/>
      <c r="K5672" s="128"/>
      <c r="L5672" s="128"/>
      <c r="M5672" s="129"/>
      <c r="N5672" s="129"/>
      <c r="O5672" s="129"/>
    </row>
    <row r="5673" spans="1:15" ht="12.5">
      <c r="A5673" s="158" t="s">
        <v>29100</v>
      </c>
      <c r="B5673" s="159">
        <v>65</v>
      </c>
      <c r="C5673" s="159">
        <v>57</v>
      </c>
      <c r="D5673" s="159">
        <v>96</v>
      </c>
      <c r="E5673" s="159">
        <v>99</v>
      </c>
      <c r="F5673" s="131"/>
      <c r="G5673" s="132"/>
      <c r="H5673" s="162" t="s">
        <v>29101</v>
      </c>
      <c r="I5673" s="158" t="s">
        <v>29063</v>
      </c>
      <c r="J5673" s="128"/>
      <c r="K5673" s="128"/>
      <c r="L5673" s="128"/>
      <c r="M5673" s="129"/>
      <c r="N5673" s="129"/>
      <c r="O5673" s="129"/>
    </row>
    <row r="5674" spans="1:15" ht="12.5">
      <c r="A5674" s="144" t="s">
        <v>29102</v>
      </c>
      <c r="B5674" s="145">
        <v>65</v>
      </c>
      <c r="C5674" s="145">
        <v>65</v>
      </c>
      <c r="D5674" s="146"/>
      <c r="E5674" s="146"/>
      <c r="F5674" s="147" t="s">
        <v>33551</v>
      </c>
      <c r="G5674" s="190"/>
      <c r="H5674" s="149" t="s">
        <v>29103</v>
      </c>
      <c r="I5674" s="150"/>
      <c r="J5674" s="150"/>
      <c r="K5674" s="150"/>
      <c r="L5674" s="150"/>
      <c r="M5674" s="191"/>
      <c r="N5674" s="191"/>
      <c r="O5674" s="191"/>
    </row>
    <row r="5675" spans="1:15" ht="12.5">
      <c r="A5675" s="158" t="s">
        <v>29104</v>
      </c>
      <c r="B5675" s="159">
        <v>65</v>
      </c>
      <c r="C5675" s="159">
        <v>65</v>
      </c>
      <c r="D5675" s="159">
        <v>23</v>
      </c>
      <c r="E5675" s="130"/>
      <c r="F5675" s="131"/>
      <c r="G5675" s="132"/>
      <c r="H5675" s="162" t="s">
        <v>29105</v>
      </c>
      <c r="I5675" s="128"/>
      <c r="J5675" s="128"/>
      <c r="K5675" s="128"/>
      <c r="L5675" s="128"/>
      <c r="M5675" s="129"/>
      <c r="N5675" s="129"/>
      <c r="O5675" s="129"/>
    </row>
    <row r="5676" spans="1:15" ht="12.5">
      <c r="A5676" s="158" t="s">
        <v>29106</v>
      </c>
      <c r="B5676" s="159">
        <v>65</v>
      </c>
      <c r="C5676" s="159">
        <v>65</v>
      </c>
      <c r="D5676" s="159">
        <v>23</v>
      </c>
      <c r="E5676" s="159">
        <v>20</v>
      </c>
      <c r="F5676" s="131"/>
      <c r="G5676" s="132"/>
      <c r="H5676" s="162" t="s">
        <v>29107</v>
      </c>
      <c r="I5676" s="158" t="s">
        <v>29108</v>
      </c>
      <c r="J5676" s="128"/>
      <c r="K5676" s="128"/>
      <c r="L5676" s="128"/>
      <c r="M5676" s="129"/>
      <c r="N5676" s="129"/>
      <c r="O5676" s="129"/>
    </row>
    <row r="5677" spans="1:15" ht="12.5">
      <c r="A5677" s="158" t="s">
        <v>29109</v>
      </c>
      <c r="B5677" s="159">
        <v>65</v>
      </c>
      <c r="C5677" s="159">
        <v>65</v>
      </c>
      <c r="D5677" s="159">
        <v>23</v>
      </c>
      <c r="E5677" s="159">
        <v>25</v>
      </c>
      <c r="F5677" s="131"/>
      <c r="G5677" s="132"/>
      <c r="H5677" s="162" t="s">
        <v>29110</v>
      </c>
      <c r="I5677" s="128"/>
      <c r="J5677" s="128"/>
      <c r="K5677" s="128"/>
      <c r="L5677" s="128"/>
      <c r="M5677" s="129"/>
      <c r="N5677" s="129"/>
      <c r="O5677" s="129"/>
    </row>
    <row r="5678" spans="1:15" ht="12.5">
      <c r="A5678" s="158" t="s">
        <v>29111</v>
      </c>
      <c r="B5678" s="159">
        <v>65</v>
      </c>
      <c r="C5678" s="159">
        <v>65</v>
      </c>
      <c r="D5678" s="159">
        <v>24</v>
      </c>
      <c r="E5678" s="130"/>
      <c r="F5678" s="131"/>
      <c r="G5678" s="132"/>
      <c r="H5678" s="162" t="s">
        <v>29112</v>
      </c>
      <c r="I5678" s="128"/>
      <c r="J5678" s="128"/>
      <c r="K5678" s="128"/>
      <c r="L5678" s="128"/>
      <c r="M5678" s="129"/>
      <c r="N5678" s="129"/>
      <c r="O5678" s="129"/>
    </row>
    <row r="5679" spans="1:15" ht="12.5">
      <c r="A5679" s="158" t="s">
        <v>29113</v>
      </c>
      <c r="B5679" s="159">
        <v>65</v>
      </c>
      <c r="C5679" s="159">
        <v>65</v>
      </c>
      <c r="D5679" s="159">
        <v>24</v>
      </c>
      <c r="E5679" s="159">
        <v>16</v>
      </c>
      <c r="F5679" s="131"/>
      <c r="G5679" s="132"/>
      <c r="H5679" s="162" t="s">
        <v>29114</v>
      </c>
      <c r="I5679" s="128"/>
      <c r="J5679" s="128"/>
      <c r="K5679" s="128"/>
      <c r="L5679" s="128"/>
      <c r="M5679" s="129"/>
      <c r="N5679" s="129"/>
      <c r="O5679" s="129"/>
    </row>
    <row r="5680" spans="1:15" ht="12.5">
      <c r="A5680" s="158" t="s">
        <v>29115</v>
      </c>
      <c r="B5680" s="159">
        <v>65</v>
      </c>
      <c r="C5680" s="159">
        <v>65</v>
      </c>
      <c r="D5680" s="159">
        <v>24</v>
      </c>
      <c r="E5680" s="159">
        <v>29</v>
      </c>
      <c r="F5680" s="131"/>
      <c r="G5680" s="132"/>
      <c r="H5680" s="162" t="s">
        <v>29116</v>
      </c>
      <c r="I5680" s="158" t="s">
        <v>29117</v>
      </c>
      <c r="J5680" s="128"/>
      <c r="K5680" s="128"/>
      <c r="L5680" s="128"/>
      <c r="M5680" s="129"/>
      <c r="N5680" s="129"/>
      <c r="O5680" s="129"/>
    </row>
    <row r="5681" spans="1:15" ht="12.5">
      <c r="A5681" s="158" t="s">
        <v>29118</v>
      </c>
      <c r="B5681" s="159">
        <v>65</v>
      </c>
      <c r="C5681" s="159">
        <v>65</v>
      </c>
      <c r="D5681" s="159">
        <v>24</v>
      </c>
      <c r="E5681" s="159">
        <v>30</v>
      </c>
      <c r="F5681" s="131"/>
      <c r="G5681" s="132"/>
      <c r="H5681" s="162" t="s">
        <v>29119</v>
      </c>
      <c r="I5681" s="128"/>
      <c r="J5681" s="128"/>
      <c r="K5681" s="128"/>
      <c r="L5681" s="128"/>
      <c r="M5681" s="129"/>
      <c r="N5681" s="129"/>
      <c r="O5681" s="129"/>
    </row>
    <row r="5682" spans="1:15" ht="12.5">
      <c r="A5682" s="158" t="s">
        <v>29120</v>
      </c>
      <c r="B5682" s="159">
        <v>65</v>
      </c>
      <c r="C5682" s="159">
        <v>65</v>
      </c>
      <c r="D5682" s="159">
        <v>24</v>
      </c>
      <c r="E5682" s="159">
        <v>42</v>
      </c>
      <c r="F5682" s="131"/>
      <c r="G5682" s="132"/>
      <c r="H5682" s="162" t="s">
        <v>29121</v>
      </c>
      <c r="I5682" s="158" t="s">
        <v>29122</v>
      </c>
      <c r="J5682" s="128"/>
      <c r="K5682" s="128"/>
      <c r="L5682" s="128"/>
      <c r="M5682" s="129"/>
      <c r="N5682" s="129"/>
      <c r="O5682" s="129"/>
    </row>
    <row r="5683" spans="1:15" ht="12.5">
      <c r="A5683" s="158" t="s">
        <v>29123</v>
      </c>
      <c r="B5683" s="159">
        <v>65</v>
      </c>
      <c r="C5683" s="159">
        <v>65</v>
      </c>
      <c r="D5683" s="159">
        <v>24</v>
      </c>
      <c r="E5683" s="159">
        <v>56</v>
      </c>
      <c r="F5683" s="131"/>
      <c r="G5683" s="132"/>
      <c r="H5683" s="162" t="s">
        <v>29124</v>
      </c>
      <c r="I5683" s="158" t="s">
        <v>29125</v>
      </c>
      <c r="J5683" s="128"/>
      <c r="K5683" s="128"/>
      <c r="L5683" s="128"/>
      <c r="M5683" s="129"/>
      <c r="N5683" s="129"/>
      <c r="O5683" s="129"/>
    </row>
    <row r="5684" spans="1:15" ht="12.5">
      <c r="A5684" s="158" t="s">
        <v>29126</v>
      </c>
      <c r="B5684" s="159">
        <v>65</v>
      </c>
      <c r="C5684" s="159">
        <v>65</v>
      </c>
      <c r="D5684" s="159">
        <v>24</v>
      </c>
      <c r="E5684" s="159">
        <v>66</v>
      </c>
      <c r="F5684" s="131"/>
      <c r="G5684" s="132"/>
      <c r="H5684" s="162" t="s">
        <v>29127</v>
      </c>
      <c r="I5684" s="158" t="s">
        <v>29128</v>
      </c>
      <c r="J5684" s="128"/>
      <c r="K5684" s="128"/>
      <c r="L5684" s="128"/>
      <c r="M5684" s="129"/>
      <c r="N5684" s="129"/>
      <c r="O5684" s="129"/>
    </row>
    <row r="5685" spans="1:15" ht="12.5">
      <c r="A5685" s="158" t="s">
        <v>29129</v>
      </c>
      <c r="B5685" s="159">
        <v>65</v>
      </c>
      <c r="C5685" s="159">
        <v>65</v>
      </c>
      <c r="D5685" s="159">
        <v>24</v>
      </c>
      <c r="E5685" s="159">
        <v>68</v>
      </c>
      <c r="F5685" s="131"/>
      <c r="G5685" s="132"/>
      <c r="H5685" s="162" t="s">
        <v>29130</v>
      </c>
      <c r="I5685" s="158" t="s">
        <v>29131</v>
      </c>
      <c r="J5685" s="128"/>
      <c r="K5685" s="128"/>
      <c r="L5685" s="128"/>
      <c r="M5685" s="129"/>
      <c r="N5685" s="129"/>
      <c r="O5685" s="129"/>
    </row>
    <row r="5686" spans="1:15" ht="12.5">
      <c r="A5686" s="158" t="s">
        <v>29132</v>
      </c>
      <c r="B5686" s="159">
        <v>65</v>
      </c>
      <c r="C5686" s="159">
        <v>65</v>
      </c>
      <c r="D5686" s="159">
        <v>24</v>
      </c>
      <c r="E5686" s="159">
        <v>78</v>
      </c>
      <c r="F5686" s="131"/>
      <c r="G5686" s="132"/>
      <c r="H5686" s="162" t="s">
        <v>29133</v>
      </c>
      <c r="I5686" s="158" t="s">
        <v>29134</v>
      </c>
      <c r="J5686" s="128"/>
      <c r="K5686" s="128"/>
      <c r="L5686" s="128"/>
      <c r="M5686" s="129"/>
      <c r="N5686" s="129"/>
      <c r="O5686" s="129"/>
    </row>
    <row r="5687" spans="1:15" ht="12.5">
      <c r="A5687" s="158" t="s">
        <v>29135</v>
      </c>
      <c r="B5687" s="159">
        <v>65</v>
      </c>
      <c r="C5687" s="159">
        <v>65</v>
      </c>
      <c r="D5687" s="159">
        <v>24</v>
      </c>
      <c r="E5687" s="159">
        <v>80</v>
      </c>
      <c r="F5687" s="131"/>
      <c r="G5687" s="132"/>
      <c r="H5687" s="162" t="s">
        <v>29136</v>
      </c>
      <c r="I5687" s="158" t="s">
        <v>29137</v>
      </c>
      <c r="J5687" s="128"/>
      <c r="K5687" s="128"/>
      <c r="L5687" s="128"/>
      <c r="M5687" s="129"/>
      <c r="N5687" s="129"/>
      <c r="O5687" s="129"/>
    </row>
    <row r="5688" spans="1:15" ht="12.5">
      <c r="A5688" s="158" t="s">
        <v>29138</v>
      </c>
      <c r="B5688" s="159">
        <v>65</v>
      </c>
      <c r="C5688" s="159">
        <v>65</v>
      </c>
      <c r="D5688" s="159">
        <v>24</v>
      </c>
      <c r="E5688" s="159">
        <v>93</v>
      </c>
      <c r="F5688" s="131"/>
      <c r="G5688" s="132"/>
      <c r="H5688" s="162" t="s">
        <v>29139</v>
      </c>
      <c r="I5688" s="158" t="s">
        <v>29140</v>
      </c>
      <c r="J5688" s="128"/>
      <c r="K5688" s="128"/>
      <c r="L5688" s="128"/>
      <c r="M5688" s="129"/>
      <c r="N5688" s="129"/>
      <c r="O5688" s="129"/>
    </row>
    <row r="5689" spans="1:15" ht="12.5">
      <c r="A5689" s="158" t="s">
        <v>29141</v>
      </c>
      <c r="B5689" s="159">
        <v>65</v>
      </c>
      <c r="C5689" s="159">
        <v>65</v>
      </c>
      <c r="D5689" s="159">
        <v>24</v>
      </c>
      <c r="E5689" s="159">
        <v>95</v>
      </c>
      <c r="F5689" s="131"/>
      <c r="G5689" s="132"/>
      <c r="H5689" s="162" t="s">
        <v>29142</v>
      </c>
      <c r="I5689" s="128"/>
      <c r="J5689" s="128"/>
      <c r="K5689" s="128"/>
      <c r="L5689" s="128"/>
      <c r="M5689" s="129"/>
      <c r="N5689" s="129"/>
      <c r="O5689" s="129"/>
    </row>
    <row r="5690" spans="1:15" ht="12.5">
      <c r="A5690" s="158" t="s">
        <v>29143</v>
      </c>
      <c r="B5690" s="159">
        <v>65</v>
      </c>
      <c r="C5690" s="159">
        <v>65</v>
      </c>
      <c r="D5690" s="159">
        <v>25</v>
      </c>
      <c r="E5690" s="130"/>
      <c r="F5690" s="131"/>
      <c r="G5690" s="132"/>
      <c r="H5690" s="162" t="s">
        <v>29144</v>
      </c>
      <c r="I5690" s="128"/>
      <c r="J5690" s="128"/>
      <c r="K5690" s="128"/>
      <c r="L5690" s="128"/>
      <c r="M5690" s="129"/>
      <c r="N5690" s="129"/>
      <c r="O5690" s="129"/>
    </row>
    <row r="5691" spans="1:15" ht="12.5">
      <c r="A5691" s="158" t="s">
        <v>29145</v>
      </c>
      <c r="B5691" s="159">
        <v>65</v>
      </c>
      <c r="C5691" s="159">
        <v>65</v>
      </c>
      <c r="D5691" s="159">
        <v>25</v>
      </c>
      <c r="E5691" s="159">
        <v>13</v>
      </c>
      <c r="F5691" s="131"/>
      <c r="G5691" s="132"/>
      <c r="H5691" s="162" t="s">
        <v>29146</v>
      </c>
      <c r="I5691" s="158" t="s">
        <v>29147</v>
      </c>
      <c r="J5691" s="128"/>
      <c r="K5691" s="128"/>
      <c r="L5691" s="128"/>
      <c r="M5691" s="129"/>
      <c r="N5691" s="129"/>
      <c r="O5691" s="129"/>
    </row>
    <row r="5692" spans="1:15" ht="12.5">
      <c r="A5692" s="158" t="s">
        <v>29148</v>
      </c>
      <c r="B5692" s="159">
        <v>65</v>
      </c>
      <c r="C5692" s="159">
        <v>65</v>
      </c>
      <c r="D5692" s="159">
        <v>25</v>
      </c>
      <c r="E5692" s="159">
        <v>14</v>
      </c>
      <c r="F5692" s="131"/>
      <c r="G5692" s="132"/>
      <c r="H5692" s="162" t="s">
        <v>29149</v>
      </c>
      <c r="I5692" s="158" t="s">
        <v>29150</v>
      </c>
      <c r="J5692" s="128"/>
      <c r="K5692" s="128"/>
      <c r="L5692" s="128"/>
      <c r="M5692" s="129"/>
      <c r="N5692" s="129"/>
      <c r="O5692" s="129"/>
    </row>
    <row r="5693" spans="1:15" ht="12.5">
      <c r="A5693" s="158" t="s">
        <v>29151</v>
      </c>
      <c r="B5693" s="159">
        <v>65</v>
      </c>
      <c r="C5693" s="159">
        <v>65</v>
      </c>
      <c r="D5693" s="159">
        <v>25</v>
      </c>
      <c r="E5693" s="159">
        <v>23</v>
      </c>
      <c r="F5693" s="131"/>
      <c r="G5693" s="132"/>
      <c r="H5693" s="162" t="s">
        <v>29152</v>
      </c>
      <c r="I5693" s="158" t="s">
        <v>29153</v>
      </c>
      <c r="J5693" s="128"/>
      <c r="K5693" s="128"/>
      <c r="L5693" s="128"/>
      <c r="M5693" s="129"/>
      <c r="N5693" s="129"/>
      <c r="O5693" s="129"/>
    </row>
    <row r="5694" spans="1:15" ht="12.5">
      <c r="A5694" s="158" t="s">
        <v>29157</v>
      </c>
      <c r="B5694" s="159">
        <v>65</v>
      </c>
      <c r="C5694" s="159">
        <v>65</v>
      </c>
      <c r="D5694" s="159">
        <v>25</v>
      </c>
      <c r="E5694" s="159">
        <v>30</v>
      </c>
      <c r="F5694" s="131"/>
      <c r="G5694" s="132"/>
      <c r="H5694" s="162" t="s">
        <v>29158</v>
      </c>
      <c r="I5694" s="158" t="s">
        <v>29159</v>
      </c>
      <c r="J5694" s="128"/>
      <c r="K5694" s="128"/>
      <c r="L5694" s="128"/>
      <c r="M5694" s="129"/>
      <c r="N5694" s="129"/>
      <c r="O5694" s="129"/>
    </row>
    <row r="5695" spans="1:15" ht="12.5">
      <c r="A5695" s="158" t="s">
        <v>29160</v>
      </c>
      <c r="B5695" s="159">
        <v>65</v>
      </c>
      <c r="C5695" s="159">
        <v>65</v>
      </c>
      <c r="D5695" s="159">
        <v>25</v>
      </c>
      <c r="E5695" s="159">
        <v>31</v>
      </c>
      <c r="F5695" s="131"/>
      <c r="G5695" s="132"/>
      <c r="H5695" s="162" t="s">
        <v>29161</v>
      </c>
      <c r="I5695" s="158" t="s">
        <v>29162</v>
      </c>
      <c r="J5695" s="128"/>
      <c r="K5695" s="128"/>
      <c r="L5695" s="128"/>
      <c r="M5695" s="129"/>
      <c r="N5695" s="129"/>
      <c r="O5695" s="129"/>
    </row>
    <row r="5696" spans="1:15" ht="12.5">
      <c r="A5696" s="158" t="s">
        <v>29163</v>
      </c>
      <c r="B5696" s="159">
        <v>65</v>
      </c>
      <c r="C5696" s="159">
        <v>65</v>
      </c>
      <c r="D5696" s="159">
        <v>25</v>
      </c>
      <c r="E5696" s="159">
        <v>32</v>
      </c>
      <c r="F5696" s="131"/>
      <c r="G5696" s="132"/>
      <c r="H5696" s="162" t="s">
        <v>29164</v>
      </c>
      <c r="I5696" s="158" t="s">
        <v>29165</v>
      </c>
      <c r="J5696" s="128"/>
      <c r="K5696" s="128"/>
      <c r="L5696" s="128"/>
      <c r="M5696" s="129"/>
      <c r="N5696" s="129"/>
      <c r="O5696" s="129"/>
    </row>
    <row r="5697" spans="1:15" ht="12.5">
      <c r="A5697" s="158" t="s">
        <v>29166</v>
      </c>
      <c r="B5697" s="159">
        <v>65</v>
      </c>
      <c r="C5697" s="159">
        <v>65</v>
      </c>
      <c r="D5697" s="159">
        <v>25</v>
      </c>
      <c r="E5697" s="159">
        <v>34</v>
      </c>
      <c r="F5697" s="131"/>
      <c r="G5697" s="132"/>
      <c r="H5697" s="162" t="s">
        <v>29167</v>
      </c>
      <c r="I5697" s="158" t="s">
        <v>29168</v>
      </c>
      <c r="J5697" s="128"/>
      <c r="K5697" s="128"/>
      <c r="L5697" s="128"/>
      <c r="M5697" s="129"/>
      <c r="N5697" s="129"/>
      <c r="O5697" s="129"/>
    </row>
    <row r="5698" spans="1:15" ht="12.5">
      <c r="A5698" s="158" t="s">
        <v>29169</v>
      </c>
      <c r="B5698" s="159">
        <v>65</v>
      </c>
      <c r="C5698" s="159">
        <v>65</v>
      </c>
      <c r="D5698" s="159">
        <v>25</v>
      </c>
      <c r="E5698" s="159">
        <v>64</v>
      </c>
      <c r="F5698" s="131"/>
      <c r="G5698" s="132"/>
      <c r="H5698" s="162" t="s">
        <v>29170</v>
      </c>
      <c r="I5698" s="158" t="s">
        <v>29171</v>
      </c>
      <c r="J5698" s="128"/>
      <c r="K5698" s="128"/>
      <c r="L5698" s="128"/>
      <c r="M5698" s="129"/>
      <c r="N5698" s="129"/>
      <c r="O5698" s="129"/>
    </row>
    <row r="5699" spans="1:15" ht="12.5">
      <c r="A5699" s="158" t="s">
        <v>29172</v>
      </c>
      <c r="B5699" s="159">
        <v>65</v>
      </c>
      <c r="C5699" s="159">
        <v>65</v>
      </c>
      <c r="D5699" s="159">
        <v>25</v>
      </c>
      <c r="E5699" s="159">
        <v>71</v>
      </c>
      <c r="F5699" s="131"/>
      <c r="G5699" s="132"/>
      <c r="H5699" s="162" t="s">
        <v>29173</v>
      </c>
      <c r="I5699" s="158" t="s">
        <v>29174</v>
      </c>
      <c r="J5699" s="128"/>
      <c r="K5699" s="128"/>
      <c r="L5699" s="128"/>
      <c r="M5699" s="129"/>
      <c r="N5699" s="129"/>
      <c r="O5699" s="129"/>
    </row>
    <row r="5700" spans="1:15" ht="12.5">
      <c r="A5700" s="158" t="s">
        <v>29175</v>
      </c>
      <c r="B5700" s="159">
        <v>65</v>
      </c>
      <c r="C5700" s="159">
        <v>65</v>
      </c>
      <c r="D5700" s="159">
        <v>25</v>
      </c>
      <c r="E5700" s="159">
        <v>72</v>
      </c>
      <c r="F5700" s="131"/>
      <c r="G5700" s="132"/>
      <c r="H5700" s="162" t="s">
        <v>29176</v>
      </c>
      <c r="I5700" s="158" t="s">
        <v>29177</v>
      </c>
      <c r="J5700" s="128"/>
      <c r="K5700" s="128"/>
      <c r="L5700" s="128"/>
      <c r="M5700" s="129"/>
      <c r="N5700" s="129"/>
      <c r="O5700" s="129"/>
    </row>
    <row r="5701" spans="1:15" ht="12.5">
      <c r="A5701" s="158" t="s">
        <v>29178</v>
      </c>
      <c r="B5701" s="159">
        <v>65</v>
      </c>
      <c r="C5701" s="159">
        <v>65</v>
      </c>
      <c r="D5701" s="159">
        <v>25</v>
      </c>
      <c r="E5701" s="159">
        <v>77</v>
      </c>
      <c r="F5701" s="131"/>
      <c r="G5701" s="132"/>
      <c r="H5701" s="162" t="s">
        <v>29179</v>
      </c>
      <c r="I5701" s="158" t="s">
        <v>29180</v>
      </c>
      <c r="J5701" s="128"/>
      <c r="K5701" s="128"/>
      <c r="L5701" s="128"/>
      <c r="M5701" s="129"/>
      <c r="N5701" s="129"/>
      <c r="O5701" s="129"/>
    </row>
    <row r="5702" spans="1:15" ht="12.5">
      <c r="A5702" s="144" t="s">
        <v>29181</v>
      </c>
      <c r="B5702" s="145">
        <v>65</v>
      </c>
      <c r="C5702" s="145">
        <v>67</v>
      </c>
      <c r="D5702" s="146"/>
      <c r="E5702" s="146"/>
      <c r="F5702" s="147" t="s">
        <v>33552</v>
      </c>
      <c r="G5702" s="190"/>
      <c r="H5702" s="149" t="s">
        <v>29182</v>
      </c>
      <c r="I5702" s="150"/>
      <c r="J5702" s="150"/>
      <c r="K5702" s="150"/>
      <c r="L5702" s="150"/>
      <c r="M5702" s="191"/>
      <c r="N5702" s="191"/>
      <c r="O5702" s="191"/>
    </row>
    <row r="5703" spans="1:15" ht="12.5">
      <c r="A5703" s="158" t="s">
        <v>29183</v>
      </c>
      <c r="B5703" s="159">
        <v>65</v>
      </c>
      <c r="C5703" s="159">
        <v>67</v>
      </c>
      <c r="D5703" s="159">
        <v>16</v>
      </c>
      <c r="E5703" s="130"/>
      <c r="F5703" s="131"/>
      <c r="G5703" s="132"/>
      <c r="H5703" s="162" t="s">
        <v>29184</v>
      </c>
      <c r="I5703" s="128"/>
      <c r="J5703" s="128"/>
      <c r="K5703" s="128"/>
      <c r="L5703" s="128"/>
      <c r="M5703" s="129"/>
      <c r="N5703" s="129"/>
      <c r="O5703" s="129"/>
    </row>
    <row r="5704" spans="1:15" ht="12.5">
      <c r="A5704" s="158" t="s">
        <v>29185</v>
      </c>
      <c r="B5704" s="159">
        <v>65</v>
      </c>
      <c r="C5704" s="159">
        <v>67</v>
      </c>
      <c r="D5704" s="159">
        <v>16</v>
      </c>
      <c r="E5704" s="159">
        <v>2</v>
      </c>
      <c r="F5704" s="131"/>
      <c r="G5704" s="132"/>
      <c r="H5704" s="162" t="s">
        <v>29186</v>
      </c>
      <c r="I5704" s="158" t="s">
        <v>29187</v>
      </c>
      <c r="J5704" s="128"/>
      <c r="K5704" s="128"/>
      <c r="L5704" s="128"/>
      <c r="M5704" s="129"/>
      <c r="N5704" s="129"/>
      <c r="O5704" s="129"/>
    </row>
    <row r="5705" spans="1:15" ht="12.5">
      <c r="A5705" s="158" t="s">
        <v>29188</v>
      </c>
      <c r="B5705" s="159">
        <v>65</v>
      </c>
      <c r="C5705" s="159">
        <v>67</v>
      </c>
      <c r="D5705" s="159">
        <v>16</v>
      </c>
      <c r="E5705" s="159">
        <v>3</v>
      </c>
      <c r="F5705" s="131"/>
      <c r="G5705" s="132"/>
      <c r="H5705" s="162" t="s">
        <v>29189</v>
      </c>
      <c r="I5705" s="158" t="s">
        <v>29190</v>
      </c>
      <c r="J5705" s="128"/>
      <c r="K5705" s="128"/>
      <c r="L5705" s="128"/>
      <c r="M5705" s="129"/>
      <c r="N5705" s="129"/>
      <c r="O5705" s="129"/>
    </row>
    <row r="5706" spans="1:15" ht="12.5">
      <c r="A5706" s="158" t="s">
        <v>29191</v>
      </c>
      <c r="B5706" s="159">
        <v>65</v>
      </c>
      <c r="C5706" s="159">
        <v>67</v>
      </c>
      <c r="D5706" s="159">
        <v>16</v>
      </c>
      <c r="E5706" s="159">
        <v>4</v>
      </c>
      <c r="F5706" s="131"/>
      <c r="G5706" s="132"/>
      <c r="H5706" s="162" t="s">
        <v>29192</v>
      </c>
      <c r="I5706" s="158" t="s">
        <v>29193</v>
      </c>
      <c r="J5706" s="128"/>
      <c r="K5706" s="128"/>
      <c r="L5706" s="128"/>
      <c r="M5706" s="129"/>
      <c r="N5706" s="129"/>
      <c r="O5706" s="129"/>
    </row>
    <row r="5707" spans="1:15" ht="12.5">
      <c r="A5707" s="158" t="s">
        <v>29194</v>
      </c>
      <c r="B5707" s="159">
        <v>65</v>
      </c>
      <c r="C5707" s="159">
        <v>67</v>
      </c>
      <c r="D5707" s="159">
        <v>16</v>
      </c>
      <c r="E5707" s="159">
        <v>5</v>
      </c>
      <c r="F5707" s="131"/>
      <c r="G5707" s="132"/>
      <c r="H5707" s="162" t="s">
        <v>29195</v>
      </c>
      <c r="I5707" s="158" t="s">
        <v>29196</v>
      </c>
      <c r="J5707" s="128"/>
      <c r="K5707" s="128"/>
      <c r="L5707" s="128"/>
      <c r="M5707" s="129"/>
      <c r="N5707" s="129"/>
      <c r="O5707" s="129"/>
    </row>
    <row r="5708" spans="1:15" ht="12.5">
      <c r="A5708" s="158" t="s">
        <v>29197</v>
      </c>
      <c r="B5708" s="159">
        <v>65</v>
      </c>
      <c r="C5708" s="159">
        <v>67</v>
      </c>
      <c r="D5708" s="159">
        <v>16</v>
      </c>
      <c r="E5708" s="159">
        <v>8</v>
      </c>
      <c r="F5708" s="131"/>
      <c r="G5708" s="132"/>
      <c r="H5708" s="162" t="s">
        <v>29198</v>
      </c>
      <c r="I5708" s="158" t="s">
        <v>29199</v>
      </c>
      <c r="J5708" s="128"/>
      <c r="K5708" s="128"/>
      <c r="L5708" s="128"/>
      <c r="M5708" s="129"/>
      <c r="N5708" s="129"/>
      <c r="O5708" s="129"/>
    </row>
    <row r="5709" spans="1:15" ht="12.5">
      <c r="A5709" s="158" t="s">
        <v>29200</v>
      </c>
      <c r="B5709" s="159">
        <v>65</v>
      </c>
      <c r="C5709" s="159">
        <v>67</v>
      </c>
      <c r="D5709" s="159">
        <v>16</v>
      </c>
      <c r="E5709" s="159">
        <v>22</v>
      </c>
      <c r="F5709" s="131"/>
      <c r="G5709" s="132"/>
      <c r="H5709" s="162" t="s">
        <v>33553</v>
      </c>
      <c r="I5709" s="158" t="s">
        <v>29202</v>
      </c>
      <c r="J5709" s="128"/>
      <c r="K5709" s="128"/>
      <c r="L5709" s="128"/>
      <c r="M5709" s="129"/>
      <c r="N5709" s="129"/>
      <c r="O5709" s="129"/>
    </row>
    <row r="5710" spans="1:15" ht="12.5">
      <c r="A5710" s="158" t="s">
        <v>29203</v>
      </c>
      <c r="B5710" s="159">
        <v>65</v>
      </c>
      <c r="C5710" s="159">
        <v>67</v>
      </c>
      <c r="D5710" s="159">
        <v>16</v>
      </c>
      <c r="E5710" s="159">
        <v>50</v>
      </c>
      <c r="F5710" s="131"/>
      <c r="G5710" s="132"/>
      <c r="H5710" s="162" t="s">
        <v>29204</v>
      </c>
      <c r="I5710" s="158" t="s">
        <v>29205</v>
      </c>
      <c r="J5710" s="128"/>
      <c r="K5710" s="128"/>
      <c r="L5710" s="128"/>
      <c r="M5710" s="129"/>
      <c r="N5710" s="129"/>
      <c r="O5710" s="129"/>
    </row>
    <row r="5711" spans="1:15" ht="12.5">
      <c r="A5711" s="158" t="s">
        <v>29206</v>
      </c>
      <c r="B5711" s="159">
        <v>65</v>
      </c>
      <c r="C5711" s="159">
        <v>67</v>
      </c>
      <c r="D5711" s="159">
        <v>16</v>
      </c>
      <c r="E5711" s="159">
        <v>71</v>
      </c>
      <c r="F5711" s="131"/>
      <c r="G5711" s="132"/>
      <c r="H5711" s="162" t="s">
        <v>33554</v>
      </c>
      <c r="I5711" s="158" t="s">
        <v>29208</v>
      </c>
      <c r="J5711" s="128"/>
      <c r="K5711" s="128"/>
      <c r="L5711" s="128"/>
      <c r="M5711" s="129"/>
      <c r="N5711" s="129"/>
      <c r="O5711" s="129"/>
    </row>
    <row r="5712" spans="1:15" ht="12.5">
      <c r="A5712" s="158" t="s">
        <v>29209</v>
      </c>
      <c r="B5712" s="159">
        <v>65</v>
      </c>
      <c r="C5712" s="159">
        <v>67</v>
      </c>
      <c r="D5712" s="159">
        <v>16</v>
      </c>
      <c r="E5712" s="159">
        <v>96</v>
      </c>
      <c r="F5712" s="131"/>
      <c r="G5712" s="132"/>
      <c r="H5712" s="162" t="s">
        <v>29210</v>
      </c>
      <c r="I5712" s="158" t="s">
        <v>29211</v>
      </c>
      <c r="J5712" s="128"/>
      <c r="K5712" s="128"/>
      <c r="L5712" s="128"/>
      <c r="M5712" s="129"/>
      <c r="N5712" s="129"/>
      <c r="O5712" s="129"/>
    </row>
    <row r="5713" spans="1:15" ht="12.5">
      <c r="A5713" s="158" t="s">
        <v>29212</v>
      </c>
      <c r="B5713" s="159">
        <v>65</v>
      </c>
      <c r="C5713" s="159">
        <v>67</v>
      </c>
      <c r="D5713" s="159">
        <v>22</v>
      </c>
      <c r="E5713" s="130"/>
      <c r="F5713" s="131"/>
      <c r="G5713" s="132"/>
      <c r="H5713" s="162" t="s">
        <v>29213</v>
      </c>
      <c r="I5713" s="128"/>
      <c r="J5713" s="128"/>
      <c r="K5713" s="128"/>
      <c r="L5713" s="128"/>
      <c r="M5713" s="129"/>
      <c r="N5713" s="129"/>
      <c r="O5713" s="129"/>
    </row>
    <row r="5714" spans="1:15" ht="12.5">
      <c r="A5714" s="158" t="s">
        <v>29214</v>
      </c>
      <c r="B5714" s="159">
        <v>65</v>
      </c>
      <c r="C5714" s="159">
        <v>67</v>
      </c>
      <c r="D5714" s="159">
        <v>22</v>
      </c>
      <c r="E5714" s="159">
        <v>47</v>
      </c>
      <c r="F5714" s="131"/>
      <c r="G5714" s="132"/>
      <c r="H5714" s="162" t="s">
        <v>29215</v>
      </c>
      <c r="I5714" s="158" t="s">
        <v>29216</v>
      </c>
      <c r="J5714" s="128"/>
      <c r="K5714" s="128"/>
      <c r="L5714" s="128"/>
      <c r="M5714" s="129"/>
      <c r="N5714" s="129"/>
      <c r="O5714" s="129"/>
    </row>
    <row r="5715" spans="1:15" ht="12.5">
      <c r="A5715" s="158" t="s">
        <v>29217</v>
      </c>
      <c r="B5715" s="159">
        <v>65</v>
      </c>
      <c r="C5715" s="159">
        <v>67</v>
      </c>
      <c r="D5715" s="159">
        <v>22</v>
      </c>
      <c r="E5715" s="159">
        <v>66</v>
      </c>
      <c r="F5715" s="131"/>
      <c r="G5715" s="132"/>
      <c r="H5715" s="162" t="s">
        <v>29218</v>
      </c>
      <c r="I5715" s="158" t="s">
        <v>29219</v>
      </c>
      <c r="J5715" s="128"/>
      <c r="K5715" s="128"/>
      <c r="L5715" s="128"/>
      <c r="M5715" s="129"/>
      <c r="N5715" s="129"/>
      <c r="O5715" s="129"/>
    </row>
    <row r="5716" spans="1:15" ht="12.5">
      <c r="A5716" s="158" t="s">
        <v>29220</v>
      </c>
      <c r="B5716" s="159">
        <v>65</v>
      </c>
      <c r="C5716" s="159">
        <v>67</v>
      </c>
      <c r="D5716" s="159">
        <v>22</v>
      </c>
      <c r="E5716" s="159">
        <v>88</v>
      </c>
      <c r="F5716" s="131"/>
      <c r="G5716" s="132"/>
      <c r="H5716" s="162" t="s">
        <v>29221</v>
      </c>
      <c r="I5716" s="158" t="s">
        <v>29222</v>
      </c>
      <c r="J5716" s="128"/>
      <c r="K5716" s="128"/>
      <c r="L5716" s="128"/>
      <c r="M5716" s="129"/>
      <c r="N5716" s="129"/>
      <c r="O5716" s="129"/>
    </row>
    <row r="5717" spans="1:15" ht="12.5">
      <c r="A5717" s="158" t="s">
        <v>29223</v>
      </c>
      <c r="B5717" s="159">
        <v>65</v>
      </c>
      <c r="C5717" s="159">
        <v>67</v>
      </c>
      <c r="D5717" s="159">
        <v>28</v>
      </c>
      <c r="E5717" s="130"/>
      <c r="F5717" s="131"/>
      <c r="G5717" s="132"/>
      <c r="H5717" s="162" t="s">
        <v>29224</v>
      </c>
      <c r="I5717" s="128"/>
      <c r="J5717" s="128"/>
      <c r="K5717" s="128"/>
      <c r="L5717" s="128"/>
      <c r="M5717" s="129"/>
      <c r="N5717" s="129"/>
      <c r="O5717" s="129"/>
    </row>
    <row r="5718" spans="1:15" ht="12.5">
      <c r="A5718" s="158" t="s">
        <v>29225</v>
      </c>
      <c r="B5718" s="159">
        <v>65</v>
      </c>
      <c r="C5718" s="159">
        <v>67</v>
      </c>
      <c r="D5718" s="159">
        <v>28</v>
      </c>
      <c r="E5718" s="159">
        <v>3</v>
      </c>
      <c r="F5718" s="131"/>
      <c r="G5718" s="132"/>
      <c r="H5718" s="162" t="s">
        <v>29226</v>
      </c>
      <c r="I5718" s="158" t="s">
        <v>29227</v>
      </c>
      <c r="J5718" s="128"/>
      <c r="K5718" s="128"/>
      <c r="L5718" s="128"/>
      <c r="M5718" s="129"/>
      <c r="N5718" s="129"/>
      <c r="O5718" s="129"/>
    </row>
    <row r="5719" spans="1:15" ht="12.5">
      <c r="A5719" s="158" t="s">
        <v>29228</v>
      </c>
      <c r="B5719" s="159">
        <v>65</v>
      </c>
      <c r="C5719" s="159">
        <v>67</v>
      </c>
      <c r="D5719" s="159">
        <v>28</v>
      </c>
      <c r="E5719" s="159">
        <v>5</v>
      </c>
      <c r="F5719" s="131"/>
      <c r="G5719" s="132"/>
      <c r="H5719" s="162" t="s">
        <v>29229</v>
      </c>
      <c r="I5719" s="158" t="s">
        <v>29230</v>
      </c>
      <c r="J5719" s="128"/>
      <c r="K5719" s="128"/>
      <c r="L5719" s="128"/>
      <c r="M5719" s="129"/>
      <c r="N5719" s="129"/>
      <c r="O5719" s="129"/>
    </row>
    <row r="5720" spans="1:15" ht="12.5">
      <c r="A5720" s="158" t="s">
        <v>29231</v>
      </c>
      <c r="B5720" s="159">
        <v>65</v>
      </c>
      <c r="C5720" s="159">
        <v>67</v>
      </c>
      <c r="D5720" s="159">
        <v>28</v>
      </c>
      <c r="E5720" s="159">
        <v>46</v>
      </c>
      <c r="F5720" s="131"/>
      <c r="G5720" s="132"/>
      <c r="H5720" s="162" t="s">
        <v>29232</v>
      </c>
      <c r="I5720" s="158" t="s">
        <v>29233</v>
      </c>
      <c r="J5720" s="128"/>
      <c r="K5720" s="128"/>
      <c r="L5720" s="128"/>
      <c r="M5720" s="129"/>
      <c r="N5720" s="129"/>
      <c r="O5720" s="129"/>
    </row>
    <row r="5721" spans="1:15" ht="12.5">
      <c r="A5721" s="158" t="s">
        <v>29234</v>
      </c>
      <c r="B5721" s="159">
        <v>65</v>
      </c>
      <c r="C5721" s="159">
        <v>67</v>
      </c>
      <c r="D5721" s="159">
        <v>29</v>
      </c>
      <c r="E5721" s="130"/>
      <c r="F5721" s="131"/>
      <c r="G5721" s="132"/>
      <c r="H5721" s="162" t="s">
        <v>29235</v>
      </c>
      <c r="I5721" s="128"/>
      <c r="J5721" s="128"/>
      <c r="K5721" s="128"/>
      <c r="L5721" s="128"/>
      <c r="M5721" s="129"/>
      <c r="N5721" s="129"/>
      <c r="O5721" s="129"/>
    </row>
    <row r="5722" spans="1:15" ht="12.5">
      <c r="A5722" s="158" t="s">
        <v>29236</v>
      </c>
      <c r="B5722" s="159">
        <v>65</v>
      </c>
      <c r="C5722" s="159">
        <v>67</v>
      </c>
      <c r="D5722" s="159">
        <v>29</v>
      </c>
      <c r="E5722" s="159">
        <v>5</v>
      </c>
      <c r="F5722" s="131"/>
      <c r="G5722" s="132"/>
      <c r="H5722" s="162" t="s">
        <v>29237</v>
      </c>
      <c r="I5722" s="158" t="s">
        <v>29238</v>
      </c>
      <c r="J5722" s="128"/>
      <c r="K5722" s="128"/>
      <c r="L5722" s="128"/>
      <c r="M5722" s="129"/>
      <c r="N5722" s="129"/>
      <c r="O5722" s="129"/>
    </row>
    <row r="5723" spans="1:15" ht="12.5">
      <c r="A5723" s="158" t="s">
        <v>29239</v>
      </c>
      <c r="B5723" s="159">
        <v>65</v>
      </c>
      <c r="C5723" s="159">
        <v>67</v>
      </c>
      <c r="D5723" s="159">
        <v>29</v>
      </c>
      <c r="E5723" s="159">
        <v>9</v>
      </c>
      <c r="F5723" s="131"/>
      <c r="G5723" s="132"/>
      <c r="H5723" s="162" t="s">
        <v>29240</v>
      </c>
      <c r="I5723" s="128"/>
      <c r="J5723" s="128"/>
      <c r="K5723" s="128"/>
      <c r="L5723" s="128"/>
      <c r="M5723" s="129"/>
      <c r="N5723" s="129"/>
      <c r="O5723" s="129"/>
    </row>
    <row r="5724" spans="1:15" ht="12.5">
      <c r="A5724" s="158" t="s">
        <v>29241</v>
      </c>
      <c r="B5724" s="159">
        <v>65</v>
      </c>
      <c r="C5724" s="159">
        <v>67</v>
      </c>
      <c r="D5724" s="159">
        <v>29</v>
      </c>
      <c r="E5724" s="159">
        <v>12</v>
      </c>
      <c r="F5724" s="131"/>
      <c r="G5724" s="132"/>
      <c r="H5724" s="162" t="s">
        <v>29242</v>
      </c>
      <c r="I5724" s="158" t="s">
        <v>29243</v>
      </c>
      <c r="J5724" s="128"/>
      <c r="K5724" s="128"/>
      <c r="L5724" s="128"/>
      <c r="M5724" s="129"/>
      <c r="N5724" s="129"/>
      <c r="O5724" s="129"/>
    </row>
    <row r="5725" spans="1:15" ht="12.5">
      <c r="A5725" s="158" t="s">
        <v>29244</v>
      </c>
      <c r="B5725" s="159">
        <v>65</v>
      </c>
      <c r="C5725" s="159">
        <v>67</v>
      </c>
      <c r="D5725" s="159">
        <v>29</v>
      </c>
      <c r="E5725" s="159">
        <v>23</v>
      </c>
      <c r="F5725" s="131"/>
      <c r="G5725" s="132"/>
      <c r="H5725" s="162" t="s">
        <v>29245</v>
      </c>
      <c r="I5725" s="158" t="s">
        <v>29246</v>
      </c>
      <c r="J5725" s="128"/>
      <c r="K5725" s="128"/>
      <c r="L5725" s="128"/>
      <c r="M5725" s="129"/>
      <c r="N5725" s="129"/>
      <c r="O5725" s="129"/>
    </row>
    <row r="5726" spans="1:15" ht="12.5">
      <c r="A5726" s="158" t="s">
        <v>29247</v>
      </c>
      <c r="B5726" s="159">
        <v>65</v>
      </c>
      <c r="C5726" s="159">
        <v>67</v>
      </c>
      <c r="D5726" s="159">
        <v>29</v>
      </c>
      <c r="E5726" s="159">
        <v>24</v>
      </c>
      <c r="F5726" s="131"/>
      <c r="G5726" s="132"/>
      <c r="H5726" s="162" t="s">
        <v>29248</v>
      </c>
      <c r="I5726" s="158" t="s">
        <v>29249</v>
      </c>
      <c r="J5726" s="128"/>
      <c r="K5726" s="128"/>
      <c r="L5726" s="128"/>
      <c r="M5726" s="129"/>
      <c r="N5726" s="129"/>
      <c r="O5726" s="129"/>
    </row>
    <row r="5727" spans="1:15" ht="12.5">
      <c r="A5727" s="158" t="s">
        <v>29250</v>
      </c>
      <c r="B5727" s="159">
        <v>65</v>
      </c>
      <c r="C5727" s="159">
        <v>67</v>
      </c>
      <c r="D5727" s="159">
        <v>29</v>
      </c>
      <c r="E5727" s="159">
        <v>44</v>
      </c>
      <c r="F5727" s="131"/>
      <c r="G5727" s="132"/>
      <c r="H5727" s="162" t="s">
        <v>29251</v>
      </c>
      <c r="I5727" s="158" t="s">
        <v>29252</v>
      </c>
      <c r="J5727" s="128"/>
      <c r="K5727" s="128"/>
      <c r="L5727" s="128"/>
      <c r="M5727" s="129"/>
      <c r="N5727" s="129"/>
      <c r="O5727" s="129"/>
    </row>
    <row r="5728" spans="1:15" ht="12.5">
      <c r="A5728" s="158" t="s">
        <v>29253</v>
      </c>
      <c r="B5728" s="159">
        <v>65</v>
      </c>
      <c r="C5728" s="159">
        <v>67</v>
      </c>
      <c r="D5728" s="159">
        <v>29</v>
      </c>
      <c r="E5728" s="159">
        <v>52</v>
      </c>
      <c r="F5728" s="131"/>
      <c r="G5728" s="132"/>
      <c r="H5728" s="162" t="s">
        <v>29254</v>
      </c>
      <c r="I5728" s="158" t="s">
        <v>29255</v>
      </c>
      <c r="J5728" s="128"/>
      <c r="K5728" s="128"/>
      <c r="L5728" s="128"/>
      <c r="M5728" s="129"/>
      <c r="N5728" s="129"/>
      <c r="O5728" s="129"/>
    </row>
    <row r="5729" spans="1:15" ht="12.5">
      <c r="A5729" s="158" t="s">
        <v>29259</v>
      </c>
      <c r="B5729" s="159">
        <v>65</v>
      </c>
      <c r="C5729" s="159">
        <v>67</v>
      </c>
      <c r="D5729" s="159">
        <v>29</v>
      </c>
      <c r="E5729" s="159">
        <v>64</v>
      </c>
      <c r="F5729" s="131"/>
      <c r="G5729" s="132"/>
      <c r="H5729" s="162" t="s">
        <v>29260</v>
      </c>
      <c r="I5729" s="158" t="s">
        <v>29261</v>
      </c>
      <c r="J5729" s="128"/>
      <c r="K5729" s="128"/>
      <c r="L5729" s="128"/>
      <c r="M5729" s="129"/>
      <c r="N5729" s="129"/>
      <c r="O5729" s="129"/>
    </row>
    <row r="5730" spans="1:15" ht="12.5">
      <c r="A5730" s="158" t="s">
        <v>29262</v>
      </c>
      <c r="B5730" s="159">
        <v>65</v>
      </c>
      <c r="C5730" s="159">
        <v>67</v>
      </c>
      <c r="D5730" s="159">
        <v>29</v>
      </c>
      <c r="E5730" s="159">
        <v>67</v>
      </c>
      <c r="F5730" s="131"/>
      <c r="G5730" s="132"/>
      <c r="H5730" s="162" t="s">
        <v>29263</v>
      </c>
      <c r="I5730" s="158" t="s">
        <v>29264</v>
      </c>
      <c r="J5730" s="128"/>
      <c r="K5730" s="128"/>
      <c r="L5730" s="128"/>
      <c r="M5730" s="129"/>
      <c r="N5730" s="129"/>
      <c r="O5730" s="129"/>
    </row>
    <row r="5731" spans="1:15" ht="12.5">
      <c r="A5731" s="158" t="s">
        <v>29265</v>
      </c>
      <c r="B5731" s="159">
        <v>65</v>
      </c>
      <c r="C5731" s="159">
        <v>67</v>
      </c>
      <c r="D5731" s="159">
        <v>29</v>
      </c>
      <c r="E5731" s="159">
        <v>72</v>
      </c>
      <c r="F5731" s="131"/>
      <c r="G5731" s="132"/>
      <c r="H5731" s="162" t="s">
        <v>29266</v>
      </c>
      <c r="I5731" s="158" t="s">
        <v>29267</v>
      </c>
      <c r="J5731" s="128"/>
      <c r="K5731" s="128"/>
      <c r="L5731" s="128"/>
      <c r="M5731" s="129"/>
      <c r="N5731" s="129"/>
      <c r="O5731" s="129"/>
    </row>
    <row r="5732" spans="1:15" ht="12.5">
      <c r="A5732" s="158" t="s">
        <v>29268</v>
      </c>
      <c r="B5732" s="159">
        <v>65</v>
      </c>
      <c r="C5732" s="159">
        <v>67</v>
      </c>
      <c r="D5732" s="159">
        <v>29</v>
      </c>
      <c r="E5732" s="159">
        <v>80</v>
      </c>
      <c r="F5732" s="131"/>
      <c r="G5732" s="132"/>
      <c r="H5732" s="162" t="s">
        <v>29269</v>
      </c>
      <c r="I5732" s="128"/>
      <c r="J5732" s="128"/>
      <c r="K5732" s="128"/>
      <c r="L5732" s="128"/>
      <c r="M5732" s="129"/>
      <c r="N5732" s="129"/>
      <c r="O5732" s="129"/>
    </row>
    <row r="5733" spans="1:15" ht="12.5">
      <c r="A5733" s="158" t="s">
        <v>29270</v>
      </c>
      <c r="B5733" s="159">
        <v>65</v>
      </c>
      <c r="C5733" s="159">
        <v>67</v>
      </c>
      <c r="D5733" s="159">
        <v>29</v>
      </c>
      <c r="E5733" s="159">
        <v>88</v>
      </c>
      <c r="F5733" s="131"/>
      <c r="G5733" s="132"/>
      <c r="H5733" s="162" t="s">
        <v>29271</v>
      </c>
      <c r="I5733" s="128"/>
      <c r="J5733" s="128"/>
      <c r="K5733" s="128"/>
      <c r="L5733" s="128"/>
      <c r="M5733" s="129"/>
      <c r="N5733" s="129"/>
      <c r="O5733" s="129"/>
    </row>
    <row r="5734" spans="1:15" ht="12.5">
      <c r="A5734" s="158" t="s">
        <v>29272</v>
      </c>
      <c r="B5734" s="159">
        <v>65</v>
      </c>
      <c r="C5734" s="159">
        <v>67</v>
      </c>
      <c r="D5734" s="159">
        <v>29</v>
      </c>
      <c r="E5734" s="159">
        <v>89</v>
      </c>
      <c r="F5734" s="131"/>
      <c r="G5734" s="132"/>
      <c r="H5734" s="162" t="s">
        <v>29273</v>
      </c>
      <c r="I5734" s="158" t="s">
        <v>29274</v>
      </c>
      <c r="J5734" s="128"/>
      <c r="K5734" s="128"/>
      <c r="L5734" s="128"/>
      <c r="M5734" s="129"/>
      <c r="N5734" s="129"/>
      <c r="O5734" s="129"/>
    </row>
    <row r="5735" spans="1:15" ht="12.5">
      <c r="A5735" s="158" t="s">
        <v>29275</v>
      </c>
      <c r="B5735" s="159">
        <v>65</v>
      </c>
      <c r="C5735" s="159">
        <v>67</v>
      </c>
      <c r="D5735" s="159">
        <v>29</v>
      </c>
      <c r="E5735" s="159">
        <v>96</v>
      </c>
      <c r="F5735" s="131"/>
      <c r="G5735" s="132"/>
      <c r="H5735" s="162" t="s">
        <v>29276</v>
      </c>
      <c r="I5735" s="158" t="s">
        <v>29277</v>
      </c>
      <c r="J5735" s="128"/>
      <c r="K5735" s="128"/>
      <c r="L5735" s="128"/>
      <c r="M5735" s="129"/>
      <c r="N5735" s="129"/>
      <c r="O5735" s="129"/>
    </row>
    <row r="5736" spans="1:15" ht="12.5">
      <c r="A5736" s="158" t="s">
        <v>29278</v>
      </c>
      <c r="B5736" s="159">
        <v>65</v>
      </c>
      <c r="C5736" s="159">
        <v>67</v>
      </c>
      <c r="D5736" s="159">
        <v>39</v>
      </c>
      <c r="E5736" s="130"/>
      <c r="F5736" s="131"/>
      <c r="G5736" s="132"/>
      <c r="H5736" s="162" t="s">
        <v>29279</v>
      </c>
      <c r="I5736" s="128"/>
      <c r="J5736" s="128"/>
      <c r="K5736" s="128"/>
      <c r="L5736" s="128"/>
      <c r="M5736" s="129"/>
      <c r="N5736" s="129"/>
      <c r="O5736" s="129"/>
    </row>
    <row r="5737" spans="1:15" ht="12.5">
      <c r="A5737" s="158" t="s">
        <v>29280</v>
      </c>
      <c r="B5737" s="159">
        <v>65</v>
      </c>
      <c r="C5737" s="159">
        <v>67</v>
      </c>
      <c r="D5737" s="159">
        <v>39</v>
      </c>
      <c r="E5737" s="159">
        <v>22</v>
      </c>
      <c r="F5737" s="131"/>
      <c r="G5737" s="132"/>
      <c r="H5737" s="162" t="s">
        <v>29281</v>
      </c>
      <c r="I5737" s="158" t="s">
        <v>29282</v>
      </c>
      <c r="J5737" s="128"/>
      <c r="K5737" s="128"/>
      <c r="L5737" s="128"/>
      <c r="M5737" s="129"/>
      <c r="N5737" s="129"/>
      <c r="O5737" s="129"/>
    </row>
    <row r="5738" spans="1:15" ht="12.5">
      <c r="A5738" s="158" t="s">
        <v>29283</v>
      </c>
      <c r="B5738" s="159">
        <v>65</v>
      </c>
      <c r="C5738" s="159">
        <v>67</v>
      </c>
      <c r="D5738" s="159">
        <v>39</v>
      </c>
      <c r="E5738" s="159">
        <v>28</v>
      </c>
      <c r="F5738" s="131"/>
      <c r="G5738" s="132"/>
      <c r="H5738" s="162" t="s">
        <v>29284</v>
      </c>
      <c r="I5738" s="158" t="s">
        <v>29285</v>
      </c>
      <c r="J5738" s="128"/>
      <c r="K5738" s="128"/>
      <c r="L5738" s="128"/>
      <c r="M5738" s="129"/>
      <c r="N5738" s="129"/>
      <c r="O5738" s="129"/>
    </row>
    <row r="5739" spans="1:15" ht="12.5">
      <c r="A5739" s="158" t="s">
        <v>29286</v>
      </c>
      <c r="B5739" s="159">
        <v>65</v>
      </c>
      <c r="C5739" s="159">
        <v>67</v>
      </c>
      <c r="D5739" s="159">
        <v>39</v>
      </c>
      <c r="E5739" s="159">
        <v>84</v>
      </c>
      <c r="F5739" s="131"/>
      <c r="G5739" s="132"/>
      <c r="H5739" s="162" t="s">
        <v>29287</v>
      </c>
      <c r="I5739" s="158" t="s">
        <v>29288</v>
      </c>
      <c r="J5739" s="128"/>
      <c r="K5739" s="128"/>
      <c r="L5739" s="128"/>
      <c r="M5739" s="129"/>
      <c r="N5739" s="129"/>
      <c r="O5739" s="129"/>
    </row>
    <row r="5740" spans="1:15" ht="12.5">
      <c r="A5740" s="158" t="s">
        <v>29289</v>
      </c>
      <c r="B5740" s="159">
        <v>65</v>
      </c>
      <c r="C5740" s="159">
        <v>67</v>
      </c>
      <c r="D5740" s="159">
        <v>39</v>
      </c>
      <c r="E5740" s="159">
        <v>96</v>
      </c>
      <c r="F5740" s="131"/>
      <c r="G5740" s="132"/>
      <c r="H5740" s="162" t="s">
        <v>29290</v>
      </c>
      <c r="I5740" s="158" t="s">
        <v>29291</v>
      </c>
      <c r="J5740" s="128"/>
      <c r="K5740" s="128"/>
      <c r="L5740" s="128"/>
      <c r="M5740" s="129"/>
      <c r="N5740" s="129"/>
      <c r="O5740" s="129"/>
    </row>
    <row r="5741" spans="1:15" ht="12.5">
      <c r="A5741" s="158" t="s">
        <v>29292</v>
      </c>
      <c r="B5741" s="159">
        <v>65</v>
      </c>
      <c r="C5741" s="159">
        <v>67</v>
      </c>
      <c r="D5741" s="159">
        <v>46</v>
      </c>
      <c r="E5741" s="130"/>
      <c r="F5741" s="131"/>
      <c r="G5741" s="132"/>
      <c r="H5741" s="162" t="s">
        <v>29293</v>
      </c>
      <c r="I5741" s="128"/>
      <c r="J5741" s="128"/>
      <c r="K5741" s="128"/>
      <c r="L5741" s="128"/>
      <c r="M5741" s="129"/>
      <c r="N5741" s="129"/>
      <c r="O5741" s="129"/>
    </row>
    <row r="5742" spans="1:15" ht="12.5">
      <c r="A5742" s="158" t="s">
        <v>29294</v>
      </c>
      <c r="B5742" s="159">
        <v>65</v>
      </c>
      <c r="C5742" s="159">
        <v>67</v>
      </c>
      <c r="D5742" s="159">
        <v>46</v>
      </c>
      <c r="E5742" s="159">
        <v>56</v>
      </c>
      <c r="F5742" s="131"/>
      <c r="G5742" s="132"/>
      <c r="H5742" s="162" t="s">
        <v>29295</v>
      </c>
      <c r="I5742" s="128"/>
      <c r="J5742" s="128"/>
      <c r="K5742" s="128"/>
      <c r="L5742" s="128"/>
      <c r="M5742" s="129"/>
      <c r="N5742" s="129"/>
      <c r="O5742" s="129"/>
    </row>
    <row r="5743" spans="1:15" ht="12.5">
      <c r="A5743" s="158" t="s">
        <v>29296</v>
      </c>
      <c r="B5743" s="159">
        <v>65</v>
      </c>
      <c r="C5743" s="159">
        <v>67</v>
      </c>
      <c r="D5743" s="159">
        <v>78</v>
      </c>
      <c r="E5743" s="130"/>
      <c r="F5743" s="131"/>
      <c r="G5743" s="132"/>
      <c r="H5743" s="162" t="s">
        <v>29297</v>
      </c>
      <c r="I5743" s="128"/>
      <c r="J5743" s="128"/>
      <c r="K5743" s="128"/>
      <c r="L5743" s="128"/>
      <c r="M5743" s="129"/>
      <c r="N5743" s="129"/>
      <c r="O5743" s="129"/>
    </row>
    <row r="5744" spans="1:15" ht="12.5">
      <c r="A5744" s="158" t="s">
        <v>29298</v>
      </c>
      <c r="B5744" s="159">
        <v>65</v>
      </c>
      <c r="C5744" s="159">
        <v>67</v>
      </c>
      <c r="D5744" s="159">
        <v>78</v>
      </c>
      <c r="E5744" s="159">
        <v>2</v>
      </c>
      <c r="F5744" s="131"/>
      <c r="G5744" s="132"/>
      <c r="H5744" s="162" t="s">
        <v>29299</v>
      </c>
      <c r="I5744" s="158" t="s">
        <v>29300</v>
      </c>
      <c r="J5744" s="128"/>
      <c r="K5744" s="128"/>
      <c r="L5744" s="128"/>
      <c r="M5744" s="129"/>
      <c r="N5744" s="129"/>
      <c r="O5744" s="129"/>
    </row>
    <row r="5745" spans="1:15" ht="12.5">
      <c r="A5745" s="158" t="s">
        <v>29301</v>
      </c>
      <c r="B5745" s="159">
        <v>65</v>
      </c>
      <c r="C5745" s="159">
        <v>67</v>
      </c>
      <c r="D5745" s="159">
        <v>78</v>
      </c>
      <c r="E5745" s="159">
        <v>5</v>
      </c>
      <c r="F5745" s="131"/>
      <c r="G5745" s="132"/>
      <c r="H5745" s="162" t="s">
        <v>29302</v>
      </c>
      <c r="I5745" s="158" t="s">
        <v>29303</v>
      </c>
      <c r="J5745" s="128"/>
      <c r="K5745" s="128"/>
      <c r="L5745" s="128"/>
      <c r="M5745" s="129"/>
      <c r="N5745" s="129"/>
      <c r="O5745" s="129"/>
    </row>
    <row r="5746" spans="1:15" ht="12.5">
      <c r="A5746" s="158" t="s">
        <v>29304</v>
      </c>
      <c r="B5746" s="159">
        <v>65</v>
      </c>
      <c r="C5746" s="159">
        <v>67</v>
      </c>
      <c r="D5746" s="159">
        <v>78</v>
      </c>
      <c r="E5746" s="159">
        <v>7</v>
      </c>
      <c r="F5746" s="131"/>
      <c r="G5746" s="132"/>
      <c r="H5746" s="162" t="s">
        <v>29305</v>
      </c>
      <c r="I5746" s="128"/>
      <c r="J5746" s="128"/>
      <c r="K5746" s="128"/>
      <c r="L5746" s="128"/>
      <c r="M5746" s="129"/>
      <c r="N5746" s="129"/>
      <c r="O5746" s="129"/>
    </row>
    <row r="5747" spans="1:15" ht="12.5">
      <c r="A5747" s="158" t="s">
        <v>29306</v>
      </c>
      <c r="B5747" s="159">
        <v>65</v>
      </c>
      <c r="C5747" s="159">
        <v>67</v>
      </c>
      <c r="D5747" s="159">
        <v>78</v>
      </c>
      <c r="E5747" s="159">
        <v>12</v>
      </c>
      <c r="F5747" s="131"/>
      <c r="G5747" s="132"/>
      <c r="H5747" s="162" t="s">
        <v>29307</v>
      </c>
      <c r="I5747" s="158" t="s">
        <v>29308</v>
      </c>
      <c r="J5747" s="128"/>
      <c r="K5747" s="128"/>
      <c r="L5747" s="128"/>
      <c r="M5747" s="129"/>
      <c r="N5747" s="129"/>
      <c r="O5747" s="129"/>
    </row>
    <row r="5748" spans="1:15" ht="12.5">
      <c r="A5748" s="158" t="s">
        <v>29309</v>
      </c>
      <c r="B5748" s="159">
        <v>65</v>
      </c>
      <c r="C5748" s="159">
        <v>67</v>
      </c>
      <c r="D5748" s="159">
        <v>78</v>
      </c>
      <c r="E5748" s="159">
        <v>72</v>
      </c>
      <c r="F5748" s="131"/>
      <c r="G5748" s="132"/>
      <c r="H5748" s="162" t="s">
        <v>29310</v>
      </c>
      <c r="I5748" s="158" t="s">
        <v>29311</v>
      </c>
      <c r="J5748" s="128"/>
      <c r="K5748" s="128"/>
      <c r="L5748" s="128"/>
      <c r="M5748" s="129"/>
      <c r="N5748" s="129"/>
      <c r="O5748" s="129"/>
    </row>
    <row r="5749" spans="1:15" ht="12.5">
      <c r="A5749" s="158" t="s">
        <v>29312</v>
      </c>
      <c r="B5749" s="159">
        <v>65</v>
      </c>
      <c r="C5749" s="159">
        <v>67</v>
      </c>
      <c r="D5749" s="159">
        <v>94</v>
      </c>
      <c r="E5749" s="130"/>
      <c r="F5749" s="131"/>
      <c r="G5749" s="132"/>
      <c r="H5749" s="162" t="s">
        <v>29313</v>
      </c>
      <c r="I5749" s="128"/>
      <c r="J5749" s="128"/>
      <c r="K5749" s="128"/>
      <c r="L5749" s="128"/>
      <c r="M5749" s="129"/>
      <c r="N5749" s="129"/>
      <c r="O5749" s="129"/>
    </row>
    <row r="5750" spans="1:15" ht="12.5">
      <c r="A5750" s="158" t="s">
        <v>29314</v>
      </c>
      <c r="B5750" s="159">
        <v>65</v>
      </c>
      <c r="C5750" s="159">
        <v>67</v>
      </c>
      <c r="D5750" s="159">
        <v>94</v>
      </c>
      <c r="E5750" s="159">
        <v>25</v>
      </c>
      <c r="F5750" s="131"/>
      <c r="G5750" s="132"/>
      <c r="H5750" s="162" t="s">
        <v>29315</v>
      </c>
      <c r="I5750" s="158" t="s">
        <v>29316</v>
      </c>
      <c r="J5750" s="128"/>
      <c r="K5750" s="128"/>
      <c r="L5750" s="128"/>
      <c r="M5750" s="129"/>
      <c r="N5750" s="129"/>
      <c r="O5750" s="129"/>
    </row>
    <row r="5751" spans="1:15" ht="12.5">
      <c r="A5751" s="158" t="s">
        <v>29317</v>
      </c>
      <c r="B5751" s="159">
        <v>65</v>
      </c>
      <c r="C5751" s="159">
        <v>67</v>
      </c>
      <c r="D5751" s="159">
        <v>94</v>
      </c>
      <c r="E5751" s="159">
        <v>76</v>
      </c>
      <c r="F5751" s="131"/>
      <c r="G5751" s="132"/>
      <c r="H5751" s="162" t="s">
        <v>29318</v>
      </c>
      <c r="I5751" s="158" t="s">
        <v>29319</v>
      </c>
      <c r="J5751" s="128"/>
      <c r="K5751" s="128"/>
      <c r="L5751" s="128"/>
      <c r="M5751" s="129"/>
      <c r="N5751" s="129"/>
      <c r="O5751" s="129"/>
    </row>
    <row r="5752" spans="1:15" ht="12.5">
      <c r="A5752" s="144" t="s">
        <v>29320</v>
      </c>
      <c r="B5752" s="145">
        <v>65</v>
      </c>
      <c r="C5752" s="145">
        <v>70</v>
      </c>
      <c r="D5752" s="146"/>
      <c r="E5752" s="146"/>
      <c r="F5752" s="147" t="s">
        <v>33555</v>
      </c>
      <c r="G5752" s="190"/>
      <c r="H5752" s="149" t="s">
        <v>29321</v>
      </c>
      <c r="I5752" s="150"/>
      <c r="J5752" s="150"/>
      <c r="K5752" s="150"/>
      <c r="L5752" s="150"/>
      <c r="M5752" s="191"/>
      <c r="N5752" s="191"/>
      <c r="O5752" s="191"/>
    </row>
    <row r="5753" spans="1:15" ht="12.5">
      <c r="A5753" s="158" t="s">
        <v>29322</v>
      </c>
      <c r="B5753" s="159">
        <v>65</v>
      </c>
      <c r="C5753" s="159">
        <v>70</v>
      </c>
      <c r="D5753" s="159">
        <v>11</v>
      </c>
      <c r="E5753" s="130"/>
      <c r="F5753" s="131"/>
      <c r="G5753" s="132"/>
      <c r="H5753" s="162" t="s">
        <v>33556</v>
      </c>
      <c r="I5753" s="128"/>
      <c r="J5753" s="128"/>
      <c r="K5753" s="128"/>
      <c r="L5753" s="128"/>
      <c r="M5753" s="129"/>
      <c r="N5753" s="129"/>
      <c r="O5753" s="129"/>
    </row>
    <row r="5754" spans="1:15" ht="12.5">
      <c r="A5754" s="158" t="s">
        <v>29326</v>
      </c>
      <c r="B5754" s="159">
        <v>65</v>
      </c>
      <c r="C5754" s="159">
        <v>70</v>
      </c>
      <c r="D5754" s="159">
        <v>11</v>
      </c>
      <c r="E5754" s="159">
        <v>9</v>
      </c>
      <c r="F5754" s="131"/>
      <c r="G5754" s="132"/>
      <c r="H5754" s="162" t="s">
        <v>29327</v>
      </c>
      <c r="I5754" s="158" t="s">
        <v>29328</v>
      </c>
      <c r="J5754" s="128"/>
      <c r="K5754" s="128"/>
      <c r="L5754" s="128"/>
      <c r="M5754" s="129"/>
      <c r="N5754" s="129"/>
      <c r="O5754" s="129"/>
    </row>
    <row r="5755" spans="1:15" ht="12.5">
      <c r="A5755" s="158" t="s">
        <v>29329</v>
      </c>
      <c r="B5755" s="159">
        <v>65</v>
      </c>
      <c r="C5755" s="159">
        <v>70</v>
      </c>
      <c r="D5755" s="159">
        <v>11</v>
      </c>
      <c r="E5755" s="159">
        <v>10</v>
      </c>
      <c r="F5755" s="131"/>
      <c r="G5755" s="132"/>
      <c r="H5755" s="162" t="s">
        <v>29330</v>
      </c>
      <c r="I5755" s="128"/>
      <c r="J5755" s="128"/>
      <c r="K5755" s="128"/>
      <c r="L5755" s="128"/>
      <c r="M5755" s="129"/>
      <c r="N5755" s="129"/>
      <c r="O5755" s="129"/>
    </row>
    <row r="5756" spans="1:15" ht="12.5">
      <c r="A5756" s="158" t="s">
        <v>29331</v>
      </c>
      <c r="B5756" s="159">
        <v>65</v>
      </c>
      <c r="C5756" s="159">
        <v>70</v>
      </c>
      <c r="D5756" s="159">
        <v>11</v>
      </c>
      <c r="E5756" s="159">
        <v>11</v>
      </c>
      <c r="F5756" s="131"/>
      <c r="G5756" s="132"/>
      <c r="H5756" s="162" t="s">
        <v>29332</v>
      </c>
      <c r="I5756" s="158" t="s">
        <v>29333</v>
      </c>
      <c r="J5756" s="128"/>
      <c r="K5756" s="128"/>
      <c r="L5756" s="128"/>
      <c r="M5756" s="129"/>
      <c r="N5756" s="129"/>
      <c r="O5756" s="129"/>
    </row>
    <row r="5757" spans="1:15" ht="12.5">
      <c r="A5757" s="158" t="s">
        <v>29334</v>
      </c>
      <c r="B5757" s="159">
        <v>65</v>
      </c>
      <c r="C5757" s="159">
        <v>70</v>
      </c>
      <c r="D5757" s="159">
        <v>11</v>
      </c>
      <c r="E5757" s="159">
        <v>12</v>
      </c>
      <c r="F5757" s="131"/>
      <c r="G5757" s="132"/>
      <c r="H5757" s="162" t="s">
        <v>29335</v>
      </c>
      <c r="I5757" s="158" t="s">
        <v>29336</v>
      </c>
      <c r="J5757" s="128"/>
      <c r="K5757" s="128"/>
      <c r="L5757" s="128"/>
      <c r="M5757" s="129"/>
      <c r="N5757" s="129"/>
      <c r="O5757" s="129"/>
    </row>
    <row r="5758" spans="1:15" ht="12.5">
      <c r="A5758" s="158" t="s">
        <v>29337</v>
      </c>
      <c r="B5758" s="159">
        <v>65</v>
      </c>
      <c r="C5758" s="159">
        <v>70</v>
      </c>
      <c r="D5758" s="159">
        <v>11</v>
      </c>
      <c r="E5758" s="159">
        <v>13</v>
      </c>
      <c r="F5758" s="131"/>
      <c r="G5758" s="132"/>
      <c r="H5758" s="162" t="s">
        <v>29338</v>
      </c>
      <c r="I5758" s="158" t="s">
        <v>29339</v>
      </c>
      <c r="J5758" s="128"/>
      <c r="K5758" s="128"/>
      <c r="L5758" s="128"/>
      <c r="M5758" s="129"/>
      <c r="N5758" s="129"/>
      <c r="O5758" s="129"/>
    </row>
    <row r="5759" spans="1:15" ht="12.5">
      <c r="A5759" s="158" t="s">
        <v>29340</v>
      </c>
      <c r="B5759" s="159">
        <v>65</v>
      </c>
      <c r="C5759" s="159">
        <v>70</v>
      </c>
      <c r="D5759" s="159">
        <v>11</v>
      </c>
      <c r="E5759" s="159">
        <v>14</v>
      </c>
      <c r="F5759" s="131"/>
      <c r="G5759" s="132"/>
      <c r="H5759" s="162" t="s">
        <v>29341</v>
      </c>
      <c r="I5759" s="158" t="s">
        <v>29342</v>
      </c>
      <c r="J5759" s="128"/>
      <c r="K5759" s="128"/>
      <c r="L5759" s="128"/>
      <c r="M5759" s="129"/>
      <c r="N5759" s="129"/>
      <c r="O5759" s="129"/>
    </row>
    <row r="5760" spans="1:15" ht="12.5">
      <c r="A5760" s="158" t="s">
        <v>29343</v>
      </c>
      <c r="B5760" s="159">
        <v>65</v>
      </c>
      <c r="C5760" s="159">
        <v>70</v>
      </c>
      <c r="D5760" s="159">
        <v>11</v>
      </c>
      <c r="E5760" s="159">
        <v>15</v>
      </c>
      <c r="F5760" s="131"/>
      <c r="G5760" s="132"/>
      <c r="H5760" s="162" t="s">
        <v>29344</v>
      </c>
      <c r="I5760" s="158" t="s">
        <v>29345</v>
      </c>
      <c r="J5760" s="128"/>
      <c r="K5760" s="128"/>
      <c r="L5760" s="128"/>
      <c r="M5760" s="129"/>
      <c r="N5760" s="129"/>
      <c r="O5760" s="129"/>
    </row>
    <row r="5761" spans="1:15" ht="12.5">
      <c r="A5761" s="158" t="s">
        <v>29346</v>
      </c>
      <c r="B5761" s="159">
        <v>65</v>
      </c>
      <c r="C5761" s="159">
        <v>70</v>
      </c>
      <c r="D5761" s="159">
        <v>11</v>
      </c>
      <c r="E5761" s="159">
        <v>16</v>
      </c>
      <c r="F5761" s="131"/>
      <c r="G5761" s="132"/>
      <c r="H5761" s="162" t="s">
        <v>29347</v>
      </c>
      <c r="I5761" s="128"/>
      <c r="J5761" s="128"/>
      <c r="K5761" s="128"/>
      <c r="L5761" s="128"/>
      <c r="M5761" s="129"/>
      <c r="N5761" s="129"/>
      <c r="O5761" s="129"/>
    </row>
    <row r="5762" spans="1:15" ht="12.5">
      <c r="A5762" s="158" t="s">
        <v>29349</v>
      </c>
      <c r="B5762" s="159">
        <v>65</v>
      </c>
      <c r="C5762" s="159">
        <v>70</v>
      </c>
      <c r="D5762" s="159">
        <v>11</v>
      </c>
      <c r="E5762" s="159">
        <v>17</v>
      </c>
      <c r="F5762" s="131"/>
      <c r="G5762" s="132"/>
      <c r="H5762" s="162" t="s">
        <v>29350</v>
      </c>
      <c r="I5762" s="158" t="s">
        <v>29351</v>
      </c>
      <c r="J5762" s="128"/>
      <c r="K5762" s="128"/>
      <c r="L5762" s="128"/>
      <c r="M5762" s="129"/>
      <c r="N5762" s="129"/>
      <c r="O5762" s="129"/>
    </row>
    <row r="5763" spans="1:15" ht="12.5">
      <c r="A5763" s="158" t="s">
        <v>29352</v>
      </c>
      <c r="B5763" s="159">
        <v>65</v>
      </c>
      <c r="C5763" s="159">
        <v>70</v>
      </c>
      <c r="D5763" s="159">
        <v>11</v>
      </c>
      <c r="E5763" s="159">
        <v>18</v>
      </c>
      <c r="F5763" s="131"/>
      <c r="G5763" s="132"/>
      <c r="H5763" s="162" t="s">
        <v>29353</v>
      </c>
      <c r="I5763" s="158" t="s">
        <v>29354</v>
      </c>
      <c r="J5763" s="128"/>
      <c r="K5763" s="128"/>
      <c r="L5763" s="128"/>
      <c r="M5763" s="129"/>
      <c r="N5763" s="129"/>
      <c r="O5763" s="129"/>
    </row>
    <row r="5764" spans="1:15" ht="12.5">
      <c r="A5764" s="158" t="s">
        <v>29355</v>
      </c>
      <c r="B5764" s="159">
        <v>65</v>
      </c>
      <c r="C5764" s="159">
        <v>70</v>
      </c>
      <c r="D5764" s="159">
        <v>11</v>
      </c>
      <c r="E5764" s="159">
        <v>19</v>
      </c>
      <c r="F5764" s="131"/>
      <c r="G5764" s="132"/>
      <c r="H5764" s="162" t="s">
        <v>29356</v>
      </c>
      <c r="I5764" s="158" t="s">
        <v>29357</v>
      </c>
      <c r="J5764" s="128"/>
      <c r="K5764" s="128"/>
      <c r="L5764" s="128"/>
      <c r="M5764" s="129"/>
      <c r="N5764" s="129"/>
      <c r="O5764" s="129"/>
    </row>
    <row r="5765" spans="1:15" ht="12.5">
      <c r="A5765" s="158" t="s">
        <v>29358</v>
      </c>
      <c r="B5765" s="159">
        <v>65</v>
      </c>
      <c r="C5765" s="159">
        <v>70</v>
      </c>
      <c r="D5765" s="159">
        <v>11</v>
      </c>
      <c r="E5765" s="159">
        <v>20</v>
      </c>
      <c r="F5765" s="131"/>
      <c r="G5765" s="132"/>
      <c r="H5765" s="162" t="s">
        <v>29359</v>
      </c>
      <c r="I5765" s="158" t="s">
        <v>29360</v>
      </c>
      <c r="J5765" s="128"/>
      <c r="K5765" s="128"/>
      <c r="L5765" s="128"/>
      <c r="M5765" s="129"/>
      <c r="N5765" s="129"/>
      <c r="O5765" s="129"/>
    </row>
    <row r="5766" spans="1:15" ht="12.5">
      <c r="A5766" s="158" t="s">
        <v>29361</v>
      </c>
      <c r="B5766" s="159">
        <v>65</v>
      </c>
      <c r="C5766" s="159">
        <v>70</v>
      </c>
      <c r="D5766" s="159">
        <v>11</v>
      </c>
      <c r="E5766" s="159">
        <v>25</v>
      </c>
      <c r="F5766" s="131"/>
      <c r="G5766" s="132"/>
      <c r="H5766" s="162" t="s">
        <v>29362</v>
      </c>
      <c r="I5766" s="158" t="s">
        <v>29363</v>
      </c>
      <c r="J5766" s="128"/>
      <c r="K5766" s="128"/>
      <c r="L5766" s="128"/>
      <c r="M5766" s="129"/>
      <c r="N5766" s="129"/>
      <c r="O5766" s="129"/>
    </row>
    <row r="5767" spans="1:15" ht="12.5">
      <c r="A5767" s="158" t="s">
        <v>29366</v>
      </c>
      <c r="B5767" s="159">
        <v>65</v>
      </c>
      <c r="C5767" s="159">
        <v>70</v>
      </c>
      <c r="D5767" s="159">
        <v>11</v>
      </c>
      <c r="E5767" s="159">
        <v>30</v>
      </c>
      <c r="F5767" s="131"/>
      <c r="G5767" s="132"/>
      <c r="H5767" s="162" t="s">
        <v>29367</v>
      </c>
      <c r="I5767" s="158" t="s">
        <v>29368</v>
      </c>
      <c r="J5767" s="128"/>
      <c r="K5767" s="128"/>
      <c r="L5767" s="128"/>
      <c r="M5767" s="129"/>
      <c r="N5767" s="129"/>
      <c r="O5767" s="129"/>
    </row>
    <row r="5768" spans="1:15" ht="12.5">
      <c r="A5768" s="158" t="s">
        <v>29369</v>
      </c>
      <c r="B5768" s="159">
        <v>65</v>
      </c>
      <c r="C5768" s="159">
        <v>70</v>
      </c>
      <c r="D5768" s="159">
        <v>11</v>
      </c>
      <c r="E5768" s="159">
        <v>31</v>
      </c>
      <c r="F5768" s="131"/>
      <c r="G5768" s="132"/>
      <c r="H5768" s="162" t="s">
        <v>29370</v>
      </c>
      <c r="I5768" s="158" t="s">
        <v>29371</v>
      </c>
      <c r="J5768" s="128"/>
      <c r="K5768" s="128"/>
      <c r="L5768" s="128"/>
      <c r="M5768" s="129"/>
      <c r="N5768" s="129"/>
      <c r="O5768" s="129"/>
    </row>
    <row r="5769" spans="1:15" ht="12.5">
      <c r="A5769" s="158" t="s">
        <v>29374</v>
      </c>
      <c r="B5769" s="159">
        <v>65</v>
      </c>
      <c r="C5769" s="159">
        <v>70</v>
      </c>
      <c r="D5769" s="159">
        <v>11</v>
      </c>
      <c r="E5769" s="159">
        <v>41</v>
      </c>
      <c r="F5769" s="131"/>
      <c r="G5769" s="132"/>
      <c r="H5769" s="162" t="s">
        <v>29375</v>
      </c>
      <c r="I5769" s="128"/>
      <c r="J5769" s="128"/>
      <c r="K5769" s="128"/>
      <c r="L5769" s="128"/>
      <c r="M5769" s="129"/>
      <c r="N5769" s="129"/>
      <c r="O5769" s="129"/>
    </row>
    <row r="5770" spans="1:15" ht="12.5">
      <c r="A5770" s="158" t="s">
        <v>29376</v>
      </c>
      <c r="B5770" s="159">
        <v>65</v>
      </c>
      <c r="C5770" s="159">
        <v>70</v>
      </c>
      <c r="D5770" s="159">
        <v>11</v>
      </c>
      <c r="E5770" s="159">
        <v>47</v>
      </c>
      <c r="F5770" s="131"/>
      <c r="G5770" s="132"/>
      <c r="H5770" s="162" t="s">
        <v>29377</v>
      </c>
      <c r="I5770" s="158" t="s">
        <v>29378</v>
      </c>
      <c r="J5770" s="128"/>
      <c r="K5770" s="128"/>
      <c r="L5770" s="128"/>
      <c r="M5770" s="129"/>
      <c r="N5770" s="129"/>
      <c r="O5770" s="129"/>
    </row>
    <row r="5771" spans="1:15" ht="12.5">
      <c r="A5771" s="158" t="s">
        <v>29379</v>
      </c>
      <c r="B5771" s="159">
        <v>65</v>
      </c>
      <c r="C5771" s="159">
        <v>70</v>
      </c>
      <c r="D5771" s="159">
        <v>11</v>
      </c>
      <c r="E5771" s="159">
        <v>61</v>
      </c>
      <c r="F5771" s="131"/>
      <c r="G5771" s="132"/>
      <c r="H5771" s="162" t="s">
        <v>29380</v>
      </c>
      <c r="I5771" s="158" t="s">
        <v>29381</v>
      </c>
      <c r="J5771" s="128"/>
      <c r="K5771" s="128"/>
      <c r="L5771" s="128"/>
      <c r="M5771" s="129"/>
      <c r="N5771" s="129"/>
      <c r="O5771" s="129"/>
    </row>
    <row r="5772" spans="1:15" ht="12.5">
      <c r="A5772" s="158" t="s">
        <v>29382</v>
      </c>
      <c r="B5772" s="159">
        <v>65</v>
      </c>
      <c r="C5772" s="159">
        <v>70</v>
      </c>
      <c r="D5772" s="159">
        <v>11</v>
      </c>
      <c r="E5772" s="159">
        <v>62</v>
      </c>
      <c r="F5772" s="131"/>
      <c r="G5772" s="132"/>
      <c r="H5772" s="162" t="s">
        <v>29383</v>
      </c>
      <c r="I5772" s="158" t="s">
        <v>27962</v>
      </c>
      <c r="J5772" s="128"/>
      <c r="K5772" s="128"/>
      <c r="L5772" s="128"/>
      <c r="M5772" s="129"/>
      <c r="N5772" s="129"/>
      <c r="O5772" s="129"/>
    </row>
    <row r="5773" spans="1:15" ht="12.5">
      <c r="A5773" s="158" t="s">
        <v>29384</v>
      </c>
      <c r="B5773" s="159">
        <v>65</v>
      </c>
      <c r="C5773" s="159">
        <v>70</v>
      </c>
      <c r="D5773" s="159">
        <v>11</v>
      </c>
      <c r="E5773" s="159">
        <v>63</v>
      </c>
      <c r="F5773" s="131"/>
      <c r="G5773" s="132"/>
      <c r="H5773" s="162" t="s">
        <v>29385</v>
      </c>
      <c r="I5773" s="158" t="s">
        <v>29386</v>
      </c>
      <c r="J5773" s="128"/>
      <c r="K5773" s="128"/>
      <c r="L5773" s="128"/>
      <c r="M5773" s="129"/>
      <c r="N5773" s="129"/>
      <c r="O5773" s="129"/>
    </row>
    <row r="5774" spans="1:15" ht="12.5">
      <c r="A5774" s="158" t="s">
        <v>29389</v>
      </c>
      <c r="B5774" s="159">
        <v>65</v>
      </c>
      <c r="C5774" s="159">
        <v>70</v>
      </c>
      <c r="D5774" s="159">
        <v>11</v>
      </c>
      <c r="E5774" s="159">
        <v>65</v>
      </c>
      <c r="F5774" s="131"/>
      <c r="G5774" s="132"/>
      <c r="H5774" s="162" t="s">
        <v>29390</v>
      </c>
      <c r="I5774" s="158" t="s">
        <v>29391</v>
      </c>
      <c r="J5774" s="128"/>
      <c r="K5774" s="128"/>
      <c r="L5774" s="128"/>
      <c r="M5774" s="129"/>
      <c r="N5774" s="129"/>
      <c r="O5774" s="129"/>
    </row>
    <row r="5775" spans="1:15" ht="12.5">
      <c r="A5775" s="158" t="s">
        <v>29392</v>
      </c>
      <c r="B5775" s="159">
        <v>65</v>
      </c>
      <c r="C5775" s="159">
        <v>70</v>
      </c>
      <c r="D5775" s="159">
        <v>11</v>
      </c>
      <c r="E5775" s="159">
        <v>70</v>
      </c>
      <c r="F5775" s="131"/>
      <c r="G5775" s="132"/>
      <c r="H5775" s="162" t="s">
        <v>29393</v>
      </c>
      <c r="I5775" s="128"/>
      <c r="J5775" s="128"/>
      <c r="K5775" s="128"/>
      <c r="L5775" s="128"/>
      <c r="M5775" s="129"/>
      <c r="N5775" s="129"/>
      <c r="O5775" s="129"/>
    </row>
    <row r="5776" spans="1:15" ht="12.5">
      <c r="A5776" s="158" t="s">
        <v>29394</v>
      </c>
      <c r="B5776" s="159">
        <v>65</v>
      </c>
      <c r="C5776" s="159">
        <v>70</v>
      </c>
      <c r="D5776" s="159">
        <v>11</v>
      </c>
      <c r="E5776" s="159">
        <v>71</v>
      </c>
      <c r="F5776" s="131"/>
      <c r="G5776" s="132"/>
      <c r="H5776" s="162" t="s">
        <v>29395</v>
      </c>
      <c r="I5776" s="158" t="s">
        <v>29396</v>
      </c>
      <c r="J5776" s="128"/>
      <c r="K5776" s="128"/>
      <c r="L5776" s="128"/>
      <c r="M5776" s="129"/>
      <c r="N5776" s="129"/>
      <c r="O5776" s="129"/>
    </row>
    <row r="5777" spans="1:15" ht="12.5">
      <c r="A5777" s="158" t="s">
        <v>29397</v>
      </c>
      <c r="B5777" s="159">
        <v>65</v>
      </c>
      <c r="C5777" s="159">
        <v>70</v>
      </c>
      <c r="D5777" s="159">
        <v>11</v>
      </c>
      <c r="E5777" s="159">
        <v>75</v>
      </c>
      <c r="F5777" s="131"/>
      <c r="G5777" s="132"/>
      <c r="H5777" s="162" t="s">
        <v>29398</v>
      </c>
      <c r="I5777" s="158" t="s">
        <v>29399</v>
      </c>
      <c r="J5777" s="128"/>
      <c r="K5777" s="128"/>
      <c r="L5777" s="128"/>
      <c r="M5777" s="129"/>
      <c r="N5777" s="129"/>
      <c r="O5777" s="129"/>
    </row>
    <row r="5778" spans="1:15" ht="12.5">
      <c r="A5778" s="158" t="s">
        <v>29400</v>
      </c>
      <c r="B5778" s="159">
        <v>65</v>
      </c>
      <c r="C5778" s="159">
        <v>70</v>
      </c>
      <c r="D5778" s="159">
        <v>11</v>
      </c>
      <c r="E5778" s="159">
        <v>76</v>
      </c>
      <c r="F5778" s="131"/>
      <c r="G5778" s="132"/>
      <c r="H5778" s="162" t="s">
        <v>29401</v>
      </c>
      <c r="I5778" s="158" t="s">
        <v>29402</v>
      </c>
      <c r="J5778" s="128"/>
      <c r="K5778" s="128"/>
      <c r="L5778" s="128"/>
      <c r="M5778" s="129"/>
      <c r="N5778" s="129"/>
      <c r="O5778" s="129"/>
    </row>
    <row r="5779" spans="1:15" ht="12.5">
      <c r="A5779" s="158" t="s">
        <v>29403</v>
      </c>
      <c r="B5779" s="159">
        <v>65</v>
      </c>
      <c r="C5779" s="159">
        <v>70</v>
      </c>
      <c r="D5779" s="159">
        <v>11</v>
      </c>
      <c r="E5779" s="159">
        <v>79</v>
      </c>
      <c r="F5779" s="131"/>
      <c r="G5779" s="132"/>
      <c r="H5779" s="162" t="s">
        <v>29404</v>
      </c>
      <c r="I5779" s="158" t="s">
        <v>29405</v>
      </c>
      <c r="J5779" s="128"/>
      <c r="K5779" s="128"/>
      <c r="L5779" s="128"/>
      <c r="M5779" s="129"/>
      <c r="N5779" s="129"/>
      <c r="O5779" s="129"/>
    </row>
    <row r="5780" spans="1:15" ht="12.5">
      <c r="A5780" s="158" t="s">
        <v>29406</v>
      </c>
      <c r="B5780" s="159">
        <v>65</v>
      </c>
      <c r="C5780" s="159">
        <v>70</v>
      </c>
      <c r="D5780" s="159">
        <v>11</v>
      </c>
      <c r="E5780" s="159">
        <v>80</v>
      </c>
      <c r="F5780" s="131"/>
      <c r="G5780" s="132"/>
      <c r="H5780" s="162" t="s">
        <v>29407</v>
      </c>
      <c r="I5780" s="128"/>
      <c r="J5780" s="128"/>
      <c r="K5780" s="128"/>
      <c r="L5780" s="128"/>
      <c r="M5780" s="129"/>
      <c r="N5780" s="129"/>
      <c r="O5780" s="129"/>
    </row>
    <row r="5781" spans="1:15" ht="12.5">
      <c r="A5781" s="158" t="s">
        <v>29408</v>
      </c>
      <c r="B5781" s="159">
        <v>65</v>
      </c>
      <c r="C5781" s="159">
        <v>70</v>
      </c>
      <c r="D5781" s="159">
        <v>12</v>
      </c>
      <c r="E5781" s="130"/>
      <c r="F5781" s="131"/>
      <c r="G5781" s="132"/>
      <c r="H5781" s="162" t="s">
        <v>29409</v>
      </c>
      <c r="I5781" s="128"/>
      <c r="J5781" s="128"/>
      <c r="K5781" s="128"/>
      <c r="L5781" s="128"/>
      <c r="M5781" s="129"/>
      <c r="N5781" s="129"/>
      <c r="O5781" s="129"/>
    </row>
    <row r="5782" spans="1:15" ht="12.5">
      <c r="A5782" s="158" t="s">
        <v>29410</v>
      </c>
      <c r="B5782" s="159">
        <v>65</v>
      </c>
      <c r="C5782" s="159">
        <v>70</v>
      </c>
      <c r="D5782" s="159">
        <v>12</v>
      </c>
      <c r="E5782" s="159">
        <v>4</v>
      </c>
      <c r="F5782" s="131"/>
      <c r="G5782" s="132"/>
      <c r="H5782" s="162" t="s">
        <v>29411</v>
      </c>
      <c r="I5782" s="158" t="s">
        <v>29412</v>
      </c>
      <c r="J5782" s="128"/>
      <c r="K5782" s="128"/>
      <c r="L5782" s="128"/>
      <c r="M5782" s="129"/>
      <c r="N5782" s="129"/>
      <c r="O5782" s="129"/>
    </row>
    <row r="5783" spans="1:15" ht="12.5">
      <c r="A5783" s="158" t="s">
        <v>29413</v>
      </c>
      <c r="B5783" s="159">
        <v>65</v>
      </c>
      <c r="C5783" s="159">
        <v>70</v>
      </c>
      <c r="D5783" s="159">
        <v>12</v>
      </c>
      <c r="E5783" s="159">
        <v>11</v>
      </c>
      <c r="F5783" s="131"/>
      <c r="G5783" s="132"/>
      <c r="H5783" s="162" t="s">
        <v>29414</v>
      </c>
      <c r="I5783" s="158" t="s">
        <v>29415</v>
      </c>
      <c r="J5783" s="128"/>
      <c r="K5783" s="128"/>
      <c r="L5783" s="128"/>
      <c r="M5783" s="129"/>
      <c r="N5783" s="129"/>
      <c r="O5783" s="129"/>
    </row>
    <row r="5784" spans="1:15" ht="12.5">
      <c r="A5784" s="158" t="s">
        <v>29416</v>
      </c>
      <c r="B5784" s="159">
        <v>65</v>
      </c>
      <c r="C5784" s="159">
        <v>70</v>
      </c>
      <c r="D5784" s="159">
        <v>12</v>
      </c>
      <c r="E5784" s="159">
        <v>92</v>
      </c>
      <c r="F5784" s="131"/>
      <c r="G5784" s="132"/>
      <c r="H5784" s="162" t="s">
        <v>29417</v>
      </c>
      <c r="I5784" s="128"/>
      <c r="J5784" s="128"/>
      <c r="K5784" s="128"/>
      <c r="L5784" s="128"/>
      <c r="M5784" s="129"/>
      <c r="N5784" s="129"/>
      <c r="O5784" s="129"/>
    </row>
    <row r="5785" spans="1:15" ht="12.5">
      <c r="A5785" s="158" t="s">
        <v>33557</v>
      </c>
      <c r="B5785" s="159">
        <v>65</v>
      </c>
      <c r="C5785" s="159">
        <v>70</v>
      </c>
      <c r="D5785" s="159">
        <v>12</v>
      </c>
      <c r="E5785" s="159">
        <v>93</v>
      </c>
      <c r="F5785" s="131"/>
      <c r="G5785" s="132"/>
      <c r="H5785" s="162" t="s">
        <v>33558</v>
      </c>
      <c r="I5785" s="158" t="s">
        <v>29418</v>
      </c>
      <c r="J5785" s="128"/>
      <c r="K5785" s="128"/>
      <c r="L5785" s="128"/>
      <c r="M5785" s="129"/>
      <c r="N5785" s="129"/>
      <c r="O5785" s="129"/>
    </row>
    <row r="5786" spans="1:15" ht="12.5">
      <c r="A5786" s="158" t="s">
        <v>29419</v>
      </c>
      <c r="B5786" s="159">
        <v>65</v>
      </c>
      <c r="C5786" s="159">
        <v>70</v>
      </c>
      <c r="D5786" s="159">
        <v>12</v>
      </c>
      <c r="E5786" s="159">
        <v>94</v>
      </c>
      <c r="F5786" s="131"/>
      <c r="G5786" s="132"/>
      <c r="H5786" s="162" t="s">
        <v>29420</v>
      </c>
      <c r="I5786" s="128"/>
      <c r="J5786" s="128"/>
      <c r="K5786" s="128"/>
      <c r="L5786" s="128"/>
      <c r="M5786" s="129"/>
      <c r="N5786" s="129"/>
      <c r="O5786" s="129"/>
    </row>
    <row r="5787" spans="1:15" ht="12.5">
      <c r="A5787" s="158" t="s">
        <v>29421</v>
      </c>
      <c r="B5787" s="159">
        <v>65</v>
      </c>
      <c r="C5787" s="159">
        <v>70</v>
      </c>
      <c r="D5787" s="159">
        <v>13</v>
      </c>
      <c r="E5787" s="130"/>
      <c r="F5787" s="131"/>
      <c r="G5787" s="132"/>
      <c r="H5787" s="162" t="s">
        <v>29422</v>
      </c>
      <c r="I5787" s="128"/>
      <c r="J5787" s="128"/>
      <c r="K5787" s="128"/>
      <c r="L5787" s="128"/>
      <c r="M5787" s="129"/>
      <c r="N5787" s="129"/>
      <c r="O5787" s="129"/>
    </row>
    <row r="5788" spans="1:15" ht="12.5">
      <c r="A5788" s="158" t="s">
        <v>29423</v>
      </c>
      <c r="B5788" s="159">
        <v>65</v>
      </c>
      <c r="C5788" s="159">
        <v>70</v>
      </c>
      <c r="D5788" s="159">
        <v>13</v>
      </c>
      <c r="E5788" s="159">
        <v>8</v>
      </c>
      <c r="F5788" s="131"/>
      <c r="G5788" s="132"/>
      <c r="H5788" s="162" t="s">
        <v>29424</v>
      </c>
      <c r="I5788" s="158" t="s">
        <v>29425</v>
      </c>
      <c r="J5788" s="128"/>
      <c r="K5788" s="128"/>
      <c r="L5788" s="128"/>
      <c r="M5788" s="129"/>
      <c r="N5788" s="129"/>
      <c r="O5788" s="129"/>
    </row>
    <row r="5789" spans="1:15" ht="12.5">
      <c r="A5789" s="158" t="s">
        <v>29426</v>
      </c>
      <c r="B5789" s="159">
        <v>65</v>
      </c>
      <c r="C5789" s="159">
        <v>70</v>
      </c>
      <c r="D5789" s="159">
        <v>13</v>
      </c>
      <c r="E5789" s="159">
        <v>50</v>
      </c>
      <c r="F5789" s="131"/>
      <c r="G5789" s="132"/>
      <c r="H5789" s="162" t="s">
        <v>29427</v>
      </c>
      <c r="I5789" s="158" t="s">
        <v>29428</v>
      </c>
      <c r="J5789" s="128"/>
      <c r="K5789" s="128"/>
      <c r="L5789" s="128"/>
      <c r="M5789" s="129"/>
      <c r="N5789" s="129"/>
      <c r="O5789" s="129"/>
    </row>
    <row r="5790" spans="1:15" ht="12.5">
      <c r="A5790" s="158" t="s">
        <v>29429</v>
      </c>
      <c r="B5790" s="159">
        <v>65</v>
      </c>
      <c r="C5790" s="159">
        <v>70</v>
      </c>
      <c r="D5790" s="159">
        <v>13</v>
      </c>
      <c r="E5790" s="159">
        <v>72</v>
      </c>
      <c r="F5790" s="131"/>
      <c r="G5790" s="132"/>
      <c r="H5790" s="162" t="s">
        <v>29430</v>
      </c>
      <c r="I5790" s="158" t="s">
        <v>29431</v>
      </c>
      <c r="J5790" s="128"/>
      <c r="K5790" s="128"/>
      <c r="L5790" s="128"/>
      <c r="M5790" s="129"/>
      <c r="N5790" s="129"/>
      <c r="O5790" s="129"/>
    </row>
    <row r="5791" spans="1:15" ht="12.5">
      <c r="A5791" s="158" t="s">
        <v>29432</v>
      </c>
      <c r="B5791" s="159">
        <v>65</v>
      </c>
      <c r="C5791" s="159">
        <v>70</v>
      </c>
      <c r="D5791" s="159">
        <v>13</v>
      </c>
      <c r="E5791" s="159">
        <v>85</v>
      </c>
      <c r="F5791" s="131"/>
      <c r="G5791" s="132"/>
      <c r="H5791" s="162" t="s">
        <v>29433</v>
      </c>
      <c r="I5791" s="158" t="s">
        <v>29434</v>
      </c>
      <c r="J5791" s="128"/>
      <c r="K5791" s="128"/>
      <c r="L5791" s="128"/>
      <c r="M5791" s="129"/>
      <c r="N5791" s="129"/>
      <c r="O5791" s="129"/>
    </row>
    <row r="5792" spans="1:15" ht="12.5">
      <c r="A5792" s="158" t="s">
        <v>29435</v>
      </c>
      <c r="B5792" s="159">
        <v>65</v>
      </c>
      <c r="C5792" s="159">
        <v>70</v>
      </c>
      <c r="D5792" s="159">
        <v>15</v>
      </c>
      <c r="E5792" s="130"/>
      <c r="F5792" s="131"/>
      <c r="G5792" s="132"/>
      <c r="H5792" s="162" t="s">
        <v>33559</v>
      </c>
      <c r="I5792" s="128"/>
      <c r="J5792" s="128"/>
      <c r="K5792" s="128"/>
      <c r="L5792" s="128"/>
      <c r="M5792" s="129"/>
      <c r="N5792" s="129"/>
      <c r="O5792" s="129"/>
    </row>
    <row r="5793" spans="1:15" ht="12.5">
      <c r="A5793" s="158" t="s">
        <v>33560</v>
      </c>
      <c r="B5793" s="159">
        <v>65</v>
      </c>
      <c r="C5793" s="159">
        <v>70</v>
      </c>
      <c r="D5793" s="159">
        <v>15</v>
      </c>
      <c r="E5793" s="159">
        <v>2</v>
      </c>
      <c r="F5793" s="131"/>
      <c r="G5793" s="132"/>
      <c r="H5793" s="162" t="s">
        <v>33561</v>
      </c>
      <c r="I5793" s="128"/>
      <c r="J5793" s="128"/>
      <c r="K5793" s="128"/>
      <c r="L5793" s="128"/>
      <c r="M5793" s="129"/>
      <c r="N5793" s="129"/>
      <c r="O5793" s="129"/>
    </row>
    <row r="5794" spans="1:15" ht="12.5">
      <c r="A5794" s="158" t="s">
        <v>29437</v>
      </c>
      <c r="B5794" s="159">
        <v>65</v>
      </c>
      <c r="C5794" s="159">
        <v>70</v>
      </c>
      <c r="D5794" s="159">
        <v>15</v>
      </c>
      <c r="E5794" s="159">
        <v>3</v>
      </c>
      <c r="F5794" s="131"/>
      <c r="G5794" s="132"/>
      <c r="H5794" s="162" t="s">
        <v>29438</v>
      </c>
      <c r="I5794" s="128"/>
      <c r="J5794" s="128"/>
      <c r="K5794" s="128"/>
      <c r="L5794" s="128"/>
      <c r="M5794" s="129"/>
      <c r="N5794" s="129"/>
      <c r="O5794" s="129"/>
    </row>
    <row r="5795" spans="1:15" ht="12.5">
      <c r="A5795" s="158" t="s">
        <v>29439</v>
      </c>
      <c r="B5795" s="159">
        <v>65</v>
      </c>
      <c r="C5795" s="159">
        <v>70</v>
      </c>
      <c r="D5795" s="159">
        <v>15</v>
      </c>
      <c r="E5795" s="159">
        <v>4</v>
      </c>
      <c r="F5795" s="131"/>
      <c r="G5795" s="132"/>
      <c r="H5795" s="162" t="s">
        <v>29440</v>
      </c>
      <c r="I5795" s="158" t="s">
        <v>29441</v>
      </c>
      <c r="J5795" s="128"/>
      <c r="K5795" s="128"/>
      <c r="L5795" s="128"/>
      <c r="M5795" s="129"/>
      <c r="N5795" s="129"/>
      <c r="O5795" s="129"/>
    </row>
    <row r="5796" spans="1:15" ht="12.5">
      <c r="A5796" s="158" t="s">
        <v>29442</v>
      </c>
      <c r="B5796" s="159">
        <v>65</v>
      </c>
      <c r="C5796" s="159">
        <v>70</v>
      </c>
      <c r="D5796" s="159">
        <v>15</v>
      </c>
      <c r="E5796" s="159">
        <v>6</v>
      </c>
      <c r="F5796" s="131"/>
      <c r="G5796" s="132"/>
      <c r="H5796" s="162" t="s">
        <v>29443</v>
      </c>
      <c r="I5796" s="158" t="s">
        <v>29444</v>
      </c>
      <c r="J5796" s="128"/>
      <c r="K5796" s="128"/>
      <c r="L5796" s="128"/>
      <c r="M5796" s="129"/>
      <c r="N5796" s="129"/>
      <c r="O5796" s="129"/>
    </row>
    <row r="5797" spans="1:15" ht="12.5">
      <c r="A5797" s="158" t="s">
        <v>29445</v>
      </c>
      <c r="B5797" s="159">
        <v>65</v>
      </c>
      <c r="C5797" s="159">
        <v>70</v>
      </c>
      <c r="D5797" s="159">
        <v>15</v>
      </c>
      <c r="E5797" s="159">
        <v>13</v>
      </c>
      <c r="F5797" s="131"/>
      <c r="G5797" s="132"/>
      <c r="H5797" s="162" t="s">
        <v>29446</v>
      </c>
      <c r="I5797" s="158" t="s">
        <v>29447</v>
      </c>
      <c r="J5797" s="128"/>
      <c r="K5797" s="128"/>
      <c r="L5797" s="128"/>
      <c r="M5797" s="129"/>
      <c r="N5797" s="129"/>
      <c r="O5797" s="129"/>
    </row>
    <row r="5798" spans="1:15" ht="12.5">
      <c r="A5798" s="158" t="s">
        <v>29452</v>
      </c>
      <c r="B5798" s="159">
        <v>65</v>
      </c>
      <c r="C5798" s="159">
        <v>70</v>
      </c>
      <c r="D5798" s="159">
        <v>15</v>
      </c>
      <c r="E5798" s="159">
        <v>17</v>
      </c>
      <c r="F5798" s="131"/>
      <c r="G5798" s="132"/>
      <c r="H5798" s="162" t="s">
        <v>29453</v>
      </c>
      <c r="I5798" s="158" t="s">
        <v>29454</v>
      </c>
      <c r="J5798" s="128"/>
      <c r="K5798" s="128"/>
      <c r="L5798" s="128"/>
      <c r="M5798" s="129"/>
      <c r="N5798" s="129"/>
      <c r="O5798" s="129"/>
    </row>
    <row r="5799" spans="1:15" ht="12.5">
      <c r="A5799" s="158" t="s">
        <v>29457</v>
      </c>
      <c r="B5799" s="159">
        <v>65</v>
      </c>
      <c r="C5799" s="159">
        <v>70</v>
      </c>
      <c r="D5799" s="159">
        <v>15</v>
      </c>
      <c r="E5799" s="159">
        <v>32</v>
      </c>
      <c r="F5799" s="131"/>
      <c r="G5799" s="132"/>
      <c r="H5799" s="162" t="s">
        <v>29458</v>
      </c>
      <c r="I5799" s="128"/>
      <c r="J5799" s="128"/>
      <c r="K5799" s="128"/>
      <c r="L5799" s="128"/>
      <c r="M5799" s="129"/>
      <c r="N5799" s="129"/>
      <c r="O5799" s="129"/>
    </row>
    <row r="5800" spans="1:15" ht="12.5">
      <c r="A5800" s="158" t="s">
        <v>29459</v>
      </c>
      <c r="B5800" s="159">
        <v>65</v>
      </c>
      <c r="C5800" s="159">
        <v>70</v>
      </c>
      <c r="D5800" s="159">
        <v>15</v>
      </c>
      <c r="E5800" s="159">
        <v>50</v>
      </c>
      <c r="F5800" s="131"/>
      <c r="G5800" s="132"/>
      <c r="H5800" s="162" t="s">
        <v>29460</v>
      </c>
      <c r="I5800" s="158" t="s">
        <v>29461</v>
      </c>
      <c r="J5800" s="128"/>
      <c r="K5800" s="128"/>
      <c r="L5800" s="128"/>
      <c r="M5800" s="129"/>
      <c r="N5800" s="129"/>
      <c r="O5800" s="129"/>
    </row>
    <row r="5801" spans="1:15" ht="12.5">
      <c r="A5801" s="158" t="s">
        <v>29462</v>
      </c>
      <c r="B5801" s="159">
        <v>65</v>
      </c>
      <c r="C5801" s="159">
        <v>70</v>
      </c>
      <c r="D5801" s="159">
        <v>15</v>
      </c>
      <c r="E5801" s="159">
        <v>53</v>
      </c>
      <c r="F5801" s="131"/>
      <c r="G5801" s="132"/>
      <c r="H5801" s="162" t="s">
        <v>29463</v>
      </c>
      <c r="I5801" s="158" t="s">
        <v>29464</v>
      </c>
      <c r="J5801" s="128"/>
      <c r="K5801" s="128"/>
      <c r="L5801" s="128"/>
      <c r="M5801" s="129"/>
      <c r="N5801" s="129"/>
      <c r="O5801" s="129"/>
    </row>
    <row r="5802" spans="1:15" ht="12.5">
      <c r="A5802" s="158" t="s">
        <v>29465</v>
      </c>
      <c r="B5802" s="159">
        <v>65</v>
      </c>
      <c r="C5802" s="159">
        <v>70</v>
      </c>
      <c r="D5802" s="159">
        <v>15</v>
      </c>
      <c r="E5802" s="159">
        <v>58</v>
      </c>
      <c r="F5802" s="131"/>
      <c r="G5802" s="132"/>
      <c r="H5802" s="162" t="s">
        <v>29466</v>
      </c>
      <c r="I5802" s="158" t="s">
        <v>29467</v>
      </c>
      <c r="J5802" s="128"/>
      <c r="K5802" s="128"/>
      <c r="L5802" s="128"/>
      <c r="M5802" s="129"/>
      <c r="N5802" s="129"/>
      <c r="O5802" s="129"/>
    </row>
    <row r="5803" spans="1:15" ht="12.5">
      <c r="A5803" s="158" t="s">
        <v>29470</v>
      </c>
      <c r="B5803" s="159">
        <v>65</v>
      </c>
      <c r="C5803" s="159">
        <v>70</v>
      </c>
      <c r="D5803" s="159">
        <v>15</v>
      </c>
      <c r="E5803" s="159">
        <v>60</v>
      </c>
      <c r="F5803" s="131"/>
      <c r="G5803" s="132"/>
      <c r="H5803" s="162" t="s">
        <v>29471</v>
      </c>
      <c r="I5803" s="158" t="s">
        <v>29472</v>
      </c>
      <c r="J5803" s="128"/>
      <c r="K5803" s="128"/>
      <c r="L5803" s="128"/>
      <c r="M5803" s="129"/>
      <c r="N5803" s="129"/>
      <c r="O5803" s="129"/>
    </row>
    <row r="5804" spans="1:15" ht="12.5">
      <c r="A5804" s="158" t="s">
        <v>29473</v>
      </c>
      <c r="B5804" s="159">
        <v>65</v>
      </c>
      <c r="C5804" s="159">
        <v>70</v>
      </c>
      <c r="D5804" s="159">
        <v>15</v>
      </c>
      <c r="E5804" s="159">
        <v>62</v>
      </c>
      <c r="F5804" s="131"/>
      <c r="G5804" s="132"/>
      <c r="H5804" s="162" t="s">
        <v>29474</v>
      </c>
      <c r="I5804" s="128"/>
      <c r="J5804" s="128"/>
      <c r="K5804" s="128"/>
      <c r="L5804" s="128"/>
      <c r="M5804" s="129"/>
      <c r="N5804" s="129"/>
      <c r="O5804" s="129"/>
    </row>
    <row r="5805" spans="1:15" ht="12.5">
      <c r="A5805" s="158" t="s">
        <v>29477</v>
      </c>
      <c r="B5805" s="159">
        <v>65</v>
      </c>
      <c r="C5805" s="159">
        <v>70</v>
      </c>
      <c r="D5805" s="159">
        <v>15</v>
      </c>
      <c r="E5805" s="159">
        <v>70</v>
      </c>
      <c r="F5805" s="131"/>
      <c r="G5805" s="132"/>
      <c r="H5805" s="162" t="s">
        <v>29478</v>
      </c>
      <c r="I5805" s="128"/>
      <c r="J5805" s="128"/>
      <c r="K5805" s="128"/>
      <c r="L5805" s="128"/>
      <c r="M5805" s="129"/>
      <c r="N5805" s="129"/>
      <c r="O5805" s="129"/>
    </row>
    <row r="5806" spans="1:15" ht="12.5">
      <c r="A5806" s="158" t="s">
        <v>29479</v>
      </c>
      <c r="B5806" s="159">
        <v>65</v>
      </c>
      <c r="C5806" s="159">
        <v>70</v>
      </c>
      <c r="D5806" s="159">
        <v>15</v>
      </c>
      <c r="E5806" s="159">
        <v>80</v>
      </c>
      <c r="F5806" s="131"/>
      <c r="G5806" s="132"/>
      <c r="H5806" s="162" t="s">
        <v>29480</v>
      </c>
      <c r="I5806" s="158" t="s">
        <v>29481</v>
      </c>
      <c r="J5806" s="128"/>
      <c r="K5806" s="128"/>
      <c r="L5806" s="128"/>
      <c r="M5806" s="129"/>
      <c r="N5806" s="129"/>
      <c r="O5806" s="129"/>
    </row>
    <row r="5807" spans="1:15" ht="12.5">
      <c r="A5807" s="158" t="s">
        <v>29482</v>
      </c>
      <c r="B5807" s="159">
        <v>65</v>
      </c>
      <c r="C5807" s="159">
        <v>70</v>
      </c>
      <c r="D5807" s="159">
        <v>15</v>
      </c>
      <c r="E5807" s="159">
        <v>96</v>
      </c>
      <c r="F5807" s="131"/>
      <c r="G5807" s="132"/>
      <c r="H5807" s="162" t="s">
        <v>29483</v>
      </c>
      <c r="I5807" s="158" t="s">
        <v>29484</v>
      </c>
      <c r="J5807" s="128"/>
      <c r="K5807" s="128"/>
      <c r="L5807" s="128"/>
      <c r="M5807" s="129"/>
      <c r="N5807" s="129"/>
      <c r="O5807" s="129"/>
    </row>
    <row r="5808" spans="1:15" ht="12.5">
      <c r="A5808" s="158" t="s">
        <v>29485</v>
      </c>
      <c r="B5808" s="159">
        <v>65</v>
      </c>
      <c r="C5808" s="159">
        <v>70</v>
      </c>
      <c r="D5808" s="159">
        <v>16</v>
      </c>
      <c r="E5808" s="130"/>
      <c r="F5808" s="131"/>
      <c r="G5808" s="132"/>
      <c r="H5808" s="162" t="s">
        <v>29486</v>
      </c>
      <c r="I5808" s="128"/>
      <c r="J5808" s="128"/>
      <c r="K5808" s="128"/>
      <c r="L5808" s="128"/>
      <c r="M5808" s="129"/>
      <c r="N5808" s="129"/>
      <c r="O5808" s="129"/>
    </row>
    <row r="5809" spans="1:15" ht="12.5">
      <c r="A5809" s="158" t="s">
        <v>29487</v>
      </c>
      <c r="B5809" s="159">
        <v>65</v>
      </c>
      <c r="C5809" s="159">
        <v>70</v>
      </c>
      <c r="D5809" s="159">
        <v>16</v>
      </c>
      <c r="E5809" s="159">
        <v>3</v>
      </c>
      <c r="F5809" s="131"/>
      <c r="G5809" s="132"/>
      <c r="H5809" s="162" t="s">
        <v>29488</v>
      </c>
      <c r="I5809" s="128"/>
      <c r="J5809" s="128"/>
      <c r="K5809" s="128"/>
      <c r="L5809" s="128"/>
      <c r="M5809" s="129"/>
      <c r="N5809" s="129"/>
      <c r="O5809" s="129"/>
    </row>
    <row r="5810" spans="1:15" ht="12.5">
      <c r="A5810" s="158" t="s">
        <v>29489</v>
      </c>
      <c r="B5810" s="159">
        <v>65</v>
      </c>
      <c r="C5810" s="159">
        <v>70</v>
      </c>
      <c r="D5810" s="159">
        <v>16</v>
      </c>
      <c r="E5810" s="159">
        <v>8</v>
      </c>
      <c r="F5810" s="131"/>
      <c r="G5810" s="132"/>
      <c r="H5810" s="162" t="s">
        <v>29490</v>
      </c>
      <c r="I5810" s="158" t="s">
        <v>29491</v>
      </c>
      <c r="J5810" s="128"/>
      <c r="K5810" s="128"/>
      <c r="L5810" s="128"/>
      <c r="M5810" s="129"/>
      <c r="N5810" s="129"/>
      <c r="O5810" s="129"/>
    </row>
    <row r="5811" spans="1:15" ht="12.5">
      <c r="A5811" s="158" t="s">
        <v>29492</v>
      </c>
      <c r="B5811" s="159">
        <v>65</v>
      </c>
      <c r="C5811" s="159">
        <v>70</v>
      </c>
      <c r="D5811" s="159">
        <v>16</v>
      </c>
      <c r="E5811" s="159">
        <v>10</v>
      </c>
      <c r="F5811" s="131"/>
      <c r="G5811" s="132"/>
      <c r="H5811" s="162" t="s">
        <v>29493</v>
      </c>
      <c r="I5811" s="128"/>
      <c r="J5811" s="128"/>
      <c r="K5811" s="128"/>
      <c r="L5811" s="128"/>
      <c r="M5811" s="129"/>
      <c r="N5811" s="129"/>
      <c r="O5811" s="129"/>
    </row>
    <row r="5812" spans="1:15" ht="12.5">
      <c r="A5812" s="158" t="s">
        <v>29494</v>
      </c>
      <c r="B5812" s="159">
        <v>65</v>
      </c>
      <c r="C5812" s="159">
        <v>70</v>
      </c>
      <c r="D5812" s="159">
        <v>16</v>
      </c>
      <c r="E5812" s="159">
        <v>12</v>
      </c>
      <c r="F5812" s="131"/>
      <c r="G5812" s="132"/>
      <c r="H5812" s="162" t="s">
        <v>29495</v>
      </c>
      <c r="I5812" s="158" t="s">
        <v>29496</v>
      </c>
      <c r="J5812" s="128"/>
      <c r="K5812" s="128"/>
      <c r="L5812" s="128"/>
      <c r="M5812" s="129"/>
      <c r="N5812" s="129"/>
      <c r="O5812" s="129"/>
    </row>
    <row r="5813" spans="1:15" ht="12.5">
      <c r="A5813" s="158" t="s">
        <v>29497</v>
      </c>
      <c r="B5813" s="159">
        <v>65</v>
      </c>
      <c r="C5813" s="159">
        <v>70</v>
      </c>
      <c r="D5813" s="159">
        <v>16</v>
      </c>
      <c r="E5813" s="159">
        <v>15</v>
      </c>
      <c r="F5813" s="131"/>
      <c r="G5813" s="132"/>
      <c r="H5813" s="162" t="s">
        <v>29498</v>
      </c>
      <c r="I5813" s="128"/>
      <c r="J5813" s="128"/>
      <c r="K5813" s="128"/>
      <c r="L5813" s="128"/>
      <c r="M5813" s="129"/>
      <c r="N5813" s="129"/>
      <c r="O5813" s="129"/>
    </row>
    <row r="5814" spans="1:15" ht="12.5">
      <c r="A5814" s="158" t="s">
        <v>29499</v>
      </c>
      <c r="B5814" s="159">
        <v>65</v>
      </c>
      <c r="C5814" s="159">
        <v>70</v>
      </c>
      <c r="D5814" s="159">
        <v>16</v>
      </c>
      <c r="E5814" s="159">
        <v>16</v>
      </c>
      <c r="F5814" s="131"/>
      <c r="G5814" s="132"/>
      <c r="H5814" s="162" t="s">
        <v>29500</v>
      </c>
      <c r="I5814" s="128"/>
      <c r="J5814" s="128"/>
      <c r="K5814" s="128"/>
      <c r="L5814" s="128"/>
      <c r="M5814" s="129"/>
      <c r="N5814" s="129"/>
      <c r="O5814" s="129"/>
    </row>
    <row r="5815" spans="1:15" ht="12.5">
      <c r="A5815" s="158" t="s">
        <v>29501</v>
      </c>
      <c r="B5815" s="159">
        <v>65</v>
      </c>
      <c r="C5815" s="159">
        <v>70</v>
      </c>
      <c r="D5815" s="159">
        <v>16</v>
      </c>
      <c r="E5815" s="159">
        <v>17</v>
      </c>
      <c r="F5815" s="131"/>
      <c r="G5815" s="132"/>
      <c r="H5815" s="162" t="s">
        <v>29502</v>
      </c>
      <c r="I5815" s="128"/>
      <c r="J5815" s="128"/>
      <c r="K5815" s="128"/>
      <c r="L5815" s="128"/>
      <c r="M5815" s="129"/>
      <c r="N5815" s="129"/>
      <c r="O5815" s="129"/>
    </row>
    <row r="5816" spans="1:15" ht="12.5">
      <c r="A5816" s="158" t="s">
        <v>29503</v>
      </c>
      <c r="B5816" s="159">
        <v>65</v>
      </c>
      <c r="C5816" s="159">
        <v>70</v>
      </c>
      <c r="D5816" s="159">
        <v>16</v>
      </c>
      <c r="E5816" s="159">
        <v>20</v>
      </c>
      <c r="F5816" s="131"/>
      <c r="G5816" s="132"/>
      <c r="H5816" s="162" t="s">
        <v>29504</v>
      </c>
      <c r="I5816" s="158" t="s">
        <v>29505</v>
      </c>
      <c r="J5816" s="128"/>
      <c r="K5816" s="128"/>
      <c r="L5816" s="128"/>
      <c r="M5816" s="129"/>
      <c r="N5816" s="129"/>
      <c r="O5816" s="129"/>
    </row>
    <row r="5817" spans="1:15" ht="12.5">
      <c r="A5817" s="158" t="s">
        <v>29506</v>
      </c>
      <c r="B5817" s="159">
        <v>65</v>
      </c>
      <c r="C5817" s="159">
        <v>70</v>
      </c>
      <c r="D5817" s="159">
        <v>16</v>
      </c>
      <c r="E5817" s="159">
        <v>28</v>
      </c>
      <c r="F5817" s="131"/>
      <c r="G5817" s="132"/>
      <c r="H5817" s="162" t="s">
        <v>29507</v>
      </c>
      <c r="I5817" s="128"/>
      <c r="J5817" s="128"/>
      <c r="K5817" s="128"/>
      <c r="L5817" s="128"/>
      <c r="M5817" s="129"/>
      <c r="N5817" s="129"/>
      <c r="O5817" s="129"/>
    </row>
    <row r="5818" spans="1:15" ht="12.5">
      <c r="A5818" s="158" t="s">
        <v>29508</v>
      </c>
      <c r="B5818" s="159">
        <v>65</v>
      </c>
      <c r="C5818" s="159">
        <v>70</v>
      </c>
      <c r="D5818" s="159">
        <v>16</v>
      </c>
      <c r="E5818" s="159">
        <v>34</v>
      </c>
      <c r="F5818" s="131"/>
      <c r="G5818" s="132"/>
      <c r="H5818" s="162" t="s">
        <v>29509</v>
      </c>
      <c r="I5818" s="158" t="s">
        <v>29510</v>
      </c>
      <c r="J5818" s="128"/>
      <c r="K5818" s="128"/>
      <c r="L5818" s="128"/>
      <c r="M5818" s="129"/>
      <c r="N5818" s="129"/>
      <c r="O5818" s="129"/>
    </row>
    <row r="5819" spans="1:15" ht="12.5">
      <c r="A5819" s="158" t="s">
        <v>29511</v>
      </c>
      <c r="B5819" s="159">
        <v>65</v>
      </c>
      <c r="C5819" s="159">
        <v>70</v>
      </c>
      <c r="D5819" s="159">
        <v>16</v>
      </c>
      <c r="E5819" s="159">
        <v>57</v>
      </c>
      <c r="F5819" s="131"/>
      <c r="G5819" s="132"/>
      <c r="H5819" s="162" t="s">
        <v>29512</v>
      </c>
      <c r="I5819" s="158" t="s">
        <v>29513</v>
      </c>
      <c r="J5819" s="128"/>
      <c r="K5819" s="128"/>
      <c r="L5819" s="128"/>
      <c r="M5819" s="129"/>
      <c r="N5819" s="129"/>
      <c r="O5819" s="129"/>
    </row>
    <row r="5820" spans="1:15" ht="12.5">
      <c r="A5820" s="158" t="s">
        <v>29514</v>
      </c>
      <c r="B5820" s="159">
        <v>65</v>
      </c>
      <c r="C5820" s="159">
        <v>70</v>
      </c>
      <c r="D5820" s="159">
        <v>36</v>
      </c>
      <c r="E5820" s="130"/>
      <c r="F5820" s="131"/>
      <c r="G5820" s="132"/>
      <c r="H5820" s="162" t="s">
        <v>29515</v>
      </c>
      <c r="I5820" s="128"/>
      <c r="J5820" s="128"/>
      <c r="K5820" s="128"/>
      <c r="L5820" s="128"/>
      <c r="M5820" s="129"/>
      <c r="N5820" s="129"/>
      <c r="O5820" s="129"/>
    </row>
    <row r="5821" spans="1:15" ht="12.5">
      <c r="A5821" s="158" t="s">
        <v>33562</v>
      </c>
      <c r="B5821" s="159">
        <v>65</v>
      </c>
      <c r="C5821" s="159">
        <v>70</v>
      </c>
      <c r="D5821" s="159">
        <v>36</v>
      </c>
      <c r="E5821" s="159">
        <v>33</v>
      </c>
      <c r="F5821" s="131"/>
      <c r="G5821" s="132"/>
      <c r="H5821" s="162" t="s">
        <v>33563</v>
      </c>
      <c r="I5821" s="128"/>
      <c r="J5821" s="128"/>
      <c r="K5821" s="128"/>
      <c r="L5821" s="128"/>
      <c r="M5821" s="129"/>
      <c r="N5821" s="129"/>
      <c r="O5821" s="129"/>
    </row>
    <row r="5822" spans="1:15" ht="12.5">
      <c r="A5822" s="158" t="s">
        <v>29516</v>
      </c>
      <c r="B5822" s="159">
        <v>65</v>
      </c>
      <c r="C5822" s="159">
        <v>70</v>
      </c>
      <c r="D5822" s="159">
        <v>36</v>
      </c>
      <c r="E5822" s="159">
        <v>34</v>
      </c>
      <c r="F5822" s="131"/>
      <c r="G5822" s="132"/>
      <c r="H5822" s="162" t="s">
        <v>29517</v>
      </c>
      <c r="I5822" s="158" t="s">
        <v>29518</v>
      </c>
      <c r="J5822" s="128"/>
      <c r="K5822" s="128"/>
      <c r="L5822" s="128"/>
      <c r="M5822" s="129"/>
      <c r="N5822" s="129"/>
      <c r="O5822" s="129"/>
    </row>
    <row r="5823" spans="1:15" ht="12.5">
      <c r="A5823" s="158" t="s">
        <v>29519</v>
      </c>
      <c r="B5823" s="159">
        <v>65</v>
      </c>
      <c r="C5823" s="159">
        <v>70</v>
      </c>
      <c r="D5823" s="159">
        <v>36</v>
      </c>
      <c r="E5823" s="159">
        <v>35</v>
      </c>
      <c r="F5823" s="131"/>
      <c r="G5823" s="132"/>
      <c r="H5823" s="162" t="s">
        <v>29520</v>
      </c>
      <c r="I5823" s="158" t="s">
        <v>29521</v>
      </c>
      <c r="J5823" s="128"/>
      <c r="K5823" s="128"/>
      <c r="L5823" s="128"/>
      <c r="M5823" s="129"/>
      <c r="N5823" s="129"/>
      <c r="O5823" s="129"/>
    </row>
    <row r="5824" spans="1:15" ht="12.5">
      <c r="A5824" s="158" t="s">
        <v>29522</v>
      </c>
      <c r="B5824" s="159">
        <v>65</v>
      </c>
      <c r="C5824" s="159">
        <v>70</v>
      </c>
      <c r="D5824" s="159">
        <v>36</v>
      </c>
      <c r="E5824" s="159">
        <v>36</v>
      </c>
      <c r="F5824" s="131"/>
      <c r="G5824" s="132"/>
      <c r="H5824" s="162" t="s">
        <v>29523</v>
      </c>
      <c r="I5824" s="158" t="s">
        <v>29524</v>
      </c>
      <c r="J5824" s="128"/>
      <c r="K5824" s="128"/>
      <c r="L5824" s="128"/>
      <c r="M5824" s="129"/>
      <c r="N5824" s="129"/>
      <c r="O5824" s="129"/>
    </row>
    <row r="5825" spans="1:15" ht="12.5">
      <c r="A5825" s="158" t="s">
        <v>29525</v>
      </c>
      <c r="B5825" s="159">
        <v>65</v>
      </c>
      <c r="C5825" s="159">
        <v>70</v>
      </c>
      <c r="D5825" s="159">
        <v>36</v>
      </c>
      <c r="E5825" s="159">
        <v>37</v>
      </c>
      <c r="F5825" s="131"/>
      <c r="G5825" s="132"/>
      <c r="H5825" s="162" t="s">
        <v>29526</v>
      </c>
      <c r="I5825" s="158" t="s">
        <v>29527</v>
      </c>
      <c r="J5825" s="128"/>
      <c r="K5825" s="128"/>
      <c r="L5825" s="128"/>
      <c r="M5825" s="129"/>
      <c r="N5825" s="129"/>
      <c r="O5825" s="129"/>
    </row>
    <row r="5826" spans="1:15" ht="12.5">
      <c r="A5826" s="158" t="s">
        <v>29528</v>
      </c>
      <c r="B5826" s="159">
        <v>65</v>
      </c>
      <c r="C5826" s="159">
        <v>70</v>
      </c>
      <c r="D5826" s="159">
        <v>36</v>
      </c>
      <c r="E5826" s="159">
        <v>38</v>
      </c>
      <c r="F5826" s="131"/>
      <c r="G5826" s="132"/>
      <c r="H5826" s="162" t="s">
        <v>29529</v>
      </c>
      <c r="I5826" s="158" t="s">
        <v>29530</v>
      </c>
      <c r="J5826" s="128"/>
      <c r="K5826" s="128"/>
      <c r="L5826" s="128"/>
      <c r="M5826" s="129"/>
      <c r="N5826" s="129"/>
      <c r="O5826" s="129"/>
    </row>
    <row r="5827" spans="1:15" ht="12.5">
      <c r="A5827" s="158" t="s">
        <v>29531</v>
      </c>
      <c r="B5827" s="159">
        <v>65</v>
      </c>
      <c r="C5827" s="159">
        <v>70</v>
      </c>
      <c r="D5827" s="159">
        <v>36</v>
      </c>
      <c r="E5827" s="159">
        <v>39</v>
      </c>
      <c r="F5827" s="131"/>
      <c r="G5827" s="132"/>
      <c r="H5827" s="162" t="s">
        <v>29532</v>
      </c>
      <c r="I5827" s="158" t="s">
        <v>29533</v>
      </c>
      <c r="J5827" s="128"/>
      <c r="K5827" s="128"/>
      <c r="L5827" s="128"/>
      <c r="M5827" s="129"/>
      <c r="N5827" s="129"/>
      <c r="O5827" s="129"/>
    </row>
    <row r="5828" spans="1:15" ht="12.5">
      <c r="A5828" s="158" t="s">
        <v>29534</v>
      </c>
      <c r="B5828" s="159">
        <v>65</v>
      </c>
      <c r="C5828" s="159">
        <v>70</v>
      </c>
      <c r="D5828" s="159">
        <v>36</v>
      </c>
      <c r="E5828" s="159">
        <v>40</v>
      </c>
      <c r="F5828" s="131"/>
      <c r="G5828" s="132"/>
      <c r="H5828" s="162" t="s">
        <v>29535</v>
      </c>
      <c r="I5828" s="158" t="s">
        <v>29536</v>
      </c>
      <c r="J5828" s="128"/>
      <c r="K5828" s="128"/>
      <c r="L5828" s="128"/>
      <c r="M5828" s="129"/>
      <c r="N5828" s="129"/>
      <c r="O5828" s="129"/>
    </row>
    <row r="5829" spans="1:15" ht="12.5">
      <c r="A5829" s="158" t="s">
        <v>29537</v>
      </c>
      <c r="B5829" s="159">
        <v>65</v>
      </c>
      <c r="C5829" s="159">
        <v>70</v>
      </c>
      <c r="D5829" s="159">
        <v>42</v>
      </c>
      <c r="E5829" s="130"/>
      <c r="F5829" s="131"/>
      <c r="G5829" s="132"/>
      <c r="H5829" s="162" t="s">
        <v>29538</v>
      </c>
      <c r="I5829" s="128"/>
      <c r="J5829" s="128"/>
      <c r="K5829" s="128"/>
      <c r="L5829" s="128"/>
      <c r="M5829" s="129"/>
      <c r="N5829" s="129"/>
      <c r="O5829" s="129"/>
    </row>
    <row r="5830" spans="1:15" ht="12.5">
      <c r="A5830" s="158" t="s">
        <v>29539</v>
      </c>
      <c r="B5830" s="159">
        <v>65</v>
      </c>
      <c r="C5830" s="159">
        <v>70</v>
      </c>
      <c r="D5830" s="159">
        <v>42</v>
      </c>
      <c r="E5830" s="159">
        <v>26</v>
      </c>
      <c r="F5830" s="131"/>
      <c r="G5830" s="132"/>
      <c r="H5830" s="162" t="s">
        <v>29540</v>
      </c>
      <c r="I5830" s="128"/>
      <c r="J5830" s="128"/>
      <c r="K5830" s="128"/>
      <c r="L5830" s="128"/>
      <c r="M5830" s="129"/>
      <c r="N5830" s="129"/>
      <c r="O5830" s="129"/>
    </row>
    <row r="5831" spans="1:15" ht="12.5">
      <c r="A5831" s="158" t="s">
        <v>29541</v>
      </c>
      <c r="B5831" s="159">
        <v>65</v>
      </c>
      <c r="C5831" s="159">
        <v>70</v>
      </c>
      <c r="D5831" s="159">
        <v>42</v>
      </c>
      <c r="E5831" s="159">
        <v>36</v>
      </c>
      <c r="F5831" s="131"/>
      <c r="G5831" s="132"/>
      <c r="H5831" s="162" t="s">
        <v>29542</v>
      </c>
      <c r="I5831" s="128"/>
      <c r="J5831" s="128"/>
      <c r="K5831" s="128"/>
      <c r="L5831" s="128"/>
      <c r="M5831" s="129"/>
      <c r="N5831" s="129"/>
      <c r="O5831" s="129"/>
    </row>
    <row r="5832" spans="1:15" ht="12.5">
      <c r="A5832" s="158" t="s">
        <v>29543</v>
      </c>
      <c r="B5832" s="159">
        <v>65</v>
      </c>
      <c r="C5832" s="159">
        <v>70</v>
      </c>
      <c r="D5832" s="159">
        <v>42</v>
      </c>
      <c r="E5832" s="159">
        <v>46</v>
      </c>
      <c r="F5832" s="131"/>
      <c r="G5832" s="132"/>
      <c r="H5832" s="162" t="s">
        <v>29544</v>
      </c>
      <c r="I5832" s="128"/>
      <c r="J5832" s="128"/>
      <c r="K5832" s="128"/>
      <c r="L5832" s="128"/>
      <c r="M5832" s="129"/>
      <c r="N5832" s="129"/>
      <c r="O5832" s="129"/>
    </row>
    <row r="5833" spans="1:15" ht="12.5">
      <c r="A5833" s="158" t="s">
        <v>29545</v>
      </c>
      <c r="B5833" s="159">
        <v>65</v>
      </c>
      <c r="C5833" s="159">
        <v>70</v>
      </c>
      <c r="D5833" s="159">
        <v>42</v>
      </c>
      <c r="E5833" s="159">
        <v>47</v>
      </c>
      <c r="F5833" s="131"/>
      <c r="G5833" s="132"/>
      <c r="H5833" s="162" t="s">
        <v>29546</v>
      </c>
      <c r="I5833" s="128"/>
      <c r="J5833" s="128"/>
      <c r="K5833" s="128"/>
      <c r="L5833" s="128"/>
      <c r="M5833" s="129"/>
      <c r="N5833" s="129"/>
      <c r="O5833" s="129"/>
    </row>
    <row r="5834" spans="1:15" ht="12.5">
      <c r="A5834" s="158" t="s">
        <v>29547</v>
      </c>
      <c r="B5834" s="159">
        <v>65</v>
      </c>
      <c r="C5834" s="159">
        <v>70</v>
      </c>
      <c r="D5834" s="159">
        <v>42</v>
      </c>
      <c r="E5834" s="159">
        <v>48</v>
      </c>
      <c r="F5834" s="131"/>
      <c r="G5834" s="132"/>
      <c r="H5834" s="162" t="s">
        <v>29548</v>
      </c>
      <c r="I5834" s="128"/>
      <c r="J5834" s="128"/>
      <c r="K5834" s="128"/>
      <c r="L5834" s="128"/>
      <c r="M5834" s="129"/>
      <c r="N5834" s="129"/>
      <c r="O5834" s="129"/>
    </row>
    <row r="5835" spans="1:15" ht="12.5">
      <c r="A5835" s="158" t="s">
        <v>29549</v>
      </c>
      <c r="B5835" s="159">
        <v>65</v>
      </c>
      <c r="C5835" s="159">
        <v>70</v>
      </c>
      <c r="D5835" s="159">
        <v>42</v>
      </c>
      <c r="E5835" s="159">
        <v>77</v>
      </c>
      <c r="F5835" s="131"/>
      <c r="G5835" s="132"/>
      <c r="H5835" s="162" t="s">
        <v>29550</v>
      </c>
      <c r="I5835" s="128"/>
      <c r="J5835" s="128"/>
      <c r="K5835" s="128"/>
      <c r="L5835" s="128"/>
      <c r="M5835" s="129"/>
      <c r="N5835" s="129"/>
      <c r="O5835" s="129"/>
    </row>
    <row r="5836" spans="1:15" ht="12.5">
      <c r="A5836" s="158" t="s">
        <v>29551</v>
      </c>
      <c r="B5836" s="159">
        <v>65</v>
      </c>
      <c r="C5836" s="159">
        <v>70</v>
      </c>
      <c r="D5836" s="159">
        <v>42</v>
      </c>
      <c r="E5836" s="159">
        <v>82</v>
      </c>
      <c r="F5836" s="131"/>
      <c r="G5836" s="132"/>
      <c r="H5836" s="162" t="s">
        <v>29552</v>
      </c>
      <c r="I5836" s="128"/>
      <c r="J5836" s="128"/>
      <c r="K5836" s="128"/>
      <c r="L5836" s="128"/>
      <c r="M5836" s="129"/>
      <c r="N5836" s="129"/>
      <c r="O5836" s="129"/>
    </row>
    <row r="5837" spans="1:15" ht="12.5">
      <c r="A5837" s="158" t="s">
        <v>29553</v>
      </c>
      <c r="B5837" s="159">
        <v>65</v>
      </c>
      <c r="C5837" s="159">
        <v>70</v>
      </c>
      <c r="D5837" s="159">
        <v>42</v>
      </c>
      <c r="E5837" s="159">
        <v>83</v>
      </c>
      <c r="F5837" s="131"/>
      <c r="G5837" s="132"/>
      <c r="H5837" s="162" t="s">
        <v>29554</v>
      </c>
      <c r="I5837" s="128"/>
      <c r="J5837" s="128"/>
      <c r="K5837" s="128"/>
      <c r="L5837" s="128"/>
      <c r="M5837" s="129"/>
      <c r="N5837" s="129"/>
      <c r="O5837" s="129"/>
    </row>
    <row r="5838" spans="1:15" ht="12.5">
      <c r="A5838" s="158" t="s">
        <v>29555</v>
      </c>
      <c r="B5838" s="159">
        <v>65</v>
      </c>
      <c r="C5838" s="159">
        <v>70</v>
      </c>
      <c r="D5838" s="159">
        <v>42</v>
      </c>
      <c r="E5838" s="159">
        <v>84</v>
      </c>
      <c r="F5838" s="131"/>
      <c r="G5838" s="132"/>
      <c r="H5838" s="162" t="s">
        <v>29556</v>
      </c>
      <c r="I5838" s="128"/>
      <c r="J5838" s="128"/>
      <c r="K5838" s="128"/>
      <c r="L5838" s="128"/>
      <c r="M5838" s="129"/>
      <c r="N5838" s="129"/>
      <c r="O5838" s="129"/>
    </row>
    <row r="5839" spans="1:15" ht="12.5">
      <c r="A5839" s="158" t="s">
        <v>29557</v>
      </c>
      <c r="B5839" s="159">
        <v>65</v>
      </c>
      <c r="C5839" s="159">
        <v>70</v>
      </c>
      <c r="D5839" s="159">
        <v>42</v>
      </c>
      <c r="E5839" s="159">
        <v>85</v>
      </c>
      <c r="F5839" s="131"/>
      <c r="G5839" s="132"/>
      <c r="H5839" s="162" t="s">
        <v>29558</v>
      </c>
      <c r="I5839" s="128"/>
      <c r="J5839" s="128"/>
      <c r="K5839" s="128"/>
      <c r="L5839" s="128"/>
      <c r="M5839" s="129"/>
      <c r="N5839" s="129"/>
      <c r="O5839" s="129"/>
    </row>
    <row r="5840" spans="1:15" ht="12.5">
      <c r="A5840" s="158" t="s">
        <v>29559</v>
      </c>
      <c r="B5840" s="159">
        <v>65</v>
      </c>
      <c r="C5840" s="159">
        <v>70</v>
      </c>
      <c r="D5840" s="159">
        <v>42</v>
      </c>
      <c r="E5840" s="159">
        <v>86</v>
      </c>
      <c r="F5840" s="131"/>
      <c r="G5840" s="132"/>
      <c r="H5840" s="162" t="s">
        <v>29560</v>
      </c>
      <c r="I5840" s="128"/>
      <c r="J5840" s="128"/>
      <c r="K5840" s="128"/>
      <c r="L5840" s="128"/>
      <c r="M5840" s="129"/>
      <c r="N5840" s="129"/>
      <c r="O5840" s="129"/>
    </row>
    <row r="5841" spans="1:15" ht="12.5">
      <c r="A5841" s="158" t="s">
        <v>29561</v>
      </c>
      <c r="B5841" s="159">
        <v>65</v>
      </c>
      <c r="C5841" s="159">
        <v>70</v>
      </c>
      <c r="D5841" s="159">
        <v>46</v>
      </c>
      <c r="E5841" s="130"/>
      <c r="F5841" s="131"/>
      <c r="G5841" s="132"/>
      <c r="H5841" s="162" t="s">
        <v>29562</v>
      </c>
      <c r="I5841" s="128"/>
      <c r="J5841" s="128"/>
      <c r="K5841" s="128"/>
      <c r="L5841" s="128"/>
      <c r="M5841" s="129"/>
      <c r="N5841" s="129"/>
      <c r="O5841" s="129"/>
    </row>
    <row r="5842" spans="1:15" ht="12.5">
      <c r="A5842" s="158" t="s">
        <v>29563</v>
      </c>
      <c r="B5842" s="159">
        <v>65</v>
      </c>
      <c r="C5842" s="159">
        <v>70</v>
      </c>
      <c r="D5842" s="159">
        <v>46</v>
      </c>
      <c r="E5842" s="159">
        <v>1</v>
      </c>
      <c r="F5842" s="131"/>
      <c r="G5842" s="132"/>
      <c r="H5842" s="162" t="s">
        <v>29564</v>
      </c>
      <c r="I5842" s="158" t="s">
        <v>29565</v>
      </c>
      <c r="J5842" s="128"/>
      <c r="K5842" s="128"/>
      <c r="L5842" s="128"/>
      <c r="M5842" s="129"/>
      <c r="N5842" s="129"/>
      <c r="O5842" s="129"/>
    </row>
    <row r="5843" spans="1:15" ht="12.5">
      <c r="A5843" s="158" t="s">
        <v>29566</v>
      </c>
      <c r="B5843" s="159">
        <v>65</v>
      </c>
      <c r="C5843" s="159">
        <v>70</v>
      </c>
      <c r="D5843" s="159">
        <v>46</v>
      </c>
      <c r="E5843" s="159">
        <v>3</v>
      </c>
      <c r="F5843" s="131"/>
      <c r="G5843" s="132"/>
      <c r="H5843" s="162" t="s">
        <v>29567</v>
      </c>
      <c r="I5843" s="158" t="s">
        <v>29568</v>
      </c>
      <c r="J5843" s="128"/>
      <c r="K5843" s="128"/>
      <c r="L5843" s="128"/>
      <c r="M5843" s="129"/>
      <c r="N5843" s="129"/>
      <c r="O5843" s="129"/>
    </row>
    <row r="5844" spans="1:15" ht="12.5">
      <c r="A5844" s="158" t="s">
        <v>29569</v>
      </c>
      <c r="B5844" s="159">
        <v>65</v>
      </c>
      <c r="C5844" s="159">
        <v>70</v>
      </c>
      <c r="D5844" s="159">
        <v>46</v>
      </c>
      <c r="E5844" s="159">
        <v>4</v>
      </c>
      <c r="F5844" s="131"/>
      <c r="G5844" s="132"/>
      <c r="H5844" s="162" t="s">
        <v>29570</v>
      </c>
      <c r="I5844" s="158" t="s">
        <v>29571</v>
      </c>
      <c r="J5844" s="128"/>
      <c r="K5844" s="128"/>
      <c r="L5844" s="128"/>
      <c r="M5844" s="129"/>
      <c r="N5844" s="129"/>
      <c r="O5844" s="129"/>
    </row>
    <row r="5845" spans="1:15" ht="12.5">
      <c r="A5845" s="158" t="s">
        <v>29572</v>
      </c>
      <c r="B5845" s="159">
        <v>65</v>
      </c>
      <c r="C5845" s="159">
        <v>70</v>
      </c>
      <c r="D5845" s="159">
        <v>46</v>
      </c>
      <c r="E5845" s="159">
        <v>14</v>
      </c>
      <c r="F5845" s="131"/>
      <c r="G5845" s="132"/>
      <c r="H5845" s="162" t="s">
        <v>29573</v>
      </c>
      <c r="I5845" s="158" t="s">
        <v>29574</v>
      </c>
      <c r="J5845" s="128"/>
      <c r="K5845" s="128"/>
      <c r="L5845" s="128"/>
      <c r="M5845" s="129"/>
      <c r="N5845" s="129"/>
      <c r="O5845" s="129"/>
    </row>
    <row r="5846" spans="1:15" ht="12.5">
      <c r="A5846" s="158" t="s">
        <v>29575</v>
      </c>
      <c r="B5846" s="159">
        <v>65</v>
      </c>
      <c r="C5846" s="159">
        <v>70</v>
      </c>
      <c r="D5846" s="159">
        <v>46</v>
      </c>
      <c r="E5846" s="159">
        <v>15</v>
      </c>
      <c r="F5846" s="131"/>
      <c r="G5846" s="132"/>
      <c r="H5846" s="162" t="s">
        <v>29576</v>
      </c>
      <c r="I5846" s="158" t="s">
        <v>29577</v>
      </c>
      <c r="J5846" s="128"/>
      <c r="K5846" s="128"/>
      <c r="L5846" s="128"/>
      <c r="M5846" s="129"/>
      <c r="N5846" s="129"/>
      <c r="O5846" s="129"/>
    </row>
    <row r="5847" spans="1:15" ht="12.5">
      <c r="A5847" s="158" t="s">
        <v>29578</v>
      </c>
      <c r="B5847" s="159">
        <v>65</v>
      </c>
      <c r="C5847" s="159">
        <v>70</v>
      </c>
      <c r="D5847" s="159">
        <v>46</v>
      </c>
      <c r="E5847" s="159">
        <v>24</v>
      </c>
      <c r="F5847" s="131"/>
      <c r="G5847" s="132"/>
      <c r="H5847" s="162" t="s">
        <v>29579</v>
      </c>
      <c r="I5847" s="158" t="s">
        <v>29580</v>
      </c>
      <c r="J5847" s="128"/>
      <c r="K5847" s="128"/>
      <c r="L5847" s="128"/>
      <c r="M5847" s="129"/>
      <c r="N5847" s="129"/>
      <c r="O5847" s="129"/>
    </row>
    <row r="5848" spans="1:15" ht="12.5">
      <c r="A5848" s="158" t="s">
        <v>29581</v>
      </c>
      <c r="B5848" s="159">
        <v>65</v>
      </c>
      <c r="C5848" s="159">
        <v>70</v>
      </c>
      <c r="D5848" s="159">
        <v>46</v>
      </c>
      <c r="E5848" s="159">
        <v>25</v>
      </c>
      <c r="F5848" s="131"/>
      <c r="G5848" s="132"/>
      <c r="H5848" s="162" t="s">
        <v>29582</v>
      </c>
      <c r="I5848" s="158" t="s">
        <v>29583</v>
      </c>
      <c r="J5848" s="128"/>
      <c r="K5848" s="128"/>
      <c r="L5848" s="128"/>
      <c r="M5848" s="129"/>
      <c r="N5848" s="129"/>
      <c r="O5848" s="129"/>
    </row>
    <row r="5849" spans="1:15" ht="12.5">
      <c r="A5849" s="158" t="s">
        <v>29584</v>
      </c>
      <c r="B5849" s="159">
        <v>65</v>
      </c>
      <c r="C5849" s="159">
        <v>70</v>
      </c>
      <c r="D5849" s="159">
        <v>46</v>
      </c>
      <c r="E5849" s="159">
        <v>26</v>
      </c>
      <c r="F5849" s="131"/>
      <c r="G5849" s="132"/>
      <c r="H5849" s="162" t="s">
        <v>29585</v>
      </c>
      <c r="I5849" s="158" t="s">
        <v>29586</v>
      </c>
      <c r="J5849" s="128"/>
      <c r="K5849" s="128"/>
      <c r="L5849" s="128"/>
      <c r="M5849" s="129"/>
      <c r="N5849" s="129"/>
      <c r="O5849" s="129"/>
    </row>
    <row r="5850" spans="1:15" ht="12.5">
      <c r="A5850" s="158" t="s">
        <v>29587</v>
      </c>
      <c r="B5850" s="159">
        <v>65</v>
      </c>
      <c r="C5850" s="159">
        <v>70</v>
      </c>
      <c r="D5850" s="159">
        <v>46</v>
      </c>
      <c r="E5850" s="159">
        <v>27</v>
      </c>
      <c r="F5850" s="131"/>
      <c r="G5850" s="132"/>
      <c r="H5850" s="162" t="s">
        <v>29588</v>
      </c>
      <c r="I5850" s="158" t="s">
        <v>29589</v>
      </c>
      <c r="J5850" s="128"/>
      <c r="K5850" s="128"/>
      <c r="L5850" s="128"/>
      <c r="M5850" s="129"/>
      <c r="N5850" s="129"/>
      <c r="O5850" s="129"/>
    </row>
    <row r="5851" spans="1:15" ht="12.5">
      <c r="A5851" s="158" t="s">
        <v>29590</v>
      </c>
      <c r="B5851" s="159">
        <v>65</v>
      </c>
      <c r="C5851" s="159">
        <v>70</v>
      </c>
      <c r="D5851" s="159">
        <v>46</v>
      </c>
      <c r="E5851" s="159">
        <v>29</v>
      </c>
      <c r="F5851" s="131"/>
      <c r="G5851" s="132"/>
      <c r="H5851" s="162" t="s">
        <v>29591</v>
      </c>
      <c r="I5851" s="158" t="s">
        <v>29592</v>
      </c>
      <c r="J5851" s="128"/>
      <c r="K5851" s="128"/>
      <c r="L5851" s="128"/>
      <c r="M5851" s="129"/>
      <c r="N5851" s="129"/>
      <c r="O5851" s="129"/>
    </row>
    <row r="5852" spans="1:15" ht="12.5">
      <c r="A5852" s="158" t="s">
        <v>29593</v>
      </c>
      <c r="B5852" s="159">
        <v>65</v>
      </c>
      <c r="C5852" s="159">
        <v>70</v>
      </c>
      <c r="D5852" s="159">
        <v>46</v>
      </c>
      <c r="E5852" s="159">
        <v>30</v>
      </c>
      <c r="F5852" s="131"/>
      <c r="G5852" s="132"/>
      <c r="H5852" s="162" t="s">
        <v>29594</v>
      </c>
      <c r="I5852" s="128"/>
      <c r="J5852" s="128"/>
      <c r="K5852" s="128"/>
      <c r="L5852" s="128"/>
      <c r="M5852" s="129"/>
      <c r="N5852" s="129"/>
      <c r="O5852" s="129"/>
    </row>
    <row r="5853" spans="1:15" ht="12.5">
      <c r="A5853" s="158" t="s">
        <v>29598</v>
      </c>
      <c r="B5853" s="159">
        <v>65</v>
      </c>
      <c r="C5853" s="159">
        <v>70</v>
      </c>
      <c r="D5853" s="159">
        <v>46</v>
      </c>
      <c r="E5853" s="159">
        <v>46</v>
      </c>
      <c r="F5853" s="131"/>
      <c r="G5853" s="132"/>
      <c r="H5853" s="162" t="s">
        <v>29599</v>
      </c>
      <c r="I5853" s="158" t="s">
        <v>29600</v>
      </c>
      <c r="J5853" s="128"/>
      <c r="K5853" s="128"/>
      <c r="L5853" s="128"/>
      <c r="M5853" s="129"/>
      <c r="N5853" s="129"/>
      <c r="O5853" s="129"/>
    </row>
    <row r="5854" spans="1:15" ht="12.5">
      <c r="A5854" s="158" t="s">
        <v>29601</v>
      </c>
      <c r="B5854" s="159">
        <v>65</v>
      </c>
      <c r="C5854" s="159">
        <v>70</v>
      </c>
      <c r="D5854" s="159">
        <v>46</v>
      </c>
      <c r="E5854" s="159">
        <v>47</v>
      </c>
      <c r="F5854" s="131"/>
      <c r="G5854" s="132"/>
      <c r="H5854" s="162" t="s">
        <v>29602</v>
      </c>
      <c r="I5854" s="158" t="s">
        <v>29603</v>
      </c>
      <c r="J5854" s="128"/>
      <c r="K5854" s="128"/>
      <c r="L5854" s="128"/>
      <c r="M5854" s="129"/>
      <c r="N5854" s="129"/>
      <c r="O5854" s="129"/>
    </row>
    <row r="5855" spans="1:15" ht="12.5">
      <c r="A5855" s="158" t="s">
        <v>29604</v>
      </c>
      <c r="B5855" s="159">
        <v>65</v>
      </c>
      <c r="C5855" s="159">
        <v>70</v>
      </c>
      <c r="D5855" s="159">
        <v>46</v>
      </c>
      <c r="E5855" s="159">
        <v>48</v>
      </c>
      <c r="F5855" s="131"/>
      <c r="G5855" s="132"/>
      <c r="H5855" s="162" t="s">
        <v>29605</v>
      </c>
      <c r="I5855" s="158" t="s">
        <v>29606</v>
      </c>
      <c r="J5855" s="128"/>
      <c r="K5855" s="128"/>
      <c r="L5855" s="128"/>
      <c r="M5855" s="129"/>
      <c r="N5855" s="129"/>
      <c r="O5855" s="129"/>
    </row>
    <row r="5856" spans="1:15" ht="12.5">
      <c r="A5856" s="158" t="s">
        <v>29607</v>
      </c>
      <c r="B5856" s="159">
        <v>65</v>
      </c>
      <c r="C5856" s="159">
        <v>70</v>
      </c>
      <c r="D5856" s="159">
        <v>46</v>
      </c>
      <c r="E5856" s="159">
        <v>80</v>
      </c>
      <c r="F5856" s="131"/>
      <c r="G5856" s="132"/>
      <c r="H5856" s="162" t="s">
        <v>29608</v>
      </c>
      <c r="I5856" s="158" t="s">
        <v>29609</v>
      </c>
      <c r="J5856" s="128"/>
      <c r="K5856" s="128"/>
      <c r="L5856" s="128"/>
      <c r="M5856" s="129"/>
      <c r="N5856" s="129"/>
      <c r="O5856" s="129"/>
    </row>
    <row r="5857" spans="1:15" ht="12.5">
      <c r="A5857" s="158" t="s">
        <v>29610</v>
      </c>
      <c r="B5857" s="159">
        <v>65</v>
      </c>
      <c r="C5857" s="159">
        <v>70</v>
      </c>
      <c r="D5857" s="159">
        <v>48</v>
      </c>
      <c r="E5857" s="130"/>
      <c r="F5857" s="131"/>
      <c r="G5857" s="132"/>
      <c r="H5857" s="162" t="s">
        <v>29611</v>
      </c>
      <c r="I5857" s="128"/>
      <c r="J5857" s="128"/>
      <c r="K5857" s="128"/>
      <c r="L5857" s="128"/>
      <c r="M5857" s="129"/>
      <c r="N5857" s="129"/>
      <c r="O5857" s="129"/>
    </row>
    <row r="5858" spans="1:15" ht="12.5">
      <c r="A5858" s="158" t="s">
        <v>29612</v>
      </c>
      <c r="B5858" s="159">
        <v>65</v>
      </c>
      <c r="C5858" s="159">
        <v>70</v>
      </c>
      <c r="D5858" s="159">
        <v>48</v>
      </c>
      <c r="E5858" s="159">
        <v>13</v>
      </c>
      <c r="F5858" s="131"/>
      <c r="G5858" s="132"/>
      <c r="H5858" s="162" t="s">
        <v>29613</v>
      </c>
      <c r="I5858" s="158" t="s">
        <v>29614</v>
      </c>
      <c r="J5858" s="128"/>
      <c r="K5858" s="128"/>
      <c r="L5858" s="128"/>
      <c r="M5858" s="129"/>
      <c r="N5858" s="129"/>
      <c r="O5858" s="129"/>
    </row>
    <row r="5859" spans="1:15" ht="12.5">
      <c r="A5859" s="158" t="s">
        <v>29615</v>
      </c>
      <c r="B5859" s="159">
        <v>65</v>
      </c>
      <c r="C5859" s="159">
        <v>70</v>
      </c>
      <c r="D5859" s="159">
        <v>48</v>
      </c>
      <c r="E5859" s="159">
        <v>14</v>
      </c>
      <c r="F5859" s="131"/>
      <c r="G5859" s="132"/>
      <c r="H5859" s="162" t="s">
        <v>29616</v>
      </c>
      <c r="I5859" s="128"/>
      <c r="J5859" s="128"/>
      <c r="K5859" s="128"/>
      <c r="L5859" s="128"/>
      <c r="M5859" s="129"/>
      <c r="N5859" s="129"/>
      <c r="O5859" s="129"/>
    </row>
    <row r="5860" spans="1:15" ht="12.5">
      <c r="A5860" s="158" t="s">
        <v>29617</v>
      </c>
      <c r="B5860" s="159">
        <v>65</v>
      </c>
      <c r="C5860" s="159">
        <v>70</v>
      </c>
      <c r="D5860" s="159">
        <v>48</v>
      </c>
      <c r="E5860" s="159">
        <v>29</v>
      </c>
      <c r="F5860" s="131"/>
      <c r="G5860" s="132"/>
      <c r="H5860" s="162" t="s">
        <v>29618</v>
      </c>
      <c r="I5860" s="158" t="s">
        <v>29619</v>
      </c>
      <c r="J5860" s="128"/>
      <c r="K5860" s="128"/>
      <c r="L5860" s="128"/>
      <c r="M5860" s="129"/>
      <c r="N5860" s="129"/>
      <c r="O5860" s="129"/>
    </row>
    <row r="5861" spans="1:15" ht="12.5">
      <c r="A5861" s="158" t="s">
        <v>29620</v>
      </c>
      <c r="B5861" s="159">
        <v>65</v>
      </c>
      <c r="C5861" s="159">
        <v>70</v>
      </c>
      <c r="D5861" s="159">
        <v>48</v>
      </c>
      <c r="E5861" s="159">
        <v>31</v>
      </c>
      <c r="F5861" s="131"/>
      <c r="G5861" s="132"/>
      <c r="H5861" s="162" t="s">
        <v>29621</v>
      </c>
      <c r="I5861" s="128"/>
      <c r="J5861" s="128"/>
      <c r="K5861" s="128"/>
      <c r="L5861" s="128"/>
      <c r="M5861" s="129"/>
      <c r="N5861" s="129"/>
      <c r="O5861" s="129"/>
    </row>
    <row r="5862" spans="1:15" ht="12.5">
      <c r="A5862" s="158" t="s">
        <v>29622</v>
      </c>
      <c r="B5862" s="159">
        <v>65</v>
      </c>
      <c r="C5862" s="159">
        <v>70</v>
      </c>
      <c r="D5862" s="159">
        <v>48</v>
      </c>
      <c r="E5862" s="159">
        <v>32</v>
      </c>
      <c r="F5862" s="131"/>
      <c r="G5862" s="132"/>
      <c r="H5862" s="162" t="s">
        <v>29623</v>
      </c>
      <c r="I5862" s="128"/>
      <c r="J5862" s="128"/>
      <c r="K5862" s="128"/>
      <c r="L5862" s="128"/>
      <c r="M5862" s="129"/>
      <c r="N5862" s="129"/>
      <c r="O5862" s="129"/>
    </row>
    <row r="5863" spans="1:15" ht="12.5">
      <c r="A5863" s="158" t="s">
        <v>29624</v>
      </c>
      <c r="B5863" s="159">
        <v>65</v>
      </c>
      <c r="C5863" s="159">
        <v>70</v>
      </c>
      <c r="D5863" s="159">
        <v>48</v>
      </c>
      <c r="E5863" s="159">
        <v>37</v>
      </c>
      <c r="F5863" s="131"/>
      <c r="G5863" s="132"/>
      <c r="H5863" s="162" t="s">
        <v>29625</v>
      </c>
      <c r="I5863" s="128"/>
      <c r="J5863" s="128"/>
      <c r="K5863" s="128"/>
      <c r="L5863" s="128"/>
      <c r="M5863" s="129"/>
      <c r="N5863" s="129"/>
      <c r="O5863" s="129"/>
    </row>
    <row r="5864" spans="1:15" ht="12.5">
      <c r="A5864" s="158" t="s">
        <v>29626</v>
      </c>
      <c r="B5864" s="159">
        <v>65</v>
      </c>
      <c r="C5864" s="159">
        <v>70</v>
      </c>
      <c r="D5864" s="159">
        <v>48</v>
      </c>
      <c r="E5864" s="159">
        <v>38</v>
      </c>
      <c r="F5864" s="131"/>
      <c r="G5864" s="132"/>
      <c r="H5864" s="162" t="s">
        <v>33564</v>
      </c>
      <c r="I5864" s="158" t="s">
        <v>29628</v>
      </c>
      <c r="J5864" s="128"/>
      <c r="K5864" s="128"/>
      <c r="L5864" s="128"/>
      <c r="M5864" s="129"/>
      <c r="N5864" s="129"/>
      <c r="O5864" s="129"/>
    </row>
    <row r="5865" spans="1:15" ht="12.5">
      <c r="A5865" s="158" t="s">
        <v>29629</v>
      </c>
      <c r="B5865" s="159">
        <v>65</v>
      </c>
      <c r="C5865" s="159">
        <v>70</v>
      </c>
      <c r="D5865" s="159">
        <v>48</v>
      </c>
      <c r="E5865" s="159">
        <v>39</v>
      </c>
      <c r="F5865" s="131"/>
      <c r="G5865" s="132"/>
      <c r="H5865" s="162" t="s">
        <v>33565</v>
      </c>
      <c r="I5865" s="158" t="s">
        <v>29631</v>
      </c>
      <c r="J5865" s="128"/>
      <c r="K5865" s="128"/>
      <c r="L5865" s="128"/>
      <c r="M5865" s="129"/>
      <c r="N5865" s="129"/>
      <c r="O5865" s="129"/>
    </row>
    <row r="5866" spans="1:15" ht="12.5">
      <c r="A5866" s="158" t="s">
        <v>29632</v>
      </c>
      <c r="B5866" s="159">
        <v>65</v>
      </c>
      <c r="C5866" s="159">
        <v>70</v>
      </c>
      <c r="D5866" s="159">
        <v>48</v>
      </c>
      <c r="E5866" s="159">
        <v>40</v>
      </c>
      <c r="F5866" s="131"/>
      <c r="G5866" s="132"/>
      <c r="H5866" s="162" t="s">
        <v>33566</v>
      </c>
      <c r="I5866" s="158" t="s">
        <v>29634</v>
      </c>
      <c r="J5866" s="128"/>
      <c r="K5866" s="128"/>
      <c r="L5866" s="128"/>
      <c r="M5866" s="129"/>
      <c r="N5866" s="129"/>
      <c r="O5866" s="129"/>
    </row>
    <row r="5867" spans="1:15" ht="12.5">
      <c r="A5867" s="158" t="s">
        <v>29635</v>
      </c>
      <c r="B5867" s="159">
        <v>65</v>
      </c>
      <c r="C5867" s="159">
        <v>70</v>
      </c>
      <c r="D5867" s="159">
        <v>48</v>
      </c>
      <c r="E5867" s="159">
        <v>41</v>
      </c>
      <c r="F5867" s="131"/>
      <c r="G5867" s="132"/>
      <c r="H5867" s="162" t="s">
        <v>33567</v>
      </c>
      <c r="I5867" s="158" t="s">
        <v>29637</v>
      </c>
      <c r="J5867" s="128"/>
      <c r="K5867" s="128"/>
      <c r="L5867" s="128"/>
      <c r="M5867" s="129"/>
      <c r="N5867" s="129"/>
      <c r="O5867" s="129"/>
    </row>
    <row r="5868" spans="1:15" ht="12.5">
      <c r="A5868" s="158" t="s">
        <v>29638</v>
      </c>
      <c r="B5868" s="159">
        <v>65</v>
      </c>
      <c r="C5868" s="159">
        <v>70</v>
      </c>
      <c r="D5868" s="159">
        <v>48</v>
      </c>
      <c r="E5868" s="159">
        <v>46</v>
      </c>
      <c r="F5868" s="131"/>
      <c r="G5868" s="132"/>
      <c r="H5868" s="162" t="s">
        <v>29639</v>
      </c>
      <c r="I5868" s="158" t="s">
        <v>29640</v>
      </c>
      <c r="J5868" s="128"/>
      <c r="K5868" s="128"/>
      <c r="L5868" s="128"/>
      <c r="M5868" s="129"/>
      <c r="N5868" s="129"/>
      <c r="O5868" s="129"/>
    </row>
    <row r="5869" spans="1:15" ht="12.5">
      <c r="A5869" s="158" t="s">
        <v>29641</v>
      </c>
      <c r="B5869" s="159">
        <v>65</v>
      </c>
      <c r="C5869" s="159">
        <v>70</v>
      </c>
      <c r="D5869" s="159">
        <v>48</v>
      </c>
      <c r="E5869" s="159">
        <v>48</v>
      </c>
      <c r="F5869" s="131"/>
      <c r="G5869" s="132"/>
      <c r="H5869" s="162" t="s">
        <v>29642</v>
      </c>
      <c r="I5869" s="128"/>
      <c r="J5869" s="128"/>
      <c r="K5869" s="128"/>
      <c r="L5869" s="128"/>
      <c r="M5869" s="129"/>
      <c r="N5869" s="129"/>
      <c r="O5869" s="129"/>
    </row>
    <row r="5870" spans="1:15" ht="12.5">
      <c r="A5870" s="158" t="s">
        <v>29643</v>
      </c>
      <c r="B5870" s="159">
        <v>65</v>
      </c>
      <c r="C5870" s="159">
        <v>70</v>
      </c>
      <c r="D5870" s="159">
        <v>48</v>
      </c>
      <c r="E5870" s="159">
        <v>49</v>
      </c>
      <c r="F5870" s="131"/>
      <c r="G5870" s="132"/>
      <c r="H5870" s="162" t="s">
        <v>29644</v>
      </c>
      <c r="I5870" s="158" t="s">
        <v>29645</v>
      </c>
      <c r="J5870" s="128"/>
      <c r="K5870" s="128"/>
      <c r="L5870" s="128"/>
      <c r="M5870" s="129"/>
      <c r="N5870" s="129"/>
      <c r="O5870" s="129"/>
    </row>
    <row r="5871" spans="1:15" ht="12.5">
      <c r="A5871" s="158" t="s">
        <v>29648</v>
      </c>
      <c r="B5871" s="159">
        <v>65</v>
      </c>
      <c r="C5871" s="159">
        <v>70</v>
      </c>
      <c r="D5871" s="159">
        <v>48</v>
      </c>
      <c r="E5871" s="159">
        <v>51</v>
      </c>
      <c r="F5871" s="131"/>
      <c r="G5871" s="132"/>
      <c r="H5871" s="162" t="s">
        <v>29649</v>
      </c>
      <c r="I5871" s="158" t="s">
        <v>29650</v>
      </c>
      <c r="J5871" s="128"/>
      <c r="K5871" s="128"/>
      <c r="L5871" s="128"/>
      <c r="M5871" s="129"/>
      <c r="N5871" s="129"/>
      <c r="O5871" s="129"/>
    </row>
    <row r="5872" spans="1:15" ht="12.5">
      <c r="A5872" s="158" t="s">
        <v>29651</v>
      </c>
      <c r="B5872" s="159">
        <v>65</v>
      </c>
      <c r="C5872" s="159">
        <v>70</v>
      </c>
      <c r="D5872" s="159">
        <v>48</v>
      </c>
      <c r="E5872" s="159">
        <v>55</v>
      </c>
      <c r="F5872" s="131"/>
      <c r="G5872" s="132"/>
      <c r="H5872" s="162" t="s">
        <v>29652</v>
      </c>
      <c r="I5872" s="158" t="s">
        <v>29653</v>
      </c>
      <c r="J5872" s="128"/>
      <c r="K5872" s="128"/>
      <c r="L5872" s="128"/>
      <c r="M5872" s="129"/>
      <c r="N5872" s="129"/>
      <c r="O5872" s="129"/>
    </row>
    <row r="5873" spans="1:15" ht="12.5">
      <c r="A5873" s="158" t="s">
        <v>29654</v>
      </c>
      <c r="B5873" s="159">
        <v>65</v>
      </c>
      <c r="C5873" s="159">
        <v>70</v>
      </c>
      <c r="D5873" s="159">
        <v>48</v>
      </c>
      <c r="E5873" s="159">
        <v>56</v>
      </c>
      <c r="F5873" s="131"/>
      <c r="G5873" s="132"/>
      <c r="H5873" s="162" t="s">
        <v>29655</v>
      </c>
      <c r="I5873" s="158" t="s">
        <v>29656</v>
      </c>
      <c r="J5873" s="128"/>
      <c r="K5873" s="128"/>
      <c r="L5873" s="128"/>
      <c r="M5873" s="129"/>
      <c r="N5873" s="129"/>
      <c r="O5873" s="129"/>
    </row>
    <row r="5874" spans="1:15" ht="12.5">
      <c r="A5874" s="158" t="s">
        <v>29657</v>
      </c>
      <c r="B5874" s="159">
        <v>65</v>
      </c>
      <c r="C5874" s="159">
        <v>70</v>
      </c>
      <c r="D5874" s="159">
        <v>48</v>
      </c>
      <c r="E5874" s="159">
        <v>57</v>
      </c>
      <c r="F5874" s="131"/>
      <c r="G5874" s="132"/>
      <c r="H5874" s="162" t="s">
        <v>29658</v>
      </c>
      <c r="I5874" s="158" t="s">
        <v>29659</v>
      </c>
      <c r="J5874" s="128"/>
      <c r="K5874" s="128"/>
      <c r="L5874" s="128"/>
      <c r="M5874" s="129"/>
      <c r="N5874" s="129"/>
      <c r="O5874" s="129"/>
    </row>
    <row r="5875" spans="1:15" ht="12.5">
      <c r="A5875" s="158" t="s">
        <v>29660</v>
      </c>
      <c r="B5875" s="159">
        <v>65</v>
      </c>
      <c r="C5875" s="159">
        <v>70</v>
      </c>
      <c r="D5875" s="159">
        <v>48</v>
      </c>
      <c r="E5875" s="159">
        <v>58</v>
      </c>
      <c r="F5875" s="131"/>
      <c r="G5875" s="132"/>
      <c r="H5875" s="162" t="s">
        <v>29661</v>
      </c>
      <c r="I5875" s="158" t="s">
        <v>29662</v>
      </c>
      <c r="J5875" s="128"/>
      <c r="K5875" s="128"/>
      <c r="L5875" s="128"/>
      <c r="M5875" s="129"/>
      <c r="N5875" s="129"/>
      <c r="O5875" s="129"/>
    </row>
    <row r="5876" spans="1:15" ht="12.5">
      <c r="A5876" s="158" t="s">
        <v>29663</v>
      </c>
      <c r="B5876" s="159">
        <v>65</v>
      </c>
      <c r="C5876" s="159">
        <v>70</v>
      </c>
      <c r="D5876" s="159">
        <v>48</v>
      </c>
      <c r="E5876" s="159">
        <v>59</v>
      </c>
      <c r="F5876" s="131"/>
      <c r="G5876" s="132"/>
      <c r="H5876" s="162" t="s">
        <v>29664</v>
      </c>
      <c r="I5876" s="158" t="s">
        <v>29665</v>
      </c>
      <c r="J5876" s="128"/>
      <c r="K5876" s="128"/>
      <c r="L5876" s="128"/>
      <c r="M5876" s="129"/>
      <c r="N5876" s="129"/>
      <c r="O5876" s="129"/>
    </row>
    <row r="5877" spans="1:15" ht="12.5">
      <c r="A5877" s="158" t="s">
        <v>29666</v>
      </c>
      <c r="B5877" s="159">
        <v>65</v>
      </c>
      <c r="C5877" s="159">
        <v>70</v>
      </c>
      <c r="D5877" s="159">
        <v>48</v>
      </c>
      <c r="E5877" s="159">
        <v>60</v>
      </c>
      <c r="F5877" s="131"/>
      <c r="G5877" s="132"/>
      <c r="H5877" s="162" t="s">
        <v>29667</v>
      </c>
      <c r="I5877" s="158" t="s">
        <v>29668</v>
      </c>
      <c r="J5877" s="128"/>
      <c r="K5877" s="128"/>
      <c r="L5877" s="128"/>
      <c r="M5877" s="129"/>
      <c r="N5877" s="129"/>
      <c r="O5877" s="129"/>
    </row>
    <row r="5878" spans="1:15" ht="12.5">
      <c r="A5878" s="158" t="s">
        <v>29669</v>
      </c>
      <c r="B5878" s="159">
        <v>65</v>
      </c>
      <c r="C5878" s="159">
        <v>70</v>
      </c>
      <c r="D5878" s="159">
        <v>48</v>
      </c>
      <c r="E5878" s="159">
        <v>61</v>
      </c>
      <c r="F5878" s="131"/>
      <c r="G5878" s="132"/>
      <c r="H5878" s="162" t="s">
        <v>29670</v>
      </c>
      <c r="I5878" s="158" t="s">
        <v>29671</v>
      </c>
      <c r="J5878" s="128"/>
      <c r="K5878" s="128"/>
      <c r="L5878" s="128"/>
      <c r="M5878" s="129"/>
      <c r="N5878" s="129"/>
      <c r="O5878" s="129"/>
    </row>
    <row r="5879" spans="1:15" ht="12.5">
      <c r="A5879" s="158" t="s">
        <v>29672</v>
      </c>
      <c r="B5879" s="159">
        <v>65</v>
      </c>
      <c r="C5879" s="159">
        <v>70</v>
      </c>
      <c r="D5879" s="159">
        <v>48</v>
      </c>
      <c r="E5879" s="159">
        <v>62</v>
      </c>
      <c r="F5879" s="131"/>
      <c r="G5879" s="132"/>
      <c r="H5879" s="162" t="s">
        <v>29673</v>
      </c>
      <c r="I5879" s="158" t="s">
        <v>29674</v>
      </c>
      <c r="J5879" s="128"/>
      <c r="K5879" s="128"/>
      <c r="L5879" s="128"/>
      <c r="M5879" s="129"/>
      <c r="N5879" s="129"/>
      <c r="O5879" s="129"/>
    </row>
    <row r="5880" spans="1:15" ht="12.5">
      <c r="A5880" s="158" t="s">
        <v>29675</v>
      </c>
      <c r="B5880" s="159">
        <v>65</v>
      </c>
      <c r="C5880" s="159">
        <v>70</v>
      </c>
      <c r="D5880" s="159">
        <v>48</v>
      </c>
      <c r="E5880" s="159">
        <v>63</v>
      </c>
      <c r="F5880" s="131"/>
      <c r="G5880" s="132"/>
      <c r="H5880" s="162" t="s">
        <v>29676</v>
      </c>
      <c r="I5880" s="158" t="s">
        <v>29677</v>
      </c>
      <c r="J5880" s="128"/>
      <c r="K5880" s="128"/>
      <c r="L5880" s="128"/>
      <c r="M5880" s="129"/>
      <c r="N5880" s="129"/>
      <c r="O5880" s="129"/>
    </row>
    <row r="5881" spans="1:15" ht="12.5">
      <c r="A5881" s="158" t="s">
        <v>29681</v>
      </c>
      <c r="B5881" s="159">
        <v>65</v>
      </c>
      <c r="C5881" s="159">
        <v>70</v>
      </c>
      <c r="D5881" s="159">
        <v>48</v>
      </c>
      <c r="E5881" s="159">
        <v>74</v>
      </c>
      <c r="F5881" s="131"/>
      <c r="G5881" s="132"/>
      <c r="H5881" s="162" t="s">
        <v>29682</v>
      </c>
      <c r="I5881" s="158" t="s">
        <v>29683</v>
      </c>
      <c r="J5881" s="128"/>
      <c r="K5881" s="128"/>
      <c r="L5881" s="128"/>
      <c r="M5881" s="129"/>
      <c r="N5881" s="129"/>
      <c r="O5881" s="129"/>
    </row>
    <row r="5882" spans="1:15" ht="12.5">
      <c r="A5882" s="158" t="s">
        <v>29684</v>
      </c>
      <c r="B5882" s="159">
        <v>65</v>
      </c>
      <c r="C5882" s="159">
        <v>70</v>
      </c>
      <c r="D5882" s="159">
        <v>48</v>
      </c>
      <c r="E5882" s="159">
        <v>75</v>
      </c>
      <c r="F5882" s="131"/>
      <c r="G5882" s="132"/>
      <c r="H5882" s="162" t="s">
        <v>29685</v>
      </c>
      <c r="I5882" s="158" t="s">
        <v>33568</v>
      </c>
      <c r="J5882" s="128"/>
      <c r="K5882" s="128"/>
      <c r="L5882" s="128"/>
      <c r="M5882" s="129"/>
      <c r="N5882" s="129"/>
      <c r="O5882" s="129"/>
    </row>
    <row r="5883" spans="1:15" ht="12.5">
      <c r="A5883" s="158" t="s">
        <v>29687</v>
      </c>
      <c r="B5883" s="159">
        <v>65</v>
      </c>
      <c r="C5883" s="159">
        <v>70</v>
      </c>
      <c r="D5883" s="159">
        <v>48</v>
      </c>
      <c r="E5883" s="159">
        <v>77</v>
      </c>
      <c r="F5883" s="131"/>
      <c r="G5883" s="132"/>
      <c r="H5883" s="162" t="s">
        <v>29688</v>
      </c>
      <c r="I5883" s="128"/>
      <c r="J5883" s="128"/>
      <c r="K5883" s="128"/>
      <c r="L5883" s="128"/>
      <c r="M5883" s="129"/>
      <c r="N5883" s="129"/>
      <c r="O5883" s="129"/>
    </row>
    <row r="5884" spans="1:15" ht="12.5">
      <c r="A5884" s="158" t="s">
        <v>29689</v>
      </c>
      <c r="B5884" s="159">
        <v>65</v>
      </c>
      <c r="C5884" s="159">
        <v>70</v>
      </c>
      <c r="D5884" s="159">
        <v>48</v>
      </c>
      <c r="E5884" s="159">
        <v>79</v>
      </c>
      <c r="F5884" s="131"/>
      <c r="G5884" s="132"/>
      <c r="H5884" s="162" t="s">
        <v>29690</v>
      </c>
      <c r="I5884" s="158" t="s">
        <v>29691</v>
      </c>
      <c r="J5884" s="128"/>
      <c r="K5884" s="128"/>
      <c r="L5884" s="128"/>
      <c r="M5884" s="129"/>
      <c r="N5884" s="129"/>
      <c r="O5884" s="129"/>
    </row>
    <row r="5885" spans="1:15" ht="12.5">
      <c r="A5885" s="158" t="s">
        <v>29692</v>
      </c>
      <c r="B5885" s="159">
        <v>65</v>
      </c>
      <c r="C5885" s="159">
        <v>70</v>
      </c>
      <c r="D5885" s="159">
        <v>48</v>
      </c>
      <c r="E5885" s="159">
        <v>88</v>
      </c>
      <c r="F5885" s="131"/>
      <c r="G5885" s="132"/>
      <c r="H5885" s="162" t="s">
        <v>29693</v>
      </c>
      <c r="I5885" s="158" t="s">
        <v>29694</v>
      </c>
      <c r="J5885" s="128"/>
      <c r="K5885" s="128"/>
      <c r="L5885" s="128"/>
      <c r="M5885" s="129"/>
      <c r="N5885" s="129"/>
      <c r="O5885" s="129"/>
    </row>
    <row r="5886" spans="1:15" ht="12.5">
      <c r="A5886" s="158" t="s">
        <v>29695</v>
      </c>
      <c r="B5886" s="159">
        <v>65</v>
      </c>
      <c r="C5886" s="159">
        <v>70</v>
      </c>
      <c r="D5886" s="159">
        <v>48</v>
      </c>
      <c r="E5886" s="159">
        <v>89</v>
      </c>
      <c r="F5886" s="131"/>
      <c r="G5886" s="132"/>
      <c r="H5886" s="162" t="s">
        <v>29696</v>
      </c>
      <c r="I5886" s="158" t="s">
        <v>29697</v>
      </c>
      <c r="J5886" s="128"/>
      <c r="K5886" s="128"/>
      <c r="L5886" s="128"/>
      <c r="M5886" s="129"/>
      <c r="N5886" s="129"/>
      <c r="O5886" s="129"/>
    </row>
    <row r="5887" spans="1:15" ht="12.5">
      <c r="A5887" s="158" t="s">
        <v>29698</v>
      </c>
      <c r="B5887" s="159">
        <v>65</v>
      </c>
      <c r="C5887" s="159">
        <v>70</v>
      </c>
      <c r="D5887" s="159">
        <v>48</v>
      </c>
      <c r="E5887" s="159">
        <v>90</v>
      </c>
      <c r="F5887" s="131"/>
      <c r="G5887" s="132"/>
      <c r="H5887" s="162" t="s">
        <v>29699</v>
      </c>
      <c r="I5887" s="158" t="s">
        <v>29700</v>
      </c>
      <c r="J5887" s="128"/>
      <c r="K5887" s="128"/>
      <c r="L5887" s="128"/>
      <c r="M5887" s="129"/>
      <c r="N5887" s="129"/>
      <c r="O5887" s="129"/>
    </row>
    <row r="5888" spans="1:15" ht="12.5">
      <c r="A5888" s="158" t="s">
        <v>29701</v>
      </c>
      <c r="B5888" s="159">
        <v>65</v>
      </c>
      <c r="C5888" s="159">
        <v>70</v>
      </c>
      <c r="D5888" s="159">
        <v>48</v>
      </c>
      <c r="E5888" s="159">
        <v>91</v>
      </c>
      <c r="F5888" s="131"/>
      <c r="G5888" s="132"/>
      <c r="H5888" s="162" t="s">
        <v>29702</v>
      </c>
      <c r="I5888" s="158" t="s">
        <v>29703</v>
      </c>
      <c r="J5888" s="128"/>
      <c r="K5888" s="128"/>
      <c r="L5888" s="128"/>
      <c r="M5888" s="129"/>
      <c r="N5888" s="129"/>
      <c r="O5888" s="129"/>
    </row>
    <row r="5889" spans="1:15" ht="12.5">
      <c r="A5889" s="158" t="s">
        <v>29704</v>
      </c>
      <c r="B5889" s="159">
        <v>65</v>
      </c>
      <c r="C5889" s="159">
        <v>70</v>
      </c>
      <c r="D5889" s="159">
        <v>48</v>
      </c>
      <c r="E5889" s="159">
        <v>92</v>
      </c>
      <c r="F5889" s="131"/>
      <c r="G5889" s="132"/>
      <c r="H5889" s="162" t="s">
        <v>29705</v>
      </c>
      <c r="I5889" s="158" t="s">
        <v>29706</v>
      </c>
      <c r="J5889" s="128"/>
      <c r="K5889" s="128"/>
      <c r="L5889" s="128"/>
      <c r="M5889" s="129"/>
      <c r="N5889" s="129"/>
      <c r="O5889" s="129"/>
    </row>
    <row r="5890" spans="1:15" ht="12.5">
      <c r="A5890" s="158" t="s">
        <v>29707</v>
      </c>
      <c r="B5890" s="159">
        <v>65</v>
      </c>
      <c r="C5890" s="159">
        <v>70</v>
      </c>
      <c r="D5890" s="159">
        <v>48</v>
      </c>
      <c r="E5890" s="159">
        <v>93</v>
      </c>
      <c r="F5890" s="131"/>
      <c r="G5890" s="132"/>
      <c r="H5890" s="162" t="s">
        <v>29708</v>
      </c>
      <c r="I5890" s="128"/>
      <c r="J5890" s="128"/>
      <c r="K5890" s="128"/>
      <c r="L5890" s="128"/>
      <c r="M5890" s="129"/>
      <c r="N5890" s="129"/>
      <c r="O5890" s="129"/>
    </row>
    <row r="5891" spans="1:15" ht="12.5">
      <c r="A5891" s="158" t="s">
        <v>29709</v>
      </c>
      <c r="B5891" s="159">
        <v>65</v>
      </c>
      <c r="C5891" s="159">
        <v>70</v>
      </c>
      <c r="D5891" s="159">
        <v>48</v>
      </c>
      <c r="E5891" s="159">
        <v>94</v>
      </c>
      <c r="F5891" s="131"/>
      <c r="G5891" s="132"/>
      <c r="H5891" s="162" t="s">
        <v>29710</v>
      </c>
      <c r="I5891" s="128"/>
      <c r="J5891" s="128"/>
      <c r="K5891" s="128"/>
      <c r="L5891" s="128"/>
      <c r="M5891" s="129"/>
      <c r="N5891" s="129"/>
      <c r="O5891" s="129"/>
    </row>
    <row r="5892" spans="1:15" ht="12.5">
      <c r="A5892" s="158" t="s">
        <v>29714</v>
      </c>
      <c r="B5892" s="159">
        <v>65</v>
      </c>
      <c r="C5892" s="159">
        <v>70</v>
      </c>
      <c r="D5892" s="159">
        <v>50</v>
      </c>
      <c r="E5892" s="130"/>
      <c r="F5892" s="131"/>
      <c r="G5892" s="132"/>
      <c r="H5892" s="162" t="s">
        <v>29715</v>
      </c>
      <c r="I5892" s="128"/>
      <c r="J5892" s="128"/>
      <c r="K5892" s="128"/>
      <c r="L5892" s="128"/>
      <c r="M5892" s="129"/>
      <c r="N5892" s="129"/>
      <c r="O5892" s="129"/>
    </row>
    <row r="5893" spans="1:15" ht="12.5">
      <c r="A5893" s="158" t="s">
        <v>29716</v>
      </c>
      <c r="B5893" s="159">
        <v>65</v>
      </c>
      <c r="C5893" s="159">
        <v>70</v>
      </c>
      <c r="D5893" s="159">
        <v>50</v>
      </c>
      <c r="E5893" s="159">
        <v>15</v>
      </c>
      <c r="F5893" s="131"/>
      <c r="G5893" s="132"/>
      <c r="H5893" s="162" t="s">
        <v>29717</v>
      </c>
      <c r="I5893" s="158" t="s">
        <v>29718</v>
      </c>
      <c r="J5893" s="128"/>
      <c r="K5893" s="128"/>
      <c r="L5893" s="128"/>
      <c r="M5893" s="129"/>
      <c r="N5893" s="129"/>
      <c r="O5893" s="129"/>
    </row>
    <row r="5894" spans="1:15" ht="12.5">
      <c r="A5894" s="158" t="s">
        <v>29719</v>
      </c>
      <c r="B5894" s="159">
        <v>65</v>
      </c>
      <c r="C5894" s="159">
        <v>70</v>
      </c>
      <c r="D5894" s="159">
        <v>50</v>
      </c>
      <c r="E5894" s="159">
        <v>22</v>
      </c>
      <c r="F5894" s="131"/>
      <c r="G5894" s="132"/>
      <c r="H5894" s="162" t="s">
        <v>29720</v>
      </c>
      <c r="I5894" s="128"/>
      <c r="J5894" s="128"/>
      <c r="K5894" s="128"/>
      <c r="L5894" s="128"/>
      <c r="M5894" s="129"/>
      <c r="N5894" s="129"/>
      <c r="O5894" s="129"/>
    </row>
    <row r="5895" spans="1:15" ht="12.5">
      <c r="A5895" s="158" t="s">
        <v>29721</v>
      </c>
      <c r="B5895" s="159">
        <v>65</v>
      </c>
      <c r="C5895" s="159">
        <v>70</v>
      </c>
      <c r="D5895" s="159">
        <v>50</v>
      </c>
      <c r="E5895" s="159">
        <v>28</v>
      </c>
      <c r="F5895" s="131"/>
      <c r="G5895" s="132"/>
      <c r="H5895" s="162" t="s">
        <v>29722</v>
      </c>
      <c r="I5895" s="158" t="s">
        <v>29723</v>
      </c>
      <c r="J5895" s="128"/>
      <c r="K5895" s="128"/>
      <c r="L5895" s="128"/>
      <c r="M5895" s="129"/>
      <c r="N5895" s="129"/>
      <c r="O5895" s="129"/>
    </row>
    <row r="5896" spans="1:15" ht="12.5">
      <c r="A5896" s="158" t="s">
        <v>29724</v>
      </c>
      <c r="B5896" s="159">
        <v>65</v>
      </c>
      <c r="C5896" s="159">
        <v>70</v>
      </c>
      <c r="D5896" s="159">
        <v>50</v>
      </c>
      <c r="E5896" s="159">
        <v>37</v>
      </c>
      <c r="F5896" s="131"/>
      <c r="G5896" s="132"/>
      <c r="H5896" s="162" t="s">
        <v>29725</v>
      </c>
      <c r="I5896" s="158" t="s">
        <v>29726</v>
      </c>
      <c r="J5896" s="128"/>
      <c r="K5896" s="128"/>
      <c r="L5896" s="128"/>
      <c r="M5896" s="129"/>
      <c r="N5896" s="129"/>
      <c r="O5896" s="129"/>
    </row>
    <row r="5897" spans="1:15" ht="12.5">
      <c r="A5897" s="158" t="s">
        <v>29727</v>
      </c>
      <c r="B5897" s="159">
        <v>65</v>
      </c>
      <c r="C5897" s="159">
        <v>70</v>
      </c>
      <c r="D5897" s="159">
        <v>50</v>
      </c>
      <c r="E5897" s="159">
        <v>47</v>
      </c>
      <c r="F5897" s="131"/>
      <c r="G5897" s="132"/>
      <c r="H5897" s="162" t="s">
        <v>29728</v>
      </c>
      <c r="I5897" s="158" t="s">
        <v>29729</v>
      </c>
      <c r="J5897" s="128"/>
      <c r="K5897" s="128"/>
      <c r="L5897" s="128"/>
      <c r="M5897" s="129"/>
      <c r="N5897" s="129"/>
      <c r="O5897" s="129"/>
    </row>
    <row r="5898" spans="1:15" ht="12.5">
      <c r="A5898" s="158" t="s">
        <v>29730</v>
      </c>
      <c r="B5898" s="159">
        <v>65</v>
      </c>
      <c r="C5898" s="159">
        <v>70</v>
      </c>
      <c r="D5898" s="159">
        <v>50</v>
      </c>
      <c r="E5898" s="159">
        <v>49</v>
      </c>
      <c r="F5898" s="131"/>
      <c r="G5898" s="132"/>
      <c r="H5898" s="162" t="s">
        <v>29731</v>
      </c>
      <c r="I5898" s="158" t="s">
        <v>29732</v>
      </c>
      <c r="J5898" s="128"/>
      <c r="K5898" s="128"/>
      <c r="L5898" s="128"/>
      <c r="M5898" s="129"/>
      <c r="N5898" s="129"/>
      <c r="O5898" s="129"/>
    </row>
    <row r="5899" spans="1:15" ht="12.5">
      <c r="A5899" s="158" t="s">
        <v>29733</v>
      </c>
      <c r="B5899" s="159">
        <v>65</v>
      </c>
      <c r="C5899" s="159">
        <v>70</v>
      </c>
      <c r="D5899" s="159">
        <v>50</v>
      </c>
      <c r="E5899" s="159">
        <v>64</v>
      </c>
      <c r="F5899" s="131"/>
      <c r="G5899" s="132"/>
      <c r="H5899" s="162" t="s">
        <v>29734</v>
      </c>
      <c r="I5899" s="128"/>
      <c r="J5899" s="128"/>
      <c r="K5899" s="128"/>
      <c r="L5899" s="128"/>
      <c r="M5899" s="129"/>
      <c r="N5899" s="129"/>
      <c r="O5899" s="129"/>
    </row>
    <row r="5900" spans="1:15" ht="12.5">
      <c r="A5900" s="158" t="s">
        <v>29735</v>
      </c>
      <c r="B5900" s="159">
        <v>65</v>
      </c>
      <c r="C5900" s="159">
        <v>70</v>
      </c>
      <c r="D5900" s="159">
        <v>50</v>
      </c>
      <c r="E5900" s="159">
        <v>66</v>
      </c>
      <c r="F5900" s="131"/>
      <c r="G5900" s="132"/>
      <c r="H5900" s="162" t="s">
        <v>29736</v>
      </c>
      <c r="I5900" s="128"/>
      <c r="J5900" s="128"/>
      <c r="K5900" s="128"/>
      <c r="L5900" s="128"/>
      <c r="M5900" s="129"/>
      <c r="N5900" s="129"/>
      <c r="O5900" s="129"/>
    </row>
    <row r="5901" spans="1:15" ht="12.5">
      <c r="A5901" s="158" t="s">
        <v>29737</v>
      </c>
      <c r="B5901" s="159">
        <v>65</v>
      </c>
      <c r="C5901" s="159">
        <v>70</v>
      </c>
      <c r="D5901" s="159">
        <v>50</v>
      </c>
      <c r="E5901" s="159">
        <v>72</v>
      </c>
      <c r="F5901" s="131"/>
      <c r="G5901" s="132"/>
      <c r="H5901" s="162" t="s">
        <v>29738</v>
      </c>
      <c r="I5901" s="128"/>
      <c r="J5901" s="128"/>
      <c r="K5901" s="128"/>
      <c r="L5901" s="128"/>
      <c r="M5901" s="129"/>
      <c r="N5901" s="129"/>
      <c r="O5901" s="129"/>
    </row>
    <row r="5902" spans="1:15" ht="12.5">
      <c r="A5902" s="158" t="s">
        <v>29739</v>
      </c>
      <c r="B5902" s="159">
        <v>65</v>
      </c>
      <c r="C5902" s="159">
        <v>70</v>
      </c>
      <c r="D5902" s="159">
        <v>50</v>
      </c>
      <c r="E5902" s="159">
        <v>84</v>
      </c>
      <c r="F5902" s="131"/>
      <c r="G5902" s="132"/>
      <c r="H5902" s="162" t="s">
        <v>29740</v>
      </c>
      <c r="I5902" s="158" t="s">
        <v>29741</v>
      </c>
      <c r="J5902" s="128"/>
      <c r="K5902" s="128"/>
      <c r="L5902" s="128"/>
      <c r="M5902" s="129"/>
      <c r="N5902" s="129"/>
      <c r="O5902" s="129"/>
    </row>
    <row r="5903" spans="1:15" ht="12.5">
      <c r="A5903" s="158" t="s">
        <v>29742</v>
      </c>
      <c r="B5903" s="159">
        <v>65</v>
      </c>
      <c r="C5903" s="159">
        <v>70</v>
      </c>
      <c r="D5903" s="159">
        <v>50</v>
      </c>
      <c r="E5903" s="159">
        <v>86</v>
      </c>
      <c r="F5903" s="131"/>
      <c r="G5903" s="132"/>
      <c r="H5903" s="162" t="s">
        <v>29743</v>
      </c>
      <c r="I5903" s="158" t="s">
        <v>29744</v>
      </c>
      <c r="J5903" s="128"/>
      <c r="K5903" s="128"/>
      <c r="L5903" s="128"/>
      <c r="M5903" s="129"/>
      <c r="N5903" s="129"/>
      <c r="O5903" s="129"/>
    </row>
    <row r="5904" spans="1:15" ht="12.5">
      <c r="A5904" s="158" t="s">
        <v>29745</v>
      </c>
      <c r="B5904" s="159">
        <v>65</v>
      </c>
      <c r="C5904" s="159">
        <v>70</v>
      </c>
      <c r="D5904" s="159">
        <v>50</v>
      </c>
      <c r="E5904" s="159">
        <v>88</v>
      </c>
      <c r="F5904" s="131"/>
      <c r="G5904" s="132"/>
      <c r="H5904" s="162" t="s">
        <v>29746</v>
      </c>
      <c r="I5904" s="158" t="s">
        <v>29747</v>
      </c>
      <c r="J5904" s="128"/>
      <c r="K5904" s="128"/>
      <c r="L5904" s="128"/>
      <c r="M5904" s="129"/>
      <c r="N5904" s="129"/>
      <c r="O5904" s="129"/>
    </row>
    <row r="5905" spans="1:15" ht="12.5">
      <c r="A5905" s="144" t="s">
        <v>29816</v>
      </c>
      <c r="B5905" s="145">
        <v>65</v>
      </c>
      <c r="C5905" s="145">
        <v>72</v>
      </c>
      <c r="D5905" s="146"/>
      <c r="E5905" s="146"/>
      <c r="F5905" s="147" t="s">
        <v>33569</v>
      </c>
      <c r="G5905" s="190"/>
      <c r="H5905" s="149" t="s">
        <v>29817</v>
      </c>
      <c r="I5905" s="150"/>
      <c r="J5905" s="150"/>
      <c r="K5905" s="150"/>
      <c r="L5905" s="150"/>
      <c r="M5905" s="191"/>
      <c r="N5905" s="191"/>
      <c r="O5905" s="191"/>
    </row>
    <row r="5906" spans="1:15" ht="12.5">
      <c r="A5906" s="158" t="s">
        <v>29818</v>
      </c>
      <c r="B5906" s="159">
        <v>65</v>
      </c>
      <c r="C5906" s="159">
        <v>72</v>
      </c>
      <c r="D5906" s="159">
        <v>27</v>
      </c>
      <c r="E5906" s="130"/>
      <c r="F5906" s="131"/>
      <c r="G5906" s="132"/>
      <c r="H5906" s="162" t="s">
        <v>29819</v>
      </c>
      <c r="I5906" s="128"/>
      <c r="J5906" s="128"/>
      <c r="K5906" s="128"/>
      <c r="L5906" s="128"/>
      <c r="M5906" s="129"/>
      <c r="N5906" s="129"/>
      <c r="O5906" s="129"/>
    </row>
    <row r="5907" spans="1:15" ht="12.5">
      <c r="A5907" s="158" t="s">
        <v>29820</v>
      </c>
      <c r="B5907" s="159">
        <v>65</v>
      </c>
      <c r="C5907" s="159">
        <v>72</v>
      </c>
      <c r="D5907" s="159">
        <v>27</v>
      </c>
      <c r="E5907" s="159">
        <v>2</v>
      </c>
      <c r="F5907" s="131"/>
      <c r="G5907" s="132"/>
      <c r="H5907" s="162" t="s">
        <v>29821</v>
      </c>
      <c r="I5907" s="158" t="s">
        <v>29822</v>
      </c>
      <c r="J5907" s="128"/>
      <c r="K5907" s="128"/>
      <c r="L5907" s="128"/>
      <c r="M5907" s="129"/>
      <c r="N5907" s="129"/>
      <c r="O5907" s="129"/>
    </row>
    <row r="5908" spans="1:15" ht="12.5">
      <c r="A5908" s="158" t="s">
        <v>29823</v>
      </c>
      <c r="B5908" s="159">
        <v>65</v>
      </c>
      <c r="C5908" s="159">
        <v>72</v>
      </c>
      <c r="D5908" s="159">
        <v>27</v>
      </c>
      <c r="E5908" s="159">
        <v>11</v>
      </c>
      <c r="F5908" s="131"/>
      <c r="G5908" s="132"/>
      <c r="H5908" s="162" t="s">
        <v>29824</v>
      </c>
      <c r="I5908" s="158" t="s">
        <v>29825</v>
      </c>
      <c r="J5908" s="128"/>
      <c r="K5908" s="128"/>
      <c r="L5908" s="128"/>
      <c r="M5908" s="129"/>
      <c r="N5908" s="129"/>
      <c r="O5908" s="129"/>
    </row>
    <row r="5909" spans="1:15" ht="12.5">
      <c r="A5909" s="158" t="s">
        <v>29826</v>
      </c>
      <c r="B5909" s="159">
        <v>65</v>
      </c>
      <c r="C5909" s="159">
        <v>72</v>
      </c>
      <c r="D5909" s="159">
        <v>27</v>
      </c>
      <c r="E5909" s="159">
        <v>23</v>
      </c>
      <c r="F5909" s="131"/>
      <c r="G5909" s="132"/>
      <c r="H5909" s="162" t="s">
        <v>29827</v>
      </c>
      <c r="I5909" s="158" t="s">
        <v>29828</v>
      </c>
      <c r="J5909" s="128"/>
      <c r="K5909" s="128"/>
      <c r="L5909" s="128"/>
      <c r="M5909" s="129"/>
      <c r="N5909" s="129"/>
      <c r="O5909" s="129"/>
    </row>
    <row r="5910" spans="1:15" ht="12.5">
      <c r="A5910" s="158" t="s">
        <v>29829</v>
      </c>
      <c r="B5910" s="159">
        <v>65</v>
      </c>
      <c r="C5910" s="159">
        <v>72</v>
      </c>
      <c r="D5910" s="159">
        <v>27</v>
      </c>
      <c r="E5910" s="159">
        <v>26</v>
      </c>
      <c r="F5910" s="131"/>
      <c r="G5910" s="132"/>
      <c r="H5910" s="162" t="s">
        <v>29830</v>
      </c>
      <c r="I5910" s="158" t="s">
        <v>29831</v>
      </c>
      <c r="J5910" s="128"/>
      <c r="K5910" s="128"/>
      <c r="L5910" s="128"/>
      <c r="M5910" s="129"/>
      <c r="N5910" s="129"/>
      <c r="O5910" s="129"/>
    </row>
    <row r="5911" spans="1:15" ht="12.5">
      <c r="A5911" s="158" t="s">
        <v>29832</v>
      </c>
      <c r="B5911" s="159">
        <v>65</v>
      </c>
      <c r="C5911" s="159">
        <v>72</v>
      </c>
      <c r="D5911" s="159">
        <v>27</v>
      </c>
      <c r="E5911" s="159">
        <v>32</v>
      </c>
      <c r="F5911" s="131"/>
      <c r="G5911" s="132"/>
      <c r="H5911" s="162" t="s">
        <v>29833</v>
      </c>
      <c r="I5911" s="158" t="s">
        <v>29834</v>
      </c>
      <c r="J5911" s="128"/>
      <c r="K5911" s="128"/>
      <c r="L5911" s="128"/>
      <c r="M5911" s="129"/>
      <c r="N5911" s="129"/>
      <c r="O5911" s="129"/>
    </row>
    <row r="5912" spans="1:15" ht="12.5">
      <c r="A5912" s="158" t="s">
        <v>29835</v>
      </c>
      <c r="B5912" s="159">
        <v>65</v>
      </c>
      <c r="C5912" s="159">
        <v>72</v>
      </c>
      <c r="D5912" s="159">
        <v>27</v>
      </c>
      <c r="E5912" s="159">
        <v>34</v>
      </c>
      <c r="F5912" s="131"/>
      <c r="G5912" s="132"/>
      <c r="H5912" s="162" t="s">
        <v>29836</v>
      </c>
      <c r="I5912" s="128"/>
      <c r="J5912" s="128"/>
      <c r="K5912" s="128"/>
      <c r="L5912" s="128"/>
      <c r="M5912" s="129"/>
      <c r="N5912" s="129"/>
      <c r="O5912" s="129"/>
    </row>
    <row r="5913" spans="1:15" ht="12.5">
      <c r="A5913" s="158" t="s">
        <v>29837</v>
      </c>
      <c r="B5913" s="159">
        <v>65</v>
      </c>
      <c r="C5913" s="159">
        <v>72</v>
      </c>
      <c r="D5913" s="159">
        <v>27</v>
      </c>
      <c r="E5913" s="159">
        <v>42</v>
      </c>
      <c r="F5913" s="131"/>
      <c r="G5913" s="132"/>
      <c r="H5913" s="162" t="s">
        <v>29838</v>
      </c>
      <c r="I5913" s="128"/>
      <c r="J5913" s="128"/>
      <c r="K5913" s="128"/>
      <c r="L5913" s="128"/>
      <c r="M5913" s="129"/>
      <c r="N5913" s="129"/>
      <c r="O5913" s="129"/>
    </row>
    <row r="5914" spans="1:15" ht="12.5">
      <c r="A5914" s="158" t="s">
        <v>29839</v>
      </c>
      <c r="B5914" s="159">
        <v>65</v>
      </c>
      <c r="C5914" s="159">
        <v>72</v>
      </c>
      <c r="D5914" s="159">
        <v>27</v>
      </c>
      <c r="E5914" s="159">
        <v>44</v>
      </c>
      <c r="F5914" s="131"/>
      <c r="G5914" s="132"/>
      <c r="H5914" s="162" t="s">
        <v>29840</v>
      </c>
      <c r="I5914" s="158" t="s">
        <v>29841</v>
      </c>
      <c r="J5914" s="128"/>
      <c r="K5914" s="128"/>
      <c r="L5914" s="128"/>
      <c r="M5914" s="129"/>
      <c r="N5914" s="129"/>
      <c r="O5914" s="129"/>
    </row>
    <row r="5915" spans="1:15" ht="12.5">
      <c r="A5915" s="158" t="s">
        <v>29842</v>
      </c>
      <c r="B5915" s="159">
        <v>65</v>
      </c>
      <c r="C5915" s="159">
        <v>72</v>
      </c>
      <c r="D5915" s="159">
        <v>27</v>
      </c>
      <c r="E5915" s="159">
        <v>47</v>
      </c>
      <c r="F5915" s="131"/>
      <c r="G5915" s="132"/>
      <c r="H5915" s="162" t="s">
        <v>29843</v>
      </c>
      <c r="I5915" s="158" t="s">
        <v>29844</v>
      </c>
      <c r="J5915" s="128"/>
      <c r="K5915" s="128"/>
      <c r="L5915" s="128"/>
      <c r="M5915" s="129"/>
      <c r="N5915" s="129"/>
      <c r="O5915" s="129"/>
    </row>
    <row r="5916" spans="1:15" ht="12.5">
      <c r="A5916" s="158" t="s">
        <v>29845</v>
      </c>
      <c r="B5916" s="159">
        <v>65</v>
      </c>
      <c r="C5916" s="159">
        <v>72</v>
      </c>
      <c r="D5916" s="159">
        <v>27</v>
      </c>
      <c r="E5916" s="159">
        <v>48</v>
      </c>
      <c r="F5916" s="131"/>
      <c r="G5916" s="132"/>
      <c r="H5916" s="162" t="s">
        <v>29846</v>
      </c>
      <c r="I5916" s="128"/>
      <c r="J5916" s="128"/>
      <c r="K5916" s="128"/>
      <c r="L5916" s="128"/>
      <c r="M5916" s="129"/>
      <c r="N5916" s="129"/>
      <c r="O5916" s="129"/>
    </row>
    <row r="5917" spans="1:15" ht="12.5">
      <c r="A5917" s="158" t="s">
        <v>29847</v>
      </c>
      <c r="B5917" s="159">
        <v>65</v>
      </c>
      <c r="C5917" s="159">
        <v>72</v>
      </c>
      <c r="D5917" s="159">
        <v>27</v>
      </c>
      <c r="E5917" s="159">
        <v>50</v>
      </c>
      <c r="F5917" s="131"/>
      <c r="G5917" s="132"/>
      <c r="H5917" s="162" t="s">
        <v>29848</v>
      </c>
      <c r="I5917" s="158" t="s">
        <v>29849</v>
      </c>
      <c r="J5917" s="128"/>
      <c r="K5917" s="128"/>
      <c r="L5917" s="128"/>
      <c r="M5917" s="129"/>
      <c r="N5917" s="129"/>
      <c r="O5917" s="129"/>
    </row>
    <row r="5918" spans="1:15" ht="12.5">
      <c r="A5918" s="158" t="s">
        <v>29850</v>
      </c>
      <c r="B5918" s="159">
        <v>65</v>
      </c>
      <c r="C5918" s="159">
        <v>72</v>
      </c>
      <c r="D5918" s="159">
        <v>27</v>
      </c>
      <c r="E5918" s="159">
        <v>52</v>
      </c>
      <c r="F5918" s="131"/>
      <c r="G5918" s="132"/>
      <c r="H5918" s="162" t="s">
        <v>29851</v>
      </c>
      <c r="I5918" s="158" t="s">
        <v>29852</v>
      </c>
      <c r="J5918" s="128"/>
      <c r="K5918" s="128"/>
      <c r="L5918" s="128"/>
      <c r="M5918" s="129"/>
      <c r="N5918" s="129"/>
      <c r="O5918" s="129"/>
    </row>
    <row r="5919" spans="1:15" ht="12.5">
      <c r="A5919" s="158" t="s">
        <v>29853</v>
      </c>
      <c r="B5919" s="159">
        <v>65</v>
      </c>
      <c r="C5919" s="159">
        <v>72</v>
      </c>
      <c r="D5919" s="159">
        <v>27</v>
      </c>
      <c r="E5919" s="159">
        <v>53</v>
      </c>
      <c r="F5919" s="131"/>
      <c r="G5919" s="132"/>
      <c r="H5919" s="162" t="s">
        <v>29854</v>
      </c>
      <c r="I5919" s="158" t="s">
        <v>29855</v>
      </c>
      <c r="J5919" s="128"/>
      <c r="K5919" s="128"/>
      <c r="L5919" s="128"/>
      <c r="M5919" s="129"/>
      <c r="N5919" s="129"/>
      <c r="O5919" s="129"/>
    </row>
    <row r="5920" spans="1:15" ht="12.5">
      <c r="A5920" s="158" t="s">
        <v>29856</v>
      </c>
      <c r="B5920" s="159">
        <v>65</v>
      </c>
      <c r="C5920" s="159">
        <v>72</v>
      </c>
      <c r="D5920" s="159">
        <v>27</v>
      </c>
      <c r="E5920" s="159">
        <v>72</v>
      </c>
      <c r="F5920" s="131"/>
      <c r="G5920" s="132"/>
      <c r="H5920" s="162" t="s">
        <v>29857</v>
      </c>
      <c r="I5920" s="158" t="s">
        <v>29858</v>
      </c>
      <c r="J5920" s="128"/>
      <c r="K5920" s="128"/>
      <c r="L5920" s="128"/>
      <c r="M5920" s="129"/>
      <c r="N5920" s="129"/>
      <c r="O5920" s="129"/>
    </row>
    <row r="5921" spans="1:15" ht="12.5">
      <c r="A5921" s="158" t="s">
        <v>29859</v>
      </c>
      <c r="B5921" s="159">
        <v>65</v>
      </c>
      <c r="C5921" s="159">
        <v>72</v>
      </c>
      <c r="D5921" s="159">
        <v>27</v>
      </c>
      <c r="E5921" s="159">
        <v>73</v>
      </c>
      <c r="F5921" s="131"/>
      <c r="G5921" s="132"/>
      <c r="H5921" s="162" t="s">
        <v>29860</v>
      </c>
      <c r="I5921" s="158" t="s">
        <v>29861</v>
      </c>
      <c r="J5921" s="128"/>
      <c r="K5921" s="128"/>
      <c r="L5921" s="128"/>
      <c r="M5921" s="129"/>
      <c r="N5921" s="129"/>
      <c r="O5921" s="129"/>
    </row>
    <row r="5922" spans="1:15" ht="12.5">
      <c r="A5922" s="158" t="s">
        <v>29862</v>
      </c>
      <c r="B5922" s="159">
        <v>65</v>
      </c>
      <c r="C5922" s="159">
        <v>72</v>
      </c>
      <c r="D5922" s="159">
        <v>27</v>
      </c>
      <c r="E5922" s="159">
        <v>74</v>
      </c>
      <c r="F5922" s="131"/>
      <c r="G5922" s="132"/>
      <c r="H5922" s="162" t="s">
        <v>29863</v>
      </c>
      <c r="I5922" s="158" t="s">
        <v>29864</v>
      </c>
      <c r="J5922" s="128"/>
      <c r="K5922" s="128"/>
      <c r="L5922" s="128"/>
      <c r="M5922" s="129"/>
      <c r="N5922" s="129"/>
      <c r="O5922" s="129"/>
    </row>
    <row r="5923" spans="1:15" ht="12.5">
      <c r="A5923" s="158" t="s">
        <v>29865</v>
      </c>
      <c r="B5923" s="159">
        <v>65</v>
      </c>
      <c r="C5923" s="159">
        <v>72</v>
      </c>
      <c r="D5923" s="159">
        <v>27</v>
      </c>
      <c r="E5923" s="159">
        <v>88</v>
      </c>
      <c r="F5923" s="131"/>
      <c r="G5923" s="132"/>
      <c r="H5923" s="162" t="s">
        <v>29866</v>
      </c>
      <c r="I5923" s="158" t="s">
        <v>29867</v>
      </c>
      <c r="J5923" s="128"/>
      <c r="K5923" s="128"/>
      <c r="L5923" s="128"/>
      <c r="M5923" s="129"/>
      <c r="N5923" s="129"/>
      <c r="O5923" s="129"/>
    </row>
    <row r="5924" spans="1:15" ht="12.5">
      <c r="A5924" s="158" t="s">
        <v>29868</v>
      </c>
      <c r="B5924" s="159">
        <v>65</v>
      </c>
      <c r="C5924" s="159">
        <v>72</v>
      </c>
      <c r="D5924" s="159">
        <v>43</v>
      </c>
      <c r="E5924" s="130"/>
      <c r="F5924" s="131"/>
      <c r="G5924" s="132"/>
      <c r="H5924" s="162" t="s">
        <v>29869</v>
      </c>
      <c r="I5924" s="128"/>
      <c r="J5924" s="128"/>
      <c r="K5924" s="128"/>
      <c r="L5924" s="128"/>
      <c r="M5924" s="129"/>
      <c r="N5924" s="129"/>
      <c r="O5924" s="129"/>
    </row>
    <row r="5925" spans="1:15" ht="12.5">
      <c r="A5925" s="158" t="s">
        <v>29870</v>
      </c>
      <c r="B5925" s="159">
        <v>65</v>
      </c>
      <c r="C5925" s="159">
        <v>72</v>
      </c>
      <c r="D5925" s="159">
        <v>43</v>
      </c>
      <c r="E5925" s="159">
        <v>1</v>
      </c>
      <c r="F5925" s="131"/>
      <c r="G5925" s="132"/>
      <c r="H5925" s="162" t="s">
        <v>29871</v>
      </c>
      <c r="I5925" s="158" t="s">
        <v>29872</v>
      </c>
      <c r="J5925" s="128"/>
      <c r="K5925" s="128"/>
      <c r="L5925" s="128"/>
      <c r="M5925" s="129"/>
      <c r="N5925" s="129"/>
      <c r="O5925" s="129"/>
    </row>
    <row r="5926" spans="1:15" ht="12.5">
      <c r="A5926" s="158" t="s">
        <v>29873</v>
      </c>
      <c r="B5926" s="159">
        <v>65</v>
      </c>
      <c r="C5926" s="159">
        <v>72</v>
      </c>
      <c r="D5926" s="159">
        <v>43</v>
      </c>
      <c r="E5926" s="159">
        <v>5</v>
      </c>
      <c r="F5926" s="131"/>
      <c r="G5926" s="132"/>
      <c r="H5926" s="162" t="s">
        <v>29874</v>
      </c>
      <c r="I5926" s="158" t="s">
        <v>29875</v>
      </c>
      <c r="J5926" s="128"/>
      <c r="K5926" s="128"/>
      <c r="L5926" s="128"/>
      <c r="M5926" s="129"/>
      <c r="N5926" s="129"/>
      <c r="O5926" s="129"/>
    </row>
    <row r="5927" spans="1:15" ht="12.5">
      <c r="A5927" s="158" t="s">
        <v>29876</v>
      </c>
      <c r="B5927" s="159">
        <v>65</v>
      </c>
      <c r="C5927" s="159">
        <v>72</v>
      </c>
      <c r="D5927" s="159">
        <v>43</v>
      </c>
      <c r="E5927" s="159">
        <v>7</v>
      </c>
      <c r="F5927" s="131"/>
      <c r="G5927" s="132"/>
      <c r="H5927" s="162" t="s">
        <v>29877</v>
      </c>
      <c r="I5927" s="158" t="s">
        <v>29878</v>
      </c>
      <c r="J5927" s="128"/>
      <c r="K5927" s="128"/>
      <c r="L5927" s="128"/>
      <c r="M5927" s="129"/>
      <c r="N5927" s="129"/>
      <c r="O5927" s="129"/>
    </row>
    <row r="5928" spans="1:15" ht="12.5">
      <c r="A5928" s="158" t="s">
        <v>29879</v>
      </c>
      <c r="B5928" s="159">
        <v>65</v>
      </c>
      <c r="C5928" s="159">
        <v>72</v>
      </c>
      <c r="D5928" s="159">
        <v>43</v>
      </c>
      <c r="E5928" s="159">
        <v>39</v>
      </c>
      <c r="F5928" s="131"/>
      <c r="G5928" s="132"/>
      <c r="H5928" s="162" t="s">
        <v>29880</v>
      </c>
      <c r="I5928" s="158" t="s">
        <v>29881</v>
      </c>
      <c r="J5928" s="128"/>
      <c r="K5928" s="128"/>
      <c r="L5928" s="128"/>
      <c r="M5928" s="129"/>
      <c r="N5928" s="129"/>
      <c r="O5928" s="129"/>
    </row>
    <row r="5929" spans="1:15" ht="12.5">
      <c r="A5929" s="158" t="s">
        <v>29882</v>
      </c>
      <c r="B5929" s="159">
        <v>65</v>
      </c>
      <c r="C5929" s="159">
        <v>72</v>
      </c>
      <c r="D5929" s="159">
        <v>43</v>
      </c>
      <c r="E5929" s="159">
        <v>42</v>
      </c>
      <c r="F5929" s="131"/>
      <c r="G5929" s="132"/>
      <c r="H5929" s="162" t="s">
        <v>29883</v>
      </c>
      <c r="I5929" s="158" t="s">
        <v>29884</v>
      </c>
      <c r="J5929" s="128"/>
      <c r="K5929" s="128"/>
      <c r="L5929" s="128"/>
      <c r="M5929" s="129"/>
      <c r="N5929" s="129"/>
      <c r="O5929" s="129"/>
    </row>
    <row r="5930" spans="1:15" ht="12.5">
      <c r="A5930" s="158" t="s">
        <v>29885</v>
      </c>
      <c r="B5930" s="159">
        <v>65</v>
      </c>
      <c r="C5930" s="159">
        <v>72</v>
      </c>
      <c r="D5930" s="159">
        <v>43</v>
      </c>
      <c r="E5930" s="159">
        <v>60</v>
      </c>
      <c r="F5930" s="131"/>
      <c r="G5930" s="132"/>
      <c r="H5930" s="162" t="s">
        <v>29886</v>
      </c>
      <c r="I5930" s="158" t="s">
        <v>29887</v>
      </c>
      <c r="J5930" s="128"/>
      <c r="K5930" s="128"/>
      <c r="L5930" s="128"/>
      <c r="M5930" s="129"/>
      <c r="N5930" s="129"/>
      <c r="O5930" s="129"/>
    </row>
    <row r="5931" spans="1:15" ht="12.5">
      <c r="A5931" s="158" t="s">
        <v>29888</v>
      </c>
      <c r="B5931" s="159">
        <v>65</v>
      </c>
      <c r="C5931" s="159">
        <v>72</v>
      </c>
      <c r="D5931" s="159">
        <v>43</v>
      </c>
      <c r="E5931" s="159">
        <v>64</v>
      </c>
      <c r="F5931" s="131"/>
      <c r="G5931" s="132"/>
      <c r="H5931" s="162" t="s">
        <v>29889</v>
      </c>
      <c r="I5931" s="158" t="s">
        <v>29890</v>
      </c>
      <c r="J5931" s="128"/>
      <c r="K5931" s="128"/>
      <c r="L5931" s="128"/>
      <c r="M5931" s="129"/>
      <c r="N5931" s="129"/>
      <c r="O5931" s="129"/>
    </row>
    <row r="5932" spans="1:15" ht="12.5">
      <c r="A5932" s="158" t="s">
        <v>29893</v>
      </c>
      <c r="B5932" s="159">
        <v>65</v>
      </c>
      <c r="C5932" s="159">
        <v>72</v>
      </c>
      <c r="D5932" s="159">
        <v>43</v>
      </c>
      <c r="E5932" s="159">
        <v>95</v>
      </c>
      <c r="F5932" s="131"/>
      <c r="G5932" s="132"/>
      <c r="H5932" s="162" t="s">
        <v>29894</v>
      </c>
      <c r="I5932" s="128"/>
      <c r="J5932" s="128"/>
      <c r="K5932" s="128"/>
      <c r="L5932" s="128"/>
      <c r="M5932" s="129"/>
      <c r="N5932" s="129"/>
      <c r="O5932" s="129"/>
    </row>
    <row r="5933" spans="1:15" ht="12.5">
      <c r="A5933" s="158" t="s">
        <v>29895</v>
      </c>
      <c r="B5933" s="159">
        <v>65</v>
      </c>
      <c r="C5933" s="159">
        <v>72</v>
      </c>
      <c r="D5933" s="159">
        <v>43</v>
      </c>
      <c r="E5933" s="159">
        <v>96</v>
      </c>
      <c r="F5933" s="131"/>
      <c r="G5933" s="132"/>
      <c r="H5933" s="162" t="s">
        <v>29896</v>
      </c>
      <c r="I5933" s="158" t="s">
        <v>29897</v>
      </c>
      <c r="J5933" s="128"/>
      <c r="K5933" s="128"/>
      <c r="L5933" s="128"/>
      <c r="M5933" s="129"/>
      <c r="N5933" s="129"/>
      <c r="O5933" s="129"/>
    </row>
    <row r="5934" spans="1:15" ht="12.5">
      <c r="A5934" s="158" t="s">
        <v>29898</v>
      </c>
      <c r="B5934" s="159">
        <v>65</v>
      </c>
      <c r="C5934" s="159">
        <v>72</v>
      </c>
      <c r="D5934" s="159">
        <v>59</v>
      </c>
      <c r="E5934" s="130"/>
      <c r="F5934" s="131"/>
      <c r="G5934" s="132"/>
      <c r="H5934" s="162" t="s">
        <v>29899</v>
      </c>
      <c r="I5934" s="128"/>
      <c r="J5934" s="128"/>
      <c r="K5934" s="128"/>
      <c r="L5934" s="128"/>
      <c r="M5934" s="129"/>
      <c r="N5934" s="129"/>
      <c r="O5934" s="129"/>
    </row>
    <row r="5935" spans="1:15" ht="12.5">
      <c r="A5935" s="158" t="s">
        <v>29900</v>
      </c>
      <c r="B5935" s="159">
        <v>65</v>
      </c>
      <c r="C5935" s="159">
        <v>72</v>
      </c>
      <c r="D5935" s="159">
        <v>59</v>
      </c>
      <c r="E5935" s="159">
        <v>6</v>
      </c>
      <c r="F5935" s="131"/>
      <c r="G5935" s="132"/>
      <c r="H5935" s="162" t="s">
        <v>29901</v>
      </c>
      <c r="I5935" s="158" t="s">
        <v>29902</v>
      </c>
      <c r="J5935" s="128"/>
      <c r="K5935" s="128"/>
      <c r="L5935" s="128"/>
      <c r="M5935" s="129"/>
      <c r="N5935" s="129"/>
      <c r="O5935" s="129"/>
    </row>
    <row r="5936" spans="1:15" ht="12.5">
      <c r="A5936" s="158" t="s">
        <v>29903</v>
      </c>
      <c r="B5936" s="159">
        <v>65</v>
      </c>
      <c r="C5936" s="159">
        <v>72</v>
      </c>
      <c r="D5936" s="159">
        <v>59</v>
      </c>
      <c r="E5936" s="159">
        <v>80</v>
      </c>
      <c r="F5936" s="131"/>
      <c r="G5936" s="132"/>
      <c r="H5936" s="162" t="s">
        <v>29904</v>
      </c>
      <c r="I5936" s="158" t="s">
        <v>29905</v>
      </c>
      <c r="J5936" s="128"/>
      <c r="K5936" s="128"/>
      <c r="L5936" s="128"/>
      <c r="M5936" s="129"/>
      <c r="N5936" s="129"/>
      <c r="O5936" s="129"/>
    </row>
    <row r="5937" spans="1:15" ht="12.5">
      <c r="A5937" s="158" t="s">
        <v>29906</v>
      </c>
      <c r="B5937" s="159">
        <v>65</v>
      </c>
      <c r="C5937" s="159">
        <v>72</v>
      </c>
      <c r="D5937" s="159">
        <v>59</v>
      </c>
      <c r="E5937" s="159">
        <v>90</v>
      </c>
      <c r="F5937" s="131"/>
      <c r="G5937" s="132"/>
      <c r="H5937" s="162" t="s">
        <v>29907</v>
      </c>
      <c r="I5937" s="158" t="s">
        <v>29908</v>
      </c>
      <c r="J5937" s="128"/>
      <c r="K5937" s="128"/>
      <c r="L5937" s="128"/>
      <c r="M5937" s="129"/>
      <c r="N5937" s="129"/>
      <c r="O5937" s="129"/>
    </row>
    <row r="5938" spans="1:15" ht="12.5">
      <c r="A5938" s="158" t="s">
        <v>29909</v>
      </c>
      <c r="B5938" s="159">
        <v>65</v>
      </c>
      <c r="C5938" s="159">
        <v>72</v>
      </c>
      <c r="D5938" s="159">
        <v>60</v>
      </c>
      <c r="E5938" s="130"/>
      <c r="F5938" s="131"/>
      <c r="G5938" s="132"/>
      <c r="H5938" s="162" t="s">
        <v>29910</v>
      </c>
      <c r="I5938" s="128"/>
      <c r="J5938" s="128"/>
      <c r="K5938" s="128"/>
      <c r="L5938" s="128"/>
      <c r="M5938" s="129"/>
      <c r="N5938" s="129"/>
      <c r="O5938" s="129"/>
    </row>
    <row r="5939" spans="1:15" ht="12.5">
      <c r="A5939" s="158" t="s">
        <v>29911</v>
      </c>
      <c r="B5939" s="159">
        <v>65</v>
      </c>
      <c r="C5939" s="159">
        <v>72</v>
      </c>
      <c r="D5939" s="159">
        <v>60</v>
      </c>
      <c r="E5939" s="159">
        <v>23</v>
      </c>
      <c r="F5939" s="131"/>
      <c r="G5939" s="132"/>
      <c r="H5939" s="162" t="s">
        <v>29912</v>
      </c>
      <c r="I5939" s="158" t="s">
        <v>29913</v>
      </c>
      <c r="J5939" s="128"/>
      <c r="K5939" s="128"/>
      <c r="L5939" s="128"/>
      <c r="M5939" s="129"/>
      <c r="N5939" s="129"/>
      <c r="O5939" s="129"/>
    </row>
    <row r="5940" spans="1:15" ht="12.5">
      <c r="A5940" s="158" t="s">
        <v>29914</v>
      </c>
      <c r="B5940" s="159">
        <v>65</v>
      </c>
      <c r="C5940" s="159">
        <v>72</v>
      </c>
      <c r="D5940" s="159">
        <v>60</v>
      </c>
      <c r="E5940" s="159">
        <v>24</v>
      </c>
      <c r="F5940" s="131"/>
      <c r="G5940" s="132"/>
      <c r="H5940" s="162" t="s">
        <v>29915</v>
      </c>
      <c r="I5940" s="158" t="s">
        <v>29916</v>
      </c>
      <c r="J5940" s="128"/>
      <c r="K5940" s="128"/>
      <c r="L5940" s="128"/>
      <c r="M5940" s="129"/>
      <c r="N5940" s="129"/>
      <c r="O5940" s="129"/>
    </row>
    <row r="5941" spans="1:15" ht="12.5">
      <c r="A5941" s="158" t="s">
        <v>29917</v>
      </c>
      <c r="B5941" s="159">
        <v>65</v>
      </c>
      <c r="C5941" s="159">
        <v>72</v>
      </c>
      <c r="D5941" s="159">
        <v>60</v>
      </c>
      <c r="E5941" s="159">
        <v>55</v>
      </c>
      <c r="F5941" s="131"/>
      <c r="G5941" s="132"/>
      <c r="H5941" s="162" t="s">
        <v>29918</v>
      </c>
      <c r="I5941" s="158" t="s">
        <v>29919</v>
      </c>
      <c r="J5941" s="128"/>
      <c r="K5941" s="128"/>
      <c r="L5941" s="128"/>
      <c r="M5941" s="129"/>
      <c r="N5941" s="129"/>
      <c r="O5941" s="129"/>
    </row>
    <row r="5942" spans="1:15" ht="12.5">
      <c r="A5942" s="158" t="s">
        <v>29920</v>
      </c>
      <c r="B5942" s="159">
        <v>65</v>
      </c>
      <c r="C5942" s="159">
        <v>72</v>
      </c>
      <c r="D5942" s="159">
        <v>60</v>
      </c>
      <c r="E5942" s="159">
        <v>56</v>
      </c>
      <c r="F5942" s="131"/>
      <c r="G5942" s="132"/>
      <c r="H5942" s="162" t="s">
        <v>29921</v>
      </c>
      <c r="I5942" s="158" t="s">
        <v>29922</v>
      </c>
      <c r="J5942" s="128"/>
      <c r="K5942" s="128"/>
      <c r="L5942" s="128"/>
      <c r="M5942" s="129"/>
      <c r="N5942" s="129"/>
      <c r="O5942" s="129"/>
    </row>
    <row r="5943" spans="1:15" ht="12.5">
      <c r="A5943" s="158" t="s">
        <v>29923</v>
      </c>
      <c r="B5943" s="159">
        <v>65</v>
      </c>
      <c r="C5943" s="159">
        <v>72</v>
      </c>
      <c r="D5943" s="159">
        <v>60</v>
      </c>
      <c r="E5943" s="159">
        <v>57</v>
      </c>
      <c r="F5943" s="131"/>
      <c r="G5943" s="132"/>
      <c r="H5943" s="162" t="s">
        <v>29924</v>
      </c>
      <c r="I5943" s="158" t="s">
        <v>29925</v>
      </c>
      <c r="J5943" s="128"/>
      <c r="K5943" s="128"/>
      <c r="L5943" s="128"/>
      <c r="M5943" s="129"/>
      <c r="N5943" s="129"/>
      <c r="O5943" s="129"/>
    </row>
    <row r="5944" spans="1:15" ht="12.5">
      <c r="A5944" s="158" t="s">
        <v>29926</v>
      </c>
      <c r="B5944" s="159">
        <v>65</v>
      </c>
      <c r="C5944" s="159">
        <v>72</v>
      </c>
      <c r="D5944" s="159">
        <v>60</v>
      </c>
      <c r="E5944" s="159">
        <v>58</v>
      </c>
      <c r="F5944" s="131"/>
      <c r="G5944" s="132"/>
      <c r="H5944" s="162" t="s">
        <v>29927</v>
      </c>
      <c r="I5944" s="158" t="s">
        <v>29928</v>
      </c>
      <c r="J5944" s="128"/>
      <c r="K5944" s="128"/>
      <c r="L5944" s="128"/>
      <c r="M5944" s="129"/>
      <c r="N5944" s="129"/>
      <c r="O5944" s="129"/>
    </row>
    <row r="5945" spans="1:15" ht="12.5">
      <c r="A5945" s="158" t="s">
        <v>29929</v>
      </c>
      <c r="B5945" s="159">
        <v>65</v>
      </c>
      <c r="C5945" s="159">
        <v>72</v>
      </c>
      <c r="D5945" s="159">
        <v>60</v>
      </c>
      <c r="E5945" s="159">
        <v>59</v>
      </c>
      <c r="F5945" s="131"/>
      <c r="G5945" s="132"/>
      <c r="H5945" s="162" t="s">
        <v>29930</v>
      </c>
      <c r="I5945" s="158" t="s">
        <v>29931</v>
      </c>
      <c r="J5945" s="128"/>
      <c r="K5945" s="128"/>
      <c r="L5945" s="128"/>
      <c r="M5945" s="129"/>
      <c r="N5945" s="129"/>
      <c r="O5945" s="129"/>
    </row>
    <row r="5946" spans="1:15" ht="12.5">
      <c r="A5946" s="158" t="s">
        <v>29932</v>
      </c>
      <c r="B5946" s="159">
        <v>65</v>
      </c>
      <c r="C5946" s="159">
        <v>72</v>
      </c>
      <c r="D5946" s="159">
        <v>60</v>
      </c>
      <c r="E5946" s="159">
        <v>60</v>
      </c>
      <c r="F5946" s="131"/>
      <c r="G5946" s="132"/>
      <c r="H5946" s="162" t="s">
        <v>29933</v>
      </c>
      <c r="I5946" s="158" t="s">
        <v>29934</v>
      </c>
      <c r="J5946" s="128"/>
      <c r="K5946" s="128"/>
      <c r="L5946" s="128"/>
      <c r="M5946" s="129"/>
      <c r="N5946" s="129"/>
      <c r="O5946" s="129"/>
    </row>
    <row r="5947" spans="1:15" ht="12.5">
      <c r="A5947" s="158" t="s">
        <v>29935</v>
      </c>
      <c r="B5947" s="159">
        <v>65</v>
      </c>
      <c r="C5947" s="159">
        <v>72</v>
      </c>
      <c r="D5947" s="159">
        <v>60</v>
      </c>
      <c r="E5947" s="159">
        <v>61</v>
      </c>
      <c r="F5947" s="131"/>
      <c r="G5947" s="132"/>
      <c r="H5947" s="162" t="s">
        <v>29936</v>
      </c>
      <c r="I5947" s="158" t="s">
        <v>29937</v>
      </c>
      <c r="J5947" s="128"/>
      <c r="K5947" s="128"/>
      <c r="L5947" s="128"/>
      <c r="M5947" s="129"/>
      <c r="N5947" s="129"/>
      <c r="O5947" s="129"/>
    </row>
    <row r="5948" spans="1:15" ht="12.5">
      <c r="A5948" s="158" t="s">
        <v>29940</v>
      </c>
      <c r="B5948" s="159">
        <v>65</v>
      </c>
      <c r="C5948" s="159">
        <v>72</v>
      </c>
      <c r="D5948" s="159">
        <v>60</v>
      </c>
      <c r="E5948" s="159">
        <v>77</v>
      </c>
      <c r="F5948" s="131"/>
      <c r="G5948" s="132"/>
      <c r="H5948" s="162" t="s">
        <v>29941</v>
      </c>
      <c r="I5948" s="158" t="s">
        <v>29942</v>
      </c>
      <c r="J5948" s="128"/>
      <c r="K5948" s="128"/>
      <c r="L5948" s="128"/>
      <c r="M5948" s="129"/>
      <c r="N5948" s="129"/>
      <c r="O5948" s="129"/>
    </row>
    <row r="5949" spans="1:15" ht="12.5">
      <c r="A5949" s="158" t="s">
        <v>29943</v>
      </c>
      <c r="B5949" s="159">
        <v>65</v>
      </c>
      <c r="C5949" s="159">
        <v>72</v>
      </c>
      <c r="D5949" s="159">
        <v>60</v>
      </c>
      <c r="E5949" s="159">
        <v>78</v>
      </c>
      <c r="F5949" s="131"/>
      <c r="G5949" s="132"/>
      <c r="H5949" s="162" t="s">
        <v>29944</v>
      </c>
      <c r="I5949" s="158" t="s">
        <v>29945</v>
      </c>
      <c r="J5949" s="128"/>
      <c r="K5949" s="128"/>
      <c r="L5949" s="128"/>
      <c r="M5949" s="129"/>
      <c r="N5949" s="129"/>
      <c r="O5949" s="129"/>
    </row>
    <row r="5950" spans="1:15" ht="12.5">
      <c r="A5950" s="158" t="s">
        <v>29946</v>
      </c>
      <c r="B5950" s="159">
        <v>65</v>
      </c>
      <c r="C5950" s="159">
        <v>72</v>
      </c>
      <c r="D5950" s="159">
        <v>97</v>
      </c>
      <c r="E5950" s="130"/>
      <c r="F5950" s="131"/>
      <c r="G5950" s="132"/>
      <c r="H5950" s="162" t="s">
        <v>29947</v>
      </c>
      <c r="I5950" s="128"/>
      <c r="J5950" s="128"/>
      <c r="K5950" s="128"/>
      <c r="L5950" s="128"/>
      <c r="M5950" s="129"/>
      <c r="N5950" s="129"/>
      <c r="O5950" s="129"/>
    </row>
    <row r="5951" spans="1:15" ht="12.5">
      <c r="A5951" s="158" t="s">
        <v>29948</v>
      </c>
      <c r="B5951" s="159">
        <v>65</v>
      </c>
      <c r="C5951" s="159">
        <v>72</v>
      </c>
      <c r="D5951" s="159">
        <v>97</v>
      </c>
      <c r="E5951" s="159">
        <v>3</v>
      </c>
      <c r="F5951" s="131"/>
      <c r="G5951" s="132"/>
      <c r="H5951" s="162" t="s">
        <v>29949</v>
      </c>
      <c r="I5951" s="158" t="s">
        <v>29950</v>
      </c>
      <c r="J5951" s="128"/>
      <c r="K5951" s="128"/>
      <c r="L5951" s="128"/>
      <c r="M5951" s="129"/>
      <c r="N5951" s="129"/>
      <c r="O5951" s="129"/>
    </row>
    <row r="5952" spans="1:15" ht="12.5">
      <c r="A5952" s="158" t="s">
        <v>29951</v>
      </c>
      <c r="B5952" s="159">
        <v>65</v>
      </c>
      <c r="C5952" s="159">
        <v>72</v>
      </c>
      <c r="D5952" s="159">
        <v>97</v>
      </c>
      <c r="E5952" s="159">
        <v>6</v>
      </c>
      <c r="F5952" s="131"/>
      <c r="G5952" s="132"/>
      <c r="H5952" s="162" t="s">
        <v>29952</v>
      </c>
      <c r="I5952" s="158" t="s">
        <v>29953</v>
      </c>
      <c r="J5952" s="128"/>
      <c r="K5952" s="128"/>
      <c r="L5952" s="128"/>
      <c r="M5952" s="129"/>
      <c r="N5952" s="129"/>
      <c r="O5952" s="129"/>
    </row>
    <row r="5953" spans="1:15" ht="12.5">
      <c r="A5953" s="158" t="s">
        <v>29954</v>
      </c>
      <c r="B5953" s="159">
        <v>65</v>
      </c>
      <c r="C5953" s="159">
        <v>72</v>
      </c>
      <c r="D5953" s="159">
        <v>97</v>
      </c>
      <c r="E5953" s="159">
        <v>11</v>
      </c>
      <c r="F5953" s="131"/>
      <c r="G5953" s="132"/>
      <c r="H5953" s="162" t="s">
        <v>29955</v>
      </c>
      <c r="I5953" s="158" t="s">
        <v>29956</v>
      </c>
      <c r="J5953" s="128"/>
      <c r="K5953" s="128"/>
      <c r="L5953" s="128"/>
      <c r="M5953" s="129"/>
      <c r="N5953" s="129"/>
      <c r="O5953" s="129"/>
    </row>
    <row r="5954" spans="1:15" ht="12.5">
      <c r="A5954" s="158" t="s">
        <v>29957</v>
      </c>
      <c r="B5954" s="159">
        <v>65</v>
      </c>
      <c r="C5954" s="159">
        <v>72</v>
      </c>
      <c r="D5954" s="159">
        <v>97</v>
      </c>
      <c r="E5954" s="159">
        <v>12</v>
      </c>
      <c r="F5954" s="131"/>
      <c r="G5954" s="132"/>
      <c r="H5954" s="162" t="s">
        <v>29958</v>
      </c>
      <c r="I5954" s="158" t="s">
        <v>29959</v>
      </c>
      <c r="J5954" s="128"/>
      <c r="K5954" s="128"/>
      <c r="L5954" s="128"/>
      <c r="M5954" s="129"/>
      <c r="N5954" s="129"/>
      <c r="O5954" s="129"/>
    </row>
    <row r="5955" spans="1:15" ht="12.5">
      <c r="A5955" s="158" t="s">
        <v>29960</v>
      </c>
      <c r="B5955" s="159">
        <v>65</v>
      </c>
      <c r="C5955" s="159">
        <v>72</v>
      </c>
      <c r="D5955" s="159">
        <v>97</v>
      </c>
      <c r="E5955" s="159">
        <v>16</v>
      </c>
      <c r="F5955" s="131"/>
      <c r="G5955" s="132"/>
      <c r="H5955" s="162" t="s">
        <v>29961</v>
      </c>
      <c r="I5955" s="158" t="s">
        <v>29962</v>
      </c>
      <c r="J5955" s="128"/>
      <c r="K5955" s="128"/>
      <c r="L5955" s="128"/>
      <c r="M5955" s="129"/>
      <c r="N5955" s="129"/>
      <c r="O5955" s="129"/>
    </row>
    <row r="5956" spans="1:15" ht="12.5">
      <c r="A5956" s="158" t="s">
        <v>29963</v>
      </c>
      <c r="B5956" s="159">
        <v>65</v>
      </c>
      <c r="C5956" s="159">
        <v>72</v>
      </c>
      <c r="D5956" s="159">
        <v>97</v>
      </c>
      <c r="E5956" s="159">
        <v>17</v>
      </c>
      <c r="F5956" s="131"/>
      <c r="G5956" s="132"/>
      <c r="H5956" s="162" t="s">
        <v>29964</v>
      </c>
      <c r="I5956" s="158" t="s">
        <v>29965</v>
      </c>
      <c r="J5956" s="128"/>
      <c r="K5956" s="128"/>
      <c r="L5956" s="128"/>
      <c r="M5956" s="129"/>
      <c r="N5956" s="129"/>
      <c r="O5956" s="129"/>
    </row>
    <row r="5957" spans="1:15" ht="12.5">
      <c r="A5957" s="158" t="s">
        <v>29966</v>
      </c>
      <c r="B5957" s="159">
        <v>65</v>
      </c>
      <c r="C5957" s="159">
        <v>72</v>
      </c>
      <c r="D5957" s="159">
        <v>97</v>
      </c>
      <c r="E5957" s="159">
        <v>18</v>
      </c>
      <c r="F5957" s="131"/>
      <c r="G5957" s="132"/>
      <c r="H5957" s="162" t="s">
        <v>29967</v>
      </c>
      <c r="I5957" s="158" t="s">
        <v>29968</v>
      </c>
      <c r="J5957" s="128"/>
      <c r="K5957" s="128"/>
      <c r="L5957" s="128"/>
      <c r="M5957" s="129"/>
      <c r="N5957" s="129"/>
      <c r="O5957" s="129"/>
    </row>
    <row r="5958" spans="1:15" ht="12.5">
      <c r="A5958" s="158" t="s">
        <v>29969</v>
      </c>
      <c r="B5958" s="159">
        <v>65</v>
      </c>
      <c r="C5958" s="159">
        <v>72</v>
      </c>
      <c r="D5958" s="159">
        <v>97</v>
      </c>
      <c r="E5958" s="159">
        <v>20</v>
      </c>
      <c r="F5958" s="131"/>
      <c r="G5958" s="132"/>
      <c r="H5958" s="162" t="s">
        <v>29970</v>
      </c>
      <c r="I5958" s="158" t="s">
        <v>29971</v>
      </c>
      <c r="J5958" s="128"/>
      <c r="K5958" s="128"/>
      <c r="L5958" s="128"/>
      <c r="M5958" s="129"/>
      <c r="N5958" s="129"/>
      <c r="O5958" s="129"/>
    </row>
    <row r="5959" spans="1:15" ht="12.5">
      <c r="A5959" s="158" t="s">
        <v>29972</v>
      </c>
      <c r="B5959" s="159">
        <v>65</v>
      </c>
      <c r="C5959" s="159">
        <v>72</v>
      </c>
      <c r="D5959" s="159">
        <v>97</v>
      </c>
      <c r="E5959" s="159">
        <v>21</v>
      </c>
      <c r="F5959" s="131"/>
      <c r="G5959" s="132"/>
      <c r="H5959" s="162" t="s">
        <v>29973</v>
      </c>
      <c r="I5959" s="158" t="s">
        <v>29974</v>
      </c>
      <c r="J5959" s="128"/>
      <c r="K5959" s="128"/>
      <c r="L5959" s="128"/>
      <c r="M5959" s="129"/>
      <c r="N5959" s="129"/>
      <c r="O5959" s="129"/>
    </row>
    <row r="5960" spans="1:15" ht="12.5">
      <c r="A5960" s="158" t="s">
        <v>29975</v>
      </c>
      <c r="B5960" s="159">
        <v>65</v>
      </c>
      <c r="C5960" s="159">
        <v>72</v>
      </c>
      <c r="D5960" s="159">
        <v>97</v>
      </c>
      <c r="E5960" s="159">
        <v>22</v>
      </c>
      <c r="F5960" s="131"/>
      <c r="G5960" s="132"/>
      <c r="H5960" s="162" t="s">
        <v>29976</v>
      </c>
      <c r="I5960" s="158" t="s">
        <v>29977</v>
      </c>
      <c r="J5960" s="128"/>
      <c r="K5960" s="128"/>
      <c r="L5960" s="128"/>
      <c r="M5960" s="129"/>
      <c r="N5960" s="129"/>
      <c r="O5960" s="129"/>
    </row>
    <row r="5961" spans="1:15" ht="12.5">
      <c r="A5961" s="158" t="s">
        <v>29978</v>
      </c>
      <c r="B5961" s="159">
        <v>65</v>
      </c>
      <c r="C5961" s="159">
        <v>72</v>
      </c>
      <c r="D5961" s="159">
        <v>97</v>
      </c>
      <c r="E5961" s="159">
        <v>23</v>
      </c>
      <c r="F5961" s="131"/>
      <c r="G5961" s="132"/>
      <c r="H5961" s="162" t="s">
        <v>29979</v>
      </c>
      <c r="I5961" s="158" t="s">
        <v>29980</v>
      </c>
      <c r="J5961" s="128"/>
      <c r="K5961" s="128"/>
      <c r="L5961" s="128"/>
      <c r="M5961" s="129"/>
      <c r="N5961" s="129"/>
      <c r="O5961" s="129"/>
    </row>
    <row r="5962" spans="1:15" ht="12.5">
      <c r="A5962" s="158" t="s">
        <v>29981</v>
      </c>
      <c r="B5962" s="159">
        <v>65</v>
      </c>
      <c r="C5962" s="159">
        <v>72</v>
      </c>
      <c r="D5962" s="159">
        <v>97</v>
      </c>
      <c r="E5962" s="159">
        <v>26</v>
      </c>
      <c r="F5962" s="131"/>
      <c r="G5962" s="132"/>
      <c r="H5962" s="162" t="s">
        <v>29982</v>
      </c>
      <c r="I5962" s="158" t="s">
        <v>29983</v>
      </c>
      <c r="J5962" s="128"/>
      <c r="K5962" s="128"/>
      <c r="L5962" s="128"/>
      <c r="M5962" s="129"/>
      <c r="N5962" s="129"/>
      <c r="O5962" s="129"/>
    </row>
    <row r="5963" spans="1:15" ht="12.5">
      <c r="A5963" s="158" t="s">
        <v>29984</v>
      </c>
      <c r="B5963" s="159">
        <v>65</v>
      </c>
      <c r="C5963" s="159">
        <v>72</v>
      </c>
      <c r="D5963" s="159">
        <v>97</v>
      </c>
      <c r="E5963" s="159">
        <v>27</v>
      </c>
      <c r="F5963" s="131"/>
      <c r="G5963" s="132"/>
      <c r="H5963" s="162" t="s">
        <v>29985</v>
      </c>
      <c r="I5963" s="158" t="s">
        <v>29986</v>
      </c>
      <c r="J5963" s="128"/>
      <c r="K5963" s="128"/>
      <c r="L5963" s="128"/>
      <c r="M5963" s="129"/>
      <c r="N5963" s="129"/>
      <c r="O5963" s="129"/>
    </row>
    <row r="5964" spans="1:15" ht="12.5">
      <c r="A5964" s="158" t="s">
        <v>29992</v>
      </c>
      <c r="B5964" s="159">
        <v>65</v>
      </c>
      <c r="C5964" s="159">
        <v>72</v>
      </c>
      <c r="D5964" s="159">
        <v>97</v>
      </c>
      <c r="E5964" s="159">
        <v>30</v>
      </c>
      <c r="F5964" s="131"/>
      <c r="G5964" s="132"/>
      <c r="H5964" s="162" t="s">
        <v>29993</v>
      </c>
      <c r="I5964" s="158" t="s">
        <v>29994</v>
      </c>
      <c r="J5964" s="128"/>
      <c r="K5964" s="128"/>
      <c r="L5964" s="128"/>
      <c r="M5964" s="129"/>
      <c r="N5964" s="129"/>
      <c r="O5964" s="129"/>
    </row>
    <row r="5965" spans="1:15" ht="12.5">
      <c r="A5965" s="158" t="s">
        <v>29995</v>
      </c>
      <c r="B5965" s="159">
        <v>65</v>
      </c>
      <c r="C5965" s="159">
        <v>72</v>
      </c>
      <c r="D5965" s="159">
        <v>97</v>
      </c>
      <c r="E5965" s="159">
        <v>31</v>
      </c>
      <c r="F5965" s="131"/>
      <c r="G5965" s="132"/>
      <c r="H5965" s="162" t="s">
        <v>29996</v>
      </c>
      <c r="I5965" s="158" t="s">
        <v>29997</v>
      </c>
      <c r="J5965" s="128"/>
      <c r="K5965" s="128"/>
      <c r="L5965" s="128"/>
      <c r="M5965" s="129"/>
      <c r="N5965" s="129"/>
      <c r="O5965" s="129"/>
    </row>
    <row r="5966" spans="1:15" ht="12.5">
      <c r="A5966" s="158" t="s">
        <v>29998</v>
      </c>
      <c r="B5966" s="159">
        <v>65</v>
      </c>
      <c r="C5966" s="159">
        <v>72</v>
      </c>
      <c r="D5966" s="159">
        <v>97</v>
      </c>
      <c r="E5966" s="159">
        <v>34</v>
      </c>
      <c r="F5966" s="131"/>
      <c r="G5966" s="132"/>
      <c r="H5966" s="162" t="s">
        <v>29999</v>
      </c>
      <c r="I5966" s="158" t="s">
        <v>29950</v>
      </c>
      <c r="J5966" s="128"/>
      <c r="K5966" s="128"/>
      <c r="L5966" s="128"/>
      <c r="M5966" s="129"/>
      <c r="N5966" s="129"/>
      <c r="O5966" s="129"/>
    </row>
    <row r="5967" spans="1:15" ht="12.5">
      <c r="A5967" s="158" t="s">
        <v>30000</v>
      </c>
      <c r="B5967" s="159">
        <v>65</v>
      </c>
      <c r="C5967" s="159">
        <v>72</v>
      </c>
      <c r="D5967" s="159">
        <v>97</v>
      </c>
      <c r="E5967" s="159">
        <v>40</v>
      </c>
      <c r="F5967" s="131"/>
      <c r="G5967" s="132"/>
      <c r="H5967" s="162" t="s">
        <v>30001</v>
      </c>
      <c r="I5967" s="158" t="s">
        <v>30002</v>
      </c>
      <c r="J5967" s="128"/>
      <c r="K5967" s="128"/>
      <c r="L5967" s="128"/>
      <c r="M5967" s="129"/>
      <c r="N5967" s="129"/>
      <c r="O5967" s="129"/>
    </row>
    <row r="5968" spans="1:15" ht="12.5">
      <c r="A5968" s="158" t="s">
        <v>30003</v>
      </c>
      <c r="B5968" s="159">
        <v>65</v>
      </c>
      <c r="C5968" s="159">
        <v>72</v>
      </c>
      <c r="D5968" s="159">
        <v>97</v>
      </c>
      <c r="E5968" s="159">
        <v>41</v>
      </c>
      <c r="F5968" s="131"/>
      <c r="G5968" s="132"/>
      <c r="H5968" s="162" t="s">
        <v>30004</v>
      </c>
      <c r="I5968" s="158" t="s">
        <v>30005</v>
      </c>
      <c r="J5968" s="128"/>
      <c r="K5968" s="128"/>
      <c r="L5968" s="128"/>
      <c r="M5968" s="129"/>
      <c r="N5968" s="129"/>
      <c r="O5968" s="129"/>
    </row>
    <row r="5969" spans="1:15" ht="12.5">
      <c r="A5969" s="158" t="s">
        <v>30006</v>
      </c>
      <c r="B5969" s="159">
        <v>65</v>
      </c>
      <c r="C5969" s="159">
        <v>72</v>
      </c>
      <c r="D5969" s="159">
        <v>97</v>
      </c>
      <c r="E5969" s="159">
        <v>47</v>
      </c>
      <c r="F5969" s="131"/>
      <c r="G5969" s="132"/>
      <c r="H5969" s="162" t="s">
        <v>30007</v>
      </c>
      <c r="I5969" s="158" t="s">
        <v>30008</v>
      </c>
      <c r="J5969" s="128"/>
      <c r="K5969" s="128"/>
      <c r="L5969" s="128"/>
      <c r="M5969" s="129"/>
      <c r="N5969" s="129"/>
      <c r="O5969" s="129"/>
    </row>
    <row r="5970" spans="1:15" ht="12.5">
      <c r="A5970" s="158" t="s">
        <v>30009</v>
      </c>
      <c r="B5970" s="159">
        <v>65</v>
      </c>
      <c r="C5970" s="159">
        <v>72</v>
      </c>
      <c r="D5970" s="159">
        <v>97</v>
      </c>
      <c r="E5970" s="159">
        <v>52</v>
      </c>
      <c r="F5970" s="131"/>
      <c r="G5970" s="132"/>
      <c r="H5970" s="162" t="s">
        <v>30010</v>
      </c>
      <c r="I5970" s="158" t="s">
        <v>30011</v>
      </c>
      <c r="J5970" s="128"/>
      <c r="K5970" s="128"/>
      <c r="L5970" s="128"/>
      <c r="M5970" s="129"/>
      <c r="N5970" s="129"/>
      <c r="O5970" s="129"/>
    </row>
    <row r="5971" spans="1:15" ht="12.5">
      <c r="A5971" s="158" t="s">
        <v>30012</v>
      </c>
      <c r="B5971" s="159">
        <v>65</v>
      </c>
      <c r="C5971" s="159">
        <v>72</v>
      </c>
      <c r="D5971" s="159">
        <v>97</v>
      </c>
      <c r="E5971" s="159">
        <v>63</v>
      </c>
      <c r="F5971" s="131"/>
      <c r="G5971" s="132"/>
      <c r="H5971" s="162" t="s">
        <v>30013</v>
      </c>
      <c r="I5971" s="158" t="s">
        <v>29950</v>
      </c>
      <c r="J5971" s="128"/>
      <c r="K5971" s="128"/>
      <c r="L5971" s="128"/>
      <c r="M5971" s="129"/>
      <c r="N5971" s="129"/>
      <c r="O5971" s="129"/>
    </row>
    <row r="5972" spans="1:15" ht="12.5">
      <c r="A5972" s="158" t="s">
        <v>30014</v>
      </c>
      <c r="B5972" s="159">
        <v>65</v>
      </c>
      <c r="C5972" s="159">
        <v>72</v>
      </c>
      <c r="D5972" s="159">
        <v>97</v>
      </c>
      <c r="E5972" s="159">
        <v>66</v>
      </c>
      <c r="F5972" s="131"/>
      <c r="G5972" s="132"/>
      <c r="H5972" s="162" t="s">
        <v>30015</v>
      </c>
      <c r="I5972" s="158" t="s">
        <v>30016</v>
      </c>
      <c r="J5972" s="128"/>
      <c r="K5972" s="128"/>
      <c r="L5972" s="128"/>
      <c r="M5972" s="129"/>
      <c r="N5972" s="129"/>
      <c r="O5972" s="129"/>
    </row>
    <row r="5973" spans="1:15" ht="12.5">
      <c r="A5973" s="158" t="s">
        <v>30017</v>
      </c>
      <c r="B5973" s="159">
        <v>65</v>
      </c>
      <c r="C5973" s="159">
        <v>72</v>
      </c>
      <c r="D5973" s="159">
        <v>97</v>
      </c>
      <c r="E5973" s="159">
        <v>72</v>
      </c>
      <c r="F5973" s="131"/>
      <c r="G5973" s="132"/>
      <c r="H5973" s="162" t="s">
        <v>30018</v>
      </c>
      <c r="I5973" s="158" t="s">
        <v>30019</v>
      </c>
      <c r="J5973" s="128"/>
      <c r="K5973" s="128"/>
      <c r="L5973" s="128"/>
      <c r="M5973" s="129"/>
      <c r="N5973" s="129"/>
      <c r="O5973" s="129"/>
    </row>
    <row r="5974" spans="1:15" ht="12.5">
      <c r="A5974" s="158" t="s">
        <v>30020</v>
      </c>
      <c r="B5974" s="159">
        <v>65</v>
      </c>
      <c r="C5974" s="159">
        <v>72</v>
      </c>
      <c r="D5974" s="159">
        <v>97</v>
      </c>
      <c r="E5974" s="159">
        <v>75</v>
      </c>
      <c r="F5974" s="131"/>
      <c r="G5974" s="132"/>
      <c r="H5974" s="162" t="s">
        <v>30021</v>
      </c>
      <c r="I5974" s="158" t="s">
        <v>30022</v>
      </c>
      <c r="J5974" s="128"/>
      <c r="K5974" s="128"/>
      <c r="L5974" s="128"/>
      <c r="M5974" s="129"/>
      <c r="N5974" s="129"/>
      <c r="O5974" s="129"/>
    </row>
    <row r="5975" spans="1:15" ht="12.5">
      <c r="A5975" s="158" t="s">
        <v>30023</v>
      </c>
      <c r="B5975" s="159">
        <v>65</v>
      </c>
      <c r="C5975" s="159">
        <v>72</v>
      </c>
      <c r="D5975" s="159">
        <v>97</v>
      </c>
      <c r="E5975" s="159">
        <v>76</v>
      </c>
      <c r="F5975" s="131"/>
      <c r="G5975" s="132"/>
      <c r="H5975" s="162" t="s">
        <v>30024</v>
      </c>
      <c r="I5975" s="158" t="s">
        <v>30025</v>
      </c>
      <c r="J5975" s="128"/>
      <c r="K5975" s="128"/>
      <c r="L5975" s="128"/>
      <c r="M5975" s="129"/>
      <c r="N5975" s="129"/>
      <c r="O5975" s="129"/>
    </row>
    <row r="5976" spans="1:15" ht="12.5">
      <c r="A5976" s="158" t="s">
        <v>30026</v>
      </c>
      <c r="B5976" s="159">
        <v>65</v>
      </c>
      <c r="C5976" s="159">
        <v>72</v>
      </c>
      <c r="D5976" s="159">
        <v>97</v>
      </c>
      <c r="E5976" s="159">
        <v>78</v>
      </c>
      <c r="F5976" s="131"/>
      <c r="G5976" s="132"/>
      <c r="H5976" s="162" t="s">
        <v>30027</v>
      </c>
      <c r="I5976" s="158" t="s">
        <v>30028</v>
      </c>
      <c r="J5976" s="128"/>
      <c r="K5976" s="128"/>
      <c r="L5976" s="128"/>
      <c r="M5976" s="129"/>
      <c r="N5976" s="129"/>
      <c r="O5976" s="129"/>
    </row>
    <row r="5977" spans="1:15" ht="12.5">
      <c r="A5977" s="158" t="s">
        <v>30029</v>
      </c>
      <c r="B5977" s="159">
        <v>65</v>
      </c>
      <c r="C5977" s="159">
        <v>72</v>
      </c>
      <c r="D5977" s="159">
        <v>97</v>
      </c>
      <c r="E5977" s="159">
        <v>79</v>
      </c>
      <c r="F5977" s="131"/>
      <c r="G5977" s="132"/>
      <c r="H5977" s="162" t="s">
        <v>30030</v>
      </c>
      <c r="I5977" s="158" t="s">
        <v>30031</v>
      </c>
      <c r="J5977" s="128"/>
      <c r="K5977" s="128"/>
      <c r="L5977" s="128"/>
      <c r="M5977" s="129"/>
      <c r="N5977" s="129"/>
      <c r="O5977" s="129"/>
    </row>
    <row r="5978" spans="1:15" ht="12.5">
      <c r="A5978" s="158" t="s">
        <v>30035</v>
      </c>
      <c r="B5978" s="159">
        <v>65</v>
      </c>
      <c r="C5978" s="159">
        <v>72</v>
      </c>
      <c r="D5978" s="159">
        <v>97</v>
      </c>
      <c r="E5978" s="159">
        <v>82</v>
      </c>
      <c r="F5978" s="131"/>
      <c r="G5978" s="132"/>
      <c r="H5978" s="162" t="s">
        <v>30036</v>
      </c>
      <c r="I5978" s="158" t="s">
        <v>30037</v>
      </c>
      <c r="J5978" s="128"/>
      <c r="K5978" s="128"/>
      <c r="L5978" s="128"/>
      <c r="M5978" s="129"/>
      <c r="N5978" s="129"/>
      <c r="O5978" s="129"/>
    </row>
    <row r="5979" spans="1:15" ht="12.5">
      <c r="A5979" s="158" t="s">
        <v>30038</v>
      </c>
      <c r="B5979" s="159">
        <v>65</v>
      </c>
      <c r="C5979" s="159">
        <v>72</v>
      </c>
      <c r="D5979" s="159">
        <v>97</v>
      </c>
      <c r="E5979" s="159">
        <v>83</v>
      </c>
      <c r="F5979" s="131"/>
      <c r="G5979" s="132"/>
      <c r="H5979" s="162" t="s">
        <v>30039</v>
      </c>
      <c r="I5979" s="158" t="s">
        <v>30040</v>
      </c>
      <c r="J5979" s="128"/>
      <c r="K5979" s="128"/>
      <c r="L5979" s="128"/>
      <c r="M5979" s="129"/>
      <c r="N5979" s="129"/>
      <c r="O5979" s="129"/>
    </row>
    <row r="5980" spans="1:15" ht="12.5">
      <c r="A5980" s="158" t="s">
        <v>30041</v>
      </c>
      <c r="B5980" s="159">
        <v>65</v>
      </c>
      <c r="C5980" s="159">
        <v>72</v>
      </c>
      <c r="D5980" s="159">
        <v>97</v>
      </c>
      <c r="E5980" s="159">
        <v>84</v>
      </c>
      <c r="F5980" s="131"/>
      <c r="G5980" s="132"/>
      <c r="H5980" s="162" t="s">
        <v>30042</v>
      </c>
      <c r="I5980" s="158" t="s">
        <v>30043</v>
      </c>
      <c r="J5980" s="128"/>
      <c r="K5980" s="128"/>
      <c r="L5980" s="128"/>
      <c r="M5980" s="129"/>
      <c r="N5980" s="129"/>
      <c r="O5980" s="129"/>
    </row>
    <row r="5981" spans="1:15" ht="12.5">
      <c r="A5981" s="144" t="s">
        <v>30048</v>
      </c>
      <c r="B5981" s="145">
        <v>65</v>
      </c>
      <c r="C5981" s="145">
        <v>80</v>
      </c>
      <c r="D5981" s="146"/>
      <c r="E5981" s="146"/>
      <c r="F5981" s="147" t="s">
        <v>33570</v>
      </c>
      <c r="G5981" s="190"/>
      <c r="H5981" s="149" t="s">
        <v>30049</v>
      </c>
      <c r="I5981" s="150"/>
      <c r="J5981" s="150"/>
      <c r="K5981" s="150"/>
      <c r="L5981" s="150"/>
      <c r="M5981" s="191"/>
      <c r="N5981" s="191"/>
      <c r="O5981" s="191"/>
    </row>
    <row r="5982" spans="1:15" ht="12.5">
      <c r="A5982" s="158" t="s">
        <v>30050</v>
      </c>
      <c r="B5982" s="159">
        <v>65</v>
      </c>
      <c r="C5982" s="159">
        <v>80</v>
      </c>
      <c r="D5982" s="159">
        <v>6</v>
      </c>
      <c r="E5982" s="130"/>
      <c r="F5982" s="131"/>
      <c r="G5982" s="132"/>
      <c r="H5982" s="162" t="s">
        <v>30051</v>
      </c>
      <c r="I5982" s="128"/>
      <c r="J5982" s="128"/>
      <c r="K5982" s="128"/>
      <c r="L5982" s="128"/>
      <c r="M5982" s="129"/>
      <c r="N5982" s="129"/>
      <c r="O5982" s="129"/>
    </row>
    <row r="5983" spans="1:15" ht="12.5">
      <c r="A5983" s="158" t="s">
        <v>30052</v>
      </c>
      <c r="B5983" s="159">
        <v>65</v>
      </c>
      <c r="C5983" s="159">
        <v>80</v>
      </c>
      <c r="D5983" s="159">
        <v>15</v>
      </c>
      <c r="E5983" s="130"/>
      <c r="F5983" s="131"/>
      <c r="G5983" s="132"/>
      <c r="H5983" s="162" t="s">
        <v>33571</v>
      </c>
      <c r="I5983" s="128"/>
      <c r="J5983" s="128"/>
      <c r="K5983" s="128"/>
      <c r="L5983" s="128"/>
      <c r="M5983" s="129"/>
      <c r="N5983" s="129"/>
      <c r="O5983" s="129"/>
    </row>
    <row r="5984" spans="1:15" ht="12.5">
      <c r="A5984" s="158" t="s">
        <v>30064</v>
      </c>
      <c r="B5984" s="159">
        <v>65</v>
      </c>
      <c r="C5984" s="159">
        <v>80</v>
      </c>
      <c r="D5984" s="159">
        <v>15</v>
      </c>
      <c r="E5984" s="159">
        <v>22</v>
      </c>
      <c r="F5984" s="131"/>
      <c r="G5984" s="132"/>
      <c r="H5984" s="162" t="s">
        <v>30065</v>
      </c>
      <c r="I5984" s="128"/>
      <c r="J5984" s="128"/>
      <c r="K5984" s="128"/>
      <c r="L5984" s="128"/>
      <c r="M5984" s="129"/>
      <c r="N5984" s="129"/>
      <c r="O5984" s="129"/>
    </row>
    <row r="5985" spans="1:15" ht="12.5">
      <c r="A5985" s="158" t="s">
        <v>30066</v>
      </c>
      <c r="B5985" s="159">
        <v>65</v>
      </c>
      <c r="C5985" s="159">
        <v>80</v>
      </c>
      <c r="D5985" s="159">
        <v>15</v>
      </c>
      <c r="E5985" s="159">
        <v>47</v>
      </c>
      <c r="F5985" s="131"/>
      <c r="G5985" s="132"/>
      <c r="H5985" s="162" t="s">
        <v>30067</v>
      </c>
      <c r="I5985" s="128"/>
      <c r="J5985" s="128"/>
      <c r="K5985" s="128"/>
      <c r="L5985" s="128"/>
      <c r="M5985" s="129"/>
      <c r="N5985" s="129"/>
      <c r="O5985" s="129"/>
    </row>
    <row r="5986" spans="1:15" ht="12.5">
      <c r="A5986" s="158" t="s">
        <v>30068</v>
      </c>
      <c r="B5986" s="159">
        <v>65</v>
      </c>
      <c r="C5986" s="159">
        <v>80</v>
      </c>
      <c r="D5986" s="159">
        <v>15</v>
      </c>
      <c r="E5986" s="159">
        <v>48</v>
      </c>
      <c r="F5986" s="131"/>
      <c r="G5986" s="132"/>
      <c r="H5986" s="162" t="s">
        <v>30069</v>
      </c>
      <c r="I5986" s="128"/>
      <c r="J5986" s="128"/>
      <c r="K5986" s="128"/>
      <c r="L5986" s="128"/>
      <c r="M5986" s="129"/>
      <c r="N5986" s="129"/>
      <c r="O5986" s="129"/>
    </row>
    <row r="5987" spans="1:15" ht="12.5">
      <c r="A5987" s="158" t="s">
        <v>30070</v>
      </c>
      <c r="B5987" s="159">
        <v>65</v>
      </c>
      <c r="C5987" s="159">
        <v>80</v>
      </c>
      <c r="D5987" s="159">
        <v>15</v>
      </c>
      <c r="E5987" s="159">
        <v>59</v>
      </c>
      <c r="F5987" s="131"/>
      <c r="G5987" s="132"/>
      <c r="H5987" s="162" t="s">
        <v>30071</v>
      </c>
      <c r="I5987" s="158" t="s">
        <v>30072</v>
      </c>
      <c r="J5987" s="128"/>
      <c r="K5987" s="128"/>
      <c r="L5987" s="128"/>
      <c r="M5987" s="129"/>
      <c r="N5987" s="129"/>
      <c r="O5987" s="129"/>
    </row>
    <row r="5988" spans="1:15" ht="12.5">
      <c r="A5988" s="158" t="s">
        <v>30073</v>
      </c>
      <c r="B5988" s="159">
        <v>65</v>
      </c>
      <c r="C5988" s="159">
        <v>80</v>
      </c>
      <c r="D5988" s="159">
        <v>15</v>
      </c>
      <c r="E5988" s="159">
        <v>71</v>
      </c>
      <c r="F5988" s="131"/>
      <c r="G5988" s="132"/>
      <c r="H5988" s="162" t="s">
        <v>30074</v>
      </c>
      <c r="I5988" s="128"/>
      <c r="J5988" s="128"/>
      <c r="K5988" s="128"/>
      <c r="L5988" s="128"/>
      <c r="M5988" s="129"/>
      <c r="N5988" s="129"/>
      <c r="O5988" s="129"/>
    </row>
    <row r="5989" spans="1:15" ht="12.5">
      <c r="A5989" s="158" t="s">
        <v>30075</v>
      </c>
      <c r="B5989" s="159">
        <v>65</v>
      </c>
      <c r="C5989" s="159">
        <v>80</v>
      </c>
      <c r="D5989" s="159">
        <v>15</v>
      </c>
      <c r="E5989" s="159">
        <v>73</v>
      </c>
      <c r="F5989" s="131"/>
      <c r="G5989" s="132"/>
      <c r="H5989" s="162" t="s">
        <v>30076</v>
      </c>
      <c r="I5989" s="128"/>
      <c r="J5989" s="128"/>
      <c r="K5989" s="128"/>
      <c r="L5989" s="128"/>
      <c r="M5989" s="129"/>
      <c r="N5989" s="129"/>
      <c r="O5989" s="129"/>
    </row>
    <row r="5990" spans="1:15" ht="12.5">
      <c r="A5990" s="158" t="s">
        <v>30077</v>
      </c>
      <c r="B5990" s="159">
        <v>65</v>
      </c>
      <c r="C5990" s="159">
        <v>80</v>
      </c>
      <c r="D5990" s="159">
        <v>15</v>
      </c>
      <c r="E5990" s="159">
        <v>74</v>
      </c>
      <c r="F5990" s="131"/>
      <c r="G5990" s="132"/>
      <c r="H5990" s="162" t="s">
        <v>30078</v>
      </c>
      <c r="I5990" s="128"/>
      <c r="J5990" s="128"/>
      <c r="K5990" s="128"/>
      <c r="L5990" s="128"/>
      <c r="M5990" s="129"/>
      <c r="N5990" s="129"/>
      <c r="O5990" s="129"/>
    </row>
    <row r="5991" spans="1:15" ht="12.5">
      <c r="A5991" s="158" t="s">
        <v>30081</v>
      </c>
      <c r="B5991" s="159">
        <v>65</v>
      </c>
      <c r="C5991" s="159">
        <v>80</v>
      </c>
      <c r="D5991" s="159">
        <v>23</v>
      </c>
      <c r="E5991" s="130"/>
      <c r="F5991" s="131"/>
      <c r="G5991" s="132"/>
      <c r="H5991" s="162" t="s">
        <v>30082</v>
      </c>
      <c r="I5991" s="128"/>
      <c r="J5991" s="128"/>
      <c r="K5991" s="128"/>
      <c r="L5991" s="128"/>
      <c r="M5991" s="129"/>
      <c r="N5991" s="129"/>
      <c r="O5991" s="129"/>
    </row>
    <row r="5992" spans="1:15" ht="12.5">
      <c r="A5992" s="158" t="s">
        <v>30083</v>
      </c>
      <c r="B5992" s="159">
        <v>65</v>
      </c>
      <c r="C5992" s="159">
        <v>80</v>
      </c>
      <c r="D5992" s="159">
        <v>23</v>
      </c>
      <c r="E5992" s="159">
        <v>6</v>
      </c>
      <c r="F5992" s="131"/>
      <c r="G5992" s="132"/>
      <c r="H5992" s="162" t="s">
        <v>30084</v>
      </c>
      <c r="I5992" s="158" t="s">
        <v>30085</v>
      </c>
      <c r="J5992" s="128"/>
      <c r="K5992" s="128"/>
      <c r="L5992" s="128"/>
      <c r="M5992" s="129"/>
      <c r="N5992" s="129"/>
      <c r="O5992" s="129"/>
    </row>
    <row r="5993" spans="1:15" ht="12.5">
      <c r="A5993" s="158" t="s">
        <v>30086</v>
      </c>
      <c r="B5993" s="159">
        <v>65</v>
      </c>
      <c r="C5993" s="159">
        <v>80</v>
      </c>
      <c r="D5993" s="159">
        <v>23</v>
      </c>
      <c r="E5993" s="159">
        <v>38</v>
      </c>
      <c r="F5993" s="131"/>
      <c r="G5993" s="132"/>
      <c r="H5993" s="162" t="s">
        <v>30087</v>
      </c>
      <c r="I5993" s="158" t="s">
        <v>30085</v>
      </c>
      <c r="J5993" s="128"/>
      <c r="K5993" s="128"/>
      <c r="L5993" s="128"/>
      <c r="M5993" s="129"/>
      <c r="N5993" s="129"/>
      <c r="O5993" s="129"/>
    </row>
    <row r="5994" spans="1:15" ht="12.5">
      <c r="A5994" s="158" t="s">
        <v>30088</v>
      </c>
      <c r="B5994" s="159">
        <v>65</v>
      </c>
      <c r="C5994" s="159">
        <v>80</v>
      </c>
      <c r="D5994" s="159">
        <v>23</v>
      </c>
      <c r="E5994" s="159">
        <v>39</v>
      </c>
      <c r="F5994" s="131"/>
      <c r="G5994" s="132"/>
      <c r="H5994" s="162" t="s">
        <v>30089</v>
      </c>
      <c r="I5994" s="158" t="s">
        <v>30085</v>
      </c>
      <c r="J5994" s="128"/>
      <c r="K5994" s="128"/>
      <c r="L5994" s="128"/>
      <c r="M5994" s="129"/>
      <c r="N5994" s="129"/>
      <c r="O5994" s="129"/>
    </row>
    <row r="5995" spans="1:15" ht="12.5">
      <c r="A5995" s="158" t="s">
        <v>30090</v>
      </c>
      <c r="B5995" s="159">
        <v>65</v>
      </c>
      <c r="C5995" s="159">
        <v>80</v>
      </c>
      <c r="D5995" s="159">
        <v>23</v>
      </c>
      <c r="E5995" s="159">
        <v>51</v>
      </c>
      <c r="F5995" s="131"/>
      <c r="G5995" s="132"/>
      <c r="H5995" s="162" t="s">
        <v>30091</v>
      </c>
      <c r="I5995" s="158" t="s">
        <v>30085</v>
      </c>
      <c r="J5995" s="128"/>
      <c r="K5995" s="128"/>
      <c r="L5995" s="128"/>
      <c r="M5995" s="129"/>
      <c r="N5995" s="129"/>
      <c r="O5995" s="129"/>
    </row>
    <row r="5996" spans="1:15" ht="12.5">
      <c r="A5996" s="158" t="s">
        <v>30092</v>
      </c>
      <c r="B5996" s="159">
        <v>65</v>
      </c>
      <c r="C5996" s="159">
        <v>80</v>
      </c>
      <c r="D5996" s="159">
        <v>28</v>
      </c>
      <c r="E5996" s="130"/>
      <c r="F5996" s="131"/>
      <c r="G5996" s="132"/>
      <c r="H5996" s="162" t="s">
        <v>30093</v>
      </c>
      <c r="I5996" s="128"/>
      <c r="J5996" s="128"/>
      <c r="K5996" s="128"/>
      <c r="L5996" s="128"/>
      <c r="M5996" s="129"/>
      <c r="N5996" s="129"/>
      <c r="O5996" s="129"/>
    </row>
    <row r="5997" spans="1:15" ht="12.5">
      <c r="A5997" s="158" t="s">
        <v>30108</v>
      </c>
      <c r="B5997" s="159">
        <v>65</v>
      </c>
      <c r="C5997" s="159">
        <v>80</v>
      </c>
      <c r="D5997" s="159">
        <v>28</v>
      </c>
      <c r="E5997" s="159">
        <v>21</v>
      </c>
      <c r="F5997" s="131"/>
      <c r="G5997" s="132"/>
      <c r="H5997" s="162" t="s">
        <v>30109</v>
      </c>
      <c r="I5997" s="158" t="s">
        <v>30110</v>
      </c>
      <c r="J5997" s="128"/>
      <c r="K5997" s="128"/>
      <c r="L5997" s="128"/>
      <c r="M5997" s="129"/>
      <c r="N5997" s="129"/>
      <c r="O5997" s="129"/>
    </row>
    <row r="5998" spans="1:15" ht="12.5">
      <c r="A5998" s="158" t="s">
        <v>30123</v>
      </c>
      <c r="B5998" s="159">
        <v>65</v>
      </c>
      <c r="C5998" s="159">
        <v>80</v>
      </c>
      <c r="D5998" s="159">
        <v>28</v>
      </c>
      <c r="E5998" s="159">
        <v>52</v>
      </c>
      <c r="F5998" s="131"/>
      <c r="G5998" s="132"/>
      <c r="H5998" s="162" t="s">
        <v>30124</v>
      </c>
      <c r="I5998" s="158" t="s">
        <v>30125</v>
      </c>
      <c r="J5998" s="128"/>
      <c r="K5998" s="128"/>
      <c r="L5998" s="128"/>
      <c r="M5998" s="129"/>
      <c r="N5998" s="129"/>
      <c r="O5998" s="129"/>
    </row>
    <row r="5999" spans="1:15" ht="12.5">
      <c r="A5999" s="158" t="s">
        <v>30140</v>
      </c>
      <c r="B5999" s="159">
        <v>65</v>
      </c>
      <c r="C5999" s="159">
        <v>80</v>
      </c>
      <c r="D5999" s="159">
        <v>42</v>
      </c>
      <c r="E5999" s="130"/>
      <c r="F5999" s="131"/>
      <c r="G5999" s="132"/>
      <c r="H5999" s="162" t="s">
        <v>30141</v>
      </c>
      <c r="I5999" s="128"/>
      <c r="J5999" s="128"/>
      <c r="K5999" s="128"/>
      <c r="L5999" s="128"/>
      <c r="M5999" s="129"/>
      <c r="N5999" s="129"/>
      <c r="O5999" s="129"/>
    </row>
    <row r="6000" spans="1:15" ht="12.5">
      <c r="A6000" s="158" t="s">
        <v>30142</v>
      </c>
      <c r="B6000" s="159">
        <v>65</v>
      </c>
      <c r="C6000" s="159">
        <v>80</v>
      </c>
      <c r="D6000" s="159">
        <v>42</v>
      </c>
      <c r="E6000" s="159">
        <v>11</v>
      </c>
      <c r="F6000" s="131"/>
      <c r="G6000" s="132"/>
      <c r="H6000" s="162" t="s">
        <v>30143</v>
      </c>
      <c r="I6000" s="128"/>
      <c r="J6000" s="128"/>
      <c r="K6000" s="128"/>
      <c r="L6000" s="128"/>
      <c r="M6000" s="129"/>
      <c r="N6000" s="129"/>
      <c r="O6000" s="129"/>
    </row>
    <row r="6001" spans="1:15" ht="12.5">
      <c r="A6001" s="158" t="s">
        <v>30144</v>
      </c>
      <c r="B6001" s="159">
        <v>65</v>
      </c>
      <c r="C6001" s="159">
        <v>80</v>
      </c>
      <c r="D6001" s="159">
        <v>42</v>
      </c>
      <c r="E6001" s="159">
        <v>37</v>
      </c>
      <c r="F6001" s="131"/>
      <c r="G6001" s="132"/>
      <c r="H6001" s="162" t="s">
        <v>30145</v>
      </c>
      <c r="I6001" s="158" t="s">
        <v>30146</v>
      </c>
      <c r="J6001" s="128"/>
      <c r="K6001" s="128"/>
      <c r="L6001" s="128"/>
      <c r="M6001" s="129"/>
      <c r="N6001" s="129"/>
      <c r="O6001" s="129"/>
    </row>
    <row r="6002" spans="1:15" ht="12.5">
      <c r="A6002" s="158" t="s">
        <v>30147</v>
      </c>
      <c r="B6002" s="159">
        <v>65</v>
      </c>
      <c r="C6002" s="159">
        <v>80</v>
      </c>
      <c r="D6002" s="159">
        <v>42</v>
      </c>
      <c r="E6002" s="159">
        <v>39</v>
      </c>
      <c r="F6002" s="131"/>
      <c r="G6002" s="132"/>
      <c r="H6002" s="162" t="s">
        <v>30148</v>
      </c>
      <c r="I6002" s="158" t="s">
        <v>30149</v>
      </c>
      <c r="J6002" s="128"/>
      <c r="K6002" s="128"/>
      <c r="L6002" s="128"/>
      <c r="M6002" s="129"/>
      <c r="N6002" s="129"/>
      <c r="O6002" s="129"/>
    </row>
    <row r="6003" spans="1:15" ht="12.5">
      <c r="A6003" s="158" t="s">
        <v>30150</v>
      </c>
      <c r="B6003" s="159">
        <v>65</v>
      </c>
      <c r="C6003" s="159">
        <v>80</v>
      </c>
      <c r="D6003" s="159">
        <v>42</v>
      </c>
      <c r="E6003" s="159">
        <v>42</v>
      </c>
      <c r="F6003" s="131"/>
      <c r="G6003" s="132"/>
      <c r="H6003" s="162" t="s">
        <v>30151</v>
      </c>
      <c r="I6003" s="158" t="s">
        <v>30152</v>
      </c>
      <c r="J6003" s="128"/>
      <c r="K6003" s="128"/>
      <c r="L6003" s="128"/>
      <c r="M6003" s="129"/>
      <c r="N6003" s="129"/>
      <c r="O6003" s="129"/>
    </row>
    <row r="6004" spans="1:15" ht="12.5">
      <c r="A6004" s="158" t="s">
        <v>30153</v>
      </c>
      <c r="B6004" s="159">
        <v>65</v>
      </c>
      <c r="C6004" s="159">
        <v>80</v>
      </c>
      <c r="D6004" s="159">
        <v>42</v>
      </c>
      <c r="E6004" s="159">
        <v>43</v>
      </c>
      <c r="F6004" s="131"/>
      <c r="G6004" s="132"/>
      <c r="H6004" s="162" t="s">
        <v>30154</v>
      </c>
      <c r="I6004" s="158" t="s">
        <v>30155</v>
      </c>
      <c r="J6004" s="128"/>
      <c r="K6004" s="128"/>
      <c r="L6004" s="128"/>
      <c r="M6004" s="129"/>
      <c r="N6004" s="129"/>
      <c r="O6004" s="129"/>
    </row>
    <row r="6005" spans="1:15" ht="12.5">
      <c r="A6005" s="158" t="s">
        <v>30156</v>
      </c>
      <c r="B6005" s="159">
        <v>65</v>
      </c>
      <c r="C6005" s="159">
        <v>80</v>
      </c>
      <c r="D6005" s="159">
        <v>42</v>
      </c>
      <c r="E6005" s="159">
        <v>77</v>
      </c>
      <c r="F6005" s="131"/>
      <c r="G6005" s="132"/>
      <c r="H6005" s="162" t="s">
        <v>30157</v>
      </c>
      <c r="I6005" s="128"/>
      <c r="J6005" s="128"/>
      <c r="K6005" s="128"/>
      <c r="L6005" s="128"/>
      <c r="M6005" s="129"/>
      <c r="N6005" s="129"/>
      <c r="O6005" s="129"/>
    </row>
    <row r="6006" spans="1:15" ht="12.5">
      <c r="A6006" s="158" t="s">
        <v>30158</v>
      </c>
      <c r="B6006" s="159">
        <v>65</v>
      </c>
      <c r="C6006" s="159">
        <v>80</v>
      </c>
      <c r="D6006" s="159">
        <v>42</v>
      </c>
      <c r="E6006" s="159">
        <v>84</v>
      </c>
      <c r="F6006" s="131"/>
      <c r="G6006" s="132"/>
      <c r="H6006" s="162" t="s">
        <v>30159</v>
      </c>
      <c r="I6006" s="128"/>
      <c r="J6006" s="128"/>
      <c r="K6006" s="128"/>
      <c r="L6006" s="128"/>
      <c r="M6006" s="129"/>
      <c r="N6006" s="129"/>
      <c r="O6006" s="129"/>
    </row>
    <row r="6007" spans="1:15" ht="12.5">
      <c r="A6007" s="158" t="s">
        <v>30160</v>
      </c>
      <c r="B6007" s="159">
        <v>65</v>
      </c>
      <c r="C6007" s="159">
        <v>80</v>
      </c>
      <c r="D6007" s="159">
        <v>46</v>
      </c>
      <c r="E6007" s="130"/>
      <c r="F6007" s="131"/>
      <c r="G6007" s="132"/>
      <c r="H6007" s="162" t="s">
        <v>30161</v>
      </c>
      <c r="I6007" s="128"/>
      <c r="J6007" s="128"/>
      <c r="K6007" s="128"/>
      <c r="L6007" s="128"/>
      <c r="M6007" s="129"/>
      <c r="N6007" s="129"/>
      <c r="O6007" s="129"/>
    </row>
    <row r="6008" spans="1:15" ht="12.5">
      <c r="A6008" s="158" t="s">
        <v>30162</v>
      </c>
      <c r="B6008" s="159">
        <v>65</v>
      </c>
      <c r="C6008" s="159">
        <v>80</v>
      </c>
      <c r="D6008" s="159">
        <v>46</v>
      </c>
      <c r="E6008" s="159">
        <v>15</v>
      </c>
      <c r="F6008" s="131"/>
      <c r="G6008" s="132"/>
      <c r="H6008" s="162" t="s">
        <v>30163</v>
      </c>
      <c r="I6008" s="158" t="s">
        <v>30164</v>
      </c>
      <c r="J6008" s="128"/>
      <c r="K6008" s="128"/>
      <c r="L6008" s="128"/>
      <c r="M6008" s="129"/>
      <c r="N6008" s="129"/>
      <c r="O6008" s="129"/>
    </row>
    <row r="6009" spans="1:15" ht="12.5">
      <c r="A6009" s="158" t="s">
        <v>30165</v>
      </c>
      <c r="B6009" s="159">
        <v>65</v>
      </c>
      <c r="C6009" s="159">
        <v>80</v>
      </c>
      <c r="D6009" s="159">
        <v>46</v>
      </c>
      <c r="E6009" s="159">
        <v>42</v>
      </c>
      <c r="F6009" s="131"/>
      <c r="G6009" s="132"/>
      <c r="H6009" s="162" t="s">
        <v>30166</v>
      </c>
      <c r="I6009" s="158" t="s">
        <v>30167</v>
      </c>
      <c r="J6009" s="128"/>
      <c r="K6009" s="128"/>
      <c r="L6009" s="128"/>
      <c r="M6009" s="129"/>
      <c r="N6009" s="129"/>
      <c r="O6009" s="129"/>
    </row>
    <row r="6010" spans="1:15" ht="12.5">
      <c r="A6010" s="158" t="s">
        <v>30168</v>
      </c>
      <c r="B6010" s="159">
        <v>65</v>
      </c>
      <c r="C6010" s="159">
        <v>80</v>
      </c>
      <c r="D6010" s="159">
        <v>46</v>
      </c>
      <c r="E6010" s="159">
        <v>77</v>
      </c>
      <c r="F6010" s="131"/>
      <c r="G6010" s="132"/>
      <c r="H6010" s="162" t="s">
        <v>30169</v>
      </c>
      <c r="I6010" s="158" t="s">
        <v>30170</v>
      </c>
      <c r="J6010" s="128"/>
      <c r="K6010" s="128"/>
      <c r="L6010" s="128"/>
      <c r="M6010" s="129"/>
      <c r="N6010" s="129"/>
      <c r="O6010" s="129"/>
    </row>
    <row r="6011" spans="1:15" ht="12.5">
      <c r="A6011" s="158" t="s">
        <v>30171</v>
      </c>
      <c r="B6011" s="159">
        <v>65</v>
      </c>
      <c r="C6011" s="159">
        <v>80</v>
      </c>
      <c r="D6011" s="159">
        <v>47</v>
      </c>
      <c r="E6011" s="130"/>
      <c r="F6011" s="131"/>
      <c r="G6011" s="132"/>
      <c r="H6011" s="162" t="s">
        <v>30172</v>
      </c>
      <c r="I6011" s="128"/>
      <c r="J6011" s="128"/>
      <c r="K6011" s="128"/>
      <c r="L6011" s="128"/>
      <c r="M6011" s="129"/>
      <c r="N6011" s="129"/>
      <c r="O6011" s="129"/>
    </row>
    <row r="6012" spans="1:15" ht="12.5">
      <c r="A6012" s="158" t="s">
        <v>30173</v>
      </c>
      <c r="B6012" s="159">
        <v>65</v>
      </c>
      <c r="C6012" s="159">
        <v>80</v>
      </c>
      <c r="D6012" s="159">
        <v>47</v>
      </c>
      <c r="E6012" s="159">
        <v>4</v>
      </c>
      <c r="F6012" s="131"/>
      <c r="G6012" s="132"/>
      <c r="H6012" s="162" t="s">
        <v>30174</v>
      </c>
      <c r="I6012" s="158" t="s">
        <v>30175</v>
      </c>
      <c r="J6012" s="128"/>
      <c r="K6012" s="128"/>
      <c r="L6012" s="128"/>
      <c r="M6012" s="129"/>
      <c r="N6012" s="129"/>
      <c r="O6012" s="129"/>
    </row>
    <row r="6013" spans="1:15" ht="12.5">
      <c r="A6013" s="158" t="s">
        <v>30176</v>
      </c>
      <c r="B6013" s="159">
        <v>65</v>
      </c>
      <c r="C6013" s="159">
        <v>80</v>
      </c>
      <c r="D6013" s="159">
        <v>47</v>
      </c>
      <c r="E6013" s="159">
        <v>12</v>
      </c>
      <c r="F6013" s="131"/>
      <c r="G6013" s="132"/>
      <c r="H6013" s="162" t="s">
        <v>30177</v>
      </c>
      <c r="I6013" s="128"/>
      <c r="J6013" s="128"/>
      <c r="K6013" s="128"/>
      <c r="L6013" s="128"/>
      <c r="M6013" s="129"/>
      <c r="N6013" s="129"/>
      <c r="O6013" s="129"/>
    </row>
    <row r="6014" spans="1:15" ht="12.5">
      <c r="A6014" s="158" t="s">
        <v>30178</v>
      </c>
      <c r="B6014" s="159">
        <v>65</v>
      </c>
      <c r="C6014" s="159">
        <v>80</v>
      </c>
      <c r="D6014" s="159">
        <v>47</v>
      </c>
      <c r="E6014" s="159">
        <v>31</v>
      </c>
      <c r="F6014" s="131"/>
      <c r="G6014" s="132"/>
      <c r="H6014" s="162" t="s">
        <v>30179</v>
      </c>
      <c r="I6014" s="158" t="s">
        <v>30180</v>
      </c>
      <c r="J6014" s="128"/>
      <c r="K6014" s="128"/>
      <c r="L6014" s="128"/>
      <c r="M6014" s="129"/>
      <c r="N6014" s="129"/>
      <c r="O6014" s="129"/>
    </row>
    <row r="6015" spans="1:15" ht="12.5">
      <c r="A6015" s="158" t="s">
        <v>30181</v>
      </c>
      <c r="B6015" s="159">
        <v>65</v>
      </c>
      <c r="C6015" s="159">
        <v>80</v>
      </c>
      <c r="D6015" s="159">
        <v>47</v>
      </c>
      <c r="E6015" s="159">
        <v>47</v>
      </c>
      <c r="F6015" s="131"/>
      <c r="G6015" s="132"/>
      <c r="H6015" s="162" t="s">
        <v>30182</v>
      </c>
      <c r="I6015" s="128"/>
      <c r="J6015" s="128"/>
      <c r="K6015" s="128"/>
      <c r="L6015" s="128"/>
      <c r="M6015" s="129"/>
      <c r="N6015" s="129"/>
      <c r="O6015" s="129"/>
    </row>
    <row r="6016" spans="1:15" ht="12.5">
      <c r="A6016" s="158" t="s">
        <v>30183</v>
      </c>
      <c r="B6016" s="159">
        <v>65</v>
      </c>
      <c r="C6016" s="159">
        <v>80</v>
      </c>
      <c r="D6016" s="159">
        <v>47</v>
      </c>
      <c r="E6016" s="159">
        <v>64</v>
      </c>
      <c r="F6016" s="131"/>
      <c r="G6016" s="132"/>
      <c r="H6016" s="162" t="s">
        <v>30184</v>
      </c>
      <c r="I6016" s="158" t="s">
        <v>30185</v>
      </c>
      <c r="J6016" s="128"/>
      <c r="K6016" s="128"/>
      <c r="L6016" s="128"/>
      <c r="M6016" s="129"/>
      <c r="N6016" s="129"/>
      <c r="O6016" s="129"/>
    </row>
    <row r="6017" spans="1:15" ht="12.5">
      <c r="A6017" s="158" t="s">
        <v>30186</v>
      </c>
      <c r="B6017" s="159">
        <v>65</v>
      </c>
      <c r="C6017" s="159">
        <v>80</v>
      </c>
      <c r="D6017" s="159">
        <v>47</v>
      </c>
      <c r="E6017" s="159">
        <v>76</v>
      </c>
      <c r="F6017" s="131"/>
      <c r="G6017" s="132"/>
      <c r="H6017" s="162" t="s">
        <v>30187</v>
      </c>
      <c r="I6017" s="128"/>
      <c r="J6017" s="128"/>
      <c r="K6017" s="128"/>
      <c r="L6017" s="128"/>
      <c r="M6017" s="129"/>
      <c r="N6017" s="129"/>
      <c r="O6017" s="129"/>
    </row>
    <row r="6018" spans="1:15" ht="12.5">
      <c r="A6018" s="158" t="s">
        <v>30188</v>
      </c>
      <c r="B6018" s="159">
        <v>65</v>
      </c>
      <c r="C6018" s="159">
        <v>80</v>
      </c>
      <c r="D6018" s="159">
        <v>47</v>
      </c>
      <c r="E6018" s="159">
        <v>84</v>
      </c>
      <c r="F6018" s="131"/>
      <c r="G6018" s="132"/>
      <c r="H6018" s="162" t="s">
        <v>30189</v>
      </c>
      <c r="I6018" s="158" t="s">
        <v>30190</v>
      </c>
      <c r="J6018" s="128"/>
      <c r="K6018" s="128"/>
      <c r="L6018" s="128"/>
      <c r="M6018" s="129"/>
      <c r="N6018" s="129"/>
      <c r="O6018" s="129"/>
    </row>
    <row r="6019" spans="1:15" ht="12.5">
      <c r="A6019" s="158" t="s">
        <v>30191</v>
      </c>
      <c r="B6019" s="159">
        <v>65</v>
      </c>
      <c r="C6019" s="159">
        <v>80</v>
      </c>
      <c r="D6019" s="159">
        <v>47</v>
      </c>
      <c r="E6019" s="159">
        <v>94</v>
      </c>
      <c r="F6019" s="131"/>
      <c r="G6019" s="132"/>
      <c r="H6019" s="162" t="s">
        <v>30192</v>
      </c>
      <c r="I6019" s="128"/>
      <c r="J6019" s="128"/>
      <c r="K6019" s="128"/>
      <c r="L6019" s="128"/>
      <c r="M6019" s="129"/>
      <c r="N6019" s="129"/>
      <c r="O6019" s="129"/>
    </row>
    <row r="6020" spans="1:15" ht="12.5">
      <c r="A6020" s="158" t="s">
        <v>30193</v>
      </c>
      <c r="B6020" s="159">
        <v>65</v>
      </c>
      <c r="C6020" s="159">
        <v>80</v>
      </c>
      <c r="D6020" s="159">
        <v>47</v>
      </c>
      <c r="E6020" s="159">
        <v>95</v>
      </c>
      <c r="F6020" s="131"/>
      <c r="G6020" s="132"/>
      <c r="H6020" s="162" t="s">
        <v>30194</v>
      </c>
      <c r="I6020" s="158" t="s">
        <v>30195</v>
      </c>
      <c r="J6020" s="128"/>
      <c r="K6020" s="128"/>
      <c r="L6020" s="128"/>
      <c r="M6020" s="129"/>
      <c r="N6020" s="129"/>
      <c r="O6020" s="129"/>
    </row>
    <row r="6021" spans="1:15" ht="12.5">
      <c r="A6021" s="158" t="s">
        <v>30196</v>
      </c>
      <c r="B6021" s="159">
        <v>65</v>
      </c>
      <c r="C6021" s="159">
        <v>80</v>
      </c>
      <c r="D6021" s="159">
        <v>47</v>
      </c>
      <c r="E6021" s="159">
        <v>96</v>
      </c>
      <c r="F6021" s="131"/>
      <c r="G6021" s="132"/>
      <c r="H6021" s="162" t="s">
        <v>30197</v>
      </c>
      <c r="I6021" s="128"/>
      <c r="J6021" s="128"/>
      <c r="K6021" s="128"/>
      <c r="L6021" s="128"/>
      <c r="M6021" s="129"/>
      <c r="N6021" s="129"/>
      <c r="O6021" s="129"/>
    </row>
    <row r="6022" spans="1:15" ht="12.5">
      <c r="A6022" s="158" t="s">
        <v>30198</v>
      </c>
      <c r="B6022" s="159">
        <v>65</v>
      </c>
      <c r="C6022" s="159">
        <v>80</v>
      </c>
      <c r="D6022" s="159">
        <v>65</v>
      </c>
      <c r="E6022" s="130"/>
      <c r="F6022" s="131"/>
      <c r="G6022" s="132"/>
      <c r="H6022" s="162" t="s">
        <v>30199</v>
      </c>
      <c r="I6022" s="128"/>
      <c r="J6022" s="128"/>
      <c r="K6022" s="128"/>
      <c r="L6022" s="128"/>
      <c r="M6022" s="129"/>
      <c r="N6022" s="129"/>
      <c r="O6022" s="129"/>
    </row>
    <row r="6023" spans="1:15" ht="12.5">
      <c r="A6023" s="158" t="s">
        <v>30200</v>
      </c>
      <c r="B6023" s="159">
        <v>65</v>
      </c>
      <c r="C6023" s="159">
        <v>80</v>
      </c>
      <c r="D6023" s="159">
        <v>65</v>
      </c>
      <c r="E6023" s="159">
        <v>63</v>
      </c>
      <c r="F6023" s="131"/>
      <c r="G6023" s="132"/>
      <c r="H6023" s="162" t="s">
        <v>30201</v>
      </c>
      <c r="I6023" s="158" t="s">
        <v>30202</v>
      </c>
      <c r="J6023" s="128"/>
      <c r="K6023" s="128"/>
      <c r="L6023" s="128"/>
      <c r="M6023" s="129"/>
      <c r="N6023" s="129"/>
      <c r="O6023" s="129"/>
    </row>
    <row r="6024" spans="1:15" ht="12.5">
      <c r="A6024" s="158" t="s">
        <v>30203</v>
      </c>
      <c r="B6024" s="159">
        <v>65</v>
      </c>
      <c r="C6024" s="159">
        <v>80</v>
      </c>
      <c r="D6024" s="159">
        <v>65</v>
      </c>
      <c r="E6024" s="159">
        <v>64</v>
      </c>
      <c r="F6024" s="131"/>
      <c r="G6024" s="132"/>
      <c r="H6024" s="162" t="s">
        <v>30204</v>
      </c>
      <c r="I6024" s="158" t="s">
        <v>30205</v>
      </c>
      <c r="J6024" s="128"/>
      <c r="K6024" s="128"/>
      <c r="L6024" s="128"/>
      <c r="M6024" s="129"/>
      <c r="N6024" s="129"/>
      <c r="O6024" s="129"/>
    </row>
    <row r="6025" spans="1:15" ht="12.5">
      <c r="A6025" s="158" t="s">
        <v>30206</v>
      </c>
      <c r="B6025" s="159">
        <v>65</v>
      </c>
      <c r="C6025" s="159">
        <v>80</v>
      </c>
      <c r="D6025" s="159">
        <v>65</v>
      </c>
      <c r="E6025" s="159">
        <v>65</v>
      </c>
      <c r="F6025" s="131"/>
      <c r="G6025" s="132"/>
      <c r="H6025" s="162" t="s">
        <v>30207</v>
      </c>
      <c r="I6025" s="158" t="s">
        <v>30208</v>
      </c>
      <c r="J6025" s="128"/>
      <c r="K6025" s="128"/>
      <c r="L6025" s="128"/>
      <c r="M6025" s="129"/>
      <c r="N6025" s="129"/>
      <c r="O6025" s="129"/>
    </row>
    <row r="6026" spans="1:15" ht="12.5">
      <c r="A6026" s="158" t="s">
        <v>30209</v>
      </c>
      <c r="B6026" s="159">
        <v>65</v>
      </c>
      <c r="C6026" s="159">
        <v>80</v>
      </c>
      <c r="D6026" s="159">
        <v>65</v>
      </c>
      <c r="E6026" s="159">
        <v>66</v>
      </c>
      <c r="F6026" s="131"/>
      <c r="G6026" s="132"/>
      <c r="H6026" s="162" t="s">
        <v>30210</v>
      </c>
      <c r="I6026" s="158" t="s">
        <v>30211</v>
      </c>
      <c r="J6026" s="128"/>
      <c r="K6026" s="128"/>
      <c r="L6026" s="128"/>
      <c r="M6026" s="129"/>
      <c r="N6026" s="129"/>
      <c r="O6026" s="129"/>
    </row>
    <row r="6027" spans="1:15" ht="12.5">
      <c r="A6027" s="158" t="s">
        <v>30212</v>
      </c>
      <c r="B6027" s="159">
        <v>65</v>
      </c>
      <c r="C6027" s="159">
        <v>80</v>
      </c>
      <c r="D6027" s="159">
        <v>65</v>
      </c>
      <c r="E6027" s="159">
        <v>67</v>
      </c>
      <c r="F6027" s="131"/>
      <c r="G6027" s="132"/>
      <c r="H6027" s="162" t="s">
        <v>30213</v>
      </c>
      <c r="I6027" s="158" t="s">
        <v>30214</v>
      </c>
      <c r="J6027" s="128"/>
      <c r="K6027" s="128"/>
      <c r="L6027" s="128"/>
      <c r="M6027" s="129"/>
      <c r="N6027" s="129"/>
      <c r="O6027" s="129"/>
    </row>
    <row r="6028" spans="1:15" ht="12.5">
      <c r="A6028" s="158" t="s">
        <v>30215</v>
      </c>
      <c r="B6028" s="159">
        <v>65</v>
      </c>
      <c r="C6028" s="159">
        <v>80</v>
      </c>
      <c r="D6028" s="159">
        <v>89</v>
      </c>
      <c r="E6028" s="130"/>
      <c r="F6028" s="131"/>
      <c r="G6028" s="132"/>
      <c r="H6028" s="162" t="s">
        <v>30216</v>
      </c>
      <c r="I6028" s="128"/>
      <c r="J6028" s="128"/>
      <c r="K6028" s="128"/>
      <c r="L6028" s="128"/>
      <c r="M6028" s="129"/>
      <c r="N6028" s="129"/>
      <c r="O6028" s="129"/>
    </row>
    <row r="6029" spans="1:15" ht="12.5">
      <c r="A6029" s="158" t="s">
        <v>30217</v>
      </c>
      <c r="B6029" s="159">
        <v>65</v>
      </c>
      <c r="C6029" s="159">
        <v>80</v>
      </c>
      <c r="D6029" s="159">
        <v>89</v>
      </c>
      <c r="E6029" s="159">
        <v>11</v>
      </c>
      <c r="F6029" s="131"/>
      <c r="G6029" s="132"/>
      <c r="H6029" s="162" t="s">
        <v>30218</v>
      </c>
      <c r="I6029" s="128"/>
      <c r="J6029" s="128"/>
      <c r="K6029" s="128"/>
      <c r="L6029" s="128"/>
      <c r="M6029" s="129"/>
      <c r="N6029" s="129"/>
      <c r="O6029" s="129"/>
    </row>
    <row r="6030" spans="1:15" ht="12.5">
      <c r="A6030" s="158" t="s">
        <v>30219</v>
      </c>
      <c r="B6030" s="159">
        <v>65</v>
      </c>
      <c r="C6030" s="159">
        <v>80</v>
      </c>
      <c r="D6030" s="159">
        <v>89</v>
      </c>
      <c r="E6030" s="159">
        <v>46</v>
      </c>
      <c r="F6030" s="131"/>
      <c r="G6030" s="132"/>
      <c r="H6030" s="162" t="s">
        <v>30220</v>
      </c>
      <c r="I6030" s="128"/>
      <c r="J6030" s="128"/>
      <c r="K6030" s="128"/>
      <c r="L6030" s="128"/>
      <c r="M6030" s="129"/>
      <c r="N6030" s="129"/>
      <c r="O6030" s="129"/>
    </row>
    <row r="6031" spans="1:15" ht="12.5">
      <c r="A6031" s="158" t="s">
        <v>30221</v>
      </c>
      <c r="B6031" s="159">
        <v>65</v>
      </c>
      <c r="C6031" s="159">
        <v>80</v>
      </c>
      <c r="D6031" s="159">
        <v>89</v>
      </c>
      <c r="E6031" s="159">
        <v>85</v>
      </c>
      <c r="F6031" s="131"/>
      <c r="G6031" s="132"/>
      <c r="H6031" s="162" t="s">
        <v>30222</v>
      </c>
      <c r="I6031" s="128"/>
      <c r="J6031" s="128"/>
      <c r="K6031" s="128"/>
      <c r="L6031" s="128"/>
      <c r="M6031" s="129"/>
      <c r="N6031" s="129"/>
      <c r="O6031" s="129"/>
    </row>
    <row r="6032" spans="1:15" ht="12.5">
      <c r="A6032" s="158" t="s">
        <v>30223</v>
      </c>
      <c r="B6032" s="159">
        <v>65</v>
      </c>
      <c r="C6032" s="159">
        <v>80</v>
      </c>
      <c r="D6032" s="159">
        <v>96</v>
      </c>
      <c r="E6032" s="130"/>
      <c r="F6032" s="131"/>
      <c r="G6032" s="132"/>
      <c r="H6032" s="162" t="s">
        <v>30224</v>
      </c>
      <c r="I6032" s="128"/>
      <c r="J6032" s="128"/>
      <c r="K6032" s="128"/>
      <c r="L6032" s="128"/>
      <c r="M6032" s="129"/>
      <c r="N6032" s="129"/>
      <c r="O6032" s="129"/>
    </row>
    <row r="6033" spans="1:15" ht="12.5">
      <c r="A6033" s="158" t="s">
        <v>30225</v>
      </c>
      <c r="B6033" s="159">
        <v>65</v>
      </c>
      <c r="C6033" s="159">
        <v>80</v>
      </c>
      <c r="D6033" s="159">
        <v>96</v>
      </c>
      <c r="E6033" s="159">
        <v>7</v>
      </c>
      <c r="F6033" s="131"/>
      <c r="G6033" s="132"/>
      <c r="H6033" s="162" t="s">
        <v>30226</v>
      </c>
      <c r="I6033" s="158" t="s">
        <v>30227</v>
      </c>
      <c r="J6033" s="128"/>
      <c r="K6033" s="128"/>
      <c r="L6033" s="128"/>
      <c r="M6033" s="129"/>
      <c r="N6033" s="129"/>
      <c r="O6033" s="129"/>
    </row>
    <row r="6034" spans="1:15" ht="12.5">
      <c r="A6034" s="158" t="s">
        <v>30228</v>
      </c>
      <c r="B6034" s="159">
        <v>65</v>
      </c>
      <c r="C6034" s="159">
        <v>80</v>
      </c>
      <c r="D6034" s="159">
        <v>96</v>
      </c>
      <c r="E6034" s="159">
        <v>24</v>
      </c>
      <c r="F6034" s="131"/>
      <c r="G6034" s="132"/>
      <c r="H6034" s="162" t="s">
        <v>30229</v>
      </c>
      <c r="I6034" s="158" t="s">
        <v>30230</v>
      </c>
      <c r="J6034" s="128"/>
      <c r="K6034" s="128"/>
      <c r="L6034" s="128"/>
      <c r="M6034" s="129"/>
      <c r="N6034" s="129"/>
      <c r="O6034" s="129"/>
    </row>
    <row r="6035" spans="1:15" ht="12.5">
      <c r="A6035" s="158" t="s">
        <v>30231</v>
      </c>
      <c r="B6035" s="159">
        <v>65</v>
      </c>
      <c r="C6035" s="159">
        <v>80</v>
      </c>
      <c r="D6035" s="159">
        <v>96</v>
      </c>
      <c r="E6035" s="159">
        <v>76</v>
      </c>
      <c r="F6035" s="131"/>
      <c r="G6035" s="132"/>
      <c r="H6035" s="162" t="s">
        <v>30232</v>
      </c>
      <c r="I6035" s="158" t="s">
        <v>30233</v>
      </c>
      <c r="J6035" s="128"/>
      <c r="K6035" s="128"/>
      <c r="L6035" s="128"/>
      <c r="M6035" s="129"/>
      <c r="N6035" s="129"/>
      <c r="O6035" s="129"/>
    </row>
    <row r="6036" spans="1:15" ht="12.5">
      <c r="A6036" s="158" t="s">
        <v>30234</v>
      </c>
      <c r="B6036" s="159">
        <v>65</v>
      </c>
      <c r="C6036" s="159">
        <v>80</v>
      </c>
      <c r="D6036" s="159">
        <v>96</v>
      </c>
      <c r="E6036" s="159">
        <v>79</v>
      </c>
      <c r="F6036" s="131"/>
      <c r="G6036" s="132"/>
      <c r="H6036" s="162" t="s">
        <v>30235</v>
      </c>
      <c r="I6036" s="158" t="s">
        <v>30236</v>
      </c>
      <c r="J6036" s="128"/>
      <c r="K6036" s="128"/>
      <c r="L6036" s="128"/>
      <c r="M6036" s="129"/>
      <c r="N6036" s="129"/>
      <c r="O6036" s="129"/>
    </row>
    <row r="6037" spans="1:15" ht="12.5">
      <c r="A6037" s="158" t="s">
        <v>30237</v>
      </c>
      <c r="B6037" s="159">
        <v>65</v>
      </c>
      <c r="C6037" s="159">
        <v>80</v>
      </c>
      <c r="D6037" s="159">
        <v>96</v>
      </c>
      <c r="E6037" s="159">
        <v>80</v>
      </c>
      <c r="F6037" s="131"/>
      <c r="G6037" s="132"/>
      <c r="H6037" s="162" t="s">
        <v>30238</v>
      </c>
      <c r="I6037" s="158" t="s">
        <v>30239</v>
      </c>
      <c r="J6037" s="128"/>
      <c r="K6037" s="128"/>
      <c r="L6037" s="128"/>
      <c r="M6037" s="129"/>
      <c r="N6037" s="129"/>
      <c r="O6037" s="129"/>
    </row>
    <row r="6038" spans="1:15" ht="12.5">
      <c r="A6038" s="137" t="s">
        <v>30240</v>
      </c>
      <c r="B6038" s="138">
        <v>70</v>
      </c>
      <c r="C6038" s="139"/>
      <c r="D6038" s="139"/>
      <c r="E6038" s="139"/>
      <c r="F6038" s="140" t="s">
        <v>33572</v>
      </c>
      <c r="G6038" s="141"/>
      <c r="H6038" s="142" t="s">
        <v>30241</v>
      </c>
      <c r="I6038" s="143"/>
      <c r="J6038" s="143"/>
      <c r="K6038" s="143"/>
      <c r="L6038" s="143"/>
      <c r="M6038" s="192"/>
      <c r="N6038" s="192"/>
      <c r="O6038" s="192"/>
    </row>
    <row r="6039" spans="1:15" ht="12.5">
      <c r="A6039" s="144" t="s">
        <v>30242</v>
      </c>
      <c r="B6039" s="145">
        <v>70</v>
      </c>
      <c r="C6039" s="145">
        <v>50</v>
      </c>
      <c r="D6039" s="146"/>
      <c r="E6039" s="146"/>
      <c r="F6039" s="147" t="s">
        <v>33573</v>
      </c>
      <c r="G6039" s="190"/>
      <c r="H6039" s="149" t="s">
        <v>30243</v>
      </c>
      <c r="I6039" s="150"/>
      <c r="J6039" s="150"/>
      <c r="K6039" s="150"/>
      <c r="L6039" s="150"/>
      <c r="M6039" s="191"/>
      <c r="N6039" s="191"/>
      <c r="O6039" s="191"/>
    </row>
    <row r="6040" spans="1:15" ht="12.5">
      <c r="A6040" s="158" t="s">
        <v>30244</v>
      </c>
      <c r="B6040" s="159">
        <v>70</v>
      </c>
      <c r="C6040" s="159">
        <v>50</v>
      </c>
      <c r="D6040" s="159">
        <v>71</v>
      </c>
      <c r="E6040" s="130"/>
      <c r="F6040" s="131"/>
      <c r="G6040" s="132"/>
      <c r="H6040" s="162" t="s">
        <v>30245</v>
      </c>
      <c r="I6040" s="128"/>
      <c r="J6040" s="128"/>
      <c r="K6040" s="128"/>
      <c r="L6040" s="128"/>
      <c r="M6040" s="129"/>
      <c r="N6040" s="129"/>
      <c r="O6040" s="129"/>
    </row>
    <row r="6041" spans="1:15" ht="12.5">
      <c r="A6041" s="158" t="s">
        <v>30246</v>
      </c>
      <c r="B6041" s="159">
        <v>70</v>
      </c>
      <c r="C6041" s="159">
        <v>50</v>
      </c>
      <c r="D6041" s="159">
        <v>71</v>
      </c>
      <c r="E6041" s="159">
        <v>18</v>
      </c>
      <c r="F6041" s="131"/>
      <c r="G6041" s="132"/>
      <c r="H6041" s="162" t="s">
        <v>30247</v>
      </c>
      <c r="I6041" s="128"/>
      <c r="J6041" s="128"/>
      <c r="K6041" s="128"/>
      <c r="L6041" s="128"/>
      <c r="M6041" s="129"/>
      <c r="N6041" s="129"/>
      <c r="O6041" s="129"/>
    </row>
    <row r="6042" spans="1:15" ht="12.5">
      <c r="A6042" s="158" t="s">
        <v>30248</v>
      </c>
      <c r="B6042" s="159">
        <v>70</v>
      </c>
      <c r="C6042" s="159">
        <v>50</v>
      </c>
      <c r="D6042" s="159">
        <v>71</v>
      </c>
      <c r="E6042" s="159">
        <v>42</v>
      </c>
      <c r="F6042" s="131"/>
      <c r="G6042" s="132"/>
      <c r="H6042" s="162" t="s">
        <v>30249</v>
      </c>
      <c r="I6042" s="128"/>
      <c r="J6042" s="128"/>
      <c r="K6042" s="128"/>
      <c r="L6042" s="128"/>
      <c r="M6042" s="129"/>
      <c r="N6042" s="129"/>
      <c r="O6042" s="129"/>
    </row>
    <row r="6043" spans="1:15" ht="12.5">
      <c r="A6043" s="158" t="s">
        <v>30250</v>
      </c>
      <c r="B6043" s="159">
        <v>70</v>
      </c>
      <c r="C6043" s="159">
        <v>50</v>
      </c>
      <c r="D6043" s="159">
        <v>71</v>
      </c>
      <c r="E6043" s="159">
        <v>60</v>
      </c>
      <c r="F6043" s="131"/>
      <c r="G6043" s="132"/>
      <c r="H6043" s="162" t="s">
        <v>30251</v>
      </c>
      <c r="I6043" s="128"/>
      <c r="J6043" s="128"/>
      <c r="K6043" s="128"/>
      <c r="L6043" s="128"/>
      <c r="M6043" s="129"/>
      <c r="N6043" s="129"/>
      <c r="O6043" s="129"/>
    </row>
    <row r="6044" spans="1:15" ht="12.5">
      <c r="A6044" s="158" t="s">
        <v>30252</v>
      </c>
      <c r="B6044" s="159">
        <v>70</v>
      </c>
      <c r="C6044" s="159">
        <v>50</v>
      </c>
      <c r="D6044" s="159">
        <v>80</v>
      </c>
      <c r="E6044" s="130"/>
      <c r="F6044" s="131"/>
      <c r="G6044" s="132"/>
      <c r="H6044" s="162" t="s">
        <v>30253</v>
      </c>
      <c r="I6044" s="128"/>
      <c r="J6044" s="128"/>
      <c r="K6044" s="128"/>
      <c r="L6044" s="128"/>
      <c r="M6044" s="129"/>
      <c r="N6044" s="129"/>
      <c r="O6044" s="129"/>
    </row>
    <row r="6045" spans="1:15" ht="12.5">
      <c r="A6045" s="158" t="s">
        <v>30254</v>
      </c>
      <c r="B6045" s="159">
        <v>70</v>
      </c>
      <c r="C6045" s="159">
        <v>50</v>
      </c>
      <c r="D6045" s="159">
        <v>80</v>
      </c>
      <c r="E6045" s="159">
        <v>37</v>
      </c>
      <c r="F6045" s="131"/>
      <c r="G6045" s="132"/>
      <c r="H6045" s="162" t="s">
        <v>30255</v>
      </c>
      <c r="I6045" s="158" t="s">
        <v>30256</v>
      </c>
      <c r="J6045" s="128"/>
      <c r="K6045" s="128"/>
      <c r="L6045" s="128"/>
      <c r="M6045" s="129"/>
      <c r="N6045" s="129"/>
      <c r="O6045" s="129"/>
    </row>
    <row r="6046" spans="1:15" ht="12.5">
      <c r="A6046" s="158" t="s">
        <v>30257</v>
      </c>
      <c r="B6046" s="159">
        <v>70</v>
      </c>
      <c r="C6046" s="159">
        <v>50</v>
      </c>
      <c r="D6046" s="159">
        <v>80</v>
      </c>
      <c r="E6046" s="159">
        <v>94</v>
      </c>
      <c r="F6046" s="131"/>
      <c r="G6046" s="132"/>
      <c r="H6046" s="162" t="s">
        <v>30258</v>
      </c>
      <c r="I6046" s="158" t="s">
        <v>30259</v>
      </c>
      <c r="J6046" s="128"/>
      <c r="K6046" s="128"/>
      <c r="L6046" s="128"/>
      <c r="M6046" s="129"/>
      <c r="N6046" s="129"/>
      <c r="O6046" s="129"/>
    </row>
    <row r="6047" spans="1:15" ht="12.5">
      <c r="A6047" s="158" t="s">
        <v>30260</v>
      </c>
      <c r="B6047" s="159">
        <v>70</v>
      </c>
      <c r="C6047" s="159">
        <v>50</v>
      </c>
      <c r="D6047" s="159">
        <v>85</v>
      </c>
      <c r="E6047" s="130"/>
      <c r="F6047" s="131"/>
      <c r="G6047" s="132"/>
      <c r="H6047" s="162" t="s">
        <v>30261</v>
      </c>
      <c r="I6047" s="128"/>
      <c r="J6047" s="128"/>
      <c r="K6047" s="128"/>
      <c r="L6047" s="128"/>
      <c r="M6047" s="129"/>
      <c r="N6047" s="129"/>
      <c r="O6047" s="129"/>
    </row>
    <row r="6048" spans="1:15" ht="12.5">
      <c r="A6048" s="158" t="s">
        <v>30262</v>
      </c>
      <c r="B6048" s="159">
        <v>70</v>
      </c>
      <c r="C6048" s="159">
        <v>50</v>
      </c>
      <c r="D6048" s="159">
        <v>85</v>
      </c>
      <c r="E6048" s="159">
        <v>24</v>
      </c>
      <c r="F6048" s="131"/>
      <c r="G6048" s="132"/>
      <c r="H6048" s="162" t="s">
        <v>30263</v>
      </c>
      <c r="I6048" s="158" t="s">
        <v>30264</v>
      </c>
      <c r="J6048" s="128"/>
      <c r="K6048" s="128"/>
      <c r="L6048" s="128"/>
      <c r="M6048" s="129"/>
      <c r="N6048" s="129"/>
      <c r="O6048" s="129"/>
    </row>
    <row r="6049" spans="1:15" ht="12.5">
      <c r="A6049" s="158" t="s">
        <v>30265</v>
      </c>
      <c r="B6049" s="159">
        <v>70</v>
      </c>
      <c r="C6049" s="159">
        <v>50</v>
      </c>
      <c r="D6049" s="159">
        <v>85</v>
      </c>
      <c r="E6049" s="159">
        <v>37</v>
      </c>
      <c r="F6049" s="131"/>
      <c r="G6049" s="132"/>
      <c r="H6049" s="162" t="s">
        <v>30266</v>
      </c>
      <c r="I6049" s="158" t="s">
        <v>30267</v>
      </c>
      <c r="J6049" s="128"/>
      <c r="K6049" s="128"/>
      <c r="L6049" s="128"/>
      <c r="M6049" s="129"/>
      <c r="N6049" s="129"/>
      <c r="O6049" s="129"/>
    </row>
    <row r="6050" spans="1:15" ht="12.5">
      <c r="A6050" s="158" t="s">
        <v>30268</v>
      </c>
      <c r="B6050" s="159">
        <v>70</v>
      </c>
      <c r="C6050" s="159">
        <v>50</v>
      </c>
      <c r="D6050" s="159">
        <v>85</v>
      </c>
      <c r="E6050" s="159">
        <v>65</v>
      </c>
      <c r="F6050" s="131"/>
      <c r="G6050" s="132"/>
      <c r="H6050" s="162" t="s">
        <v>30269</v>
      </c>
      <c r="I6050" s="158" t="s">
        <v>30270</v>
      </c>
      <c r="J6050" s="128"/>
      <c r="K6050" s="128"/>
      <c r="L6050" s="128"/>
      <c r="M6050" s="129"/>
      <c r="N6050" s="129"/>
      <c r="O6050" s="129"/>
    </row>
    <row r="6051" spans="1:15" ht="12.5">
      <c r="A6051" s="158" t="s">
        <v>30271</v>
      </c>
      <c r="B6051" s="159">
        <v>70</v>
      </c>
      <c r="C6051" s="159">
        <v>50</v>
      </c>
      <c r="D6051" s="159">
        <v>85</v>
      </c>
      <c r="E6051" s="159">
        <v>66</v>
      </c>
      <c r="F6051" s="131"/>
      <c r="G6051" s="132"/>
      <c r="H6051" s="162" t="s">
        <v>30272</v>
      </c>
      <c r="I6051" s="158" t="s">
        <v>30273</v>
      </c>
      <c r="J6051" s="128"/>
      <c r="K6051" s="128"/>
      <c r="L6051" s="128"/>
      <c r="M6051" s="129"/>
      <c r="N6051" s="129"/>
      <c r="O6051" s="129"/>
    </row>
    <row r="6052" spans="1:15" ht="12.5">
      <c r="A6052" s="158" t="s">
        <v>30274</v>
      </c>
      <c r="B6052" s="159">
        <v>70</v>
      </c>
      <c r="C6052" s="159">
        <v>50</v>
      </c>
      <c r="D6052" s="159">
        <v>85</v>
      </c>
      <c r="E6052" s="159">
        <v>78</v>
      </c>
      <c r="F6052" s="131"/>
      <c r="G6052" s="132"/>
      <c r="H6052" s="162" t="s">
        <v>30275</v>
      </c>
      <c r="I6052" s="158" t="s">
        <v>30276</v>
      </c>
      <c r="J6052" s="128"/>
      <c r="K6052" s="128"/>
      <c r="L6052" s="128"/>
      <c r="M6052" s="129"/>
      <c r="N6052" s="129"/>
      <c r="O6052" s="129"/>
    </row>
    <row r="6053" spans="1:15" ht="12.5">
      <c r="A6053" s="158" t="s">
        <v>30277</v>
      </c>
      <c r="B6053" s="159">
        <v>70</v>
      </c>
      <c r="C6053" s="159">
        <v>50</v>
      </c>
      <c r="D6053" s="159">
        <v>85</v>
      </c>
      <c r="E6053" s="159">
        <v>96</v>
      </c>
      <c r="F6053" s="131"/>
      <c r="G6053" s="132"/>
      <c r="H6053" s="162" t="s">
        <v>30278</v>
      </c>
      <c r="I6053" s="158" t="s">
        <v>30279</v>
      </c>
      <c r="J6053" s="128"/>
      <c r="K6053" s="128"/>
      <c r="L6053" s="128"/>
      <c r="M6053" s="129"/>
      <c r="N6053" s="129"/>
      <c r="O6053" s="129"/>
    </row>
    <row r="6054" spans="1:15" ht="12.5">
      <c r="A6054" s="144" t="s">
        <v>30280</v>
      </c>
      <c r="B6054" s="145">
        <v>70</v>
      </c>
      <c r="C6054" s="145">
        <v>55</v>
      </c>
      <c r="D6054" s="146"/>
      <c r="E6054" s="146"/>
      <c r="F6054" s="147" t="s">
        <v>33574</v>
      </c>
      <c r="G6054" s="190"/>
      <c r="H6054" s="149" t="s">
        <v>30281</v>
      </c>
      <c r="I6054" s="150"/>
      <c r="J6054" s="150"/>
      <c r="K6054" s="150"/>
      <c r="L6054" s="150"/>
      <c r="M6054" s="191"/>
      <c r="N6054" s="191"/>
      <c r="O6054" s="191"/>
    </row>
    <row r="6055" spans="1:15" ht="12.5">
      <c r="A6055" s="158" t="s">
        <v>30282</v>
      </c>
      <c r="B6055" s="159">
        <v>70</v>
      </c>
      <c r="C6055" s="159">
        <v>55</v>
      </c>
      <c r="D6055" s="159">
        <v>33</v>
      </c>
      <c r="E6055" s="130"/>
      <c r="F6055" s="131"/>
      <c r="G6055" s="132"/>
      <c r="H6055" s="162" t="s">
        <v>30283</v>
      </c>
      <c r="I6055" s="128"/>
      <c r="J6055" s="128"/>
      <c r="K6055" s="128"/>
      <c r="L6055" s="128"/>
      <c r="M6055" s="129"/>
      <c r="N6055" s="129"/>
      <c r="O6055" s="129"/>
    </row>
    <row r="6056" spans="1:15" ht="12.5">
      <c r="A6056" s="158" t="s">
        <v>30284</v>
      </c>
      <c r="B6056" s="159">
        <v>70</v>
      </c>
      <c r="C6056" s="159">
        <v>55</v>
      </c>
      <c r="D6056" s="159">
        <v>33</v>
      </c>
      <c r="E6056" s="159">
        <v>11</v>
      </c>
      <c r="F6056" s="131"/>
      <c r="G6056" s="132"/>
      <c r="H6056" s="162" t="s">
        <v>30285</v>
      </c>
      <c r="I6056" s="158" t="s">
        <v>30286</v>
      </c>
      <c r="J6056" s="128"/>
      <c r="K6056" s="128"/>
      <c r="L6056" s="128"/>
      <c r="M6056" s="129"/>
      <c r="N6056" s="129"/>
      <c r="O6056" s="129"/>
    </row>
    <row r="6057" spans="1:15" ht="12.5">
      <c r="A6057" s="158" t="s">
        <v>30287</v>
      </c>
      <c r="B6057" s="159">
        <v>70</v>
      </c>
      <c r="C6057" s="159">
        <v>55</v>
      </c>
      <c r="D6057" s="159">
        <v>33</v>
      </c>
      <c r="E6057" s="159">
        <v>30</v>
      </c>
      <c r="F6057" s="131"/>
      <c r="G6057" s="132"/>
      <c r="H6057" s="162" t="s">
        <v>30288</v>
      </c>
      <c r="I6057" s="158" t="s">
        <v>30289</v>
      </c>
      <c r="J6057" s="128"/>
      <c r="K6057" s="128"/>
      <c r="L6057" s="128"/>
      <c r="M6057" s="129"/>
      <c r="N6057" s="129"/>
      <c r="O6057" s="129"/>
    </row>
    <row r="6058" spans="1:15" ht="12.5">
      <c r="A6058" s="158" t="s">
        <v>30290</v>
      </c>
      <c r="B6058" s="159">
        <v>70</v>
      </c>
      <c r="C6058" s="159">
        <v>55</v>
      </c>
      <c r="D6058" s="159">
        <v>33</v>
      </c>
      <c r="E6058" s="159">
        <v>36</v>
      </c>
      <c r="F6058" s="131"/>
      <c r="G6058" s="132"/>
      <c r="H6058" s="162" t="s">
        <v>30291</v>
      </c>
      <c r="I6058" s="158" t="s">
        <v>30292</v>
      </c>
      <c r="J6058" s="128"/>
      <c r="K6058" s="128"/>
      <c r="L6058" s="128"/>
      <c r="M6058" s="129"/>
      <c r="N6058" s="129"/>
      <c r="O6058" s="129"/>
    </row>
    <row r="6059" spans="1:15" ht="12.5">
      <c r="A6059" s="158" t="s">
        <v>30293</v>
      </c>
      <c r="B6059" s="159">
        <v>70</v>
      </c>
      <c r="C6059" s="159">
        <v>55</v>
      </c>
      <c r="D6059" s="159">
        <v>42</v>
      </c>
      <c r="E6059" s="130"/>
      <c r="F6059" s="131"/>
      <c r="G6059" s="132"/>
      <c r="H6059" s="162" t="s">
        <v>30294</v>
      </c>
      <c r="I6059" s="128"/>
      <c r="J6059" s="128"/>
      <c r="K6059" s="128"/>
      <c r="L6059" s="128"/>
      <c r="M6059" s="129"/>
      <c r="N6059" s="129"/>
      <c r="O6059" s="129"/>
    </row>
    <row r="6060" spans="1:15" ht="12.5">
      <c r="A6060" s="158" t="s">
        <v>30295</v>
      </c>
      <c r="B6060" s="159">
        <v>70</v>
      </c>
      <c r="C6060" s="159">
        <v>55</v>
      </c>
      <c r="D6060" s="159">
        <v>42</v>
      </c>
      <c r="E6060" s="159">
        <v>9</v>
      </c>
      <c r="F6060" s="131"/>
      <c r="G6060" s="132"/>
      <c r="H6060" s="162" t="s">
        <v>30296</v>
      </c>
      <c r="I6060" s="158" t="s">
        <v>30297</v>
      </c>
      <c r="J6060" s="128"/>
      <c r="K6060" s="128"/>
      <c r="L6060" s="128"/>
      <c r="M6060" s="129"/>
      <c r="N6060" s="129"/>
      <c r="O6060" s="129"/>
    </row>
    <row r="6061" spans="1:15" ht="12.5">
      <c r="A6061" s="158" t="s">
        <v>30298</v>
      </c>
      <c r="B6061" s="159">
        <v>70</v>
      </c>
      <c r="C6061" s="159">
        <v>55</v>
      </c>
      <c r="D6061" s="159">
        <v>42</v>
      </c>
      <c r="E6061" s="159">
        <v>11</v>
      </c>
      <c r="F6061" s="131"/>
      <c r="G6061" s="132"/>
      <c r="H6061" s="162" t="s">
        <v>30299</v>
      </c>
      <c r="I6061" s="158" t="s">
        <v>30300</v>
      </c>
      <c r="J6061" s="128"/>
      <c r="K6061" s="128"/>
      <c r="L6061" s="128"/>
      <c r="M6061" s="129"/>
      <c r="N6061" s="129"/>
      <c r="O6061" s="129"/>
    </row>
    <row r="6062" spans="1:15" ht="12.5">
      <c r="A6062" s="158" t="s">
        <v>30301</v>
      </c>
      <c r="B6062" s="159">
        <v>70</v>
      </c>
      <c r="C6062" s="159">
        <v>55</v>
      </c>
      <c r="D6062" s="159">
        <v>42</v>
      </c>
      <c r="E6062" s="159">
        <v>22</v>
      </c>
      <c r="F6062" s="131"/>
      <c r="G6062" s="132"/>
      <c r="H6062" s="162" t="s">
        <v>30302</v>
      </c>
      <c r="I6062" s="158" t="s">
        <v>30303</v>
      </c>
      <c r="J6062" s="128"/>
      <c r="K6062" s="128"/>
      <c r="L6062" s="128"/>
      <c r="M6062" s="129"/>
      <c r="N6062" s="129"/>
      <c r="O6062" s="129"/>
    </row>
    <row r="6063" spans="1:15" ht="12.5">
      <c r="A6063" s="158" t="s">
        <v>30304</v>
      </c>
      <c r="B6063" s="159">
        <v>70</v>
      </c>
      <c r="C6063" s="159">
        <v>55</v>
      </c>
      <c r="D6063" s="159">
        <v>42</v>
      </c>
      <c r="E6063" s="159">
        <v>46</v>
      </c>
      <c r="F6063" s="131"/>
      <c r="G6063" s="132"/>
      <c r="H6063" s="162" t="s">
        <v>30305</v>
      </c>
      <c r="I6063" s="158" t="s">
        <v>30306</v>
      </c>
      <c r="J6063" s="128"/>
      <c r="K6063" s="128"/>
      <c r="L6063" s="128"/>
      <c r="M6063" s="129"/>
      <c r="N6063" s="129"/>
      <c r="O6063" s="129"/>
    </row>
    <row r="6064" spans="1:15" ht="12.5">
      <c r="A6064" s="158" t="s">
        <v>30307</v>
      </c>
      <c r="B6064" s="159">
        <v>70</v>
      </c>
      <c r="C6064" s="159">
        <v>55</v>
      </c>
      <c r="D6064" s="159">
        <v>42</v>
      </c>
      <c r="E6064" s="159">
        <v>47</v>
      </c>
      <c r="F6064" s="131"/>
      <c r="G6064" s="132"/>
      <c r="H6064" s="162" t="s">
        <v>30308</v>
      </c>
      <c r="I6064" s="158" t="s">
        <v>30309</v>
      </c>
      <c r="J6064" s="128"/>
      <c r="K6064" s="128"/>
      <c r="L6064" s="128"/>
      <c r="M6064" s="129"/>
      <c r="N6064" s="129"/>
      <c r="O6064" s="129"/>
    </row>
    <row r="6065" spans="1:15" ht="12.5">
      <c r="A6065" s="158" t="s">
        <v>30310</v>
      </c>
      <c r="B6065" s="159">
        <v>70</v>
      </c>
      <c r="C6065" s="159">
        <v>55</v>
      </c>
      <c r="D6065" s="159">
        <v>42</v>
      </c>
      <c r="E6065" s="159">
        <v>52</v>
      </c>
      <c r="F6065" s="131"/>
      <c r="G6065" s="132"/>
      <c r="H6065" s="162" t="s">
        <v>30311</v>
      </c>
      <c r="I6065" s="158" t="s">
        <v>30312</v>
      </c>
      <c r="J6065" s="128"/>
      <c r="K6065" s="128"/>
      <c r="L6065" s="128"/>
      <c r="M6065" s="129"/>
      <c r="N6065" s="129"/>
      <c r="O6065" s="129"/>
    </row>
    <row r="6066" spans="1:15" ht="12.5">
      <c r="A6066" s="158" t="s">
        <v>30313</v>
      </c>
      <c r="B6066" s="159">
        <v>70</v>
      </c>
      <c r="C6066" s="159">
        <v>55</v>
      </c>
      <c r="D6066" s="159">
        <v>42</v>
      </c>
      <c r="E6066" s="159">
        <v>53</v>
      </c>
      <c r="F6066" s="131"/>
      <c r="G6066" s="132"/>
      <c r="H6066" s="162" t="s">
        <v>30314</v>
      </c>
      <c r="I6066" s="158" t="s">
        <v>30315</v>
      </c>
      <c r="J6066" s="128"/>
      <c r="K6066" s="128"/>
      <c r="L6066" s="128"/>
      <c r="M6066" s="129"/>
      <c r="N6066" s="129"/>
      <c r="O6066" s="129"/>
    </row>
    <row r="6067" spans="1:15" ht="12.5">
      <c r="A6067" s="158" t="s">
        <v>30316</v>
      </c>
      <c r="B6067" s="159">
        <v>70</v>
      </c>
      <c r="C6067" s="159">
        <v>55</v>
      </c>
      <c r="D6067" s="159">
        <v>42</v>
      </c>
      <c r="E6067" s="159">
        <v>54</v>
      </c>
      <c r="F6067" s="131"/>
      <c r="G6067" s="132"/>
      <c r="H6067" s="162" t="s">
        <v>30317</v>
      </c>
      <c r="I6067" s="158" t="s">
        <v>30318</v>
      </c>
      <c r="J6067" s="128"/>
      <c r="K6067" s="128"/>
      <c r="L6067" s="128"/>
      <c r="M6067" s="129"/>
      <c r="N6067" s="129"/>
      <c r="O6067" s="129"/>
    </row>
    <row r="6068" spans="1:15" ht="12.5">
      <c r="A6068" s="158" t="s">
        <v>30319</v>
      </c>
      <c r="B6068" s="159">
        <v>70</v>
      </c>
      <c r="C6068" s="159">
        <v>55</v>
      </c>
      <c r="D6068" s="159">
        <v>42</v>
      </c>
      <c r="E6068" s="159">
        <v>58</v>
      </c>
      <c r="F6068" s="131"/>
      <c r="G6068" s="132"/>
      <c r="H6068" s="162" t="s">
        <v>30320</v>
      </c>
      <c r="I6068" s="128"/>
      <c r="J6068" s="128"/>
      <c r="K6068" s="128"/>
      <c r="L6068" s="128"/>
      <c r="M6068" s="129"/>
      <c r="N6068" s="129"/>
      <c r="O6068" s="129"/>
    </row>
    <row r="6069" spans="1:15" ht="12.5">
      <c r="A6069" s="158" t="s">
        <v>30321</v>
      </c>
      <c r="B6069" s="159">
        <v>70</v>
      </c>
      <c r="C6069" s="159">
        <v>55</v>
      </c>
      <c r="D6069" s="159">
        <v>42</v>
      </c>
      <c r="E6069" s="159">
        <v>64</v>
      </c>
      <c r="F6069" s="131"/>
      <c r="G6069" s="132"/>
      <c r="H6069" s="162" t="s">
        <v>30322</v>
      </c>
      <c r="I6069" s="158" t="s">
        <v>30323</v>
      </c>
      <c r="J6069" s="128"/>
      <c r="K6069" s="128"/>
      <c r="L6069" s="128"/>
      <c r="M6069" s="129"/>
      <c r="N6069" s="129"/>
      <c r="O6069" s="129"/>
    </row>
    <row r="6070" spans="1:15" ht="12.5">
      <c r="A6070" s="158" t="s">
        <v>30324</v>
      </c>
      <c r="B6070" s="159">
        <v>70</v>
      </c>
      <c r="C6070" s="159">
        <v>55</v>
      </c>
      <c r="D6070" s="159">
        <v>42</v>
      </c>
      <c r="E6070" s="159">
        <v>70</v>
      </c>
      <c r="F6070" s="131"/>
      <c r="G6070" s="132"/>
      <c r="H6070" s="162" t="s">
        <v>30325</v>
      </c>
      <c r="I6070" s="158" t="s">
        <v>30326</v>
      </c>
      <c r="J6070" s="128"/>
      <c r="K6070" s="128"/>
      <c r="L6070" s="128"/>
      <c r="M6070" s="129"/>
      <c r="N6070" s="129"/>
      <c r="O6070" s="129"/>
    </row>
    <row r="6071" spans="1:15" ht="12.5">
      <c r="A6071" s="158" t="s">
        <v>30327</v>
      </c>
      <c r="B6071" s="159">
        <v>70</v>
      </c>
      <c r="C6071" s="159">
        <v>55</v>
      </c>
      <c r="D6071" s="159">
        <v>42</v>
      </c>
      <c r="E6071" s="159">
        <v>73</v>
      </c>
      <c r="F6071" s="131"/>
      <c r="G6071" s="132"/>
      <c r="H6071" s="162" t="s">
        <v>30328</v>
      </c>
      <c r="I6071" s="158" t="s">
        <v>30329</v>
      </c>
      <c r="J6071" s="128"/>
      <c r="K6071" s="128"/>
      <c r="L6071" s="128"/>
      <c r="M6071" s="129"/>
      <c r="N6071" s="129"/>
      <c r="O6071" s="129"/>
    </row>
    <row r="6072" spans="1:15" ht="12.5">
      <c r="A6072" s="158" t="s">
        <v>30330</v>
      </c>
      <c r="B6072" s="159">
        <v>70</v>
      </c>
      <c r="C6072" s="159">
        <v>55</v>
      </c>
      <c r="D6072" s="159">
        <v>42</v>
      </c>
      <c r="E6072" s="159">
        <v>80</v>
      </c>
      <c r="F6072" s="131"/>
      <c r="G6072" s="132"/>
      <c r="H6072" s="162" t="s">
        <v>30331</v>
      </c>
      <c r="I6072" s="158" t="s">
        <v>30332</v>
      </c>
      <c r="J6072" s="128"/>
      <c r="K6072" s="128"/>
      <c r="L6072" s="128"/>
      <c r="M6072" s="129"/>
      <c r="N6072" s="129"/>
      <c r="O6072" s="129"/>
    </row>
    <row r="6073" spans="1:15" ht="12.5">
      <c r="A6073" s="158" t="s">
        <v>30333</v>
      </c>
      <c r="B6073" s="159">
        <v>70</v>
      </c>
      <c r="C6073" s="159">
        <v>55</v>
      </c>
      <c r="D6073" s="159">
        <v>42</v>
      </c>
      <c r="E6073" s="159">
        <v>90</v>
      </c>
      <c r="F6073" s="131"/>
      <c r="G6073" s="132"/>
      <c r="H6073" s="162" t="s">
        <v>30334</v>
      </c>
      <c r="I6073" s="158" t="s">
        <v>30335</v>
      </c>
      <c r="J6073" s="128"/>
      <c r="K6073" s="128"/>
      <c r="L6073" s="128"/>
      <c r="M6073" s="129"/>
      <c r="N6073" s="129"/>
      <c r="O6073" s="129"/>
    </row>
    <row r="6074" spans="1:15" ht="12.5">
      <c r="A6074" s="158" t="s">
        <v>30336</v>
      </c>
      <c r="B6074" s="159">
        <v>70</v>
      </c>
      <c r="C6074" s="159">
        <v>55</v>
      </c>
      <c r="D6074" s="159">
        <v>51</v>
      </c>
      <c r="E6074" s="130"/>
      <c r="F6074" s="131"/>
      <c r="G6074" s="132"/>
      <c r="H6074" s="162" t="s">
        <v>30337</v>
      </c>
      <c r="I6074" s="128"/>
      <c r="J6074" s="128"/>
      <c r="K6074" s="128"/>
      <c r="L6074" s="128"/>
      <c r="M6074" s="129"/>
      <c r="N6074" s="129"/>
      <c r="O6074" s="129"/>
    </row>
    <row r="6075" spans="1:15" ht="12.5">
      <c r="A6075" s="158" t="s">
        <v>30338</v>
      </c>
      <c r="B6075" s="159">
        <v>70</v>
      </c>
      <c r="C6075" s="159">
        <v>55</v>
      </c>
      <c r="D6075" s="159">
        <v>51</v>
      </c>
      <c r="E6075" s="159">
        <v>30</v>
      </c>
      <c r="F6075" s="131"/>
      <c r="G6075" s="132"/>
      <c r="H6075" s="162" t="s">
        <v>30339</v>
      </c>
      <c r="I6075" s="158" t="s">
        <v>30340</v>
      </c>
      <c r="J6075" s="128"/>
      <c r="K6075" s="128"/>
      <c r="L6075" s="128"/>
      <c r="M6075" s="129"/>
      <c r="N6075" s="129"/>
      <c r="O6075" s="129"/>
    </row>
    <row r="6076" spans="1:15" ht="12.5">
      <c r="A6076" s="158" t="s">
        <v>30341</v>
      </c>
      <c r="B6076" s="159">
        <v>70</v>
      </c>
      <c r="C6076" s="159">
        <v>55</v>
      </c>
      <c r="D6076" s="159">
        <v>51</v>
      </c>
      <c r="E6076" s="159">
        <v>37</v>
      </c>
      <c r="F6076" s="131"/>
      <c r="G6076" s="132"/>
      <c r="H6076" s="162" t="s">
        <v>30342</v>
      </c>
      <c r="I6076" s="158" t="s">
        <v>30343</v>
      </c>
      <c r="J6076" s="128"/>
      <c r="K6076" s="128"/>
      <c r="L6076" s="128"/>
      <c r="M6076" s="129"/>
      <c r="N6076" s="129"/>
      <c r="O6076" s="129"/>
    </row>
    <row r="6077" spans="1:15" ht="12.5">
      <c r="A6077" s="158" t="s">
        <v>30344</v>
      </c>
      <c r="B6077" s="159">
        <v>70</v>
      </c>
      <c r="C6077" s="159">
        <v>55</v>
      </c>
      <c r="D6077" s="159">
        <v>51</v>
      </c>
      <c r="E6077" s="159">
        <v>52</v>
      </c>
      <c r="F6077" s="131"/>
      <c r="G6077" s="132"/>
      <c r="H6077" s="162" t="s">
        <v>30345</v>
      </c>
      <c r="I6077" s="158" t="s">
        <v>30346</v>
      </c>
      <c r="J6077" s="128"/>
      <c r="K6077" s="128"/>
      <c r="L6077" s="128"/>
      <c r="M6077" s="129"/>
      <c r="N6077" s="129"/>
      <c r="O6077" s="129"/>
    </row>
    <row r="6078" spans="1:15" ht="12.5">
      <c r="A6078" s="158" t="s">
        <v>30347</v>
      </c>
      <c r="B6078" s="159">
        <v>70</v>
      </c>
      <c r="C6078" s="159">
        <v>55</v>
      </c>
      <c r="D6078" s="159">
        <v>51</v>
      </c>
      <c r="E6078" s="159">
        <v>53</v>
      </c>
      <c r="F6078" s="131"/>
      <c r="G6078" s="132"/>
      <c r="H6078" s="162" t="s">
        <v>30348</v>
      </c>
      <c r="I6078" s="158" t="s">
        <v>30349</v>
      </c>
      <c r="J6078" s="128"/>
      <c r="K6078" s="128"/>
      <c r="L6078" s="128"/>
      <c r="M6078" s="129"/>
      <c r="N6078" s="129"/>
      <c r="O6078" s="129"/>
    </row>
    <row r="6079" spans="1:15" ht="12.5">
      <c r="A6079" s="158" t="s">
        <v>30350</v>
      </c>
      <c r="B6079" s="159">
        <v>70</v>
      </c>
      <c r="C6079" s="159">
        <v>55</v>
      </c>
      <c r="D6079" s="159">
        <v>51</v>
      </c>
      <c r="E6079" s="159">
        <v>55</v>
      </c>
      <c r="F6079" s="131"/>
      <c r="G6079" s="132"/>
      <c r="H6079" s="162" t="s">
        <v>30351</v>
      </c>
      <c r="I6079" s="158" t="s">
        <v>30352</v>
      </c>
      <c r="J6079" s="128"/>
      <c r="K6079" s="128"/>
      <c r="L6079" s="128"/>
      <c r="M6079" s="129"/>
      <c r="N6079" s="129"/>
      <c r="O6079" s="129"/>
    </row>
    <row r="6080" spans="1:15" ht="12.5">
      <c r="A6080" s="158" t="s">
        <v>30353</v>
      </c>
      <c r="B6080" s="159">
        <v>70</v>
      </c>
      <c r="C6080" s="159">
        <v>55</v>
      </c>
      <c r="D6080" s="159">
        <v>51</v>
      </c>
      <c r="E6080" s="159">
        <v>73</v>
      </c>
      <c r="F6080" s="131"/>
      <c r="G6080" s="132"/>
      <c r="H6080" s="162" t="s">
        <v>30354</v>
      </c>
      <c r="I6080" s="158" t="s">
        <v>30355</v>
      </c>
      <c r="J6080" s="128"/>
      <c r="K6080" s="128"/>
      <c r="L6080" s="128"/>
      <c r="M6080" s="129"/>
      <c r="N6080" s="129"/>
      <c r="O6080" s="129"/>
    </row>
    <row r="6081" spans="1:15" ht="12.5">
      <c r="A6081" s="158" t="s">
        <v>30356</v>
      </c>
      <c r="B6081" s="159">
        <v>70</v>
      </c>
      <c r="C6081" s="159">
        <v>55</v>
      </c>
      <c r="D6081" s="159">
        <v>51</v>
      </c>
      <c r="E6081" s="159">
        <v>74</v>
      </c>
      <c r="F6081" s="131"/>
      <c r="G6081" s="132"/>
      <c r="H6081" s="162" t="s">
        <v>30357</v>
      </c>
      <c r="I6081" s="158" t="s">
        <v>30358</v>
      </c>
      <c r="J6081" s="128"/>
      <c r="K6081" s="128"/>
      <c r="L6081" s="128"/>
      <c r="M6081" s="129"/>
      <c r="N6081" s="129"/>
      <c r="O6081" s="129"/>
    </row>
    <row r="6082" spans="1:15" ht="12.5">
      <c r="A6082" s="158" t="s">
        <v>30359</v>
      </c>
      <c r="B6082" s="159">
        <v>70</v>
      </c>
      <c r="C6082" s="159">
        <v>55</v>
      </c>
      <c r="D6082" s="159">
        <v>58</v>
      </c>
      <c r="E6082" s="130"/>
      <c r="F6082" s="131"/>
      <c r="G6082" s="132"/>
      <c r="H6082" s="162" t="s">
        <v>30360</v>
      </c>
      <c r="I6082" s="128"/>
      <c r="J6082" s="128"/>
      <c r="K6082" s="128"/>
      <c r="L6082" s="128"/>
      <c r="M6082" s="129"/>
      <c r="N6082" s="129"/>
      <c r="O6082" s="129"/>
    </row>
    <row r="6083" spans="1:15" ht="12.5">
      <c r="A6083" s="158" t="s">
        <v>30361</v>
      </c>
      <c r="B6083" s="159">
        <v>70</v>
      </c>
      <c r="C6083" s="159">
        <v>55</v>
      </c>
      <c r="D6083" s="159">
        <v>58</v>
      </c>
      <c r="E6083" s="159">
        <v>34</v>
      </c>
      <c r="F6083" s="131"/>
      <c r="G6083" s="132"/>
      <c r="H6083" s="162" t="s">
        <v>30362</v>
      </c>
      <c r="I6083" s="128"/>
      <c r="J6083" s="128"/>
      <c r="K6083" s="128"/>
      <c r="L6083" s="128"/>
      <c r="M6083" s="129"/>
      <c r="N6083" s="129"/>
      <c r="O6083" s="129"/>
    </row>
    <row r="6084" spans="1:15" ht="12.5">
      <c r="A6084" s="158" t="s">
        <v>30363</v>
      </c>
      <c r="B6084" s="159">
        <v>70</v>
      </c>
      <c r="C6084" s="159">
        <v>55</v>
      </c>
      <c r="D6084" s="159">
        <v>58</v>
      </c>
      <c r="E6084" s="159">
        <v>48</v>
      </c>
      <c r="F6084" s="131"/>
      <c r="G6084" s="132"/>
      <c r="H6084" s="162" t="s">
        <v>30364</v>
      </c>
      <c r="I6084" s="128"/>
      <c r="J6084" s="128"/>
      <c r="K6084" s="128"/>
      <c r="L6084" s="128"/>
      <c r="M6084" s="129"/>
      <c r="N6084" s="129"/>
      <c r="O6084" s="129"/>
    </row>
    <row r="6085" spans="1:15" ht="12.5">
      <c r="A6085" s="158" t="s">
        <v>30365</v>
      </c>
      <c r="B6085" s="159">
        <v>70</v>
      </c>
      <c r="C6085" s="159">
        <v>55</v>
      </c>
      <c r="D6085" s="159">
        <v>58</v>
      </c>
      <c r="E6085" s="159">
        <v>58</v>
      </c>
      <c r="F6085" s="131"/>
      <c r="G6085" s="132"/>
      <c r="H6085" s="162" t="s">
        <v>30366</v>
      </c>
      <c r="I6085" s="128"/>
      <c r="J6085" s="128"/>
      <c r="K6085" s="128"/>
      <c r="L6085" s="128"/>
      <c r="M6085" s="129"/>
      <c r="N6085" s="129"/>
      <c r="O6085" s="129"/>
    </row>
    <row r="6086" spans="1:15" ht="12.5">
      <c r="A6086" s="158" t="s">
        <v>30367</v>
      </c>
      <c r="B6086" s="159">
        <v>70</v>
      </c>
      <c r="C6086" s="159">
        <v>55</v>
      </c>
      <c r="D6086" s="159">
        <v>58</v>
      </c>
      <c r="E6086" s="159">
        <v>68</v>
      </c>
      <c r="F6086" s="131"/>
      <c r="G6086" s="132"/>
      <c r="H6086" s="162" t="s">
        <v>30368</v>
      </c>
      <c r="I6086" s="128"/>
      <c r="J6086" s="128"/>
      <c r="K6086" s="128"/>
      <c r="L6086" s="128"/>
      <c r="M6086" s="129"/>
      <c r="N6086" s="129"/>
      <c r="O6086" s="129"/>
    </row>
    <row r="6087" spans="1:15" ht="12.5">
      <c r="A6087" s="158" t="s">
        <v>30369</v>
      </c>
      <c r="B6087" s="159">
        <v>70</v>
      </c>
      <c r="C6087" s="159">
        <v>55</v>
      </c>
      <c r="D6087" s="159">
        <v>58</v>
      </c>
      <c r="E6087" s="159">
        <v>70</v>
      </c>
      <c r="F6087" s="131"/>
      <c r="G6087" s="132"/>
      <c r="H6087" s="162" t="s">
        <v>30370</v>
      </c>
      <c r="I6087" s="158" t="s">
        <v>30371</v>
      </c>
      <c r="J6087" s="128"/>
      <c r="K6087" s="128"/>
      <c r="L6087" s="128"/>
      <c r="M6087" s="129"/>
      <c r="N6087" s="129"/>
      <c r="O6087" s="129"/>
    </row>
    <row r="6088" spans="1:15" ht="12.5">
      <c r="A6088" s="158" t="s">
        <v>30374</v>
      </c>
      <c r="B6088" s="159">
        <v>70</v>
      </c>
      <c r="C6088" s="159">
        <v>55</v>
      </c>
      <c r="D6088" s="159">
        <v>58</v>
      </c>
      <c r="E6088" s="159">
        <v>80</v>
      </c>
      <c r="F6088" s="131"/>
      <c r="G6088" s="132"/>
      <c r="H6088" s="162" t="s">
        <v>30375</v>
      </c>
      <c r="I6088" s="128"/>
      <c r="J6088" s="128"/>
      <c r="K6088" s="128"/>
      <c r="L6088" s="128"/>
      <c r="M6088" s="129"/>
      <c r="N6088" s="129"/>
      <c r="O6088" s="129"/>
    </row>
    <row r="6089" spans="1:15" ht="12.5">
      <c r="A6089" s="158" t="s">
        <v>30376</v>
      </c>
      <c r="B6089" s="159">
        <v>70</v>
      </c>
      <c r="C6089" s="159">
        <v>55</v>
      </c>
      <c r="D6089" s="159">
        <v>62</v>
      </c>
      <c r="E6089" s="130"/>
      <c r="F6089" s="131"/>
      <c r="G6089" s="132"/>
      <c r="H6089" s="162" t="s">
        <v>30377</v>
      </c>
      <c r="I6089" s="128"/>
      <c r="J6089" s="128"/>
      <c r="K6089" s="128"/>
      <c r="L6089" s="128"/>
      <c r="M6089" s="129"/>
      <c r="N6089" s="129"/>
      <c r="O6089" s="129"/>
    </row>
    <row r="6090" spans="1:15" ht="12.5">
      <c r="A6090" s="158" t="s">
        <v>30378</v>
      </c>
      <c r="B6090" s="159">
        <v>70</v>
      </c>
      <c r="C6090" s="159">
        <v>55</v>
      </c>
      <c r="D6090" s="159">
        <v>62</v>
      </c>
      <c r="E6090" s="159">
        <v>31</v>
      </c>
      <c r="F6090" s="131"/>
      <c r="G6090" s="132"/>
      <c r="H6090" s="162" t="s">
        <v>30379</v>
      </c>
      <c r="I6090" s="158" t="s">
        <v>30380</v>
      </c>
      <c r="J6090" s="128"/>
      <c r="K6090" s="128"/>
      <c r="L6090" s="128"/>
      <c r="M6090" s="129"/>
      <c r="N6090" s="129"/>
      <c r="O6090" s="129"/>
    </row>
    <row r="6091" spans="1:15" ht="12.5">
      <c r="A6091" s="158" t="s">
        <v>30381</v>
      </c>
      <c r="B6091" s="159">
        <v>70</v>
      </c>
      <c r="C6091" s="159">
        <v>55</v>
      </c>
      <c r="D6091" s="159">
        <v>76</v>
      </c>
      <c r="E6091" s="130"/>
      <c r="F6091" s="131"/>
      <c r="G6091" s="132"/>
      <c r="H6091" s="162" t="s">
        <v>30382</v>
      </c>
      <c r="I6091" s="128"/>
      <c r="J6091" s="128"/>
      <c r="K6091" s="128"/>
      <c r="L6091" s="128"/>
      <c r="M6091" s="129"/>
      <c r="N6091" s="129"/>
      <c r="O6091" s="129"/>
    </row>
    <row r="6092" spans="1:15" ht="12.5">
      <c r="A6092" s="158" t="s">
        <v>30383</v>
      </c>
      <c r="B6092" s="159">
        <v>70</v>
      </c>
      <c r="C6092" s="159">
        <v>55</v>
      </c>
      <c r="D6092" s="159">
        <v>76</v>
      </c>
      <c r="E6092" s="159">
        <v>34</v>
      </c>
      <c r="F6092" s="131"/>
      <c r="G6092" s="132"/>
      <c r="H6092" s="162" t="s">
        <v>30384</v>
      </c>
      <c r="I6092" s="158" t="s">
        <v>30385</v>
      </c>
      <c r="J6092" s="128"/>
      <c r="K6092" s="128"/>
      <c r="L6092" s="128"/>
      <c r="M6092" s="129"/>
      <c r="N6092" s="129"/>
      <c r="O6092" s="129"/>
    </row>
    <row r="6093" spans="1:15" ht="12.5">
      <c r="A6093" s="158" t="s">
        <v>30386</v>
      </c>
      <c r="B6093" s="159">
        <v>70</v>
      </c>
      <c r="C6093" s="159">
        <v>55</v>
      </c>
      <c r="D6093" s="159">
        <v>76</v>
      </c>
      <c r="E6093" s="159">
        <v>62</v>
      </c>
      <c r="F6093" s="131"/>
      <c r="G6093" s="132"/>
      <c r="H6093" s="162" t="s">
        <v>30387</v>
      </c>
      <c r="I6093" s="158" t="s">
        <v>30388</v>
      </c>
      <c r="J6093" s="128"/>
      <c r="K6093" s="128"/>
      <c r="L6093" s="128"/>
      <c r="M6093" s="129"/>
      <c r="N6093" s="129"/>
      <c r="O6093" s="129"/>
    </row>
    <row r="6094" spans="1:15" ht="12.5">
      <c r="A6094" s="158" t="s">
        <v>30389</v>
      </c>
      <c r="B6094" s="159">
        <v>70</v>
      </c>
      <c r="C6094" s="159">
        <v>55</v>
      </c>
      <c r="D6094" s="159">
        <v>76</v>
      </c>
      <c r="E6094" s="159">
        <v>64</v>
      </c>
      <c r="F6094" s="131"/>
      <c r="G6094" s="132"/>
      <c r="H6094" s="162" t="s">
        <v>30390</v>
      </c>
      <c r="I6094" s="158" t="s">
        <v>30391</v>
      </c>
      <c r="J6094" s="128"/>
      <c r="K6094" s="128"/>
      <c r="L6094" s="128"/>
      <c r="M6094" s="129"/>
      <c r="N6094" s="129"/>
      <c r="O6094" s="129"/>
    </row>
    <row r="6095" spans="1:15" ht="12.5">
      <c r="A6095" s="158" t="s">
        <v>30392</v>
      </c>
      <c r="B6095" s="159">
        <v>70</v>
      </c>
      <c r="C6095" s="159">
        <v>55</v>
      </c>
      <c r="D6095" s="159">
        <v>76</v>
      </c>
      <c r="E6095" s="159">
        <v>66</v>
      </c>
      <c r="F6095" s="131"/>
      <c r="G6095" s="132"/>
      <c r="H6095" s="162" t="s">
        <v>30393</v>
      </c>
      <c r="I6095" s="158" t="s">
        <v>30394</v>
      </c>
      <c r="J6095" s="128"/>
      <c r="K6095" s="128"/>
      <c r="L6095" s="128"/>
      <c r="M6095" s="129"/>
      <c r="N6095" s="129"/>
      <c r="O6095" s="129"/>
    </row>
    <row r="6096" spans="1:15" ht="12.5">
      <c r="A6096" s="158" t="s">
        <v>30395</v>
      </c>
      <c r="B6096" s="159">
        <v>70</v>
      </c>
      <c r="C6096" s="159">
        <v>55</v>
      </c>
      <c r="D6096" s="159">
        <v>76</v>
      </c>
      <c r="E6096" s="159">
        <v>72</v>
      </c>
      <c r="F6096" s="131"/>
      <c r="G6096" s="132"/>
      <c r="H6096" s="162" t="s">
        <v>30396</v>
      </c>
      <c r="I6096" s="158" t="s">
        <v>30397</v>
      </c>
      <c r="J6096" s="128"/>
      <c r="K6096" s="128"/>
      <c r="L6096" s="128"/>
      <c r="M6096" s="129"/>
      <c r="N6096" s="129"/>
      <c r="O6096" s="129"/>
    </row>
    <row r="6097" spans="1:15" ht="12.5">
      <c r="A6097" s="158" t="s">
        <v>30398</v>
      </c>
      <c r="B6097" s="159">
        <v>70</v>
      </c>
      <c r="C6097" s="159">
        <v>55</v>
      </c>
      <c r="D6097" s="159">
        <v>76</v>
      </c>
      <c r="E6097" s="159">
        <v>76</v>
      </c>
      <c r="F6097" s="131"/>
      <c r="G6097" s="132"/>
      <c r="H6097" s="162" t="s">
        <v>30399</v>
      </c>
      <c r="I6097" s="158" t="s">
        <v>30400</v>
      </c>
      <c r="J6097" s="128"/>
      <c r="K6097" s="128"/>
      <c r="L6097" s="128"/>
      <c r="M6097" s="129"/>
      <c r="N6097" s="129"/>
      <c r="O6097" s="129"/>
    </row>
    <row r="6098" spans="1:15" ht="12.5">
      <c r="A6098" s="158" t="s">
        <v>30401</v>
      </c>
      <c r="B6098" s="159">
        <v>70</v>
      </c>
      <c r="C6098" s="159">
        <v>55</v>
      </c>
      <c r="D6098" s="159">
        <v>96</v>
      </c>
      <c r="E6098" s="130"/>
      <c r="F6098" s="131"/>
      <c r="G6098" s="132"/>
      <c r="H6098" s="162" t="s">
        <v>30402</v>
      </c>
      <c r="I6098" s="128"/>
      <c r="J6098" s="128"/>
      <c r="K6098" s="128"/>
      <c r="L6098" s="128"/>
      <c r="M6098" s="129"/>
      <c r="N6098" s="129"/>
      <c r="O6098" s="129"/>
    </row>
    <row r="6099" spans="1:15" ht="12.5">
      <c r="A6099" s="158" t="s">
        <v>30403</v>
      </c>
      <c r="B6099" s="159">
        <v>70</v>
      </c>
      <c r="C6099" s="159">
        <v>55</v>
      </c>
      <c r="D6099" s="159">
        <v>96</v>
      </c>
      <c r="E6099" s="159">
        <v>6</v>
      </c>
      <c r="F6099" s="131"/>
      <c r="G6099" s="132"/>
      <c r="H6099" s="162" t="s">
        <v>30404</v>
      </c>
      <c r="I6099" s="158" t="s">
        <v>30405</v>
      </c>
      <c r="J6099" s="128"/>
      <c r="K6099" s="128"/>
      <c r="L6099" s="128"/>
      <c r="M6099" s="129"/>
      <c r="N6099" s="129"/>
      <c r="O6099" s="129"/>
    </row>
    <row r="6100" spans="1:15" ht="12.5">
      <c r="A6100" s="158" t="s">
        <v>30406</v>
      </c>
      <c r="B6100" s="159">
        <v>70</v>
      </c>
      <c r="C6100" s="159">
        <v>55</v>
      </c>
      <c r="D6100" s="159">
        <v>96</v>
      </c>
      <c r="E6100" s="159">
        <v>9</v>
      </c>
      <c r="F6100" s="131"/>
      <c r="G6100" s="132"/>
      <c r="H6100" s="162" t="s">
        <v>30407</v>
      </c>
      <c r="I6100" s="158" t="s">
        <v>30408</v>
      </c>
      <c r="J6100" s="128"/>
      <c r="K6100" s="128"/>
      <c r="L6100" s="128"/>
      <c r="M6100" s="129"/>
      <c r="N6100" s="129"/>
      <c r="O6100" s="129"/>
    </row>
    <row r="6101" spans="1:15" ht="12.5">
      <c r="A6101" s="158" t="s">
        <v>30409</v>
      </c>
      <c r="B6101" s="159">
        <v>70</v>
      </c>
      <c r="C6101" s="159">
        <v>55</v>
      </c>
      <c r="D6101" s="159">
        <v>96</v>
      </c>
      <c r="E6101" s="159">
        <v>76</v>
      </c>
      <c r="F6101" s="131"/>
      <c r="G6101" s="132"/>
      <c r="H6101" s="162" t="s">
        <v>30410</v>
      </c>
      <c r="I6101" s="158" t="s">
        <v>30411</v>
      </c>
      <c r="J6101" s="128"/>
      <c r="K6101" s="128"/>
      <c r="L6101" s="128"/>
      <c r="M6101" s="129"/>
      <c r="N6101" s="129"/>
      <c r="O6101" s="129"/>
    </row>
    <row r="6102" spans="1:15" ht="12.5">
      <c r="A6102" s="158" t="s">
        <v>30412</v>
      </c>
      <c r="B6102" s="159">
        <v>70</v>
      </c>
      <c r="C6102" s="159">
        <v>55</v>
      </c>
      <c r="D6102" s="159">
        <v>96</v>
      </c>
      <c r="E6102" s="159">
        <v>83</v>
      </c>
      <c r="F6102" s="131"/>
      <c r="G6102" s="132"/>
      <c r="H6102" s="162" t="s">
        <v>30413</v>
      </c>
      <c r="I6102" s="158" t="s">
        <v>30414</v>
      </c>
      <c r="J6102" s="128"/>
      <c r="K6102" s="128"/>
      <c r="L6102" s="128"/>
      <c r="M6102" s="129"/>
      <c r="N6102" s="129"/>
      <c r="O6102" s="129"/>
    </row>
    <row r="6103" spans="1:15" ht="12.5">
      <c r="A6103" s="158" t="s">
        <v>30415</v>
      </c>
      <c r="B6103" s="159">
        <v>70</v>
      </c>
      <c r="C6103" s="159">
        <v>55</v>
      </c>
      <c r="D6103" s="159">
        <v>96</v>
      </c>
      <c r="E6103" s="159">
        <v>84</v>
      </c>
      <c r="F6103" s="131"/>
      <c r="G6103" s="132"/>
      <c r="H6103" s="162" t="s">
        <v>30416</v>
      </c>
      <c r="I6103" s="158" t="s">
        <v>30417</v>
      </c>
      <c r="J6103" s="128"/>
      <c r="K6103" s="128"/>
      <c r="L6103" s="128"/>
      <c r="M6103" s="129"/>
      <c r="N6103" s="129"/>
      <c r="O6103" s="129"/>
    </row>
    <row r="6104" spans="1:15" ht="12.5">
      <c r="A6104" s="158" t="s">
        <v>30418</v>
      </c>
      <c r="B6104" s="159">
        <v>70</v>
      </c>
      <c r="C6104" s="159">
        <v>55</v>
      </c>
      <c r="D6104" s="159">
        <v>96</v>
      </c>
      <c r="E6104" s="159">
        <v>93</v>
      </c>
      <c r="F6104" s="131"/>
      <c r="G6104" s="132"/>
      <c r="H6104" s="162" t="s">
        <v>30419</v>
      </c>
      <c r="I6104" s="158" t="s">
        <v>30420</v>
      </c>
      <c r="J6104" s="128"/>
      <c r="K6104" s="128"/>
      <c r="L6104" s="128"/>
      <c r="M6104" s="129"/>
      <c r="N6104" s="129"/>
      <c r="O6104" s="129"/>
    </row>
    <row r="6105" spans="1:15" ht="12.5">
      <c r="A6105" s="158" t="s">
        <v>30421</v>
      </c>
      <c r="B6105" s="159">
        <v>70</v>
      </c>
      <c r="C6105" s="159">
        <v>55</v>
      </c>
      <c r="D6105" s="159">
        <v>96</v>
      </c>
      <c r="E6105" s="159">
        <v>97</v>
      </c>
      <c r="F6105" s="131"/>
      <c r="G6105" s="132"/>
      <c r="H6105" s="162" t="s">
        <v>30422</v>
      </c>
      <c r="I6105" s="158" t="s">
        <v>30423</v>
      </c>
      <c r="J6105" s="128"/>
      <c r="K6105" s="128"/>
      <c r="L6105" s="128"/>
      <c r="M6105" s="129"/>
      <c r="N6105" s="129"/>
      <c r="O6105" s="129"/>
    </row>
    <row r="6106" spans="1:15" ht="12.5">
      <c r="A6106" s="158" t="s">
        <v>30424</v>
      </c>
      <c r="B6106" s="159">
        <v>70</v>
      </c>
      <c r="C6106" s="159">
        <v>55</v>
      </c>
      <c r="D6106" s="159">
        <v>96</v>
      </c>
      <c r="E6106" s="159">
        <v>98</v>
      </c>
      <c r="F6106" s="131"/>
      <c r="G6106" s="132"/>
      <c r="H6106" s="162" t="s">
        <v>30425</v>
      </c>
      <c r="I6106" s="128"/>
      <c r="J6106" s="128"/>
      <c r="K6106" s="128"/>
      <c r="L6106" s="128"/>
      <c r="M6106" s="129"/>
      <c r="N6106" s="129"/>
      <c r="O6106" s="129"/>
    </row>
    <row r="6107" spans="1:15" ht="12.5">
      <c r="A6107" s="158" t="s">
        <v>30426</v>
      </c>
      <c r="B6107" s="159">
        <v>70</v>
      </c>
      <c r="C6107" s="159">
        <v>55</v>
      </c>
      <c r="D6107" s="159">
        <v>97</v>
      </c>
      <c r="E6107" s="130"/>
      <c r="F6107" s="131"/>
      <c r="G6107" s="132"/>
      <c r="H6107" s="162" t="s">
        <v>30427</v>
      </c>
      <c r="I6107" s="128"/>
      <c r="J6107" s="128"/>
      <c r="K6107" s="128"/>
      <c r="L6107" s="128"/>
      <c r="M6107" s="129"/>
      <c r="N6107" s="129"/>
      <c r="O6107" s="129"/>
    </row>
    <row r="6108" spans="1:15" ht="12.5">
      <c r="A6108" s="158" t="s">
        <v>30428</v>
      </c>
      <c r="B6108" s="159">
        <v>70</v>
      </c>
      <c r="C6108" s="159">
        <v>55</v>
      </c>
      <c r="D6108" s="159">
        <v>97</v>
      </c>
      <c r="E6108" s="159">
        <v>1</v>
      </c>
      <c r="F6108" s="131"/>
      <c r="G6108" s="132"/>
      <c r="H6108" s="162" t="s">
        <v>30429</v>
      </c>
      <c r="I6108" s="128"/>
      <c r="J6108" s="128"/>
      <c r="K6108" s="128"/>
      <c r="L6108" s="128"/>
      <c r="M6108" s="129"/>
      <c r="N6108" s="129"/>
      <c r="O6108" s="129"/>
    </row>
    <row r="6109" spans="1:15" ht="12.5">
      <c r="A6109" s="158" t="s">
        <v>30430</v>
      </c>
      <c r="B6109" s="159">
        <v>70</v>
      </c>
      <c r="C6109" s="159">
        <v>55</v>
      </c>
      <c r="D6109" s="159">
        <v>97</v>
      </c>
      <c r="E6109" s="159">
        <v>23</v>
      </c>
      <c r="F6109" s="131"/>
      <c r="G6109" s="132"/>
      <c r="H6109" s="162" t="s">
        <v>30431</v>
      </c>
      <c r="I6109" s="158" t="s">
        <v>30432</v>
      </c>
      <c r="J6109" s="128"/>
      <c r="K6109" s="128"/>
      <c r="L6109" s="128"/>
      <c r="M6109" s="129"/>
      <c r="N6109" s="129"/>
      <c r="O6109" s="129"/>
    </row>
    <row r="6110" spans="1:15" ht="12.5">
      <c r="A6110" s="158" t="s">
        <v>30433</v>
      </c>
      <c r="B6110" s="159">
        <v>70</v>
      </c>
      <c r="C6110" s="159">
        <v>55</v>
      </c>
      <c r="D6110" s="159">
        <v>97</v>
      </c>
      <c r="E6110" s="159">
        <v>37</v>
      </c>
      <c r="F6110" s="131"/>
      <c r="G6110" s="132"/>
      <c r="H6110" s="162" t="s">
        <v>30434</v>
      </c>
      <c r="I6110" s="158" t="s">
        <v>30435</v>
      </c>
      <c r="J6110" s="128"/>
      <c r="K6110" s="128"/>
      <c r="L6110" s="128"/>
      <c r="M6110" s="129"/>
      <c r="N6110" s="129"/>
      <c r="O6110" s="129"/>
    </row>
    <row r="6111" spans="1:15" ht="12.5">
      <c r="A6111" s="158" t="s">
        <v>30436</v>
      </c>
      <c r="B6111" s="159">
        <v>70</v>
      </c>
      <c r="C6111" s="159">
        <v>55</v>
      </c>
      <c r="D6111" s="159">
        <v>97</v>
      </c>
      <c r="E6111" s="159">
        <v>51</v>
      </c>
      <c r="F6111" s="131"/>
      <c r="G6111" s="132"/>
      <c r="H6111" s="162" t="s">
        <v>30437</v>
      </c>
      <c r="I6111" s="158" t="s">
        <v>30438</v>
      </c>
      <c r="J6111" s="128"/>
      <c r="K6111" s="128"/>
      <c r="L6111" s="128"/>
      <c r="M6111" s="129"/>
      <c r="N6111" s="129"/>
      <c r="O6111" s="129"/>
    </row>
    <row r="6112" spans="1:15" ht="12.5">
      <c r="A6112" s="158" t="s">
        <v>30439</v>
      </c>
      <c r="B6112" s="159">
        <v>70</v>
      </c>
      <c r="C6112" s="159">
        <v>55</v>
      </c>
      <c r="D6112" s="159">
        <v>97</v>
      </c>
      <c r="E6112" s="159">
        <v>57</v>
      </c>
      <c r="F6112" s="131"/>
      <c r="G6112" s="132"/>
      <c r="H6112" s="162" t="s">
        <v>30440</v>
      </c>
      <c r="I6112" s="158" t="s">
        <v>30441</v>
      </c>
      <c r="J6112" s="128"/>
      <c r="K6112" s="128"/>
      <c r="L6112" s="128"/>
      <c r="M6112" s="129"/>
      <c r="N6112" s="129"/>
      <c r="O6112" s="129"/>
    </row>
    <row r="6113" spans="1:15" ht="12.5">
      <c r="A6113" s="158" t="s">
        <v>30442</v>
      </c>
      <c r="B6113" s="159">
        <v>70</v>
      </c>
      <c r="C6113" s="159">
        <v>55</v>
      </c>
      <c r="D6113" s="159">
        <v>97</v>
      </c>
      <c r="E6113" s="159">
        <v>84</v>
      </c>
      <c r="F6113" s="131"/>
      <c r="G6113" s="132"/>
      <c r="H6113" s="162" t="s">
        <v>30443</v>
      </c>
      <c r="I6113" s="158" t="s">
        <v>30444</v>
      </c>
      <c r="J6113" s="128"/>
      <c r="K6113" s="128"/>
      <c r="L6113" s="128"/>
      <c r="M6113" s="129"/>
      <c r="N6113" s="129"/>
      <c r="O6113" s="129"/>
    </row>
    <row r="6114" spans="1:15" ht="12.5">
      <c r="A6114" s="158" t="s">
        <v>30445</v>
      </c>
      <c r="B6114" s="159">
        <v>70</v>
      </c>
      <c r="C6114" s="159">
        <v>55</v>
      </c>
      <c r="D6114" s="159">
        <v>97</v>
      </c>
      <c r="E6114" s="159">
        <v>93</v>
      </c>
      <c r="F6114" s="131"/>
      <c r="G6114" s="132"/>
      <c r="H6114" s="162" t="s">
        <v>30446</v>
      </c>
      <c r="I6114" s="158" t="s">
        <v>30447</v>
      </c>
      <c r="J6114" s="128"/>
      <c r="K6114" s="128"/>
      <c r="L6114" s="128"/>
      <c r="M6114" s="129"/>
      <c r="N6114" s="129"/>
      <c r="O6114" s="129"/>
    </row>
    <row r="6115" spans="1:15" ht="12.5">
      <c r="A6115" s="158" t="s">
        <v>30448</v>
      </c>
      <c r="B6115" s="159">
        <v>70</v>
      </c>
      <c r="C6115" s="159">
        <v>55</v>
      </c>
      <c r="D6115" s="159">
        <v>98</v>
      </c>
      <c r="E6115" s="130"/>
      <c r="F6115" s="131"/>
      <c r="G6115" s="132"/>
      <c r="H6115" s="162" t="s">
        <v>33575</v>
      </c>
      <c r="I6115" s="128"/>
      <c r="J6115" s="128"/>
      <c r="K6115" s="128"/>
      <c r="L6115" s="128"/>
      <c r="M6115" s="129"/>
      <c r="N6115" s="129"/>
      <c r="O6115" s="129"/>
    </row>
    <row r="6116" spans="1:15" ht="12.5">
      <c r="A6116" s="158" t="s">
        <v>30450</v>
      </c>
      <c r="B6116" s="159">
        <v>70</v>
      </c>
      <c r="C6116" s="159">
        <v>55</v>
      </c>
      <c r="D6116" s="159">
        <v>98</v>
      </c>
      <c r="E6116" s="159">
        <v>28</v>
      </c>
      <c r="F6116" s="131"/>
      <c r="G6116" s="132"/>
      <c r="H6116" s="162" t="s">
        <v>30451</v>
      </c>
      <c r="I6116" s="128"/>
      <c r="J6116" s="128"/>
      <c r="K6116" s="128"/>
      <c r="L6116" s="128"/>
      <c r="M6116" s="129"/>
      <c r="N6116" s="129"/>
      <c r="O6116" s="129"/>
    </row>
    <row r="6117" spans="1:15" ht="12.5">
      <c r="A6117" s="158" t="s">
        <v>30452</v>
      </c>
      <c r="B6117" s="159">
        <v>70</v>
      </c>
      <c r="C6117" s="159">
        <v>55</v>
      </c>
      <c r="D6117" s="159">
        <v>98</v>
      </c>
      <c r="E6117" s="159">
        <v>30</v>
      </c>
      <c r="F6117" s="131"/>
      <c r="G6117" s="132"/>
      <c r="H6117" s="162" t="s">
        <v>30453</v>
      </c>
      <c r="I6117" s="158" t="s">
        <v>30454</v>
      </c>
      <c r="J6117" s="128"/>
      <c r="K6117" s="128"/>
      <c r="L6117" s="128"/>
      <c r="M6117" s="129"/>
      <c r="N6117" s="129"/>
      <c r="O6117" s="129"/>
    </row>
    <row r="6118" spans="1:15" ht="12.5">
      <c r="A6118" s="158" t="s">
        <v>30455</v>
      </c>
      <c r="B6118" s="159">
        <v>70</v>
      </c>
      <c r="C6118" s="159">
        <v>55</v>
      </c>
      <c r="D6118" s="159">
        <v>98</v>
      </c>
      <c r="E6118" s="159">
        <v>35</v>
      </c>
      <c r="F6118" s="131"/>
      <c r="G6118" s="132"/>
      <c r="H6118" s="162" t="s">
        <v>30456</v>
      </c>
      <c r="I6118" s="128"/>
      <c r="J6118" s="128"/>
      <c r="K6118" s="128"/>
      <c r="L6118" s="128"/>
      <c r="M6118" s="129"/>
      <c r="N6118" s="129"/>
      <c r="O6118" s="129"/>
    </row>
    <row r="6119" spans="1:15" ht="12.5">
      <c r="A6119" s="158" t="s">
        <v>30459</v>
      </c>
      <c r="B6119" s="159">
        <v>70</v>
      </c>
      <c r="C6119" s="159">
        <v>55</v>
      </c>
      <c r="D6119" s="159">
        <v>98</v>
      </c>
      <c r="E6119" s="159">
        <v>46</v>
      </c>
      <c r="F6119" s="131"/>
      <c r="G6119" s="132"/>
      <c r="H6119" s="162" t="s">
        <v>30460</v>
      </c>
      <c r="I6119" s="158" t="s">
        <v>30461</v>
      </c>
      <c r="J6119" s="128"/>
      <c r="K6119" s="128"/>
      <c r="L6119" s="128"/>
      <c r="M6119" s="129"/>
      <c r="N6119" s="129"/>
      <c r="O6119" s="129"/>
    </row>
    <row r="6120" spans="1:15" ht="12.5">
      <c r="A6120" s="158" t="s">
        <v>30462</v>
      </c>
      <c r="B6120" s="159">
        <v>70</v>
      </c>
      <c r="C6120" s="159">
        <v>55</v>
      </c>
      <c r="D6120" s="159">
        <v>98</v>
      </c>
      <c r="E6120" s="159">
        <v>59</v>
      </c>
      <c r="F6120" s="131"/>
      <c r="G6120" s="132"/>
      <c r="H6120" s="162" t="s">
        <v>30463</v>
      </c>
      <c r="I6120" s="128"/>
      <c r="J6120" s="128"/>
      <c r="K6120" s="128"/>
      <c r="L6120" s="128"/>
      <c r="M6120" s="129"/>
      <c r="N6120" s="129"/>
      <c r="O6120" s="129"/>
    </row>
    <row r="6121" spans="1:15" ht="12.5">
      <c r="A6121" s="158" t="s">
        <v>30464</v>
      </c>
      <c r="B6121" s="159">
        <v>70</v>
      </c>
      <c r="C6121" s="159">
        <v>55</v>
      </c>
      <c r="D6121" s="159">
        <v>98</v>
      </c>
      <c r="E6121" s="159">
        <v>60</v>
      </c>
      <c r="F6121" s="131"/>
      <c r="G6121" s="132"/>
      <c r="H6121" s="162" t="s">
        <v>30465</v>
      </c>
      <c r="I6121" s="128"/>
      <c r="J6121" s="128"/>
      <c r="K6121" s="128"/>
      <c r="L6121" s="128"/>
      <c r="M6121" s="129"/>
      <c r="N6121" s="129"/>
      <c r="O6121" s="129"/>
    </row>
    <row r="6122" spans="1:15" ht="12.5">
      <c r="A6122" s="158" t="s">
        <v>30466</v>
      </c>
      <c r="B6122" s="159">
        <v>70</v>
      </c>
      <c r="C6122" s="159">
        <v>55</v>
      </c>
      <c r="D6122" s="159">
        <v>98</v>
      </c>
      <c r="E6122" s="159">
        <v>65</v>
      </c>
      <c r="F6122" s="131"/>
      <c r="G6122" s="132"/>
      <c r="H6122" s="162" t="s">
        <v>33576</v>
      </c>
      <c r="I6122" s="158" t="s">
        <v>30468</v>
      </c>
      <c r="J6122" s="128"/>
      <c r="K6122" s="128"/>
      <c r="L6122" s="128"/>
      <c r="M6122" s="129"/>
      <c r="N6122" s="129"/>
      <c r="O6122" s="129"/>
    </row>
    <row r="6123" spans="1:15" ht="12.5">
      <c r="A6123" s="158" t="s">
        <v>30472</v>
      </c>
      <c r="B6123" s="159">
        <v>70</v>
      </c>
      <c r="C6123" s="159">
        <v>55</v>
      </c>
      <c r="D6123" s="159">
        <v>98</v>
      </c>
      <c r="E6123" s="159">
        <v>84</v>
      </c>
      <c r="F6123" s="131"/>
      <c r="G6123" s="132"/>
      <c r="H6123" s="162" t="s">
        <v>30473</v>
      </c>
      <c r="I6123" s="128"/>
      <c r="J6123" s="128"/>
      <c r="K6123" s="128"/>
      <c r="L6123" s="128"/>
      <c r="M6123" s="129"/>
      <c r="N6123" s="129"/>
      <c r="O6123" s="129"/>
    </row>
    <row r="6124" spans="1:15" ht="12.5">
      <c r="A6124" s="158" t="s">
        <v>30474</v>
      </c>
      <c r="B6124" s="159">
        <v>70</v>
      </c>
      <c r="C6124" s="159">
        <v>55</v>
      </c>
      <c r="D6124" s="159">
        <v>98</v>
      </c>
      <c r="E6124" s="159">
        <v>87</v>
      </c>
      <c r="F6124" s="131"/>
      <c r="G6124" s="132"/>
      <c r="H6124" s="162" t="s">
        <v>30475</v>
      </c>
      <c r="I6124" s="128"/>
      <c r="J6124" s="128"/>
      <c r="K6124" s="128"/>
      <c r="L6124" s="128"/>
      <c r="M6124" s="129"/>
      <c r="N6124" s="129"/>
      <c r="O6124" s="129"/>
    </row>
    <row r="6125" spans="1:15" ht="12.5">
      <c r="A6125" s="158" t="s">
        <v>30476</v>
      </c>
      <c r="B6125" s="159">
        <v>70</v>
      </c>
      <c r="C6125" s="159">
        <v>55</v>
      </c>
      <c r="D6125" s="159">
        <v>98</v>
      </c>
      <c r="E6125" s="159">
        <v>92</v>
      </c>
      <c r="F6125" s="131"/>
      <c r="G6125" s="132"/>
      <c r="H6125" s="162" t="s">
        <v>30477</v>
      </c>
      <c r="I6125" s="158" t="s">
        <v>30478</v>
      </c>
      <c r="J6125" s="128"/>
      <c r="K6125" s="128"/>
      <c r="L6125" s="128"/>
      <c r="M6125" s="129"/>
      <c r="N6125" s="129"/>
      <c r="O6125" s="129"/>
    </row>
    <row r="6126" spans="1:15" ht="12.5">
      <c r="A6126" s="158" t="s">
        <v>30481</v>
      </c>
      <c r="B6126" s="159">
        <v>70</v>
      </c>
      <c r="C6126" s="159">
        <v>55</v>
      </c>
      <c r="D6126" s="159">
        <v>98</v>
      </c>
      <c r="E6126" s="159">
        <v>95</v>
      </c>
      <c r="F6126" s="131"/>
      <c r="G6126" s="132"/>
      <c r="H6126" s="162" t="s">
        <v>30482</v>
      </c>
      <c r="I6126" s="158" t="s">
        <v>30483</v>
      </c>
      <c r="J6126" s="128"/>
      <c r="K6126" s="128"/>
      <c r="L6126" s="128"/>
      <c r="M6126" s="129"/>
      <c r="N6126" s="129"/>
      <c r="O6126" s="129"/>
    </row>
    <row r="6127" spans="1:15" ht="12.5">
      <c r="A6127" s="158" t="s">
        <v>30484</v>
      </c>
      <c r="B6127" s="159">
        <v>70</v>
      </c>
      <c r="C6127" s="159">
        <v>55</v>
      </c>
      <c r="D6127" s="159">
        <v>98</v>
      </c>
      <c r="E6127" s="159">
        <v>96</v>
      </c>
      <c r="F6127" s="131"/>
      <c r="G6127" s="132"/>
      <c r="H6127" s="162" t="s">
        <v>30485</v>
      </c>
      <c r="I6127" s="158" t="s">
        <v>30486</v>
      </c>
      <c r="J6127" s="128"/>
      <c r="K6127" s="128"/>
      <c r="L6127" s="128"/>
      <c r="M6127" s="129"/>
      <c r="N6127" s="129"/>
      <c r="O6127" s="129"/>
    </row>
    <row r="6128" spans="1:15" ht="12.5">
      <c r="A6128" s="144" t="s">
        <v>30487</v>
      </c>
      <c r="B6128" s="145">
        <v>70</v>
      </c>
      <c r="C6128" s="145">
        <v>60</v>
      </c>
      <c r="D6128" s="146"/>
      <c r="E6128" s="146"/>
      <c r="F6128" s="147" t="s">
        <v>33577</v>
      </c>
      <c r="G6128" s="190"/>
      <c r="H6128" s="149" t="s">
        <v>30488</v>
      </c>
      <c r="I6128" s="150"/>
      <c r="J6128" s="150"/>
      <c r="K6128" s="150"/>
      <c r="L6128" s="150"/>
      <c r="M6128" s="191"/>
      <c r="N6128" s="191"/>
      <c r="O6128" s="191"/>
    </row>
    <row r="6129" spans="1:15" ht="12.5">
      <c r="A6129" s="158" t="s">
        <v>30489</v>
      </c>
      <c r="B6129" s="159">
        <v>70</v>
      </c>
      <c r="C6129" s="159">
        <v>60</v>
      </c>
      <c r="D6129" s="159">
        <v>14</v>
      </c>
      <c r="E6129" s="130"/>
      <c r="F6129" s="131"/>
      <c r="G6129" s="132"/>
      <c r="H6129" s="162" t="s">
        <v>30490</v>
      </c>
      <c r="I6129" s="128"/>
      <c r="J6129" s="128"/>
      <c r="K6129" s="128"/>
      <c r="L6129" s="128"/>
      <c r="M6129" s="129"/>
      <c r="N6129" s="129"/>
      <c r="O6129" s="129"/>
    </row>
    <row r="6130" spans="1:15" ht="12.5">
      <c r="A6130" s="158" t="s">
        <v>30491</v>
      </c>
      <c r="B6130" s="159">
        <v>70</v>
      </c>
      <c r="C6130" s="159">
        <v>60</v>
      </c>
      <c r="D6130" s="159">
        <v>14</v>
      </c>
      <c r="E6130" s="159">
        <v>2</v>
      </c>
      <c r="F6130" s="131"/>
      <c r="G6130" s="132"/>
      <c r="H6130" s="162" t="s">
        <v>30492</v>
      </c>
      <c r="I6130" s="158" t="s">
        <v>30493</v>
      </c>
      <c r="J6130" s="128"/>
      <c r="K6130" s="128"/>
      <c r="L6130" s="128"/>
      <c r="M6130" s="129"/>
      <c r="N6130" s="129"/>
      <c r="O6130" s="129"/>
    </row>
    <row r="6131" spans="1:15" ht="12.5">
      <c r="A6131" s="158" t="s">
        <v>30494</v>
      </c>
      <c r="B6131" s="159">
        <v>70</v>
      </c>
      <c r="C6131" s="159">
        <v>60</v>
      </c>
      <c r="D6131" s="159">
        <v>14</v>
      </c>
      <c r="E6131" s="159">
        <v>14</v>
      </c>
      <c r="F6131" s="131"/>
      <c r="G6131" s="132"/>
      <c r="H6131" s="162" t="s">
        <v>30495</v>
      </c>
      <c r="I6131" s="158" t="s">
        <v>30496</v>
      </c>
      <c r="J6131" s="128"/>
      <c r="K6131" s="128"/>
      <c r="L6131" s="128"/>
      <c r="M6131" s="129"/>
      <c r="N6131" s="129"/>
      <c r="O6131" s="129"/>
    </row>
    <row r="6132" spans="1:15" ht="12.5">
      <c r="A6132" s="158" t="s">
        <v>30497</v>
      </c>
      <c r="B6132" s="159">
        <v>70</v>
      </c>
      <c r="C6132" s="159">
        <v>60</v>
      </c>
      <c r="D6132" s="159">
        <v>14</v>
      </c>
      <c r="E6132" s="159">
        <v>55</v>
      </c>
      <c r="F6132" s="131"/>
      <c r="G6132" s="132"/>
      <c r="H6132" s="162" t="s">
        <v>30498</v>
      </c>
      <c r="I6132" s="158" t="s">
        <v>30499</v>
      </c>
      <c r="J6132" s="128"/>
      <c r="K6132" s="128"/>
      <c r="L6132" s="128"/>
      <c r="M6132" s="129"/>
      <c r="N6132" s="129"/>
      <c r="O6132" s="129"/>
    </row>
    <row r="6133" spans="1:15" ht="12.5">
      <c r="A6133" s="158" t="s">
        <v>30500</v>
      </c>
      <c r="B6133" s="159">
        <v>70</v>
      </c>
      <c r="C6133" s="159">
        <v>60</v>
      </c>
      <c r="D6133" s="159">
        <v>14</v>
      </c>
      <c r="E6133" s="159">
        <v>60</v>
      </c>
      <c r="F6133" s="131"/>
      <c r="G6133" s="132"/>
      <c r="H6133" s="162" t="s">
        <v>30501</v>
      </c>
      <c r="I6133" s="158" t="s">
        <v>30502</v>
      </c>
      <c r="J6133" s="128"/>
      <c r="K6133" s="128"/>
      <c r="L6133" s="128"/>
      <c r="M6133" s="129"/>
      <c r="N6133" s="129"/>
      <c r="O6133" s="129"/>
    </row>
    <row r="6134" spans="1:15" ht="12.5">
      <c r="A6134" s="158" t="s">
        <v>30503</v>
      </c>
      <c r="B6134" s="159">
        <v>70</v>
      </c>
      <c r="C6134" s="159">
        <v>60</v>
      </c>
      <c r="D6134" s="159">
        <v>36</v>
      </c>
      <c r="E6134" s="130"/>
      <c r="F6134" s="131"/>
      <c r="G6134" s="132"/>
      <c r="H6134" s="162" t="s">
        <v>30504</v>
      </c>
      <c r="I6134" s="128"/>
      <c r="J6134" s="128"/>
      <c r="K6134" s="128"/>
      <c r="L6134" s="128"/>
      <c r="M6134" s="129"/>
      <c r="N6134" s="129"/>
      <c r="O6134" s="129"/>
    </row>
    <row r="6135" spans="1:15" ht="12.5">
      <c r="A6135" s="158" t="s">
        <v>30505</v>
      </c>
      <c r="B6135" s="159">
        <v>70</v>
      </c>
      <c r="C6135" s="159">
        <v>60</v>
      </c>
      <c r="D6135" s="159">
        <v>36</v>
      </c>
      <c r="E6135" s="159">
        <v>2</v>
      </c>
      <c r="F6135" s="131"/>
      <c r="G6135" s="132"/>
      <c r="H6135" s="162" t="s">
        <v>30506</v>
      </c>
      <c r="I6135" s="158" t="s">
        <v>30507</v>
      </c>
      <c r="J6135" s="128"/>
      <c r="K6135" s="128"/>
      <c r="L6135" s="128"/>
      <c r="M6135" s="129"/>
      <c r="N6135" s="129"/>
      <c r="O6135" s="129"/>
    </row>
    <row r="6136" spans="1:15" ht="12.5">
      <c r="A6136" s="158" t="s">
        <v>30508</v>
      </c>
      <c r="B6136" s="159">
        <v>70</v>
      </c>
      <c r="C6136" s="159">
        <v>60</v>
      </c>
      <c r="D6136" s="159">
        <v>36</v>
      </c>
      <c r="E6136" s="159">
        <v>6</v>
      </c>
      <c r="F6136" s="131"/>
      <c r="G6136" s="132"/>
      <c r="H6136" s="162" t="s">
        <v>30509</v>
      </c>
      <c r="I6136" s="128"/>
      <c r="J6136" s="128"/>
      <c r="K6136" s="128"/>
      <c r="L6136" s="128"/>
      <c r="M6136" s="129"/>
      <c r="N6136" s="129"/>
      <c r="O6136" s="129"/>
    </row>
    <row r="6137" spans="1:15" ht="12.5">
      <c r="A6137" s="158" t="s">
        <v>30510</v>
      </c>
      <c r="B6137" s="159">
        <v>70</v>
      </c>
      <c r="C6137" s="159">
        <v>60</v>
      </c>
      <c r="D6137" s="159">
        <v>36</v>
      </c>
      <c r="E6137" s="159">
        <v>8</v>
      </c>
      <c r="F6137" s="131"/>
      <c r="G6137" s="132"/>
      <c r="H6137" s="162" t="s">
        <v>30511</v>
      </c>
      <c r="I6137" s="158" t="s">
        <v>30512</v>
      </c>
      <c r="J6137" s="128"/>
      <c r="K6137" s="128"/>
      <c r="L6137" s="128"/>
      <c r="M6137" s="129"/>
      <c r="N6137" s="129"/>
      <c r="O6137" s="129"/>
    </row>
    <row r="6138" spans="1:15" ht="12.5">
      <c r="A6138" s="158" t="s">
        <v>30516</v>
      </c>
      <c r="B6138" s="159">
        <v>70</v>
      </c>
      <c r="C6138" s="159">
        <v>60</v>
      </c>
      <c r="D6138" s="159">
        <v>36</v>
      </c>
      <c r="E6138" s="159">
        <v>22</v>
      </c>
      <c r="F6138" s="131"/>
      <c r="G6138" s="132"/>
      <c r="H6138" s="162" t="s">
        <v>30517</v>
      </c>
      <c r="I6138" s="158" t="s">
        <v>30518</v>
      </c>
      <c r="J6138" s="128"/>
      <c r="K6138" s="128"/>
      <c r="L6138" s="128"/>
      <c r="M6138" s="129"/>
      <c r="N6138" s="129"/>
      <c r="O6138" s="129"/>
    </row>
    <row r="6139" spans="1:15" ht="12.5">
      <c r="A6139" s="158" t="s">
        <v>30519</v>
      </c>
      <c r="B6139" s="159">
        <v>70</v>
      </c>
      <c r="C6139" s="159">
        <v>60</v>
      </c>
      <c r="D6139" s="159">
        <v>36</v>
      </c>
      <c r="E6139" s="159">
        <v>26</v>
      </c>
      <c r="F6139" s="131"/>
      <c r="G6139" s="132"/>
      <c r="H6139" s="162" t="s">
        <v>30520</v>
      </c>
      <c r="I6139" s="158" t="s">
        <v>30521</v>
      </c>
      <c r="J6139" s="128"/>
      <c r="K6139" s="128"/>
      <c r="L6139" s="128"/>
      <c r="M6139" s="129"/>
      <c r="N6139" s="129"/>
      <c r="O6139" s="129"/>
    </row>
    <row r="6140" spans="1:15" ht="12.5">
      <c r="A6140" s="158" t="s">
        <v>30522</v>
      </c>
      <c r="B6140" s="159">
        <v>70</v>
      </c>
      <c r="C6140" s="159">
        <v>60</v>
      </c>
      <c r="D6140" s="159">
        <v>36</v>
      </c>
      <c r="E6140" s="159">
        <v>27</v>
      </c>
      <c r="F6140" s="131"/>
      <c r="G6140" s="132"/>
      <c r="H6140" s="162" t="s">
        <v>30523</v>
      </c>
      <c r="I6140" s="158" t="s">
        <v>30524</v>
      </c>
      <c r="J6140" s="128"/>
      <c r="K6140" s="128"/>
      <c r="L6140" s="128"/>
      <c r="M6140" s="129"/>
      <c r="N6140" s="129"/>
      <c r="O6140" s="129"/>
    </row>
    <row r="6141" spans="1:15" ht="12.5">
      <c r="A6141" s="158" t="s">
        <v>30525</v>
      </c>
      <c r="B6141" s="159">
        <v>70</v>
      </c>
      <c r="C6141" s="159">
        <v>60</v>
      </c>
      <c r="D6141" s="159">
        <v>36</v>
      </c>
      <c r="E6141" s="159">
        <v>28</v>
      </c>
      <c r="F6141" s="131"/>
      <c r="G6141" s="132"/>
      <c r="H6141" s="162" t="s">
        <v>30526</v>
      </c>
      <c r="I6141" s="158" t="s">
        <v>30527</v>
      </c>
      <c r="J6141" s="128"/>
      <c r="K6141" s="128"/>
      <c r="L6141" s="128"/>
      <c r="M6141" s="129"/>
      <c r="N6141" s="129"/>
      <c r="O6141" s="129"/>
    </row>
    <row r="6142" spans="1:15" ht="12.5">
      <c r="A6142" s="158" t="s">
        <v>30528</v>
      </c>
      <c r="B6142" s="159">
        <v>70</v>
      </c>
      <c r="C6142" s="159">
        <v>60</v>
      </c>
      <c r="D6142" s="159">
        <v>36</v>
      </c>
      <c r="E6142" s="159">
        <v>29</v>
      </c>
      <c r="F6142" s="131"/>
      <c r="G6142" s="132"/>
      <c r="H6142" s="162" t="s">
        <v>30529</v>
      </c>
      <c r="I6142" s="128"/>
      <c r="J6142" s="128"/>
      <c r="K6142" s="128"/>
      <c r="L6142" s="128"/>
      <c r="M6142" s="129"/>
      <c r="N6142" s="129"/>
      <c r="O6142" s="129"/>
    </row>
    <row r="6143" spans="1:15" ht="12.5">
      <c r="A6143" s="158" t="s">
        <v>30530</v>
      </c>
      <c r="B6143" s="159">
        <v>70</v>
      </c>
      <c r="C6143" s="159">
        <v>60</v>
      </c>
      <c r="D6143" s="159">
        <v>36</v>
      </c>
      <c r="E6143" s="159">
        <v>30</v>
      </c>
      <c r="F6143" s="131"/>
      <c r="G6143" s="132"/>
      <c r="H6143" s="162" t="s">
        <v>30531</v>
      </c>
      <c r="I6143" s="158" t="s">
        <v>30532</v>
      </c>
      <c r="J6143" s="128"/>
      <c r="K6143" s="128"/>
      <c r="L6143" s="128"/>
      <c r="M6143" s="129"/>
      <c r="N6143" s="129"/>
      <c r="O6143" s="129"/>
    </row>
    <row r="6144" spans="1:15" ht="12.5">
      <c r="A6144" s="158" t="s">
        <v>30533</v>
      </c>
      <c r="B6144" s="159">
        <v>70</v>
      </c>
      <c r="C6144" s="159">
        <v>60</v>
      </c>
      <c r="D6144" s="159">
        <v>36</v>
      </c>
      <c r="E6144" s="159">
        <v>33</v>
      </c>
      <c r="F6144" s="131"/>
      <c r="G6144" s="132"/>
      <c r="H6144" s="162" t="s">
        <v>30534</v>
      </c>
      <c r="I6144" s="158" t="s">
        <v>30535</v>
      </c>
      <c r="J6144" s="128"/>
      <c r="K6144" s="128"/>
      <c r="L6144" s="128"/>
      <c r="M6144" s="129"/>
      <c r="N6144" s="129"/>
      <c r="O6144" s="129"/>
    </row>
    <row r="6145" spans="1:15" ht="12.5">
      <c r="A6145" s="158" t="s">
        <v>30536</v>
      </c>
      <c r="B6145" s="159">
        <v>70</v>
      </c>
      <c r="C6145" s="159">
        <v>60</v>
      </c>
      <c r="D6145" s="159">
        <v>36</v>
      </c>
      <c r="E6145" s="159">
        <v>35</v>
      </c>
      <c r="F6145" s="131"/>
      <c r="G6145" s="132"/>
      <c r="H6145" s="162" t="s">
        <v>30537</v>
      </c>
      <c r="I6145" s="158" t="s">
        <v>30538</v>
      </c>
      <c r="J6145" s="128"/>
      <c r="K6145" s="128"/>
      <c r="L6145" s="128"/>
      <c r="M6145" s="129"/>
      <c r="N6145" s="129"/>
      <c r="O6145" s="129"/>
    </row>
    <row r="6146" spans="1:15" ht="12.5">
      <c r="A6146" s="158" t="s">
        <v>30539</v>
      </c>
      <c r="B6146" s="159">
        <v>70</v>
      </c>
      <c r="C6146" s="159">
        <v>60</v>
      </c>
      <c r="D6146" s="159">
        <v>36</v>
      </c>
      <c r="E6146" s="159">
        <v>42</v>
      </c>
      <c r="F6146" s="131"/>
      <c r="G6146" s="132"/>
      <c r="H6146" s="162" t="s">
        <v>30540</v>
      </c>
      <c r="I6146" s="158" t="s">
        <v>30541</v>
      </c>
      <c r="J6146" s="128"/>
      <c r="K6146" s="128"/>
      <c r="L6146" s="128"/>
      <c r="M6146" s="129"/>
      <c r="N6146" s="129"/>
      <c r="O6146" s="129"/>
    </row>
    <row r="6147" spans="1:15" ht="12.5">
      <c r="A6147" s="158" t="s">
        <v>30542</v>
      </c>
      <c r="B6147" s="159">
        <v>70</v>
      </c>
      <c r="C6147" s="159">
        <v>60</v>
      </c>
      <c r="D6147" s="159">
        <v>36</v>
      </c>
      <c r="E6147" s="159">
        <v>48</v>
      </c>
      <c r="F6147" s="131"/>
      <c r="G6147" s="132"/>
      <c r="H6147" s="162" t="s">
        <v>30543</v>
      </c>
      <c r="I6147" s="158" t="s">
        <v>30544</v>
      </c>
      <c r="J6147" s="128"/>
      <c r="K6147" s="128"/>
      <c r="L6147" s="128"/>
      <c r="M6147" s="129"/>
      <c r="N6147" s="129"/>
      <c r="O6147" s="129"/>
    </row>
    <row r="6148" spans="1:15" ht="12.5">
      <c r="A6148" s="158" t="s">
        <v>30545</v>
      </c>
      <c r="B6148" s="159">
        <v>70</v>
      </c>
      <c r="C6148" s="159">
        <v>60</v>
      </c>
      <c r="D6148" s="159">
        <v>36</v>
      </c>
      <c r="E6148" s="159">
        <v>49</v>
      </c>
      <c r="F6148" s="131"/>
      <c r="G6148" s="132"/>
      <c r="H6148" s="162" t="s">
        <v>30546</v>
      </c>
      <c r="I6148" s="128"/>
      <c r="J6148" s="128"/>
      <c r="K6148" s="128"/>
      <c r="L6148" s="128"/>
      <c r="M6148" s="129"/>
      <c r="N6148" s="129"/>
      <c r="O6148" s="129"/>
    </row>
    <row r="6149" spans="1:15" ht="12.5">
      <c r="A6149" s="158" t="s">
        <v>30547</v>
      </c>
      <c r="B6149" s="159">
        <v>70</v>
      </c>
      <c r="C6149" s="159">
        <v>60</v>
      </c>
      <c r="D6149" s="159">
        <v>36</v>
      </c>
      <c r="E6149" s="159">
        <v>52</v>
      </c>
      <c r="F6149" s="131"/>
      <c r="G6149" s="132"/>
      <c r="H6149" s="162" t="s">
        <v>30548</v>
      </c>
      <c r="I6149" s="128"/>
      <c r="J6149" s="128"/>
      <c r="K6149" s="128"/>
      <c r="L6149" s="128"/>
      <c r="M6149" s="129"/>
      <c r="N6149" s="129"/>
      <c r="O6149" s="129"/>
    </row>
    <row r="6150" spans="1:15" ht="12.5">
      <c r="A6150" s="158" t="s">
        <v>30549</v>
      </c>
      <c r="B6150" s="159">
        <v>70</v>
      </c>
      <c r="C6150" s="159">
        <v>60</v>
      </c>
      <c r="D6150" s="159">
        <v>36</v>
      </c>
      <c r="E6150" s="159">
        <v>56</v>
      </c>
      <c r="F6150" s="131"/>
      <c r="G6150" s="132"/>
      <c r="H6150" s="162" t="s">
        <v>30550</v>
      </c>
      <c r="I6150" s="158" t="s">
        <v>30551</v>
      </c>
      <c r="J6150" s="128"/>
      <c r="K6150" s="128"/>
      <c r="L6150" s="128"/>
      <c r="M6150" s="129"/>
      <c r="N6150" s="129"/>
      <c r="O6150" s="129"/>
    </row>
    <row r="6151" spans="1:15" ht="12.5">
      <c r="A6151" s="158" t="s">
        <v>30559</v>
      </c>
      <c r="B6151" s="159">
        <v>70</v>
      </c>
      <c r="C6151" s="159">
        <v>60</v>
      </c>
      <c r="D6151" s="159">
        <v>36</v>
      </c>
      <c r="E6151" s="159">
        <v>70</v>
      </c>
      <c r="F6151" s="131"/>
      <c r="G6151" s="132"/>
      <c r="H6151" s="162" t="s">
        <v>30560</v>
      </c>
      <c r="I6151" s="158" t="s">
        <v>30561</v>
      </c>
      <c r="J6151" s="128"/>
      <c r="K6151" s="128"/>
      <c r="L6151" s="128"/>
      <c r="M6151" s="129"/>
      <c r="N6151" s="129"/>
      <c r="O6151" s="129"/>
    </row>
    <row r="6152" spans="1:15" ht="12.5">
      <c r="A6152" s="158" t="s">
        <v>30562</v>
      </c>
      <c r="B6152" s="159">
        <v>70</v>
      </c>
      <c r="C6152" s="159">
        <v>60</v>
      </c>
      <c r="D6152" s="159">
        <v>36</v>
      </c>
      <c r="E6152" s="159">
        <v>71</v>
      </c>
      <c r="F6152" s="131"/>
      <c r="G6152" s="132"/>
      <c r="H6152" s="162" t="s">
        <v>30563</v>
      </c>
      <c r="I6152" s="158" t="s">
        <v>30564</v>
      </c>
      <c r="J6152" s="128"/>
      <c r="K6152" s="128"/>
      <c r="L6152" s="128"/>
      <c r="M6152" s="129"/>
      <c r="N6152" s="129"/>
      <c r="O6152" s="129"/>
    </row>
    <row r="6153" spans="1:15" ht="12.5">
      <c r="A6153" s="158" t="s">
        <v>30565</v>
      </c>
      <c r="B6153" s="159">
        <v>70</v>
      </c>
      <c r="C6153" s="159">
        <v>60</v>
      </c>
      <c r="D6153" s="159">
        <v>36</v>
      </c>
      <c r="E6153" s="159">
        <v>72</v>
      </c>
      <c r="F6153" s="131"/>
      <c r="G6153" s="132"/>
      <c r="H6153" s="162" t="s">
        <v>30566</v>
      </c>
      <c r="I6153" s="158" t="s">
        <v>30567</v>
      </c>
      <c r="J6153" s="128"/>
      <c r="K6153" s="128"/>
      <c r="L6153" s="128"/>
      <c r="M6153" s="129"/>
      <c r="N6153" s="129"/>
      <c r="O6153" s="129"/>
    </row>
    <row r="6154" spans="1:15" ht="12.5">
      <c r="A6154" s="158" t="s">
        <v>30568</v>
      </c>
      <c r="B6154" s="159">
        <v>70</v>
      </c>
      <c r="C6154" s="159">
        <v>60</v>
      </c>
      <c r="D6154" s="159">
        <v>36</v>
      </c>
      <c r="E6154" s="159">
        <v>73</v>
      </c>
      <c r="F6154" s="131"/>
      <c r="G6154" s="132"/>
      <c r="H6154" s="162" t="s">
        <v>30569</v>
      </c>
      <c r="I6154" s="158" t="s">
        <v>30570</v>
      </c>
      <c r="J6154" s="128"/>
      <c r="K6154" s="128"/>
      <c r="L6154" s="128"/>
      <c r="M6154" s="129"/>
      <c r="N6154" s="129"/>
      <c r="O6154" s="129"/>
    </row>
    <row r="6155" spans="1:15" ht="12.5">
      <c r="A6155" s="158" t="s">
        <v>30571</v>
      </c>
      <c r="B6155" s="159">
        <v>70</v>
      </c>
      <c r="C6155" s="159">
        <v>60</v>
      </c>
      <c r="D6155" s="159">
        <v>36</v>
      </c>
      <c r="E6155" s="159">
        <v>74</v>
      </c>
      <c r="F6155" s="131"/>
      <c r="G6155" s="132"/>
      <c r="H6155" s="162" t="s">
        <v>30572</v>
      </c>
      <c r="I6155" s="158" t="s">
        <v>30573</v>
      </c>
      <c r="J6155" s="128"/>
      <c r="K6155" s="128"/>
      <c r="L6155" s="128"/>
      <c r="M6155" s="129"/>
      <c r="N6155" s="129"/>
      <c r="O6155" s="129"/>
    </row>
    <row r="6156" spans="1:15" ht="12.5">
      <c r="A6156" s="158" t="s">
        <v>30580</v>
      </c>
      <c r="B6156" s="159">
        <v>70</v>
      </c>
      <c r="C6156" s="159">
        <v>60</v>
      </c>
      <c r="D6156" s="159">
        <v>36</v>
      </c>
      <c r="E6156" s="159">
        <v>80</v>
      </c>
      <c r="F6156" s="131"/>
      <c r="G6156" s="132"/>
      <c r="H6156" s="162" t="s">
        <v>30581</v>
      </c>
      <c r="I6156" s="158" t="s">
        <v>30582</v>
      </c>
      <c r="J6156" s="128"/>
      <c r="K6156" s="128"/>
      <c r="L6156" s="128"/>
      <c r="M6156" s="129"/>
      <c r="N6156" s="129"/>
      <c r="O6156" s="129"/>
    </row>
    <row r="6157" spans="1:15" ht="12.5">
      <c r="A6157" s="158" t="s">
        <v>30583</v>
      </c>
      <c r="B6157" s="159">
        <v>70</v>
      </c>
      <c r="C6157" s="159">
        <v>60</v>
      </c>
      <c r="D6157" s="159">
        <v>36</v>
      </c>
      <c r="E6157" s="159">
        <v>88</v>
      </c>
      <c r="F6157" s="131"/>
      <c r="G6157" s="132"/>
      <c r="H6157" s="162" t="s">
        <v>30584</v>
      </c>
      <c r="I6157" s="158" t="s">
        <v>30585</v>
      </c>
      <c r="J6157" s="128"/>
      <c r="K6157" s="128"/>
      <c r="L6157" s="128"/>
      <c r="M6157" s="129"/>
      <c r="N6157" s="129"/>
      <c r="O6157" s="129"/>
    </row>
    <row r="6158" spans="1:15" ht="12.5">
      <c r="A6158" s="158" t="s">
        <v>30586</v>
      </c>
      <c r="B6158" s="159">
        <v>70</v>
      </c>
      <c r="C6158" s="159">
        <v>60</v>
      </c>
      <c r="D6158" s="159">
        <v>36</v>
      </c>
      <c r="E6158" s="159">
        <v>90</v>
      </c>
      <c r="F6158" s="131"/>
      <c r="G6158" s="132"/>
      <c r="H6158" s="162" t="s">
        <v>30587</v>
      </c>
      <c r="I6158" s="158" t="s">
        <v>30588</v>
      </c>
      <c r="J6158" s="128"/>
      <c r="K6158" s="128"/>
      <c r="L6158" s="128"/>
      <c r="M6158" s="129"/>
      <c r="N6158" s="129"/>
      <c r="O6158" s="129"/>
    </row>
    <row r="6159" spans="1:15" ht="12.5">
      <c r="A6159" s="158" t="s">
        <v>30589</v>
      </c>
      <c r="B6159" s="159">
        <v>70</v>
      </c>
      <c r="C6159" s="159">
        <v>60</v>
      </c>
      <c r="D6159" s="159">
        <v>36</v>
      </c>
      <c r="E6159" s="159">
        <v>93</v>
      </c>
      <c r="F6159" s="131"/>
      <c r="G6159" s="132"/>
      <c r="H6159" s="162" t="s">
        <v>30590</v>
      </c>
      <c r="I6159" s="158" t="s">
        <v>30591</v>
      </c>
      <c r="J6159" s="128"/>
      <c r="K6159" s="128"/>
      <c r="L6159" s="128"/>
      <c r="M6159" s="129"/>
      <c r="N6159" s="129"/>
      <c r="O6159" s="129"/>
    </row>
    <row r="6160" spans="1:15" ht="12.5">
      <c r="A6160" s="158" t="s">
        <v>30592</v>
      </c>
      <c r="B6160" s="159">
        <v>70</v>
      </c>
      <c r="C6160" s="159">
        <v>60</v>
      </c>
      <c r="D6160" s="159">
        <v>36</v>
      </c>
      <c r="E6160" s="159">
        <v>97</v>
      </c>
      <c r="F6160" s="131"/>
      <c r="G6160" s="132"/>
      <c r="H6160" s="162" t="s">
        <v>30593</v>
      </c>
      <c r="I6160" s="158" t="s">
        <v>30594</v>
      </c>
      <c r="J6160" s="128"/>
      <c r="K6160" s="128"/>
      <c r="L6160" s="128"/>
      <c r="M6160" s="129"/>
      <c r="N6160" s="129"/>
      <c r="O6160" s="129"/>
    </row>
    <row r="6161" spans="1:15" ht="12.5">
      <c r="A6161" s="158" t="s">
        <v>30595</v>
      </c>
      <c r="B6161" s="159">
        <v>70</v>
      </c>
      <c r="C6161" s="159">
        <v>60</v>
      </c>
      <c r="D6161" s="159">
        <v>37</v>
      </c>
      <c r="E6161" s="130"/>
      <c r="F6161" s="131"/>
      <c r="G6161" s="132"/>
      <c r="H6161" s="162" t="s">
        <v>30596</v>
      </c>
      <c r="I6161" s="128"/>
      <c r="J6161" s="128"/>
      <c r="K6161" s="128"/>
      <c r="L6161" s="128"/>
      <c r="M6161" s="129"/>
      <c r="N6161" s="129"/>
      <c r="O6161" s="129"/>
    </row>
    <row r="6162" spans="1:15" ht="12.5">
      <c r="A6162" s="158" t="s">
        <v>30597</v>
      </c>
      <c r="B6162" s="159">
        <v>70</v>
      </c>
      <c r="C6162" s="159">
        <v>60</v>
      </c>
      <c r="D6162" s="159">
        <v>37</v>
      </c>
      <c r="E6162" s="159">
        <v>2</v>
      </c>
      <c r="F6162" s="131"/>
      <c r="G6162" s="132"/>
      <c r="H6162" s="162" t="s">
        <v>30598</v>
      </c>
      <c r="I6162" s="158" t="s">
        <v>30599</v>
      </c>
      <c r="J6162" s="128"/>
      <c r="K6162" s="128"/>
      <c r="L6162" s="128"/>
      <c r="M6162" s="129"/>
      <c r="N6162" s="129"/>
      <c r="O6162" s="129"/>
    </row>
    <row r="6163" spans="1:15" ht="12.5">
      <c r="A6163" s="158" t="s">
        <v>30600</v>
      </c>
      <c r="B6163" s="159">
        <v>70</v>
      </c>
      <c r="C6163" s="159">
        <v>60</v>
      </c>
      <c r="D6163" s="159">
        <v>37</v>
      </c>
      <c r="E6163" s="159">
        <v>4</v>
      </c>
      <c r="F6163" s="131"/>
      <c r="G6163" s="132"/>
      <c r="H6163" s="162" t="s">
        <v>30601</v>
      </c>
      <c r="I6163" s="158" t="s">
        <v>30602</v>
      </c>
      <c r="J6163" s="128"/>
      <c r="K6163" s="128"/>
      <c r="L6163" s="128"/>
      <c r="M6163" s="129"/>
      <c r="N6163" s="129"/>
      <c r="O6163" s="129"/>
    </row>
    <row r="6164" spans="1:15" ht="12.5">
      <c r="A6164" s="158" t="s">
        <v>30603</v>
      </c>
      <c r="B6164" s="159">
        <v>70</v>
      </c>
      <c r="C6164" s="159">
        <v>60</v>
      </c>
      <c r="D6164" s="159">
        <v>37</v>
      </c>
      <c r="E6164" s="159">
        <v>33</v>
      </c>
      <c r="F6164" s="131"/>
      <c r="G6164" s="132"/>
      <c r="H6164" s="162" t="s">
        <v>30604</v>
      </c>
      <c r="I6164" s="158" t="s">
        <v>30605</v>
      </c>
      <c r="J6164" s="128"/>
      <c r="K6164" s="128"/>
      <c r="L6164" s="128"/>
      <c r="M6164" s="129"/>
      <c r="N6164" s="129"/>
      <c r="O6164" s="129"/>
    </row>
    <row r="6165" spans="1:15" ht="12.5">
      <c r="A6165" s="158" t="s">
        <v>30606</v>
      </c>
      <c r="B6165" s="159">
        <v>70</v>
      </c>
      <c r="C6165" s="159">
        <v>60</v>
      </c>
      <c r="D6165" s="159">
        <v>37</v>
      </c>
      <c r="E6165" s="159">
        <v>34</v>
      </c>
      <c r="F6165" s="131"/>
      <c r="G6165" s="132"/>
      <c r="H6165" s="162" t="s">
        <v>30607</v>
      </c>
      <c r="I6165" s="158" t="s">
        <v>30608</v>
      </c>
      <c r="J6165" s="128"/>
      <c r="K6165" s="128"/>
      <c r="L6165" s="128"/>
      <c r="M6165" s="129"/>
      <c r="N6165" s="129"/>
      <c r="O6165" s="129"/>
    </row>
    <row r="6166" spans="1:15" ht="12.5">
      <c r="A6166" s="158" t="s">
        <v>30609</v>
      </c>
      <c r="B6166" s="159">
        <v>70</v>
      </c>
      <c r="C6166" s="159">
        <v>60</v>
      </c>
      <c r="D6166" s="159">
        <v>37</v>
      </c>
      <c r="E6166" s="159">
        <v>36</v>
      </c>
      <c r="F6166" s="131"/>
      <c r="G6166" s="132"/>
      <c r="H6166" s="162" t="s">
        <v>30610</v>
      </c>
      <c r="I6166" s="158" t="s">
        <v>30611</v>
      </c>
      <c r="J6166" s="128"/>
      <c r="K6166" s="128"/>
      <c r="L6166" s="128"/>
      <c r="M6166" s="129"/>
      <c r="N6166" s="129"/>
      <c r="O6166" s="129"/>
    </row>
    <row r="6167" spans="1:15" ht="12.5">
      <c r="A6167" s="158" t="s">
        <v>30612</v>
      </c>
      <c r="B6167" s="159">
        <v>70</v>
      </c>
      <c r="C6167" s="159">
        <v>60</v>
      </c>
      <c r="D6167" s="159">
        <v>37</v>
      </c>
      <c r="E6167" s="159">
        <v>96</v>
      </c>
      <c r="F6167" s="131"/>
      <c r="G6167" s="132"/>
      <c r="H6167" s="162" t="s">
        <v>30613</v>
      </c>
      <c r="I6167" s="158" t="s">
        <v>30614</v>
      </c>
      <c r="J6167" s="128"/>
      <c r="K6167" s="128"/>
      <c r="L6167" s="128"/>
      <c r="M6167" s="129"/>
      <c r="N6167" s="129"/>
      <c r="O6167" s="129"/>
    </row>
    <row r="6168" spans="1:15" ht="12.5">
      <c r="A6168" s="158" t="s">
        <v>30615</v>
      </c>
      <c r="B6168" s="159">
        <v>70</v>
      </c>
      <c r="C6168" s="159">
        <v>60</v>
      </c>
      <c r="D6168" s="159">
        <v>37</v>
      </c>
      <c r="E6168" s="159">
        <v>98</v>
      </c>
      <c r="F6168" s="131"/>
      <c r="G6168" s="132"/>
      <c r="H6168" s="162" t="s">
        <v>30616</v>
      </c>
      <c r="I6168" s="158" t="s">
        <v>30617</v>
      </c>
      <c r="J6168" s="128"/>
      <c r="K6168" s="128"/>
      <c r="L6168" s="128"/>
      <c r="M6168" s="129"/>
      <c r="N6168" s="129"/>
      <c r="O6168" s="129"/>
    </row>
    <row r="6169" spans="1:15" ht="12.5">
      <c r="A6169" s="158" t="s">
        <v>30618</v>
      </c>
      <c r="B6169" s="159">
        <v>70</v>
      </c>
      <c r="C6169" s="159">
        <v>60</v>
      </c>
      <c r="D6169" s="159">
        <v>60</v>
      </c>
      <c r="E6169" s="130"/>
      <c r="F6169" s="131"/>
      <c r="G6169" s="132"/>
      <c r="H6169" s="162" t="s">
        <v>30619</v>
      </c>
      <c r="I6169" s="128"/>
      <c r="J6169" s="128"/>
      <c r="K6169" s="128"/>
      <c r="L6169" s="128"/>
      <c r="M6169" s="129"/>
      <c r="N6169" s="129"/>
      <c r="O6169" s="129"/>
    </row>
    <row r="6170" spans="1:15" ht="12.5">
      <c r="A6170" s="158" t="s">
        <v>30620</v>
      </c>
      <c r="B6170" s="159">
        <v>70</v>
      </c>
      <c r="C6170" s="159">
        <v>60</v>
      </c>
      <c r="D6170" s="159">
        <v>60</v>
      </c>
      <c r="E6170" s="159">
        <v>37</v>
      </c>
      <c r="F6170" s="131"/>
      <c r="G6170" s="132"/>
      <c r="H6170" s="162" t="s">
        <v>30621</v>
      </c>
      <c r="I6170" s="158" t="s">
        <v>30622</v>
      </c>
      <c r="J6170" s="128"/>
      <c r="K6170" s="128"/>
      <c r="L6170" s="128"/>
      <c r="M6170" s="129"/>
      <c r="N6170" s="129"/>
      <c r="O6170" s="129"/>
    </row>
    <row r="6171" spans="1:15" ht="12.5">
      <c r="A6171" s="158" t="s">
        <v>30623</v>
      </c>
      <c r="B6171" s="159">
        <v>70</v>
      </c>
      <c r="C6171" s="159">
        <v>60</v>
      </c>
      <c r="D6171" s="159">
        <v>60</v>
      </c>
      <c r="E6171" s="159">
        <v>38</v>
      </c>
      <c r="F6171" s="131"/>
      <c r="G6171" s="132"/>
      <c r="H6171" s="162" t="s">
        <v>30624</v>
      </c>
      <c r="I6171" s="158" t="s">
        <v>30625</v>
      </c>
      <c r="J6171" s="128"/>
      <c r="K6171" s="128"/>
      <c r="L6171" s="128"/>
      <c r="M6171" s="129"/>
      <c r="N6171" s="129"/>
      <c r="O6171" s="129"/>
    </row>
    <row r="6172" spans="1:15" ht="12.5">
      <c r="A6172" s="158" t="s">
        <v>30626</v>
      </c>
      <c r="B6172" s="159">
        <v>70</v>
      </c>
      <c r="C6172" s="159">
        <v>60</v>
      </c>
      <c r="D6172" s="159">
        <v>82</v>
      </c>
      <c r="E6172" s="130"/>
      <c r="F6172" s="131"/>
      <c r="G6172" s="132"/>
      <c r="H6172" s="162" t="s">
        <v>30627</v>
      </c>
      <c r="I6172" s="128"/>
      <c r="J6172" s="128"/>
      <c r="K6172" s="128"/>
      <c r="L6172" s="128"/>
      <c r="M6172" s="129"/>
      <c r="N6172" s="129"/>
      <c r="O6172" s="129"/>
    </row>
    <row r="6173" spans="1:15" ht="12.5">
      <c r="A6173" s="158" t="s">
        <v>30628</v>
      </c>
      <c r="B6173" s="159">
        <v>70</v>
      </c>
      <c r="C6173" s="159">
        <v>60</v>
      </c>
      <c r="D6173" s="159">
        <v>82</v>
      </c>
      <c r="E6173" s="159">
        <v>29</v>
      </c>
      <c r="F6173" s="131"/>
      <c r="G6173" s="132"/>
      <c r="H6173" s="162" t="s">
        <v>30629</v>
      </c>
      <c r="I6173" s="128"/>
      <c r="J6173" s="128"/>
      <c r="K6173" s="128"/>
      <c r="L6173" s="128"/>
      <c r="M6173" s="129"/>
      <c r="N6173" s="129"/>
      <c r="O6173" s="129"/>
    </row>
    <row r="6174" spans="1:15" ht="12.5">
      <c r="A6174" s="158" t="s">
        <v>30630</v>
      </c>
      <c r="B6174" s="159">
        <v>70</v>
      </c>
      <c r="C6174" s="159">
        <v>60</v>
      </c>
      <c r="D6174" s="159">
        <v>82</v>
      </c>
      <c r="E6174" s="159">
        <v>30</v>
      </c>
      <c r="F6174" s="131"/>
      <c r="G6174" s="132"/>
      <c r="H6174" s="162" t="s">
        <v>30631</v>
      </c>
      <c r="I6174" s="158" t="s">
        <v>30632</v>
      </c>
      <c r="J6174" s="128"/>
      <c r="K6174" s="128"/>
      <c r="L6174" s="128"/>
      <c r="M6174" s="129"/>
      <c r="N6174" s="129"/>
      <c r="O6174" s="129"/>
    </row>
    <row r="6175" spans="1:15" ht="12.5">
      <c r="A6175" s="158" t="s">
        <v>30633</v>
      </c>
      <c r="B6175" s="159">
        <v>70</v>
      </c>
      <c r="C6175" s="159">
        <v>60</v>
      </c>
      <c r="D6175" s="159">
        <v>82</v>
      </c>
      <c r="E6175" s="159">
        <v>31</v>
      </c>
      <c r="F6175" s="131"/>
      <c r="G6175" s="132"/>
      <c r="H6175" s="162" t="s">
        <v>30634</v>
      </c>
      <c r="I6175" s="128"/>
      <c r="J6175" s="128"/>
      <c r="K6175" s="128"/>
      <c r="L6175" s="128"/>
      <c r="M6175" s="129"/>
      <c r="N6175" s="129"/>
      <c r="O6175" s="129"/>
    </row>
    <row r="6176" spans="1:15" ht="12.5">
      <c r="A6176" s="158" t="s">
        <v>30635</v>
      </c>
      <c r="B6176" s="159">
        <v>70</v>
      </c>
      <c r="C6176" s="159">
        <v>60</v>
      </c>
      <c r="D6176" s="159">
        <v>82</v>
      </c>
      <c r="E6176" s="159">
        <v>32</v>
      </c>
      <c r="F6176" s="131"/>
      <c r="G6176" s="132"/>
      <c r="H6176" s="162" t="s">
        <v>30636</v>
      </c>
      <c r="I6176" s="158" t="s">
        <v>30637</v>
      </c>
      <c r="J6176" s="128"/>
      <c r="K6176" s="128"/>
      <c r="L6176" s="128"/>
      <c r="M6176" s="129"/>
      <c r="N6176" s="129"/>
      <c r="O6176" s="129"/>
    </row>
    <row r="6177" spans="1:15" ht="12.5">
      <c r="A6177" s="158" t="s">
        <v>30638</v>
      </c>
      <c r="B6177" s="159">
        <v>70</v>
      </c>
      <c r="C6177" s="159">
        <v>60</v>
      </c>
      <c r="D6177" s="159">
        <v>82</v>
      </c>
      <c r="E6177" s="159">
        <v>41</v>
      </c>
      <c r="F6177" s="131"/>
      <c r="G6177" s="132"/>
      <c r="H6177" s="162" t="s">
        <v>30639</v>
      </c>
      <c r="I6177" s="158" t="s">
        <v>30640</v>
      </c>
      <c r="J6177" s="128"/>
      <c r="K6177" s="128"/>
      <c r="L6177" s="128"/>
      <c r="M6177" s="129"/>
      <c r="N6177" s="129"/>
      <c r="O6177" s="129"/>
    </row>
    <row r="6178" spans="1:15" ht="12.5">
      <c r="A6178" s="158" t="s">
        <v>30641</v>
      </c>
      <c r="B6178" s="159">
        <v>70</v>
      </c>
      <c r="C6178" s="159">
        <v>60</v>
      </c>
      <c r="D6178" s="159">
        <v>82</v>
      </c>
      <c r="E6178" s="159">
        <v>42</v>
      </c>
      <c r="F6178" s="131"/>
      <c r="G6178" s="132"/>
      <c r="H6178" s="162" t="s">
        <v>30642</v>
      </c>
      <c r="I6178" s="158" t="s">
        <v>30643</v>
      </c>
      <c r="J6178" s="128"/>
      <c r="K6178" s="128"/>
      <c r="L6178" s="128"/>
      <c r="M6178" s="129"/>
      <c r="N6178" s="129"/>
      <c r="O6178" s="129"/>
    </row>
    <row r="6179" spans="1:15" ht="12.5">
      <c r="A6179" s="158" t="s">
        <v>30644</v>
      </c>
      <c r="B6179" s="159">
        <v>70</v>
      </c>
      <c r="C6179" s="159">
        <v>60</v>
      </c>
      <c r="D6179" s="159">
        <v>82</v>
      </c>
      <c r="E6179" s="159">
        <v>43</v>
      </c>
      <c r="F6179" s="131"/>
      <c r="G6179" s="132"/>
      <c r="H6179" s="162" t="s">
        <v>30645</v>
      </c>
      <c r="I6179" s="158" t="s">
        <v>30646</v>
      </c>
      <c r="J6179" s="128"/>
      <c r="K6179" s="128"/>
      <c r="L6179" s="128"/>
      <c r="M6179" s="129"/>
      <c r="N6179" s="129"/>
      <c r="O6179" s="129"/>
    </row>
    <row r="6180" spans="1:15" ht="12.5">
      <c r="A6180" s="144" t="s">
        <v>30647</v>
      </c>
      <c r="B6180" s="145">
        <v>70</v>
      </c>
      <c r="C6180" s="145">
        <v>65</v>
      </c>
      <c r="D6180" s="146"/>
      <c r="E6180" s="146"/>
      <c r="F6180" s="147" t="s">
        <v>33578</v>
      </c>
      <c r="G6180" s="190"/>
      <c r="H6180" s="149" t="s">
        <v>30648</v>
      </c>
      <c r="I6180" s="150"/>
      <c r="J6180" s="150"/>
      <c r="K6180" s="150"/>
      <c r="L6180" s="150"/>
      <c r="M6180" s="191"/>
      <c r="N6180" s="191"/>
      <c r="O6180" s="191"/>
    </row>
    <row r="6181" spans="1:15" ht="12.5">
      <c r="A6181" s="158" t="s">
        <v>30649</v>
      </c>
      <c r="B6181" s="159">
        <v>70</v>
      </c>
      <c r="C6181" s="159">
        <v>65</v>
      </c>
      <c r="D6181" s="159">
        <v>3</v>
      </c>
      <c r="E6181" s="130"/>
      <c r="F6181" s="131"/>
      <c r="G6181" s="132"/>
      <c r="H6181" s="162" t="s">
        <v>30650</v>
      </c>
      <c r="I6181" s="128"/>
      <c r="J6181" s="128"/>
      <c r="K6181" s="128"/>
      <c r="L6181" s="128"/>
      <c r="M6181" s="129"/>
      <c r="N6181" s="129"/>
      <c r="O6181" s="129"/>
    </row>
    <row r="6182" spans="1:15" ht="12.5">
      <c r="A6182" s="158" t="s">
        <v>30653</v>
      </c>
      <c r="B6182" s="159">
        <v>70</v>
      </c>
      <c r="C6182" s="159">
        <v>65</v>
      </c>
      <c r="D6182" s="159">
        <v>3</v>
      </c>
      <c r="E6182" s="159">
        <v>2</v>
      </c>
      <c r="F6182" s="131"/>
      <c r="G6182" s="132"/>
      <c r="H6182" s="162" t="s">
        <v>30654</v>
      </c>
      <c r="I6182" s="158" t="s">
        <v>30655</v>
      </c>
      <c r="J6182" s="128"/>
      <c r="K6182" s="128"/>
      <c r="L6182" s="128"/>
      <c r="M6182" s="129"/>
      <c r="N6182" s="129"/>
      <c r="O6182" s="129"/>
    </row>
    <row r="6183" spans="1:15" ht="12.5">
      <c r="A6183" s="158" t="s">
        <v>30656</v>
      </c>
      <c r="B6183" s="159">
        <v>70</v>
      </c>
      <c r="C6183" s="159">
        <v>65</v>
      </c>
      <c r="D6183" s="159">
        <v>3</v>
      </c>
      <c r="E6183" s="159">
        <v>25</v>
      </c>
      <c r="F6183" s="131"/>
      <c r="G6183" s="132"/>
      <c r="H6183" s="162" t="s">
        <v>30657</v>
      </c>
      <c r="I6183" s="158" t="s">
        <v>30658</v>
      </c>
      <c r="J6183" s="128"/>
      <c r="K6183" s="128"/>
      <c r="L6183" s="128"/>
      <c r="M6183" s="129"/>
      <c r="N6183" s="129"/>
      <c r="O6183" s="129"/>
    </row>
    <row r="6184" spans="1:15" ht="12.5">
      <c r="A6184" s="158" t="s">
        <v>30659</v>
      </c>
      <c r="B6184" s="159">
        <v>70</v>
      </c>
      <c r="C6184" s="159">
        <v>65</v>
      </c>
      <c r="D6184" s="159">
        <v>3</v>
      </c>
      <c r="E6184" s="159">
        <v>27</v>
      </c>
      <c r="F6184" s="131"/>
      <c r="G6184" s="132"/>
      <c r="H6184" s="162" t="s">
        <v>30660</v>
      </c>
      <c r="I6184" s="158" t="s">
        <v>30661</v>
      </c>
      <c r="J6184" s="128"/>
      <c r="K6184" s="128"/>
      <c r="L6184" s="128"/>
      <c r="M6184" s="129"/>
      <c r="N6184" s="129"/>
      <c r="O6184" s="129"/>
    </row>
    <row r="6185" spans="1:15" ht="12.5">
      <c r="A6185" s="158" t="s">
        <v>30662</v>
      </c>
      <c r="B6185" s="159">
        <v>70</v>
      </c>
      <c r="C6185" s="159">
        <v>65</v>
      </c>
      <c r="D6185" s="159">
        <v>3</v>
      </c>
      <c r="E6185" s="159">
        <v>29</v>
      </c>
      <c r="F6185" s="131"/>
      <c r="G6185" s="132"/>
      <c r="H6185" s="162" t="s">
        <v>30663</v>
      </c>
      <c r="I6185" s="158" t="s">
        <v>30664</v>
      </c>
      <c r="J6185" s="128"/>
      <c r="K6185" s="128"/>
      <c r="L6185" s="128"/>
      <c r="M6185" s="129"/>
      <c r="N6185" s="129"/>
      <c r="O6185" s="129"/>
    </row>
    <row r="6186" spans="1:15" ht="12.5">
      <c r="A6186" s="158" t="s">
        <v>30665</v>
      </c>
      <c r="B6186" s="159">
        <v>70</v>
      </c>
      <c r="C6186" s="159">
        <v>65</v>
      </c>
      <c r="D6186" s="159">
        <v>3</v>
      </c>
      <c r="E6186" s="159">
        <v>42</v>
      </c>
      <c r="F6186" s="131"/>
      <c r="G6186" s="132"/>
      <c r="H6186" s="162" t="s">
        <v>30666</v>
      </c>
      <c r="I6186" s="158" t="s">
        <v>30667</v>
      </c>
      <c r="J6186" s="128"/>
      <c r="K6186" s="128"/>
      <c r="L6186" s="128"/>
      <c r="M6186" s="129"/>
      <c r="N6186" s="129"/>
      <c r="O6186" s="129"/>
    </row>
    <row r="6187" spans="1:15" ht="12.5">
      <c r="A6187" s="158" t="s">
        <v>30668</v>
      </c>
      <c r="B6187" s="159">
        <v>70</v>
      </c>
      <c r="C6187" s="159">
        <v>65</v>
      </c>
      <c r="D6187" s="159">
        <v>3</v>
      </c>
      <c r="E6187" s="159">
        <v>43</v>
      </c>
      <c r="F6187" s="131"/>
      <c r="G6187" s="132"/>
      <c r="H6187" s="162" t="s">
        <v>30669</v>
      </c>
      <c r="I6187" s="158" t="s">
        <v>30670</v>
      </c>
      <c r="J6187" s="128"/>
      <c r="K6187" s="128"/>
      <c r="L6187" s="128"/>
      <c r="M6187" s="129"/>
      <c r="N6187" s="129"/>
      <c r="O6187" s="129"/>
    </row>
    <row r="6188" spans="1:15" ht="12.5">
      <c r="A6188" s="158" t="s">
        <v>30671</v>
      </c>
      <c r="B6188" s="159">
        <v>70</v>
      </c>
      <c r="C6188" s="159">
        <v>65</v>
      </c>
      <c r="D6188" s="159">
        <v>3</v>
      </c>
      <c r="E6188" s="159">
        <v>47</v>
      </c>
      <c r="F6188" s="131"/>
      <c r="G6188" s="132"/>
      <c r="H6188" s="162" t="s">
        <v>30672</v>
      </c>
      <c r="I6188" s="158" t="s">
        <v>30673</v>
      </c>
      <c r="J6188" s="128"/>
      <c r="K6188" s="128"/>
      <c r="L6188" s="128"/>
      <c r="M6188" s="129"/>
      <c r="N6188" s="129"/>
      <c r="O6188" s="129"/>
    </row>
    <row r="6189" spans="1:15" ht="12.5">
      <c r="A6189" s="158" t="s">
        <v>30674</v>
      </c>
      <c r="B6189" s="159">
        <v>70</v>
      </c>
      <c r="C6189" s="159">
        <v>65</v>
      </c>
      <c r="D6189" s="159">
        <v>3</v>
      </c>
      <c r="E6189" s="159">
        <v>72</v>
      </c>
      <c r="F6189" s="131"/>
      <c r="G6189" s="132"/>
      <c r="H6189" s="162" t="s">
        <v>30675</v>
      </c>
      <c r="I6189" s="158" t="s">
        <v>30676</v>
      </c>
      <c r="J6189" s="128"/>
      <c r="K6189" s="128"/>
      <c r="L6189" s="128"/>
      <c r="M6189" s="129"/>
      <c r="N6189" s="129"/>
      <c r="O6189" s="129"/>
    </row>
    <row r="6190" spans="1:15" ht="12.5">
      <c r="A6190" s="158" t="s">
        <v>30677</v>
      </c>
      <c r="B6190" s="159">
        <v>70</v>
      </c>
      <c r="C6190" s="159">
        <v>65</v>
      </c>
      <c r="D6190" s="159">
        <v>3</v>
      </c>
      <c r="E6190" s="159">
        <v>84</v>
      </c>
      <c r="F6190" s="131"/>
      <c r="G6190" s="132"/>
      <c r="H6190" s="162" t="s">
        <v>30678</v>
      </c>
      <c r="I6190" s="158" t="s">
        <v>30679</v>
      </c>
      <c r="J6190" s="128"/>
      <c r="K6190" s="128"/>
      <c r="L6190" s="128"/>
      <c r="M6190" s="129"/>
      <c r="N6190" s="129"/>
      <c r="O6190" s="129"/>
    </row>
    <row r="6191" spans="1:15" ht="12.5">
      <c r="A6191" s="158" t="s">
        <v>30680</v>
      </c>
      <c r="B6191" s="159">
        <v>70</v>
      </c>
      <c r="C6191" s="159">
        <v>65</v>
      </c>
      <c r="D6191" s="159">
        <v>3</v>
      </c>
      <c r="E6191" s="159">
        <v>86</v>
      </c>
      <c r="F6191" s="131"/>
      <c r="G6191" s="132"/>
      <c r="H6191" s="162" t="s">
        <v>30681</v>
      </c>
      <c r="I6191" s="158" t="s">
        <v>30682</v>
      </c>
      <c r="J6191" s="128"/>
      <c r="K6191" s="128"/>
      <c r="L6191" s="128"/>
      <c r="M6191" s="129"/>
      <c r="N6191" s="129"/>
      <c r="O6191" s="129"/>
    </row>
    <row r="6192" spans="1:15" ht="12.5">
      <c r="A6192" s="158" t="s">
        <v>30683</v>
      </c>
      <c r="B6192" s="159">
        <v>70</v>
      </c>
      <c r="C6192" s="159">
        <v>65</v>
      </c>
      <c r="D6192" s="159">
        <v>3</v>
      </c>
      <c r="E6192" s="159">
        <v>94</v>
      </c>
      <c r="F6192" s="131"/>
      <c r="G6192" s="132"/>
      <c r="H6192" s="162" t="s">
        <v>30684</v>
      </c>
      <c r="I6192" s="158" t="s">
        <v>30685</v>
      </c>
      <c r="J6192" s="128"/>
      <c r="K6192" s="128"/>
      <c r="L6192" s="128"/>
      <c r="M6192" s="129"/>
      <c r="N6192" s="129"/>
      <c r="O6192" s="129"/>
    </row>
    <row r="6193" spans="1:15" ht="12.5">
      <c r="A6193" s="158" t="s">
        <v>30686</v>
      </c>
      <c r="B6193" s="159">
        <v>70</v>
      </c>
      <c r="C6193" s="159">
        <v>65</v>
      </c>
      <c r="D6193" s="159">
        <v>4</v>
      </c>
      <c r="E6193" s="130"/>
      <c r="F6193" s="131"/>
      <c r="G6193" s="132"/>
      <c r="H6193" s="162" t="s">
        <v>30687</v>
      </c>
      <c r="I6193" s="128"/>
      <c r="J6193" s="128"/>
      <c r="K6193" s="128"/>
      <c r="L6193" s="128"/>
      <c r="M6193" s="129"/>
      <c r="N6193" s="129"/>
      <c r="O6193" s="129"/>
    </row>
    <row r="6194" spans="1:15" ht="12.5">
      <c r="A6194" s="158" t="s">
        <v>30688</v>
      </c>
      <c r="B6194" s="159">
        <v>70</v>
      </c>
      <c r="C6194" s="159">
        <v>65</v>
      </c>
      <c r="D6194" s="159">
        <v>4</v>
      </c>
      <c r="E6194" s="159">
        <v>2</v>
      </c>
      <c r="F6194" s="131"/>
      <c r="G6194" s="132"/>
      <c r="H6194" s="162" t="s">
        <v>30689</v>
      </c>
      <c r="I6194" s="158" t="s">
        <v>30690</v>
      </c>
      <c r="J6194" s="128"/>
      <c r="K6194" s="128"/>
      <c r="L6194" s="128"/>
      <c r="M6194" s="129"/>
      <c r="N6194" s="129"/>
      <c r="O6194" s="129"/>
    </row>
    <row r="6195" spans="1:15" ht="12.5">
      <c r="A6195" s="158" t="s">
        <v>30691</v>
      </c>
      <c r="B6195" s="159">
        <v>70</v>
      </c>
      <c r="C6195" s="159">
        <v>65</v>
      </c>
      <c r="D6195" s="159">
        <v>4</v>
      </c>
      <c r="E6195" s="159">
        <v>3</v>
      </c>
      <c r="F6195" s="131"/>
      <c r="G6195" s="132"/>
      <c r="H6195" s="162" t="s">
        <v>30692</v>
      </c>
      <c r="I6195" s="158" t="s">
        <v>30693</v>
      </c>
      <c r="J6195" s="128"/>
      <c r="K6195" s="128"/>
      <c r="L6195" s="128"/>
      <c r="M6195" s="129"/>
      <c r="N6195" s="129"/>
      <c r="O6195" s="129"/>
    </row>
    <row r="6196" spans="1:15" ht="12.5">
      <c r="A6196" s="158" t="s">
        <v>30694</v>
      </c>
      <c r="B6196" s="159">
        <v>70</v>
      </c>
      <c r="C6196" s="159">
        <v>65</v>
      </c>
      <c r="D6196" s="159">
        <v>4</v>
      </c>
      <c r="E6196" s="159">
        <v>4</v>
      </c>
      <c r="F6196" s="131"/>
      <c r="G6196" s="132"/>
      <c r="H6196" s="162" t="s">
        <v>30695</v>
      </c>
      <c r="I6196" s="158" t="s">
        <v>30696</v>
      </c>
      <c r="J6196" s="128"/>
      <c r="K6196" s="128"/>
      <c r="L6196" s="128"/>
      <c r="M6196" s="129"/>
      <c r="N6196" s="129"/>
      <c r="O6196" s="129"/>
    </row>
    <row r="6197" spans="1:15" ht="12.5">
      <c r="A6197" s="158" t="s">
        <v>30697</v>
      </c>
      <c r="B6197" s="159">
        <v>70</v>
      </c>
      <c r="C6197" s="159">
        <v>65</v>
      </c>
      <c r="D6197" s="159">
        <v>4</v>
      </c>
      <c r="E6197" s="159">
        <v>22</v>
      </c>
      <c r="F6197" s="131"/>
      <c r="G6197" s="132"/>
      <c r="H6197" s="162" t="s">
        <v>30698</v>
      </c>
      <c r="I6197" s="158" t="s">
        <v>30699</v>
      </c>
      <c r="J6197" s="128"/>
      <c r="K6197" s="128"/>
      <c r="L6197" s="128"/>
      <c r="M6197" s="129"/>
      <c r="N6197" s="129"/>
      <c r="O6197" s="129"/>
    </row>
    <row r="6198" spans="1:15" ht="12.5">
      <c r="A6198" s="158" t="s">
        <v>30700</v>
      </c>
      <c r="B6198" s="159">
        <v>70</v>
      </c>
      <c r="C6198" s="159">
        <v>65</v>
      </c>
      <c r="D6198" s="159">
        <v>4</v>
      </c>
      <c r="E6198" s="159">
        <v>24</v>
      </c>
      <c r="F6198" s="131"/>
      <c r="G6198" s="132"/>
      <c r="H6198" s="162" t="s">
        <v>30701</v>
      </c>
      <c r="I6198" s="158" t="s">
        <v>30702</v>
      </c>
      <c r="J6198" s="128"/>
      <c r="K6198" s="128"/>
      <c r="L6198" s="128"/>
      <c r="M6198" s="129"/>
      <c r="N6198" s="129"/>
      <c r="O6198" s="129"/>
    </row>
    <row r="6199" spans="1:15" ht="12.5">
      <c r="A6199" s="158" t="s">
        <v>30705</v>
      </c>
      <c r="B6199" s="159">
        <v>70</v>
      </c>
      <c r="C6199" s="159">
        <v>65</v>
      </c>
      <c r="D6199" s="159">
        <v>4</v>
      </c>
      <c r="E6199" s="159">
        <v>28</v>
      </c>
      <c r="F6199" s="131"/>
      <c r="G6199" s="132"/>
      <c r="H6199" s="162" t="s">
        <v>30706</v>
      </c>
      <c r="I6199" s="158" t="s">
        <v>30707</v>
      </c>
      <c r="J6199" s="128"/>
      <c r="K6199" s="128"/>
      <c r="L6199" s="128"/>
      <c r="M6199" s="129"/>
      <c r="N6199" s="129"/>
      <c r="O6199" s="129"/>
    </row>
    <row r="6200" spans="1:15" ht="12.5">
      <c r="A6200" s="158" t="s">
        <v>30708</v>
      </c>
      <c r="B6200" s="159">
        <v>70</v>
      </c>
      <c r="C6200" s="159">
        <v>65</v>
      </c>
      <c r="D6200" s="159">
        <v>4</v>
      </c>
      <c r="E6200" s="159">
        <v>30</v>
      </c>
      <c r="F6200" s="131"/>
      <c r="G6200" s="132"/>
      <c r="H6200" s="162" t="s">
        <v>30709</v>
      </c>
      <c r="I6200" s="158" t="s">
        <v>30710</v>
      </c>
      <c r="J6200" s="128"/>
      <c r="K6200" s="128"/>
      <c r="L6200" s="128"/>
      <c r="M6200" s="129"/>
      <c r="N6200" s="129"/>
      <c r="O6200" s="129"/>
    </row>
    <row r="6201" spans="1:15" ht="12.5">
      <c r="A6201" s="158" t="s">
        <v>30711</v>
      </c>
      <c r="B6201" s="159">
        <v>70</v>
      </c>
      <c r="C6201" s="159">
        <v>65</v>
      </c>
      <c r="D6201" s="159">
        <v>4</v>
      </c>
      <c r="E6201" s="159">
        <v>32</v>
      </c>
      <c r="F6201" s="131"/>
      <c r="G6201" s="132"/>
      <c r="H6201" s="162" t="s">
        <v>30712</v>
      </c>
      <c r="I6201" s="158" t="s">
        <v>30713</v>
      </c>
      <c r="J6201" s="128"/>
      <c r="K6201" s="128"/>
      <c r="L6201" s="128"/>
      <c r="M6201" s="129"/>
      <c r="N6201" s="129"/>
      <c r="O6201" s="129"/>
    </row>
    <row r="6202" spans="1:15" ht="12.5">
      <c r="A6202" s="158" t="s">
        <v>30714</v>
      </c>
      <c r="B6202" s="159">
        <v>70</v>
      </c>
      <c r="C6202" s="159">
        <v>65</v>
      </c>
      <c r="D6202" s="159">
        <v>4</v>
      </c>
      <c r="E6202" s="159">
        <v>44</v>
      </c>
      <c r="F6202" s="131"/>
      <c r="G6202" s="132"/>
      <c r="H6202" s="162" t="s">
        <v>30715</v>
      </c>
      <c r="I6202" s="128"/>
      <c r="J6202" s="128"/>
      <c r="K6202" s="128"/>
      <c r="L6202" s="128"/>
      <c r="M6202" s="129"/>
      <c r="N6202" s="129"/>
      <c r="O6202" s="129"/>
    </row>
    <row r="6203" spans="1:15" ht="12.5">
      <c r="A6203" s="158" t="s">
        <v>30716</v>
      </c>
      <c r="B6203" s="159">
        <v>70</v>
      </c>
      <c r="C6203" s="159">
        <v>65</v>
      </c>
      <c r="D6203" s="159">
        <v>4</v>
      </c>
      <c r="E6203" s="159">
        <v>46</v>
      </c>
      <c r="F6203" s="131"/>
      <c r="G6203" s="132"/>
      <c r="H6203" s="162" t="s">
        <v>30717</v>
      </c>
      <c r="I6203" s="158" t="s">
        <v>30718</v>
      </c>
      <c r="J6203" s="128"/>
      <c r="K6203" s="128"/>
      <c r="L6203" s="128"/>
      <c r="M6203" s="129"/>
      <c r="N6203" s="129"/>
      <c r="O6203" s="129"/>
    </row>
    <row r="6204" spans="1:15" ht="12.5">
      <c r="A6204" s="158" t="s">
        <v>30719</v>
      </c>
      <c r="B6204" s="159">
        <v>70</v>
      </c>
      <c r="C6204" s="159">
        <v>65</v>
      </c>
      <c r="D6204" s="159">
        <v>4</v>
      </c>
      <c r="E6204" s="159">
        <v>48</v>
      </c>
      <c r="F6204" s="131"/>
      <c r="G6204" s="132"/>
      <c r="H6204" s="162" t="s">
        <v>30720</v>
      </c>
      <c r="I6204" s="158" t="s">
        <v>30721</v>
      </c>
      <c r="J6204" s="128"/>
      <c r="K6204" s="128"/>
      <c r="L6204" s="128"/>
      <c r="M6204" s="129"/>
      <c r="N6204" s="129"/>
      <c r="O6204" s="129"/>
    </row>
    <row r="6205" spans="1:15" ht="12.5">
      <c r="A6205" s="158" t="s">
        <v>30722</v>
      </c>
      <c r="B6205" s="159">
        <v>70</v>
      </c>
      <c r="C6205" s="159">
        <v>65</v>
      </c>
      <c r="D6205" s="159">
        <v>4</v>
      </c>
      <c r="E6205" s="159">
        <v>53</v>
      </c>
      <c r="F6205" s="131"/>
      <c r="G6205" s="132"/>
      <c r="H6205" s="162" t="s">
        <v>30723</v>
      </c>
      <c r="I6205" s="158" t="s">
        <v>30724</v>
      </c>
      <c r="J6205" s="128"/>
      <c r="K6205" s="128"/>
      <c r="L6205" s="128"/>
      <c r="M6205" s="129"/>
      <c r="N6205" s="129"/>
      <c r="O6205" s="129"/>
    </row>
    <row r="6206" spans="1:15" ht="12.5">
      <c r="A6206" s="158" t="s">
        <v>30725</v>
      </c>
      <c r="B6206" s="159">
        <v>70</v>
      </c>
      <c r="C6206" s="159">
        <v>65</v>
      </c>
      <c r="D6206" s="159">
        <v>4</v>
      </c>
      <c r="E6206" s="159">
        <v>56</v>
      </c>
      <c r="F6206" s="131"/>
      <c r="G6206" s="132"/>
      <c r="H6206" s="162" t="s">
        <v>30726</v>
      </c>
      <c r="I6206" s="158" t="s">
        <v>30727</v>
      </c>
      <c r="J6206" s="128"/>
      <c r="K6206" s="128"/>
      <c r="L6206" s="128"/>
      <c r="M6206" s="129"/>
      <c r="N6206" s="129"/>
      <c r="O6206" s="129"/>
    </row>
    <row r="6207" spans="1:15" ht="12.5">
      <c r="A6207" s="158" t="s">
        <v>30728</v>
      </c>
      <c r="B6207" s="159">
        <v>70</v>
      </c>
      <c r="C6207" s="159">
        <v>65</v>
      </c>
      <c r="D6207" s="159">
        <v>4</v>
      </c>
      <c r="E6207" s="159">
        <v>73</v>
      </c>
      <c r="F6207" s="131"/>
      <c r="G6207" s="132"/>
      <c r="H6207" s="162" t="s">
        <v>30729</v>
      </c>
      <c r="I6207" s="158" t="s">
        <v>30730</v>
      </c>
      <c r="J6207" s="128"/>
      <c r="K6207" s="128"/>
      <c r="L6207" s="128"/>
      <c r="M6207" s="129"/>
      <c r="N6207" s="129"/>
      <c r="O6207" s="129"/>
    </row>
    <row r="6208" spans="1:15" ht="12.5">
      <c r="A6208" s="158" t="s">
        <v>30731</v>
      </c>
      <c r="B6208" s="159">
        <v>70</v>
      </c>
      <c r="C6208" s="159">
        <v>65</v>
      </c>
      <c r="D6208" s="159">
        <v>4</v>
      </c>
      <c r="E6208" s="159">
        <v>75</v>
      </c>
      <c r="F6208" s="131"/>
      <c r="G6208" s="132"/>
      <c r="H6208" s="162" t="s">
        <v>30732</v>
      </c>
      <c r="I6208" s="158" t="s">
        <v>30733</v>
      </c>
      <c r="J6208" s="128"/>
      <c r="K6208" s="128"/>
      <c r="L6208" s="128"/>
      <c r="M6208" s="129"/>
      <c r="N6208" s="129"/>
      <c r="O6208" s="129"/>
    </row>
    <row r="6209" spans="1:15" ht="12.5">
      <c r="A6209" s="158" t="s">
        <v>30734</v>
      </c>
      <c r="B6209" s="159">
        <v>70</v>
      </c>
      <c r="C6209" s="159">
        <v>65</v>
      </c>
      <c r="D6209" s="159">
        <v>4</v>
      </c>
      <c r="E6209" s="159">
        <v>76</v>
      </c>
      <c r="F6209" s="131"/>
      <c r="G6209" s="132"/>
      <c r="H6209" s="162" t="s">
        <v>30735</v>
      </c>
      <c r="I6209" s="158" t="s">
        <v>30736</v>
      </c>
      <c r="J6209" s="128"/>
      <c r="K6209" s="128"/>
      <c r="L6209" s="128"/>
      <c r="M6209" s="129"/>
      <c r="N6209" s="129"/>
      <c r="O6209" s="129"/>
    </row>
    <row r="6210" spans="1:15" ht="12.5">
      <c r="A6210" s="158" t="s">
        <v>30737</v>
      </c>
      <c r="B6210" s="159">
        <v>70</v>
      </c>
      <c r="C6210" s="159">
        <v>65</v>
      </c>
      <c r="D6210" s="159">
        <v>4</v>
      </c>
      <c r="E6210" s="159">
        <v>77</v>
      </c>
      <c r="F6210" s="131"/>
      <c r="G6210" s="132"/>
      <c r="H6210" s="162" t="s">
        <v>30738</v>
      </c>
      <c r="I6210" s="128"/>
      <c r="J6210" s="128"/>
      <c r="K6210" s="128"/>
      <c r="L6210" s="128"/>
      <c r="M6210" s="129"/>
      <c r="N6210" s="129"/>
      <c r="O6210" s="129"/>
    </row>
    <row r="6211" spans="1:15" ht="12.5">
      <c r="A6211" s="158" t="s">
        <v>30739</v>
      </c>
      <c r="B6211" s="159">
        <v>70</v>
      </c>
      <c r="C6211" s="159">
        <v>65</v>
      </c>
      <c r="D6211" s="159">
        <v>4</v>
      </c>
      <c r="E6211" s="159">
        <v>84</v>
      </c>
      <c r="F6211" s="131"/>
      <c r="G6211" s="132"/>
      <c r="H6211" s="162" t="s">
        <v>30740</v>
      </c>
      <c r="I6211" s="158" t="s">
        <v>30741</v>
      </c>
      <c r="J6211" s="128"/>
      <c r="K6211" s="128"/>
      <c r="L6211" s="128"/>
      <c r="M6211" s="129"/>
      <c r="N6211" s="129"/>
      <c r="O6211" s="129"/>
    </row>
    <row r="6212" spans="1:15" ht="12.5">
      <c r="A6212" s="158" t="s">
        <v>30742</v>
      </c>
      <c r="B6212" s="159">
        <v>70</v>
      </c>
      <c r="C6212" s="159">
        <v>65</v>
      </c>
      <c r="D6212" s="159">
        <v>4</v>
      </c>
      <c r="E6212" s="159">
        <v>86</v>
      </c>
      <c r="F6212" s="131"/>
      <c r="G6212" s="132"/>
      <c r="H6212" s="162" t="s">
        <v>30743</v>
      </c>
      <c r="I6212" s="158" t="s">
        <v>30744</v>
      </c>
      <c r="J6212" s="128"/>
      <c r="K6212" s="128"/>
      <c r="L6212" s="128"/>
      <c r="M6212" s="129"/>
      <c r="N6212" s="129"/>
      <c r="O6212" s="129"/>
    </row>
    <row r="6213" spans="1:15" ht="12.5">
      <c r="A6213" s="158" t="s">
        <v>30745</v>
      </c>
      <c r="B6213" s="159">
        <v>70</v>
      </c>
      <c r="C6213" s="159">
        <v>65</v>
      </c>
      <c r="D6213" s="159">
        <v>4</v>
      </c>
      <c r="E6213" s="159">
        <v>88</v>
      </c>
      <c r="F6213" s="131"/>
      <c r="G6213" s="132"/>
      <c r="H6213" s="162" t="s">
        <v>30746</v>
      </c>
      <c r="I6213" s="158" t="s">
        <v>30747</v>
      </c>
      <c r="J6213" s="128"/>
      <c r="K6213" s="128"/>
      <c r="L6213" s="128"/>
      <c r="M6213" s="129"/>
      <c r="N6213" s="129"/>
      <c r="O6213" s="129"/>
    </row>
    <row r="6214" spans="1:15" ht="12.5">
      <c r="A6214" s="158" t="s">
        <v>30752</v>
      </c>
      <c r="B6214" s="159">
        <v>70</v>
      </c>
      <c r="C6214" s="159">
        <v>65</v>
      </c>
      <c r="D6214" s="159">
        <v>4</v>
      </c>
      <c r="E6214" s="159">
        <v>93</v>
      </c>
      <c r="F6214" s="131"/>
      <c r="G6214" s="132"/>
      <c r="H6214" s="162" t="s">
        <v>30753</v>
      </c>
      <c r="I6214" s="128"/>
      <c r="J6214" s="128"/>
      <c r="K6214" s="128"/>
      <c r="L6214" s="128"/>
      <c r="M6214" s="129"/>
      <c r="N6214" s="129"/>
      <c r="O6214" s="129"/>
    </row>
    <row r="6215" spans="1:15" ht="12.5">
      <c r="A6215" s="158" t="s">
        <v>30754</v>
      </c>
      <c r="B6215" s="159">
        <v>70</v>
      </c>
      <c r="C6215" s="159">
        <v>65</v>
      </c>
      <c r="D6215" s="159">
        <v>4</v>
      </c>
      <c r="E6215" s="159">
        <v>94</v>
      </c>
      <c r="F6215" s="131"/>
      <c r="G6215" s="132"/>
      <c r="H6215" s="162" t="s">
        <v>30755</v>
      </c>
      <c r="I6215" s="128"/>
      <c r="J6215" s="128"/>
      <c r="K6215" s="128"/>
      <c r="L6215" s="128"/>
      <c r="M6215" s="129"/>
      <c r="N6215" s="129"/>
      <c r="O6215" s="129"/>
    </row>
    <row r="6216" spans="1:15" ht="12.5">
      <c r="A6216" s="158" t="s">
        <v>30756</v>
      </c>
      <c r="B6216" s="159">
        <v>70</v>
      </c>
      <c r="C6216" s="159">
        <v>65</v>
      </c>
      <c r="D6216" s="159">
        <v>4</v>
      </c>
      <c r="E6216" s="159">
        <v>95</v>
      </c>
      <c r="F6216" s="131"/>
      <c r="G6216" s="132"/>
      <c r="H6216" s="162" t="s">
        <v>30757</v>
      </c>
      <c r="I6216" s="158" t="s">
        <v>30758</v>
      </c>
      <c r="J6216" s="128"/>
      <c r="K6216" s="128"/>
      <c r="L6216" s="128"/>
      <c r="M6216" s="129"/>
      <c r="N6216" s="129"/>
      <c r="O6216" s="129"/>
    </row>
    <row r="6217" spans="1:15" ht="12.5">
      <c r="A6217" s="158" t="s">
        <v>30759</v>
      </c>
      <c r="B6217" s="159">
        <v>70</v>
      </c>
      <c r="C6217" s="159">
        <v>65</v>
      </c>
      <c r="D6217" s="159">
        <v>30</v>
      </c>
      <c r="E6217" s="130"/>
      <c r="F6217" s="131"/>
      <c r="G6217" s="132"/>
      <c r="H6217" s="162" t="s">
        <v>30760</v>
      </c>
      <c r="I6217" s="128"/>
      <c r="J6217" s="128"/>
      <c r="K6217" s="128"/>
      <c r="L6217" s="128"/>
      <c r="M6217" s="129"/>
      <c r="N6217" s="129"/>
      <c r="O6217" s="129"/>
    </row>
    <row r="6218" spans="1:15" ht="12.5">
      <c r="A6218" s="158" t="s">
        <v>30761</v>
      </c>
      <c r="B6218" s="159">
        <v>70</v>
      </c>
      <c r="C6218" s="159">
        <v>65</v>
      </c>
      <c r="D6218" s="159">
        <v>30</v>
      </c>
      <c r="E6218" s="159">
        <v>14</v>
      </c>
      <c r="F6218" s="131"/>
      <c r="G6218" s="132"/>
      <c r="H6218" s="162" t="s">
        <v>30762</v>
      </c>
      <c r="I6218" s="158" t="s">
        <v>30763</v>
      </c>
      <c r="J6218" s="128"/>
      <c r="K6218" s="128"/>
      <c r="L6218" s="128"/>
      <c r="M6218" s="129"/>
      <c r="N6218" s="129"/>
      <c r="O6218" s="129"/>
    </row>
    <row r="6219" spans="1:15" ht="12.5">
      <c r="A6219" s="158" t="s">
        <v>30764</v>
      </c>
      <c r="B6219" s="159">
        <v>70</v>
      </c>
      <c r="C6219" s="159">
        <v>65</v>
      </c>
      <c r="D6219" s="159">
        <v>30</v>
      </c>
      <c r="E6219" s="159">
        <v>15</v>
      </c>
      <c r="F6219" s="131"/>
      <c r="G6219" s="132"/>
      <c r="H6219" s="162" t="s">
        <v>30765</v>
      </c>
      <c r="I6219" s="158" t="s">
        <v>30766</v>
      </c>
      <c r="J6219" s="128"/>
      <c r="K6219" s="128"/>
      <c r="L6219" s="128"/>
      <c r="M6219" s="129"/>
      <c r="N6219" s="129"/>
      <c r="O6219" s="129"/>
    </row>
    <row r="6220" spans="1:15" ht="12.5">
      <c r="A6220" s="158" t="s">
        <v>30767</v>
      </c>
      <c r="B6220" s="159">
        <v>70</v>
      </c>
      <c r="C6220" s="159">
        <v>65</v>
      </c>
      <c r="D6220" s="159">
        <v>30</v>
      </c>
      <c r="E6220" s="159">
        <v>16</v>
      </c>
      <c r="F6220" s="131"/>
      <c r="G6220" s="132"/>
      <c r="H6220" s="162" t="s">
        <v>30768</v>
      </c>
      <c r="I6220" s="128"/>
      <c r="J6220" s="128"/>
      <c r="K6220" s="128"/>
      <c r="L6220" s="128"/>
      <c r="M6220" s="129"/>
      <c r="N6220" s="129"/>
      <c r="O6220" s="129"/>
    </row>
    <row r="6221" spans="1:15" ht="12.5">
      <c r="A6221" s="158" t="s">
        <v>30769</v>
      </c>
      <c r="B6221" s="159">
        <v>70</v>
      </c>
      <c r="C6221" s="159">
        <v>65</v>
      </c>
      <c r="D6221" s="159">
        <v>30</v>
      </c>
      <c r="E6221" s="159">
        <v>30</v>
      </c>
      <c r="F6221" s="131"/>
      <c r="G6221" s="132"/>
      <c r="H6221" s="162" t="s">
        <v>30770</v>
      </c>
      <c r="I6221" s="158" t="s">
        <v>30771</v>
      </c>
      <c r="J6221" s="128"/>
      <c r="K6221" s="128"/>
      <c r="L6221" s="128"/>
      <c r="M6221" s="129"/>
      <c r="N6221" s="129"/>
      <c r="O6221" s="129"/>
    </row>
    <row r="6222" spans="1:15" ht="12.5">
      <c r="A6222" s="158" t="s">
        <v>30772</v>
      </c>
      <c r="B6222" s="159">
        <v>70</v>
      </c>
      <c r="C6222" s="159">
        <v>65</v>
      </c>
      <c r="D6222" s="159">
        <v>30</v>
      </c>
      <c r="E6222" s="159">
        <v>32</v>
      </c>
      <c r="F6222" s="131"/>
      <c r="G6222" s="132"/>
      <c r="H6222" s="162" t="s">
        <v>30773</v>
      </c>
      <c r="I6222" s="158" t="s">
        <v>30774</v>
      </c>
      <c r="J6222" s="128"/>
      <c r="K6222" s="128"/>
      <c r="L6222" s="128"/>
      <c r="M6222" s="129"/>
      <c r="N6222" s="129"/>
      <c r="O6222" s="129"/>
    </row>
    <row r="6223" spans="1:15" ht="12.5">
      <c r="A6223" s="158" t="s">
        <v>30775</v>
      </c>
      <c r="B6223" s="159">
        <v>70</v>
      </c>
      <c r="C6223" s="159">
        <v>65</v>
      </c>
      <c r="D6223" s="159">
        <v>30</v>
      </c>
      <c r="E6223" s="159">
        <v>51</v>
      </c>
      <c r="F6223" s="131"/>
      <c r="G6223" s="132"/>
      <c r="H6223" s="162" t="s">
        <v>30776</v>
      </c>
      <c r="I6223" s="158" t="s">
        <v>30777</v>
      </c>
      <c r="J6223" s="128"/>
      <c r="K6223" s="128"/>
      <c r="L6223" s="128"/>
      <c r="M6223" s="129"/>
      <c r="N6223" s="129"/>
      <c r="O6223" s="129"/>
    </row>
    <row r="6224" spans="1:15" ht="12.5">
      <c r="A6224" s="158" t="s">
        <v>30778</v>
      </c>
      <c r="B6224" s="159">
        <v>70</v>
      </c>
      <c r="C6224" s="159">
        <v>65</v>
      </c>
      <c r="D6224" s="159">
        <v>30</v>
      </c>
      <c r="E6224" s="159">
        <v>84</v>
      </c>
      <c r="F6224" s="131"/>
      <c r="G6224" s="132"/>
      <c r="H6224" s="162" t="s">
        <v>30779</v>
      </c>
      <c r="I6224" s="128"/>
      <c r="J6224" s="128"/>
      <c r="K6224" s="128"/>
      <c r="L6224" s="128"/>
      <c r="M6224" s="129"/>
      <c r="N6224" s="129"/>
      <c r="O6224" s="129"/>
    </row>
    <row r="6225" spans="1:15" ht="12.5">
      <c r="A6225" s="144" t="s">
        <v>30780</v>
      </c>
      <c r="B6225" s="145">
        <v>70</v>
      </c>
      <c r="C6225" s="145">
        <v>70</v>
      </c>
      <c r="D6225" s="146"/>
      <c r="E6225" s="146"/>
      <c r="F6225" s="147" t="s">
        <v>33579</v>
      </c>
      <c r="G6225" s="190"/>
      <c r="H6225" s="149" t="s">
        <v>30781</v>
      </c>
      <c r="I6225" s="150"/>
      <c r="J6225" s="150"/>
      <c r="K6225" s="150"/>
      <c r="L6225" s="150"/>
      <c r="M6225" s="191"/>
      <c r="N6225" s="191"/>
      <c r="O6225" s="191"/>
    </row>
    <row r="6226" spans="1:15" ht="12.5">
      <c r="A6226" s="158" t="s">
        <v>30782</v>
      </c>
      <c r="B6226" s="159">
        <v>70</v>
      </c>
      <c r="C6226" s="159">
        <v>70</v>
      </c>
      <c r="D6226" s="159">
        <v>46</v>
      </c>
      <c r="E6226" s="130"/>
      <c r="F6226" s="131"/>
      <c r="G6226" s="132"/>
      <c r="H6226" s="162" t="s">
        <v>30783</v>
      </c>
      <c r="I6226" s="128"/>
      <c r="J6226" s="128"/>
      <c r="K6226" s="128"/>
      <c r="L6226" s="128"/>
      <c r="M6226" s="129"/>
      <c r="N6226" s="129"/>
      <c r="O6226" s="129"/>
    </row>
    <row r="6227" spans="1:15" ht="12.5">
      <c r="A6227" s="158" t="s">
        <v>30784</v>
      </c>
      <c r="B6227" s="159">
        <v>70</v>
      </c>
      <c r="C6227" s="159">
        <v>70</v>
      </c>
      <c r="D6227" s="159">
        <v>46</v>
      </c>
      <c r="E6227" s="159">
        <v>15</v>
      </c>
      <c r="F6227" s="131"/>
      <c r="G6227" s="132"/>
      <c r="H6227" s="162" t="s">
        <v>30785</v>
      </c>
      <c r="I6227" s="158" t="s">
        <v>30786</v>
      </c>
      <c r="J6227" s="128"/>
      <c r="K6227" s="128"/>
      <c r="L6227" s="128"/>
      <c r="M6227" s="129"/>
      <c r="N6227" s="129"/>
      <c r="O6227" s="129"/>
    </row>
    <row r="6228" spans="1:15" ht="12.5">
      <c r="A6228" s="158" t="s">
        <v>30787</v>
      </c>
      <c r="B6228" s="159">
        <v>70</v>
      </c>
      <c r="C6228" s="159">
        <v>70</v>
      </c>
      <c r="D6228" s="159">
        <v>46</v>
      </c>
      <c r="E6228" s="159">
        <v>24</v>
      </c>
      <c r="F6228" s="131"/>
      <c r="G6228" s="132"/>
      <c r="H6228" s="162" t="s">
        <v>30788</v>
      </c>
      <c r="I6228" s="158" t="s">
        <v>30789</v>
      </c>
      <c r="J6228" s="128"/>
      <c r="K6228" s="128"/>
      <c r="L6228" s="128"/>
      <c r="M6228" s="129"/>
      <c r="N6228" s="129"/>
      <c r="O6228" s="129"/>
    </row>
    <row r="6229" spans="1:15" ht="12.5">
      <c r="A6229" s="158" t="s">
        <v>30790</v>
      </c>
      <c r="B6229" s="159">
        <v>70</v>
      </c>
      <c r="C6229" s="159">
        <v>70</v>
      </c>
      <c r="D6229" s="159">
        <v>46</v>
      </c>
      <c r="E6229" s="159">
        <v>30</v>
      </c>
      <c r="F6229" s="131"/>
      <c r="G6229" s="132"/>
      <c r="H6229" s="162" t="s">
        <v>30791</v>
      </c>
      <c r="I6229" s="158" t="s">
        <v>30792</v>
      </c>
      <c r="J6229" s="128"/>
      <c r="K6229" s="128"/>
      <c r="L6229" s="128"/>
      <c r="M6229" s="129"/>
      <c r="N6229" s="129"/>
      <c r="O6229" s="129"/>
    </row>
    <row r="6230" spans="1:15" ht="12.5">
      <c r="A6230" s="158" t="s">
        <v>30793</v>
      </c>
      <c r="B6230" s="159">
        <v>70</v>
      </c>
      <c r="C6230" s="159">
        <v>70</v>
      </c>
      <c r="D6230" s="159">
        <v>46</v>
      </c>
      <c r="E6230" s="159">
        <v>36</v>
      </c>
      <c r="F6230" s="131"/>
      <c r="G6230" s="132"/>
      <c r="H6230" s="162" t="s">
        <v>30794</v>
      </c>
      <c r="I6230" s="128"/>
      <c r="J6230" s="128"/>
      <c r="K6230" s="128"/>
      <c r="L6230" s="128"/>
      <c r="M6230" s="129"/>
      <c r="N6230" s="129"/>
      <c r="O6230" s="129"/>
    </row>
    <row r="6231" spans="1:15" ht="12.5">
      <c r="A6231" s="158" t="s">
        <v>30795</v>
      </c>
      <c r="B6231" s="159">
        <v>70</v>
      </c>
      <c r="C6231" s="159">
        <v>70</v>
      </c>
      <c r="D6231" s="159">
        <v>46</v>
      </c>
      <c r="E6231" s="159">
        <v>37</v>
      </c>
      <c r="F6231" s="131"/>
      <c r="G6231" s="132"/>
      <c r="H6231" s="162" t="s">
        <v>30796</v>
      </c>
      <c r="I6231" s="158" t="s">
        <v>30797</v>
      </c>
      <c r="J6231" s="128"/>
      <c r="K6231" s="128"/>
      <c r="L6231" s="128"/>
      <c r="M6231" s="129"/>
      <c r="N6231" s="129"/>
      <c r="O6231" s="129"/>
    </row>
    <row r="6232" spans="1:15" ht="12.5">
      <c r="A6232" s="158" t="s">
        <v>30798</v>
      </c>
      <c r="B6232" s="159">
        <v>70</v>
      </c>
      <c r="C6232" s="159">
        <v>70</v>
      </c>
      <c r="D6232" s="159">
        <v>46</v>
      </c>
      <c r="E6232" s="159">
        <v>41</v>
      </c>
      <c r="F6232" s="131"/>
      <c r="G6232" s="132"/>
      <c r="H6232" s="162" t="s">
        <v>30799</v>
      </c>
      <c r="I6232" s="158" t="s">
        <v>30800</v>
      </c>
      <c r="J6232" s="128"/>
      <c r="K6232" s="128"/>
      <c r="L6232" s="128"/>
      <c r="M6232" s="129"/>
      <c r="N6232" s="129"/>
      <c r="O6232" s="129"/>
    </row>
    <row r="6233" spans="1:15" ht="12.5">
      <c r="A6233" s="158" t="s">
        <v>30801</v>
      </c>
      <c r="B6233" s="159">
        <v>70</v>
      </c>
      <c r="C6233" s="159">
        <v>70</v>
      </c>
      <c r="D6233" s="159">
        <v>46</v>
      </c>
      <c r="E6233" s="159">
        <v>42</v>
      </c>
      <c r="F6233" s="131"/>
      <c r="G6233" s="132"/>
      <c r="H6233" s="162" t="s">
        <v>30802</v>
      </c>
      <c r="I6233" s="128"/>
      <c r="J6233" s="128"/>
      <c r="K6233" s="128"/>
      <c r="L6233" s="128"/>
      <c r="M6233" s="129"/>
      <c r="N6233" s="129"/>
      <c r="O6233" s="129"/>
    </row>
    <row r="6234" spans="1:15" ht="12.5">
      <c r="A6234" s="158" t="s">
        <v>30803</v>
      </c>
      <c r="B6234" s="159">
        <v>70</v>
      </c>
      <c r="C6234" s="159">
        <v>70</v>
      </c>
      <c r="D6234" s="159">
        <v>46</v>
      </c>
      <c r="E6234" s="159">
        <v>44</v>
      </c>
      <c r="F6234" s="131"/>
      <c r="G6234" s="132"/>
      <c r="H6234" s="162" t="s">
        <v>30804</v>
      </c>
      <c r="I6234" s="128"/>
      <c r="J6234" s="128"/>
      <c r="K6234" s="128"/>
      <c r="L6234" s="128"/>
      <c r="M6234" s="129"/>
      <c r="N6234" s="129"/>
      <c r="O6234" s="129"/>
    </row>
    <row r="6235" spans="1:15" ht="12.5">
      <c r="A6235" s="158" t="s">
        <v>30805</v>
      </c>
      <c r="B6235" s="159">
        <v>70</v>
      </c>
      <c r="C6235" s="159">
        <v>70</v>
      </c>
      <c r="D6235" s="159">
        <v>46</v>
      </c>
      <c r="E6235" s="159">
        <v>45</v>
      </c>
      <c r="F6235" s="131"/>
      <c r="G6235" s="132"/>
      <c r="H6235" s="162" t="s">
        <v>30806</v>
      </c>
      <c r="I6235" s="128"/>
      <c r="J6235" s="128"/>
      <c r="K6235" s="128"/>
      <c r="L6235" s="128"/>
      <c r="M6235" s="129"/>
      <c r="N6235" s="129"/>
      <c r="O6235" s="129"/>
    </row>
    <row r="6236" spans="1:15" ht="12.5">
      <c r="A6236" s="158" t="s">
        <v>30807</v>
      </c>
      <c r="B6236" s="159">
        <v>70</v>
      </c>
      <c r="C6236" s="159">
        <v>70</v>
      </c>
      <c r="D6236" s="159">
        <v>46</v>
      </c>
      <c r="E6236" s="159">
        <v>52</v>
      </c>
      <c r="F6236" s="131"/>
      <c r="G6236" s="132"/>
      <c r="H6236" s="162" t="s">
        <v>30808</v>
      </c>
      <c r="I6236" s="158" t="s">
        <v>30809</v>
      </c>
      <c r="J6236" s="128"/>
      <c r="K6236" s="128"/>
      <c r="L6236" s="128"/>
      <c r="M6236" s="129"/>
      <c r="N6236" s="129"/>
      <c r="O6236" s="129"/>
    </row>
    <row r="6237" spans="1:15" ht="12.5">
      <c r="A6237" s="158" t="s">
        <v>30810</v>
      </c>
      <c r="B6237" s="159">
        <v>70</v>
      </c>
      <c r="C6237" s="159">
        <v>70</v>
      </c>
      <c r="D6237" s="159">
        <v>46</v>
      </c>
      <c r="E6237" s="159">
        <v>77</v>
      </c>
      <c r="F6237" s="131"/>
      <c r="G6237" s="132"/>
      <c r="H6237" s="162" t="s">
        <v>30811</v>
      </c>
      <c r="I6237" s="128"/>
      <c r="J6237" s="128"/>
      <c r="K6237" s="128"/>
      <c r="L6237" s="128"/>
      <c r="M6237" s="129"/>
      <c r="N6237" s="129"/>
      <c r="O6237" s="129"/>
    </row>
    <row r="6238" spans="1:15" ht="12.5">
      <c r="A6238" s="158" t="s">
        <v>30812</v>
      </c>
      <c r="B6238" s="159">
        <v>70</v>
      </c>
      <c r="C6238" s="159">
        <v>70</v>
      </c>
      <c r="D6238" s="159">
        <v>46</v>
      </c>
      <c r="E6238" s="159">
        <v>78</v>
      </c>
      <c r="F6238" s="131"/>
      <c r="G6238" s="132"/>
      <c r="H6238" s="162" t="s">
        <v>30813</v>
      </c>
      <c r="I6238" s="158" t="s">
        <v>30814</v>
      </c>
      <c r="J6238" s="128"/>
      <c r="K6238" s="128"/>
      <c r="L6238" s="128"/>
      <c r="M6238" s="129"/>
      <c r="N6238" s="129"/>
      <c r="O6238" s="129"/>
    </row>
    <row r="6239" spans="1:15" ht="12.5">
      <c r="A6239" s="158" t="s">
        <v>30815</v>
      </c>
      <c r="B6239" s="159">
        <v>70</v>
      </c>
      <c r="C6239" s="159">
        <v>70</v>
      </c>
      <c r="D6239" s="159">
        <v>46</v>
      </c>
      <c r="E6239" s="159">
        <v>80</v>
      </c>
      <c r="F6239" s="131"/>
      <c r="G6239" s="132"/>
      <c r="H6239" s="162" t="s">
        <v>30816</v>
      </c>
      <c r="I6239" s="128"/>
      <c r="J6239" s="128"/>
      <c r="K6239" s="128"/>
      <c r="L6239" s="128"/>
      <c r="M6239" s="129"/>
      <c r="N6239" s="129"/>
      <c r="O6239" s="129"/>
    </row>
    <row r="6240" spans="1:15" ht="12.5">
      <c r="A6240" s="158" t="s">
        <v>30817</v>
      </c>
      <c r="B6240" s="159">
        <v>70</v>
      </c>
      <c r="C6240" s="159">
        <v>70</v>
      </c>
      <c r="D6240" s="159">
        <v>46</v>
      </c>
      <c r="E6240" s="159">
        <v>89</v>
      </c>
      <c r="F6240" s="131"/>
      <c r="G6240" s="132"/>
      <c r="H6240" s="162" t="s">
        <v>30818</v>
      </c>
      <c r="I6240" s="128"/>
      <c r="J6240" s="128"/>
      <c r="K6240" s="128"/>
      <c r="L6240" s="128"/>
      <c r="M6240" s="129"/>
      <c r="N6240" s="129"/>
      <c r="O6240" s="129"/>
    </row>
    <row r="6241" spans="1:15" ht="12.5">
      <c r="A6241" s="158" t="s">
        <v>30819</v>
      </c>
      <c r="B6241" s="159">
        <v>70</v>
      </c>
      <c r="C6241" s="159">
        <v>70</v>
      </c>
      <c r="D6241" s="159">
        <v>46</v>
      </c>
      <c r="E6241" s="159">
        <v>90</v>
      </c>
      <c r="F6241" s="131"/>
      <c r="G6241" s="132"/>
      <c r="H6241" s="162" t="s">
        <v>30820</v>
      </c>
      <c r="I6241" s="128"/>
      <c r="J6241" s="128"/>
      <c r="K6241" s="128"/>
      <c r="L6241" s="128"/>
      <c r="M6241" s="129"/>
      <c r="N6241" s="129"/>
      <c r="O6241" s="129"/>
    </row>
    <row r="6242" spans="1:15" ht="12.5">
      <c r="A6242" s="158" t="s">
        <v>30821</v>
      </c>
      <c r="B6242" s="159">
        <v>70</v>
      </c>
      <c r="C6242" s="159">
        <v>70</v>
      </c>
      <c r="D6242" s="159">
        <v>47</v>
      </c>
      <c r="E6242" s="130"/>
      <c r="F6242" s="131"/>
      <c r="G6242" s="132"/>
      <c r="H6242" s="162" t="s">
        <v>30822</v>
      </c>
      <c r="I6242" s="128"/>
      <c r="J6242" s="128"/>
      <c r="K6242" s="128"/>
      <c r="L6242" s="128"/>
      <c r="M6242" s="129"/>
      <c r="N6242" s="129"/>
      <c r="O6242" s="129"/>
    </row>
    <row r="6243" spans="1:15" ht="12.5">
      <c r="A6243" s="158" t="s">
        <v>30823</v>
      </c>
      <c r="B6243" s="159">
        <v>70</v>
      </c>
      <c r="C6243" s="159">
        <v>70</v>
      </c>
      <c r="D6243" s="159">
        <v>47</v>
      </c>
      <c r="E6243" s="159">
        <v>2</v>
      </c>
      <c r="F6243" s="131"/>
      <c r="G6243" s="132"/>
      <c r="H6243" s="162" t="s">
        <v>30824</v>
      </c>
      <c r="I6243" s="158" t="s">
        <v>30825</v>
      </c>
      <c r="J6243" s="128"/>
      <c r="K6243" s="128"/>
      <c r="L6243" s="128"/>
      <c r="M6243" s="129"/>
      <c r="N6243" s="129"/>
      <c r="O6243" s="129"/>
    </row>
    <row r="6244" spans="1:15" ht="12.5">
      <c r="A6244" s="158" t="s">
        <v>30826</v>
      </c>
      <c r="B6244" s="159">
        <v>70</v>
      </c>
      <c r="C6244" s="159">
        <v>70</v>
      </c>
      <c r="D6244" s="159">
        <v>47</v>
      </c>
      <c r="E6244" s="159">
        <v>12</v>
      </c>
      <c r="F6244" s="131"/>
      <c r="G6244" s="132"/>
      <c r="H6244" s="162" t="s">
        <v>30827</v>
      </c>
      <c r="I6244" s="158" t="s">
        <v>30828</v>
      </c>
      <c r="J6244" s="128"/>
      <c r="K6244" s="128"/>
      <c r="L6244" s="128"/>
      <c r="M6244" s="129"/>
      <c r="N6244" s="129"/>
      <c r="O6244" s="129"/>
    </row>
    <row r="6245" spans="1:15" ht="12.5">
      <c r="A6245" s="158" t="s">
        <v>30829</v>
      </c>
      <c r="B6245" s="159">
        <v>70</v>
      </c>
      <c r="C6245" s="159">
        <v>70</v>
      </c>
      <c r="D6245" s="159">
        <v>47</v>
      </c>
      <c r="E6245" s="159">
        <v>16</v>
      </c>
      <c r="F6245" s="131"/>
      <c r="G6245" s="132"/>
      <c r="H6245" s="162" t="s">
        <v>30830</v>
      </c>
      <c r="I6245" s="158" t="s">
        <v>30831</v>
      </c>
      <c r="J6245" s="128"/>
      <c r="K6245" s="128"/>
      <c r="L6245" s="128"/>
      <c r="M6245" s="129"/>
      <c r="N6245" s="129"/>
      <c r="O6245" s="129"/>
    </row>
    <row r="6246" spans="1:15" ht="12.5">
      <c r="A6246" s="158" t="s">
        <v>30832</v>
      </c>
      <c r="B6246" s="159">
        <v>70</v>
      </c>
      <c r="C6246" s="159">
        <v>70</v>
      </c>
      <c r="D6246" s="159">
        <v>47</v>
      </c>
      <c r="E6246" s="159">
        <v>21</v>
      </c>
      <c r="F6246" s="131"/>
      <c r="G6246" s="132"/>
      <c r="H6246" s="162" t="s">
        <v>30833</v>
      </c>
      <c r="I6246" s="158" t="s">
        <v>30834</v>
      </c>
      <c r="J6246" s="128"/>
      <c r="K6246" s="128"/>
      <c r="L6246" s="128"/>
      <c r="M6246" s="129"/>
      <c r="N6246" s="129"/>
      <c r="O6246" s="129"/>
    </row>
    <row r="6247" spans="1:15" ht="12.5">
      <c r="A6247" s="158" t="s">
        <v>30835</v>
      </c>
      <c r="B6247" s="159">
        <v>70</v>
      </c>
      <c r="C6247" s="159">
        <v>70</v>
      </c>
      <c r="D6247" s="159">
        <v>47</v>
      </c>
      <c r="E6247" s="159">
        <v>27</v>
      </c>
      <c r="F6247" s="131"/>
      <c r="G6247" s="132"/>
      <c r="H6247" s="162" t="s">
        <v>30836</v>
      </c>
      <c r="I6247" s="158" t="s">
        <v>30837</v>
      </c>
      <c r="J6247" s="128"/>
      <c r="K6247" s="128"/>
      <c r="L6247" s="128"/>
      <c r="M6247" s="129"/>
      <c r="N6247" s="129"/>
      <c r="O6247" s="129"/>
    </row>
    <row r="6248" spans="1:15" ht="12.5">
      <c r="A6248" s="158" t="s">
        <v>30838</v>
      </c>
      <c r="B6248" s="159">
        <v>70</v>
      </c>
      <c r="C6248" s="159">
        <v>70</v>
      </c>
      <c r="D6248" s="159">
        <v>47</v>
      </c>
      <c r="E6248" s="159">
        <v>28</v>
      </c>
      <c r="F6248" s="131"/>
      <c r="G6248" s="132"/>
      <c r="H6248" s="162" t="s">
        <v>30839</v>
      </c>
      <c r="I6248" s="158" t="s">
        <v>30840</v>
      </c>
      <c r="J6248" s="128"/>
      <c r="K6248" s="128"/>
      <c r="L6248" s="128"/>
      <c r="M6248" s="129"/>
      <c r="N6248" s="129"/>
      <c r="O6248" s="129"/>
    </row>
    <row r="6249" spans="1:15" ht="12.5">
      <c r="A6249" s="158" t="s">
        <v>30841</v>
      </c>
      <c r="B6249" s="159">
        <v>70</v>
      </c>
      <c r="C6249" s="159">
        <v>70</v>
      </c>
      <c r="D6249" s="159">
        <v>47</v>
      </c>
      <c r="E6249" s="159">
        <v>47</v>
      </c>
      <c r="F6249" s="131"/>
      <c r="G6249" s="132"/>
      <c r="H6249" s="162" t="s">
        <v>30842</v>
      </c>
      <c r="I6249" s="158" t="s">
        <v>30843</v>
      </c>
      <c r="J6249" s="128"/>
      <c r="K6249" s="128"/>
      <c r="L6249" s="128"/>
      <c r="M6249" s="129"/>
      <c r="N6249" s="129"/>
      <c r="O6249" s="129"/>
    </row>
    <row r="6250" spans="1:15" ht="12.5">
      <c r="A6250" s="158" t="s">
        <v>30844</v>
      </c>
      <c r="B6250" s="159">
        <v>70</v>
      </c>
      <c r="C6250" s="159">
        <v>70</v>
      </c>
      <c r="D6250" s="159">
        <v>47</v>
      </c>
      <c r="E6250" s="159">
        <v>48</v>
      </c>
      <c r="F6250" s="131"/>
      <c r="G6250" s="132"/>
      <c r="H6250" s="162" t="s">
        <v>30845</v>
      </c>
      <c r="I6250" s="158" t="s">
        <v>30846</v>
      </c>
      <c r="J6250" s="128"/>
      <c r="K6250" s="128"/>
      <c r="L6250" s="128"/>
      <c r="M6250" s="129"/>
      <c r="N6250" s="129"/>
      <c r="O6250" s="129"/>
    </row>
    <row r="6251" spans="1:15" ht="12.5">
      <c r="A6251" s="158" t="s">
        <v>30847</v>
      </c>
      <c r="B6251" s="159">
        <v>70</v>
      </c>
      <c r="C6251" s="159">
        <v>70</v>
      </c>
      <c r="D6251" s="159">
        <v>47</v>
      </c>
      <c r="E6251" s="159">
        <v>49</v>
      </c>
      <c r="F6251" s="131"/>
      <c r="G6251" s="132"/>
      <c r="H6251" s="162" t="s">
        <v>30848</v>
      </c>
      <c r="I6251" s="158" t="s">
        <v>30849</v>
      </c>
      <c r="J6251" s="128"/>
      <c r="K6251" s="128"/>
      <c r="L6251" s="128"/>
      <c r="M6251" s="129"/>
      <c r="N6251" s="129"/>
      <c r="O6251" s="129"/>
    </row>
    <row r="6252" spans="1:15" ht="12.5">
      <c r="A6252" s="158" t="s">
        <v>30850</v>
      </c>
      <c r="B6252" s="159">
        <v>70</v>
      </c>
      <c r="C6252" s="159">
        <v>70</v>
      </c>
      <c r="D6252" s="159">
        <v>47</v>
      </c>
      <c r="E6252" s="159">
        <v>50</v>
      </c>
      <c r="F6252" s="131"/>
      <c r="G6252" s="132"/>
      <c r="H6252" s="162" t="s">
        <v>30851</v>
      </c>
      <c r="I6252" s="158" t="s">
        <v>30852</v>
      </c>
      <c r="J6252" s="128"/>
      <c r="K6252" s="128"/>
      <c r="L6252" s="128"/>
      <c r="M6252" s="129"/>
      <c r="N6252" s="129"/>
      <c r="O6252" s="129"/>
    </row>
    <row r="6253" spans="1:15" ht="12.5">
      <c r="A6253" s="158" t="s">
        <v>30853</v>
      </c>
      <c r="B6253" s="159">
        <v>70</v>
      </c>
      <c r="C6253" s="159">
        <v>70</v>
      </c>
      <c r="D6253" s="159">
        <v>47</v>
      </c>
      <c r="E6253" s="159">
        <v>51</v>
      </c>
      <c r="F6253" s="131"/>
      <c r="G6253" s="132"/>
      <c r="H6253" s="162" t="s">
        <v>30854</v>
      </c>
      <c r="I6253" s="158" t="s">
        <v>30855</v>
      </c>
      <c r="J6253" s="128"/>
      <c r="K6253" s="128"/>
      <c r="L6253" s="128"/>
      <c r="M6253" s="129"/>
      <c r="N6253" s="129"/>
      <c r="O6253" s="129"/>
    </row>
    <row r="6254" spans="1:15" ht="12.5">
      <c r="A6254" s="158" t="s">
        <v>30856</v>
      </c>
      <c r="B6254" s="159">
        <v>70</v>
      </c>
      <c r="C6254" s="159">
        <v>70</v>
      </c>
      <c r="D6254" s="159">
        <v>47</v>
      </c>
      <c r="E6254" s="159">
        <v>62</v>
      </c>
      <c r="F6254" s="131"/>
      <c r="G6254" s="132"/>
      <c r="H6254" s="162" t="s">
        <v>30857</v>
      </c>
      <c r="I6254" s="158" t="s">
        <v>30858</v>
      </c>
      <c r="J6254" s="128"/>
      <c r="K6254" s="128"/>
      <c r="L6254" s="128"/>
      <c r="M6254" s="129"/>
      <c r="N6254" s="129"/>
      <c r="O6254" s="129"/>
    </row>
    <row r="6255" spans="1:15" ht="12.5">
      <c r="A6255" s="158" t="s">
        <v>30859</v>
      </c>
      <c r="B6255" s="159">
        <v>70</v>
      </c>
      <c r="C6255" s="159">
        <v>70</v>
      </c>
      <c r="D6255" s="159">
        <v>47</v>
      </c>
      <c r="E6255" s="159">
        <v>71</v>
      </c>
      <c r="F6255" s="131"/>
      <c r="G6255" s="132"/>
      <c r="H6255" s="162" t="s">
        <v>30860</v>
      </c>
      <c r="I6255" s="128"/>
      <c r="J6255" s="128"/>
      <c r="K6255" s="128"/>
      <c r="L6255" s="128"/>
      <c r="M6255" s="129"/>
      <c r="N6255" s="129"/>
      <c r="O6255" s="129"/>
    </row>
    <row r="6256" spans="1:15" ht="12.5">
      <c r="A6256" s="158" t="s">
        <v>30861</v>
      </c>
      <c r="B6256" s="159">
        <v>70</v>
      </c>
      <c r="C6256" s="159">
        <v>70</v>
      </c>
      <c r="D6256" s="159">
        <v>47</v>
      </c>
      <c r="E6256" s="159">
        <v>72</v>
      </c>
      <c r="F6256" s="131"/>
      <c r="G6256" s="132"/>
      <c r="H6256" s="162" t="s">
        <v>30862</v>
      </c>
      <c r="I6256" s="158" t="s">
        <v>30863</v>
      </c>
      <c r="J6256" s="128"/>
      <c r="K6256" s="128"/>
      <c r="L6256" s="128"/>
      <c r="M6256" s="129"/>
      <c r="N6256" s="129"/>
      <c r="O6256" s="129"/>
    </row>
    <row r="6257" spans="1:15" ht="12.5">
      <c r="A6257" s="158" t="s">
        <v>30864</v>
      </c>
      <c r="B6257" s="159">
        <v>70</v>
      </c>
      <c r="C6257" s="159">
        <v>70</v>
      </c>
      <c r="D6257" s="159">
        <v>48</v>
      </c>
      <c r="E6257" s="130"/>
      <c r="F6257" s="131"/>
      <c r="G6257" s="132"/>
      <c r="H6257" s="162" t="s">
        <v>30865</v>
      </c>
      <c r="I6257" s="128"/>
      <c r="J6257" s="128"/>
      <c r="K6257" s="128"/>
      <c r="L6257" s="128"/>
      <c r="M6257" s="129"/>
      <c r="N6257" s="129"/>
      <c r="O6257" s="129"/>
    </row>
    <row r="6258" spans="1:15" ht="12.5">
      <c r="A6258" s="158" t="s">
        <v>30866</v>
      </c>
      <c r="B6258" s="159">
        <v>70</v>
      </c>
      <c r="C6258" s="159">
        <v>70</v>
      </c>
      <c r="D6258" s="159">
        <v>48</v>
      </c>
      <c r="E6258" s="159">
        <v>2</v>
      </c>
      <c r="F6258" s="131"/>
      <c r="G6258" s="132"/>
      <c r="H6258" s="162" t="s">
        <v>30867</v>
      </c>
      <c r="I6258" s="158" t="s">
        <v>33580</v>
      </c>
      <c r="J6258" s="128"/>
      <c r="K6258" s="128"/>
      <c r="L6258" s="128"/>
      <c r="M6258" s="129"/>
      <c r="N6258" s="129"/>
      <c r="O6258" s="129"/>
    </row>
    <row r="6259" spans="1:15" ht="12.5">
      <c r="A6259" s="158" t="s">
        <v>30869</v>
      </c>
      <c r="B6259" s="159">
        <v>70</v>
      </c>
      <c r="C6259" s="159">
        <v>70</v>
      </c>
      <c r="D6259" s="159">
        <v>48</v>
      </c>
      <c r="E6259" s="159">
        <v>13</v>
      </c>
      <c r="F6259" s="131"/>
      <c r="G6259" s="132"/>
      <c r="H6259" s="162" t="s">
        <v>30870</v>
      </c>
      <c r="I6259" s="158" t="s">
        <v>33580</v>
      </c>
      <c r="J6259" s="128"/>
      <c r="K6259" s="128"/>
      <c r="L6259" s="128"/>
      <c r="M6259" s="129"/>
      <c r="N6259" s="129"/>
      <c r="O6259" s="129"/>
    </row>
    <row r="6260" spans="1:15" ht="12.5">
      <c r="A6260" s="158" t="s">
        <v>30871</v>
      </c>
      <c r="B6260" s="159">
        <v>70</v>
      </c>
      <c r="C6260" s="159">
        <v>70</v>
      </c>
      <c r="D6260" s="159">
        <v>48</v>
      </c>
      <c r="E6260" s="159">
        <v>16</v>
      </c>
      <c r="F6260" s="131"/>
      <c r="G6260" s="132"/>
      <c r="H6260" s="162" t="s">
        <v>30872</v>
      </c>
      <c r="I6260" s="158" t="s">
        <v>33581</v>
      </c>
      <c r="J6260" s="128"/>
      <c r="K6260" s="128"/>
      <c r="L6260" s="128"/>
      <c r="M6260" s="129"/>
      <c r="N6260" s="129"/>
      <c r="O6260" s="129"/>
    </row>
    <row r="6261" spans="1:15" ht="12.5">
      <c r="A6261" s="158" t="s">
        <v>30874</v>
      </c>
      <c r="B6261" s="159">
        <v>70</v>
      </c>
      <c r="C6261" s="159">
        <v>70</v>
      </c>
      <c r="D6261" s="159">
        <v>48</v>
      </c>
      <c r="E6261" s="159">
        <v>23</v>
      </c>
      <c r="F6261" s="131"/>
      <c r="G6261" s="132"/>
      <c r="H6261" s="162" t="s">
        <v>30875</v>
      </c>
      <c r="I6261" s="158" t="s">
        <v>33582</v>
      </c>
      <c r="J6261" s="128"/>
      <c r="K6261" s="128"/>
      <c r="L6261" s="128"/>
      <c r="M6261" s="129"/>
      <c r="N6261" s="129"/>
      <c r="O6261" s="129"/>
    </row>
    <row r="6262" spans="1:15" ht="12.5">
      <c r="A6262" s="158" t="s">
        <v>30876</v>
      </c>
      <c r="B6262" s="159">
        <v>70</v>
      </c>
      <c r="C6262" s="159">
        <v>70</v>
      </c>
      <c r="D6262" s="159">
        <v>48</v>
      </c>
      <c r="E6262" s="159">
        <v>24</v>
      </c>
      <c r="F6262" s="131"/>
      <c r="G6262" s="132"/>
      <c r="H6262" s="162" t="s">
        <v>30877</v>
      </c>
      <c r="I6262" s="158" t="s">
        <v>33580</v>
      </c>
      <c r="J6262" s="128"/>
      <c r="K6262" s="128"/>
      <c r="L6262" s="128"/>
      <c r="M6262" s="129"/>
      <c r="N6262" s="129"/>
      <c r="O6262" s="129"/>
    </row>
    <row r="6263" spans="1:15" ht="12.5">
      <c r="A6263" s="158" t="s">
        <v>30878</v>
      </c>
      <c r="B6263" s="159">
        <v>70</v>
      </c>
      <c r="C6263" s="159">
        <v>70</v>
      </c>
      <c r="D6263" s="159">
        <v>48</v>
      </c>
      <c r="E6263" s="159">
        <v>26</v>
      </c>
      <c r="F6263" s="131"/>
      <c r="G6263" s="132"/>
      <c r="H6263" s="162" t="s">
        <v>30879</v>
      </c>
      <c r="I6263" s="158" t="s">
        <v>30880</v>
      </c>
      <c r="J6263" s="128"/>
      <c r="K6263" s="128"/>
      <c r="L6263" s="128"/>
      <c r="M6263" s="129"/>
      <c r="N6263" s="129"/>
      <c r="O6263" s="129"/>
    </row>
    <row r="6264" spans="1:15" ht="12.5">
      <c r="A6264" s="158" t="s">
        <v>30881</v>
      </c>
      <c r="B6264" s="159">
        <v>70</v>
      </c>
      <c r="C6264" s="159">
        <v>70</v>
      </c>
      <c r="D6264" s="159">
        <v>48</v>
      </c>
      <c r="E6264" s="159">
        <v>27</v>
      </c>
      <c r="F6264" s="131"/>
      <c r="G6264" s="132"/>
      <c r="H6264" s="162" t="s">
        <v>30882</v>
      </c>
      <c r="I6264" s="158" t="s">
        <v>30883</v>
      </c>
      <c r="J6264" s="128"/>
      <c r="K6264" s="128"/>
      <c r="L6264" s="128"/>
      <c r="M6264" s="129"/>
      <c r="N6264" s="129"/>
      <c r="O6264" s="129"/>
    </row>
    <row r="6265" spans="1:15" ht="12.5">
      <c r="A6265" s="158" t="s">
        <v>30884</v>
      </c>
      <c r="B6265" s="159">
        <v>70</v>
      </c>
      <c r="C6265" s="159">
        <v>70</v>
      </c>
      <c r="D6265" s="159">
        <v>48</v>
      </c>
      <c r="E6265" s="159">
        <v>28</v>
      </c>
      <c r="F6265" s="131"/>
      <c r="G6265" s="132"/>
      <c r="H6265" s="162" t="s">
        <v>30885</v>
      </c>
      <c r="I6265" s="158" t="s">
        <v>30886</v>
      </c>
      <c r="J6265" s="128"/>
      <c r="K6265" s="128"/>
      <c r="L6265" s="128"/>
      <c r="M6265" s="129"/>
      <c r="N6265" s="129"/>
      <c r="O6265" s="129"/>
    </row>
    <row r="6266" spans="1:15" ht="12.5">
      <c r="A6266" s="158" t="s">
        <v>30887</v>
      </c>
      <c r="B6266" s="159">
        <v>70</v>
      </c>
      <c r="C6266" s="159">
        <v>70</v>
      </c>
      <c r="D6266" s="159">
        <v>48</v>
      </c>
      <c r="E6266" s="159">
        <v>29</v>
      </c>
      <c r="F6266" s="131"/>
      <c r="G6266" s="132"/>
      <c r="H6266" s="162" t="s">
        <v>30888</v>
      </c>
      <c r="I6266" s="128"/>
      <c r="J6266" s="128"/>
      <c r="K6266" s="128"/>
      <c r="L6266" s="128"/>
      <c r="M6266" s="129"/>
      <c r="N6266" s="129"/>
      <c r="O6266" s="129"/>
    </row>
    <row r="6267" spans="1:15" ht="12.5">
      <c r="A6267" s="158" t="s">
        <v>30889</v>
      </c>
      <c r="B6267" s="159">
        <v>70</v>
      </c>
      <c r="C6267" s="159">
        <v>70</v>
      </c>
      <c r="D6267" s="159">
        <v>48</v>
      </c>
      <c r="E6267" s="159">
        <v>30</v>
      </c>
      <c r="F6267" s="131"/>
      <c r="G6267" s="132"/>
      <c r="H6267" s="162" t="s">
        <v>30890</v>
      </c>
      <c r="I6267" s="128"/>
      <c r="J6267" s="128"/>
      <c r="K6267" s="128"/>
      <c r="L6267" s="128"/>
      <c r="M6267" s="129"/>
      <c r="N6267" s="129"/>
      <c r="O6267" s="129"/>
    </row>
    <row r="6268" spans="1:15" ht="12.5">
      <c r="A6268" s="158" t="s">
        <v>30891</v>
      </c>
      <c r="B6268" s="159">
        <v>70</v>
      </c>
      <c r="C6268" s="159">
        <v>70</v>
      </c>
      <c r="D6268" s="159">
        <v>48</v>
      </c>
      <c r="E6268" s="159">
        <v>32</v>
      </c>
      <c r="F6268" s="131"/>
      <c r="G6268" s="132"/>
      <c r="H6268" s="162" t="s">
        <v>30892</v>
      </c>
      <c r="I6268" s="158" t="s">
        <v>33580</v>
      </c>
      <c r="J6268" s="128"/>
      <c r="K6268" s="128"/>
      <c r="L6268" s="128"/>
      <c r="M6268" s="129"/>
      <c r="N6268" s="129"/>
      <c r="O6268" s="129"/>
    </row>
    <row r="6269" spans="1:15" ht="12.5">
      <c r="A6269" s="158" t="s">
        <v>30893</v>
      </c>
      <c r="B6269" s="159">
        <v>70</v>
      </c>
      <c r="C6269" s="159">
        <v>70</v>
      </c>
      <c r="D6269" s="159">
        <v>48</v>
      </c>
      <c r="E6269" s="159">
        <v>35</v>
      </c>
      <c r="F6269" s="131"/>
      <c r="G6269" s="132"/>
      <c r="H6269" s="162" t="s">
        <v>30894</v>
      </c>
      <c r="I6269" s="158" t="s">
        <v>33580</v>
      </c>
      <c r="J6269" s="128"/>
      <c r="K6269" s="128"/>
      <c r="L6269" s="128"/>
      <c r="M6269" s="129"/>
      <c r="N6269" s="129"/>
      <c r="O6269" s="129"/>
    </row>
    <row r="6270" spans="1:15" ht="12.5">
      <c r="A6270" s="158" t="s">
        <v>30896</v>
      </c>
      <c r="B6270" s="159">
        <v>70</v>
      </c>
      <c r="C6270" s="159">
        <v>70</v>
      </c>
      <c r="D6270" s="159">
        <v>48</v>
      </c>
      <c r="E6270" s="159">
        <v>36</v>
      </c>
      <c r="F6270" s="131"/>
      <c r="G6270" s="132"/>
      <c r="H6270" s="162" t="s">
        <v>30897</v>
      </c>
      <c r="I6270" s="158" t="s">
        <v>33580</v>
      </c>
      <c r="J6270" s="128"/>
      <c r="K6270" s="128"/>
      <c r="L6270" s="128"/>
      <c r="M6270" s="129"/>
      <c r="N6270" s="129"/>
      <c r="O6270" s="129"/>
    </row>
    <row r="6271" spans="1:15" ht="12.5">
      <c r="A6271" s="158" t="s">
        <v>30898</v>
      </c>
      <c r="B6271" s="159">
        <v>70</v>
      </c>
      <c r="C6271" s="159">
        <v>70</v>
      </c>
      <c r="D6271" s="159">
        <v>48</v>
      </c>
      <c r="E6271" s="159">
        <v>45</v>
      </c>
      <c r="F6271" s="131"/>
      <c r="G6271" s="132"/>
      <c r="H6271" s="162" t="s">
        <v>30899</v>
      </c>
      <c r="I6271" s="128"/>
      <c r="J6271" s="128"/>
      <c r="K6271" s="128"/>
      <c r="L6271" s="128"/>
      <c r="M6271" s="129"/>
      <c r="N6271" s="129"/>
      <c r="O6271" s="129"/>
    </row>
    <row r="6272" spans="1:15" ht="12.5">
      <c r="A6272" s="158" t="s">
        <v>30900</v>
      </c>
      <c r="B6272" s="159">
        <v>70</v>
      </c>
      <c r="C6272" s="159">
        <v>70</v>
      </c>
      <c r="D6272" s="159">
        <v>48</v>
      </c>
      <c r="E6272" s="159">
        <v>46</v>
      </c>
      <c r="F6272" s="131"/>
      <c r="G6272" s="132"/>
      <c r="H6272" s="162" t="s">
        <v>30901</v>
      </c>
      <c r="I6272" s="128"/>
      <c r="J6272" s="128"/>
      <c r="K6272" s="128"/>
      <c r="L6272" s="128"/>
      <c r="M6272" s="129"/>
      <c r="N6272" s="129"/>
      <c r="O6272" s="129"/>
    </row>
    <row r="6273" spans="1:15" ht="12.5">
      <c r="A6273" s="158" t="s">
        <v>30902</v>
      </c>
      <c r="B6273" s="159">
        <v>70</v>
      </c>
      <c r="C6273" s="159">
        <v>70</v>
      </c>
      <c r="D6273" s="159">
        <v>48</v>
      </c>
      <c r="E6273" s="159">
        <v>47</v>
      </c>
      <c r="F6273" s="131"/>
      <c r="G6273" s="132"/>
      <c r="H6273" s="162" t="s">
        <v>30903</v>
      </c>
      <c r="I6273" s="158" t="s">
        <v>30904</v>
      </c>
      <c r="J6273" s="128"/>
      <c r="K6273" s="128"/>
      <c r="L6273" s="128"/>
      <c r="M6273" s="129"/>
      <c r="N6273" s="129"/>
      <c r="O6273" s="129"/>
    </row>
    <row r="6274" spans="1:15" ht="12.5">
      <c r="A6274" s="158" t="s">
        <v>30905</v>
      </c>
      <c r="B6274" s="159">
        <v>70</v>
      </c>
      <c r="C6274" s="159">
        <v>70</v>
      </c>
      <c r="D6274" s="159">
        <v>48</v>
      </c>
      <c r="E6274" s="159">
        <v>48</v>
      </c>
      <c r="F6274" s="131"/>
      <c r="G6274" s="132"/>
      <c r="H6274" s="162" t="s">
        <v>30906</v>
      </c>
      <c r="I6274" s="158" t="s">
        <v>30907</v>
      </c>
      <c r="J6274" s="128"/>
      <c r="K6274" s="128"/>
      <c r="L6274" s="128"/>
      <c r="M6274" s="129"/>
      <c r="N6274" s="129"/>
      <c r="O6274" s="129"/>
    </row>
    <row r="6275" spans="1:15" ht="12.5">
      <c r="A6275" s="158" t="s">
        <v>30908</v>
      </c>
      <c r="B6275" s="159">
        <v>70</v>
      </c>
      <c r="C6275" s="159">
        <v>70</v>
      </c>
      <c r="D6275" s="159">
        <v>48</v>
      </c>
      <c r="E6275" s="159">
        <v>59</v>
      </c>
      <c r="F6275" s="131"/>
      <c r="G6275" s="132"/>
      <c r="H6275" s="162" t="s">
        <v>30909</v>
      </c>
      <c r="I6275" s="158" t="s">
        <v>30910</v>
      </c>
      <c r="J6275" s="128"/>
      <c r="K6275" s="128"/>
      <c r="L6275" s="128"/>
      <c r="M6275" s="129"/>
      <c r="N6275" s="129"/>
      <c r="O6275" s="129"/>
    </row>
    <row r="6276" spans="1:15" ht="12.5">
      <c r="A6276" s="158" t="s">
        <v>30911</v>
      </c>
      <c r="B6276" s="159">
        <v>70</v>
      </c>
      <c r="C6276" s="159">
        <v>70</v>
      </c>
      <c r="D6276" s="159">
        <v>48</v>
      </c>
      <c r="E6276" s="159">
        <v>62</v>
      </c>
      <c r="F6276" s="131"/>
      <c r="G6276" s="132"/>
      <c r="H6276" s="162" t="s">
        <v>30912</v>
      </c>
      <c r="I6276" s="158" t="s">
        <v>33580</v>
      </c>
      <c r="J6276" s="128"/>
      <c r="K6276" s="128"/>
      <c r="L6276" s="128"/>
      <c r="M6276" s="129"/>
      <c r="N6276" s="129"/>
      <c r="O6276" s="129"/>
    </row>
    <row r="6277" spans="1:15" ht="12.5">
      <c r="A6277" s="158" t="s">
        <v>30913</v>
      </c>
      <c r="B6277" s="159">
        <v>70</v>
      </c>
      <c r="C6277" s="159">
        <v>70</v>
      </c>
      <c r="D6277" s="159">
        <v>48</v>
      </c>
      <c r="E6277" s="159">
        <v>65</v>
      </c>
      <c r="F6277" s="131"/>
      <c r="G6277" s="132"/>
      <c r="H6277" s="162" t="s">
        <v>30914</v>
      </c>
      <c r="I6277" s="158" t="s">
        <v>33580</v>
      </c>
      <c r="J6277" s="128"/>
      <c r="K6277" s="128"/>
      <c r="L6277" s="128"/>
      <c r="M6277" s="129"/>
      <c r="N6277" s="129"/>
      <c r="O6277" s="129"/>
    </row>
    <row r="6278" spans="1:15" ht="12.5">
      <c r="A6278" s="158" t="s">
        <v>30915</v>
      </c>
      <c r="B6278" s="159">
        <v>70</v>
      </c>
      <c r="C6278" s="159">
        <v>70</v>
      </c>
      <c r="D6278" s="159">
        <v>48</v>
      </c>
      <c r="E6278" s="159">
        <v>71</v>
      </c>
      <c r="F6278" s="131"/>
      <c r="G6278" s="132"/>
      <c r="H6278" s="162" t="s">
        <v>30916</v>
      </c>
      <c r="I6278" s="158" t="s">
        <v>33580</v>
      </c>
      <c r="J6278" s="128"/>
      <c r="K6278" s="128"/>
      <c r="L6278" s="128"/>
      <c r="M6278" s="129"/>
      <c r="N6278" s="129"/>
      <c r="O6278" s="129"/>
    </row>
    <row r="6279" spans="1:15" ht="12.5">
      <c r="A6279" s="158" t="s">
        <v>30921</v>
      </c>
      <c r="B6279" s="159">
        <v>70</v>
      </c>
      <c r="C6279" s="159">
        <v>70</v>
      </c>
      <c r="D6279" s="159">
        <v>48</v>
      </c>
      <c r="E6279" s="159">
        <v>77</v>
      </c>
      <c r="F6279" s="131"/>
      <c r="G6279" s="132"/>
      <c r="H6279" s="162" t="s">
        <v>30922</v>
      </c>
      <c r="I6279" s="158" t="s">
        <v>33583</v>
      </c>
      <c r="J6279" s="128"/>
      <c r="K6279" s="128"/>
      <c r="L6279" s="128"/>
      <c r="M6279" s="129"/>
      <c r="N6279" s="129"/>
      <c r="O6279" s="129"/>
    </row>
    <row r="6280" spans="1:15" ht="12.5">
      <c r="A6280" s="158" t="s">
        <v>30923</v>
      </c>
      <c r="B6280" s="159">
        <v>70</v>
      </c>
      <c r="C6280" s="159">
        <v>70</v>
      </c>
      <c r="D6280" s="159">
        <v>48</v>
      </c>
      <c r="E6280" s="159">
        <v>80</v>
      </c>
      <c r="F6280" s="131"/>
      <c r="G6280" s="132"/>
      <c r="H6280" s="162" t="s">
        <v>30924</v>
      </c>
      <c r="I6280" s="128"/>
      <c r="J6280" s="128"/>
      <c r="K6280" s="128"/>
      <c r="L6280" s="128"/>
      <c r="M6280" s="129"/>
      <c r="N6280" s="129"/>
      <c r="O6280" s="129"/>
    </row>
    <row r="6281" spans="1:15" ht="12.5">
      <c r="A6281" s="158" t="s">
        <v>30925</v>
      </c>
      <c r="B6281" s="159">
        <v>70</v>
      </c>
      <c r="C6281" s="159">
        <v>70</v>
      </c>
      <c r="D6281" s="159">
        <v>48</v>
      </c>
      <c r="E6281" s="159">
        <v>82</v>
      </c>
      <c r="F6281" s="131"/>
      <c r="G6281" s="132"/>
      <c r="H6281" s="162" t="s">
        <v>30926</v>
      </c>
      <c r="I6281" s="158" t="s">
        <v>33580</v>
      </c>
      <c r="J6281" s="128"/>
      <c r="K6281" s="128"/>
      <c r="L6281" s="128"/>
      <c r="M6281" s="129"/>
      <c r="N6281" s="129"/>
      <c r="O6281" s="129"/>
    </row>
    <row r="6282" spans="1:15" ht="12.5">
      <c r="A6282" s="158" t="s">
        <v>30927</v>
      </c>
      <c r="B6282" s="159">
        <v>70</v>
      </c>
      <c r="C6282" s="159">
        <v>70</v>
      </c>
      <c r="D6282" s="159">
        <v>48</v>
      </c>
      <c r="E6282" s="159">
        <v>85</v>
      </c>
      <c r="F6282" s="131"/>
      <c r="G6282" s="132"/>
      <c r="H6282" s="162" t="s">
        <v>30928</v>
      </c>
      <c r="I6282" s="158" t="s">
        <v>33580</v>
      </c>
      <c r="J6282" s="128"/>
      <c r="K6282" s="128"/>
      <c r="L6282" s="128"/>
      <c r="M6282" s="129"/>
      <c r="N6282" s="129"/>
      <c r="O6282" s="129"/>
    </row>
    <row r="6283" spans="1:15" ht="12.5">
      <c r="A6283" s="158" t="s">
        <v>30930</v>
      </c>
      <c r="B6283" s="159">
        <v>70</v>
      </c>
      <c r="C6283" s="159">
        <v>70</v>
      </c>
      <c r="D6283" s="159">
        <v>48</v>
      </c>
      <c r="E6283" s="159">
        <v>86</v>
      </c>
      <c r="F6283" s="131"/>
      <c r="G6283" s="132"/>
      <c r="H6283" s="162" t="s">
        <v>30931</v>
      </c>
      <c r="I6283" s="158" t="s">
        <v>33580</v>
      </c>
      <c r="J6283" s="128"/>
      <c r="K6283" s="128"/>
      <c r="L6283" s="128"/>
      <c r="M6283" s="129"/>
      <c r="N6283" s="129"/>
      <c r="O6283" s="129"/>
    </row>
    <row r="6284" spans="1:15" ht="12.5">
      <c r="A6284" s="158" t="s">
        <v>30933</v>
      </c>
      <c r="B6284" s="159">
        <v>70</v>
      </c>
      <c r="C6284" s="159">
        <v>70</v>
      </c>
      <c r="D6284" s="159">
        <v>48</v>
      </c>
      <c r="E6284" s="159">
        <v>92</v>
      </c>
      <c r="F6284" s="131"/>
      <c r="G6284" s="132"/>
      <c r="H6284" s="162" t="s">
        <v>30934</v>
      </c>
      <c r="I6284" s="158" t="s">
        <v>33580</v>
      </c>
      <c r="J6284" s="128"/>
      <c r="K6284" s="128"/>
      <c r="L6284" s="128"/>
      <c r="M6284" s="129"/>
      <c r="N6284" s="129"/>
      <c r="O6284" s="129"/>
    </row>
    <row r="6285" spans="1:15" ht="12.5">
      <c r="A6285" s="158" t="s">
        <v>30936</v>
      </c>
      <c r="B6285" s="159">
        <v>70</v>
      </c>
      <c r="C6285" s="159">
        <v>70</v>
      </c>
      <c r="D6285" s="159">
        <v>48</v>
      </c>
      <c r="E6285" s="159">
        <v>93</v>
      </c>
      <c r="F6285" s="131"/>
      <c r="G6285" s="132"/>
      <c r="H6285" s="162" t="s">
        <v>30937</v>
      </c>
      <c r="I6285" s="128"/>
      <c r="J6285" s="128"/>
      <c r="K6285" s="128"/>
      <c r="L6285" s="128"/>
      <c r="M6285" s="129"/>
      <c r="N6285" s="129"/>
      <c r="O6285" s="129"/>
    </row>
    <row r="6286" spans="1:15" ht="12.5">
      <c r="A6286" s="158" t="s">
        <v>30938</v>
      </c>
      <c r="B6286" s="159">
        <v>70</v>
      </c>
      <c r="C6286" s="159">
        <v>70</v>
      </c>
      <c r="D6286" s="159">
        <v>70</v>
      </c>
      <c r="E6286" s="130"/>
      <c r="F6286" s="131"/>
      <c r="G6286" s="132"/>
      <c r="H6286" s="162" t="s">
        <v>30939</v>
      </c>
      <c r="I6286" s="128"/>
      <c r="J6286" s="128"/>
      <c r="K6286" s="128"/>
      <c r="L6286" s="128"/>
      <c r="M6286" s="129"/>
      <c r="N6286" s="129"/>
      <c r="O6286" s="129"/>
    </row>
    <row r="6287" spans="1:15" ht="12.5">
      <c r="A6287" s="158" t="s">
        <v>30940</v>
      </c>
      <c r="B6287" s="159">
        <v>70</v>
      </c>
      <c r="C6287" s="159">
        <v>70</v>
      </c>
      <c r="D6287" s="159">
        <v>70</v>
      </c>
      <c r="E6287" s="159">
        <v>15</v>
      </c>
      <c r="F6287" s="131"/>
      <c r="G6287" s="132"/>
      <c r="H6287" s="162" t="s">
        <v>30941</v>
      </c>
      <c r="I6287" s="128"/>
      <c r="J6287" s="128"/>
      <c r="K6287" s="128"/>
      <c r="L6287" s="128"/>
      <c r="M6287" s="129"/>
      <c r="N6287" s="129"/>
      <c r="O6287" s="129"/>
    </row>
    <row r="6288" spans="1:15" ht="12.5">
      <c r="A6288" s="144" t="s">
        <v>30942</v>
      </c>
      <c r="B6288" s="145">
        <v>70</v>
      </c>
      <c r="C6288" s="145">
        <v>75</v>
      </c>
      <c r="D6288" s="146"/>
      <c r="E6288" s="146"/>
      <c r="F6288" s="147" t="s">
        <v>33584</v>
      </c>
      <c r="G6288" s="190"/>
      <c r="H6288" s="149" t="s">
        <v>30943</v>
      </c>
      <c r="I6288" s="150"/>
      <c r="J6288" s="150"/>
      <c r="K6288" s="150"/>
      <c r="L6288" s="150"/>
      <c r="M6288" s="191"/>
      <c r="N6288" s="191"/>
      <c r="O6288" s="191"/>
    </row>
    <row r="6289" spans="1:15" ht="12.5">
      <c r="A6289" s="158" t="s">
        <v>30944</v>
      </c>
      <c r="B6289" s="159">
        <v>70</v>
      </c>
      <c r="C6289" s="159">
        <v>75</v>
      </c>
      <c r="D6289" s="159">
        <v>1</v>
      </c>
      <c r="E6289" s="130"/>
      <c r="F6289" s="131"/>
      <c r="G6289" s="132"/>
      <c r="H6289" s="162" t="s">
        <v>30945</v>
      </c>
      <c r="I6289" s="128"/>
      <c r="J6289" s="128"/>
      <c r="K6289" s="128"/>
      <c r="L6289" s="128"/>
      <c r="M6289" s="129"/>
      <c r="N6289" s="129"/>
      <c r="O6289" s="129"/>
    </row>
    <row r="6290" spans="1:15" ht="12.5">
      <c r="A6290" s="158" t="s">
        <v>30946</v>
      </c>
      <c r="B6290" s="159">
        <v>70</v>
      </c>
      <c r="C6290" s="159">
        <v>75</v>
      </c>
      <c r="D6290" s="159">
        <v>1</v>
      </c>
      <c r="E6290" s="159">
        <v>1</v>
      </c>
      <c r="F6290" s="131"/>
      <c r="G6290" s="132"/>
      <c r="H6290" s="162" t="s">
        <v>30947</v>
      </c>
      <c r="I6290" s="158" t="s">
        <v>30948</v>
      </c>
      <c r="J6290" s="128"/>
      <c r="K6290" s="128"/>
      <c r="L6290" s="128"/>
      <c r="M6290" s="129"/>
      <c r="N6290" s="129"/>
      <c r="O6290" s="129"/>
    </row>
    <row r="6291" spans="1:15" ht="12.5">
      <c r="A6291" s="158" t="s">
        <v>30949</v>
      </c>
      <c r="B6291" s="159">
        <v>70</v>
      </c>
      <c r="C6291" s="159">
        <v>75</v>
      </c>
      <c r="D6291" s="159">
        <v>1</v>
      </c>
      <c r="E6291" s="159">
        <v>2</v>
      </c>
      <c r="F6291" s="131"/>
      <c r="G6291" s="132"/>
      <c r="H6291" s="162" t="s">
        <v>30950</v>
      </c>
      <c r="I6291" s="128"/>
      <c r="J6291" s="128"/>
      <c r="K6291" s="128"/>
      <c r="L6291" s="128"/>
      <c r="M6291" s="129"/>
      <c r="N6291" s="129"/>
      <c r="O6291" s="129"/>
    </row>
    <row r="6292" spans="1:15" ht="12.5">
      <c r="A6292" s="158" t="s">
        <v>30951</v>
      </c>
      <c r="B6292" s="159">
        <v>70</v>
      </c>
      <c r="C6292" s="159">
        <v>75</v>
      </c>
      <c r="D6292" s="159">
        <v>1</v>
      </c>
      <c r="E6292" s="159">
        <v>3</v>
      </c>
      <c r="F6292" s="131"/>
      <c r="G6292" s="132"/>
      <c r="H6292" s="162" t="s">
        <v>30952</v>
      </c>
      <c r="I6292" s="128"/>
      <c r="J6292" s="128"/>
      <c r="K6292" s="128"/>
      <c r="L6292" s="128"/>
      <c r="M6292" s="129"/>
      <c r="N6292" s="129"/>
      <c r="O6292" s="129"/>
    </row>
    <row r="6293" spans="1:15" ht="12.5">
      <c r="A6293" s="158" t="s">
        <v>30953</v>
      </c>
      <c r="B6293" s="159">
        <v>70</v>
      </c>
      <c r="C6293" s="159">
        <v>75</v>
      </c>
      <c r="D6293" s="159">
        <v>1</v>
      </c>
      <c r="E6293" s="159">
        <v>13</v>
      </c>
      <c r="F6293" s="131"/>
      <c r="G6293" s="132"/>
      <c r="H6293" s="162" t="s">
        <v>30954</v>
      </c>
      <c r="I6293" s="128"/>
      <c r="J6293" s="128"/>
      <c r="K6293" s="128"/>
      <c r="L6293" s="128"/>
      <c r="M6293" s="129"/>
      <c r="N6293" s="129"/>
      <c r="O6293" s="129"/>
    </row>
    <row r="6294" spans="1:15" ht="12.5">
      <c r="A6294" s="158" t="s">
        <v>30955</v>
      </c>
      <c r="B6294" s="159">
        <v>70</v>
      </c>
      <c r="C6294" s="159">
        <v>75</v>
      </c>
      <c r="D6294" s="159">
        <v>1</v>
      </c>
      <c r="E6294" s="159">
        <v>47</v>
      </c>
      <c r="F6294" s="131"/>
      <c r="G6294" s="132"/>
      <c r="H6294" s="162" t="s">
        <v>30956</v>
      </c>
      <c r="I6294" s="158" t="s">
        <v>30957</v>
      </c>
      <c r="J6294" s="128"/>
      <c r="K6294" s="128"/>
      <c r="L6294" s="128"/>
      <c r="M6294" s="129"/>
      <c r="N6294" s="129"/>
      <c r="O6294" s="129"/>
    </row>
    <row r="6295" spans="1:15" ht="12.5">
      <c r="A6295" s="158" t="s">
        <v>30958</v>
      </c>
      <c r="B6295" s="159">
        <v>70</v>
      </c>
      <c r="C6295" s="159">
        <v>75</v>
      </c>
      <c r="D6295" s="159">
        <v>1</v>
      </c>
      <c r="E6295" s="159">
        <v>65</v>
      </c>
      <c r="F6295" s="131"/>
      <c r="G6295" s="132"/>
      <c r="H6295" s="162" t="s">
        <v>30959</v>
      </c>
      <c r="I6295" s="158" t="s">
        <v>30960</v>
      </c>
      <c r="J6295" s="128"/>
      <c r="K6295" s="128"/>
      <c r="L6295" s="128"/>
      <c r="M6295" s="129"/>
      <c r="N6295" s="129"/>
      <c r="O6295" s="129"/>
    </row>
    <row r="6296" spans="1:15" ht="12.5">
      <c r="A6296" s="158" t="s">
        <v>30961</v>
      </c>
      <c r="B6296" s="159">
        <v>70</v>
      </c>
      <c r="C6296" s="159">
        <v>75</v>
      </c>
      <c r="D6296" s="159">
        <v>1</v>
      </c>
      <c r="E6296" s="159">
        <v>70</v>
      </c>
      <c r="F6296" s="131"/>
      <c r="G6296" s="132"/>
      <c r="H6296" s="162" t="s">
        <v>30962</v>
      </c>
      <c r="I6296" s="128"/>
      <c r="J6296" s="128"/>
      <c r="K6296" s="128"/>
      <c r="L6296" s="128"/>
      <c r="M6296" s="129"/>
      <c r="N6296" s="129"/>
      <c r="O6296" s="129"/>
    </row>
    <row r="6297" spans="1:15" ht="12.5">
      <c r="A6297" s="158" t="s">
        <v>30963</v>
      </c>
      <c r="B6297" s="159">
        <v>70</v>
      </c>
      <c r="C6297" s="159">
        <v>75</v>
      </c>
      <c r="D6297" s="159">
        <v>1</v>
      </c>
      <c r="E6297" s="159">
        <v>71</v>
      </c>
      <c r="F6297" s="131"/>
      <c r="G6297" s="132"/>
      <c r="H6297" s="162" t="s">
        <v>30964</v>
      </c>
      <c r="I6297" s="128"/>
      <c r="J6297" s="128"/>
      <c r="K6297" s="128"/>
      <c r="L6297" s="128"/>
      <c r="M6297" s="129"/>
      <c r="N6297" s="129"/>
      <c r="O6297" s="129"/>
    </row>
    <row r="6298" spans="1:15" ht="12.5">
      <c r="A6298" s="158" t="s">
        <v>30965</v>
      </c>
      <c r="B6298" s="159">
        <v>70</v>
      </c>
      <c r="C6298" s="159">
        <v>75</v>
      </c>
      <c r="D6298" s="159">
        <v>4</v>
      </c>
      <c r="E6298" s="130"/>
      <c r="F6298" s="131"/>
      <c r="G6298" s="132"/>
      <c r="H6298" s="162" t="s">
        <v>30966</v>
      </c>
      <c r="I6298" s="128"/>
      <c r="J6298" s="128"/>
      <c r="K6298" s="128"/>
      <c r="L6298" s="128"/>
      <c r="M6298" s="129"/>
      <c r="N6298" s="129"/>
      <c r="O6298" s="129"/>
    </row>
    <row r="6299" spans="1:15" ht="12.5">
      <c r="A6299" s="158" t="s">
        <v>30967</v>
      </c>
      <c r="B6299" s="159">
        <v>70</v>
      </c>
      <c r="C6299" s="159">
        <v>75</v>
      </c>
      <c r="D6299" s="159">
        <v>4</v>
      </c>
      <c r="E6299" s="159">
        <v>3</v>
      </c>
      <c r="F6299" s="131"/>
      <c r="G6299" s="132"/>
      <c r="H6299" s="162" t="s">
        <v>30968</v>
      </c>
      <c r="I6299" s="128"/>
      <c r="J6299" s="128"/>
      <c r="K6299" s="128"/>
      <c r="L6299" s="128"/>
      <c r="M6299" s="129"/>
      <c r="N6299" s="129"/>
      <c r="O6299" s="129"/>
    </row>
    <row r="6300" spans="1:15" ht="12.5">
      <c r="A6300" s="158" t="s">
        <v>30969</v>
      </c>
      <c r="B6300" s="159">
        <v>70</v>
      </c>
      <c r="C6300" s="159">
        <v>75</v>
      </c>
      <c r="D6300" s="159">
        <v>4</v>
      </c>
      <c r="E6300" s="159">
        <v>6</v>
      </c>
      <c r="F6300" s="131"/>
      <c r="G6300" s="132"/>
      <c r="H6300" s="162" t="s">
        <v>30970</v>
      </c>
      <c r="I6300" s="158" t="s">
        <v>30971</v>
      </c>
      <c r="J6300" s="128"/>
      <c r="K6300" s="128"/>
      <c r="L6300" s="128"/>
      <c r="M6300" s="129"/>
      <c r="N6300" s="129"/>
      <c r="O6300" s="129"/>
    </row>
    <row r="6301" spans="1:15" ht="12.5">
      <c r="A6301" s="158" t="s">
        <v>30972</v>
      </c>
      <c r="B6301" s="159">
        <v>70</v>
      </c>
      <c r="C6301" s="159">
        <v>75</v>
      </c>
      <c r="D6301" s="159">
        <v>4</v>
      </c>
      <c r="E6301" s="159">
        <v>25</v>
      </c>
      <c r="F6301" s="131"/>
      <c r="G6301" s="132"/>
      <c r="H6301" s="162" t="s">
        <v>30973</v>
      </c>
      <c r="I6301" s="128"/>
      <c r="J6301" s="128"/>
      <c r="K6301" s="128"/>
      <c r="L6301" s="128"/>
      <c r="M6301" s="129"/>
      <c r="N6301" s="129"/>
      <c r="O6301" s="129"/>
    </row>
    <row r="6302" spans="1:15" ht="12.5">
      <c r="A6302" s="158" t="s">
        <v>30974</v>
      </c>
      <c r="B6302" s="159">
        <v>70</v>
      </c>
      <c r="C6302" s="159">
        <v>75</v>
      </c>
      <c r="D6302" s="159">
        <v>4</v>
      </c>
      <c r="E6302" s="159">
        <v>29</v>
      </c>
      <c r="F6302" s="131"/>
      <c r="G6302" s="132"/>
      <c r="H6302" s="162" t="s">
        <v>30975</v>
      </c>
      <c r="I6302" s="158" t="s">
        <v>30976</v>
      </c>
      <c r="J6302" s="128"/>
      <c r="K6302" s="128"/>
      <c r="L6302" s="128"/>
      <c r="M6302" s="129"/>
      <c r="N6302" s="129"/>
      <c r="O6302" s="129"/>
    </row>
    <row r="6303" spans="1:15" ht="12.5">
      <c r="A6303" s="158" t="s">
        <v>30977</v>
      </c>
      <c r="B6303" s="159">
        <v>70</v>
      </c>
      <c r="C6303" s="159">
        <v>75</v>
      </c>
      <c r="D6303" s="159">
        <v>4</v>
      </c>
      <c r="E6303" s="159">
        <v>37</v>
      </c>
      <c r="F6303" s="131"/>
      <c r="G6303" s="132"/>
      <c r="H6303" s="162" t="s">
        <v>30978</v>
      </c>
      <c r="I6303" s="128"/>
      <c r="J6303" s="128"/>
      <c r="K6303" s="128"/>
      <c r="L6303" s="128"/>
      <c r="M6303" s="129"/>
      <c r="N6303" s="129"/>
      <c r="O6303" s="129"/>
    </row>
    <row r="6304" spans="1:15" ht="12.5">
      <c r="A6304" s="158" t="s">
        <v>30979</v>
      </c>
      <c r="B6304" s="159">
        <v>70</v>
      </c>
      <c r="C6304" s="159">
        <v>75</v>
      </c>
      <c r="D6304" s="159">
        <v>4</v>
      </c>
      <c r="E6304" s="159">
        <v>42</v>
      </c>
      <c r="F6304" s="131"/>
      <c r="G6304" s="132"/>
      <c r="H6304" s="162" t="s">
        <v>30980</v>
      </c>
      <c r="I6304" s="128"/>
      <c r="J6304" s="128"/>
      <c r="K6304" s="128"/>
      <c r="L6304" s="128"/>
      <c r="M6304" s="129"/>
      <c r="N6304" s="129"/>
      <c r="O6304" s="129"/>
    </row>
    <row r="6305" spans="1:15" ht="12.5">
      <c r="A6305" s="158" t="s">
        <v>30981</v>
      </c>
      <c r="B6305" s="159">
        <v>70</v>
      </c>
      <c r="C6305" s="159">
        <v>75</v>
      </c>
      <c r="D6305" s="159">
        <v>4</v>
      </c>
      <c r="E6305" s="159">
        <v>52</v>
      </c>
      <c r="F6305" s="131"/>
      <c r="G6305" s="132"/>
      <c r="H6305" s="162" t="s">
        <v>30982</v>
      </c>
      <c r="I6305" s="158" t="s">
        <v>30983</v>
      </c>
      <c r="J6305" s="128"/>
      <c r="K6305" s="128"/>
      <c r="L6305" s="128"/>
      <c r="M6305" s="129"/>
      <c r="N6305" s="129"/>
      <c r="O6305" s="129"/>
    </row>
    <row r="6306" spans="1:15" ht="12.5">
      <c r="A6306" s="158" t="s">
        <v>30984</v>
      </c>
      <c r="B6306" s="159">
        <v>70</v>
      </c>
      <c r="C6306" s="159">
        <v>75</v>
      </c>
      <c r="D6306" s="159">
        <v>4</v>
      </c>
      <c r="E6306" s="159">
        <v>70</v>
      </c>
      <c r="F6306" s="131"/>
      <c r="G6306" s="132"/>
      <c r="H6306" s="162" t="s">
        <v>30985</v>
      </c>
      <c r="I6306" s="128"/>
      <c r="J6306" s="128"/>
      <c r="K6306" s="128"/>
      <c r="L6306" s="128"/>
      <c r="M6306" s="129"/>
      <c r="N6306" s="129"/>
      <c r="O6306" s="129"/>
    </row>
    <row r="6307" spans="1:15" ht="12.5">
      <c r="A6307" s="158" t="s">
        <v>30986</v>
      </c>
      <c r="B6307" s="159">
        <v>70</v>
      </c>
      <c r="C6307" s="159">
        <v>75</v>
      </c>
      <c r="D6307" s="159">
        <v>4</v>
      </c>
      <c r="E6307" s="159">
        <v>71</v>
      </c>
      <c r="F6307" s="131"/>
      <c r="G6307" s="132"/>
      <c r="H6307" s="162" t="s">
        <v>30987</v>
      </c>
      <c r="I6307" s="158" t="s">
        <v>30988</v>
      </c>
      <c r="J6307" s="128"/>
      <c r="K6307" s="128"/>
      <c r="L6307" s="128"/>
      <c r="M6307" s="129"/>
      <c r="N6307" s="129"/>
      <c r="O6307" s="129"/>
    </row>
    <row r="6308" spans="1:15" ht="12.5">
      <c r="A6308" s="158" t="s">
        <v>30989</v>
      </c>
      <c r="B6308" s="159">
        <v>70</v>
      </c>
      <c r="C6308" s="159">
        <v>75</v>
      </c>
      <c r="D6308" s="159">
        <v>4</v>
      </c>
      <c r="E6308" s="159">
        <v>85</v>
      </c>
      <c r="F6308" s="131"/>
      <c r="G6308" s="132"/>
      <c r="H6308" s="162" t="s">
        <v>30990</v>
      </c>
      <c r="I6308" s="128"/>
      <c r="J6308" s="128"/>
      <c r="K6308" s="128"/>
      <c r="L6308" s="128"/>
      <c r="M6308" s="129"/>
      <c r="N6308" s="129"/>
      <c r="O6308" s="129"/>
    </row>
    <row r="6309" spans="1:15" ht="12.5">
      <c r="A6309" s="158" t="s">
        <v>30991</v>
      </c>
      <c r="B6309" s="159">
        <v>70</v>
      </c>
      <c r="C6309" s="159">
        <v>75</v>
      </c>
      <c r="D6309" s="159">
        <v>4</v>
      </c>
      <c r="E6309" s="159">
        <v>88</v>
      </c>
      <c r="F6309" s="131"/>
      <c r="G6309" s="132"/>
      <c r="H6309" s="162" t="s">
        <v>30992</v>
      </c>
      <c r="I6309" s="158" t="s">
        <v>30993</v>
      </c>
      <c r="J6309" s="128"/>
      <c r="K6309" s="128"/>
      <c r="L6309" s="128"/>
      <c r="M6309" s="129"/>
      <c r="N6309" s="129"/>
      <c r="O6309" s="129"/>
    </row>
    <row r="6310" spans="1:15" ht="12.5">
      <c r="A6310" s="158" t="s">
        <v>30994</v>
      </c>
      <c r="B6310" s="159">
        <v>70</v>
      </c>
      <c r="C6310" s="159">
        <v>75</v>
      </c>
      <c r="D6310" s="159">
        <v>4</v>
      </c>
      <c r="E6310" s="159">
        <v>90</v>
      </c>
      <c r="F6310" s="131"/>
      <c r="G6310" s="132"/>
      <c r="H6310" s="162" t="s">
        <v>30995</v>
      </c>
      <c r="I6310" s="158" t="s">
        <v>30996</v>
      </c>
      <c r="J6310" s="128"/>
      <c r="K6310" s="128"/>
      <c r="L6310" s="128"/>
      <c r="M6310" s="129"/>
      <c r="N6310" s="129"/>
      <c r="O6310" s="129"/>
    </row>
    <row r="6311" spans="1:15" ht="12.5">
      <c r="A6311" s="158" t="s">
        <v>30997</v>
      </c>
      <c r="B6311" s="159">
        <v>70</v>
      </c>
      <c r="C6311" s="159">
        <v>75</v>
      </c>
      <c r="D6311" s="159">
        <v>4</v>
      </c>
      <c r="E6311" s="159">
        <v>94</v>
      </c>
      <c r="F6311" s="131"/>
      <c r="G6311" s="132"/>
      <c r="H6311" s="162" t="s">
        <v>30998</v>
      </c>
      <c r="I6311" s="128"/>
      <c r="J6311" s="128"/>
      <c r="K6311" s="128"/>
      <c r="L6311" s="128"/>
      <c r="M6311" s="129"/>
      <c r="N6311" s="129"/>
      <c r="O6311" s="129"/>
    </row>
    <row r="6312" spans="1:15" ht="12.5">
      <c r="A6312" s="158" t="s">
        <v>30999</v>
      </c>
      <c r="B6312" s="159">
        <v>70</v>
      </c>
      <c r="C6312" s="159">
        <v>75</v>
      </c>
      <c r="D6312" s="159">
        <v>4</v>
      </c>
      <c r="E6312" s="159">
        <v>99</v>
      </c>
      <c r="F6312" s="131"/>
      <c r="G6312" s="132"/>
      <c r="H6312" s="162" t="s">
        <v>31000</v>
      </c>
      <c r="I6312" s="128"/>
      <c r="J6312" s="128"/>
      <c r="K6312" s="128"/>
      <c r="L6312" s="128"/>
      <c r="M6312" s="129"/>
      <c r="N6312" s="129"/>
      <c r="O6312" s="129"/>
    </row>
    <row r="6313" spans="1:15" ht="12.5">
      <c r="A6313" s="158" t="s">
        <v>31001</v>
      </c>
      <c r="B6313" s="159">
        <v>70</v>
      </c>
      <c r="C6313" s="159">
        <v>75</v>
      </c>
      <c r="D6313" s="159">
        <v>36</v>
      </c>
      <c r="E6313" s="130"/>
      <c r="F6313" s="131"/>
      <c r="G6313" s="132"/>
      <c r="H6313" s="162" t="s">
        <v>31002</v>
      </c>
      <c r="I6313" s="128"/>
      <c r="J6313" s="128"/>
      <c r="K6313" s="128"/>
      <c r="L6313" s="128"/>
      <c r="M6313" s="129"/>
      <c r="N6313" s="129"/>
      <c r="O6313" s="129"/>
    </row>
    <row r="6314" spans="1:15" ht="12.5">
      <c r="A6314" s="158" t="s">
        <v>31003</v>
      </c>
      <c r="B6314" s="159">
        <v>70</v>
      </c>
      <c r="C6314" s="159">
        <v>75</v>
      </c>
      <c r="D6314" s="159">
        <v>36</v>
      </c>
      <c r="E6314" s="159">
        <v>8</v>
      </c>
      <c r="F6314" s="131"/>
      <c r="G6314" s="132"/>
      <c r="H6314" s="162" t="s">
        <v>31004</v>
      </c>
      <c r="I6314" s="158" t="s">
        <v>31005</v>
      </c>
      <c r="J6314" s="128"/>
      <c r="K6314" s="128"/>
      <c r="L6314" s="128"/>
      <c r="M6314" s="129"/>
      <c r="N6314" s="129"/>
      <c r="O6314" s="129"/>
    </row>
    <row r="6315" spans="1:15" ht="12.5">
      <c r="A6315" s="158" t="s">
        <v>31006</v>
      </c>
      <c r="B6315" s="159">
        <v>70</v>
      </c>
      <c r="C6315" s="159">
        <v>75</v>
      </c>
      <c r="D6315" s="159">
        <v>36</v>
      </c>
      <c r="E6315" s="159">
        <v>36</v>
      </c>
      <c r="F6315" s="131"/>
      <c r="G6315" s="132"/>
      <c r="H6315" s="162" t="s">
        <v>31007</v>
      </c>
      <c r="I6315" s="158" t="s">
        <v>31008</v>
      </c>
      <c r="J6315" s="128"/>
      <c r="K6315" s="128"/>
      <c r="L6315" s="128"/>
      <c r="M6315" s="129"/>
      <c r="N6315" s="129"/>
      <c r="O6315" s="129"/>
    </row>
    <row r="6316" spans="1:15" ht="12.5">
      <c r="A6316" s="158" t="s">
        <v>31009</v>
      </c>
      <c r="B6316" s="159">
        <v>70</v>
      </c>
      <c r="C6316" s="159">
        <v>75</v>
      </c>
      <c r="D6316" s="159">
        <v>36</v>
      </c>
      <c r="E6316" s="159">
        <v>37</v>
      </c>
      <c r="F6316" s="131"/>
      <c r="G6316" s="132"/>
      <c r="H6316" s="162" t="s">
        <v>31010</v>
      </c>
      <c r="I6316" s="158" t="s">
        <v>31008</v>
      </c>
      <c r="J6316" s="128"/>
      <c r="K6316" s="128"/>
      <c r="L6316" s="128"/>
      <c r="M6316" s="129"/>
      <c r="N6316" s="129"/>
      <c r="O6316" s="129"/>
    </row>
    <row r="6317" spans="1:15" ht="12.5">
      <c r="A6317" s="158" t="s">
        <v>31011</v>
      </c>
      <c r="B6317" s="159">
        <v>70</v>
      </c>
      <c r="C6317" s="159">
        <v>75</v>
      </c>
      <c r="D6317" s="159">
        <v>36</v>
      </c>
      <c r="E6317" s="159">
        <v>40</v>
      </c>
      <c r="F6317" s="131"/>
      <c r="G6317" s="132"/>
      <c r="H6317" s="162" t="s">
        <v>31012</v>
      </c>
      <c r="I6317" s="158" t="s">
        <v>31013</v>
      </c>
      <c r="J6317" s="128"/>
      <c r="K6317" s="128"/>
      <c r="L6317" s="128"/>
      <c r="M6317" s="129"/>
      <c r="N6317" s="129"/>
      <c r="O6317" s="129"/>
    </row>
    <row r="6318" spans="1:15" ht="12.5">
      <c r="A6318" s="158" t="s">
        <v>31014</v>
      </c>
      <c r="B6318" s="159">
        <v>70</v>
      </c>
      <c r="C6318" s="159">
        <v>75</v>
      </c>
      <c r="D6318" s="159">
        <v>36</v>
      </c>
      <c r="E6318" s="159">
        <v>41</v>
      </c>
      <c r="F6318" s="131"/>
      <c r="G6318" s="132"/>
      <c r="H6318" s="162" t="s">
        <v>31015</v>
      </c>
      <c r="I6318" s="158" t="s">
        <v>31016</v>
      </c>
      <c r="J6318" s="128"/>
      <c r="K6318" s="128"/>
      <c r="L6318" s="128"/>
      <c r="M6318" s="129"/>
      <c r="N6318" s="129"/>
      <c r="O6318" s="129"/>
    </row>
    <row r="6319" spans="1:15" ht="12.5">
      <c r="A6319" s="158" t="s">
        <v>31017</v>
      </c>
      <c r="B6319" s="159">
        <v>70</v>
      </c>
      <c r="C6319" s="159">
        <v>75</v>
      </c>
      <c r="D6319" s="159">
        <v>36</v>
      </c>
      <c r="E6319" s="159">
        <v>42</v>
      </c>
      <c r="F6319" s="131"/>
      <c r="G6319" s="132"/>
      <c r="H6319" s="162" t="s">
        <v>31018</v>
      </c>
      <c r="I6319" s="158" t="s">
        <v>31019</v>
      </c>
      <c r="J6319" s="128"/>
      <c r="K6319" s="128"/>
      <c r="L6319" s="128"/>
      <c r="M6319" s="129"/>
      <c r="N6319" s="129"/>
      <c r="O6319" s="129"/>
    </row>
    <row r="6320" spans="1:15" ht="12.5">
      <c r="A6320" s="158" t="s">
        <v>31020</v>
      </c>
      <c r="B6320" s="159">
        <v>70</v>
      </c>
      <c r="C6320" s="159">
        <v>75</v>
      </c>
      <c r="D6320" s="159">
        <v>36</v>
      </c>
      <c r="E6320" s="159">
        <v>43</v>
      </c>
      <c r="F6320" s="131"/>
      <c r="G6320" s="132"/>
      <c r="H6320" s="162" t="s">
        <v>31021</v>
      </c>
      <c r="I6320" s="158" t="s">
        <v>31022</v>
      </c>
      <c r="J6320" s="128"/>
      <c r="K6320" s="128"/>
      <c r="L6320" s="128"/>
      <c r="M6320" s="129"/>
      <c r="N6320" s="129"/>
      <c r="O6320" s="129"/>
    </row>
    <row r="6321" spans="1:15" ht="12.5">
      <c r="A6321" s="158" t="s">
        <v>31023</v>
      </c>
      <c r="B6321" s="159">
        <v>70</v>
      </c>
      <c r="C6321" s="159">
        <v>75</v>
      </c>
      <c r="D6321" s="159">
        <v>36</v>
      </c>
      <c r="E6321" s="159">
        <v>44</v>
      </c>
      <c r="F6321" s="131"/>
      <c r="G6321" s="132"/>
      <c r="H6321" s="162" t="s">
        <v>31024</v>
      </c>
      <c r="I6321" s="158" t="s">
        <v>31025</v>
      </c>
      <c r="J6321" s="128"/>
      <c r="K6321" s="128"/>
      <c r="L6321" s="128"/>
      <c r="M6321" s="129"/>
      <c r="N6321" s="129"/>
      <c r="O6321" s="129"/>
    </row>
    <row r="6322" spans="1:15" ht="12.5">
      <c r="A6322" s="158" t="s">
        <v>31026</v>
      </c>
      <c r="B6322" s="159">
        <v>70</v>
      </c>
      <c r="C6322" s="159">
        <v>75</v>
      </c>
      <c r="D6322" s="159">
        <v>36</v>
      </c>
      <c r="E6322" s="159">
        <v>45</v>
      </c>
      <c r="F6322" s="131"/>
      <c r="G6322" s="132"/>
      <c r="H6322" s="162" t="s">
        <v>31027</v>
      </c>
      <c r="I6322" s="158" t="s">
        <v>31028</v>
      </c>
      <c r="J6322" s="128"/>
      <c r="K6322" s="128"/>
      <c r="L6322" s="128"/>
      <c r="M6322" s="129"/>
      <c r="N6322" s="129"/>
      <c r="O6322" s="129"/>
    </row>
    <row r="6323" spans="1:15" ht="12.5">
      <c r="A6323" s="158" t="s">
        <v>31029</v>
      </c>
      <c r="B6323" s="159">
        <v>70</v>
      </c>
      <c r="C6323" s="159">
        <v>75</v>
      </c>
      <c r="D6323" s="159">
        <v>36</v>
      </c>
      <c r="E6323" s="159">
        <v>46</v>
      </c>
      <c r="F6323" s="131"/>
      <c r="G6323" s="132"/>
      <c r="H6323" s="162" t="s">
        <v>31030</v>
      </c>
      <c r="I6323" s="158" t="s">
        <v>31031</v>
      </c>
      <c r="J6323" s="128"/>
      <c r="K6323" s="128"/>
      <c r="L6323" s="128"/>
      <c r="M6323" s="129"/>
      <c r="N6323" s="129"/>
      <c r="O6323" s="129"/>
    </row>
    <row r="6324" spans="1:15" ht="12.5">
      <c r="A6324" s="158" t="s">
        <v>31032</v>
      </c>
      <c r="B6324" s="159">
        <v>70</v>
      </c>
      <c r="C6324" s="159">
        <v>75</v>
      </c>
      <c r="D6324" s="159">
        <v>36</v>
      </c>
      <c r="E6324" s="159">
        <v>47</v>
      </c>
      <c r="F6324" s="131"/>
      <c r="G6324" s="132"/>
      <c r="H6324" s="162" t="s">
        <v>31033</v>
      </c>
      <c r="I6324" s="158" t="s">
        <v>31034</v>
      </c>
      <c r="J6324" s="128"/>
      <c r="K6324" s="128"/>
      <c r="L6324" s="128"/>
      <c r="M6324" s="129"/>
      <c r="N6324" s="129"/>
      <c r="O6324" s="129"/>
    </row>
    <row r="6325" spans="1:15" ht="12.5">
      <c r="A6325" s="158" t="s">
        <v>31035</v>
      </c>
      <c r="B6325" s="159">
        <v>70</v>
      </c>
      <c r="C6325" s="159">
        <v>75</v>
      </c>
      <c r="D6325" s="159">
        <v>36</v>
      </c>
      <c r="E6325" s="159">
        <v>48</v>
      </c>
      <c r="F6325" s="131"/>
      <c r="G6325" s="132"/>
      <c r="H6325" s="162" t="s">
        <v>31036</v>
      </c>
      <c r="I6325" s="158" t="s">
        <v>31037</v>
      </c>
      <c r="J6325" s="128"/>
      <c r="K6325" s="128"/>
      <c r="L6325" s="128"/>
      <c r="M6325" s="129"/>
      <c r="N6325" s="129"/>
      <c r="O6325" s="129"/>
    </row>
    <row r="6326" spans="1:15" ht="12.5">
      <c r="A6326" s="158" t="s">
        <v>31038</v>
      </c>
      <c r="B6326" s="159">
        <v>70</v>
      </c>
      <c r="C6326" s="159">
        <v>75</v>
      </c>
      <c r="D6326" s="159">
        <v>36</v>
      </c>
      <c r="E6326" s="159">
        <v>50</v>
      </c>
      <c r="F6326" s="131"/>
      <c r="G6326" s="132"/>
      <c r="H6326" s="162" t="s">
        <v>31039</v>
      </c>
      <c r="I6326" s="158" t="s">
        <v>31040</v>
      </c>
      <c r="J6326" s="128"/>
      <c r="K6326" s="128"/>
      <c r="L6326" s="128"/>
      <c r="M6326" s="129"/>
      <c r="N6326" s="129"/>
      <c r="O6326" s="129"/>
    </row>
    <row r="6327" spans="1:15" ht="12.5">
      <c r="A6327" s="158" t="s">
        <v>31041</v>
      </c>
      <c r="B6327" s="159">
        <v>70</v>
      </c>
      <c r="C6327" s="159">
        <v>75</v>
      </c>
      <c r="D6327" s="159">
        <v>36</v>
      </c>
      <c r="E6327" s="159">
        <v>51</v>
      </c>
      <c r="F6327" s="131"/>
      <c r="G6327" s="132"/>
      <c r="H6327" s="162" t="s">
        <v>31042</v>
      </c>
      <c r="I6327" s="128"/>
      <c r="J6327" s="128"/>
      <c r="K6327" s="128"/>
      <c r="L6327" s="128"/>
      <c r="M6327" s="129"/>
      <c r="N6327" s="129"/>
      <c r="O6327" s="129"/>
    </row>
    <row r="6328" spans="1:15" ht="12.5">
      <c r="A6328" s="158" t="s">
        <v>31043</v>
      </c>
      <c r="B6328" s="159">
        <v>70</v>
      </c>
      <c r="C6328" s="159">
        <v>75</v>
      </c>
      <c r="D6328" s="159">
        <v>36</v>
      </c>
      <c r="E6328" s="159">
        <v>64</v>
      </c>
      <c r="F6328" s="131"/>
      <c r="G6328" s="132"/>
      <c r="H6328" s="162" t="s">
        <v>31044</v>
      </c>
      <c r="I6328" s="158" t="s">
        <v>31045</v>
      </c>
      <c r="J6328" s="128"/>
      <c r="K6328" s="128"/>
      <c r="L6328" s="128"/>
      <c r="M6328" s="129"/>
      <c r="N6328" s="129"/>
      <c r="O6328" s="129"/>
    </row>
    <row r="6329" spans="1:15" ht="12.5">
      <c r="A6329" s="158" t="s">
        <v>31046</v>
      </c>
      <c r="B6329" s="159">
        <v>70</v>
      </c>
      <c r="C6329" s="159">
        <v>75</v>
      </c>
      <c r="D6329" s="159">
        <v>36</v>
      </c>
      <c r="E6329" s="159">
        <v>84</v>
      </c>
      <c r="F6329" s="131"/>
      <c r="G6329" s="132"/>
      <c r="H6329" s="162" t="s">
        <v>31047</v>
      </c>
      <c r="I6329" s="158" t="s">
        <v>31048</v>
      </c>
      <c r="J6329" s="128"/>
      <c r="K6329" s="128"/>
      <c r="L6329" s="128"/>
      <c r="M6329" s="129"/>
      <c r="N6329" s="129"/>
      <c r="O6329" s="129"/>
    </row>
    <row r="6330" spans="1:15" ht="12.5">
      <c r="A6330" s="158" t="s">
        <v>31049</v>
      </c>
      <c r="B6330" s="159">
        <v>70</v>
      </c>
      <c r="C6330" s="159">
        <v>75</v>
      </c>
      <c r="D6330" s="159">
        <v>50</v>
      </c>
      <c r="E6330" s="130"/>
      <c r="F6330" s="131"/>
      <c r="G6330" s="132"/>
      <c r="H6330" s="162" t="s">
        <v>31050</v>
      </c>
      <c r="I6330" s="128"/>
      <c r="J6330" s="128"/>
      <c r="K6330" s="128"/>
      <c r="L6330" s="128"/>
      <c r="M6330" s="129"/>
      <c r="N6330" s="129"/>
      <c r="O6330" s="129"/>
    </row>
    <row r="6331" spans="1:15" ht="12.5">
      <c r="A6331" s="158" t="s">
        <v>31051</v>
      </c>
      <c r="B6331" s="159">
        <v>70</v>
      </c>
      <c r="C6331" s="159">
        <v>75</v>
      </c>
      <c r="D6331" s="159">
        <v>50</v>
      </c>
      <c r="E6331" s="159">
        <v>56</v>
      </c>
      <c r="F6331" s="131"/>
      <c r="G6331" s="132"/>
      <c r="H6331" s="162" t="s">
        <v>31052</v>
      </c>
      <c r="I6331" s="128"/>
      <c r="J6331" s="128"/>
      <c r="K6331" s="128"/>
      <c r="L6331" s="128"/>
      <c r="M6331" s="129"/>
      <c r="N6331" s="129"/>
      <c r="O6331" s="129"/>
    </row>
    <row r="6332" spans="1:15" ht="12.5">
      <c r="A6332" s="158" t="s">
        <v>31053</v>
      </c>
      <c r="B6332" s="159">
        <v>70</v>
      </c>
      <c r="C6332" s="159">
        <v>75</v>
      </c>
      <c r="D6332" s="159">
        <v>52</v>
      </c>
      <c r="E6332" s="130"/>
      <c r="F6332" s="131"/>
      <c r="G6332" s="132"/>
      <c r="H6332" s="162" t="s">
        <v>31054</v>
      </c>
      <c r="I6332" s="128"/>
      <c r="J6332" s="128"/>
      <c r="K6332" s="128"/>
      <c r="L6332" s="128"/>
      <c r="M6332" s="129"/>
      <c r="N6332" s="129"/>
      <c r="O6332" s="129"/>
    </row>
    <row r="6333" spans="1:15" ht="12.5">
      <c r="A6333" s="158" t="s">
        <v>31055</v>
      </c>
      <c r="B6333" s="159">
        <v>70</v>
      </c>
      <c r="C6333" s="159">
        <v>75</v>
      </c>
      <c r="D6333" s="159">
        <v>52</v>
      </c>
      <c r="E6333" s="159">
        <v>1</v>
      </c>
      <c r="F6333" s="131"/>
      <c r="G6333" s="132"/>
      <c r="H6333" s="162" t="s">
        <v>31056</v>
      </c>
      <c r="I6333" s="128"/>
      <c r="J6333" s="128"/>
      <c r="K6333" s="128"/>
      <c r="L6333" s="128"/>
      <c r="M6333" s="129"/>
      <c r="N6333" s="129"/>
      <c r="O6333" s="129"/>
    </row>
    <row r="6334" spans="1:15" ht="12.5">
      <c r="A6334" s="158" t="s">
        <v>31057</v>
      </c>
      <c r="B6334" s="159">
        <v>70</v>
      </c>
      <c r="C6334" s="159">
        <v>75</v>
      </c>
      <c r="D6334" s="159">
        <v>52</v>
      </c>
      <c r="E6334" s="159">
        <v>42</v>
      </c>
      <c r="F6334" s="131"/>
      <c r="G6334" s="132"/>
      <c r="H6334" s="162" t="s">
        <v>31058</v>
      </c>
      <c r="I6334" s="158" t="s">
        <v>31059</v>
      </c>
      <c r="J6334" s="128"/>
      <c r="K6334" s="128"/>
      <c r="L6334" s="128"/>
      <c r="M6334" s="129"/>
      <c r="N6334" s="129"/>
      <c r="O6334" s="129"/>
    </row>
    <row r="6335" spans="1:15" ht="12.5">
      <c r="A6335" s="158" t="s">
        <v>31060</v>
      </c>
      <c r="B6335" s="159">
        <v>70</v>
      </c>
      <c r="C6335" s="159">
        <v>75</v>
      </c>
      <c r="D6335" s="159">
        <v>52</v>
      </c>
      <c r="E6335" s="159">
        <v>50</v>
      </c>
      <c r="F6335" s="131"/>
      <c r="G6335" s="132"/>
      <c r="H6335" s="162" t="s">
        <v>31061</v>
      </c>
      <c r="I6335" s="158" t="s">
        <v>31062</v>
      </c>
      <c r="J6335" s="128"/>
      <c r="K6335" s="128"/>
      <c r="L6335" s="128"/>
      <c r="M6335" s="129"/>
      <c r="N6335" s="129"/>
      <c r="O6335" s="129"/>
    </row>
    <row r="6336" spans="1:15" ht="12.5">
      <c r="A6336" s="158" t="s">
        <v>31063</v>
      </c>
      <c r="B6336" s="159">
        <v>70</v>
      </c>
      <c r="C6336" s="159">
        <v>75</v>
      </c>
      <c r="D6336" s="159">
        <v>52</v>
      </c>
      <c r="E6336" s="159">
        <v>56</v>
      </c>
      <c r="F6336" s="131"/>
      <c r="G6336" s="132"/>
      <c r="H6336" s="162" t="s">
        <v>31064</v>
      </c>
      <c r="I6336" s="128"/>
      <c r="J6336" s="128"/>
      <c r="K6336" s="128"/>
      <c r="L6336" s="128"/>
      <c r="M6336" s="129"/>
      <c r="N6336" s="129"/>
      <c r="O6336" s="129"/>
    </row>
    <row r="6337" spans="1:15" ht="12.5">
      <c r="A6337" s="158" t="s">
        <v>31065</v>
      </c>
      <c r="B6337" s="159">
        <v>70</v>
      </c>
      <c r="C6337" s="159">
        <v>75</v>
      </c>
      <c r="D6337" s="159">
        <v>52</v>
      </c>
      <c r="E6337" s="159">
        <v>64</v>
      </c>
      <c r="F6337" s="131"/>
      <c r="G6337" s="132"/>
      <c r="H6337" s="162" t="s">
        <v>31066</v>
      </c>
      <c r="I6337" s="128"/>
      <c r="J6337" s="128"/>
      <c r="K6337" s="128"/>
      <c r="L6337" s="128"/>
      <c r="M6337" s="129"/>
      <c r="N6337" s="129"/>
      <c r="O6337" s="129"/>
    </row>
    <row r="6338" spans="1:15" ht="12.5">
      <c r="A6338" s="158" t="s">
        <v>31067</v>
      </c>
      <c r="B6338" s="159">
        <v>70</v>
      </c>
      <c r="C6338" s="159">
        <v>75</v>
      </c>
      <c r="D6338" s="159">
        <v>52</v>
      </c>
      <c r="E6338" s="159">
        <v>88</v>
      </c>
      <c r="F6338" s="131"/>
      <c r="G6338" s="132"/>
      <c r="H6338" s="162" t="s">
        <v>31068</v>
      </c>
      <c r="I6338" s="128"/>
      <c r="J6338" s="128"/>
      <c r="K6338" s="128"/>
      <c r="L6338" s="128"/>
      <c r="M6338" s="129"/>
      <c r="N6338" s="129"/>
      <c r="O6338" s="129"/>
    </row>
    <row r="6339" spans="1:15" ht="12.5">
      <c r="A6339" s="158" t="s">
        <v>31069</v>
      </c>
      <c r="B6339" s="159">
        <v>70</v>
      </c>
      <c r="C6339" s="159">
        <v>75</v>
      </c>
      <c r="D6339" s="159">
        <v>52</v>
      </c>
      <c r="E6339" s="159">
        <v>92</v>
      </c>
      <c r="F6339" s="131"/>
      <c r="G6339" s="132"/>
      <c r="H6339" s="162" t="s">
        <v>31070</v>
      </c>
      <c r="I6339" s="128"/>
      <c r="J6339" s="128"/>
      <c r="K6339" s="128"/>
      <c r="L6339" s="128"/>
      <c r="M6339" s="129"/>
      <c r="N6339" s="129"/>
      <c r="O6339" s="129"/>
    </row>
    <row r="6340" spans="1:15" ht="12.5">
      <c r="A6340" s="158" t="s">
        <v>31071</v>
      </c>
      <c r="B6340" s="159">
        <v>70</v>
      </c>
      <c r="C6340" s="159">
        <v>75</v>
      </c>
      <c r="D6340" s="159">
        <v>52</v>
      </c>
      <c r="E6340" s="159">
        <v>96</v>
      </c>
      <c r="F6340" s="131"/>
      <c r="G6340" s="132"/>
      <c r="H6340" s="162" t="s">
        <v>31072</v>
      </c>
      <c r="I6340" s="128"/>
      <c r="J6340" s="128"/>
      <c r="K6340" s="128"/>
      <c r="L6340" s="128"/>
      <c r="M6340" s="129"/>
      <c r="N6340" s="129"/>
      <c r="O6340" s="129"/>
    </row>
    <row r="6341" spans="1:15" ht="12.5">
      <c r="A6341" s="158" t="s">
        <v>31073</v>
      </c>
      <c r="B6341" s="159">
        <v>70</v>
      </c>
      <c r="C6341" s="159">
        <v>75</v>
      </c>
      <c r="D6341" s="159">
        <v>69</v>
      </c>
      <c r="E6341" s="130"/>
      <c r="F6341" s="131"/>
      <c r="G6341" s="132"/>
      <c r="H6341" s="162" t="s">
        <v>31074</v>
      </c>
      <c r="I6341" s="128"/>
      <c r="J6341" s="128"/>
      <c r="K6341" s="128"/>
      <c r="L6341" s="128"/>
      <c r="M6341" s="129"/>
      <c r="N6341" s="129"/>
      <c r="O6341" s="129"/>
    </row>
    <row r="6342" spans="1:15" ht="12.5">
      <c r="A6342" s="158" t="s">
        <v>31075</v>
      </c>
      <c r="B6342" s="159">
        <v>70</v>
      </c>
      <c r="C6342" s="159">
        <v>75</v>
      </c>
      <c r="D6342" s="159">
        <v>69</v>
      </c>
      <c r="E6342" s="159">
        <v>70</v>
      </c>
      <c r="F6342" s="131"/>
      <c r="G6342" s="132"/>
      <c r="H6342" s="162" t="s">
        <v>31076</v>
      </c>
      <c r="I6342" s="158" t="s">
        <v>31077</v>
      </c>
      <c r="J6342" s="128"/>
      <c r="K6342" s="128"/>
      <c r="L6342" s="128"/>
      <c r="M6342" s="129"/>
      <c r="N6342" s="129"/>
      <c r="O6342" s="129"/>
    </row>
    <row r="6343" spans="1:15" ht="12.5">
      <c r="A6343" s="158" t="s">
        <v>31078</v>
      </c>
      <c r="B6343" s="159">
        <v>70</v>
      </c>
      <c r="C6343" s="159">
        <v>75</v>
      </c>
      <c r="D6343" s="159">
        <v>70</v>
      </c>
      <c r="E6343" s="130"/>
      <c r="F6343" s="131"/>
      <c r="G6343" s="132"/>
      <c r="H6343" s="162" t="s">
        <v>31079</v>
      </c>
      <c r="I6343" s="128"/>
      <c r="J6343" s="128"/>
      <c r="K6343" s="128"/>
      <c r="L6343" s="128"/>
      <c r="M6343" s="129"/>
      <c r="N6343" s="129"/>
      <c r="O6343" s="129"/>
    </row>
    <row r="6344" spans="1:15" ht="12.5">
      <c r="A6344" s="158" t="s">
        <v>31080</v>
      </c>
      <c r="B6344" s="159">
        <v>70</v>
      </c>
      <c r="C6344" s="159">
        <v>75</v>
      </c>
      <c r="D6344" s="159">
        <v>70</v>
      </c>
      <c r="E6344" s="159">
        <v>3</v>
      </c>
      <c r="F6344" s="131"/>
      <c r="G6344" s="132"/>
      <c r="H6344" s="162" t="s">
        <v>31081</v>
      </c>
      <c r="I6344" s="158" t="s">
        <v>31082</v>
      </c>
      <c r="J6344" s="128"/>
      <c r="K6344" s="128"/>
      <c r="L6344" s="128"/>
      <c r="M6344" s="129"/>
      <c r="N6344" s="129"/>
      <c r="O6344" s="129"/>
    </row>
    <row r="6345" spans="1:15" ht="12.5">
      <c r="A6345" s="158" t="s">
        <v>31083</v>
      </c>
      <c r="B6345" s="159">
        <v>70</v>
      </c>
      <c r="C6345" s="159">
        <v>75</v>
      </c>
      <c r="D6345" s="159">
        <v>70</v>
      </c>
      <c r="E6345" s="159">
        <v>5</v>
      </c>
      <c r="F6345" s="131"/>
      <c r="G6345" s="132"/>
      <c r="H6345" s="162" t="s">
        <v>31084</v>
      </c>
      <c r="I6345" s="158" t="s">
        <v>31085</v>
      </c>
      <c r="J6345" s="128"/>
      <c r="K6345" s="128"/>
      <c r="L6345" s="128"/>
      <c r="M6345" s="129"/>
      <c r="N6345" s="129"/>
      <c r="O6345" s="129"/>
    </row>
    <row r="6346" spans="1:15" ht="12.5">
      <c r="A6346" s="158" t="s">
        <v>31086</v>
      </c>
      <c r="B6346" s="159">
        <v>70</v>
      </c>
      <c r="C6346" s="159">
        <v>75</v>
      </c>
      <c r="D6346" s="159">
        <v>70</v>
      </c>
      <c r="E6346" s="159">
        <v>6</v>
      </c>
      <c r="F6346" s="131"/>
      <c r="G6346" s="132"/>
      <c r="H6346" s="162" t="s">
        <v>31087</v>
      </c>
      <c r="I6346" s="158" t="s">
        <v>31088</v>
      </c>
      <c r="J6346" s="128"/>
      <c r="K6346" s="128"/>
      <c r="L6346" s="128"/>
      <c r="M6346" s="129"/>
      <c r="N6346" s="129"/>
      <c r="O6346" s="129"/>
    </row>
    <row r="6347" spans="1:15" ht="12.5">
      <c r="A6347" s="158" t="s">
        <v>31091</v>
      </c>
      <c r="B6347" s="159">
        <v>70</v>
      </c>
      <c r="C6347" s="159">
        <v>75</v>
      </c>
      <c r="D6347" s="159">
        <v>70</v>
      </c>
      <c r="E6347" s="159">
        <v>14</v>
      </c>
      <c r="F6347" s="131"/>
      <c r="G6347" s="132"/>
      <c r="H6347" s="162" t="s">
        <v>31092</v>
      </c>
      <c r="I6347" s="158" t="s">
        <v>31093</v>
      </c>
      <c r="J6347" s="128"/>
      <c r="K6347" s="128"/>
      <c r="L6347" s="128"/>
      <c r="M6347" s="129"/>
      <c r="N6347" s="129"/>
      <c r="O6347" s="129"/>
    </row>
    <row r="6348" spans="1:15" ht="12.5">
      <c r="A6348" s="158" t="s">
        <v>31096</v>
      </c>
      <c r="B6348" s="159">
        <v>70</v>
      </c>
      <c r="C6348" s="159">
        <v>75</v>
      </c>
      <c r="D6348" s="159">
        <v>70</v>
      </c>
      <c r="E6348" s="159">
        <v>44</v>
      </c>
      <c r="F6348" s="131"/>
      <c r="G6348" s="132"/>
      <c r="H6348" s="162" t="s">
        <v>31097</v>
      </c>
      <c r="I6348" s="158" t="s">
        <v>31098</v>
      </c>
      <c r="J6348" s="128"/>
      <c r="K6348" s="128"/>
      <c r="L6348" s="128"/>
      <c r="M6348" s="129"/>
      <c r="N6348" s="129"/>
      <c r="O6348" s="129"/>
    </row>
    <row r="6349" spans="1:15" ht="12.5">
      <c r="A6349" s="158" t="s">
        <v>31099</v>
      </c>
      <c r="B6349" s="159">
        <v>70</v>
      </c>
      <c r="C6349" s="159">
        <v>75</v>
      </c>
      <c r="D6349" s="159">
        <v>70</v>
      </c>
      <c r="E6349" s="159">
        <v>47</v>
      </c>
      <c r="F6349" s="131"/>
      <c r="G6349" s="132"/>
      <c r="H6349" s="162" t="s">
        <v>31100</v>
      </c>
      <c r="I6349" s="158" t="s">
        <v>31101</v>
      </c>
      <c r="J6349" s="128"/>
      <c r="K6349" s="128"/>
      <c r="L6349" s="128"/>
      <c r="M6349" s="129"/>
      <c r="N6349" s="129"/>
      <c r="O6349" s="129"/>
    </row>
    <row r="6350" spans="1:15" ht="12.5">
      <c r="A6350" s="158" t="s">
        <v>31106</v>
      </c>
      <c r="B6350" s="159">
        <v>70</v>
      </c>
      <c r="C6350" s="159">
        <v>75</v>
      </c>
      <c r="D6350" s="159">
        <v>70</v>
      </c>
      <c r="E6350" s="159">
        <v>62</v>
      </c>
      <c r="F6350" s="131"/>
      <c r="G6350" s="132"/>
      <c r="H6350" s="162" t="s">
        <v>31107</v>
      </c>
      <c r="I6350" s="128"/>
      <c r="J6350" s="128"/>
      <c r="K6350" s="128"/>
      <c r="L6350" s="128"/>
      <c r="M6350" s="129"/>
      <c r="N6350" s="129"/>
      <c r="O6350" s="129"/>
    </row>
    <row r="6351" spans="1:15" ht="12.5">
      <c r="A6351" s="158" t="s">
        <v>31108</v>
      </c>
      <c r="B6351" s="159">
        <v>70</v>
      </c>
      <c r="C6351" s="159">
        <v>75</v>
      </c>
      <c r="D6351" s="159">
        <v>70</v>
      </c>
      <c r="E6351" s="159">
        <v>63</v>
      </c>
      <c r="F6351" s="131"/>
      <c r="G6351" s="132"/>
      <c r="H6351" s="162" t="s">
        <v>31109</v>
      </c>
      <c r="I6351" s="158" t="s">
        <v>31110</v>
      </c>
      <c r="J6351" s="128"/>
      <c r="K6351" s="128"/>
      <c r="L6351" s="128"/>
      <c r="M6351" s="129"/>
      <c r="N6351" s="129"/>
      <c r="O6351" s="129"/>
    </row>
    <row r="6352" spans="1:15" ht="12.5">
      <c r="A6352" s="158" t="s">
        <v>31111</v>
      </c>
      <c r="B6352" s="159">
        <v>70</v>
      </c>
      <c r="C6352" s="159">
        <v>75</v>
      </c>
      <c r="D6352" s="159">
        <v>70</v>
      </c>
      <c r="E6352" s="159">
        <v>64</v>
      </c>
      <c r="F6352" s="131"/>
      <c r="G6352" s="132"/>
      <c r="H6352" s="162" t="s">
        <v>31112</v>
      </c>
      <c r="I6352" s="158" t="s">
        <v>31113</v>
      </c>
      <c r="J6352" s="128"/>
      <c r="K6352" s="128"/>
      <c r="L6352" s="128"/>
      <c r="M6352" s="129"/>
      <c r="N6352" s="129"/>
      <c r="O6352" s="129"/>
    </row>
    <row r="6353" spans="1:15" ht="12.5">
      <c r="A6353" s="158" t="s">
        <v>31114</v>
      </c>
      <c r="B6353" s="159">
        <v>70</v>
      </c>
      <c r="C6353" s="159">
        <v>75</v>
      </c>
      <c r="D6353" s="159">
        <v>70</v>
      </c>
      <c r="E6353" s="159">
        <v>65</v>
      </c>
      <c r="F6353" s="131"/>
      <c r="G6353" s="132"/>
      <c r="H6353" s="162" t="s">
        <v>31115</v>
      </c>
      <c r="I6353" s="158" t="s">
        <v>31116</v>
      </c>
      <c r="J6353" s="128"/>
      <c r="K6353" s="128"/>
      <c r="L6353" s="128"/>
      <c r="M6353" s="129"/>
      <c r="N6353" s="129"/>
      <c r="O6353" s="129"/>
    </row>
    <row r="6354" spans="1:15" ht="12.5">
      <c r="A6354" s="158" t="s">
        <v>31117</v>
      </c>
      <c r="B6354" s="159">
        <v>70</v>
      </c>
      <c r="C6354" s="159">
        <v>75</v>
      </c>
      <c r="D6354" s="159">
        <v>70</v>
      </c>
      <c r="E6354" s="159">
        <v>70</v>
      </c>
      <c r="F6354" s="131"/>
      <c r="G6354" s="132"/>
      <c r="H6354" s="162" t="s">
        <v>31118</v>
      </c>
      <c r="I6354" s="128"/>
      <c r="J6354" s="128"/>
      <c r="K6354" s="128"/>
      <c r="L6354" s="128"/>
      <c r="M6354" s="129"/>
      <c r="N6354" s="129"/>
      <c r="O6354" s="129"/>
    </row>
    <row r="6355" spans="1:15" ht="12.5">
      <c r="A6355" s="158" t="s">
        <v>31119</v>
      </c>
      <c r="B6355" s="159">
        <v>70</v>
      </c>
      <c r="C6355" s="159">
        <v>75</v>
      </c>
      <c r="D6355" s="159">
        <v>70</v>
      </c>
      <c r="E6355" s="159">
        <v>72</v>
      </c>
      <c r="F6355" s="131"/>
      <c r="G6355" s="132"/>
      <c r="H6355" s="162" t="s">
        <v>31120</v>
      </c>
      <c r="I6355" s="158" t="s">
        <v>31121</v>
      </c>
      <c r="J6355" s="128"/>
      <c r="K6355" s="128"/>
      <c r="L6355" s="128"/>
      <c r="M6355" s="129"/>
      <c r="N6355" s="129"/>
      <c r="O6355" s="129"/>
    </row>
    <row r="6356" spans="1:15" ht="12.5">
      <c r="A6356" s="158" t="s">
        <v>31122</v>
      </c>
      <c r="B6356" s="159">
        <v>70</v>
      </c>
      <c r="C6356" s="159">
        <v>75</v>
      </c>
      <c r="D6356" s="159">
        <v>70</v>
      </c>
      <c r="E6356" s="159">
        <v>76</v>
      </c>
      <c r="F6356" s="131"/>
      <c r="G6356" s="132"/>
      <c r="H6356" s="162" t="s">
        <v>31123</v>
      </c>
      <c r="I6356" s="158" t="s">
        <v>31124</v>
      </c>
      <c r="J6356" s="128"/>
      <c r="K6356" s="128"/>
      <c r="L6356" s="128"/>
      <c r="M6356" s="129"/>
      <c r="N6356" s="129"/>
      <c r="O6356" s="129"/>
    </row>
    <row r="6357" spans="1:15" ht="12.5">
      <c r="A6357" s="158" t="s">
        <v>31125</v>
      </c>
      <c r="B6357" s="159">
        <v>70</v>
      </c>
      <c r="C6357" s="159">
        <v>75</v>
      </c>
      <c r="D6357" s="159">
        <v>70</v>
      </c>
      <c r="E6357" s="159">
        <v>77</v>
      </c>
      <c r="F6357" s="131"/>
      <c r="G6357" s="132"/>
      <c r="H6357" s="162" t="s">
        <v>31126</v>
      </c>
      <c r="I6357" s="158" t="s">
        <v>31127</v>
      </c>
      <c r="J6357" s="128"/>
      <c r="K6357" s="128"/>
      <c r="L6357" s="128"/>
      <c r="M6357" s="129"/>
      <c r="N6357" s="129"/>
      <c r="O6357" s="129"/>
    </row>
    <row r="6358" spans="1:15" ht="12.5">
      <c r="A6358" s="158" t="s">
        <v>31128</v>
      </c>
      <c r="B6358" s="159">
        <v>70</v>
      </c>
      <c r="C6358" s="159">
        <v>75</v>
      </c>
      <c r="D6358" s="159">
        <v>70</v>
      </c>
      <c r="E6358" s="159">
        <v>78</v>
      </c>
      <c r="F6358" s="131"/>
      <c r="G6358" s="132"/>
      <c r="H6358" s="162" t="s">
        <v>31129</v>
      </c>
      <c r="I6358" s="158" t="s">
        <v>31130</v>
      </c>
      <c r="J6358" s="128"/>
      <c r="K6358" s="128"/>
      <c r="L6358" s="128"/>
      <c r="M6358" s="129"/>
      <c r="N6358" s="129"/>
      <c r="O6358" s="129"/>
    </row>
    <row r="6359" spans="1:15" ht="12.5">
      <c r="A6359" s="158" t="s">
        <v>31133</v>
      </c>
      <c r="B6359" s="159">
        <v>70</v>
      </c>
      <c r="C6359" s="159">
        <v>75</v>
      </c>
      <c r="D6359" s="159">
        <v>70</v>
      </c>
      <c r="E6359" s="159">
        <v>89</v>
      </c>
      <c r="F6359" s="131"/>
      <c r="G6359" s="132"/>
      <c r="H6359" s="162" t="s">
        <v>31134</v>
      </c>
      <c r="I6359" s="158" t="s">
        <v>31135</v>
      </c>
      <c r="J6359" s="128"/>
      <c r="K6359" s="128"/>
      <c r="L6359" s="128"/>
      <c r="M6359" s="129"/>
      <c r="N6359" s="129"/>
      <c r="O6359" s="129"/>
    </row>
    <row r="6360" spans="1:15" ht="12.5">
      <c r="A6360" s="158" t="s">
        <v>31136</v>
      </c>
      <c r="B6360" s="159">
        <v>70</v>
      </c>
      <c r="C6360" s="159">
        <v>75</v>
      </c>
      <c r="D6360" s="159">
        <v>70</v>
      </c>
      <c r="E6360" s="159">
        <v>90</v>
      </c>
      <c r="F6360" s="131"/>
      <c r="G6360" s="132"/>
      <c r="H6360" s="162" t="s">
        <v>31137</v>
      </c>
      <c r="I6360" s="158" t="s">
        <v>31138</v>
      </c>
      <c r="J6360" s="128"/>
      <c r="K6360" s="128"/>
      <c r="L6360" s="128"/>
      <c r="M6360" s="129"/>
      <c r="N6360" s="129"/>
      <c r="O6360" s="129"/>
    </row>
    <row r="6361" spans="1:15" ht="12.5">
      <c r="A6361" s="158" t="s">
        <v>31141</v>
      </c>
      <c r="B6361" s="159">
        <v>70</v>
      </c>
      <c r="C6361" s="159">
        <v>75</v>
      </c>
      <c r="D6361" s="159">
        <v>72</v>
      </c>
      <c r="E6361" s="130"/>
      <c r="F6361" s="131"/>
      <c r="G6361" s="132"/>
      <c r="H6361" s="162" t="s">
        <v>31142</v>
      </c>
      <c r="I6361" s="128"/>
      <c r="J6361" s="128"/>
      <c r="K6361" s="128"/>
      <c r="L6361" s="128"/>
      <c r="M6361" s="129"/>
      <c r="N6361" s="129"/>
      <c r="O6361" s="129"/>
    </row>
    <row r="6362" spans="1:15" ht="12.5">
      <c r="A6362" s="158" t="s">
        <v>31143</v>
      </c>
      <c r="B6362" s="159">
        <v>70</v>
      </c>
      <c r="C6362" s="159">
        <v>75</v>
      </c>
      <c r="D6362" s="159">
        <v>72</v>
      </c>
      <c r="E6362" s="159">
        <v>1</v>
      </c>
      <c r="F6362" s="131"/>
      <c r="G6362" s="132"/>
      <c r="H6362" s="162" t="s">
        <v>31144</v>
      </c>
      <c r="I6362" s="158" t="s">
        <v>31145</v>
      </c>
      <c r="J6362" s="128"/>
      <c r="K6362" s="128"/>
      <c r="L6362" s="128"/>
      <c r="M6362" s="129"/>
      <c r="N6362" s="129"/>
      <c r="O6362" s="129"/>
    </row>
    <row r="6363" spans="1:15" ht="12.5">
      <c r="A6363" s="158" t="s">
        <v>31146</v>
      </c>
      <c r="B6363" s="159">
        <v>70</v>
      </c>
      <c r="C6363" s="159">
        <v>75</v>
      </c>
      <c r="D6363" s="159">
        <v>72</v>
      </c>
      <c r="E6363" s="159">
        <v>7</v>
      </c>
      <c r="F6363" s="131"/>
      <c r="G6363" s="132"/>
      <c r="H6363" s="162" t="s">
        <v>31147</v>
      </c>
      <c r="I6363" s="128"/>
      <c r="J6363" s="128"/>
      <c r="K6363" s="128"/>
      <c r="L6363" s="128"/>
      <c r="M6363" s="129"/>
      <c r="N6363" s="129"/>
      <c r="O6363" s="129"/>
    </row>
    <row r="6364" spans="1:15" ht="12.5">
      <c r="A6364" s="158" t="s">
        <v>31148</v>
      </c>
      <c r="B6364" s="159">
        <v>70</v>
      </c>
      <c r="C6364" s="159">
        <v>75</v>
      </c>
      <c r="D6364" s="159">
        <v>72</v>
      </c>
      <c r="E6364" s="159">
        <v>22</v>
      </c>
      <c r="F6364" s="131"/>
      <c r="G6364" s="132"/>
      <c r="H6364" s="162" t="s">
        <v>31149</v>
      </c>
      <c r="I6364" s="158" t="s">
        <v>31150</v>
      </c>
      <c r="J6364" s="128"/>
      <c r="K6364" s="128"/>
      <c r="L6364" s="128"/>
      <c r="M6364" s="129"/>
      <c r="N6364" s="129"/>
      <c r="O6364" s="129"/>
    </row>
    <row r="6365" spans="1:15" ht="12.5">
      <c r="A6365" s="158" t="s">
        <v>31151</v>
      </c>
      <c r="B6365" s="159">
        <v>70</v>
      </c>
      <c r="C6365" s="159">
        <v>75</v>
      </c>
      <c r="D6365" s="159">
        <v>72</v>
      </c>
      <c r="E6365" s="159">
        <v>30</v>
      </c>
      <c r="F6365" s="131"/>
      <c r="G6365" s="132"/>
      <c r="H6365" s="162" t="s">
        <v>31152</v>
      </c>
      <c r="I6365" s="128"/>
      <c r="J6365" s="128"/>
      <c r="K6365" s="128"/>
      <c r="L6365" s="128"/>
      <c r="M6365" s="129"/>
      <c r="N6365" s="129"/>
      <c r="O6365" s="129"/>
    </row>
    <row r="6366" spans="1:15" ht="12.5">
      <c r="A6366" s="158" t="s">
        <v>31153</v>
      </c>
      <c r="B6366" s="159">
        <v>70</v>
      </c>
      <c r="C6366" s="159">
        <v>75</v>
      </c>
      <c r="D6366" s="159">
        <v>72</v>
      </c>
      <c r="E6366" s="159">
        <v>48</v>
      </c>
      <c r="F6366" s="131"/>
      <c r="G6366" s="132"/>
      <c r="H6366" s="162" t="s">
        <v>31154</v>
      </c>
      <c r="I6366" s="128"/>
      <c r="J6366" s="128"/>
      <c r="K6366" s="128"/>
      <c r="L6366" s="128"/>
      <c r="M6366" s="129"/>
      <c r="N6366" s="129"/>
      <c r="O6366" s="129"/>
    </row>
    <row r="6367" spans="1:15" ht="12.5">
      <c r="A6367" s="158" t="s">
        <v>31155</v>
      </c>
      <c r="B6367" s="159">
        <v>70</v>
      </c>
      <c r="C6367" s="159">
        <v>75</v>
      </c>
      <c r="D6367" s="159">
        <v>72</v>
      </c>
      <c r="E6367" s="159">
        <v>49</v>
      </c>
      <c r="F6367" s="131"/>
      <c r="G6367" s="132"/>
      <c r="H6367" s="162" t="s">
        <v>31156</v>
      </c>
      <c r="I6367" s="158" t="s">
        <v>31157</v>
      </c>
      <c r="J6367" s="128"/>
      <c r="K6367" s="128"/>
      <c r="L6367" s="128"/>
      <c r="M6367" s="129"/>
      <c r="N6367" s="129"/>
      <c r="O6367" s="129"/>
    </row>
    <row r="6368" spans="1:15" ht="12.5">
      <c r="A6368" s="158" t="s">
        <v>31158</v>
      </c>
      <c r="B6368" s="159">
        <v>70</v>
      </c>
      <c r="C6368" s="159">
        <v>75</v>
      </c>
      <c r="D6368" s="159">
        <v>72</v>
      </c>
      <c r="E6368" s="159">
        <v>50</v>
      </c>
      <c r="F6368" s="131"/>
      <c r="G6368" s="132"/>
      <c r="H6368" s="162" t="s">
        <v>31159</v>
      </c>
      <c r="I6368" s="158" t="s">
        <v>31160</v>
      </c>
      <c r="J6368" s="128"/>
      <c r="K6368" s="128"/>
      <c r="L6368" s="128"/>
      <c r="M6368" s="129"/>
      <c r="N6368" s="129"/>
      <c r="O6368" s="129"/>
    </row>
    <row r="6369" spans="1:15" ht="12.5">
      <c r="A6369" s="158" t="s">
        <v>31161</v>
      </c>
      <c r="B6369" s="159">
        <v>70</v>
      </c>
      <c r="C6369" s="159">
        <v>75</v>
      </c>
      <c r="D6369" s="159">
        <v>72</v>
      </c>
      <c r="E6369" s="159">
        <v>51</v>
      </c>
      <c r="F6369" s="131"/>
      <c r="G6369" s="132"/>
      <c r="H6369" s="162" t="s">
        <v>31162</v>
      </c>
      <c r="I6369" s="158" t="s">
        <v>31163</v>
      </c>
      <c r="J6369" s="128"/>
      <c r="K6369" s="128"/>
      <c r="L6369" s="128"/>
      <c r="M6369" s="129"/>
      <c r="N6369" s="129"/>
      <c r="O6369" s="129"/>
    </row>
    <row r="6370" spans="1:15" ht="12.5">
      <c r="A6370" s="158" t="s">
        <v>31164</v>
      </c>
      <c r="B6370" s="159">
        <v>70</v>
      </c>
      <c r="C6370" s="159">
        <v>75</v>
      </c>
      <c r="D6370" s="159">
        <v>72</v>
      </c>
      <c r="E6370" s="159">
        <v>53</v>
      </c>
      <c r="F6370" s="131"/>
      <c r="G6370" s="132"/>
      <c r="H6370" s="162" t="s">
        <v>31165</v>
      </c>
      <c r="I6370" s="158" t="s">
        <v>31166</v>
      </c>
      <c r="J6370" s="128"/>
      <c r="K6370" s="128"/>
      <c r="L6370" s="128"/>
      <c r="M6370" s="129"/>
      <c r="N6370" s="129"/>
      <c r="O6370" s="129"/>
    </row>
    <row r="6371" spans="1:15" ht="12.5">
      <c r="A6371" s="158" t="s">
        <v>31167</v>
      </c>
      <c r="B6371" s="159">
        <v>70</v>
      </c>
      <c r="C6371" s="159">
        <v>75</v>
      </c>
      <c r="D6371" s="159">
        <v>72</v>
      </c>
      <c r="E6371" s="159">
        <v>54</v>
      </c>
      <c r="F6371" s="131"/>
      <c r="G6371" s="132"/>
      <c r="H6371" s="162" t="s">
        <v>31168</v>
      </c>
      <c r="I6371" s="158" t="s">
        <v>31169</v>
      </c>
      <c r="J6371" s="128"/>
      <c r="K6371" s="128"/>
      <c r="L6371" s="128"/>
      <c r="M6371" s="129"/>
      <c r="N6371" s="129"/>
      <c r="O6371" s="129"/>
    </row>
    <row r="6372" spans="1:15" ht="12.5">
      <c r="A6372" s="158" t="s">
        <v>31170</v>
      </c>
      <c r="B6372" s="159">
        <v>70</v>
      </c>
      <c r="C6372" s="159">
        <v>75</v>
      </c>
      <c r="D6372" s="159">
        <v>72</v>
      </c>
      <c r="E6372" s="159">
        <v>60</v>
      </c>
      <c r="F6372" s="131"/>
      <c r="G6372" s="132"/>
      <c r="H6372" s="162" t="s">
        <v>31171</v>
      </c>
      <c r="I6372" s="128"/>
      <c r="J6372" s="128"/>
      <c r="K6372" s="128"/>
      <c r="L6372" s="128"/>
      <c r="M6372" s="129"/>
      <c r="N6372" s="129"/>
      <c r="O6372" s="129"/>
    </row>
    <row r="6373" spans="1:15" ht="12.5">
      <c r="A6373" s="158" t="s">
        <v>31172</v>
      </c>
      <c r="B6373" s="159">
        <v>70</v>
      </c>
      <c r="C6373" s="159">
        <v>75</v>
      </c>
      <c r="D6373" s="159">
        <v>72</v>
      </c>
      <c r="E6373" s="159">
        <v>61</v>
      </c>
      <c r="F6373" s="131"/>
      <c r="G6373" s="132"/>
      <c r="H6373" s="162" t="s">
        <v>31173</v>
      </c>
      <c r="I6373" s="158" t="s">
        <v>31174</v>
      </c>
      <c r="J6373" s="128"/>
      <c r="K6373" s="128"/>
      <c r="L6373" s="128"/>
      <c r="M6373" s="129"/>
      <c r="N6373" s="129"/>
      <c r="O6373" s="129"/>
    </row>
    <row r="6374" spans="1:15" ht="12.5">
      <c r="A6374" s="158" t="s">
        <v>31175</v>
      </c>
      <c r="B6374" s="159">
        <v>70</v>
      </c>
      <c r="C6374" s="159">
        <v>75</v>
      </c>
      <c r="D6374" s="159">
        <v>72</v>
      </c>
      <c r="E6374" s="159">
        <v>80</v>
      </c>
      <c r="F6374" s="131"/>
      <c r="G6374" s="132"/>
      <c r="H6374" s="162" t="s">
        <v>31176</v>
      </c>
      <c r="I6374" s="128"/>
      <c r="J6374" s="128"/>
      <c r="K6374" s="128"/>
      <c r="L6374" s="128"/>
      <c r="M6374" s="129"/>
      <c r="N6374" s="129"/>
      <c r="O6374" s="129"/>
    </row>
    <row r="6375" spans="1:15" ht="12.5">
      <c r="A6375" s="158" t="s">
        <v>31177</v>
      </c>
      <c r="B6375" s="159">
        <v>70</v>
      </c>
      <c r="C6375" s="159">
        <v>75</v>
      </c>
      <c r="D6375" s="159">
        <v>72</v>
      </c>
      <c r="E6375" s="159">
        <v>87</v>
      </c>
      <c r="F6375" s="131"/>
      <c r="G6375" s="132"/>
      <c r="H6375" s="162" t="s">
        <v>31178</v>
      </c>
      <c r="I6375" s="158" t="s">
        <v>31179</v>
      </c>
      <c r="J6375" s="128"/>
      <c r="K6375" s="128"/>
      <c r="L6375" s="128"/>
      <c r="M6375" s="129"/>
      <c r="N6375" s="129"/>
      <c r="O6375" s="129"/>
    </row>
    <row r="6376" spans="1:15" ht="12.5">
      <c r="A6376" s="158" t="s">
        <v>31180</v>
      </c>
      <c r="B6376" s="159">
        <v>70</v>
      </c>
      <c r="C6376" s="159">
        <v>75</v>
      </c>
      <c r="D6376" s="159">
        <v>72</v>
      </c>
      <c r="E6376" s="159">
        <v>89</v>
      </c>
      <c r="F6376" s="131"/>
      <c r="G6376" s="132"/>
      <c r="H6376" s="162" t="s">
        <v>31181</v>
      </c>
      <c r="I6376" s="128"/>
      <c r="J6376" s="128"/>
      <c r="K6376" s="128"/>
      <c r="L6376" s="128"/>
      <c r="M6376" s="129"/>
      <c r="N6376" s="129"/>
      <c r="O6376" s="129"/>
    </row>
    <row r="6377" spans="1:15" ht="12.5">
      <c r="A6377" s="158" t="s">
        <v>31182</v>
      </c>
      <c r="B6377" s="159">
        <v>70</v>
      </c>
      <c r="C6377" s="159">
        <v>75</v>
      </c>
      <c r="D6377" s="159">
        <v>72</v>
      </c>
      <c r="E6377" s="159">
        <v>92</v>
      </c>
      <c r="F6377" s="131"/>
      <c r="G6377" s="132"/>
      <c r="H6377" s="162" t="s">
        <v>31183</v>
      </c>
      <c r="I6377" s="128"/>
      <c r="J6377" s="128"/>
      <c r="K6377" s="128"/>
      <c r="L6377" s="128"/>
      <c r="M6377" s="129"/>
      <c r="N6377" s="129"/>
      <c r="O6377" s="129"/>
    </row>
    <row r="6378" spans="1:15" ht="12.5">
      <c r="A6378" s="158" t="s">
        <v>31184</v>
      </c>
      <c r="B6378" s="159">
        <v>70</v>
      </c>
      <c r="C6378" s="159">
        <v>75</v>
      </c>
      <c r="D6378" s="159">
        <v>72</v>
      </c>
      <c r="E6378" s="159">
        <v>94</v>
      </c>
      <c r="F6378" s="131"/>
      <c r="G6378" s="132"/>
      <c r="H6378" s="162" t="s">
        <v>31185</v>
      </c>
      <c r="I6378" s="128"/>
      <c r="J6378" s="128"/>
      <c r="K6378" s="128"/>
      <c r="L6378" s="128"/>
      <c r="M6378" s="129"/>
      <c r="N6378" s="129"/>
      <c r="O6378" s="129"/>
    </row>
    <row r="6379" spans="1:15" ht="12.5">
      <c r="A6379" s="158" t="s">
        <v>31186</v>
      </c>
      <c r="B6379" s="159">
        <v>70</v>
      </c>
      <c r="C6379" s="159">
        <v>75</v>
      </c>
      <c r="D6379" s="159">
        <v>72</v>
      </c>
      <c r="E6379" s="159">
        <v>95</v>
      </c>
      <c r="F6379" s="131"/>
      <c r="G6379" s="132"/>
      <c r="H6379" s="162" t="s">
        <v>31187</v>
      </c>
      <c r="I6379" s="128"/>
      <c r="J6379" s="128"/>
      <c r="K6379" s="128"/>
      <c r="L6379" s="128"/>
      <c r="M6379" s="129"/>
      <c r="N6379" s="129"/>
      <c r="O6379" s="129"/>
    </row>
    <row r="6380" spans="1:15" ht="12.5">
      <c r="A6380" s="158" t="s">
        <v>31188</v>
      </c>
      <c r="B6380" s="159">
        <v>70</v>
      </c>
      <c r="C6380" s="159">
        <v>75</v>
      </c>
      <c r="D6380" s="159">
        <v>72</v>
      </c>
      <c r="E6380" s="159">
        <v>96</v>
      </c>
      <c r="F6380" s="131"/>
      <c r="G6380" s="132"/>
      <c r="H6380" s="162" t="s">
        <v>31189</v>
      </c>
      <c r="I6380" s="158" t="s">
        <v>31190</v>
      </c>
      <c r="J6380" s="128"/>
      <c r="K6380" s="128"/>
      <c r="L6380" s="128"/>
      <c r="M6380" s="129"/>
      <c r="N6380" s="129"/>
      <c r="O6380" s="129"/>
    </row>
    <row r="6381" spans="1:15" ht="12.5">
      <c r="A6381" s="158" t="s">
        <v>31191</v>
      </c>
      <c r="B6381" s="159">
        <v>70</v>
      </c>
      <c r="C6381" s="159">
        <v>75</v>
      </c>
      <c r="D6381" s="159">
        <v>72</v>
      </c>
      <c r="E6381" s="159">
        <v>98</v>
      </c>
      <c r="F6381" s="131"/>
      <c r="G6381" s="132"/>
      <c r="H6381" s="162" t="s">
        <v>31192</v>
      </c>
      <c r="I6381" s="158" t="s">
        <v>31193</v>
      </c>
      <c r="J6381" s="128"/>
      <c r="K6381" s="128"/>
      <c r="L6381" s="128"/>
      <c r="M6381" s="129"/>
      <c r="N6381" s="129"/>
      <c r="O6381" s="129"/>
    </row>
    <row r="6382" spans="1:15" ht="12.5">
      <c r="A6382" s="158" t="s">
        <v>31194</v>
      </c>
      <c r="B6382" s="159">
        <v>70</v>
      </c>
      <c r="C6382" s="159">
        <v>75</v>
      </c>
      <c r="D6382" s="159">
        <v>72</v>
      </c>
      <c r="E6382" s="159">
        <v>99</v>
      </c>
      <c r="F6382" s="131"/>
      <c r="G6382" s="132"/>
      <c r="H6382" s="162" t="s">
        <v>31195</v>
      </c>
      <c r="I6382" s="158" t="s">
        <v>31196</v>
      </c>
      <c r="J6382" s="128"/>
      <c r="K6382" s="128"/>
      <c r="L6382" s="128"/>
      <c r="M6382" s="129"/>
      <c r="N6382" s="129"/>
      <c r="O6382" s="129"/>
    </row>
    <row r="6383" spans="1:15" ht="12.5">
      <c r="A6383" s="158" t="s">
        <v>31197</v>
      </c>
      <c r="B6383" s="159">
        <v>70</v>
      </c>
      <c r="C6383" s="159">
        <v>75</v>
      </c>
      <c r="D6383" s="159">
        <v>80</v>
      </c>
      <c r="E6383" s="130"/>
      <c r="F6383" s="131"/>
      <c r="G6383" s="132"/>
      <c r="H6383" s="162" t="s">
        <v>31198</v>
      </c>
      <c r="I6383" s="128"/>
      <c r="J6383" s="128"/>
      <c r="K6383" s="128"/>
      <c r="L6383" s="128"/>
      <c r="M6383" s="129"/>
      <c r="N6383" s="129"/>
      <c r="O6383" s="129"/>
    </row>
    <row r="6384" spans="1:15" ht="12.5">
      <c r="A6384" s="158" t="s">
        <v>31199</v>
      </c>
      <c r="B6384" s="159">
        <v>70</v>
      </c>
      <c r="C6384" s="159">
        <v>75</v>
      </c>
      <c r="D6384" s="159">
        <v>80</v>
      </c>
      <c r="E6384" s="159">
        <v>27</v>
      </c>
      <c r="F6384" s="131"/>
      <c r="G6384" s="132"/>
      <c r="H6384" s="162" t="s">
        <v>31200</v>
      </c>
      <c r="I6384" s="158" t="s">
        <v>31201</v>
      </c>
      <c r="J6384" s="128"/>
      <c r="K6384" s="128"/>
      <c r="L6384" s="128"/>
      <c r="M6384" s="129"/>
      <c r="N6384" s="129"/>
      <c r="O6384" s="129"/>
    </row>
    <row r="6385" spans="1:15" ht="12.5">
      <c r="A6385" s="158" t="s">
        <v>31202</v>
      </c>
      <c r="B6385" s="159">
        <v>70</v>
      </c>
      <c r="C6385" s="159">
        <v>75</v>
      </c>
      <c r="D6385" s="159">
        <v>80</v>
      </c>
      <c r="E6385" s="159">
        <v>46</v>
      </c>
      <c r="F6385" s="131"/>
      <c r="G6385" s="132"/>
      <c r="H6385" s="162" t="s">
        <v>31203</v>
      </c>
      <c r="I6385" s="158" t="s">
        <v>31204</v>
      </c>
      <c r="J6385" s="128"/>
      <c r="K6385" s="128"/>
      <c r="L6385" s="128"/>
      <c r="M6385" s="129"/>
      <c r="N6385" s="129"/>
      <c r="O6385" s="129"/>
    </row>
    <row r="6386" spans="1:15" ht="12.5">
      <c r="A6386" s="158" t="s">
        <v>31205</v>
      </c>
      <c r="B6386" s="159">
        <v>70</v>
      </c>
      <c r="C6386" s="159">
        <v>75</v>
      </c>
      <c r="D6386" s="159">
        <v>80</v>
      </c>
      <c r="E6386" s="159">
        <v>48</v>
      </c>
      <c r="F6386" s="131"/>
      <c r="G6386" s="132"/>
      <c r="H6386" s="162" t="s">
        <v>31206</v>
      </c>
      <c r="I6386" s="158" t="s">
        <v>31207</v>
      </c>
      <c r="J6386" s="128"/>
      <c r="K6386" s="128"/>
      <c r="L6386" s="128"/>
      <c r="M6386" s="129"/>
      <c r="N6386" s="129"/>
      <c r="O6386" s="129"/>
    </row>
    <row r="6387" spans="1:15" ht="12.5">
      <c r="A6387" s="158" t="s">
        <v>31208</v>
      </c>
      <c r="B6387" s="159">
        <v>70</v>
      </c>
      <c r="C6387" s="159">
        <v>75</v>
      </c>
      <c r="D6387" s="159">
        <v>80</v>
      </c>
      <c r="E6387" s="159">
        <v>50</v>
      </c>
      <c r="F6387" s="131"/>
      <c r="G6387" s="132"/>
      <c r="H6387" s="162" t="s">
        <v>31209</v>
      </c>
      <c r="I6387" s="128"/>
      <c r="J6387" s="128"/>
      <c r="K6387" s="128"/>
      <c r="L6387" s="128"/>
      <c r="M6387" s="129"/>
      <c r="N6387" s="129"/>
      <c r="O6387" s="129"/>
    </row>
    <row r="6388" spans="1:15" ht="12.5">
      <c r="A6388" s="158" t="s">
        <v>31210</v>
      </c>
      <c r="B6388" s="159">
        <v>70</v>
      </c>
      <c r="C6388" s="159">
        <v>75</v>
      </c>
      <c r="D6388" s="159">
        <v>80</v>
      </c>
      <c r="E6388" s="159">
        <v>72</v>
      </c>
      <c r="F6388" s="131"/>
      <c r="G6388" s="132"/>
      <c r="H6388" s="162" t="s">
        <v>31211</v>
      </c>
      <c r="I6388" s="158" t="s">
        <v>31212</v>
      </c>
      <c r="J6388" s="128"/>
      <c r="K6388" s="128"/>
      <c r="L6388" s="128"/>
      <c r="M6388" s="129"/>
      <c r="N6388" s="129"/>
      <c r="O6388" s="129"/>
    </row>
    <row r="6389" spans="1:15" ht="12.5">
      <c r="A6389" s="158" t="s">
        <v>31213</v>
      </c>
      <c r="B6389" s="159">
        <v>70</v>
      </c>
      <c r="C6389" s="159">
        <v>75</v>
      </c>
      <c r="D6389" s="159">
        <v>80</v>
      </c>
      <c r="E6389" s="159">
        <v>82</v>
      </c>
      <c r="F6389" s="131"/>
      <c r="G6389" s="132"/>
      <c r="H6389" s="162" t="s">
        <v>31214</v>
      </c>
      <c r="I6389" s="158" t="s">
        <v>31215</v>
      </c>
      <c r="J6389" s="128"/>
      <c r="K6389" s="128"/>
      <c r="L6389" s="128"/>
      <c r="M6389" s="129"/>
      <c r="N6389" s="129"/>
      <c r="O6389" s="129"/>
    </row>
    <row r="6390" spans="1:15" ht="12.5">
      <c r="A6390" s="158" t="s">
        <v>31216</v>
      </c>
      <c r="B6390" s="159">
        <v>70</v>
      </c>
      <c r="C6390" s="159">
        <v>75</v>
      </c>
      <c r="D6390" s="159">
        <v>80</v>
      </c>
      <c r="E6390" s="159">
        <v>83</v>
      </c>
      <c r="F6390" s="131"/>
      <c r="G6390" s="132"/>
      <c r="H6390" s="162" t="s">
        <v>31217</v>
      </c>
      <c r="I6390" s="158" t="s">
        <v>31218</v>
      </c>
      <c r="J6390" s="128"/>
      <c r="K6390" s="128"/>
      <c r="L6390" s="128"/>
      <c r="M6390" s="129"/>
      <c r="N6390" s="129"/>
      <c r="O6390" s="129"/>
    </row>
    <row r="6391" spans="1:15" ht="12.5">
      <c r="A6391" s="158" t="s">
        <v>31219</v>
      </c>
      <c r="B6391" s="159">
        <v>70</v>
      </c>
      <c r="C6391" s="159">
        <v>75</v>
      </c>
      <c r="D6391" s="159">
        <v>80</v>
      </c>
      <c r="E6391" s="159">
        <v>84</v>
      </c>
      <c r="F6391" s="131"/>
      <c r="G6391" s="132"/>
      <c r="H6391" s="162" t="s">
        <v>31220</v>
      </c>
      <c r="I6391" s="158" t="s">
        <v>31221</v>
      </c>
      <c r="J6391" s="128"/>
      <c r="K6391" s="128"/>
      <c r="L6391" s="128"/>
      <c r="M6391" s="129"/>
      <c r="N6391" s="129"/>
      <c r="O6391" s="129"/>
    </row>
    <row r="6392" spans="1:15" ht="12.5">
      <c r="A6392" s="158" t="s">
        <v>31222</v>
      </c>
      <c r="B6392" s="159">
        <v>70</v>
      </c>
      <c r="C6392" s="159">
        <v>75</v>
      </c>
      <c r="D6392" s="159">
        <v>80</v>
      </c>
      <c r="E6392" s="159">
        <v>85</v>
      </c>
      <c r="F6392" s="131"/>
      <c r="G6392" s="132"/>
      <c r="H6392" s="162" t="s">
        <v>31223</v>
      </c>
      <c r="I6392" s="158" t="s">
        <v>31224</v>
      </c>
      <c r="J6392" s="128"/>
      <c r="K6392" s="128"/>
      <c r="L6392" s="128"/>
      <c r="M6392" s="129"/>
      <c r="N6392" s="129"/>
      <c r="O6392" s="129"/>
    </row>
    <row r="6393" spans="1:15" ht="12.5">
      <c r="A6393" s="158" t="s">
        <v>31225</v>
      </c>
      <c r="B6393" s="159">
        <v>70</v>
      </c>
      <c r="C6393" s="159">
        <v>75</v>
      </c>
      <c r="D6393" s="159">
        <v>88</v>
      </c>
      <c r="E6393" s="130"/>
      <c r="F6393" s="131"/>
      <c r="G6393" s="132"/>
      <c r="H6393" s="162" t="s">
        <v>31226</v>
      </c>
      <c r="I6393" s="128"/>
      <c r="J6393" s="128"/>
      <c r="K6393" s="128"/>
      <c r="L6393" s="128"/>
      <c r="M6393" s="129"/>
      <c r="N6393" s="129"/>
      <c r="O6393" s="129"/>
    </row>
    <row r="6394" spans="1:15" ht="12.5">
      <c r="A6394" s="158" t="s">
        <v>31227</v>
      </c>
      <c r="B6394" s="159">
        <v>70</v>
      </c>
      <c r="C6394" s="159">
        <v>75</v>
      </c>
      <c r="D6394" s="159">
        <v>88</v>
      </c>
      <c r="E6394" s="159">
        <v>1</v>
      </c>
      <c r="F6394" s="131"/>
      <c r="G6394" s="132"/>
      <c r="H6394" s="162" t="s">
        <v>31228</v>
      </c>
      <c r="I6394" s="158" t="s">
        <v>31229</v>
      </c>
      <c r="J6394" s="128"/>
      <c r="K6394" s="128"/>
      <c r="L6394" s="128"/>
      <c r="M6394" s="129"/>
      <c r="N6394" s="129"/>
      <c r="O6394" s="129"/>
    </row>
    <row r="6395" spans="1:15" ht="12.5">
      <c r="A6395" s="158" t="s">
        <v>31230</v>
      </c>
      <c r="B6395" s="159">
        <v>70</v>
      </c>
      <c r="C6395" s="159">
        <v>75</v>
      </c>
      <c r="D6395" s="159">
        <v>88</v>
      </c>
      <c r="E6395" s="159">
        <v>3</v>
      </c>
      <c r="F6395" s="131"/>
      <c r="G6395" s="132"/>
      <c r="H6395" s="162" t="s">
        <v>31231</v>
      </c>
      <c r="I6395" s="158" t="s">
        <v>31232</v>
      </c>
      <c r="J6395" s="128"/>
      <c r="K6395" s="128"/>
      <c r="L6395" s="128"/>
      <c r="M6395" s="129"/>
      <c r="N6395" s="129"/>
      <c r="O6395" s="129"/>
    </row>
    <row r="6396" spans="1:15" ht="12.5">
      <c r="A6396" s="158" t="s">
        <v>31233</v>
      </c>
      <c r="B6396" s="159">
        <v>70</v>
      </c>
      <c r="C6396" s="159">
        <v>75</v>
      </c>
      <c r="D6396" s="159">
        <v>88</v>
      </c>
      <c r="E6396" s="159">
        <v>21</v>
      </c>
      <c r="F6396" s="131"/>
      <c r="G6396" s="132"/>
      <c r="H6396" s="162" t="s">
        <v>31234</v>
      </c>
      <c r="I6396" s="158" t="s">
        <v>31235</v>
      </c>
      <c r="J6396" s="128"/>
      <c r="K6396" s="128"/>
      <c r="L6396" s="128"/>
      <c r="M6396" s="129"/>
      <c r="N6396" s="129"/>
      <c r="O6396" s="129"/>
    </row>
    <row r="6397" spans="1:15" ht="12.5">
      <c r="A6397" s="158" t="s">
        <v>31236</v>
      </c>
      <c r="B6397" s="159">
        <v>70</v>
      </c>
      <c r="C6397" s="159">
        <v>75</v>
      </c>
      <c r="D6397" s="159">
        <v>88</v>
      </c>
      <c r="E6397" s="159">
        <v>22</v>
      </c>
      <c r="F6397" s="131"/>
      <c r="G6397" s="132"/>
      <c r="H6397" s="162" t="s">
        <v>31237</v>
      </c>
      <c r="I6397" s="128"/>
      <c r="J6397" s="128"/>
      <c r="K6397" s="128"/>
      <c r="L6397" s="128"/>
      <c r="M6397" s="129"/>
      <c r="N6397" s="129"/>
      <c r="O6397" s="129"/>
    </row>
    <row r="6398" spans="1:15" ht="12.5">
      <c r="A6398" s="158" t="s">
        <v>31238</v>
      </c>
      <c r="B6398" s="159">
        <v>70</v>
      </c>
      <c r="C6398" s="159">
        <v>75</v>
      </c>
      <c r="D6398" s="159">
        <v>88</v>
      </c>
      <c r="E6398" s="159">
        <v>24</v>
      </c>
      <c r="F6398" s="131"/>
      <c r="G6398" s="132"/>
      <c r="H6398" s="162" t="s">
        <v>31239</v>
      </c>
      <c r="I6398" s="158" t="s">
        <v>31232</v>
      </c>
      <c r="J6398" s="128"/>
      <c r="K6398" s="128"/>
      <c r="L6398" s="128"/>
      <c r="M6398" s="129"/>
      <c r="N6398" s="129"/>
      <c r="O6398" s="129"/>
    </row>
    <row r="6399" spans="1:15" ht="12.5">
      <c r="A6399" s="158" t="s">
        <v>31240</v>
      </c>
      <c r="B6399" s="159">
        <v>70</v>
      </c>
      <c r="C6399" s="159">
        <v>75</v>
      </c>
      <c r="D6399" s="159">
        <v>88</v>
      </c>
      <c r="E6399" s="159">
        <v>27</v>
      </c>
      <c r="F6399" s="131"/>
      <c r="G6399" s="132"/>
      <c r="H6399" s="162" t="s">
        <v>31241</v>
      </c>
      <c r="I6399" s="158" t="s">
        <v>31242</v>
      </c>
      <c r="J6399" s="128"/>
      <c r="K6399" s="128"/>
      <c r="L6399" s="128"/>
      <c r="M6399" s="129"/>
      <c r="N6399" s="129"/>
      <c r="O6399" s="129"/>
    </row>
    <row r="6400" spans="1:15" ht="12.5">
      <c r="A6400" s="158" t="s">
        <v>31243</v>
      </c>
      <c r="B6400" s="159">
        <v>70</v>
      </c>
      <c r="C6400" s="159">
        <v>75</v>
      </c>
      <c r="D6400" s="159">
        <v>88</v>
      </c>
      <c r="E6400" s="159">
        <v>60</v>
      </c>
      <c r="F6400" s="131"/>
      <c r="G6400" s="132"/>
      <c r="H6400" s="162" t="s">
        <v>31244</v>
      </c>
      <c r="I6400" s="158" t="s">
        <v>31245</v>
      </c>
      <c r="J6400" s="128"/>
      <c r="K6400" s="128"/>
      <c r="L6400" s="128"/>
      <c r="M6400" s="129"/>
      <c r="N6400" s="129"/>
      <c r="O6400" s="129"/>
    </row>
    <row r="6401" spans="1:15" ht="12.5">
      <c r="A6401" s="158" t="s">
        <v>31246</v>
      </c>
      <c r="B6401" s="159">
        <v>70</v>
      </c>
      <c r="C6401" s="159">
        <v>75</v>
      </c>
      <c r="D6401" s="159">
        <v>88</v>
      </c>
      <c r="E6401" s="159">
        <v>83</v>
      </c>
      <c r="F6401" s="131"/>
      <c r="G6401" s="132"/>
      <c r="H6401" s="162" t="s">
        <v>31247</v>
      </c>
      <c r="I6401" s="158" t="s">
        <v>31248</v>
      </c>
      <c r="J6401" s="128"/>
      <c r="K6401" s="128"/>
      <c r="L6401" s="128"/>
      <c r="M6401" s="129"/>
      <c r="N6401" s="129"/>
      <c r="O6401" s="129"/>
    </row>
    <row r="6402" spans="1:15" ht="12.5">
      <c r="A6402" s="158" t="s">
        <v>31249</v>
      </c>
      <c r="B6402" s="159">
        <v>70</v>
      </c>
      <c r="C6402" s="159">
        <v>75</v>
      </c>
      <c r="D6402" s="159">
        <v>88</v>
      </c>
      <c r="E6402" s="159">
        <v>86</v>
      </c>
      <c r="F6402" s="131"/>
      <c r="G6402" s="132"/>
      <c r="H6402" s="162" t="s">
        <v>31250</v>
      </c>
      <c r="I6402" s="158" t="s">
        <v>31251</v>
      </c>
      <c r="J6402" s="128"/>
      <c r="K6402" s="128"/>
      <c r="L6402" s="128"/>
      <c r="M6402" s="129"/>
      <c r="N6402" s="129"/>
      <c r="O6402" s="129"/>
    </row>
    <row r="6403" spans="1:15" ht="12.5">
      <c r="A6403" s="158" t="s">
        <v>31252</v>
      </c>
      <c r="B6403" s="159">
        <v>70</v>
      </c>
      <c r="C6403" s="159">
        <v>75</v>
      </c>
      <c r="D6403" s="159">
        <v>88</v>
      </c>
      <c r="E6403" s="159">
        <v>87</v>
      </c>
      <c r="F6403" s="131"/>
      <c r="G6403" s="132"/>
      <c r="H6403" s="162" t="s">
        <v>31253</v>
      </c>
      <c r="I6403" s="158" t="s">
        <v>31254</v>
      </c>
      <c r="J6403" s="128"/>
      <c r="K6403" s="128"/>
      <c r="L6403" s="128"/>
      <c r="M6403" s="129"/>
      <c r="N6403" s="129"/>
      <c r="O6403" s="129"/>
    </row>
    <row r="6404" spans="1:15" ht="12.5">
      <c r="A6404" s="158" t="s">
        <v>31255</v>
      </c>
      <c r="B6404" s="159">
        <v>70</v>
      </c>
      <c r="C6404" s="159">
        <v>75</v>
      </c>
      <c r="D6404" s="159">
        <v>88</v>
      </c>
      <c r="E6404" s="159">
        <v>89</v>
      </c>
      <c r="F6404" s="131"/>
      <c r="G6404" s="132"/>
      <c r="H6404" s="162" t="s">
        <v>31256</v>
      </c>
      <c r="I6404" s="158" t="s">
        <v>31257</v>
      </c>
      <c r="J6404" s="128"/>
      <c r="K6404" s="128"/>
      <c r="L6404" s="128"/>
      <c r="M6404" s="129"/>
      <c r="N6404" s="129"/>
      <c r="O6404" s="129"/>
    </row>
    <row r="6405" spans="1:15" ht="12.5">
      <c r="A6405" s="158" t="s">
        <v>31258</v>
      </c>
      <c r="B6405" s="159">
        <v>70</v>
      </c>
      <c r="C6405" s="159">
        <v>75</v>
      </c>
      <c r="D6405" s="159">
        <v>94</v>
      </c>
      <c r="E6405" s="130"/>
      <c r="F6405" s="131"/>
      <c r="G6405" s="132"/>
      <c r="H6405" s="162" t="s">
        <v>31259</v>
      </c>
      <c r="I6405" s="128"/>
      <c r="J6405" s="128"/>
      <c r="K6405" s="128"/>
      <c r="L6405" s="128"/>
      <c r="M6405" s="129"/>
      <c r="N6405" s="129"/>
      <c r="O6405" s="129"/>
    </row>
    <row r="6406" spans="1:15" ht="12.5">
      <c r="A6406" s="158" t="s">
        <v>31260</v>
      </c>
      <c r="B6406" s="159">
        <v>70</v>
      </c>
      <c r="C6406" s="159">
        <v>75</v>
      </c>
      <c r="D6406" s="159">
        <v>94</v>
      </c>
      <c r="E6406" s="159">
        <v>27</v>
      </c>
      <c r="F6406" s="131"/>
      <c r="G6406" s="132"/>
      <c r="H6406" s="162" t="s">
        <v>31261</v>
      </c>
      <c r="I6406" s="128"/>
      <c r="J6406" s="128"/>
      <c r="K6406" s="128"/>
      <c r="L6406" s="128"/>
      <c r="M6406" s="129"/>
      <c r="N6406" s="129"/>
      <c r="O6406" s="129"/>
    </row>
    <row r="6407" spans="1:15" ht="12.5">
      <c r="A6407" s="158" t="s">
        <v>31262</v>
      </c>
      <c r="B6407" s="159">
        <v>70</v>
      </c>
      <c r="C6407" s="159">
        <v>75</v>
      </c>
      <c r="D6407" s="159">
        <v>94</v>
      </c>
      <c r="E6407" s="159">
        <v>28</v>
      </c>
      <c r="F6407" s="131"/>
      <c r="G6407" s="132"/>
      <c r="H6407" s="162" t="s">
        <v>31263</v>
      </c>
      <c r="I6407" s="158" t="s">
        <v>31264</v>
      </c>
      <c r="J6407" s="128"/>
      <c r="K6407" s="128"/>
      <c r="L6407" s="128"/>
      <c r="M6407" s="129"/>
      <c r="N6407" s="129"/>
      <c r="O6407" s="129"/>
    </row>
    <row r="6408" spans="1:15" ht="12.5">
      <c r="A6408" s="158" t="s">
        <v>31265</v>
      </c>
      <c r="B6408" s="159">
        <v>70</v>
      </c>
      <c r="C6408" s="159">
        <v>75</v>
      </c>
      <c r="D6408" s="159">
        <v>94</v>
      </c>
      <c r="E6408" s="159">
        <v>29</v>
      </c>
      <c r="F6408" s="131"/>
      <c r="G6408" s="132"/>
      <c r="H6408" s="162" t="s">
        <v>31266</v>
      </c>
      <c r="I6408" s="158" t="s">
        <v>31269</v>
      </c>
      <c r="J6408" s="128"/>
      <c r="K6408" s="128"/>
      <c r="L6408" s="128"/>
      <c r="M6408" s="129"/>
      <c r="N6408" s="129"/>
      <c r="O6408" s="129"/>
    </row>
    <row r="6409" spans="1:15" ht="12.5">
      <c r="A6409" s="158" t="s">
        <v>31270</v>
      </c>
      <c r="B6409" s="159">
        <v>70</v>
      </c>
      <c r="C6409" s="159">
        <v>75</v>
      </c>
      <c r="D6409" s="159">
        <v>94</v>
      </c>
      <c r="E6409" s="159">
        <v>42</v>
      </c>
      <c r="F6409" s="131"/>
      <c r="G6409" s="132"/>
      <c r="H6409" s="162" t="s">
        <v>31271</v>
      </c>
      <c r="I6409" s="128"/>
      <c r="J6409" s="128"/>
      <c r="K6409" s="128"/>
      <c r="L6409" s="128"/>
      <c r="M6409" s="129"/>
      <c r="N6409" s="129"/>
      <c r="O6409" s="129"/>
    </row>
    <row r="6410" spans="1:15" ht="12.5">
      <c r="A6410" s="158" t="s">
        <v>31272</v>
      </c>
      <c r="B6410" s="159">
        <v>70</v>
      </c>
      <c r="C6410" s="159">
        <v>75</v>
      </c>
      <c r="D6410" s="159">
        <v>94</v>
      </c>
      <c r="E6410" s="159">
        <v>46</v>
      </c>
      <c r="F6410" s="131"/>
      <c r="G6410" s="132"/>
      <c r="H6410" s="162" t="s">
        <v>31273</v>
      </c>
      <c r="I6410" s="158" t="s">
        <v>31269</v>
      </c>
      <c r="J6410" s="128"/>
      <c r="K6410" s="128"/>
      <c r="L6410" s="128"/>
      <c r="M6410" s="129"/>
      <c r="N6410" s="129"/>
      <c r="O6410" s="129"/>
    </row>
    <row r="6411" spans="1:15" ht="12.5">
      <c r="A6411" s="158" t="s">
        <v>31274</v>
      </c>
      <c r="B6411" s="159">
        <v>70</v>
      </c>
      <c r="C6411" s="159">
        <v>75</v>
      </c>
      <c r="D6411" s="159">
        <v>94</v>
      </c>
      <c r="E6411" s="159">
        <v>58</v>
      </c>
      <c r="F6411" s="131"/>
      <c r="G6411" s="132"/>
      <c r="H6411" s="162" t="s">
        <v>31275</v>
      </c>
      <c r="I6411" s="158" t="s">
        <v>31276</v>
      </c>
      <c r="J6411" s="128"/>
      <c r="K6411" s="128"/>
      <c r="L6411" s="128"/>
      <c r="M6411" s="129"/>
      <c r="N6411" s="129"/>
      <c r="O6411" s="129"/>
    </row>
    <row r="6412" spans="1:15" ht="12.5">
      <c r="A6412" s="158" t="s">
        <v>31277</v>
      </c>
      <c r="B6412" s="159">
        <v>70</v>
      </c>
      <c r="C6412" s="159">
        <v>75</v>
      </c>
      <c r="D6412" s="159">
        <v>94</v>
      </c>
      <c r="E6412" s="159">
        <v>60</v>
      </c>
      <c r="F6412" s="131"/>
      <c r="G6412" s="132"/>
      <c r="H6412" s="162" t="s">
        <v>31278</v>
      </c>
      <c r="I6412" s="158" t="s">
        <v>31279</v>
      </c>
      <c r="J6412" s="128"/>
      <c r="K6412" s="128"/>
      <c r="L6412" s="128"/>
      <c r="M6412" s="129"/>
      <c r="N6412" s="129"/>
      <c r="O6412" s="129"/>
    </row>
    <row r="6413" spans="1:15" ht="12.5">
      <c r="A6413" s="158" t="s">
        <v>31280</v>
      </c>
      <c r="B6413" s="159">
        <v>70</v>
      </c>
      <c r="C6413" s="159">
        <v>75</v>
      </c>
      <c r="D6413" s="159">
        <v>94</v>
      </c>
      <c r="E6413" s="159">
        <v>73</v>
      </c>
      <c r="F6413" s="131"/>
      <c r="G6413" s="132"/>
      <c r="H6413" s="162" t="s">
        <v>31281</v>
      </c>
      <c r="I6413" s="158" t="s">
        <v>31269</v>
      </c>
      <c r="J6413" s="128"/>
      <c r="K6413" s="128"/>
      <c r="L6413" s="128"/>
      <c r="M6413" s="129"/>
      <c r="N6413" s="129"/>
      <c r="O6413" s="129"/>
    </row>
    <row r="6414" spans="1:15" ht="12.5">
      <c r="A6414" s="158" t="s">
        <v>31282</v>
      </c>
      <c r="B6414" s="159">
        <v>70</v>
      </c>
      <c r="C6414" s="159">
        <v>75</v>
      </c>
      <c r="D6414" s="159">
        <v>94</v>
      </c>
      <c r="E6414" s="159">
        <v>78</v>
      </c>
      <c r="F6414" s="131"/>
      <c r="G6414" s="132"/>
      <c r="H6414" s="162" t="s">
        <v>31283</v>
      </c>
      <c r="I6414" s="158" t="s">
        <v>31284</v>
      </c>
      <c r="J6414" s="128"/>
      <c r="K6414" s="128"/>
      <c r="L6414" s="128"/>
      <c r="M6414" s="129"/>
      <c r="N6414" s="129"/>
      <c r="O6414" s="129"/>
    </row>
    <row r="6415" spans="1:15" ht="12.5">
      <c r="A6415" s="158" t="s">
        <v>31285</v>
      </c>
      <c r="B6415" s="159">
        <v>70</v>
      </c>
      <c r="C6415" s="159">
        <v>75</v>
      </c>
      <c r="D6415" s="159">
        <v>94</v>
      </c>
      <c r="E6415" s="159">
        <v>80</v>
      </c>
      <c r="F6415" s="131"/>
      <c r="G6415" s="132"/>
      <c r="H6415" s="162" t="s">
        <v>31286</v>
      </c>
      <c r="I6415" s="158" t="s">
        <v>31269</v>
      </c>
      <c r="J6415" s="128"/>
      <c r="K6415" s="128"/>
      <c r="L6415" s="128"/>
      <c r="M6415" s="129"/>
      <c r="N6415" s="129"/>
      <c r="O6415" s="129"/>
    </row>
    <row r="6416" spans="1:15" ht="12.5">
      <c r="A6416" s="158" t="s">
        <v>31287</v>
      </c>
      <c r="B6416" s="159">
        <v>70</v>
      </c>
      <c r="C6416" s="159">
        <v>75</v>
      </c>
      <c r="D6416" s="159">
        <v>94</v>
      </c>
      <c r="E6416" s="159">
        <v>99</v>
      </c>
      <c r="F6416" s="131"/>
      <c r="G6416" s="132"/>
      <c r="H6416" s="162" t="s">
        <v>31288</v>
      </c>
      <c r="I6416" s="158" t="s">
        <v>31269</v>
      </c>
      <c r="J6416" s="128"/>
      <c r="K6416" s="128"/>
      <c r="L6416" s="128"/>
      <c r="M6416" s="129"/>
      <c r="N6416" s="129"/>
      <c r="O6416" s="129"/>
    </row>
    <row r="6417" spans="1:15" ht="12.5">
      <c r="A6417" s="137" t="s">
        <v>31289</v>
      </c>
      <c r="B6417" s="138">
        <v>75</v>
      </c>
      <c r="C6417" s="139"/>
      <c r="D6417" s="139"/>
      <c r="E6417" s="139"/>
      <c r="F6417" s="140" t="s">
        <v>33585</v>
      </c>
      <c r="G6417" s="141"/>
      <c r="H6417" s="142" t="s">
        <v>31290</v>
      </c>
      <c r="I6417" s="143"/>
      <c r="J6417" s="143"/>
      <c r="K6417" s="143"/>
      <c r="L6417" s="143"/>
      <c r="M6417" s="192"/>
      <c r="N6417" s="192"/>
      <c r="O6417" s="192"/>
    </row>
    <row r="6418" spans="1:15" ht="12.5">
      <c r="A6418" s="144" t="s">
        <v>31291</v>
      </c>
      <c r="B6418" s="145">
        <v>75</v>
      </c>
      <c r="C6418" s="145">
        <v>30</v>
      </c>
      <c r="D6418" s="146"/>
      <c r="E6418" s="146"/>
      <c r="F6418" s="147" t="s">
        <v>33586</v>
      </c>
      <c r="G6418" s="190"/>
      <c r="H6418" s="149" t="s">
        <v>31292</v>
      </c>
      <c r="I6418" s="150"/>
      <c r="J6418" s="150"/>
      <c r="K6418" s="150"/>
      <c r="L6418" s="150"/>
      <c r="M6418" s="191"/>
      <c r="N6418" s="191"/>
      <c r="O6418" s="191"/>
    </row>
    <row r="6419" spans="1:15" ht="12.5">
      <c r="A6419" s="158" t="s">
        <v>31293</v>
      </c>
      <c r="B6419" s="159">
        <v>75</v>
      </c>
      <c r="C6419" s="159">
        <v>30</v>
      </c>
      <c r="D6419" s="159">
        <v>23</v>
      </c>
      <c r="E6419" s="130"/>
      <c r="F6419" s="131"/>
      <c r="G6419" s="132"/>
      <c r="H6419" s="162" t="s">
        <v>31294</v>
      </c>
      <c r="I6419" s="128"/>
      <c r="J6419" s="128"/>
      <c r="K6419" s="128"/>
      <c r="L6419" s="128"/>
      <c r="M6419" s="129"/>
      <c r="N6419" s="129"/>
      <c r="O6419" s="129"/>
    </row>
    <row r="6420" spans="1:15" ht="12.5">
      <c r="A6420" s="158" t="s">
        <v>31295</v>
      </c>
      <c r="B6420" s="159">
        <v>75</v>
      </c>
      <c r="C6420" s="159">
        <v>30</v>
      </c>
      <c r="D6420" s="159">
        <v>23</v>
      </c>
      <c r="E6420" s="159">
        <v>0</v>
      </c>
      <c r="F6420" s="131"/>
      <c r="G6420" s="132"/>
      <c r="H6420" s="162" t="s">
        <v>31296</v>
      </c>
      <c r="I6420" s="158" t="s">
        <v>31297</v>
      </c>
      <c r="J6420" s="128"/>
      <c r="K6420" s="128"/>
      <c r="L6420" s="128"/>
      <c r="M6420" s="129"/>
      <c r="N6420" s="129"/>
      <c r="O6420" s="129"/>
    </row>
    <row r="6421" spans="1:15" ht="12.5">
      <c r="A6421" s="158" t="s">
        <v>31298</v>
      </c>
      <c r="B6421" s="159">
        <v>75</v>
      </c>
      <c r="C6421" s="159">
        <v>30</v>
      </c>
      <c r="D6421" s="159">
        <v>23</v>
      </c>
      <c r="E6421" s="159">
        <v>1</v>
      </c>
      <c r="F6421" s="131"/>
      <c r="G6421" s="132"/>
      <c r="H6421" s="162" t="s">
        <v>31299</v>
      </c>
      <c r="I6421" s="128"/>
      <c r="J6421" s="128"/>
      <c r="K6421" s="128"/>
      <c r="L6421" s="128"/>
      <c r="M6421" s="129"/>
      <c r="N6421" s="129"/>
      <c r="O6421" s="129"/>
    </row>
    <row r="6422" spans="1:15" ht="12.5">
      <c r="A6422" s="158" t="s">
        <v>31300</v>
      </c>
      <c r="B6422" s="159">
        <v>75</v>
      </c>
      <c r="C6422" s="159">
        <v>30</v>
      </c>
      <c r="D6422" s="159">
        <v>23</v>
      </c>
      <c r="E6422" s="159">
        <v>2</v>
      </c>
      <c r="F6422" s="131"/>
      <c r="G6422" s="132"/>
      <c r="H6422" s="162" t="s">
        <v>31301</v>
      </c>
      <c r="I6422" s="128"/>
      <c r="J6422" s="128"/>
      <c r="K6422" s="128"/>
      <c r="L6422" s="128"/>
      <c r="M6422" s="129"/>
      <c r="N6422" s="129"/>
      <c r="O6422" s="129"/>
    </row>
    <row r="6423" spans="1:15" ht="12.5">
      <c r="A6423" s="158" t="s">
        <v>31302</v>
      </c>
      <c r="B6423" s="159">
        <v>75</v>
      </c>
      <c r="C6423" s="159">
        <v>30</v>
      </c>
      <c r="D6423" s="159">
        <v>23</v>
      </c>
      <c r="E6423" s="159">
        <v>3</v>
      </c>
      <c r="F6423" s="131"/>
      <c r="G6423" s="132"/>
      <c r="H6423" s="162" t="s">
        <v>31303</v>
      </c>
      <c r="I6423" s="128"/>
      <c r="J6423" s="128"/>
      <c r="K6423" s="128"/>
      <c r="L6423" s="128"/>
      <c r="M6423" s="129"/>
      <c r="N6423" s="129"/>
      <c r="O6423" s="129"/>
    </row>
    <row r="6424" spans="1:15" ht="12.5">
      <c r="A6424" s="158" t="s">
        <v>31304</v>
      </c>
      <c r="B6424" s="159">
        <v>75</v>
      </c>
      <c r="C6424" s="159">
        <v>30</v>
      </c>
      <c r="D6424" s="159">
        <v>23</v>
      </c>
      <c r="E6424" s="159">
        <v>4</v>
      </c>
      <c r="F6424" s="131"/>
      <c r="G6424" s="132"/>
      <c r="H6424" s="162" t="s">
        <v>31305</v>
      </c>
      <c r="I6424" s="128"/>
      <c r="J6424" s="128"/>
      <c r="K6424" s="128"/>
      <c r="L6424" s="128"/>
      <c r="M6424" s="129"/>
      <c r="N6424" s="129"/>
      <c r="O6424" s="129"/>
    </row>
    <row r="6425" spans="1:15" ht="12.5">
      <c r="A6425" s="158" t="s">
        <v>31306</v>
      </c>
      <c r="B6425" s="159">
        <v>75</v>
      </c>
      <c r="C6425" s="159">
        <v>30</v>
      </c>
      <c r="D6425" s="159">
        <v>23</v>
      </c>
      <c r="E6425" s="159">
        <v>5</v>
      </c>
      <c r="F6425" s="131"/>
      <c r="G6425" s="132"/>
      <c r="H6425" s="162" t="s">
        <v>31307</v>
      </c>
      <c r="I6425" s="128"/>
      <c r="J6425" s="128"/>
      <c r="K6425" s="128"/>
      <c r="L6425" s="128"/>
      <c r="M6425" s="129"/>
      <c r="N6425" s="129"/>
      <c r="O6425" s="129"/>
    </row>
    <row r="6426" spans="1:15" ht="12.5">
      <c r="A6426" s="158" t="s">
        <v>31308</v>
      </c>
      <c r="B6426" s="159">
        <v>75</v>
      </c>
      <c r="C6426" s="159">
        <v>30</v>
      </c>
      <c r="D6426" s="159">
        <v>23</v>
      </c>
      <c r="E6426" s="159">
        <v>6</v>
      </c>
      <c r="F6426" s="131"/>
      <c r="G6426" s="132"/>
      <c r="H6426" s="162" t="s">
        <v>31309</v>
      </c>
      <c r="I6426" s="128"/>
      <c r="J6426" s="128"/>
      <c r="K6426" s="128"/>
      <c r="L6426" s="128"/>
      <c r="M6426" s="129"/>
      <c r="N6426" s="129"/>
      <c r="O6426" s="129"/>
    </row>
    <row r="6427" spans="1:15" ht="12.5">
      <c r="A6427" s="158" t="s">
        <v>31310</v>
      </c>
      <c r="B6427" s="159">
        <v>75</v>
      </c>
      <c r="C6427" s="159">
        <v>30</v>
      </c>
      <c r="D6427" s="159">
        <v>23</v>
      </c>
      <c r="E6427" s="159">
        <v>7</v>
      </c>
      <c r="F6427" s="131"/>
      <c r="G6427" s="132"/>
      <c r="H6427" s="162" t="s">
        <v>31311</v>
      </c>
      <c r="I6427" s="128"/>
      <c r="J6427" s="128"/>
      <c r="K6427" s="128"/>
      <c r="L6427" s="128"/>
      <c r="M6427" s="129"/>
      <c r="N6427" s="129"/>
      <c r="O6427" s="129"/>
    </row>
    <row r="6428" spans="1:15" ht="12.5">
      <c r="A6428" s="158" t="s">
        <v>31312</v>
      </c>
      <c r="B6428" s="159">
        <v>75</v>
      </c>
      <c r="C6428" s="159">
        <v>30</v>
      </c>
      <c r="D6428" s="159">
        <v>23</v>
      </c>
      <c r="E6428" s="159">
        <v>8</v>
      </c>
      <c r="F6428" s="131"/>
      <c r="G6428" s="132"/>
      <c r="H6428" s="162" t="s">
        <v>31313</v>
      </c>
      <c r="I6428" s="128"/>
      <c r="J6428" s="128"/>
      <c r="K6428" s="128"/>
      <c r="L6428" s="128"/>
      <c r="M6428" s="129"/>
      <c r="N6428" s="129"/>
      <c r="O6428" s="129"/>
    </row>
    <row r="6429" spans="1:15" ht="12.5">
      <c r="A6429" s="158" t="s">
        <v>31314</v>
      </c>
      <c r="B6429" s="159">
        <v>75</v>
      </c>
      <c r="C6429" s="159">
        <v>30</v>
      </c>
      <c r="D6429" s="159">
        <v>23</v>
      </c>
      <c r="E6429" s="159">
        <v>9</v>
      </c>
      <c r="F6429" s="131"/>
      <c r="G6429" s="132"/>
      <c r="H6429" s="162" t="s">
        <v>31315</v>
      </c>
      <c r="I6429" s="128"/>
      <c r="J6429" s="128"/>
      <c r="K6429" s="128"/>
      <c r="L6429" s="128"/>
      <c r="M6429" s="129"/>
      <c r="N6429" s="129"/>
      <c r="O6429" s="129"/>
    </row>
    <row r="6430" spans="1:15" ht="12.5">
      <c r="A6430" s="158" t="s">
        <v>31316</v>
      </c>
      <c r="B6430" s="159">
        <v>75</v>
      </c>
      <c r="C6430" s="159">
        <v>30</v>
      </c>
      <c r="D6430" s="159">
        <v>23</v>
      </c>
      <c r="E6430" s="159">
        <v>21</v>
      </c>
      <c r="F6430" s="131"/>
      <c r="G6430" s="132"/>
      <c r="H6430" s="162" t="s">
        <v>31317</v>
      </c>
      <c r="I6430" s="128"/>
      <c r="J6430" s="128"/>
      <c r="K6430" s="128"/>
      <c r="L6430" s="128"/>
      <c r="M6430" s="129"/>
      <c r="N6430" s="129"/>
      <c r="O6430" s="129"/>
    </row>
    <row r="6431" spans="1:15" ht="12.5">
      <c r="A6431" s="158" t="s">
        <v>31318</v>
      </c>
      <c r="B6431" s="159">
        <v>75</v>
      </c>
      <c r="C6431" s="159">
        <v>30</v>
      </c>
      <c r="D6431" s="159">
        <v>23</v>
      </c>
      <c r="E6431" s="159">
        <v>22</v>
      </c>
      <c r="F6431" s="131"/>
      <c r="G6431" s="132"/>
      <c r="H6431" s="162" t="s">
        <v>31319</v>
      </c>
      <c r="I6431" s="128"/>
      <c r="J6431" s="128"/>
      <c r="K6431" s="128"/>
      <c r="L6431" s="128"/>
      <c r="M6431" s="129"/>
      <c r="N6431" s="129"/>
      <c r="O6431" s="129"/>
    </row>
    <row r="6432" spans="1:15" ht="12.5">
      <c r="A6432" s="158" t="s">
        <v>31320</v>
      </c>
      <c r="B6432" s="159">
        <v>75</v>
      </c>
      <c r="C6432" s="159">
        <v>30</v>
      </c>
      <c r="D6432" s="159">
        <v>23</v>
      </c>
      <c r="E6432" s="159">
        <v>26</v>
      </c>
      <c r="F6432" s="131"/>
      <c r="G6432" s="132"/>
      <c r="H6432" s="162" t="s">
        <v>31321</v>
      </c>
      <c r="I6432" s="128"/>
      <c r="J6432" s="128"/>
      <c r="K6432" s="128"/>
      <c r="L6432" s="128"/>
      <c r="M6432" s="129"/>
      <c r="N6432" s="129"/>
      <c r="O6432" s="129"/>
    </row>
    <row r="6433" spans="1:15" ht="12.5">
      <c r="A6433" s="158" t="s">
        <v>31322</v>
      </c>
      <c r="B6433" s="159">
        <v>75</v>
      </c>
      <c r="C6433" s="159">
        <v>30</v>
      </c>
      <c r="D6433" s="159">
        <v>23</v>
      </c>
      <c r="E6433" s="159">
        <v>27</v>
      </c>
      <c r="F6433" s="131"/>
      <c r="G6433" s="132"/>
      <c r="H6433" s="162" t="s">
        <v>31323</v>
      </c>
      <c r="I6433" s="128"/>
      <c r="J6433" s="128"/>
      <c r="K6433" s="128"/>
      <c r="L6433" s="128"/>
      <c r="M6433" s="129"/>
      <c r="N6433" s="129"/>
      <c r="O6433" s="129"/>
    </row>
    <row r="6434" spans="1:15" ht="12.5">
      <c r="A6434" s="158" t="s">
        <v>31324</v>
      </c>
      <c r="B6434" s="159">
        <v>75</v>
      </c>
      <c r="C6434" s="159">
        <v>30</v>
      </c>
      <c r="D6434" s="159">
        <v>23</v>
      </c>
      <c r="E6434" s="159">
        <v>31</v>
      </c>
      <c r="F6434" s="131"/>
      <c r="G6434" s="132"/>
      <c r="H6434" s="162" t="s">
        <v>31325</v>
      </c>
      <c r="I6434" s="158" t="s">
        <v>31326</v>
      </c>
      <c r="J6434" s="128"/>
      <c r="K6434" s="128"/>
      <c r="L6434" s="128"/>
      <c r="M6434" s="129"/>
      <c r="N6434" s="129"/>
      <c r="O6434" s="129"/>
    </row>
    <row r="6435" spans="1:15" ht="12.5">
      <c r="A6435" s="158" t="s">
        <v>31327</v>
      </c>
      <c r="B6435" s="159">
        <v>75</v>
      </c>
      <c r="C6435" s="159">
        <v>30</v>
      </c>
      <c r="D6435" s="159">
        <v>23</v>
      </c>
      <c r="E6435" s="159">
        <v>33</v>
      </c>
      <c r="F6435" s="131"/>
      <c r="G6435" s="132"/>
      <c r="H6435" s="162" t="s">
        <v>31328</v>
      </c>
      <c r="I6435" s="128"/>
      <c r="J6435" s="128"/>
      <c r="K6435" s="128"/>
      <c r="L6435" s="128"/>
      <c r="M6435" s="129"/>
      <c r="N6435" s="129"/>
      <c r="O6435" s="129"/>
    </row>
    <row r="6436" spans="1:15" ht="12.5">
      <c r="A6436" s="158" t="s">
        <v>31329</v>
      </c>
      <c r="B6436" s="159">
        <v>75</v>
      </c>
      <c r="C6436" s="159">
        <v>30</v>
      </c>
      <c r="D6436" s="159">
        <v>23</v>
      </c>
      <c r="E6436" s="159">
        <v>36</v>
      </c>
      <c r="F6436" s="131"/>
      <c r="G6436" s="132"/>
      <c r="H6436" s="162" t="s">
        <v>31330</v>
      </c>
      <c r="I6436" s="128"/>
      <c r="J6436" s="128"/>
      <c r="K6436" s="128"/>
      <c r="L6436" s="128"/>
      <c r="M6436" s="129"/>
      <c r="N6436" s="129"/>
      <c r="O6436" s="129"/>
    </row>
    <row r="6437" spans="1:15" ht="12.5">
      <c r="A6437" s="158" t="s">
        <v>31331</v>
      </c>
      <c r="B6437" s="159">
        <v>75</v>
      </c>
      <c r="C6437" s="159">
        <v>30</v>
      </c>
      <c r="D6437" s="159">
        <v>23</v>
      </c>
      <c r="E6437" s="159">
        <v>40</v>
      </c>
      <c r="F6437" s="131"/>
      <c r="G6437" s="132"/>
      <c r="H6437" s="162" t="s">
        <v>31332</v>
      </c>
      <c r="I6437" s="158" t="s">
        <v>31297</v>
      </c>
      <c r="J6437" s="128"/>
      <c r="K6437" s="128"/>
      <c r="L6437" s="128"/>
      <c r="M6437" s="129"/>
      <c r="N6437" s="129"/>
      <c r="O6437" s="129"/>
    </row>
    <row r="6438" spans="1:15" ht="12.5">
      <c r="A6438" s="158" t="s">
        <v>31333</v>
      </c>
      <c r="B6438" s="159">
        <v>75</v>
      </c>
      <c r="C6438" s="159">
        <v>30</v>
      </c>
      <c r="D6438" s="159">
        <v>23</v>
      </c>
      <c r="E6438" s="159">
        <v>42</v>
      </c>
      <c r="F6438" s="131"/>
      <c r="G6438" s="132"/>
      <c r="H6438" s="162" t="s">
        <v>31334</v>
      </c>
      <c r="I6438" s="158" t="s">
        <v>31335</v>
      </c>
      <c r="J6438" s="128"/>
      <c r="K6438" s="128"/>
      <c r="L6438" s="128"/>
      <c r="M6438" s="129"/>
      <c r="N6438" s="129"/>
      <c r="O6438" s="129"/>
    </row>
    <row r="6439" spans="1:15" ht="12.5">
      <c r="A6439" s="158" t="s">
        <v>31336</v>
      </c>
      <c r="B6439" s="159">
        <v>75</v>
      </c>
      <c r="C6439" s="159">
        <v>30</v>
      </c>
      <c r="D6439" s="159">
        <v>23</v>
      </c>
      <c r="E6439" s="159">
        <v>70</v>
      </c>
      <c r="F6439" s="131"/>
      <c r="G6439" s="132"/>
      <c r="H6439" s="162" t="s">
        <v>31337</v>
      </c>
      <c r="I6439" s="128"/>
      <c r="J6439" s="128"/>
      <c r="K6439" s="128"/>
      <c r="L6439" s="128"/>
      <c r="M6439" s="129"/>
      <c r="N6439" s="129"/>
      <c r="O6439" s="129"/>
    </row>
    <row r="6440" spans="1:15" ht="12.5">
      <c r="A6440" s="158" t="s">
        <v>31338</v>
      </c>
      <c r="B6440" s="159">
        <v>75</v>
      </c>
      <c r="C6440" s="159">
        <v>30</v>
      </c>
      <c r="D6440" s="159">
        <v>23</v>
      </c>
      <c r="E6440" s="159">
        <v>72</v>
      </c>
      <c r="F6440" s="131"/>
      <c r="G6440" s="132"/>
      <c r="H6440" s="162" t="s">
        <v>31339</v>
      </c>
      <c r="I6440" s="158" t="s">
        <v>31340</v>
      </c>
      <c r="J6440" s="128"/>
      <c r="K6440" s="128"/>
      <c r="L6440" s="128"/>
      <c r="M6440" s="129"/>
      <c r="N6440" s="129"/>
      <c r="O6440" s="129"/>
    </row>
    <row r="6441" spans="1:15" ht="12.5">
      <c r="A6441" s="158" t="s">
        <v>31341</v>
      </c>
      <c r="B6441" s="159">
        <v>75</v>
      </c>
      <c r="C6441" s="159">
        <v>30</v>
      </c>
      <c r="D6441" s="159">
        <v>23</v>
      </c>
      <c r="E6441" s="159">
        <v>76</v>
      </c>
      <c r="F6441" s="131"/>
      <c r="G6441" s="132"/>
      <c r="H6441" s="162" t="s">
        <v>31342</v>
      </c>
      <c r="I6441" s="158" t="s">
        <v>31343</v>
      </c>
      <c r="J6441" s="128"/>
      <c r="K6441" s="128"/>
      <c r="L6441" s="128"/>
      <c r="M6441" s="129"/>
      <c r="N6441" s="129"/>
      <c r="O6441" s="129"/>
    </row>
    <row r="6442" spans="1:15" ht="12.5">
      <c r="A6442" s="158" t="s">
        <v>31344</v>
      </c>
      <c r="B6442" s="159">
        <v>75</v>
      </c>
      <c r="C6442" s="159">
        <v>30</v>
      </c>
      <c r="D6442" s="159">
        <v>23</v>
      </c>
      <c r="E6442" s="159">
        <v>92</v>
      </c>
      <c r="F6442" s="131"/>
      <c r="G6442" s="132"/>
      <c r="H6442" s="162" t="s">
        <v>31345</v>
      </c>
      <c r="I6442" s="128"/>
      <c r="J6442" s="128"/>
      <c r="K6442" s="128"/>
      <c r="L6442" s="128"/>
      <c r="M6442" s="129"/>
      <c r="N6442" s="129"/>
      <c r="O6442" s="129"/>
    </row>
    <row r="6443" spans="1:15" ht="12.5">
      <c r="A6443" s="158" t="s">
        <v>31346</v>
      </c>
      <c r="B6443" s="159">
        <v>75</v>
      </c>
      <c r="C6443" s="159">
        <v>30</v>
      </c>
      <c r="D6443" s="159">
        <v>23</v>
      </c>
      <c r="E6443" s="159">
        <v>94</v>
      </c>
      <c r="F6443" s="131"/>
      <c r="G6443" s="132"/>
      <c r="H6443" s="162" t="s">
        <v>31347</v>
      </c>
      <c r="I6443" s="128"/>
      <c r="J6443" s="128"/>
      <c r="K6443" s="128"/>
      <c r="L6443" s="128"/>
      <c r="M6443" s="129"/>
      <c r="N6443" s="129"/>
      <c r="O6443" s="129"/>
    </row>
    <row r="6444" spans="1:15" ht="12.5">
      <c r="A6444" s="158" t="s">
        <v>31348</v>
      </c>
      <c r="B6444" s="159">
        <v>75</v>
      </c>
      <c r="C6444" s="159">
        <v>30</v>
      </c>
      <c r="D6444" s="159">
        <v>23</v>
      </c>
      <c r="E6444" s="159">
        <v>96</v>
      </c>
      <c r="F6444" s="131"/>
      <c r="G6444" s="132"/>
      <c r="H6444" s="162" t="s">
        <v>31349</v>
      </c>
      <c r="I6444" s="128"/>
      <c r="J6444" s="128"/>
      <c r="K6444" s="128"/>
      <c r="L6444" s="128"/>
      <c r="M6444" s="129"/>
      <c r="N6444" s="129"/>
      <c r="O6444" s="129"/>
    </row>
    <row r="6445" spans="1:15" ht="12.5">
      <c r="A6445" s="158" t="s">
        <v>31350</v>
      </c>
      <c r="B6445" s="159">
        <v>75</v>
      </c>
      <c r="C6445" s="159">
        <v>30</v>
      </c>
      <c r="D6445" s="159">
        <v>27</v>
      </c>
      <c r="E6445" s="130"/>
      <c r="F6445" s="131"/>
      <c r="G6445" s="132"/>
      <c r="H6445" s="162" t="s">
        <v>31351</v>
      </c>
      <c r="I6445" s="128"/>
      <c r="J6445" s="128"/>
      <c r="K6445" s="128"/>
      <c r="L6445" s="128"/>
      <c r="M6445" s="129"/>
      <c r="N6445" s="129"/>
      <c r="O6445" s="129"/>
    </row>
    <row r="6446" spans="1:15" ht="12.5">
      <c r="A6446" s="158" t="s">
        <v>31352</v>
      </c>
      <c r="B6446" s="159">
        <v>75</v>
      </c>
      <c r="C6446" s="159">
        <v>30</v>
      </c>
      <c r="D6446" s="159">
        <v>27</v>
      </c>
      <c r="E6446" s="159">
        <v>26</v>
      </c>
      <c r="F6446" s="131"/>
      <c r="G6446" s="132"/>
      <c r="H6446" s="162" t="s">
        <v>31353</v>
      </c>
      <c r="I6446" s="158" t="s">
        <v>31354</v>
      </c>
      <c r="J6446" s="128"/>
      <c r="K6446" s="128"/>
      <c r="L6446" s="128"/>
      <c r="M6446" s="129"/>
      <c r="N6446" s="129"/>
      <c r="O6446" s="129"/>
    </row>
    <row r="6447" spans="1:15" ht="12.5">
      <c r="A6447" s="158" t="s">
        <v>31355</v>
      </c>
      <c r="B6447" s="159">
        <v>75</v>
      </c>
      <c r="C6447" s="159">
        <v>30</v>
      </c>
      <c r="D6447" s="159">
        <v>27</v>
      </c>
      <c r="E6447" s="159">
        <v>27</v>
      </c>
      <c r="F6447" s="131"/>
      <c r="G6447" s="132"/>
      <c r="H6447" s="162" t="s">
        <v>31356</v>
      </c>
      <c r="I6447" s="128"/>
      <c r="J6447" s="128"/>
      <c r="K6447" s="128"/>
      <c r="L6447" s="128"/>
      <c r="M6447" s="129"/>
      <c r="N6447" s="129"/>
      <c r="O6447" s="129"/>
    </row>
    <row r="6448" spans="1:15" ht="12.5">
      <c r="A6448" s="158" t="s">
        <v>31357</v>
      </c>
      <c r="B6448" s="159">
        <v>75</v>
      </c>
      <c r="C6448" s="159">
        <v>30</v>
      </c>
      <c r="D6448" s="159">
        <v>27</v>
      </c>
      <c r="E6448" s="159">
        <v>50</v>
      </c>
      <c r="F6448" s="131"/>
      <c r="G6448" s="132"/>
      <c r="H6448" s="162" t="s">
        <v>31358</v>
      </c>
      <c r="I6448" s="158" t="s">
        <v>31359</v>
      </c>
      <c r="J6448" s="128"/>
      <c r="K6448" s="128"/>
      <c r="L6448" s="128"/>
      <c r="M6448" s="129"/>
      <c r="N6448" s="129"/>
      <c r="O6448" s="129"/>
    </row>
    <row r="6449" spans="1:15" ht="12.5">
      <c r="A6449" s="158" t="s">
        <v>31360</v>
      </c>
      <c r="B6449" s="159">
        <v>75</v>
      </c>
      <c r="C6449" s="159">
        <v>30</v>
      </c>
      <c r="D6449" s="159">
        <v>27</v>
      </c>
      <c r="E6449" s="159">
        <v>51</v>
      </c>
      <c r="F6449" s="131"/>
      <c r="G6449" s="132"/>
      <c r="H6449" s="162" t="s">
        <v>31361</v>
      </c>
      <c r="I6449" s="158" t="s">
        <v>31362</v>
      </c>
      <c r="J6449" s="128"/>
      <c r="K6449" s="128"/>
      <c r="L6449" s="128"/>
      <c r="M6449" s="129"/>
      <c r="N6449" s="129"/>
      <c r="O6449" s="129"/>
    </row>
    <row r="6450" spans="1:15" ht="12.5">
      <c r="A6450" s="158" t="s">
        <v>31363</v>
      </c>
      <c r="B6450" s="159">
        <v>75</v>
      </c>
      <c r="C6450" s="159">
        <v>30</v>
      </c>
      <c r="D6450" s="159">
        <v>27</v>
      </c>
      <c r="E6450" s="159">
        <v>77</v>
      </c>
      <c r="F6450" s="131"/>
      <c r="G6450" s="132"/>
      <c r="H6450" s="162" t="s">
        <v>31364</v>
      </c>
      <c r="I6450" s="128"/>
      <c r="J6450" s="128"/>
      <c r="K6450" s="128"/>
      <c r="L6450" s="128"/>
      <c r="M6450" s="129"/>
      <c r="N6450" s="129"/>
      <c r="O6450" s="129"/>
    </row>
    <row r="6451" spans="1:15" ht="12.5">
      <c r="A6451" s="158" t="s">
        <v>31365</v>
      </c>
      <c r="B6451" s="159">
        <v>75</v>
      </c>
      <c r="C6451" s="159">
        <v>30</v>
      </c>
      <c r="D6451" s="159">
        <v>27</v>
      </c>
      <c r="E6451" s="159">
        <v>80</v>
      </c>
      <c r="F6451" s="131"/>
      <c r="G6451" s="132"/>
      <c r="H6451" s="162" t="s">
        <v>31366</v>
      </c>
      <c r="I6451" s="158" t="s">
        <v>31367</v>
      </c>
      <c r="J6451" s="128"/>
      <c r="K6451" s="128"/>
      <c r="L6451" s="128"/>
      <c r="M6451" s="129"/>
      <c r="N6451" s="129"/>
      <c r="O6451" s="129"/>
    </row>
    <row r="6452" spans="1:15" ht="12.5">
      <c r="A6452" s="158" t="s">
        <v>31368</v>
      </c>
      <c r="B6452" s="159">
        <v>75</v>
      </c>
      <c r="C6452" s="159">
        <v>30</v>
      </c>
      <c r="D6452" s="159">
        <v>27</v>
      </c>
      <c r="E6452" s="159">
        <v>81</v>
      </c>
      <c r="F6452" s="131"/>
      <c r="G6452" s="132"/>
      <c r="H6452" s="162" t="s">
        <v>31369</v>
      </c>
      <c r="I6452" s="158" t="s">
        <v>31370</v>
      </c>
      <c r="J6452" s="128"/>
      <c r="K6452" s="128"/>
      <c r="L6452" s="128"/>
      <c r="M6452" s="129"/>
      <c r="N6452" s="129"/>
      <c r="O6452" s="129"/>
    </row>
    <row r="6453" spans="1:15" ht="12.5">
      <c r="A6453" s="144" t="s">
        <v>31371</v>
      </c>
      <c r="B6453" s="145">
        <v>75</v>
      </c>
      <c r="C6453" s="145">
        <v>50</v>
      </c>
      <c r="D6453" s="146"/>
      <c r="E6453" s="146"/>
      <c r="F6453" s="147" t="s">
        <v>33587</v>
      </c>
      <c r="G6453" s="190"/>
      <c r="H6453" s="149" t="s">
        <v>31372</v>
      </c>
      <c r="I6453" s="150"/>
      <c r="J6453" s="150"/>
      <c r="K6453" s="150"/>
      <c r="L6453" s="150"/>
      <c r="M6453" s="191"/>
      <c r="N6453" s="191"/>
      <c r="O6453" s="191"/>
    </row>
    <row r="6454" spans="1:15" ht="12.5">
      <c r="A6454" s="158" t="s">
        <v>31373</v>
      </c>
      <c r="B6454" s="159">
        <v>75</v>
      </c>
      <c r="C6454" s="159">
        <v>50</v>
      </c>
      <c r="D6454" s="159">
        <v>18</v>
      </c>
      <c r="E6454" s="130"/>
      <c r="F6454" s="131"/>
      <c r="G6454" s="132"/>
      <c r="H6454" s="162" t="s">
        <v>31374</v>
      </c>
      <c r="I6454" s="128"/>
      <c r="J6454" s="128"/>
      <c r="K6454" s="128"/>
      <c r="L6454" s="128"/>
      <c r="M6454" s="129"/>
      <c r="N6454" s="129"/>
      <c r="O6454" s="129"/>
    </row>
    <row r="6455" spans="1:15" ht="12.5">
      <c r="A6455" s="158" t="s">
        <v>31375</v>
      </c>
      <c r="B6455" s="159">
        <v>75</v>
      </c>
      <c r="C6455" s="159">
        <v>50</v>
      </c>
      <c r="D6455" s="159">
        <v>18</v>
      </c>
      <c r="E6455" s="159">
        <v>2</v>
      </c>
      <c r="F6455" s="131"/>
      <c r="G6455" s="132"/>
      <c r="H6455" s="162" t="s">
        <v>31376</v>
      </c>
      <c r="I6455" s="128"/>
      <c r="J6455" s="128"/>
      <c r="K6455" s="128"/>
      <c r="L6455" s="128"/>
      <c r="M6455" s="129"/>
      <c r="N6455" s="129"/>
      <c r="O6455" s="129"/>
    </row>
    <row r="6456" spans="1:15" ht="12.5">
      <c r="A6456" s="158" t="s">
        <v>31377</v>
      </c>
      <c r="B6456" s="159">
        <v>75</v>
      </c>
      <c r="C6456" s="159">
        <v>50</v>
      </c>
      <c r="D6456" s="159">
        <v>18</v>
      </c>
      <c r="E6456" s="159">
        <v>4</v>
      </c>
      <c r="F6456" s="131"/>
      <c r="G6456" s="132"/>
      <c r="H6456" s="162" t="s">
        <v>31378</v>
      </c>
      <c r="I6456" s="158" t="s">
        <v>31379</v>
      </c>
      <c r="J6456" s="128"/>
      <c r="K6456" s="128"/>
      <c r="L6456" s="128"/>
      <c r="M6456" s="129"/>
      <c r="N6456" s="129"/>
      <c r="O6456" s="129"/>
    </row>
    <row r="6457" spans="1:15" ht="12.5">
      <c r="A6457" s="158" t="s">
        <v>31380</v>
      </c>
      <c r="B6457" s="159">
        <v>75</v>
      </c>
      <c r="C6457" s="159">
        <v>50</v>
      </c>
      <c r="D6457" s="159">
        <v>18</v>
      </c>
      <c r="E6457" s="159">
        <v>6</v>
      </c>
      <c r="F6457" s="131"/>
      <c r="G6457" s="132"/>
      <c r="H6457" s="162" t="s">
        <v>31381</v>
      </c>
      <c r="I6457" s="158" t="s">
        <v>31382</v>
      </c>
      <c r="J6457" s="128"/>
      <c r="K6457" s="128"/>
      <c r="L6457" s="128"/>
      <c r="M6457" s="129"/>
      <c r="N6457" s="129"/>
      <c r="O6457" s="129"/>
    </row>
    <row r="6458" spans="1:15" ht="12.5">
      <c r="A6458" s="158" t="s">
        <v>31383</v>
      </c>
      <c r="B6458" s="159">
        <v>75</v>
      </c>
      <c r="C6458" s="159">
        <v>50</v>
      </c>
      <c r="D6458" s="159">
        <v>18</v>
      </c>
      <c r="E6458" s="159">
        <v>10</v>
      </c>
      <c r="F6458" s="131"/>
      <c r="G6458" s="132"/>
      <c r="H6458" s="162" t="s">
        <v>31384</v>
      </c>
      <c r="I6458" s="128"/>
      <c r="J6458" s="128"/>
      <c r="K6458" s="128"/>
      <c r="L6458" s="128"/>
      <c r="M6458" s="129"/>
      <c r="N6458" s="129"/>
      <c r="O6458" s="129"/>
    </row>
    <row r="6459" spans="1:15" ht="12.5">
      <c r="A6459" s="158" t="s">
        <v>31387</v>
      </c>
      <c r="B6459" s="159">
        <v>75</v>
      </c>
      <c r="C6459" s="159">
        <v>50</v>
      </c>
      <c r="D6459" s="159">
        <v>18</v>
      </c>
      <c r="E6459" s="159">
        <v>13</v>
      </c>
      <c r="F6459" s="131"/>
      <c r="G6459" s="132"/>
      <c r="H6459" s="162" t="s">
        <v>31388</v>
      </c>
      <c r="I6459" s="158" t="s">
        <v>31389</v>
      </c>
      <c r="J6459" s="128"/>
      <c r="K6459" s="128"/>
      <c r="L6459" s="128"/>
      <c r="M6459" s="129"/>
      <c r="N6459" s="129"/>
      <c r="O6459" s="129"/>
    </row>
    <row r="6460" spans="1:15" ht="12.5">
      <c r="A6460" s="158" t="s">
        <v>31390</v>
      </c>
      <c r="B6460" s="159">
        <v>75</v>
      </c>
      <c r="C6460" s="159">
        <v>50</v>
      </c>
      <c r="D6460" s="159">
        <v>18</v>
      </c>
      <c r="E6460" s="159">
        <v>16</v>
      </c>
      <c r="F6460" s="131"/>
      <c r="G6460" s="132"/>
      <c r="H6460" s="162" t="s">
        <v>31391</v>
      </c>
      <c r="I6460" s="128"/>
      <c r="J6460" s="128"/>
      <c r="K6460" s="128"/>
      <c r="L6460" s="128"/>
      <c r="M6460" s="129"/>
      <c r="N6460" s="129"/>
      <c r="O6460" s="129"/>
    </row>
    <row r="6461" spans="1:15" ht="12.5">
      <c r="A6461" s="158" t="s">
        <v>31392</v>
      </c>
      <c r="B6461" s="159">
        <v>75</v>
      </c>
      <c r="C6461" s="159">
        <v>50</v>
      </c>
      <c r="D6461" s="159">
        <v>18</v>
      </c>
      <c r="E6461" s="159">
        <v>17</v>
      </c>
      <c r="F6461" s="131"/>
      <c r="G6461" s="132"/>
      <c r="H6461" s="162" t="s">
        <v>31393</v>
      </c>
      <c r="I6461" s="128"/>
      <c r="J6461" s="128"/>
      <c r="K6461" s="128"/>
      <c r="L6461" s="128"/>
      <c r="M6461" s="129"/>
      <c r="N6461" s="129"/>
      <c r="O6461" s="129"/>
    </row>
    <row r="6462" spans="1:15" ht="12.5">
      <c r="A6462" s="158" t="s">
        <v>31394</v>
      </c>
      <c r="B6462" s="159">
        <v>75</v>
      </c>
      <c r="C6462" s="159">
        <v>50</v>
      </c>
      <c r="D6462" s="159">
        <v>18</v>
      </c>
      <c r="E6462" s="159">
        <v>21</v>
      </c>
      <c r="F6462" s="131"/>
      <c r="G6462" s="132"/>
      <c r="H6462" s="162" t="s">
        <v>31395</v>
      </c>
      <c r="I6462" s="158" t="s">
        <v>31396</v>
      </c>
      <c r="J6462" s="128"/>
      <c r="K6462" s="128"/>
      <c r="L6462" s="128"/>
      <c r="M6462" s="129"/>
      <c r="N6462" s="129"/>
      <c r="O6462" s="129"/>
    </row>
    <row r="6463" spans="1:15" ht="12.5">
      <c r="A6463" s="158" t="s">
        <v>31397</v>
      </c>
      <c r="B6463" s="159">
        <v>75</v>
      </c>
      <c r="C6463" s="159">
        <v>50</v>
      </c>
      <c r="D6463" s="159">
        <v>18</v>
      </c>
      <c r="E6463" s="159">
        <v>26</v>
      </c>
      <c r="F6463" s="131"/>
      <c r="G6463" s="132"/>
      <c r="H6463" s="162" t="s">
        <v>31398</v>
      </c>
      <c r="I6463" s="158" t="s">
        <v>31399</v>
      </c>
      <c r="J6463" s="128"/>
      <c r="K6463" s="128"/>
      <c r="L6463" s="128"/>
      <c r="M6463" s="129"/>
      <c r="N6463" s="129"/>
      <c r="O6463" s="129"/>
    </row>
    <row r="6464" spans="1:15" ht="12.5">
      <c r="A6464" s="158" t="s">
        <v>31400</v>
      </c>
      <c r="B6464" s="159">
        <v>75</v>
      </c>
      <c r="C6464" s="159">
        <v>50</v>
      </c>
      <c r="D6464" s="159">
        <v>18</v>
      </c>
      <c r="E6464" s="159">
        <v>28</v>
      </c>
      <c r="F6464" s="131"/>
      <c r="G6464" s="132"/>
      <c r="H6464" s="162" t="s">
        <v>31401</v>
      </c>
      <c r="I6464" s="128"/>
      <c r="J6464" s="128"/>
      <c r="K6464" s="128"/>
      <c r="L6464" s="128"/>
      <c r="M6464" s="129"/>
      <c r="N6464" s="129"/>
      <c r="O6464" s="129"/>
    </row>
    <row r="6465" spans="1:15" ht="12.5">
      <c r="A6465" s="158" t="s">
        <v>31402</v>
      </c>
      <c r="B6465" s="159">
        <v>75</v>
      </c>
      <c r="C6465" s="159">
        <v>50</v>
      </c>
      <c r="D6465" s="159">
        <v>18</v>
      </c>
      <c r="E6465" s="159">
        <v>29</v>
      </c>
      <c r="F6465" s="131"/>
      <c r="G6465" s="132"/>
      <c r="H6465" s="162" t="s">
        <v>31403</v>
      </c>
      <c r="I6465" s="158" t="s">
        <v>31404</v>
      </c>
      <c r="J6465" s="128"/>
      <c r="K6465" s="128"/>
      <c r="L6465" s="128"/>
      <c r="M6465" s="129"/>
      <c r="N6465" s="129"/>
      <c r="O6465" s="129"/>
    </row>
    <row r="6466" spans="1:15" ht="12.5">
      <c r="A6466" s="158" t="s">
        <v>31405</v>
      </c>
      <c r="B6466" s="159">
        <v>75</v>
      </c>
      <c r="C6466" s="159">
        <v>50</v>
      </c>
      <c r="D6466" s="159">
        <v>18</v>
      </c>
      <c r="E6466" s="159">
        <v>30</v>
      </c>
      <c r="F6466" s="131"/>
      <c r="G6466" s="132"/>
      <c r="H6466" s="162" t="s">
        <v>31406</v>
      </c>
      <c r="I6466" s="158" t="s">
        <v>31407</v>
      </c>
      <c r="J6466" s="128"/>
      <c r="K6466" s="128"/>
      <c r="L6466" s="128"/>
      <c r="M6466" s="129"/>
      <c r="N6466" s="129"/>
      <c r="O6466" s="129"/>
    </row>
    <row r="6467" spans="1:15" ht="12.5">
      <c r="A6467" s="158" t="s">
        <v>31412</v>
      </c>
      <c r="B6467" s="159">
        <v>75</v>
      </c>
      <c r="C6467" s="159">
        <v>50</v>
      </c>
      <c r="D6467" s="159">
        <v>18</v>
      </c>
      <c r="E6467" s="159">
        <v>33</v>
      </c>
      <c r="F6467" s="131"/>
      <c r="G6467" s="132"/>
      <c r="H6467" s="162" t="s">
        <v>31413</v>
      </c>
      <c r="I6467" s="158" t="s">
        <v>31414</v>
      </c>
      <c r="J6467" s="128"/>
      <c r="K6467" s="128"/>
      <c r="L6467" s="128"/>
      <c r="M6467" s="129"/>
      <c r="N6467" s="129"/>
      <c r="O6467" s="129"/>
    </row>
    <row r="6468" spans="1:15" ht="12.5">
      <c r="A6468" s="158" t="s">
        <v>31419</v>
      </c>
      <c r="B6468" s="159">
        <v>75</v>
      </c>
      <c r="C6468" s="159">
        <v>50</v>
      </c>
      <c r="D6468" s="159">
        <v>18</v>
      </c>
      <c r="E6468" s="159">
        <v>40</v>
      </c>
      <c r="F6468" s="131"/>
      <c r="G6468" s="132"/>
      <c r="H6468" s="162" t="s">
        <v>31420</v>
      </c>
      <c r="I6468" s="128"/>
      <c r="J6468" s="128"/>
      <c r="K6468" s="128"/>
      <c r="L6468" s="128"/>
      <c r="M6468" s="129"/>
      <c r="N6468" s="129"/>
      <c r="O6468" s="129"/>
    </row>
    <row r="6469" spans="1:15" ht="12.5">
      <c r="A6469" s="158" t="s">
        <v>31421</v>
      </c>
      <c r="B6469" s="159">
        <v>75</v>
      </c>
      <c r="C6469" s="159">
        <v>50</v>
      </c>
      <c r="D6469" s="159">
        <v>18</v>
      </c>
      <c r="E6469" s="159">
        <v>41</v>
      </c>
      <c r="F6469" s="131"/>
      <c r="G6469" s="132"/>
      <c r="H6469" s="162" t="s">
        <v>31422</v>
      </c>
      <c r="I6469" s="128"/>
      <c r="J6469" s="128"/>
      <c r="K6469" s="128"/>
      <c r="L6469" s="128"/>
      <c r="M6469" s="129"/>
      <c r="N6469" s="129"/>
      <c r="O6469" s="129"/>
    </row>
    <row r="6470" spans="1:15" ht="12.5">
      <c r="A6470" s="158" t="s">
        <v>31423</v>
      </c>
      <c r="B6470" s="159">
        <v>75</v>
      </c>
      <c r="C6470" s="159">
        <v>50</v>
      </c>
      <c r="D6470" s="159">
        <v>18</v>
      </c>
      <c r="E6470" s="159">
        <v>42</v>
      </c>
      <c r="F6470" s="131"/>
      <c r="G6470" s="132"/>
      <c r="H6470" s="162" t="s">
        <v>31424</v>
      </c>
      <c r="I6470" s="158" t="s">
        <v>31425</v>
      </c>
      <c r="J6470" s="128"/>
      <c r="K6470" s="128"/>
      <c r="L6470" s="128"/>
      <c r="M6470" s="129"/>
      <c r="N6470" s="129"/>
      <c r="O6470" s="129"/>
    </row>
    <row r="6471" spans="1:15" ht="12.5">
      <c r="A6471" s="158" t="s">
        <v>31426</v>
      </c>
      <c r="B6471" s="159">
        <v>75</v>
      </c>
      <c r="C6471" s="159">
        <v>50</v>
      </c>
      <c r="D6471" s="159">
        <v>18</v>
      </c>
      <c r="E6471" s="159">
        <v>45</v>
      </c>
      <c r="F6471" s="131"/>
      <c r="G6471" s="132"/>
      <c r="H6471" s="162" t="s">
        <v>31427</v>
      </c>
      <c r="I6471" s="128"/>
      <c r="J6471" s="128"/>
      <c r="K6471" s="128"/>
      <c r="L6471" s="128"/>
      <c r="M6471" s="129"/>
      <c r="N6471" s="129"/>
      <c r="O6471" s="129"/>
    </row>
    <row r="6472" spans="1:15" ht="12.5">
      <c r="A6472" s="158" t="s">
        <v>31428</v>
      </c>
      <c r="B6472" s="159">
        <v>75</v>
      </c>
      <c r="C6472" s="159">
        <v>50</v>
      </c>
      <c r="D6472" s="159">
        <v>18</v>
      </c>
      <c r="E6472" s="159">
        <v>46</v>
      </c>
      <c r="F6472" s="131"/>
      <c r="G6472" s="132"/>
      <c r="H6472" s="162" t="s">
        <v>31429</v>
      </c>
      <c r="I6472" s="158" t="s">
        <v>31430</v>
      </c>
      <c r="J6472" s="128"/>
      <c r="K6472" s="128"/>
      <c r="L6472" s="128"/>
      <c r="M6472" s="129"/>
      <c r="N6472" s="129"/>
      <c r="O6472" s="129"/>
    </row>
    <row r="6473" spans="1:15" ht="12.5">
      <c r="A6473" s="158" t="s">
        <v>31431</v>
      </c>
      <c r="B6473" s="159">
        <v>75</v>
      </c>
      <c r="C6473" s="159">
        <v>50</v>
      </c>
      <c r="D6473" s="159">
        <v>18</v>
      </c>
      <c r="E6473" s="159">
        <v>47</v>
      </c>
      <c r="F6473" s="131"/>
      <c r="G6473" s="132"/>
      <c r="H6473" s="162" t="s">
        <v>31432</v>
      </c>
      <c r="I6473" s="158" t="s">
        <v>31433</v>
      </c>
      <c r="J6473" s="128"/>
      <c r="K6473" s="128"/>
      <c r="L6473" s="128"/>
      <c r="M6473" s="129"/>
      <c r="N6473" s="129"/>
      <c r="O6473" s="129"/>
    </row>
    <row r="6474" spans="1:15" ht="12.5">
      <c r="A6474" s="158" t="s">
        <v>31434</v>
      </c>
      <c r="B6474" s="159">
        <v>75</v>
      </c>
      <c r="C6474" s="159">
        <v>50</v>
      </c>
      <c r="D6474" s="159">
        <v>18</v>
      </c>
      <c r="E6474" s="159">
        <v>51</v>
      </c>
      <c r="F6474" s="131"/>
      <c r="G6474" s="132"/>
      <c r="H6474" s="162" t="s">
        <v>31435</v>
      </c>
      <c r="I6474" s="158" t="s">
        <v>31436</v>
      </c>
      <c r="J6474" s="128"/>
      <c r="K6474" s="128"/>
      <c r="L6474" s="128"/>
      <c r="M6474" s="129"/>
      <c r="N6474" s="129"/>
      <c r="O6474" s="129"/>
    </row>
    <row r="6475" spans="1:15" ht="12.5">
      <c r="A6475" s="158" t="s">
        <v>31437</v>
      </c>
      <c r="B6475" s="159">
        <v>75</v>
      </c>
      <c r="C6475" s="159">
        <v>50</v>
      </c>
      <c r="D6475" s="159">
        <v>18</v>
      </c>
      <c r="E6475" s="159">
        <v>53</v>
      </c>
      <c r="F6475" s="131"/>
      <c r="G6475" s="132"/>
      <c r="H6475" s="162" t="s">
        <v>31438</v>
      </c>
      <c r="I6475" s="128"/>
      <c r="J6475" s="128"/>
      <c r="K6475" s="128"/>
      <c r="L6475" s="128"/>
      <c r="M6475" s="129"/>
      <c r="N6475" s="129"/>
      <c r="O6475" s="129"/>
    </row>
    <row r="6476" spans="1:15" ht="12.5">
      <c r="A6476" s="158" t="s">
        <v>31439</v>
      </c>
      <c r="B6476" s="159">
        <v>75</v>
      </c>
      <c r="C6476" s="159">
        <v>50</v>
      </c>
      <c r="D6476" s="159">
        <v>18</v>
      </c>
      <c r="E6476" s="159">
        <v>65</v>
      </c>
      <c r="F6476" s="131"/>
      <c r="G6476" s="132"/>
      <c r="H6476" s="162" t="s">
        <v>31440</v>
      </c>
      <c r="I6476" s="158" t="s">
        <v>31441</v>
      </c>
      <c r="J6476" s="128"/>
      <c r="K6476" s="128"/>
      <c r="L6476" s="128"/>
      <c r="M6476" s="129"/>
      <c r="N6476" s="129"/>
      <c r="O6476" s="129"/>
    </row>
    <row r="6477" spans="1:15" ht="12.5">
      <c r="A6477" s="158" t="s">
        <v>31444</v>
      </c>
      <c r="B6477" s="159">
        <v>75</v>
      </c>
      <c r="C6477" s="159">
        <v>50</v>
      </c>
      <c r="D6477" s="159">
        <v>18</v>
      </c>
      <c r="E6477" s="159">
        <v>67</v>
      </c>
      <c r="F6477" s="131"/>
      <c r="G6477" s="132"/>
      <c r="H6477" s="162" t="s">
        <v>31445</v>
      </c>
      <c r="I6477" s="128"/>
      <c r="J6477" s="128"/>
      <c r="K6477" s="128"/>
      <c r="L6477" s="128"/>
      <c r="M6477" s="129"/>
      <c r="N6477" s="129"/>
      <c r="O6477" s="129"/>
    </row>
    <row r="6478" spans="1:15" ht="12.5">
      <c r="A6478" s="158" t="s">
        <v>31448</v>
      </c>
      <c r="B6478" s="159">
        <v>75</v>
      </c>
      <c r="C6478" s="159">
        <v>50</v>
      </c>
      <c r="D6478" s="159">
        <v>18</v>
      </c>
      <c r="E6478" s="159">
        <v>80</v>
      </c>
      <c r="F6478" s="131"/>
      <c r="G6478" s="132"/>
      <c r="H6478" s="162" t="s">
        <v>31449</v>
      </c>
      <c r="I6478" s="158" t="s">
        <v>31450</v>
      </c>
      <c r="J6478" s="128"/>
      <c r="K6478" s="128"/>
      <c r="L6478" s="128"/>
      <c r="M6478" s="129"/>
      <c r="N6478" s="129"/>
      <c r="O6478" s="129"/>
    </row>
    <row r="6479" spans="1:15" ht="12.5">
      <c r="A6479" s="158" t="s">
        <v>31451</v>
      </c>
      <c r="B6479" s="159">
        <v>75</v>
      </c>
      <c r="C6479" s="159">
        <v>50</v>
      </c>
      <c r="D6479" s="159">
        <v>18</v>
      </c>
      <c r="E6479" s="159">
        <v>82</v>
      </c>
      <c r="F6479" s="131"/>
      <c r="G6479" s="132"/>
      <c r="H6479" s="162" t="s">
        <v>31452</v>
      </c>
      <c r="I6479" s="158" t="s">
        <v>31453</v>
      </c>
      <c r="J6479" s="128"/>
      <c r="K6479" s="128"/>
      <c r="L6479" s="128"/>
      <c r="M6479" s="129"/>
      <c r="N6479" s="129"/>
      <c r="O6479" s="129"/>
    </row>
    <row r="6480" spans="1:15" ht="12.5">
      <c r="A6480" s="158" t="s">
        <v>31454</v>
      </c>
      <c r="B6480" s="159">
        <v>75</v>
      </c>
      <c r="C6480" s="159">
        <v>50</v>
      </c>
      <c r="D6480" s="159">
        <v>18</v>
      </c>
      <c r="E6480" s="159">
        <v>90</v>
      </c>
      <c r="F6480" s="131"/>
      <c r="G6480" s="132"/>
      <c r="H6480" s="162" t="s">
        <v>31455</v>
      </c>
      <c r="I6480" s="128"/>
      <c r="J6480" s="128"/>
      <c r="K6480" s="128"/>
      <c r="L6480" s="128"/>
      <c r="M6480" s="129"/>
      <c r="N6480" s="129"/>
      <c r="O6480" s="129"/>
    </row>
    <row r="6481" spans="1:15" ht="12.5">
      <c r="A6481" s="158" t="s">
        <v>31456</v>
      </c>
      <c r="B6481" s="159">
        <v>75</v>
      </c>
      <c r="C6481" s="159">
        <v>50</v>
      </c>
      <c r="D6481" s="159">
        <v>18</v>
      </c>
      <c r="E6481" s="159">
        <v>92</v>
      </c>
      <c r="F6481" s="131"/>
      <c r="G6481" s="132"/>
      <c r="H6481" s="162" t="s">
        <v>31457</v>
      </c>
      <c r="I6481" s="128"/>
      <c r="J6481" s="128"/>
      <c r="K6481" s="128"/>
      <c r="L6481" s="128"/>
      <c r="M6481" s="129"/>
      <c r="N6481" s="129"/>
      <c r="O6481" s="129"/>
    </row>
    <row r="6482" spans="1:15" ht="12.5">
      <c r="A6482" s="158" t="s">
        <v>31458</v>
      </c>
      <c r="B6482" s="159">
        <v>75</v>
      </c>
      <c r="C6482" s="159">
        <v>50</v>
      </c>
      <c r="D6482" s="159">
        <v>18</v>
      </c>
      <c r="E6482" s="159">
        <v>93</v>
      </c>
      <c r="F6482" s="131"/>
      <c r="G6482" s="132"/>
      <c r="H6482" s="162" t="s">
        <v>31459</v>
      </c>
      <c r="I6482" s="128"/>
      <c r="J6482" s="128"/>
      <c r="K6482" s="128"/>
      <c r="L6482" s="128"/>
      <c r="M6482" s="129"/>
      <c r="N6482" s="129"/>
      <c r="O6482" s="129"/>
    </row>
    <row r="6483" spans="1:15" ht="12.5">
      <c r="A6483" s="158" t="s">
        <v>31460</v>
      </c>
      <c r="B6483" s="159">
        <v>75</v>
      </c>
      <c r="C6483" s="159">
        <v>50</v>
      </c>
      <c r="D6483" s="159">
        <v>18</v>
      </c>
      <c r="E6483" s="159">
        <v>94</v>
      </c>
      <c r="F6483" s="131"/>
      <c r="G6483" s="132"/>
      <c r="H6483" s="162" t="s">
        <v>31461</v>
      </c>
      <c r="I6483" s="158" t="s">
        <v>31462</v>
      </c>
      <c r="J6483" s="128"/>
      <c r="K6483" s="128"/>
      <c r="L6483" s="128"/>
      <c r="M6483" s="129"/>
      <c r="N6483" s="129"/>
      <c r="O6483" s="129"/>
    </row>
    <row r="6484" spans="1:15" ht="12.5">
      <c r="A6484" s="158" t="s">
        <v>31463</v>
      </c>
      <c r="B6484" s="159">
        <v>75</v>
      </c>
      <c r="C6484" s="159">
        <v>50</v>
      </c>
      <c r="D6484" s="159">
        <v>18</v>
      </c>
      <c r="E6484" s="159">
        <v>96</v>
      </c>
      <c r="F6484" s="131"/>
      <c r="G6484" s="132"/>
      <c r="H6484" s="162" t="s">
        <v>31464</v>
      </c>
      <c r="I6484" s="158" t="s">
        <v>31465</v>
      </c>
      <c r="J6484" s="128"/>
      <c r="K6484" s="128"/>
      <c r="L6484" s="128"/>
      <c r="M6484" s="129"/>
      <c r="N6484" s="129"/>
      <c r="O6484" s="129"/>
    </row>
    <row r="6485" spans="1:15" ht="12.5">
      <c r="A6485" s="158" t="s">
        <v>31471</v>
      </c>
      <c r="B6485" s="159">
        <v>75</v>
      </c>
      <c r="C6485" s="159">
        <v>50</v>
      </c>
      <c r="D6485" s="159">
        <v>33</v>
      </c>
      <c r="E6485" s="130"/>
      <c r="F6485" s="131"/>
      <c r="G6485" s="132"/>
      <c r="H6485" s="162" t="s">
        <v>31472</v>
      </c>
      <c r="I6485" s="128"/>
      <c r="J6485" s="128"/>
      <c r="K6485" s="128"/>
      <c r="L6485" s="128"/>
      <c r="M6485" s="129"/>
      <c r="N6485" s="129"/>
      <c r="O6485" s="129"/>
    </row>
    <row r="6486" spans="1:15" ht="12.5">
      <c r="A6486" s="158" t="s">
        <v>31473</v>
      </c>
      <c r="B6486" s="159">
        <v>75</v>
      </c>
      <c r="C6486" s="159">
        <v>50</v>
      </c>
      <c r="D6486" s="159">
        <v>33</v>
      </c>
      <c r="E6486" s="159">
        <v>25</v>
      </c>
      <c r="F6486" s="131"/>
      <c r="G6486" s="132"/>
      <c r="H6486" s="162" t="s">
        <v>31474</v>
      </c>
      <c r="I6486" s="158" t="s">
        <v>31475</v>
      </c>
      <c r="J6486" s="128"/>
      <c r="K6486" s="128"/>
      <c r="L6486" s="128"/>
      <c r="M6486" s="129"/>
      <c r="N6486" s="129"/>
      <c r="O6486" s="129"/>
    </row>
    <row r="6487" spans="1:15" ht="12.5">
      <c r="A6487" s="158" t="s">
        <v>31476</v>
      </c>
      <c r="B6487" s="159">
        <v>75</v>
      </c>
      <c r="C6487" s="159">
        <v>50</v>
      </c>
      <c r="D6487" s="159">
        <v>33</v>
      </c>
      <c r="E6487" s="159">
        <v>26</v>
      </c>
      <c r="F6487" s="131"/>
      <c r="G6487" s="132"/>
      <c r="H6487" s="162" t="s">
        <v>31477</v>
      </c>
      <c r="I6487" s="158" t="s">
        <v>31478</v>
      </c>
      <c r="J6487" s="128"/>
      <c r="K6487" s="128"/>
      <c r="L6487" s="128"/>
      <c r="M6487" s="129"/>
      <c r="N6487" s="129"/>
      <c r="O6487" s="129"/>
    </row>
    <row r="6488" spans="1:15" ht="12.5">
      <c r="A6488" s="158" t="s">
        <v>31479</v>
      </c>
      <c r="B6488" s="159">
        <v>75</v>
      </c>
      <c r="C6488" s="159">
        <v>50</v>
      </c>
      <c r="D6488" s="159">
        <v>33</v>
      </c>
      <c r="E6488" s="159">
        <v>27</v>
      </c>
      <c r="F6488" s="131"/>
      <c r="G6488" s="132"/>
      <c r="H6488" s="162" t="s">
        <v>31480</v>
      </c>
      <c r="I6488" s="158" t="s">
        <v>31481</v>
      </c>
      <c r="J6488" s="128"/>
      <c r="K6488" s="128"/>
      <c r="L6488" s="128"/>
      <c r="M6488" s="129"/>
      <c r="N6488" s="129"/>
      <c r="O6488" s="129"/>
    </row>
    <row r="6489" spans="1:15" ht="12.5">
      <c r="A6489" s="158" t="s">
        <v>31482</v>
      </c>
      <c r="B6489" s="159">
        <v>75</v>
      </c>
      <c r="C6489" s="159">
        <v>50</v>
      </c>
      <c r="D6489" s="159">
        <v>33</v>
      </c>
      <c r="E6489" s="159">
        <v>28</v>
      </c>
      <c r="F6489" s="131"/>
      <c r="G6489" s="132"/>
      <c r="H6489" s="162" t="s">
        <v>31483</v>
      </c>
      <c r="I6489" s="158" t="s">
        <v>31484</v>
      </c>
      <c r="J6489" s="128"/>
      <c r="K6489" s="128"/>
      <c r="L6489" s="128"/>
      <c r="M6489" s="129"/>
      <c r="N6489" s="129"/>
      <c r="O6489" s="129"/>
    </row>
    <row r="6490" spans="1:15" ht="12.5">
      <c r="A6490" s="158" t="s">
        <v>31485</v>
      </c>
      <c r="B6490" s="159">
        <v>75</v>
      </c>
      <c r="C6490" s="159">
        <v>50</v>
      </c>
      <c r="D6490" s="159">
        <v>33</v>
      </c>
      <c r="E6490" s="159">
        <v>50</v>
      </c>
      <c r="F6490" s="131"/>
      <c r="G6490" s="132"/>
      <c r="H6490" s="162" t="s">
        <v>31486</v>
      </c>
      <c r="I6490" s="158" t="s">
        <v>31487</v>
      </c>
      <c r="J6490" s="128"/>
      <c r="K6490" s="128"/>
      <c r="L6490" s="128"/>
      <c r="M6490" s="129"/>
      <c r="N6490" s="129"/>
      <c r="O6490" s="129"/>
    </row>
    <row r="6491" spans="1:15" ht="12.5">
      <c r="A6491" s="158" t="s">
        <v>31488</v>
      </c>
      <c r="B6491" s="159">
        <v>75</v>
      </c>
      <c r="C6491" s="159">
        <v>50</v>
      </c>
      <c r="D6491" s="159">
        <v>33</v>
      </c>
      <c r="E6491" s="159">
        <v>56</v>
      </c>
      <c r="F6491" s="131"/>
      <c r="G6491" s="132"/>
      <c r="H6491" s="162" t="s">
        <v>31489</v>
      </c>
      <c r="I6491" s="158" t="s">
        <v>31490</v>
      </c>
      <c r="J6491" s="128"/>
      <c r="K6491" s="128"/>
      <c r="L6491" s="128"/>
      <c r="M6491" s="129"/>
      <c r="N6491" s="129"/>
      <c r="O6491" s="129"/>
    </row>
    <row r="6492" spans="1:15" ht="12.5">
      <c r="A6492" s="158" t="s">
        <v>31491</v>
      </c>
      <c r="B6492" s="159">
        <v>75</v>
      </c>
      <c r="C6492" s="159">
        <v>50</v>
      </c>
      <c r="D6492" s="159">
        <v>33</v>
      </c>
      <c r="E6492" s="159">
        <v>64</v>
      </c>
      <c r="F6492" s="131"/>
      <c r="G6492" s="132"/>
      <c r="H6492" s="162" t="s">
        <v>31492</v>
      </c>
      <c r="I6492" s="158" t="s">
        <v>31493</v>
      </c>
      <c r="J6492" s="128"/>
      <c r="K6492" s="128"/>
      <c r="L6492" s="128"/>
      <c r="M6492" s="129"/>
      <c r="N6492" s="129"/>
      <c r="O6492" s="129"/>
    </row>
    <row r="6493" spans="1:15" ht="12.5">
      <c r="A6493" s="158" t="s">
        <v>31494</v>
      </c>
      <c r="B6493" s="159">
        <v>75</v>
      </c>
      <c r="C6493" s="159">
        <v>50</v>
      </c>
      <c r="D6493" s="159">
        <v>33</v>
      </c>
      <c r="E6493" s="159">
        <v>88</v>
      </c>
      <c r="F6493" s="131"/>
      <c r="G6493" s="132"/>
      <c r="H6493" s="162" t="s">
        <v>31495</v>
      </c>
      <c r="I6493" s="158" t="s">
        <v>31493</v>
      </c>
      <c r="J6493" s="128"/>
      <c r="K6493" s="128"/>
      <c r="L6493" s="128"/>
      <c r="M6493" s="129"/>
      <c r="N6493" s="129"/>
      <c r="O6493" s="129"/>
    </row>
    <row r="6494" spans="1:15" ht="12.5">
      <c r="A6494" s="158" t="s">
        <v>31496</v>
      </c>
      <c r="B6494" s="159">
        <v>75</v>
      </c>
      <c r="C6494" s="159">
        <v>50</v>
      </c>
      <c r="D6494" s="159">
        <v>46</v>
      </c>
      <c r="E6494" s="130"/>
      <c r="F6494" s="131"/>
      <c r="G6494" s="132"/>
      <c r="H6494" s="162" t="s">
        <v>31497</v>
      </c>
      <c r="I6494" s="128"/>
      <c r="J6494" s="128"/>
      <c r="K6494" s="128"/>
      <c r="L6494" s="128"/>
      <c r="M6494" s="129"/>
      <c r="N6494" s="129"/>
      <c r="O6494" s="129"/>
    </row>
    <row r="6495" spans="1:15" ht="12.5">
      <c r="A6495" s="158" t="s">
        <v>31498</v>
      </c>
      <c r="B6495" s="159">
        <v>75</v>
      </c>
      <c r="C6495" s="159">
        <v>50</v>
      </c>
      <c r="D6495" s="159">
        <v>46</v>
      </c>
      <c r="E6495" s="159">
        <v>27</v>
      </c>
      <c r="F6495" s="131"/>
      <c r="G6495" s="132"/>
      <c r="H6495" s="162" t="s">
        <v>31499</v>
      </c>
      <c r="I6495" s="128"/>
      <c r="J6495" s="128"/>
      <c r="K6495" s="128"/>
      <c r="L6495" s="128"/>
      <c r="M6495" s="129"/>
      <c r="N6495" s="129"/>
      <c r="O6495" s="129"/>
    </row>
    <row r="6496" spans="1:15" ht="12.5">
      <c r="A6496" s="158" t="s">
        <v>31500</v>
      </c>
      <c r="B6496" s="159">
        <v>75</v>
      </c>
      <c r="C6496" s="159">
        <v>50</v>
      </c>
      <c r="D6496" s="159">
        <v>46</v>
      </c>
      <c r="E6496" s="159">
        <v>29</v>
      </c>
      <c r="F6496" s="131"/>
      <c r="G6496" s="132"/>
      <c r="H6496" s="162" t="s">
        <v>31501</v>
      </c>
      <c r="I6496" s="128"/>
      <c r="J6496" s="128"/>
      <c r="K6496" s="128"/>
      <c r="L6496" s="128"/>
      <c r="M6496" s="129"/>
      <c r="N6496" s="129"/>
      <c r="O6496" s="129"/>
    </row>
    <row r="6497" spans="1:15" ht="12.5">
      <c r="A6497" s="158" t="s">
        <v>31502</v>
      </c>
      <c r="B6497" s="159">
        <v>75</v>
      </c>
      <c r="C6497" s="159">
        <v>50</v>
      </c>
      <c r="D6497" s="159">
        <v>46</v>
      </c>
      <c r="E6497" s="159">
        <v>30</v>
      </c>
      <c r="F6497" s="131"/>
      <c r="G6497" s="132"/>
      <c r="H6497" s="162" t="s">
        <v>31503</v>
      </c>
      <c r="I6497" s="158" t="s">
        <v>31504</v>
      </c>
      <c r="J6497" s="128"/>
      <c r="K6497" s="128"/>
      <c r="L6497" s="128"/>
      <c r="M6497" s="129"/>
      <c r="N6497" s="129"/>
      <c r="O6497" s="129"/>
    </row>
    <row r="6498" spans="1:15" ht="12.5">
      <c r="A6498" s="158" t="s">
        <v>31505</v>
      </c>
      <c r="B6498" s="159">
        <v>75</v>
      </c>
      <c r="C6498" s="159">
        <v>50</v>
      </c>
      <c r="D6498" s="159">
        <v>46</v>
      </c>
      <c r="E6498" s="159">
        <v>31</v>
      </c>
      <c r="F6498" s="131"/>
      <c r="G6498" s="132"/>
      <c r="H6498" s="162" t="s">
        <v>31506</v>
      </c>
      <c r="I6498" s="158" t="s">
        <v>31507</v>
      </c>
      <c r="J6498" s="128"/>
      <c r="K6498" s="128"/>
      <c r="L6498" s="128"/>
      <c r="M6498" s="129"/>
      <c r="N6498" s="129"/>
      <c r="O6498" s="129"/>
    </row>
    <row r="6499" spans="1:15" ht="12.5">
      <c r="A6499" s="158" t="s">
        <v>31508</v>
      </c>
      <c r="B6499" s="159">
        <v>75</v>
      </c>
      <c r="C6499" s="159">
        <v>50</v>
      </c>
      <c r="D6499" s="159">
        <v>46</v>
      </c>
      <c r="E6499" s="159">
        <v>42</v>
      </c>
      <c r="F6499" s="131"/>
      <c r="G6499" s="132"/>
      <c r="H6499" s="162" t="s">
        <v>31509</v>
      </c>
      <c r="I6499" s="158" t="s">
        <v>23149</v>
      </c>
      <c r="J6499" s="128"/>
      <c r="K6499" s="128"/>
      <c r="L6499" s="128"/>
      <c r="M6499" s="129"/>
      <c r="N6499" s="129"/>
      <c r="O6499" s="129"/>
    </row>
    <row r="6500" spans="1:15" ht="12.5">
      <c r="A6500" s="158" t="s">
        <v>31510</v>
      </c>
      <c r="B6500" s="159">
        <v>75</v>
      </c>
      <c r="C6500" s="159">
        <v>50</v>
      </c>
      <c r="D6500" s="159">
        <v>46</v>
      </c>
      <c r="E6500" s="159">
        <v>46</v>
      </c>
      <c r="F6500" s="131"/>
      <c r="G6500" s="132"/>
      <c r="H6500" s="162" t="s">
        <v>31511</v>
      </c>
      <c r="I6500" s="158" t="s">
        <v>31512</v>
      </c>
      <c r="J6500" s="128"/>
      <c r="K6500" s="128"/>
      <c r="L6500" s="128"/>
      <c r="M6500" s="129"/>
      <c r="N6500" s="129"/>
      <c r="O6500" s="129"/>
    </row>
    <row r="6501" spans="1:15" ht="12.5">
      <c r="A6501" s="158" t="s">
        <v>31513</v>
      </c>
      <c r="B6501" s="159">
        <v>75</v>
      </c>
      <c r="C6501" s="159">
        <v>50</v>
      </c>
      <c r="D6501" s="159">
        <v>46</v>
      </c>
      <c r="E6501" s="159">
        <v>68</v>
      </c>
      <c r="F6501" s="131"/>
      <c r="G6501" s="132"/>
      <c r="H6501" s="162" t="s">
        <v>31514</v>
      </c>
      <c r="I6501" s="128"/>
      <c r="J6501" s="128"/>
      <c r="K6501" s="128"/>
      <c r="L6501" s="128"/>
      <c r="M6501" s="129"/>
      <c r="N6501" s="129"/>
      <c r="O6501" s="129"/>
    </row>
    <row r="6502" spans="1:15" ht="12.5">
      <c r="A6502" s="158" t="s">
        <v>31515</v>
      </c>
      <c r="B6502" s="159">
        <v>75</v>
      </c>
      <c r="C6502" s="159">
        <v>50</v>
      </c>
      <c r="D6502" s="159">
        <v>47</v>
      </c>
      <c r="E6502" s="130"/>
      <c r="F6502" s="131"/>
      <c r="G6502" s="132"/>
      <c r="H6502" s="162" t="s">
        <v>31516</v>
      </c>
      <c r="I6502" s="128"/>
      <c r="J6502" s="128"/>
      <c r="K6502" s="128"/>
      <c r="L6502" s="128"/>
      <c r="M6502" s="129"/>
      <c r="N6502" s="129"/>
      <c r="O6502" s="129"/>
    </row>
    <row r="6503" spans="1:15" ht="12.5">
      <c r="A6503" s="158" t="s">
        <v>31517</v>
      </c>
      <c r="B6503" s="159">
        <v>75</v>
      </c>
      <c r="C6503" s="159">
        <v>50</v>
      </c>
      <c r="D6503" s="159">
        <v>47</v>
      </c>
      <c r="E6503" s="159">
        <v>8</v>
      </c>
      <c r="F6503" s="131"/>
      <c r="G6503" s="132"/>
      <c r="H6503" s="162" t="s">
        <v>31518</v>
      </c>
      <c r="I6503" s="158" t="s">
        <v>31519</v>
      </c>
      <c r="J6503" s="128"/>
      <c r="K6503" s="128"/>
      <c r="L6503" s="128"/>
      <c r="M6503" s="129"/>
      <c r="N6503" s="129"/>
      <c r="O6503" s="129"/>
    </row>
    <row r="6504" spans="1:15" ht="12.5">
      <c r="A6504" s="158" t="s">
        <v>31520</v>
      </c>
      <c r="B6504" s="159">
        <v>75</v>
      </c>
      <c r="C6504" s="159">
        <v>50</v>
      </c>
      <c r="D6504" s="159">
        <v>47</v>
      </c>
      <c r="E6504" s="159">
        <v>11</v>
      </c>
      <c r="F6504" s="131"/>
      <c r="G6504" s="132"/>
      <c r="H6504" s="162" t="s">
        <v>31521</v>
      </c>
      <c r="I6504" s="158" t="s">
        <v>31522</v>
      </c>
      <c r="J6504" s="128"/>
      <c r="K6504" s="128"/>
      <c r="L6504" s="128"/>
      <c r="M6504" s="129"/>
      <c r="N6504" s="129"/>
      <c r="O6504" s="129"/>
    </row>
    <row r="6505" spans="1:15" ht="12.5">
      <c r="A6505" s="158" t="s">
        <v>31523</v>
      </c>
      <c r="B6505" s="159">
        <v>75</v>
      </c>
      <c r="C6505" s="159">
        <v>50</v>
      </c>
      <c r="D6505" s="159">
        <v>47</v>
      </c>
      <c r="E6505" s="159">
        <v>34</v>
      </c>
      <c r="F6505" s="131"/>
      <c r="G6505" s="132"/>
      <c r="H6505" s="162" t="s">
        <v>31524</v>
      </c>
      <c r="I6505" s="158" t="s">
        <v>31525</v>
      </c>
      <c r="J6505" s="128"/>
      <c r="K6505" s="128"/>
      <c r="L6505" s="128"/>
      <c r="M6505" s="129"/>
      <c r="N6505" s="129"/>
      <c r="O6505" s="129"/>
    </row>
    <row r="6506" spans="1:15" ht="12.5">
      <c r="A6506" s="158" t="s">
        <v>31526</v>
      </c>
      <c r="B6506" s="159">
        <v>75</v>
      </c>
      <c r="C6506" s="159">
        <v>50</v>
      </c>
      <c r="D6506" s="159">
        <v>47</v>
      </c>
      <c r="E6506" s="159">
        <v>35</v>
      </c>
      <c r="F6506" s="131"/>
      <c r="G6506" s="132"/>
      <c r="H6506" s="162" t="s">
        <v>31527</v>
      </c>
      <c r="I6506" s="158" t="s">
        <v>31528</v>
      </c>
      <c r="J6506" s="128"/>
      <c r="K6506" s="128"/>
      <c r="L6506" s="128"/>
      <c r="M6506" s="129"/>
      <c r="N6506" s="129"/>
      <c r="O6506" s="129"/>
    </row>
    <row r="6507" spans="1:15" ht="12.5">
      <c r="A6507" s="158" t="s">
        <v>31529</v>
      </c>
      <c r="B6507" s="159">
        <v>75</v>
      </c>
      <c r="C6507" s="159">
        <v>50</v>
      </c>
      <c r="D6507" s="159">
        <v>47</v>
      </c>
      <c r="E6507" s="159">
        <v>39</v>
      </c>
      <c r="F6507" s="131"/>
      <c r="G6507" s="132"/>
      <c r="H6507" s="162" t="s">
        <v>31530</v>
      </c>
      <c r="I6507" s="158" t="s">
        <v>31531</v>
      </c>
      <c r="J6507" s="128"/>
      <c r="K6507" s="128"/>
      <c r="L6507" s="128"/>
      <c r="M6507" s="129"/>
      <c r="N6507" s="129"/>
      <c r="O6507" s="129"/>
    </row>
    <row r="6508" spans="1:15" ht="12.5">
      <c r="A6508" s="158" t="s">
        <v>31532</v>
      </c>
      <c r="B6508" s="159">
        <v>75</v>
      </c>
      <c r="C6508" s="159">
        <v>50</v>
      </c>
      <c r="D6508" s="159">
        <v>47</v>
      </c>
      <c r="E6508" s="159">
        <v>50</v>
      </c>
      <c r="F6508" s="131"/>
      <c r="G6508" s="132"/>
      <c r="H6508" s="162" t="s">
        <v>31533</v>
      </c>
      <c r="I6508" s="158" t="s">
        <v>31534</v>
      </c>
      <c r="J6508" s="128"/>
      <c r="K6508" s="128"/>
      <c r="L6508" s="128"/>
      <c r="M6508" s="129"/>
      <c r="N6508" s="129"/>
      <c r="O6508" s="129"/>
    </row>
    <row r="6509" spans="1:15" ht="12.5">
      <c r="A6509" s="158" t="s">
        <v>31535</v>
      </c>
      <c r="B6509" s="159">
        <v>75</v>
      </c>
      <c r="C6509" s="159">
        <v>50</v>
      </c>
      <c r="D6509" s="159">
        <v>47</v>
      </c>
      <c r="E6509" s="159">
        <v>51</v>
      </c>
      <c r="F6509" s="131"/>
      <c r="G6509" s="132"/>
      <c r="H6509" s="162" t="s">
        <v>31536</v>
      </c>
      <c r="I6509" s="158" t="s">
        <v>31537</v>
      </c>
      <c r="J6509" s="128"/>
      <c r="K6509" s="128"/>
      <c r="L6509" s="128"/>
      <c r="M6509" s="129"/>
      <c r="N6509" s="129"/>
      <c r="O6509" s="129"/>
    </row>
    <row r="6510" spans="1:15" ht="12.5">
      <c r="A6510" s="158" t="s">
        <v>31538</v>
      </c>
      <c r="B6510" s="159">
        <v>75</v>
      </c>
      <c r="C6510" s="159">
        <v>50</v>
      </c>
      <c r="D6510" s="159">
        <v>47</v>
      </c>
      <c r="E6510" s="159">
        <v>53</v>
      </c>
      <c r="F6510" s="131"/>
      <c r="G6510" s="132"/>
      <c r="H6510" s="162" t="s">
        <v>31539</v>
      </c>
      <c r="I6510" s="128"/>
      <c r="J6510" s="128"/>
      <c r="K6510" s="128"/>
      <c r="L6510" s="128"/>
      <c r="M6510" s="129"/>
      <c r="N6510" s="129"/>
      <c r="O6510" s="129"/>
    </row>
    <row r="6511" spans="1:15" ht="12.5">
      <c r="A6511" s="158" t="s">
        <v>31540</v>
      </c>
      <c r="B6511" s="159">
        <v>75</v>
      </c>
      <c r="C6511" s="159">
        <v>50</v>
      </c>
      <c r="D6511" s="159">
        <v>47</v>
      </c>
      <c r="E6511" s="159">
        <v>70</v>
      </c>
      <c r="F6511" s="131"/>
      <c r="G6511" s="132"/>
      <c r="H6511" s="162" t="s">
        <v>31541</v>
      </c>
      <c r="I6511" s="158" t="s">
        <v>31542</v>
      </c>
      <c r="J6511" s="128"/>
      <c r="K6511" s="128"/>
      <c r="L6511" s="128"/>
      <c r="M6511" s="129"/>
      <c r="N6511" s="129"/>
      <c r="O6511" s="129"/>
    </row>
    <row r="6512" spans="1:15" ht="12.5">
      <c r="A6512" s="158" t="s">
        <v>31543</v>
      </c>
      <c r="B6512" s="159">
        <v>75</v>
      </c>
      <c r="C6512" s="159">
        <v>50</v>
      </c>
      <c r="D6512" s="159">
        <v>47</v>
      </c>
      <c r="E6512" s="159">
        <v>73</v>
      </c>
      <c r="F6512" s="131"/>
      <c r="G6512" s="132"/>
      <c r="H6512" s="162" t="s">
        <v>31544</v>
      </c>
      <c r="I6512" s="158" t="s">
        <v>31545</v>
      </c>
      <c r="J6512" s="128"/>
      <c r="K6512" s="128"/>
      <c r="L6512" s="128"/>
      <c r="M6512" s="129"/>
      <c r="N6512" s="129"/>
      <c r="O6512" s="129"/>
    </row>
    <row r="6513" spans="1:15" ht="12.5">
      <c r="A6513" s="158" t="s">
        <v>31546</v>
      </c>
      <c r="B6513" s="159">
        <v>75</v>
      </c>
      <c r="C6513" s="159">
        <v>50</v>
      </c>
      <c r="D6513" s="159">
        <v>47</v>
      </c>
      <c r="E6513" s="159">
        <v>88</v>
      </c>
      <c r="F6513" s="131"/>
      <c r="G6513" s="132"/>
      <c r="H6513" s="162" t="s">
        <v>31547</v>
      </c>
      <c r="I6513" s="158" t="s">
        <v>31548</v>
      </c>
      <c r="J6513" s="128"/>
      <c r="K6513" s="128"/>
      <c r="L6513" s="128"/>
      <c r="M6513" s="129"/>
      <c r="N6513" s="129"/>
      <c r="O6513" s="129"/>
    </row>
    <row r="6514" spans="1:15" ht="12.5">
      <c r="A6514" s="158" t="s">
        <v>31549</v>
      </c>
      <c r="B6514" s="159">
        <v>75</v>
      </c>
      <c r="C6514" s="159">
        <v>50</v>
      </c>
      <c r="D6514" s="159">
        <v>47</v>
      </c>
      <c r="E6514" s="159">
        <v>92</v>
      </c>
      <c r="F6514" s="131"/>
      <c r="G6514" s="132"/>
      <c r="H6514" s="162" t="s">
        <v>31550</v>
      </c>
      <c r="I6514" s="158" t="s">
        <v>31551</v>
      </c>
      <c r="J6514" s="128"/>
      <c r="K6514" s="128"/>
      <c r="L6514" s="128"/>
      <c r="M6514" s="129"/>
      <c r="N6514" s="129"/>
      <c r="O6514" s="129"/>
    </row>
    <row r="6515" spans="1:15" ht="12.5">
      <c r="A6515" s="158" t="s">
        <v>31552</v>
      </c>
      <c r="B6515" s="159">
        <v>75</v>
      </c>
      <c r="C6515" s="159">
        <v>50</v>
      </c>
      <c r="D6515" s="159">
        <v>47</v>
      </c>
      <c r="E6515" s="159">
        <v>94</v>
      </c>
      <c r="F6515" s="131"/>
      <c r="G6515" s="132"/>
      <c r="H6515" s="162" t="s">
        <v>31553</v>
      </c>
      <c r="I6515" s="158" t="s">
        <v>31554</v>
      </c>
      <c r="J6515" s="128"/>
      <c r="K6515" s="128"/>
      <c r="L6515" s="128"/>
      <c r="M6515" s="129"/>
      <c r="N6515" s="129"/>
      <c r="O6515" s="129"/>
    </row>
    <row r="6516" spans="1:15" ht="12.5">
      <c r="A6516" s="158" t="s">
        <v>31555</v>
      </c>
      <c r="B6516" s="159">
        <v>75</v>
      </c>
      <c r="C6516" s="159">
        <v>50</v>
      </c>
      <c r="D6516" s="159">
        <v>47</v>
      </c>
      <c r="E6516" s="159">
        <v>96</v>
      </c>
      <c r="F6516" s="131"/>
      <c r="G6516" s="132"/>
      <c r="H6516" s="162" t="s">
        <v>31556</v>
      </c>
      <c r="I6516" s="128"/>
      <c r="J6516" s="128"/>
      <c r="K6516" s="128"/>
      <c r="L6516" s="128"/>
      <c r="M6516" s="129"/>
      <c r="N6516" s="129"/>
      <c r="O6516" s="129"/>
    </row>
    <row r="6517" spans="1:15" ht="12.5">
      <c r="A6517" s="158" t="s">
        <v>31557</v>
      </c>
      <c r="B6517" s="159">
        <v>75</v>
      </c>
      <c r="C6517" s="159">
        <v>50</v>
      </c>
      <c r="D6517" s="159">
        <v>47</v>
      </c>
      <c r="E6517" s="159">
        <v>97</v>
      </c>
      <c r="F6517" s="131"/>
      <c r="G6517" s="132"/>
      <c r="H6517" s="162" t="s">
        <v>31558</v>
      </c>
      <c r="I6517" s="128"/>
      <c r="J6517" s="128"/>
      <c r="K6517" s="128"/>
      <c r="L6517" s="128"/>
      <c r="M6517" s="129"/>
      <c r="N6517" s="129"/>
      <c r="O6517" s="129"/>
    </row>
    <row r="6518" spans="1:15" ht="12.5">
      <c r="A6518" s="158" t="s">
        <v>31559</v>
      </c>
      <c r="B6518" s="159">
        <v>75</v>
      </c>
      <c r="C6518" s="159">
        <v>50</v>
      </c>
      <c r="D6518" s="159">
        <v>48</v>
      </c>
      <c r="E6518" s="130"/>
      <c r="F6518" s="131"/>
      <c r="G6518" s="132"/>
      <c r="H6518" s="162" t="s">
        <v>31560</v>
      </c>
      <c r="I6518" s="128"/>
      <c r="J6518" s="128"/>
      <c r="K6518" s="128"/>
      <c r="L6518" s="128"/>
      <c r="M6518" s="129"/>
      <c r="N6518" s="129"/>
      <c r="O6518" s="129"/>
    </row>
    <row r="6519" spans="1:15" ht="12.5">
      <c r="A6519" s="158" t="s">
        <v>31561</v>
      </c>
      <c r="B6519" s="159">
        <v>75</v>
      </c>
      <c r="C6519" s="159">
        <v>50</v>
      </c>
      <c r="D6519" s="159">
        <v>48</v>
      </c>
      <c r="E6519" s="159">
        <v>15</v>
      </c>
      <c r="F6519" s="131"/>
      <c r="G6519" s="132"/>
      <c r="H6519" s="162" t="s">
        <v>31562</v>
      </c>
      <c r="I6519" s="158" t="s">
        <v>31563</v>
      </c>
      <c r="J6519" s="128"/>
      <c r="K6519" s="128"/>
      <c r="L6519" s="128"/>
      <c r="M6519" s="129"/>
      <c r="N6519" s="129"/>
      <c r="O6519" s="129"/>
    </row>
    <row r="6520" spans="1:15" ht="12.5">
      <c r="A6520" s="158" t="s">
        <v>31564</v>
      </c>
      <c r="B6520" s="159">
        <v>75</v>
      </c>
      <c r="C6520" s="159">
        <v>50</v>
      </c>
      <c r="D6520" s="159">
        <v>48</v>
      </c>
      <c r="E6520" s="159">
        <v>31</v>
      </c>
      <c r="F6520" s="131"/>
      <c r="G6520" s="132"/>
      <c r="H6520" s="162" t="s">
        <v>31565</v>
      </c>
      <c r="I6520" s="158" t="s">
        <v>31563</v>
      </c>
      <c r="J6520" s="128"/>
      <c r="K6520" s="128"/>
      <c r="L6520" s="128"/>
      <c r="M6520" s="129"/>
      <c r="N6520" s="129"/>
      <c r="O6520" s="129"/>
    </row>
    <row r="6521" spans="1:15" ht="12.5">
      <c r="A6521" s="158" t="s">
        <v>31566</v>
      </c>
      <c r="B6521" s="159">
        <v>75</v>
      </c>
      <c r="C6521" s="159">
        <v>50</v>
      </c>
      <c r="D6521" s="159">
        <v>48</v>
      </c>
      <c r="E6521" s="159">
        <v>34</v>
      </c>
      <c r="F6521" s="131"/>
      <c r="G6521" s="132"/>
      <c r="H6521" s="162" t="s">
        <v>31567</v>
      </c>
      <c r="I6521" s="158" t="s">
        <v>31568</v>
      </c>
      <c r="J6521" s="128"/>
      <c r="K6521" s="128"/>
      <c r="L6521" s="128"/>
      <c r="M6521" s="129"/>
      <c r="N6521" s="129"/>
      <c r="O6521" s="129"/>
    </row>
    <row r="6522" spans="1:15" ht="12.5">
      <c r="A6522" s="158" t="s">
        <v>31569</v>
      </c>
      <c r="B6522" s="159">
        <v>75</v>
      </c>
      <c r="C6522" s="159">
        <v>50</v>
      </c>
      <c r="D6522" s="159">
        <v>48</v>
      </c>
      <c r="E6522" s="159">
        <v>47</v>
      </c>
      <c r="F6522" s="131"/>
      <c r="G6522" s="132"/>
      <c r="H6522" s="162" t="s">
        <v>31570</v>
      </c>
      <c r="I6522" s="158" t="s">
        <v>31571</v>
      </c>
      <c r="J6522" s="128"/>
      <c r="K6522" s="128"/>
      <c r="L6522" s="128"/>
      <c r="M6522" s="129"/>
      <c r="N6522" s="129"/>
      <c r="O6522" s="129"/>
    </row>
    <row r="6523" spans="1:15" ht="12.5">
      <c r="A6523" s="158" t="s">
        <v>31572</v>
      </c>
      <c r="B6523" s="159">
        <v>75</v>
      </c>
      <c r="C6523" s="159">
        <v>50</v>
      </c>
      <c r="D6523" s="159">
        <v>48</v>
      </c>
      <c r="E6523" s="159">
        <v>60</v>
      </c>
      <c r="F6523" s="131"/>
      <c r="G6523" s="132"/>
      <c r="H6523" s="162" t="s">
        <v>31573</v>
      </c>
      <c r="I6523" s="158" t="s">
        <v>31574</v>
      </c>
      <c r="J6523" s="128"/>
      <c r="K6523" s="128"/>
      <c r="L6523" s="128"/>
      <c r="M6523" s="129"/>
      <c r="N6523" s="129"/>
      <c r="O6523" s="129"/>
    </row>
    <row r="6524" spans="1:15" ht="12.5">
      <c r="A6524" s="158" t="s">
        <v>31575</v>
      </c>
      <c r="B6524" s="159">
        <v>75</v>
      </c>
      <c r="C6524" s="159">
        <v>50</v>
      </c>
      <c r="D6524" s="159">
        <v>48</v>
      </c>
      <c r="E6524" s="159">
        <v>67</v>
      </c>
      <c r="F6524" s="131"/>
      <c r="G6524" s="132"/>
      <c r="H6524" s="162" t="s">
        <v>31576</v>
      </c>
      <c r="I6524" s="158" t="s">
        <v>31577</v>
      </c>
      <c r="J6524" s="128"/>
      <c r="K6524" s="128"/>
      <c r="L6524" s="128"/>
      <c r="M6524" s="129"/>
      <c r="N6524" s="129"/>
      <c r="O6524" s="129"/>
    </row>
    <row r="6525" spans="1:15" ht="12.5">
      <c r="A6525" s="158" t="s">
        <v>31578</v>
      </c>
      <c r="B6525" s="159">
        <v>75</v>
      </c>
      <c r="C6525" s="159">
        <v>50</v>
      </c>
      <c r="D6525" s="159">
        <v>48</v>
      </c>
      <c r="E6525" s="159">
        <v>71</v>
      </c>
      <c r="F6525" s="131"/>
      <c r="G6525" s="132"/>
      <c r="H6525" s="162" t="s">
        <v>31579</v>
      </c>
      <c r="I6525" s="158" t="s">
        <v>31580</v>
      </c>
      <c r="J6525" s="128"/>
      <c r="K6525" s="128"/>
      <c r="L6525" s="128"/>
      <c r="M6525" s="129"/>
      <c r="N6525" s="129"/>
      <c r="O6525" s="129"/>
    </row>
    <row r="6526" spans="1:15" ht="12.5">
      <c r="A6526" s="158" t="s">
        <v>31581</v>
      </c>
      <c r="B6526" s="159">
        <v>75</v>
      </c>
      <c r="C6526" s="159">
        <v>50</v>
      </c>
      <c r="D6526" s="159">
        <v>48</v>
      </c>
      <c r="E6526" s="159">
        <v>90</v>
      </c>
      <c r="F6526" s="131"/>
      <c r="G6526" s="132"/>
      <c r="H6526" s="162" t="s">
        <v>31582</v>
      </c>
      <c r="I6526" s="158" t="s">
        <v>31583</v>
      </c>
      <c r="J6526" s="128"/>
      <c r="K6526" s="128"/>
      <c r="L6526" s="128"/>
      <c r="M6526" s="129"/>
      <c r="N6526" s="129"/>
      <c r="O6526" s="129"/>
    </row>
    <row r="6527" spans="1:15" ht="12.5">
      <c r="A6527" s="158" t="s">
        <v>31584</v>
      </c>
      <c r="B6527" s="159">
        <v>75</v>
      </c>
      <c r="C6527" s="159">
        <v>50</v>
      </c>
      <c r="D6527" s="159">
        <v>48</v>
      </c>
      <c r="E6527" s="159">
        <v>96</v>
      </c>
      <c r="F6527" s="131"/>
      <c r="G6527" s="132"/>
      <c r="H6527" s="162" t="s">
        <v>31585</v>
      </c>
      <c r="I6527" s="158" t="s">
        <v>31563</v>
      </c>
      <c r="J6527" s="128"/>
      <c r="K6527" s="128"/>
      <c r="L6527" s="128"/>
      <c r="M6527" s="129"/>
      <c r="N6527" s="129"/>
      <c r="O6527" s="129"/>
    </row>
    <row r="6528" spans="1:15" ht="12.5">
      <c r="A6528" s="158" t="s">
        <v>31586</v>
      </c>
      <c r="B6528" s="159">
        <v>75</v>
      </c>
      <c r="C6528" s="159">
        <v>50</v>
      </c>
      <c r="D6528" s="159">
        <v>50</v>
      </c>
      <c r="E6528" s="130"/>
      <c r="F6528" s="131"/>
      <c r="G6528" s="132"/>
      <c r="H6528" s="162" t="s">
        <v>31587</v>
      </c>
      <c r="I6528" s="128"/>
      <c r="J6528" s="128"/>
      <c r="K6528" s="128"/>
      <c r="L6528" s="128"/>
      <c r="M6528" s="129"/>
      <c r="N6528" s="129"/>
      <c r="O6528" s="129"/>
    </row>
    <row r="6529" spans="1:15" ht="12.5">
      <c r="A6529" s="158" t="s">
        <v>31588</v>
      </c>
      <c r="B6529" s="159">
        <v>75</v>
      </c>
      <c r="C6529" s="159">
        <v>50</v>
      </c>
      <c r="D6529" s="159">
        <v>50</v>
      </c>
      <c r="E6529" s="159">
        <v>63</v>
      </c>
      <c r="F6529" s="131"/>
      <c r="G6529" s="132"/>
      <c r="H6529" s="162" t="s">
        <v>31589</v>
      </c>
      <c r="I6529" s="128"/>
      <c r="J6529" s="128"/>
      <c r="K6529" s="128"/>
      <c r="L6529" s="128"/>
      <c r="M6529" s="129"/>
      <c r="N6529" s="129"/>
      <c r="O6529" s="129"/>
    </row>
    <row r="6530" spans="1:15" ht="12.5">
      <c r="A6530" s="158" t="s">
        <v>31590</v>
      </c>
      <c r="B6530" s="159">
        <v>75</v>
      </c>
      <c r="C6530" s="159">
        <v>50</v>
      </c>
      <c r="D6530" s="159">
        <v>51</v>
      </c>
      <c r="E6530" s="130"/>
      <c r="F6530" s="131"/>
      <c r="G6530" s="132"/>
      <c r="H6530" s="162" t="s">
        <v>31591</v>
      </c>
      <c r="I6530" s="128"/>
      <c r="J6530" s="128"/>
      <c r="K6530" s="128"/>
      <c r="L6530" s="128"/>
      <c r="M6530" s="129"/>
      <c r="N6530" s="129"/>
      <c r="O6530" s="129"/>
    </row>
    <row r="6531" spans="1:15" ht="12.5">
      <c r="A6531" s="158" t="s">
        <v>31592</v>
      </c>
      <c r="B6531" s="159">
        <v>75</v>
      </c>
      <c r="C6531" s="159">
        <v>50</v>
      </c>
      <c r="D6531" s="159">
        <v>51</v>
      </c>
      <c r="E6531" s="159">
        <v>52</v>
      </c>
      <c r="F6531" s="131"/>
      <c r="G6531" s="132"/>
      <c r="H6531" s="162" t="s">
        <v>31593</v>
      </c>
      <c r="I6531" s="158" t="s">
        <v>31594</v>
      </c>
      <c r="J6531" s="128"/>
      <c r="K6531" s="128"/>
      <c r="L6531" s="128"/>
      <c r="M6531" s="129"/>
      <c r="N6531" s="129"/>
      <c r="O6531" s="129"/>
    </row>
    <row r="6532" spans="1:15" ht="12.5">
      <c r="A6532" s="158" t="s">
        <v>31595</v>
      </c>
      <c r="B6532" s="159">
        <v>75</v>
      </c>
      <c r="C6532" s="159">
        <v>50</v>
      </c>
      <c r="D6532" s="159">
        <v>51</v>
      </c>
      <c r="E6532" s="159">
        <v>54</v>
      </c>
      <c r="F6532" s="131"/>
      <c r="G6532" s="132"/>
      <c r="H6532" s="162" t="s">
        <v>31596</v>
      </c>
      <c r="I6532" s="158" t="s">
        <v>31597</v>
      </c>
      <c r="J6532" s="128"/>
      <c r="K6532" s="128"/>
      <c r="L6532" s="128"/>
      <c r="M6532" s="129"/>
      <c r="N6532" s="129"/>
      <c r="O6532" s="129"/>
    </row>
    <row r="6533" spans="1:15" ht="12.5">
      <c r="A6533" s="158" t="s">
        <v>31598</v>
      </c>
      <c r="B6533" s="159">
        <v>75</v>
      </c>
      <c r="C6533" s="159">
        <v>50</v>
      </c>
      <c r="D6533" s="159">
        <v>51</v>
      </c>
      <c r="E6533" s="159">
        <v>71</v>
      </c>
      <c r="F6533" s="131"/>
      <c r="G6533" s="132"/>
      <c r="H6533" s="162" t="s">
        <v>31599</v>
      </c>
      <c r="I6533" s="158" t="s">
        <v>31600</v>
      </c>
      <c r="J6533" s="128"/>
      <c r="K6533" s="128"/>
      <c r="L6533" s="128"/>
      <c r="M6533" s="129"/>
      <c r="N6533" s="129"/>
      <c r="O6533" s="129"/>
    </row>
    <row r="6534" spans="1:15" ht="12.5">
      <c r="A6534" s="158" t="s">
        <v>31601</v>
      </c>
      <c r="B6534" s="159">
        <v>75</v>
      </c>
      <c r="C6534" s="159">
        <v>50</v>
      </c>
      <c r="D6534" s="159">
        <v>51</v>
      </c>
      <c r="E6534" s="159">
        <v>94</v>
      </c>
      <c r="F6534" s="131"/>
      <c r="G6534" s="132"/>
      <c r="H6534" s="162" t="s">
        <v>31602</v>
      </c>
      <c r="I6534" s="158" t="s">
        <v>31603</v>
      </c>
      <c r="J6534" s="128"/>
      <c r="K6534" s="128"/>
      <c r="L6534" s="128"/>
      <c r="M6534" s="129"/>
      <c r="N6534" s="129"/>
      <c r="O6534" s="129"/>
    </row>
    <row r="6535" spans="1:15" ht="12.5">
      <c r="A6535" s="158" t="s">
        <v>31604</v>
      </c>
      <c r="B6535" s="159">
        <v>75</v>
      </c>
      <c r="C6535" s="159">
        <v>50</v>
      </c>
      <c r="D6535" s="159">
        <v>52</v>
      </c>
      <c r="E6535" s="130"/>
      <c r="F6535" s="131"/>
      <c r="G6535" s="132"/>
      <c r="H6535" s="162" t="s">
        <v>31605</v>
      </c>
      <c r="I6535" s="128"/>
      <c r="J6535" s="128"/>
      <c r="K6535" s="128"/>
      <c r="L6535" s="128"/>
      <c r="M6535" s="129"/>
      <c r="N6535" s="129"/>
      <c r="O6535" s="129"/>
    </row>
    <row r="6536" spans="1:15" ht="12.5">
      <c r="A6536" s="158" t="s">
        <v>31606</v>
      </c>
      <c r="B6536" s="159">
        <v>75</v>
      </c>
      <c r="C6536" s="159">
        <v>50</v>
      </c>
      <c r="D6536" s="159">
        <v>52</v>
      </c>
      <c r="E6536" s="159">
        <v>3</v>
      </c>
      <c r="F6536" s="131"/>
      <c r="G6536" s="132"/>
      <c r="H6536" s="162" t="s">
        <v>31607</v>
      </c>
      <c r="I6536" s="158" t="s">
        <v>31608</v>
      </c>
      <c r="J6536" s="128"/>
      <c r="K6536" s="128"/>
      <c r="L6536" s="128"/>
      <c r="M6536" s="129"/>
      <c r="N6536" s="129"/>
      <c r="O6536" s="129"/>
    </row>
    <row r="6537" spans="1:15" ht="12.5">
      <c r="A6537" s="158" t="s">
        <v>31609</v>
      </c>
      <c r="B6537" s="159">
        <v>75</v>
      </c>
      <c r="C6537" s="159">
        <v>50</v>
      </c>
      <c r="D6537" s="159">
        <v>52</v>
      </c>
      <c r="E6537" s="159">
        <v>6</v>
      </c>
      <c r="F6537" s="131"/>
      <c r="G6537" s="132"/>
      <c r="H6537" s="162" t="s">
        <v>31610</v>
      </c>
      <c r="I6537" s="158" t="s">
        <v>31611</v>
      </c>
      <c r="J6537" s="128"/>
      <c r="K6537" s="128"/>
      <c r="L6537" s="128"/>
      <c r="M6537" s="129"/>
      <c r="N6537" s="129"/>
      <c r="O6537" s="129"/>
    </row>
    <row r="6538" spans="1:15" ht="12.5">
      <c r="A6538" s="158" t="s">
        <v>31612</v>
      </c>
      <c r="B6538" s="159">
        <v>75</v>
      </c>
      <c r="C6538" s="159">
        <v>50</v>
      </c>
      <c r="D6538" s="159">
        <v>52</v>
      </c>
      <c r="E6538" s="159">
        <v>12</v>
      </c>
      <c r="F6538" s="131"/>
      <c r="G6538" s="132"/>
      <c r="H6538" s="162" t="s">
        <v>31613</v>
      </c>
      <c r="I6538" s="158" t="s">
        <v>31614</v>
      </c>
      <c r="J6538" s="128"/>
      <c r="K6538" s="128"/>
      <c r="L6538" s="128"/>
      <c r="M6538" s="129"/>
      <c r="N6538" s="129"/>
      <c r="O6538" s="129"/>
    </row>
    <row r="6539" spans="1:15" ht="12.5">
      <c r="A6539" s="158" t="s">
        <v>31615</v>
      </c>
      <c r="B6539" s="159">
        <v>75</v>
      </c>
      <c r="C6539" s="159">
        <v>50</v>
      </c>
      <c r="D6539" s="159">
        <v>52</v>
      </c>
      <c r="E6539" s="159">
        <v>39</v>
      </c>
      <c r="F6539" s="131"/>
      <c r="G6539" s="132"/>
      <c r="H6539" s="162" t="s">
        <v>31616</v>
      </c>
      <c r="I6539" s="158" t="s">
        <v>31617</v>
      </c>
      <c r="J6539" s="128"/>
      <c r="K6539" s="128"/>
      <c r="L6539" s="128"/>
      <c r="M6539" s="129"/>
      <c r="N6539" s="129"/>
      <c r="O6539" s="129"/>
    </row>
    <row r="6540" spans="1:15" ht="12.5">
      <c r="A6540" s="158" t="s">
        <v>31618</v>
      </c>
      <c r="B6540" s="159">
        <v>75</v>
      </c>
      <c r="C6540" s="159">
        <v>50</v>
      </c>
      <c r="D6540" s="159">
        <v>52</v>
      </c>
      <c r="E6540" s="159">
        <v>65</v>
      </c>
      <c r="F6540" s="131"/>
      <c r="G6540" s="132"/>
      <c r="H6540" s="162" t="s">
        <v>31619</v>
      </c>
      <c r="I6540" s="158" t="s">
        <v>31620</v>
      </c>
      <c r="J6540" s="128"/>
      <c r="K6540" s="128"/>
      <c r="L6540" s="128"/>
      <c r="M6540" s="129"/>
      <c r="N6540" s="129"/>
      <c r="O6540" s="129"/>
    </row>
    <row r="6541" spans="1:15" ht="12.5">
      <c r="A6541" s="158" t="s">
        <v>31621</v>
      </c>
      <c r="B6541" s="159">
        <v>75</v>
      </c>
      <c r="C6541" s="159">
        <v>50</v>
      </c>
      <c r="D6541" s="159">
        <v>52</v>
      </c>
      <c r="E6541" s="159">
        <v>85</v>
      </c>
      <c r="F6541" s="131"/>
      <c r="G6541" s="132"/>
      <c r="H6541" s="162" t="s">
        <v>31622</v>
      </c>
      <c r="I6541" s="128"/>
      <c r="J6541" s="128"/>
      <c r="K6541" s="128"/>
      <c r="L6541" s="128"/>
      <c r="M6541" s="129"/>
      <c r="N6541" s="129"/>
      <c r="O6541" s="129"/>
    </row>
    <row r="6542" spans="1:15" ht="12.5">
      <c r="A6542" s="158" t="s">
        <v>31623</v>
      </c>
      <c r="B6542" s="159">
        <v>75</v>
      </c>
      <c r="C6542" s="159">
        <v>50</v>
      </c>
      <c r="D6542" s="159">
        <v>52</v>
      </c>
      <c r="E6542" s="159">
        <v>90</v>
      </c>
      <c r="F6542" s="131"/>
      <c r="G6542" s="132"/>
      <c r="H6542" s="162" t="s">
        <v>31624</v>
      </c>
      <c r="I6542" s="158" t="s">
        <v>31625</v>
      </c>
      <c r="J6542" s="128"/>
      <c r="K6542" s="128"/>
      <c r="L6542" s="128"/>
      <c r="M6542" s="129"/>
      <c r="N6542" s="129"/>
      <c r="O6542" s="129"/>
    </row>
    <row r="6543" spans="1:15" ht="12.5">
      <c r="A6543" s="158" t="s">
        <v>31626</v>
      </c>
      <c r="B6543" s="159">
        <v>75</v>
      </c>
      <c r="C6543" s="159">
        <v>50</v>
      </c>
      <c r="D6543" s="159">
        <v>52</v>
      </c>
      <c r="E6543" s="159">
        <v>94</v>
      </c>
      <c r="F6543" s="131"/>
      <c r="G6543" s="132"/>
      <c r="H6543" s="162" t="s">
        <v>31627</v>
      </c>
      <c r="I6543" s="158" t="s">
        <v>31628</v>
      </c>
      <c r="J6543" s="128"/>
      <c r="K6543" s="128"/>
      <c r="L6543" s="128"/>
      <c r="M6543" s="129"/>
      <c r="N6543" s="129"/>
      <c r="O6543" s="129"/>
    </row>
    <row r="6544" spans="1:15" ht="12.5">
      <c r="A6544" s="158" t="s">
        <v>31629</v>
      </c>
      <c r="B6544" s="159">
        <v>75</v>
      </c>
      <c r="C6544" s="159">
        <v>50</v>
      </c>
      <c r="D6544" s="159">
        <v>52</v>
      </c>
      <c r="E6544" s="159">
        <v>97</v>
      </c>
      <c r="F6544" s="131"/>
      <c r="G6544" s="132"/>
      <c r="H6544" s="162" t="s">
        <v>31630</v>
      </c>
      <c r="I6544" s="158" t="s">
        <v>31631</v>
      </c>
      <c r="J6544" s="128"/>
      <c r="K6544" s="128"/>
      <c r="L6544" s="128"/>
      <c r="M6544" s="129"/>
      <c r="N6544" s="129"/>
      <c r="O6544" s="129"/>
    </row>
    <row r="6545" spans="1:15" ht="12.5">
      <c r="A6545" s="158" t="s">
        <v>31632</v>
      </c>
      <c r="B6545" s="159">
        <v>75</v>
      </c>
      <c r="C6545" s="159">
        <v>50</v>
      </c>
      <c r="D6545" s="159">
        <v>52</v>
      </c>
      <c r="E6545" s="159">
        <v>98</v>
      </c>
      <c r="F6545" s="131"/>
      <c r="G6545" s="132"/>
      <c r="H6545" s="162" t="s">
        <v>31633</v>
      </c>
      <c r="I6545" s="128"/>
      <c r="J6545" s="128"/>
      <c r="K6545" s="128"/>
      <c r="L6545" s="128"/>
      <c r="M6545" s="129"/>
      <c r="N6545" s="129"/>
      <c r="O6545" s="129"/>
    </row>
    <row r="6546" spans="1:15" ht="12.5">
      <c r="A6546" s="158" t="s">
        <v>31634</v>
      </c>
      <c r="B6546" s="159">
        <v>75</v>
      </c>
      <c r="C6546" s="159">
        <v>50</v>
      </c>
      <c r="D6546" s="159">
        <v>76</v>
      </c>
      <c r="E6546" s="130"/>
      <c r="F6546" s="131"/>
      <c r="G6546" s="132"/>
      <c r="H6546" s="162" t="s">
        <v>31635</v>
      </c>
      <c r="I6546" s="128"/>
      <c r="J6546" s="128"/>
      <c r="K6546" s="128"/>
      <c r="L6546" s="128"/>
      <c r="M6546" s="129"/>
      <c r="N6546" s="129"/>
      <c r="O6546" s="129"/>
    </row>
    <row r="6547" spans="1:15" ht="12.5">
      <c r="A6547" s="158" t="s">
        <v>31636</v>
      </c>
      <c r="B6547" s="159">
        <v>75</v>
      </c>
      <c r="C6547" s="159">
        <v>50</v>
      </c>
      <c r="D6547" s="159">
        <v>76</v>
      </c>
      <c r="E6547" s="159">
        <v>2</v>
      </c>
      <c r="F6547" s="131"/>
      <c r="G6547" s="132"/>
      <c r="H6547" s="162" t="s">
        <v>31637</v>
      </c>
      <c r="I6547" s="158" t="s">
        <v>31638</v>
      </c>
      <c r="J6547" s="128"/>
      <c r="K6547" s="128"/>
      <c r="L6547" s="128"/>
      <c r="M6547" s="129"/>
      <c r="N6547" s="129"/>
      <c r="O6547" s="129"/>
    </row>
    <row r="6548" spans="1:15" ht="12.5">
      <c r="A6548" s="158" t="s">
        <v>31639</v>
      </c>
      <c r="B6548" s="159">
        <v>75</v>
      </c>
      <c r="C6548" s="159">
        <v>50</v>
      </c>
      <c r="D6548" s="159">
        <v>76</v>
      </c>
      <c r="E6548" s="159">
        <v>3</v>
      </c>
      <c r="F6548" s="131"/>
      <c r="G6548" s="132"/>
      <c r="H6548" s="162" t="s">
        <v>31640</v>
      </c>
      <c r="I6548" s="158" t="s">
        <v>31641</v>
      </c>
      <c r="J6548" s="128"/>
      <c r="K6548" s="128"/>
      <c r="L6548" s="128"/>
      <c r="M6548" s="129"/>
      <c r="N6548" s="129"/>
      <c r="O6548" s="129"/>
    </row>
    <row r="6549" spans="1:15" ht="12.5">
      <c r="A6549" s="158" t="s">
        <v>31642</v>
      </c>
      <c r="B6549" s="159">
        <v>75</v>
      </c>
      <c r="C6549" s="159">
        <v>50</v>
      </c>
      <c r="D6549" s="159">
        <v>76</v>
      </c>
      <c r="E6549" s="159">
        <v>4</v>
      </c>
      <c r="F6549" s="131"/>
      <c r="G6549" s="132"/>
      <c r="H6549" s="162" t="s">
        <v>31643</v>
      </c>
      <c r="I6549" s="158" t="s">
        <v>31644</v>
      </c>
      <c r="J6549" s="128"/>
      <c r="K6549" s="128"/>
      <c r="L6549" s="128"/>
      <c r="M6549" s="129"/>
      <c r="N6549" s="129"/>
      <c r="O6549" s="129"/>
    </row>
    <row r="6550" spans="1:15" ht="12.5">
      <c r="A6550" s="158" t="s">
        <v>31645</v>
      </c>
      <c r="B6550" s="159">
        <v>75</v>
      </c>
      <c r="C6550" s="159">
        <v>50</v>
      </c>
      <c r="D6550" s="159">
        <v>76</v>
      </c>
      <c r="E6550" s="159">
        <v>12</v>
      </c>
      <c r="F6550" s="131"/>
      <c r="G6550" s="132"/>
      <c r="H6550" s="162" t="s">
        <v>31646</v>
      </c>
      <c r="I6550" s="158" t="s">
        <v>31647</v>
      </c>
      <c r="J6550" s="128"/>
      <c r="K6550" s="128"/>
      <c r="L6550" s="128"/>
      <c r="M6550" s="129"/>
      <c r="N6550" s="129"/>
      <c r="O6550" s="129"/>
    </row>
    <row r="6551" spans="1:15" ht="12.5">
      <c r="A6551" s="158" t="s">
        <v>31648</v>
      </c>
      <c r="B6551" s="159">
        <v>75</v>
      </c>
      <c r="C6551" s="159">
        <v>50</v>
      </c>
      <c r="D6551" s="159">
        <v>76</v>
      </c>
      <c r="E6551" s="159">
        <v>16</v>
      </c>
      <c r="F6551" s="131"/>
      <c r="G6551" s="132"/>
      <c r="H6551" s="162" t="s">
        <v>31649</v>
      </c>
      <c r="I6551" s="158" t="s">
        <v>31650</v>
      </c>
      <c r="J6551" s="128"/>
      <c r="K6551" s="128"/>
      <c r="L6551" s="128"/>
      <c r="M6551" s="129"/>
      <c r="N6551" s="129"/>
      <c r="O6551" s="129"/>
    </row>
    <row r="6552" spans="1:15" ht="12.5">
      <c r="A6552" s="158" t="s">
        <v>31651</v>
      </c>
      <c r="B6552" s="159">
        <v>75</v>
      </c>
      <c r="C6552" s="159">
        <v>50</v>
      </c>
      <c r="D6552" s="159">
        <v>76</v>
      </c>
      <c r="E6552" s="159">
        <v>17</v>
      </c>
      <c r="F6552" s="131"/>
      <c r="G6552" s="132"/>
      <c r="H6552" s="162" t="s">
        <v>31652</v>
      </c>
      <c r="I6552" s="158" t="s">
        <v>31653</v>
      </c>
      <c r="J6552" s="128"/>
      <c r="K6552" s="128"/>
      <c r="L6552" s="128"/>
      <c r="M6552" s="129"/>
      <c r="N6552" s="129"/>
      <c r="O6552" s="129"/>
    </row>
    <row r="6553" spans="1:15" ht="12.5">
      <c r="A6553" s="158" t="s">
        <v>31654</v>
      </c>
      <c r="B6553" s="159">
        <v>75</v>
      </c>
      <c r="C6553" s="159">
        <v>50</v>
      </c>
      <c r="D6553" s="159">
        <v>76</v>
      </c>
      <c r="E6553" s="159">
        <v>18</v>
      </c>
      <c r="F6553" s="131"/>
      <c r="G6553" s="132"/>
      <c r="H6553" s="162" t="s">
        <v>31655</v>
      </c>
      <c r="I6553" s="128"/>
      <c r="J6553" s="128"/>
      <c r="K6553" s="128"/>
      <c r="L6553" s="128"/>
      <c r="M6553" s="129"/>
      <c r="N6553" s="129"/>
      <c r="O6553" s="129"/>
    </row>
    <row r="6554" spans="1:15" ht="12.5">
      <c r="A6554" s="158" t="s">
        <v>31656</v>
      </c>
      <c r="B6554" s="159">
        <v>75</v>
      </c>
      <c r="C6554" s="159">
        <v>50</v>
      </c>
      <c r="D6554" s="159">
        <v>76</v>
      </c>
      <c r="E6554" s="159">
        <v>23</v>
      </c>
      <c r="F6554" s="131"/>
      <c r="G6554" s="132"/>
      <c r="H6554" s="162" t="s">
        <v>31657</v>
      </c>
      <c r="I6554" s="158" t="s">
        <v>31658</v>
      </c>
      <c r="J6554" s="128"/>
      <c r="K6554" s="128"/>
      <c r="L6554" s="128"/>
      <c r="M6554" s="129"/>
      <c r="N6554" s="129"/>
      <c r="O6554" s="129"/>
    </row>
    <row r="6555" spans="1:15" ht="12.5">
      <c r="A6555" s="158" t="s">
        <v>31659</v>
      </c>
      <c r="B6555" s="159">
        <v>75</v>
      </c>
      <c r="C6555" s="159">
        <v>50</v>
      </c>
      <c r="D6555" s="159">
        <v>76</v>
      </c>
      <c r="E6555" s="159">
        <v>24</v>
      </c>
      <c r="F6555" s="131"/>
      <c r="G6555" s="132"/>
      <c r="H6555" s="162" t="s">
        <v>31660</v>
      </c>
      <c r="I6555" s="158" t="s">
        <v>31661</v>
      </c>
      <c r="J6555" s="128"/>
      <c r="K6555" s="128"/>
      <c r="L6555" s="128"/>
      <c r="M6555" s="129"/>
      <c r="N6555" s="129"/>
      <c r="O6555" s="129"/>
    </row>
    <row r="6556" spans="1:15" ht="12.5">
      <c r="A6556" s="158" t="s">
        <v>31662</v>
      </c>
      <c r="B6556" s="159">
        <v>75</v>
      </c>
      <c r="C6556" s="159">
        <v>50</v>
      </c>
      <c r="D6556" s="159">
        <v>76</v>
      </c>
      <c r="E6556" s="159">
        <v>25</v>
      </c>
      <c r="F6556" s="131"/>
      <c r="G6556" s="132"/>
      <c r="H6556" s="162" t="s">
        <v>31663</v>
      </c>
      <c r="I6556" s="128"/>
      <c r="J6556" s="128"/>
      <c r="K6556" s="128"/>
      <c r="L6556" s="128"/>
      <c r="M6556" s="129"/>
      <c r="N6556" s="129"/>
      <c r="O6556" s="129"/>
    </row>
    <row r="6557" spans="1:15" ht="12.5">
      <c r="A6557" s="158" t="s">
        <v>31667</v>
      </c>
      <c r="B6557" s="159">
        <v>75</v>
      </c>
      <c r="C6557" s="159">
        <v>50</v>
      </c>
      <c r="D6557" s="159">
        <v>76</v>
      </c>
      <c r="E6557" s="159">
        <v>30</v>
      </c>
      <c r="F6557" s="131"/>
      <c r="G6557" s="132"/>
      <c r="H6557" s="162" t="s">
        <v>31668</v>
      </c>
      <c r="I6557" s="158" t="s">
        <v>31669</v>
      </c>
      <c r="J6557" s="128"/>
      <c r="K6557" s="128"/>
      <c r="L6557" s="128"/>
      <c r="M6557" s="129"/>
      <c r="N6557" s="129"/>
      <c r="O6557" s="129"/>
    </row>
    <row r="6558" spans="1:15" ht="12.5">
      <c r="A6558" s="158" t="s">
        <v>31670</v>
      </c>
      <c r="B6558" s="159">
        <v>75</v>
      </c>
      <c r="C6558" s="159">
        <v>50</v>
      </c>
      <c r="D6558" s="159">
        <v>76</v>
      </c>
      <c r="E6558" s="159">
        <v>31</v>
      </c>
      <c r="F6558" s="131"/>
      <c r="G6558" s="132"/>
      <c r="H6558" s="162" t="s">
        <v>31671</v>
      </c>
      <c r="I6558" s="158" t="s">
        <v>31672</v>
      </c>
      <c r="J6558" s="128"/>
      <c r="K6558" s="128"/>
      <c r="L6558" s="128"/>
      <c r="M6558" s="129"/>
      <c r="N6558" s="129"/>
      <c r="O6558" s="129"/>
    </row>
    <row r="6559" spans="1:15" ht="12.5">
      <c r="A6559" s="158" t="s">
        <v>31673</v>
      </c>
      <c r="B6559" s="159">
        <v>75</v>
      </c>
      <c r="C6559" s="159">
        <v>50</v>
      </c>
      <c r="D6559" s="159">
        <v>76</v>
      </c>
      <c r="E6559" s="159">
        <v>33</v>
      </c>
      <c r="F6559" s="131"/>
      <c r="G6559" s="132"/>
      <c r="H6559" s="162" t="s">
        <v>31674</v>
      </c>
      <c r="I6559" s="158" t="s">
        <v>31675</v>
      </c>
      <c r="J6559" s="128"/>
      <c r="K6559" s="128"/>
      <c r="L6559" s="128"/>
      <c r="M6559" s="129"/>
      <c r="N6559" s="129"/>
      <c r="O6559" s="129"/>
    </row>
    <row r="6560" spans="1:15" ht="12.5">
      <c r="A6560" s="158" t="s">
        <v>31676</v>
      </c>
      <c r="B6560" s="159">
        <v>75</v>
      </c>
      <c r="C6560" s="159">
        <v>50</v>
      </c>
      <c r="D6560" s="159">
        <v>76</v>
      </c>
      <c r="E6560" s="159">
        <v>47</v>
      </c>
      <c r="F6560" s="131"/>
      <c r="G6560" s="132"/>
      <c r="H6560" s="162" t="s">
        <v>31677</v>
      </c>
      <c r="I6560" s="158" t="s">
        <v>31678</v>
      </c>
      <c r="J6560" s="128"/>
      <c r="K6560" s="128"/>
      <c r="L6560" s="128"/>
      <c r="M6560" s="129"/>
      <c r="N6560" s="129"/>
      <c r="O6560" s="129"/>
    </row>
    <row r="6561" spans="1:15" ht="12.5">
      <c r="A6561" s="158" t="s">
        <v>31682</v>
      </c>
      <c r="B6561" s="159">
        <v>75</v>
      </c>
      <c r="C6561" s="159">
        <v>50</v>
      </c>
      <c r="D6561" s="159">
        <v>76</v>
      </c>
      <c r="E6561" s="159">
        <v>58</v>
      </c>
      <c r="F6561" s="131"/>
      <c r="G6561" s="132"/>
      <c r="H6561" s="162" t="s">
        <v>31683</v>
      </c>
      <c r="I6561" s="158" t="s">
        <v>31684</v>
      </c>
      <c r="J6561" s="128"/>
      <c r="K6561" s="128"/>
      <c r="L6561" s="128"/>
      <c r="M6561" s="129"/>
      <c r="N6561" s="129"/>
      <c r="O6561" s="129"/>
    </row>
    <row r="6562" spans="1:15" ht="12.5">
      <c r="A6562" s="158" t="s">
        <v>31685</v>
      </c>
      <c r="B6562" s="159">
        <v>75</v>
      </c>
      <c r="C6562" s="159">
        <v>50</v>
      </c>
      <c r="D6562" s="159">
        <v>76</v>
      </c>
      <c r="E6562" s="159">
        <v>59</v>
      </c>
      <c r="F6562" s="131"/>
      <c r="G6562" s="132"/>
      <c r="H6562" s="162" t="s">
        <v>31686</v>
      </c>
      <c r="I6562" s="128"/>
      <c r="J6562" s="128"/>
      <c r="K6562" s="128"/>
      <c r="L6562" s="128"/>
      <c r="M6562" s="129"/>
      <c r="N6562" s="129"/>
      <c r="O6562" s="129"/>
    </row>
    <row r="6563" spans="1:15" ht="12.5">
      <c r="A6563" s="158" t="s">
        <v>31687</v>
      </c>
      <c r="B6563" s="159">
        <v>75</v>
      </c>
      <c r="C6563" s="159">
        <v>50</v>
      </c>
      <c r="D6563" s="159">
        <v>76</v>
      </c>
      <c r="E6563" s="159">
        <v>60</v>
      </c>
      <c r="F6563" s="131"/>
      <c r="G6563" s="132"/>
      <c r="H6563" s="162" t="s">
        <v>31688</v>
      </c>
      <c r="I6563" s="158" t="s">
        <v>31689</v>
      </c>
      <c r="J6563" s="128"/>
      <c r="K6563" s="128"/>
      <c r="L6563" s="128"/>
      <c r="M6563" s="129"/>
      <c r="N6563" s="129"/>
      <c r="O6563" s="129"/>
    </row>
    <row r="6564" spans="1:15" ht="12.5">
      <c r="A6564" s="158" t="s">
        <v>31690</v>
      </c>
      <c r="B6564" s="159">
        <v>75</v>
      </c>
      <c r="C6564" s="159">
        <v>50</v>
      </c>
      <c r="D6564" s="159">
        <v>76</v>
      </c>
      <c r="E6564" s="159">
        <v>61</v>
      </c>
      <c r="F6564" s="131"/>
      <c r="G6564" s="132"/>
      <c r="H6564" s="162" t="s">
        <v>31691</v>
      </c>
      <c r="I6564" s="158" t="s">
        <v>31692</v>
      </c>
      <c r="J6564" s="128"/>
      <c r="K6564" s="128"/>
      <c r="L6564" s="128"/>
      <c r="M6564" s="129"/>
      <c r="N6564" s="129"/>
      <c r="O6564" s="129"/>
    </row>
    <row r="6565" spans="1:15" ht="12.5">
      <c r="A6565" s="158" t="s">
        <v>31693</v>
      </c>
      <c r="B6565" s="159">
        <v>75</v>
      </c>
      <c r="C6565" s="159">
        <v>50</v>
      </c>
      <c r="D6565" s="159">
        <v>76</v>
      </c>
      <c r="E6565" s="159">
        <v>63</v>
      </c>
      <c r="F6565" s="131"/>
      <c r="G6565" s="132"/>
      <c r="H6565" s="162" t="s">
        <v>31694</v>
      </c>
      <c r="I6565" s="128"/>
      <c r="J6565" s="128"/>
      <c r="K6565" s="128"/>
      <c r="L6565" s="128"/>
      <c r="M6565" s="129"/>
      <c r="N6565" s="129"/>
      <c r="O6565" s="129"/>
    </row>
    <row r="6566" spans="1:15" ht="12.5">
      <c r="A6566" s="158" t="s">
        <v>31695</v>
      </c>
      <c r="B6566" s="159">
        <v>75</v>
      </c>
      <c r="C6566" s="159">
        <v>50</v>
      </c>
      <c r="D6566" s="159">
        <v>76</v>
      </c>
      <c r="E6566" s="159">
        <v>68</v>
      </c>
      <c r="F6566" s="131"/>
      <c r="G6566" s="132"/>
      <c r="H6566" s="162" t="s">
        <v>31696</v>
      </c>
      <c r="I6566" s="158" t="s">
        <v>31697</v>
      </c>
      <c r="J6566" s="128"/>
      <c r="K6566" s="128"/>
      <c r="L6566" s="128"/>
      <c r="M6566" s="129"/>
      <c r="N6566" s="129"/>
      <c r="O6566" s="129"/>
    </row>
    <row r="6567" spans="1:15" ht="12.5">
      <c r="A6567" s="158" t="s">
        <v>31698</v>
      </c>
      <c r="B6567" s="159">
        <v>75</v>
      </c>
      <c r="C6567" s="159">
        <v>50</v>
      </c>
      <c r="D6567" s="159">
        <v>76</v>
      </c>
      <c r="E6567" s="159">
        <v>69</v>
      </c>
      <c r="F6567" s="131"/>
      <c r="G6567" s="132"/>
      <c r="H6567" s="162" t="s">
        <v>31699</v>
      </c>
      <c r="I6567" s="158" t="s">
        <v>31700</v>
      </c>
      <c r="J6567" s="128"/>
      <c r="K6567" s="128"/>
      <c r="L6567" s="128"/>
      <c r="M6567" s="129"/>
      <c r="N6567" s="129"/>
      <c r="O6567" s="129"/>
    </row>
    <row r="6568" spans="1:15" ht="12.5">
      <c r="A6568" s="158" t="s">
        <v>31701</v>
      </c>
      <c r="B6568" s="159">
        <v>75</v>
      </c>
      <c r="C6568" s="159">
        <v>50</v>
      </c>
      <c r="D6568" s="159">
        <v>76</v>
      </c>
      <c r="E6568" s="159">
        <v>71</v>
      </c>
      <c r="F6568" s="131"/>
      <c r="G6568" s="132"/>
      <c r="H6568" s="162" t="s">
        <v>31702</v>
      </c>
      <c r="I6568" s="158" t="s">
        <v>31703</v>
      </c>
      <c r="J6568" s="128"/>
      <c r="K6568" s="128"/>
      <c r="L6568" s="128"/>
      <c r="M6568" s="129"/>
      <c r="N6568" s="129"/>
      <c r="O6568" s="129"/>
    </row>
    <row r="6569" spans="1:15" ht="12.5">
      <c r="A6569" s="158" t="s">
        <v>31706</v>
      </c>
      <c r="B6569" s="159">
        <v>75</v>
      </c>
      <c r="C6569" s="159">
        <v>50</v>
      </c>
      <c r="D6569" s="159">
        <v>76</v>
      </c>
      <c r="E6569" s="159">
        <v>73</v>
      </c>
      <c r="F6569" s="131"/>
      <c r="G6569" s="132"/>
      <c r="H6569" s="162" t="s">
        <v>31707</v>
      </c>
      <c r="I6569" s="128"/>
      <c r="J6569" s="128"/>
      <c r="K6569" s="128"/>
      <c r="L6569" s="128"/>
      <c r="M6569" s="129"/>
      <c r="N6569" s="129"/>
      <c r="O6569" s="129"/>
    </row>
    <row r="6570" spans="1:15" ht="12.5">
      <c r="A6570" s="158" t="s">
        <v>31708</v>
      </c>
      <c r="B6570" s="159">
        <v>75</v>
      </c>
      <c r="C6570" s="159">
        <v>50</v>
      </c>
      <c r="D6570" s="159">
        <v>76</v>
      </c>
      <c r="E6570" s="159">
        <v>80</v>
      </c>
      <c r="F6570" s="131"/>
      <c r="G6570" s="132"/>
      <c r="H6570" s="162" t="s">
        <v>31709</v>
      </c>
      <c r="I6570" s="158" t="s">
        <v>31710</v>
      </c>
      <c r="J6570" s="128"/>
      <c r="K6570" s="128"/>
      <c r="L6570" s="128"/>
      <c r="M6570" s="129"/>
      <c r="N6570" s="129"/>
      <c r="O6570" s="129"/>
    </row>
    <row r="6571" spans="1:15" ht="12.5">
      <c r="A6571" s="158" t="s">
        <v>31711</v>
      </c>
      <c r="B6571" s="159">
        <v>75</v>
      </c>
      <c r="C6571" s="159">
        <v>50</v>
      </c>
      <c r="D6571" s="159">
        <v>76</v>
      </c>
      <c r="E6571" s="159">
        <v>83</v>
      </c>
      <c r="F6571" s="131"/>
      <c r="G6571" s="132"/>
      <c r="H6571" s="162" t="s">
        <v>31712</v>
      </c>
      <c r="I6571" s="158" t="s">
        <v>31713</v>
      </c>
      <c r="J6571" s="128"/>
      <c r="K6571" s="128"/>
      <c r="L6571" s="128"/>
      <c r="M6571" s="129"/>
      <c r="N6571" s="129"/>
      <c r="O6571" s="129"/>
    </row>
    <row r="6572" spans="1:15" ht="12.5">
      <c r="A6572" s="158" t="s">
        <v>31714</v>
      </c>
      <c r="B6572" s="159">
        <v>75</v>
      </c>
      <c r="C6572" s="159">
        <v>50</v>
      </c>
      <c r="D6572" s="159">
        <v>76</v>
      </c>
      <c r="E6572" s="159">
        <v>84</v>
      </c>
      <c r="F6572" s="131"/>
      <c r="G6572" s="132"/>
      <c r="H6572" s="162" t="s">
        <v>31715</v>
      </c>
      <c r="I6572" s="158" t="s">
        <v>31716</v>
      </c>
      <c r="J6572" s="128"/>
      <c r="K6572" s="128"/>
      <c r="L6572" s="128"/>
      <c r="M6572" s="129"/>
      <c r="N6572" s="129"/>
      <c r="O6572" s="129"/>
    </row>
    <row r="6573" spans="1:15" ht="12.5">
      <c r="A6573" s="158" t="s">
        <v>31717</v>
      </c>
      <c r="B6573" s="159">
        <v>75</v>
      </c>
      <c r="C6573" s="159">
        <v>50</v>
      </c>
      <c r="D6573" s="159">
        <v>76</v>
      </c>
      <c r="E6573" s="159">
        <v>86</v>
      </c>
      <c r="F6573" s="131"/>
      <c r="G6573" s="132"/>
      <c r="H6573" s="162" t="s">
        <v>31718</v>
      </c>
      <c r="I6573" s="158" t="s">
        <v>31719</v>
      </c>
      <c r="J6573" s="128"/>
      <c r="K6573" s="128"/>
      <c r="L6573" s="128"/>
      <c r="M6573" s="129"/>
      <c r="N6573" s="129"/>
      <c r="O6573" s="129"/>
    </row>
    <row r="6574" spans="1:15" ht="12.5">
      <c r="A6574" s="158" t="s">
        <v>31720</v>
      </c>
      <c r="B6574" s="159">
        <v>75</v>
      </c>
      <c r="C6574" s="159">
        <v>50</v>
      </c>
      <c r="D6574" s="159">
        <v>76</v>
      </c>
      <c r="E6574" s="159">
        <v>90</v>
      </c>
      <c r="F6574" s="131"/>
      <c r="G6574" s="132"/>
      <c r="H6574" s="162" t="s">
        <v>31721</v>
      </c>
      <c r="I6574" s="158" t="s">
        <v>31722</v>
      </c>
      <c r="J6574" s="128"/>
      <c r="K6574" s="128"/>
      <c r="L6574" s="128"/>
      <c r="M6574" s="129"/>
      <c r="N6574" s="129"/>
      <c r="O6574" s="129"/>
    </row>
    <row r="6575" spans="1:15" ht="12.5">
      <c r="A6575" s="158" t="s">
        <v>31723</v>
      </c>
      <c r="B6575" s="159">
        <v>75</v>
      </c>
      <c r="C6575" s="159">
        <v>50</v>
      </c>
      <c r="D6575" s="159">
        <v>76</v>
      </c>
      <c r="E6575" s="159">
        <v>95</v>
      </c>
      <c r="F6575" s="131"/>
      <c r="G6575" s="132"/>
      <c r="H6575" s="162" t="s">
        <v>31724</v>
      </c>
      <c r="I6575" s="128"/>
      <c r="J6575" s="128"/>
      <c r="K6575" s="128"/>
      <c r="L6575" s="128"/>
      <c r="M6575" s="129"/>
      <c r="N6575" s="129"/>
      <c r="O6575" s="129"/>
    </row>
    <row r="6576" spans="1:15" ht="12.5">
      <c r="A6576" s="158" t="s">
        <v>31725</v>
      </c>
      <c r="B6576" s="159">
        <v>75</v>
      </c>
      <c r="C6576" s="159">
        <v>50</v>
      </c>
      <c r="D6576" s="159">
        <v>76</v>
      </c>
      <c r="E6576" s="159">
        <v>97</v>
      </c>
      <c r="F6576" s="131"/>
      <c r="G6576" s="132"/>
      <c r="H6576" s="162" t="s">
        <v>31726</v>
      </c>
      <c r="I6576" s="128"/>
      <c r="J6576" s="128"/>
      <c r="K6576" s="128"/>
      <c r="L6576" s="128"/>
      <c r="M6576" s="129"/>
      <c r="N6576" s="129"/>
      <c r="O6576" s="129"/>
    </row>
    <row r="6577" spans="1:15" ht="12.5">
      <c r="A6577" s="144" t="s">
        <v>31727</v>
      </c>
      <c r="B6577" s="145">
        <v>75</v>
      </c>
      <c r="C6577" s="145">
        <v>51</v>
      </c>
      <c r="D6577" s="146"/>
      <c r="E6577" s="146"/>
      <c r="F6577" s="147" t="s">
        <v>33588</v>
      </c>
      <c r="G6577" s="190"/>
      <c r="H6577" s="149" t="s">
        <v>31728</v>
      </c>
      <c r="I6577" s="150"/>
      <c r="J6577" s="150"/>
      <c r="K6577" s="150"/>
      <c r="L6577" s="150"/>
      <c r="M6577" s="191"/>
      <c r="N6577" s="191"/>
      <c r="O6577" s="191"/>
    </row>
    <row r="6578" spans="1:15" ht="12.5">
      <c r="A6578" s="158" t="s">
        <v>31729</v>
      </c>
      <c r="B6578" s="159">
        <v>75</v>
      </c>
      <c r="C6578" s="159">
        <v>51</v>
      </c>
      <c r="D6578" s="159">
        <v>17</v>
      </c>
      <c r="E6578" s="130"/>
      <c r="F6578" s="131"/>
      <c r="G6578" s="132"/>
      <c r="H6578" s="162" t="s">
        <v>31730</v>
      </c>
      <c r="I6578" s="128"/>
      <c r="J6578" s="128"/>
      <c r="K6578" s="128"/>
      <c r="L6578" s="128"/>
      <c r="M6578" s="129"/>
      <c r="N6578" s="129"/>
      <c r="O6578" s="129"/>
    </row>
    <row r="6579" spans="1:15" ht="12.5">
      <c r="A6579" s="158" t="s">
        <v>31731</v>
      </c>
      <c r="B6579" s="159">
        <v>75</v>
      </c>
      <c r="C6579" s="159">
        <v>51</v>
      </c>
      <c r="D6579" s="159">
        <v>17</v>
      </c>
      <c r="E6579" s="159">
        <v>27</v>
      </c>
      <c r="F6579" s="131"/>
      <c r="G6579" s="132"/>
      <c r="H6579" s="162" t="s">
        <v>31732</v>
      </c>
      <c r="I6579" s="158" t="s">
        <v>31733</v>
      </c>
      <c r="J6579" s="128"/>
      <c r="K6579" s="128"/>
      <c r="L6579" s="128"/>
      <c r="M6579" s="129"/>
      <c r="N6579" s="129"/>
      <c r="O6579" s="129"/>
    </row>
    <row r="6580" spans="1:15" ht="12.5">
      <c r="A6580" s="158" t="s">
        <v>31734</v>
      </c>
      <c r="B6580" s="159">
        <v>75</v>
      </c>
      <c r="C6580" s="159">
        <v>51</v>
      </c>
      <c r="D6580" s="159">
        <v>17</v>
      </c>
      <c r="E6580" s="159">
        <v>50</v>
      </c>
      <c r="F6580" s="131"/>
      <c r="G6580" s="132"/>
      <c r="H6580" s="162" t="s">
        <v>31735</v>
      </c>
      <c r="I6580" s="158" t="s">
        <v>31736</v>
      </c>
      <c r="J6580" s="128"/>
      <c r="K6580" s="128"/>
      <c r="L6580" s="128"/>
      <c r="M6580" s="129"/>
      <c r="N6580" s="129"/>
      <c r="O6580" s="129"/>
    </row>
    <row r="6581" spans="1:15" ht="12.5">
      <c r="A6581" s="158" t="s">
        <v>31737</v>
      </c>
      <c r="B6581" s="159">
        <v>75</v>
      </c>
      <c r="C6581" s="159">
        <v>51</v>
      </c>
      <c r="D6581" s="159">
        <v>17</v>
      </c>
      <c r="E6581" s="159">
        <v>66</v>
      </c>
      <c r="F6581" s="131"/>
      <c r="G6581" s="132"/>
      <c r="H6581" s="162" t="s">
        <v>31738</v>
      </c>
      <c r="I6581" s="158" t="s">
        <v>31739</v>
      </c>
      <c r="J6581" s="128"/>
      <c r="K6581" s="128"/>
      <c r="L6581" s="128"/>
      <c r="M6581" s="129"/>
      <c r="N6581" s="129"/>
      <c r="O6581" s="129"/>
    </row>
    <row r="6582" spans="1:15" ht="12.5">
      <c r="A6582" s="158" t="s">
        <v>31740</v>
      </c>
      <c r="B6582" s="159">
        <v>75</v>
      </c>
      <c r="C6582" s="159">
        <v>51</v>
      </c>
      <c r="D6582" s="159">
        <v>17</v>
      </c>
      <c r="E6582" s="159">
        <v>75</v>
      </c>
      <c r="F6582" s="131"/>
      <c r="G6582" s="132"/>
      <c r="H6582" s="162" t="s">
        <v>31741</v>
      </c>
      <c r="I6582" s="158" t="s">
        <v>31739</v>
      </c>
      <c r="J6582" s="128"/>
      <c r="K6582" s="128"/>
      <c r="L6582" s="128"/>
      <c r="M6582" s="129"/>
      <c r="N6582" s="129"/>
      <c r="O6582" s="129"/>
    </row>
    <row r="6583" spans="1:15" ht="12.5">
      <c r="A6583" s="158" t="s">
        <v>31742</v>
      </c>
      <c r="B6583" s="159">
        <v>75</v>
      </c>
      <c r="C6583" s="159">
        <v>51</v>
      </c>
      <c r="D6583" s="159">
        <v>17</v>
      </c>
      <c r="E6583" s="159">
        <v>78</v>
      </c>
      <c r="F6583" s="131"/>
      <c r="G6583" s="132"/>
      <c r="H6583" s="162" t="s">
        <v>31743</v>
      </c>
      <c r="I6583" s="158" t="s">
        <v>31739</v>
      </c>
      <c r="J6583" s="128"/>
      <c r="K6583" s="128"/>
      <c r="L6583" s="128"/>
      <c r="M6583" s="129"/>
      <c r="N6583" s="129"/>
      <c r="O6583" s="129"/>
    </row>
    <row r="6584" spans="1:15" ht="12.5">
      <c r="A6584" s="158" t="s">
        <v>31744</v>
      </c>
      <c r="B6584" s="159">
        <v>75</v>
      </c>
      <c r="C6584" s="159">
        <v>51</v>
      </c>
      <c r="D6584" s="159">
        <v>17</v>
      </c>
      <c r="E6584" s="159">
        <v>87</v>
      </c>
      <c r="F6584" s="131"/>
      <c r="G6584" s="132"/>
      <c r="H6584" s="162" t="s">
        <v>31745</v>
      </c>
      <c r="I6584" s="158" t="s">
        <v>31746</v>
      </c>
      <c r="J6584" s="128"/>
      <c r="K6584" s="128"/>
      <c r="L6584" s="128"/>
      <c r="M6584" s="129"/>
      <c r="N6584" s="129"/>
      <c r="O6584" s="129"/>
    </row>
    <row r="6585" spans="1:15" ht="12.5">
      <c r="A6585" s="158" t="s">
        <v>31747</v>
      </c>
      <c r="B6585" s="159">
        <v>75</v>
      </c>
      <c r="C6585" s="159">
        <v>51</v>
      </c>
      <c r="D6585" s="159">
        <v>17</v>
      </c>
      <c r="E6585" s="159">
        <v>88</v>
      </c>
      <c r="F6585" s="131"/>
      <c r="G6585" s="132"/>
      <c r="H6585" s="162" t="s">
        <v>31748</v>
      </c>
      <c r="I6585" s="158" t="s">
        <v>33589</v>
      </c>
      <c r="J6585" s="128"/>
      <c r="K6585" s="128"/>
      <c r="L6585" s="128"/>
      <c r="M6585" s="129"/>
      <c r="N6585" s="129"/>
      <c r="O6585" s="129"/>
    </row>
    <row r="6586" spans="1:15" ht="12.5">
      <c r="A6586" s="158" t="s">
        <v>31750</v>
      </c>
      <c r="B6586" s="159">
        <v>75</v>
      </c>
      <c r="C6586" s="159">
        <v>51</v>
      </c>
      <c r="D6586" s="159">
        <v>17</v>
      </c>
      <c r="E6586" s="159">
        <v>89</v>
      </c>
      <c r="F6586" s="131"/>
      <c r="G6586" s="132"/>
      <c r="H6586" s="162" t="s">
        <v>31751</v>
      </c>
      <c r="I6586" s="158" t="s">
        <v>31752</v>
      </c>
      <c r="J6586" s="128"/>
      <c r="K6586" s="128"/>
      <c r="L6586" s="128"/>
      <c r="M6586" s="129"/>
      <c r="N6586" s="129"/>
      <c r="O6586" s="129"/>
    </row>
    <row r="6587" spans="1:15" ht="12.5">
      <c r="A6587" s="158" t="s">
        <v>31753</v>
      </c>
      <c r="B6587" s="159">
        <v>75</v>
      </c>
      <c r="C6587" s="159">
        <v>51</v>
      </c>
      <c r="D6587" s="159">
        <v>26</v>
      </c>
      <c r="E6587" s="130"/>
      <c r="F6587" s="131"/>
      <c r="G6587" s="132"/>
      <c r="H6587" s="162" t="s">
        <v>31754</v>
      </c>
      <c r="I6587" s="128"/>
      <c r="J6587" s="128"/>
      <c r="K6587" s="128"/>
      <c r="L6587" s="128"/>
      <c r="M6587" s="129"/>
      <c r="N6587" s="129"/>
      <c r="O6587" s="129"/>
    </row>
    <row r="6588" spans="1:15" ht="12.5">
      <c r="A6588" s="158" t="s">
        <v>31755</v>
      </c>
      <c r="B6588" s="159">
        <v>75</v>
      </c>
      <c r="C6588" s="159">
        <v>51</v>
      </c>
      <c r="D6588" s="159">
        <v>26</v>
      </c>
      <c r="E6588" s="159">
        <v>0</v>
      </c>
      <c r="F6588" s="131"/>
      <c r="G6588" s="132"/>
      <c r="H6588" s="162" t="s">
        <v>31756</v>
      </c>
      <c r="I6588" s="128"/>
      <c r="J6588" s="128"/>
      <c r="K6588" s="128"/>
      <c r="L6588" s="128"/>
      <c r="M6588" s="129"/>
      <c r="N6588" s="129"/>
      <c r="O6588" s="129"/>
    </row>
    <row r="6589" spans="1:15" ht="12.5">
      <c r="A6589" s="158" t="s">
        <v>31757</v>
      </c>
      <c r="B6589" s="159">
        <v>75</v>
      </c>
      <c r="C6589" s="159">
        <v>51</v>
      </c>
      <c r="D6589" s="159">
        <v>26</v>
      </c>
      <c r="E6589" s="159">
        <v>1</v>
      </c>
      <c r="F6589" s="131"/>
      <c r="G6589" s="132"/>
      <c r="H6589" s="162" t="s">
        <v>31758</v>
      </c>
      <c r="I6589" s="128"/>
      <c r="J6589" s="128"/>
      <c r="K6589" s="128"/>
      <c r="L6589" s="128"/>
      <c r="M6589" s="129"/>
      <c r="N6589" s="129"/>
      <c r="O6589" s="129"/>
    </row>
    <row r="6590" spans="1:15" ht="12.5">
      <c r="A6590" s="158" t="s">
        <v>31759</v>
      </c>
      <c r="B6590" s="159">
        <v>75</v>
      </c>
      <c r="C6590" s="159">
        <v>51</v>
      </c>
      <c r="D6590" s="159">
        <v>26</v>
      </c>
      <c r="E6590" s="159">
        <v>2</v>
      </c>
      <c r="F6590" s="131"/>
      <c r="G6590" s="132"/>
      <c r="H6590" s="162" t="s">
        <v>31760</v>
      </c>
      <c r="I6590" s="128"/>
      <c r="J6590" s="128"/>
      <c r="K6590" s="128"/>
      <c r="L6590" s="128"/>
      <c r="M6590" s="129"/>
      <c r="N6590" s="129"/>
      <c r="O6590" s="129"/>
    </row>
    <row r="6591" spans="1:15" ht="12.5">
      <c r="A6591" s="158" t="s">
        <v>31761</v>
      </c>
      <c r="B6591" s="159">
        <v>75</v>
      </c>
      <c r="C6591" s="159">
        <v>51</v>
      </c>
      <c r="D6591" s="159">
        <v>26</v>
      </c>
      <c r="E6591" s="159">
        <v>3</v>
      </c>
      <c r="F6591" s="131"/>
      <c r="G6591" s="132"/>
      <c r="H6591" s="162" t="s">
        <v>31762</v>
      </c>
      <c r="I6591" s="128"/>
      <c r="J6591" s="128"/>
      <c r="K6591" s="128"/>
      <c r="L6591" s="128"/>
      <c r="M6591" s="129"/>
      <c r="N6591" s="129"/>
      <c r="O6591" s="129"/>
    </row>
    <row r="6592" spans="1:15" ht="12.5">
      <c r="A6592" s="158" t="s">
        <v>31763</v>
      </c>
      <c r="B6592" s="159">
        <v>75</v>
      </c>
      <c r="C6592" s="159">
        <v>51</v>
      </c>
      <c r="D6592" s="159">
        <v>26</v>
      </c>
      <c r="E6592" s="159">
        <v>4</v>
      </c>
      <c r="F6592" s="131"/>
      <c r="G6592" s="132"/>
      <c r="H6592" s="162" t="s">
        <v>31764</v>
      </c>
      <c r="I6592" s="128"/>
      <c r="J6592" s="128"/>
      <c r="K6592" s="128"/>
      <c r="L6592" s="128"/>
      <c r="M6592" s="129"/>
      <c r="N6592" s="129"/>
      <c r="O6592" s="129"/>
    </row>
    <row r="6593" spans="1:15" ht="12.5">
      <c r="A6593" s="158" t="s">
        <v>31765</v>
      </c>
      <c r="B6593" s="159">
        <v>75</v>
      </c>
      <c r="C6593" s="159">
        <v>51</v>
      </c>
      <c r="D6593" s="159">
        <v>26</v>
      </c>
      <c r="E6593" s="159">
        <v>21</v>
      </c>
      <c r="F6593" s="131"/>
      <c r="G6593" s="132"/>
      <c r="H6593" s="162" t="s">
        <v>31766</v>
      </c>
      <c r="I6593" s="128"/>
      <c r="J6593" s="128"/>
      <c r="K6593" s="128"/>
      <c r="L6593" s="128"/>
      <c r="M6593" s="129"/>
      <c r="N6593" s="129"/>
      <c r="O6593" s="129"/>
    </row>
    <row r="6594" spans="1:15" ht="12.5">
      <c r="A6594" s="158" t="s">
        <v>31767</v>
      </c>
      <c r="B6594" s="159">
        <v>75</v>
      </c>
      <c r="C6594" s="159">
        <v>51</v>
      </c>
      <c r="D6594" s="159">
        <v>26</v>
      </c>
      <c r="E6594" s="159">
        <v>22</v>
      </c>
      <c r="F6594" s="131"/>
      <c r="G6594" s="132"/>
      <c r="H6594" s="162" t="s">
        <v>31768</v>
      </c>
      <c r="I6594" s="128"/>
      <c r="J6594" s="128"/>
      <c r="K6594" s="128"/>
      <c r="L6594" s="128"/>
      <c r="M6594" s="129"/>
      <c r="N6594" s="129"/>
      <c r="O6594" s="129"/>
    </row>
    <row r="6595" spans="1:15" ht="12.5">
      <c r="A6595" s="158" t="s">
        <v>31769</v>
      </c>
      <c r="B6595" s="159">
        <v>75</v>
      </c>
      <c r="C6595" s="159">
        <v>51</v>
      </c>
      <c r="D6595" s="159">
        <v>26</v>
      </c>
      <c r="E6595" s="159">
        <v>23</v>
      </c>
      <c r="F6595" s="131"/>
      <c r="G6595" s="132"/>
      <c r="H6595" s="162" t="s">
        <v>31770</v>
      </c>
      <c r="I6595" s="128"/>
      <c r="J6595" s="128"/>
      <c r="K6595" s="128"/>
      <c r="L6595" s="128"/>
      <c r="M6595" s="129"/>
      <c r="N6595" s="129"/>
      <c r="O6595" s="129"/>
    </row>
    <row r="6596" spans="1:15" ht="12.5">
      <c r="A6596" s="158" t="s">
        <v>31771</v>
      </c>
      <c r="B6596" s="159">
        <v>75</v>
      </c>
      <c r="C6596" s="159">
        <v>51</v>
      </c>
      <c r="D6596" s="159">
        <v>26</v>
      </c>
      <c r="E6596" s="159">
        <v>24</v>
      </c>
      <c r="F6596" s="131"/>
      <c r="G6596" s="132"/>
      <c r="H6596" s="162" t="s">
        <v>31772</v>
      </c>
      <c r="I6596" s="128"/>
      <c r="J6596" s="128"/>
      <c r="K6596" s="128"/>
      <c r="L6596" s="128"/>
      <c r="M6596" s="129"/>
      <c r="N6596" s="129"/>
      <c r="O6596" s="129"/>
    </row>
    <row r="6597" spans="1:15" ht="12.5">
      <c r="A6597" s="158" t="s">
        <v>31773</v>
      </c>
      <c r="B6597" s="159">
        <v>75</v>
      </c>
      <c r="C6597" s="159">
        <v>51</v>
      </c>
      <c r="D6597" s="159">
        <v>26</v>
      </c>
      <c r="E6597" s="159">
        <v>25</v>
      </c>
      <c r="F6597" s="131"/>
      <c r="G6597" s="132"/>
      <c r="H6597" s="162" t="s">
        <v>31774</v>
      </c>
      <c r="I6597" s="128"/>
      <c r="J6597" s="128"/>
      <c r="K6597" s="128"/>
      <c r="L6597" s="128"/>
      <c r="M6597" s="129"/>
      <c r="N6597" s="129"/>
      <c r="O6597" s="129"/>
    </row>
    <row r="6598" spans="1:15" ht="12.5">
      <c r="A6598" s="158" t="s">
        <v>31775</v>
      </c>
      <c r="B6598" s="159">
        <v>75</v>
      </c>
      <c r="C6598" s="159">
        <v>51</v>
      </c>
      <c r="D6598" s="159">
        <v>26</v>
      </c>
      <c r="E6598" s="159">
        <v>92</v>
      </c>
      <c r="F6598" s="131"/>
      <c r="G6598" s="132"/>
      <c r="H6598" s="162" t="s">
        <v>31776</v>
      </c>
      <c r="I6598" s="128"/>
      <c r="J6598" s="128"/>
      <c r="K6598" s="128"/>
      <c r="L6598" s="128"/>
      <c r="M6598" s="129"/>
      <c r="N6598" s="129"/>
      <c r="O6598" s="129"/>
    </row>
    <row r="6599" spans="1:15" ht="12.5">
      <c r="A6599" s="158" t="s">
        <v>31791</v>
      </c>
      <c r="B6599" s="159">
        <v>75</v>
      </c>
      <c r="C6599" s="159">
        <v>51</v>
      </c>
      <c r="D6599" s="159">
        <v>52</v>
      </c>
      <c r="E6599" s="130"/>
      <c r="F6599" s="131"/>
      <c r="G6599" s="132"/>
      <c r="H6599" s="162" t="s">
        <v>31792</v>
      </c>
      <c r="I6599" s="128"/>
      <c r="J6599" s="128"/>
      <c r="K6599" s="128"/>
      <c r="L6599" s="128"/>
      <c r="M6599" s="129"/>
      <c r="N6599" s="129"/>
      <c r="O6599" s="129"/>
    </row>
    <row r="6600" spans="1:15" ht="12.5">
      <c r="A6600" s="158" t="s">
        <v>31793</v>
      </c>
      <c r="B6600" s="159">
        <v>75</v>
      </c>
      <c r="C6600" s="159">
        <v>51</v>
      </c>
      <c r="D6600" s="159">
        <v>52</v>
      </c>
      <c r="E6600" s="159">
        <v>1</v>
      </c>
      <c r="F6600" s="131"/>
      <c r="G6600" s="132"/>
      <c r="H6600" s="162" t="s">
        <v>31794</v>
      </c>
      <c r="I6600" s="158" t="s">
        <v>31795</v>
      </c>
      <c r="J6600" s="128"/>
      <c r="K6600" s="128"/>
      <c r="L6600" s="128"/>
      <c r="M6600" s="129"/>
      <c r="N6600" s="129"/>
      <c r="O6600" s="129"/>
    </row>
    <row r="6601" spans="1:15" ht="12.5">
      <c r="A6601" s="158" t="s">
        <v>31796</v>
      </c>
      <c r="B6601" s="159">
        <v>75</v>
      </c>
      <c r="C6601" s="159">
        <v>51</v>
      </c>
      <c r="D6601" s="159">
        <v>52</v>
      </c>
      <c r="E6601" s="159">
        <v>2</v>
      </c>
      <c r="F6601" s="131"/>
      <c r="G6601" s="132"/>
      <c r="H6601" s="162" t="s">
        <v>31797</v>
      </c>
      <c r="I6601" s="158" t="s">
        <v>31798</v>
      </c>
      <c r="J6601" s="128"/>
      <c r="K6601" s="128"/>
      <c r="L6601" s="128"/>
      <c r="M6601" s="129"/>
      <c r="N6601" s="129"/>
      <c r="O6601" s="129"/>
    </row>
    <row r="6602" spans="1:15" ht="12.5">
      <c r="A6602" s="158" t="s">
        <v>31799</v>
      </c>
      <c r="B6602" s="159">
        <v>75</v>
      </c>
      <c r="C6602" s="159">
        <v>51</v>
      </c>
      <c r="D6602" s="159">
        <v>52</v>
      </c>
      <c r="E6602" s="159">
        <v>15</v>
      </c>
      <c r="F6602" s="131"/>
      <c r="G6602" s="132"/>
      <c r="H6602" s="162" t="s">
        <v>31800</v>
      </c>
      <c r="I6602" s="158" t="s">
        <v>31801</v>
      </c>
      <c r="J6602" s="128"/>
      <c r="K6602" s="128"/>
      <c r="L6602" s="128"/>
      <c r="M6602" s="129"/>
      <c r="N6602" s="129"/>
      <c r="O6602" s="129"/>
    </row>
    <row r="6603" spans="1:15" ht="12.5">
      <c r="A6603" s="158" t="s">
        <v>31802</v>
      </c>
      <c r="B6603" s="159">
        <v>75</v>
      </c>
      <c r="C6603" s="159">
        <v>51</v>
      </c>
      <c r="D6603" s="159">
        <v>52</v>
      </c>
      <c r="E6603" s="159">
        <v>22</v>
      </c>
      <c r="F6603" s="131"/>
      <c r="G6603" s="132"/>
      <c r="H6603" s="162" t="s">
        <v>31803</v>
      </c>
      <c r="I6603" s="158" t="s">
        <v>31804</v>
      </c>
      <c r="J6603" s="128"/>
      <c r="K6603" s="128"/>
      <c r="L6603" s="128"/>
      <c r="M6603" s="129"/>
      <c r="N6603" s="129"/>
      <c r="O6603" s="129"/>
    </row>
    <row r="6604" spans="1:15" ht="12.5">
      <c r="A6604" s="158" t="s">
        <v>31805</v>
      </c>
      <c r="B6604" s="159">
        <v>75</v>
      </c>
      <c r="C6604" s="159">
        <v>51</v>
      </c>
      <c r="D6604" s="159">
        <v>52</v>
      </c>
      <c r="E6604" s="159">
        <v>26</v>
      </c>
      <c r="F6604" s="131"/>
      <c r="G6604" s="132"/>
      <c r="H6604" s="162" t="s">
        <v>31806</v>
      </c>
      <c r="I6604" s="158" t="s">
        <v>31807</v>
      </c>
      <c r="J6604" s="128"/>
      <c r="K6604" s="128"/>
      <c r="L6604" s="128"/>
      <c r="M6604" s="129"/>
      <c r="N6604" s="129"/>
      <c r="O6604" s="129"/>
    </row>
    <row r="6605" spans="1:15" ht="12.5">
      <c r="A6605" s="158" t="s">
        <v>31808</v>
      </c>
      <c r="B6605" s="159">
        <v>75</v>
      </c>
      <c r="C6605" s="159">
        <v>51</v>
      </c>
      <c r="D6605" s="159">
        <v>52</v>
      </c>
      <c r="E6605" s="159">
        <v>27</v>
      </c>
      <c r="F6605" s="131"/>
      <c r="G6605" s="132"/>
      <c r="H6605" s="162" t="s">
        <v>31809</v>
      </c>
      <c r="I6605" s="128"/>
      <c r="J6605" s="128"/>
      <c r="K6605" s="128"/>
      <c r="L6605" s="128"/>
      <c r="M6605" s="129"/>
      <c r="N6605" s="129"/>
      <c r="O6605" s="129"/>
    </row>
    <row r="6606" spans="1:15" ht="12.5">
      <c r="A6606" s="158" t="s">
        <v>31810</v>
      </c>
      <c r="B6606" s="159">
        <v>75</v>
      </c>
      <c r="C6606" s="159">
        <v>51</v>
      </c>
      <c r="D6606" s="159">
        <v>52</v>
      </c>
      <c r="E6606" s="159">
        <v>58</v>
      </c>
      <c r="F6606" s="131"/>
      <c r="G6606" s="132"/>
      <c r="H6606" s="162" t="s">
        <v>31811</v>
      </c>
      <c r="I6606" s="128"/>
      <c r="J6606" s="128"/>
      <c r="K6606" s="128"/>
      <c r="L6606" s="128"/>
      <c r="M6606" s="129"/>
      <c r="N6606" s="129"/>
      <c r="O6606" s="129"/>
    </row>
    <row r="6607" spans="1:15" ht="12.5">
      <c r="A6607" s="158" t="s">
        <v>31812</v>
      </c>
      <c r="B6607" s="159">
        <v>75</v>
      </c>
      <c r="C6607" s="159">
        <v>51</v>
      </c>
      <c r="D6607" s="159">
        <v>52</v>
      </c>
      <c r="E6607" s="159">
        <v>82</v>
      </c>
      <c r="F6607" s="131"/>
      <c r="G6607" s="132"/>
      <c r="H6607" s="162" t="s">
        <v>31813</v>
      </c>
      <c r="I6607" s="158" t="s">
        <v>31814</v>
      </c>
      <c r="J6607" s="128"/>
      <c r="K6607" s="128"/>
      <c r="L6607" s="128"/>
      <c r="M6607" s="129"/>
      <c r="N6607" s="129"/>
      <c r="O6607" s="129"/>
    </row>
    <row r="6608" spans="1:15" ht="12.5">
      <c r="A6608" s="144" t="s">
        <v>31825</v>
      </c>
      <c r="B6608" s="145">
        <v>75</v>
      </c>
      <c r="C6608" s="145">
        <v>70</v>
      </c>
      <c r="D6608" s="146"/>
      <c r="E6608" s="146"/>
      <c r="F6608" s="147" t="s">
        <v>33590</v>
      </c>
      <c r="G6608" s="190"/>
      <c r="H6608" s="149" t="s">
        <v>31826</v>
      </c>
      <c r="I6608" s="150"/>
      <c r="J6608" s="150"/>
      <c r="K6608" s="150"/>
      <c r="L6608" s="150"/>
      <c r="M6608" s="191"/>
      <c r="N6608" s="191"/>
      <c r="O6608" s="191"/>
    </row>
    <row r="6609" spans="1:15" ht="12.5">
      <c r="A6609" s="144" t="s">
        <v>31827</v>
      </c>
      <c r="B6609" s="145">
        <v>75</v>
      </c>
      <c r="C6609" s="145">
        <v>75</v>
      </c>
      <c r="D6609" s="146"/>
      <c r="E6609" s="146"/>
      <c r="F6609" s="147" t="s">
        <v>33591</v>
      </c>
      <c r="G6609" s="190"/>
      <c r="H6609" s="149" t="s">
        <v>31828</v>
      </c>
      <c r="I6609" s="150"/>
      <c r="J6609" s="150"/>
      <c r="K6609" s="150"/>
      <c r="L6609" s="150"/>
      <c r="M6609" s="191"/>
      <c r="N6609" s="191"/>
      <c r="O6609" s="191"/>
    </row>
    <row r="6610" spans="1:15" ht="12.5">
      <c r="A6610" s="158" t="s">
        <v>31829</v>
      </c>
      <c r="B6610" s="159">
        <v>75</v>
      </c>
      <c r="C6610" s="159">
        <v>75</v>
      </c>
      <c r="D6610" s="159">
        <v>4</v>
      </c>
      <c r="E6610" s="130"/>
      <c r="F6610" s="131"/>
      <c r="G6610" s="132"/>
      <c r="H6610" s="162" t="s">
        <v>31830</v>
      </c>
      <c r="I6610" s="128"/>
      <c r="J6610" s="128"/>
      <c r="K6610" s="128"/>
      <c r="L6610" s="128"/>
      <c r="M6610" s="129"/>
      <c r="N6610" s="129"/>
      <c r="O6610" s="129"/>
    </row>
    <row r="6611" spans="1:15" ht="12.5">
      <c r="A6611" s="158" t="s">
        <v>31831</v>
      </c>
      <c r="B6611" s="159">
        <v>75</v>
      </c>
      <c r="C6611" s="159">
        <v>75</v>
      </c>
      <c r="D6611" s="159">
        <v>4</v>
      </c>
      <c r="E6611" s="159">
        <v>0</v>
      </c>
      <c r="F6611" s="131"/>
      <c r="G6611" s="132"/>
      <c r="H6611" s="162" t="s">
        <v>31832</v>
      </c>
      <c r="I6611" s="128"/>
      <c r="J6611" s="128"/>
      <c r="K6611" s="128"/>
      <c r="L6611" s="128"/>
      <c r="M6611" s="129"/>
      <c r="N6611" s="129"/>
      <c r="O6611" s="129"/>
    </row>
    <row r="6612" spans="1:15" ht="12.5">
      <c r="A6612" s="158" t="s">
        <v>31833</v>
      </c>
      <c r="B6612" s="159">
        <v>75</v>
      </c>
      <c r="C6612" s="159">
        <v>75</v>
      </c>
      <c r="D6612" s="159">
        <v>4</v>
      </c>
      <c r="E6612" s="159">
        <v>1</v>
      </c>
      <c r="F6612" s="131"/>
      <c r="G6612" s="132"/>
      <c r="H6612" s="162" t="s">
        <v>31834</v>
      </c>
      <c r="I6612" s="158" t="s">
        <v>31835</v>
      </c>
      <c r="J6612" s="128"/>
      <c r="K6612" s="128"/>
      <c r="L6612" s="128"/>
      <c r="M6612" s="129"/>
      <c r="N6612" s="129"/>
      <c r="O6612" s="129"/>
    </row>
    <row r="6613" spans="1:15" ht="12.5">
      <c r="A6613" s="158" t="s">
        <v>31836</v>
      </c>
      <c r="B6613" s="159">
        <v>75</v>
      </c>
      <c r="C6613" s="159">
        <v>75</v>
      </c>
      <c r="D6613" s="159">
        <v>4</v>
      </c>
      <c r="E6613" s="159">
        <v>2</v>
      </c>
      <c r="F6613" s="131"/>
      <c r="G6613" s="132"/>
      <c r="H6613" s="162" t="s">
        <v>31837</v>
      </c>
      <c r="I6613" s="158" t="s">
        <v>31838</v>
      </c>
      <c r="J6613" s="128"/>
      <c r="K6613" s="128"/>
      <c r="L6613" s="128"/>
      <c r="M6613" s="129"/>
      <c r="N6613" s="129"/>
      <c r="O6613" s="129"/>
    </row>
    <row r="6614" spans="1:15" ht="12.5">
      <c r="A6614" s="158" t="s">
        <v>31839</v>
      </c>
      <c r="B6614" s="159">
        <v>75</v>
      </c>
      <c r="C6614" s="159">
        <v>75</v>
      </c>
      <c r="D6614" s="159">
        <v>4</v>
      </c>
      <c r="E6614" s="159">
        <v>3</v>
      </c>
      <c r="F6614" s="131"/>
      <c r="G6614" s="132"/>
      <c r="H6614" s="162" t="s">
        <v>31840</v>
      </c>
      <c r="I6614" s="158" t="s">
        <v>31841</v>
      </c>
      <c r="J6614" s="128"/>
      <c r="K6614" s="128"/>
      <c r="L6614" s="128"/>
      <c r="M6614" s="129"/>
      <c r="N6614" s="129"/>
      <c r="O6614" s="129"/>
    </row>
    <row r="6615" spans="1:15" ht="12.5">
      <c r="A6615" s="158" t="s">
        <v>31842</v>
      </c>
      <c r="B6615" s="159">
        <v>75</v>
      </c>
      <c r="C6615" s="159">
        <v>75</v>
      </c>
      <c r="D6615" s="159">
        <v>4</v>
      </c>
      <c r="E6615" s="159">
        <v>4</v>
      </c>
      <c r="F6615" s="131"/>
      <c r="G6615" s="132"/>
      <c r="H6615" s="162" t="s">
        <v>31843</v>
      </c>
      <c r="I6615" s="158" t="s">
        <v>31844</v>
      </c>
      <c r="J6615" s="128"/>
      <c r="K6615" s="128"/>
      <c r="L6615" s="128"/>
      <c r="M6615" s="129"/>
      <c r="N6615" s="129"/>
      <c r="O6615" s="129"/>
    </row>
    <row r="6616" spans="1:15" ht="12.5">
      <c r="A6616" s="158" t="s">
        <v>31845</v>
      </c>
      <c r="B6616" s="159">
        <v>75</v>
      </c>
      <c r="C6616" s="159">
        <v>75</v>
      </c>
      <c r="D6616" s="159">
        <v>4</v>
      </c>
      <c r="E6616" s="159">
        <v>5</v>
      </c>
      <c r="F6616" s="131"/>
      <c r="G6616" s="132"/>
      <c r="H6616" s="162" t="s">
        <v>31846</v>
      </c>
      <c r="I6616" s="158" t="s">
        <v>31847</v>
      </c>
      <c r="J6616" s="128"/>
      <c r="K6616" s="128"/>
      <c r="L6616" s="128"/>
      <c r="M6616" s="129"/>
      <c r="N6616" s="129"/>
      <c r="O6616" s="129"/>
    </row>
    <row r="6617" spans="1:15" ht="12.5">
      <c r="A6617" s="158" t="s">
        <v>31848</v>
      </c>
      <c r="B6617" s="159">
        <v>75</v>
      </c>
      <c r="C6617" s="159">
        <v>75</v>
      </c>
      <c r="D6617" s="159">
        <v>4</v>
      </c>
      <c r="E6617" s="159">
        <v>57</v>
      </c>
      <c r="F6617" s="131"/>
      <c r="G6617" s="132"/>
      <c r="H6617" s="162" t="s">
        <v>31849</v>
      </c>
      <c r="I6617" s="158" t="s">
        <v>31850</v>
      </c>
      <c r="J6617" s="128"/>
      <c r="K6617" s="128"/>
      <c r="L6617" s="128"/>
      <c r="M6617" s="129"/>
      <c r="N6617" s="129"/>
      <c r="O6617" s="129"/>
    </row>
    <row r="6618" spans="1:15" ht="12.5">
      <c r="A6618" s="158" t="s">
        <v>31851</v>
      </c>
      <c r="B6618" s="159">
        <v>75</v>
      </c>
      <c r="C6618" s="159">
        <v>75</v>
      </c>
      <c r="D6618" s="159">
        <v>4</v>
      </c>
      <c r="E6618" s="159">
        <v>58</v>
      </c>
      <c r="F6618" s="131"/>
      <c r="G6618" s="132"/>
      <c r="H6618" s="162" t="s">
        <v>31852</v>
      </c>
      <c r="I6618" s="158" t="s">
        <v>31853</v>
      </c>
      <c r="J6618" s="128"/>
      <c r="K6618" s="128"/>
      <c r="L6618" s="128"/>
      <c r="M6618" s="129"/>
      <c r="N6618" s="129"/>
      <c r="O6618" s="129"/>
    </row>
    <row r="6619" spans="1:15" ht="12.5">
      <c r="A6619" s="158" t="s">
        <v>31854</v>
      </c>
      <c r="B6619" s="159">
        <v>75</v>
      </c>
      <c r="C6619" s="159">
        <v>75</v>
      </c>
      <c r="D6619" s="159">
        <v>4</v>
      </c>
      <c r="E6619" s="159">
        <v>60</v>
      </c>
      <c r="F6619" s="131"/>
      <c r="G6619" s="132"/>
      <c r="H6619" s="162" t="s">
        <v>31855</v>
      </c>
      <c r="I6619" s="158" t="s">
        <v>31856</v>
      </c>
      <c r="J6619" s="128"/>
      <c r="K6619" s="128"/>
      <c r="L6619" s="128"/>
      <c r="M6619" s="129"/>
      <c r="N6619" s="129"/>
      <c r="O6619" s="129"/>
    </row>
    <row r="6620" spans="1:15" ht="12.5">
      <c r="A6620" s="158" t="s">
        <v>31857</v>
      </c>
      <c r="B6620" s="159">
        <v>75</v>
      </c>
      <c r="C6620" s="159">
        <v>75</v>
      </c>
      <c r="D6620" s="159">
        <v>4</v>
      </c>
      <c r="E6620" s="159">
        <v>61</v>
      </c>
      <c r="F6620" s="131"/>
      <c r="G6620" s="132"/>
      <c r="H6620" s="162" t="s">
        <v>31858</v>
      </c>
      <c r="I6620" s="158" t="s">
        <v>31859</v>
      </c>
      <c r="J6620" s="128"/>
      <c r="K6620" s="128"/>
      <c r="L6620" s="128"/>
      <c r="M6620" s="129"/>
      <c r="N6620" s="129"/>
      <c r="O6620" s="129"/>
    </row>
    <row r="6621" spans="1:15" ht="12.5">
      <c r="A6621" s="158" t="s">
        <v>31860</v>
      </c>
      <c r="B6621" s="159">
        <v>75</v>
      </c>
      <c r="C6621" s="159">
        <v>75</v>
      </c>
      <c r="D6621" s="159">
        <v>4</v>
      </c>
      <c r="E6621" s="159">
        <v>62</v>
      </c>
      <c r="F6621" s="131"/>
      <c r="G6621" s="132"/>
      <c r="H6621" s="162" t="s">
        <v>31861</v>
      </c>
      <c r="I6621" s="158" t="s">
        <v>31862</v>
      </c>
      <c r="J6621" s="128"/>
      <c r="K6621" s="128"/>
      <c r="L6621" s="128"/>
      <c r="M6621" s="129"/>
      <c r="N6621" s="129"/>
      <c r="O6621" s="129"/>
    </row>
    <row r="6622" spans="1:15" ht="12.5">
      <c r="A6622" s="158" t="s">
        <v>31863</v>
      </c>
      <c r="B6622" s="159">
        <v>75</v>
      </c>
      <c r="C6622" s="159">
        <v>75</v>
      </c>
      <c r="D6622" s="159">
        <v>4</v>
      </c>
      <c r="E6622" s="159">
        <v>63</v>
      </c>
      <c r="F6622" s="131"/>
      <c r="G6622" s="132"/>
      <c r="H6622" s="162" t="s">
        <v>31864</v>
      </c>
      <c r="I6622" s="158" t="s">
        <v>31865</v>
      </c>
      <c r="J6622" s="128"/>
      <c r="K6622" s="128"/>
      <c r="L6622" s="128"/>
      <c r="M6622" s="129"/>
      <c r="N6622" s="129"/>
      <c r="O6622" s="129"/>
    </row>
    <row r="6623" spans="1:15" ht="12.5">
      <c r="A6623" s="158" t="s">
        <v>31866</v>
      </c>
      <c r="B6623" s="159">
        <v>75</v>
      </c>
      <c r="C6623" s="159">
        <v>75</v>
      </c>
      <c r="D6623" s="159">
        <v>4</v>
      </c>
      <c r="E6623" s="159">
        <v>64</v>
      </c>
      <c r="F6623" s="131"/>
      <c r="G6623" s="132"/>
      <c r="H6623" s="162" t="s">
        <v>31867</v>
      </c>
      <c r="I6623" s="158" t="s">
        <v>31868</v>
      </c>
      <c r="J6623" s="128"/>
      <c r="K6623" s="128"/>
      <c r="L6623" s="128"/>
      <c r="M6623" s="129"/>
      <c r="N6623" s="129"/>
      <c r="O6623" s="129"/>
    </row>
    <row r="6624" spans="1:15" ht="12.5">
      <c r="A6624" s="158" t="s">
        <v>31869</v>
      </c>
      <c r="B6624" s="159">
        <v>75</v>
      </c>
      <c r="C6624" s="159">
        <v>75</v>
      </c>
      <c r="D6624" s="159">
        <v>4</v>
      </c>
      <c r="E6624" s="159">
        <v>65</v>
      </c>
      <c r="F6624" s="131"/>
      <c r="G6624" s="132"/>
      <c r="H6624" s="162" t="s">
        <v>31870</v>
      </c>
      <c r="I6624" s="158" t="s">
        <v>31871</v>
      </c>
      <c r="J6624" s="128"/>
      <c r="K6624" s="128"/>
      <c r="L6624" s="128"/>
      <c r="M6624" s="129"/>
      <c r="N6624" s="129"/>
      <c r="O6624" s="129"/>
    </row>
    <row r="6625" spans="1:15" ht="12.5">
      <c r="A6625" s="158" t="s">
        <v>31872</v>
      </c>
      <c r="B6625" s="159">
        <v>75</v>
      </c>
      <c r="C6625" s="159">
        <v>75</v>
      </c>
      <c r="D6625" s="159">
        <v>4</v>
      </c>
      <c r="E6625" s="159">
        <v>66</v>
      </c>
      <c r="F6625" s="131"/>
      <c r="G6625" s="132"/>
      <c r="H6625" s="162" t="s">
        <v>31873</v>
      </c>
      <c r="I6625" s="158" t="s">
        <v>31874</v>
      </c>
      <c r="J6625" s="128"/>
      <c r="K6625" s="128"/>
      <c r="L6625" s="128"/>
      <c r="M6625" s="129"/>
      <c r="N6625" s="129"/>
      <c r="O6625" s="129"/>
    </row>
    <row r="6626" spans="1:15" ht="12.5">
      <c r="A6626" s="158" t="s">
        <v>31875</v>
      </c>
      <c r="B6626" s="159">
        <v>75</v>
      </c>
      <c r="C6626" s="159">
        <v>75</v>
      </c>
      <c r="D6626" s="159">
        <v>4</v>
      </c>
      <c r="E6626" s="159">
        <v>70</v>
      </c>
      <c r="F6626" s="131"/>
      <c r="G6626" s="132"/>
      <c r="H6626" s="162" t="s">
        <v>31876</v>
      </c>
      <c r="I6626" s="128"/>
      <c r="J6626" s="128"/>
      <c r="K6626" s="128"/>
      <c r="L6626" s="128"/>
      <c r="M6626" s="129"/>
      <c r="N6626" s="129"/>
      <c r="O6626" s="129"/>
    </row>
    <row r="6627" spans="1:15" ht="12.5">
      <c r="A6627" s="158" t="s">
        <v>31879</v>
      </c>
      <c r="B6627" s="159">
        <v>75</v>
      </c>
      <c r="C6627" s="159">
        <v>75</v>
      </c>
      <c r="D6627" s="159">
        <v>15</v>
      </c>
      <c r="E6627" s="130"/>
      <c r="F6627" s="131"/>
      <c r="G6627" s="132"/>
      <c r="H6627" s="162" t="s">
        <v>31880</v>
      </c>
      <c r="I6627" s="128"/>
      <c r="J6627" s="128"/>
      <c r="K6627" s="128"/>
      <c r="L6627" s="128"/>
      <c r="M6627" s="129"/>
      <c r="N6627" s="129"/>
      <c r="O6627" s="129"/>
    </row>
    <row r="6628" spans="1:15" ht="12.5">
      <c r="A6628" s="158" t="s">
        <v>31881</v>
      </c>
      <c r="B6628" s="159">
        <v>75</v>
      </c>
      <c r="C6628" s="159">
        <v>75</v>
      </c>
      <c r="D6628" s="159">
        <v>15</v>
      </c>
      <c r="E6628" s="159">
        <v>11</v>
      </c>
      <c r="F6628" s="131"/>
      <c r="G6628" s="132"/>
      <c r="H6628" s="162" t="s">
        <v>31882</v>
      </c>
      <c r="I6628" s="158" t="s">
        <v>31883</v>
      </c>
      <c r="J6628" s="128"/>
      <c r="K6628" s="128"/>
      <c r="L6628" s="128"/>
      <c r="M6628" s="129"/>
      <c r="N6628" s="129"/>
      <c r="O6628" s="129"/>
    </row>
    <row r="6629" spans="1:15" ht="12.5">
      <c r="A6629" s="158" t="s">
        <v>31884</v>
      </c>
      <c r="B6629" s="159">
        <v>75</v>
      </c>
      <c r="C6629" s="159">
        <v>75</v>
      </c>
      <c r="D6629" s="159">
        <v>15</v>
      </c>
      <c r="E6629" s="159">
        <v>14</v>
      </c>
      <c r="F6629" s="131"/>
      <c r="G6629" s="132"/>
      <c r="H6629" s="162" t="s">
        <v>31885</v>
      </c>
      <c r="I6629" s="128"/>
      <c r="J6629" s="128"/>
      <c r="K6629" s="128"/>
      <c r="L6629" s="128"/>
      <c r="M6629" s="129"/>
      <c r="N6629" s="129"/>
      <c r="O6629" s="129"/>
    </row>
    <row r="6630" spans="1:15" ht="12.5">
      <c r="A6630" s="158" t="s">
        <v>31886</v>
      </c>
      <c r="B6630" s="159">
        <v>75</v>
      </c>
      <c r="C6630" s="159">
        <v>75</v>
      </c>
      <c r="D6630" s="159">
        <v>15</v>
      </c>
      <c r="E6630" s="159">
        <v>15</v>
      </c>
      <c r="F6630" s="131"/>
      <c r="G6630" s="132"/>
      <c r="H6630" s="162" t="s">
        <v>31887</v>
      </c>
      <c r="I6630" s="158" t="s">
        <v>31888</v>
      </c>
      <c r="J6630" s="128"/>
      <c r="K6630" s="128"/>
      <c r="L6630" s="128"/>
      <c r="M6630" s="129"/>
      <c r="N6630" s="129"/>
      <c r="O6630" s="129"/>
    </row>
    <row r="6631" spans="1:15" ht="12.5">
      <c r="A6631" s="158" t="s">
        <v>31889</v>
      </c>
      <c r="B6631" s="159">
        <v>75</v>
      </c>
      <c r="C6631" s="159">
        <v>75</v>
      </c>
      <c r="D6631" s="159">
        <v>15</v>
      </c>
      <c r="E6631" s="159">
        <v>16</v>
      </c>
      <c r="F6631" s="131"/>
      <c r="G6631" s="132"/>
      <c r="H6631" s="162" t="s">
        <v>31890</v>
      </c>
      <c r="I6631" s="158" t="s">
        <v>31891</v>
      </c>
      <c r="J6631" s="128"/>
      <c r="K6631" s="128"/>
      <c r="L6631" s="128"/>
      <c r="M6631" s="129"/>
      <c r="N6631" s="129"/>
      <c r="O6631" s="129"/>
    </row>
    <row r="6632" spans="1:15" ht="12.5">
      <c r="A6632" s="158" t="s">
        <v>31892</v>
      </c>
      <c r="B6632" s="159">
        <v>75</v>
      </c>
      <c r="C6632" s="159">
        <v>75</v>
      </c>
      <c r="D6632" s="159">
        <v>15</v>
      </c>
      <c r="E6632" s="159">
        <v>17</v>
      </c>
      <c r="F6632" s="131"/>
      <c r="G6632" s="132"/>
      <c r="H6632" s="162" t="s">
        <v>31893</v>
      </c>
      <c r="I6632" s="128"/>
      <c r="J6632" s="128"/>
      <c r="K6632" s="128"/>
      <c r="L6632" s="128"/>
      <c r="M6632" s="129"/>
      <c r="N6632" s="129"/>
      <c r="O6632" s="129"/>
    </row>
    <row r="6633" spans="1:15" ht="12.5">
      <c r="A6633" s="158" t="s">
        <v>31894</v>
      </c>
      <c r="B6633" s="159">
        <v>75</v>
      </c>
      <c r="C6633" s="159">
        <v>75</v>
      </c>
      <c r="D6633" s="159">
        <v>15</v>
      </c>
      <c r="E6633" s="159">
        <v>21</v>
      </c>
      <c r="F6633" s="131"/>
      <c r="G6633" s="132"/>
      <c r="H6633" s="162" t="s">
        <v>31895</v>
      </c>
      <c r="I6633" s="158" t="s">
        <v>31896</v>
      </c>
      <c r="J6633" s="128"/>
      <c r="K6633" s="128"/>
      <c r="L6633" s="128"/>
      <c r="M6633" s="129"/>
      <c r="N6633" s="129"/>
      <c r="O6633" s="129"/>
    </row>
    <row r="6634" spans="1:15" ht="12.5">
      <c r="A6634" s="158" t="s">
        <v>31897</v>
      </c>
      <c r="B6634" s="159">
        <v>75</v>
      </c>
      <c r="C6634" s="159">
        <v>75</v>
      </c>
      <c r="D6634" s="159">
        <v>15</v>
      </c>
      <c r="E6634" s="159">
        <v>22</v>
      </c>
      <c r="F6634" s="131"/>
      <c r="G6634" s="132"/>
      <c r="H6634" s="162" t="s">
        <v>31898</v>
      </c>
      <c r="I6634" s="158" t="s">
        <v>31899</v>
      </c>
      <c r="J6634" s="128"/>
      <c r="K6634" s="128"/>
      <c r="L6634" s="128"/>
      <c r="M6634" s="129"/>
      <c r="N6634" s="129"/>
      <c r="O6634" s="129"/>
    </row>
    <row r="6635" spans="1:15" ht="12.5">
      <c r="A6635" s="158" t="s">
        <v>31900</v>
      </c>
      <c r="B6635" s="159">
        <v>75</v>
      </c>
      <c r="C6635" s="159">
        <v>75</v>
      </c>
      <c r="D6635" s="159">
        <v>15</v>
      </c>
      <c r="E6635" s="159">
        <v>24</v>
      </c>
      <c r="F6635" s="131"/>
      <c r="G6635" s="132"/>
      <c r="H6635" s="162" t="s">
        <v>31901</v>
      </c>
      <c r="I6635" s="128"/>
      <c r="J6635" s="128"/>
      <c r="K6635" s="128"/>
      <c r="L6635" s="128"/>
      <c r="M6635" s="129"/>
      <c r="N6635" s="129"/>
      <c r="O6635" s="129"/>
    </row>
    <row r="6636" spans="1:15" ht="12.5">
      <c r="A6636" s="158" t="s">
        <v>31902</v>
      </c>
      <c r="B6636" s="159">
        <v>75</v>
      </c>
      <c r="C6636" s="159">
        <v>75</v>
      </c>
      <c r="D6636" s="159">
        <v>15</v>
      </c>
      <c r="E6636" s="159">
        <v>36</v>
      </c>
      <c r="F6636" s="131"/>
      <c r="G6636" s="132"/>
      <c r="H6636" s="162" t="s">
        <v>31903</v>
      </c>
      <c r="I6636" s="128"/>
      <c r="J6636" s="128"/>
      <c r="K6636" s="128"/>
      <c r="L6636" s="128"/>
      <c r="M6636" s="129"/>
      <c r="N6636" s="129"/>
      <c r="O6636" s="129"/>
    </row>
    <row r="6637" spans="1:15" ht="12.5">
      <c r="A6637" s="158" t="s">
        <v>31904</v>
      </c>
      <c r="B6637" s="159">
        <v>75</v>
      </c>
      <c r="C6637" s="159">
        <v>75</v>
      </c>
      <c r="D6637" s="159">
        <v>15</v>
      </c>
      <c r="E6637" s="159">
        <v>45</v>
      </c>
      <c r="F6637" s="131"/>
      <c r="G6637" s="132"/>
      <c r="H6637" s="162" t="s">
        <v>31905</v>
      </c>
      <c r="I6637" s="128"/>
      <c r="J6637" s="128"/>
      <c r="K6637" s="128"/>
      <c r="L6637" s="128"/>
      <c r="M6637" s="129"/>
      <c r="N6637" s="129"/>
      <c r="O6637" s="129"/>
    </row>
    <row r="6638" spans="1:15" ht="12.5">
      <c r="A6638" s="158" t="s">
        <v>31906</v>
      </c>
      <c r="B6638" s="159">
        <v>75</v>
      </c>
      <c r="C6638" s="159">
        <v>75</v>
      </c>
      <c r="D6638" s="159">
        <v>15</v>
      </c>
      <c r="E6638" s="159">
        <v>46</v>
      </c>
      <c r="F6638" s="131"/>
      <c r="G6638" s="132"/>
      <c r="H6638" s="162" t="s">
        <v>31907</v>
      </c>
      <c r="I6638" s="128"/>
      <c r="J6638" s="128"/>
      <c r="K6638" s="128"/>
      <c r="L6638" s="128"/>
      <c r="M6638" s="129"/>
      <c r="N6638" s="129"/>
      <c r="O6638" s="129"/>
    </row>
    <row r="6639" spans="1:15" ht="12.5">
      <c r="A6639" s="158" t="s">
        <v>31908</v>
      </c>
      <c r="B6639" s="159">
        <v>75</v>
      </c>
      <c r="C6639" s="159">
        <v>75</v>
      </c>
      <c r="D6639" s="159">
        <v>15</v>
      </c>
      <c r="E6639" s="159">
        <v>63</v>
      </c>
      <c r="F6639" s="131"/>
      <c r="G6639" s="132"/>
      <c r="H6639" s="162" t="s">
        <v>31909</v>
      </c>
      <c r="I6639" s="128"/>
      <c r="J6639" s="128"/>
      <c r="K6639" s="128"/>
      <c r="L6639" s="128"/>
      <c r="M6639" s="129"/>
      <c r="N6639" s="129"/>
      <c r="O6639" s="129"/>
    </row>
    <row r="6640" spans="1:15" ht="12.5">
      <c r="A6640" s="158" t="s">
        <v>31910</v>
      </c>
      <c r="B6640" s="159">
        <v>75</v>
      </c>
      <c r="C6640" s="159">
        <v>75</v>
      </c>
      <c r="D6640" s="159">
        <v>15</v>
      </c>
      <c r="E6640" s="159">
        <v>66</v>
      </c>
      <c r="F6640" s="131"/>
      <c r="G6640" s="132"/>
      <c r="H6640" s="162" t="s">
        <v>31911</v>
      </c>
      <c r="I6640" s="158" t="s">
        <v>31912</v>
      </c>
      <c r="J6640" s="128"/>
      <c r="K6640" s="128"/>
      <c r="L6640" s="128"/>
      <c r="M6640" s="129"/>
      <c r="N6640" s="129"/>
      <c r="O6640" s="129"/>
    </row>
    <row r="6641" spans="1:15" ht="12.5">
      <c r="A6641" s="158" t="s">
        <v>31913</v>
      </c>
      <c r="B6641" s="159">
        <v>75</v>
      </c>
      <c r="C6641" s="159">
        <v>75</v>
      </c>
      <c r="D6641" s="159">
        <v>15</v>
      </c>
      <c r="E6641" s="159">
        <v>76</v>
      </c>
      <c r="F6641" s="131"/>
      <c r="G6641" s="132"/>
      <c r="H6641" s="162" t="s">
        <v>31914</v>
      </c>
      <c r="I6641" s="128"/>
      <c r="J6641" s="128"/>
      <c r="K6641" s="128"/>
      <c r="L6641" s="128"/>
      <c r="M6641" s="129"/>
      <c r="N6641" s="129"/>
      <c r="O6641" s="129"/>
    </row>
    <row r="6642" spans="1:15" ht="12.5">
      <c r="A6642" s="158" t="s">
        <v>31915</v>
      </c>
      <c r="B6642" s="159">
        <v>75</v>
      </c>
      <c r="C6642" s="159">
        <v>75</v>
      </c>
      <c r="D6642" s="159">
        <v>15</v>
      </c>
      <c r="E6642" s="159">
        <v>80</v>
      </c>
      <c r="F6642" s="131"/>
      <c r="G6642" s="132"/>
      <c r="H6642" s="162" t="s">
        <v>31916</v>
      </c>
      <c r="I6642" s="128"/>
      <c r="J6642" s="128"/>
      <c r="K6642" s="128"/>
      <c r="L6642" s="128"/>
      <c r="M6642" s="129"/>
      <c r="N6642" s="129"/>
      <c r="O6642" s="129"/>
    </row>
    <row r="6643" spans="1:15" ht="12.5">
      <c r="A6643" s="158" t="s">
        <v>31917</v>
      </c>
      <c r="B6643" s="159">
        <v>75</v>
      </c>
      <c r="C6643" s="159">
        <v>75</v>
      </c>
      <c r="D6643" s="159">
        <v>15</v>
      </c>
      <c r="E6643" s="159">
        <v>84</v>
      </c>
      <c r="F6643" s="131"/>
      <c r="G6643" s="132"/>
      <c r="H6643" s="162" t="s">
        <v>31918</v>
      </c>
      <c r="I6643" s="128"/>
      <c r="J6643" s="128"/>
      <c r="K6643" s="128"/>
      <c r="L6643" s="128"/>
      <c r="M6643" s="129"/>
      <c r="N6643" s="129"/>
      <c r="O6643" s="129"/>
    </row>
    <row r="6644" spans="1:15" ht="12.5">
      <c r="A6644" s="158" t="s">
        <v>31921</v>
      </c>
      <c r="B6644" s="159">
        <v>75</v>
      </c>
      <c r="C6644" s="159">
        <v>75</v>
      </c>
      <c r="D6644" s="159">
        <v>15</v>
      </c>
      <c r="E6644" s="159">
        <v>90</v>
      </c>
      <c r="F6644" s="131"/>
      <c r="G6644" s="132"/>
      <c r="H6644" s="162" t="s">
        <v>31922</v>
      </c>
      <c r="I6644" s="128"/>
      <c r="J6644" s="128"/>
      <c r="K6644" s="128"/>
      <c r="L6644" s="128"/>
      <c r="M6644" s="129"/>
      <c r="N6644" s="129"/>
      <c r="O6644" s="129"/>
    </row>
    <row r="6645" spans="1:15" ht="12.5">
      <c r="A6645" s="158" t="s">
        <v>31923</v>
      </c>
      <c r="B6645" s="159">
        <v>75</v>
      </c>
      <c r="C6645" s="159">
        <v>75</v>
      </c>
      <c r="D6645" s="159">
        <v>27</v>
      </c>
      <c r="E6645" s="130"/>
      <c r="F6645" s="131"/>
      <c r="G6645" s="132"/>
      <c r="H6645" s="162" t="s">
        <v>31924</v>
      </c>
      <c r="I6645" s="128"/>
      <c r="J6645" s="128"/>
      <c r="K6645" s="128"/>
      <c r="L6645" s="128"/>
      <c r="M6645" s="129"/>
      <c r="N6645" s="129"/>
      <c r="O6645" s="129"/>
    </row>
    <row r="6646" spans="1:15" ht="12.5">
      <c r="A6646" s="158" t="s">
        <v>31925</v>
      </c>
      <c r="B6646" s="159">
        <v>75</v>
      </c>
      <c r="C6646" s="159">
        <v>75</v>
      </c>
      <c r="D6646" s="159">
        <v>27</v>
      </c>
      <c r="E6646" s="159">
        <v>1</v>
      </c>
      <c r="F6646" s="131"/>
      <c r="G6646" s="132"/>
      <c r="H6646" s="162" t="s">
        <v>31926</v>
      </c>
      <c r="I6646" s="158" t="s">
        <v>31927</v>
      </c>
      <c r="J6646" s="128"/>
      <c r="K6646" s="128"/>
      <c r="L6646" s="128"/>
      <c r="M6646" s="129"/>
      <c r="N6646" s="129"/>
      <c r="O6646" s="129"/>
    </row>
    <row r="6647" spans="1:15" ht="12.5">
      <c r="A6647" s="158" t="s">
        <v>31928</v>
      </c>
      <c r="B6647" s="159">
        <v>75</v>
      </c>
      <c r="C6647" s="159">
        <v>75</v>
      </c>
      <c r="D6647" s="159">
        <v>27</v>
      </c>
      <c r="E6647" s="159">
        <v>3</v>
      </c>
      <c r="F6647" s="131"/>
      <c r="G6647" s="132"/>
      <c r="H6647" s="162" t="s">
        <v>31929</v>
      </c>
      <c r="I6647" s="158" t="s">
        <v>31930</v>
      </c>
      <c r="J6647" s="128"/>
      <c r="K6647" s="128"/>
      <c r="L6647" s="128"/>
      <c r="M6647" s="129"/>
      <c r="N6647" s="129"/>
      <c r="O6647" s="129"/>
    </row>
    <row r="6648" spans="1:15" ht="12.5">
      <c r="A6648" s="158" t="s">
        <v>31931</v>
      </c>
      <c r="B6648" s="159">
        <v>75</v>
      </c>
      <c r="C6648" s="159">
        <v>75</v>
      </c>
      <c r="D6648" s="159">
        <v>27</v>
      </c>
      <c r="E6648" s="159">
        <v>5</v>
      </c>
      <c r="F6648" s="131"/>
      <c r="G6648" s="132"/>
      <c r="H6648" s="162" t="s">
        <v>31932</v>
      </c>
      <c r="I6648" s="158" t="s">
        <v>31933</v>
      </c>
      <c r="J6648" s="128"/>
      <c r="K6648" s="128"/>
      <c r="L6648" s="128"/>
      <c r="M6648" s="129"/>
      <c r="N6648" s="129"/>
      <c r="O6648" s="129"/>
    </row>
    <row r="6649" spans="1:15" ht="12.5">
      <c r="A6649" s="158" t="s">
        <v>31934</v>
      </c>
      <c r="B6649" s="159">
        <v>75</v>
      </c>
      <c r="C6649" s="159">
        <v>75</v>
      </c>
      <c r="D6649" s="159">
        <v>27</v>
      </c>
      <c r="E6649" s="159">
        <v>7</v>
      </c>
      <c r="F6649" s="131"/>
      <c r="G6649" s="132"/>
      <c r="H6649" s="162" t="s">
        <v>31935</v>
      </c>
      <c r="I6649" s="158" t="s">
        <v>31936</v>
      </c>
      <c r="J6649" s="128"/>
      <c r="K6649" s="128"/>
      <c r="L6649" s="128"/>
      <c r="M6649" s="129"/>
      <c r="N6649" s="129"/>
      <c r="O6649" s="129"/>
    </row>
    <row r="6650" spans="1:15" ht="12.5">
      <c r="A6650" s="158" t="s">
        <v>31937</v>
      </c>
      <c r="B6650" s="159">
        <v>75</v>
      </c>
      <c r="C6650" s="159">
        <v>75</v>
      </c>
      <c r="D6650" s="159">
        <v>27</v>
      </c>
      <c r="E6650" s="159">
        <v>8</v>
      </c>
      <c r="F6650" s="131"/>
      <c r="G6650" s="132"/>
      <c r="H6650" s="162" t="s">
        <v>31938</v>
      </c>
      <c r="I6650" s="158" t="s">
        <v>31939</v>
      </c>
      <c r="J6650" s="128"/>
      <c r="K6650" s="128"/>
      <c r="L6650" s="128"/>
      <c r="M6650" s="129"/>
      <c r="N6650" s="129"/>
      <c r="O6650" s="129"/>
    </row>
    <row r="6651" spans="1:15" ht="12.5">
      <c r="A6651" s="158" t="s">
        <v>31940</v>
      </c>
      <c r="B6651" s="159">
        <v>75</v>
      </c>
      <c r="C6651" s="159">
        <v>75</v>
      </c>
      <c r="D6651" s="159">
        <v>27</v>
      </c>
      <c r="E6651" s="159">
        <v>23</v>
      </c>
      <c r="F6651" s="131"/>
      <c r="G6651" s="132"/>
      <c r="H6651" s="162" t="s">
        <v>31941</v>
      </c>
      <c r="I6651" s="158" t="s">
        <v>31942</v>
      </c>
      <c r="J6651" s="128"/>
      <c r="K6651" s="128"/>
      <c r="L6651" s="128"/>
      <c r="M6651" s="129"/>
      <c r="N6651" s="129"/>
      <c r="O6651" s="129"/>
    </row>
    <row r="6652" spans="1:15" ht="12.5">
      <c r="A6652" s="158" t="s">
        <v>31943</v>
      </c>
      <c r="B6652" s="159">
        <v>75</v>
      </c>
      <c r="C6652" s="159">
        <v>75</v>
      </c>
      <c r="D6652" s="159">
        <v>27</v>
      </c>
      <c r="E6652" s="159">
        <v>27</v>
      </c>
      <c r="F6652" s="131"/>
      <c r="G6652" s="132"/>
      <c r="H6652" s="162" t="s">
        <v>31944</v>
      </c>
      <c r="I6652" s="158" t="s">
        <v>31945</v>
      </c>
      <c r="J6652" s="128"/>
      <c r="K6652" s="128"/>
      <c r="L6652" s="128"/>
      <c r="M6652" s="129"/>
      <c r="N6652" s="129"/>
      <c r="O6652" s="129"/>
    </row>
    <row r="6653" spans="1:15" ht="12.5">
      <c r="A6653" s="158" t="s">
        <v>31946</v>
      </c>
      <c r="B6653" s="159">
        <v>75</v>
      </c>
      <c r="C6653" s="159">
        <v>75</v>
      </c>
      <c r="D6653" s="159">
        <v>27</v>
      </c>
      <c r="E6653" s="159">
        <v>28</v>
      </c>
      <c r="F6653" s="131"/>
      <c r="G6653" s="132"/>
      <c r="H6653" s="162" t="s">
        <v>31947</v>
      </c>
      <c r="I6653" s="158" t="s">
        <v>31948</v>
      </c>
      <c r="J6653" s="128"/>
      <c r="K6653" s="128"/>
      <c r="L6653" s="128"/>
      <c r="M6653" s="129"/>
      <c r="N6653" s="129"/>
      <c r="O6653" s="129"/>
    </row>
    <row r="6654" spans="1:15" ht="12.5">
      <c r="A6654" s="158" t="s">
        <v>31949</v>
      </c>
      <c r="B6654" s="159">
        <v>75</v>
      </c>
      <c r="C6654" s="159">
        <v>75</v>
      </c>
      <c r="D6654" s="159">
        <v>27</v>
      </c>
      <c r="E6654" s="159">
        <v>42</v>
      </c>
      <c r="F6654" s="131"/>
      <c r="G6654" s="132"/>
      <c r="H6654" s="162" t="s">
        <v>31950</v>
      </c>
      <c r="I6654" s="158" t="s">
        <v>31951</v>
      </c>
      <c r="J6654" s="128"/>
      <c r="K6654" s="128"/>
      <c r="L6654" s="128"/>
      <c r="M6654" s="129"/>
      <c r="N6654" s="129"/>
      <c r="O6654" s="129"/>
    </row>
    <row r="6655" spans="1:15" ht="12.5">
      <c r="A6655" s="158" t="s">
        <v>31952</v>
      </c>
      <c r="B6655" s="159">
        <v>75</v>
      </c>
      <c r="C6655" s="159">
        <v>75</v>
      </c>
      <c r="D6655" s="159">
        <v>27</v>
      </c>
      <c r="E6655" s="159">
        <v>43</v>
      </c>
      <c r="F6655" s="131"/>
      <c r="G6655" s="132"/>
      <c r="H6655" s="162" t="s">
        <v>31953</v>
      </c>
      <c r="I6655" s="158" t="s">
        <v>31954</v>
      </c>
      <c r="J6655" s="128"/>
      <c r="K6655" s="128"/>
      <c r="L6655" s="128"/>
      <c r="M6655" s="129"/>
      <c r="N6655" s="129"/>
      <c r="O6655" s="129"/>
    </row>
    <row r="6656" spans="1:15" ht="12.5">
      <c r="A6656" s="158" t="s">
        <v>31957</v>
      </c>
      <c r="B6656" s="159">
        <v>75</v>
      </c>
      <c r="C6656" s="159">
        <v>75</v>
      </c>
      <c r="D6656" s="159">
        <v>27</v>
      </c>
      <c r="E6656" s="159">
        <v>50</v>
      </c>
      <c r="F6656" s="131"/>
      <c r="G6656" s="132"/>
      <c r="H6656" s="162" t="s">
        <v>31958</v>
      </c>
      <c r="I6656" s="158" t="s">
        <v>31959</v>
      </c>
      <c r="J6656" s="128"/>
      <c r="K6656" s="128"/>
      <c r="L6656" s="128"/>
      <c r="M6656" s="129"/>
      <c r="N6656" s="129"/>
      <c r="O6656" s="129"/>
    </row>
    <row r="6657" spans="1:15" ht="12.5">
      <c r="A6657" s="158" t="s">
        <v>31960</v>
      </c>
      <c r="B6657" s="159">
        <v>75</v>
      </c>
      <c r="C6657" s="159">
        <v>75</v>
      </c>
      <c r="D6657" s="159">
        <v>27</v>
      </c>
      <c r="E6657" s="159">
        <v>51</v>
      </c>
      <c r="F6657" s="131"/>
      <c r="G6657" s="132"/>
      <c r="H6657" s="162" t="s">
        <v>31961</v>
      </c>
      <c r="I6657" s="158" t="s">
        <v>31962</v>
      </c>
      <c r="J6657" s="128"/>
      <c r="K6657" s="128"/>
      <c r="L6657" s="128"/>
      <c r="M6657" s="129"/>
      <c r="N6657" s="129"/>
      <c r="O6657" s="129"/>
    </row>
    <row r="6658" spans="1:15" ht="12.5">
      <c r="A6658" s="158" t="s">
        <v>31963</v>
      </c>
      <c r="B6658" s="159">
        <v>75</v>
      </c>
      <c r="C6658" s="159">
        <v>75</v>
      </c>
      <c r="D6658" s="159">
        <v>27</v>
      </c>
      <c r="E6658" s="159">
        <v>55</v>
      </c>
      <c r="F6658" s="131"/>
      <c r="G6658" s="132"/>
      <c r="H6658" s="162" t="s">
        <v>31964</v>
      </c>
      <c r="I6658" s="158" t="s">
        <v>31965</v>
      </c>
      <c r="J6658" s="128"/>
      <c r="K6658" s="128"/>
      <c r="L6658" s="128"/>
      <c r="M6658" s="129"/>
      <c r="N6658" s="129"/>
      <c r="O6658" s="129"/>
    </row>
    <row r="6659" spans="1:15" ht="12.5">
      <c r="A6659" s="158" t="s">
        <v>31966</v>
      </c>
      <c r="B6659" s="159">
        <v>75</v>
      </c>
      <c r="C6659" s="159">
        <v>75</v>
      </c>
      <c r="D6659" s="159">
        <v>27</v>
      </c>
      <c r="E6659" s="159">
        <v>57</v>
      </c>
      <c r="F6659" s="131"/>
      <c r="G6659" s="132"/>
      <c r="H6659" s="162" t="s">
        <v>31967</v>
      </c>
      <c r="I6659" s="158" t="s">
        <v>31968</v>
      </c>
      <c r="J6659" s="128"/>
      <c r="K6659" s="128"/>
      <c r="L6659" s="128"/>
      <c r="M6659" s="129"/>
      <c r="N6659" s="129"/>
      <c r="O6659" s="129"/>
    </row>
    <row r="6660" spans="1:15" ht="12.5">
      <c r="A6660" s="158" t="s">
        <v>31969</v>
      </c>
      <c r="B6660" s="159">
        <v>75</v>
      </c>
      <c r="C6660" s="159">
        <v>75</v>
      </c>
      <c r="D6660" s="159">
        <v>27</v>
      </c>
      <c r="E6660" s="159">
        <v>60</v>
      </c>
      <c r="F6660" s="131"/>
      <c r="G6660" s="132"/>
      <c r="H6660" s="162" t="s">
        <v>31970</v>
      </c>
      <c r="I6660" s="128"/>
      <c r="J6660" s="128"/>
      <c r="K6660" s="128"/>
      <c r="L6660" s="128"/>
      <c r="M6660" s="129"/>
      <c r="N6660" s="129"/>
      <c r="O6660" s="129"/>
    </row>
    <row r="6661" spans="1:15" ht="12.5">
      <c r="A6661" s="158" t="s">
        <v>31971</v>
      </c>
      <c r="B6661" s="159">
        <v>75</v>
      </c>
      <c r="C6661" s="159">
        <v>75</v>
      </c>
      <c r="D6661" s="159">
        <v>27</v>
      </c>
      <c r="E6661" s="159">
        <v>67</v>
      </c>
      <c r="F6661" s="131"/>
      <c r="G6661" s="132"/>
      <c r="H6661" s="162" t="s">
        <v>31972</v>
      </c>
      <c r="I6661" s="158" t="s">
        <v>31973</v>
      </c>
      <c r="J6661" s="128"/>
      <c r="K6661" s="128"/>
      <c r="L6661" s="128"/>
      <c r="M6661" s="129"/>
      <c r="N6661" s="129"/>
      <c r="O6661" s="129"/>
    </row>
    <row r="6662" spans="1:15" ht="12.5">
      <c r="A6662" s="158" t="s">
        <v>31974</v>
      </c>
      <c r="B6662" s="159">
        <v>75</v>
      </c>
      <c r="C6662" s="159">
        <v>75</v>
      </c>
      <c r="D6662" s="159">
        <v>27</v>
      </c>
      <c r="E6662" s="159">
        <v>68</v>
      </c>
      <c r="F6662" s="131"/>
      <c r="G6662" s="132"/>
      <c r="H6662" s="162" t="s">
        <v>31975</v>
      </c>
      <c r="I6662" s="158" t="s">
        <v>31976</v>
      </c>
      <c r="J6662" s="128"/>
      <c r="K6662" s="128"/>
      <c r="L6662" s="128"/>
      <c r="M6662" s="129"/>
      <c r="N6662" s="129"/>
      <c r="O6662" s="129"/>
    </row>
    <row r="6663" spans="1:15" ht="12.5">
      <c r="A6663" s="158" t="s">
        <v>31977</v>
      </c>
      <c r="B6663" s="159">
        <v>75</v>
      </c>
      <c r="C6663" s="159">
        <v>75</v>
      </c>
      <c r="D6663" s="159">
        <v>27</v>
      </c>
      <c r="E6663" s="159">
        <v>71</v>
      </c>
      <c r="F6663" s="131"/>
      <c r="G6663" s="132"/>
      <c r="H6663" s="162" t="s">
        <v>31978</v>
      </c>
      <c r="I6663" s="158" t="s">
        <v>31979</v>
      </c>
      <c r="J6663" s="128"/>
      <c r="K6663" s="128"/>
      <c r="L6663" s="128"/>
      <c r="M6663" s="129"/>
      <c r="N6663" s="129"/>
      <c r="O6663" s="129"/>
    </row>
    <row r="6664" spans="1:15" ht="12.5">
      <c r="A6664" s="158" t="s">
        <v>31980</v>
      </c>
      <c r="B6664" s="159">
        <v>75</v>
      </c>
      <c r="C6664" s="159">
        <v>75</v>
      </c>
      <c r="D6664" s="159">
        <v>27</v>
      </c>
      <c r="E6664" s="159">
        <v>72</v>
      </c>
      <c r="F6664" s="131"/>
      <c r="G6664" s="132"/>
      <c r="H6664" s="162" t="s">
        <v>31981</v>
      </c>
      <c r="I6664" s="158" t="s">
        <v>31982</v>
      </c>
      <c r="J6664" s="128"/>
      <c r="K6664" s="128"/>
      <c r="L6664" s="128"/>
      <c r="M6664" s="129"/>
      <c r="N6664" s="129"/>
      <c r="O6664" s="129"/>
    </row>
    <row r="6665" spans="1:15" ht="12.5">
      <c r="A6665" s="158" t="s">
        <v>31983</v>
      </c>
      <c r="B6665" s="159">
        <v>75</v>
      </c>
      <c r="C6665" s="159">
        <v>75</v>
      </c>
      <c r="D6665" s="159">
        <v>27</v>
      </c>
      <c r="E6665" s="159">
        <v>80</v>
      </c>
      <c r="F6665" s="131"/>
      <c r="G6665" s="132"/>
      <c r="H6665" s="162" t="s">
        <v>31984</v>
      </c>
      <c r="I6665" s="158" t="s">
        <v>31985</v>
      </c>
      <c r="J6665" s="128"/>
      <c r="K6665" s="128"/>
      <c r="L6665" s="128"/>
      <c r="M6665" s="129"/>
      <c r="N6665" s="129"/>
      <c r="O6665" s="129"/>
    </row>
    <row r="6666" spans="1:15" ht="12.5">
      <c r="A6666" s="158" t="s">
        <v>31986</v>
      </c>
      <c r="B6666" s="159">
        <v>75</v>
      </c>
      <c r="C6666" s="159">
        <v>75</v>
      </c>
      <c r="D6666" s="159">
        <v>27</v>
      </c>
      <c r="E6666" s="159">
        <v>82</v>
      </c>
      <c r="F6666" s="131"/>
      <c r="G6666" s="132"/>
      <c r="H6666" s="162" t="s">
        <v>31987</v>
      </c>
      <c r="I6666" s="128"/>
      <c r="J6666" s="128"/>
      <c r="K6666" s="128"/>
      <c r="L6666" s="128"/>
      <c r="M6666" s="129"/>
      <c r="N6666" s="129"/>
      <c r="O6666" s="129"/>
    </row>
    <row r="6667" spans="1:15" ht="12.5">
      <c r="A6667" s="158" t="s">
        <v>31988</v>
      </c>
      <c r="B6667" s="159">
        <v>75</v>
      </c>
      <c r="C6667" s="159">
        <v>75</v>
      </c>
      <c r="D6667" s="159">
        <v>30</v>
      </c>
      <c r="E6667" s="130"/>
      <c r="F6667" s="131"/>
      <c r="G6667" s="132"/>
      <c r="H6667" s="162" t="s">
        <v>31989</v>
      </c>
      <c r="I6667" s="128"/>
      <c r="J6667" s="128"/>
      <c r="K6667" s="128"/>
      <c r="L6667" s="128"/>
      <c r="M6667" s="129"/>
      <c r="N6667" s="129"/>
      <c r="O6667" s="129"/>
    </row>
    <row r="6668" spans="1:15" ht="12.5">
      <c r="A6668" s="158" t="s">
        <v>31990</v>
      </c>
      <c r="B6668" s="159">
        <v>75</v>
      </c>
      <c r="C6668" s="159">
        <v>75</v>
      </c>
      <c r="D6668" s="159">
        <v>30</v>
      </c>
      <c r="E6668" s="159">
        <v>1</v>
      </c>
      <c r="F6668" s="131"/>
      <c r="G6668" s="132"/>
      <c r="H6668" s="162" t="s">
        <v>31991</v>
      </c>
      <c r="I6668" s="158" t="s">
        <v>31992</v>
      </c>
      <c r="J6668" s="128"/>
      <c r="K6668" s="128"/>
      <c r="L6668" s="128"/>
      <c r="M6668" s="129"/>
      <c r="N6668" s="129"/>
      <c r="O6668" s="129"/>
    </row>
    <row r="6669" spans="1:15" ht="12.5">
      <c r="A6669" s="158" t="s">
        <v>31993</v>
      </c>
      <c r="B6669" s="159">
        <v>75</v>
      </c>
      <c r="C6669" s="159">
        <v>75</v>
      </c>
      <c r="D6669" s="159">
        <v>30</v>
      </c>
      <c r="E6669" s="159">
        <v>2</v>
      </c>
      <c r="F6669" s="131"/>
      <c r="G6669" s="132"/>
      <c r="H6669" s="162" t="s">
        <v>31994</v>
      </c>
      <c r="I6669" s="128"/>
      <c r="J6669" s="128"/>
      <c r="K6669" s="128"/>
      <c r="L6669" s="128"/>
      <c r="M6669" s="129"/>
      <c r="N6669" s="129"/>
      <c r="O6669" s="129"/>
    </row>
    <row r="6670" spans="1:15" ht="12.5">
      <c r="A6670" s="158" t="s">
        <v>31995</v>
      </c>
      <c r="B6670" s="159">
        <v>75</v>
      </c>
      <c r="C6670" s="159">
        <v>75</v>
      </c>
      <c r="D6670" s="159">
        <v>30</v>
      </c>
      <c r="E6670" s="159">
        <v>3</v>
      </c>
      <c r="F6670" s="131"/>
      <c r="G6670" s="132"/>
      <c r="H6670" s="162" t="s">
        <v>31996</v>
      </c>
      <c r="I6670" s="158" t="s">
        <v>31997</v>
      </c>
      <c r="J6670" s="128"/>
      <c r="K6670" s="128"/>
      <c r="L6670" s="128"/>
      <c r="M6670" s="129"/>
      <c r="N6670" s="129"/>
      <c r="O6670" s="129"/>
    </row>
    <row r="6671" spans="1:15" ht="12.5">
      <c r="A6671" s="158" t="s">
        <v>31998</v>
      </c>
      <c r="B6671" s="159">
        <v>75</v>
      </c>
      <c r="C6671" s="159">
        <v>75</v>
      </c>
      <c r="D6671" s="159">
        <v>30</v>
      </c>
      <c r="E6671" s="159">
        <v>4</v>
      </c>
      <c r="F6671" s="131"/>
      <c r="G6671" s="132"/>
      <c r="H6671" s="162" t="s">
        <v>31999</v>
      </c>
      <c r="I6671" s="128"/>
      <c r="J6671" s="128"/>
      <c r="K6671" s="128"/>
      <c r="L6671" s="128"/>
      <c r="M6671" s="129"/>
      <c r="N6671" s="129"/>
      <c r="O6671" s="129"/>
    </row>
    <row r="6672" spans="1:15" ht="12.5">
      <c r="A6672" s="158" t="s">
        <v>32000</v>
      </c>
      <c r="B6672" s="159">
        <v>75</v>
      </c>
      <c r="C6672" s="159">
        <v>75</v>
      </c>
      <c r="D6672" s="159">
        <v>30</v>
      </c>
      <c r="E6672" s="159">
        <v>13</v>
      </c>
      <c r="F6672" s="131"/>
      <c r="G6672" s="132"/>
      <c r="H6672" s="162" t="s">
        <v>32001</v>
      </c>
      <c r="I6672" s="158" t="s">
        <v>32002</v>
      </c>
      <c r="J6672" s="128"/>
      <c r="K6672" s="128"/>
      <c r="L6672" s="128"/>
      <c r="M6672" s="129"/>
      <c r="N6672" s="129"/>
      <c r="O6672" s="129"/>
    </row>
    <row r="6673" spans="1:15" ht="12.5">
      <c r="A6673" s="158" t="s">
        <v>32003</v>
      </c>
      <c r="B6673" s="159">
        <v>75</v>
      </c>
      <c r="C6673" s="159">
        <v>75</v>
      </c>
      <c r="D6673" s="159">
        <v>30</v>
      </c>
      <c r="E6673" s="159">
        <v>15</v>
      </c>
      <c r="F6673" s="131"/>
      <c r="G6673" s="132"/>
      <c r="H6673" s="162" t="s">
        <v>32004</v>
      </c>
      <c r="I6673" s="128"/>
      <c r="J6673" s="128"/>
      <c r="K6673" s="128"/>
      <c r="L6673" s="128"/>
      <c r="M6673" s="129"/>
      <c r="N6673" s="129"/>
      <c r="O6673" s="129"/>
    </row>
    <row r="6674" spans="1:15" ht="12.5">
      <c r="A6674" s="158" t="s">
        <v>32005</v>
      </c>
      <c r="B6674" s="159">
        <v>75</v>
      </c>
      <c r="C6674" s="159">
        <v>75</v>
      </c>
      <c r="D6674" s="159">
        <v>30</v>
      </c>
      <c r="E6674" s="159">
        <v>20</v>
      </c>
      <c r="F6674" s="131"/>
      <c r="G6674" s="132"/>
      <c r="H6674" s="162" t="s">
        <v>32006</v>
      </c>
      <c r="I6674" s="158" t="s">
        <v>32007</v>
      </c>
      <c r="J6674" s="128"/>
      <c r="K6674" s="128"/>
      <c r="L6674" s="128"/>
      <c r="M6674" s="129"/>
      <c r="N6674" s="129"/>
      <c r="O6674" s="129"/>
    </row>
    <row r="6675" spans="1:15" ht="12.5">
      <c r="A6675" s="158" t="s">
        <v>32008</v>
      </c>
      <c r="B6675" s="159">
        <v>75</v>
      </c>
      <c r="C6675" s="159">
        <v>75</v>
      </c>
      <c r="D6675" s="159">
        <v>30</v>
      </c>
      <c r="E6675" s="159">
        <v>22</v>
      </c>
      <c r="F6675" s="131"/>
      <c r="G6675" s="132"/>
      <c r="H6675" s="162" t="s">
        <v>32009</v>
      </c>
      <c r="I6675" s="158" t="s">
        <v>32010</v>
      </c>
      <c r="J6675" s="128"/>
      <c r="K6675" s="128"/>
      <c r="L6675" s="128"/>
      <c r="M6675" s="129"/>
      <c r="N6675" s="129"/>
      <c r="O6675" s="129"/>
    </row>
    <row r="6676" spans="1:15" ht="12.5">
      <c r="A6676" s="158" t="s">
        <v>32011</v>
      </c>
      <c r="B6676" s="159">
        <v>75</v>
      </c>
      <c r="C6676" s="159">
        <v>75</v>
      </c>
      <c r="D6676" s="159">
        <v>30</v>
      </c>
      <c r="E6676" s="159">
        <v>29</v>
      </c>
      <c r="F6676" s="131"/>
      <c r="G6676" s="132"/>
      <c r="H6676" s="162" t="s">
        <v>32012</v>
      </c>
      <c r="I6676" s="158" t="s">
        <v>32013</v>
      </c>
      <c r="J6676" s="128"/>
      <c r="K6676" s="128"/>
      <c r="L6676" s="128"/>
      <c r="M6676" s="129"/>
      <c r="N6676" s="129"/>
      <c r="O6676" s="129"/>
    </row>
    <row r="6677" spans="1:15" ht="12.5">
      <c r="A6677" s="158" t="s">
        <v>32014</v>
      </c>
      <c r="B6677" s="159">
        <v>75</v>
      </c>
      <c r="C6677" s="159">
        <v>75</v>
      </c>
      <c r="D6677" s="159">
        <v>30</v>
      </c>
      <c r="E6677" s="159">
        <v>30</v>
      </c>
      <c r="F6677" s="131"/>
      <c r="G6677" s="132"/>
      <c r="H6677" s="162" t="s">
        <v>32015</v>
      </c>
      <c r="I6677" s="158" t="s">
        <v>32016</v>
      </c>
      <c r="J6677" s="128"/>
      <c r="K6677" s="128"/>
      <c r="L6677" s="128"/>
      <c r="M6677" s="129"/>
      <c r="N6677" s="129"/>
      <c r="O6677" s="129"/>
    </row>
    <row r="6678" spans="1:15" ht="12.5">
      <c r="A6678" s="158" t="s">
        <v>32017</v>
      </c>
      <c r="B6678" s="159">
        <v>75</v>
      </c>
      <c r="C6678" s="159">
        <v>75</v>
      </c>
      <c r="D6678" s="159">
        <v>30</v>
      </c>
      <c r="E6678" s="159">
        <v>31</v>
      </c>
      <c r="F6678" s="131"/>
      <c r="G6678" s="132"/>
      <c r="H6678" s="162" t="s">
        <v>32018</v>
      </c>
      <c r="I6678" s="158" t="s">
        <v>32019</v>
      </c>
      <c r="J6678" s="128"/>
      <c r="K6678" s="128"/>
      <c r="L6678" s="128"/>
      <c r="M6678" s="129"/>
      <c r="N6678" s="129"/>
      <c r="O6678" s="129"/>
    </row>
    <row r="6679" spans="1:15" ht="12.5">
      <c r="A6679" s="158" t="s">
        <v>32020</v>
      </c>
      <c r="B6679" s="159">
        <v>75</v>
      </c>
      <c r="C6679" s="159">
        <v>75</v>
      </c>
      <c r="D6679" s="159">
        <v>30</v>
      </c>
      <c r="E6679" s="159">
        <v>37</v>
      </c>
      <c r="F6679" s="131"/>
      <c r="G6679" s="132"/>
      <c r="H6679" s="162" t="s">
        <v>32021</v>
      </c>
      <c r="I6679" s="158" t="s">
        <v>32022</v>
      </c>
      <c r="J6679" s="128"/>
      <c r="K6679" s="128"/>
      <c r="L6679" s="128"/>
      <c r="M6679" s="129"/>
      <c r="N6679" s="129"/>
      <c r="O6679" s="129"/>
    </row>
    <row r="6680" spans="1:15" ht="12.5">
      <c r="A6680" s="158" t="s">
        <v>32023</v>
      </c>
      <c r="B6680" s="159">
        <v>75</v>
      </c>
      <c r="C6680" s="159">
        <v>75</v>
      </c>
      <c r="D6680" s="159">
        <v>30</v>
      </c>
      <c r="E6680" s="159">
        <v>41</v>
      </c>
      <c r="F6680" s="131"/>
      <c r="G6680" s="132"/>
      <c r="H6680" s="162" t="s">
        <v>32024</v>
      </c>
      <c r="I6680" s="128"/>
      <c r="J6680" s="128"/>
      <c r="K6680" s="128"/>
      <c r="L6680" s="128"/>
      <c r="M6680" s="129"/>
      <c r="N6680" s="129"/>
      <c r="O6680" s="129"/>
    </row>
    <row r="6681" spans="1:15" ht="12.5">
      <c r="A6681" s="158" t="s">
        <v>32025</v>
      </c>
      <c r="B6681" s="159">
        <v>75</v>
      </c>
      <c r="C6681" s="159">
        <v>75</v>
      </c>
      <c r="D6681" s="159">
        <v>30</v>
      </c>
      <c r="E6681" s="159">
        <v>50</v>
      </c>
      <c r="F6681" s="131"/>
      <c r="G6681" s="132"/>
      <c r="H6681" s="162" t="s">
        <v>32026</v>
      </c>
      <c r="I6681" s="158" t="s">
        <v>32027</v>
      </c>
      <c r="J6681" s="128"/>
      <c r="K6681" s="128"/>
      <c r="L6681" s="128"/>
      <c r="M6681" s="129"/>
      <c r="N6681" s="129"/>
      <c r="O6681" s="129"/>
    </row>
    <row r="6682" spans="1:15" ht="12.5">
      <c r="A6682" s="158" t="s">
        <v>32028</v>
      </c>
      <c r="B6682" s="159">
        <v>75</v>
      </c>
      <c r="C6682" s="159">
        <v>75</v>
      </c>
      <c r="D6682" s="159">
        <v>30</v>
      </c>
      <c r="E6682" s="159">
        <v>52</v>
      </c>
      <c r="F6682" s="131"/>
      <c r="G6682" s="132"/>
      <c r="H6682" s="162" t="s">
        <v>32029</v>
      </c>
      <c r="I6682" s="158" t="s">
        <v>32030</v>
      </c>
      <c r="J6682" s="128"/>
      <c r="K6682" s="128"/>
      <c r="L6682" s="128"/>
      <c r="M6682" s="129"/>
      <c r="N6682" s="129"/>
      <c r="O6682" s="129"/>
    </row>
    <row r="6683" spans="1:15" ht="12.5">
      <c r="A6683" s="158" t="s">
        <v>32031</v>
      </c>
      <c r="B6683" s="159">
        <v>75</v>
      </c>
      <c r="C6683" s="159">
        <v>75</v>
      </c>
      <c r="D6683" s="159">
        <v>30</v>
      </c>
      <c r="E6683" s="159">
        <v>55</v>
      </c>
      <c r="F6683" s="131"/>
      <c r="G6683" s="132"/>
      <c r="H6683" s="162" t="s">
        <v>32032</v>
      </c>
      <c r="I6683" s="128"/>
      <c r="J6683" s="128"/>
      <c r="K6683" s="128"/>
      <c r="L6683" s="128"/>
      <c r="M6683" s="129"/>
      <c r="N6683" s="129"/>
      <c r="O6683" s="129"/>
    </row>
    <row r="6684" spans="1:15" ht="12.5">
      <c r="A6684" s="158" t="s">
        <v>32033</v>
      </c>
      <c r="B6684" s="159">
        <v>75</v>
      </c>
      <c r="C6684" s="159">
        <v>75</v>
      </c>
      <c r="D6684" s="159">
        <v>30</v>
      </c>
      <c r="E6684" s="159">
        <v>59</v>
      </c>
      <c r="F6684" s="131"/>
      <c r="G6684" s="132"/>
      <c r="H6684" s="162" t="s">
        <v>32034</v>
      </c>
      <c r="I6684" s="158" t="s">
        <v>32035</v>
      </c>
      <c r="J6684" s="128"/>
      <c r="K6684" s="128"/>
      <c r="L6684" s="128"/>
      <c r="M6684" s="129"/>
      <c r="N6684" s="129"/>
      <c r="O6684" s="129"/>
    </row>
    <row r="6685" spans="1:15" ht="12.5">
      <c r="A6685" s="158" t="s">
        <v>32036</v>
      </c>
      <c r="B6685" s="159">
        <v>75</v>
      </c>
      <c r="C6685" s="159">
        <v>75</v>
      </c>
      <c r="D6685" s="159">
        <v>30</v>
      </c>
      <c r="E6685" s="159">
        <v>63</v>
      </c>
      <c r="F6685" s="131"/>
      <c r="G6685" s="132"/>
      <c r="H6685" s="162" t="s">
        <v>32037</v>
      </c>
      <c r="I6685" s="158" t="s">
        <v>32038</v>
      </c>
      <c r="J6685" s="128"/>
      <c r="K6685" s="128"/>
      <c r="L6685" s="128"/>
      <c r="M6685" s="129"/>
      <c r="N6685" s="129"/>
      <c r="O6685" s="129"/>
    </row>
    <row r="6686" spans="1:15" ht="12.5">
      <c r="A6686" s="158" t="s">
        <v>32039</v>
      </c>
      <c r="B6686" s="159">
        <v>75</v>
      </c>
      <c r="C6686" s="159">
        <v>75</v>
      </c>
      <c r="D6686" s="159">
        <v>30</v>
      </c>
      <c r="E6686" s="159">
        <v>64</v>
      </c>
      <c r="F6686" s="131"/>
      <c r="G6686" s="132"/>
      <c r="H6686" s="162" t="s">
        <v>32040</v>
      </c>
      <c r="I6686" s="158" t="s">
        <v>32041</v>
      </c>
      <c r="J6686" s="128"/>
      <c r="K6686" s="128"/>
      <c r="L6686" s="128"/>
      <c r="M6686" s="129"/>
      <c r="N6686" s="129"/>
      <c r="O6686" s="129"/>
    </row>
    <row r="6687" spans="1:15" ht="12.5">
      <c r="A6687" s="158" t="s">
        <v>32042</v>
      </c>
      <c r="B6687" s="159">
        <v>75</v>
      </c>
      <c r="C6687" s="159">
        <v>75</v>
      </c>
      <c r="D6687" s="159">
        <v>30</v>
      </c>
      <c r="E6687" s="159">
        <v>65</v>
      </c>
      <c r="F6687" s="131"/>
      <c r="G6687" s="132"/>
      <c r="H6687" s="162" t="s">
        <v>32043</v>
      </c>
      <c r="I6687" s="158" t="s">
        <v>32044</v>
      </c>
      <c r="J6687" s="128"/>
      <c r="K6687" s="128"/>
      <c r="L6687" s="128"/>
      <c r="M6687" s="129"/>
      <c r="N6687" s="129"/>
      <c r="O6687" s="129"/>
    </row>
    <row r="6688" spans="1:15" ht="12.5">
      <c r="A6688" s="158" t="s">
        <v>32045</v>
      </c>
      <c r="B6688" s="159">
        <v>75</v>
      </c>
      <c r="C6688" s="159">
        <v>75</v>
      </c>
      <c r="D6688" s="159">
        <v>30</v>
      </c>
      <c r="E6688" s="159">
        <v>70</v>
      </c>
      <c r="F6688" s="131"/>
      <c r="G6688" s="132"/>
      <c r="H6688" s="162" t="s">
        <v>32046</v>
      </c>
      <c r="I6688" s="158" t="s">
        <v>32047</v>
      </c>
      <c r="J6688" s="128"/>
      <c r="K6688" s="128"/>
      <c r="L6688" s="128"/>
      <c r="M6688" s="129"/>
      <c r="N6688" s="129"/>
      <c r="O6688" s="129"/>
    </row>
    <row r="6689" spans="1:15" ht="12.5">
      <c r="A6689" s="158" t="s">
        <v>32048</v>
      </c>
      <c r="B6689" s="159">
        <v>75</v>
      </c>
      <c r="C6689" s="159">
        <v>75</v>
      </c>
      <c r="D6689" s="159">
        <v>30</v>
      </c>
      <c r="E6689" s="159">
        <v>71</v>
      </c>
      <c r="F6689" s="131"/>
      <c r="G6689" s="132"/>
      <c r="H6689" s="162" t="s">
        <v>32049</v>
      </c>
      <c r="I6689" s="158" t="s">
        <v>32050</v>
      </c>
      <c r="J6689" s="128"/>
      <c r="K6689" s="128"/>
      <c r="L6689" s="128"/>
      <c r="M6689" s="129"/>
      <c r="N6689" s="129"/>
      <c r="O6689" s="129"/>
    </row>
    <row r="6690" spans="1:15" ht="12.5">
      <c r="A6690" s="158" t="s">
        <v>32051</v>
      </c>
      <c r="B6690" s="159">
        <v>75</v>
      </c>
      <c r="C6690" s="159">
        <v>75</v>
      </c>
      <c r="D6690" s="159">
        <v>30</v>
      </c>
      <c r="E6690" s="159">
        <v>77</v>
      </c>
      <c r="F6690" s="131"/>
      <c r="G6690" s="132"/>
      <c r="H6690" s="162" t="s">
        <v>32052</v>
      </c>
      <c r="I6690" s="158" t="s">
        <v>32053</v>
      </c>
      <c r="J6690" s="128"/>
      <c r="K6690" s="128"/>
      <c r="L6690" s="128"/>
      <c r="M6690" s="129"/>
      <c r="N6690" s="129"/>
      <c r="O6690" s="129"/>
    </row>
    <row r="6691" spans="1:15" ht="12.5">
      <c r="A6691" s="158" t="s">
        <v>32054</v>
      </c>
      <c r="B6691" s="159">
        <v>75</v>
      </c>
      <c r="C6691" s="159">
        <v>75</v>
      </c>
      <c r="D6691" s="159">
        <v>30</v>
      </c>
      <c r="E6691" s="159">
        <v>80</v>
      </c>
      <c r="F6691" s="131"/>
      <c r="G6691" s="132"/>
      <c r="H6691" s="162" t="s">
        <v>32055</v>
      </c>
      <c r="I6691" s="158" t="s">
        <v>32056</v>
      </c>
      <c r="J6691" s="128"/>
      <c r="K6691" s="128"/>
      <c r="L6691" s="128"/>
      <c r="M6691" s="129"/>
      <c r="N6691" s="129"/>
      <c r="O6691" s="129"/>
    </row>
    <row r="6692" spans="1:15" ht="12.5">
      <c r="A6692" s="158" t="s">
        <v>32057</v>
      </c>
      <c r="B6692" s="159">
        <v>75</v>
      </c>
      <c r="C6692" s="159">
        <v>75</v>
      </c>
      <c r="D6692" s="159">
        <v>30</v>
      </c>
      <c r="E6692" s="159">
        <v>81</v>
      </c>
      <c r="F6692" s="131"/>
      <c r="G6692" s="132"/>
      <c r="H6692" s="162" t="s">
        <v>32058</v>
      </c>
      <c r="I6692" s="158" t="s">
        <v>32059</v>
      </c>
      <c r="J6692" s="128"/>
      <c r="K6692" s="128"/>
      <c r="L6692" s="128"/>
      <c r="M6692" s="129"/>
      <c r="N6692" s="129"/>
      <c r="O6692" s="129"/>
    </row>
    <row r="6693" spans="1:15" ht="12.5">
      <c r="A6693" s="158" t="s">
        <v>32060</v>
      </c>
      <c r="B6693" s="159">
        <v>75</v>
      </c>
      <c r="C6693" s="159">
        <v>75</v>
      </c>
      <c r="D6693" s="159">
        <v>30</v>
      </c>
      <c r="E6693" s="159">
        <v>82</v>
      </c>
      <c r="F6693" s="131"/>
      <c r="G6693" s="132"/>
      <c r="H6693" s="162" t="s">
        <v>32061</v>
      </c>
      <c r="I6693" s="158" t="s">
        <v>32062</v>
      </c>
      <c r="J6693" s="128"/>
      <c r="K6693" s="128"/>
      <c r="L6693" s="128"/>
      <c r="M6693" s="129"/>
      <c r="N6693" s="129"/>
      <c r="O6693" s="129"/>
    </row>
    <row r="6694" spans="1:15" ht="12.5">
      <c r="A6694" s="158" t="s">
        <v>32063</v>
      </c>
      <c r="B6694" s="159">
        <v>75</v>
      </c>
      <c r="C6694" s="159">
        <v>75</v>
      </c>
      <c r="D6694" s="159">
        <v>30</v>
      </c>
      <c r="E6694" s="159">
        <v>94</v>
      </c>
      <c r="F6694" s="131"/>
      <c r="G6694" s="132"/>
      <c r="H6694" s="162" t="s">
        <v>32064</v>
      </c>
      <c r="I6694" s="158" t="s">
        <v>32065</v>
      </c>
      <c r="J6694" s="128"/>
      <c r="K6694" s="128"/>
      <c r="L6694" s="128"/>
      <c r="M6694" s="129"/>
      <c r="N6694" s="129"/>
      <c r="O6694" s="129"/>
    </row>
    <row r="6695" spans="1:15" ht="12.5">
      <c r="A6695" s="158" t="s">
        <v>32066</v>
      </c>
      <c r="B6695" s="159">
        <v>75</v>
      </c>
      <c r="C6695" s="159">
        <v>75</v>
      </c>
      <c r="D6695" s="159">
        <v>30</v>
      </c>
      <c r="E6695" s="159">
        <v>95</v>
      </c>
      <c r="F6695" s="131"/>
      <c r="G6695" s="132"/>
      <c r="H6695" s="162" t="s">
        <v>32067</v>
      </c>
      <c r="I6695" s="158" t="s">
        <v>32068</v>
      </c>
      <c r="J6695" s="128"/>
      <c r="K6695" s="128"/>
      <c r="L6695" s="128"/>
      <c r="M6695" s="129"/>
      <c r="N6695" s="129"/>
      <c r="O6695" s="129"/>
    </row>
    <row r="6696" spans="1:15" ht="12.5">
      <c r="A6696" s="158" t="s">
        <v>32069</v>
      </c>
      <c r="B6696" s="159">
        <v>75</v>
      </c>
      <c r="C6696" s="159">
        <v>75</v>
      </c>
      <c r="D6696" s="159">
        <v>30</v>
      </c>
      <c r="E6696" s="159">
        <v>96</v>
      </c>
      <c r="F6696" s="131"/>
      <c r="G6696" s="132"/>
      <c r="H6696" s="162" t="s">
        <v>32070</v>
      </c>
      <c r="I6696" s="158" t="s">
        <v>32071</v>
      </c>
      <c r="J6696" s="128"/>
      <c r="K6696" s="128"/>
      <c r="L6696" s="128"/>
      <c r="M6696" s="129"/>
      <c r="N6696" s="129"/>
      <c r="O6696" s="129"/>
    </row>
    <row r="6697" spans="1:15" ht="12.5">
      <c r="A6697" s="158" t="s">
        <v>32072</v>
      </c>
      <c r="B6697" s="159">
        <v>75</v>
      </c>
      <c r="C6697" s="159">
        <v>75</v>
      </c>
      <c r="D6697" s="159">
        <v>30</v>
      </c>
      <c r="E6697" s="159">
        <v>97</v>
      </c>
      <c r="F6697" s="131"/>
      <c r="G6697" s="132"/>
      <c r="H6697" s="162" t="s">
        <v>32073</v>
      </c>
      <c r="I6697" s="158" t="s">
        <v>32074</v>
      </c>
      <c r="J6697" s="128"/>
      <c r="K6697" s="128"/>
      <c r="L6697" s="128"/>
      <c r="M6697" s="129"/>
      <c r="N6697" s="129"/>
      <c r="O6697" s="129"/>
    </row>
    <row r="6698" spans="1:15" ht="12.5">
      <c r="A6698" s="158" t="s">
        <v>32075</v>
      </c>
      <c r="B6698" s="159">
        <v>75</v>
      </c>
      <c r="C6698" s="159">
        <v>75</v>
      </c>
      <c r="D6698" s="159">
        <v>30</v>
      </c>
      <c r="E6698" s="159">
        <v>98</v>
      </c>
      <c r="F6698" s="131"/>
      <c r="G6698" s="132"/>
      <c r="H6698" s="162" t="s">
        <v>32076</v>
      </c>
      <c r="I6698" s="128"/>
      <c r="J6698" s="128"/>
      <c r="K6698" s="128"/>
      <c r="L6698" s="128"/>
      <c r="M6698" s="129"/>
      <c r="N6698" s="129"/>
      <c r="O6698" s="129"/>
    </row>
    <row r="6699" spans="1:15" ht="12.5">
      <c r="A6699" s="158" t="s">
        <v>32077</v>
      </c>
      <c r="B6699" s="159">
        <v>75</v>
      </c>
      <c r="C6699" s="159">
        <v>75</v>
      </c>
      <c r="D6699" s="159">
        <v>32</v>
      </c>
      <c r="E6699" s="130"/>
      <c r="F6699" s="131"/>
      <c r="G6699" s="132"/>
      <c r="H6699" s="162" t="s">
        <v>32078</v>
      </c>
      <c r="I6699" s="128"/>
      <c r="J6699" s="128"/>
      <c r="K6699" s="128"/>
      <c r="L6699" s="128"/>
      <c r="M6699" s="129"/>
      <c r="N6699" s="129"/>
      <c r="O6699" s="129"/>
    </row>
    <row r="6700" spans="1:15" ht="12.5">
      <c r="A6700" s="158" t="s">
        <v>32079</v>
      </c>
      <c r="B6700" s="159">
        <v>75</v>
      </c>
      <c r="C6700" s="159">
        <v>75</v>
      </c>
      <c r="D6700" s="159">
        <v>32</v>
      </c>
      <c r="E6700" s="159">
        <v>27</v>
      </c>
      <c r="F6700" s="131"/>
      <c r="G6700" s="132"/>
      <c r="H6700" s="162" t="s">
        <v>32080</v>
      </c>
      <c r="I6700" s="158" t="s">
        <v>32081</v>
      </c>
      <c r="J6700" s="128"/>
      <c r="K6700" s="128"/>
      <c r="L6700" s="128"/>
      <c r="M6700" s="129"/>
      <c r="N6700" s="129"/>
      <c r="O6700" s="129"/>
    </row>
    <row r="6701" spans="1:15" ht="12.5">
      <c r="A6701" s="158" t="s">
        <v>32082</v>
      </c>
      <c r="B6701" s="159">
        <v>75</v>
      </c>
      <c r="C6701" s="159">
        <v>75</v>
      </c>
      <c r="D6701" s="159">
        <v>32</v>
      </c>
      <c r="E6701" s="159">
        <v>39</v>
      </c>
      <c r="F6701" s="131"/>
      <c r="G6701" s="132"/>
      <c r="H6701" s="162" t="s">
        <v>32083</v>
      </c>
      <c r="I6701" s="158" t="s">
        <v>32084</v>
      </c>
      <c r="J6701" s="128"/>
      <c r="K6701" s="128"/>
      <c r="L6701" s="128"/>
      <c r="M6701" s="129"/>
      <c r="N6701" s="129"/>
      <c r="O6701" s="129"/>
    </row>
    <row r="6702" spans="1:15" ht="12.5">
      <c r="A6702" s="158" t="s">
        <v>32085</v>
      </c>
      <c r="B6702" s="159">
        <v>75</v>
      </c>
      <c r="C6702" s="159">
        <v>75</v>
      </c>
      <c r="D6702" s="159">
        <v>32</v>
      </c>
      <c r="E6702" s="159">
        <v>70</v>
      </c>
      <c r="F6702" s="131"/>
      <c r="G6702" s="132"/>
      <c r="H6702" s="162" t="s">
        <v>32086</v>
      </c>
      <c r="I6702" s="158" t="s">
        <v>32087</v>
      </c>
      <c r="J6702" s="128"/>
      <c r="K6702" s="128"/>
      <c r="L6702" s="128"/>
      <c r="M6702" s="129"/>
      <c r="N6702" s="129"/>
      <c r="O6702" s="129"/>
    </row>
    <row r="6703" spans="1:15" ht="12.5">
      <c r="A6703" s="158" t="s">
        <v>32088</v>
      </c>
      <c r="B6703" s="159">
        <v>75</v>
      </c>
      <c r="C6703" s="159">
        <v>75</v>
      </c>
      <c r="D6703" s="159">
        <v>42</v>
      </c>
      <c r="E6703" s="130"/>
      <c r="F6703" s="131"/>
      <c r="G6703" s="132"/>
      <c r="H6703" s="162" t="s">
        <v>32089</v>
      </c>
      <c r="I6703" s="128"/>
      <c r="J6703" s="128"/>
      <c r="K6703" s="128"/>
      <c r="L6703" s="128"/>
      <c r="M6703" s="129"/>
      <c r="N6703" s="129"/>
      <c r="O6703" s="129"/>
    </row>
    <row r="6704" spans="1:15" ht="12.5">
      <c r="A6704" s="158" t="s">
        <v>32090</v>
      </c>
      <c r="B6704" s="159">
        <v>75</v>
      </c>
      <c r="C6704" s="159">
        <v>75</v>
      </c>
      <c r="D6704" s="159">
        <v>42</v>
      </c>
      <c r="E6704" s="159">
        <v>2</v>
      </c>
      <c r="F6704" s="131"/>
      <c r="G6704" s="132"/>
      <c r="H6704" s="162" t="s">
        <v>32091</v>
      </c>
      <c r="I6704" s="158" t="s">
        <v>32092</v>
      </c>
      <c r="J6704" s="128"/>
      <c r="K6704" s="128"/>
      <c r="L6704" s="128"/>
      <c r="M6704" s="129"/>
      <c r="N6704" s="129"/>
      <c r="O6704" s="129"/>
    </row>
    <row r="6705" spans="1:15" ht="12.5">
      <c r="A6705" s="158" t="s">
        <v>32093</v>
      </c>
      <c r="B6705" s="159">
        <v>75</v>
      </c>
      <c r="C6705" s="159">
        <v>75</v>
      </c>
      <c r="D6705" s="159">
        <v>42</v>
      </c>
      <c r="E6705" s="159">
        <v>8</v>
      </c>
      <c r="F6705" s="131"/>
      <c r="G6705" s="132"/>
      <c r="H6705" s="162" t="s">
        <v>32094</v>
      </c>
      <c r="I6705" s="158" t="s">
        <v>32095</v>
      </c>
      <c r="J6705" s="128"/>
      <c r="K6705" s="128"/>
      <c r="L6705" s="128"/>
      <c r="M6705" s="129"/>
      <c r="N6705" s="129"/>
      <c r="O6705" s="129"/>
    </row>
    <row r="6706" spans="1:15" ht="12.5">
      <c r="A6706" s="158" t="s">
        <v>32096</v>
      </c>
      <c r="B6706" s="159">
        <v>75</v>
      </c>
      <c r="C6706" s="159">
        <v>75</v>
      </c>
      <c r="D6706" s="159">
        <v>42</v>
      </c>
      <c r="E6706" s="159">
        <v>11</v>
      </c>
      <c r="F6706" s="131"/>
      <c r="G6706" s="132"/>
      <c r="H6706" s="162" t="s">
        <v>32097</v>
      </c>
      <c r="I6706" s="158" t="s">
        <v>32098</v>
      </c>
      <c r="J6706" s="128"/>
      <c r="K6706" s="128"/>
      <c r="L6706" s="128"/>
      <c r="M6706" s="129"/>
      <c r="N6706" s="129"/>
      <c r="O6706" s="129"/>
    </row>
    <row r="6707" spans="1:15" ht="12.5">
      <c r="A6707" s="158" t="s">
        <v>32099</v>
      </c>
      <c r="B6707" s="159">
        <v>75</v>
      </c>
      <c r="C6707" s="159">
        <v>75</v>
      </c>
      <c r="D6707" s="159">
        <v>42</v>
      </c>
      <c r="E6707" s="159">
        <v>16</v>
      </c>
      <c r="F6707" s="131"/>
      <c r="G6707" s="132"/>
      <c r="H6707" s="162" t="s">
        <v>32100</v>
      </c>
      <c r="I6707" s="158" t="s">
        <v>32101</v>
      </c>
      <c r="J6707" s="128"/>
      <c r="K6707" s="128"/>
      <c r="L6707" s="128"/>
      <c r="M6707" s="129"/>
      <c r="N6707" s="129"/>
      <c r="O6707" s="129"/>
    </row>
    <row r="6708" spans="1:15" ht="12.5">
      <c r="A6708" s="158" t="s">
        <v>32102</v>
      </c>
      <c r="B6708" s="159">
        <v>75</v>
      </c>
      <c r="C6708" s="159">
        <v>75</v>
      </c>
      <c r="D6708" s="159">
        <v>42</v>
      </c>
      <c r="E6708" s="159">
        <v>17</v>
      </c>
      <c r="F6708" s="131"/>
      <c r="G6708" s="132"/>
      <c r="H6708" s="162" t="s">
        <v>32103</v>
      </c>
      <c r="I6708" s="158" t="s">
        <v>32104</v>
      </c>
      <c r="J6708" s="128"/>
      <c r="K6708" s="128"/>
      <c r="L6708" s="128"/>
      <c r="M6708" s="129"/>
      <c r="N6708" s="129"/>
      <c r="O6708" s="129"/>
    </row>
    <row r="6709" spans="1:15" ht="12.5">
      <c r="A6709" s="158" t="s">
        <v>32105</v>
      </c>
      <c r="B6709" s="159">
        <v>75</v>
      </c>
      <c r="C6709" s="159">
        <v>75</v>
      </c>
      <c r="D6709" s="159">
        <v>42</v>
      </c>
      <c r="E6709" s="159">
        <v>22</v>
      </c>
      <c r="F6709" s="131"/>
      <c r="G6709" s="132"/>
      <c r="H6709" s="162" t="s">
        <v>32106</v>
      </c>
      <c r="I6709" s="158" t="s">
        <v>32107</v>
      </c>
      <c r="J6709" s="128"/>
      <c r="K6709" s="128"/>
      <c r="L6709" s="128"/>
      <c r="M6709" s="129"/>
      <c r="N6709" s="129"/>
      <c r="O6709" s="129"/>
    </row>
    <row r="6710" spans="1:15" ht="12.5">
      <c r="A6710" s="158" t="s">
        <v>32108</v>
      </c>
      <c r="B6710" s="159">
        <v>75</v>
      </c>
      <c r="C6710" s="159">
        <v>75</v>
      </c>
      <c r="D6710" s="159">
        <v>42</v>
      </c>
      <c r="E6710" s="159">
        <v>24</v>
      </c>
      <c r="F6710" s="131"/>
      <c r="G6710" s="132"/>
      <c r="H6710" s="162" t="s">
        <v>32109</v>
      </c>
      <c r="I6710" s="158" t="s">
        <v>32110</v>
      </c>
      <c r="J6710" s="128"/>
      <c r="K6710" s="128"/>
      <c r="L6710" s="128"/>
      <c r="M6710" s="129"/>
      <c r="N6710" s="129"/>
      <c r="O6710" s="129"/>
    </row>
    <row r="6711" spans="1:15" ht="12.5">
      <c r="A6711" s="158" t="s">
        <v>32111</v>
      </c>
      <c r="B6711" s="159">
        <v>75</v>
      </c>
      <c r="C6711" s="159">
        <v>75</v>
      </c>
      <c r="D6711" s="159">
        <v>42</v>
      </c>
      <c r="E6711" s="159">
        <v>28</v>
      </c>
      <c r="F6711" s="131"/>
      <c r="G6711" s="132"/>
      <c r="H6711" s="162" t="s">
        <v>32112</v>
      </c>
      <c r="I6711" s="158" t="s">
        <v>32113</v>
      </c>
      <c r="J6711" s="128"/>
      <c r="K6711" s="128"/>
      <c r="L6711" s="128"/>
      <c r="M6711" s="129"/>
      <c r="N6711" s="129"/>
      <c r="O6711" s="129"/>
    </row>
    <row r="6712" spans="1:15" ht="12.5">
      <c r="A6712" s="158" t="s">
        <v>32114</v>
      </c>
      <c r="B6712" s="159">
        <v>75</v>
      </c>
      <c r="C6712" s="159">
        <v>75</v>
      </c>
      <c r="D6712" s="159">
        <v>42</v>
      </c>
      <c r="E6712" s="159">
        <v>40</v>
      </c>
      <c r="F6712" s="131"/>
      <c r="G6712" s="132"/>
      <c r="H6712" s="162" t="s">
        <v>32115</v>
      </c>
      <c r="I6712" s="158" t="s">
        <v>32116</v>
      </c>
      <c r="J6712" s="128"/>
      <c r="K6712" s="128"/>
      <c r="L6712" s="128"/>
      <c r="M6712" s="129"/>
      <c r="N6712" s="129"/>
      <c r="O6712" s="129"/>
    </row>
    <row r="6713" spans="1:15" ht="12.5">
      <c r="A6713" s="158" t="s">
        <v>32117</v>
      </c>
      <c r="B6713" s="159">
        <v>75</v>
      </c>
      <c r="C6713" s="159">
        <v>75</v>
      </c>
      <c r="D6713" s="159">
        <v>42</v>
      </c>
      <c r="E6713" s="159">
        <v>41</v>
      </c>
      <c r="F6713" s="131"/>
      <c r="G6713" s="132"/>
      <c r="H6713" s="162" t="s">
        <v>32118</v>
      </c>
      <c r="I6713" s="158" t="s">
        <v>32119</v>
      </c>
      <c r="J6713" s="128"/>
      <c r="K6713" s="128"/>
      <c r="L6713" s="128"/>
      <c r="M6713" s="129"/>
      <c r="N6713" s="129"/>
      <c r="O6713" s="129"/>
    </row>
    <row r="6714" spans="1:15" ht="12.5">
      <c r="A6714" s="158" t="s">
        <v>32120</v>
      </c>
      <c r="B6714" s="159">
        <v>75</v>
      </c>
      <c r="C6714" s="159">
        <v>75</v>
      </c>
      <c r="D6714" s="159">
        <v>42</v>
      </c>
      <c r="E6714" s="159">
        <v>42</v>
      </c>
      <c r="F6714" s="131"/>
      <c r="G6714" s="132"/>
      <c r="H6714" s="162" t="s">
        <v>32121</v>
      </c>
      <c r="I6714" s="158" t="s">
        <v>32122</v>
      </c>
      <c r="J6714" s="128"/>
      <c r="K6714" s="128"/>
      <c r="L6714" s="128"/>
      <c r="M6714" s="129"/>
      <c r="N6714" s="129"/>
      <c r="O6714" s="129"/>
    </row>
    <row r="6715" spans="1:15" ht="12.5">
      <c r="A6715" s="158" t="s">
        <v>32123</v>
      </c>
      <c r="B6715" s="159">
        <v>75</v>
      </c>
      <c r="C6715" s="159">
        <v>75</v>
      </c>
      <c r="D6715" s="159">
        <v>42</v>
      </c>
      <c r="E6715" s="159">
        <v>52</v>
      </c>
      <c r="F6715" s="131"/>
      <c r="G6715" s="132"/>
      <c r="H6715" s="162" t="s">
        <v>32124</v>
      </c>
      <c r="I6715" s="158" t="s">
        <v>32125</v>
      </c>
      <c r="J6715" s="128"/>
      <c r="K6715" s="128"/>
      <c r="L6715" s="128"/>
      <c r="M6715" s="129"/>
      <c r="N6715" s="129"/>
      <c r="O6715" s="129"/>
    </row>
    <row r="6716" spans="1:15" ht="12.5">
      <c r="A6716" s="158" t="s">
        <v>32126</v>
      </c>
      <c r="B6716" s="159">
        <v>75</v>
      </c>
      <c r="C6716" s="159">
        <v>75</v>
      </c>
      <c r="D6716" s="159">
        <v>42</v>
      </c>
      <c r="E6716" s="159">
        <v>60</v>
      </c>
      <c r="F6716" s="131"/>
      <c r="G6716" s="132"/>
      <c r="H6716" s="162" t="s">
        <v>32127</v>
      </c>
      <c r="I6716" s="158" t="s">
        <v>32128</v>
      </c>
      <c r="J6716" s="128"/>
      <c r="K6716" s="128"/>
      <c r="L6716" s="128"/>
      <c r="M6716" s="129"/>
      <c r="N6716" s="129"/>
      <c r="O6716" s="129"/>
    </row>
    <row r="6717" spans="1:15" ht="12.5">
      <c r="A6717" s="158" t="s">
        <v>32129</v>
      </c>
      <c r="B6717" s="159">
        <v>75</v>
      </c>
      <c r="C6717" s="159">
        <v>75</v>
      </c>
      <c r="D6717" s="159">
        <v>42</v>
      </c>
      <c r="E6717" s="159">
        <v>67</v>
      </c>
      <c r="F6717" s="131"/>
      <c r="G6717" s="132"/>
      <c r="H6717" s="162" t="s">
        <v>32130</v>
      </c>
      <c r="I6717" s="158" t="s">
        <v>32131</v>
      </c>
      <c r="J6717" s="128"/>
      <c r="K6717" s="128"/>
      <c r="L6717" s="128"/>
      <c r="M6717" s="129"/>
      <c r="N6717" s="129"/>
      <c r="O6717" s="129"/>
    </row>
    <row r="6718" spans="1:15" ht="12.5">
      <c r="A6718" s="158" t="s">
        <v>32134</v>
      </c>
      <c r="B6718" s="159">
        <v>75</v>
      </c>
      <c r="C6718" s="159">
        <v>75</v>
      </c>
      <c r="D6718" s="159">
        <v>42</v>
      </c>
      <c r="E6718" s="159">
        <v>92</v>
      </c>
      <c r="F6718" s="131"/>
      <c r="G6718" s="132"/>
      <c r="H6718" s="162" t="s">
        <v>32135</v>
      </c>
      <c r="I6718" s="158" t="s">
        <v>32136</v>
      </c>
      <c r="J6718" s="128"/>
      <c r="K6718" s="128"/>
      <c r="L6718" s="128"/>
      <c r="M6718" s="129"/>
      <c r="N6718" s="129"/>
      <c r="O6718" s="129"/>
    </row>
    <row r="6719" spans="1:15" ht="12.5">
      <c r="A6719" s="158" t="s">
        <v>32137</v>
      </c>
      <c r="B6719" s="159">
        <v>75</v>
      </c>
      <c r="C6719" s="159">
        <v>75</v>
      </c>
      <c r="D6719" s="159">
        <v>42</v>
      </c>
      <c r="E6719" s="159">
        <v>94</v>
      </c>
      <c r="F6719" s="131"/>
      <c r="G6719" s="132"/>
      <c r="H6719" s="162" t="s">
        <v>32138</v>
      </c>
      <c r="I6719" s="158" t="s">
        <v>32139</v>
      </c>
      <c r="J6719" s="128"/>
      <c r="K6719" s="128"/>
      <c r="L6719" s="128"/>
      <c r="M6719" s="129"/>
      <c r="N6719" s="129"/>
      <c r="O6719" s="129"/>
    </row>
    <row r="6720" spans="1:15" ht="12.5">
      <c r="A6720" s="158" t="s">
        <v>32140</v>
      </c>
      <c r="B6720" s="159">
        <v>75</v>
      </c>
      <c r="C6720" s="159">
        <v>75</v>
      </c>
      <c r="D6720" s="159">
        <v>42</v>
      </c>
      <c r="E6720" s="159">
        <v>95</v>
      </c>
      <c r="F6720" s="131"/>
      <c r="G6720" s="132"/>
      <c r="H6720" s="162" t="s">
        <v>32141</v>
      </c>
      <c r="I6720" s="158" t="s">
        <v>32142</v>
      </c>
      <c r="J6720" s="128"/>
      <c r="K6720" s="128"/>
      <c r="L6720" s="128"/>
      <c r="M6720" s="129"/>
      <c r="N6720" s="129"/>
      <c r="O6720" s="129"/>
    </row>
    <row r="6721" spans="1:15" ht="12.5">
      <c r="A6721" s="158" t="s">
        <v>32143</v>
      </c>
      <c r="B6721" s="159">
        <v>75</v>
      </c>
      <c r="C6721" s="159">
        <v>75</v>
      </c>
      <c r="D6721" s="159">
        <v>42</v>
      </c>
      <c r="E6721" s="159">
        <v>96</v>
      </c>
      <c r="F6721" s="131"/>
      <c r="G6721" s="132"/>
      <c r="H6721" s="162" t="s">
        <v>32144</v>
      </c>
      <c r="I6721" s="158" t="s">
        <v>32145</v>
      </c>
      <c r="J6721" s="128"/>
      <c r="K6721" s="128"/>
      <c r="L6721" s="128"/>
      <c r="M6721" s="129"/>
      <c r="N6721" s="129"/>
      <c r="O6721" s="129"/>
    </row>
    <row r="6722" spans="1:15" ht="12.5">
      <c r="A6722" s="158" t="s">
        <v>32146</v>
      </c>
      <c r="B6722" s="159">
        <v>75</v>
      </c>
      <c r="C6722" s="159">
        <v>75</v>
      </c>
      <c r="D6722" s="159">
        <v>47</v>
      </c>
      <c r="E6722" s="130"/>
      <c r="F6722" s="131"/>
      <c r="G6722" s="132"/>
      <c r="H6722" s="162" t="s">
        <v>32147</v>
      </c>
      <c r="I6722" s="128"/>
      <c r="J6722" s="128"/>
      <c r="K6722" s="128"/>
      <c r="L6722" s="128"/>
      <c r="M6722" s="129"/>
      <c r="N6722" s="129"/>
      <c r="O6722" s="129"/>
    </row>
    <row r="6723" spans="1:15" ht="12.5">
      <c r="A6723" s="158" t="s">
        <v>32148</v>
      </c>
      <c r="B6723" s="159">
        <v>75</v>
      </c>
      <c r="C6723" s="159">
        <v>75</v>
      </c>
      <c r="D6723" s="159">
        <v>47</v>
      </c>
      <c r="E6723" s="159">
        <v>41</v>
      </c>
      <c r="F6723" s="131"/>
      <c r="G6723" s="132"/>
      <c r="H6723" s="162" t="s">
        <v>32149</v>
      </c>
      <c r="I6723" s="158" t="s">
        <v>32150</v>
      </c>
      <c r="J6723" s="128"/>
      <c r="K6723" s="128"/>
      <c r="L6723" s="128"/>
      <c r="M6723" s="129"/>
      <c r="N6723" s="129"/>
      <c r="O6723" s="129"/>
    </row>
    <row r="6724" spans="1:15" ht="12.5">
      <c r="A6724" s="158" t="s">
        <v>32151</v>
      </c>
      <c r="B6724" s="159">
        <v>75</v>
      </c>
      <c r="C6724" s="159">
        <v>75</v>
      </c>
      <c r="D6724" s="159">
        <v>47</v>
      </c>
      <c r="E6724" s="159">
        <v>43</v>
      </c>
      <c r="F6724" s="131"/>
      <c r="G6724" s="132"/>
      <c r="H6724" s="162" t="s">
        <v>32152</v>
      </c>
      <c r="I6724" s="158" t="s">
        <v>32153</v>
      </c>
      <c r="J6724" s="128"/>
      <c r="K6724" s="128"/>
      <c r="L6724" s="128"/>
      <c r="M6724" s="129"/>
      <c r="N6724" s="129"/>
      <c r="O6724" s="129"/>
    </row>
    <row r="6725" spans="1:15" ht="12.5">
      <c r="A6725" s="158" t="s">
        <v>32154</v>
      </c>
      <c r="B6725" s="159">
        <v>75</v>
      </c>
      <c r="C6725" s="159">
        <v>75</v>
      </c>
      <c r="D6725" s="159">
        <v>47</v>
      </c>
      <c r="E6725" s="159">
        <v>46</v>
      </c>
      <c r="F6725" s="131"/>
      <c r="G6725" s="132"/>
      <c r="H6725" s="162" t="s">
        <v>32155</v>
      </c>
      <c r="I6725" s="158" t="s">
        <v>32156</v>
      </c>
      <c r="J6725" s="128"/>
      <c r="K6725" s="128"/>
      <c r="L6725" s="128"/>
      <c r="M6725" s="129"/>
      <c r="N6725" s="129"/>
      <c r="O6725" s="129"/>
    </row>
    <row r="6726" spans="1:15" ht="12.5">
      <c r="A6726" s="158" t="s">
        <v>32157</v>
      </c>
      <c r="B6726" s="159">
        <v>75</v>
      </c>
      <c r="C6726" s="159">
        <v>75</v>
      </c>
      <c r="D6726" s="159">
        <v>50</v>
      </c>
      <c r="E6726" s="130"/>
      <c r="F6726" s="131"/>
      <c r="G6726" s="132"/>
      <c r="H6726" s="162" t="s">
        <v>32158</v>
      </c>
      <c r="I6726" s="128"/>
      <c r="J6726" s="128"/>
      <c r="K6726" s="128"/>
      <c r="L6726" s="128"/>
      <c r="M6726" s="129"/>
      <c r="N6726" s="129"/>
      <c r="O6726" s="129"/>
    </row>
    <row r="6727" spans="1:15" ht="12.5">
      <c r="A6727" s="158" t="s">
        <v>32159</v>
      </c>
      <c r="B6727" s="159">
        <v>75</v>
      </c>
      <c r="C6727" s="159">
        <v>75</v>
      </c>
      <c r="D6727" s="159">
        <v>50</v>
      </c>
      <c r="E6727" s="159">
        <v>2</v>
      </c>
      <c r="F6727" s="131"/>
      <c r="G6727" s="132"/>
      <c r="H6727" s="162" t="s">
        <v>32160</v>
      </c>
      <c r="I6727" s="128"/>
      <c r="J6727" s="128"/>
      <c r="K6727" s="128"/>
      <c r="L6727" s="128"/>
      <c r="M6727" s="129"/>
      <c r="N6727" s="129"/>
      <c r="O6727" s="129"/>
    </row>
    <row r="6728" spans="1:15" ht="12.5">
      <c r="A6728" s="158" t="s">
        <v>32161</v>
      </c>
      <c r="B6728" s="159">
        <v>75</v>
      </c>
      <c r="C6728" s="159">
        <v>75</v>
      </c>
      <c r="D6728" s="159">
        <v>50</v>
      </c>
      <c r="E6728" s="159">
        <v>11</v>
      </c>
      <c r="F6728" s="131"/>
      <c r="G6728" s="132"/>
      <c r="H6728" s="162" t="s">
        <v>32162</v>
      </c>
      <c r="I6728" s="128"/>
      <c r="J6728" s="128"/>
      <c r="K6728" s="128"/>
      <c r="L6728" s="128"/>
      <c r="M6728" s="129"/>
      <c r="N6728" s="129"/>
      <c r="O6728" s="129"/>
    </row>
    <row r="6729" spans="1:15" ht="12.5">
      <c r="A6729" s="158" t="s">
        <v>32163</v>
      </c>
      <c r="B6729" s="159">
        <v>75</v>
      </c>
      <c r="C6729" s="159">
        <v>75</v>
      </c>
      <c r="D6729" s="159">
        <v>50</v>
      </c>
      <c r="E6729" s="159">
        <v>14</v>
      </c>
      <c r="F6729" s="131"/>
      <c r="G6729" s="132"/>
      <c r="H6729" s="162" t="s">
        <v>32164</v>
      </c>
      <c r="I6729" s="128"/>
      <c r="J6729" s="128"/>
      <c r="K6729" s="128"/>
      <c r="L6729" s="128"/>
      <c r="M6729" s="129"/>
      <c r="N6729" s="129"/>
      <c r="O6729" s="129"/>
    </row>
    <row r="6730" spans="1:15" ht="12.5">
      <c r="A6730" s="158" t="s">
        <v>32165</v>
      </c>
      <c r="B6730" s="159">
        <v>75</v>
      </c>
      <c r="C6730" s="159">
        <v>75</v>
      </c>
      <c r="D6730" s="159">
        <v>50</v>
      </c>
      <c r="E6730" s="159">
        <v>22</v>
      </c>
      <c r="F6730" s="131"/>
      <c r="G6730" s="132"/>
      <c r="H6730" s="162" t="s">
        <v>33592</v>
      </c>
      <c r="I6730" s="128"/>
      <c r="J6730" s="128"/>
      <c r="K6730" s="128"/>
      <c r="L6730" s="128"/>
      <c r="M6730" s="129"/>
      <c r="N6730" s="129"/>
      <c r="O6730" s="129"/>
    </row>
    <row r="6731" spans="1:15" ht="12.5">
      <c r="A6731" s="158" t="s">
        <v>32167</v>
      </c>
      <c r="B6731" s="159">
        <v>75</v>
      </c>
      <c r="C6731" s="159">
        <v>75</v>
      </c>
      <c r="D6731" s="159">
        <v>50</v>
      </c>
      <c r="E6731" s="159">
        <v>55</v>
      </c>
      <c r="F6731" s="131"/>
      <c r="G6731" s="132"/>
      <c r="H6731" s="162" t="s">
        <v>32168</v>
      </c>
      <c r="I6731" s="128"/>
      <c r="J6731" s="128"/>
      <c r="K6731" s="128"/>
      <c r="L6731" s="128"/>
      <c r="M6731" s="129"/>
      <c r="N6731" s="129"/>
      <c r="O6731" s="129"/>
    </row>
    <row r="6732" spans="1:15" ht="12.5">
      <c r="A6732" s="158" t="s">
        <v>32169</v>
      </c>
      <c r="B6732" s="159">
        <v>75</v>
      </c>
      <c r="C6732" s="159">
        <v>75</v>
      </c>
      <c r="D6732" s="159">
        <v>50</v>
      </c>
      <c r="E6732" s="159">
        <v>60</v>
      </c>
      <c r="F6732" s="131"/>
      <c r="G6732" s="132"/>
      <c r="H6732" s="162" t="s">
        <v>32170</v>
      </c>
      <c r="I6732" s="128"/>
      <c r="J6732" s="128"/>
      <c r="K6732" s="128"/>
      <c r="L6732" s="128"/>
      <c r="M6732" s="129"/>
      <c r="N6732" s="129"/>
      <c r="O6732" s="129"/>
    </row>
    <row r="6733" spans="1:15" ht="12.5">
      <c r="A6733" s="158" t="s">
        <v>32171</v>
      </c>
      <c r="B6733" s="159">
        <v>75</v>
      </c>
      <c r="C6733" s="159">
        <v>75</v>
      </c>
      <c r="D6733" s="159">
        <v>50</v>
      </c>
      <c r="E6733" s="159">
        <v>70</v>
      </c>
      <c r="F6733" s="131"/>
      <c r="G6733" s="132"/>
      <c r="H6733" s="162" t="s">
        <v>32172</v>
      </c>
      <c r="I6733" s="128"/>
      <c r="J6733" s="128"/>
      <c r="K6733" s="128"/>
      <c r="L6733" s="128"/>
      <c r="M6733" s="129"/>
      <c r="N6733" s="129"/>
      <c r="O6733" s="129"/>
    </row>
    <row r="6734" spans="1:15" ht="12.5">
      <c r="A6734" s="158" t="s">
        <v>32173</v>
      </c>
      <c r="B6734" s="159">
        <v>75</v>
      </c>
      <c r="C6734" s="159">
        <v>75</v>
      </c>
      <c r="D6734" s="159">
        <v>50</v>
      </c>
      <c r="E6734" s="159">
        <v>94</v>
      </c>
      <c r="F6734" s="131"/>
      <c r="G6734" s="132"/>
      <c r="H6734" s="162" t="s">
        <v>32174</v>
      </c>
      <c r="I6734" s="128"/>
      <c r="J6734" s="128"/>
      <c r="K6734" s="128"/>
      <c r="L6734" s="128"/>
      <c r="M6734" s="129"/>
      <c r="N6734" s="129"/>
      <c r="O6734" s="129"/>
    </row>
    <row r="6735" spans="1:15" ht="12.5">
      <c r="A6735" s="158" t="s">
        <v>32175</v>
      </c>
      <c r="B6735" s="159">
        <v>75</v>
      </c>
      <c r="C6735" s="159">
        <v>75</v>
      </c>
      <c r="D6735" s="159">
        <v>50</v>
      </c>
      <c r="E6735" s="159">
        <v>95</v>
      </c>
      <c r="F6735" s="131"/>
      <c r="G6735" s="132"/>
      <c r="H6735" s="162" t="s">
        <v>32176</v>
      </c>
      <c r="I6735" s="158" t="s">
        <v>32177</v>
      </c>
      <c r="J6735" s="128"/>
      <c r="K6735" s="128"/>
      <c r="L6735" s="128"/>
      <c r="M6735" s="129"/>
      <c r="N6735" s="129"/>
      <c r="O6735" s="129"/>
    </row>
    <row r="6736" spans="1:15" ht="12.5">
      <c r="A6736" s="158" t="s">
        <v>32178</v>
      </c>
      <c r="B6736" s="159">
        <v>75</v>
      </c>
      <c r="C6736" s="159">
        <v>75</v>
      </c>
      <c r="D6736" s="159">
        <v>50</v>
      </c>
      <c r="E6736" s="159">
        <v>96</v>
      </c>
      <c r="F6736" s="131"/>
      <c r="G6736" s="132"/>
      <c r="H6736" s="162" t="s">
        <v>32179</v>
      </c>
      <c r="I6736" s="128"/>
      <c r="J6736" s="128"/>
      <c r="K6736" s="128"/>
      <c r="L6736" s="128"/>
      <c r="M6736" s="129"/>
      <c r="N6736" s="129"/>
      <c r="O6736" s="129"/>
    </row>
    <row r="6737" spans="1:15" ht="12.5">
      <c r="A6737" s="158" t="s">
        <v>32180</v>
      </c>
      <c r="B6737" s="159">
        <v>75</v>
      </c>
      <c r="C6737" s="159">
        <v>75</v>
      </c>
      <c r="D6737" s="159">
        <v>60</v>
      </c>
      <c r="E6737" s="130"/>
      <c r="F6737" s="131"/>
      <c r="G6737" s="132"/>
      <c r="H6737" s="162" t="s">
        <v>32181</v>
      </c>
      <c r="I6737" s="128"/>
      <c r="J6737" s="128"/>
      <c r="K6737" s="128"/>
      <c r="L6737" s="128"/>
      <c r="M6737" s="129"/>
      <c r="N6737" s="129"/>
      <c r="O6737" s="129"/>
    </row>
    <row r="6738" spans="1:15" ht="12.5">
      <c r="A6738" s="158" t="s">
        <v>32182</v>
      </c>
      <c r="B6738" s="159">
        <v>75</v>
      </c>
      <c r="C6738" s="159">
        <v>75</v>
      </c>
      <c r="D6738" s="159">
        <v>60</v>
      </c>
      <c r="E6738" s="159">
        <v>7</v>
      </c>
      <c r="F6738" s="131"/>
      <c r="G6738" s="132"/>
      <c r="H6738" s="162" t="s">
        <v>32183</v>
      </c>
      <c r="I6738" s="158" t="s">
        <v>32184</v>
      </c>
      <c r="J6738" s="128"/>
      <c r="K6738" s="128"/>
      <c r="L6738" s="128"/>
      <c r="M6738" s="129"/>
      <c r="N6738" s="129"/>
      <c r="O6738" s="129"/>
    </row>
    <row r="6739" spans="1:15" ht="12.5">
      <c r="A6739" s="158" t="s">
        <v>32185</v>
      </c>
      <c r="B6739" s="159">
        <v>75</v>
      </c>
      <c r="C6739" s="159">
        <v>75</v>
      </c>
      <c r="D6739" s="159">
        <v>60</v>
      </c>
      <c r="E6739" s="159">
        <v>8</v>
      </c>
      <c r="F6739" s="131"/>
      <c r="G6739" s="132"/>
      <c r="H6739" s="162" t="s">
        <v>32186</v>
      </c>
      <c r="I6739" s="158" t="s">
        <v>32187</v>
      </c>
      <c r="J6739" s="128"/>
      <c r="K6739" s="128"/>
      <c r="L6739" s="128"/>
      <c r="M6739" s="129"/>
      <c r="N6739" s="129"/>
      <c r="O6739" s="129"/>
    </row>
    <row r="6740" spans="1:15" ht="12.5">
      <c r="A6740" s="158" t="s">
        <v>32188</v>
      </c>
      <c r="B6740" s="159">
        <v>75</v>
      </c>
      <c r="C6740" s="159">
        <v>75</v>
      </c>
      <c r="D6740" s="159">
        <v>60</v>
      </c>
      <c r="E6740" s="159">
        <v>60</v>
      </c>
      <c r="F6740" s="131"/>
      <c r="G6740" s="132"/>
      <c r="H6740" s="162" t="s">
        <v>32189</v>
      </c>
      <c r="I6740" s="158" t="s">
        <v>32190</v>
      </c>
      <c r="J6740" s="128"/>
      <c r="K6740" s="128"/>
      <c r="L6740" s="128"/>
      <c r="M6740" s="129"/>
      <c r="N6740" s="129"/>
      <c r="O6740" s="129"/>
    </row>
    <row r="6741" spans="1:15" ht="12.5">
      <c r="A6741" s="158" t="s">
        <v>32191</v>
      </c>
      <c r="B6741" s="159">
        <v>75</v>
      </c>
      <c r="C6741" s="159">
        <v>75</v>
      </c>
      <c r="D6741" s="159">
        <v>75</v>
      </c>
      <c r="E6741" s="130"/>
      <c r="F6741" s="131"/>
      <c r="G6741" s="132"/>
      <c r="H6741" s="162" t="s">
        <v>32192</v>
      </c>
      <c r="I6741" s="128"/>
      <c r="J6741" s="128"/>
      <c r="K6741" s="128"/>
      <c r="L6741" s="128"/>
      <c r="M6741" s="129"/>
      <c r="N6741" s="129"/>
      <c r="O6741" s="129"/>
    </row>
    <row r="6742" spans="1:15" ht="12.5">
      <c r="A6742" s="158" t="s">
        <v>32193</v>
      </c>
      <c r="B6742" s="159">
        <v>75</v>
      </c>
      <c r="C6742" s="159">
        <v>75</v>
      </c>
      <c r="D6742" s="159">
        <v>75</v>
      </c>
      <c r="E6742" s="159">
        <v>1</v>
      </c>
      <c r="F6742" s="131"/>
      <c r="G6742" s="132"/>
      <c r="H6742" s="162" t="s">
        <v>32194</v>
      </c>
      <c r="I6742" s="158" t="s">
        <v>32195</v>
      </c>
      <c r="J6742" s="128"/>
      <c r="K6742" s="128"/>
      <c r="L6742" s="128"/>
      <c r="M6742" s="129"/>
      <c r="N6742" s="129"/>
      <c r="O6742" s="129"/>
    </row>
    <row r="6743" spans="1:15" ht="12.5">
      <c r="A6743" s="158" t="s">
        <v>32196</v>
      </c>
      <c r="B6743" s="159">
        <v>75</v>
      </c>
      <c r="C6743" s="159">
        <v>75</v>
      </c>
      <c r="D6743" s="159">
        <v>75</v>
      </c>
      <c r="E6743" s="159">
        <v>6</v>
      </c>
      <c r="F6743" s="131"/>
      <c r="G6743" s="132"/>
      <c r="H6743" s="162" t="s">
        <v>32197</v>
      </c>
      <c r="I6743" s="158" t="s">
        <v>32198</v>
      </c>
      <c r="J6743" s="128"/>
      <c r="K6743" s="128"/>
      <c r="L6743" s="128"/>
      <c r="M6743" s="129"/>
      <c r="N6743" s="129"/>
      <c r="O6743" s="129"/>
    </row>
    <row r="6744" spans="1:15" ht="12.5">
      <c r="A6744" s="158" t="s">
        <v>32199</v>
      </c>
      <c r="B6744" s="159">
        <v>75</v>
      </c>
      <c r="C6744" s="159">
        <v>75</v>
      </c>
      <c r="D6744" s="159">
        <v>75</v>
      </c>
      <c r="E6744" s="159">
        <v>28</v>
      </c>
      <c r="F6744" s="131"/>
      <c r="G6744" s="132"/>
      <c r="H6744" s="162" t="s">
        <v>32200</v>
      </c>
      <c r="I6744" s="158" t="s">
        <v>32201</v>
      </c>
      <c r="J6744" s="128"/>
      <c r="K6744" s="128"/>
      <c r="L6744" s="128"/>
      <c r="M6744" s="129"/>
      <c r="N6744" s="129"/>
      <c r="O6744" s="129"/>
    </row>
    <row r="6745" spans="1:15" ht="12.5">
      <c r="A6745" s="158" t="s">
        <v>32202</v>
      </c>
      <c r="B6745" s="159">
        <v>75</v>
      </c>
      <c r="C6745" s="159">
        <v>75</v>
      </c>
      <c r="D6745" s="159">
        <v>75</v>
      </c>
      <c r="E6745" s="159">
        <v>47</v>
      </c>
      <c r="F6745" s="131"/>
      <c r="G6745" s="132"/>
      <c r="H6745" s="162" t="s">
        <v>32203</v>
      </c>
      <c r="I6745" s="158" t="s">
        <v>32204</v>
      </c>
      <c r="J6745" s="128"/>
      <c r="K6745" s="128"/>
      <c r="L6745" s="128"/>
      <c r="M6745" s="129"/>
      <c r="N6745" s="129"/>
      <c r="O6745" s="129"/>
    </row>
    <row r="6746" spans="1:15" ht="12.5">
      <c r="A6746" s="158" t="s">
        <v>32205</v>
      </c>
      <c r="B6746" s="159">
        <v>75</v>
      </c>
      <c r="C6746" s="159">
        <v>75</v>
      </c>
      <c r="D6746" s="159">
        <v>75</v>
      </c>
      <c r="E6746" s="159">
        <v>52</v>
      </c>
      <c r="F6746" s="131"/>
      <c r="G6746" s="132"/>
      <c r="H6746" s="162" t="s">
        <v>32206</v>
      </c>
      <c r="I6746" s="158" t="s">
        <v>32207</v>
      </c>
      <c r="J6746" s="128"/>
      <c r="K6746" s="128"/>
      <c r="L6746" s="128"/>
      <c r="M6746" s="129"/>
      <c r="N6746" s="129"/>
      <c r="O6746" s="129"/>
    </row>
    <row r="6747" spans="1:15" ht="12.5">
      <c r="A6747" s="158" t="s">
        <v>32208</v>
      </c>
      <c r="B6747" s="159">
        <v>75</v>
      </c>
      <c r="C6747" s="159">
        <v>75</v>
      </c>
      <c r="D6747" s="159">
        <v>75</v>
      </c>
      <c r="E6747" s="159">
        <v>96</v>
      </c>
      <c r="F6747" s="131"/>
      <c r="G6747" s="132"/>
      <c r="H6747" s="162" t="s">
        <v>32209</v>
      </c>
      <c r="I6747" s="158" t="s">
        <v>32210</v>
      </c>
      <c r="J6747" s="128"/>
      <c r="K6747" s="128"/>
      <c r="L6747" s="128"/>
      <c r="M6747" s="129"/>
      <c r="N6747" s="129"/>
      <c r="O6747" s="129"/>
    </row>
    <row r="6748" spans="1:15" ht="12.5">
      <c r="A6748" s="158" t="s">
        <v>32211</v>
      </c>
      <c r="B6748" s="159">
        <v>75</v>
      </c>
      <c r="C6748" s="159">
        <v>75</v>
      </c>
      <c r="D6748" s="159">
        <v>90</v>
      </c>
      <c r="E6748" s="130"/>
      <c r="F6748" s="131"/>
      <c r="G6748" s="132"/>
      <c r="H6748" s="162" t="s">
        <v>32212</v>
      </c>
      <c r="I6748" s="128"/>
      <c r="J6748" s="128"/>
      <c r="K6748" s="128"/>
      <c r="L6748" s="128"/>
      <c r="M6748" s="129"/>
      <c r="N6748" s="129"/>
      <c r="O6748" s="129"/>
    </row>
    <row r="6749" spans="1:15" ht="12.5">
      <c r="A6749" s="158" t="s">
        <v>32213</v>
      </c>
      <c r="B6749" s="159">
        <v>75</v>
      </c>
      <c r="C6749" s="159">
        <v>75</v>
      </c>
      <c r="D6749" s="159">
        <v>90</v>
      </c>
      <c r="E6749" s="159">
        <v>16</v>
      </c>
      <c r="F6749" s="131"/>
      <c r="G6749" s="132"/>
      <c r="H6749" s="162" t="s">
        <v>32214</v>
      </c>
      <c r="I6749" s="128"/>
      <c r="J6749" s="128"/>
      <c r="K6749" s="128"/>
      <c r="L6749" s="128"/>
      <c r="M6749" s="129"/>
      <c r="N6749" s="129"/>
      <c r="O6749" s="129"/>
    </row>
    <row r="6750" spans="1:15" ht="12.5">
      <c r="A6750" s="158" t="s">
        <v>32215</v>
      </c>
      <c r="B6750" s="159">
        <v>75</v>
      </c>
      <c r="C6750" s="159">
        <v>75</v>
      </c>
      <c r="D6750" s="159">
        <v>90</v>
      </c>
      <c r="E6750" s="159">
        <v>17</v>
      </c>
      <c r="F6750" s="131"/>
      <c r="G6750" s="132"/>
      <c r="H6750" s="162" t="s">
        <v>32216</v>
      </c>
      <c r="I6750" s="128"/>
      <c r="J6750" s="128"/>
      <c r="K6750" s="128"/>
      <c r="L6750" s="128"/>
      <c r="M6750" s="129"/>
      <c r="N6750" s="129"/>
      <c r="O6750" s="129"/>
    </row>
    <row r="6751" spans="1:15" ht="12.5">
      <c r="A6751" s="158" t="s">
        <v>32217</v>
      </c>
      <c r="B6751" s="159">
        <v>75</v>
      </c>
      <c r="C6751" s="159">
        <v>75</v>
      </c>
      <c r="D6751" s="159">
        <v>90</v>
      </c>
      <c r="E6751" s="159">
        <v>27</v>
      </c>
      <c r="F6751" s="131"/>
      <c r="G6751" s="132"/>
      <c r="H6751" s="162" t="s">
        <v>32218</v>
      </c>
      <c r="I6751" s="128"/>
      <c r="J6751" s="128"/>
      <c r="K6751" s="128"/>
      <c r="L6751" s="128"/>
      <c r="M6751" s="129"/>
      <c r="N6751" s="129"/>
      <c r="O6751" s="129"/>
    </row>
    <row r="6752" spans="1:15" ht="12.5">
      <c r="A6752" s="158" t="s">
        <v>32219</v>
      </c>
      <c r="B6752" s="159">
        <v>75</v>
      </c>
      <c r="C6752" s="159">
        <v>75</v>
      </c>
      <c r="D6752" s="159">
        <v>90</v>
      </c>
      <c r="E6752" s="159">
        <v>30</v>
      </c>
      <c r="F6752" s="131"/>
      <c r="G6752" s="132"/>
      <c r="H6752" s="162" t="s">
        <v>32220</v>
      </c>
      <c r="I6752" s="128"/>
      <c r="J6752" s="128"/>
      <c r="K6752" s="128"/>
      <c r="L6752" s="128"/>
      <c r="M6752" s="129"/>
      <c r="N6752" s="129"/>
      <c r="O6752" s="129"/>
    </row>
    <row r="6753" spans="1:15" ht="12.5">
      <c r="A6753" s="158" t="s">
        <v>32221</v>
      </c>
      <c r="B6753" s="159">
        <v>75</v>
      </c>
      <c r="C6753" s="159">
        <v>75</v>
      </c>
      <c r="D6753" s="159">
        <v>90</v>
      </c>
      <c r="E6753" s="159">
        <v>31</v>
      </c>
      <c r="F6753" s="131"/>
      <c r="G6753" s="132"/>
      <c r="H6753" s="162" t="s">
        <v>32222</v>
      </c>
      <c r="I6753" s="128"/>
      <c r="J6753" s="128"/>
      <c r="K6753" s="128"/>
      <c r="L6753" s="128"/>
      <c r="M6753" s="129"/>
      <c r="N6753" s="129"/>
      <c r="O6753" s="129"/>
    </row>
    <row r="6754" spans="1:15" ht="12.5">
      <c r="A6754" s="158" t="s">
        <v>32223</v>
      </c>
      <c r="B6754" s="159">
        <v>75</v>
      </c>
      <c r="C6754" s="159">
        <v>75</v>
      </c>
      <c r="D6754" s="159">
        <v>90</v>
      </c>
      <c r="E6754" s="159">
        <v>41</v>
      </c>
      <c r="F6754" s="131"/>
      <c r="G6754" s="132"/>
      <c r="H6754" s="162" t="s">
        <v>32224</v>
      </c>
      <c r="I6754" s="128"/>
      <c r="J6754" s="128"/>
      <c r="K6754" s="128"/>
      <c r="L6754" s="128"/>
      <c r="M6754" s="129"/>
      <c r="N6754" s="129"/>
      <c r="O6754" s="129"/>
    </row>
    <row r="6755" spans="1:15" ht="12.5">
      <c r="A6755" s="158" t="s">
        <v>32225</v>
      </c>
      <c r="B6755" s="159">
        <v>75</v>
      </c>
      <c r="C6755" s="159">
        <v>75</v>
      </c>
      <c r="D6755" s="159">
        <v>90</v>
      </c>
      <c r="E6755" s="159">
        <v>42</v>
      </c>
      <c r="F6755" s="131"/>
      <c r="G6755" s="132"/>
      <c r="H6755" s="162" t="s">
        <v>32226</v>
      </c>
      <c r="I6755" s="128"/>
      <c r="J6755" s="128"/>
      <c r="K6755" s="128"/>
      <c r="L6755" s="128"/>
      <c r="M6755" s="129"/>
      <c r="N6755" s="129"/>
      <c r="O6755" s="129"/>
    </row>
    <row r="6756" spans="1:15" ht="12.5">
      <c r="A6756" s="158" t="s">
        <v>32227</v>
      </c>
      <c r="B6756" s="159">
        <v>75</v>
      </c>
      <c r="C6756" s="159">
        <v>75</v>
      </c>
      <c r="D6756" s="159">
        <v>90</v>
      </c>
      <c r="E6756" s="159">
        <v>50</v>
      </c>
      <c r="F6756" s="131"/>
      <c r="G6756" s="132"/>
      <c r="H6756" s="162" t="s">
        <v>32228</v>
      </c>
      <c r="I6756" s="128"/>
      <c r="J6756" s="128"/>
      <c r="K6756" s="128"/>
      <c r="L6756" s="128"/>
      <c r="M6756" s="129"/>
      <c r="N6756" s="129"/>
      <c r="O6756" s="129"/>
    </row>
    <row r="6757" spans="1:15" ht="12.5">
      <c r="A6757" s="158" t="s">
        <v>32229</v>
      </c>
      <c r="B6757" s="159">
        <v>75</v>
      </c>
      <c r="C6757" s="159">
        <v>75</v>
      </c>
      <c r="D6757" s="159">
        <v>90</v>
      </c>
      <c r="E6757" s="159">
        <v>52</v>
      </c>
      <c r="F6757" s="131"/>
      <c r="G6757" s="132"/>
      <c r="H6757" s="162" t="s">
        <v>32230</v>
      </c>
      <c r="I6757" s="128"/>
      <c r="J6757" s="128"/>
      <c r="K6757" s="128"/>
      <c r="L6757" s="128"/>
      <c r="M6757" s="129"/>
      <c r="N6757" s="129"/>
      <c r="O6757" s="129"/>
    </row>
    <row r="6758" spans="1:15" ht="12.5">
      <c r="A6758" s="158" t="s">
        <v>32231</v>
      </c>
      <c r="B6758" s="159">
        <v>75</v>
      </c>
      <c r="C6758" s="159">
        <v>75</v>
      </c>
      <c r="D6758" s="159">
        <v>90</v>
      </c>
      <c r="E6758" s="159">
        <v>65</v>
      </c>
      <c r="F6758" s="131"/>
      <c r="G6758" s="132"/>
      <c r="H6758" s="162" t="s">
        <v>32232</v>
      </c>
      <c r="I6758" s="128"/>
      <c r="J6758" s="128"/>
      <c r="K6758" s="128"/>
      <c r="L6758" s="128"/>
      <c r="M6758" s="129"/>
      <c r="N6758" s="129"/>
      <c r="O6758" s="129"/>
    </row>
    <row r="6759" spans="1:15" ht="12.5">
      <c r="A6759" s="158" t="s">
        <v>32235</v>
      </c>
      <c r="B6759" s="159">
        <v>75</v>
      </c>
      <c r="C6759" s="159">
        <v>75</v>
      </c>
      <c r="D6759" s="159">
        <v>90</v>
      </c>
      <c r="E6759" s="159">
        <v>71</v>
      </c>
      <c r="F6759" s="131"/>
      <c r="G6759" s="132"/>
      <c r="H6759" s="162" t="s">
        <v>32236</v>
      </c>
      <c r="I6759" s="128"/>
      <c r="J6759" s="128"/>
      <c r="K6759" s="128"/>
      <c r="L6759" s="128"/>
      <c r="M6759" s="129"/>
      <c r="N6759" s="129"/>
      <c r="O6759" s="129"/>
    </row>
    <row r="6760" spans="1:15" ht="12.5">
      <c r="A6760" s="158" t="s">
        <v>32237</v>
      </c>
      <c r="B6760" s="159">
        <v>75</v>
      </c>
      <c r="C6760" s="159">
        <v>75</v>
      </c>
      <c r="D6760" s="159">
        <v>90</v>
      </c>
      <c r="E6760" s="159">
        <v>78</v>
      </c>
      <c r="F6760" s="131"/>
      <c r="G6760" s="132"/>
      <c r="H6760" s="162" t="s">
        <v>32238</v>
      </c>
      <c r="I6760" s="128"/>
      <c r="J6760" s="128"/>
      <c r="K6760" s="128"/>
      <c r="L6760" s="128"/>
      <c r="M6760" s="129"/>
      <c r="N6760" s="129"/>
      <c r="O6760" s="129"/>
    </row>
    <row r="6761" spans="1:15" ht="12.5">
      <c r="A6761" s="158" t="s">
        <v>32239</v>
      </c>
      <c r="B6761" s="159">
        <v>75</v>
      </c>
      <c r="C6761" s="159">
        <v>75</v>
      </c>
      <c r="D6761" s="159">
        <v>90</v>
      </c>
      <c r="E6761" s="159">
        <v>88</v>
      </c>
      <c r="F6761" s="131"/>
      <c r="G6761" s="132"/>
      <c r="H6761" s="162" t="s">
        <v>32240</v>
      </c>
      <c r="I6761" s="158" t="s">
        <v>32241</v>
      </c>
      <c r="J6761" s="128"/>
      <c r="K6761" s="128"/>
      <c r="L6761" s="128"/>
      <c r="M6761" s="129"/>
      <c r="N6761" s="129"/>
      <c r="O6761" s="129"/>
    </row>
    <row r="6762" spans="1:15" ht="12.5">
      <c r="A6762" s="158" t="s">
        <v>32242</v>
      </c>
      <c r="B6762" s="159">
        <v>75</v>
      </c>
      <c r="C6762" s="159">
        <v>75</v>
      </c>
      <c r="D6762" s="159">
        <v>90</v>
      </c>
      <c r="E6762" s="159">
        <v>89</v>
      </c>
      <c r="F6762" s="131"/>
      <c r="G6762" s="132"/>
      <c r="H6762" s="162" t="s">
        <v>32243</v>
      </c>
      <c r="I6762" s="128"/>
      <c r="J6762" s="128"/>
      <c r="K6762" s="128"/>
      <c r="L6762" s="128"/>
      <c r="M6762" s="129"/>
      <c r="N6762" s="129"/>
      <c r="O6762" s="129"/>
    </row>
    <row r="6763" spans="1:15" ht="12.5">
      <c r="A6763" s="158" t="s">
        <v>32244</v>
      </c>
      <c r="B6763" s="159">
        <v>75</v>
      </c>
      <c r="C6763" s="159">
        <v>75</v>
      </c>
      <c r="D6763" s="159">
        <v>90</v>
      </c>
      <c r="E6763" s="159">
        <v>90</v>
      </c>
      <c r="F6763" s="131"/>
      <c r="G6763" s="132"/>
      <c r="H6763" s="162" t="s">
        <v>32245</v>
      </c>
      <c r="I6763" s="158" t="s">
        <v>32246</v>
      </c>
      <c r="J6763" s="128"/>
      <c r="K6763" s="128"/>
      <c r="L6763" s="128"/>
      <c r="M6763" s="129"/>
      <c r="N6763" s="129"/>
      <c r="O6763" s="129"/>
    </row>
    <row r="6764" spans="1:15" ht="12.5">
      <c r="A6764" s="158" t="s">
        <v>32247</v>
      </c>
      <c r="B6764" s="159">
        <v>75</v>
      </c>
      <c r="C6764" s="159">
        <v>75</v>
      </c>
      <c r="D6764" s="159">
        <v>90</v>
      </c>
      <c r="E6764" s="159">
        <v>91</v>
      </c>
      <c r="F6764" s="131"/>
      <c r="G6764" s="132"/>
      <c r="H6764" s="162" t="s">
        <v>32248</v>
      </c>
      <c r="I6764" s="128"/>
      <c r="J6764" s="128"/>
      <c r="K6764" s="128"/>
      <c r="L6764" s="128"/>
      <c r="M6764" s="129"/>
      <c r="N6764" s="129"/>
      <c r="O6764" s="129"/>
    </row>
    <row r="6765" spans="1:15" ht="12.5">
      <c r="A6765" s="158" t="s">
        <v>32249</v>
      </c>
      <c r="B6765" s="159">
        <v>75</v>
      </c>
      <c r="C6765" s="159">
        <v>75</v>
      </c>
      <c r="D6765" s="159">
        <v>90</v>
      </c>
      <c r="E6765" s="159">
        <v>94</v>
      </c>
      <c r="F6765" s="131"/>
      <c r="G6765" s="132"/>
      <c r="H6765" s="162" t="s">
        <v>32250</v>
      </c>
      <c r="I6765" s="128"/>
      <c r="J6765" s="128"/>
      <c r="K6765" s="128"/>
      <c r="L6765" s="128"/>
      <c r="M6765" s="129"/>
      <c r="N6765" s="129"/>
      <c r="O6765" s="129"/>
    </row>
    <row r="6766" spans="1:15" ht="12.5">
      <c r="A6766" s="158" t="s">
        <v>32251</v>
      </c>
      <c r="B6766" s="159">
        <v>75</v>
      </c>
      <c r="C6766" s="159">
        <v>75</v>
      </c>
      <c r="D6766" s="159">
        <v>90</v>
      </c>
      <c r="E6766" s="159">
        <v>95</v>
      </c>
      <c r="F6766" s="131"/>
      <c r="G6766" s="132"/>
      <c r="H6766" s="162" t="s">
        <v>32252</v>
      </c>
      <c r="I6766" s="128"/>
      <c r="J6766" s="128"/>
      <c r="K6766" s="128"/>
      <c r="L6766" s="128"/>
      <c r="M6766" s="129"/>
      <c r="N6766" s="129"/>
      <c r="O6766" s="129"/>
    </row>
    <row r="6767" spans="1:15" ht="12.5">
      <c r="A6767" s="158" t="s">
        <v>32253</v>
      </c>
      <c r="B6767" s="159">
        <v>75</v>
      </c>
      <c r="C6767" s="159">
        <v>75</v>
      </c>
      <c r="D6767" s="159">
        <v>94</v>
      </c>
      <c r="E6767" s="130"/>
      <c r="F6767" s="131"/>
      <c r="G6767" s="132"/>
      <c r="H6767" s="162" t="s">
        <v>32254</v>
      </c>
      <c r="I6767" s="128"/>
      <c r="J6767" s="128"/>
      <c r="K6767" s="128"/>
      <c r="L6767" s="128"/>
      <c r="M6767" s="129"/>
      <c r="N6767" s="129"/>
      <c r="O6767" s="129"/>
    </row>
    <row r="6768" spans="1:15" ht="12.5">
      <c r="A6768" s="158" t="s">
        <v>32255</v>
      </c>
      <c r="B6768" s="159">
        <v>75</v>
      </c>
      <c r="C6768" s="159">
        <v>75</v>
      </c>
      <c r="D6768" s="159">
        <v>94</v>
      </c>
      <c r="E6768" s="159">
        <v>3</v>
      </c>
      <c r="F6768" s="131"/>
      <c r="G6768" s="132"/>
      <c r="H6768" s="162" t="s">
        <v>32256</v>
      </c>
      <c r="I6768" s="158" t="s">
        <v>32257</v>
      </c>
      <c r="J6768" s="128"/>
      <c r="K6768" s="128"/>
      <c r="L6768" s="128"/>
      <c r="M6768" s="129"/>
      <c r="N6768" s="129"/>
      <c r="O6768" s="129"/>
    </row>
    <row r="6769" spans="1:15" ht="12.5">
      <c r="A6769" s="158" t="s">
        <v>32258</v>
      </c>
      <c r="B6769" s="159">
        <v>75</v>
      </c>
      <c r="C6769" s="159">
        <v>75</v>
      </c>
      <c r="D6769" s="159">
        <v>94</v>
      </c>
      <c r="E6769" s="159">
        <v>11</v>
      </c>
      <c r="F6769" s="131"/>
      <c r="G6769" s="132"/>
      <c r="H6769" s="162" t="s">
        <v>32259</v>
      </c>
      <c r="I6769" s="158" t="s">
        <v>32260</v>
      </c>
      <c r="J6769" s="128"/>
      <c r="K6769" s="128"/>
      <c r="L6769" s="128"/>
      <c r="M6769" s="129"/>
      <c r="N6769" s="129"/>
      <c r="O6769" s="129"/>
    </row>
    <row r="6770" spans="1:15" ht="12.5">
      <c r="A6770" s="158" t="s">
        <v>32261</v>
      </c>
      <c r="B6770" s="159">
        <v>75</v>
      </c>
      <c r="C6770" s="159">
        <v>75</v>
      </c>
      <c r="D6770" s="159">
        <v>94</v>
      </c>
      <c r="E6770" s="159">
        <v>15</v>
      </c>
      <c r="F6770" s="131"/>
      <c r="G6770" s="132"/>
      <c r="H6770" s="162" t="s">
        <v>32262</v>
      </c>
      <c r="I6770" s="158" t="s">
        <v>32263</v>
      </c>
      <c r="J6770" s="128"/>
      <c r="K6770" s="128"/>
      <c r="L6770" s="128"/>
      <c r="M6770" s="129"/>
      <c r="N6770" s="129"/>
      <c r="O6770" s="129"/>
    </row>
    <row r="6771" spans="1:15" ht="12.5">
      <c r="A6771" s="158" t="s">
        <v>32264</v>
      </c>
      <c r="B6771" s="159">
        <v>75</v>
      </c>
      <c r="C6771" s="159">
        <v>75</v>
      </c>
      <c r="D6771" s="159">
        <v>94</v>
      </c>
      <c r="E6771" s="159">
        <v>19</v>
      </c>
      <c r="F6771" s="131"/>
      <c r="G6771" s="132"/>
      <c r="H6771" s="162" t="s">
        <v>32265</v>
      </c>
      <c r="I6771" s="158" t="s">
        <v>32266</v>
      </c>
      <c r="J6771" s="128"/>
      <c r="K6771" s="128"/>
      <c r="L6771" s="128"/>
      <c r="M6771" s="129"/>
      <c r="N6771" s="129"/>
      <c r="O6771" s="129"/>
    </row>
    <row r="6772" spans="1:15" ht="12.5">
      <c r="A6772" s="158" t="s">
        <v>32267</v>
      </c>
      <c r="B6772" s="159">
        <v>75</v>
      </c>
      <c r="C6772" s="159">
        <v>75</v>
      </c>
      <c r="D6772" s="159">
        <v>94</v>
      </c>
      <c r="E6772" s="159">
        <v>22</v>
      </c>
      <c r="F6772" s="131"/>
      <c r="G6772" s="132"/>
      <c r="H6772" s="162" t="s">
        <v>32268</v>
      </c>
      <c r="I6772" s="158" t="s">
        <v>32269</v>
      </c>
      <c r="J6772" s="128"/>
      <c r="K6772" s="128"/>
      <c r="L6772" s="128"/>
      <c r="M6772" s="129"/>
      <c r="N6772" s="129"/>
      <c r="O6772" s="129"/>
    </row>
    <row r="6773" spans="1:15" ht="12.5">
      <c r="A6773" s="158" t="s">
        <v>32270</v>
      </c>
      <c r="B6773" s="159">
        <v>75</v>
      </c>
      <c r="C6773" s="159">
        <v>75</v>
      </c>
      <c r="D6773" s="159">
        <v>94</v>
      </c>
      <c r="E6773" s="159">
        <v>23</v>
      </c>
      <c r="F6773" s="131"/>
      <c r="G6773" s="132"/>
      <c r="H6773" s="162" t="s">
        <v>32271</v>
      </c>
      <c r="I6773" s="158" t="s">
        <v>32272</v>
      </c>
      <c r="J6773" s="128"/>
      <c r="K6773" s="128"/>
      <c r="L6773" s="128"/>
      <c r="M6773" s="129"/>
      <c r="N6773" s="129"/>
      <c r="O6773" s="129"/>
    </row>
    <row r="6774" spans="1:15" ht="12.5">
      <c r="A6774" s="158" t="s">
        <v>32273</v>
      </c>
      <c r="B6774" s="159">
        <v>75</v>
      </c>
      <c r="C6774" s="159">
        <v>75</v>
      </c>
      <c r="D6774" s="159">
        <v>94</v>
      </c>
      <c r="E6774" s="159">
        <v>27</v>
      </c>
      <c r="F6774" s="131"/>
      <c r="G6774" s="132"/>
      <c r="H6774" s="162" t="s">
        <v>32274</v>
      </c>
      <c r="I6774" s="158" t="s">
        <v>32275</v>
      </c>
      <c r="J6774" s="128"/>
      <c r="K6774" s="128"/>
      <c r="L6774" s="128"/>
      <c r="M6774" s="129"/>
      <c r="N6774" s="129"/>
      <c r="O6774" s="129"/>
    </row>
    <row r="6775" spans="1:15" ht="12.5">
      <c r="A6775" s="158" t="s">
        <v>32276</v>
      </c>
      <c r="B6775" s="159">
        <v>75</v>
      </c>
      <c r="C6775" s="159">
        <v>75</v>
      </c>
      <c r="D6775" s="159">
        <v>94</v>
      </c>
      <c r="E6775" s="159">
        <v>37</v>
      </c>
      <c r="F6775" s="131"/>
      <c r="G6775" s="132"/>
      <c r="H6775" s="162" t="s">
        <v>32277</v>
      </c>
      <c r="I6775" s="158" t="s">
        <v>32278</v>
      </c>
      <c r="J6775" s="128"/>
      <c r="K6775" s="128"/>
      <c r="L6775" s="128"/>
      <c r="M6775" s="129"/>
      <c r="N6775" s="129"/>
      <c r="O6775" s="129"/>
    </row>
    <row r="6776" spans="1:15" ht="12.5">
      <c r="A6776" s="158" t="s">
        <v>32279</v>
      </c>
      <c r="B6776" s="159">
        <v>75</v>
      </c>
      <c r="C6776" s="159">
        <v>75</v>
      </c>
      <c r="D6776" s="159">
        <v>94</v>
      </c>
      <c r="E6776" s="159">
        <v>41</v>
      </c>
      <c r="F6776" s="131"/>
      <c r="G6776" s="132"/>
      <c r="H6776" s="162" t="s">
        <v>32280</v>
      </c>
      <c r="I6776" s="128"/>
      <c r="J6776" s="128"/>
      <c r="K6776" s="128"/>
      <c r="L6776" s="128"/>
      <c r="M6776" s="129"/>
      <c r="N6776" s="129"/>
      <c r="O6776" s="129"/>
    </row>
    <row r="6777" spans="1:15" ht="12.5">
      <c r="A6777" s="158" t="s">
        <v>32281</v>
      </c>
      <c r="B6777" s="159">
        <v>75</v>
      </c>
      <c r="C6777" s="159">
        <v>75</v>
      </c>
      <c r="D6777" s="159">
        <v>94</v>
      </c>
      <c r="E6777" s="159">
        <v>58</v>
      </c>
      <c r="F6777" s="131"/>
      <c r="G6777" s="132"/>
      <c r="H6777" s="162" t="s">
        <v>32282</v>
      </c>
      <c r="I6777" s="128"/>
      <c r="J6777" s="128"/>
      <c r="K6777" s="128"/>
      <c r="L6777" s="128"/>
      <c r="M6777" s="129"/>
      <c r="N6777" s="129"/>
      <c r="O6777" s="129"/>
    </row>
    <row r="6778" spans="1:15" ht="12.5">
      <c r="A6778" s="158" t="s">
        <v>32283</v>
      </c>
      <c r="B6778" s="159">
        <v>75</v>
      </c>
      <c r="C6778" s="159">
        <v>75</v>
      </c>
      <c r="D6778" s="159">
        <v>94</v>
      </c>
      <c r="E6778" s="159">
        <v>60</v>
      </c>
      <c r="F6778" s="131"/>
      <c r="G6778" s="132"/>
      <c r="H6778" s="162" t="s">
        <v>32284</v>
      </c>
      <c r="I6778" s="158" t="s">
        <v>32285</v>
      </c>
      <c r="J6778" s="128"/>
      <c r="K6778" s="128"/>
      <c r="L6778" s="128"/>
      <c r="M6778" s="129"/>
      <c r="N6778" s="129"/>
      <c r="O6778" s="129"/>
    </row>
    <row r="6779" spans="1:15" ht="12.5">
      <c r="A6779" s="158" t="s">
        <v>32286</v>
      </c>
      <c r="B6779" s="159">
        <v>75</v>
      </c>
      <c r="C6779" s="159">
        <v>75</v>
      </c>
      <c r="D6779" s="159">
        <v>94</v>
      </c>
      <c r="E6779" s="159">
        <v>70</v>
      </c>
      <c r="F6779" s="131"/>
      <c r="G6779" s="132"/>
      <c r="H6779" s="162" t="s">
        <v>32287</v>
      </c>
      <c r="I6779" s="128"/>
      <c r="J6779" s="128"/>
      <c r="K6779" s="128"/>
      <c r="L6779" s="128"/>
      <c r="M6779" s="129"/>
      <c r="N6779" s="129"/>
      <c r="O6779" s="129"/>
    </row>
    <row r="6780" spans="1:15" ht="12.5">
      <c r="A6780" s="158" t="s">
        <v>32288</v>
      </c>
      <c r="B6780" s="159">
        <v>75</v>
      </c>
      <c r="C6780" s="159">
        <v>75</v>
      </c>
      <c r="D6780" s="159">
        <v>94</v>
      </c>
      <c r="E6780" s="159">
        <v>72</v>
      </c>
      <c r="F6780" s="131"/>
      <c r="G6780" s="132"/>
      <c r="H6780" s="162" t="s">
        <v>32289</v>
      </c>
      <c r="I6780" s="128"/>
      <c r="J6780" s="128"/>
      <c r="K6780" s="128"/>
      <c r="L6780" s="128"/>
      <c r="M6780" s="129"/>
      <c r="N6780" s="129"/>
      <c r="O6780" s="129"/>
    </row>
    <row r="6781" spans="1:15" ht="12.5">
      <c r="A6781" s="158" t="s">
        <v>32294</v>
      </c>
      <c r="B6781" s="159">
        <v>75</v>
      </c>
      <c r="C6781" s="159">
        <v>75</v>
      </c>
      <c r="D6781" s="159">
        <v>94</v>
      </c>
      <c r="E6781" s="159">
        <v>93</v>
      </c>
      <c r="F6781" s="131"/>
      <c r="G6781" s="132"/>
      <c r="H6781" s="162" t="s">
        <v>32295</v>
      </c>
      <c r="I6781" s="128"/>
      <c r="J6781" s="128"/>
      <c r="K6781" s="128"/>
      <c r="L6781" s="128"/>
      <c r="M6781" s="129"/>
      <c r="N6781" s="129"/>
      <c r="O6781" s="129"/>
    </row>
    <row r="6782" spans="1:15" ht="12.5">
      <c r="A6782" s="158" t="s">
        <v>32296</v>
      </c>
      <c r="B6782" s="159">
        <v>75</v>
      </c>
      <c r="C6782" s="159">
        <v>75</v>
      </c>
      <c r="D6782" s="159">
        <v>94</v>
      </c>
      <c r="E6782" s="159">
        <v>94</v>
      </c>
      <c r="F6782" s="131"/>
      <c r="G6782" s="132"/>
      <c r="H6782" s="162" t="s">
        <v>32297</v>
      </c>
      <c r="I6782" s="128"/>
      <c r="J6782" s="128"/>
      <c r="K6782" s="128"/>
      <c r="L6782" s="128"/>
      <c r="M6782" s="129"/>
      <c r="N6782" s="129"/>
      <c r="O6782" s="129"/>
    </row>
    <row r="6783" spans="1:15" ht="12.5">
      <c r="A6783" s="158" t="s">
        <v>32298</v>
      </c>
      <c r="B6783" s="159">
        <v>75</v>
      </c>
      <c r="C6783" s="159">
        <v>75</v>
      </c>
      <c r="D6783" s="159">
        <v>94</v>
      </c>
      <c r="E6783" s="159">
        <v>95</v>
      </c>
      <c r="F6783" s="131"/>
      <c r="G6783" s="132"/>
      <c r="H6783" s="162" t="s">
        <v>32299</v>
      </c>
      <c r="I6783" s="158" t="s">
        <v>32300</v>
      </c>
      <c r="J6783" s="128"/>
      <c r="K6783" s="128"/>
      <c r="L6783" s="128"/>
      <c r="M6783" s="129"/>
      <c r="N6783" s="129"/>
      <c r="O6783" s="129"/>
    </row>
    <row r="6784" spans="1:15" ht="12.5">
      <c r="A6784" s="158" t="s">
        <v>32301</v>
      </c>
      <c r="B6784" s="159">
        <v>75</v>
      </c>
      <c r="C6784" s="159">
        <v>75</v>
      </c>
      <c r="D6784" s="159">
        <v>94</v>
      </c>
      <c r="E6784" s="159">
        <v>96</v>
      </c>
      <c r="F6784" s="131"/>
      <c r="G6784" s="132"/>
      <c r="H6784" s="162" t="s">
        <v>32302</v>
      </c>
      <c r="I6784" s="158" t="s">
        <v>32303</v>
      </c>
      <c r="J6784" s="128"/>
      <c r="K6784" s="128"/>
      <c r="L6784" s="128"/>
      <c r="M6784" s="129"/>
      <c r="N6784" s="129"/>
      <c r="O6784" s="129"/>
    </row>
    <row r="6785" spans="1:15" ht="12.5">
      <c r="A6785" s="158" t="s">
        <v>32304</v>
      </c>
      <c r="B6785" s="159">
        <v>75</v>
      </c>
      <c r="C6785" s="159">
        <v>75</v>
      </c>
      <c r="D6785" s="159">
        <v>94</v>
      </c>
      <c r="E6785" s="159">
        <v>97</v>
      </c>
      <c r="F6785" s="131"/>
      <c r="G6785" s="132"/>
      <c r="H6785" s="162" t="s">
        <v>32305</v>
      </c>
      <c r="I6785" s="158" t="s">
        <v>32306</v>
      </c>
      <c r="J6785" s="128"/>
      <c r="K6785" s="128"/>
      <c r="L6785" s="128"/>
      <c r="M6785" s="129"/>
      <c r="N6785" s="129"/>
      <c r="O6785" s="129"/>
    </row>
    <row r="6786" spans="1:15" ht="12.5">
      <c r="A6786" s="158" t="s">
        <v>32307</v>
      </c>
      <c r="B6786" s="159">
        <v>75</v>
      </c>
      <c r="C6786" s="159">
        <v>75</v>
      </c>
      <c r="D6786" s="159">
        <v>94</v>
      </c>
      <c r="E6786" s="159">
        <v>98</v>
      </c>
      <c r="F6786" s="131"/>
      <c r="G6786" s="132"/>
      <c r="H6786" s="162" t="s">
        <v>32308</v>
      </c>
      <c r="I6786" s="158" t="s">
        <v>32309</v>
      </c>
      <c r="J6786" s="128"/>
      <c r="K6786" s="128"/>
      <c r="L6786" s="128"/>
      <c r="M6786" s="129"/>
      <c r="N6786" s="129"/>
      <c r="O6786" s="129"/>
    </row>
    <row r="6787" spans="1:15" ht="12.5">
      <c r="A6787" s="137" t="s">
        <v>32310</v>
      </c>
      <c r="B6787" s="138">
        <v>80</v>
      </c>
      <c r="C6787" s="139"/>
      <c r="D6787" s="139"/>
      <c r="E6787" s="139"/>
      <c r="F6787" s="140" t="s">
        <v>33593</v>
      </c>
      <c r="G6787" s="141"/>
      <c r="H6787" s="142" t="s">
        <v>32311</v>
      </c>
      <c r="I6787" s="143"/>
      <c r="J6787" s="143"/>
      <c r="K6787" s="143"/>
      <c r="L6787" s="143"/>
      <c r="M6787" s="192"/>
      <c r="N6787" s="192"/>
      <c r="O6787" s="192"/>
    </row>
    <row r="6788" spans="1:15" ht="12.5">
      <c r="A6788" s="144" t="s">
        <v>32312</v>
      </c>
      <c r="B6788" s="145">
        <v>80</v>
      </c>
      <c r="C6788" s="145">
        <v>51</v>
      </c>
      <c r="D6788" s="146"/>
      <c r="E6788" s="146"/>
      <c r="F6788" s="147" t="s">
        <v>33594</v>
      </c>
      <c r="G6788" s="190"/>
      <c r="H6788" s="149" t="s">
        <v>32313</v>
      </c>
      <c r="I6788" s="150"/>
      <c r="J6788" s="150"/>
      <c r="K6788" s="150"/>
      <c r="L6788" s="150"/>
      <c r="M6788" s="191"/>
      <c r="N6788" s="191"/>
      <c r="O6788" s="191"/>
    </row>
    <row r="6789" spans="1:15" ht="12.5">
      <c r="A6789" s="158" t="s">
        <v>32314</v>
      </c>
      <c r="B6789" s="159">
        <v>80</v>
      </c>
      <c r="C6789" s="159">
        <v>51</v>
      </c>
      <c r="D6789" s="159">
        <v>30</v>
      </c>
      <c r="E6789" s="130"/>
      <c r="F6789" s="131"/>
      <c r="G6789" s="132"/>
      <c r="H6789" s="162" t="s">
        <v>32315</v>
      </c>
      <c r="I6789" s="128"/>
      <c r="J6789" s="128"/>
      <c r="K6789" s="128"/>
      <c r="L6789" s="128"/>
      <c r="M6789" s="129"/>
      <c r="N6789" s="129"/>
      <c r="O6789" s="129"/>
    </row>
    <row r="6790" spans="1:15" ht="12.5">
      <c r="A6790" s="158" t="s">
        <v>32316</v>
      </c>
      <c r="B6790" s="159">
        <v>80</v>
      </c>
      <c r="C6790" s="159">
        <v>51</v>
      </c>
      <c r="D6790" s="159">
        <v>30</v>
      </c>
      <c r="E6790" s="159">
        <v>20</v>
      </c>
      <c r="F6790" s="131"/>
      <c r="G6790" s="132"/>
      <c r="H6790" s="162" t="s">
        <v>32317</v>
      </c>
      <c r="I6790" s="158" t="s">
        <v>32318</v>
      </c>
      <c r="J6790" s="128"/>
      <c r="K6790" s="128"/>
      <c r="L6790" s="128"/>
      <c r="M6790" s="129"/>
      <c r="N6790" s="129"/>
      <c r="O6790" s="129"/>
    </row>
    <row r="6791" spans="1:15" ht="12.5">
      <c r="A6791" s="158" t="s">
        <v>32319</v>
      </c>
      <c r="B6791" s="159">
        <v>80</v>
      </c>
      <c r="C6791" s="159">
        <v>51</v>
      </c>
      <c r="D6791" s="159">
        <v>30</v>
      </c>
      <c r="E6791" s="159">
        <v>38</v>
      </c>
      <c r="F6791" s="131"/>
      <c r="G6791" s="132"/>
      <c r="H6791" s="162" t="s">
        <v>32320</v>
      </c>
      <c r="I6791" s="158" t="s">
        <v>32321</v>
      </c>
      <c r="J6791" s="128"/>
      <c r="K6791" s="128"/>
      <c r="L6791" s="128"/>
      <c r="M6791" s="129"/>
      <c r="N6791" s="129"/>
      <c r="O6791" s="129"/>
    </row>
    <row r="6792" spans="1:15" ht="12.5">
      <c r="A6792" s="158" t="s">
        <v>32322</v>
      </c>
      <c r="B6792" s="159">
        <v>80</v>
      </c>
      <c r="C6792" s="159">
        <v>51</v>
      </c>
      <c r="D6792" s="159">
        <v>30</v>
      </c>
      <c r="E6792" s="159">
        <v>52</v>
      </c>
      <c r="F6792" s="131"/>
      <c r="G6792" s="132"/>
      <c r="H6792" s="162" t="s">
        <v>32323</v>
      </c>
      <c r="I6792" s="158" t="s">
        <v>32324</v>
      </c>
      <c r="J6792" s="128"/>
      <c r="K6792" s="128"/>
      <c r="L6792" s="128"/>
      <c r="M6792" s="129"/>
      <c r="N6792" s="129"/>
      <c r="O6792" s="129"/>
    </row>
    <row r="6793" spans="1:15" ht="12.5">
      <c r="A6793" s="158" t="s">
        <v>32325</v>
      </c>
      <c r="B6793" s="159">
        <v>80</v>
      </c>
      <c r="C6793" s="159">
        <v>51</v>
      </c>
      <c r="D6793" s="159">
        <v>30</v>
      </c>
      <c r="E6793" s="159">
        <v>60</v>
      </c>
      <c r="F6793" s="131"/>
      <c r="G6793" s="132"/>
      <c r="H6793" s="162" t="s">
        <v>32326</v>
      </c>
      <c r="I6793" s="158" t="s">
        <v>32327</v>
      </c>
      <c r="J6793" s="128"/>
      <c r="K6793" s="128"/>
      <c r="L6793" s="128"/>
      <c r="M6793" s="129"/>
      <c r="N6793" s="129"/>
      <c r="O6793" s="129"/>
    </row>
    <row r="6794" spans="1:15" ht="12.5">
      <c r="A6794" s="158" t="s">
        <v>32328</v>
      </c>
      <c r="B6794" s="159">
        <v>80</v>
      </c>
      <c r="C6794" s="159">
        <v>51</v>
      </c>
      <c r="D6794" s="159">
        <v>30</v>
      </c>
      <c r="E6794" s="159">
        <v>61</v>
      </c>
      <c r="F6794" s="131"/>
      <c r="G6794" s="132"/>
      <c r="H6794" s="162" t="s">
        <v>32329</v>
      </c>
      <c r="I6794" s="158" t="s">
        <v>32330</v>
      </c>
      <c r="J6794" s="128"/>
      <c r="K6794" s="128"/>
      <c r="L6794" s="128"/>
      <c r="M6794" s="129"/>
      <c r="N6794" s="129"/>
      <c r="O6794" s="129"/>
    </row>
    <row r="6795" spans="1:15" ht="12.5">
      <c r="A6795" s="158" t="s">
        <v>32331</v>
      </c>
      <c r="B6795" s="159">
        <v>80</v>
      </c>
      <c r="C6795" s="159">
        <v>51</v>
      </c>
      <c r="D6795" s="159">
        <v>30</v>
      </c>
      <c r="E6795" s="159">
        <v>70</v>
      </c>
      <c r="F6795" s="131"/>
      <c r="G6795" s="132"/>
      <c r="H6795" s="162" t="s">
        <v>32332</v>
      </c>
      <c r="I6795" s="158" t="s">
        <v>32333</v>
      </c>
      <c r="J6795" s="128"/>
      <c r="K6795" s="128"/>
      <c r="L6795" s="128"/>
      <c r="M6795" s="129"/>
      <c r="N6795" s="129"/>
      <c r="O6795" s="129"/>
    </row>
    <row r="6796" spans="1:15" ht="12.5">
      <c r="A6796" s="158" t="s">
        <v>32334</v>
      </c>
      <c r="B6796" s="159">
        <v>80</v>
      </c>
      <c r="C6796" s="159">
        <v>51</v>
      </c>
      <c r="D6796" s="159">
        <v>30</v>
      </c>
      <c r="E6796" s="159">
        <v>90</v>
      </c>
      <c r="F6796" s="131"/>
      <c r="G6796" s="132"/>
      <c r="H6796" s="162" t="s">
        <v>32335</v>
      </c>
      <c r="I6796" s="158" t="s">
        <v>32336</v>
      </c>
      <c r="J6796" s="128"/>
      <c r="K6796" s="128"/>
      <c r="L6796" s="128"/>
      <c r="M6796" s="129"/>
      <c r="N6796" s="129"/>
      <c r="O6796" s="129"/>
    </row>
    <row r="6797" spans="1:15" ht="12.5">
      <c r="A6797" s="158" t="s">
        <v>32337</v>
      </c>
      <c r="B6797" s="159">
        <v>80</v>
      </c>
      <c r="C6797" s="159">
        <v>51</v>
      </c>
      <c r="D6797" s="159">
        <v>30</v>
      </c>
      <c r="E6797" s="159">
        <v>94</v>
      </c>
      <c r="F6797" s="131"/>
      <c r="G6797" s="132"/>
      <c r="H6797" s="162" t="s">
        <v>32338</v>
      </c>
      <c r="I6797" s="158" t="s">
        <v>32339</v>
      </c>
      <c r="J6797" s="128"/>
      <c r="K6797" s="128"/>
      <c r="L6797" s="128"/>
      <c r="M6797" s="129"/>
      <c r="N6797" s="129"/>
      <c r="O6797" s="129"/>
    </row>
    <row r="6798" spans="1:15" ht="12.5">
      <c r="A6798" s="158" t="s">
        <v>32340</v>
      </c>
      <c r="B6798" s="159">
        <v>80</v>
      </c>
      <c r="C6798" s="159">
        <v>51</v>
      </c>
      <c r="D6798" s="159">
        <v>46</v>
      </c>
      <c r="E6798" s="130"/>
      <c r="F6798" s="199"/>
      <c r="G6798" s="194"/>
      <c r="H6798" s="162" t="s">
        <v>32341</v>
      </c>
      <c r="I6798" s="128"/>
      <c r="J6798" s="128"/>
      <c r="K6798" s="128"/>
      <c r="L6798" s="128"/>
      <c r="M6798" s="129"/>
      <c r="N6798" s="129"/>
      <c r="O6798" s="129"/>
    </row>
    <row r="6799" spans="1:15" ht="12.5">
      <c r="A6799" s="158" t="s">
        <v>32342</v>
      </c>
      <c r="B6799" s="159">
        <v>80</v>
      </c>
      <c r="C6799" s="159">
        <v>51</v>
      </c>
      <c r="D6799" s="159">
        <v>46</v>
      </c>
      <c r="E6799" s="159">
        <v>15</v>
      </c>
      <c r="F6799" s="131"/>
      <c r="G6799" s="132"/>
      <c r="H6799" s="162" t="s">
        <v>32343</v>
      </c>
      <c r="I6799" s="158" t="s">
        <v>32344</v>
      </c>
      <c r="J6799" s="128"/>
      <c r="K6799" s="128"/>
      <c r="L6799" s="128"/>
      <c r="M6799" s="129"/>
      <c r="N6799" s="129"/>
      <c r="O6799" s="129"/>
    </row>
    <row r="6800" spans="1:15" ht="12.5">
      <c r="A6800" s="158" t="s">
        <v>32345</v>
      </c>
      <c r="B6800" s="159">
        <v>80</v>
      </c>
      <c r="C6800" s="159">
        <v>51</v>
      </c>
      <c r="D6800" s="159">
        <v>46</v>
      </c>
      <c r="E6800" s="159">
        <v>27</v>
      </c>
      <c r="F6800" s="131"/>
      <c r="G6800" s="132"/>
      <c r="H6800" s="162" t="s">
        <v>32346</v>
      </c>
      <c r="I6800" s="158" t="s">
        <v>32347</v>
      </c>
      <c r="J6800" s="128"/>
      <c r="K6800" s="128"/>
      <c r="L6800" s="128"/>
      <c r="M6800" s="129"/>
      <c r="N6800" s="129"/>
      <c r="O6800" s="129"/>
    </row>
    <row r="6801" spans="1:15" ht="12.5">
      <c r="A6801" s="158" t="s">
        <v>32348</v>
      </c>
      <c r="B6801" s="159">
        <v>80</v>
      </c>
      <c r="C6801" s="159">
        <v>51</v>
      </c>
      <c r="D6801" s="159">
        <v>46</v>
      </c>
      <c r="E6801" s="159">
        <v>55</v>
      </c>
      <c r="F6801" s="131"/>
      <c r="G6801" s="132"/>
      <c r="H6801" s="162" t="s">
        <v>32349</v>
      </c>
      <c r="I6801" s="158" t="s">
        <v>32350</v>
      </c>
      <c r="J6801" s="128"/>
      <c r="K6801" s="128"/>
      <c r="L6801" s="128"/>
      <c r="M6801" s="129"/>
      <c r="N6801" s="129"/>
      <c r="O6801" s="129"/>
    </row>
    <row r="6802" spans="1:15" ht="12.5">
      <c r="A6802" s="158" t="s">
        <v>32351</v>
      </c>
      <c r="B6802" s="159">
        <v>80</v>
      </c>
      <c r="C6802" s="159">
        <v>51</v>
      </c>
      <c r="D6802" s="159">
        <v>46</v>
      </c>
      <c r="E6802" s="159">
        <v>66</v>
      </c>
      <c r="F6802" s="131"/>
      <c r="G6802" s="132"/>
      <c r="H6802" s="162" t="s">
        <v>32352</v>
      </c>
      <c r="I6802" s="158" t="s">
        <v>32353</v>
      </c>
      <c r="J6802" s="128"/>
      <c r="K6802" s="128"/>
      <c r="L6802" s="128"/>
      <c r="M6802" s="129"/>
      <c r="N6802" s="129"/>
      <c r="O6802" s="129"/>
    </row>
    <row r="6803" spans="1:15" ht="12.5">
      <c r="A6803" s="158" t="s">
        <v>32354</v>
      </c>
      <c r="B6803" s="159">
        <v>80</v>
      </c>
      <c r="C6803" s="159">
        <v>51</v>
      </c>
      <c r="D6803" s="159">
        <v>46</v>
      </c>
      <c r="E6803" s="159">
        <v>73</v>
      </c>
      <c r="F6803" s="131"/>
      <c r="G6803" s="132"/>
      <c r="H6803" s="162" t="s">
        <v>32355</v>
      </c>
      <c r="I6803" s="158" t="s">
        <v>32356</v>
      </c>
      <c r="J6803" s="128"/>
      <c r="K6803" s="128"/>
      <c r="L6803" s="128"/>
      <c r="M6803" s="129"/>
      <c r="N6803" s="129"/>
      <c r="O6803" s="129"/>
    </row>
    <row r="6804" spans="1:15" ht="12.5">
      <c r="A6804" s="158" t="s">
        <v>32357</v>
      </c>
      <c r="B6804" s="159">
        <v>80</v>
      </c>
      <c r="C6804" s="159">
        <v>51</v>
      </c>
      <c r="D6804" s="159">
        <v>46</v>
      </c>
      <c r="E6804" s="159">
        <v>85</v>
      </c>
      <c r="F6804" s="131"/>
      <c r="G6804" s="132"/>
      <c r="H6804" s="162" t="s">
        <v>32358</v>
      </c>
      <c r="I6804" s="158" t="s">
        <v>32359</v>
      </c>
      <c r="J6804" s="128"/>
      <c r="K6804" s="128"/>
      <c r="L6804" s="128"/>
      <c r="M6804" s="129"/>
      <c r="N6804" s="129"/>
      <c r="O6804" s="129"/>
    </row>
    <row r="6805" spans="1:15" ht="12.5">
      <c r="A6805" s="158" t="s">
        <v>32360</v>
      </c>
      <c r="B6805" s="159">
        <v>80</v>
      </c>
      <c r="C6805" s="159">
        <v>51</v>
      </c>
      <c r="D6805" s="159">
        <v>46</v>
      </c>
      <c r="E6805" s="159">
        <v>88</v>
      </c>
      <c r="F6805" s="131"/>
      <c r="G6805" s="132"/>
      <c r="H6805" s="162" t="s">
        <v>32361</v>
      </c>
      <c r="I6805" s="158" t="s">
        <v>32362</v>
      </c>
      <c r="J6805" s="128"/>
      <c r="K6805" s="128"/>
      <c r="L6805" s="128"/>
      <c r="M6805" s="129"/>
      <c r="N6805" s="129"/>
      <c r="O6805" s="129"/>
    </row>
    <row r="6806" spans="1:15" ht="12.5">
      <c r="A6806" s="158" t="s">
        <v>32363</v>
      </c>
      <c r="B6806" s="159">
        <v>80</v>
      </c>
      <c r="C6806" s="159">
        <v>51</v>
      </c>
      <c r="D6806" s="159">
        <v>46</v>
      </c>
      <c r="E6806" s="159">
        <v>92</v>
      </c>
      <c r="F6806" s="131"/>
      <c r="G6806" s="132"/>
      <c r="H6806" s="162" t="s">
        <v>32364</v>
      </c>
      <c r="I6806" s="158" t="s">
        <v>32365</v>
      </c>
      <c r="J6806" s="128"/>
      <c r="K6806" s="128"/>
      <c r="L6806" s="128"/>
      <c r="M6806" s="129"/>
      <c r="N6806" s="129"/>
      <c r="O6806" s="129"/>
    </row>
    <row r="6807" spans="1:15" ht="12.5">
      <c r="A6807" s="158" t="s">
        <v>32366</v>
      </c>
      <c r="B6807" s="159">
        <v>80</v>
      </c>
      <c r="C6807" s="159">
        <v>51</v>
      </c>
      <c r="D6807" s="159">
        <v>51</v>
      </c>
      <c r="E6807" s="130"/>
      <c r="F6807" s="199"/>
      <c r="G6807" s="194"/>
      <c r="H6807" s="162" t="s">
        <v>32367</v>
      </c>
      <c r="I6807" s="128"/>
      <c r="J6807" s="128"/>
      <c r="K6807" s="128"/>
      <c r="L6807" s="128"/>
      <c r="M6807" s="129"/>
      <c r="N6807" s="129"/>
      <c r="O6807" s="129"/>
    </row>
    <row r="6808" spans="1:15" ht="12.5">
      <c r="A6808" s="158" t="s">
        <v>32368</v>
      </c>
      <c r="B6808" s="159">
        <v>80</v>
      </c>
      <c r="C6808" s="159">
        <v>51</v>
      </c>
      <c r="D6808" s="159">
        <v>51</v>
      </c>
      <c r="E6808" s="159">
        <v>4</v>
      </c>
      <c r="F6808" s="131"/>
      <c r="G6808" s="132"/>
      <c r="H6808" s="162" t="s">
        <v>32369</v>
      </c>
      <c r="I6808" s="158" t="s">
        <v>32370</v>
      </c>
      <c r="J6808" s="128"/>
      <c r="K6808" s="128"/>
      <c r="L6808" s="128"/>
      <c r="M6808" s="129"/>
      <c r="N6808" s="129"/>
      <c r="O6808" s="129"/>
    </row>
    <row r="6809" spans="1:15" ht="12.5">
      <c r="A6809" s="158" t="s">
        <v>32371</v>
      </c>
      <c r="B6809" s="159">
        <v>80</v>
      </c>
      <c r="C6809" s="159">
        <v>51</v>
      </c>
      <c r="D6809" s="159">
        <v>51</v>
      </c>
      <c r="E6809" s="159">
        <v>5</v>
      </c>
      <c r="F6809" s="131"/>
      <c r="G6809" s="132"/>
      <c r="H6809" s="162" t="s">
        <v>31607</v>
      </c>
      <c r="I6809" s="128"/>
      <c r="J6809" s="128"/>
      <c r="K6809" s="128"/>
      <c r="L6809" s="128"/>
      <c r="M6809" s="129"/>
      <c r="N6809" s="129"/>
      <c r="O6809" s="129"/>
    </row>
    <row r="6810" spans="1:15" ht="12.5">
      <c r="A6810" s="158" t="s">
        <v>32373</v>
      </c>
      <c r="B6810" s="159">
        <v>80</v>
      </c>
      <c r="C6810" s="159">
        <v>51</v>
      </c>
      <c r="D6810" s="159">
        <v>51</v>
      </c>
      <c r="E6810" s="159">
        <v>6</v>
      </c>
      <c r="F6810" s="131"/>
      <c r="G6810" s="132"/>
      <c r="H6810" s="162" t="s">
        <v>32374</v>
      </c>
      <c r="I6810" s="158" t="s">
        <v>32375</v>
      </c>
      <c r="J6810" s="128"/>
      <c r="K6810" s="128"/>
      <c r="L6810" s="128"/>
      <c r="M6810" s="129"/>
      <c r="N6810" s="129"/>
      <c r="O6810" s="129"/>
    </row>
    <row r="6811" spans="1:15" ht="12.5">
      <c r="A6811" s="158" t="s">
        <v>32376</v>
      </c>
      <c r="B6811" s="159">
        <v>80</v>
      </c>
      <c r="C6811" s="159">
        <v>51</v>
      </c>
      <c r="D6811" s="159">
        <v>51</v>
      </c>
      <c r="E6811" s="159">
        <v>11</v>
      </c>
      <c r="F6811" s="131"/>
      <c r="G6811" s="132"/>
      <c r="H6811" s="162" t="s">
        <v>32377</v>
      </c>
      <c r="I6811" s="158" t="s">
        <v>32378</v>
      </c>
      <c r="J6811" s="128"/>
      <c r="K6811" s="128"/>
      <c r="L6811" s="128"/>
      <c r="M6811" s="129"/>
      <c r="N6811" s="129"/>
      <c r="O6811" s="129"/>
    </row>
    <row r="6812" spans="1:15" ht="12.5">
      <c r="A6812" s="158" t="s">
        <v>32382</v>
      </c>
      <c r="B6812" s="159">
        <v>80</v>
      </c>
      <c r="C6812" s="159">
        <v>51</v>
      </c>
      <c r="D6812" s="159">
        <v>51</v>
      </c>
      <c r="E6812" s="159">
        <v>19</v>
      </c>
      <c r="F6812" s="131"/>
      <c r="G6812" s="132"/>
      <c r="H6812" s="162" t="s">
        <v>32383</v>
      </c>
      <c r="I6812" s="158" t="s">
        <v>32384</v>
      </c>
      <c r="J6812" s="128"/>
      <c r="K6812" s="128"/>
      <c r="L6812" s="128"/>
      <c r="M6812" s="129"/>
      <c r="N6812" s="129"/>
      <c r="O6812" s="129"/>
    </row>
    <row r="6813" spans="1:15" ht="12.5">
      <c r="A6813" s="158" t="s">
        <v>32385</v>
      </c>
      <c r="B6813" s="159">
        <v>80</v>
      </c>
      <c r="C6813" s="159">
        <v>51</v>
      </c>
      <c r="D6813" s="159">
        <v>51</v>
      </c>
      <c r="E6813" s="159">
        <v>21</v>
      </c>
      <c r="F6813" s="131"/>
      <c r="G6813" s="132"/>
      <c r="H6813" s="162" t="s">
        <v>32386</v>
      </c>
      <c r="I6813" s="158" t="s">
        <v>32387</v>
      </c>
      <c r="J6813" s="128"/>
      <c r="K6813" s="128"/>
      <c r="L6813" s="128"/>
      <c r="M6813" s="129"/>
      <c r="N6813" s="129"/>
      <c r="O6813" s="129"/>
    </row>
    <row r="6814" spans="1:15" ht="12.5">
      <c r="A6814" s="158" t="s">
        <v>32388</v>
      </c>
      <c r="B6814" s="159">
        <v>80</v>
      </c>
      <c r="C6814" s="159">
        <v>51</v>
      </c>
      <c r="D6814" s="159">
        <v>51</v>
      </c>
      <c r="E6814" s="159">
        <v>22</v>
      </c>
      <c r="F6814" s="131"/>
      <c r="G6814" s="132"/>
      <c r="H6814" s="162" t="s">
        <v>32389</v>
      </c>
      <c r="I6814" s="158" t="s">
        <v>32390</v>
      </c>
      <c r="J6814" s="128"/>
      <c r="K6814" s="128"/>
      <c r="L6814" s="128"/>
      <c r="M6814" s="129"/>
      <c r="N6814" s="129"/>
      <c r="O6814" s="129"/>
    </row>
    <row r="6815" spans="1:15" ht="12.5">
      <c r="A6815" s="158" t="s">
        <v>32391</v>
      </c>
      <c r="B6815" s="159">
        <v>80</v>
      </c>
      <c r="C6815" s="159">
        <v>51</v>
      </c>
      <c r="D6815" s="159">
        <v>51</v>
      </c>
      <c r="E6815" s="159">
        <v>23</v>
      </c>
      <c r="F6815" s="131"/>
      <c r="G6815" s="132"/>
      <c r="H6815" s="162" t="s">
        <v>32392</v>
      </c>
      <c r="I6815" s="158" t="s">
        <v>32393</v>
      </c>
      <c r="J6815" s="128"/>
      <c r="K6815" s="128"/>
      <c r="L6815" s="128"/>
      <c r="M6815" s="129"/>
      <c r="N6815" s="129"/>
      <c r="O6815" s="129"/>
    </row>
    <row r="6816" spans="1:15" ht="12.5">
      <c r="A6816" s="187" t="s">
        <v>32394</v>
      </c>
      <c r="B6816" s="159">
        <v>80</v>
      </c>
      <c r="C6816" s="159">
        <v>51</v>
      </c>
      <c r="D6816" s="159">
        <v>51</v>
      </c>
      <c r="E6816" s="159">
        <v>28</v>
      </c>
      <c r="F6816" s="199"/>
      <c r="G6816" s="194"/>
      <c r="H6816" s="162" t="s">
        <v>32395</v>
      </c>
      <c r="I6816" s="158" t="s">
        <v>33595</v>
      </c>
      <c r="J6816" s="128"/>
      <c r="K6816" s="128"/>
      <c r="L6816" s="128"/>
      <c r="M6816" s="129"/>
      <c r="N6816" s="129"/>
      <c r="O6816" s="129"/>
    </row>
    <row r="6817" spans="1:15" ht="12.5">
      <c r="A6817" s="158" t="s">
        <v>32398</v>
      </c>
      <c r="B6817" s="159">
        <v>80</v>
      </c>
      <c r="C6817" s="159">
        <v>51</v>
      </c>
      <c r="D6817" s="159">
        <v>51</v>
      </c>
      <c r="E6817" s="159">
        <v>32</v>
      </c>
      <c r="F6817" s="131"/>
      <c r="G6817" s="132"/>
      <c r="H6817" s="162" t="s">
        <v>32399</v>
      </c>
      <c r="I6817" s="158" t="s">
        <v>32400</v>
      </c>
      <c r="J6817" s="128"/>
      <c r="K6817" s="128"/>
      <c r="L6817" s="128"/>
      <c r="M6817" s="129"/>
      <c r="N6817" s="129"/>
      <c r="O6817" s="129"/>
    </row>
    <row r="6818" spans="1:15" ht="12.5">
      <c r="A6818" s="158" t="s">
        <v>32401</v>
      </c>
      <c r="B6818" s="159">
        <v>80</v>
      </c>
      <c r="C6818" s="159">
        <v>51</v>
      </c>
      <c r="D6818" s="159">
        <v>51</v>
      </c>
      <c r="E6818" s="159">
        <v>33</v>
      </c>
      <c r="F6818" s="131"/>
      <c r="G6818" s="132"/>
      <c r="H6818" s="162" t="s">
        <v>32402</v>
      </c>
      <c r="I6818" s="158" t="s">
        <v>32403</v>
      </c>
      <c r="J6818" s="128"/>
      <c r="K6818" s="128"/>
      <c r="L6818" s="128"/>
      <c r="M6818" s="129"/>
      <c r="N6818" s="129"/>
      <c r="O6818" s="129"/>
    </row>
    <row r="6819" spans="1:15" ht="12.5">
      <c r="A6819" s="158" t="s">
        <v>32404</v>
      </c>
      <c r="B6819" s="159">
        <v>80</v>
      </c>
      <c r="C6819" s="159">
        <v>51</v>
      </c>
      <c r="D6819" s="159">
        <v>51</v>
      </c>
      <c r="E6819" s="159">
        <v>37</v>
      </c>
      <c r="F6819" s="131"/>
      <c r="G6819" s="132"/>
      <c r="H6819" s="162" t="s">
        <v>32405</v>
      </c>
      <c r="I6819" s="158" t="s">
        <v>32406</v>
      </c>
      <c r="J6819" s="128"/>
      <c r="K6819" s="128"/>
      <c r="L6819" s="128"/>
      <c r="M6819" s="129"/>
      <c r="N6819" s="129"/>
      <c r="O6819" s="129"/>
    </row>
    <row r="6820" spans="1:15" ht="12.5">
      <c r="A6820" s="158" t="s">
        <v>32407</v>
      </c>
      <c r="B6820" s="159">
        <v>80</v>
      </c>
      <c r="C6820" s="159">
        <v>51</v>
      </c>
      <c r="D6820" s="159">
        <v>51</v>
      </c>
      <c r="E6820" s="159">
        <v>50</v>
      </c>
      <c r="F6820" s="131"/>
      <c r="G6820" s="132"/>
      <c r="H6820" s="162" t="s">
        <v>32408</v>
      </c>
      <c r="I6820" s="158" t="s">
        <v>32409</v>
      </c>
      <c r="J6820" s="128"/>
      <c r="K6820" s="128"/>
      <c r="L6820" s="128"/>
      <c r="M6820" s="129"/>
      <c r="N6820" s="129"/>
      <c r="O6820" s="129"/>
    </row>
    <row r="6821" spans="1:15" ht="12.5">
      <c r="A6821" s="158" t="s">
        <v>32412</v>
      </c>
      <c r="B6821" s="159">
        <v>80</v>
      </c>
      <c r="C6821" s="159">
        <v>51</v>
      </c>
      <c r="D6821" s="159">
        <v>51</v>
      </c>
      <c r="E6821" s="159">
        <v>58</v>
      </c>
      <c r="F6821" s="131"/>
      <c r="G6821" s="132"/>
      <c r="H6821" s="162" t="s">
        <v>32413</v>
      </c>
      <c r="I6821" s="128"/>
      <c r="J6821" s="128"/>
      <c r="K6821" s="128"/>
      <c r="L6821" s="128"/>
      <c r="M6821" s="129"/>
      <c r="N6821" s="129"/>
      <c r="O6821" s="129"/>
    </row>
    <row r="6822" spans="1:15" ht="12.5">
      <c r="A6822" s="158" t="s">
        <v>32416</v>
      </c>
      <c r="B6822" s="159">
        <v>80</v>
      </c>
      <c r="C6822" s="159">
        <v>51</v>
      </c>
      <c r="D6822" s="159">
        <v>51</v>
      </c>
      <c r="E6822" s="159">
        <v>62</v>
      </c>
      <c r="F6822" s="131"/>
      <c r="G6822" s="132"/>
      <c r="H6822" s="162" t="s">
        <v>32417</v>
      </c>
      <c r="I6822" s="158" t="s">
        <v>32418</v>
      </c>
      <c r="J6822" s="128"/>
      <c r="K6822" s="128"/>
      <c r="L6822" s="128"/>
      <c r="M6822" s="129"/>
      <c r="N6822" s="129"/>
      <c r="O6822" s="129"/>
    </row>
    <row r="6823" spans="1:15" ht="12.5">
      <c r="A6823" s="158" t="s">
        <v>32421</v>
      </c>
      <c r="B6823" s="159">
        <v>80</v>
      </c>
      <c r="C6823" s="159">
        <v>51</v>
      </c>
      <c r="D6823" s="159">
        <v>51</v>
      </c>
      <c r="E6823" s="159">
        <v>64</v>
      </c>
      <c r="F6823" s="131"/>
      <c r="G6823" s="132"/>
      <c r="H6823" s="162" t="s">
        <v>32422</v>
      </c>
      <c r="I6823" s="158" t="s">
        <v>32423</v>
      </c>
      <c r="J6823" s="128"/>
      <c r="K6823" s="128"/>
      <c r="L6823" s="128"/>
      <c r="M6823" s="129"/>
      <c r="N6823" s="129"/>
      <c r="O6823" s="129"/>
    </row>
    <row r="6824" spans="1:15" ht="12.5">
      <c r="A6824" s="158" t="s">
        <v>32424</v>
      </c>
      <c r="B6824" s="159">
        <v>80</v>
      </c>
      <c r="C6824" s="159">
        <v>51</v>
      </c>
      <c r="D6824" s="159">
        <v>51</v>
      </c>
      <c r="E6824" s="159">
        <v>65</v>
      </c>
      <c r="F6824" s="131"/>
      <c r="G6824" s="132"/>
      <c r="H6824" s="162" t="s">
        <v>32425</v>
      </c>
      <c r="I6824" s="128"/>
      <c r="J6824" s="128"/>
      <c r="K6824" s="128"/>
      <c r="L6824" s="128"/>
      <c r="M6824" s="129"/>
      <c r="N6824" s="129"/>
      <c r="O6824" s="129"/>
    </row>
    <row r="6825" spans="1:15" ht="12.5">
      <c r="A6825" s="158" t="s">
        <v>32426</v>
      </c>
      <c r="B6825" s="159">
        <v>80</v>
      </c>
      <c r="C6825" s="159">
        <v>51</v>
      </c>
      <c r="D6825" s="159">
        <v>51</v>
      </c>
      <c r="E6825" s="159">
        <v>66</v>
      </c>
      <c r="F6825" s="131"/>
      <c r="G6825" s="132"/>
      <c r="H6825" s="162" t="s">
        <v>32427</v>
      </c>
      <c r="I6825" s="128"/>
      <c r="J6825" s="128"/>
      <c r="K6825" s="128"/>
      <c r="L6825" s="128"/>
      <c r="M6825" s="129"/>
      <c r="N6825" s="129"/>
      <c r="O6825" s="129"/>
    </row>
    <row r="6826" spans="1:15" ht="12.5">
      <c r="A6826" s="158" t="s">
        <v>32428</v>
      </c>
      <c r="B6826" s="159">
        <v>80</v>
      </c>
      <c r="C6826" s="159">
        <v>51</v>
      </c>
      <c r="D6826" s="159">
        <v>51</v>
      </c>
      <c r="E6826" s="159">
        <v>67</v>
      </c>
      <c r="F6826" s="131"/>
      <c r="G6826" s="132"/>
      <c r="H6826" s="162" t="s">
        <v>32429</v>
      </c>
      <c r="I6826" s="128"/>
      <c r="J6826" s="128"/>
      <c r="K6826" s="128"/>
      <c r="L6826" s="128"/>
      <c r="M6826" s="129"/>
      <c r="N6826" s="129"/>
      <c r="O6826" s="129"/>
    </row>
    <row r="6827" spans="1:15" ht="12.5">
      <c r="A6827" s="158" t="s">
        <v>32432</v>
      </c>
      <c r="B6827" s="159">
        <v>80</v>
      </c>
      <c r="C6827" s="159">
        <v>51</v>
      </c>
      <c r="D6827" s="159">
        <v>51</v>
      </c>
      <c r="E6827" s="159">
        <v>92</v>
      </c>
      <c r="F6827" s="131"/>
      <c r="G6827" s="132"/>
      <c r="H6827" s="162" t="s">
        <v>32433</v>
      </c>
      <c r="I6827" s="158" t="s">
        <v>32434</v>
      </c>
      <c r="J6827" s="128"/>
      <c r="K6827" s="128"/>
      <c r="L6827" s="128"/>
      <c r="M6827" s="129"/>
      <c r="N6827" s="129"/>
      <c r="O6827" s="129"/>
    </row>
    <row r="6828" spans="1:15" ht="12.5">
      <c r="A6828" s="158" t="s">
        <v>32435</v>
      </c>
      <c r="B6828" s="159">
        <v>80</v>
      </c>
      <c r="C6828" s="159">
        <v>51</v>
      </c>
      <c r="D6828" s="159">
        <v>51</v>
      </c>
      <c r="E6828" s="159">
        <v>93</v>
      </c>
      <c r="F6828" s="131"/>
      <c r="G6828" s="132"/>
      <c r="H6828" s="162" t="s">
        <v>32436</v>
      </c>
      <c r="I6828" s="158" t="s">
        <v>32437</v>
      </c>
      <c r="J6828" s="128"/>
      <c r="K6828" s="128"/>
      <c r="L6828" s="128"/>
      <c r="M6828" s="129"/>
      <c r="N6828" s="129"/>
      <c r="O6828" s="129"/>
    </row>
    <row r="6829" spans="1:15" ht="12.5">
      <c r="A6829" s="158" t="s">
        <v>32438</v>
      </c>
      <c r="B6829" s="159">
        <v>80</v>
      </c>
      <c r="C6829" s="159">
        <v>51</v>
      </c>
      <c r="D6829" s="159">
        <v>51</v>
      </c>
      <c r="E6829" s="159">
        <v>94</v>
      </c>
      <c r="F6829" s="131"/>
      <c r="G6829" s="132"/>
      <c r="H6829" s="162" t="s">
        <v>32439</v>
      </c>
      <c r="I6829" s="158" t="s">
        <v>32440</v>
      </c>
      <c r="J6829" s="128"/>
      <c r="K6829" s="128"/>
      <c r="L6829" s="128"/>
      <c r="M6829" s="129"/>
      <c r="N6829" s="129"/>
      <c r="O6829" s="129"/>
    </row>
    <row r="6830" spans="1:15" ht="12.5">
      <c r="A6830" s="158" t="s">
        <v>32443</v>
      </c>
      <c r="B6830" s="159">
        <v>80</v>
      </c>
      <c r="C6830" s="159">
        <v>51</v>
      </c>
      <c r="D6830" s="159">
        <v>51</v>
      </c>
      <c r="E6830" s="159">
        <v>96</v>
      </c>
      <c r="F6830" s="131"/>
      <c r="G6830" s="132"/>
      <c r="H6830" s="162" t="s">
        <v>32444</v>
      </c>
      <c r="I6830" s="158" t="s">
        <v>32445</v>
      </c>
      <c r="J6830" s="128"/>
      <c r="K6830" s="128"/>
      <c r="L6830" s="128"/>
      <c r="M6830" s="129"/>
      <c r="N6830" s="129"/>
      <c r="O6830" s="129"/>
    </row>
    <row r="6831" spans="1:15" ht="12.5">
      <c r="A6831" s="158" t="s">
        <v>32446</v>
      </c>
      <c r="B6831" s="159">
        <v>80</v>
      </c>
      <c r="C6831" s="159">
        <v>51</v>
      </c>
      <c r="D6831" s="159">
        <v>51</v>
      </c>
      <c r="E6831" s="159">
        <v>97</v>
      </c>
      <c r="F6831" s="131"/>
      <c r="G6831" s="132"/>
      <c r="H6831" s="162" t="s">
        <v>32447</v>
      </c>
      <c r="I6831" s="158" t="s">
        <v>32448</v>
      </c>
      <c r="J6831" s="128"/>
      <c r="K6831" s="128"/>
      <c r="L6831" s="128"/>
      <c r="M6831" s="129"/>
      <c r="N6831" s="129"/>
      <c r="O6831" s="129"/>
    </row>
    <row r="6832" spans="1:15" ht="12.5">
      <c r="A6832" s="158" t="s">
        <v>32449</v>
      </c>
      <c r="B6832" s="159">
        <v>80</v>
      </c>
      <c r="C6832" s="159">
        <v>51</v>
      </c>
      <c r="D6832" s="159">
        <v>51</v>
      </c>
      <c r="E6832" s="159">
        <v>98</v>
      </c>
      <c r="F6832" s="131"/>
      <c r="G6832" s="132"/>
      <c r="H6832" s="162" t="s">
        <v>32450</v>
      </c>
      <c r="I6832" s="128"/>
      <c r="J6832" s="128"/>
      <c r="K6832" s="128"/>
      <c r="L6832" s="128"/>
      <c r="M6832" s="129"/>
      <c r="N6832" s="129"/>
      <c r="O6832" s="129"/>
    </row>
    <row r="6833" spans="1:15" ht="12.5">
      <c r="A6833" s="158" t="s">
        <v>32451</v>
      </c>
      <c r="B6833" s="159">
        <v>80</v>
      </c>
      <c r="C6833" s="159">
        <v>51</v>
      </c>
      <c r="D6833" s="159">
        <v>70</v>
      </c>
      <c r="E6833" s="130"/>
      <c r="F6833" s="131"/>
      <c r="G6833" s="132"/>
      <c r="H6833" s="162" t="s">
        <v>32452</v>
      </c>
      <c r="I6833" s="128"/>
      <c r="J6833" s="128"/>
      <c r="K6833" s="128"/>
      <c r="L6833" s="128"/>
      <c r="M6833" s="129"/>
      <c r="N6833" s="129"/>
      <c r="O6833" s="129"/>
    </row>
    <row r="6834" spans="1:15" ht="12.5">
      <c r="A6834" s="158" t="s">
        <v>32455</v>
      </c>
      <c r="B6834" s="159">
        <v>80</v>
      </c>
      <c r="C6834" s="159">
        <v>51</v>
      </c>
      <c r="D6834" s="159">
        <v>70</v>
      </c>
      <c r="E6834" s="159">
        <v>44</v>
      </c>
      <c r="F6834" s="131"/>
      <c r="G6834" s="132"/>
      <c r="H6834" s="162" t="s">
        <v>32456</v>
      </c>
      <c r="I6834" s="128"/>
      <c r="J6834" s="128"/>
      <c r="K6834" s="128"/>
      <c r="L6834" s="128"/>
      <c r="M6834" s="129"/>
      <c r="N6834" s="129"/>
      <c r="O6834" s="129"/>
    </row>
    <row r="6835" spans="1:15" ht="12.5">
      <c r="A6835" s="158" t="s">
        <v>32457</v>
      </c>
      <c r="B6835" s="159">
        <v>80</v>
      </c>
      <c r="C6835" s="159">
        <v>51</v>
      </c>
      <c r="D6835" s="159">
        <v>70</v>
      </c>
      <c r="E6835" s="159">
        <v>64</v>
      </c>
      <c r="F6835" s="131"/>
      <c r="G6835" s="132"/>
      <c r="H6835" s="162" t="s">
        <v>32458</v>
      </c>
      <c r="I6835" s="128"/>
      <c r="J6835" s="128"/>
      <c r="K6835" s="128"/>
      <c r="L6835" s="128"/>
      <c r="M6835" s="129"/>
      <c r="N6835" s="129"/>
      <c r="O6835" s="129"/>
    </row>
    <row r="6836" spans="1:15" ht="12.5">
      <c r="A6836" s="158" t="s">
        <v>32463</v>
      </c>
      <c r="B6836" s="159">
        <v>80</v>
      </c>
      <c r="C6836" s="159">
        <v>51</v>
      </c>
      <c r="D6836" s="159">
        <v>70</v>
      </c>
      <c r="E6836" s="159">
        <v>89</v>
      </c>
      <c r="F6836" s="131"/>
      <c r="G6836" s="132"/>
      <c r="H6836" s="162" t="s">
        <v>32464</v>
      </c>
      <c r="I6836" s="128"/>
      <c r="J6836" s="128"/>
      <c r="K6836" s="128"/>
      <c r="L6836" s="128"/>
      <c r="M6836" s="129"/>
      <c r="N6836" s="129"/>
      <c r="O6836" s="129"/>
    </row>
    <row r="6837" spans="1:15" ht="12.5">
      <c r="A6837" s="158" t="s">
        <v>32465</v>
      </c>
      <c r="B6837" s="159">
        <v>80</v>
      </c>
      <c r="C6837" s="159">
        <v>51</v>
      </c>
      <c r="D6837" s="159">
        <v>70</v>
      </c>
      <c r="E6837" s="159">
        <v>90</v>
      </c>
      <c r="F6837" s="131"/>
      <c r="G6837" s="132"/>
      <c r="H6837" s="162" t="s">
        <v>32466</v>
      </c>
      <c r="I6837" s="128"/>
      <c r="J6837" s="128"/>
      <c r="K6837" s="128"/>
      <c r="L6837" s="128"/>
      <c r="M6837" s="129"/>
      <c r="N6837" s="129"/>
      <c r="O6837" s="129"/>
    </row>
    <row r="6838" spans="1:15" ht="12.5">
      <c r="A6838" s="158" t="s">
        <v>32467</v>
      </c>
      <c r="B6838" s="159">
        <v>80</v>
      </c>
      <c r="C6838" s="159">
        <v>51</v>
      </c>
      <c r="D6838" s="159">
        <v>85</v>
      </c>
      <c r="E6838" s="130"/>
      <c r="F6838" s="131"/>
      <c r="G6838" s="132"/>
      <c r="H6838" s="162" t="s">
        <v>32468</v>
      </c>
      <c r="I6838" s="128"/>
      <c r="J6838" s="128"/>
      <c r="K6838" s="128"/>
      <c r="L6838" s="128"/>
      <c r="M6838" s="129"/>
      <c r="N6838" s="129"/>
      <c r="O6838" s="129"/>
    </row>
    <row r="6839" spans="1:15" ht="12.5">
      <c r="A6839" s="158" t="s">
        <v>32469</v>
      </c>
      <c r="B6839" s="159">
        <v>80</v>
      </c>
      <c r="C6839" s="159">
        <v>51</v>
      </c>
      <c r="D6839" s="159">
        <v>85</v>
      </c>
      <c r="E6839" s="159">
        <v>1</v>
      </c>
      <c r="F6839" s="131"/>
      <c r="G6839" s="132"/>
      <c r="H6839" s="162" t="s">
        <v>32470</v>
      </c>
      <c r="I6839" s="128"/>
      <c r="J6839" s="128"/>
      <c r="K6839" s="128"/>
      <c r="L6839" s="128"/>
      <c r="M6839" s="129"/>
      <c r="N6839" s="129"/>
      <c r="O6839" s="129"/>
    </row>
    <row r="6840" spans="1:15" ht="12.5">
      <c r="A6840" s="158" t="s">
        <v>32471</v>
      </c>
      <c r="B6840" s="159">
        <v>80</v>
      </c>
      <c r="C6840" s="159">
        <v>51</v>
      </c>
      <c r="D6840" s="159">
        <v>85</v>
      </c>
      <c r="E6840" s="159">
        <v>18</v>
      </c>
      <c r="F6840" s="131"/>
      <c r="G6840" s="132"/>
      <c r="H6840" s="162" t="s">
        <v>32472</v>
      </c>
      <c r="I6840" s="158" t="s">
        <v>32473</v>
      </c>
      <c r="J6840" s="128"/>
      <c r="K6840" s="128"/>
      <c r="L6840" s="128"/>
      <c r="M6840" s="129"/>
      <c r="N6840" s="129"/>
      <c r="O6840" s="129"/>
    </row>
    <row r="6841" spans="1:15" ht="12.5">
      <c r="A6841" s="158" t="s">
        <v>32474</v>
      </c>
      <c r="B6841" s="159">
        <v>80</v>
      </c>
      <c r="C6841" s="159">
        <v>51</v>
      </c>
      <c r="D6841" s="159">
        <v>85</v>
      </c>
      <c r="E6841" s="159">
        <v>21</v>
      </c>
      <c r="F6841" s="131"/>
      <c r="G6841" s="132"/>
      <c r="H6841" s="162" t="s">
        <v>32475</v>
      </c>
      <c r="I6841" s="158" t="s">
        <v>32476</v>
      </c>
      <c r="J6841" s="128"/>
      <c r="K6841" s="128"/>
      <c r="L6841" s="128"/>
      <c r="M6841" s="129"/>
      <c r="N6841" s="129"/>
      <c r="O6841" s="129"/>
    </row>
    <row r="6842" spans="1:15" ht="12.5">
      <c r="A6842" s="158" t="s">
        <v>32477</v>
      </c>
      <c r="B6842" s="159">
        <v>80</v>
      </c>
      <c r="C6842" s="159">
        <v>51</v>
      </c>
      <c r="D6842" s="159">
        <v>85</v>
      </c>
      <c r="E6842" s="159">
        <v>27</v>
      </c>
      <c r="F6842" s="131"/>
      <c r="G6842" s="132"/>
      <c r="H6842" s="162" t="s">
        <v>32478</v>
      </c>
      <c r="I6842" s="158" t="s">
        <v>32479</v>
      </c>
      <c r="J6842" s="128"/>
      <c r="K6842" s="128"/>
      <c r="L6842" s="128"/>
      <c r="M6842" s="129"/>
      <c r="N6842" s="129"/>
      <c r="O6842" s="129"/>
    </row>
    <row r="6843" spans="1:15" ht="12.5">
      <c r="A6843" s="158" t="s">
        <v>32480</v>
      </c>
      <c r="B6843" s="159">
        <v>80</v>
      </c>
      <c r="C6843" s="159">
        <v>51</v>
      </c>
      <c r="D6843" s="159">
        <v>85</v>
      </c>
      <c r="E6843" s="159">
        <v>28</v>
      </c>
      <c r="F6843" s="131"/>
      <c r="G6843" s="132"/>
      <c r="H6843" s="162" t="s">
        <v>32481</v>
      </c>
      <c r="I6843" s="158" t="s">
        <v>32482</v>
      </c>
      <c r="J6843" s="128"/>
      <c r="K6843" s="128"/>
      <c r="L6843" s="128"/>
      <c r="M6843" s="129"/>
      <c r="N6843" s="129"/>
      <c r="O6843" s="129"/>
    </row>
    <row r="6844" spans="1:15" ht="12.5">
      <c r="A6844" s="158" t="s">
        <v>32483</v>
      </c>
      <c r="B6844" s="159">
        <v>80</v>
      </c>
      <c r="C6844" s="159">
        <v>51</v>
      </c>
      <c r="D6844" s="159">
        <v>85</v>
      </c>
      <c r="E6844" s="159">
        <v>41</v>
      </c>
      <c r="F6844" s="131"/>
      <c r="G6844" s="132"/>
      <c r="H6844" s="162" t="s">
        <v>32484</v>
      </c>
      <c r="I6844" s="158" t="s">
        <v>32485</v>
      </c>
      <c r="J6844" s="128"/>
      <c r="K6844" s="128"/>
      <c r="L6844" s="128"/>
      <c r="M6844" s="129"/>
      <c r="N6844" s="129"/>
      <c r="O6844" s="129"/>
    </row>
    <row r="6845" spans="1:15" ht="12.5">
      <c r="A6845" s="158" t="s">
        <v>32486</v>
      </c>
      <c r="B6845" s="159">
        <v>80</v>
      </c>
      <c r="C6845" s="159">
        <v>51</v>
      </c>
      <c r="D6845" s="159">
        <v>85</v>
      </c>
      <c r="E6845" s="159">
        <v>45</v>
      </c>
      <c r="F6845" s="131"/>
      <c r="G6845" s="132"/>
      <c r="H6845" s="162" t="s">
        <v>32487</v>
      </c>
      <c r="I6845" s="128"/>
      <c r="J6845" s="128"/>
      <c r="K6845" s="128"/>
      <c r="L6845" s="128"/>
      <c r="M6845" s="129"/>
      <c r="N6845" s="129"/>
      <c r="O6845" s="129"/>
    </row>
    <row r="6846" spans="1:15" ht="12.5">
      <c r="A6846" s="158" t="s">
        <v>32488</v>
      </c>
      <c r="B6846" s="159">
        <v>80</v>
      </c>
      <c r="C6846" s="159">
        <v>51</v>
      </c>
      <c r="D6846" s="159">
        <v>85</v>
      </c>
      <c r="E6846" s="159">
        <v>46</v>
      </c>
      <c r="F6846" s="131"/>
      <c r="G6846" s="132"/>
      <c r="H6846" s="162" t="s">
        <v>32489</v>
      </c>
      <c r="I6846" s="158" t="s">
        <v>32490</v>
      </c>
      <c r="J6846" s="128"/>
      <c r="K6846" s="128"/>
      <c r="L6846" s="128"/>
      <c r="M6846" s="129"/>
      <c r="N6846" s="129"/>
      <c r="O6846" s="129"/>
    </row>
    <row r="6847" spans="1:15" ht="12.5">
      <c r="A6847" s="158" t="s">
        <v>32491</v>
      </c>
      <c r="B6847" s="159">
        <v>80</v>
      </c>
      <c r="C6847" s="159">
        <v>51</v>
      </c>
      <c r="D6847" s="159">
        <v>85</v>
      </c>
      <c r="E6847" s="159">
        <v>47</v>
      </c>
      <c r="F6847" s="131"/>
      <c r="G6847" s="132"/>
      <c r="H6847" s="162" t="s">
        <v>32492</v>
      </c>
      <c r="I6847" s="158" t="s">
        <v>32493</v>
      </c>
      <c r="J6847" s="128"/>
      <c r="K6847" s="128"/>
      <c r="L6847" s="128"/>
      <c r="M6847" s="129"/>
      <c r="N6847" s="129"/>
      <c r="O6847" s="129"/>
    </row>
    <row r="6848" spans="1:15" ht="12.5">
      <c r="A6848" s="158" t="s">
        <v>32494</v>
      </c>
      <c r="B6848" s="159">
        <v>80</v>
      </c>
      <c r="C6848" s="159">
        <v>51</v>
      </c>
      <c r="D6848" s="159">
        <v>85</v>
      </c>
      <c r="E6848" s="159">
        <v>48</v>
      </c>
      <c r="F6848" s="131"/>
      <c r="G6848" s="132"/>
      <c r="H6848" s="162" t="s">
        <v>32495</v>
      </c>
      <c r="I6848" s="158" t="s">
        <v>32496</v>
      </c>
      <c r="J6848" s="128"/>
      <c r="K6848" s="128"/>
      <c r="L6848" s="128"/>
      <c r="M6848" s="129"/>
      <c r="N6848" s="129"/>
      <c r="O6848" s="129"/>
    </row>
    <row r="6849" spans="1:15" ht="12.5">
      <c r="A6849" s="158" t="s">
        <v>32497</v>
      </c>
      <c r="B6849" s="159">
        <v>80</v>
      </c>
      <c r="C6849" s="159">
        <v>51</v>
      </c>
      <c r="D6849" s="159">
        <v>85</v>
      </c>
      <c r="E6849" s="159">
        <v>66</v>
      </c>
      <c r="F6849" s="131"/>
      <c r="G6849" s="132"/>
      <c r="H6849" s="162" t="s">
        <v>32498</v>
      </c>
      <c r="I6849" s="158" t="s">
        <v>32499</v>
      </c>
      <c r="J6849" s="128"/>
      <c r="K6849" s="128"/>
      <c r="L6849" s="128"/>
      <c r="M6849" s="129"/>
      <c r="N6849" s="129"/>
      <c r="O6849" s="129"/>
    </row>
    <row r="6850" spans="1:15" ht="12.5">
      <c r="A6850" s="158" t="s">
        <v>32500</v>
      </c>
      <c r="B6850" s="159">
        <v>80</v>
      </c>
      <c r="C6850" s="159">
        <v>51</v>
      </c>
      <c r="D6850" s="159">
        <v>85</v>
      </c>
      <c r="E6850" s="159">
        <v>84</v>
      </c>
      <c r="F6850" s="131"/>
      <c r="G6850" s="132"/>
      <c r="H6850" s="162" t="s">
        <v>32501</v>
      </c>
      <c r="I6850" s="158" t="s">
        <v>32502</v>
      </c>
      <c r="J6850" s="128"/>
      <c r="K6850" s="128"/>
      <c r="L6850" s="128"/>
      <c r="M6850" s="129"/>
      <c r="N6850" s="129"/>
      <c r="O6850" s="129"/>
    </row>
    <row r="6851" spans="1:15" ht="12.5">
      <c r="A6851" s="158" t="s">
        <v>32503</v>
      </c>
      <c r="B6851" s="159">
        <v>80</v>
      </c>
      <c r="C6851" s="159">
        <v>51</v>
      </c>
      <c r="D6851" s="159">
        <v>85</v>
      </c>
      <c r="E6851" s="159">
        <v>87</v>
      </c>
      <c r="F6851" s="131"/>
      <c r="G6851" s="132"/>
      <c r="H6851" s="162" t="s">
        <v>32504</v>
      </c>
      <c r="I6851" s="158" t="s">
        <v>32505</v>
      </c>
      <c r="J6851" s="128"/>
      <c r="K6851" s="128"/>
      <c r="L6851" s="128"/>
      <c r="M6851" s="129"/>
      <c r="N6851" s="129"/>
      <c r="O6851" s="129"/>
    </row>
    <row r="6852" spans="1:15" ht="12.5">
      <c r="A6852" s="158" t="s">
        <v>32506</v>
      </c>
      <c r="B6852" s="159">
        <v>80</v>
      </c>
      <c r="C6852" s="159">
        <v>51</v>
      </c>
      <c r="D6852" s="159">
        <v>85</v>
      </c>
      <c r="E6852" s="159">
        <v>88</v>
      </c>
      <c r="F6852" s="131"/>
      <c r="G6852" s="132"/>
      <c r="H6852" s="162" t="s">
        <v>32507</v>
      </c>
      <c r="I6852" s="158" t="s">
        <v>32508</v>
      </c>
      <c r="J6852" s="128"/>
      <c r="K6852" s="128"/>
      <c r="L6852" s="128"/>
      <c r="M6852" s="129"/>
      <c r="N6852" s="129"/>
      <c r="O6852" s="129"/>
    </row>
    <row r="6853" spans="1:15" ht="12.5">
      <c r="A6853" s="158" t="s">
        <v>32509</v>
      </c>
      <c r="B6853" s="159">
        <v>80</v>
      </c>
      <c r="C6853" s="159">
        <v>51</v>
      </c>
      <c r="D6853" s="159">
        <v>85</v>
      </c>
      <c r="E6853" s="159">
        <v>90</v>
      </c>
      <c r="F6853" s="131"/>
      <c r="G6853" s="132"/>
      <c r="H6853" s="162" t="s">
        <v>32510</v>
      </c>
      <c r="I6853" s="158" t="s">
        <v>32511</v>
      </c>
      <c r="J6853" s="128"/>
      <c r="K6853" s="128"/>
      <c r="L6853" s="128"/>
      <c r="M6853" s="129"/>
      <c r="N6853" s="129"/>
      <c r="O6853" s="129"/>
    </row>
    <row r="6854" spans="1:15" ht="12.5">
      <c r="A6854" s="158" t="s">
        <v>32512</v>
      </c>
      <c r="B6854" s="159">
        <v>80</v>
      </c>
      <c r="C6854" s="159">
        <v>51</v>
      </c>
      <c r="D6854" s="159">
        <v>96</v>
      </c>
      <c r="E6854" s="130"/>
      <c r="F6854" s="131"/>
      <c r="G6854" s="132"/>
      <c r="H6854" s="162" t="s">
        <v>32513</v>
      </c>
      <c r="I6854" s="128"/>
      <c r="J6854" s="128"/>
      <c r="K6854" s="128"/>
      <c r="L6854" s="128"/>
      <c r="M6854" s="129"/>
      <c r="N6854" s="129"/>
      <c r="O6854" s="129"/>
    </row>
    <row r="6855" spans="1:15" ht="12.5">
      <c r="A6855" s="158" t="s">
        <v>32514</v>
      </c>
      <c r="B6855" s="159">
        <v>80</v>
      </c>
      <c r="C6855" s="159">
        <v>51</v>
      </c>
      <c r="D6855" s="159">
        <v>96</v>
      </c>
      <c r="E6855" s="159">
        <v>0</v>
      </c>
      <c r="F6855" s="131"/>
      <c r="G6855" s="132"/>
      <c r="H6855" s="162" t="s">
        <v>32515</v>
      </c>
      <c r="I6855" s="158" t="s">
        <v>32516</v>
      </c>
      <c r="J6855" s="128"/>
      <c r="K6855" s="128"/>
      <c r="L6855" s="128"/>
      <c r="M6855" s="129"/>
      <c r="N6855" s="129"/>
      <c r="O6855" s="129"/>
    </row>
    <row r="6856" spans="1:15" ht="12.5">
      <c r="A6856" s="158" t="s">
        <v>32517</v>
      </c>
      <c r="B6856" s="159">
        <v>80</v>
      </c>
      <c r="C6856" s="159">
        <v>51</v>
      </c>
      <c r="D6856" s="159">
        <v>96</v>
      </c>
      <c r="E6856" s="159">
        <v>32</v>
      </c>
      <c r="F6856" s="131"/>
      <c r="G6856" s="132"/>
      <c r="H6856" s="162" t="s">
        <v>32518</v>
      </c>
      <c r="I6856" s="158" t="s">
        <v>32519</v>
      </c>
      <c r="J6856" s="128"/>
      <c r="K6856" s="128"/>
      <c r="L6856" s="128"/>
      <c r="M6856" s="129"/>
      <c r="N6856" s="129"/>
      <c r="O6856" s="129"/>
    </row>
    <row r="6857" spans="1:15" ht="12.5">
      <c r="A6857" s="158" t="s">
        <v>32520</v>
      </c>
      <c r="B6857" s="159">
        <v>80</v>
      </c>
      <c r="C6857" s="159">
        <v>51</v>
      </c>
      <c r="D6857" s="159">
        <v>96</v>
      </c>
      <c r="E6857" s="159">
        <v>55</v>
      </c>
      <c r="F6857" s="131"/>
      <c r="G6857" s="132"/>
      <c r="H6857" s="162" t="s">
        <v>32521</v>
      </c>
      <c r="I6857" s="158" t="s">
        <v>32522</v>
      </c>
      <c r="J6857" s="128"/>
      <c r="K6857" s="128"/>
      <c r="L6857" s="128"/>
      <c r="M6857" s="129"/>
      <c r="N6857" s="129"/>
      <c r="O6857" s="129"/>
    </row>
    <row r="6858" spans="1:15" ht="12.5">
      <c r="A6858" s="158" t="s">
        <v>32523</v>
      </c>
      <c r="B6858" s="159">
        <v>80</v>
      </c>
      <c r="C6858" s="159">
        <v>51</v>
      </c>
      <c r="D6858" s="159">
        <v>96</v>
      </c>
      <c r="E6858" s="159">
        <v>71</v>
      </c>
      <c r="F6858" s="131"/>
      <c r="G6858" s="132"/>
      <c r="H6858" s="162" t="s">
        <v>32524</v>
      </c>
      <c r="I6858" s="158" t="s">
        <v>32525</v>
      </c>
      <c r="J6858" s="128"/>
      <c r="K6858" s="128"/>
      <c r="L6858" s="128"/>
      <c r="M6858" s="129"/>
      <c r="N6858" s="129"/>
      <c r="O6858" s="129"/>
    </row>
    <row r="6859" spans="1:15" ht="12.5">
      <c r="A6859" s="158" t="s">
        <v>32526</v>
      </c>
      <c r="B6859" s="159">
        <v>80</v>
      </c>
      <c r="C6859" s="159">
        <v>51</v>
      </c>
      <c r="D6859" s="159">
        <v>96</v>
      </c>
      <c r="E6859" s="159">
        <v>77</v>
      </c>
      <c r="F6859" s="131"/>
      <c r="G6859" s="132"/>
      <c r="H6859" s="162" t="s">
        <v>32527</v>
      </c>
      <c r="I6859" s="158" t="s">
        <v>32528</v>
      </c>
      <c r="J6859" s="128"/>
      <c r="K6859" s="128"/>
      <c r="L6859" s="128"/>
      <c r="M6859" s="129"/>
      <c r="N6859" s="129"/>
      <c r="O6859" s="129"/>
    </row>
    <row r="6860" spans="1:15" ht="12.5">
      <c r="A6860" s="158" t="s">
        <v>32529</v>
      </c>
      <c r="B6860" s="159">
        <v>80</v>
      </c>
      <c r="C6860" s="159">
        <v>51</v>
      </c>
      <c r="D6860" s="159">
        <v>96</v>
      </c>
      <c r="E6860" s="159">
        <v>96</v>
      </c>
      <c r="F6860" s="131"/>
      <c r="G6860" s="132"/>
      <c r="H6860" s="162" t="s">
        <v>32530</v>
      </c>
      <c r="I6860" s="158" t="s">
        <v>32531</v>
      </c>
      <c r="J6860" s="128"/>
      <c r="K6860" s="128"/>
      <c r="L6860" s="128"/>
      <c r="M6860" s="129"/>
      <c r="N6860" s="129"/>
      <c r="O6860" s="129"/>
    </row>
    <row r="6861" spans="1:15" ht="12.5">
      <c r="A6861" s="144" t="s">
        <v>32532</v>
      </c>
      <c r="B6861" s="145">
        <v>80</v>
      </c>
      <c r="C6861" s="145">
        <v>77</v>
      </c>
      <c r="D6861" s="146"/>
      <c r="E6861" s="146"/>
      <c r="F6861" s="147" t="s">
        <v>33596</v>
      </c>
      <c r="G6861" s="190"/>
      <c r="H6861" s="149" t="s">
        <v>32533</v>
      </c>
      <c r="I6861" s="150"/>
      <c r="J6861" s="150"/>
      <c r="K6861" s="150"/>
      <c r="L6861" s="150"/>
      <c r="M6861" s="191"/>
      <c r="N6861" s="191"/>
      <c r="O6861" s="191"/>
    </row>
    <row r="6862" spans="1:15" ht="12.5">
      <c r="A6862" s="158" t="s">
        <v>32534</v>
      </c>
      <c r="B6862" s="159">
        <v>80</v>
      </c>
      <c r="C6862" s="159">
        <v>77</v>
      </c>
      <c r="D6862" s="159">
        <v>23</v>
      </c>
      <c r="E6862" s="130"/>
      <c r="F6862" s="131"/>
      <c r="G6862" s="132"/>
      <c r="H6862" s="162" t="s">
        <v>32535</v>
      </c>
      <c r="I6862" s="128"/>
      <c r="J6862" s="128"/>
      <c r="K6862" s="128"/>
      <c r="L6862" s="128"/>
      <c r="M6862" s="129"/>
      <c r="N6862" s="129"/>
      <c r="O6862" s="129"/>
    </row>
    <row r="6863" spans="1:15" ht="12.5">
      <c r="A6863" s="158" t="s">
        <v>32536</v>
      </c>
      <c r="B6863" s="159">
        <v>80</v>
      </c>
      <c r="C6863" s="159">
        <v>77</v>
      </c>
      <c r="D6863" s="159">
        <v>23</v>
      </c>
      <c r="E6863" s="159">
        <v>30</v>
      </c>
      <c r="F6863" s="131"/>
      <c r="G6863" s="132"/>
      <c r="H6863" s="162" t="s">
        <v>32537</v>
      </c>
      <c r="I6863" s="158" t="s">
        <v>32538</v>
      </c>
      <c r="J6863" s="128"/>
      <c r="K6863" s="128"/>
      <c r="L6863" s="128"/>
      <c r="M6863" s="129"/>
      <c r="N6863" s="129"/>
      <c r="O6863" s="129"/>
    </row>
    <row r="6864" spans="1:15" ht="12.5">
      <c r="A6864" s="158" t="s">
        <v>32539</v>
      </c>
      <c r="B6864" s="159">
        <v>80</v>
      </c>
      <c r="C6864" s="159">
        <v>77</v>
      </c>
      <c r="D6864" s="159">
        <v>23</v>
      </c>
      <c r="E6864" s="159">
        <v>31</v>
      </c>
      <c r="F6864" s="131"/>
      <c r="G6864" s="132"/>
      <c r="H6864" s="162" t="s">
        <v>32540</v>
      </c>
      <c r="I6864" s="158" t="s">
        <v>32538</v>
      </c>
      <c r="J6864" s="128"/>
      <c r="K6864" s="128"/>
      <c r="L6864" s="128"/>
      <c r="M6864" s="129"/>
      <c r="N6864" s="129"/>
      <c r="O6864" s="129"/>
    </row>
    <row r="6865" spans="1:15" ht="12.5">
      <c r="A6865" s="158" t="s">
        <v>32541</v>
      </c>
      <c r="B6865" s="159">
        <v>80</v>
      </c>
      <c r="C6865" s="159">
        <v>77</v>
      </c>
      <c r="D6865" s="159">
        <v>23</v>
      </c>
      <c r="E6865" s="159">
        <v>42</v>
      </c>
      <c r="F6865" s="131"/>
      <c r="G6865" s="132"/>
      <c r="H6865" s="162" t="s">
        <v>32542</v>
      </c>
      <c r="I6865" s="128"/>
      <c r="J6865" s="128"/>
      <c r="K6865" s="128"/>
      <c r="L6865" s="128"/>
      <c r="M6865" s="129"/>
      <c r="N6865" s="129"/>
      <c r="O6865" s="129"/>
    </row>
    <row r="6866" spans="1:15" ht="12.5">
      <c r="A6866" s="158" t="s">
        <v>32543</v>
      </c>
      <c r="B6866" s="159">
        <v>80</v>
      </c>
      <c r="C6866" s="159">
        <v>77</v>
      </c>
      <c r="D6866" s="159">
        <v>23</v>
      </c>
      <c r="E6866" s="159">
        <v>70</v>
      </c>
      <c r="F6866" s="131"/>
      <c r="G6866" s="132"/>
      <c r="H6866" s="162" t="s">
        <v>32544</v>
      </c>
      <c r="I6866" s="158" t="s">
        <v>32538</v>
      </c>
      <c r="J6866" s="128"/>
      <c r="K6866" s="128"/>
      <c r="L6866" s="128"/>
      <c r="M6866" s="129"/>
      <c r="N6866" s="129"/>
      <c r="O6866" s="129"/>
    </row>
    <row r="6867" spans="1:15" ht="12.5">
      <c r="A6867" s="158" t="s">
        <v>32545</v>
      </c>
      <c r="B6867" s="159">
        <v>80</v>
      </c>
      <c r="C6867" s="159">
        <v>77</v>
      </c>
      <c r="D6867" s="159">
        <v>23</v>
      </c>
      <c r="E6867" s="159">
        <v>71</v>
      </c>
      <c r="F6867" s="131"/>
      <c r="G6867" s="132"/>
      <c r="H6867" s="162" t="s">
        <v>32546</v>
      </c>
      <c r="I6867" s="158" t="s">
        <v>32538</v>
      </c>
      <c r="J6867" s="128"/>
      <c r="K6867" s="128"/>
      <c r="L6867" s="128"/>
      <c r="M6867" s="129"/>
      <c r="N6867" s="129"/>
      <c r="O6867" s="129"/>
    </row>
    <row r="6868" spans="1:15" ht="12.5">
      <c r="A6868" s="158" t="s">
        <v>32547</v>
      </c>
      <c r="B6868" s="159">
        <v>80</v>
      </c>
      <c r="C6868" s="159">
        <v>77</v>
      </c>
      <c r="D6868" s="159">
        <v>23</v>
      </c>
      <c r="E6868" s="159">
        <v>72</v>
      </c>
      <c r="F6868" s="131"/>
      <c r="G6868" s="132"/>
      <c r="H6868" s="162" t="s">
        <v>32548</v>
      </c>
      <c r="I6868" s="158" t="s">
        <v>32538</v>
      </c>
      <c r="J6868" s="128"/>
      <c r="K6868" s="128"/>
      <c r="L6868" s="128"/>
      <c r="M6868" s="129"/>
      <c r="N6868" s="129"/>
      <c r="O6868" s="129"/>
    </row>
    <row r="6869" spans="1:15" ht="12.5">
      <c r="A6869" s="158" t="s">
        <v>32549</v>
      </c>
      <c r="B6869" s="159">
        <v>80</v>
      </c>
      <c r="C6869" s="159">
        <v>77</v>
      </c>
      <c r="D6869" s="159">
        <v>27</v>
      </c>
      <c r="E6869" s="130"/>
      <c r="F6869" s="131"/>
      <c r="G6869" s="132"/>
      <c r="H6869" s="162" t="s">
        <v>32550</v>
      </c>
      <c r="I6869" s="128"/>
      <c r="J6869" s="128"/>
      <c r="K6869" s="128"/>
      <c r="L6869" s="128"/>
      <c r="M6869" s="129"/>
      <c r="N6869" s="129"/>
      <c r="O6869" s="129"/>
    </row>
    <row r="6870" spans="1:15" ht="12.5">
      <c r="A6870" s="158" t="s">
        <v>32551</v>
      </c>
      <c r="B6870" s="159">
        <v>80</v>
      </c>
      <c r="C6870" s="159">
        <v>77</v>
      </c>
      <c r="D6870" s="159">
        <v>27</v>
      </c>
      <c r="E6870" s="159">
        <v>4</v>
      </c>
      <c r="F6870" s="131"/>
      <c r="G6870" s="132"/>
      <c r="H6870" s="162" t="s">
        <v>32552</v>
      </c>
      <c r="I6870" s="158" t="s">
        <v>32553</v>
      </c>
      <c r="J6870" s="128"/>
      <c r="K6870" s="128"/>
      <c r="L6870" s="128"/>
      <c r="M6870" s="129"/>
      <c r="N6870" s="129"/>
      <c r="O6870" s="129"/>
    </row>
    <row r="6871" spans="1:15" ht="12.5">
      <c r="A6871" s="158" t="s">
        <v>32554</v>
      </c>
      <c r="B6871" s="159">
        <v>80</v>
      </c>
      <c r="C6871" s="159">
        <v>77</v>
      </c>
      <c r="D6871" s="159">
        <v>27</v>
      </c>
      <c r="E6871" s="159">
        <v>7</v>
      </c>
      <c r="F6871" s="131"/>
      <c r="G6871" s="132"/>
      <c r="H6871" s="162" t="s">
        <v>32555</v>
      </c>
      <c r="I6871" s="158" t="s">
        <v>32556</v>
      </c>
      <c r="J6871" s="128"/>
      <c r="K6871" s="128"/>
      <c r="L6871" s="128"/>
      <c r="M6871" s="129"/>
      <c r="N6871" s="129"/>
      <c r="O6871" s="129"/>
    </row>
    <row r="6872" spans="1:15" ht="12.5">
      <c r="A6872" s="158" t="s">
        <v>32557</v>
      </c>
      <c r="B6872" s="159">
        <v>80</v>
      </c>
      <c r="C6872" s="159">
        <v>77</v>
      </c>
      <c r="D6872" s="159">
        <v>27</v>
      </c>
      <c r="E6872" s="159">
        <v>8</v>
      </c>
      <c r="F6872" s="131"/>
      <c r="G6872" s="132"/>
      <c r="H6872" s="162" t="s">
        <v>32558</v>
      </c>
      <c r="I6872" s="158" t="s">
        <v>32559</v>
      </c>
      <c r="J6872" s="128"/>
      <c r="K6872" s="128"/>
      <c r="L6872" s="128"/>
      <c r="M6872" s="129"/>
      <c r="N6872" s="129"/>
      <c r="O6872" s="129"/>
    </row>
    <row r="6873" spans="1:15" ht="12.5">
      <c r="A6873" s="158" t="s">
        <v>32563</v>
      </c>
      <c r="B6873" s="159">
        <v>80</v>
      </c>
      <c r="C6873" s="159">
        <v>77</v>
      </c>
      <c r="D6873" s="159">
        <v>27</v>
      </c>
      <c r="E6873" s="159">
        <v>31</v>
      </c>
      <c r="F6873" s="131"/>
      <c r="G6873" s="132"/>
      <c r="H6873" s="162" t="s">
        <v>32564</v>
      </c>
      <c r="I6873" s="158" t="s">
        <v>32565</v>
      </c>
      <c r="J6873" s="128"/>
      <c r="K6873" s="128"/>
      <c r="L6873" s="128"/>
      <c r="M6873" s="129"/>
      <c r="N6873" s="129"/>
      <c r="O6873" s="129"/>
    </row>
    <row r="6874" spans="1:15" ht="12.5">
      <c r="A6874" s="158" t="s">
        <v>32566</v>
      </c>
      <c r="B6874" s="159">
        <v>80</v>
      </c>
      <c r="C6874" s="159">
        <v>77</v>
      </c>
      <c r="D6874" s="159">
        <v>27</v>
      </c>
      <c r="E6874" s="159">
        <v>33</v>
      </c>
      <c r="F6874" s="131"/>
      <c r="G6874" s="132"/>
      <c r="H6874" s="162" t="s">
        <v>32567</v>
      </c>
      <c r="I6874" s="158" t="s">
        <v>32568</v>
      </c>
      <c r="J6874" s="128"/>
      <c r="K6874" s="128"/>
      <c r="L6874" s="128"/>
      <c r="M6874" s="129"/>
      <c r="N6874" s="129"/>
      <c r="O6874" s="129"/>
    </row>
    <row r="6875" spans="1:15" ht="12.5">
      <c r="A6875" s="158" t="s">
        <v>32569</v>
      </c>
      <c r="B6875" s="159">
        <v>80</v>
      </c>
      <c r="C6875" s="159">
        <v>77</v>
      </c>
      <c r="D6875" s="159">
        <v>27</v>
      </c>
      <c r="E6875" s="159">
        <v>42</v>
      </c>
      <c r="F6875" s="131"/>
      <c r="G6875" s="132"/>
      <c r="H6875" s="162" t="s">
        <v>32570</v>
      </c>
      <c r="I6875" s="128"/>
      <c r="J6875" s="128"/>
      <c r="K6875" s="128"/>
      <c r="L6875" s="128"/>
      <c r="M6875" s="129"/>
      <c r="N6875" s="129"/>
      <c r="O6875" s="129"/>
    </row>
    <row r="6876" spans="1:15" ht="12.5">
      <c r="A6876" s="158" t="s">
        <v>32571</v>
      </c>
      <c r="B6876" s="159">
        <v>80</v>
      </c>
      <c r="C6876" s="159">
        <v>77</v>
      </c>
      <c r="D6876" s="159">
        <v>27</v>
      </c>
      <c r="E6876" s="159">
        <v>51</v>
      </c>
      <c r="F6876" s="131"/>
      <c r="G6876" s="132"/>
      <c r="H6876" s="162" t="s">
        <v>32572</v>
      </c>
      <c r="I6876" s="158" t="s">
        <v>32573</v>
      </c>
      <c r="J6876" s="128"/>
      <c r="K6876" s="128"/>
      <c r="L6876" s="128"/>
      <c r="M6876" s="129"/>
      <c r="N6876" s="129"/>
      <c r="O6876" s="129"/>
    </row>
    <row r="6877" spans="1:15" ht="12.5">
      <c r="A6877" s="158" t="s">
        <v>32576</v>
      </c>
      <c r="B6877" s="159">
        <v>80</v>
      </c>
      <c r="C6877" s="159">
        <v>77</v>
      </c>
      <c r="D6877" s="159">
        <v>27</v>
      </c>
      <c r="E6877" s="159">
        <v>54</v>
      </c>
      <c r="F6877" s="131"/>
      <c r="G6877" s="132"/>
      <c r="H6877" s="162" t="s">
        <v>32577</v>
      </c>
      <c r="I6877" s="128"/>
      <c r="J6877" s="128"/>
      <c r="K6877" s="128"/>
      <c r="L6877" s="128"/>
      <c r="M6877" s="129"/>
      <c r="N6877" s="129"/>
      <c r="O6877" s="129"/>
    </row>
    <row r="6878" spans="1:15" ht="12.5">
      <c r="A6878" s="158" t="s">
        <v>32578</v>
      </c>
      <c r="B6878" s="159">
        <v>80</v>
      </c>
      <c r="C6878" s="159">
        <v>77</v>
      </c>
      <c r="D6878" s="159">
        <v>27</v>
      </c>
      <c r="E6878" s="159">
        <v>72</v>
      </c>
      <c r="F6878" s="131"/>
      <c r="G6878" s="132"/>
      <c r="H6878" s="162" t="s">
        <v>32579</v>
      </c>
      <c r="I6878" s="158" t="s">
        <v>32580</v>
      </c>
      <c r="J6878" s="128"/>
      <c r="K6878" s="128"/>
      <c r="L6878" s="128"/>
      <c r="M6878" s="129"/>
      <c r="N6878" s="129"/>
      <c r="O6878" s="129"/>
    </row>
    <row r="6879" spans="1:15" ht="12.5">
      <c r="A6879" s="158" t="s">
        <v>32581</v>
      </c>
      <c r="B6879" s="159">
        <v>80</v>
      </c>
      <c r="C6879" s="159">
        <v>77</v>
      </c>
      <c r="D6879" s="159">
        <v>27</v>
      </c>
      <c r="E6879" s="159">
        <v>73</v>
      </c>
      <c r="F6879" s="131"/>
      <c r="G6879" s="132"/>
      <c r="H6879" s="162" t="s">
        <v>32582</v>
      </c>
      <c r="I6879" s="158" t="s">
        <v>32583</v>
      </c>
      <c r="J6879" s="128"/>
      <c r="K6879" s="128"/>
      <c r="L6879" s="128"/>
      <c r="M6879" s="129"/>
      <c r="N6879" s="129"/>
      <c r="O6879" s="129"/>
    </row>
    <row r="6880" spans="1:15" ht="12.5">
      <c r="A6880" s="158" t="s">
        <v>33597</v>
      </c>
      <c r="B6880" s="159">
        <v>80</v>
      </c>
      <c r="C6880" s="159">
        <v>77</v>
      </c>
      <c r="D6880" s="159">
        <v>27</v>
      </c>
      <c r="E6880" s="159">
        <v>78</v>
      </c>
      <c r="F6880" s="131"/>
      <c r="G6880" s="132"/>
      <c r="H6880" s="162" t="s">
        <v>33598</v>
      </c>
      <c r="I6880" s="158" t="s">
        <v>32562</v>
      </c>
      <c r="J6880" s="128"/>
      <c r="K6880" s="128"/>
      <c r="L6880" s="128"/>
      <c r="M6880" s="129"/>
      <c r="N6880" s="129"/>
      <c r="O6880" s="129"/>
    </row>
    <row r="6881" spans="1:15" ht="12.5">
      <c r="A6881" s="158" t="s">
        <v>32584</v>
      </c>
      <c r="B6881" s="159">
        <v>80</v>
      </c>
      <c r="C6881" s="159">
        <v>77</v>
      </c>
      <c r="D6881" s="159">
        <v>27</v>
      </c>
      <c r="E6881" s="159">
        <v>80</v>
      </c>
      <c r="F6881" s="131"/>
      <c r="G6881" s="132"/>
      <c r="H6881" s="162" t="s">
        <v>32585</v>
      </c>
      <c r="I6881" s="158" t="s">
        <v>32586</v>
      </c>
      <c r="J6881" s="128"/>
      <c r="K6881" s="128"/>
      <c r="L6881" s="128"/>
      <c r="M6881" s="129"/>
      <c r="N6881" s="129"/>
      <c r="O6881" s="129"/>
    </row>
    <row r="6882" spans="1:15" ht="12.5">
      <c r="A6882" s="158" t="s">
        <v>32587</v>
      </c>
      <c r="B6882" s="159">
        <v>80</v>
      </c>
      <c r="C6882" s="159">
        <v>77</v>
      </c>
      <c r="D6882" s="159">
        <v>27</v>
      </c>
      <c r="E6882" s="159">
        <v>91</v>
      </c>
      <c r="F6882" s="131"/>
      <c r="G6882" s="132"/>
      <c r="H6882" s="162" t="s">
        <v>32588</v>
      </c>
      <c r="I6882" s="158" t="s">
        <v>32589</v>
      </c>
      <c r="J6882" s="128"/>
      <c r="K6882" s="128"/>
      <c r="L6882" s="128"/>
      <c r="M6882" s="129"/>
      <c r="N6882" s="129"/>
      <c r="O6882" s="129"/>
    </row>
    <row r="6883" spans="1:15" ht="12.5">
      <c r="A6883" s="158" t="s">
        <v>32590</v>
      </c>
      <c r="B6883" s="159">
        <v>80</v>
      </c>
      <c r="C6883" s="159">
        <v>77</v>
      </c>
      <c r="D6883" s="159">
        <v>28</v>
      </c>
      <c r="E6883" s="130"/>
      <c r="F6883" s="131"/>
      <c r="G6883" s="132"/>
      <c r="H6883" s="162" t="s">
        <v>32591</v>
      </c>
      <c r="I6883" s="128"/>
      <c r="J6883" s="128"/>
      <c r="K6883" s="128"/>
      <c r="L6883" s="128"/>
      <c r="M6883" s="129"/>
      <c r="N6883" s="129"/>
      <c r="O6883" s="129"/>
    </row>
    <row r="6884" spans="1:15" ht="12.5">
      <c r="A6884" s="158" t="s">
        <v>32592</v>
      </c>
      <c r="B6884" s="159">
        <v>80</v>
      </c>
      <c r="C6884" s="159">
        <v>77</v>
      </c>
      <c r="D6884" s="159">
        <v>28</v>
      </c>
      <c r="E6884" s="159">
        <v>6</v>
      </c>
      <c r="F6884" s="131"/>
      <c r="G6884" s="132"/>
      <c r="H6884" s="162" t="s">
        <v>32593</v>
      </c>
      <c r="I6884" s="158" t="s">
        <v>32594</v>
      </c>
      <c r="J6884" s="128"/>
      <c r="K6884" s="128"/>
      <c r="L6884" s="128"/>
      <c r="M6884" s="129"/>
      <c r="N6884" s="129"/>
      <c r="O6884" s="129"/>
    </row>
    <row r="6885" spans="1:15" ht="12.5">
      <c r="A6885" s="158" t="s">
        <v>32597</v>
      </c>
      <c r="B6885" s="159">
        <v>80</v>
      </c>
      <c r="C6885" s="159">
        <v>77</v>
      </c>
      <c r="D6885" s="159">
        <v>28</v>
      </c>
      <c r="E6885" s="159">
        <v>8</v>
      </c>
      <c r="F6885" s="131"/>
      <c r="G6885" s="132"/>
      <c r="H6885" s="162" t="s">
        <v>32598</v>
      </c>
      <c r="I6885" s="128"/>
      <c r="J6885" s="128"/>
      <c r="K6885" s="128"/>
      <c r="L6885" s="128"/>
      <c r="M6885" s="129"/>
      <c r="N6885" s="129"/>
      <c r="O6885" s="129"/>
    </row>
    <row r="6886" spans="1:15" ht="12.5">
      <c r="A6886" s="158" t="s">
        <v>32599</v>
      </c>
      <c r="B6886" s="159">
        <v>80</v>
      </c>
      <c r="C6886" s="159">
        <v>77</v>
      </c>
      <c r="D6886" s="159">
        <v>28</v>
      </c>
      <c r="E6886" s="159">
        <v>9</v>
      </c>
      <c r="F6886" s="131"/>
      <c r="G6886" s="132"/>
      <c r="H6886" s="162" t="s">
        <v>32600</v>
      </c>
      <c r="I6886" s="128"/>
      <c r="J6886" s="128"/>
      <c r="K6886" s="128"/>
      <c r="L6886" s="128"/>
      <c r="M6886" s="129"/>
      <c r="N6886" s="129"/>
      <c r="O6886" s="129"/>
    </row>
    <row r="6887" spans="1:15" ht="12.5">
      <c r="A6887" s="158" t="s">
        <v>32601</v>
      </c>
      <c r="B6887" s="159">
        <v>80</v>
      </c>
      <c r="C6887" s="159">
        <v>77</v>
      </c>
      <c r="D6887" s="159">
        <v>28</v>
      </c>
      <c r="E6887" s="159">
        <v>10</v>
      </c>
      <c r="F6887" s="131"/>
      <c r="G6887" s="132"/>
      <c r="H6887" s="162" t="s">
        <v>32602</v>
      </c>
      <c r="I6887" s="158" t="s">
        <v>32603</v>
      </c>
      <c r="J6887" s="128"/>
      <c r="K6887" s="128"/>
      <c r="L6887" s="128"/>
      <c r="M6887" s="129"/>
      <c r="N6887" s="129"/>
      <c r="O6887" s="129"/>
    </row>
    <row r="6888" spans="1:15" ht="12.5">
      <c r="A6888" s="158" t="s">
        <v>32604</v>
      </c>
      <c r="B6888" s="159">
        <v>80</v>
      </c>
      <c r="C6888" s="159">
        <v>77</v>
      </c>
      <c r="D6888" s="159">
        <v>28</v>
      </c>
      <c r="E6888" s="159">
        <v>11</v>
      </c>
      <c r="F6888" s="131"/>
      <c r="G6888" s="132"/>
      <c r="H6888" s="162" t="s">
        <v>32605</v>
      </c>
      <c r="I6888" s="128"/>
      <c r="J6888" s="128"/>
      <c r="K6888" s="128"/>
      <c r="L6888" s="128"/>
      <c r="M6888" s="129"/>
      <c r="N6888" s="129"/>
      <c r="O6888" s="129"/>
    </row>
    <row r="6889" spans="1:15" ht="12.5">
      <c r="A6889" s="158" t="s">
        <v>32606</v>
      </c>
      <c r="B6889" s="159">
        <v>80</v>
      </c>
      <c r="C6889" s="159">
        <v>77</v>
      </c>
      <c r="D6889" s="159">
        <v>28</v>
      </c>
      <c r="E6889" s="159">
        <v>13</v>
      </c>
      <c r="F6889" s="131"/>
      <c r="G6889" s="132"/>
      <c r="H6889" s="162" t="s">
        <v>32607</v>
      </c>
      <c r="I6889" s="158" t="s">
        <v>32608</v>
      </c>
      <c r="J6889" s="128"/>
      <c r="K6889" s="128"/>
      <c r="L6889" s="128"/>
      <c r="M6889" s="129"/>
      <c r="N6889" s="129"/>
      <c r="O6889" s="129"/>
    </row>
    <row r="6890" spans="1:15" ht="12.5">
      <c r="A6890" s="158" t="s">
        <v>32609</v>
      </c>
      <c r="B6890" s="159">
        <v>80</v>
      </c>
      <c r="C6890" s="159">
        <v>77</v>
      </c>
      <c r="D6890" s="159">
        <v>28</v>
      </c>
      <c r="E6890" s="159">
        <v>16</v>
      </c>
      <c r="F6890" s="131"/>
      <c r="G6890" s="132"/>
      <c r="H6890" s="162" t="s">
        <v>32610</v>
      </c>
      <c r="I6890" s="128"/>
      <c r="J6890" s="128"/>
      <c r="K6890" s="128"/>
      <c r="L6890" s="128"/>
      <c r="M6890" s="129"/>
      <c r="N6890" s="129"/>
      <c r="O6890" s="129"/>
    </row>
    <row r="6891" spans="1:15" ht="12.5">
      <c r="A6891" s="158" t="s">
        <v>32611</v>
      </c>
      <c r="B6891" s="159">
        <v>80</v>
      </c>
      <c r="C6891" s="159">
        <v>77</v>
      </c>
      <c r="D6891" s="159">
        <v>28</v>
      </c>
      <c r="E6891" s="159">
        <v>21</v>
      </c>
      <c r="F6891" s="131"/>
      <c r="G6891" s="132"/>
      <c r="H6891" s="162" t="s">
        <v>32612</v>
      </c>
      <c r="I6891" s="158" t="s">
        <v>32613</v>
      </c>
      <c r="J6891" s="128"/>
      <c r="K6891" s="128"/>
      <c r="L6891" s="128"/>
      <c r="M6891" s="129"/>
      <c r="N6891" s="129"/>
      <c r="O6891" s="129"/>
    </row>
    <row r="6892" spans="1:15" ht="12.5">
      <c r="A6892" s="158" t="s">
        <v>32614</v>
      </c>
      <c r="B6892" s="159">
        <v>80</v>
      </c>
      <c r="C6892" s="159">
        <v>77</v>
      </c>
      <c r="D6892" s="159">
        <v>28</v>
      </c>
      <c r="E6892" s="159">
        <v>22</v>
      </c>
      <c r="F6892" s="131"/>
      <c r="G6892" s="132"/>
      <c r="H6892" s="162" t="s">
        <v>32615</v>
      </c>
      <c r="I6892" s="128"/>
      <c r="J6892" s="128"/>
      <c r="K6892" s="128"/>
      <c r="L6892" s="128"/>
      <c r="M6892" s="129"/>
      <c r="N6892" s="129"/>
      <c r="O6892" s="129"/>
    </row>
    <row r="6893" spans="1:15" ht="12.5">
      <c r="A6893" s="158" t="s">
        <v>32616</v>
      </c>
      <c r="B6893" s="159">
        <v>80</v>
      </c>
      <c r="C6893" s="159">
        <v>77</v>
      </c>
      <c r="D6893" s="159">
        <v>28</v>
      </c>
      <c r="E6893" s="159">
        <v>24</v>
      </c>
      <c r="F6893" s="131"/>
      <c r="G6893" s="132"/>
      <c r="H6893" s="162" t="s">
        <v>32617</v>
      </c>
      <c r="I6893" s="158" t="s">
        <v>28372</v>
      </c>
      <c r="J6893" s="128"/>
      <c r="K6893" s="128"/>
      <c r="L6893" s="128"/>
      <c r="M6893" s="129"/>
      <c r="N6893" s="129"/>
      <c r="O6893" s="129"/>
    </row>
    <row r="6894" spans="1:15" ht="12.5">
      <c r="A6894" s="158" t="s">
        <v>32618</v>
      </c>
      <c r="B6894" s="159">
        <v>80</v>
      </c>
      <c r="C6894" s="159">
        <v>77</v>
      </c>
      <c r="D6894" s="159">
        <v>28</v>
      </c>
      <c r="E6894" s="159">
        <v>26</v>
      </c>
      <c r="F6894" s="131"/>
      <c r="G6894" s="132"/>
      <c r="H6894" s="162" t="s">
        <v>32619</v>
      </c>
      <c r="I6894" s="128"/>
      <c r="J6894" s="128"/>
      <c r="K6894" s="128"/>
      <c r="L6894" s="128"/>
      <c r="M6894" s="129"/>
      <c r="N6894" s="129"/>
      <c r="O6894" s="129"/>
    </row>
    <row r="6895" spans="1:15" ht="12.5">
      <c r="A6895" s="158" t="s">
        <v>32620</v>
      </c>
      <c r="B6895" s="159">
        <v>80</v>
      </c>
      <c r="C6895" s="159">
        <v>77</v>
      </c>
      <c r="D6895" s="159">
        <v>28</v>
      </c>
      <c r="E6895" s="159">
        <v>27</v>
      </c>
      <c r="F6895" s="131"/>
      <c r="G6895" s="132"/>
      <c r="H6895" s="162" t="s">
        <v>32621</v>
      </c>
      <c r="I6895" s="158" t="s">
        <v>32622</v>
      </c>
      <c r="J6895" s="128"/>
      <c r="K6895" s="128"/>
      <c r="L6895" s="128"/>
      <c r="M6895" s="129"/>
      <c r="N6895" s="129"/>
      <c r="O6895" s="129"/>
    </row>
    <row r="6896" spans="1:15" ht="12.5">
      <c r="A6896" s="158" t="s">
        <v>32623</v>
      </c>
      <c r="B6896" s="159">
        <v>80</v>
      </c>
      <c r="C6896" s="159">
        <v>77</v>
      </c>
      <c r="D6896" s="159">
        <v>28</v>
      </c>
      <c r="E6896" s="159">
        <v>28</v>
      </c>
      <c r="F6896" s="131"/>
      <c r="G6896" s="132"/>
      <c r="H6896" s="162" t="s">
        <v>32624</v>
      </c>
      <c r="I6896" s="158" t="s">
        <v>32625</v>
      </c>
      <c r="J6896" s="128"/>
      <c r="K6896" s="128"/>
      <c r="L6896" s="128"/>
      <c r="M6896" s="129"/>
      <c r="N6896" s="129"/>
      <c r="O6896" s="129"/>
    </row>
    <row r="6897" spans="1:15" ht="12.5">
      <c r="A6897" s="158" t="s">
        <v>32626</v>
      </c>
      <c r="B6897" s="159">
        <v>80</v>
      </c>
      <c r="C6897" s="159">
        <v>77</v>
      </c>
      <c r="D6897" s="159">
        <v>28</v>
      </c>
      <c r="E6897" s="159">
        <v>29</v>
      </c>
      <c r="F6897" s="131"/>
      <c r="G6897" s="132"/>
      <c r="H6897" s="162" t="s">
        <v>32627</v>
      </c>
      <c r="I6897" s="158" t="s">
        <v>32628</v>
      </c>
      <c r="J6897" s="128"/>
      <c r="K6897" s="128"/>
      <c r="L6897" s="128"/>
      <c r="M6897" s="129"/>
      <c r="N6897" s="129"/>
      <c r="O6897" s="129"/>
    </row>
    <row r="6898" spans="1:15" ht="12.5">
      <c r="A6898" s="158" t="s">
        <v>32629</v>
      </c>
      <c r="B6898" s="159">
        <v>80</v>
      </c>
      <c r="C6898" s="159">
        <v>77</v>
      </c>
      <c r="D6898" s="159">
        <v>28</v>
      </c>
      <c r="E6898" s="159">
        <v>30</v>
      </c>
      <c r="F6898" s="131"/>
      <c r="G6898" s="132"/>
      <c r="H6898" s="162" t="s">
        <v>32630</v>
      </c>
      <c r="I6898" s="128"/>
      <c r="J6898" s="128"/>
      <c r="K6898" s="128"/>
      <c r="L6898" s="128"/>
      <c r="M6898" s="129"/>
      <c r="N6898" s="129"/>
      <c r="O6898" s="129"/>
    </row>
    <row r="6899" spans="1:15" ht="12.5">
      <c r="A6899" s="158" t="s">
        <v>32631</v>
      </c>
      <c r="B6899" s="159">
        <v>80</v>
      </c>
      <c r="C6899" s="159">
        <v>77</v>
      </c>
      <c r="D6899" s="159">
        <v>28</v>
      </c>
      <c r="E6899" s="159">
        <v>33</v>
      </c>
      <c r="F6899" s="131"/>
      <c r="G6899" s="132"/>
      <c r="H6899" s="162" t="s">
        <v>32632</v>
      </c>
      <c r="I6899" s="158" t="s">
        <v>32633</v>
      </c>
      <c r="J6899" s="128"/>
      <c r="K6899" s="128"/>
      <c r="L6899" s="128"/>
      <c r="M6899" s="129"/>
      <c r="N6899" s="129"/>
      <c r="O6899" s="129"/>
    </row>
    <row r="6900" spans="1:15" ht="12.5">
      <c r="A6900" s="158" t="s">
        <v>32634</v>
      </c>
      <c r="B6900" s="159">
        <v>80</v>
      </c>
      <c r="C6900" s="159">
        <v>77</v>
      </c>
      <c r="D6900" s="159">
        <v>28</v>
      </c>
      <c r="E6900" s="159">
        <v>46</v>
      </c>
      <c r="F6900" s="131"/>
      <c r="G6900" s="132"/>
      <c r="H6900" s="162" t="s">
        <v>32635</v>
      </c>
      <c r="I6900" s="158" t="s">
        <v>32636</v>
      </c>
      <c r="J6900" s="128"/>
      <c r="K6900" s="128"/>
      <c r="L6900" s="128"/>
      <c r="M6900" s="129"/>
      <c r="N6900" s="129"/>
      <c r="O6900" s="129"/>
    </row>
    <row r="6901" spans="1:15" ht="12.5">
      <c r="A6901" s="158" t="s">
        <v>32637</v>
      </c>
      <c r="B6901" s="159">
        <v>80</v>
      </c>
      <c r="C6901" s="159">
        <v>77</v>
      </c>
      <c r="D6901" s="159">
        <v>28</v>
      </c>
      <c r="E6901" s="159">
        <v>47</v>
      </c>
      <c r="F6901" s="131"/>
      <c r="G6901" s="132"/>
      <c r="H6901" s="162" t="s">
        <v>32638</v>
      </c>
      <c r="I6901" s="158" t="s">
        <v>32639</v>
      </c>
      <c r="J6901" s="128"/>
      <c r="K6901" s="128"/>
      <c r="L6901" s="128"/>
      <c r="M6901" s="129"/>
      <c r="N6901" s="129"/>
      <c r="O6901" s="129"/>
    </row>
    <row r="6902" spans="1:15" ht="12.5">
      <c r="A6902" s="158" t="s">
        <v>32640</v>
      </c>
      <c r="B6902" s="159">
        <v>80</v>
      </c>
      <c r="C6902" s="159">
        <v>77</v>
      </c>
      <c r="D6902" s="159">
        <v>28</v>
      </c>
      <c r="E6902" s="159">
        <v>48</v>
      </c>
      <c r="F6902" s="131"/>
      <c r="G6902" s="132"/>
      <c r="H6902" s="162" t="s">
        <v>32641</v>
      </c>
      <c r="I6902" s="158" t="s">
        <v>32642</v>
      </c>
      <c r="J6902" s="128"/>
      <c r="K6902" s="128"/>
      <c r="L6902" s="128"/>
      <c r="M6902" s="129"/>
      <c r="N6902" s="129"/>
      <c r="O6902" s="129"/>
    </row>
    <row r="6903" spans="1:15" ht="12.5">
      <c r="A6903" s="158" t="s">
        <v>32643</v>
      </c>
      <c r="B6903" s="159">
        <v>80</v>
      </c>
      <c r="C6903" s="159">
        <v>77</v>
      </c>
      <c r="D6903" s="159">
        <v>28</v>
      </c>
      <c r="E6903" s="159">
        <v>49</v>
      </c>
      <c r="F6903" s="131"/>
      <c r="G6903" s="132"/>
      <c r="H6903" s="162" t="s">
        <v>32644</v>
      </c>
      <c r="I6903" s="158" t="s">
        <v>32645</v>
      </c>
      <c r="J6903" s="128"/>
      <c r="K6903" s="128"/>
      <c r="L6903" s="128"/>
      <c r="M6903" s="129"/>
      <c r="N6903" s="129"/>
      <c r="O6903" s="129"/>
    </row>
    <row r="6904" spans="1:15" ht="12.5">
      <c r="A6904" s="158" t="s">
        <v>32646</v>
      </c>
      <c r="B6904" s="159">
        <v>80</v>
      </c>
      <c r="C6904" s="159">
        <v>77</v>
      </c>
      <c r="D6904" s="159">
        <v>28</v>
      </c>
      <c r="E6904" s="159">
        <v>52</v>
      </c>
      <c r="F6904" s="131"/>
      <c r="G6904" s="132"/>
      <c r="H6904" s="162" t="s">
        <v>32647</v>
      </c>
      <c r="I6904" s="128"/>
      <c r="J6904" s="128"/>
      <c r="K6904" s="128"/>
      <c r="L6904" s="128"/>
      <c r="M6904" s="129"/>
      <c r="N6904" s="129"/>
      <c r="O6904" s="129"/>
    </row>
    <row r="6905" spans="1:15" ht="12.5">
      <c r="A6905" s="158" t="s">
        <v>32649</v>
      </c>
      <c r="B6905" s="159">
        <v>80</v>
      </c>
      <c r="C6905" s="159">
        <v>77</v>
      </c>
      <c r="D6905" s="159">
        <v>28</v>
      </c>
      <c r="E6905" s="159">
        <v>60</v>
      </c>
      <c r="F6905" s="131"/>
      <c r="G6905" s="132"/>
      <c r="H6905" s="162" t="s">
        <v>32650</v>
      </c>
      <c r="I6905" s="158" t="s">
        <v>32651</v>
      </c>
      <c r="J6905" s="128"/>
      <c r="K6905" s="128"/>
      <c r="L6905" s="128"/>
      <c r="M6905" s="129"/>
      <c r="N6905" s="129"/>
      <c r="O6905" s="129"/>
    </row>
    <row r="6906" spans="1:15" ht="12.5">
      <c r="A6906" s="158" t="s">
        <v>32652</v>
      </c>
      <c r="B6906" s="159">
        <v>80</v>
      </c>
      <c r="C6906" s="159">
        <v>77</v>
      </c>
      <c r="D6906" s="159">
        <v>28</v>
      </c>
      <c r="E6906" s="159">
        <v>65</v>
      </c>
      <c r="F6906" s="131"/>
      <c r="G6906" s="132"/>
      <c r="H6906" s="162" t="s">
        <v>32653</v>
      </c>
      <c r="I6906" s="128"/>
      <c r="J6906" s="128"/>
      <c r="K6906" s="128"/>
      <c r="L6906" s="128"/>
      <c r="M6906" s="129"/>
      <c r="N6906" s="129"/>
      <c r="O6906" s="129"/>
    </row>
    <row r="6907" spans="1:15" ht="12.5">
      <c r="A6907" s="158" t="s">
        <v>32654</v>
      </c>
      <c r="B6907" s="159">
        <v>80</v>
      </c>
      <c r="C6907" s="159">
        <v>77</v>
      </c>
      <c r="D6907" s="159">
        <v>28</v>
      </c>
      <c r="E6907" s="159">
        <v>70</v>
      </c>
      <c r="F6907" s="131"/>
      <c r="G6907" s="132"/>
      <c r="H6907" s="162" t="s">
        <v>32655</v>
      </c>
      <c r="I6907" s="128"/>
      <c r="J6907" s="128"/>
      <c r="K6907" s="128"/>
      <c r="L6907" s="128"/>
      <c r="M6907" s="129"/>
      <c r="N6907" s="129"/>
      <c r="O6907" s="129"/>
    </row>
    <row r="6908" spans="1:15" ht="12.5">
      <c r="A6908" s="158" t="s">
        <v>32660</v>
      </c>
      <c r="B6908" s="159">
        <v>80</v>
      </c>
      <c r="C6908" s="159">
        <v>77</v>
      </c>
      <c r="D6908" s="159">
        <v>28</v>
      </c>
      <c r="E6908" s="159">
        <v>84</v>
      </c>
      <c r="F6908" s="131"/>
      <c r="G6908" s="132"/>
      <c r="H6908" s="162" t="s">
        <v>32661</v>
      </c>
      <c r="I6908" s="128"/>
      <c r="J6908" s="128"/>
      <c r="K6908" s="128"/>
      <c r="L6908" s="128"/>
      <c r="M6908" s="129"/>
      <c r="N6908" s="129"/>
      <c r="O6908" s="129"/>
    </row>
    <row r="6909" spans="1:15" ht="12.5">
      <c r="A6909" s="158" t="s">
        <v>32662</v>
      </c>
      <c r="B6909" s="159">
        <v>80</v>
      </c>
      <c r="C6909" s="159">
        <v>77</v>
      </c>
      <c r="D6909" s="159">
        <v>28</v>
      </c>
      <c r="E6909" s="159">
        <v>85</v>
      </c>
      <c r="F6909" s="131"/>
      <c r="G6909" s="132"/>
      <c r="H6909" s="162" t="s">
        <v>32663</v>
      </c>
      <c r="I6909" s="158" t="s">
        <v>32664</v>
      </c>
      <c r="J6909" s="128"/>
      <c r="K6909" s="128"/>
      <c r="L6909" s="128"/>
      <c r="M6909" s="129"/>
      <c r="N6909" s="129"/>
      <c r="O6909" s="129"/>
    </row>
    <row r="6910" spans="1:15" ht="12.5">
      <c r="A6910" s="158" t="s">
        <v>32665</v>
      </c>
      <c r="B6910" s="159">
        <v>80</v>
      </c>
      <c r="C6910" s="159">
        <v>77</v>
      </c>
      <c r="D6910" s="159">
        <v>28</v>
      </c>
      <c r="E6910" s="159">
        <v>86</v>
      </c>
      <c r="F6910" s="131"/>
      <c r="G6910" s="132"/>
      <c r="H6910" s="162" t="s">
        <v>32666</v>
      </c>
      <c r="I6910" s="158" t="s">
        <v>32667</v>
      </c>
      <c r="J6910" s="128"/>
      <c r="K6910" s="128"/>
      <c r="L6910" s="128"/>
      <c r="M6910" s="129"/>
      <c r="N6910" s="129"/>
      <c r="O6910" s="129"/>
    </row>
    <row r="6911" spans="1:15" ht="12.5">
      <c r="A6911" s="158" t="s">
        <v>32668</v>
      </c>
      <c r="B6911" s="159">
        <v>80</v>
      </c>
      <c r="C6911" s="159">
        <v>77</v>
      </c>
      <c r="D6911" s="159">
        <v>28</v>
      </c>
      <c r="E6911" s="159">
        <v>88</v>
      </c>
      <c r="F6911" s="131"/>
      <c r="G6911" s="132"/>
      <c r="H6911" s="162" t="s">
        <v>32669</v>
      </c>
      <c r="I6911" s="158" t="s">
        <v>32670</v>
      </c>
      <c r="J6911" s="128"/>
      <c r="K6911" s="128"/>
      <c r="L6911" s="128"/>
      <c r="M6911" s="129"/>
      <c r="N6911" s="129"/>
      <c r="O6911" s="129"/>
    </row>
    <row r="6912" spans="1:15" ht="12.5">
      <c r="A6912" s="158" t="s">
        <v>32671</v>
      </c>
      <c r="B6912" s="159">
        <v>80</v>
      </c>
      <c r="C6912" s="159">
        <v>77</v>
      </c>
      <c r="D6912" s="159">
        <v>28</v>
      </c>
      <c r="E6912" s="159">
        <v>94</v>
      </c>
      <c r="F6912" s="131"/>
      <c r="G6912" s="132"/>
      <c r="H6912" s="162" t="s">
        <v>32672</v>
      </c>
      <c r="I6912" s="128"/>
      <c r="J6912" s="128"/>
      <c r="K6912" s="128"/>
      <c r="L6912" s="128"/>
      <c r="M6912" s="129"/>
      <c r="N6912" s="129"/>
      <c r="O6912" s="129"/>
    </row>
    <row r="6913" spans="1:15" ht="12.5">
      <c r="A6913" s="158" t="s">
        <v>32673</v>
      </c>
      <c r="B6913" s="159">
        <v>80</v>
      </c>
      <c r="C6913" s="159">
        <v>77</v>
      </c>
      <c r="D6913" s="159">
        <v>28</v>
      </c>
      <c r="E6913" s="159">
        <v>95</v>
      </c>
      <c r="F6913" s="131"/>
      <c r="G6913" s="132"/>
      <c r="H6913" s="162" t="s">
        <v>32674</v>
      </c>
      <c r="I6913" s="158" t="s">
        <v>32675</v>
      </c>
      <c r="J6913" s="128"/>
      <c r="K6913" s="128"/>
      <c r="L6913" s="128"/>
      <c r="M6913" s="129"/>
      <c r="N6913" s="129"/>
      <c r="O6913" s="129"/>
    </row>
    <row r="6914" spans="1:15" ht="12.5">
      <c r="A6914" s="158" t="s">
        <v>32676</v>
      </c>
      <c r="B6914" s="159">
        <v>80</v>
      </c>
      <c r="C6914" s="159">
        <v>77</v>
      </c>
      <c r="D6914" s="159">
        <v>28</v>
      </c>
      <c r="E6914" s="159">
        <v>96</v>
      </c>
      <c r="F6914" s="131"/>
      <c r="G6914" s="132"/>
      <c r="H6914" s="162" t="s">
        <v>32677</v>
      </c>
      <c r="I6914" s="158" t="s">
        <v>32678</v>
      </c>
      <c r="J6914" s="128"/>
      <c r="K6914" s="128"/>
      <c r="L6914" s="128"/>
      <c r="M6914" s="129"/>
      <c r="N6914" s="129"/>
      <c r="O6914" s="129"/>
    </row>
    <row r="6915" spans="1:15" ht="12.5">
      <c r="A6915" s="158" t="s">
        <v>32679</v>
      </c>
      <c r="B6915" s="159">
        <v>80</v>
      </c>
      <c r="C6915" s="159">
        <v>77</v>
      </c>
      <c r="D6915" s="159">
        <v>28</v>
      </c>
      <c r="E6915" s="159">
        <v>97</v>
      </c>
      <c r="F6915" s="131"/>
      <c r="G6915" s="132"/>
      <c r="H6915" s="162" t="s">
        <v>32680</v>
      </c>
      <c r="I6915" s="158" t="s">
        <v>32636</v>
      </c>
      <c r="J6915" s="128"/>
      <c r="K6915" s="128"/>
      <c r="L6915" s="128"/>
      <c r="M6915" s="129"/>
      <c r="N6915" s="129"/>
      <c r="O6915" s="129"/>
    </row>
    <row r="6916" spans="1:15" ht="12.5">
      <c r="A6916" s="158" t="s">
        <v>32681</v>
      </c>
      <c r="B6916" s="159">
        <v>80</v>
      </c>
      <c r="C6916" s="159">
        <v>77</v>
      </c>
      <c r="D6916" s="159">
        <v>28</v>
      </c>
      <c r="E6916" s="159">
        <v>98</v>
      </c>
      <c r="F6916" s="131"/>
      <c r="G6916" s="132"/>
      <c r="H6916" s="162" t="s">
        <v>32682</v>
      </c>
      <c r="I6916" s="158" t="s">
        <v>32683</v>
      </c>
      <c r="J6916" s="128"/>
      <c r="K6916" s="128"/>
      <c r="L6916" s="128"/>
      <c r="M6916" s="129"/>
      <c r="N6916" s="129"/>
      <c r="O6916" s="129"/>
    </row>
    <row r="6917" spans="1:15" ht="12.5">
      <c r="A6917" s="158" t="s">
        <v>32684</v>
      </c>
      <c r="B6917" s="159">
        <v>80</v>
      </c>
      <c r="C6917" s="159">
        <v>77</v>
      </c>
      <c r="D6917" s="159">
        <v>46</v>
      </c>
      <c r="E6917" s="130"/>
      <c r="F6917" s="131"/>
      <c r="G6917" s="132"/>
      <c r="H6917" s="162" t="s">
        <v>32685</v>
      </c>
      <c r="I6917" s="128"/>
      <c r="J6917" s="128"/>
      <c r="K6917" s="128"/>
      <c r="L6917" s="128"/>
      <c r="M6917" s="129"/>
      <c r="N6917" s="129"/>
      <c r="O6917" s="129"/>
    </row>
    <row r="6918" spans="1:15" ht="12.5">
      <c r="A6918" s="158" t="s">
        <v>32686</v>
      </c>
      <c r="B6918" s="159">
        <v>80</v>
      </c>
      <c r="C6918" s="159">
        <v>77</v>
      </c>
      <c r="D6918" s="159">
        <v>46</v>
      </c>
      <c r="E6918" s="159">
        <v>32</v>
      </c>
      <c r="F6918" s="131"/>
      <c r="G6918" s="132"/>
      <c r="H6918" s="162" t="s">
        <v>32687</v>
      </c>
      <c r="I6918" s="158" t="s">
        <v>32688</v>
      </c>
      <c r="J6918" s="128"/>
      <c r="K6918" s="128"/>
      <c r="L6918" s="128"/>
      <c r="M6918" s="129"/>
      <c r="N6918" s="129"/>
      <c r="O6918" s="129"/>
    </row>
    <row r="6919" spans="1:15" ht="12.5">
      <c r="A6919" s="158" t="s">
        <v>32689</v>
      </c>
      <c r="B6919" s="159">
        <v>80</v>
      </c>
      <c r="C6919" s="159">
        <v>77</v>
      </c>
      <c r="D6919" s="159">
        <v>46</v>
      </c>
      <c r="E6919" s="159">
        <v>46</v>
      </c>
      <c r="F6919" s="131"/>
      <c r="G6919" s="132"/>
      <c r="H6919" s="162" t="s">
        <v>32690</v>
      </c>
      <c r="I6919" s="158" t="s">
        <v>32691</v>
      </c>
      <c r="J6919" s="128"/>
      <c r="K6919" s="128"/>
      <c r="L6919" s="128"/>
      <c r="M6919" s="129"/>
      <c r="N6919" s="129"/>
      <c r="O6919" s="129"/>
    </row>
    <row r="6920" spans="1:15" ht="12.5">
      <c r="A6920" s="158" t="s">
        <v>32692</v>
      </c>
      <c r="B6920" s="159">
        <v>80</v>
      </c>
      <c r="C6920" s="159">
        <v>77</v>
      </c>
      <c r="D6920" s="159">
        <v>48</v>
      </c>
      <c r="E6920" s="130"/>
      <c r="F6920" s="131"/>
      <c r="G6920" s="132"/>
      <c r="H6920" s="162" t="s">
        <v>32693</v>
      </c>
      <c r="I6920" s="128"/>
      <c r="J6920" s="128"/>
      <c r="K6920" s="128"/>
      <c r="L6920" s="128"/>
      <c r="M6920" s="129"/>
      <c r="N6920" s="129"/>
      <c r="O6920" s="129"/>
    </row>
    <row r="6921" spans="1:15" ht="12.5">
      <c r="A6921" s="158" t="s">
        <v>32694</v>
      </c>
      <c r="B6921" s="159">
        <v>80</v>
      </c>
      <c r="C6921" s="159">
        <v>77</v>
      </c>
      <c r="D6921" s="159">
        <v>48</v>
      </c>
      <c r="E6921" s="159">
        <v>1</v>
      </c>
      <c r="F6921" s="131"/>
      <c r="G6921" s="132"/>
      <c r="H6921" s="162" t="s">
        <v>32695</v>
      </c>
      <c r="I6921" s="158" t="s">
        <v>32696</v>
      </c>
      <c r="J6921" s="128"/>
      <c r="K6921" s="128"/>
      <c r="L6921" s="128"/>
      <c r="M6921" s="129"/>
      <c r="N6921" s="129"/>
      <c r="O6921" s="129"/>
    </row>
    <row r="6922" spans="1:15" ht="12.5">
      <c r="A6922" s="158" t="s">
        <v>32697</v>
      </c>
      <c r="B6922" s="159">
        <v>80</v>
      </c>
      <c r="C6922" s="159">
        <v>77</v>
      </c>
      <c r="D6922" s="159">
        <v>48</v>
      </c>
      <c r="E6922" s="159">
        <v>2</v>
      </c>
      <c r="F6922" s="131"/>
      <c r="G6922" s="132"/>
      <c r="H6922" s="162" t="s">
        <v>32698</v>
      </c>
      <c r="I6922" s="158" t="s">
        <v>32699</v>
      </c>
      <c r="J6922" s="128"/>
      <c r="K6922" s="128"/>
      <c r="L6922" s="128"/>
      <c r="M6922" s="129"/>
      <c r="N6922" s="129"/>
      <c r="O6922" s="129"/>
    </row>
    <row r="6923" spans="1:15" ht="12.5">
      <c r="A6923" s="158" t="s">
        <v>32700</v>
      </c>
      <c r="B6923" s="159">
        <v>80</v>
      </c>
      <c r="C6923" s="159">
        <v>77</v>
      </c>
      <c r="D6923" s="159">
        <v>48</v>
      </c>
      <c r="E6923" s="159">
        <v>3</v>
      </c>
      <c r="F6923" s="131"/>
      <c r="G6923" s="132"/>
      <c r="H6923" s="162" t="s">
        <v>32701</v>
      </c>
      <c r="I6923" s="158" t="s">
        <v>32702</v>
      </c>
      <c r="J6923" s="128"/>
      <c r="K6923" s="128"/>
      <c r="L6923" s="128"/>
      <c r="M6923" s="129"/>
      <c r="N6923" s="129"/>
      <c r="O6923" s="129"/>
    </row>
    <row r="6924" spans="1:15" ht="12.5">
      <c r="A6924" s="158" t="s">
        <v>32703</v>
      </c>
      <c r="B6924" s="159">
        <v>80</v>
      </c>
      <c r="C6924" s="159">
        <v>77</v>
      </c>
      <c r="D6924" s="159">
        <v>48</v>
      </c>
      <c r="E6924" s="159">
        <v>4</v>
      </c>
      <c r="F6924" s="131"/>
      <c r="G6924" s="132"/>
      <c r="H6924" s="162" t="s">
        <v>32704</v>
      </c>
      <c r="I6924" s="158" t="s">
        <v>32705</v>
      </c>
      <c r="J6924" s="128"/>
      <c r="K6924" s="128"/>
      <c r="L6924" s="128"/>
      <c r="M6924" s="129"/>
      <c r="N6924" s="129"/>
      <c r="O6924" s="129"/>
    </row>
    <row r="6925" spans="1:15" ht="12.5">
      <c r="A6925" s="158" t="s">
        <v>32706</v>
      </c>
      <c r="B6925" s="159">
        <v>80</v>
      </c>
      <c r="C6925" s="159">
        <v>77</v>
      </c>
      <c r="D6925" s="159">
        <v>48</v>
      </c>
      <c r="E6925" s="159">
        <v>15</v>
      </c>
      <c r="F6925" s="131"/>
      <c r="G6925" s="132"/>
      <c r="H6925" s="162" t="s">
        <v>32707</v>
      </c>
      <c r="I6925" s="128"/>
      <c r="J6925" s="128"/>
      <c r="K6925" s="128"/>
      <c r="L6925" s="128"/>
      <c r="M6925" s="129"/>
      <c r="N6925" s="129"/>
      <c r="O6925" s="129"/>
    </row>
    <row r="6926" spans="1:15" ht="12.5">
      <c r="A6926" s="158" t="s">
        <v>32708</v>
      </c>
      <c r="B6926" s="159">
        <v>80</v>
      </c>
      <c r="C6926" s="159">
        <v>77</v>
      </c>
      <c r="D6926" s="159">
        <v>48</v>
      </c>
      <c r="E6926" s="159">
        <v>16</v>
      </c>
      <c r="F6926" s="131"/>
      <c r="G6926" s="132"/>
      <c r="H6926" s="162" t="s">
        <v>32709</v>
      </c>
      <c r="I6926" s="158" t="s">
        <v>32710</v>
      </c>
      <c r="J6926" s="128"/>
      <c r="K6926" s="128"/>
      <c r="L6926" s="128"/>
      <c r="M6926" s="129"/>
      <c r="N6926" s="129"/>
      <c r="O6926" s="129"/>
    </row>
    <row r="6927" spans="1:15" ht="12.5">
      <c r="A6927" s="158" t="s">
        <v>32711</v>
      </c>
      <c r="B6927" s="159">
        <v>80</v>
      </c>
      <c r="C6927" s="159">
        <v>77</v>
      </c>
      <c r="D6927" s="159">
        <v>48</v>
      </c>
      <c r="E6927" s="159">
        <v>23</v>
      </c>
      <c r="F6927" s="131"/>
      <c r="G6927" s="132"/>
      <c r="H6927" s="162" t="s">
        <v>32712</v>
      </c>
      <c r="I6927" s="128"/>
      <c r="J6927" s="128"/>
      <c r="K6927" s="128"/>
      <c r="L6927" s="128"/>
      <c r="M6927" s="129"/>
      <c r="N6927" s="129"/>
      <c r="O6927" s="129"/>
    </row>
    <row r="6928" spans="1:15" ht="12.5">
      <c r="A6928" s="158" t="s">
        <v>32713</v>
      </c>
      <c r="B6928" s="159">
        <v>80</v>
      </c>
      <c r="C6928" s="159">
        <v>77</v>
      </c>
      <c r="D6928" s="159">
        <v>48</v>
      </c>
      <c r="E6928" s="159">
        <v>55</v>
      </c>
      <c r="F6928" s="131"/>
      <c r="G6928" s="132"/>
      <c r="H6928" s="162" t="s">
        <v>32714</v>
      </c>
      <c r="I6928" s="128"/>
      <c r="J6928" s="128"/>
      <c r="K6928" s="128"/>
      <c r="L6928" s="128"/>
      <c r="M6928" s="129"/>
      <c r="N6928" s="129"/>
      <c r="O6928" s="129"/>
    </row>
    <row r="6929" spans="1:15" ht="12.5">
      <c r="A6929" s="158" t="s">
        <v>32715</v>
      </c>
      <c r="B6929" s="159">
        <v>80</v>
      </c>
      <c r="C6929" s="159">
        <v>77</v>
      </c>
      <c r="D6929" s="159">
        <v>48</v>
      </c>
      <c r="E6929" s="159">
        <v>63</v>
      </c>
      <c r="F6929" s="131"/>
      <c r="G6929" s="132"/>
      <c r="H6929" s="162" t="s">
        <v>32716</v>
      </c>
      <c r="I6929" s="128"/>
      <c r="J6929" s="128"/>
      <c r="K6929" s="128"/>
      <c r="L6929" s="128"/>
      <c r="M6929" s="129"/>
      <c r="N6929" s="129"/>
      <c r="O6929" s="129"/>
    </row>
    <row r="6930" spans="1:15" ht="12.5">
      <c r="A6930" s="158" t="s">
        <v>32717</v>
      </c>
      <c r="B6930" s="159">
        <v>80</v>
      </c>
      <c r="C6930" s="159">
        <v>77</v>
      </c>
      <c r="D6930" s="159">
        <v>48</v>
      </c>
      <c r="E6930" s="159">
        <v>64</v>
      </c>
      <c r="F6930" s="131"/>
      <c r="G6930" s="132"/>
      <c r="H6930" s="162" t="s">
        <v>32718</v>
      </c>
      <c r="I6930" s="158" t="s">
        <v>32719</v>
      </c>
      <c r="J6930" s="128"/>
      <c r="K6930" s="128"/>
      <c r="L6930" s="128"/>
      <c r="M6930" s="129"/>
      <c r="N6930" s="129"/>
      <c r="O6930" s="129"/>
    </row>
    <row r="6931" spans="1:15" ht="12.5">
      <c r="A6931" s="158" t="s">
        <v>32720</v>
      </c>
      <c r="B6931" s="159">
        <v>80</v>
      </c>
      <c r="C6931" s="159">
        <v>77</v>
      </c>
      <c r="D6931" s="159">
        <v>48</v>
      </c>
      <c r="E6931" s="159">
        <v>78</v>
      </c>
      <c r="F6931" s="131"/>
      <c r="G6931" s="132"/>
      <c r="H6931" s="162" t="s">
        <v>32721</v>
      </c>
      <c r="I6931" s="158" t="s">
        <v>32722</v>
      </c>
      <c r="J6931" s="128"/>
      <c r="K6931" s="128"/>
      <c r="L6931" s="128"/>
      <c r="M6931" s="129"/>
      <c r="N6931" s="129"/>
      <c r="O6931" s="129"/>
    </row>
    <row r="6932" spans="1:15" ht="12.5">
      <c r="A6932" s="158" t="s">
        <v>32723</v>
      </c>
      <c r="B6932" s="159">
        <v>80</v>
      </c>
      <c r="C6932" s="159">
        <v>77</v>
      </c>
      <c r="D6932" s="159">
        <v>48</v>
      </c>
      <c r="E6932" s="159">
        <v>79</v>
      </c>
      <c r="F6932" s="131"/>
      <c r="G6932" s="132"/>
      <c r="H6932" s="162" t="s">
        <v>32724</v>
      </c>
      <c r="I6932" s="158" t="s">
        <v>32725</v>
      </c>
      <c r="J6932" s="128"/>
      <c r="K6932" s="128"/>
      <c r="L6932" s="128"/>
      <c r="M6932" s="129"/>
      <c r="N6932" s="129"/>
      <c r="O6932" s="129"/>
    </row>
    <row r="6933" spans="1:15" ht="12.5">
      <c r="A6933" s="158" t="s">
        <v>32726</v>
      </c>
      <c r="B6933" s="159">
        <v>80</v>
      </c>
      <c r="C6933" s="159">
        <v>77</v>
      </c>
      <c r="D6933" s="159">
        <v>48</v>
      </c>
      <c r="E6933" s="159">
        <v>80</v>
      </c>
      <c r="F6933" s="131"/>
      <c r="G6933" s="132"/>
      <c r="H6933" s="162" t="s">
        <v>32727</v>
      </c>
      <c r="I6933" s="158" t="s">
        <v>32728</v>
      </c>
      <c r="J6933" s="128"/>
      <c r="K6933" s="128"/>
      <c r="L6933" s="128"/>
      <c r="M6933" s="129"/>
      <c r="N6933" s="129"/>
      <c r="O6933" s="129"/>
    </row>
    <row r="6934" spans="1:15" ht="12.5">
      <c r="A6934" s="158" t="s">
        <v>32729</v>
      </c>
      <c r="B6934" s="159">
        <v>80</v>
      </c>
      <c r="C6934" s="159">
        <v>77</v>
      </c>
      <c r="D6934" s="159">
        <v>48</v>
      </c>
      <c r="E6934" s="159">
        <v>81</v>
      </c>
      <c r="F6934" s="131"/>
      <c r="G6934" s="132"/>
      <c r="H6934" s="162" t="s">
        <v>32730</v>
      </c>
      <c r="I6934" s="158" t="s">
        <v>32731</v>
      </c>
      <c r="J6934" s="128"/>
      <c r="K6934" s="128"/>
      <c r="L6934" s="128"/>
      <c r="M6934" s="129"/>
      <c r="N6934" s="129"/>
      <c r="O6934" s="129"/>
    </row>
    <row r="6935" spans="1:15" ht="12.5">
      <c r="A6935" s="158" t="s">
        <v>32732</v>
      </c>
      <c r="B6935" s="159">
        <v>80</v>
      </c>
      <c r="C6935" s="159">
        <v>77</v>
      </c>
      <c r="D6935" s="159">
        <v>76</v>
      </c>
      <c r="E6935" s="130"/>
      <c r="F6935" s="131"/>
      <c r="G6935" s="132"/>
      <c r="H6935" s="162" t="s">
        <v>32733</v>
      </c>
      <c r="I6935" s="128"/>
      <c r="J6935" s="128"/>
      <c r="K6935" s="128"/>
      <c r="L6935" s="128"/>
      <c r="M6935" s="129"/>
      <c r="N6935" s="129"/>
      <c r="O6935" s="129"/>
    </row>
    <row r="6936" spans="1:15" ht="12.5">
      <c r="A6936" s="158" t="s">
        <v>32734</v>
      </c>
      <c r="B6936" s="159">
        <v>80</v>
      </c>
      <c r="C6936" s="159">
        <v>77</v>
      </c>
      <c r="D6936" s="159">
        <v>76</v>
      </c>
      <c r="E6936" s="159">
        <v>3</v>
      </c>
      <c r="F6936" s="131"/>
      <c r="G6936" s="132"/>
      <c r="H6936" s="162" t="s">
        <v>32735</v>
      </c>
      <c r="I6936" s="128"/>
      <c r="J6936" s="128"/>
      <c r="K6936" s="128"/>
      <c r="L6936" s="128"/>
      <c r="M6936" s="129"/>
      <c r="N6936" s="129"/>
      <c r="O6936" s="129"/>
    </row>
    <row r="6937" spans="1:15" ht="12.5">
      <c r="A6937" s="158" t="s">
        <v>32736</v>
      </c>
      <c r="B6937" s="159">
        <v>80</v>
      </c>
      <c r="C6937" s="159">
        <v>77</v>
      </c>
      <c r="D6937" s="159">
        <v>76</v>
      </c>
      <c r="E6937" s="159">
        <v>11</v>
      </c>
      <c r="F6937" s="131"/>
      <c r="G6937" s="132"/>
      <c r="H6937" s="162" t="s">
        <v>32737</v>
      </c>
      <c r="I6937" s="158" t="s">
        <v>32738</v>
      </c>
      <c r="J6937" s="128"/>
      <c r="K6937" s="128"/>
      <c r="L6937" s="128"/>
      <c r="M6937" s="129"/>
      <c r="N6937" s="129"/>
      <c r="O6937" s="129"/>
    </row>
    <row r="6938" spans="1:15" ht="12.5">
      <c r="A6938" s="158" t="s">
        <v>32739</v>
      </c>
      <c r="B6938" s="159">
        <v>80</v>
      </c>
      <c r="C6938" s="159">
        <v>77</v>
      </c>
      <c r="D6938" s="159">
        <v>76</v>
      </c>
      <c r="E6938" s="159">
        <v>12</v>
      </c>
      <c r="F6938" s="131"/>
      <c r="G6938" s="132"/>
      <c r="H6938" s="162" t="s">
        <v>32740</v>
      </c>
      <c r="I6938" s="158" t="s">
        <v>32741</v>
      </c>
      <c r="J6938" s="128"/>
      <c r="K6938" s="128"/>
      <c r="L6938" s="128"/>
      <c r="M6938" s="129"/>
      <c r="N6938" s="129"/>
      <c r="O6938" s="129"/>
    </row>
    <row r="6939" spans="1:15" ht="12.5">
      <c r="A6939" s="158" t="s">
        <v>32742</v>
      </c>
      <c r="B6939" s="159">
        <v>80</v>
      </c>
      <c r="C6939" s="159">
        <v>77</v>
      </c>
      <c r="D6939" s="159">
        <v>76</v>
      </c>
      <c r="E6939" s="159">
        <v>13</v>
      </c>
      <c r="F6939" s="131"/>
      <c r="G6939" s="132"/>
      <c r="H6939" s="162" t="s">
        <v>32743</v>
      </c>
      <c r="I6939" s="158" t="s">
        <v>32741</v>
      </c>
      <c r="J6939" s="128"/>
      <c r="K6939" s="128"/>
      <c r="L6939" s="128"/>
      <c r="M6939" s="129"/>
      <c r="N6939" s="129"/>
      <c r="O6939" s="129"/>
    </row>
    <row r="6940" spans="1:15" ht="12.5">
      <c r="A6940" s="158" t="s">
        <v>32744</v>
      </c>
      <c r="B6940" s="159">
        <v>80</v>
      </c>
      <c r="C6940" s="159">
        <v>77</v>
      </c>
      <c r="D6940" s="159">
        <v>76</v>
      </c>
      <c r="E6940" s="159">
        <v>25</v>
      </c>
      <c r="F6940" s="131"/>
      <c r="G6940" s="132"/>
      <c r="H6940" s="162" t="s">
        <v>32745</v>
      </c>
      <c r="I6940" s="128"/>
      <c r="J6940" s="128"/>
      <c r="K6940" s="128"/>
      <c r="L6940" s="128"/>
      <c r="M6940" s="129"/>
      <c r="N6940" s="129"/>
      <c r="O6940" s="129"/>
    </row>
    <row r="6941" spans="1:15" ht="12.5">
      <c r="A6941" s="158" t="s">
        <v>32748</v>
      </c>
      <c r="B6941" s="159">
        <v>80</v>
      </c>
      <c r="C6941" s="159">
        <v>77</v>
      </c>
      <c r="D6941" s="159">
        <v>76</v>
      </c>
      <c r="E6941" s="159">
        <v>34</v>
      </c>
      <c r="F6941" s="131"/>
      <c r="G6941" s="132"/>
      <c r="H6941" s="162" t="s">
        <v>32749</v>
      </c>
      <c r="I6941" s="158" t="s">
        <v>32741</v>
      </c>
      <c r="J6941" s="128"/>
      <c r="K6941" s="128"/>
      <c r="L6941" s="128"/>
      <c r="M6941" s="129"/>
      <c r="N6941" s="129"/>
      <c r="O6941" s="129"/>
    </row>
    <row r="6942" spans="1:15" ht="12.5">
      <c r="A6942" s="158" t="s">
        <v>32750</v>
      </c>
      <c r="B6942" s="159">
        <v>80</v>
      </c>
      <c r="C6942" s="159">
        <v>77</v>
      </c>
      <c r="D6942" s="159">
        <v>76</v>
      </c>
      <c r="E6942" s="159">
        <v>47</v>
      </c>
      <c r="F6942" s="131"/>
      <c r="G6942" s="132"/>
      <c r="H6942" s="162" t="s">
        <v>32751</v>
      </c>
      <c r="I6942" s="158" t="s">
        <v>32752</v>
      </c>
      <c r="J6942" s="128"/>
      <c r="K6942" s="128"/>
      <c r="L6942" s="128"/>
      <c r="M6942" s="129"/>
      <c r="N6942" s="129"/>
      <c r="O6942" s="129"/>
    </row>
    <row r="6943" spans="1:15" ht="12.5">
      <c r="A6943" s="158" t="s">
        <v>32753</v>
      </c>
      <c r="B6943" s="159">
        <v>80</v>
      </c>
      <c r="C6943" s="159">
        <v>77</v>
      </c>
      <c r="D6943" s="159">
        <v>76</v>
      </c>
      <c r="E6943" s="159">
        <v>52</v>
      </c>
      <c r="F6943" s="131"/>
      <c r="G6943" s="132"/>
      <c r="H6943" s="162" t="s">
        <v>32754</v>
      </c>
      <c r="I6943" s="158" t="s">
        <v>32755</v>
      </c>
      <c r="J6943" s="128"/>
      <c r="K6943" s="128"/>
      <c r="L6943" s="128"/>
      <c r="M6943" s="129"/>
      <c r="N6943" s="129"/>
      <c r="O6943" s="129"/>
    </row>
    <row r="6944" spans="1:15" ht="12.5">
      <c r="A6944" s="158" t="s">
        <v>32756</v>
      </c>
      <c r="B6944" s="159">
        <v>80</v>
      </c>
      <c r="C6944" s="159">
        <v>77</v>
      </c>
      <c r="D6944" s="159">
        <v>76</v>
      </c>
      <c r="E6944" s="159">
        <v>53</v>
      </c>
      <c r="F6944" s="131"/>
      <c r="G6944" s="132"/>
      <c r="H6944" s="162" t="s">
        <v>32757</v>
      </c>
      <c r="I6944" s="158" t="s">
        <v>32758</v>
      </c>
      <c r="J6944" s="128"/>
      <c r="K6944" s="128"/>
      <c r="L6944" s="128"/>
      <c r="M6944" s="129"/>
      <c r="N6944" s="129"/>
      <c r="O6944" s="129"/>
    </row>
    <row r="6945" spans="1:15" ht="12.5">
      <c r="A6945" s="158" t="s">
        <v>32759</v>
      </c>
      <c r="B6945" s="159">
        <v>80</v>
      </c>
      <c r="C6945" s="159">
        <v>77</v>
      </c>
      <c r="D6945" s="159">
        <v>76</v>
      </c>
      <c r="E6945" s="159">
        <v>54</v>
      </c>
      <c r="F6945" s="131"/>
      <c r="G6945" s="132"/>
      <c r="H6945" s="162" t="s">
        <v>32760</v>
      </c>
      <c r="I6945" s="158" t="s">
        <v>32761</v>
      </c>
      <c r="J6945" s="128"/>
      <c r="K6945" s="128"/>
      <c r="L6945" s="128"/>
      <c r="M6945" s="129"/>
      <c r="N6945" s="129"/>
      <c r="O6945" s="129"/>
    </row>
    <row r="6946" spans="1:15" ht="12.5">
      <c r="A6946" s="158" t="s">
        <v>32762</v>
      </c>
      <c r="B6946" s="159">
        <v>80</v>
      </c>
      <c r="C6946" s="159">
        <v>77</v>
      </c>
      <c r="D6946" s="159">
        <v>76</v>
      </c>
      <c r="E6946" s="159">
        <v>58</v>
      </c>
      <c r="F6946" s="131"/>
      <c r="G6946" s="132"/>
      <c r="H6946" s="162" t="s">
        <v>32763</v>
      </c>
      <c r="I6946" s="158" t="s">
        <v>32764</v>
      </c>
      <c r="J6946" s="128"/>
      <c r="K6946" s="128"/>
      <c r="L6946" s="128"/>
      <c r="M6946" s="129"/>
      <c r="N6946" s="129"/>
      <c r="O6946" s="129"/>
    </row>
    <row r="6947" spans="1:15" ht="12.5">
      <c r="A6947" s="158" t="s">
        <v>32765</v>
      </c>
      <c r="B6947" s="159">
        <v>80</v>
      </c>
      <c r="C6947" s="159">
        <v>77</v>
      </c>
      <c r="D6947" s="159">
        <v>76</v>
      </c>
      <c r="E6947" s="159">
        <v>62</v>
      </c>
      <c r="F6947" s="131"/>
      <c r="G6947" s="132"/>
      <c r="H6947" s="162" t="s">
        <v>32766</v>
      </c>
      <c r="I6947" s="158" t="s">
        <v>32767</v>
      </c>
      <c r="J6947" s="128"/>
      <c r="K6947" s="128"/>
      <c r="L6947" s="128"/>
      <c r="M6947" s="129"/>
      <c r="N6947" s="129"/>
      <c r="O6947" s="129"/>
    </row>
    <row r="6948" spans="1:15" ht="12.5">
      <c r="A6948" s="158" t="s">
        <v>32768</v>
      </c>
      <c r="B6948" s="159">
        <v>80</v>
      </c>
      <c r="C6948" s="159">
        <v>77</v>
      </c>
      <c r="D6948" s="159">
        <v>76</v>
      </c>
      <c r="E6948" s="159">
        <v>64</v>
      </c>
      <c r="F6948" s="131"/>
      <c r="G6948" s="132"/>
      <c r="H6948" s="162" t="s">
        <v>32769</v>
      </c>
      <c r="I6948" s="158" t="s">
        <v>32741</v>
      </c>
      <c r="J6948" s="128"/>
      <c r="K6948" s="128"/>
      <c r="L6948" s="128"/>
      <c r="M6948" s="129"/>
      <c r="N6948" s="129"/>
      <c r="O6948" s="129"/>
    </row>
    <row r="6949" spans="1:15" ht="12.5">
      <c r="A6949" s="158" t="s">
        <v>32773</v>
      </c>
      <c r="B6949" s="159">
        <v>80</v>
      </c>
      <c r="C6949" s="159">
        <v>77</v>
      </c>
      <c r="D6949" s="159">
        <v>76</v>
      </c>
      <c r="E6949" s="159">
        <v>76</v>
      </c>
      <c r="F6949" s="131"/>
      <c r="G6949" s="132"/>
      <c r="H6949" s="162" t="s">
        <v>32774</v>
      </c>
      <c r="I6949" s="158" t="s">
        <v>32741</v>
      </c>
      <c r="J6949" s="128"/>
      <c r="K6949" s="128"/>
      <c r="L6949" s="128"/>
      <c r="M6949" s="129"/>
      <c r="N6949" s="129"/>
      <c r="O6949" s="129"/>
    </row>
    <row r="6950" spans="1:15" ht="12.5">
      <c r="A6950" s="158" t="s">
        <v>32775</v>
      </c>
      <c r="B6950" s="159">
        <v>80</v>
      </c>
      <c r="C6950" s="159">
        <v>77</v>
      </c>
      <c r="D6950" s="159">
        <v>76</v>
      </c>
      <c r="E6950" s="159">
        <v>85</v>
      </c>
      <c r="F6950" s="131"/>
      <c r="G6950" s="132"/>
      <c r="H6950" s="162" t="s">
        <v>32776</v>
      </c>
      <c r="I6950" s="158" t="s">
        <v>32741</v>
      </c>
      <c r="J6950" s="128"/>
      <c r="K6950" s="128"/>
      <c r="L6950" s="128"/>
      <c r="M6950" s="129"/>
      <c r="N6950" s="129"/>
      <c r="O6950" s="129"/>
    </row>
    <row r="6951" spans="1:15" ht="12.5">
      <c r="A6951" s="158" t="s">
        <v>32777</v>
      </c>
      <c r="B6951" s="159">
        <v>80</v>
      </c>
      <c r="C6951" s="159">
        <v>77</v>
      </c>
      <c r="D6951" s="159">
        <v>76</v>
      </c>
      <c r="E6951" s="159">
        <v>92</v>
      </c>
      <c r="F6951" s="131"/>
      <c r="G6951" s="132"/>
      <c r="H6951" s="162" t="s">
        <v>32778</v>
      </c>
      <c r="I6951" s="158" t="s">
        <v>32741</v>
      </c>
      <c r="J6951" s="128"/>
      <c r="K6951" s="128"/>
      <c r="L6951" s="128"/>
      <c r="M6951" s="129"/>
      <c r="N6951" s="129"/>
      <c r="O6951" s="129"/>
    </row>
    <row r="6952" spans="1:15" ht="12.5">
      <c r="A6952" s="158" t="s">
        <v>32779</v>
      </c>
      <c r="B6952" s="159">
        <v>80</v>
      </c>
      <c r="C6952" s="159">
        <v>77</v>
      </c>
      <c r="D6952" s="159">
        <v>76</v>
      </c>
      <c r="E6952" s="159">
        <v>94</v>
      </c>
      <c r="F6952" s="131"/>
      <c r="G6952" s="132"/>
      <c r="H6952" s="162" t="s">
        <v>32780</v>
      </c>
      <c r="I6952" s="158" t="s">
        <v>32781</v>
      </c>
      <c r="J6952" s="128"/>
      <c r="K6952" s="128"/>
      <c r="L6952" s="128"/>
      <c r="M6952" s="129"/>
      <c r="N6952" s="129"/>
      <c r="O6952" s="129"/>
    </row>
    <row r="6953" spans="1:15" ht="12.5">
      <c r="A6953" s="158" t="s">
        <v>32782</v>
      </c>
      <c r="B6953" s="159">
        <v>80</v>
      </c>
      <c r="C6953" s="159">
        <v>77</v>
      </c>
      <c r="D6953" s="159">
        <v>76</v>
      </c>
      <c r="E6953" s="159">
        <v>95</v>
      </c>
      <c r="F6953" s="131"/>
      <c r="G6953" s="132"/>
      <c r="H6953" s="162" t="s">
        <v>32783</v>
      </c>
      <c r="I6953" s="158" t="s">
        <v>32741</v>
      </c>
      <c r="J6953" s="128"/>
      <c r="K6953" s="128"/>
      <c r="L6953" s="128"/>
      <c r="M6953" s="129"/>
      <c r="N6953" s="129"/>
      <c r="O6953" s="129"/>
    </row>
    <row r="6954" spans="1:15" ht="12.5">
      <c r="A6954" s="158" t="s">
        <v>32784</v>
      </c>
      <c r="B6954" s="159">
        <v>80</v>
      </c>
      <c r="C6954" s="159">
        <v>77</v>
      </c>
      <c r="D6954" s="159">
        <v>94</v>
      </c>
      <c r="E6954" s="130"/>
      <c r="F6954" s="131"/>
      <c r="G6954" s="132"/>
      <c r="H6954" s="162" t="s">
        <v>32785</v>
      </c>
      <c r="I6954" s="128"/>
      <c r="J6954" s="128"/>
      <c r="K6954" s="128"/>
      <c r="L6954" s="128"/>
      <c r="M6954" s="129"/>
      <c r="N6954" s="129"/>
      <c r="O6954" s="129"/>
    </row>
    <row r="6955" spans="1:15" ht="12.5">
      <c r="A6955" s="158" t="s">
        <v>32786</v>
      </c>
      <c r="B6955" s="159">
        <v>80</v>
      </c>
      <c r="C6955" s="159">
        <v>77</v>
      </c>
      <c r="D6955" s="159">
        <v>94</v>
      </c>
      <c r="E6955" s="159">
        <v>15</v>
      </c>
      <c r="F6955" s="131"/>
      <c r="G6955" s="132"/>
      <c r="H6955" s="162" t="s">
        <v>32787</v>
      </c>
      <c r="I6955" s="158" t="s">
        <v>32788</v>
      </c>
      <c r="J6955" s="128"/>
      <c r="K6955" s="128"/>
      <c r="L6955" s="128"/>
      <c r="M6955" s="129"/>
      <c r="N6955" s="129"/>
      <c r="O6955" s="129"/>
    </row>
    <row r="6956" spans="1:15" ht="12.5">
      <c r="A6956" s="158" t="s">
        <v>32789</v>
      </c>
      <c r="B6956" s="159">
        <v>80</v>
      </c>
      <c r="C6956" s="159">
        <v>77</v>
      </c>
      <c r="D6956" s="159">
        <v>94</v>
      </c>
      <c r="E6956" s="159">
        <v>30</v>
      </c>
      <c r="F6956" s="131"/>
      <c r="G6956" s="132"/>
      <c r="H6956" s="162" t="s">
        <v>32790</v>
      </c>
      <c r="I6956" s="158" t="s">
        <v>32791</v>
      </c>
      <c r="J6956" s="128"/>
      <c r="K6956" s="128"/>
      <c r="L6956" s="128"/>
      <c r="M6956" s="129"/>
      <c r="N6956" s="129"/>
      <c r="O6956" s="129"/>
    </row>
    <row r="6957" spans="1:15" ht="12.5">
      <c r="A6957" s="158" t="s">
        <v>32792</v>
      </c>
      <c r="B6957" s="159">
        <v>80</v>
      </c>
      <c r="C6957" s="159">
        <v>77</v>
      </c>
      <c r="D6957" s="159">
        <v>94</v>
      </c>
      <c r="E6957" s="159">
        <v>40</v>
      </c>
      <c r="F6957" s="131"/>
      <c r="G6957" s="132"/>
      <c r="H6957" s="162" t="s">
        <v>32793</v>
      </c>
      <c r="I6957" s="158" t="s">
        <v>32794</v>
      </c>
      <c r="J6957" s="128"/>
      <c r="K6957" s="128"/>
      <c r="L6957" s="128"/>
      <c r="M6957" s="129"/>
      <c r="N6957" s="129"/>
      <c r="O6957" s="129"/>
    </row>
    <row r="6958" spans="1:15" ht="12.5">
      <c r="A6958" s="158" t="s">
        <v>32795</v>
      </c>
      <c r="B6958" s="159">
        <v>80</v>
      </c>
      <c r="C6958" s="159">
        <v>77</v>
      </c>
      <c r="D6958" s="159">
        <v>94</v>
      </c>
      <c r="E6958" s="159">
        <v>42</v>
      </c>
      <c r="F6958" s="131"/>
      <c r="G6958" s="132"/>
      <c r="H6958" s="162" t="s">
        <v>32796</v>
      </c>
      <c r="I6958" s="158" t="s">
        <v>32797</v>
      </c>
      <c r="J6958" s="128"/>
      <c r="K6958" s="128"/>
      <c r="L6958" s="128"/>
      <c r="M6958" s="129"/>
      <c r="N6958" s="129"/>
      <c r="O6958" s="129"/>
    </row>
    <row r="6959" spans="1:15" ht="12.5">
      <c r="A6959" s="158" t="s">
        <v>32798</v>
      </c>
      <c r="B6959" s="159">
        <v>80</v>
      </c>
      <c r="C6959" s="159">
        <v>77</v>
      </c>
      <c r="D6959" s="159">
        <v>94</v>
      </c>
      <c r="E6959" s="159">
        <v>50</v>
      </c>
      <c r="F6959" s="131"/>
      <c r="G6959" s="132"/>
      <c r="H6959" s="162" t="s">
        <v>32799</v>
      </c>
      <c r="I6959" s="158" t="s">
        <v>32800</v>
      </c>
      <c r="J6959" s="128"/>
      <c r="K6959" s="128"/>
      <c r="L6959" s="128"/>
      <c r="M6959" s="129"/>
      <c r="N6959" s="129"/>
      <c r="O6959" s="129"/>
    </row>
    <row r="6960" spans="1:15" ht="12.5">
      <c r="A6960" s="158" t="s">
        <v>32801</v>
      </c>
      <c r="B6960" s="159">
        <v>80</v>
      </c>
      <c r="C6960" s="159">
        <v>77</v>
      </c>
      <c r="D6960" s="159">
        <v>94</v>
      </c>
      <c r="E6960" s="159">
        <v>60</v>
      </c>
      <c r="F6960" s="131"/>
      <c r="G6960" s="132"/>
      <c r="H6960" s="162" t="s">
        <v>32802</v>
      </c>
      <c r="I6960" s="158" t="s">
        <v>32803</v>
      </c>
      <c r="J6960" s="128"/>
      <c r="K6960" s="128"/>
      <c r="L6960" s="128"/>
      <c r="M6960" s="129"/>
      <c r="N6960" s="129"/>
      <c r="O6960" s="129"/>
    </row>
    <row r="6961" spans="1:15" ht="12.5">
      <c r="A6961" s="158" t="s">
        <v>32807</v>
      </c>
      <c r="B6961" s="159">
        <v>80</v>
      </c>
      <c r="C6961" s="159">
        <v>77</v>
      </c>
      <c r="D6961" s="159">
        <v>94</v>
      </c>
      <c r="E6961" s="159">
        <v>74</v>
      </c>
      <c r="F6961" s="131"/>
      <c r="G6961" s="132"/>
      <c r="H6961" s="162" t="s">
        <v>32808</v>
      </c>
      <c r="I6961" s="158" t="s">
        <v>32809</v>
      </c>
      <c r="J6961" s="128"/>
      <c r="K6961" s="128"/>
      <c r="L6961" s="128"/>
      <c r="M6961" s="129"/>
      <c r="N6961" s="129"/>
      <c r="O6961" s="129"/>
    </row>
    <row r="6962" spans="1:15" ht="12.5">
      <c r="A6962" s="158" t="s">
        <v>32810</v>
      </c>
      <c r="B6962" s="159">
        <v>80</v>
      </c>
      <c r="C6962" s="159">
        <v>77</v>
      </c>
      <c r="D6962" s="159">
        <v>94</v>
      </c>
      <c r="E6962" s="159">
        <v>84</v>
      </c>
      <c r="F6962" s="131"/>
      <c r="G6962" s="132"/>
      <c r="H6962" s="162" t="s">
        <v>32811</v>
      </c>
      <c r="I6962" s="158" t="s">
        <v>32812</v>
      </c>
      <c r="J6962" s="128"/>
      <c r="K6962" s="128"/>
      <c r="L6962" s="128"/>
      <c r="M6962" s="129"/>
      <c r="N6962" s="129"/>
      <c r="O6962" s="129"/>
    </row>
    <row r="6963" spans="1:15" ht="12.5">
      <c r="A6963" s="137" t="s">
        <v>32813</v>
      </c>
      <c r="B6963" s="138">
        <v>85</v>
      </c>
      <c r="C6963" s="139"/>
      <c r="D6963" s="139"/>
      <c r="E6963" s="139"/>
      <c r="F6963" s="140" t="s">
        <v>33599</v>
      </c>
      <c r="G6963" s="200"/>
      <c r="H6963" s="142" t="s">
        <v>32814</v>
      </c>
      <c r="I6963" s="143"/>
      <c r="J6963" s="143"/>
      <c r="K6963" s="143"/>
      <c r="L6963" s="143"/>
      <c r="M6963" s="192"/>
      <c r="N6963" s="192"/>
      <c r="O6963" s="192"/>
    </row>
    <row r="6964" spans="1:15" ht="12.5">
      <c r="A6964" s="144" t="s">
        <v>32815</v>
      </c>
      <c r="B6964" s="145">
        <v>85</v>
      </c>
      <c r="C6964" s="145">
        <v>51</v>
      </c>
      <c r="D6964" s="146"/>
      <c r="E6964" s="146"/>
      <c r="F6964" s="147" t="s">
        <v>33600</v>
      </c>
      <c r="G6964" s="190"/>
      <c r="H6964" s="149" t="s">
        <v>32816</v>
      </c>
      <c r="I6964" s="150"/>
      <c r="J6964" s="150"/>
      <c r="K6964" s="150"/>
      <c r="L6964" s="150"/>
      <c r="M6964" s="191"/>
      <c r="N6964" s="191"/>
      <c r="O6964" s="191"/>
    </row>
    <row r="6965" spans="1:15" ht="12.5">
      <c r="A6965" s="158" t="s">
        <v>32817</v>
      </c>
      <c r="B6965" s="159">
        <v>85</v>
      </c>
      <c r="C6965" s="159">
        <v>51</v>
      </c>
      <c r="D6965" s="159">
        <v>34</v>
      </c>
      <c r="E6965" s="130"/>
      <c r="F6965" s="199"/>
      <c r="G6965" s="194"/>
      <c r="H6965" s="162" t="s">
        <v>32818</v>
      </c>
      <c r="I6965" s="128"/>
      <c r="J6965" s="128"/>
      <c r="K6965" s="128"/>
      <c r="L6965" s="128"/>
      <c r="M6965" s="129"/>
      <c r="N6965" s="129"/>
      <c r="O6965" s="129"/>
    </row>
    <row r="6966" spans="1:15" ht="12.5">
      <c r="A6966" s="158" t="s">
        <v>32819</v>
      </c>
      <c r="B6966" s="159">
        <v>85</v>
      </c>
      <c r="C6966" s="159">
        <v>51</v>
      </c>
      <c r="D6966" s="159">
        <v>34</v>
      </c>
      <c r="E6966" s="159">
        <v>51</v>
      </c>
      <c r="F6966" s="131"/>
      <c r="G6966" s="132"/>
      <c r="H6966" s="162" t="s">
        <v>32820</v>
      </c>
      <c r="I6966" s="128"/>
      <c r="J6966" s="128"/>
      <c r="K6966" s="128"/>
      <c r="L6966" s="128"/>
      <c r="M6966" s="129"/>
      <c r="N6966" s="129"/>
      <c r="O6966" s="129"/>
    </row>
    <row r="6967" spans="1:15" ht="12.5">
      <c r="A6967" s="158" t="s">
        <v>32821</v>
      </c>
      <c r="B6967" s="159">
        <v>85</v>
      </c>
      <c r="C6967" s="159">
        <v>51</v>
      </c>
      <c r="D6967" s="159">
        <v>51</v>
      </c>
      <c r="E6967" s="130"/>
      <c r="F6967" s="199"/>
      <c r="G6967" s="194"/>
      <c r="H6967" s="162" t="s">
        <v>32822</v>
      </c>
      <c r="I6967" s="128"/>
      <c r="J6967" s="128"/>
      <c r="K6967" s="128"/>
      <c r="L6967" s="128"/>
      <c r="M6967" s="129"/>
      <c r="N6967" s="129"/>
      <c r="O6967" s="129"/>
    </row>
    <row r="6968" spans="1:15" ht="12.5">
      <c r="A6968" s="158" t="s">
        <v>32823</v>
      </c>
      <c r="B6968" s="159">
        <v>85</v>
      </c>
      <c r="C6968" s="159">
        <v>51</v>
      </c>
      <c r="D6968" s="159">
        <v>87</v>
      </c>
      <c r="E6968" s="130"/>
      <c r="F6968" s="199"/>
      <c r="G6968" s="194"/>
      <c r="H6968" s="162" t="s">
        <v>32824</v>
      </c>
      <c r="I6968" s="128"/>
      <c r="J6968" s="128"/>
      <c r="K6968" s="128"/>
      <c r="L6968" s="128"/>
      <c r="M6968" s="129"/>
      <c r="N6968" s="129"/>
      <c r="O6968" s="129"/>
    </row>
    <row r="6969" spans="1:15" ht="12.5">
      <c r="A6969" s="158" t="s">
        <v>32825</v>
      </c>
      <c r="B6969" s="159">
        <v>85</v>
      </c>
      <c r="C6969" s="159">
        <v>51</v>
      </c>
      <c r="D6969" s="159">
        <v>88</v>
      </c>
      <c r="E6969" s="130"/>
      <c r="F6969" s="199"/>
      <c r="G6969" s="194"/>
      <c r="H6969" s="162" t="s">
        <v>32826</v>
      </c>
      <c r="I6969" s="128"/>
      <c r="J6969" s="128"/>
      <c r="K6969" s="128"/>
      <c r="L6969" s="128"/>
      <c r="M6969" s="129"/>
      <c r="N6969" s="129"/>
      <c r="O6969" s="129"/>
    </row>
    <row r="6970" spans="1:15" ht="12.5">
      <c r="A6970" s="144" t="s">
        <v>32827</v>
      </c>
      <c r="B6970" s="145">
        <v>85</v>
      </c>
      <c r="C6970" s="145">
        <v>73</v>
      </c>
      <c r="D6970" s="146"/>
      <c r="E6970" s="146"/>
      <c r="F6970" s="147" t="s">
        <v>33601</v>
      </c>
      <c r="G6970" s="190"/>
      <c r="H6970" s="149" t="s">
        <v>32828</v>
      </c>
      <c r="I6970" s="150"/>
      <c r="J6970" s="150"/>
      <c r="K6970" s="150"/>
      <c r="L6970" s="150"/>
      <c r="M6970" s="191"/>
      <c r="N6970" s="191"/>
      <c r="O6970" s="191"/>
    </row>
    <row r="6971" spans="1:15" ht="12.5">
      <c r="A6971" s="137" t="s">
        <v>32829</v>
      </c>
      <c r="B6971" s="138">
        <v>90</v>
      </c>
      <c r="C6971" s="139"/>
      <c r="D6971" s="139"/>
      <c r="E6971" s="139"/>
      <c r="F6971" s="140" t="s">
        <v>33602</v>
      </c>
      <c r="G6971" s="200"/>
      <c r="H6971" s="142" t="s">
        <v>32830</v>
      </c>
      <c r="I6971" s="143"/>
      <c r="J6971" s="143"/>
      <c r="K6971" s="143"/>
      <c r="L6971" s="143"/>
      <c r="M6971" s="192"/>
      <c r="N6971" s="192"/>
      <c r="O6971" s="192"/>
    </row>
  </sheetData>
  <mergeCells count="1">
    <mergeCell ref="A1:E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I448"/>
  <sheetViews>
    <sheetView workbookViewId="0">
      <pane ySplit="3" topLeftCell="A4" activePane="bottomLeft" state="frozen"/>
      <selection pane="bottomLeft" activeCell="B5" sqref="B5"/>
    </sheetView>
  </sheetViews>
  <sheetFormatPr defaultColWidth="14.453125" defaultRowHeight="15.75" customHeight="1"/>
  <cols>
    <col min="6" max="6" width="68" customWidth="1"/>
    <col min="7" max="8" width="73.08984375" customWidth="1"/>
    <col min="9" max="9" width="5.453125" customWidth="1"/>
  </cols>
  <sheetData>
    <row r="1" spans="1:9" ht="15.75" customHeight="1">
      <c r="A1" s="207" t="s">
        <v>33603</v>
      </c>
      <c r="B1" s="208"/>
      <c r="C1" s="208"/>
      <c r="D1" s="208"/>
      <c r="E1" s="208"/>
      <c r="F1" s="22"/>
      <c r="G1" s="22"/>
      <c r="H1" s="22"/>
      <c r="I1" s="22"/>
    </row>
    <row r="2" spans="1:9" ht="15.75" customHeight="1">
      <c r="A2" s="24"/>
      <c r="B2" s="24"/>
      <c r="C2" s="24"/>
      <c r="D2" s="24"/>
      <c r="E2" s="24"/>
      <c r="F2" s="24"/>
      <c r="G2" s="24"/>
      <c r="H2" s="24"/>
      <c r="I2" s="24"/>
    </row>
    <row r="3" spans="1:9" ht="15.75" customHeight="1">
      <c r="A3" s="25" t="s">
        <v>61</v>
      </c>
      <c r="B3" s="25" t="s">
        <v>62</v>
      </c>
      <c r="C3" s="25" t="s">
        <v>63</v>
      </c>
      <c r="D3" s="25" t="s">
        <v>64</v>
      </c>
      <c r="E3" s="25" t="s">
        <v>65</v>
      </c>
      <c r="F3" s="25" t="s">
        <v>66</v>
      </c>
      <c r="G3" s="25" t="s">
        <v>33604</v>
      </c>
      <c r="H3" s="25" t="s">
        <v>78</v>
      </c>
      <c r="I3" s="25" t="s">
        <v>79</v>
      </c>
    </row>
    <row r="4" spans="1:9" ht="15.75" customHeight="1">
      <c r="A4" s="20" t="s">
        <v>33605</v>
      </c>
      <c r="B4" s="20">
        <v>10</v>
      </c>
      <c r="C4" s="24"/>
      <c r="D4" s="24"/>
      <c r="E4" s="24"/>
      <c r="F4" s="28" t="s">
        <v>33606</v>
      </c>
      <c r="G4" s="24" t="str">
        <f ca="1">IFERROR(__xludf.DUMMYFUNCTION("GOOGLETRANSLATE(F4,""en"",""pt"")"),"Informações do Projeto")</f>
        <v>Informações do Projeto</v>
      </c>
      <c r="H4" s="24"/>
      <c r="I4" s="24"/>
    </row>
    <row r="5" spans="1:9" ht="15.75" customHeight="1">
      <c r="A5" s="20" t="s">
        <v>33607</v>
      </c>
      <c r="B5" s="20">
        <v>10</v>
      </c>
      <c r="C5" s="20">
        <v>10</v>
      </c>
      <c r="D5" s="24"/>
      <c r="E5" s="24"/>
      <c r="F5" s="20" t="s">
        <v>33608</v>
      </c>
      <c r="G5" s="24" t="str">
        <f ca="1">IFERROR(__xludf.DUMMYFUNCTION("GOOGLETRANSLATE(F5,""en"",""pt"")"),"Projeto")</f>
        <v>Projeto</v>
      </c>
      <c r="H5" s="24"/>
      <c r="I5" s="24"/>
    </row>
    <row r="6" spans="1:9" ht="15.75" customHeight="1">
      <c r="A6" s="20" t="s">
        <v>33609</v>
      </c>
      <c r="B6" s="20">
        <v>10</v>
      </c>
      <c r="C6" s="20">
        <v>10</v>
      </c>
      <c r="D6" s="20">
        <v>60</v>
      </c>
      <c r="E6" s="24"/>
      <c r="F6" s="20" t="s">
        <v>33610</v>
      </c>
      <c r="G6" s="24" t="str">
        <f ca="1">IFERROR(__xludf.DUMMYFUNCTION("GOOGLETRANSLATE(F6,""en"",""pt"")"),"Descrição do Projeto")</f>
        <v>Descrição do Projeto</v>
      </c>
      <c r="H6" s="20" t="s">
        <v>33611</v>
      </c>
      <c r="I6" s="24"/>
    </row>
    <row r="7" spans="1:9" ht="15.75" customHeight="1">
      <c r="A7" s="20" t="s">
        <v>33612</v>
      </c>
      <c r="B7" s="20">
        <v>10</v>
      </c>
      <c r="C7" s="20">
        <v>20</v>
      </c>
      <c r="D7" s="24"/>
      <c r="E7" s="24"/>
      <c r="F7" s="20" t="s">
        <v>33613</v>
      </c>
      <c r="G7" s="24" t="str">
        <f ca="1">IFERROR(__xludf.DUMMYFUNCTION("GOOGLETRANSLATE(F7,""en"",""pt"")"),"requisitos do cliente")</f>
        <v>requisitos do cliente</v>
      </c>
      <c r="H7" s="24"/>
      <c r="I7" s="24"/>
    </row>
    <row r="8" spans="1:9" ht="15.75" customHeight="1">
      <c r="A8" s="20" t="s">
        <v>33614</v>
      </c>
      <c r="B8" s="20">
        <v>10</v>
      </c>
      <c r="C8" s="20">
        <v>20</v>
      </c>
      <c r="D8" s="20">
        <v>7</v>
      </c>
      <c r="E8" s="24"/>
      <c r="F8" s="20" t="s">
        <v>33615</v>
      </c>
      <c r="G8" s="24" t="str">
        <f ca="1">IFERROR(__xludf.DUMMYFUNCTION("GOOGLETRANSLATE(F8,""en"",""pt"")"),"Breve")</f>
        <v>Breve</v>
      </c>
      <c r="H8" s="24"/>
      <c r="I8" s="24"/>
    </row>
    <row r="9" spans="1:9" ht="15.75" customHeight="1">
      <c r="A9" s="20" t="s">
        <v>33616</v>
      </c>
      <c r="B9" s="20">
        <v>10</v>
      </c>
      <c r="C9" s="20">
        <v>20</v>
      </c>
      <c r="D9" s="20">
        <v>9</v>
      </c>
      <c r="E9" s="24"/>
      <c r="F9" s="20" t="s">
        <v>33617</v>
      </c>
      <c r="G9" s="24" t="str">
        <f ca="1">IFERROR(__xludf.DUMMYFUNCTION("GOOGLETRANSLATE(F9,""en"",""pt"")"),"declaração buildability")</f>
        <v>declaração buildability</v>
      </c>
      <c r="H9" s="24"/>
      <c r="I9" s="24"/>
    </row>
    <row r="10" spans="1:9" ht="15.75" customHeight="1">
      <c r="A10" s="20" t="s">
        <v>33618</v>
      </c>
      <c r="B10" s="20">
        <v>10</v>
      </c>
      <c r="C10" s="20">
        <v>20</v>
      </c>
      <c r="D10" s="20">
        <v>14</v>
      </c>
      <c r="E10" s="24"/>
      <c r="F10" s="20" t="s">
        <v>33619</v>
      </c>
      <c r="G10" s="24" t="str">
        <f ca="1">IFERROR(__xludf.DUMMYFUNCTION("GOOGLETRANSLATE(F10,""en"",""pt"")"),"plano de ligação inquilino Comunidade e")</f>
        <v>plano de ligação inquilino Comunidade e</v>
      </c>
      <c r="H10" s="24"/>
      <c r="I10" s="24"/>
    </row>
    <row r="11" spans="1:9" ht="15.75" customHeight="1">
      <c r="A11" s="20" t="s">
        <v>33620</v>
      </c>
      <c r="B11" s="20">
        <v>10</v>
      </c>
      <c r="C11" s="20">
        <v>20</v>
      </c>
      <c r="D11" s="20">
        <v>16</v>
      </c>
      <c r="E11" s="24"/>
      <c r="F11" s="20" t="s">
        <v>33621</v>
      </c>
      <c r="G11" s="24" t="str">
        <f ca="1">IFERROR(__xludf.DUMMYFUNCTION("GOOGLETRANSLATE(F11,""en"",""pt"")"),"indústria da construção exigência sistema de registo")</f>
        <v>indústria da construção exigência sistema de registo</v>
      </c>
      <c r="H11" s="24"/>
      <c r="I11" s="24"/>
    </row>
    <row r="12" spans="1:9" ht="15.75" customHeight="1">
      <c r="A12" s="20" t="s">
        <v>33622</v>
      </c>
      <c r="B12" s="20">
        <v>10</v>
      </c>
      <c r="C12" s="20">
        <v>20</v>
      </c>
      <c r="D12" s="20">
        <v>17</v>
      </c>
      <c r="E12" s="24"/>
      <c r="F12" s="20" t="s">
        <v>33623</v>
      </c>
      <c r="G12" s="24" t="str">
        <f ca="1">IFERROR(__xludf.DUMMYFUNCTION("GOOGLETRANSLATE(F12,""en"",""pt"")"),"declaração requisitos fundamentais")</f>
        <v>declaração requisitos fundamentais</v>
      </c>
      <c r="H12" s="24"/>
      <c r="I12" s="24"/>
    </row>
    <row r="13" spans="1:9" ht="15.75" customHeight="1">
      <c r="A13" s="20" t="s">
        <v>33624</v>
      </c>
      <c r="B13" s="20">
        <v>10</v>
      </c>
      <c r="C13" s="20">
        <v>20</v>
      </c>
      <c r="D13" s="20">
        <v>18</v>
      </c>
      <c r="E13" s="24"/>
      <c r="F13" s="20" t="s">
        <v>33625</v>
      </c>
      <c r="G13" s="24" t="str">
        <f ca="1">IFERROR(__xludf.DUMMYFUNCTION("GOOGLETRANSLATE(F13,""en"",""pt"")"),"Análise de custo-benefício")</f>
        <v>Análise de custo-benefício</v>
      </c>
      <c r="H13" s="24"/>
      <c r="I13" s="24"/>
    </row>
    <row r="14" spans="1:9" ht="15.75" customHeight="1">
      <c r="A14" s="20" t="s">
        <v>33626</v>
      </c>
      <c r="B14" s="20">
        <v>10</v>
      </c>
      <c r="C14" s="20">
        <v>20</v>
      </c>
      <c r="D14" s="20">
        <v>24</v>
      </c>
      <c r="E14" s="24"/>
      <c r="F14" s="20" t="s">
        <v>33627</v>
      </c>
      <c r="G14" s="24" t="str">
        <f ca="1">IFERROR(__xludf.DUMMYFUNCTION("GOOGLETRANSLATE(F14,""en"",""pt"")"),"dever de informação do empregador")</f>
        <v>dever de informação do empregador</v>
      </c>
      <c r="H14" s="20" t="s">
        <v>33628</v>
      </c>
      <c r="I14" s="24"/>
    </row>
    <row r="15" spans="1:9" ht="15.75" customHeight="1">
      <c r="A15" s="20" t="s">
        <v>33629</v>
      </c>
      <c r="B15" s="20">
        <v>10</v>
      </c>
      <c r="C15" s="20">
        <v>20</v>
      </c>
      <c r="D15" s="20">
        <v>26</v>
      </c>
      <c r="E15" s="24"/>
      <c r="F15" s="20" t="s">
        <v>33630</v>
      </c>
      <c r="G15" s="24" t="str">
        <f ca="1">IFERROR(__xludf.DUMMYFUNCTION("GOOGLETRANSLATE(F15,""en"",""pt"")"),"Politica ambiental")</f>
        <v>Politica ambiental</v>
      </c>
      <c r="H15" s="20" t="s">
        <v>33631</v>
      </c>
      <c r="I15" s="24"/>
    </row>
    <row r="16" spans="1:9" ht="15.75" customHeight="1">
      <c r="A16" s="20" t="s">
        <v>33632</v>
      </c>
      <c r="B16" s="20">
        <v>10</v>
      </c>
      <c r="C16" s="20">
        <v>20</v>
      </c>
      <c r="D16" s="20">
        <v>30</v>
      </c>
      <c r="E16" s="24"/>
      <c r="F16" s="20" t="s">
        <v>33633</v>
      </c>
      <c r="G16" s="24" t="str">
        <f ca="1">IFERROR(__xludf.DUMMYFUNCTION("GOOGLETRANSLATE(F16,""en"",""pt"")"),"Estudo de viabilidade")</f>
        <v>Estudo de viabilidade</v>
      </c>
      <c r="H16" s="24"/>
      <c r="I16" s="24"/>
    </row>
    <row r="17" spans="1:9" ht="15.75" customHeight="1">
      <c r="A17" s="20" t="s">
        <v>33634</v>
      </c>
      <c r="B17" s="20">
        <v>10</v>
      </c>
      <c r="C17" s="20">
        <v>20</v>
      </c>
      <c r="D17" s="20">
        <v>75</v>
      </c>
      <c r="E17" s="24"/>
      <c r="F17" s="20" t="s">
        <v>33635</v>
      </c>
      <c r="G17" s="24" t="str">
        <f ca="1">IFERROR(__xludf.DUMMYFUNCTION("GOOGLETRANSLATE(F17,""en"",""pt"")"),"plano de envolvimento das partes interessadas")</f>
        <v>plano de envolvimento das partes interessadas</v>
      </c>
      <c r="H17" s="24"/>
      <c r="I17" s="24"/>
    </row>
    <row r="18" spans="1:9" ht="15.75" customHeight="1">
      <c r="A18" s="20" t="s">
        <v>33636</v>
      </c>
      <c r="B18" s="20">
        <v>10</v>
      </c>
      <c r="C18" s="20">
        <v>20</v>
      </c>
      <c r="D18" s="20">
        <v>82</v>
      </c>
      <c r="E18" s="24"/>
      <c r="F18" s="20" t="s">
        <v>33637</v>
      </c>
      <c r="G18" s="24" t="str">
        <f ca="1">IFERROR(__xludf.DUMMYFUNCTION("GOOGLETRANSLATE(F18,""en"",""pt"")"),"Declaração de exigência")</f>
        <v>Declaração de exigência</v>
      </c>
      <c r="H18" s="24"/>
      <c r="I18" s="24"/>
    </row>
    <row r="19" spans="1:9" ht="15.75" customHeight="1">
      <c r="A19" s="20" t="s">
        <v>33638</v>
      </c>
      <c r="B19" s="20">
        <v>10</v>
      </c>
      <c r="C19" s="20">
        <v>20</v>
      </c>
      <c r="D19" s="20">
        <v>84</v>
      </c>
      <c r="E19" s="24"/>
      <c r="F19" s="20" t="s">
        <v>33639</v>
      </c>
      <c r="G19" s="24" t="str">
        <f ca="1">IFERROR(__xludf.DUMMYFUNCTION("GOOGLETRANSLATE(F19,""en"",""pt"")"),"Demonstração do requisito de segurança")</f>
        <v>Demonstração do requisito de segurança</v>
      </c>
      <c r="H19" s="24"/>
      <c r="I19" s="24"/>
    </row>
    <row r="20" spans="1:9" ht="15.75" customHeight="1">
      <c r="A20" s="20" t="s">
        <v>33640</v>
      </c>
      <c r="B20" s="20">
        <v>10</v>
      </c>
      <c r="C20" s="20">
        <v>20</v>
      </c>
      <c r="D20" s="20">
        <v>86</v>
      </c>
      <c r="E20" s="24"/>
      <c r="F20" s="20" t="s">
        <v>33641</v>
      </c>
      <c r="G20" s="24" t="str">
        <f ca="1">IFERROR(__xludf.DUMMYFUNCTION("GOOGLETRANSLATE(F20,""en"",""pt"")"),"plano de envolvimento desenvolvimento sustentável")</f>
        <v>plano de envolvimento desenvolvimento sustentável</v>
      </c>
      <c r="H20" s="24"/>
      <c r="I20" s="24"/>
    </row>
    <row r="21" spans="1:9" ht="15.75" customHeight="1">
      <c r="A21" s="20" t="s">
        <v>33642</v>
      </c>
      <c r="B21" s="20">
        <v>10</v>
      </c>
      <c r="C21" s="20">
        <v>20</v>
      </c>
      <c r="D21" s="20">
        <v>90</v>
      </c>
      <c r="E21" s="24"/>
      <c r="F21" s="20" t="s">
        <v>33643</v>
      </c>
      <c r="G21" s="24" t="str">
        <f ca="1">IFERROR(__xludf.DUMMYFUNCTION("GOOGLETRANSLATE(F21,""en"",""pt"")"),"declaração técnica da exigência (TSOR)")</f>
        <v>declaração técnica da exigência (TSOR)</v>
      </c>
      <c r="H21" s="24"/>
      <c r="I21" s="24"/>
    </row>
    <row r="22" spans="1:9" ht="15.75" customHeight="1">
      <c r="A22" s="20" t="s">
        <v>33644</v>
      </c>
      <c r="B22" s="20">
        <v>10</v>
      </c>
      <c r="C22" s="20">
        <v>20</v>
      </c>
      <c r="D22" s="20">
        <v>92</v>
      </c>
      <c r="E22" s="24"/>
      <c r="F22" s="20" t="s">
        <v>33645</v>
      </c>
      <c r="G22" s="24" t="str">
        <f ca="1">IFERROR(__xludf.DUMMYFUNCTION("GOOGLETRANSLATE(F22,""en"",""pt"")"),"documento de requisitos do usuário")</f>
        <v>documento de requisitos do usuário</v>
      </c>
      <c r="H22" s="24"/>
      <c r="I22" s="24"/>
    </row>
    <row r="23" spans="1:9" ht="15.75" customHeight="1">
      <c r="A23" s="20" t="s">
        <v>33646</v>
      </c>
      <c r="B23" s="20">
        <v>10</v>
      </c>
      <c r="C23" s="20">
        <v>80</v>
      </c>
      <c r="D23" s="24"/>
      <c r="E23" s="24"/>
      <c r="F23" s="20" t="s">
        <v>33647</v>
      </c>
      <c r="G23" s="24" t="str">
        <f ca="1">IFERROR(__xludf.DUMMYFUNCTION("GOOGLETRANSLATE(F23,""en"",""pt"")"),"requisitos de gestão do espaço")</f>
        <v>requisitos de gestão do espaço</v>
      </c>
      <c r="H23" s="24"/>
      <c r="I23" s="24"/>
    </row>
    <row r="24" spans="1:9" ht="15.75" customHeight="1">
      <c r="A24" s="20" t="s">
        <v>33648</v>
      </c>
      <c r="B24" s="20">
        <v>10</v>
      </c>
      <c r="C24" s="20">
        <v>80</v>
      </c>
      <c r="D24" s="20">
        <v>10</v>
      </c>
      <c r="E24" s="24"/>
      <c r="F24" s="20" t="s">
        <v>33649</v>
      </c>
      <c r="G24" s="24" t="str">
        <f ca="1">IFERROR(__xludf.DUMMYFUNCTION("GOOGLETRANSLATE(F24,""en"",""pt"")"),"Alojamento e layout de plano")</f>
        <v>Alojamento e layout de plano</v>
      </c>
      <c r="H24" s="24"/>
      <c r="I24" s="24"/>
    </row>
    <row r="25" spans="1:9" ht="15.75" customHeight="1">
      <c r="A25" s="20" t="s">
        <v>33650</v>
      </c>
      <c r="B25" s="20">
        <v>10</v>
      </c>
      <c r="C25" s="20">
        <v>80</v>
      </c>
      <c r="D25" s="20">
        <v>75</v>
      </c>
      <c r="E25" s="24"/>
      <c r="F25" s="20" t="s">
        <v>33651</v>
      </c>
      <c r="G25" s="24" t="str">
        <f ca="1">IFERROR(__xludf.DUMMYFUNCTION("GOOGLETRANSLATE(F25,""en"",""pt"")"),"design de espaço")</f>
        <v>design de espaço</v>
      </c>
      <c r="H25" s="24"/>
      <c r="I25" s="24"/>
    </row>
    <row r="26" spans="1:9" ht="15.75" customHeight="1">
      <c r="A26" s="20" t="s">
        <v>33652</v>
      </c>
      <c r="B26" s="20">
        <v>10</v>
      </c>
      <c r="C26" s="20">
        <v>80</v>
      </c>
      <c r="D26" s="20">
        <v>80</v>
      </c>
      <c r="E26" s="24"/>
      <c r="F26" s="20" t="s">
        <v>33653</v>
      </c>
      <c r="G26" s="24" t="str">
        <f ca="1">IFERROR(__xludf.DUMMYFUNCTION("GOOGLETRANSLATE(F26,""en"",""pt"")"),"plano de espaço")</f>
        <v>plano de espaço</v>
      </c>
      <c r="H26" s="24"/>
      <c r="I26" s="24"/>
    </row>
    <row r="27" spans="1:9" ht="15.75" customHeight="1">
      <c r="A27" s="20" t="s">
        <v>33654</v>
      </c>
      <c r="B27" s="20">
        <v>10</v>
      </c>
      <c r="C27" s="20">
        <v>80</v>
      </c>
      <c r="D27" s="20">
        <v>85</v>
      </c>
      <c r="E27" s="24"/>
      <c r="F27" s="20" t="s">
        <v>33655</v>
      </c>
      <c r="G27" s="24" t="str">
        <f ca="1">IFERROR(__xludf.DUMMYFUNCTION("GOOGLETRANSLATE(F27,""en"",""pt"")"),"padrão espaço")</f>
        <v>padrão espaço</v>
      </c>
      <c r="H27" s="24"/>
      <c r="I27" s="24"/>
    </row>
    <row r="28" spans="1:9" ht="15.75" customHeight="1">
      <c r="A28" s="20" t="s">
        <v>33656</v>
      </c>
      <c r="B28" s="20">
        <v>30</v>
      </c>
      <c r="C28" s="24"/>
      <c r="D28" s="24"/>
      <c r="E28" s="24"/>
      <c r="F28" s="20" t="s">
        <v>33657</v>
      </c>
      <c r="G28" s="24" t="str">
        <f ca="1">IFERROR(__xludf.DUMMYFUNCTION("GOOGLETRANSLATE(F28,""en"",""pt"")"),"Site, chão e informação ambiental")</f>
        <v>Site, chão e informação ambiental</v>
      </c>
      <c r="H28" s="24"/>
      <c r="I28" s="24"/>
    </row>
    <row r="29" spans="1:9" ht="15.75" customHeight="1">
      <c r="A29" s="20" t="s">
        <v>33658</v>
      </c>
      <c r="B29" s="20">
        <v>30</v>
      </c>
      <c r="C29" s="20">
        <v>10</v>
      </c>
      <c r="D29" s="24"/>
      <c r="E29" s="24"/>
      <c r="F29" s="20" t="s">
        <v>33659</v>
      </c>
      <c r="G29" s="24" t="str">
        <f ca="1">IFERROR(__xludf.DUMMYFUNCTION("GOOGLETRANSLATE(F29,""en"",""pt"")"),"informações site survey")</f>
        <v>informações site survey</v>
      </c>
      <c r="H29" s="20" t="s">
        <v>33660</v>
      </c>
      <c r="I29" s="24"/>
    </row>
    <row r="30" spans="1:9" ht="15.75" customHeight="1">
      <c r="A30" s="20" t="s">
        <v>33661</v>
      </c>
      <c r="B30" s="20">
        <v>30</v>
      </c>
      <c r="C30" s="20">
        <v>10</v>
      </c>
      <c r="D30" s="20">
        <v>15</v>
      </c>
      <c r="E30" s="24"/>
      <c r="F30" s="20" t="s">
        <v>33662</v>
      </c>
      <c r="G30" s="24" t="str">
        <f ca="1">IFERROR(__xludf.DUMMYFUNCTION("GOOGLETRANSLATE(F30,""en"",""pt"")"),"Condição informações de pesquisa")</f>
        <v>Condição informações de pesquisa</v>
      </c>
      <c r="H30" s="24"/>
      <c r="I30" s="24"/>
    </row>
    <row r="31" spans="1:9" ht="15.75" customHeight="1">
      <c r="A31" s="20" t="s">
        <v>33663</v>
      </c>
      <c r="B31" s="20">
        <v>30</v>
      </c>
      <c r="C31" s="20">
        <v>10</v>
      </c>
      <c r="D31" s="20">
        <v>22</v>
      </c>
      <c r="E31" s="24"/>
      <c r="F31" s="20" t="s">
        <v>33664</v>
      </c>
      <c r="G31" s="24" t="str">
        <f ca="1">IFERROR(__xludf.DUMMYFUNCTION("GOOGLETRANSLATE(F31,""en"",""pt"")"),"informações dimensional")</f>
        <v>informações dimensional</v>
      </c>
      <c r="H31" s="24"/>
      <c r="I31" s="24"/>
    </row>
    <row r="32" spans="1:9" ht="15.75" customHeight="1">
      <c r="A32" s="20" t="s">
        <v>33665</v>
      </c>
      <c r="B32" s="20">
        <v>30</v>
      </c>
      <c r="C32" s="20">
        <v>10</v>
      </c>
      <c r="D32" s="20">
        <v>28</v>
      </c>
      <c r="E32" s="24"/>
      <c r="F32" s="20" t="s">
        <v>33666</v>
      </c>
      <c r="G32" s="24" t="str">
        <f ca="1">IFERROR(__xludf.DUMMYFUNCTION("GOOGLETRANSLATE(F32,""en"",""pt"")"),"informações estrutura existente")</f>
        <v>informações estrutura existente</v>
      </c>
      <c r="H32" s="24"/>
      <c r="I32" s="24"/>
    </row>
    <row r="33" spans="1:9" ht="15.75" customHeight="1">
      <c r="A33" s="20" t="s">
        <v>33667</v>
      </c>
      <c r="B33" s="20">
        <v>30</v>
      </c>
      <c r="C33" s="20">
        <v>10</v>
      </c>
      <c r="D33" s="20">
        <v>38</v>
      </c>
      <c r="E33" s="24"/>
      <c r="F33" s="20" t="s">
        <v>33668</v>
      </c>
      <c r="G33" s="24" t="str">
        <f ca="1">IFERROR(__xludf.DUMMYFUNCTION("GOOGLETRANSLATE(F33,""en"",""pt"")"),"informações hidráulica")</f>
        <v>informações hidráulica</v>
      </c>
      <c r="H33" s="24"/>
      <c r="I33" s="24"/>
    </row>
    <row r="34" spans="1:9" ht="15.75" customHeight="1">
      <c r="A34" s="20" t="s">
        <v>33669</v>
      </c>
      <c r="B34" s="20">
        <v>30</v>
      </c>
      <c r="C34" s="20">
        <v>10</v>
      </c>
      <c r="D34" s="20">
        <v>39</v>
      </c>
      <c r="E34" s="24"/>
      <c r="F34" s="20" t="s">
        <v>33670</v>
      </c>
      <c r="G34" s="24" t="str">
        <f ca="1">IFERROR(__xludf.DUMMYFUNCTION("GOOGLETRANSLATE(F34,""en"",""pt"")"),"informações Hidrologia")</f>
        <v>informações Hidrologia</v>
      </c>
      <c r="H34" s="24"/>
      <c r="I34" s="24"/>
    </row>
    <row r="35" spans="1:9" ht="15.75" customHeight="1">
      <c r="A35" s="20" t="s">
        <v>33671</v>
      </c>
      <c r="B35" s="20">
        <v>30</v>
      </c>
      <c r="C35" s="20">
        <v>10</v>
      </c>
      <c r="D35" s="20">
        <v>47</v>
      </c>
      <c r="E35" s="24"/>
      <c r="F35" s="20" t="s">
        <v>33672</v>
      </c>
      <c r="G35" s="24" t="str">
        <f ca="1">IFERROR(__xludf.DUMMYFUNCTION("GOOGLETRANSLATE(F35,""en"",""pt"")"),"informações de registro de terras")</f>
        <v>informações de registro de terras</v>
      </c>
      <c r="H35" s="24"/>
      <c r="I35" s="24"/>
    </row>
    <row r="36" spans="1:9" ht="15.75" customHeight="1">
      <c r="A36" s="20" t="s">
        <v>33673</v>
      </c>
      <c r="B36" s="20">
        <v>30</v>
      </c>
      <c r="C36" s="20">
        <v>10</v>
      </c>
      <c r="D36" s="20">
        <v>58</v>
      </c>
      <c r="E36" s="24"/>
      <c r="F36" s="20" t="s">
        <v>33674</v>
      </c>
      <c r="G36" s="24" t="str">
        <f ca="1">IFERROR(__xludf.DUMMYFUNCTION("GOOGLETRANSLATE(F36,""en"",""pt"")"),"informações de mapeamento")</f>
        <v>informações de mapeamento</v>
      </c>
      <c r="H36" s="24"/>
      <c r="I36" s="24"/>
    </row>
    <row r="37" spans="1:9" ht="15.75" customHeight="1">
      <c r="A37" s="20" t="s">
        <v>33675</v>
      </c>
      <c r="B37" s="20">
        <v>30</v>
      </c>
      <c r="C37" s="20">
        <v>10</v>
      </c>
      <c r="D37" s="20">
        <v>76</v>
      </c>
      <c r="E37" s="24"/>
      <c r="F37" s="20" t="s">
        <v>33676</v>
      </c>
      <c r="G37" s="24" t="str">
        <f ca="1">IFERROR(__xludf.DUMMYFUNCTION("GOOGLETRANSLATE(F37,""en"",""pt"")"),"informações de pesquisa de digitalização")</f>
        <v>informações de pesquisa de digitalização</v>
      </c>
      <c r="H37" s="24"/>
      <c r="I37" s="24"/>
    </row>
    <row r="38" spans="1:9" ht="15.75" customHeight="1">
      <c r="A38" s="20" t="s">
        <v>33677</v>
      </c>
      <c r="B38" s="20">
        <v>30</v>
      </c>
      <c r="C38" s="20">
        <v>10</v>
      </c>
      <c r="D38" s="20">
        <v>80</v>
      </c>
      <c r="E38" s="24"/>
      <c r="F38" s="20" t="s">
        <v>33678</v>
      </c>
      <c r="G38" s="24" t="str">
        <f ca="1">IFERROR(__xludf.DUMMYFUNCTION("GOOGLETRANSLATE(F38,""en"",""pt"")"),"Sítio de informações fronteira")</f>
        <v>Sítio de informações fronteira</v>
      </c>
      <c r="H38" s="24"/>
      <c r="I38" s="24"/>
    </row>
    <row r="39" spans="1:9" ht="14.5">
      <c r="A39" s="20" t="s">
        <v>33679</v>
      </c>
      <c r="B39" s="20">
        <v>30</v>
      </c>
      <c r="C39" s="20">
        <v>10</v>
      </c>
      <c r="D39" s="20">
        <v>93</v>
      </c>
      <c r="E39" s="24"/>
      <c r="F39" s="20" t="s">
        <v>33680</v>
      </c>
      <c r="G39" s="24" t="str">
        <f ca="1">IFERROR(__xludf.DUMMYFUNCTION("GOOGLETRANSLATE(F39,""en"",""pt"")"),"Utilidades e serviços de informação pesquisa")</f>
        <v>Utilidades e serviços de informação pesquisa</v>
      </c>
      <c r="H39" s="20" t="s">
        <v>33681</v>
      </c>
      <c r="I39" s="24"/>
    </row>
    <row r="40" spans="1:9" ht="14.5">
      <c r="A40" s="20" t="s">
        <v>33682</v>
      </c>
      <c r="B40" s="20">
        <v>30</v>
      </c>
      <c r="C40" s="20">
        <v>20</v>
      </c>
      <c r="D40" s="24"/>
      <c r="E40" s="24"/>
      <c r="F40" s="20" t="s">
        <v>33683</v>
      </c>
      <c r="G40" s="24" t="str">
        <f ca="1">IFERROR(__xludf.DUMMYFUNCTION("GOOGLETRANSLATE(F40,""en"",""pt"")"),"relatórios de estudo de terrenos")</f>
        <v>relatórios de estudo de terrenos</v>
      </c>
      <c r="H40" s="20" t="s">
        <v>33684</v>
      </c>
      <c r="I40" s="24"/>
    </row>
    <row r="41" spans="1:9" ht="14.5">
      <c r="A41" s="20" t="s">
        <v>33685</v>
      </c>
      <c r="B41" s="20">
        <v>30</v>
      </c>
      <c r="C41" s="20">
        <v>20</v>
      </c>
      <c r="D41" s="20">
        <v>2</v>
      </c>
      <c r="E41" s="24"/>
      <c r="F41" s="20" t="s">
        <v>33686</v>
      </c>
      <c r="G41" s="24" t="str">
        <f ca="1">IFERROR(__xludf.DUMMYFUNCTION("GOOGLETRANSLATE(F41,""en"",""pt"")"),"relatório de pesquisa arqueológica")</f>
        <v>relatório de pesquisa arqueológica</v>
      </c>
      <c r="H41" s="24"/>
      <c r="I41" s="24"/>
    </row>
    <row r="42" spans="1:9" ht="14.5">
      <c r="A42" s="20" t="s">
        <v>33687</v>
      </c>
      <c r="B42" s="20">
        <v>30</v>
      </c>
      <c r="C42" s="20">
        <v>20</v>
      </c>
      <c r="D42" s="20">
        <v>10</v>
      </c>
      <c r="E42" s="24"/>
      <c r="F42" s="20" t="s">
        <v>33688</v>
      </c>
      <c r="G42" s="24" t="str">
        <f ca="1">IFERROR(__xludf.DUMMYFUNCTION("GOOGLETRANSLATE(F42,""en"",""pt"")"),"relatório de prospecção geológica")</f>
        <v>relatório de prospecção geológica</v>
      </c>
      <c r="H42" s="24"/>
      <c r="I42" s="24"/>
    </row>
    <row r="43" spans="1:9" ht="14.5">
      <c r="A43" s="20" t="s">
        <v>33689</v>
      </c>
      <c r="B43" s="20">
        <v>30</v>
      </c>
      <c r="C43" s="20">
        <v>20</v>
      </c>
      <c r="D43" s="20">
        <v>17</v>
      </c>
      <c r="E43" s="24"/>
      <c r="F43" s="20" t="s">
        <v>33690</v>
      </c>
      <c r="G43" s="24" t="str">
        <f ca="1">IFERROR(__xludf.DUMMYFUNCTION("GOOGLETRANSLATE(F43,""en"",""pt"")"),"relatório de pesquisa de terra contaminada")</f>
        <v>relatório de pesquisa de terra contaminada</v>
      </c>
      <c r="H43" s="24"/>
      <c r="I43" s="24"/>
    </row>
    <row r="44" spans="1:9" ht="14.5">
      <c r="A44" s="20" t="s">
        <v>33691</v>
      </c>
      <c r="B44" s="20">
        <v>30</v>
      </c>
      <c r="C44" s="20">
        <v>20</v>
      </c>
      <c r="D44" s="20">
        <v>24</v>
      </c>
      <c r="E44" s="24"/>
      <c r="F44" s="20" t="s">
        <v>33692</v>
      </c>
      <c r="G44" s="24" t="str">
        <f ca="1">IFERROR(__xludf.DUMMYFUNCTION("GOOGLETRANSLATE(F44,""en"",""pt"")"),"serviços subterrâneos relatório de pesquisa")</f>
        <v>serviços subterrâneos relatório de pesquisa</v>
      </c>
      <c r="H44" s="24"/>
      <c r="I44" s="24"/>
    </row>
    <row r="45" spans="1:9" ht="14.5">
      <c r="A45" s="20" t="s">
        <v>33693</v>
      </c>
      <c r="B45" s="20">
        <v>30</v>
      </c>
      <c r="C45" s="20">
        <v>20</v>
      </c>
      <c r="D45" s="20">
        <v>33</v>
      </c>
      <c r="E45" s="24"/>
      <c r="F45" s="20" t="s">
        <v>33694</v>
      </c>
      <c r="G45" s="24" t="str">
        <f ca="1">IFERROR(__xludf.DUMMYFUNCTION("GOOGLETRANSLATE(F45,""en"",""pt"")"),"relatório de pesquisa geotécnica")</f>
        <v>relatório de pesquisa geotécnica</v>
      </c>
      <c r="H45" s="24"/>
      <c r="I45" s="24"/>
    </row>
    <row r="46" spans="1:9" ht="14.5">
      <c r="A46" s="20" t="s">
        <v>33695</v>
      </c>
      <c r="B46" s="20">
        <v>30</v>
      </c>
      <c r="C46" s="20">
        <v>20</v>
      </c>
      <c r="D46" s="20">
        <v>35</v>
      </c>
      <c r="E46" s="24"/>
      <c r="F46" s="20" t="s">
        <v>33696</v>
      </c>
      <c r="G46" s="24" t="str">
        <f ca="1">IFERROR(__xludf.DUMMYFUNCTION("GOOGLETRANSLATE(F46,""en"",""pt"")"),"relatório de investigação do solo")</f>
        <v>relatório de investigação do solo</v>
      </c>
      <c r="H46" s="20" t="s">
        <v>33697</v>
      </c>
      <c r="I46" s="24"/>
    </row>
    <row r="47" spans="1:9" ht="14.5">
      <c r="A47" s="20" t="s">
        <v>33698</v>
      </c>
      <c r="B47" s="20">
        <v>30</v>
      </c>
      <c r="C47" s="20">
        <v>20</v>
      </c>
      <c r="D47" s="20">
        <v>46</v>
      </c>
      <c r="E47" s="24"/>
      <c r="F47" s="20" t="s">
        <v>33699</v>
      </c>
      <c r="G47" s="24" t="str">
        <f ca="1">IFERROR(__xludf.DUMMYFUNCTION("GOOGLETRANSLATE(F47,""en"",""pt"")"),"relatório de avaliação de qualidade da terra")</f>
        <v>relatório de avaliação de qualidade da terra</v>
      </c>
      <c r="H47" s="24"/>
      <c r="I47" s="24"/>
    </row>
    <row r="48" spans="1:9" ht="14.5">
      <c r="A48" s="20" t="s">
        <v>33700</v>
      </c>
      <c r="B48" s="20">
        <v>30</v>
      </c>
      <c r="C48" s="20">
        <v>20</v>
      </c>
      <c r="D48" s="20">
        <v>89</v>
      </c>
      <c r="E48" s="24"/>
      <c r="F48" s="20" t="s">
        <v>33701</v>
      </c>
      <c r="G48" s="24" t="str">
        <f ca="1">IFERROR(__xludf.DUMMYFUNCTION("GOOGLETRANSLATE(F48,""en"",""pt"")"),"relatório de levantamento topográfico")</f>
        <v>relatório de levantamento topográfico</v>
      </c>
      <c r="H48" s="24"/>
      <c r="I48" s="24"/>
    </row>
    <row r="49" spans="1:9" ht="14.5">
      <c r="A49" s="20" t="s">
        <v>33702</v>
      </c>
      <c r="B49" s="20">
        <v>30</v>
      </c>
      <c r="C49" s="20">
        <v>30</v>
      </c>
      <c r="D49" s="24"/>
      <c r="E49" s="24"/>
      <c r="F49" s="20" t="s">
        <v>33703</v>
      </c>
      <c r="G49" s="24" t="str">
        <f ca="1">IFERROR(__xludf.DUMMYFUNCTION("GOOGLETRANSLATE(F49,""en"",""pt"")"),"informações ambientais")</f>
        <v>informações ambientais</v>
      </c>
      <c r="H49" s="20" t="s">
        <v>33704</v>
      </c>
      <c r="I49" s="24"/>
    </row>
    <row r="50" spans="1:9" ht="14.5">
      <c r="A50" s="20" t="s">
        <v>33705</v>
      </c>
      <c r="B50" s="20">
        <v>30</v>
      </c>
      <c r="C50" s="20">
        <v>30</v>
      </c>
      <c r="D50" s="20">
        <v>10</v>
      </c>
      <c r="E50" s="24"/>
      <c r="F50" s="20" t="s">
        <v>33706</v>
      </c>
      <c r="G50" s="24" t="str">
        <f ca="1">IFERROR(__xludf.DUMMYFUNCTION("GOOGLETRANSLATE(F50,""en"",""pt"")"),"relatório de cálculo de carbono")</f>
        <v>relatório de cálculo de carbono</v>
      </c>
      <c r="H50" s="24"/>
      <c r="I50" s="24"/>
    </row>
    <row r="51" spans="1:9" ht="14.5">
      <c r="A51" s="20" t="s">
        <v>33707</v>
      </c>
      <c r="B51" s="20">
        <v>30</v>
      </c>
      <c r="C51" s="20">
        <v>30</v>
      </c>
      <c r="D51" s="20">
        <v>15</v>
      </c>
      <c r="E51" s="24"/>
      <c r="F51" s="20" t="s">
        <v>33708</v>
      </c>
      <c r="G51" s="24" t="str">
        <f ca="1">IFERROR(__xludf.DUMMYFUNCTION("GOOGLETRANSLATE(F51,""en"",""pt"")"),"modelo costeira")</f>
        <v>modelo costeira</v>
      </c>
      <c r="H51" s="24"/>
      <c r="I51" s="24"/>
    </row>
    <row r="52" spans="1:9" ht="14.5">
      <c r="A52" s="20" t="s">
        <v>33709</v>
      </c>
      <c r="B52" s="20">
        <v>30</v>
      </c>
      <c r="C52" s="20">
        <v>30</v>
      </c>
      <c r="D52" s="20">
        <v>23</v>
      </c>
      <c r="E52" s="24"/>
      <c r="F52" s="20" t="s">
        <v>33710</v>
      </c>
      <c r="G52" s="24" t="str">
        <f ca="1">IFERROR(__xludf.DUMMYFUNCTION("GOOGLETRANSLATE(F52,""en"",""pt"")"),"modelo de drenagem")</f>
        <v>modelo de drenagem</v>
      </c>
      <c r="H52" s="24"/>
      <c r="I52" s="24"/>
    </row>
    <row r="53" spans="1:9" ht="14.5">
      <c r="A53" s="20" t="s">
        <v>33711</v>
      </c>
      <c r="B53" s="20">
        <v>30</v>
      </c>
      <c r="C53" s="20">
        <v>30</v>
      </c>
      <c r="D53" s="20">
        <v>25</v>
      </c>
      <c r="E53" s="24"/>
      <c r="F53" s="20" t="s">
        <v>33712</v>
      </c>
      <c r="G53" s="24" t="str">
        <f ca="1">IFERROR(__xludf.DUMMYFUNCTION("GOOGLETRANSLATE(F53,""en"",""pt"")"),"relatório de pesquisa Ecologia")</f>
        <v>relatório de pesquisa Ecologia</v>
      </c>
      <c r="H53" s="20" t="s">
        <v>33713</v>
      </c>
      <c r="I53" s="24"/>
    </row>
    <row r="54" spans="1:9" ht="14.5">
      <c r="A54" s="20" t="s">
        <v>33714</v>
      </c>
      <c r="B54" s="20">
        <v>30</v>
      </c>
      <c r="C54" s="20">
        <v>30</v>
      </c>
      <c r="D54" s="20">
        <v>26</v>
      </c>
      <c r="E54" s="24"/>
      <c r="F54" s="20" t="s">
        <v>33715</v>
      </c>
      <c r="G54" s="24" t="str">
        <f ca="1">IFERROR(__xludf.DUMMYFUNCTION("GOOGLETRANSLATE(F54,""en"",""pt"")"),"relatório de ação ambiental")</f>
        <v>relatório de ação ambiental</v>
      </c>
      <c r="H54" s="24"/>
      <c r="I54" s="24"/>
    </row>
    <row r="55" spans="1:9" ht="14.5">
      <c r="A55" s="20" t="s">
        <v>33716</v>
      </c>
      <c r="B55" s="20">
        <v>30</v>
      </c>
      <c r="C55" s="20">
        <v>30</v>
      </c>
      <c r="D55" s="20">
        <v>27</v>
      </c>
      <c r="E55" s="24"/>
      <c r="F55" s="20" t="s">
        <v>33717</v>
      </c>
      <c r="G55" s="24" t="str">
        <f ca="1">IFERROR(__xludf.DUMMYFUNCTION("GOOGLETRANSLATE(F55,""en"",""pt"")"),"relatório de impacto ambiental")</f>
        <v>relatório de impacto ambiental</v>
      </c>
      <c r="H55" s="20" t="s">
        <v>33718</v>
      </c>
      <c r="I55" s="24"/>
    </row>
    <row r="56" spans="1:9" ht="14.5">
      <c r="A56" s="20" t="s">
        <v>33719</v>
      </c>
      <c r="B56" s="20">
        <v>30</v>
      </c>
      <c r="C56" s="20">
        <v>30</v>
      </c>
      <c r="D56" s="20">
        <v>28</v>
      </c>
      <c r="E56" s="24"/>
      <c r="F56" s="20" t="s">
        <v>33720</v>
      </c>
      <c r="G56" s="24" t="str">
        <f ca="1">IFERROR(__xludf.DUMMYFUNCTION("GOOGLETRANSLATE(F56,""en"",""pt"")"),"relatório de pesquisa ambiental")</f>
        <v>relatório de pesquisa ambiental</v>
      </c>
      <c r="H56" s="24"/>
      <c r="I56" s="24"/>
    </row>
    <row r="57" spans="1:9" ht="14.5">
      <c r="A57" s="20" t="s">
        <v>33721</v>
      </c>
      <c r="B57" s="20">
        <v>30</v>
      </c>
      <c r="C57" s="20">
        <v>30</v>
      </c>
      <c r="D57" s="20">
        <v>29</v>
      </c>
      <c r="E57" s="24"/>
      <c r="F57" s="20" t="s">
        <v>33722</v>
      </c>
      <c r="G57" s="24" t="str">
        <f ca="1">IFERROR(__xludf.DUMMYFUNCTION("GOOGLETRANSLATE(F57,""en"",""pt"")"),"relatório de avaliação dos riscos de inundação")</f>
        <v>relatório de avaliação dos riscos de inundação</v>
      </c>
      <c r="H57" s="24"/>
      <c r="I57" s="24"/>
    </row>
    <row r="58" spans="1:9" ht="14.5">
      <c r="A58" s="20" t="s">
        <v>33723</v>
      </c>
      <c r="B58" s="20">
        <v>30</v>
      </c>
      <c r="C58" s="20">
        <v>30</v>
      </c>
      <c r="D58" s="20">
        <v>30</v>
      </c>
      <c r="E58" s="24"/>
      <c r="F58" s="20" t="s">
        <v>33724</v>
      </c>
      <c r="G58" s="24" t="str">
        <f ca="1">IFERROR(__xludf.DUMMYFUNCTION("GOOGLETRANSLATE(F58,""en"",""pt"")"),"modelo de previsão de cheias")</f>
        <v>modelo de previsão de cheias</v>
      </c>
      <c r="H58" s="24"/>
      <c r="I58" s="24"/>
    </row>
    <row r="59" spans="1:9" ht="14.5">
      <c r="A59" s="20" t="s">
        <v>33725</v>
      </c>
      <c r="B59" s="20">
        <v>30</v>
      </c>
      <c r="C59" s="20">
        <v>30</v>
      </c>
      <c r="D59" s="20">
        <v>32</v>
      </c>
      <c r="E59" s="24"/>
      <c r="F59" s="20" t="s">
        <v>33726</v>
      </c>
      <c r="G59" s="24" t="str">
        <f ca="1">IFERROR(__xludf.DUMMYFUNCTION("GOOGLETRANSLATE(F59,""en"",""pt"")"),"modelo de fluxo fluvial")</f>
        <v>modelo de fluxo fluvial</v>
      </c>
      <c r="H59" s="24"/>
      <c r="I59" s="24"/>
    </row>
    <row r="60" spans="1:9" ht="14.5">
      <c r="A60" s="20" t="s">
        <v>33727</v>
      </c>
      <c r="B60" s="20">
        <v>30</v>
      </c>
      <c r="C60" s="20">
        <v>30</v>
      </c>
      <c r="D60" s="20">
        <v>39</v>
      </c>
      <c r="E60" s="24"/>
      <c r="F60" s="20" t="s">
        <v>33728</v>
      </c>
      <c r="G60" s="24" t="str">
        <f ca="1">IFERROR(__xludf.DUMMYFUNCTION("GOOGLETRANSLATE(F60,""en"",""pt"")"),"modelo hidrológico")</f>
        <v>modelo hidrológico</v>
      </c>
      <c r="H60" s="24"/>
      <c r="I60" s="24"/>
    </row>
    <row r="61" spans="1:9" ht="14.5">
      <c r="A61" s="20" t="s">
        <v>33729</v>
      </c>
      <c r="B61" s="20">
        <v>30</v>
      </c>
      <c r="C61" s="20">
        <v>30</v>
      </c>
      <c r="D61" s="20">
        <v>41</v>
      </c>
      <c r="E61" s="24"/>
      <c r="F61" s="20" t="s">
        <v>33730</v>
      </c>
      <c r="G61" s="24" t="str">
        <f ca="1">IFERROR(__xludf.DUMMYFUNCTION("GOOGLETRANSLATE(F61,""en"",""pt"")"),"modelo de captação integrada")</f>
        <v>modelo de captação integrada</v>
      </c>
      <c r="H61" s="24"/>
      <c r="I61" s="24"/>
    </row>
    <row r="62" spans="1:9" ht="14.5">
      <c r="A62" s="20" t="s">
        <v>33731</v>
      </c>
      <c r="B62" s="20">
        <v>30</v>
      </c>
      <c r="C62" s="20">
        <v>30</v>
      </c>
      <c r="D62" s="20">
        <v>45</v>
      </c>
      <c r="E62" s="24"/>
      <c r="F62" s="20" t="s">
        <v>33732</v>
      </c>
      <c r="G62" s="24" t="str">
        <f ca="1">IFERROR(__xludf.DUMMYFUNCTION("GOOGLETRANSLATE(F62,""en"",""pt"")"),"modelo de paisagem")</f>
        <v>modelo de paisagem</v>
      </c>
      <c r="H62" s="24"/>
      <c r="I62" s="24"/>
    </row>
    <row r="63" spans="1:9" ht="14.5">
      <c r="A63" s="20" t="s">
        <v>33733</v>
      </c>
      <c r="B63" s="20">
        <v>30</v>
      </c>
      <c r="C63" s="20">
        <v>30</v>
      </c>
      <c r="D63" s="20">
        <v>65</v>
      </c>
      <c r="E63" s="24"/>
      <c r="F63" s="20" t="s">
        <v>33734</v>
      </c>
      <c r="G63" s="24" t="str">
        <f ca="1">IFERROR(__xludf.DUMMYFUNCTION("GOOGLETRANSLATE(F63,""en"",""pt"")"),"modelo de fluxo pluvial")</f>
        <v>modelo de fluxo pluvial</v>
      </c>
      <c r="H63" s="24"/>
      <c r="I63" s="24"/>
    </row>
    <row r="64" spans="1:9" ht="14.5">
      <c r="A64" s="20" t="s">
        <v>33735</v>
      </c>
      <c r="B64" s="20">
        <v>30</v>
      </c>
      <c r="C64" s="20">
        <v>30</v>
      </c>
      <c r="D64" s="20">
        <v>72</v>
      </c>
      <c r="E64" s="24"/>
      <c r="F64" s="20" t="s">
        <v>33736</v>
      </c>
      <c r="G64" s="24" t="str">
        <f ca="1">IFERROR(__xludf.DUMMYFUNCTION("GOOGLETRANSLATE(F64,""en"",""pt"")"),"relatório de auditoria de segurança rodoviária")</f>
        <v>relatório de auditoria de segurança rodoviária</v>
      </c>
      <c r="H64" s="24"/>
      <c r="I64" s="24"/>
    </row>
    <row r="65" spans="1:9" ht="14.5">
      <c r="A65" s="20" t="s">
        <v>33737</v>
      </c>
      <c r="B65" s="20">
        <v>30</v>
      </c>
      <c r="C65" s="20">
        <v>30</v>
      </c>
      <c r="D65" s="20">
        <v>75</v>
      </c>
      <c r="E65" s="24"/>
      <c r="F65" s="20" t="s">
        <v>33738</v>
      </c>
      <c r="G65" s="24" t="str">
        <f ca="1">IFERROR(__xludf.DUMMYFUNCTION("GOOGLETRANSLATE(F65,""en"",""pt"")"),"relatório de pesquisa sísmica")</f>
        <v>relatório de pesquisa sísmica</v>
      </c>
      <c r="H65" s="24"/>
      <c r="I65" s="24"/>
    </row>
    <row r="66" spans="1:9" ht="14.5">
      <c r="A66" s="20" t="s">
        <v>33739</v>
      </c>
      <c r="B66" s="20">
        <v>30</v>
      </c>
      <c r="C66" s="20">
        <v>30</v>
      </c>
      <c r="D66" s="20">
        <v>78</v>
      </c>
      <c r="E66" s="24"/>
      <c r="F66" s="20" t="s">
        <v>33740</v>
      </c>
      <c r="G66" s="24" t="str">
        <f ca="1">IFERROR(__xludf.DUMMYFUNCTION("GOOGLETRANSLATE(F66,""en"",""pt"")"),"plano de gestão de resíduos local")</f>
        <v>plano de gestão de resíduos local</v>
      </c>
      <c r="H66" s="20" t="s">
        <v>33741</v>
      </c>
      <c r="I66" s="24"/>
    </row>
    <row r="67" spans="1:9" ht="14.5">
      <c r="A67" s="20" t="s">
        <v>33742</v>
      </c>
      <c r="B67" s="20">
        <v>30</v>
      </c>
      <c r="C67" s="20">
        <v>30</v>
      </c>
      <c r="D67" s="20">
        <v>85</v>
      </c>
      <c r="E67" s="24"/>
      <c r="F67" s="20" t="s">
        <v>33743</v>
      </c>
      <c r="G67" s="24" t="str">
        <f ca="1">IFERROR(__xludf.DUMMYFUNCTION("GOOGLETRANSLATE(F67,""en"",""pt"")"),"informações de sustentabilidade")</f>
        <v>informações de sustentabilidade</v>
      </c>
      <c r="H67" s="20" t="s">
        <v>33744</v>
      </c>
      <c r="I67" s="24"/>
    </row>
    <row r="68" spans="1:9" ht="14.5">
      <c r="A68" s="20" t="s">
        <v>33745</v>
      </c>
      <c r="B68" s="20">
        <v>30</v>
      </c>
      <c r="C68" s="20">
        <v>30</v>
      </c>
      <c r="D68" s="20">
        <v>87</v>
      </c>
      <c r="E68" s="24"/>
      <c r="F68" s="20" t="s">
        <v>33746</v>
      </c>
      <c r="G68" s="24" t="str">
        <f ca="1">IFERROR(__xludf.DUMMYFUNCTION("GOOGLETRANSLATE(F68,""en"",""pt"")"),"informações tidal")</f>
        <v>informações tidal</v>
      </c>
      <c r="H68" s="24"/>
      <c r="I68" s="24"/>
    </row>
    <row r="69" spans="1:9" ht="14.5">
      <c r="A69" s="20" t="s">
        <v>33747</v>
      </c>
      <c r="B69" s="20">
        <v>30</v>
      </c>
      <c r="C69" s="20">
        <v>30</v>
      </c>
      <c r="D69" s="20">
        <v>88</v>
      </c>
      <c r="E69" s="24"/>
      <c r="F69" s="20" t="s">
        <v>33748</v>
      </c>
      <c r="G69" s="24" t="str">
        <f ca="1">IFERROR(__xludf.DUMMYFUNCTION("GOOGLETRANSLATE(F69,""en"",""pt"")"),"Tidal e informações fronteira costeira")</f>
        <v>Tidal e informações fronteira costeira</v>
      </c>
      <c r="H69" s="24"/>
      <c r="I69" s="24"/>
    </row>
    <row r="70" spans="1:9" ht="14.5">
      <c r="A70" s="20" t="s">
        <v>33749</v>
      </c>
      <c r="B70" s="20">
        <v>30</v>
      </c>
      <c r="C70" s="20">
        <v>30</v>
      </c>
      <c r="D70" s="20">
        <v>96</v>
      </c>
      <c r="E70" s="24"/>
      <c r="F70" s="20" t="s">
        <v>33750</v>
      </c>
      <c r="G70" s="24" t="str">
        <f ca="1">IFERROR(__xludf.DUMMYFUNCTION("GOOGLETRANSLATE(F70,""en"",""pt"")"),"informações de gestão da água")</f>
        <v>informações de gestão da água</v>
      </c>
      <c r="H70" s="24"/>
      <c r="I70" s="24"/>
    </row>
    <row r="71" spans="1:9" ht="14.5">
      <c r="A71" s="20" t="s">
        <v>33751</v>
      </c>
      <c r="B71" s="20">
        <v>30</v>
      </c>
      <c r="C71" s="20">
        <v>30</v>
      </c>
      <c r="D71" s="20">
        <v>98</v>
      </c>
      <c r="E71" s="24"/>
      <c r="F71" s="20" t="s">
        <v>33752</v>
      </c>
      <c r="G71" s="24" t="str">
        <f ca="1">IFERROR(__xludf.DUMMYFUNCTION("GOOGLETRANSLATE(F71,""en"",""pt"")"),"informações tempo e do clima")</f>
        <v>informações tempo e do clima</v>
      </c>
      <c r="H71" s="24"/>
      <c r="I71" s="24"/>
    </row>
    <row r="72" spans="1:9" ht="14.5">
      <c r="A72" s="20" t="s">
        <v>33753</v>
      </c>
      <c r="B72" s="20">
        <v>30</v>
      </c>
      <c r="C72" s="20">
        <v>40</v>
      </c>
      <c r="D72" s="24"/>
      <c r="E72" s="24"/>
      <c r="F72" s="20" t="s">
        <v>33754</v>
      </c>
      <c r="G72" s="24" t="str">
        <f ca="1">IFERROR(__xludf.DUMMYFUNCTION("GOOGLETRANSLATE(F72,""en"",""pt"")"),"informações substâncias perigosas")</f>
        <v>informações substâncias perigosas</v>
      </c>
      <c r="H72" s="20" t="s">
        <v>33755</v>
      </c>
      <c r="I72" s="24"/>
    </row>
    <row r="73" spans="1:9" ht="14.5">
      <c r="A73" s="20" t="s">
        <v>33756</v>
      </c>
      <c r="B73" s="20">
        <v>30</v>
      </c>
      <c r="C73" s="20">
        <v>40</v>
      </c>
      <c r="D73" s="20">
        <v>6</v>
      </c>
      <c r="E73" s="24"/>
      <c r="F73" s="20" t="s">
        <v>33757</v>
      </c>
      <c r="G73" s="24" t="str">
        <f ca="1">IFERROR(__xludf.DUMMYFUNCTION("GOOGLETRANSLATE(F73,""en"",""pt"")"),"relatório de pesquisa de amianto")</f>
        <v>relatório de pesquisa de amianto</v>
      </c>
      <c r="H73" s="20" t="s">
        <v>33758</v>
      </c>
      <c r="I73" s="24"/>
    </row>
    <row r="74" spans="1:9" ht="14.5">
      <c r="A74" s="20" t="s">
        <v>33759</v>
      </c>
      <c r="B74" s="20">
        <v>30</v>
      </c>
      <c r="C74" s="20">
        <v>40</v>
      </c>
      <c r="D74" s="20">
        <v>10</v>
      </c>
      <c r="E74" s="24"/>
      <c r="F74" s="20" t="s">
        <v>33760</v>
      </c>
      <c r="G74" s="24" t="str">
        <f ca="1">IFERROR(__xludf.DUMMYFUNCTION("GOOGLETRANSLATE(F74,""en"",""pt"")"),"relatório de pesquisa de agentes biológicos")</f>
        <v>relatório de pesquisa de agentes biológicos</v>
      </c>
      <c r="H74" s="24"/>
      <c r="I74" s="24"/>
    </row>
    <row r="75" spans="1:9" ht="14.5">
      <c r="A75" s="20" t="s">
        <v>33761</v>
      </c>
      <c r="B75" s="20">
        <v>30</v>
      </c>
      <c r="C75" s="20">
        <v>40</v>
      </c>
      <c r="D75" s="20">
        <v>33</v>
      </c>
      <c r="E75" s="24"/>
      <c r="F75" s="20" t="s">
        <v>33762</v>
      </c>
      <c r="G75" s="24" t="str">
        <f ca="1">IFERROR(__xludf.DUMMYFUNCTION("GOOGLETRANSLATE(F75,""en"",""pt"")"),"relatório de pesquisa Gases")</f>
        <v>relatório de pesquisa Gases</v>
      </c>
      <c r="H75" s="24"/>
      <c r="I75" s="24"/>
    </row>
    <row r="76" spans="1:9" ht="14.5">
      <c r="A76" s="20" t="s">
        <v>33763</v>
      </c>
      <c r="B76" s="20">
        <v>30</v>
      </c>
      <c r="C76" s="20">
        <v>40</v>
      </c>
      <c r="D76" s="20">
        <v>36</v>
      </c>
      <c r="E76" s="24"/>
      <c r="F76" s="20" t="s">
        <v>33764</v>
      </c>
      <c r="G76" s="24" t="str">
        <f ca="1">IFERROR(__xludf.DUMMYFUNCTION("GOOGLETRANSLATE(F76,""en"",""pt"")"),"relatório de vistoria produtos químicos perigosos")</f>
        <v>relatório de vistoria produtos químicos perigosos</v>
      </c>
      <c r="H76" s="24"/>
      <c r="I76" s="24"/>
    </row>
    <row r="77" spans="1:9" ht="14.5">
      <c r="A77" s="20" t="s">
        <v>33765</v>
      </c>
      <c r="B77" s="20">
        <v>30</v>
      </c>
      <c r="C77" s="20">
        <v>40</v>
      </c>
      <c r="D77" s="20">
        <v>39</v>
      </c>
      <c r="E77" s="24"/>
      <c r="F77" s="20" t="s">
        <v>33766</v>
      </c>
      <c r="G77" s="24" t="str">
        <f ca="1">IFERROR(__xludf.DUMMYFUNCTION("GOOGLETRANSLATE(F77,""en"",""pt"")"),"relatório de pesquisa de metais pesados")</f>
        <v>relatório de pesquisa de metais pesados</v>
      </c>
      <c r="H77" s="24"/>
      <c r="I77" s="24"/>
    </row>
    <row r="78" spans="1:9" ht="14.5">
      <c r="A78" s="20" t="s">
        <v>33767</v>
      </c>
      <c r="B78" s="20">
        <v>30</v>
      </c>
      <c r="C78" s="20">
        <v>40</v>
      </c>
      <c r="D78" s="20">
        <v>46</v>
      </c>
      <c r="E78" s="24"/>
      <c r="F78" s="20" t="s">
        <v>33768</v>
      </c>
      <c r="G78" s="24" t="str">
        <f ca="1">IFERROR(__xludf.DUMMYFUNCTION("GOOGLETRANSLATE(F78,""en"",""pt"")"),"relatório de pesquisa chumbo")</f>
        <v>relatório de pesquisa chumbo</v>
      </c>
      <c r="H78" s="20" t="s">
        <v>33769</v>
      </c>
      <c r="I78" s="24"/>
    </row>
    <row r="79" spans="1:9" ht="14.5">
      <c r="A79" s="20" t="s">
        <v>33770</v>
      </c>
      <c r="B79" s="20">
        <v>30</v>
      </c>
      <c r="C79" s="20">
        <v>40</v>
      </c>
      <c r="D79" s="20">
        <v>70</v>
      </c>
      <c r="E79" s="24"/>
      <c r="F79" s="20" t="s">
        <v>33771</v>
      </c>
      <c r="G79" s="24" t="str">
        <f ca="1">IFERROR(__xludf.DUMMYFUNCTION("GOOGLETRANSLATE(F79,""en"",""pt"")"),"relatório de pesquisa resíduos radioactivos")</f>
        <v>relatório de pesquisa resíduos radioactivos</v>
      </c>
      <c r="H79" s="24"/>
      <c r="I79" s="24"/>
    </row>
    <row r="80" spans="1:9" ht="14.5">
      <c r="A80" s="20" t="s">
        <v>33772</v>
      </c>
      <c r="B80" s="20">
        <v>30</v>
      </c>
      <c r="C80" s="20">
        <v>40</v>
      </c>
      <c r="D80" s="20">
        <v>92</v>
      </c>
      <c r="E80" s="24"/>
      <c r="F80" s="20" t="s">
        <v>33773</v>
      </c>
      <c r="G80" s="24" t="str">
        <f ca="1">IFERROR(__xludf.DUMMYFUNCTION("GOOGLETRANSLATE(F80,""en"",""pt"")"),"relatório de pesquisa engenhos explosivos não detonados")</f>
        <v>relatório de pesquisa engenhos explosivos não detonados</v>
      </c>
      <c r="H80" s="24"/>
      <c r="I80" s="24"/>
    </row>
    <row r="81" spans="1:9" ht="14.5">
      <c r="A81" s="20" t="s">
        <v>33774</v>
      </c>
      <c r="B81" s="20">
        <v>30</v>
      </c>
      <c r="C81" s="20">
        <v>40</v>
      </c>
      <c r="D81" s="20">
        <v>94</v>
      </c>
      <c r="E81" s="24"/>
      <c r="F81" s="20" t="s">
        <v>33775</v>
      </c>
      <c r="G81" s="24" t="str">
        <f ca="1">IFERROR(__xludf.DUMMYFUNCTION("GOOGLETRANSLATE(F81,""en"",""pt"")"),"Volátil relatório de pesquisa de compostos orgânicos")</f>
        <v>Volátil relatório de pesquisa de compostos orgânicos</v>
      </c>
      <c r="H81" s="24"/>
      <c r="I81" s="24"/>
    </row>
    <row r="82" spans="1:9" ht="14.5">
      <c r="A82" s="20" t="s">
        <v>33776</v>
      </c>
      <c r="B82" s="20">
        <v>35</v>
      </c>
      <c r="C82" s="24"/>
      <c r="D82" s="24"/>
      <c r="E82" s="24"/>
      <c r="F82" s="20" t="s">
        <v>33777</v>
      </c>
      <c r="G82" s="24" t="str">
        <f ca="1">IFERROR(__xludf.DUMMYFUNCTION("GOOGLETRANSLATE(F82,""en"",""pt"")"),"os requisitos de desempenho do projeto")</f>
        <v>os requisitos de desempenho do projeto</v>
      </c>
      <c r="H82" s="24"/>
      <c r="I82" s="24"/>
    </row>
    <row r="83" spans="1:9" ht="14.5">
      <c r="A83" s="20" t="s">
        <v>33778</v>
      </c>
      <c r="B83" s="20">
        <v>35</v>
      </c>
      <c r="C83" s="20">
        <v>10</v>
      </c>
      <c r="D83" s="24"/>
      <c r="E83" s="24"/>
      <c r="F83" s="20" t="s">
        <v>33779</v>
      </c>
      <c r="G83" s="24" t="str">
        <f ca="1">IFERROR(__xludf.DUMMYFUNCTION("GOOGLETRANSLATE(F83,""en"",""pt"")"),"Qualidade e propriedades operacionais requisito de desempenho")</f>
        <v>Qualidade e propriedades operacionais requisito de desempenho</v>
      </c>
      <c r="H83" s="24"/>
      <c r="I83" s="24"/>
    </row>
    <row r="84" spans="1:9" ht="14.5">
      <c r="A84" s="20" t="s">
        <v>33780</v>
      </c>
      <c r="B84" s="20">
        <v>35</v>
      </c>
      <c r="C84" s="20">
        <v>10</v>
      </c>
      <c r="D84" s="20">
        <v>13</v>
      </c>
      <c r="E84" s="24"/>
      <c r="F84" s="20" t="s">
        <v>33781</v>
      </c>
      <c r="G84" s="24" t="str">
        <f ca="1">IFERROR(__xludf.DUMMYFUNCTION("GOOGLETRANSLATE(F84,""en"",""pt"")"),"os requisitos de desempenho de conforto")</f>
        <v>os requisitos de desempenho de conforto</v>
      </c>
      <c r="H84" s="24"/>
      <c r="I84" s="24"/>
    </row>
    <row r="85" spans="1:9" ht="14.5">
      <c r="A85" s="20" t="s">
        <v>33782</v>
      </c>
      <c r="B85" s="20">
        <v>35</v>
      </c>
      <c r="C85" s="20">
        <v>10</v>
      </c>
      <c r="D85" s="20">
        <v>22</v>
      </c>
      <c r="E85" s="24"/>
      <c r="F85" s="20" t="s">
        <v>33783</v>
      </c>
      <c r="G85" s="24" t="str">
        <f ca="1">IFERROR(__xludf.DUMMYFUNCTION("GOOGLETRANSLATE(F85,""en"",""pt"")"),"os requisitos de desempenho de design de qualidade")</f>
        <v>os requisitos de desempenho de design de qualidade</v>
      </c>
      <c r="H85" s="20" t="s">
        <v>33784</v>
      </c>
      <c r="I85" s="24"/>
    </row>
    <row r="86" spans="1:9" ht="14.5">
      <c r="A86" s="20" t="s">
        <v>33785</v>
      </c>
      <c r="B86" s="20">
        <v>35</v>
      </c>
      <c r="C86" s="20">
        <v>10</v>
      </c>
      <c r="D86" s="20">
        <v>25</v>
      </c>
      <c r="E86" s="24"/>
      <c r="F86" s="20" t="s">
        <v>33786</v>
      </c>
      <c r="G86" s="24" t="str">
        <f ca="1">IFERROR(__xludf.DUMMYFUNCTION("GOOGLETRANSLATE(F86,""en"",""pt"")"),"os requisitos de desempenho de durabilidade")</f>
        <v>os requisitos de desempenho de durabilidade</v>
      </c>
      <c r="H86" s="20" t="s">
        <v>33787</v>
      </c>
      <c r="I86" s="24"/>
    </row>
    <row r="87" spans="1:9" ht="14.5">
      <c r="A87" s="20" t="s">
        <v>33788</v>
      </c>
      <c r="B87" s="20">
        <v>35</v>
      </c>
      <c r="C87" s="20">
        <v>10</v>
      </c>
      <c r="D87" s="20">
        <v>32</v>
      </c>
      <c r="E87" s="24"/>
      <c r="F87" s="20" t="s">
        <v>33789</v>
      </c>
      <c r="G87" s="24" t="str">
        <f ca="1">IFERROR(__xludf.DUMMYFUNCTION("GOOGLETRANSLATE(F87,""en"",""pt"")"),"propriedades funcionais requisitos de desempenho")</f>
        <v>propriedades funcionais requisitos de desempenho</v>
      </c>
      <c r="H87" s="20" t="s">
        <v>33790</v>
      </c>
      <c r="I87" s="24"/>
    </row>
    <row r="88" spans="1:9" ht="14.5">
      <c r="A88" s="20" t="s">
        <v>33791</v>
      </c>
      <c r="B88" s="20">
        <v>35</v>
      </c>
      <c r="C88" s="20">
        <v>10</v>
      </c>
      <c r="D88" s="20">
        <v>47</v>
      </c>
      <c r="E88" s="24"/>
      <c r="F88" s="20" t="s">
        <v>33792</v>
      </c>
      <c r="G88" s="24" t="str">
        <f ca="1">IFERROR(__xludf.DUMMYFUNCTION("GOOGLETRANSLATE(F88,""en"",""pt"")"),"os requisitos de desempenho do ciclo de vida")</f>
        <v>os requisitos de desempenho do ciclo de vida</v>
      </c>
      <c r="H88" s="20" t="s">
        <v>33793</v>
      </c>
      <c r="I88" s="24"/>
    </row>
    <row r="89" spans="1:9" ht="14.5">
      <c r="A89" s="20" t="s">
        <v>33794</v>
      </c>
      <c r="B89" s="20">
        <v>35</v>
      </c>
      <c r="C89" s="20">
        <v>10</v>
      </c>
      <c r="D89" s="20">
        <v>60</v>
      </c>
      <c r="E89" s="24"/>
      <c r="F89" s="20" t="s">
        <v>33795</v>
      </c>
      <c r="G89" s="24" t="str">
        <f ca="1">IFERROR(__xludf.DUMMYFUNCTION("GOOGLETRANSLATE(F89,""en"",""pt"")"),"requisitos de conformidade de desempenho")</f>
        <v>requisitos de conformidade de desempenho</v>
      </c>
      <c r="H89" s="20" t="s">
        <v>33796</v>
      </c>
      <c r="I89" s="24"/>
    </row>
    <row r="90" spans="1:9" ht="14.5">
      <c r="A90" s="20" t="s">
        <v>33797</v>
      </c>
      <c r="B90" s="20">
        <v>35</v>
      </c>
      <c r="C90" s="20">
        <v>10</v>
      </c>
      <c r="D90" s="20">
        <v>65</v>
      </c>
      <c r="E90" s="24"/>
      <c r="F90" s="20" t="s">
        <v>33798</v>
      </c>
      <c r="G90" s="24" t="str">
        <f ca="1">IFERROR(__xludf.DUMMYFUNCTION("GOOGLETRANSLATE(F90,""en"",""pt"")"),"os requisitos de desempenho contexto do projeto")</f>
        <v>os requisitos de desempenho contexto do projeto</v>
      </c>
      <c r="H90" s="20" t="s">
        <v>33799</v>
      </c>
      <c r="I90" s="24"/>
    </row>
    <row r="91" spans="1:9" ht="14.5">
      <c r="A91" s="20" t="s">
        <v>33800</v>
      </c>
      <c r="B91" s="20">
        <v>35</v>
      </c>
      <c r="C91" s="20">
        <v>20</v>
      </c>
      <c r="D91" s="24"/>
      <c r="E91" s="24"/>
      <c r="F91" s="20" t="s">
        <v>33801</v>
      </c>
      <c r="G91" s="24" t="str">
        <f ca="1">IFERROR(__xludf.DUMMYFUNCTION("GOOGLETRANSLATE(F91,""en"",""pt"")"),"os requisitos de desempenho estruturais")</f>
        <v>os requisitos de desempenho estruturais</v>
      </c>
      <c r="H91" s="24"/>
      <c r="I91" s="24"/>
    </row>
    <row r="92" spans="1:9" ht="14.5">
      <c r="A92" s="20" t="s">
        <v>33802</v>
      </c>
      <c r="B92" s="20">
        <v>35</v>
      </c>
      <c r="C92" s="20">
        <v>20</v>
      </c>
      <c r="D92" s="20">
        <v>3</v>
      </c>
      <c r="E92" s="24"/>
      <c r="F92" s="20" t="s">
        <v>33803</v>
      </c>
      <c r="G92" s="24" t="str">
        <f ca="1">IFERROR(__xludf.DUMMYFUNCTION("GOOGLETRANSLATE(F92,""en"",""pt"")"),"os requisitos de desempenho de carga acidental")</f>
        <v>os requisitos de desempenho de carga acidental</v>
      </c>
      <c r="H92" s="20" t="s">
        <v>33804</v>
      </c>
      <c r="I92" s="24"/>
    </row>
    <row r="93" spans="1:9" ht="14.5">
      <c r="A93" s="20" t="s">
        <v>33805</v>
      </c>
      <c r="B93" s="20">
        <v>35</v>
      </c>
      <c r="C93" s="20">
        <v>20</v>
      </c>
      <c r="D93" s="20">
        <v>42</v>
      </c>
      <c r="E93" s="24"/>
      <c r="F93" s="20" t="s">
        <v>33806</v>
      </c>
      <c r="G93" s="24" t="str">
        <f ca="1">IFERROR(__xludf.DUMMYFUNCTION("GOOGLETRANSLATE(F93,""en"",""pt"")"),"cargas impostas requisitos de desempenho")</f>
        <v>cargas impostas requisitos de desempenho</v>
      </c>
      <c r="H93" s="20" t="s">
        <v>33807</v>
      </c>
      <c r="I93" s="24"/>
    </row>
    <row r="94" spans="1:9" ht="14.5">
      <c r="A94" s="20" t="s">
        <v>33808</v>
      </c>
      <c r="B94" s="20">
        <v>35</v>
      </c>
      <c r="C94" s="20">
        <v>20</v>
      </c>
      <c r="D94" s="20">
        <v>62</v>
      </c>
      <c r="E94" s="24"/>
      <c r="F94" s="20" t="s">
        <v>33809</v>
      </c>
      <c r="G94" s="24" t="str">
        <f ca="1">IFERROR(__xludf.DUMMYFUNCTION("GOOGLETRANSLATE(F94,""en"",""pt"")"),"cargas permanentes requisitos de desempenho")</f>
        <v>cargas permanentes requisitos de desempenho</v>
      </c>
      <c r="H94" s="20" t="s">
        <v>33810</v>
      </c>
      <c r="I94" s="24"/>
    </row>
    <row r="95" spans="1:9" ht="14.5">
      <c r="A95" s="20" t="s">
        <v>33811</v>
      </c>
      <c r="B95" s="20">
        <v>35</v>
      </c>
      <c r="C95" s="20">
        <v>20</v>
      </c>
      <c r="D95" s="20">
        <v>76</v>
      </c>
      <c r="E95" s="24"/>
      <c r="F95" s="20" t="s">
        <v>33812</v>
      </c>
      <c r="G95" s="24" t="str">
        <f ca="1">IFERROR(__xludf.DUMMYFUNCTION("GOOGLETRANSLATE(F95,""en"",""pt"")"),"os requisitos de desempenho de neve e gelo de carga")</f>
        <v>os requisitos de desempenho de neve e gelo de carga</v>
      </c>
      <c r="H95" s="20" t="s">
        <v>33813</v>
      </c>
      <c r="I95" s="24"/>
    </row>
    <row r="96" spans="1:9" ht="14.5">
      <c r="A96" s="20" t="s">
        <v>33814</v>
      </c>
      <c r="B96" s="20">
        <v>35</v>
      </c>
      <c r="C96" s="20">
        <v>20</v>
      </c>
      <c r="D96" s="20">
        <v>80</v>
      </c>
      <c r="E96" s="24"/>
      <c r="F96" s="20" t="s">
        <v>33815</v>
      </c>
      <c r="G96" s="24" t="str">
        <f ca="1">IFERROR(__xludf.DUMMYFUNCTION("GOOGLETRANSLATE(F96,""en"",""pt"")"),"os requisitos de desempenho projeto estrutural")</f>
        <v>os requisitos de desempenho projeto estrutural</v>
      </c>
      <c r="H96" s="20" t="s">
        <v>33816</v>
      </c>
      <c r="I96" s="24"/>
    </row>
    <row r="97" spans="1:9" ht="14.5">
      <c r="A97" s="20" t="s">
        <v>33817</v>
      </c>
      <c r="B97" s="20">
        <v>35</v>
      </c>
      <c r="C97" s="20">
        <v>20</v>
      </c>
      <c r="D97" s="20">
        <v>90</v>
      </c>
      <c r="E97" s="24"/>
      <c r="F97" s="20" t="s">
        <v>33818</v>
      </c>
      <c r="G97" s="24" t="str">
        <f ca="1">IFERROR(__xludf.DUMMYFUNCTION("GOOGLETRANSLATE(F97,""en"",""pt"")"),"acções térmicas requisitos de desempenho")</f>
        <v>acções térmicas requisitos de desempenho</v>
      </c>
      <c r="H97" s="20" t="s">
        <v>33819</v>
      </c>
      <c r="I97" s="24"/>
    </row>
    <row r="98" spans="1:9" ht="14.5">
      <c r="A98" s="20" t="s">
        <v>33820</v>
      </c>
      <c r="B98" s="20">
        <v>35</v>
      </c>
      <c r="C98" s="20">
        <v>20</v>
      </c>
      <c r="D98" s="20">
        <v>96</v>
      </c>
      <c r="E98" s="24"/>
      <c r="F98" s="20" t="s">
        <v>33821</v>
      </c>
      <c r="G98" s="24" t="str">
        <f ca="1">IFERROR(__xludf.DUMMYFUNCTION("GOOGLETRANSLATE(F98,""en"",""pt"")"),"os requisitos de desempenho de carga de vento")</f>
        <v>os requisitos de desempenho de carga de vento</v>
      </c>
      <c r="H98" s="20" t="s">
        <v>33822</v>
      </c>
      <c r="I98" s="24"/>
    </row>
    <row r="99" spans="1:9" ht="14.5">
      <c r="A99" s="20" t="s">
        <v>33823</v>
      </c>
      <c r="B99" s="20">
        <v>35</v>
      </c>
      <c r="C99" s="20">
        <v>30</v>
      </c>
      <c r="D99" s="24"/>
      <c r="E99" s="24"/>
      <c r="F99" s="20" t="s">
        <v>33824</v>
      </c>
      <c r="G99" s="24" t="str">
        <f ca="1">IFERROR(__xludf.DUMMYFUNCTION("GOOGLETRANSLATE(F99,""en"",""pt"")"),"os requisitos de desempenho de fogo")</f>
        <v>os requisitos de desempenho de fogo</v>
      </c>
      <c r="H99" s="24"/>
      <c r="I99" s="24"/>
    </row>
    <row r="100" spans="1:9" ht="14.5">
      <c r="A100" s="20" t="s">
        <v>33825</v>
      </c>
      <c r="B100" s="20">
        <v>35</v>
      </c>
      <c r="C100" s="20">
        <v>30</v>
      </c>
      <c r="D100" s="20">
        <v>4</v>
      </c>
      <c r="E100" s="24"/>
      <c r="F100" s="20" t="s">
        <v>33826</v>
      </c>
      <c r="G100" s="24" t="str">
        <f ca="1">IFERROR(__xludf.DUMMYFUNCTION("GOOGLETRANSLATE(F100,""en"",""pt"")"),"os requisitos de desempenho de supressão de fogo automática")</f>
        <v>os requisitos de desempenho de supressão de fogo automática</v>
      </c>
      <c r="H100" s="24"/>
      <c r="I100" s="24"/>
    </row>
    <row r="101" spans="1:9" ht="14.5">
      <c r="A101" s="20" t="s">
        <v>33827</v>
      </c>
      <c r="B101" s="20">
        <v>35</v>
      </c>
      <c r="C101" s="20">
        <v>30</v>
      </c>
      <c r="D101" s="20">
        <v>20</v>
      </c>
      <c r="E101" s="24"/>
      <c r="F101" s="20" t="s">
        <v>33828</v>
      </c>
      <c r="G101" s="24" t="str">
        <f ca="1">IFERROR(__xludf.DUMMYFUNCTION("GOOGLETRANSLATE(F101,""en"",""pt"")"),"Escapar iluminação requisitos de desempenho")</f>
        <v>Escapar iluminação requisitos de desempenho</v>
      </c>
      <c r="H101" s="24"/>
      <c r="I101" s="24"/>
    </row>
    <row r="102" spans="1:9" ht="14.5">
      <c r="A102" s="20" t="s">
        <v>33829</v>
      </c>
      <c r="B102" s="20">
        <v>35</v>
      </c>
      <c r="C102" s="20">
        <v>30</v>
      </c>
      <c r="D102" s="20">
        <v>24</v>
      </c>
      <c r="E102" s="24"/>
      <c r="F102" s="20" t="s">
        <v>33830</v>
      </c>
      <c r="G102" s="24" t="str">
        <f ca="1">IFERROR(__xludf.DUMMYFUNCTION("GOOGLETRANSLATE(F102,""en"",""pt"")"),"requisitos de serviço de incêndio e salvamento")</f>
        <v>requisitos de serviço de incêndio e salvamento</v>
      </c>
      <c r="H102" s="24"/>
      <c r="I102" s="24"/>
    </row>
    <row r="103" spans="1:9" ht="14.5">
      <c r="A103" s="20" t="s">
        <v>33831</v>
      </c>
      <c r="B103" s="20">
        <v>35</v>
      </c>
      <c r="C103" s="20">
        <v>30</v>
      </c>
      <c r="D103" s="20">
        <v>26</v>
      </c>
      <c r="E103" s="24"/>
      <c r="F103" s="20" t="s">
        <v>33832</v>
      </c>
      <c r="G103" s="24" t="str">
        <f ca="1">IFERROR(__xludf.DUMMYFUNCTION("GOOGLETRANSLATE(F103,""en"",""pt"")"),"requisitos zona de protecção contra incêndios")</f>
        <v>requisitos zona de protecção contra incêndios</v>
      </c>
      <c r="H103" s="24"/>
      <c r="I103" s="24"/>
    </row>
    <row r="104" spans="1:9" ht="14.5">
      <c r="A104" s="20" t="s">
        <v>33833</v>
      </c>
      <c r="B104" s="20">
        <v>35</v>
      </c>
      <c r="C104" s="20">
        <v>30</v>
      </c>
      <c r="D104" s="20">
        <v>28</v>
      </c>
      <c r="E104" s="24"/>
      <c r="F104" s="20" t="s">
        <v>33834</v>
      </c>
      <c r="G104" s="24" t="str">
        <f ca="1">IFERROR(__xludf.DUMMYFUNCTION("GOOGLETRANSLATE(F104,""en"",""pt"")"),"os requisitos de desempenho de resistência ao fogo")</f>
        <v>os requisitos de desempenho de resistência ao fogo</v>
      </c>
      <c r="H104" s="20" t="s">
        <v>33835</v>
      </c>
      <c r="I104" s="24"/>
    </row>
    <row r="105" spans="1:9" ht="14.5">
      <c r="A105" s="20" t="s">
        <v>33836</v>
      </c>
      <c r="B105" s="20">
        <v>35</v>
      </c>
      <c r="C105" s="20">
        <v>30</v>
      </c>
      <c r="D105" s="20">
        <v>30</v>
      </c>
      <c r="E105" s="24"/>
      <c r="F105" s="20" t="s">
        <v>33837</v>
      </c>
      <c r="G105" s="24" t="str">
        <f ca="1">IFERROR(__xludf.DUMMYFUNCTION("GOOGLETRANSLATE(F105,""en"",""pt"")"),"os requisitos de desempenho de segurança contra incêndio")</f>
        <v>os requisitos de desempenho de segurança contra incêndio</v>
      </c>
      <c r="H105" s="20" t="s">
        <v>33838</v>
      </c>
      <c r="I105" s="24"/>
    </row>
    <row r="106" spans="1:9" ht="14.5">
      <c r="A106" s="20" t="s">
        <v>33839</v>
      </c>
      <c r="B106" s="20">
        <v>35</v>
      </c>
      <c r="C106" s="20">
        <v>30</v>
      </c>
      <c r="D106" s="20">
        <v>70</v>
      </c>
      <c r="E106" s="24"/>
      <c r="F106" s="20" t="s">
        <v>33840</v>
      </c>
      <c r="G106" s="24" t="str">
        <f ca="1">IFERROR(__xludf.DUMMYFUNCTION("GOOGLETRANSLATE(F106,""en"",""pt"")"),"Reação a requisitos de desempenho fogo")</f>
        <v>Reação a requisitos de desempenho fogo</v>
      </c>
      <c r="H106" s="20" t="s">
        <v>33841</v>
      </c>
      <c r="I106" s="24"/>
    </row>
    <row r="107" spans="1:9" ht="14.5">
      <c r="A107" s="20" t="s">
        <v>33842</v>
      </c>
      <c r="B107" s="20">
        <v>35</v>
      </c>
      <c r="C107" s="20">
        <v>30</v>
      </c>
      <c r="D107" s="20">
        <v>80</v>
      </c>
      <c r="E107" s="24"/>
      <c r="F107" s="20" t="s">
        <v>33843</v>
      </c>
      <c r="G107" s="24" t="str">
        <f ca="1">IFERROR(__xludf.DUMMYFUNCTION("GOOGLETRANSLATE(F107,""en"",""pt"")"),"Propagação de requisitos de desempenho fogo")</f>
        <v>Propagação de requisitos de desempenho fogo</v>
      </c>
      <c r="H107" s="20" t="s">
        <v>33844</v>
      </c>
      <c r="I107" s="24"/>
    </row>
    <row r="108" spans="1:9" ht="14.5">
      <c r="A108" s="20" t="s">
        <v>33845</v>
      </c>
      <c r="B108" s="20">
        <v>35</v>
      </c>
      <c r="C108" s="20">
        <v>30</v>
      </c>
      <c r="D108" s="20">
        <v>85</v>
      </c>
      <c r="E108" s="24"/>
      <c r="F108" s="20" t="s">
        <v>33846</v>
      </c>
      <c r="G108" s="24" t="str">
        <f ca="1">IFERROR(__xludf.DUMMYFUNCTION("GOOGLETRANSLATE(F108,""en"",""pt"")"),"os requisitos de desempenho fogo estruturais")</f>
        <v>os requisitos de desempenho fogo estruturais</v>
      </c>
      <c r="H108" s="20" t="s">
        <v>33847</v>
      </c>
      <c r="I108" s="24"/>
    </row>
    <row r="109" spans="1:9" ht="14.5">
      <c r="A109" s="20" t="s">
        <v>33848</v>
      </c>
      <c r="B109" s="20">
        <v>35</v>
      </c>
      <c r="C109" s="20">
        <v>40</v>
      </c>
      <c r="D109" s="24"/>
      <c r="E109" s="24"/>
      <c r="F109" s="20" t="s">
        <v>33849</v>
      </c>
      <c r="G109" s="24" t="str">
        <f ca="1">IFERROR(__xludf.DUMMYFUNCTION("GOOGLETRANSLATE(F109,""en"",""pt"")"),"os requisitos de desempenho Ambiente e Sustentabilidade")</f>
        <v>os requisitos de desempenho Ambiente e Sustentabilidade</v>
      </c>
      <c r="H109" s="24"/>
      <c r="I109" s="24"/>
    </row>
    <row r="110" spans="1:9" ht="14.5">
      <c r="A110" s="20" t="s">
        <v>33850</v>
      </c>
      <c r="B110" s="20">
        <v>35</v>
      </c>
      <c r="C110" s="20">
        <v>40</v>
      </c>
      <c r="D110" s="20">
        <v>3</v>
      </c>
      <c r="E110" s="24"/>
      <c r="F110" s="20" t="s">
        <v>33851</v>
      </c>
      <c r="G110" s="24" t="str">
        <f ca="1">IFERROR(__xludf.DUMMYFUNCTION("GOOGLETRANSLATE(F110,""en"",""pt"")"),"os requisitos de desempenho estanqueidade")</f>
        <v>os requisitos de desempenho estanqueidade</v>
      </c>
      <c r="H110" s="20" t="s">
        <v>33852</v>
      </c>
      <c r="I110" s="24"/>
    </row>
    <row r="111" spans="1:9" ht="14.5">
      <c r="A111" s="20" t="s">
        <v>33853</v>
      </c>
      <c r="B111" s="20">
        <v>35</v>
      </c>
      <c r="C111" s="20">
        <v>40</v>
      </c>
      <c r="D111" s="20">
        <v>15</v>
      </c>
      <c r="E111" s="24"/>
      <c r="F111" s="20" t="s">
        <v>33854</v>
      </c>
      <c r="G111" s="24" t="str">
        <f ca="1">IFERROR(__xludf.DUMMYFUNCTION("GOOGLETRANSLATE(F111,""en"",""pt"")"),"os requisitos de desempenho de controle de condensação")</f>
        <v>os requisitos de desempenho de controle de condensação</v>
      </c>
      <c r="H111" s="20" t="s">
        <v>33855</v>
      </c>
      <c r="I111" s="24"/>
    </row>
    <row r="112" spans="1:9" ht="14.5">
      <c r="A112" s="20" t="s">
        <v>33856</v>
      </c>
      <c r="B112" s="20">
        <v>35</v>
      </c>
      <c r="C112" s="20">
        <v>40</v>
      </c>
      <c r="D112" s="20">
        <v>30</v>
      </c>
      <c r="E112" s="24"/>
      <c r="F112" s="20" t="s">
        <v>33857</v>
      </c>
      <c r="G112" s="24" t="str">
        <f ca="1">IFERROR(__xludf.DUMMYFUNCTION("GOOGLETRANSLATE(F112,""en"",""pt"")"),"os requisitos de desempenho esquema Ambiental")</f>
        <v>os requisitos de desempenho esquema Ambiental</v>
      </c>
      <c r="H112" s="20" t="s">
        <v>33858</v>
      </c>
      <c r="I112" s="24"/>
    </row>
    <row r="113" spans="1:9" ht="14.5">
      <c r="A113" s="20" t="s">
        <v>33859</v>
      </c>
      <c r="B113" s="20">
        <v>35</v>
      </c>
      <c r="C113" s="20">
        <v>40</v>
      </c>
      <c r="D113" s="20">
        <v>34</v>
      </c>
      <c r="E113" s="24"/>
      <c r="F113" s="20" t="s">
        <v>33860</v>
      </c>
      <c r="G113" s="24" t="str">
        <f ca="1">IFERROR(__xludf.DUMMYFUNCTION("GOOGLETRANSLATE(F113,""en"",""pt"")"),"criação de habitat e requisitos de protecção")</f>
        <v>criação de habitat e requisitos de protecção</v>
      </c>
      <c r="H113" s="20" t="s">
        <v>33861</v>
      </c>
      <c r="I113" s="24"/>
    </row>
    <row r="114" spans="1:9" ht="14.5">
      <c r="A114" s="20" t="s">
        <v>33862</v>
      </c>
      <c r="B114" s="20">
        <v>35</v>
      </c>
      <c r="C114" s="20">
        <v>40</v>
      </c>
      <c r="D114" s="20">
        <v>72</v>
      </c>
      <c r="E114" s="24"/>
      <c r="F114" s="20" t="s">
        <v>33863</v>
      </c>
      <c r="G114" s="24" t="str">
        <f ca="1">IFERROR(__xludf.DUMMYFUNCTION("GOOGLETRANSLATE(F114,""en"",""pt"")"),"Resistência aos requisitos de desempenho contaminantes do solo")</f>
        <v>Resistência aos requisitos de desempenho contaminantes do solo</v>
      </c>
      <c r="H114" s="20" t="s">
        <v>33864</v>
      </c>
      <c r="I114" s="24"/>
    </row>
    <row r="115" spans="1:9" ht="14.5">
      <c r="A115" s="20" t="s">
        <v>33865</v>
      </c>
      <c r="B115" s="20">
        <v>35</v>
      </c>
      <c r="C115" s="20">
        <v>40</v>
      </c>
      <c r="D115" s="20">
        <v>84</v>
      </c>
      <c r="E115" s="24"/>
      <c r="F115" s="20" t="s">
        <v>33866</v>
      </c>
      <c r="G115" s="24" t="str">
        <f ca="1">IFERROR(__xludf.DUMMYFUNCTION("GOOGLETRANSLATE(F115,""en"",""pt"")"),"requisitos de desempenho em sustentabilidade")</f>
        <v>requisitos de desempenho em sustentabilidade</v>
      </c>
      <c r="H115" s="20" t="s">
        <v>33867</v>
      </c>
      <c r="I115" s="24"/>
    </row>
    <row r="116" spans="1:9" ht="14.5">
      <c r="A116" s="20" t="s">
        <v>33868</v>
      </c>
      <c r="B116" s="20">
        <v>35</v>
      </c>
      <c r="C116" s="20">
        <v>40</v>
      </c>
      <c r="D116" s="20">
        <v>96</v>
      </c>
      <c r="E116" s="24"/>
      <c r="F116" s="20" t="s">
        <v>33869</v>
      </c>
      <c r="G116" s="24" t="str">
        <f ca="1">IFERROR(__xludf.DUMMYFUNCTION("GOOGLETRANSLATE(F116,""en"",""pt"")"),"os requisitos de desempenho de estanqueidade")</f>
        <v>os requisitos de desempenho de estanqueidade</v>
      </c>
      <c r="H116" s="20" t="s">
        <v>33870</v>
      </c>
      <c r="I116" s="24"/>
    </row>
    <row r="117" spans="1:9" ht="14.5">
      <c r="A117" s="20" t="s">
        <v>33871</v>
      </c>
      <c r="B117" s="20">
        <v>35</v>
      </c>
      <c r="C117" s="20">
        <v>50</v>
      </c>
      <c r="D117" s="24"/>
      <c r="E117" s="24"/>
      <c r="F117" s="20" t="s">
        <v>33872</v>
      </c>
      <c r="G117" s="24" t="str">
        <f ca="1">IFERROR(__xludf.DUMMYFUNCTION("GOOGLETRANSLATE(F117,""en"",""pt"")"),"os requisitos de desempenho de segurança")</f>
        <v>os requisitos de desempenho de segurança</v>
      </c>
      <c r="H117" s="24"/>
      <c r="I117" s="24"/>
    </row>
    <row r="118" spans="1:9" ht="14.5">
      <c r="A118" s="20" t="s">
        <v>33873</v>
      </c>
      <c r="B118" s="20">
        <v>35</v>
      </c>
      <c r="C118" s="20">
        <v>50</v>
      </c>
      <c r="D118" s="20">
        <v>1</v>
      </c>
      <c r="E118" s="24"/>
      <c r="F118" s="20" t="s">
        <v>33874</v>
      </c>
      <c r="G118" s="24" t="str">
        <f ca="1">IFERROR(__xludf.DUMMYFUNCTION("GOOGLETRANSLATE(F118,""en"",""pt"")"),"os requisitos de desempenho de acessibilidade")</f>
        <v>os requisitos de desempenho de acessibilidade</v>
      </c>
      <c r="H118" s="20" t="s">
        <v>33875</v>
      </c>
      <c r="I118" s="24"/>
    </row>
    <row r="119" spans="1:9" ht="14.5">
      <c r="A119" s="20" t="s">
        <v>33876</v>
      </c>
      <c r="B119" s="20">
        <v>35</v>
      </c>
      <c r="C119" s="20">
        <v>50</v>
      </c>
      <c r="D119" s="20">
        <v>74</v>
      </c>
      <c r="E119" s="24"/>
      <c r="F119" s="20" t="s">
        <v>33877</v>
      </c>
      <c r="G119" s="24" t="str">
        <f ca="1">IFERROR(__xludf.DUMMYFUNCTION("GOOGLETRANSLATE(F119,""en"",""pt"")"),"os requisitos de desempenho de segurança")</f>
        <v>os requisitos de desempenho de segurança</v>
      </c>
      <c r="H119" s="20" t="s">
        <v>33878</v>
      </c>
      <c r="I119" s="24"/>
    </row>
    <row r="120" spans="1:9" ht="14.5">
      <c r="A120" s="20" t="s">
        <v>33879</v>
      </c>
      <c r="B120" s="20">
        <v>35</v>
      </c>
      <c r="C120" s="20">
        <v>60</v>
      </c>
      <c r="D120" s="24"/>
      <c r="E120" s="24"/>
      <c r="F120" s="20" t="s">
        <v>33880</v>
      </c>
      <c r="G120" s="24" t="str">
        <f ca="1">IFERROR(__xludf.DUMMYFUNCTION("GOOGLETRANSLATE(F120,""en"",""pt"")"),"os requisitos de desempenho acústico")</f>
        <v>os requisitos de desempenho acústico</v>
      </c>
      <c r="H120" s="24"/>
      <c r="I120" s="24"/>
    </row>
    <row r="121" spans="1:9" ht="14.5">
      <c r="A121" s="20" t="s">
        <v>33881</v>
      </c>
      <c r="B121" s="20">
        <v>35</v>
      </c>
      <c r="C121" s="20">
        <v>60</v>
      </c>
      <c r="D121" s="20">
        <v>1</v>
      </c>
      <c r="E121" s="24"/>
      <c r="F121" s="20" t="s">
        <v>33882</v>
      </c>
      <c r="G121" s="24" t="str">
        <f ca="1">IFERROR(__xludf.DUMMYFUNCTION("GOOGLETRANSLATE(F121,""en"",""pt"")"),"os requisitos de desempenho atenuação acústica")</f>
        <v>os requisitos de desempenho atenuação acústica</v>
      </c>
      <c r="H121" s="20" t="s">
        <v>33883</v>
      </c>
      <c r="I121" s="24"/>
    </row>
    <row r="122" spans="1:9" ht="14.5">
      <c r="A122" s="20" t="s">
        <v>33884</v>
      </c>
      <c r="B122" s="20">
        <v>35</v>
      </c>
      <c r="C122" s="20">
        <v>60</v>
      </c>
      <c r="D122" s="20">
        <v>3</v>
      </c>
      <c r="E122" s="24"/>
      <c r="F122" s="20" t="s">
        <v>33885</v>
      </c>
      <c r="G122" s="24" t="str">
        <f ca="1">IFERROR(__xludf.DUMMYFUNCTION("GOOGLETRANSLATE(F122,""en"",""pt"")"),"os requisitos de desempenho de difusão Acústicas")</f>
        <v>os requisitos de desempenho de difusão Acústicas</v>
      </c>
      <c r="H122" s="20" t="s">
        <v>33886</v>
      </c>
      <c r="I122" s="24"/>
    </row>
    <row r="123" spans="1:9" ht="14.5">
      <c r="A123" s="20" t="s">
        <v>33887</v>
      </c>
      <c r="B123" s="20">
        <v>35</v>
      </c>
      <c r="C123" s="20">
        <v>60</v>
      </c>
      <c r="D123" s="20">
        <v>5</v>
      </c>
      <c r="E123" s="24"/>
      <c r="F123" s="20" t="s">
        <v>33888</v>
      </c>
      <c r="G123" s="24" t="str">
        <f ca="1">IFERROR(__xludf.DUMMYFUNCTION("GOOGLETRANSLATE(F123,""en"",""pt"")"),"os requisitos de desempenho separação acústicos")</f>
        <v>os requisitos de desempenho separação acústicos</v>
      </c>
      <c r="H123" s="20" t="s">
        <v>33889</v>
      </c>
      <c r="I123" s="24"/>
    </row>
    <row r="124" spans="1:9" ht="14.5">
      <c r="A124" s="20" t="s">
        <v>33890</v>
      </c>
      <c r="B124" s="20">
        <v>35</v>
      </c>
      <c r="C124" s="20">
        <v>60</v>
      </c>
      <c r="D124" s="20">
        <v>95</v>
      </c>
      <c r="E124" s="24"/>
      <c r="F124" s="20" t="s">
        <v>33891</v>
      </c>
      <c r="G124" s="24" t="str">
        <f ca="1">IFERROR(__xludf.DUMMYFUNCTION("GOOGLETRANSLATE(F124,""en"",""pt"")"),"Vibração requisitos de desempenho de controle")</f>
        <v>Vibração requisitos de desempenho de controle</v>
      </c>
      <c r="H124" s="24"/>
      <c r="I124" s="24"/>
    </row>
    <row r="125" spans="1:9" ht="14.5">
      <c r="A125" s="20" t="s">
        <v>33892</v>
      </c>
      <c r="B125" s="20">
        <v>35</v>
      </c>
      <c r="C125" s="20">
        <v>70</v>
      </c>
      <c r="D125" s="24"/>
      <c r="E125" s="24"/>
      <c r="F125" s="20" t="s">
        <v>33893</v>
      </c>
      <c r="G125" s="24" t="str">
        <f ca="1">IFERROR(__xludf.DUMMYFUNCTION("GOOGLETRANSLATE(F125,""en"",""pt"")"),"requisitos de desempenho energético")</f>
        <v>requisitos de desempenho energético</v>
      </c>
      <c r="H125" s="24"/>
      <c r="I125" s="24"/>
    </row>
    <row r="126" spans="1:9" ht="14.5">
      <c r="A126" s="20" t="s">
        <v>33894</v>
      </c>
      <c r="B126" s="20">
        <v>35</v>
      </c>
      <c r="C126" s="20">
        <v>70</v>
      </c>
      <c r="D126" s="20">
        <v>5</v>
      </c>
      <c r="E126" s="24"/>
      <c r="F126" s="20" t="s">
        <v>33895</v>
      </c>
      <c r="G126" s="24" t="str">
        <f ca="1">IFERROR(__xludf.DUMMYFUNCTION("GOOGLETRANSLATE(F126,""en"",""pt"")"),"os requisitos de desempenho de ar condicionado")</f>
        <v>os requisitos de desempenho de ar condicionado</v>
      </c>
      <c r="H126" s="20" t="s">
        <v>33896</v>
      </c>
      <c r="I126" s="24"/>
    </row>
    <row r="127" spans="1:9" ht="14.5">
      <c r="A127" s="20" t="s">
        <v>33897</v>
      </c>
      <c r="B127" s="20">
        <v>35</v>
      </c>
      <c r="C127" s="20">
        <v>70</v>
      </c>
      <c r="D127" s="20">
        <v>15</v>
      </c>
      <c r="E127" s="24"/>
      <c r="F127" s="20" t="s">
        <v>33898</v>
      </c>
      <c r="G127" s="24" t="str">
        <f ca="1">IFERROR(__xludf.DUMMYFUNCTION("GOOGLETRANSLATE(F127,""en"",""pt"")"),"os requisitos de desempenho água gelada")</f>
        <v>os requisitos de desempenho água gelada</v>
      </c>
      <c r="H127" s="24"/>
      <c r="I127" s="24"/>
    </row>
    <row r="128" spans="1:9" ht="14.5">
      <c r="A128" s="20" t="s">
        <v>33899</v>
      </c>
      <c r="B128" s="20">
        <v>35</v>
      </c>
      <c r="C128" s="20">
        <v>70</v>
      </c>
      <c r="D128" s="20">
        <v>17</v>
      </c>
      <c r="E128" s="24"/>
      <c r="F128" s="20" t="s">
        <v>33900</v>
      </c>
      <c r="G128" s="24" t="str">
        <f ca="1">IFERROR(__xludf.DUMMYFUNCTION("GOOGLETRANSLATE(F128,""en"",""pt"")"),"os requisitos de desempenho aparelho de combustão")</f>
        <v>os requisitos de desempenho aparelho de combustão</v>
      </c>
      <c r="H128" s="24"/>
      <c r="I128" s="24"/>
    </row>
    <row r="129" spans="1:9" ht="14.5">
      <c r="A129" s="20" t="s">
        <v>33901</v>
      </c>
      <c r="B129" s="20">
        <v>35</v>
      </c>
      <c r="C129" s="20">
        <v>70</v>
      </c>
      <c r="D129" s="20">
        <v>20</v>
      </c>
      <c r="E129" s="24"/>
      <c r="F129" s="20" t="s">
        <v>33902</v>
      </c>
      <c r="G129" s="24" t="str">
        <f ca="1">IFERROR(__xludf.DUMMYFUNCTION("GOOGLETRANSLATE(F129,""en"",""pt"")"),"Daylight e sombreamento requisitos de desempenho")</f>
        <v>Daylight e sombreamento requisitos de desempenho</v>
      </c>
      <c r="H129" s="24"/>
      <c r="I129" s="24"/>
    </row>
    <row r="130" spans="1:9" ht="14.5">
      <c r="A130" s="20" t="s">
        <v>33903</v>
      </c>
      <c r="B130" s="20">
        <v>35</v>
      </c>
      <c r="C130" s="20">
        <v>70</v>
      </c>
      <c r="D130" s="20">
        <v>36</v>
      </c>
      <c r="E130" s="24"/>
      <c r="F130" s="20" t="s">
        <v>33904</v>
      </c>
      <c r="G130" s="24" t="str">
        <f ca="1">IFERROR(__xludf.DUMMYFUNCTION("GOOGLETRANSLATE(F130,""en"",""pt"")"),"Aquecimento requisitos de desempenho")</f>
        <v>Aquecimento requisitos de desempenho</v>
      </c>
      <c r="H130" s="20" t="s">
        <v>33905</v>
      </c>
      <c r="I130" s="24"/>
    </row>
    <row r="131" spans="1:9" ht="14.5">
      <c r="A131" s="20" t="s">
        <v>33906</v>
      </c>
      <c r="B131" s="20">
        <v>35</v>
      </c>
      <c r="C131" s="20">
        <v>70</v>
      </c>
      <c r="D131" s="20">
        <v>38</v>
      </c>
      <c r="E131" s="24"/>
      <c r="F131" s="20" t="s">
        <v>33907</v>
      </c>
      <c r="G131" s="24" t="str">
        <f ca="1">IFERROR(__xludf.DUMMYFUNCTION("GOOGLETRANSLATE(F131,""en"",""pt"")"),"Quente e requisitos frias desempenho de abastecimento de água")</f>
        <v>Quente e requisitos frias desempenho de abastecimento de água</v>
      </c>
      <c r="H131" s="20" t="s">
        <v>33908</v>
      </c>
      <c r="I131" s="24"/>
    </row>
    <row r="132" spans="1:9" ht="14.5">
      <c r="A132" s="20" t="s">
        <v>33909</v>
      </c>
      <c r="B132" s="20">
        <v>35</v>
      </c>
      <c r="C132" s="20">
        <v>70</v>
      </c>
      <c r="D132" s="20">
        <v>46</v>
      </c>
      <c r="E132" s="24"/>
      <c r="F132" s="20" t="s">
        <v>33910</v>
      </c>
      <c r="G132" s="24" t="str">
        <f ca="1">IFERROR(__xludf.DUMMYFUNCTION("GOOGLETRANSLATE(F132,""en"",""pt"")"),"Iluminação requisitos de desempenho")</f>
        <v>Iluminação requisitos de desempenho</v>
      </c>
      <c r="H132" s="24"/>
      <c r="I132" s="24"/>
    </row>
    <row r="133" spans="1:9" ht="14.5">
      <c r="A133" s="20" t="s">
        <v>33911</v>
      </c>
      <c r="B133" s="20">
        <v>35</v>
      </c>
      <c r="C133" s="20">
        <v>70</v>
      </c>
      <c r="D133" s="20">
        <v>92</v>
      </c>
      <c r="E133" s="24"/>
      <c r="F133" s="20" t="s">
        <v>33912</v>
      </c>
      <c r="G133" s="24" t="str">
        <f ca="1">IFERROR(__xludf.DUMMYFUNCTION("GOOGLETRANSLATE(F133,""en"",""pt"")"),"os requisitos de desempenho de transmitância térmica")</f>
        <v>os requisitos de desempenho de transmitância térmica</v>
      </c>
      <c r="H133" s="20" t="s">
        <v>33913</v>
      </c>
      <c r="I133" s="24"/>
    </row>
    <row r="134" spans="1:9" ht="14.5">
      <c r="A134" s="20" t="s">
        <v>33914</v>
      </c>
      <c r="B134" s="20">
        <v>35</v>
      </c>
      <c r="C134" s="20">
        <v>70</v>
      </c>
      <c r="D134" s="20">
        <v>94</v>
      </c>
      <c r="E134" s="24"/>
      <c r="F134" s="20" t="s">
        <v>33915</v>
      </c>
      <c r="G134" s="24" t="str">
        <f ca="1">IFERROR(__xludf.DUMMYFUNCTION("GOOGLETRANSLATE(F134,""en"",""pt"")"),"os requisitos de desempenho de ventilação")</f>
        <v>os requisitos de desempenho de ventilação</v>
      </c>
      <c r="H134" s="20" t="s">
        <v>33916</v>
      </c>
      <c r="I134" s="24"/>
    </row>
    <row r="135" spans="1:9" ht="14.5">
      <c r="A135" s="20" t="s">
        <v>33917</v>
      </c>
      <c r="B135" s="20">
        <v>40</v>
      </c>
      <c r="C135" s="24"/>
      <c r="D135" s="24"/>
      <c r="E135" s="24"/>
      <c r="F135" s="20" t="s">
        <v>33918</v>
      </c>
      <c r="G135" s="24" t="str">
        <f ca="1">IFERROR(__xludf.DUMMYFUNCTION("GOOGLETRANSLATE(F135,""en"",""pt"")"),"Projeto e aprovações informações")</f>
        <v>Projeto e aprovações informações</v>
      </c>
      <c r="H135" s="24"/>
      <c r="I135" s="24"/>
    </row>
    <row r="136" spans="1:9" ht="14.5">
      <c r="A136" s="20" t="s">
        <v>33919</v>
      </c>
      <c r="B136" s="20">
        <v>40</v>
      </c>
      <c r="C136" s="20">
        <v>30</v>
      </c>
      <c r="D136" s="24"/>
      <c r="E136" s="24"/>
      <c r="F136" s="20" t="s">
        <v>33920</v>
      </c>
      <c r="G136" s="24" t="str">
        <f ca="1">IFERROR(__xludf.DUMMYFUNCTION("GOOGLETRANSLATE(F136,""en"",""pt"")"),"informações de projeto")</f>
        <v>informações de projeto</v>
      </c>
      <c r="H136" s="20" t="s">
        <v>33921</v>
      </c>
      <c r="I136" s="24"/>
    </row>
    <row r="137" spans="1:9" ht="14.5">
      <c r="A137" s="20" t="s">
        <v>33922</v>
      </c>
      <c r="B137" s="20">
        <v>40</v>
      </c>
      <c r="C137" s="20">
        <v>30</v>
      </c>
      <c r="D137" s="20">
        <v>17</v>
      </c>
      <c r="E137" s="24"/>
      <c r="F137" s="20" t="s">
        <v>33923</v>
      </c>
      <c r="G137" s="24" t="str">
        <f ca="1">IFERROR(__xludf.DUMMYFUNCTION("GOOGLETRANSLATE(F137,""en"",""pt"")"),"análise de conceito")</f>
        <v>análise de conceito</v>
      </c>
      <c r="H137" s="24"/>
      <c r="I137" s="24"/>
    </row>
    <row r="138" spans="1:9" ht="14.5">
      <c r="A138" s="20" t="s">
        <v>33924</v>
      </c>
      <c r="B138" s="20">
        <v>40</v>
      </c>
      <c r="C138" s="20">
        <v>30</v>
      </c>
      <c r="D138" s="20">
        <v>20</v>
      </c>
      <c r="E138" s="24"/>
      <c r="F138" s="20" t="s">
        <v>33925</v>
      </c>
      <c r="G138" s="24" t="str">
        <f ca="1">IFERROR(__xludf.DUMMYFUNCTION("GOOGLETRANSLATE(F138,""en"",""pt"")"),"cálculos de projecto")</f>
        <v>cálculos de projecto</v>
      </c>
      <c r="H138" s="24"/>
      <c r="I138" s="24"/>
    </row>
    <row r="139" spans="1:9" ht="14.5">
      <c r="A139" s="20" t="s">
        <v>33926</v>
      </c>
      <c r="B139" s="20">
        <v>40</v>
      </c>
      <c r="C139" s="20">
        <v>30</v>
      </c>
      <c r="D139" s="20">
        <v>23</v>
      </c>
      <c r="E139" s="24"/>
      <c r="F139" s="20" t="s">
        <v>33927</v>
      </c>
      <c r="G139" s="24" t="str">
        <f ca="1">IFERROR(__xludf.DUMMYFUNCTION("GOOGLETRANSLATE(F139,""en"",""pt"")"),"Design da indicação filosofia")</f>
        <v>Design da indicação filosofia</v>
      </c>
      <c r="H139" s="20" t="s">
        <v>33928</v>
      </c>
      <c r="I139" s="24"/>
    </row>
    <row r="140" spans="1:9" ht="14.5">
      <c r="A140" s="20" t="s">
        <v>33929</v>
      </c>
      <c r="B140" s="20">
        <v>40</v>
      </c>
      <c r="C140" s="20">
        <v>30</v>
      </c>
      <c r="D140" s="20">
        <v>24</v>
      </c>
      <c r="E140" s="24"/>
      <c r="F140" s="20" t="s">
        <v>33930</v>
      </c>
      <c r="G140" s="24" t="str">
        <f ca="1">IFERROR(__xludf.DUMMYFUNCTION("GOOGLETRANSLATE(F140,""en"",""pt"")"),"Projeto matriz de responsabilidade")</f>
        <v>Projeto matriz de responsabilidade</v>
      </c>
      <c r="H140" s="24"/>
      <c r="I140" s="24"/>
    </row>
    <row r="141" spans="1:9" ht="14.5">
      <c r="A141" s="20" t="s">
        <v>33931</v>
      </c>
      <c r="B141" s="20">
        <v>40</v>
      </c>
      <c r="C141" s="20">
        <v>30</v>
      </c>
      <c r="D141" s="20">
        <v>25</v>
      </c>
      <c r="E141" s="24"/>
      <c r="F141" s="20" t="s">
        <v>33932</v>
      </c>
      <c r="G141" s="24" t="str">
        <f ca="1">IFERROR(__xludf.DUMMYFUNCTION("GOOGLETRANSLATE(F141,""en"",""pt"")"),"plano de controle de desenvolvimento")</f>
        <v>plano de controle de desenvolvimento</v>
      </c>
      <c r="H141" s="24"/>
      <c r="I141" s="24"/>
    </row>
    <row r="142" spans="1:9" ht="14.5">
      <c r="A142" s="20" t="s">
        <v>33933</v>
      </c>
      <c r="B142" s="20">
        <v>40</v>
      </c>
      <c r="C142" s="20">
        <v>30</v>
      </c>
      <c r="D142" s="20">
        <v>26</v>
      </c>
      <c r="E142" s="24"/>
      <c r="F142" s="20" t="s">
        <v>33934</v>
      </c>
      <c r="G142" s="24" t="str">
        <f ca="1">IFERROR(__xludf.DUMMYFUNCTION("GOOGLETRANSLATE(F142,""en"",""pt"")"),"estratégia energética")</f>
        <v>estratégia energética</v>
      </c>
      <c r="H142" s="24"/>
      <c r="I142" s="24"/>
    </row>
    <row r="143" spans="1:9" ht="14.5">
      <c r="A143" s="20" t="s">
        <v>33935</v>
      </c>
      <c r="B143" s="20">
        <v>40</v>
      </c>
      <c r="C143" s="20">
        <v>30</v>
      </c>
      <c r="D143" s="20">
        <v>27</v>
      </c>
      <c r="E143" s="24"/>
      <c r="F143" s="20" t="s">
        <v>33936</v>
      </c>
      <c r="G143" s="24" t="str">
        <f ca="1">IFERROR(__xludf.DUMMYFUNCTION("GOOGLETRANSLATE(F143,""en"",""pt"")"),"meta para as energias")</f>
        <v>meta para as energias</v>
      </c>
      <c r="H143" s="20" t="s">
        <v>33937</v>
      </c>
      <c r="I143" s="24"/>
    </row>
    <row r="144" spans="1:9" ht="14.5">
      <c r="A144" s="20" t="s">
        <v>33938</v>
      </c>
      <c r="B144" s="20">
        <v>40</v>
      </c>
      <c r="C144" s="20">
        <v>30</v>
      </c>
      <c r="D144" s="20">
        <v>34</v>
      </c>
      <c r="E144" s="24"/>
      <c r="F144" s="20" t="s">
        <v>33939</v>
      </c>
      <c r="G144" s="24" t="str">
        <f ca="1">IFERROR(__xludf.DUMMYFUNCTION("GOOGLETRANSLATE(F144,""en"",""pt"")"),"informações gráficas")</f>
        <v>informações gráficas</v>
      </c>
      <c r="H144" s="24"/>
      <c r="I144" s="24"/>
    </row>
    <row r="145" spans="1:9" ht="14.5">
      <c r="A145" s="20" t="s">
        <v>33940</v>
      </c>
      <c r="B145" s="20">
        <v>40</v>
      </c>
      <c r="C145" s="20">
        <v>30</v>
      </c>
      <c r="D145" s="20">
        <v>50</v>
      </c>
      <c r="E145" s="24"/>
      <c r="F145" s="20" t="s">
        <v>33941</v>
      </c>
      <c r="G145" s="24" t="str">
        <f ca="1">IFERROR(__xludf.DUMMYFUNCTION("GOOGLETRANSLATE(F145,""en"",""pt"")"),"plano de controlo de gestão")</f>
        <v>plano de controlo de gestão</v>
      </c>
      <c r="H145" s="24"/>
      <c r="I145" s="24"/>
    </row>
    <row r="146" spans="1:9" ht="14.5">
      <c r="A146" s="20" t="s">
        <v>33942</v>
      </c>
      <c r="B146" s="20">
        <v>40</v>
      </c>
      <c r="C146" s="20">
        <v>30</v>
      </c>
      <c r="D146" s="20">
        <v>52</v>
      </c>
      <c r="E146" s="24"/>
      <c r="F146" s="20" t="s">
        <v>33943</v>
      </c>
      <c r="G146" s="24" t="str">
        <f ca="1">IFERROR(__xludf.DUMMYFUNCTION("GOOGLETRANSLATE(F146,""en"",""pt"")"),"Mecânica, elétrica, instrumentação, controle e automação (Meica) projeto")</f>
        <v>Mecânica, elétrica, instrumentação, controle e automação (Meica) projeto</v>
      </c>
      <c r="H146" s="24"/>
      <c r="I146" s="24"/>
    </row>
    <row r="147" spans="1:9" ht="14.5">
      <c r="A147" s="20" t="s">
        <v>33944</v>
      </c>
      <c r="B147" s="20">
        <v>40</v>
      </c>
      <c r="C147" s="20">
        <v>30</v>
      </c>
      <c r="D147" s="20">
        <v>60</v>
      </c>
      <c r="E147" s="24"/>
      <c r="F147" s="20" t="s">
        <v>33945</v>
      </c>
      <c r="G147" s="24" t="str">
        <f ca="1">IFERROR(__xludf.DUMMYFUNCTION("GOOGLETRANSLATE(F147,""en"",""pt"")"),"informações paramétricas")</f>
        <v>informações paramétricas</v>
      </c>
      <c r="H147" s="24"/>
      <c r="I147" s="24"/>
    </row>
    <row r="148" spans="1:9" ht="14.5">
      <c r="A148" s="20" t="s">
        <v>33946</v>
      </c>
      <c r="B148" s="20">
        <v>40</v>
      </c>
      <c r="C148" s="20">
        <v>30</v>
      </c>
      <c r="D148" s="20">
        <v>63</v>
      </c>
      <c r="E148" s="24"/>
      <c r="F148" s="20" t="s">
        <v>33947</v>
      </c>
      <c r="G148" s="24" t="str">
        <f ca="1">IFERROR(__xludf.DUMMYFUNCTION("GOOGLETRANSLATE(F148,""en"",""pt"")"),"modelo de visualização fotorrealista")</f>
        <v>modelo de visualização fotorrealista</v>
      </c>
      <c r="H148" s="24"/>
      <c r="I148" s="24"/>
    </row>
    <row r="149" spans="1:9" ht="14.5">
      <c r="A149" s="20" t="s">
        <v>33948</v>
      </c>
      <c r="B149" s="20">
        <v>40</v>
      </c>
      <c r="C149" s="20">
        <v>30</v>
      </c>
      <c r="D149" s="20">
        <v>89</v>
      </c>
      <c r="E149" s="24"/>
      <c r="F149" s="20" t="s">
        <v>33949</v>
      </c>
      <c r="G149" s="24" t="str">
        <f ca="1">IFERROR(__xludf.DUMMYFUNCTION("GOOGLETRANSLATE(F149,""en"",""pt"")"),"Informação técnica")</f>
        <v>Informação técnica</v>
      </c>
      <c r="H149" s="24"/>
      <c r="I149" s="24"/>
    </row>
    <row r="150" spans="1:9" ht="14.5">
      <c r="A150" s="20" t="s">
        <v>33950</v>
      </c>
      <c r="B150" s="20">
        <v>40</v>
      </c>
      <c r="C150" s="20">
        <v>40</v>
      </c>
      <c r="D150" s="24"/>
      <c r="E150" s="24"/>
      <c r="F150" s="20" t="s">
        <v>33951</v>
      </c>
      <c r="G150" s="24" t="str">
        <f ca="1">IFERROR(__xludf.DUMMYFUNCTION("GOOGLETRANSLATE(F150,""en"",""pt"")"),"Desenhos de design")</f>
        <v>Desenhos de design</v>
      </c>
      <c r="H150" s="20" t="s">
        <v>33952</v>
      </c>
      <c r="I150" s="24"/>
    </row>
    <row r="151" spans="1:9" ht="14.5">
      <c r="A151" s="20" t="s">
        <v>33953</v>
      </c>
      <c r="B151" s="20">
        <v>40</v>
      </c>
      <c r="C151" s="20">
        <v>40</v>
      </c>
      <c r="D151" s="20">
        <v>1</v>
      </c>
      <c r="E151" s="24"/>
      <c r="F151" s="20" t="s">
        <v>33954</v>
      </c>
      <c r="G151" s="24" t="str">
        <f ca="1">IFERROR(__xludf.DUMMYFUNCTION("GOOGLETRANSLATE(F151,""en"",""pt"")"),"desenhos do plano 2D")</f>
        <v>desenhos do plano 2D</v>
      </c>
      <c r="H151" s="24"/>
      <c r="I151" s="24"/>
    </row>
    <row r="152" spans="1:9" ht="14.5">
      <c r="A152" s="20" t="s">
        <v>33955</v>
      </c>
      <c r="B152" s="20">
        <v>40</v>
      </c>
      <c r="C152" s="20">
        <v>40</v>
      </c>
      <c r="D152" s="20">
        <v>2</v>
      </c>
      <c r="E152" s="24"/>
      <c r="F152" s="20" t="s">
        <v>33956</v>
      </c>
      <c r="G152" s="24" t="str">
        <f ca="1">IFERROR(__xludf.DUMMYFUNCTION("GOOGLETRANSLATE(F152,""en"",""pt"")"),"desenhos do plano 3D")</f>
        <v>desenhos do plano 3D</v>
      </c>
      <c r="H152" s="24"/>
      <c r="I152" s="24"/>
    </row>
    <row r="153" spans="1:9" ht="14.5">
      <c r="A153" s="20" t="s">
        <v>33957</v>
      </c>
      <c r="B153" s="20">
        <v>40</v>
      </c>
      <c r="C153" s="20">
        <v>40</v>
      </c>
      <c r="D153" s="20">
        <v>10</v>
      </c>
      <c r="E153" s="24"/>
      <c r="F153" s="20" t="s">
        <v>33958</v>
      </c>
      <c r="G153" s="24" t="str">
        <f ca="1">IFERROR(__xludf.DUMMYFUNCTION("GOOGLETRANSLATE(F153,""en"",""pt"")"),"desenhos de trabalho dos construtores")</f>
        <v>desenhos de trabalho dos construtores</v>
      </c>
      <c r="H153" s="24"/>
      <c r="I153" s="24"/>
    </row>
    <row r="154" spans="1:9" ht="14.5">
      <c r="A154" s="20" t="s">
        <v>33959</v>
      </c>
      <c r="B154" s="20">
        <v>40</v>
      </c>
      <c r="C154" s="20">
        <v>40</v>
      </c>
      <c r="D154" s="20">
        <v>15</v>
      </c>
      <c r="E154" s="24"/>
      <c r="F154" s="20" t="s">
        <v>33960</v>
      </c>
      <c r="G154" s="24" t="str">
        <f ca="1">IFERROR(__xludf.DUMMYFUNCTION("GOOGLETRANSLATE(F154,""en"",""pt"")"),"desenhos de coordenação")</f>
        <v>desenhos de coordenação</v>
      </c>
      <c r="H154" s="24"/>
      <c r="I154" s="24"/>
    </row>
    <row r="155" spans="1:9" ht="14.5">
      <c r="A155" s="20" t="s">
        <v>33961</v>
      </c>
      <c r="B155" s="20">
        <v>40</v>
      </c>
      <c r="C155" s="20">
        <v>40</v>
      </c>
      <c r="D155" s="20">
        <v>18</v>
      </c>
      <c r="E155" s="24"/>
      <c r="F155" s="20" t="s">
        <v>33962</v>
      </c>
      <c r="G155" s="24" t="str">
        <f ca="1">IFERROR(__xludf.DUMMYFUNCTION("GOOGLETRANSLATE(F155,""en"",""pt"")"),"desenhos secção transversal")</f>
        <v>desenhos secção transversal</v>
      </c>
      <c r="H155" s="24"/>
      <c r="I155" s="24"/>
    </row>
    <row r="156" spans="1:9" ht="14.5">
      <c r="A156" s="20" t="s">
        <v>33963</v>
      </c>
      <c r="B156" s="20">
        <v>40</v>
      </c>
      <c r="C156" s="20">
        <v>40</v>
      </c>
      <c r="D156" s="20">
        <v>22</v>
      </c>
      <c r="E156" s="24"/>
      <c r="F156" s="20" t="s">
        <v>33964</v>
      </c>
      <c r="G156" s="24" t="str">
        <f ca="1">IFERROR(__xludf.DUMMYFUNCTION("GOOGLETRANSLATE(F156,""en"",""pt"")"),"desenhos diagrammatical")</f>
        <v>desenhos diagrammatical</v>
      </c>
      <c r="H156" s="24"/>
      <c r="I156" s="24"/>
    </row>
    <row r="157" spans="1:9" ht="14.5">
      <c r="A157" s="20" t="s">
        <v>33965</v>
      </c>
      <c r="B157" s="20">
        <v>40</v>
      </c>
      <c r="C157" s="20">
        <v>40</v>
      </c>
      <c r="D157" s="20">
        <v>27</v>
      </c>
      <c r="E157" s="24"/>
      <c r="F157" s="20" t="s">
        <v>33966</v>
      </c>
      <c r="G157" s="24" t="str">
        <f ca="1">IFERROR(__xludf.DUMMYFUNCTION("GOOGLETRANSLATE(F157,""en"",""pt"")"),"elevação desenhos")</f>
        <v>elevação desenhos</v>
      </c>
      <c r="H157" s="24"/>
      <c r="I157" s="24"/>
    </row>
    <row r="158" spans="1:9" ht="14.5">
      <c r="A158" s="20" t="s">
        <v>33967</v>
      </c>
      <c r="B158" s="20">
        <v>40</v>
      </c>
      <c r="C158" s="20">
        <v>40</v>
      </c>
      <c r="D158" s="20">
        <v>34</v>
      </c>
      <c r="E158" s="24"/>
      <c r="F158" s="20" t="s">
        <v>33968</v>
      </c>
      <c r="G158" s="24" t="str">
        <f ca="1">IFERROR(__xludf.DUMMYFUNCTION("GOOGLETRANSLATE(F158,""en"",""pt"")"),"desenhos gerais Arranjo")</f>
        <v>desenhos gerais Arranjo</v>
      </c>
      <c r="H158" s="24"/>
      <c r="I158" s="24"/>
    </row>
    <row r="159" spans="1:9" ht="14.5">
      <c r="A159" s="20" t="s">
        <v>33969</v>
      </c>
      <c r="B159" s="20">
        <v>40</v>
      </c>
      <c r="C159" s="20">
        <v>40</v>
      </c>
      <c r="D159" s="20">
        <v>42</v>
      </c>
      <c r="E159" s="24"/>
      <c r="F159" s="20" t="s">
        <v>33970</v>
      </c>
      <c r="G159" s="24" t="str">
        <f ca="1">IFERROR(__xludf.DUMMYFUNCTION("GOOGLETRANSLATE(F159,""en"",""pt"")"),"desenhos isométricos")</f>
        <v>desenhos isométricos</v>
      </c>
      <c r="H159" s="24"/>
      <c r="I159" s="24"/>
    </row>
    <row r="160" spans="1:9" ht="14.5">
      <c r="A160" s="20" t="s">
        <v>33971</v>
      </c>
      <c r="B160" s="20">
        <v>40</v>
      </c>
      <c r="C160" s="20">
        <v>40</v>
      </c>
      <c r="D160" s="20">
        <v>50</v>
      </c>
      <c r="E160" s="24"/>
      <c r="F160" s="20" t="s">
        <v>33972</v>
      </c>
      <c r="G160" s="24" t="str">
        <f ca="1">IFERROR(__xludf.DUMMYFUNCTION("GOOGLETRANSLATE(F160,""en"",""pt"")"),"desenhos do fabricante")</f>
        <v>desenhos do fabricante</v>
      </c>
      <c r="H160" s="24"/>
      <c r="I160" s="24"/>
    </row>
    <row r="161" spans="1:9" ht="14.5">
      <c r="A161" s="20" t="s">
        <v>33973</v>
      </c>
      <c r="B161" s="20">
        <v>40</v>
      </c>
      <c r="C161" s="20">
        <v>40</v>
      </c>
      <c r="D161" s="20">
        <v>54</v>
      </c>
      <c r="E161" s="24"/>
      <c r="F161" s="20" t="s">
        <v>33974</v>
      </c>
      <c r="G161" s="24" t="str">
        <f ca="1">IFERROR(__xludf.DUMMYFUNCTION("GOOGLETRANSLATE(F161,""en"",""pt"")"),"Multi-vista desenhos")</f>
        <v>Multi-vista desenhos</v>
      </c>
      <c r="H161" s="24"/>
      <c r="I161" s="24"/>
    </row>
    <row r="162" spans="1:9" ht="14.5">
      <c r="A162" s="20" t="s">
        <v>33975</v>
      </c>
      <c r="B162" s="20">
        <v>40</v>
      </c>
      <c r="C162" s="20">
        <v>40</v>
      </c>
      <c r="D162" s="20">
        <v>75</v>
      </c>
      <c r="E162" s="24"/>
      <c r="F162" s="20" t="s">
        <v>33976</v>
      </c>
      <c r="G162" s="24" t="str">
        <f ca="1">IFERROR(__xludf.DUMMYFUNCTION("GOOGLETRANSLATE(F162,""en"",""pt"")"),"desenhos esquemáticos")</f>
        <v>desenhos esquemáticos</v>
      </c>
      <c r="H162" s="24"/>
      <c r="I162" s="24"/>
    </row>
    <row r="163" spans="1:9" ht="14.5">
      <c r="A163" s="20" t="s">
        <v>33977</v>
      </c>
      <c r="B163" s="20">
        <v>40</v>
      </c>
      <c r="C163" s="20">
        <v>40</v>
      </c>
      <c r="D163" s="20">
        <v>79</v>
      </c>
      <c r="E163" s="24"/>
      <c r="F163" s="20" t="s">
        <v>33978</v>
      </c>
      <c r="G163" s="24" t="str">
        <f ca="1">IFERROR(__xludf.DUMMYFUNCTION("GOOGLETRANSLATE(F163,""en"",""pt"")"),"desenhos esboço")</f>
        <v>desenhos esboço</v>
      </c>
      <c r="H163" s="24"/>
      <c r="I163" s="24"/>
    </row>
    <row r="164" spans="1:9" ht="14.5">
      <c r="A164" s="20" t="s">
        <v>33979</v>
      </c>
      <c r="B164" s="20">
        <v>40</v>
      </c>
      <c r="C164" s="20">
        <v>40</v>
      </c>
      <c r="D164" s="20">
        <v>88</v>
      </c>
      <c r="E164" s="24"/>
      <c r="F164" s="20" t="s">
        <v>33980</v>
      </c>
      <c r="G164" s="24" t="str">
        <f ca="1">IFERROR(__xludf.DUMMYFUNCTION("GOOGLETRANSLATE(F164,""en"",""pt"")"),"desenhos técnicos")</f>
        <v>desenhos técnicos</v>
      </c>
      <c r="H164" s="24"/>
      <c r="I164" s="24"/>
    </row>
    <row r="165" spans="1:9" ht="14.5">
      <c r="A165" s="20" t="s">
        <v>33981</v>
      </c>
      <c r="B165" s="20">
        <v>40</v>
      </c>
      <c r="C165" s="20">
        <v>50</v>
      </c>
      <c r="D165" s="24"/>
      <c r="E165" s="24"/>
      <c r="F165" s="20" t="s">
        <v>33982</v>
      </c>
      <c r="G165" s="24" t="str">
        <f ca="1">IFERROR(__xludf.DUMMYFUNCTION("GOOGLETRANSLATE(F165,""en"",""pt"")"),"informações aprovações")</f>
        <v>informações aprovações</v>
      </c>
      <c r="H165" s="24"/>
      <c r="I165" s="24"/>
    </row>
    <row r="166" spans="1:9" ht="14.5">
      <c r="A166" s="20" t="s">
        <v>33983</v>
      </c>
      <c r="B166" s="20">
        <v>40</v>
      </c>
      <c r="C166" s="20">
        <v>50</v>
      </c>
      <c r="D166" s="20">
        <v>3</v>
      </c>
      <c r="E166" s="24"/>
      <c r="F166" s="20" t="s">
        <v>33984</v>
      </c>
      <c r="G166" s="24" t="str">
        <f ca="1">IFERROR(__xludf.DUMMYFUNCTION("GOOGLETRANSLATE(F166,""en"",""pt"")"),"Aprovações e plano de garantia")</f>
        <v>Aprovações e plano de garantia</v>
      </c>
      <c r="H166" s="24"/>
      <c r="I166" s="24"/>
    </row>
    <row r="167" spans="1:9" ht="14.5">
      <c r="A167" s="20" t="s">
        <v>33985</v>
      </c>
      <c r="B167" s="20">
        <v>40</v>
      </c>
      <c r="C167" s="20">
        <v>50</v>
      </c>
      <c r="D167" s="20">
        <v>14</v>
      </c>
      <c r="E167" s="24"/>
      <c r="F167" s="20" t="s">
        <v>33986</v>
      </c>
      <c r="G167" s="24" t="str">
        <f ca="1">IFERROR(__xludf.DUMMYFUNCTION("GOOGLETRANSLATE(F167,""en"",""pt"")"),"Consentimento")</f>
        <v>Consentimento</v>
      </c>
      <c r="H167" s="24"/>
      <c r="I167" s="24"/>
    </row>
    <row r="168" spans="1:9" ht="14.5">
      <c r="A168" s="20" t="s">
        <v>33987</v>
      </c>
      <c r="B168" s="20">
        <v>40</v>
      </c>
      <c r="C168" s="20">
        <v>50</v>
      </c>
      <c r="D168" s="20">
        <v>16</v>
      </c>
      <c r="E168" s="24"/>
      <c r="F168" s="20" t="s">
        <v>33988</v>
      </c>
      <c r="G168" s="24" t="str">
        <f ca="1">IFERROR(__xludf.DUMMYFUNCTION("GOOGLETRANSLATE(F168,""en"",""pt"")"),"acordo de contribuição")</f>
        <v>acordo de contribuição</v>
      </c>
      <c r="H168" s="24"/>
      <c r="I168" s="24"/>
    </row>
    <row r="169" spans="1:9" ht="14.5">
      <c r="A169" s="20" t="s">
        <v>33989</v>
      </c>
      <c r="B169" s="20">
        <v>40</v>
      </c>
      <c r="C169" s="20">
        <v>50</v>
      </c>
      <c r="D169" s="20">
        <v>32</v>
      </c>
      <c r="E169" s="24"/>
      <c r="F169" s="20" t="s">
        <v>33990</v>
      </c>
      <c r="G169" s="24" t="str">
        <f ca="1">IFERROR(__xludf.DUMMYFUNCTION("GOOGLETRANSLATE(F169,""en"",""pt"")"),"perfil de financiamento")</f>
        <v>perfil de financiamento</v>
      </c>
      <c r="H169" s="24"/>
      <c r="I169" s="24"/>
    </row>
    <row r="170" spans="1:9" ht="14.5">
      <c r="A170" s="20" t="s">
        <v>33991</v>
      </c>
      <c r="B170" s="20">
        <v>40</v>
      </c>
      <c r="C170" s="20">
        <v>50</v>
      </c>
      <c r="D170" s="20">
        <v>37</v>
      </c>
      <c r="E170" s="24"/>
      <c r="F170" s="20" t="s">
        <v>33992</v>
      </c>
      <c r="G170" s="24" t="str">
        <f ca="1">IFERROR(__xludf.DUMMYFUNCTION("GOOGLETRANSLATE(F170,""en"",""pt"")"),"inscrição de herança")</f>
        <v>inscrição de herança</v>
      </c>
      <c r="H170" s="24"/>
      <c r="I170" s="24"/>
    </row>
    <row r="171" spans="1:9" ht="14.5">
      <c r="A171" s="20" t="s">
        <v>33993</v>
      </c>
      <c r="B171" s="20">
        <v>40</v>
      </c>
      <c r="C171" s="20">
        <v>50</v>
      </c>
      <c r="D171" s="20">
        <v>41</v>
      </c>
      <c r="E171" s="24"/>
      <c r="F171" s="20" t="s">
        <v>33994</v>
      </c>
      <c r="G171" s="24" t="str">
        <f ca="1">IFERROR(__xludf.DUMMYFUNCTION("GOOGLETRANSLATE(F171,""en"",""pt"")"),"aprovação interna")</f>
        <v>aprovação interna</v>
      </c>
      <c r="H171" s="24"/>
      <c r="I171" s="24"/>
    </row>
    <row r="172" spans="1:9" ht="14.5">
      <c r="A172" s="20" t="s">
        <v>33995</v>
      </c>
      <c r="B172" s="20">
        <v>40</v>
      </c>
      <c r="C172" s="20">
        <v>50</v>
      </c>
      <c r="D172" s="20">
        <v>47</v>
      </c>
      <c r="E172" s="24"/>
      <c r="F172" s="20" t="s">
        <v>33996</v>
      </c>
      <c r="G172" s="24" t="str">
        <f ca="1">IFERROR(__xludf.DUMMYFUNCTION("GOOGLETRANSLATE(F172,""en"",""pt"")"),"acordo proprietário do terreno")</f>
        <v>acordo proprietário do terreno</v>
      </c>
      <c r="H172" s="24"/>
      <c r="I172" s="24"/>
    </row>
    <row r="173" spans="1:9" ht="14.5">
      <c r="A173" s="20" t="s">
        <v>33997</v>
      </c>
      <c r="B173" s="20">
        <v>40</v>
      </c>
      <c r="C173" s="20">
        <v>50</v>
      </c>
      <c r="D173" s="20">
        <v>49</v>
      </c>
      <c r="E173" s="24"/>
      <c r="F173" s="20" t="s">
        <v>33998</v>
      </c>
      <c r="G173" s="24" t="str">
        <f ca="1">IFERROR(__xludf.DUMMYFUNCTION("GOOGLETRANSLATE(F173,""en"",""pt"")"),"Carta de autoridade")</f>
        <v>Carta de autoridade</v>
      </c>
      <c r="H173" s="24"/>
      <c r="I173" s="24"/>
    </row>
    <row r="174" spans="1:9" ht="14.5">
      <c r="A174" s="20" t="s">
        <v>33999</v>
      </c>
      <c r="B174" s="20">
        <v>40</v>
      </c>
      <c r="C174" s="20">
        <v>50</v>
      </c>
      <c r="D174" s="20">
        <v>60</v>
      </c>
      <c r="E174" s="24"/>
      <c r="F174" s="20" t="s">
        <v>34000</v>
      </c>
      <c r="G174" s="24" t="str">
        <f ca="1">IFERROR(__xludf.DUMMYFUNCTION("GOOGLETRANSLATE(F174,""en"",""pt"")"),"Acordo de parceria")</f>
        <v>Acordo de parceria</v>
      </c>
      <c r="H174" s="24"/>
      <c r="I174" s="24"/>
    </row>
    <row r="175" spans="1:9" ht="14.5">
      <c r="A175" s="20" t="s">
        <v>34001</v>
      </c>
      <c r="B175" s="20">
        <v>40</v>
      </c>
      <c r="C175" s="20">
        <v>50</v>
      </c>
      <c r="D175" s="20">
        <v>65</v>
      </c>
      <c r="E175" s="24"/>
      <c r="F175" s="20" t="s">
        <v>34002</v>
      </c>
      <c r="G175" s="24" t="str">
        <f ca="1">IFERROR(__xludf.DUMMYFUNCTION("GOOGLETRANSLATE(F175,""en"",""pt"")"),"a permissão de planeamento")</f>
        <v>a permissão de planeamento</v>
      </c>
      <c r="H175" s="24"/>
      <c r="I175" s="24"/>
    </row>
    <row r="176" spans="1:9" ht="14.5">
      <c r="A176" s="20" t="s">
        <v>34003</v>
      </c>
      <c r="B176" s="20">
        <v>40</v>
      </c>
      <c r="C176" s="20">
        <v>50</v>
      </c>
      <c r="D176" s="20">
        <v>67</v>
      </c>
      <c r="E176" s="24"/>
      <c r="F176" s="20" t="s">
        <v>34004</v>
      </c>
      <c r="G176" s="24" t="str">
        <f ca="1">IFERROR(__xludf.DUMMYFUNCTION("GOOGLETRANSLATE(F176,""en"",""pt"")"),"acordo placa projeto")</f>
        <v>acordo placa projeto</v>
      </c>
      <c r="H176" s="24"/>
      <c r="I176" s="24"/>
    </row>
    <row r="177" spans="1:9" ht="14.5">
      <c r="A177" s="20" t="s">
        <v>34005</v>
      </c>
      <c r="B177" s="20">
        <v>40</v>
      </c>
      <c r="C177" s="20">
        <v>50</v>
      </c>
      <c r="D177" s="20">
        <v>69</v>
      </c>
      <c r="E177" s="24"/>
      <c r="F177" s="20" t="s">
        <v>34006</v>
      </c>
      <c r="G177" s="24" t="str">
        <f ca="1">IFERROR(__xludf.DUMMYFUNCTION("GOOGLETRANSLATE(F177,""en"",""pt"")"),"acordo equipe de projeto")</f>
        <v>acordo equipe de projeto</v>
      </c>
      <c r="H177" s="20" t="s">
        <v>34007</v>
      </c>
      <c r="I177" s="24"/>
    </row>
    <row r="178" spans="1:9" ht="14.5">
      <c r="A178" s="20" t="s">
        <v>34008</v>
      </c>
      <c r="B178" s="20">
        <v>40</v>
      </c>
      <c r="C178" s="20">
        <v>60</v>
      </c>
      <c r="D178" s="24"/>
      <c r="E178" s="24"/>
      <c r="F178" s="20" t="s">
        <v>34009</v>
      </c>
      <c r="G178" s="24" t="str">
        <f ca="1">IFERROR(__xludf.DUMMYFUNCTION("GOOGLETRANSLATE(F178,""en"",""pt"")"),"informações de gerenciamento de informações de projeto")</f>
        <v>informações de gerenciamento de informações de projeto</v>
      </c>
      <c r="H178" s="24"/>
      <c r="I178" s="24"/>
    </row>
    <row r="179" spans="1:9" ht="14.5">
      <c r="A179" s="20" t="s">
        <v>34010</v>
      </c>
      <c r="B179" s="20">
        <v>40</v>
      </c>
      <c r="C179" s="20">
        <v>60</v>
      </c>
      <c r="D179" s="20">
        <v>1</v>
      </c>
      <c r="E179" s="24"/>
      <c r="F179" s="20" t="s">
        <v>34011</v>
      </c>
      <c r="G179" s="24" t="str">
        <f ca="1">IFERROR(__xludf.DUMMYFUNCTION("GOOGLETRANSLATE(F179,""en"",""pt"")"),"programa 4D modelo federado")</f>
        <v>programa 4D modelo federado</v>
      </c>
      <c r="H179" s="24"/>
      <c r="I179" s="24"/>
    </row>
    <row r="180" spans="1:9" ht="14.5">
      <c r="A180" s="20" t="s">
        <v>34012</v>
      </c>
      <c r="B180" s="20">
        <v>40</v>
      </c>
      <c r="C180" s="20">
        <v>60</v>
      </c>
      <c r="D180" s="20">
        <v>2</v>
      </c>
      <c r="E180" s="24"/>
      <c r="F180" s="20" t="s">
        <v>34013</v>
      </c>
      <c r="G180" s="24" t="str">
        <f ca="1">IFERROR(__xludf.DUMMYFUNCTION("GOOGLETRANSLATE(F180,""en"",""pt"")"),"custo 5D modelo federado")</f>
        <v>custo 5D modelo federado</v>
      </c>
      <c r="H180" s="24"/>
      <c r="I180" s="24"/>
    </row>
    <row r="181" spans="1:9" ht="14.5">
      <c r="A181" s="20" t="s">
        <v>34014</v>
      </c>
      <c r="B181" s="20">
        <v>40</v>
      </c>
      <c r="C181" s="20">
        <v>60</v>
      </c>
      <c r="D181" s="20">
        <v>3</v>
      </c>
      <c r="E181" s="24"/>
      <c r="F181" s="20" t="s">
        <v>34015</v>
      </c>
      <c r="G181" s="24" t="str">
        <f ca="1">IFERROR(__xludf.DUMMYFUNCTION("GOOGLETRANSLATE(F181,""en"",""pt"")"),"sequência de handover 6D modelo federado")</f>
        <v>sequência de handover 6D modelo federado</v>
      </c>
      <c r="H181" s="24"/>
      <c r="I181" s="24"/>
    </row>
    <row r="182" spans="1:9" ht="14.5">
      <c r="A182" s="20" t="s">
        <v>34016</v>
      </c>
      <c r="B182" s="20">
        <v>40</v>
      </c>
      <c r="C182" s="20">
        <v>60</v>
      </c>
      <c r="D182" s="20">
        <v>5</v>
      </c>
      <c r="E182" s="24"/>
      <c r="F182" s="20" t="s">
        <v>34017</v>
      </c>
      <c r="G182" s="24" t="str">
        <f ca="1">IFERROR(__xludf.DUMMYFUNCTION("GOOGLETRANSLATE(F182,""en"",""pt"")"),"terminologia atividades")</f>
        <v>terminologia atividades</v>
      </c>
      <c r="H182" s="20" t="s">
        <v>34018</v>
      </c>
      <c r="I182" s="24"/>
    </row>
    <row r="183" spans="1:9" ht="14.5">
      <c r="A183" s="20" t="s">
        <v>34019</v>
      </c>
      <c r="B183" s="20">
        <v>40</v>
      </c>
      <c r="C183" s="20">
        <v>60</v>
      </c>
      <c r="D183" s="20">
        <v>7</v>
      </c>
      <c r="E183" s="24"/>
      <c r="F183" s="20" t="s">
        <v>34020</v>
      </c>
      <c r="G183" s="24" t="str">
        <f ca="1">IFERROR(__xludf.DUMMYFUNCTION("GOOGLETRANSLATE(F183,""en"",""pt"")"),"plano de realização de benefícios")</f>
        <v>plano de realização de benefícios</v>
      </c>
      <c r="H183" s="24"/>
      <c r="I183" s="24"/>
    </row>
    <row r="184" spans="1:9" ht="14.5">
      <c r="A184" s="20" t="s">
        <v>34021</v>
      </c>
      <c r="B184" s="20">
        <v>40</v>
      </c>
      <c r="C184" s="20">
        <v>60</v>
      </c>
      <c r="D184" s="20">
        <v>8</v>
      </c>
      <c r="E184" s="24"/>
      <c r="F184" s="20" t="s">
        <v>34022</v>
      </c>
      <c r="G184" s="24" t="str">
        <f ca="1">IFERROR(__xludf.DUMMYFUNCTION("GOOGLETRANSLATE(F184,""en"",""pt"")"),"plano de execução BIM")</f>
        <v>plano de execução BIM</v>
      </c>
      <c r="H184" s="20" t="s">
        <v>34023</v>
      </c>
      <c r="I184" s="24"/>
    </row>
    <row r="185" spans="1:9" ht="14.5">
      <c r="A185" s="20" t="s">
        <v>34024</v>
      </c>
      <c r="B185" s="20">
        <v>40</v>
      </c>
      <c r="C185" s="20">
        <v>60</v>
      </c>
      <c r="D185" s="20">
        <v>9</v>
      </c>
      <c r="E185" s="24"/>
      <c r="F185" s="20" t="s">
        <v>34025</v>
      </c>
      <c r="G185" s="24" t="str">
        <f ca="1">IFERROR(__xludf.DUMMYFUNCTION("GOOGLETRANSLATE(F185,""en"",""pt"")"),"relatório de avaliação de maturidade BIM")</f>
        <v>relatório de avaliação de maturidade BIM</v>
      </c>
      <c r="H185" s="24"/>
      <c r="I185" s="24"/>
    </row>
    <row r="186" spans="1:9" ht="14.5">
      <c r="A186" s="20" t="s">
        <v>34026</v>
      </c>
      <c r="B186" s="20">
        <v>40</v>
      </c>
      <c r="C186" s="20">
        <v>60</v>
      </c>
      <c r="D186" s="20">
        <v>12</v>
      </c>
      <c r="E186" s="24"/>
      <c r="F186" s="20" t="s">
        <v>34027</v>
      </c>
      <c r="G186" s="24" t="str">
        <f ca="1">IFERROR(__xludf.DUMMYFUNCTION("GOOGLETRANSLATE(F186,""en"",""pt"")"),"Clash relatório resolução detecção")</f>
        <v>Clash relatório resolução detecção</v>
      </c>
      <c r="H186" s="24"/>
      <c r="I186" s="24"/>
    </row>
    <row r="187" spans="1:9" ht="14.5">
      <c r="A187" s="20" t="s">
        <v>34028</v>
      </c>
      <c r="B187" s="20">
        <v>40</v>
      </c>
      <c r="C187" s="20">
        <v>60</v>
      </c>
      <c r="D187" s="20">
        <v>16</v>
      </c>
      <c r="E187" s="24"/>
      <c r="F187" s="20" t="s">
        <v>34029</v>
      </c>
      <c r="G187" s="24" t="str">
        <f ca="1">IFERROR(__xludf.DUMMYFUNCTION("GOOGLETRANSLATE(F187,""en"",""pt"")"),"folha de dados Cobie")</f>
        <v>folha de dados Cobie</v>
      </c>
      <c r="H187" s="24"/>
      <c r="I187" s="24"/>
    </row>
    <row r="188" spans="1:9" ht="14.5">
      <c r="A188" s="20" t="s">
        <v>34030</v>
      </c>
      <c r="B188" s="20">
        <v>40</v>
      </c>
      <c r="C188" s="20">
        <v>60</v>
      </c>
      <c r="D188" s="20">
        <v>18</v>
      </c>
      <c r="E188" s="24"/>
      <c r="F188" s="20" t="s">
        <v>34031</v>
      </c>
      <c r="G188" s="24" t="str">
        <f ca="1">IFERROR(__xludf.DUMMYFUNCTION("GOOGLETRANSLATE(F188,""en"",""pt"")"),"plano de comunicação")</f>
        <v>plano de comunicação</v>
      </c>
      <c r="H188" s="24"/>
      <c r="I188" s="24"/>
    </row>
    <row r="189" spans="1:9" ht="14.5">
      <c r="A189" s="20" t="s">
        <v>34032</v>
      </c>
      <c r="B189" s="20">
        <v>40</v>
      </c>
      <c r="C189" s="20">
        <v>60</v>
      </c>
      <c r="D189" s="20">
        <v>19</v>
      </c>
      <c r="E189" s="24"/>
      <c r="F189" s="20" t="s">
        <v>34033</v>
      </c>
      <c r="G189" s="24" t="str">
        <f ca="1">IFERROR(__xludf.DUMMYFUNCTION("GOOGLETRANSLATE(F189,""en"",""pt"")"),"Construção revisão de risco")</f>
        <v>Construção revisão de risco</v>
      </c>
      <c r="H189" s="24"/>
      <c r="I189" s="24"/>
    </row>
    <row r="190" spans="1:9" ht="14.5">
      <c r="A190" s="20" t="s">
        <v>34034</v>
      </c>
      <c r="B190" s="20">
        <v>40</v>
      </c>
      <c r="C190" s="20">
        <v>60</v>
      </c>
      <c r="D190" s="20">
        <v>20</v>
      </c>
      <c r="E190" s="24"/>
      <c r="F190" s="20" t="s">
        <v>34035</v>
      </c>
      <c r="G190" s="24" t="str">
        <f ca="1">IFERROR(__xludf.DUMMYFUNCTION("GOOGLETRANSLATE(F190,""en"",""pt"")"),"Plano de contingência")</f>
        <v>Plano de contingência</v>
      </c>
      <c r="H190" s="24"/>
      <c r="I190" s="24"/>
    </row>
    <row r="191" spans="1:9" ht="14.5">
      <c r="A191" s="20" t="s">
        <v>34036</v>
      </c>
      <c r="B191" s="20">
        <v>40</v>
      </c>
      <c r="C191" s="20">
        <v>60</v>
      </c>
      <c r="D191" s="20">
        <v>21</v>
      </c>
      <c r="E191" s="24"/>
      <c r="F191" s="20" t="s">
        <v>34037</v>
      </c>
      <c r="G191" s="24" t="str">
        <f ca="1">IFERROR(__xludf.DUMMYFUNCTION("GOOGLETRANSLATE(F191,""en"",""pt"")"),"Curriculum Vitae (CV)")</f>
        <v>Curriculum Vitae (CV)</v>
      </c>
      <c r="H191" s="24"/>
      <c r="I191" s="24"/>
    </row>
    <row r="192" spans="1:9" ht="14.5">
      <c r="A192" s="20" t="s">
        <v>34038</v>
      </c>
      <c r="B192" s="20">
        <v>40</v>
      </c>
      <c r="C192" s="20">
        <v>60</v>
      </c>
      <c r="D192" s="20">
        <v>22</v>
      </c>
      <c r="E192" s="24"/>
      <c r="F192" s="20" t="s">
        <v>34039</v>
      </c>
      <c r="G192" s="24" t="str">
        <f ca="1">IFERROR(__xludf.DUMMYFUNCTION("GOOGLETRANSLATE(F192,""en"",""pt"")"),"política de segurança de dados")</f>
        <v>política de segurança de dados</v>
      </c>
      <c r="H192" s="20" t="s">
        <v>34040</v>
      </c>
      <c r="I192" s="24"/>
    </row>
    <row r="193" spans="1:9" ht="14.5">
      <c r="A193" s="20" t="s">
        <v>34041</v>
      </c>
      <c r="B193" s="20">
        <v>40</v>
      </c>
      <c r="C193" s="20">
        <v>60</v>
      </c>
      <c r="D193" s="20">
        <v>23</v>
      </c>
      <c r="E193" s="24"/>
      <c r="F193" s="20" t="s">
        <v>34042</v>
      </c>
      <c r="G193" s="24" t="str">
        <f ca="1">IFERROR(__xludf.DUMMYFUNCTION("GOOGLETRANSLATE(F193,""en"",""pt"")"),"Descrição terminologia")</f>
        <v>Descrição terminologia</v>
      </c>
      <c r="H193" s="20" t="s">
        <v>34043</v>
      </c>
      <c r="I193" s="24"/>
    </row>
    <row r="194" spans="1:9" ht="14.5">
      <c r="A194" s="20" t="s">
        <v>34044</v>
      </c>
      <c r="B194" s="20">
        <v>40</v>
      </c>
      <c r="C194" s="20">
        <v>60</v>
      </c>
      <c r="D194" s="20">
        <v>27</v>
      </c>
      <c r="E194" s="24"/>
      <c r="F194" s="20" t="s">
        <v>34045</v>
      </c>
      <c r="G194" s="24" t="str">
        <f ca="1">IFERROR(__xludf.DUMMYFUNCTION("GOOGLETRANSLATE(F194,""en"",""pt"")"),"intercâmbio eletrônico de dados (EDI)")</f>
        <v>intercâmbio eletrônico de dados (EDI)</v>
      </c>
      <c r="H194" s="20" t="s">
        <v>34046</v>
      </c>
      <c r="I194" s="24"/>
    </row>
    <row r="195" spans="1:9" ht="14.5">
      <c r="A195" s="20" t="s">
        <v>34047</v>
      </c>
      <c r="B195" s="20">
        <v>40</v>
      </c>
      <c r="C195" s="20">
        <v>60</v>
      </c>
      <c r="D195" s="20">
        <v>31</v>
      </c>
      <c r="E195" s="24"/>
      <c r="F195" s="20" t="s">
        <v>34048</v>
      </c>
      <c r="G195" s="24" t="str">
        <f ca="1">IFERROR(__xludf.DUMMYFUNCTION("GOOGLETRANSLATE(F195,""en"",""pt"")"),"modelos de coordenação federados")</f>
        <v>modelos de coordenação federados</v>
      </c>
      <c r="H195" s="24"/>
      <c r="I195" s="24"/>
    </row>
    <row r="196" spans="1:9" ht="14.5">
      <c r="A196" s="20" t="s">
        <v>34049</v>
      </c>
      <c r="B196" s="20">
        <v>40</v>
      </c>
      <c r="C196" s="20">
        <v>60</v>
      </c>
      <c r="D196" s="20">
        <v>41</v>
      </c>
      <c r="E196" s="24"/>
      <c r="F196" s="20" t="s">
        <v>34050</v>
      </c>
      <c r="G196" s="24" t="str">
        <f ca="1">IFERROR(__xludf.DUMMYFUNCTION("GOOGLETRANSLATE(F196,""en"",""pt"")"),"plano de entrega de informações")</f>
        <v>plano de entrega de informações</v>
      </c>
      <c r="H196" s="24"/>
      <c r="I196" s="24"/>
    </row>
    <row r="197" spans="1:9" ht="14.5">
      <c r="A197" s="20" t="s">
        <v>34051</v>
      </c>
      <c r="B197" s="20">
        <v>40</v>
      </c>
      <c r="C197" s="20">
        <v>60</v>
      </c>
      <c r="D197" s="20">
        <v>50</v>
      </c>
      <c r="E197" s="24"/>
      <c r="F197" s="20" t="s">
        <v>34052</v>
      </c>
      <c r="G197" s="24" t="str">
        <f ca="1">IFERROR(__xludf.DUMMYFUNCTION("GOOGLETRANSLATE(F197,""en"",""pt"")"),"Mestre plano de entrega de informações")</f>
        <v>Mestre plano de entrega de informações</v>
      </c>
      <c r="H197" s="20" t="s">
        <v>34053</v>
      </c>
      <c r="I197" s="24"/>
    </row>
    <row r="198" spans="1:9" ht="14.5">
      <c r="A198" s="20" t="s">
        <v>34054</v>
      </c>
      <c r="B198" s="20">
        <v>40</v>
      </c>
      <c r="C198" s="20">
        <v>60</v>
      </c>
      <c r="D198" s="20">
        <v>62</v>
      </c>
      <c r="E198" s="24"/>
      <c r="F198" s="20" t="s">
        <v>34055</v>
      </c>
      <c r="G198" s="24" t="str">
        <f ca="1">IFERROR(__xludf.DUMMYFUNCTION("GOOGLETRANSLATE(F198,""en"",""pt"")"),"avaliação pós-ocupação")</f>
        <v>avaliação pós-ocupação</v>
      </c>
      <c r="H198" s="24"/>
      <c r="I198" s="24"/>
    </row>
    <row r="199" spans="1:9" ht="14.5">
      <c r="A199" s="20" t="s">
        <v>34056</v>
      </c>
      <c r="B199" s="20">
        <v>40</v>
      </c>
      <c r="C199" s="20">
        <v>60</v>
      </c>
      <c r="D199" s="20">
        <v>64</v>
      </c>
      <c r="E199" s="24"/>
      <c r="F199" s="20" t="s">
        <v>34057</v>
      </c>
      <c r="G199" s="24" t="str">
        <f ca="1">IFERROR(__xludf.DUMMYFUNCTION("GOOGLETRANSLATE(F199,""en"",""pt"")"),"Pré-nomeação plano de execução BIM")</f>
        <v>Pré-nomeação plano de execução BIM</v>
      </c>
      <c r="H199" s="24"/>
      <c r="I199" s="24"/>
    </row>
    <row r="200" spans="1:9" ht="14.5">
      <c r="A200" s="20" t="s">
        <v>34058</v>
      </c>
      <c r="B200" s="20">
        <v>40</v>
      </c>
      <c r="C200" s="20">
        <v>60</v>
      </c>
      <c r="D200" s="20">
        <v>70</v>
      </c>
      <c r="E200" s="24"/>
      <c r="F200" s="20" t="s">
        <v>34059</v>
      </c>
      <c r="G200" s="24" t="str">
        <f ca="1">IFERROR(__xludf.DUMMYFUNCTION("GOOGLETRANSLATE(F200,""en"",""pt"")"),"cronograma de risco")</f>
        <v>cronograma de risco</v>
      </c>
      <c r="H200" s="24"/>
      <c r="I200" s="24"/>
    </row>
    <row r="201" spans="1:9" ht="14.5">
      <c r="A201" s="20" t="s">
        <v>34060</v>
      </c>
      <c r="B201" s="20">
        <v>40</v>
      </c>
      <c r="C201" s="20">
        <v>60</v>
      </c>
      <c r="D201" s="20">
        <v>72</v>
      </c>
      <c r="E201" s="24"/>
      <c r="F201" s="20" t="s">
        <v>34061</v>
      </c>
      <c r="G201" s="24" t="str">
        <f ca="1">IFERROR(__xludf.DUMMYFUNCTION("GOOGLETRANSLATE(F201,""en"",""pt"")"),"plano de gestão de riscos e oportunidades")</f>
        <v>plano de gestão de riscos e oportunidades</v>
      </c>
      <c r="H201" s="24"/>
      <c r="I201" s="24"/>
    </row>
    <row r="202" spans="1:9" ht="14.5">
      <c r="A202" s="20" t="s">
        <v>34062</v>
      </c>
      <c r="B202" s="20">
        <v>40</v>
      </c>
      <c r="C202" s="20">
        <v>60</v>
      </c>
      <c r="D202" s="20">
        <v>85</v>
      </c>
      <c r="E202" s="24"/>
      <c r="F202" s="20" t="s">
        <v>34063</v>
      </c>
      <c r="G202" s="24" t="str">
        <f ca="1">IFERROR(__xludf.DUMMYFUNCTION("GOOGLETRANSLATE(F202,""en"",""pt"")"),"plano de gerenciamento das partes interessadas")</f>
        <v>plano de gerenciamento das partes interessadas</v>
      </c>
      <c r="H202" s="24"/>
      <c r="I202" s="24"/>
    </row>
    <row r="203" spans="1:9" ht="14.5">
      <c r="A203" s="20" t="s">
        <v>34064</v>
      </c>
      <c r="B203" s="20">
        <v>40</v>
      </c>
      <c r="C203" s="20">
        <v>60</v>
      </c>
      <c r="D203" s="20">
        <v>87</v>
      </c>
      <c r="E203" s="24"/>
      <c r="F203" s="20" t="s">
        <v>34065</v>
      </c>
      <c r="G203" s="24" t="str">
        <f ca="1">IFERROR(__xludf.DUMMYFUNCTION("GOOGLETRANSLATE(F203,""en"",""pt"")"),"plano tarefa de entrega de informações")</f>
        <v>plano tarefa de entrega de informações</v>
      </c>
      <c r="H203" s="24"/>
      <c r="I203" s="24"/>
    </row>
    <row r="204" spans="1:9" ht="14.5">
      <c r="A204" s="20" t="s">
        <v>34066</v>
      </c>
      <c r="B204" s="20">
        <v>40</v>
      </c>
      <c r="C204" s="20">
        <v>60</v>
      </c>
      <c r="D204" s="20">
        <v>89</v>
      </c>
      <c r="E204" s="24"/>
      <c r="F204" s="20" t="s">
        <v>34067</v>
      </c>
      <c r="G204" s="24" t="str">
        <f ca="1">IFERROR(__xludf.DUMMYFUNCTION("GOOGLETRANSLATE(F204,""en"",""pt"")"),"plano de gestão de vida através de (TLMP)")</f>
        <v>plano de gestão de vida através de (TLMP)</v>
      </c>
      <c r="H204" s="24"/>
      <c r="I204" s="24"/>
    </row>
    <row r="205" spans="1:9" ht="14.5">
      <c r="A205" s="20" t="s">
        <v>34068</v>
      </c>
      <c r="B205" s="20">
        <v>50</v>
      </c>
      <c r="C205" s="24"/>
      <c r="D205" s="24"/>
      <c r="E205" s="24"/>
      <c r="F205" s="20" t="s">
        <v>34069</v>
      </c>
      <c r="G205" s="24" t="str">
        <f ca="1">IFERROR(__xludf.DUMMYFUNCTION("GOOGLETRANSLATE(F205,""en"",""pt"")"),"As informações financeiras e comerciais")</f>
        <v>As informações financeiras e comerciais</v>
      </c>
      <c r="H205" s="24"/>
      <c r="I205" s="24"/>
    </row>
    <row r="206" spans="1:9" ht="14.5">
      <c r="A206" s="20" t="s">
        <v>34070</v>
      </c>
      <c r="B206" s="20">
        <v>50</v>
      </c>
      <c r="C206" s="20">
        <v>30</v>
      </c>
      <c r="D206" s="24"/>
      <c r="E206" s="24"/>
      <c r="F206" s="20" t="s">
        <v>34071</v>
      </c>
      <c r="G206" s="24" t="str">
        <f ca="1">IFERROR(__xludf.DUMMYFUNCTION("GOOGLETRANSLATE(F206,""en"",""pt"")"),"informações de viabilidade económica")</f>
        <v>informações de viabilidade económica</v>
      </c>
      <c r="H206" s="24"/>
      <c r="I206" s="24"/>
    </row>
    <row r="207" spans="1:9" ht="14.5">
      <c r="A207" s="20" t="s">
        <v>34072</v>
      </c>
      <c r="B207" s="20">
        <v>50</v>
      </c>
      <c r="C207" s="20">
        <v>30</v>
      </c>
      <c r="D207" s="20">
        <v>10</v>
      </c>
      <c r="E207" s="24"/>
      <c r="F207" s="20" t="s">
        <v>34073</v>
      </c>
      <c r="G207" s="24" t="str">
        <f ca="1">IFERROR(__xludf.DUMMYFUNCTION("GOOGLETRANSLATE(F207,""en"",""pt"")"),"caso de negócio")</f>
        <v>caso de negócio</v>
      </c>
      <c r="H207" s="24"/>
      <c r="I207" s="24"/>
    </row>
    <row r="208" spans="1:9" ht="14.5">
      <c r="A208" s="20" t="s">
        <v>34074</v>
      </c>
      <c r="B208" s="20">
        <v>50</v>
      </c>
      <c r="C208" s="20">
        <v>30</v>
      </c>
      <c r="D208" s="20">
        <v>12</v>
      </c>
      <c r="E208" s="24"/>
      <c r="F208" s="20" t="s">
        <v>34075</v>
      </c>
      <c r="G208" s="24" t="str">
        <f ca="1">IFERROR(__xludf.DUMMYFUNCTION("GOOGLETRANSLATE(F208,""en"",""pt"")"),"relatório de conformidade comercial")</f>
        <v>relatório de conformidade comercial</v>
      </c>
      <c r="H208" s="24"/>
      <c r="I208" s="24"/>
    </row>
    <row r="209" spans="1:9" ht="14.5">
      <c r="A209" s="20" t="s">
        <v>34076</v>
      </c>
      <c r="B209" s="20">
        <v>50</v>
      </c>
      <c r="C209" s="20">
        <v>30</v>
      </c>
      <c r="D209" s="20">
        <v>14</v>
      </c>
      <c r="E209" s="24"/>
      <c r="F209" s="20" t="s">
        <v>34077</v>
      </c>
      <c r="G209" s="24" t="str">
        <f ca="1">IFERROR(__xludf.DUMMYFUNCTION("GOOGLETRANSLATE(F209,""en"",""pt"")"),"plano comercial")</f>
        <v>plano comercial</v>
      </c>
      <c r="H209" s="24"/>
      <c r="I209" s="24"/>
    </row>
    <row r="210" spans="1:9" ht="14.5">
      <c r="A210" s="20" t="s">
        <v>34078</v>
      </c>
      <c r="B210" s="20">
        <v>50</v>
      </c>
      <c r="C210" s="20">
        <v>30</v>
      </c>
      <c r="D210" s="20">
        <v>16</v>
      </c>
      <c r="E210" s="24"/>
      <c r="F210" s="20" t="s">
        <v>34079</v>
      </c>
      <c r="G210" s="24" t="str">
        <f ca="1">IFERROR(__xludf.DUMMYFUNCTION("GOOGLETRANSLATE(F210,""en"",""pt"")"),"estratégia comercial")</f>
        <v>estratégia comercial</v>
      </c>
      <c r="H210" s="24"/>
      <c r="I210" s="24"/>
    </row>
    <row r="211" spans="1:9" ht="14.5">
      <c r="A211" s="20" t="s">
        <v>34080</v>
      </c>
      <c r="B211" s="20">
        <v>50</v>
      </c>
      <c r="C211" s="20">
        <v>30</v>
      </c>
      <c r="D211" s="20">
        <v>18</v>
      </c>
      <c r="E211" s="24"/>
      <c r="F211" s="20" t="s">
        <v>34081</v>
      </c>
      <c r="G211" s="24" t="str">
        <f ca="1">IFERROR(__xludf.DUMMYFUNCTION("GOOGLETRANSLATE(F211,""en"",""pt"")"),"modelo de custos e custeio indicativa")</f>
        <v>modelo de custos e custeio indicativa</v>
      </c>
      <c r="H211" s="24"/>
      <c r="I211" s="24"/>
    </row>
    <row r="212" spans="1:9" ht="14.5">
      <c r="A212" s="20" t="s">
        <v>34082</v>
      </c>
      <c r="B212" s="20">
        <v>50</v>
      </c>
      <c r="C212" s="20">
        <v>30</v>
      </c>
      <c r="D212" s="20">
        <v>26</v>
      </c>
      <c r="E212" s="24"/>
      <c r="F212" s="20" t="s">
        <v>34083</v>
      </c>
      <c r="G212" s="24" t="str">
        <f ca="1">IFERROR(__xludf.DUMMYFUNCTION("GOOGLETRANSLATE(F212,""en"",""pt"")"),"relatório de gestão de valor agregado")</f>
        <v>relatório de gestão de valor agregado</v>
      </c>
      <c r="H212" s="24"/>
      <c r="I212" s="24"/>
    </row>
    <row r="213" spans="1:9" ht="14.5">
      <c r="A213" s="20" t="s">
        <v>34084</v>
      </c>
      <c r="B213" s="20">
        <v>50</v>
      </c>
      <c r="C213" s="20">
        <v>30</v>
      </c>
      <c r="D213" s="20">
        <v>28</v>
      </c>
      <c r="E213" s="24"/>
      <c r="F213" s="20" t="s">
        <v>34085</v>
      </c>
      <c r="G213" s="24" t="str">
        <f ca="1">IFERROR(__xludf.DUMMYFUNCTION("GOOGLETRANSLATE(F213,""en"",""pt"")"),"avaliação de danos financeira")</f>
        <v>avaliação de danos financeira</v>
      </c>
      <c r="H213" s="24"/>
      <c r="I213" s="24"/>
    </row>
    <row r="214" spans="1:9" ht="14.5">
      <c r="A214" s="20" t="s">
        <v>34086</v>
      </c>
      <c r="B214" s="20">
        <v>50</v>
      </c>
      <c r="C214" s="20">
        <v>30</v>
      </c>
      <c r="D214" s="20">
        <v>29</v>
      </c>
      <c r="E214" s="24"/>
      <c r="F214" s="20" t="s">
        <v>34087</v>
      </c>
      <c r="G214" s="24" t="str">
        <f ca="1">IFERROR(__xludf.DUMMYFUNCTION("GOOGLETRANSLATE(F214,""en"",""pt"")"),"estratégia financeira")</f>
        <v>estratégia financeira</v>
      </c>
      <c r="H214" s="24"/>
      <c r="I214" s="24"/>
    </row>
    <row r="215" spans="1:9" ht="14.5">
      <c r="A215" s="20" t="s">
        <v>34088</v>
      </c>
      <c r="B215" s="20">
        <v>50</v>
      </c>
      <c r="C215" s="20">
        <v>30</v>
      </c>
      <c r="D215" s="20">
        <v>30</v>
      </c>
      <c r="E215" s="24"/>
      <c r="F215" s="20" t="s">
        <v>34089</v>
      </c>
      <c r="G215" s="24" t="str">
        <f ca="1">IFERROR(__xludf.DUMMYFUNCTION("GOOGLETRANSLATE(F215,""en"",""pt"")"),"informações sobre financiamento")</f>
        <v>informações sobre financiamento</v>
      </c>
      <c r="H215" s="24"/>
      <c r="I215" s="24"/>
    </row>
    <row r="216" spans="1:9" ht="14.5">
      <c r="A216" s="20" t="s">
        <v>34090</v>
      </c>
      <c r="B216" s="20">
        <v>50</v>
      </c>
      <c r="C216" s="20">
        <v>30</v>
      </c>
      <c r="D216" s="20">
        <v>40</v>
      </c>
      <c r="E216" s="24"/>
      <c r="F216" s="20" t="s">
        <v>34091</v>
      </c>
      <c r="G216" s="24" t="str">
        <f ca="1">IFERROR(__xludf.DUMMYFUNCTION("GOOGLETRANSLATE(F216,""en"",""pt"")"),"estimativa inicial de planejamento")</f>
        <v>estimativa inicial de planejamento</v>
      </c>
      <c r="H216" s="24"/>
      <c r="I216" s="24"/>
    </row>
    <row r="217" spans="1:9" ht="14.5">
      <c r="A217" s="20" t="s">
        <v>34092</v>
      </c>
      <c r="B217" s="20">
        <v>50</v>
      </c>
      <c r="C217" s="20">
        <v>30</v>
      </c>
      <c r="D217" s="20">
        <v>42</v>
      </c>
      <c r="E217" s="24"/>
      <c r="F217" s="20" t="s">
        <v>34093</v>
      </c>
      <c r="G217" s="24" t="str">
        <f ca="1">IFERROR(__xludf.DUMMYFUNCTION("GOOGLETRANSLATE(F217,""en"",""pt"")"),"A avaliação de investimento")</f>
        <v>A avaliação de investimento</v>
      </c>
      <c r="H217" s="24"/>
      <c r="I217" s="24"/>
    </row>
    <row r="218" spans="1:9" ht="14.5">
      <c r="A218" s="20" t="s">
        <v>34094</v>
      </c>
      <c r="B218" s="20">
        <v>50</v>
      </c>
      <c r="C218" s="20">
        <v>30</v>
      </c>
      <c r="D218" s="20">
        <v>60</v>
      </c>
      <c r="E218" s="24"/>
      <c r="F218" s="20" t="s">
        <v>34095</v>
      </c>
      <c r="G218" s="24" t="str">
        <f ca="1">IFERROR(__xludf.DUMMYFUNCTION("GOOGLETRANSLATE(F218,""en"",""pt"")"),"relatório financiamento parceria")</f>
        <v>relatório financiamento parceria</v>
      </c>
      <c r="H218" s="24"/>
      <c r="I218" s="24"/>
    </row>
    <row r="219" spans="1:9" ht="14.5">
      <c r="A219" s="20" t="s">
        <v>34096</v>
      </c>
      <c r="B219" s="20">
        <v>50</v>
      </c>
      <c r="C219" s="20">
        <v>30</v>
      </c>
      <c r="D219" s="20">
        <v>64</v>
      </c>
      <c r="E219" s="24"/>
      <c r="F219" s="20" t="s">
        <v>34097</v>
      </c>
      <c r="G219" s="24" t="str">
        <f ca="1">IFERROR(__xludf.DUMMYFUNCTION("GOOGLETRANSLATE(F219,""en"",""pt"")"),"caso de negócio preliminar")</f>
        <v>caso de negócio preliminar</v>
      </c>
      <c r="H219" s="24"/>
      <c r="I219" s="24"/>
    </row>
    <row r="220" spans="1:9" ht="14.5">
      <c r="A220" s="20" t="s">
        <v>34098</v>
      </c>
      <c r="B220" s="20">
        <v>50</v>
      </c>
      <c r="C220" s="20">
        <v>30</v>
      </c>
      <c r="D220" s="20">
        <v>66</v>
      </c>
      <c r="E220" s="24"/>
      <c r="F220" s="20" t="s">
        <v>34099</v>
      </c>
      <c r="G220" s="24" t="str">
        <f ca="1">IFERROR(__xludf.DUMMYFUNCTION("GOOGLETRANSLATE(F220,""en"",""pt"")"),"Pré-concurso estimativa")</f>
        <v>Pré-concurso estimativa</v>
      </c>
      <c r="H220" s="24"/>
      <c r="I220" s="24"/>
    </row>
    <row r="221" spans="1:9" ht="14.5">
      <c r="A221" s="20" t="s">
        <v>34100</v>
      </c>
      <c r="B221" s="20">
        <v>50</v>
      </c>
      <c r="C221" s="20">
        <v>30</v>
      </c>
      <c r="D221" s="20">
        <v>68</v>
      </c>
      <c r="E221" s="24"/>
      <c r="F221" s="20" t="s">
        <v>34101</v>
      </c>
      <c r="G221" s="24" t="str">
        <f ca="1">IFERROR(__xludf.DUMMYFUNCTION("GOOGLETRANSLATE(F221,""en"",""pt"")"),"participação do setor privado (PSP) relatório de avaliação")</f>
        <v>participação do setor privado (PSP) relatório de avaliação</v>
      </c>
      <c r="H221" s="24"/>
      <c r="I221" s="24"/>
    </row>
    <row r="222" spans="1:9" ht="14.5">
      <c r="A222" s="20" t="s">
        <v>34102</v>
      </c>
      <c r="B222" s="20">
        <v>50</v>
      </c>
      <c r="C222" s="20">
        <v>30</v>
      </c>
      <c r="D222" s="20">
        <v>70</v>
      </c>
      <c r="E222" s="24"/>
      <c r="F222" s="20" t="s">
        <v>34103</v>
      </c>
      <c r="G222" s="24" t="str">
        <f ca="1">IFERROR(__xludf.DUMMYFUNCTION("GOOGLETRANSLATE(F222,""en"",""pt"")"),"participação do setor privado (PSP) de fechamento financeiro")</f>
        <v>participação do setor privado (PSP) de fechamento financeiro</v>
      </c>
      <c r="H222" s="24"/>
      <c r="I222" s="24"/>
    </row>
    <row r="223" spans="1:9" ht="14.5">
      <c r="A223" s="20" t="s">
        <v>34104</v>
      </c>
      <c r="B223" s="20">
        <v>50</v>
      </c>
      <c r="C223" s="20">
        <v>30</v>
      </c>
      <c r="D223" s="20">
        <v>85</v>
      </c>
      <c r="E223" s="24"/>
      <c r="F223" s="20" t="s">
        <v>34105</v>
      </c>
      <c r="G223" s="24" t="str">
        <f ca="1">IFERROR(__xludf.DUMMYFUNCTION("GOOGLETRANSLATE(F223,""en"",""pt"")"),"acordo cadeia de suprimentos")</f>
        <v>acordo cadeia de suprimentos</v>
      </c>
      <c r="H223" s="20" t="s">
        <v>34106</v>
      </c>
      <c r="I223" s="24"/>
    </row>
    <row r="224" spans="1:9" ht="14.5">
      <c r="A224" s="20" t="s">
        <v>34107</v>
      </c>
      <c r="B224" s="20">
        <v>50</v>
      </c>
      <c r="C224" s="20">
        <v>30</v>
      </c>
      <c r="D224" s="20">
        <v>96</v>
      </c>
      <c r="E224" s="24"/>
      <c r="F224" s="20" t="s">
        <v>34108</v>
      </c>
      <c r="G224" s="24" t="str">
        <f ca="1">IFERROR(__xludf.DUMMYFUNCTION("GOOGLETRANSLATE(F224,""en"",""pt"")"),"custeio de toda a vida")</f>
        <v>custeio de toda a vida</v>
      </c>
      <c r="H224" s="24"/>
      <c r="I224" s="24"/>
    </row>
    <row r="225" spans="1:9" ht="14.5">
      <c r="A225" s="20" t="s">
        <v>34109</v>
      </c>
      <c r="B225" s="20">
        <v>50</v>
      </c>
      <c r="C225" s="20">
        <v>50</v>
      </c>
      <c r="D225" s="24"/>
      <c r="E225" s="24"/>
      <c r="F225" s="20" t="s">
        <v>34110</v>
      </c>
      <c r="G225" s="24" t="str">
        <f ca="1">IFERROR(__xludf.DUMMYFUNCTION("GOOGLETRANSLATE(F225,""en"",""pt"")"),"informações sobre contratos e concursos")</f>
        <v>informações sobre contratos e concursos</v>
      </c>
      <c r="H225" s="24"/>
      <c r="I225" s="24"/>
    </row>
    <row r="226" spans="1:9" ht="14.5">
      <c r="A226" s="20" t="s">
        <v>34111</v>
      </c>
      <c r="B226" s="20">
        <v>50</v>
      </c>
      <c r="C226" s="20">
        <v>50</v>
      </c>
      <c r="D226" s="20">
        <v>1</v>
      </c>
      <c r="E226" s="24"/>
      <c r="F226" s="20" t="s">
        <v>34112</v>
      </c>
      <c r="G226" s="24" t="str">
        <f ca="1">IFERROR(__xludf.DUMMYFUNCTION("GOOGLETRANSLATE(F226,""en"",""pt"")"),"estratégia de aquisições")</f>
        <v>estratégia de aquisições</v>
      </c>
      <c r="H226" s="24"/>
      <c r="I226" s="24"/>
    </row>
    <row r="227" spans="1:9" ht="14.5">
      <c r="A227" s="20" t="s">
        <v>34113</v>
      </c>
      <c r="B227" s="20">
        <v>50</v>
      </c>
      <c r="C227" s="20">
        <v>50</v>
      </c>
      <c r="D227" s="20">
        <v>3</v>
      </c>
      <c r="E227" s="24"/>
      <c r="F227" s="20" t="s">
        <v>34114</v>
      </c>
      <c r="G227" s="24" t="str">
        <f ca="1">IFERROR(__xludf.DUMMYFUNCTION("GOOGLETRANSLATE(F227,""en"",""pt"")"),"Anúncio de informação prévia")</f>
        <v>Anúncio de informação prévia</v>
      </c>
      <c r="H227" s="24"/>
      <c r="I227" s="24"/>
    </row>
    <row r="228" spans="1:9" ht="14.5">
      <c r="A228" s="20" t="s">
        <v>34115</v>
      </c>
      <c r="B228" s="20">
        <v>50</v>
      </c>
      <c r="C228" s="20">
        <v>50</v>
      </c>
      <c r="D228" s="20">
        <v>5</v>
      </c>
      <c r="E228" s="24"/>
      <c r="F228" s="20" t="s">
        <v>34116</v>
      </c>
      <c r="G228" s="24" t="str">
        <f ca="1">IFERROR(__xludf.DUMMYFUNCTION("GOOGLETRANSLATE(F228,""en"",""pt"")"),"Antecedência informações sobre contratos")</f>
        <v>Antecedência informações sobre contratos</v>
      </c>
      <c r="H228" s="20" t="s">
        <v>34117</v>
      </c>
      <c r="I228" s="24"/>
    </row>
    <row r="229" spans="1:9" ht="14.5">
      <c r="A229" s="20" t="s">
        <v>34118</v>
      </c>
      <c r="B229" s="20">
        <v>50</v>
      </c>
      <c r="C229" s="20">
        <v>50</v>
      </c>
      <c r="D229" s="20">
        <v>10</v>
      </c>
      <c r="E229" s="24"/>
      <c r="F229" s="20" t="s">
        <v>34119</v>
      </c>
      <c r="G229" s="24" t="str">
        <f ca="1">IFERROR(__xludf.DUMMYFUNCTION("GOOGLETRANSLATE(F229,""en"",""pt"")"),"Tender inquérito")</f>
        <v>Tender inquérito</v>
      </c>
      <c r="H229" s="20" t="s">
        <v>34120</v>
      </c>
      <c r="I229" s="24"/>
    </row>
    <row r="230" spans="1:9" ht="14.5">
      <c r="A230" s="20" t="s">
        <v>34121</v>
      </c>
      <c r="B230" s="20">
        <v>50</v>
      </c>
      <c r="C230" s="20">
        <v>50</v>
      </c>
      <c r="D230" s="20">
        <v>15</v>
      </c>
      <c r="E230" s="24"/>
      <c r="F230" s="20" t="s">
        <v>34122</v>
      </c>
      <c r="G230" s="24" t="str">
        <f ca="1">IFERROR(__xludf.DUMMYFUNCTION("GOOGLETRANSLATE(F230,""en"",""pt"")"),"convite Tender")</f>
        <v>convite Tender</v>
      </c>
      <c r="H230" s="20" t="s">
        <v>34123</v>
      </c>
      <c r="I230" s="24"/>
    </row>
    <row r="231" spans="1:9" ht="14.5">
      <c r="A231" s="20" t="s">
        <v>34124</v>
      </c>
      <c r="B231" s="20">
        <v>50</v>
      </c>
      <c r="C231" s="20">
        <v>50</v>
      </c>
      <c r="D231" s="20">
        <v>20</v>
      </c>
      <c r="E231" s="24"/>
      <c r="F231" s="20" t="s">
        <v>34125</v>
      </c>
      <c r="G231" s="24" t="str">
        <f ca="1">IFERROR(__xludf.DUMMYFUNCTION("GOOGLETRANSLATE(F231,""en"",""pt"")"),"informações envolvimento precoce contratante")</f>
        <v>informações envolvimento precoce contratante</v>
      </c>
      <c r="H231" s="24"/>
      <c r="I231" s="24"/>
    </row>
    <row r="232" spans="1:9" ht="14.5">
      <c r="A232" s="20" t="s">
        <v>34126</v>
      </c>
      <c r="B232" s="20">
        <v>50</v>
      </c>
      <c r="C232" s="20">
        <v>50</v>
      </c>
      <c r="D232" s="20">
        <v>25</v>
      </c>
      <c r="E232" s="24"/>
      <c r="F232" s="20" t="s">
        <v>34127</v>
      </c>
      <c r="G232" s="24" t="str">
        <f ca="1">IFERROR(__xludf.DUMMYFUNCTION("GOOGLETRANSLATE(F232,""en"",""pt"")"),"Quadro informações do contrato")</f>
        <v>Quadro informações do contrato</v>
      </c>
      <c r="H232" s="20" t="s">
        <v>34128</v>
      </c>
      <c r="I232" s="24"/>
    </row>
    <row r="233" spans="1:9" ht="14.5">
      <c r="A233" s="20" t="s">
        <v>34129</v>
      </c>
      <c r="B233" s="20">
        <v>50</v>
      </c>
      <c r="C233" s="20">
        <v>50</v>
      </c>
      <c r="D233" s="20">
        <v>30</v>
      </c>
      <c r="E233" s="24"/>
      <c r="F233" s="20" t="s">
        <v>34130</v>
      </c>
      <c r="G233" s="24" t="str">
        <f ca="1">IFERROR(__xludf.DUMMYFUNCTION("GOOGLETRANSLATE(F233,""en"",""pt"")"),"critérios de aceitação do concurso")</f>
        <v>critérios de aceitação do concurso</v>
      </c>
      <c r="H233" s="20" t="s">
        <v>34131</v>
      </c>
      <c r="I233" s="24"/>
    </row>
    <row r="234" spans="1:9" ht="14.5">
      <c r="A234" s="20" t="s">
        <v>34132</v>
      </c>
      <c r="B234" s="20">
        <v>50</v>
      </c>
      <c r="C234" s="20">
        <v>50</v>
      </c>
      <c r="D234" s="20">
        <v>35</v>
      </c>
      <c r="E234" s="24"/>
      <c r="F234" s="20" t="s">
        <v>34133</v>
      </c>
      <c r="G234" s="24" t="str">
        <f ca="1">IFERROR(__xludf.DUMMYFUNCTION("GOOGLETRANSLATE(F234,""en"",""pt"")"),"Documento de proposta")</f>
        <v>Documento de proposta</v>
      </c>
      <c r="H234" s="20" t="s">
        <v>34134</v>
      </c>
      <c r="I234" s="24"/>
    </row>
    <row r="235" spans="1:9" ht="14.5">
      <c r="A235" s="20" t="s">
        <v>34135</v>
      </c>
      <c r="B235" s="20">
        <v>50</v>
      </c>
      <c r="C235" s="20">
        <v>50</v>
      </c>
      <c r="D235" s="20">
        <v>40</v>
      </c>
      <c r="E235" s="24"/>
      <c r="F235" s="20" t="s">
        <v>34136</v>
      </c>
      <c r="G235" s="24" t="str">
        <f ca="1">IFERROR(__xludf.DUMMYFUNCTION("GOOGLETRANSLATE(F235,""en"",""pt"")"),"participação do setor privado (PSP) concurso")</f>
        <v>participação do setor privado (PSP) concurso</v>
      </c>
      <c r="H235" s="24"/>
      <c r="I235" s="24"/>
    </row>
    <row r="236" spans="1:9" ht="14.5">
      <c r="A236" s="20" t="s">
        <v>34137</v>
      </c>
      <c r="B236" s="20">
        <v>50</v>
      </c>
      <c r="C236" s="20">
        <v>50</v>
      </c>
      <c r="D236" s="20">
        <v>45</v>
      </c>
      <c r="E236" s="24"/>
      <c r="F236" s="20" t="s">
        <v>34138</v>
      </c>
      <c r="G236" s="24" t="str">
        <f ca="1">IFERROR(__xludf.DUMMYFUNCTION("GOOGLETRANSLATE(F236,""en"",""pt"")"),"relatório esclarecimentos Tender")</f>
        <v>relatório esclarecimentos Tender</v>
      </c>
      <c r="H236" s="20" t="s">
        <v>34139</v>
      </c>
      <c r="I236" s="24"/>
    </row>
    <row r="237" spans="1:9" ht="14.5">
      <c r="A237" s="20" t="s">
        <v>34140</v>
      </c>
      <c r="B237" s="20">
        <v>50</v>
      </c>
      <c r="C237" s="20">
        <v>50</v>
      </c>
      <c r="D237" s="20">
        <v>50</v>
      </c>
      <c r="E237" s="24"/>
      <c r="F237" s="20" t="s">
        <v>34141</v>
      </c>
      <c r="G237" s="24" t="str">
        <f ca="1">IFERROR(__xludf.DUMMYFUNCTION("GOOGLETRANSLATE(F237,""en"",""pt"")"),"instruções Tender")</f>
        <v>instruções Tender</v>
      </c>
      <c r="H237" s="20" t="s">
        <v>34142</v>
      </c>
      <c r="I237" s="24"/>
    </row>
    <row r="238" spans="1:9" ht="14.5">
      <c r="A238" s="20" t="s">
        <v>34143</v>
      </c>
      <c r="B238" s="20">
        <v>50</v>
      </c>
      <c r="C238" s="20">
        <v>50</v>
      </c>
      <c r="D238" s="20">
        <v>55</v>
      </c>
      <c r="E238" s="24"/>
      <c r="F238" s="20" t="s">
        <v>34144</v>
      </c>
      <c r="G238" s="24" t="str">
        <f ca="1">IFERROR(__xludf.DUMMYFUNCTION("GOOGLETRANSLATE(F238,""en"",""pt"")"),"estratégia visita ao local Tender")</f>
        <v>estratégia visita ao local Tender</v>
      </c>
      <c r="H238" s="20" t="s">
        <v>34145</v>
      </c>
      <c r="I238" s="24"/>
    </row>
    <row r="239" spans="1:9" ht="14.5">
      <c r="A239" s="20" t="s">
        <v>34146</v>
      </c>
      <c r="B239" s="20">
        <v>50</v>
      </c>
      <c r="C239" s="20">
        <v>50</v>
      </c>
      <c r="D239" s="20">
        <v>60</v>
      </c>
      <c r="E239" s="24"/>
      <c r="F239" s="20" t="s">
        <v>34147</v>
      </c>
      <c r="G239" s="24" t="str">
        <f ca="1">IFERROR(__xludf.DUMMYFUNCTION("GOOGLETRANSLATE(F239,""en"",""pt"")"),"retorno Tender")</f>
        <v>retorno Tender</v>
      </c>
      <c r="H239" s="20" t="s">
        <v>34148</v>
      </c>
      <c r="I239" s="24"/>
    </row>
    <row r="240" spans="1:9" ht="14.5">
      <c r="A240" s="20" t="s">
        <v>34149</v>
      </c>
      <c r="B240" s="20">
        <v>50</v>
      </c>
      <c r="C240" s="20">
        <v>50</v>
      </c>
      <c r="D240" s="20">
        <v>65</v>
      </c>
      <c r="E240" s="24"/>
      <c r="F240" s="20" t="s">
        <v>34150</v>
      </c>
      <c r="G240" s="24" t="str">
        <f ca="1">IFERROR(__xludf.DUMMYFUNCTION("GOOGLETRANSLATE(F240,""en"",""pt"")"),"relatório de avaliação Tender")</f>
        <v>relatório de avaliação Tender</v>
      </c>
      <c r="H240" s="20" t="s">
        <v>34151</v>
      </c>
      <c r="I240" s="24"/>
    </row>
    <row r="241" spans="1:9" ht="14.5">
      <c r="A241" s="20" t="s">
        <v>34152</v>
      </c>
      <c r="B241" s="20">
        <v>50</v>
      </c>
      <c r="C241" s="20">
        <v>50</v>
      </c>
      <c r="D241" s="20">
        <v>70</v>
      </c>
      <c r="E241" s="24"/>
      <c r="F241" s="20" t="s">
        <v>34153</v>
      </c>
      <c r="G241" s="24" t="str">
        <f ca="1">IFERROR(__xludf.DUMMYFUNCTION("GOOGLETRANSLATE(F241,""en"",""pt"")"),"relatório de avaliação das propostas")</f>
        <v>relatório de avaliação das propostas</v>
      </c>
      <c r="H241" s="24"/>
      <c r="I241" s="24"/>
    </row>
    <row r="242" spans="1:9" ht="14.5">
      <c r="A242" s="20" t="s">
        <v>34154</v>
      </c>
      <c r="B242" s="20">
        <v>50</v>
      </c>
      <c r="C242" s="20">
        <v>50</v>
      </c>
      <c r="D242" s="20">
        <v>75</v>
      </c>
      <c r="E242" s="24"/>
      <c r="F242" s="20" t="s">
        <v>34155</v>
      </c>
      <c r="G242" s="24" t="str">
        <f ca="1">IFERROR(__xludf.DUMMYFUNCTION("GOOGLETRANSLATE(F242,""en"",""pt"")"),"estratégia de resolução de erro Tender")</f>
        <v>estratégia de resolução de erro Tender</v>
      </c>
      <c r="H242" s="20" t="s">
        <v>34156</v>
      </c>
      <c r="I242" s="24"/>
    </row>
    <row r="243" spans="1:9" ht="14.5">
      <c r="A243" s="20" t="s">
        <v>34157</v>
      </c>
      <c r="B243" s="20">
        <v>50</v>
      </c>
      <c r="C243" s="20">
        <v>50</v>
      </c>
      <c r="D243" s="20">
        <v>80</v>
      </c>
      <c r="E243" s="24"/>
      <c r="F243" s="20" t="s">
        <v>34158</v>
      </c>
      <c r="G243" s="24" t="str">
        <f ca="1">IFERROR(__xludf.DUMMYFUNCTION("GOOGLETRANSLATE(F243,""en"",""pt"")"),"relatório de aceitação Tender")</f>
        <v>relatório de aceitação Tender</v>
      </c>
      <c r="H243" s="24"/>
      <c r="I243" s="24"/>
    </row>
    <row r="244" spans="1:9" ht="14.5">
      <c r="A244" s="20" t="s">
        <v>34159</v>
      </c>
      <c r="B244" s="20">
        <v>50</v>
      </c>
      <c r="C244" s="20">
        <v>50</v>
      </c>
      <c r="D244" s="20">
        <v>85</v>
      </c>
      <c r="E244" s="24"/>
      <c r="F244" s="20" t="s">
        <v>34160</v>
      </c>
      <c r="G244" s="24" t="str">
        <f ca="1">IFERROR(__xludf.DUMMYFUNCTION("GOOGLETRANSLATE(F244,""en"",""pt"")"),"Pós-concurso de negociação")</f>
        <v>Pós-concurso de negociação</v>
      </c>
      <c r="H244" s="20" t="s">
        <v>34161</v>
      </c>
      <c r="I244" s="24"/>
    </row>
    <row r="245" spans="1:9" ht="14.5">
      <c r="A245" s="20" t="s">
        <v>34162</v>
      </c>
      <c r="B245" s="20">
        <v>50</v>
      </c>
      <c r="C245" s="20">
        <v>50</v>
      </c>
      <c r="D245" s="20">
        <v>90</v>
      </c>
      <c r="E245" s="24"/>
      <c r="F245" s="20" t="s">
        <v>34163</v>
      </c>
      <c r="G245" s="24" t="str">
        <f ca="1">IFERROR(__xludf.DUMMYFUNCTION("GOOGLETRANSLATE(F245,""en"",""pt"")"),"notificação Tender")</f>
        <v>notificação Tender</v>
      </c>
      <c r="H245" s="20" t="s">
        <v>34164</v>
      </c>
      <c r="I245" s="24"/>
    </row>
    <row r="246" spans="1:9" ht="14.5">
      <c r="A246" s="20" t="s">
        <v>34165</v>
      </c>
      <c r="B246" s="20">
        <v>55</v>
      </c>
      <c r="C246" s="24"/>
      <c r="D246" s="24"/>
      <c r="E246" s="24"/>
      <c r="F246" s="20" t="s">
        <v>34166</v>
      </c>
      <c r="G246" s="24" t="str">
        <f ca="1">IFERROR(__xludf.DUMMYFUNCTION("GOOGLETRANSLATE(F246,""en"",""pt"")"),"informações de contrato")</f>
        <v>informações de contrato</v>
      </c>
      <c r="H246" s="24"/>
      <c r="I246" s="24"/>
    </row>
    <row r="247" spans="1:9" ht="14.5">
      <c r="A247" s="20" t="s">
        <v>34167</v>
      </c>
      <c r="B247" s="20">
        <v>55</v>
      </c>
      <c r="C247" s="20">
        <v>55</v>
      </c>
      <c r="D247" s="24"/>
      <c r="E247" s="24"/>
      <c r="F247" s="20" t="s">
        <v>34168</v>
      </c>
      <c r="G247" s="24" t="str">
        <f ca="1">IFERROR(__xludf.DUMMYFUNCTION("GOOGLETRANSLATE(F247,""en"",""pt"")"),"Contrato")</f>
        <v>Contrato</v>
      </c>
      <c r="H247" s="20" t="s">
        <v>34169</v>
      </c>
      <c r="I247" s="24"/>
    </row>
    <row r="248" spans="1:9" ht="14.5">
      <c r="A248" s="20" t="s">
        <v>34170</v>
      </c>
      <c r="B248" s="20">
        <v>55</v>
      </c>
      <c r="C248" s="20">
        <v>55</v>
      </c>
      <c r="D248" s="20">
        <v>70</v>
      </c>
      <c r="E248" s="24"/>
      <c r="F248" s="20" t="s">
        <v>34171</v>
      </c>
      <c r="G248" s="24" t="str">
        <f ca="1">IFERROR(__xludf.DUMMYFUNCTION("GOOGLETRANSLATE(F248,""en"",""pt"")"),"contrato de serviços")</f>
        <v>contrato de serviços</v>
      </c>
      <c r="H248" s="24"/>
      <c r="I248" s="24"/>
    </row>
    <row r="249" spans="1:9" ht="14.5">
      <c r="A249" s="20" t="s">
        <v>34172</v>
      </c>
      <c r="B249" s="20">
        <v>55</v>
      </c>
      <c r="C249" s="20">
        <v>55</v>
      </c>
      <c r="D249" s="20">
        <v>80</v>
      </c>
      <c r="E249" s="24"/>
      <c r="F249" s="20" t="s">
        <v>34173</v>
      </c>
      <c r="G249" s="24" t="str">
        <f ca="1">IFERROR(__xludf.DUMMYFUNCTION("GOOGLETRANSLATE(F249,""en"",""pt"")"),"contrato de fornecimentos")</f>
        <v>contrato de fornecimentos</v>
      </c>
      <c r="H249" s="24"/>
      <c r="I249" s="24"/>
    </row>
    <row r="250" spans="1:9" ht="14.5">
      <c r="A250" s="20" t="s">
        <v>34174</v>
      </c>
      <c r="B250" s="20">
        <v>55</v>
      </c>
      <c r="C250" s="20">
        <v>55</v>
      </c>
      <c r="D250" s="20">
        <v>90</v>
      </c>
      <c r="E250" s="24"/>
      <c r="F250" s="20" t="s">
        <v>34175</v>
      </c>
      <c r="G250" s="24" t="str">
        <f ca="1">IFERROR(__xludf.DUMMYFUNCTION("GOOGLETRANSLATE(F250,""en"",""pt"")"),"contrato de obras")</f>
        <v>contrato de obras</v>
      </c>
      <c r="H250" s="24"/>
      <c r="I250" s="24"/>
    </row>
    <row r="251" spans="1:9" ht="14.5">
      <c r="A251" s="20" t="s">
        <v>34176</v>
      </c>
      <c r="B251" s="20">
        <v>60</v>
      </c>
      <c r="C251" s="24"/>
      <c r="D251" s="24"/>
      <c r="E251" s="24"/>
      <c r="F251" s="20" t="s">
        <v>34177</v>
      </c>
      <c r="G251" s="24" t="str">
        <f ca="1">IFERROR(__xludf.DUMMYFUNCTION("GOOGLETRANSLATE(F251,""en"",""pt"")"),"informações de gestão de construção")</f>
        <v>informações de gestão de construção</v>
      </c>
      <c r="H251" s="24"/>
      <c r="I251" s="24"/>
    </row>
    <row r="252" spans="1:9" ht="14.5">
      <c r="A252" s="20" t="s">
        <v>34178</v>
      </c>
      <c r="B252" s="20">
        <v>60</v>
      </c>
      <c r="C252" s="20">
        <v>10</v>
      </c>
      <c r="D252" s="24"/>
      <c r="E252" s="24"/>
      <c r="F252" s="20" t="s">
        <v>34179</v>
      </c>
      <c r="G252" s="24" t="str">
        <f ca="1">IFERROR(__xludf.DUMMYFUNCTION("GOOGLETRANSLATE(F252,""en"",""pt"")"),"Informação do Site")</f>
        <v>Informação do Site</v>
      </c>
      <c r="H252" s="24"/>
      <c r="I252" s="24"/>
    </row>
    <row r="253" spans="1:9" ht="14.5">
      <c r="A253" s="20" t="s">
        <v>34180</v>
      </c>
      <c r="B253" s="20">
        <v>60</v>
      </c>
      <c r="C253" s="20">
        <v>10</v>
      </c>
      <c r="D253" s="20">
        <v>50</v>
      </c>
      <c r="E253" s="24"/>
      <c r="F253" s="20" t="s">
        <v>34181</v>
      </c>
      <c r="G253" s="24" t="str">
        <f ca="1">IFERROR(__xludf.DUMMYFUNCTION("GOOGLETRANSLATE(F253,""en"",""pt"")"),"informações de acesso local")</f>
        <v>informações de acesso local</v>
      </c>
      <c r="H253" s="20" t="s">
        <v>34182</v>
      </c>
      <c r="I253" s="24"/>
    </row>
    <row r="254" spans="1:9" ht="14.5">
      <c r="A254" s="20" t="s">
        <v>34183</v>
      </c>
      <c r="B254" s="20">
        <v>60</v>
      </c>
      <c r="C254" s="20">
        <v>10</v>
      </c>
      <c r="D254" s="20">
        <v>52</v>
      </c>
      <c r="E254" s="24"/>
      <c r="F254" s="20" t="s">
        <v>34184</v>
      </c>
      <c r="G254" s="24" t="str">
        <f ca="1">IFERROR(__xludf.DUMMYFUNCTION("GOOGLETRANSLATE(F254,""en"",""pt"")"),"altitude do local")</f>
        <v>altitude do local</v>
      </c>
      <c r="H254" s="24"/>
      <c r="I254" s="24"/>
    </row>
    <row r="255" spans="1:9" ht="14.5">
      <c r="A255" s="20" t="s">
        <v>34185</v>
      </c>
      <c r="B255" s="20">
        <v>60</v>
      </c>
      <c r="C255" s="20">
        <v>10</v>
      </c>
      <c r="D255" s="20">
        <v>55</v>
      </c>
      <c r="E255" s="24"/>
      <c r="F255" s="20" t="s">
        <v>34186</v>
      </c>
      <c r="G255" s="24" t="str">
        <f ca="1">IFERROR(__xludf.DUMMYFUNCTION("GOOGLETRANSLATE(F255,""en"",""pt"")"),"informações de branding local")</f>
        <v>informações de branding local</v>
      </c>
      <c r="H255" s="20" t="s">
        <v>34187</v>
      </c>
      <c r="I255" s="24"/>
    </row>
    <row r="256" spans="1:9" ht="14.5">
      <c r="A256" s="20" t="s">
        <v>34188</v>
      </c>
      <c r="B256" s="20">
        <v>60</v>
      </c>
      <c r="C256" s="20">
        <v>10</v>
      </c>
      <c r="D256" s="20">
        <v>58</v>
      </c>
      <c r="E256" s="24"/>
      <c r="F256" s="20" t="s">
        <v>34189</v>
      </c>
      <c r="G256" s="24" t="str">
        <f ca="1">IFERROR(__xludf.DUMMYFUNCTION("GOOGLETRANSLATE(F256,""en"",""pt"")"),"informações estabelecimento local")</f>
        <v>informações estabelecimento local</v>
      </c>
      <c r="H256" s="24"/>
      <c r="I256" s="24"/>
    </row>
    <row r="257" spans="1:9" ht="14.5">
      <c r="A257" s="20" t="s">
        <v>34190</v>
      </c>
      <c r="B257" s="20">
        <v>60</v>
      </c>
      <c r="C257" s="20">
        <v>10</v>
      </c>
      <c r="D257" s="20">
        <v>60</v>
      </c>
      <c r="E257" s="24"/>
      <c r="F257" s="20" t="s">
        <v>34191</v>
      </c>
      <c r="G257" s="24" t="str">
        <f ca="1">IFERROR(__xludf.DUMMYFUNCTION("GOOGLETRANSLATE(F257,""en"",""pt"")"),"referência da grelha do Site")</f>
        <v>referência da grelha do Site</v>
      </c>
      <c r="H257" s="24"/>
      <c r="I257" s="24"/>
    </row>
    <row r="258" spans="1:9" ht="14.5">
      <c r="A258" s="20" t="s">
        <v>34192</v>
      </c>
      <c r="B258" s="20">
        <v>60</v>
      </c>
      <c r="C258" s="20">
        <v>10</v>
      </c>
      <c r="D258" s="20">
        <v>65</v>
      </c>
      <c r="E258" s="24"/>
      <c r="F258" s="20" t="s">
        <v>34193</v>
      </c>
      <c r="G258" s="24" t="str">
        <f ca="1">IFERROR(__xludf.DUMMYFUNCTION("GOOGLETRANSLATE(F258,""en"",""pt"")"),"plano de segurança local")</f>
        <v>plano de segurança local</v>
      </c>
      <c r="H258" s="20" t="s">
        <v>34194</v>
      </c>
      <c r="I258" s="24"/>
    </row>
    <row r="259" spans="1:9" ht="14.5">
      <c r="A259" s="20" t="s">
        <v>34195</v>
      </c>
      <c r="B259" s="20">
        <v>60</v>
      </c>
      <c r="C259" s="20">
        <v>10</v>
      </c>
      <c r="D259" s="20">
        <v>70</v>
      </c>
      <c r="E259" s="24"/>
      <c r="F259" s="20" t="s">
        <v>34196</v>
      </c>
      <c r="G259" s="24" t="str">
        <f ca="1">IFERROR(__xludf.DUMMYFUNCTION("GOOGLETRANSLATE(F259,""en"",""pt"")"),"serviços de informação do Site")</f>
        <v>serviços de informação do Site</v>
      </c>
      <c r="H259" s="24"/>
      <c r="I259" s="24"/>
    </row>
    <row r="260" spans="1:9" ht="14.5">
      <c r="A260" s="20" t="s">
        <v>34197</v>
      </c>
      <c r="B260" s="20">
        <v>60</v>
      </c>
      <c r="C260" s="20">
        <v>10</v>
      </c>
      <c r="D260" s="20">
        <v>75</v>
      </c>
      <c r="E260" s="24"/>
      <c r="F260" s="20" t="s">
        <v>34198</v>
      </c>
      <c r="G260" s="24" t="str">
        <f ca="1">IFERROR(__xludf.DUMMYFUNCTION("GOOGLETRANSLATE(F260,""en"",""pt"")"),"Local de set-up informações")</f>
        <v>Local de set-up informações</v>
      </c>
      <c r="H260" s="20" t="s">
        <v>34199</v>
      </c>
      <c r="I260" s="24"/>
    </row>
    <row r="261" spans="1:9" ht="14.5">
      <c r="A261" s="20" t="s">
        <v>34200</v>
      </c>
      <c r="B261" s="20">
        <v>60</v>
      </c>
      <c r="C261" s="20">
        <v>10</v>
      </c>
      <c r="D261" s="20">
        <v>77</v>
      </c>
      <c r="E261" s="24"/>
      <c r="F261" s="20" t="s">
        <v>34201</v>
      </c>
      <c r="G261" s="24" t="str">
        <f ca="1">IFERROR(__xludf.DUMMYFUNCTION("GOOGLETRANSLATE(F261,""en"",""pt"")"),"informações de segurança local")</f>
        <v>informações de segurança local</v>
      </c>
      <c r="H261" s="20" t="s">
        <v>34202</v>
      </c>
      <c r="I261" s="24"/>
    </row>
    <row r="262" spans="1:9" ht="14.5">
      <c r="A262" s="20" t="s">
        <v>34203</v>
      </c>
      <c r="B262" s="20">
        <v>60</v>
      </c>
      <c r="C262" s="20">
        <v>10</v>
      </c>
      <c r="D262" s="20">
        <v>80</v>
      </c>
      <c r="E262" s="24"/>
      <c r="F262" s="20" t="s">
        <v>34204</v>
      </c>
      <c r="G262" s="24" t="str">
        <f ca="1">IFERROR(__xludf.DUMMYFUNCTION("GOOGLETRANSLATE(F262,""en"",""pt"")"),"Circundantes terreno e edifício usos denunciar")</f>
        <v>Circundantes terreno e edifício usos denunciar</v>
      </c>
      <c r="H262" s="24"/>
      <c r="I262" s="24"/>
    </row>
    <row r="263" spans="1:9" ht="14.5">
      <c r="A263" s="20" t="s">
        <v>34205</v>
      </c>
      <c r="B263" s="20">
        <v>60</v>
      </c>
      <c r="C263" s="20">
        <v>10</v>
      </c>
      <c r="D263" s="20">
        <v>83</v>
      </c>
      <c r="E263" s="24"/>
      <c r="F263" s="20" t="s">
        <v>34206</v>
      </c>
      <c r="G263" s="24" t="str">
        <f ca="1">IFERROR(__xludf.DUMMYFUNCTION("GOOGLETRANSLATE(F263,""en"",""pt"")"),"informações serviços temporários")</f>
        <v>informações serviços temporários</v>
      </c>
      <c r="H263" s="20" t="s">
        <v>34207</v>
      </c>
      <c r="I263" s="24"/>
    </row>
    <row r="264" spans="1:9" ht="14.5">
      <c r="A264" s="20" t="s">
        <v>34208</v>
      </c>
      <c r="B264" s="20">
        <v>60</v>
      </c>
      <c r="C264" s="20">
        <v>10</v>
      </c>
      <c r="D264" s="20">
        <v>85</v>
      </c>
      <c r="E264" s="24"/>
      <c r="F264" s="20" t="s">
        <v>34209</v>
      </c>
      <c r="G264" s="24" t="str">
        <f ca="1">IFERROR(__xludf.DUMMYFUNCTION("GOOGLETRANSLATE(F264,""en"",""pt"")"),"informações trabalhos temporários")</f>
        <v>informações trabalhos temporários</v>
      </c>
      <c r="H264" s="20" t="s">
        <v>34210</v>
      </c>
      <c r="I264" s="24"/>
    </row>
    <row r="265" spans="1:9" ht="14.5">
      <c r="A265" s="20" t="s">
        <v>34211</v>
      </c>
      <c r="B265" s="20">
        <v>60</v>
      </c>
      <c r="C265" s="20">
        <v>10</v>
      </c>
      <c r="D265" s="20">
        <v>90</v>
      </c>
      <c r="E265" s="24"/>
      <c r="F265" s="20" t="s">
        <v>34212</v>
      </c>
      <c r="G265" s="24" t="str">
        <f ca="1">IFERROR(__xludf.DUMMYFUNCTION("GOOGLETRANSLATE(F265,""en"",""pt"")"),"relatório de impacto trabalhos temporários")</f>
        <v>relatório de impacto trabalhos temporários</v>
      </c>
      <c r="H265" s="24"/>
      <c r="I265" s="24"/>
    </row>
    <row r="266" spans="1:9" ht="14.5">
      <c r="A266" s="20" t="s">
        <v>34213</v>
      </c>
      <c r="B266" s="20">
        <v>60</v>
      </c>
      <c r="C266" s="20">
        <v>10</v>
      </c>
      <c r="D266" s="20">
        <v>95</v>
      </c>
      <c r="E266" s="24"/>
      <c r="F266" s="20" t="s">
        <v>34214</v>
      </c>
      <c r="G266" s="24" t="str">
        <f ca="1">IFERROR(__xludf.DUMMYFUNCTION("GOOGLETRANSLATE(F266,""en"",""pt"")"),"Trabalhando informações de área")</f>
        <v>Trabalhando informações de área</v>
      </c>
      <c r="H266" s="20" t="s">
        <v>34215</v>
      </c>
      <c r="I266" s="24"/>
    </row>
    <row r="267" spans="1:9" ht="14.5">
      <c r="A267" s="20" t="s">
        <v>34216</v>
      </c>
      <c r="B267" s="20">
        <v>60</v>
      </c>
      <c r="C267" s="20">
        <v>20</v>
      </c>
      <c r="D267" s="24"/>
      <c r="E267" s="24"/>
      <c r="F267" s="20" t="s">
        <v>34217</v>
      </c>
      <c r="G267" s="24" t="str">
        <f ca="1">IFERROR(__xludf.DUMMYFUNCTION("GOOGLETRANSLATE(F267,""en"",""pt"")"),"requisitos do projeto")</f>
        <v>requisitos do projeto</v>
      </c>
      <c r="H267" s="24"/>
      <c r="I267" s="24"/>
    </row>
    <row r="268" spans="1:9" ht="14.5">
      <c r="A268" s="20" t="s">
        <v>34218</v>
      </c>
      <c r="B268" s="20">
        <v>60</v>
      </c>
      <c r="C268" s="20">
        <v>20</v>
      </c>
      <c r="D268" s="20">
        <v>15</v>
      </c>
      <c r="E268" s="24"/>
      <c r="F268" s="20" t="s">
        <v>34219</v>
      </c>
      <c r="G268" s="24" t="str">
        <f ca="1">IFERROR(__xludf.DUMMYFUNCTION("GOOGLETRANSLATE(F268,""en"",""pt"")"),"Conclusão informações trabalho")</f>
        <v>Conclusão informações trabalho</v>
      </c>
      <c r="H268" s="24"/>
      <c r="I268" s="24"/>
    </row>
    <row r="269" spans="1:9" ht="14.5">
      <c r="A269" s="20" t="s">
        <v>34220</v>
      </c>
      <c r="B269" s="20">
        <v>60</v>
      </c>
      <c r="C269" s="20">
        <v>20</v>
      </c>
      <c r="D269" s="20">
        <v>20</v>
      </c>
      <c r="E269" s="24"/>
      <c r="F269" s="20" t="s">
        <v>34221</v>
      </c>
      <c r="G269" s="24" t="str">
        <f ca="1">IFERROR(__xludf.DUMMYFUNCTION("GOOGLETRANSLATE(F269,""en"",""pt"")"),"informações trabalho Concurrent")</f>
        <v>informações trabalho Concurrent</v>
      </c>
      <c r="H269" s="24"/>
      <c r="I269" s="24"/>
    </row>
    <row r="270" spans="1:9" ht="14.5">
      <c r="A270" s="20" t="s">
        <v>34222</v>
      </c>
      <c r="B270" s="20">
        <v>60</v>
      </c>
      <c r="C270" s="20">
        <v>20</v>
      </c>
      <c r="D270" s="20">
        <v>55</v>
      </c>
      <c r="E270" s="24"/>
      <c r="F270" s="20" t="s">
        <v>34223</v>
      </c>
      <c r="G270" s="24" t="str">
        <f ca="1">IFERROR(__xludf.DUMMYFUNCTION("GOOGLETRANSLATE(F270,""en"",""pt"")"),"subcontratante nomeado ou informações trabalho fornecedor")</f>
        <v>subcontratante nomeado ou informações trabalho fornecedor</v>
      </c>
      <c r="H270" s="24"/>
      <c r="I270" s="24"/>
    </row>
    <row r="271" spans="1:9" ht="14.5">
      <c r="A271" s="20" t="s">
        <v>34224</v>
      </c>
      <c r="B271" s="20">
        <v>60</v>
      </c>
      <c r="C271" s="20">
        <v>20</v>
      </c>
      <c r="D271" s="20">
        <v>60</v>
      </c>
      <c r="E271" s="24"/>
      <c r="F271" s="20" t="s">
        <v>34225</v>
      </c>
      <c r="G271" s="24" t="str">
        <f ca="1">IFERROR(__xludf.DUMMYFUNCTION("GOOGLETRANSLATE(F271,""en"",""pt"")"),"Pré-construção informações")</f>
        <v>Pré-construção informações</v>
      </c>
      <c r="H271" s="20" t="s">
        <v>34226</v>
      </c>
      <c r="I271" s="24"/>
    </row>
    <row r="272" spans="1:9" ht="14.5">
      <c r="A272" s="20" t="s">
        <v>34227</v>
      </c>
      <c r="B272" s="20">
        <v>60</v>
      </c>
      <c r="C272" s="20">
        <v>20</v>
      </c>
      <c r="D272" s="20">
        <v>62</v>
      </c>
      <c r="E272" s="24"/>
      <c r="F272" s="20" t="s">
        <v>34228</v>
      </c>
      <c r="G272" s="24" t="str">
        <f ca="1">IFERROR(__xludf.DUMMYFUNCTION("GOOGLETRANSLATE(F272,""en"",""pt"")"),"Pré-ordenada informações itens")</f>
        <v>Pré-ordenada informações itens</v>
      </c>
      <c r="H272" s="20" t="s">
        <v>34229</v>
      </c>
      <c r="I272" s="24"/>
    </row>
    <row r="273" spans="1:9" ht="14.5">
      <c r="A273" s="20" t="s">
        <v>34230</v>
      </c>
      <c r="B273" s="20">
        <v>60</v>
      </c>
      <c r="C273" s="20">
        <v>20</v>
      </c>
      <c r="D273" s="20">
        <v>64</v>
      </c>
      <c r="E273" s="24"/>
      <c r="F273" s="20" t="s">
        <v>34231</v>
      </c>
      <c r="G273" s="24" t="str">
        <f ca="1">IFERROR(__xludf.DUMMYFUNCTION("GOOGLETRANSLATE(F273,""en"",""pt"")"),"item de custo Prime")</f>
        <v>item de custo Prime</v>
      </c>
      <c r="H273" s="20" t="s">
        <v>34232</v>
      </c>
      <c r="I273" s="24"/>
    </row>
    <row r="274" spans="1:9" ht="14.5">
      <c r="A274" s="20" t="s">
        <v>34233</v>
      </c>
      <c r="B274" s="20">
        <v>60</v>
      </c>
      <c r="C274" s="20">
        <v>20</v>
      </c>
      <c r="D274" s="20">
        <v>65</v>
      </c>
      <c r="E274" s="24"/>
      <c r="F274" s="20" t="s">
        <v>34234</v>
      </c>
      <c r="G274" s="24" t="str">
        <f ca="1">IFERROR(__xludf.DUMMYFUNCTION("GOOGLETRANSLATE(F274,""en"",""pt"")"),"informações trabalho preparatório")</f>
        <v>informações trabalho preparatório</v>
      </c>
      <c r="H274" s="24"/>
      <c r="I274" s="24"/>
    </row>
    <row r="275" spans="1:9" ht="14.5">
      <c r="A275" s="20" t="s">
        <v>34235</v>
      </c>
      <c r="B275" s="20">
        <v>60</v>
      </c>
      <c r="C275" s="20">
        <v>20</v>
      </c>
      <c r="D275" s="20">
        <v>67</v>
      </c>
      <c r="E275" s="24"/>
      <c r="F275" s="20" t="s">
        <v>34236</v>
      </c>
      <c r="G275" s="24" t="str">
        <f ca="1">IFERROR(__xludf.DUMMYFUNCTION("GOOGLETRANSLATE(F275,""en"",""pt"")"),"artigo provisória")</f>
        <v>artigo provisória</v>
      </c>
      <c r="H275" s="20" t="s">
        <v>34237</v>
      </c>
      <c r="I275" s="24"/>
    </row>
    <row r="276" spans="1:9" ht="14.5">
      <c r="A276" s="20" t="s">
        <v>34238</v>
      </c>
      <c r="B276" s="20">
        <v>60</v>
      </c>
      <c r="C276" s="20">
        <v>20</v>
      </c>
      <c r="D276" s="20">
        <v>79</v>
      </c>
      <c r="E276" s="24"/>
      <c r="F276" s="20" t="s">
        <v>34239</v>
      </c>
      <c r="G276" s="24" t="str">
        <f ca="1">IFERROR(__xludf.DUMMYFUNCTION("GOOGLETRANSLATE(F276,""en"",""pt"")"),"Estabelecer metodologia")</f>
        <v>Estabelecer metodologia</v>
      </c>
      <c r="H276" s="20" t="s">
        <v>34240</v>
      </c>
      <c r="I276" s="24"/>
    </row>
    <row r="277" spans="1:9" ht="14.5">
      <c r="A277" s="20" t="s">
        <v>34241</v>
      </c>
      <c r="B277" s="20">
        <v>60</v>
      </c>
      <c r="C277" s="20">
        <v>20</v>
      </c>
      <c r="D277" s="20">
        <v>90</v>
      </c>
      <c r="E277" s="24"/>
      <c r="F277" s="20" t="s">
        <v>34242</v>
      </c>
      <c r="G277" s="24" t="str">
        <f ca="1">IFERROR(__xludf.DUMMYFUNCTION("GOOGLETRANSLATE(F277,""en"",""pt"")"),"Obras de informações autoridade local")</f>
        <v>Obras de informações autoridade local</v>
      </c>
      <c r="H277" s="24"/>
      <c r="I277" s="24"/>
    </row>
    <row r="278" spans="1:9" ht="14.5">
      <c r="A278" s="20" t="s">
        <v>34243</v>
      </c>
      <c r="B278" s="20">
        <v>60</v>
      </c>
      <c r="C278" s="20">
        <v>20</v>
      </c>
      <c r="D278" s="20">
        <v>95</v>
      </c>
      <c r="E278" s="24"/>
      <c r="F278" s="20" t="s">
        <v>34244</v>
      </c>
      <c r="G278" s="24" t="str">
        <f ca="1">IFERROR(__xludf.DUMMYFUNCTION("GOOGLETRANSLATE(F278,""en"",""pt"")"),"Trabalho por informações estatutárias funerária")</f>
        <v>Trabalho por informações estatutárias funerária</v>
      </c>
      <c r="H278" s="24"/>
      <c r="I278" s="24"/>
    </row>
    <row r="279" spans="1:9" ht="14.5">
      <c r="A279" s="20" t="s">
        <v>34245</v>
      </c>
      <c r="B279" s="20">
        <v>60</v>
      </c>
      <c r="C279" s="20">
        <v>30</v>
      </c>
      <c r="D279" s="24"/>
      <c r="E279" s="24"/>
      <c r="F279" s="20" t="s">
        <v>34246</v>
      </c>
      <c r="G279" s="24" t="str">
        <f ca="1">IFERROR(__xludf.DUMMYFUNCTION("GOOGLETRANSLATE(F279,""en"",""pt"")"),"programa de contrato e progresso")</f>
        <v>programa de contrato e progresso</v>
      </c>
      <c r="H279" s="20" t="s">
        <v>34247</v>
      </c>
      <c r="I279" s="24"/>
    </row>
    <row r="280" spans="1:9" ht="14.5">
      <c r="A280" s="20" t="s">
        <v>34248</v>
      </c>
      <c r="B280" s="20">
        <v>60</v>
      </c>
      <c r="C280" s="20">
        <v>30</v>
      </c>
      <c r="D280" s="20">
        <v>5</v>
      </c>
      <c r="E280" s="24"/>
      <c r="F280" s="20" t="s">
        <v>34249</v>
      </c>
      <c r="G280" s="24" t="str">
        <f ca="1">IFERROR(__xludf.DUMMYFUNCTION("GOOGLETRANSLATE(F280,""en"",""pt"")"),"log ações")</f>
        <v>log ações</v>
      </c>
      <c r="H280" s="24"/>
      <c r="I280" s="24"/>
    </row>
    <row r="281" spans="1:9" ht="14.5">
      <c r="A281" s="20" t="s">
        <v>34250</v>
      </c>
      <c r="B281" s="20">
        <v>60</v>
      </c>
      <c r="C281" s="20">
        <v>30</v>
      </c>
      <c r="D281" s="20">
        <v>13</v>
      </c>
      <c r="E281" s="24"/>
      <c r="F281" s="20" t="s">
        <v>34251</v>
      </c>
      <c r="G281" s="24" t="str">
        <f ca="1">IFERROR(__xludf.DUMMYFUNCTION("GOOGLETRANSLATE(F281,""en"",""pt"")"),"programa de comissionamento")</f>
        <v>programa de comissionamento</v>
      </c>
      <c r="H281" s="20" t="s">
        <v>34252</v>
      </c>
      <c r="I281" s="24"/>
    </row>
    <row r="282" spans="1:9" ht="14.5">
      <c r="A282" s="20" t="s">
        <v>34253</v>
      </c>
      <c r="B282" s="20">
        <v>60</v>
      </c>
      <c r="C282" s="20">
        <v>30</v>
      </c>
      <c r="D282" s="20">
        <v>15</v>
      </c>
      <c r="E282" s="24"/>
      <c r="F282" s="20" t="s">
        <v>34254</v>
      </c>
      <c r="G282" s="24" t="str">
        <f ca="1">IFERROR(__xludf.DUMMYFUNCTION("GOOGLETRANSLATE(F282,""en"",""pt"")"),"log Communications")</f>
        <v>log Communications</v>
      </c>
      <c r="H282" s="24"/>
      <c r="I282" s="24"/>
    </row>
    <row r="283" spans="1:9" ht="14.5">
      <c r="A283" s="20" t="s">
        <v>34255</v>
      </c>
      <c r="B283" s="20">
        <v>60</v>
      </c>
      <c r="C283" s="20">
        <v>30</v>
      </c>
      <c r="D283" s="20">
        <v>17</v>
      </c>
      <c r="E283" s="24"/>
      <c r="F283" s="20" t="s">
        <v>34256</v>
      </c>
      <c r="G283" s="24" t="str">
        <f ca="1">IFERROR(__xludf.DUMMYFUNCTION("GOOGLETRANSLATE(F283,""en"",""pt"")"),"estratégia de consulta")</f>
        <v>estratégia de consulta</v>
      </c>
      <c r="H283" s="24"/>
      <c r="I283" s="24"/>
    </row>
    <row r="284" spans="1:9" ht="14.5">
      <c r="A284" s="20" t="s">
        <v>34257</v>
      </c>
      <c r="B284" s="20">
        <v>60</v>
      </c>
      <c r="C284" s="20">
        <v>30</v>
      </c>
      <c r="D284" s="20">
        <v>19</v>
      </c>
      <c r="E284" s="24"/>
      <c r="F284" s="20" t="s">
        <v>34258</v>
      </c>
      <c r="G284" s="24" t="str">
        <f ca="1">IFERROR(__xludf.DUMMYFUNCTION("GOOGLETRANSLATE(F284,""en"",""pt"")"),"informações administração de contratos")</f>
        <v>informações administração de contratos</v>
      </c>
      <c r="H284" s="20" t="s">
        <v>34259</v>
      </c>
      <c r="I284" s="24"/>
    </row>
    <row r="285" spans="1:9" ht="14.5">
      <c r="A285" s="20" t="s">
        <v>34260</v>
      </c>
      <c r="B285" s="20">
        <v>60</v>
      </c>
      <c r="C285" s="20">
        <v>30</v>
      </c>
      <c r="D285" s="20">
        <v>20</v>
      </c>
      <c r="E285" s="24"/>
      <c r="F285" s="20" t="s">
        <v>34261</v>
      </c>
      <c r="G285" s="24" t="str">
        <f ca="1">IFERROR(__xludf.DUMMYFUNCTION("GOOGLETRANSLATE(F285,""en"",""pt"")"),"contrato-programa")</f>
        <v>contrato-programa</v>
      </c>
      <c r="H285" s="20" t="s">
        <v>34262</v>
      </c>
      <c r="I285" s="24"/>
    </row>
    <row r="286" spans="1:9" ht="14.5">
      <c r="A286" s="20" t="s">
        <v>34263</v>
      </c>
      <c r="B286" s="20">
        <v>60</v>
      </c>
      <c r="C286" s="20">
        <v>30</v>
      </c>
      <c r="D286" s="20">
        <v>22</v>
      </c>
      <c r="E286" s="24"/>
      <c r="F286" s="20" t="s">
        <v>34264</v>
      </c>
      <c r="G286" s="24" t="str">
        <f ca="1">IFERROR(__xludf.DUMMYFUNCTION("GOOGLETRANSLATE(F286,""en"",""pt"")"),"revisão de risco Entrega")</f>
        <v>revisão de risco Entrega</v>
      </c>
      <c r="H286" s="24"/>
      <c r="I286" s="24"/>
    </row>
    <row r="287" spans="1:9" ht="14.5">
      <c r="A287" s="20" t="s">
        <v>34265</v>
      </c>
      <c r="B287" s="20">
        <v>60</v>
      </c>
      <c r="C287" s="20">
        <v>30</v>
      </c>
      <c r="D287" s="20">
        <v>26</v>
      </c>
      <c r="E287" s="24"/>
      <c r="F287" s="20" t="s">
        <v>34266</v>
      </c>
      <c r="G287" s="24" t="str">
        <f ca="1">IFERROR(__xludf.DUMMYFUNCTION("GOOGLETRANSLATE(F287,""en"",""pt"")"),"aviso de alerta precoce")</f>
        <v>aviso de alerta precoce</v>
      </c>
      <c r="H287" s="24"/>
      <c r="I287" s="24"/>
    </row>
    <row r="288" spans="1:9" ht="14.5">
      <c r="A288" s="20" t="s">
        <v>34267</v>
      </c>
      <c r="B288" s="20">
        <v>60</v>
      </c>
      <c r="C288" s="20">
        <v>30</v>
      </c>
      <c r="D288" s="20">
        <v>28</v>
      </c>
      <c r="E288" s="24"/>
      <c r="F288" s="20" t="s">
        <v>34268</v>
      </c>
      <c r="G288" s="24" t="str">
        <f ca="1">IFERROR(__xludf.DUMMYFUNCTION("GOOGLETRANSLATE(F288,""en"",""pt"")"),"Relatório de exceção")</f>
        <v>Relatório de exceção</v>
      </c>
      <c r="H288" s="24"/>
      <c r="I288" s="24"/>
    </row>
    <row r="289" spans="1:9" ht="14.5">
      <c r="A289" s="20" t="s">
        <v>34269</v>
      </c>
      <c r="B289" s="20">
        <v>60</v>
      </c>
      <c r="C289" s="20">
        <v>30</v>
      </c>
      <c r="D289" s="20">
        <v>37</v>
      </c>
      <c r="E289" s="24"/>
      <c r="F289" s="20" t="s">
        <v>34270</v>
      </c>
      <c r="G289" s="24" t="str">
        <f ca="1">IFERROR(__xludf.DUMMYFUNCTION("GOOGLETRANSLATE(F289,""en"",""pt"")"),"relatório destaca")</f>
        <v>relatório destaca</v>
      </c>
      <c r="H289" s="24"/>
      <c r="I289" s="24"/>
    </row>
    <row r="290" spans="1:9" ht="14.5">
      <c r="A290" s="20" t="s">
        <v>34271</v>
      </c>
      <c r="B290" s="20">
        <v>60</v>
      </c>
      <c r="C290" s="20">
        <v>30</v>
      </c>
      <c r="D290" s="20">
        <v>40</v>
      </c>
      <c r="E290" s="24"/>
      <c r="F290" s="20" t="s">
        <v>34272</v>
      </c>
      <c r="G290" s="24" t="str">
        <f ca="1">IFERROR(__xludf.DUMMYFUNCTION("GOOGLETRANSLATE(F290,""en"",""pt"")"),"log questões")</f>
        <v>log questões</v>
      </c>
      <c r="H290" s="24"/>
      <c r="I290" s="24"/>
    </row>
    <row r="291" spans="1:9" ht="14.5">
      <c r="A291" s="20" t="s">
        <v>34273</v>
      </c>
      <c r="B291" s="20">
        <v>60</v>
      </c>
      <c r="C291" s="20">
        <v>30</v>
      </c>
      <c r="D291" s="20">
        <v>45</v>
      </c>
      <c r="E291" s="24"/>
      <c r="F291" s="20" t="s">
        <v>34274</v>
      </c>
      <c r="G291" s="24" t="str">
        <f ca="1">IFERROR(__xludf.DUMMYFUNCTION("GOOGLETRANSLATE(F291,""en"",""pt"")"),"Limitações sobre o relatório método")</f>
        <v>Limitações sobre o relatório método</v>
      </c>
      <c r="H291" s="20" t="s">
        <v>34275</v>
      </c>
      <c r="I291" s="24"/>
    </row>
    <row r="292" spans="1:9" ht="14.5">
      <c r="A292" s="20" t="s">
        <v>34276</v>
      </c>
      <c r="B292" s="20">
        <v>60</v>
      </c>
      <c r="C292" s="20">
        <v>30</v>
      </c>
      <c r="D292" s="20">
        <v>47</v>
      </c>
      <c r="E292" s="24"/>
      <c r="F292" s="20" t="s">
        <v>34277</v>
      </c>
      <c r="G292" s="24" t="str">
        <f ca="1">IFERROR(__xludf.DUMMYFUNCTION("GOOGLETRANSLATE(F292,""en"",""pt"")"),"Limitações sobre o relatório seqüência")</f>
        <v>Limitações sobre o relatório seqüência</v>
      </c>
      <c r="H292" s="24"/>
      <c r="I292" s="24"/>
    </row>
    <row r="293" spans="1:9" ht="14.5">
      <c r="A293" s="20" t="s">
        <v>34278</v>
      </c>
      <c r="B293" s="20">
        <v>60</v>
      </c>
      <c r="C293" s="20">
        <v>30</v>
      </c>
      <c r="D293" s="20">
        <v>49</v>
      </c>
      <c r="E293" s="24"/>
      <c r="F293" s="20" t="s">
        <v>34279</v>
      </c>
      <c r="G293" s="24" t="str">
        <f ca="1">IFERROR(__xludf.DUMMYFUNCTION("GOOGLETRANSLATE(F293,""en"",""pt"")"),"Limitações sobre o relatório sincronismo")</f>
        <v>Limitações sobre o relatório sincronismo</v>
      </c>
      <c r="H293" s="20" t="s">
        <v>34280</v>
      </c>
      <c r="I293" s="24"/>
    </row>
    <row r="294" spans="1:9" ht="14.5">
      <c r="A294" s="20" t="s">
        <v>34281</v>
      </c>
      <c r="B294" s="20">
        <v>60</v>
      </c>
      <c r="C294" s="20">
        <v>30</v>
      </c>
      <c r="D294" s="20">
        <v>51</v>
      </c>
      <c r="E294" s="24"/>
      <c r="F294" s="20" t="s">
        <v>34282</v>
      </c>
      <c r="G294" s="24" t="str">
        <f ca="1">IFERROR(__xludf.DUMMYFUNCTION("GOOGLETRANSLATE(F294,""en"",""pt"")"),"Restrições à utilização de relatório de local")</f>
        <v>Restrições à utilização de relatório de local</v>
      </c>
      <c r="H294" s="24"/>
      <c r="I294" s="24"/>
    </row>
    <row r="295" spans="1:9" ht="14.5">
      <c r="A295" s="20" t="s">
        <v>34283</v>
      </c>
      <c r="B295" s="20">
        <v>60</v>
      </c>
      <c r="C295" s="20">
        <v>30</v>
      </c>
      <c r="D295" s="20">
        <v>57</v>
      </c>
      <c r="E295" s="24"/>
      <c r="F295" s="20" t="s">
        <v>34284</v>
      </c>
      <c r="G295" s="24" t="str">
        <f ca="1">IFERROR(__xludf.DUMMYFUNCTION("GOOGLETRANSLATE(F295,""en"",""pt"")"),"Aviso de início")</f>
        <v>Aviso de início</v>
      </c>
      <c r="H295" s="20" t="s">
        <v>34285</v>
      </c>
      <c r="I295" s="24"/>
    </row>
    <row r="296" spans="1:9" ht="14.5">
      <c r="A296" s="20" t="s">
        <v>34286</v>
      </c>
      <c r="B296" s="20">
        <v>60</v>
      </c>
      <c r="C296" s="20">
        <v>30</v>
      </c>
      <c r="D296" s="20">
        <v>66</v>
      </c>
      <c r="E296" s="24"/>
      <c r="F296" s="20" t="s">
        <v>34287</v>
      </c>
      <c r="G296" s="24" t="str">
        <f ca="1">IFERROR(__xludf.DUMMYFUNCTION("GOOGLETRANSLATE(F296,""en"",""pt"")"),"Relatório de progresso")</f>
        <v>Relatório de progresso</v>
      </c>
      <c r="H296" s="20" t="s">
        <v>34288</v>
      </c>
      <c r="I296" s="24"/>
    </row>
    <row r="297" spans="1:9" ht="14.5">
      <c r="A297" s="20" t="s">
        <v>34289</v>
      </c>
      <c r="B297" s="20">
        <v>60</v>
      </c>
      <c r="C297" s="20">
        <v>30</v>
      </c>
      <c r="D297" s="20">
        <v>71</v>
      </c>
      <c r="E297" s="24"/>
      <c r="F297" s="20" t="s">
        <v>34290</v>
      </c>
      <c r="G297" s="24" t="str">
        <f ca="1">IFERROR(__xludf.DUMMYFUNCTION("GOOGLETRANSLATE(F297,""en"",""pt"")"),"Pedido de informações (RFI)")</f>
        <v>Pedido de informações (RFI)</v>
      </c>
      <c r="H297" s="24"/>
      <c r="I297" s="24"/>
    </row>
    <row r="298" spans="1:9" ht="14.5">
      <c r="A298" s="20" t="s">
        <v>34291</v>
      </c>
      <c r="B298" s="20">
        <v>60</v>
      </c>
      <c r="C298" s="20">
        <v>30</v>
      </c>
      <c r="D298" s="20">
        <v>73</v>
      </c>
      <c r="E298" s="24"/>
      <c r="F298" s="20" t="s">
        <v>34292</v>
      </c>
      <c r="G298" s="24" t="str">
        <f ca="1">IFERROR(__xludf.DUMMYFUNCTION("GOOGLETRANSLATE(F298,""en"",""pt"")"),"Responsável, consultado e informado (RACI) log responsáveis")</f>
        <v>Responsável, consultado e informado (RACI) log responsáveis</v>
      </c>
      <c r="H298" s="24"/>
      <c r="I298" s="24"/>
    </row>
    <row r="299" spans="1:9" ht="14.5">
      <c r="A299" s="20" t="s">
        <v>34293</v>
      </c>
      <c r="B299" s="20">
        <v>60</v>
      </c>
      <c r="C299" s="20">
        <v>30</v>
      </c>
      <c r="D299" s="20">
        <v>80</v>
      </c>
      <c r="E299" s="24"/>
      <c r="F299" s="20" t="s">
        <v>34294</v>
      </c>
      <c r="G299" s="24" t="str">
        <f ca="1">IFERROR(__xludf.DUMMYFUNCTION("GOOGLETRANSLATE(F299,""en"",""pt"")"),"relatório final Stage")</f>
        <v>relatório final Stage</v>
      </c>
      <c r="H299" s="24"/>
      <c r="I299" s="24"/>
    </row>
    <row r="300" spans="1:9" ht="14.5">
      <c r="A300" s="20" t="s">
        <v>34295</v>
      </c>
      <c r="B300" s="20">
        <v>60</v>
      </c>
      <c r="C300" s="20">
        <v>40</v>
      </c>
      <c r="D300" s="24"/>
      <c r="E300" s="24"/>
      <c r="F300" s="20" t="s">
        <v>34296</v>
      </c>
      <c r="G300" s="24" t="str">
        <f ca="1">IFERROR(__xludf.DUMMYFUNCTION("GOOGLETRANSLATE(F300,""en"",""pt"")"),"Reuniões e registros")</f>
        <v>Reuniões e registros</v>
      </c>
      <c r="H300" s="24"/>
      <c r="I300" s="24"/>
    </row>
    <row r="301" spans="1:9" ht="14.5">
      <c r="A301" s="20" t="s">
        <v>34297</v>
      </c>
      <c r="B301" s="20">
        <v>60</v>
      </c>
      <c r="C301" s="20">
        <v>40</v>
      </c>
      <c r="D301" s="20">
        <v>40</v>
      </c>
      <c r="E301" s="24"/>
      <c r="F301" s="20" t="s">
        <v>34298</v>
      </c>
      <c r="G301" s="24" t="str">
        <f ca="1">IFERROR(__xludf.DUMMYFUNCTION("GOOGLETRANSLATE(F301,""en"",""pt"")"),"registro de trabalho e equipamentos")</f>
        <v>registro de trabalho e equipamentos</v>
      </c>
      <c r="H301" s="20" t="s">
        <v>34299</v>
      </c>
      <c r="I301" s="24"/>
    </row>
    <row r="302" spans="1:9" ht="14.5">
      <c r="A302" s="20" t="s">
        <v>34300</v>
      </c>
      <c r="B302" s="20">
        <v>60</v>
      </c>
      <c r="C302" s="20">
        <v>40</v>
      </c>
      <c r="D302" s="20">
        <v>50</v>
      </c>
      <c r="E302" s="24"/>
      <c r="F302" s="20" t="s">
        <v>34301</v>
      </c>
      <c r="G302" s="24" t="str">
        <f ca="1">IFERROR(__xludf.DUMMYFUNCTION("GOOGLETRANSLATE(F302,""en"",""pt"")"),"agenda da reunião")</f>
        <v>agenda da reunião</v>
      </c>
      <c r="H302" s="24"/>
      <c r="I302" s="24"/>
    </row>
    <row r="303" spans="1:9" ht="14.5">
      <c r="A303" s="20" t="s">
        <v>34302</v>
      </c>
      <c r="B303" s="20">
        <v>60</v>
      </c>
      <c r="C303" s="20">
        <v>40</v>
      </c>
      <c r="D303" s="20">
        <v>55</v>
      </c>
      <c r="E303" s="24"/>
      <c r="F303" s="20" t="s">
        <v>34303</v>
      </c>
      <c r="G303" s="24" t="str">
        <f ca="1">IFERROR(__xludf.DUMMYFUNCTION("GOOGLETRANSLATE(F303,""en"",""pt"")"),"atas de reuniões")</f>
        <v>atas de reuniões</v>
      </c>
      <c r="H303" s="24"/>
      <c r="I303" s="24"/>
    </row>
    <row r="304" spans="1:9" ht="14.5">
      <c r="A304" s="20" t="s">
        <v>34304</v>
      </c>
      <c r="B304" s="20">
        <v>60</v>
      </c>
      <c r="C304" s="20">
        <v>40</v>
      </c>
      <c r="D304" s="20">
        <v>58</v>
      </c>
      <c r="E304" s="24"/>
      <c r="F304" s="20" t="s">
        <v>34305</v>
      </c>
      <c r="G304" s="24" t="str">
        <f ca="1">IFERROR(__xludf.DUMMYFUNCTION("GOOGLETRANSLATE(F304,""en"",""pt"")"),"fotos de progresso")</f>
        <v>fotos de progresso</v>
      </c>
      <c r="H304" s="20" t="s">
        <v>34306</v>
      </c>
      <c r="I304" s="24"/>
    </row>
    <row r="305" spans="1:9" ht="14.5">
      <c r="A305" s="20" t="s">
        <v>34307</v>
      </c>
      <c r="B305" s="20">
        <v>60</v>
      </c>
      <c r="C305" s="20">
        <v>40</v>
      </c>
      <c r="D305" s="20">
        <v>60</v>
      </c>
      <c r="E305" s="24"/>
      <c r="F305" s="20" t="s">
        <v>34308</v>
      </c>
      <c r="G305" s="24" t="str">
        <f ca="1">IFERROR(__xludf.DUMMYFUNCTION("GOOGLETRANSLATE(F305,""en"",""pt"")"),"Relatório de progresso")</f>
        <v>Relatório de progresso</v>
      </c>
      <c r="H305" s="20" t="s">
        <v>34309</v>
      </c>
      <c r="I305" s="24"/>
    </row>
    <row r="306" spans="1:9" ht="14.5">
      <c r="A306" s="20" t="s">
        <v>34310</v>
      </c>
      <c r="B306" s="20">
        <v>60</v>
      </c>
      <c r="C306" s="20">
        <v>50</v>
      </c>
      <c r="D306" s="24"/>
      <c r="E306" s="24"/>
      <c r="F306" s="20" t="s">
        <v>34311</v>
      </c>
      <c r="G306" s="24" t="str">
        <f ca="1">IFERROR(__xludf.DUMMYFUNCTION("GOOGLETRANSLATE(F306,""en"",""pt"")"),"gestão de custos contrato")</f>
        <v>gestão de custos contrato</v>
      </c>
      <c r="H306" s="24"/>
      <c r="I306" s="24"/>
    </row>
    <row r="307" spans="1:9" ht="14.5">
      <c r="A307" s="20" t="s">
        <v>34312</v>
      </c>
      <c r="B307" s="20">
        <v>60</v>
      </c>
      <c r="C307" s="20">
        <v>50</v>
      </c>
      <c r="D307" s="20">
        <v>10</v>
      </c>
      <c r="E307" s="24"/>
      <c r="F307" s="20" t="s">
        <v>34313</v>
      </c>
      <c r="G307" s="24" t="str">
        <f ca="1">IFERROR(__xludf.DUMMYFUNCTION("GOOGLETRANSLATE(F307,""en"",""pt"")"),"Despesas")</f>
        <v>Despesas</v>
      </c>
      <c r="H307" s="20" t="s">
        <v>34314</v>
      </c>
      <c r="I307" s="24"/>
    </row>
    <row r="308" spans="1:9" ht="14.5">
      <c r="A308" s="20" t="s">
        <v>34315</v>
      </c>
      <c r="B308" s="20">
        <v>60</v>
      </c>
      <c r="C308" s="20">
        <v>50</v>
      </c>
      <c r="D308" s="20">
        <v>12</v>
      </c>
      <c r="E308" s="24"/>
      <c r="F308" s="20" t="s">
        <v>34316</v>
      </c>
      <c r="G308" s="24" t="str">
        <f ca="1">IFERROR(__xludf.DUMMYFUNCTION("GOOGLETRANSLATE(F308,""en"",""pt"")"),"Previsão do fluxo de caixa")</f>
        <v>Previsão do fluxo de caixa</v>
      </c>
      <c r="H308" s="20" t="s">
        <v>34317</v>
      </c>
      <c r="I308" s="24"/>
    </row>
    <row r="309" spans="1:9" ht="14.5">
      <c r="A309" s="20" t="s">
        <v>34318</v>
      </c>
      <c r="B309" s="20">
        <v>60</v>
      </c>
      <c r="C309" s="20">
        <v>50</v>
      </c>
      <c r="D309" s="20">
        <v>16</v>
      </c>
      <c r="E309" s="24"/>
      <c r="F309" s="20" t="s">
        <v>34319</v>
      </c>
      <c r="G309" s="24" t="str">
        <f ca="1">IFERROR(__xludf.DUMMYFUNCTION("GOOGLETRANSLATE(F309,""en"",""pt"")"),"evento de compensação")</f>
        <v>evento de compensação</v>
      </c>
      <c r="H309" s="20" t="s">
        <v>34320</v>
      </c>
      <c r="I309" s="24"/>
    </row>
    <row r="310" spans="1:9" ht="14.5">
      <c r="A310" s="20" t="s">
        <v>34321</v>
      </c>
      <c r="B310" s="20">
        <v>60</v>
      </c>
      <c r="C310" s="20">
        <v>50</v>
      </c>
      <c r="D310" s="20">
        <v>17</v>
      </c>
      <c r="E310" s="24"/>
      <c r="F310" s="20" t="s">
        <v>34322</v>
      </c>
      <c r="G310" s="24" t="str">
        <f ca="1">IFERROR(__xludf.DUMMYFUNCTION("GOOGLETRANSLATE(F310,""en"",""pt"")"),"Certificado de conclusão")</f>
        <v>Certificado de conclusão</v>
      </c>
      <c r="H310" s="20" t="s">
        <v>34323</v>
      </c>
      <c r="I310" s="24"/>
    </row>
    <row r="311" spans="1:9" ht="14.5">
      <c r="A311" s="20" t="s">
        <v>34324</v>
      </c>
      <c r="B311" s="20">
        <v>60</v>
      </c>
      <c r="C311" s="20">
        <v>50</v>
      </c>
      <c r="D311" s="20">
        <v>19</v>
      </c>
      <c r="E311" s="24"/>
      <c r="F311" s="20" t="s">
        <v>34325</v>
      </c>
      <c r="G311" s="24" t="str">
        <f ca="1">IFERROR(__xludf.DUMMYFUNCTION("GOOGLETRANSLATE(F311,""en"",""pt"")"),"mudança contrato para previsão")</f>
        <v>mudança contrato para previsão</v>
      </c>
      <c r="H311" s="24"/>
      <c r="I311" s="24"/>
    </row>
    <row r="312" spans="1:9" ht="14.5">
      <c r="A312" s="20" t="s">
        <v>34326</v>
      </c>
      <c r="B312" s="20">
        <v>60</v>
      </c>
      <c r="C312" s="20">
        <v>50</v>
      </c>
      <c r="D312" s="20">
        <v>23</v>
      </c>
      <c r="E312" s="24"/>
      <c r="F312" s="20" t="s">
        <v>34327</v>
      </c>
      <c r="G312" s="24" t="str">
        <f ca="1">IFERROR(__xludf.DUMMYFUNCTION("GOOGLETRANSLATE(F312,""en"",""pt"")"),"Estimativa de custo")</f>
        <v>Estimativa de custo</v>
      </c>
      <c r="H312" s="20" t="s">
        <v>34328</v>
      </c>
      <c r="I312" s="24"/>
    </row>
    <row r="313" spans="1:9" ht="14.5">
      <c r="A313" s="20" t="s">
        <v>34329</v>
      </c>
      <c r="B313" s="20">
        <v>60</v>
      </c>
      <c r="C313" s="20">
        <v>50</v>
      </c>
      <c r="D313" s="20">
        <v>25</v>
      </c>
      <c r="E313" s="24"/>
      <c r="F313" s="20" t="s">
        <v>34330</v>
      </c>
      <c r="G313" s="24" t="str">
        <f ca="1">IFERROR(__xludf.DUMMYFUNCTION("GOOGLETRANSLATE(F313,""en"",""pt"")"),"previsão de custos")</f>
        <v>previsão de custos</v>
      </c>
      <c r="H313" s="24"/>
      <c r="I313" s="24"/>
    </row>
    <row r="314" spans="1:9" ht="14.5">
      <c r="A314" s="20" t="s">
        <v>34331</v>
      </c>
      <c r="B314" s="20">
        <v>60</v>
      </c>
      <c r="C314" s="20">
        <v>50</v>
      </c>
      <c r="D314" s="20">
        <v>27</v>
      </c>
      <c r="E314" s="24"/>
      <c r="F314" s="20" t="s">
        <v>34332</v>
      </c>
      <c r="G314" s="24" t="str">
        <f ca="1">IFERROR(__xludf.DUMMYFUNCTION("GOOGLETRANSLATE(F314,""en"",""pt"")"),"relatório de informação de custos")</f>
        <v>relatório de informação de custos</v>
      </c>
      <c r="H314" s="20" t="s">
        <v>34333</v>
      </c>
      <c r="I314" s="24"/>
    </row>
    <row r="315" spans="1:9" ht="14.5">
      <c r="A315" s="20" t="s">
        <v>34334</v>
      </c>
      <c r="B315" s="20">
        <v>60</v>
      </c>
      <c r="C315" s="20">
        <v>50</v>
      </c>
      <c r="D315" s="20">
        <v>35</v>
      </c>
      <c r="E315" s="24"/>
      <c r="F315" s="20" t="s">
        <v>34335</v>
      </c>
      <c r="G315" s="24" t="str">
        <f ca="1">IFERROR(__xludf.DUMMYFUNCTION("GOOGLETRANSLATE(F315,""en"",""pt"")"),"nota de honorários")</f>
        <v>nota de honorários</v>
      </c>
      <c r="H315" s="24"/>
      <c r="I315" s="24"/>
    </row>
    <row r="316" spans="1:9" ht="14.5">
      <c r="A316" s="20" t="s">
        <v>34336</v>
      </c>
      <c r="B316" s="20">
        <v>60</v>
      </c>
      <c r="C316" s="20">
        <v>50</v>
      </c>
      <c r="D316" s="20">
        <v>37</v>
      </c>
      <c r="E316" s="24"/>
      <c r="F316" s="20" t="s">
        <v>34337</v>
      </c>
      <c r="G316" s="24" t="str">
        <f ca="1">IFERROR(__xludf.DUMMYFUNCTION("GOOGLETRANSLATE(F316,""en"",""pt"")"),"Relatório financeiro")</f>
        <v>Relatório financeiro</v>
      </c>
      <c r="H316" s="24"/>
      <c r="I316" s="24"/>
    </row>
    <row r="317" spans="1:9" ht="14.5">
      <c r="A317" s="20" t="s">
        <v>34338</v>
      </c>
      <c r="B317" s="20">
        <v>60</v>
      </c>
      <c r="C317" s="20">
        <v>50</v>
      </c>
      <c r="D317" s="20">
        <v>50</v>
      </c>
      <c r="E317" s="24"/>
      <c r="F317" s="20" t="s">
        <v>34339</v>
      </c>
      <c r="G317" s="24" t="str">
        <f ca="1">IFERROR(__xludf.DUMMYFUNCTION("GOOGLETRANSLATE(F317,""en"",""pt"")"),"cronograma de pagamento Milestone")</f>
        <v>cronograma de pagamento Milestone</v>
      </c>
      <c r="H317" s="24"/>
      <c r="I317" s="24"/>
    </row>
    <row r="318" spans="1:9" ht="14.5">
      <c r="A318" s="20" t="s">
        <v>34340</v>
      </c>
      <c r="B318" s="20">
        <v>60</v>
      </c>
      <c r="C318" s="20">
        <v>50</v>
      </c>
      <c r="D318" s="20">
        <v>58</v>
      </c>
      <c r="E318" s="24"/>
      <c r="F318" s="20" t="s">
        <v>34341</v>
      </c>
      <c r="G318" s="24" t="str">
        <f ca="1">IFERROR(__xludf.DUMMYFUNCTION("GOOGLETRANSLATE(F318,""en"",""pt"")"),"Ordem")</f>
        <v>Ordem</v>
      </c>
      <c r="H318" s="24"/>
      <c r="I318" s="24"/>
    </row>
    <row r="319" spans="1:9" ht="14.5">
      <c r="A319" s="20" t="s">
        <v>34342</v>
      </c>
      <c r="B319" s="20">
        <v>60</v>
      </c>
      <c r="C319" s="20">
        <v>50</v>
      </c>
      <c r="D319" s="20">
        <v>60</v>
      </c>
      <c r="E319" s="24"/>
      <c r="F319" s="20" t="s">
        <v>34343</v>
      </c>
      <c r="G319" s="24" t="str">
        <f ca="1">IFERROR(__xludf.DUMMYFUNCTION("GOOGLETRANSLATE(F319,""en"",""pt"")"),"aplicativo de pagamento")</f>
        <v>aplicativo de pagamento</v>
      </c>
      <c r="H319" s="24"/>
      <c r="I319" s="24"/>
    </row>
    <row r="320" spans="1:9" ht="14.5">
      <c r="A320" s="20" t="s">
        <v>34344</v>
      </c>
      <c r="B320" s="20">
        <v>60</v>
      </c>
      <c r="C320" s="20">
        <v>50</v>
      </c>
      <c r="D320" s="20">
        <v>62</v>
      </c>
      <c r="E320" s="24"/>
      <c r="F320" s="20" t="s">
        <v>34345</v>
      </c>
      <c r="G320" s="24" t="str">
        <f ca="1">IFERROR(__xludf.DUMMYFUNCTION("GOOGLETRANSLATE(F320,""en"",""pt"")"),"Certificado de pagamento")</f>
        <v>Certificado de pagamento</v>
      </c>
      <c r="H320" s="24"/>
      <c r="I320" s="24"/>
    </row>
    <row r="321" spans="1:9" ht="14.5">
      <c r="A321" s="20" t="s">
        <v>34346</v>
      </c>
      <c r="B321" s="20">
        <v>60</v>
      </c>
      <c r="C321" s="20">
        <v>50</v>
      </c>
      <c r="D321" s="20">
        <v>63</v>
      </c>
      <c r="E321" s="24"/>
      <c r="F321" s="20" t="s">
        <v>34347</v>
      </c>
      <c r="G321" s="24" t="str">
        <f ca="1">IFERROR(__xludf.DUMMYFUNCTION("GOOGLETRANSLATE(F321,""en"",""pt"")"),"documento de Preços")</f>
        <v>documento de Preços</v>
      </c>
      <c r="H321" s="20" t="s">
        <v>34348</v>
      </c>
      <c r="I321" s="24"/>
    </row>
    <row r="322" spans="1:9" ht="14.5">
      <c r="A322" s="20" t="s">
        <v>34349</v>
      </c>
      <c r="B322" s="20">
        <v>60</v>
      </c>
      <c r="C322" s="20">
        <v>50</v>
      </c>
      <c r="D322" s="20">
        <v>69</v>
      </c>
      <c r="E322" s="24"/>
      <c r="F322" s="20" t="s">
        <v>34350</v>
      </c>
      <c r="G322" s="24" t="str">
        <f ca="1">IFERROR(__xludf.DUMMYFUNCTION("GOOGLETRANSLATE(F322,""en"",""pt"")"),"cotação")</f>
        <v>cotação</v>
      </c>
      <c r="H322" s="24"/>
      <c r="I322" s="24"/>
    </row>
    <row r="323" spans="1:9" ht="14.5">
      <c r="A323" s="20" t="s">
        <v>34351</v>
      </c>
      <c r="B323" s="20">
        <v>60</v>
      </c>
      <c r="C323" s="20">
        <v>50</v>
      </c>
      <c r="D323" s="20">
        <v>88</v>
      </c>
      <c r="E323" s="24"/>
      <c r="F323" s="20" t="s">
        <v>34352</v>
      </c>
      <c r="G323" s="24" t="str">
        <f ca="1">IFERROR(__xludf.DUMMYFUNCTION("GOOGLETRANSLATE(F323,""en"",""pt"")"),"Questão técnica")</f>
        <v>Questão técnica</v>
      </c>
      <c r="H323" s="24"/>
      <c r="I323" s="24"/>
    </row>
    <row r="324" spans="1:9" ht="14.5">
      <c r="A324" s="20" t="s">
        <v>34353</v>
      </c>
      <c r="B324" s="20">
        <v>60</v>
      </c>
      <c r="C324" s="20">
        <v>50</v>
      </c>
      <c r="D324" s="20">
        <v>90</v>
      </c>
      <c r="E324" s="24"/>
      <c r="F324" s="20" t="s">
        <v>34354</v>
      </c>
      <c r="G324" s="24" t="str">
        <f ca="1">IFERROR(__xludf.DUMMYFUNCTION("GOOGLETRANSLATE(F324,""en"",""pt"")"),"Planilha de horário")</f>
        <v>Planilha de horário</v>
      </c>
      <c r="H324" s="24"/>
      <c r="I324" s="24"/>
    </row>
    <row r="325" spans="1:9" ht="14.5">
      <c r="A325" s="20" t="s">
        <v>34355</v>
      </c>
      <c r="B325" s="20">
        <v>60</v>
      </c>
      <c r="C325" s="20">
        <v>60</v>
      </c>
      <c r="D325" s="24"/>
      <c r="E325" s="24"/>
      <c r="F325" s="20" t="s">
        <v>34356</v>
      </c>
      <c r="G325" s="24" t="str">
        <f ca="1">IFERROR(__xludf.DUMMYFUNCTION("GOOGLETRANSLATE(F325,""en"",""pt"")"),"informações de suporte contrato")</f>
        <v>informações de suporte contrato</v>
      </c>
      <c r="H325" s="24"/>
      <c r="I325" s="24"/>
    </row>
    <row r="326" spans="1:9" ht="14.5">
      <c r="A326" s="20" t="s">
        <v>34357</v>
      </c>
      <c r="B326" s="20">
        <v>60</v>
      </c>
      <c r="C326" s="20">
        <v>60</v>
      </c>
      <c r="D326" s="20">
        <v>15</v>
      </c>
      <c r="E326" s="24"/>
      <c r="F326" s="20" t="s">
        <v>34358</v>
      </c>
      <c r="G326" s="24" t="str">
        <f ca="1">IFERROR(__xludf.DUMMYFUNCTION("GOOGLETRANSLATE(F326,""en"",""pt"")"),"lista de contatos")</f>
        <v>lista de contatos</v>
      </c>
      <c r="H326" s="20" t="s">
        <v>34359</v>
      </c>
      <c r="I326" s="24"/>
    </row>
    <row r="327" spans="1:9" ht="14.5">
      <c r="A327" s="20" t="s">
        <v>34360</v>
      </c>
      <c r="B327" s="20">
        <v>60</v>
      </c>
      <c r="C327" s="20">
        <v>60</v>
      </c>
      <c r="D327" s="20">
        <v>26</v>
      </c>
      <c r="E327" s="24"/>
      <c r="F327" s="20" t="s">
        <v>34361</v>
      </c>
      <c r="G327" s="24" t="str">
        <f ca="1">IFERROR(__xludf.DUMMYFUNCTION("GOOGLETRANSLATE(F327,""en"",""pt"")"),"informações de proteção ambiental")</f>
        <v>informações de proteção ambiental</v>
      </c>
      <c r="H327" s="20" t="s">
        <v>34362</v>
      </c>
      <c r="I327" s="24"/>
    </row>
    <row r="328" spans="1:9" ht="14.5">
      <c r="A328" s="20" t="s">
        <v>34363</v>
      </c>
      <c r="B328" s="20">
        <v>60</v>
      </c>
      <c r="C328" s="20">
        <v>60</v>
      </c>
      <c r="D328" s="20">
        <v>40</v>
      </c>
      <c r="E328" s="24"/>
      <c r="F328" s="20" t="s">
        <v>34364</v>
      </c>
      <c r="G328" s="24" t="str">
        <f ca="1">IFERROR(__xludf.DUMMYFUNCTION("GOOGLETRANSLATE(F328,""en"",""pt"")"),"apólices de seguro e registros")</f>
        <v>apólices de seguro e registros</v>
      </c>
      <c r="H328" s="20" t="s">
        <v>34365</v>
      </c>
      <c r="I328" s="24"/>
    </row>
    <row r="329" spans="1:9" ht="14.5">
      <c r="A329" s="20" t="s">
        <v>34366</v>
      </c>
      <c r="B329" s="20">
        <v>60</v>
      </c>
      <c r="C329" s="20">
        <v>60</v>
      </c>
      <c r="D329" s="20">
        <v>60</v>
      </c>
      <c r="E329" s="24"/>
      <c r="F329" s="20" t="s">
        <v>34367</v>
      </c>
      <c r="G329" s="24" t="str">
        <f ca="1">IFERROR(__xludf.DUMMYFUNCTION("GOOGLETRANSLATE(F329,""en"",""pt"")"),"controle do site e informações de proteção")</f>
        <v>controle do site e informações de proteção</v>
      </c>
      <c r="H329" s="20" t="s">
        <v>34368</v>
      </c>
      <c r="I329" s="24"/>
    </row>
    <row r="330" spans="1:9" ht="14.5">
      <c r="A330" s="20" t="s">
        <v>34369</v>
      </c>
      <c r="B330" s="20">
        <v>60</v>
      </c>
      <c r="C330" s="20">
        <v>60</v>
      </c>
      <c r="D330" s="20">
        <v>65</v>
      </c>
      <c r="E330" s="24"/>
      <c r="F330" s="20" t="s">
        <v>34370</v>
      </c>
      <c r="G330" s="24" t="str">
        <f ca="1">IFERROR(__xludf.DUMMYFUNCTION("GOOGLETRANSLATE(F330,""en"",""pt"")"),"registros de pessoal local")</f>
        <v>registros de pessoal local</v>
      </c>
      <c r="H330" s="24"/>
      <c r="I330" s="24"/>
    </row>
    <row r="331" spans="1:9" ht="14.5">
      <c r="A331" s="20" t="s">
        <v>34371</v>
      </c>
      <c r="B331" s="20">
        <v>60</v>
      </c>
      <c r="C331" s="20">
        <v>60</v>
      </c>
      <c r="D331" s="20">
        <v>70</v>
      </c>
      <c r="E331" s="24"/>
      <c r="F331" s="20" t="s">
        <v>34372</v>
      </c>
      <c r="G331" s="24" t="str">
        <f ca="1">IFERROR(__xludf.DUMMYFUNCTION("GOOGLETRANSLATE(F331,""en"",""pt"")"),"registros do site")</f>
        <v>registros do site</v>
      </c>
      <c r="H331" s="20" t="s">
        <v>34373</v>
      </c>
      <c r="I331" s="24"/>
    </row>
    <row r="332" spans="1:9" ht="14.5">
      <c r="A332" s="20" t="s">
        <v>34374</v>
      </c>
      <c r="B332" s="20">
        <v>60</v>
      </c>
      <c r="C332" s="20">
        <v>60</v>
      </c>
      <c r="D332" s="20">
        <v>75</v>
      </c>
      <c r="E332" s="24"/>
      <c r="F332" s="20" t="s">
        <v>34375</v>
      </c>
      <c r="G332" s="24" t="str">
        <f ca="1">IFERROR(__xludf.DUMMYFUNCTION("GOOGLETRANSLATE(F332,""en"",""pt"")"),"informações de segurança local")</f>
        <v>informações de segurança local</v>
      </c>
      <c r="H332" s="20" t="s">
        <v>34376</v>
      </c>
      <c r="I332" s="24"/>
    </row>
    <row r="333" spans="1:9" ht="14.5">
      <c r="A333" s="20" t="s">
        <v>34377</v>
      </c>
      <c r="B333" s="20">
        <v>60</v>
      </c>
      <c r="C333" s="20">
        <v>60</v>
      </c>
      <c r="D333" s="20">
        <v>88</v>
      </c>
      <c r="E333" s="24"/>
      <c r="F333" s="20" t="s">
        <v>34378</v>
      </c>
      <c r="G333" s="24" t="str">
        <f ca="1">IFERROR(__xludf.DUMMYFUNCTION("GOOGLETRANSLATE(F333,""en"",""pt"")"),"registros de serviços temporários")</f>
        <v>registros de serviços temporários</v>
      </c>
      <c r="H333" s="20" t="s">
        <v>34379</v>
      </c>
      <c r="I333" s="24"/>
    </row>
    <row r="334" spans="1:9" ht="14.5">
      <c r="A334" s="20" t="s">
        <v>34380</v>
      </c>
      <c r="B334" s="20">
        <v>60</v>
      </c>
      <c r="C334" s="20">
        <v>60</v>
      </c>
      <c r="D334" s="20">
        <v>90</v>
      </c>
      <c r="E334" s="24"/>
      <c r="F334" s="20" t="s">
        <v>34381</v>
      </c>
      <c r="G334" s="24" t="str">
        <f ca="1">IFERROR(__xludf.DUMMYFUNCTION("GOOGLETRANSLATE(F334,""en"",""pt"")"),"registros de trabalhos temporários")</f>
        <v>registros de trabalhos temporários</v>
      </c>
      <c r="H334" s="24"/>
      <c r="I334" s="24"/>
    </row>
    <row r="335" spans="1:9" ht="14.5">
      <c r="A335" s="20" t="s">
        <v>34382</v>
      </c>
      <c r="B335" s="20">
        <v>60</v>
      </c>
      <c r="C335" s="20">
        <v>70</v>
      </c>
      <c r="D335" s="24"/>
      <c r="E335" s="24"/>
      <c r="F335" s="20" t="s">
        <v>34383</v>
      </c>
      <c r="G335" s="24" t="str">
        <f ca="1">IFERROR(__xludf.DUMMYFUNCTION("GOOGLETRANSLATE(F335,""en"",""pt"")"),"gestão de risco de construção")</f>
        <v>gestão de risco de construção</v>
      </c>
      <c r="H335" s="24"/>
      <c r="I335" s="24"/>
    </row>
    <row r="336" spans="1:9" ht="14.5">
      <c r="A336" s="20" t="s">
        <v>34384</v>
      </c>
      <c r="B336" s="20">
        <v>60</v>
      </c>
      <c r="C336" s="20">
        <v>70</v>
      </c>
      <c r="D336" s="20">
        <v>17</v>
      </c>
      <c r="E336" s="24"/>
      <c r="F336" s="20" t="s">
        <v>34385</v>
      </c>
      <c r="G336" s="24" t="str">
        <f ca="1">IFERROR(__xludf.DUMMYFUNCTION("GOOGLETRANSLATE(F336,""en"",""pt"")"),"saúde fase de construção e plano de segurança")</f>
        <v>saúde fase de construção e plano de segurança</v>
      </c>
      <c r="H336" s="20" t="s">
        <v>34386</v>
      </c>
      <c r="I336" s="24"/>
    </row>
    <row r="337" spans="1:9" ht="14.5">
      <c r="A337" s="20" t="s">
        <v>34387</v>
      </c>
      <c r="B337" s="20">
        <v>60</v>
      </c>
      <c r="C337" s="20">
        <v>70</v>
      </c>
      <c r="D337" s="20">
        <v>20</v>
      </c>
      <c r="E337" s="24"/>
      <c r="F337" s="20" t="s">
        <v>34388</v>
      </c>
      <c r="G337" s="24" t="str">
        <f ca="1">IFERROR(__xludf.DUMMYFUNCTION("GOOGLETRANSLATE(F337,""en"",""pt"")"),"Relatório de Riscos demolição")</f>
        <v>Relatório de Riscos demolição</v>
      </c>
      <c r="H337" s="20" t="s">
        <v>34389</v>
      </c>
      <c r="I337" s="24"/>
    </row>
    <row r="338" spans="1:9" ht="14.5">
      <c r="A338" s="20" t="s">
        <v>34390</v>
      </c>
      <c r="B338" s="20">
        <v>60</v>
      </c>
      <c r="C338" s="20">
        <v>70</v>
      </c>
      <c r="D338" s="20">
        <v>25</v>
      </c>
      <c r="E338" s="24"/>
      <c r="F338" s="20" t="s">
        <v>34391</v>
      </c>
      <c r="G338" s="24" t="str">
        <f ca="1">IFERROR(__xludf.DUMMYFUNCTION("GOOGLETRANSLATE(F338,""en"",""pt"")"),"Relatório de Riscos execução")</f>
        <v>Relatório de Riscos execução</v>
      </c>
      <c r="H338" s="20" t="s">
        <v>34392</v>
      </c>
      <c r="I338" s="24"/>
    </row>
    <row r="339" spans="1:9" ht="14.5">
      <c r="A339" s="20" t="s">
        <v>34393</v>
      </c>
      <c r="B339" s="20">
        <v>60</v>
      </c>
      <c r="C339" s="20">
        <v>70</v>
      </c>
      <c r="D339" s="20">
        <v>40</v>
      </c>
      <c r="E339" s="24"/>
      <c r="F339" s="20" t="s">
        <v>34394</v>
      </c>
      <c r="G339" s="24" t="str">
        <f ca="1">IFERROR(__xludf.DUMMYFUNCTION("GOOGLETRANSLATE(F339,""en"",""pt"")"),"Saúde e segurança declaração")</f>
        <v>Saúde e segurança declaração</v>
      </c>
      <c r="H339" s="20" t="s">
        <v>34395</v>
      </c>
      <c r="I339" s="24"/>
    </row>
    <row r="340" spans="1:9" ht="14.5">
      <c r="A340" s="20" t="s">
        <v>34396</v>
      </c>
      <c r="B340" s="20">
        <v>60</v>
      </c>
      <c r="C340" s="20">
        <v>70</v>
      </c>
      <c r="D340" s="20">
        <v>60</v>
      </c>
      <c r="E340" s="24"/>
      <c r="F340" s="20" t="s">
        <v>34397</v>
      </c>
      <c r="G340" s="24" t="str">
        <f ca="1">IFERROR(__xludf.DUMMYFUNCTION("GOOGLETRANSLATE(F340,""en"",""pt"")"),"relatório de perigo do produto")</f>
        <v>relatório de perigo do produto</v>
      </c>
      <c r="H340" s="20" t="s">
        <v>34398</v>
      </c>
      <c r="I340" s="24"/>
    </row>
    <row r="341" spans="1:9" ht="14.5">
      <c r="A341" s="20" t="s">
        <v>34399</v>
      </c>
      <c r="B341" s="20">
        <v>60</v>
      </c>
      <c r="C341" s="20">
        <v>70</v>
      </c>
      <c r="D341" s="20">
        <v>70</v>
      </c>
      <c r="E341" s="24"/>
      <c r="F341" s="20" t="s">
        <v>34400</v>
      </c>
      <c r="G341" s="24" t="str">
        <f ca="1">IFERROR(__xludf.DUMMYFUNCTION("GOOGLETRANSLATE(F341,""en"",""pt"")"),"avaliação de risco do Site")</f>
        <v>avaliação de risco do Site</v>
      </c>
      <c r="H341" s="24"/>
      <c r="I341" s="24"/>
    </row>
    <row r="342" spans="1:9" ht="14.5">
      <c r="A342" s="20" t="s">
        <v>34401</v>
      </c>
      <c r="B342" s="20">
        <v>60</v>
      </c>
      <c r="C342" s="20">
        <v>70</v>
      </c>
      <c r="D342" s="20">
        <v>72</v>
      </c>
      <c r="E342" s="24"/>
      <c r="F342" s="20" t="s">
        <v>34402</v>
      </c>
      <c r="G342" s="24" t="str">
        <f ca="1">IFERROR(__xludf.DUMMYFUNCTION("GOOGLETRANSLATE(F342,""en"",""pt"")"),"relatório de risco do Site")</f>
        <v>relatório de risco do Site</v>
      </c>
      <c r="H342" s="24"/>
      <c r="I342" s="24"/>
    </row>
    <row r="343" spans="1:9" ht="14.5">
      <c r="A343" s="20" t="s">
        <v>34403</v>
      </c>
      <c r="B343" s="20">
        <v>60</v>
      </c>
      <c r="C343" s="20">
        <v>70</v>
      </c>
      <c r="D343" s="20">
        <v>75</v>
      </c>
      <c r="E343" s="24"/>
      <c r="F343" s="20" t="s">
        <v>34404</v>
      </c>
      <c r="G343" s="24" t="str">
        <f ca="1">IFERROR(__xludf.DUMMYFUNCTION("GOOGLETRANSLATE(F343,""en"",""pt"")"),"política de segurança local")</f>
        <v>política de segurança local</v>
      </c>
      <c r="H343" s="20" t="s">
        <v>34405</v>
      </c>
      <c r="I343" s="24"/>
    </row>
    <row r="344" spans="1:9" ht="14.5">
      <c r="A344" s="20" t="s">
        <v>34406</v>
      </c>
      <c r="B344" s="20">
        <v>60</v>
      </c>
      <c r="C344" s="20">
        <v>70</v>
      </c>
      <c r="D344" s="20">
        <v>80</v>
      </c>
      <c r="E344" s="24"/>
      <c r="F344" s="20" t="s">
        <v>34407</v>
      </c>
      <c r="G344" s="24" t="str">
        <f ca="1">IFERROR(__xludf.DUMMYFUNCTION("GOOGLETRANSLATE(F344,""en"",""pt"")"),"sistema de registo de responsabilidade social")</f>
        <v>sistema de registo de responsabilidade social</v>
      </c>
      <c r="H344" s="20" t="s">
        <v>34408</v>
      </c>
      <c r="I344" s="24"/>
    </row>
    <row r="345" spans="1:9" ht="14.5">
      <c r="A345" s="20" t="s">
        <v>34409</v>
      </c>
      <c r="B345" s="20">
        <v>60</v>
      </c>
      <c r="C345" s="20">
        <v>70</v>
      </c>
      <c r="D345" s="20">
        <v>93</v>
      </c>
      <c r="E345" s="24"/>
      <c r="F345" s="20" t="s">
        <v>34410</v>
      </c>
      <c r="G345" s="24" t="str">
        <f ca="1">IFERROR(__xludf.DUMMYFUNCTION("GOOGLETRANSLATE(F345,""en"",""pt"")"),"relatório de segurança do veículo")</f>
        <v>relatório de segurança do veículo</v>
      </c>
      <c r="H345" s="20" t="s">
        <v>34411</v>
      </c>
      <c r="I345" s="24"/>
    </row>
    <row r="346" spans="1:9" ht="14.5">
      <c r="A346" s="20" t="s">
        <v>34412</v>
      </c>
      <c r="B346" s="20">
        <v>60</v>
      </c>
      <c r="C346" s="20">
        <v>70</v>
      </c>
      <c r="D346" s="20">
        <v>95</v>
      </c>
      <c r="E346" s="24"/>
      <c r="F346" s="20" t="s">
        <v>34413</v>
      </c>
      <c r="G346" s="24" t="str">
        <f ca="1">IFERROR(__xludf.DUMMYFUNCTION("GOOGLETRANSLATE(F346,""en"",""pt"")"),"sistema de registo responsabilidade Welfare")</f>
        <v>sistema de registo responsabilidade Welfare</v>
      </c>
      <c r="H346" s="20" t="s">
        <v>34414</v>
      </c>
      <c r="I346" s="24"/>
    </row>
    <row r="347" spans="1:9" ht="14.5">
      <c r="A347" s="20" t="s">
        <v>34415</v>
      </c>
      <c r="B347" s="20">
        <v>60</v>
      </c>
      <c r="C347" s="20">
        <v>90</v>
      </c>
      <c r="D347" s="24"/>
      <c r="E347" s="24"/>
      <c r="F347" s="20" t="s">
        <v>34416</v>
      </c>
      <c r="G347" s="24" t="str">
        <f ca="1">IFERROR(__xludf.DUMMYFUNCTION("GOOGLETRANSLATE(F347,""en"",""pt"")"),"Contrato informações padrões de qualidade")</f>
        <v>Contrato informações padrões de qualidade</v>
      </c>
      <c r="H347" s="24"/>
      <c r="I347" s="24"/>
    </row>
    <row r="348" spans="1:9" ht="14.5">
      <c r="A348" s="20" t="s">
        <v>34417</v>
      </c>
      <c r="B348" s="20">
        <v>60</v>
      </c>
      <c r="C348" s="20">
        <v>90</v>
      </c>
      <c r="D348" s="20">
        <v>40</v>
      </c>
      <c r="E348" s="24"/>
      <c r="F348" s="20" t="s">
        <v>34418</v>
      </c>
      <c r="G348" s="24" t="str">
        <f ca="1">IFERROR(__xludf.DUMMYFUNCTION("GOOGLETRANSLATE(F348,""en"",""pt"")"),"relatório de inspeção no local")</f>
        <v>relatório de inspeção no local</v>
      </c>
      <c r="H348" s="20" t="s">
        <v>34419</v>
      </c>
      <c r="I348" s="24"/>
    </row>
    <row r="349" spans="1:9" ht="14.5">
      <c r="A349" s="20" t="s">
        <v>34420</v>
      </c>
      <c r="B349" s="20">
        <v>60</v>
      </c>
      <c r="C349" s="20">
        <v>90</v>
      </c>
      <c r="D349" s="20">
        <v>70</v>
      </c>
      <c r="E349" s="24"/>
      <c r="F349" s="20" t="s">
        <v>34421</v>
      </c>
      <c r="G349" s="24" t="str">
        <f ca="1">IFERROR(__xludf.DUMMYFUNCTION("GOOGLETRANSLATE(F349,""en"",""pt"")"),"controle de qualidade e relatório de gestão")</f>
        <v>controle de qualidade e relatório de gestão</v>
      </c>
      <c r="H349" s="20" t="s">
        <v>34422</v>
      </c>
      <c r="I349" s="24"/>
    </row>
    <row r="350" spans="1:9" ht="14.5">
      <c r="A350" s="20" t="s">
        <v>34423</v>
      </c>
      <c r="B350" s="20">
        <v>70</v>
      </c>
      <c r="C350" s="24"/>
      <c r="D350" s="24"/>
      <c r="E350" s="24"/>
      <c r="F350" s="20" t="s">
        <v>34424</v>
      </c>
      <c r="G350" s="24" t="str">
        <f ca="1">IFERROR(__xludf.DUMMYFUNCTION("GOOGLETRANSLATE(F350,""en"",""pt"")"),"Testes, comissionamento e informações conclusão")</f>
        <v>Testes, comissionamento e informações conclusão</v>
      </c>
      <c r="H350" s="24"/>
      <c r="I350" s="24"/>
    </row>
    <row r="351" spans="1:9" ht="14.5">
      <c r="A351" s="20" t="s">
        <v>34425</v>
      </c>
      <c r="B351" s="20">
        <v>70</v>
      </c>
      <c r="C351" s="20">
        <v>75</v>
      </c>
      <c r="D351" s="24"/>
      <c r="E351" s="24"/>
      <c r="F351" s="20" t="s">
        <v>34426</v>
      </c>
      <c r="G351" s="24" t="str">
        <f ca="1">IFERROR(__xludf.DUMMYFUNCTION("GOOGLETRANSLATE(F351,""en"",""pt"")"),"informações de teste")</f>
        <v>informações de teste</v>
      </c>
      <c r="H351" s="24"/>
      <c r="I351" s="24"/>
    </row>
    <row r="352" spans="1:9" ht="14.5">
      <c r="A352" s="20" t="s">
        <v>34427</v>
      </c>
      <c r="B352" s="20">
        <v>70</v>
      </c>
      <c r="C352" s="20">
        <v>75</v>
      </c>
      <c r="D352" s="20">
        <v>2</v>
      </c>
      <c r="E352" s="24"/>
      <c r="F352" s="20" t="s">
        <v>34428</v>
      </c>
      <c r="G352" s="24" t="str">
        <f ca="1">IFERROR(__xludf.DUMMYFUNCTION("GOOGLETRANSLATE(F352,""en"",""pt"")"),"relatório de ensaio de distribuição de ar")</f>
        <v>relatório de ensaio de distribuição de ar</v>
      </c>
      <c r="H352" s="24"/>
      <c r="I352" s="24"/>
    </row>
    <row r="353" spans="1:9" ht="14.5">
      <c r="A353" s="20" t="s">
        <v>34429</v>
      </c>
      <c r="B353" s="20">
        <v>70</v>
      </c>
      <c r="C353" s="20">
        <v>75</v>
      </c>
      <c r="D353" s="20">
        <v>15</v>
      </c>
      <c r="E353" s="24"/>
      <c r="F353" s="20" t="s">
        <v>34430</v>
      </c>
      <c r="G353" s="24" t="str">
        <f ca="1">IFERROR(__xludf.DUMMYFUNCTION("GOOGLETRANSLATE(F353,""en"",""pt"")"),"relatório de teste do sistema de controle")</f>
        <v>relatório de teste do sistema de controle</v>
      </c>
      <c r="H353" s="24"/>
      <c r="I353" s="24"/>
    </row>
    <row r="354" spans="1:9" ht="14.5">
      <c r="A354" s="20" t="s">
        <v>34431</v>
      </c>
      <c r="B354" s="20">
        <v>70</v>
      </c>
      <c r="C354" s="20">
        <v>75</v>
      </c>
      <c r="D354" s="20">
        <v>27</v>
      </c>
      <c r="E354" s="24"/>
      <c r="F354" s="20" t="s">
        <v>34432</v>
      </c>
      <c r="G354" s="24" t="str">
        <f ca="1">IFERROR(__xludf.DUMMYFUNCTION("GOOGLETRANSLATE(F354,""en"",""pt"")"),"relatório de teste de instalação eléctrica")</f>
        <v>relatório de teste de instalação eléctrica</v>
      </c>
      <c r="H354" s="24"/>
      <c r="I354" s="24"/>
    </row>
    <row r="355" spans="1:9" ht="14.5">
      <c r="A355" s="20" t="s">
        <v>34433</v>
      </c>
      <c r="B355" s="20">
        <v>70</v>
      </c>
      <c r="C355" s="20">
        <v>75</v>
      </c>
      <c r="D355" s="20">
        <v>28</v>
      </c>
      <c r="E355" s="24"/>
      <c r="F355" s="20" t="s">
        <v>34434</v>
      </c>
      <c r="G355" s="24" t="str">
        <f ca="1">IFERROR(__xludf.DUMMYFUNCTION("GOOGLETRANSLATE(F355,""en"",""pt"")"),"relatório de teste de instalação de iluminação de emergência")</f>
        <v>relatório de teste de instalação de iluminação de emergência</v>
      </c>
      <c r="H355" s="24"/>
      <c r="I355" s="24"/>
    </row>
    <row r="356" spans="1:9" ht="14.5">
      <c r="A356" s="20" t="s">
        <v>34435</v>
      </c>
      <c r="B356" s="20">
        <v>70</v>
      </c>
      <c r="C356" s="20">
        <v>75</v>
      </c>
      <c r="D356" s="20">
        <v>30</v>
      </c>
      <c r="E356" s="24"/>
      <c r="F356" s="20" t="s">
        <v>34436</v>
      </c>
      <c r="G356" s="24" t="str">
        <f ca="1">IFERROR(__xludf.DUMMYFUNCTION("GOOGLETRANSLATE(F356,""en"",""pt"")"),"relatório de teste de instalação de protecção contra incêndios")</f>
        <v>relatório de teste de instalação de protecção contra incêndios</v>
      </c>
      <c r="H356" s="24"/>
      <c r="I356" s="24"/>
    </row>
    <row r="357" spans="1:9" ht="14.5">
      <c r="A357" s="20" t="s">
        <v>34437</v>
      </c>
      <c r="B357" s="20">
        <v>70</v>
      </c>
      <c r="C357" s="20">
        <v>75</v>
      </c>
      <c r="D357" s="20">
        <v>32</v>
      </c>
      <c r="E357" s="24"/>
      <c r="F357" s="20" t="s">
        <v>34438</v>
      </c>
      <c r="G357" s="24" t="str">
        <f ca="1">IFERROR(__xludf.DUMMYFUNCTION("GOOGLETRANSLATE(F357,""en"",""pt"")"),"certificado de instalação de gás")</f>
        <v>certificado de instalação de gás</v>
      </c>
      <c r="H357" s="24"/>
      <c r="I357" s="24"/>
    </row>
    <row r="358" spans="1:9" ht="14.5">
      <c r="A358" s="20" t="s">
        <v>34439</v>
      </c>
      <c r="B358" s="20">
        <v>70</v>
      </c>
      <c r="C358" s="20">
        <v>75</v>
      </c>
      <c r="D358" s="20">
        <v>36</v>
      </c>
      <c r="E358" s="24"/>
      <c r="F358" s="20" t="s">
        <v>34440</v>
      </c>
      <c r="G358" s="24" t="str">
        <f ca="1">IFERROR(__xludf.DUMMYFUNCTION("GOOGLETRANSLATE(F358,""en"",""pt"")"),"Aquecimento relatório de teste de instalação")</f>
        <v>Aquecimento relatório de teste de instalação</v>
      </c>
      <c r="H358" s="24"/>
      <c r="I358" s="24"/>
    </row>
    <row r="359" spans="1:9" ht="14.5">
      <c r="A359" s="20" t="s">
        <v>34441</v>
      </c>
      <c r="B359" s="20">
        <v>70</v>
      </c>
      <c r="C359" s="20">
        <v>75</v>
      </c>
      <c r="D359" s="20">
        <v>37</v>
      </c>
      <c r="E359" s="24"/>
      <c r="F359" s="20" t="s">
        <v>34442</v>
      </c>
      <c r="G359" s="24" t="str">
        <f ca="1">IFERROR(__xludf.DUMMYFUNCTION("GOOGLETRANSLATE(F359,""en"",""pt"")"),"relatório de teste de instalação elétrica de alta tensão")</f>
        <v>relatório de teste de instalação elétrica de alta tensão</v>
      </c>
      <c r="H359" s="24"/>
      <c r="I359" s="24"/>
    </row>
    <row r="360" spans="1:9" ht="14.5">
      <c r="A360" s="20" t="s">
        <v>34443</v>
      </c>
      <c r="B360" s="20">
        <v>70</v>
      </c>
      <c r="C360" s="20">
        <v>75</v>
      </c>
      <c r="D360" s="20">
        <v>47</v>
      </c>
      <c r="E360" s="24"/>
      <c r="F360" s="20" t="s">
        <v>34444</v>
      </c>
      <c r="G360" s="24" t="str">
        <f ca="1">IFERROR(__xludf.DUMMYFUNCTION("GOOGLETRANSLATE(F360,""en"",""pt"")"),"Elevadores relatório de ensaio")</f>
        <v>Elevadores relatório de ensaio</v>
      </c>
      <c r="H360" s="24"/>
      <c r="I360" s="24"/>
    </row>
    <row r="361" spans="1:9" ht="14.5">
      <c r="A361" s="20" t="s">
        <v>34445</v>
      </c>
      <c r="B361" s="20">
        <v>70</v>
      </c>
      <c r="C361" s="20">
        <v>75</v>
      </c>
      <c r="D361" s="20">
        <v>49</v>
      </c>
      <c r="E361" s="24"/>
      <c r="F361" s="20" t="s">
        <v>34446</v>
      </c>
      <c r="G361" s="24" t="str">
        <f ca="1">IFERROR(__xludf.DUMMYFUNCTION("GOOGLETRANSLATE(F361,""en"",""pt"")"),"relatório de teste de instalação de proteção contra raios")</f>
        <v>relatório de teste de instalação de proteção contra raios</v>
      </c>
      <c r="H361" s="24"/>
      <c r="I361" s="24"/>
    </row>
    <row r="362" spans="1:9" ht="14.5">
      <c r="A362" s="20" t="s">
        <v>34447</v>
      </c>
      <c r="B362" s="20">
        <v>70</v>
      </c>
      <c r="C362" s="20">
        <v>75</v>
      </c>
      <c r="D362" s="20">
        <v>65</v>
      </c>
      <c r="E362" s="24"/>
      <c r="F362" s="20" t="s">
        <v>34448</v>
      </c>
      <c r="G362" s="24" t="str">
        <f ca="1">IFERROR(__xludf.DUMMYFUNCTION("GOOGLETRANSLATE(F362,""en"",""pt"")"),"relatório de teste de instalação do sistema Pressure")</f>
        <v>relatório de teste de instalação do sistema Pressure</v>
      </c>
      <c r="H362" s="24"/>
      <c r="I362" s="24"/>
    </row>
    <row r="363" spans="1:9" ht="14.5">
      <c r="A363" s="20" t="s">
        <v>34449</v>
      </c>
      <c r="B363" s="20">
        <v>70</v>
      </c>
      <c r="C363" s="20">
        <v>75</v>
      </c>
      <c r="D363" s="20">
        <v>68</v>
      </c>
      <c r="E363" s="24"/>
      <c r="F363" s="20" t="s">
        <v>34450</v>
      </c>
      <c r="G363" s="24" t="str">
        <f ca="1">IFERROR(__xludf.DUMMYFUNCTION("GOOGLETRANSLATE(F363,""en"",""pt"")"),"relatório de teste de instalação de saúde pública")</f>
        <v>relatório de teste de instalação de saúde pública</v>
      </c>
      <c r="H363" s="24"/>
      <c r="I363" s="24"/>
    </row>
    <row r="364" spans="1:9" ht="14.5">
      <c r="A364" s="20" t="s">
        <v>34451</v>
      </c>
      <c r="B364" s="20">
        <v>70</v>
      </c>
      <c r="C364" s="20">
        <v>75</v>
      </c>
      <c r="D364" s="20">
        <v>85</v>
      </c>
      <c r="E364" s="24"/>
      <c r="F364" s="20" t="s">
        <v>34452</v>
      </c>
      <c r="G364" s="24" t="str">
        <f ca="1">IFERROR(__xludf.DUMMYFUNCTION("GOOGLETRANSLATE(F364,""en"",""pt"")"),"relatório de teste de instalação de equipamento de vigilância")</f>
        <v>relatório de teste de instalação de equipamento de vigilância</v>
      </c>
      <c r="H364" s="24"/>
      <c r="I364" s="24"/>
    </row>
    <row r="365" spans="1:9" ht="14.5">
      <c r="A365" s="20" t="s">
        <v>34453</v>
      </c>
      <c r="B365" s="20">
        <v>70</v>
      </c>
      <c r="C365" s="20">
        <v>75</v>
      </c>
      <c r="D365" s="20">
        <v>96</v>
      </c>
      <c r="E365" s="24"/>
      <c r="F365" s="20" t="s">
        <v>34454</v>
      </c>
      <c r="G365" s="24" t="str">
        <f ca="1">IFERROR(__xludf.DUMMYFUNCTION("GOOGLETRANSLATE(F365,""en"",""pt"")"),"relatório de teste de instalação de distribuição de água")</f>
        <v>relatório de teste de instalação de distribuição de água</v>
      </c>
      <c r="H365" s="24"/>
      <c r="I365" s="24"/>
    </row>
    <row r="366" spans="1:9" ht="14.5">
      <c r="A366" s="20" t="s">
        <v>34455</v>
      </c>
      <c r="B366" s="20">
        <v>70</v>
      </c>
      <c r="C366" s="20">
        <v>80</v>
      </c>
      <c r="D366" s="24"/>
      <c r="E366" s="24"/>
      <c r="F366" s="20" t="s">
        <v>34456</v>
      </c>
      <c r="G366" s="24" t="str">
        <f ca="1">IFERROR(__xludf.DUMMYFUNCTION("GOOGLETRANSLATE(F366,""en"",""pt"")"),"informações comissionamento")</f>
        <v>informações comissionamento</v>
      </c>
      <c r="H366" s="20" t="s">
        <v>34457</v>
      </c>
      <c r="I366" s="24"/>
    </row>
    <row r="367" spans="1:9" ht="14.5">
      <c r="A367" s="20" t="s">
        <v>34458</v>
      </c>
      <c r="B367" s="20">
        <v>70</v>
      </c>
      <c r="C367" s="20">
        <v>80</v>
      </c>
      <c r="D367" s="20">
        <v>2</v>
      </c>
      <c r="E367" s="24"/>
      <c r="F367" s="20" t="s">
        <v>34459</v>
      </c>
      <c r="G367" s="24" t="str">
        <f ca="1">IFERROR(__xludf.DUMMYFUNCTION("GOOGLETRANSLATE(F367,""en"",""pt"")"),"sistemas de distribuição de ar de comissionamento relatório")</f>
        <v>sistemas de distribuição de ar de comissionamento relatório</v>
      </c>
      <c r="H367" s="24"/>
      <c r="I367" s="24"/>
    </row>
    <row r="368" spans="1:9" ht="14.5">
      <c r="A368" s="20" t="s">
        <v>34460</v>
      </c>
      <c r="B368" s="20">
        <v>70</v>
      </c>
      <c r="C368" s="20">
        <v>80</v>
      </c>
      <c r="D368" s="20">
        <v>15</v>
      </c>
      <c r="E368" s="24"/>
      <c r="F368" s="20" t="s">
        <v>34461</v>
      </c>
      <c r="G368" s="24" t="str">
        <f ca="1">IFERROR(__xludf.DUMMYFUNCTION("GOOGLETRANSLATE(F368,""en"",""pt"")"),"sistema de controle de comissionamento relatório")</f>
        <v>sistema de controle de comissionamento relatório</v>
      </c>
      <c r="H368" s="24"/>
      <c r="I368" s="24"/>
    </row>
    <row r="369" spans="1:9" ht="14.5">
      <c r="A369" s="20" t="s">
        <v>34462</v>
      </c>
      <c r="B369" s="20">
        <v>70</v>
      </c>
      <c r="C369" s="20">
        <v>80</v>
      </c>
      <c r="D369" s="20">
        <v>28</v>
      </c>
      <c r="E369" s="24"/>
      <c r="F369" s="20" t="s">
        <v>34463</v>
      </c>
      <c r="G369" s="24" t="str">
        <f ca="1">IFERROR(__xludf.DUMMYFUNCTION("GOOGLETRANSLATE(F369,""en"",""pt"")"),"instalação de iluminação de emergência comissionamento relatório")</f>
        <v>instalação de iluminação de emergência comissionamento relatório</v>
      </c>
      <c r="H369" s="24"/>
      <c r="I369" s="24"/>
    </row>
    <row r="370" spans="1:9" ht="14.5">
      <c r="A370" s="20" t="s">
        <v>34464</v>
      </c>
      <c r="B370" s="20">
        <v>70</v>
      </c>
      <c r="C370" s="20">
        <v>80</v>
      </c>
      <c r="D370" s="20">
        <v>30</v>
      </c>
      <c r="E370" s="24"/>
      <c r="F370" s="20" t="s">
        <v>34465</v>
      </c>
      <c r="G370" s="24" t="str">
        <f ca="1">IFERROR(__xludf.DUMMYFUNCTION("GOOGLETRANSLATE(F370,""en"",""pt"")"),"sistema de incêndio comissionamento relatório")</f>
        <v>sistema de incêndio comissionamento relatório</v>
      </c>
      <c r="H370" s="24"/>
      <c r="I370" s="24"/>
    </row>
    <row r="371" spans="1:9" ht="14.5">
      <c r="A371" s="20" t="s">
        <v>34466</v>
      </c>
      <c r="B371" s="20">
        <v>70</v>
      </c>
      <c r="C371" s="20">
        <v>80</v>
      </c>
      <c r="D371" s="20">
        <v>47</v>
      </c>
      <c r="E371" s="24"/>
      <c r="F371" s="20" t="s">
        <v>34467</v>
      </c>
      <c r="G371" s="24" t="str">
        <f ca="1">IFERROR(__xludf.DUMMYFUNCTION("GOOGLETRANSLATE(F371,""en"",""pt"")"),"Elevadores comissionamento relatório")</f>
        <v>Elevadores comissionamento relatório</v>
      </c>
      <c r="H371" s="24"/>
      <c r="I371" s="24"/>
    </row>
    <row r="372" spans="1:9" ht="14.5">
      <c r="A372" s="20" t="s">
        <v>34468</v>
      </c>
      <c r="B372" s="20">
        <v>70</v>
      </c>
      <c r="C372" s="20">
        <v>80</v>
      </c>
      <c r="D372" s="20">
        <v>48</v>
      </c>
      <c r="E372" s="24"/>
      <c r="F372" s="20" t="s">
        <v>34469</v>
      </c>
      <c r="G372" s="24" t="str">
        <f ca="1">IFERROR(__xludf.DUMMYFUNCTION("GOOGLETRANSLATE(F372,""en"",""pt"")"),"Iluminação relatório comissionamento")</f>
        <v>Iluminação relatório comissionamento</v>
      </c>
      <c r="H372" s="24"/>
      <c r="I372" s="24"/>
    </row>
    <row r="373" spans="1:9" ht="14.5">
      <c r="A373" s="20" t="s">
        <v>34470</v>
      </c>
      <c r="B373" s="20">
        <v>70</v>
      </c>
      <c r="C373" s="20">
        <v>80</v>
      </c>
      <c r="D373" s="20">
        <v>77</v>
      </c>
      <c r="E373" s="24"/>
      <c r="F373" s="20" t="s">
        <v>34471</v>
      </c>
      <c r="G373" s="24" t="str">
        <f ca="1">IFERROR(__xludf.DUMMYFUNCTION("GOOGLETRANSLATE(F373,""en"",""pt"")"),"sistema de segurança comissionamento relatório")</f>
        <v>sistema de segurança comissionamento relatório</v>
      </c>
      <c r="H373" s="24"/>
      <c r="I373" s="24"/>
    </row>
    <row r="374" spans="1:9" ht="14.5">
      <c r="A374" s="20" t="s">
        <v>34472</v>
      </c>
      <c r="B374" s="20">
        <v>70</v>
      </c>
      <c r="C374" s="20">
        <v>80</v>
      </c>
      <c r="D374" s="20">
        <v>85</v>
      </c>
      <c r="E374" s="24"/>
      <c r="F374" s="20" t="s">
        <v>34473</v>
      </c>
      <c r="G374" s="24" t="str">
        <f ca="1">IFERROR(__xludf.DUMMYFUNCTION("GOOGLETRANSLATE(F374,""en"",""pt"")"),"instalação do sistema de vigilância comissionamento relatório")</f>
        <v>instalação do sistema de vigilância comissionamento relatório</v>
      </c>
      <c r="H374" s="24"/>
      <c r="I374" s="24"/>
    </row>
    <row r="375" spans="1:9" ht="14.5">
      <c r="A375" s="20" t="s">
        <v>34474</v>
      </c>
      <c r="B375" s="20">
        <v>70</v>
      </c>
      <c r="C375" s="20">
        <v>80</v>
      </c>
      <c r="D375" s="20">
        <v>96</v>
      </c>
      <c r="E375" s="24"/>
      <c r="F375" s="20" t="s">
        <v>34475</v>
      </c>
      <c r="G375" s="24" t="str">
        <f ca="1">IFERROR(__xludf.DUMMYFUNCTION("GOOGLETRANSLATE(F375,""en"",""pt"")"),"distribuição de água comissionamento relatório")</f>
        <v>distribuição de água comissionamento relatório</v>
      </c>
      <c r="H375" s="24"/>
      <c r="I375" s="24"/>
    </row>
    <row r="376" spans="1:9" ht="14.5">
      <c r="A376" s="20" t="s">
        <v>34476</v>
      </c>
      <c r="B376" s="20">
        <v>70</v>
      </c>
      <c r="C376" s="20">
        <v>85</v>
      </c>
      <c r="D376" s="24"/>
      <c r="E376" s="24"/>
      <c r="F376" s="20" t="s">
        <v>34477</v>
      </c>
      <c r="G376" s="24" t="str">
        <f ca="1">IFERROR(__xludf.DUMMYFUNCTION("GOOGLETRANSLATE(F376,""en"",""pt"")"),"informações conclusão")</f>
        <v>informações conclusão</v>
      </c>
      <c r="H376" s="24"/>
      <c r="I376" s="24"/>
    </row>
    <row r="377" spans="1:9" ht="14.5">
      <c r="A377" s="20" t="s">
        <v>34478</v>
      </c>
      <c r="B377" s="20">
        <v>70</v>
      </c>
      <c r="C377" s="20">
        <v>85</v>
      </c>
      <c r="D377" s="20">
        <v>13</v>
      </c>
      <c r="E377" s="24"/>
      <c r="F377" s="20" t="s">
        <v>34479</v>
      </c>
      <c r="G377" s="24" t="str">
        <f ca="1">IFERROR(__xludf.DUMMYFUNCTION("GOOGLETRANSLATE(F377,""en"",""pt"")"),"manual do edifício")</f>
        <v>manual do edifício</v>
      </c>
      <c r="H377" s="20" t="s">
        <v>34480</v>
      </c>
      <c r="I377" s="24"/>
    </row>
    <row r="378" spans="1:9" ht="14.5">
      <c r="A378" s="20" t="s">
        <v>34481</v>
      </c>
      <c r="B378" s="20">
        <v>70</v>
      </c>
      <c r="C378" s="20">
        <v>85</v>
      </c>
      <c r="D378" s="20">
        <v>20</v>
      </c>
      <c r="E378" s="24"/>
      <c r="F378" s="20" t="s">
        <v>34482</v>
      </c>
      <c r="G378" s="24" t="str">
        <f ca="1">IFERROR(__xludf.DUMMYFUNCTION("GOOGLETRANSLATE(F378,""en"",""pt"")"),"relatório rectificação defeitos")</f>
        <v>relatório rectificação defeitos</v>
      </c>
      <c r="H378" s="20" t="s">
        <v>34483</v>
      </c>
      <c r="I378" s="24"/>
    </row>
    <row r="379" spans="1:9" ht="14.5">
      <c r="A379" s="20" t="s">
        <v>34484</v>
      </c>
      <c r="B379" s="20">
        <v>70</v>
      </c>
      <c r="C379" s="20">
        <v>85</v>
      </c>
      <c r="D379" s="20">
        <v>25</v>
      </c>
      <c r="E379" s="24"/>
      <c r="F379" s="20" t="s">
        <v>34485</v>
      </c>
      <c r="G379" s="24" t="str">
        <f ca="1">IFERROR(__xludf.DUMMYFUNCTION("GOOGLETRANSLATE(F379,""en"",""pt"")"),"As informações operacionais do usuário final")</f>
        <v>As informações operacionais do usuário final</v>
      </c>
      <c r="H379" s="24"/>
      <c r="I379" s="24"/>
    </row>
    <row r="380" spans="1:9" ht="14.5">
      <c r="A380" s="20" t="s">
        <v>34486</v>
      </c>
      <c r="B380" s="20">
        <v>70</v>
      </c>
      <c r="C380" s="20">
        <v>85</v>
      </c>
      <c r="D380" s="20">
        <v>30</v>
      </c>
      <c r="E380" s="24"/>
      <c r="F380" s="20" t="s">
        <v>34487</v>
      </c>
      <c r="G380" s="24" t="str">
        <f ca="1">IFERROR(__xludf.DUMMYFUNCTION("GOOGLETRANSLATE(F380,""en"",""pt"")"),"relatório final de inspecção")</f>
        <v>relatório final de inspecção</v>
      </c>
      <c r="H380" s="20" t="s">
        <v>34488</v>
      </c>
      <c r="I380" s="24"/>
    </row>
    <row r="381" spans="1:9" ht="14.5">
      <c r="A381" s="20" t="s">
        <v>34489</v>
      </c>
      <c r="B381" s="20">
        <v>70</v>
      </c>
      <c r="C381" s="20">
        <v>85</v>
      </c>
      <c r="D381" s="20">
        <v>33</v>
      </c>
      <c r="E381" s="24"/>
      <c r="F381" s="20" t="s">
        <v>34490</v>
      </c>
      <c r="G381" s="24" t="str">
        <f ca="1">IFERROR(__xludf.DUMMYFUNCTION("GOOGLETRANSLATE(F381,""en"",""pt"")"),"registro de bordo entrega de aceitação para a ocupação")</f>
        <v>registro de bordo entrega de aceitação para a ocupação</v>
      </c>
      <c r="H381" s="24"/>
      <c r="I381" s="24"/>
    </row>
    <row r="382" spans="1:9" ht="14.5">
      <c r="A382" s="20" t="s">
        <v>34491</v>
      </c>
      <c r="B382" s="20">
        <v>70</v>
      </c>
      <c r="C382" s="20">
        <v>85</v>
      </c>
      <c r="D382" s="20">
        <v>35</v>
      </c>
      <c r="E382" s="24"/>
      <c r="F382" s="20" t="s">
        <v>34492</v>
      </c>
      <c r="G382" s="24" t="str">
        <f ca="1">IFERROR(__xludf.DUMMYFUNCTION("GOOGLETRANSLATE(F382,""en"",""pt"")"),"estratégia de entrega")</f>
        <v>estratégia de entrega</v>
      </c>
      <c r="H382" s="20" t="s">
        <v>34493</v>
      </c>
      <c r="I382" s="24"/>
    </row>
    <row r="383" spans="1:9" ht="14.5">
      <c r="A383" s="20" t="s">
        <v>34494</v>
      </c>
      <c r="B383" s="20">
        <v>70</v>
      </c>
      <c r="C383" s="20">
        <v>85</v>
      </c>
      <c r="D383" s="20">
        <v>40</v>
      </c>
      <c r="E383" s="24"/>
      <c r="F383" s="20" t="s">
        <v>34495</v>
      </c>
      <c r="G383" s="24" t="str">
        <f ca="1">IFERROR(__xludf.DUMMYFUNCTION("GOOGLETRANSLATE(F383,""en"",""pt"")"),"Saúde e arquivo segurança")</f>
        <v>Saúde e arquivo segurança</v>
      </c>
      <c r="H383" s="20" t="s">
        <v>34496</v>
      </c>
      <c r="I383" s="24"/>
    </row>
    <row r="384" spans="1:9" ht="14.5">
      <c r="A384" s="20" t="s">
        <v>34497</v>
      </c>
      <c r="B384" s="20">
        <v>70</v>
      </c>
      <c r="C384" s="20">
        <v>85</v>
      </c>
      <c r="D384" s="20">
        <v>45</v>
      </c>
      <c r="E384" s="24"/>
      <c r="F384" s="20" t="s">
        <v>34498</v>
      </c>
      <c r="G384" s="24" t="str">
        <f ca="1">IFERROR(__xludf.DUMMYFUNCTION("GOOGLETRANSLATE(F384,""en"",""pt"")"),"Lista de peças de reposição e consumíveis")</f>
        <v>Lista de peças de reposição e consumíveis</v>
      </c>
      <c r="H384" s="20" t="s">
        <v>34499</v>
      </c>
      <c r="I384" s="24"/>
    </row>
    <row r="385" spans="1:9" ht="14.5">
      <c r="A385" s="20" t="s">
        <v>34500</v>
      </c>
      <c r="B385" s="20">
        <v>70</v>
      </c>
      <c r="C385" s="20">
        <v>85</v>
      </c>
      <c r="D385" s="20">
        <v>50</v>
      </c>
      <c r="E385" s="24"/>
      <c r="F385" s="20" t="s">
        <v>34501</v>
      </c>
      <c r="G385" s="24" t="str">
        <f ca="1">IFERROR(__xludf.DUMMYFUNCTION("GOOGLETRANSLATE(F385,""en"",""pt"")"),"programações de manutenção")</f>
        <v>programações de manutenção</v>
      </c>
      <c r="H385" s="20" t="s">
        <v>34502</v>
      </c>
      <c r="I385" s="24"/>
    </row>
    <row r="386" spans="1:9" ht="14.5">
      <c r="A386" s="20" t="s">
        <v>34503</v>
      </c>
      <c r="B386" s="20">
        <v>70</v>
      </c>
      <c r="C386" s="20">
        <v>85</v>
      </c>
      <c r="D386" s="20">
        <v>52</v>
      </c>
      <c r="E386" s="24"/>
      <c r="F386" s="20" t="s">
        <v>34504</v>
      </c>
      <c r="G386" s="24" t="str">
        <f ca="1">IFERROR(__xludf.DUMMYFUNCTION("GOOGLETRANSLATE(F386,""en"",""pt"")"),"informações do fabricante")</f>
        <v>informações do fabricante</v>
      </c>
      <c r="H386" s="20" t="s">
        <v>34505</v>
      </c>
      <c r="I386" s="24"/>
    </row>
    <row r="387" spans="1:9" ht="14.5">
      <c r="A387" s="20" t="s">
        <v>34506</v>
      </c>
      <c r="B387" s="20">
        <v>70</v>
      </c>
      <c r="C387" s="20">
        <v>85</v>
      </c>
      <c r="D387" s="20">
        <v>55</v>
      </c>
      <c r="E387" s="24"/>
      <c r="F387" s="20" t="s">
        <v>34507</v>
      </c>
      <c r="G387" s="24" t="str">
        <f ca="1">IFERROR(__xludf.DUMMYFUNCTION("GOOGLETRANSLATE(F387,""en"",""pt"")"),"Instruções de operação")</f>
        <v>Instruções de operação</v>
      </c>
      <c r="H387" s="24"/>
      <c r="I387" s="24"/>
    </row>
    <row r="388" spans="1:9" ht="14.5">
      <c r="A388" s="20" t="s">
        <v>34508</v>
      </c>
      <c r="B388" s="20">
        <v>70</v>
      </c>
      <c r="C388" s="20">
        <v>85</v>
      </c>
      <c r="D388" s="20">
        <v>60</v>
      </c>
      <c r="E388" s="24"/>
      <c r="F388" s="20" t="s">
        <v>34509</v>
      </c>
      <c r="G388" s="24" t="str">
        <f ca="1">IFERROR(__xludf.DUMMYFUNCTION("GOOGLETRANSLATE(F388,""en"",""pt"")"),"livro de registro planta")</f>
        <v>livro de registro planta</v>
      </c>
      <c r="H388" s="24"/>
      <c r="I388" s="24"/>
    </row>
    <row r="389" spans="1:9" ht="14.5">
      <c r="A389" s="20" t="s">
        <v>34510</v>
      </c>
      <c r="B389" s="20">
        <v>70</v>
      </c>
      <c r="C389" s="20">
        <v>85</v>
      </c>
      <c r="D389" s="20">
        <v>62</v>
      </c>
      <c r="E389" s="24"/>
      <c r="F389" s="20" t="s">
        <v>34511</v>
      </c>
      <c r="G389" s="24" t="str">
        <f ca="1">IFERROR(__xludf.DUMMYFUNCTION("GOOGLETRANSLATE(F389,""en"",""pt"")"),"Pré-entrega plano")</f>
        <v>Pré-entrega plano</v>
      </c>
      <c r="H389" s="24"/>
      <c r="I389" s="24"/>
    </row>
    <row r="390" spans="1:9" ht="14.5">
      <c r="A390" s="20" t="s">
        <v>34512</v>
      </c>
      <c r="B390" s="20">
        <v>70</v>
      </c>
      <c r="C390" s="20">
        <v>85</v>
      </c>
      <c r="D390" s="20">
        <v>64</v>
      </c>
      <c r="E390" s="24"/>
      <c r="F390" s="20" t="s">
        <v>34513</v>
      </c>
      <c r="G390" s="24" t="str">
        <f ca="1">IFERROR(__xludf.DUMMYFUNCTION("GOOGLETRANSLATE(F390,""en"",""pt"")"),"relatório final do projecto")</f>
        <v>relatório final do projecto</v>
      </c>
      <c r="H390" s="20" t="s">
        <v>34514</v>
      </c>
      <c r="I390" s="24"/>
    </row>
    <row r="391" spans="1:9" ht="14.5">
      <c r="A391" s="20" t="s">
        <v>34515</v>
      </c>
      <c r="B391" s="20">
        <v>70</v>
      </c>
      <c r="C391" s="20">
        <v>85</v>
      </c>
      <c r="D391" s="20">
        <v>70</v>
      </c>
      <c r="E391" s="24"/>
      <c r="F391" s="20" t="s">
        <v>34516</v>
      </c>
      <c r="G391" s="24" t="str">
        <f ca="1">IFERROR(__xludf.DUMMYFUNCTION("GOOGLETRANSLATE(F391,""en"",""pt"")"),"relatório de conclusão trabalho de reparação")</f>
        <v>relatório de conclusão trabalho de reparação</v>
      </c>
      <c r="H391" s="24"/>
      <c r="I391" s="24"/>
    </row>
    <row r="392" spans="1:9" ht="14.5">
      <c r="A392" s="20" t="s">
        <v>34517</v>
      </c>
      <c r="B392" s="20">
        <v>70</v>
      </c>
      <c r="C392" s="20">
        <v>85</v>
      </c>
      <c r="D392" s="20">
        <v>83</v>
      </c>
      <c r="E392" s="24"/>
      <c r="F392" s="20" t="s">
        <v>34518</v>
      </c>
      <c r="G392" s="24" t="str">
        <f ca="1">IFERROR(__xludf.DUMMYFUNCTION("GOOGLETRANSLATE(F392,""en"",""pt"")"),"Directório de fornecedores")</f>
        <v>Directório de fornecedores</v>
      </c>
      <c r="H392" s="24"/>
      <c r="I392" s="24"/>
    </row>
    <row r="393" spans="1:9" ht="14.5">
      <c r="A393" s="20" t="s">
        <v>34519</v>
      </c>
      <c r="B393" s="20">
        <v>70</v>
      </c>
      <c r="C393" s="20">
        <v>85</v>
      </c>
      <c r="D393" s="20">
        <v>90</v>
      </c>
      <c r="E393" s="24"/>
      <c r="F393" s="20" t="s">
        <v>34520</v>
      </c>
      <c r="G393" s="24" t="str">
        <f ca="1">IFERROR(__xludf.DUMMYFUNCTION("GOOGLETRANSLATE(F393,""en"",""pt"")"),"documentação de treinamento")</f>
        <v>documentação de treinamento</v>
      </c>
      <c r="H393" s="20" t="s">
        <v>34521</v>
      </c>
      <c r="I393" s="24"/>
    </row>
    <row r="394" spans="1:9" ht="14.5">
      <c r="A394" s="20" t="s">
        <v>34522</v>
      </c>
      <c r="B394" s="20">
        <v>70</v>
      </c>
      <c r="C394" s="20">
        <v>85</v>
      </c>
      <c r="D394" s="20">
        <v>96</v>
      </c>
      <c r="E394" s="24"/>
      <c r="F394" s="20" t="s">
        <v>34523</v>
      </c>
      <c r="G394" s="24" t="str">
        <f ca="1">IFERROR(__xludf.DUMMYFUNCTION("GOOGLETRANSLATE(F394,""en"",""pt"")"),"Funciona certificado de conclusão")</f>
        <v>Funciona certificado de conclusão</v>
      </c>
      <c r="H394" s="20" t="s">
        <v>34524</v>
      </c>
      <c r="I394" s="24"/>
    </row>
    <row r="395" spans="1:9" ht="14.5">
      <c r="A395" s="20" t="s">
        <v>34525</v>
      </c>
      <c r="B395" s="20">
        <v>70</v>
      </c>
      <c r="C395" s="20">
        <v>90</v>
      </c>
      <c r="D395" s="24"/>
      <c r="E395" s="24"/>
      <c r="F395" s="20" t="s">
        <v>34526</v>
      </c>
      <c r="G395" s="24" t="str">
        <f ca="1">IFERROR(__xludf.DUMMYFUNCTION("GOOGLETRANSLATE(F395,""en"",""pt"")"),"Registrar informação")</f>
        <v>Registrar informação</v>
      </c>
      <c r="H395" s="20" t="s">
        <v>34527</v>
      </c>
      <c r="I395" s="24"/>
    </row>
    <row r="396" spans="1:9" ht="14.5">
      <c r="A396" s="20" t="s">
        <v>34528</v>
      </c>
      <c r="B396" s="20">
        <v>70</v>
      </c>
      <c r="C396" s="20">
        <v>90</v>
      </c>
      <c r="D396" s="20">
        <v>4</v>
      </c>
      <c r="E396" s="24"/>
      <c r="F396" s="20" t="s">
        <v>34529</v>
      </c>
      <c r="G396" s="24" t="str">
        <f ca="1">IFERROR(__xludf.DUMMYFUNCTION("GOOGLETRANSLATE(F396,""en"",""pt"")"),"desenhos Architectural Record")</f>
        <v>desenhos Architectural Record</v>
      </c>
      <c r="H396" s="24"/>
      <c r="I396" s="24"/>
    </row>
    <row r="397" spans="1:9" ht="14.5">
      <c r="A397" s="20" t="s">
        <v>34530</v>
      </c>
      <c r="B397" s="20">
        <v>70</v>
      </c>
      <c r="C397" s="20">
        <v>90</v>
      </c>
      <c r="D397" s="20">
        <v>15</v>
      </c>
      <c r="E397" s="24"/>
      <c r="F397" s="20" t="s">
        <v>34531</v>
      </c>
      <c r="G397" s="24" t="str">
        <f ca="1">IFERROR(__xludf.DUMMYFUNCTION("GOOGLETRANSLATE(F397,""en"",""pt"")"),"desenhos ficha sistema de controle")</f>
        <v>desenhos ficha sistema de controle</v>
      </c>
      <c r="H397" s="24"/>
      <c r="I397" s="24"/>
    </row>
    <row r="398" spans="1:9" ht="14.5">
      <c r="A398" s="20" t="s">
        <v>34532</v>
      </c>
      <c r="B398" s="20">
        <v>70</v>
      </c>
      <c r="C398" s="20">
        <v>90</v>
      </c>
      <c r="D398" s="20">
        <v>27</v>
      </c>
      <c r="E398" s="24"/>
      <c r="F398" s="20" t="s">
        <v>34533</v>
      </c>
      <c r="G398" s="24" t="str">
        <f ca="1">IFERROR(__xludf.DUMMYFUNCTION("GOOGLETRANSLATE(F398,""en"",""pt"")"),"sistemas elétricos desenhos recordes")</f>
        <v>sistemas elétricos desenhos recordes</v>
      </c>
      <c r="H398" s="24"/>
      <c r="I398" s="24"/>
    </row>
    <row r="399" spans="1:9" ht="14.5">
      <c r="A399" s="20" t="s">
        <v>34534</v>
      </c>
      <c r="B399" s="20">
        <v>70</v>
      </c>
      <c r="C399" s="20">
        <v>90</v>
      </c>
      <c r="D399" s="20">
        <v>30</v>
      </c>
      <c r="E399" s="24"/>
      <c r="F399" s="20" t="s">
        <v>34535</v>
      </c>
      <c r="G399" s="24" t="str">
        <f ca="1">IFERROR(__xludf.DUMMYFUNCTION("GOOGLETRANSLATE(F399,""en"",""pt"")"),"desenhos recordes sistema de incêndio")</f>
        <v>desenhos recordes sistema de incêndio</v>
      </c>
      <c r="H399" s="24"/>
      <c r="I399" s="24"/>
    </row>
    <row r="400" spans="1:9" ht="14.5">
      <c r="A400" s="20" t="s">
        <v>34536</v>
      </c>
      <c r="B400" s="20">
        <v>70</v>
      </c>
      <c r="C400" s="20">
        <v>90</v>
      </c>
      <c r="D400" s="20">
        <v>46</v>
      </c>
      <c r="E400" s="24"/>
      <c r="F400" s="20" t="s">
        <v>34537</v>
      </c>
      <c r="G400" s="24" t="str">
        <f ca="1">IFERROR(__xludf.DUMMYFUNCTION("GOOGLETRANSLATE(F400,""en"",""pt"")"),"desenhos registro da paisagem")</f>
        <v>desenhos registro da paisagem</v>
      </c>
      <c r="H400" s="24"/>
      <c r="I400" s="24"/>
    </row>
    <row r="401" spans="1:9" ht="14.5">
      <c r="A401" s="20" t="s">
        <v>34538</v>
      </c>
      <c r="B401" s="20">
        <v>70</v>
      </c>
      <c r="C401" s="20">
        <v>90</v>
      </c>
      <c r="D401" s="20">
        <v>52</v>
      </c>
      <c r="E401" s="24"/>
      <c r="F401" s="20" t="s">
        <v>34539</v>
      </c>
      <c r="G401" s="24" t="str">
        <f ca="1">IFERROR(__xludf.DUMMYFUNCTION("GOOGLETRANSLATE(F401,""en"",""pt"")"),"sistemas mecânicos desenhos recordes")</f>
        <v>sistemas mecânicos desenhos recordes</v>
      </c>
      <c r="H401" s="24"/>
      <c r="I401" s="24"/>
    </row>
    <row r="402" spans="1:9" ht="14.5">
      <c r="A402" s="20" t="s">
        <v>34540</v>
      </c>
      <c r="B402" s="20">
        <v>70</v>
      </c>
      <c r="C402" s="20">
        <v>90</v>
      </c>
      <c r="D402" s="20">
        <v>68</v>
      </c>
      <c r="E402" s="24"/>
      <c r="F402" s="20" t="s">
        <v>34541</v>
      </c>
      <c r="G402" s="24" t="str">
        <f ca="1">IFERROR(__xludf.DUMMYFUNCTION("GOOGLETRANSLATE(F402,""en"",""pt"")"),"desenhos recordes sistema de saúde pública")</f>
        <v>desenhos recordes sistema de saúde pública</v>
      </c>
      <c r="H402" s="24"/>
      <c r="I402" s="24"/>
    </row>
    <row r="403" spans="1:9" ht="14.5">
      <c r="A403" s="20" t="s">
        <v>34542</v>
      </c>
      <c r="B403" s="20">
        <v>70</v>
      </c>
      <c r="C403" s="20">
        <v>90</v>
      </c>
      <c r="D403" s="20">
        <v>77</v>
      </c>
      <c r="E403" s="24"/>
      <c r="F403" s="20" t="s">
        <v>34543</v>
      </c>
      <c r="G403" s="24" t="str">
        <f ca="1">IFERROR(__xludf.DUMMYFUNCTION("GOOGLETRANSLATE(F403,""en"",""pt"")"),"desenhos recordes sistema de segurança")</f>
        <v>desenhos recordes sistema de segurança</v>
      </c>
      <c r="H403" s="24"/>
      <c r="I403" s="24"/>
    </row>
    <row r="404" spans="1:9" ht="14.5">
      <c r="A404" s="20" t="s">
        <v>34544</v>
      </c>
      <c r="B404" s="20">
        <v>70</v>
      </c>
      <c r="C404" s="20">
        <v>90</v>
      </c>
      <c r="D404" s="20">
        <v>79</v>
      </c>
      <c r="E404" s="24"/>
      <c r="F404" s="20" t="s">
        <v>34545</v>
      </c>
      <c r="G404" s="24" t="str">
        <f ca="1">IFERROR(__xludf.DUMMYFUNCTION("GOOGLETRANSLATE(F404,""en"",""pt"")"),"Estabelecendo registros")</f>
        <v>Estabelecendo registros</v>
      </c>
      <c r="H404" s="24"/>
      <c r="I404" s="24"/>
    </row>
    <row r="405" spans="1:9" ht="14.5">
      <c r="A405" s="20" t="s">
        <v>34546</v>
      </c>
      <c r="B405" s="20">
        <v>70</v>
      </c>
      <c r="C405" s="20">
        <v>90</v>
      </c>
      <c r="D405" s="20">
        <v>83</v>
      </c>
      <c r="E405" s="24"/>
      <c r="F405" s="20" t="s">
        <v>34547</v>
      </c>
      <c r="G405" s="24" t="str">
        <f ca="1">IFERROR(__xludf.DUMMYFUNCTION("GOOGLETRANSLATE(F405,""en"",""pt"")"),"desenhos recorde estruturais")</f>
        <v>desenhos recorde estruturais</v>
      </c>
      <c r="H405" s="24"/>
      <c r="I405" s="24"/>
    </row>
    <row r="406" spans="1:9" ht="14.5">
      <c r="A406" s="20" t="s">
        <v>34548</v>
      </c>
      <c r="B406" s="20">
        <v>70</v>
      </c>
      <c r="C406" s="20">
        <v>95</v>
      </c>
      <c r="D406" s="24"/>
      <c r="E406" s="24"/>
      <c r="F406" s="20" t="s">
        <v>34549</v>
      </c>
      <c r="G406" s="24" t="str">
        <f ca="1">IFERROR(__xludf.DUMMYFUNCTION("GOOGLETRANSLATE(F406,""en"",""pt"")"),"Information Assurance projeto")</f>
        <v>Information Assurance projeto</v>
      </c>
      <c r="H406" s="24"/>
      <c r="I406" s="24"/>
    </row>
    <row r="407" spans="1:9" ht="14.5">
      <c r="A407" s="20" t="s">
        <v>34550</v>
      </c>
      <c r="B407" s="20">
        <v>70</v>
      </c>
      <c r="C407" s="20">
        <v>95</v>
      </c>
      <c r="D407" s="20">
        <v>12</v>
      </c>
      <c r="E407" s="24"/>
      <c r="F407" s="20" t="s">
        <v>34551</v>
      </c>
      <c r="G407" s="24" t="str">
        <f ca="1">IFERROR(__xludf.DUMMYFUNCTION("GOOGLETRANSLATE(F407,""en"",""pt"")"),"documentos de conformidade e certificação")</f>
        <v>documentos de conformidade e certificação</v>
      </c>
      <c r="H407" s="20" t="s">
        <v>34552</v>
      </c>
      <c r="I407" s="24"/>
    </row>
    <row r="408" spans="1:9" ht="14.5">
      <c r="A408" s="20" t="s">
        <v>34553</v>
      </c>
      <c r="B408" s="20">
        <v>70</v>
      </c>
      <c r="C408" s="20">
        <v>95</v>
      </c>
      <c r="D408" s="20">
        <v>20</v>
      </c>
      <c r="E408" s="24"/>
      <c r="F408" s="20" t="s">
        <v>34554</v>
      </c>
      <c r="G408" s="24" t="str">
        <f ca="1">IFERROR(__xludf.DUMMYFUNCTION("GOOGLETRANSLATE(F408,""en"",""pt"")"),"Desenhe relatório revisão de conformidade")</f>
        <v>Desenhe relatório revisão de conformidade</v>
      </c>
      <c r="H408" s="24"/>
      <c r="I408" s="24"/>
    </row>
    <row r="409" spans="1:9" ht="14.5">
      <c r="A409" s="20" t="s">
        <v>34555</v>
      </c>
      <c r="B409" s="20">
        <v>70</v>
      </c>
      <c r="C409" s="20">
        <v>95</v>
      </c>
      <c r="D409" s="20">
        <v>31</v>
      </c>
      <c r="E409" s="24"/>
      <c r="F409" s="20" t="s">
        <v>34556</v>
      </c>
      <c r="G409" s="24" t="str">
        <f ca="1">IFERROR(__xludf.DUMMYFUNCTION("GOOGLETRANSLATE(F409,""en"",""pt"")"),"Fogo certificado de aceitação segurança")</f>
        <v>Fogo certificado de aceitação segurança</v>
      </c>
      <c r="H409" s="24"/>
      <c r="I409" s="24"/>
    </row>
    <row r="410" spans="1:9" ht="14.5">
      <c r="A410" s="20" t="s">
        <v>34557</v>
      </c>
      <c r="B410" s="20">
        <v>70</v>
      </c>
      <c r="C410" s="20">
        <v>95</v>
      </c>
      <c r="D410" s="20">
        <v>33</v>
      </c>
      <c r="E410" s="24"/>
      <c r="F410" s="20" t="s">
        <v>34558</v>
      </c>
      <c r="G410" s="24" t="str">
        <f ca="1">IFERROR(__xludf.DUMMYFUNCTION("GOOGLETRANSLATE(F410,""en"",""pt"")"),"Portal de informação crítica")</f>
        <v>Portal de informação crítica</v>
      </c>
      <c r="H410" s="24"/>
      <c r="I410" s="24"/>
    </row>
    <row r="411" spans="1:9" ht="14.5">
      <c r="A411" s="20" t="s">
        <v>34559</v>
      </c>
      <c r="B411" s="20">
        <v>70</v>
      </c>
      <c r="C411" s="20">
        <v>95</v>
      </c>
      <c r="D411" s="20">
        <v>34</v>
      </c>
      <c r="E411" s="24"/>
      <c r="F411" s="20" t="s">
        <v>34560</v>
      </c>
      <c r="G411" s="24" t="str">
        <f ca="1">IFERROR(__xludf.DUMMYFUNCTION("GOOGLETRANSLATE(F411,""en"",""pt"")"),"informações estratégia de governança")</f>
        <v>informações estratégia de governança</v>
      </c>
      <c r="H411" s="24"/>
      <c r="I411" s="24"/>
    </row>
    <row r="412" spans="1:9" ht="14.5">
      <c r="A412" s="20" t="s">
        <v>34561</v>
      </c>
      <c r="B412" s="20">
        <v>70</v>
      </c>
      <c r="C412" s="20">
        <v>95</v>
      </c>
      <c r="D412" s="20">
        <v>58</v>
      </c>
      <c r="E412" s="24"/>
      <c r="F412" s="20" t="s">
        <v>34562</v>
      </c>
      <c r="G412" s="24" t="str">
        <f ca="1">IFERROR(__xludf.DUMMYFUNCTION("GOOGLETRANSLATE(F412,""en"",""pt"")"),"Opção de papel suporte análise")</f>
        <v>Opção de papel suporte análise</v>
      </c>
      <c r="H412" s="24"/>
      <c r="I412" s="24"/>
    </row>
    <row r="413" spans="1:9" ht="14.5">
      <c r="A413" s="20" t="s">
        <v>34563</v>
      </c>
      <c r="B413" s="20">
        <v>70</v>
      </c>
      <c r="C413" s="20">
        <v>95</v>
      </c>
      <c r="D413" s="20">
        <v>64</v>
      </c>
      <c r="E413" s="24"/>
      <c r="F413" s="20" t="s">
        <v>34564</v>
      </c>
      <c r="G413" s="24" t="str">
        <f ca="1">IFERROR(__xludf.DUMMYFUNCTION("GOOGLETRANSLATE(F413,""en"",""pt"")"),"Pós-projecto informações de avaliação")</f>
        <v>Pós-projecto informações de avaliação</v>
      </c>
      <c r="H413" s="24"/>
      <c r="I413" s="24"/>
    </row>
    <row r="414" spans="1:9" ht="14.5">
      <c r="A414" s="20" t="s">
        <v>34565</v>
      </c>
      <c r="B414" s="20">
        <v>70</v>
      </c>
      <c r="C414" s="20">
        <v>95</v>
      </c>
      <c r="D414" s="20">
        <v>66</v>
      </c>
      <c r="E414" s="24"/>
      <c r="F414" s="20" t="s">
        <v>34566</v>
      </c>
      <c r="G414" s="24" t="str">
        <f ca="1">IFERROR(__xludf.DUMMYFUNCTION("GOOGLETRANSLATE(F414,""en"",""pt"")"),"Projeto Assurance Group (PAG) off sinal")</f>
        <v>Projeto Assurance Group (PAG) off sinal</v>
      </c>
      <c r="H414" s="24"/>
      <c r="I414" s="24"/>
    </row>
    <row r="415" spans="1:9" ht="14.5">
      <c r="A415" s="20" t="s">
        <v>34567</v>
      </c>
      <c r="B415" s="20">
        <v>70</v>
      </c>
      <c r="C415" s="20">
        <v>95</v>
      </c>
      <c r="D415" s="20">
        <v>70</v>
      </c>
      <c r="E415" s="24"/>
      <c r="F415" s="20" t="s">
        <v>34568</v>
      </c>
      <c r="G415" s="24" t="str">
        <f ca="1">IFERROR(__xludf.DUMMYFUNCTION("GOOGLETRANSLATE(F415,""en"",""pt"")"),"avaliação do potencial de risco")</f>
        <v>avaliação do potencial de risco</v>
      </c>
      <c r="H415" s="24"/>
      <c r="I415" s="24"/>
    </row>
    <row r="416" spans="1:9" ht="14.5">
      <c r="A416" s="20" t="s">
        <v>34569</v>
      </c>
      <c r="B416" s="20">
        <v>80</v>
      </c>
      <c r="C416" s="24"/>
      <c r="D416" s="24"/>
      <c r="E416" s="24"/>
      <c r="F416" s="20" t="s">
        <v>34570</v>
      </c>
      <c r="G416" s="24" t="str">
        <f ca="1">IFERROR(__xludf.DUMMYFUNCTION("GOOGLETRANSLATE(F416,""en"",""pt"")"),"informações de gestão de ativos")</f>
        <v>informações de gestão de ativos</v>
      </c>
      <c r="H416" s="24"/>
      <c r="I416" s="24"/>
    </row>
    <row r="417" spans="1:9" ht="14.5">
      <c r="A417" s="20" t="s">
        <v>34571</v>
      </c>
      <c r="B417" s="20">
        <v>80</v>
      </c>
      <c r="C417" s="20">
        <v>10</v>
      </c>
      <c r="D417" s="24"/>
      <c r="E417" s="24"/>
      <c r="F417" s="20" t="s">
        <v>34572</v>
      </c>
      <c r="G417" s="24" t="str">
        <f ca="1">IFERROR(__xludf.DUMMYFUNCTION("GOOGLETRANSLATE(F417,""en"",""pt"")"),"estratégia de ativos, planejamento e de gestão da informação")</f>
        <v>estratégia de ativos, planejamento e de gestão da informação</v>
      </c>
      <c r="H417" s="24"/>
      <c r="I417" s="24"/>
    </row>
    <row r="418" spans="1:9" ht="14.5">
      <c r="A418" s="20" t="s">
        <v>34573</v>
      </c>
      <c r="B418" s="20">
        <v>80</v>
      </c>
      <c r="C418" s="20">
        <v>10</v>
      </c>
      <c r="D418" s="20">
        <v>5</v>
      </c>
      <c r="E418" s="24"/>
      <c r="F418" s="20" t="s">
        <v>34574</v>
      </c>
      <c r="G418" s="24" t="str">
        <f ca="1">IFERROR(__xludf.DUMMYFUNCTION("GOOGLETRANSLATE(F418,""en"",""pt"")"),"garantia de ativos e informações de garantia")</f>
        <v>garantia de ativos e informações de garantia</v>
      </c>
      <c r="H418" s="24"/>
      <c r="I418" s="24"/>
    </row>
    <row r="419" spans="1:9" ht="14.5">
      <c r="A419" s="20" t="s">
        <v>34575</v>
      </c>
      <c r="B419" s="20">
        <v>80</v>
      </c>
      <c r="C419" s="20">
        <v>10</v>
      </c>
      <c r="D419" s="20">
        <v>10</v>
      </c>
      <c r="E419" s="24"/>
      <c r="F419" s="20" t="s">
        <v>34576</v>
      </c>
      <c r="G419" s="24" t="str">
        <f ca="1">IFERROR(__xludf.DUMMYFUNCTION("GOOGLETRANSLATE(F419,""en"",""pt"")"),"registro de ativos")</f>
        <v>registro de ativos</v>
      </c>
      <c r="H419" s="24"/>
      <c r="I419" s="24"/>
    </row>
    <row r="420" spans="1:9" ht="14.5">
      <c r="A420" s="20" t="s">
        <v>34577</v>
      </c>
      <c r="B420" s="20">
        <v>80</v>
      </c>
      <c r="C420" s="20">
        <v>10</v>
      </c>
      <c r="D420" s="20">
        <v>25</v>
      </c>
      <c r="E420" s="24"/>
      <c r="F420" s="20" t="s">
        <v>34578</v>
      </c>
      <c r="G420" s="24" t="str">
        <f ca="1">IFERROR(__xludf.DUMMYFUNCTION("GOOGLETRANSLATE(F420,""en"",""pt"")"),"certificado de desempenho energético")</f>
        <v>certificado de desempenho energético</v>
      </c>
      <c r="H420" s="20" t="s">
        <v>34579</v>
      </c>
      <c r="I420" s="24"/>
    </row>
    <row r="421" spans="1:9" ht="14.5">
      <c r="A421" s="20" t="s">
        <v>34580</v>
      </c>
      <c r="B421" s="20">
        <v>80</v>
      </c>
      <c r="C421" s="20">
        <v>10</v>
      </c>
      <c r="D421" s="20">
        <v>27</v>
      </c>
      <c r="E421" s="24"/>
      <c r="F421" s="20" t="s">
        <v>34581</v>
      </c>
      <c r="G421" s="24" t="str">
        <f ca="1">IFERROR(__xludf.DUMMYFUNCTION("GOOGLETRANSLATE(F421,""en"",""pt"")"),"cronograma de equipamentos")</f>
        <v>cronograma de equipamentos</v>
      </c>
      <c r="H421" s="24"/>
      <c r="I421" s="24"/>
    </row>
    <row r="422" spans="1:9" ht="14.5">
      <c r="A422" s="20" t="s">
        <v>34582</v>
      </c>
      <c r="B422" s="20">
        <v>80</v>
      </c>
      <c r="C422" s="20">
        <v>10</v>
      </c>
      <c r="D422" s="20">
        <v>30</v>
      </c>
      <c r="E422" s="24"/>
      <c r="F422" s="20" t="s">
        <v>34583</v>
      </c>
      <c r="G422" s="24" t="str">
        <f ca="1">IFERROR(__xludf.DUMMYFUNCTION("GOOGLETRANSLATE(F422,""en"",""pt"")"),"informações acabamentos")</f>
        <v>informações acabamentos</v>
      </c>
      <c r="H422" s="24"/>
      <c r="I422" s="24"/>
    </row>
    <row r="423" spans="1:9" ht="14.5">
      <c r="A423" s="20" t="s">
        <v>34584</v>
      </c>
      <c r="B423" s="20">
        <v>80</v>
      </c>
      <c r="C423" s="20">
        <v>10</v>
      </c>
      <c r="D423" s="20">
        <v>42</v>
      </c>
      <c r="E423" s="24"/>
      <c r="F423" s="20" t="s">
        <v>34585</v>
      </c>
      <c r="G423" s="24" t="str">
        <f ca="1">IFERROR(__xludf.DUMMYFUNCTION("GOOGLETRANSLATE(F423,""en"",""pt"")"),"exigências da seguradora")</f>
        <v>exigências da seguradora</v>
      </c>
      <c r="H423" s="24"/>
      <c r="I423" s="24"/>
    </row>
    <row r="424" spans="1:9" ht="14.5">
      <c r="A424" s="20" t="s">
        <v>34586</v>
      </c>
      <c r="B424" s="20">
        <v>80</v>
      </c>
      <c r="C424" s="20">
        <v>10</v>
      </c>
      <c r="D424" s="20">
        <v>50</v>
      </c>
      <c r="E424" s="24"/>
      <c r="F424" s="20" t="s">
        <v>34587</v>
      </c>
      <c r="G424" s="24" t="str">
        <f ca="1">IFERROR(__xludf.DUMMYFUNCTION("GOOGLETRANSLATE(F424,""en"",""pt"")"),"exigência de manutenção")</f>
        <v>exigência de manutenção</v>
      </c>
      <c r="H424" s="20" t="s">
        <v>34588</v>
      </c>
      <c r="I424" s="24"/>
    </row>
    <row r="425" spans="1:9" ht="14.5">
      <c r="A425" s="20" t="s">
        <v>34589</v>
      </c>
      <c r="B425" s="20">
        <v>80</v>
      </c>
      <c r="C425" s="20">
        <v>10</v>
      </c>
      <c r="D425" s="20">
        <v>60</v>
      </c>
      <c r="E425" s="24"/>
      <c r="F425" s="20" t="s">
        <v>34590</v>
      </c>
      <c r="G425" s="24" t="str">
        <f ca="1">IFERROR(__xludf.DUMMYFUNCTION("GOOGLETRANSLATE(F425,""en"",""pt"")"),"Análise de desempenho")</f>
        <v>Análise de desempenho</v>
      </c>
      <c r="H425" s="24"/>
      <c r="I425" s="24"/>
    </row>
    <row r="426" spans="1:9" ht="14.5">
      <c r="A426" s="20" t="s">
        <v>34591</v>
      </c>
      <c r="B426" s="20">
        <v>80</v>
      </c>
      <c r="C426" s="20">
        <v>10</v>
      </c>
      <c r="D426" s="20">
        <v>63</v>
      </c>
      <c r="E426" s="24"/>
      <c r="F426" s="20" t="s">
        <v>34592</v>
      </c>
      <c r="G426" s="24" t="str">
        <f ca="1">IFERROR(__xludf.DUMMYFUNCTION("GOOGLETRANSLATE(F426,""en"",""pt"")"),"Vida vegetal e serviço de equipamentos de relatório")</f>
        <v>Vida vegetal e serviço de equipamentos de relatório</v>
      </c>
      <c r="H426" s="24"/>
      <c r="I426" s="24"/>
    </row>
    <row r="427" spans="1:9" ht="14.5">
      <c r="A427" s="20" t="s">
        <v>34593</v>
      </c>
      <c r="B427" s="20">
        <v>80</v>
      </c>
      <c r="C427" s="20">
        <v>10</v>
      </c>
      <c r="D427" s="20">
        <v>65</v>
      </c>
      <c r="E427" s="24"/>
      <c r="F427" s="20" t="s">
        <v>34594</v>
      </c>
      <c r="G427" s="24" t="str">
        <f ca="1">IFERROR(__xludf.DUMMYFUNCTION("GOOGLETRANSLATE(F427,""en"",""pt"")"),"avaliação pós-operacional")</f>
        <v>avaliação pós-operacional</v>
      </c>
      <c r="H427" s="24"/>
      <c r="I427" s="24"/>
    </row>
    <row r="428" spans="1:9" ht="14.5">
      <c r="A428" s="20" t="s">
        <v>34595</v>
      </c>
      <c r="B428" s="20">
        <v>80</v>
      </c>
      <c r="C428" s="20">
        <v>30</v>
      </c>
      <c r="D428" s="24"/>
      <c r="E428" s="24"/>
      <c r="F428" s="20" t="s">
        <v>34596</v>
      </c>
      <c r="G428" s="24" t="str">
        <f ca="1">IFERROR(__xludf.DUMMYFUNCTION("GOOGLETRANSLATE(F428,""en"",""pt"")"),"Ativo de informação custo do ciclo de vida")</f>
        <v>Ativo de informação custo do ciclo de vida</v>
      </c>
      <c r="H428" s="24"/>
      <c r="I428" s="24"/>
    </row>
    <row r="429" spans="1:9" ht="14.5">
      <c r="A429" s="20" t="s">
        <v>34597</v>
      </c>
      <c r="B429" s="20">
        <v>80</v>
      </c>
      <c r="C429" s="20">
        <v>30</v>
      </c>
      <c r="D429" s="20">
        <v>5</v>
      </c>
      <c r="E429" s="24"/>
      <c r="F429" s="20" t="s">
        <v>34598</v>
      </c>
      <c r="G429" s="24" t="str">
        <f ca="1">IFERROR(__xludf.DUMMYFUNCTION("GOOGLETRANSLATE(F429,""en"",""pt"")"),"Custos de aquisição")</f>
        <v>Custos de aquisição</v>
      </c>
      <c r="H429" s="24"/>
      <c r="I429" s="24"/>
    </row>
    <row r="430" spans="1:9" ht="14.5">
      <c r="A430" s="20" t="s">
        <v>34599</v>
      </c>
      <c r="B430" s="20">
        <v>80</v>
      </c>
      <c r="C430" s="20">
        <v>30</v>
      </c>
      <c r="D430" s="20">
        <v>30</v>
      </c>
      <c r="E430" s="24"/>
      <c r="F430" s="20" t="s">
        <v>34600</v>
      </c>
      <c r="G430" s="24" t="str">
        <f ca="1">IFERROR(__xludf.DUMMYFUNCTION("GOOGLETRANSLATE(F430,""en"",""pt"")"),"informações encargos financeiros")</f>
        <v>informações encargos financeiros</v>
      </c>
      <c r="H430" s="24"/>
      <c r="I430" s="24"/>
    </row>
    <row r="431" spans="1:9" ht="14.5">
      <c r="A431" s="20" t="s">
        <v>34601</v>
      </c>
      <c r="B431" s="20">
        <v>80</v>
      </c>
      <c r="C431" s="20">
        <v>30</v>
      </c>
      <c r="D431" s="20">
        <v>50</v>
      </c>
      <c r="E431" s="24"/>
      <c r="F431" s="20" t="s">
        <v>34602</v>
      </c>
      <c r="G431" s="24" t="str">
        <f ca="1">IFERROR(__xludf.DUMMYFUNCTION("GOOGLETRANSLATE(F431,""en"",""pt"")"),"Informações sobre manutenção e custos de reparação")</f>
        <v>Informações sobre manutenção e custos de reparação</v>
      </c>
      <c r="H431" s="24"/>
      <c r="I431" s="24"/>
    </row>
    <row r="432" spans="1:9" ht="14.5">
      <c r="A432" s="20" t="s">
        <v>34603</v>
      </c>
      <c r="B432" s="20">
        <v>80</v>
      </c>
      <c r="C432" s="20">
        <v>30</v>
      </c>
      <c r="D432" s="20">
        <v>60</v>
      </c>
      <c r="E432" s="24"/>
      <c r="F432" s="20" t="s">
        <v>34604</v>
      </c>
      <c r="G432" s="24" t="str">
        <f ca="1">IFERROR(__xludf.DUMMYFUNCTION("GOOGLETRANSLATE(F432,""en"",""pt"")"),"serviços de escritório de informação de custos")</f>
        <v>serviços de escritório de informação de custos</v>
      </c>
      <c r="H432" s="24"/>
      <c r="I432" s="24"/>
    </row>
    <row r="433" spans="1:9" ht="14.5">
      <c r="A433" s="20" t="s">
        <v>34605</v>
      </c>
      <c r="B433" s="20">
        <v>80</v>
      </c>
      <c r="C433" s="20">
        <v>30</v>
      </c>
      <c r="D433" s="20">
        <v>63</v>
      </c>
      <c r="E433" s="24"/>
      <c r="F433" s="20" t="s">
        <v>34606</v>
      </c>
      <c r="G433" s="24" t="str">
        <f ca="1">IFERROR(__xludf.DUMMYFUNCTION("GOOGLETRANSLATE(F433,""en"",""pt"")"),"informações de custo operacional")</f>
        <v>informações de custo operacional</v>
      </c>
      <c r="H433" s="24"/>
      <c r="I433" s="24"/>
    </row>
    <row r="434" spans="1:9" ht="14.5">
      <c r="A434" s="20" t="s">
        <v>34607</v>
      </c>
      <c r="B434" s="20">
        <v>80</v>
      </c>
      <c r="C434" s="20">
        <v>30</v>
      </c>
      <c r="D434" s="20">
        <v>70</v>
      </c>
      <c r="E434" s="24"/>
      <c r="F434" s="20" t="s">
        <v>34608</v>
      </c>
      <c r="G434" s="24" t="str">
        <f ca="1">IFERROR(__xludf.DUMMYFUNCTION("GOOGLETRANSLATE(F434,""en"",""pt"")"),"Informações sobre custos de substituição")</f>
        <v>Informações sobre custos de substituição</v>
      </c>
      <c r="H434" s="24"/>
      <c r="I434" s="24"/>
    </row>
    <row r="435" spans="1:9" ht="14.5">
      <c r="A435" s="20" t="s">
        <v>34609</v>
      </c>
      <c r="B435" s="20">
        <v>80</v>
      </c>
      <c r="C435" s="20">
        <v>30</v>
      </c>
      <c r="D435" s="20">
        <v>80</v>
      </c>
      <c r="E435" s="24"/>
      <c r="F435" s="20" t="s">
        <v>34610</v>
      </c>
      <c r="G435" s="24" t="str">
        <f ca="1">IFERROR(__xludf.DUMMYFUNCTION("GOOGLETRANSLATE(F435,""en"",""pt"")"),"Informações sobre custos de pessoal")</f>
        <v>Informações sobre custos de pessoal</v>
      </c>
      <c r="H435" s="24"/>
      <c r="I435" s="24"/>
    </row>
    <row r="436" spans="1:9" ht="14.5">
      <c r="A436" s="20" t="s">
        <v>34611</v>
      </c>
      <c r="B436" s="20">
        <v>80</v>
      </c>
      <c r="C436" s="20">
        <v>30</v>
      </c>
      <c r="D436" s="20">
        <v>90</v>
      </c>
      <c r="E436" s="24"/>
      <c r="F436" s="20" t="s">
        <v>34612</v>
      </c>
      <c r="G436" s="24" t="str">
        <f ca="1">IFERROR(__xludf.DUMMYFUNCTION("GOOGLETRANSLATE(F436,""en"",""pt"")"),"Informações sobre custos de utilitários")</f>
        <v>Informações sobre custos de utilitários</v>
      </c>
      <c r="H436" s="24"/>
      <c r="I436" s="24"/>
    </row>
    <row r="437" spans="1:9" ht="14.5">
      <c r="A437" s="20" t="s">
        <v>34613</v>
      </c>
      <c r="B437" s="20">
        <v>80</v>
      </c>
      <c r="C437" s="20">
        <v>50</v>
      </c>
      <c r="D437" s="24"/>
      <c r="E437" s="24"/>
      <c r="F437" s="20" t="s">
        <v>34614</v>
      </c>
      <c r="G437" s="24" t="str">
        <f ca="1">IFERROR(__xludf.DUMMYFUNCTION("GOOGLETRANSLATE(F437,""en"",""pt"")"),"informações estratégia de emergência")</f>
        <v>informações estratégia de emergência</v>
      </c>
      <c r="H437" s="24"/>
      <c r="I437" s="24"/>
    </row>
    <row r="438" spans="1:9" ht="14.5">
      <c r="A438" s="20" t="s">
        <v>34615</v>
      </c>
      <c r="B438" s="20">
        <v>80</v>
      </c>
      <c r="C438" s="20">
        <v>50</v>
      </c>
      <c r="D438" s="20">
        <v>20</v>
      </c>
      <c r="E438" s="24"/>
      <c r="F438" s="20" t="s">
        <v>34616</v>
      </c>
      <c r="G438" s="24" t="str">
        <f ca="1">IFERROR(__xludf.DUMMYFUNCTION("GOOGLETRANSLATE(F438,""en"",""pt"")"),"estratégia de recuperação de desastres")</f>
        <v>estratégia de recuperação de desastres</v>
      </c>
      <c r="H438" s="24"/>
      <c r="I438" s="24"/>
    </row>
    <row r="439" spans="1:9" ht="14.5">
      <c r="A439" s="20" t="s">
        <v>34617</v>
      </c>
      <c r="B439" s="20">
        <v>80</v>
      </c>
      <c r="C439" s="20">
        <v>50</v>
      </c>
      <c r="D439" s="20">
        <v>25</v>
      </c>
      <c r="E439" s="24"/>
      <c r="F439" s="20" t="s">
        <v>34618</v>
      </c>
      <c r="G439" s="24" t="str">
        <f ca="1">IFERROR(__xludf.DUMMYFUNCTION("GOOGLETRANSLATE(F439,""en"",""pt"")"),"estratégia de resposta às catástrofes")</f>
        <v>estratégia de resposta às catástrofes</v>
      </c>
      <c r="H439" s="24"/>
      <c r="I439" s="24"/>
    </row>
    <row r="440" spans="1:9" ht="14.5">
      <c r="A440" s="20" t="s">
        <v>34619</v>
      </c>
      <c r="B440" s="20">
        <v>80</v>
      </c>
      <c r="C440" s="20">
        <v>50</v>
      </c>
      <c r="D440" s="20">
        <v>30</v>
      </c>
      <c r="E440" s="24"/>
      <c r="F440" s="20" t="s">
        <v>34620</v>
      </c>
      <c r="G440" s="24" t="str">
        <f ca="1">IFERROR(__xludf.DUMMYFUNCTION("GOOGLETRANSLATE(F440,""en"",""pt"")"),"estratégia de fogo")</f>
        <v>estratégia de fogo</v>
      </c>
      <c r="H440" s="24"/>
      <c r="I440" s="24"/>
    </row>
    <row r="441" spans="1:9" ht="14.5">
      <c r="A441" s="20" t="s">
        <v>34621</v>
      </c>
      <c r="B441" s="20">
        <v>80</v>
      </c>
      <c r="C441" s="20">
        <v>50</v>
      </c>
      <c r="D441" s="20">
        <v>80</v>
      </c>
      <c r="E441" s="24"/>
      <c r="F441" s="20" t="s">
        <v>34622</v>
      </c>
      <c r="G441" s="24" t="str">
        <f ca="1">IFERROR(__xludf.DUMMYFUNCTION("GOOGLETRANSLATE(F441,""en"",""pt"")"),"estratégia de segurança")</f>
        <v>estratégia de segurança</v>
      </c>
      <c r="H441" s="24"/>
      <c r="I441" s="24"/>
    </row>
    <row r="442" spans="1:9" ht="14.5">
      <c r="A442" s="20" t="s">
        <v>34623</v>
      </c>
      <c r="B442" s="20">
        <v>80</v>
      </c>
      <c r="C442" s="20">
        <v>60</v>
      </c>
      <c r="D442" s="24"/>
      <c r="E442" s="24"/>
      <c r="F442" s="20" t="s">
        <v>34624</v>
      </c>
      <c r="G442" s="24" t="str">
        <f ca="1">IFERROR(__xludf.DUMMYFUNCTION("GOOGLETRANSLATE(F442,""en"",""pt"")"),"informações de gestão de risco de ativos")</f>
        <v>informações de gestão de risco de ativos</v>
      </c>
      <c r="H442" s="24"/>
      <c r="I442" s="24"/>
    </row>
    <row r="443" spans="1:9" ht="14.5">
      <c r="A443" s="20" t="s">
        <v>34625</v>
      </c>
      <c r="B443" s="20">
        <v>80</v>
      </c>
      <c r="C443" s="20">
        <v>60</v>
      </c>
      <c r="D443" s="20">
        <v>15</v>
      </c>
      <c r="E443" s="24"/>
      <c r="F443" s="20" t="s">
        <v>34626</v>
      </c>
      <c r="G443" s="24" t="str">
        <f ca="1">IFERROR(__xludf.DUMMYFUNCTION("GOOGLETRANSLATE(F443,""en"",""pt"")"),"informação de gestão do risco de compliance")</f>
        <v>informação de gestão do risco de compliance</v>
      </c>
      <c r="H443" s="24"/>
      <c r="I443" s="24"/>
    </row>
    <row r="444" spans="1:9" ht="14.5">
      <c r="A444" s="20" t="s">
        <v>34627</v>
      </c>
      <c r="B444" s="20">
        <v>80</v>
      </c>
      <c r="C444" s="20">
        <v>60</v>
      </c>
      <c r="D444" s="20">
        <v>30</v>
      </c>
      <c r="E444" s="24"/>
      <c r="F444" s="20" t="s">
        <v>34628</v>
      </c>
      <c r="G444" s="24" t="str">
        <f ca="1">IFERROR(__xludf.DUMMYFUNCTION("GOOGLETRANSLATE(F444,""en"",""pt"")"),"informação de gestão de riscos financeiros")</f>
        <v>informação de gestão de riscos financeiros</v>
      </c>
      <c r="H444" s="24"/>
      <c r="I444" s="24"/>
    </row>
    <row r="445" spans="1:9" ht="14.5">
      <c r="A445" s="20" t="s">
        <v>34629</v>
      </c>
      <c r="B445" s="20">
        <v>80</v>
      </c>
      <c r="C445" s="20">
        <v>60</v>
      </c>
      <c r="D445" s="20">
        <v>50</v>
      </c>
      <c r="E445" s="24"/>
      <c r="F445" s="20" t="s">
        <v>34630</v>
      </c>
      <c r="G445" s="24" t="str">
        <f ca="1">IFERROR(__xludf.DUMMYFUNCTION("GOOGLETRANSLATE(F445,""en"",""pt"")"),"Saúde e gestão de risco de segurança da informação")</f>
        <v>Saúde e gestão de risco de segurança da informação</v>
      </c>
      <c r="H445" s="24"/>
      <c r="I445" s="24"/>
    </row>
    <row r="446" spans="1:9" ht="14.5">
      <c r="A446" s="20" t="s">
        <v>34631</v>
      </c>
      <c r="B446" s="20">
        <v>80</v>
      </c>
      <c r="C446" s="20">
        <v>60</v>
      </c>
      <c r="D446" s="20">
        <v>60</v>
      </c>
      <c r="E446" s="24"/>
      <c r="F446" s="20" t="s">
        <v>34632</v>
      </c>
      <c r="G446" s="24" t="str">
        <f ca="1">IFERROR(__xludf.DUMMYFUNCTION("GOOGLETRANSLATE(F446,""en"",""pt"")"),"informação de gestão de risco operacional")</f>
        <v>informação de gestão de risco operacional</v>
      </c>
      <c r="H446" s="24"/>
      <c r="I446" s="24"/>
    </row>
    <row r="447" spans="1:9" ht="14.5">
      <c r="A447" s="20" t="s">
        <v>34633</v>
      </c>
      <c r="B447" s="20">
        <v>80</v>
      </c>
      <c r="C447" s="20">
        <v>60</v>
      </c>
      <c r="D447" s="20">
        <v>65</v>
      </c>
      <c r="E447" s="24"/>
      <c r="F447" s="20" t="s">
        <v>34634</v>
      </c>
      <c r="G447" s="24" t="str">
        <f ca="1">IFERROR(__xludf.DUMMYFUNCTION("GOOGLETRANSLATE(F447,""en"",""pt"")"),"informações de gestão de risco desempenho")</f>
        <v>informações de gestão de risco desempenho</v>
      </c>
      <c r="H447" s="24"/>
      <c r="I447" s="24"/>
    </row>
    <row r="448" spans="1:9" ht="14.5">
      <c r="A448" s="20" t="s">
        <v>34635</v>
      </c>
      <c r="B448" s="20">
        <v>80</v>
      </c>
      <c r="C448" s="20">
        <v>60</v>
      </c>
      <c r="D448" s="20">
        <v>70</v>
      </c>
      <c r="E448" s="24"/>
      <c r="F448" s="20" t="s">
        <v>34636</v>
      </c>
      <c r="G448" s="24" t="str">
        <f ca="1">IFERROR(__xludf.DUMMYFUNCTION("GOOGLETRANSLATE(F448,""en"",""pt"")"),"informações risco residual")</f>
        <v>informações risco residual</v>
      </c>
      <c r="H448" s="24"/>
      <c r="I448" s="24"/>
    </row>
  </sheetData>
  <mergeCells count="1">
    <mergeCell ref="A1:E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811"/>
  <sheetViews>
    <sheetView workbookViewId="0">
      <pane ySplit="3" topLeftCell="A4" activePane="bottomLeft" state="frozen"/>
      <selection pane="bottomLeft" activeCell="B5" sqref="B5"/>
    </sheetView>
  </sheetViews>
  <sheetFormatPr defaultColWidth="14.453125" defaultRowHeight="15.75" customHeight="1"/>
  <cols>
    <col min="6" max="6" width="83.54296875" customWidth="1"/>
    <col min="7" max="7" width="30.08984375" customWidth="1"/>
    <col min="8" max="8" width="9.453125" customWidth="1"/>
    <col min="9" max="9" width="5.453125" customWidth="1"/>
  </cols>
  <sheetData>
    <row r="1" spans="1:9" ht="15.75" customHeight="1">
      <c r="A1" s="207" t="s">
        <v>34637</v>
      </c>
      <c r="B1" s="208"/>
      <c r="C1" s="208"/>
      <c r="D1" s="208"/>
      <c r="E1" s="208"/>
      <c r="F1" s="22"/>
      <c r="G1" s="22"/>
      <c r="H1" s="22"/>
      <c r="I1" s="22"/>
    </row>
    <row r="2" spans="1:9" ht="15.75" customHeight="1">
      <c r="A2" s="24"/>
      <c r="B2" s="24"/>
      <c r="C2" s="24"/>
      <c r="D2" s="24"/>
      <c r="E2" s="24"/>
      <c r="F2" s="24"/>
      <c r="G2" s="24"/>
      <c r="H2" s="24"/>
      <c r="I2" s="24"/>
    </row>
    <row r="3" spans="1:9" ht="15.75" customHeight="1">
      <c r="A3" s="25" t="s">
        <v>61</v>
      </c>
      <c r="B3" s="25" t="s">
        <v>62</v>
      </c>
      <c r="C3" s="25" t="s">
        <v>63</v>
      </c>
      <c r="D3" s="25" t="s">
        <v>64</v>
      </c>
      <c r="E3" s="25" t="s">
        <v>65</v>
      </c>
      <c r="F3" s="25" t="s">
        <v>66</v>
      </c>
      <c r="G3" s="25" t="s">
        <v>67</v>
      </c>
      <c r="H3" s="25" t="s">
        <v>78</v>
      </c>
      <c r="I3" s="25" t="s">
        <v>79</v>
      </c>
    </row>
    <row r="4" spans="1:9" ht="15.75" customHeight="1">
      <c r="A4" s="20" t="s">
        <v>34638</v>
      </c>
      <c r="B4" s="20">
        <v>10</v>
      </c>
      <c r="C4" s="24"/>
      <c r="D4" s="24"/>
      <c r="E4" s="24"/>
      <c r="F4" s="28" t="s">
        <v>34639</v>
      </c>
      <c r="G4" s="24" t="str">
        <f ca="1">IFERROR(__xludf.DUMMYFUNCTION("GOOGLETRANSLATE(F4,""en"",""pt"")"),"cofragem")</f>
        <v>cofragem</v>
      </c>
      <c r="H4" s="24"/>
      <c r="I4" s="24"/>
    </row>
    <row r="5" spans="1:9" ht="15.75" customHeight="1">
      <c r="A5" s="20" t="s">
        <v>34640</v>
      </c>
      <c r="B5" s="20">
        <v>10</v>
      </c>
      <c r="C5" s="20">
        <v>10</v>
      </c>
      <c r="D5" s="24"/>
      <c r="E5" s="24"/>
      <c r="F5" s="20" t="s">
        <v>34641</v>
      </c>
      <c r="G5" s="24" t="str">
        <f ca="1">IFERROR(__xludf.DUMMYFUNCTION("GOOGLETRANSLATE(F5,""en"",""pt"")"),"Parede e sistemas de cofragem do piso")</f>
        <v>Parede e sistemas de cofragem do piso</v>
      </c>
      <c r="H5" s="24"/>
      <c r="I5" s="24"/>
    </row>
    <row r="6" spans="1:9" ht="15.75" customHeight="1">
      <c r="A6" s="20" t="s">
        <v>34642</v>
      </c>
      <c r="B6" s="20">
        <v>10</v>
      </c>
      <c r="C6" s="20">
        <v>10</v>
      </c>
      <c r="D6" s="20">
        <v>20</v>
      </c>
      <c r="E6" s="24"/>
      <c r="F6" s="20" t="s">
        <v>34643</v>
      </c>
      <c r="G6" s="24" t="str">
        <f ca="1">IFERROR(__xludf.DUMMYFUNCTION("GOOGLETRANSLATE(F6,""en"",""pt"")"),"material de contacto face")</f>
        <v>material de contacto face</v>
      </c>
      <c r="H6" s="24"/>
      <c r="I6" s="24"/>
    </row>
    <row r="7" spans="1:9" ht="15.75" customHeight="1">
      <c r="A7" s="20" t="s">
        <v>34644</v>
      </c>
      <c r="B7" s="20">
        <v>10</v>
      </c>
      <c r="C7" s="20">
        <v>10</v>
      </c>
      <c r="D7" s="20">
        <v>20</v>
      </c>
      <c r="E7" s="20">
        <v>7</v>
      </c>
      <c r="F7" s="20" t="s">
        <v>34645</v>
      </c>
      <c r="G7" s="24" t="str">
        <f ca="1">IFERROR(__xludf.DUMMYFUNCTION("GOOGLETRANSLATE(F7,""en"",""pt"")"),"caixas de feixe")</f>
        <v>caixas de feixe</v>
      </c>
      <c r="H7" s="24"/>
      <c r="I7" s="24"/>
    </row>
    <row r="8" spans="1:9" ht="15.75" customHeight="1">
      <c r="A8" s="20" t="s">
        <v>34646</v>
      </c>
      <c r="B8" s="20">
        <v>10</v>
      </c>
      <c r="C8" s="20">
        <v>10</v>
      </c>
      <c r="D8" s="20">
        <v>20</v>
      </c>
      <c r="E8" s="20">
        <v>24</v>
      </c>
      <c r="F8" s="20" t="s">
        <v>34647</v>
      </c>
      <c r="G8" s="24" t="str">
        <f ca="1">IFERROR(__xludf.DUMMYFUNCTION("GOOGLETRANSLATE(F8,""en"",""pt"")"),"desenhar formas")</f>
        <v>desenhar formas</v>
      </c>
      <c r="H8" s="24"/>
      <c r="I8" s="24"/>
    </row>
    <row r="9" spans="1:9" ht="15.75" customHeight="1">
      <c r="A9" s="20" t="s">
        <v>34648</v>
      </c>
      <c r="B9" s="20">
        <v>10</v>
      </c>
      <c r="C9" s="20">
        <v>10</v>
      </c>
      <c r="D9" s="20">
        <v>20</v>
      </c>
      <c r="E9" s="20">
        <v>30</v>
      </c>
      <c r="F9" s="20" t="s">
        <v>34649</v>
      </c>
      <c r="G9" s="24" t="str">
        <f ca="1">IFERROR(__xludf.DUMMYFUNCTION("GOOGLETRANSLATE(F9,""en"",""pt"")"),"revestimento de cofragem")</f>
        <v>revestimento de cofragem</v>
      </c>
      <c r="H9" s="24"/>
      <c r="I9" s="24"/>
    </row>
    <row r="10" spans="1:9" ht="15.75" customHeight="1">
      <c r="A10" s="20" t="s">
        <v>34650</v>
      </c>
      <c r="B10" s="20">
        <v>10</v>
      </c>
      <c r="C10" s="20">
        <v>10</v>
      </c>
      <c r="D10" s="20">
        <v>20</v>
      </c>
      <c r="E10" s="20">
        <v>31</v>
      </c>
      <c r="F10" s="20" t="s">
        <v>34651</v>
      </c>
      <c r="G10" s="24" t="str">
        <f ca="1">IFERROR(__xludf.DUMMYFUNCTION("GOOGLETRANSLATE(F10,""en"",""pt"")"),"painéis de cofragem")</f>
        <v>painéis de cofragem</v>
      </c>
      <c r="H10" s="24"/>
      <c r="I10" s="24"/>
    </row>
    <row r="11" spans="1:9" ht="15.75" customHeight="1">
      <c r="A11" s="20" t="s">
        <v>34652</v>
      </c>
      <c r="B11" s="20">
        <v>10</v>
      </c>
      <c r="C11" s="20">
        <v>10</v>
      </c>
      <c r="D11" s="20">
        <v>20</v>
      </c>
      <c r="E11" s="20">
        <v>46</v>
      </c>
      <c r="F11" s="20" t="s">
        <v>34653</v>
      </c>
      <c r="G11" s="24" t="str">
        <f ca="1">IFERROR(__xludf.DUMMYFUNCTION("GOOGLETRANSLATE(F11,""en"",""pt"")"),"placas de regaço")</f>
        <v>placas de regaço</v>
      </c>
      <c r="H11" s="24"/>
      <c r="I11" s="24"/>
    </row>
    <row r="12" spans="1:9" ht="15.75" customHeight="1">
      <c r="A12" s="20" t="s">
        <v>34654</v>
      </c>
      <c r="B12" s="20">
        <v>10</v>
      </c>
      <c r="C12" s="20">
        <v>10</v>
      </c>
      <c r="D12" s="20">
        <v>20</v>
      </c>
      <c r="E12" s="20">
        <v>85</v>
      </c>
      <c r="F12" s="20" t="s">
        <v>34655</v>
      </c>
      <c r="G12" s="24" t="str">
        <f ca="1">IFERROR(__xludf.DUMMYFUNCTION("GOOGLETRANSLATE(F12,""en"",""pt"")"),"formas finais de paragem")</f>
        <v>formas finais de paragem</v>
      </c>
      <c r="H12" s="24"/>
      <c r="I12" s="24"/>
    </row>
    <row r="13" spans="1:9" ht="15.75" customHeight="1">
      <c r="A13" s="20" t="s">
        <v>34656</v>
      </c>
      <c r="B13" s="20">
        <v>10</v>
      </c>
      <c r="C13" s="20">
        <v>10</v>
      </c>
      <c r="D13" s="20">
        <v>20</v>
      </c>
      <c r="E13" s="20">
        <v>97</v>
      </c>
      <c r="F13" s="20" t="s">
        <v>34657</v>
      </c>
      <c r="G13" s="24" t="str">
        <f ca="1">IFERROR(__xludf.DUMMYFUNCTION("GOOGLETRANSLATE(F13,""en"",""pt"")"),"Wrecking tiras")</f>
        <v>Wrecking tiras</v>
      </c>
      <c r="H13" s="24"/>
      <c r="I13" s="24"/>
    </row>
    <row r="14" spans="1:9" ht="15.75" customHeight="1">
      <c r="A14" s="20" t="s">
        <v>34658</v>
      </c>
      <c r="B14" s="20">
        <v>10</v>
      </c>
      <c r="C14" s="20">
        <v>10</v>
      </c>
      <c r="D14" s="20">
        <v>50</v>
      </c>
      <c r="E14" s="24"/>
      <c r="F14" s="20" t="s">
        <v>34659</v>
      </c>
      <c r="G14" s="24" t="str">
        <f ca="1">IFERROR(__xludf.DUMMYFUNCTION("GOOGLETRANSLATE(F14,""en"",""pt"")"),"Os elementos estruturais")</f>
        <v>Os elementos estruturais</v>
      </c>
      <c r="H14" s="24"/>
      <c r="I14" s="24"/>
    </row>
    <row r="15" spans="1:9" ht="15.75" customHeight="1">
      <c r="A15" s="20" t="s">
        <v>34660</v>
      </c>
      <c r="B15" s="20">
        <v>10</v>
      </c>
      <c r="C15" s="20">
        <v>10</v>
      </c>
      <c r="D15" s="20">
        <v>50</v>
      </c>
      <c r="E15" s="20">
        <v>85</v>
      </c>
      <c r="F15" s="20" t="s">
        <v>34661</v>
      </c>
      <c r="G15" s="24" t="str">
        <f ca="1">IFERROR(__xludf.DUMMYFUNCTION("GOOGLETRANSLATE(F15,""en"",""pt"")"),"Strongbacks")</f>
        <v>Strongbacks</v>
      </c>
      <c r="H15" s="24"/>
      <c r="I15" s="24"/>
    </row>
    <row r="16" spans="1:9" ht="15.75" customHeight="1">
      <c r="A16" s="20" t="s">
        <v>34662</v>
      </c>
      <c r="B16" s="20">
        <v>10</v>
      </c>
      <c r="C16" s="20">
        <v>10</v>
      </c>
      <c r="D16" s="20">
        <v>50</v>
      </c>
      <c r="E16" s="20">
        <v>96</v>
      </c>
      <c r="F16" s="20" t="s">
        <v>34663</v>
      </c>
      <c r="G16" s="24" t="str">
        <f ca="1">IFERROR(__xludf.DUMMYFUNCTION("GOOGLETRANSLATE(F16,""en"",""pt"")"),"Walers")</f>
        <v>Walers</v>
      </c>
      <c r="H16" s="24"/>
      <c r="I16" s="24"/>
    </row>
    <row r="17" spans="1:9" ht="15.75" customHeight="1">
      <c r="A17" s="20" t="s">
        <v>34664</v>
      </c>
      <c r="B17" s="20">
        <v>10</v>
      </c>
      <c r="C17" s="20">
        <v>10</v>
      </c>
      <c r="D17" s="20">
        <v>70</v>
      </c>
      <c r="E17" s="24"/>
      <c r="F17" s="20" t="s">
        <v>34665</v>
      </c>
      <c r="G17" s="24" t="str">
        <f ca="1">IFERROR(__xludf.DUMMYFUNCTION("GOOGLETRANSLATE(F17,""en"",""pt"")"),"Caixa-outs")</f>
        <v>Caixa-outs</v>
      </c>
      <c r="H17" s="24"/>
      <c r="I17" s="24"/>
    </row>
    <row r="18" spans="1:9" ht="15.75" customHeight="1">
      <c r="A18" s="20" t="s">
        <v>34666</v>
      </c>
      <c r="B18" s="20">
        <v>10</v>
      </c>
      <c r="C18" s="20">
        <v>10</v>
      </c>
      <c r="D18" s="20">
        <v>70</v>
      </c>
      <c r="E18" s="20">
        <v>16</v>
      </c>
      <c r="F18" s="20" t="s">
        <v>34667</v>
      </c>
      <c r="G18" s="24" t="str">
        <f ca="1">IFERROR(__xludf.DUMMYFUNCTION("GOOGLETRANSLATE(F18,""en"",""pt"")"),"formas principais")</f>
        <v>formas principais</v>
      </c>
      <c r="H18" s="24"/>
      <c r="I18" s="24"/>
    </row>
    <row r="19" spans="1:9" ht="15.75" customHeight="1">
      <c r="A19" s="20" t="s">
        <v>34668</v>
      </c>
      <c r="B19" s="20">
        <v>10</v>
      </c>
      <c r="C19" s="20">
        <v>10</v>
      </c>
      <c r="D19" s="20">
        <v>70</v>
      </c>
      <c r="E19" s="20">
        <v>23</v>
      </c>
      <c r="F19" s="20" t="s">
        <v>34669</v>
      </c>
      <c r="G19" s="24" t="str">
        <f ca="1">IFERROR(__xludf.DUMMYFUNCTION("GOOGLETRANSLATE(F19,""en"",""pt"")"),"formadores de porta")</f>
        <v>formadores de porta</v>
      </c>
      <c r="H19" s="24"/>
      <c r="I19" s="24"/>
    </row>
    <row r="20" spans="1:9" ht="15.75" customHeight="1">
      <c r="A20" s="20" t="s">
        <v>34670</v>
      </c>
      <c r="B20" s="20">
        <v>10</v>
      </c>
      <c r="C20" s="20">
        <v>10</v>
      </c>
      <c r="D20" s="20">
        <v>70</v>
      </c>
      <c r="E20" s="20">
        <v>94</v>
      </c>
      <c r="F20" s="20" t="s">
        <v>34671</v>
      </c>
      <c r="G20" s="24" t="str">
        <f ca="1">IFERROR(__xludf.DUMMYFUNCTION("GOOGLETRANSLATE(F20,""en"",""pt"")"),"formas vazios")</f>
        <v>formas vazios</v>
      </c>
      <c r="H20" s="24"/>
      <c r="I20" s="24"/>
    </row>
    <row r="21" spans="1:9" ht="15.75" customHeight="1">
      <c r="A21" s="20" t="s">
        <v>34672</v>
      </c>
      <c r="B21" s="20">
        <v>10</v>
      </c>
      <c r="C21" s="20">
        <v>10</v>
      </c>
      <c r="D21" s="20">
        <v>70</v>
      </c>
      <c r="E21" s="20">
        <v>96</v>
      </c>
      <c r="F21" s="20" t="s">
        <v>34673</v>
      </c>
      <c r="G21" s="24" t="str">
        <f ca="1">IFERROR(__xludf.DUMMYFUNCTION("GOOGLETRANSLATE(F21,""en"",""pt"")"),"formadores de janela")</f>
        <v>formadores de janela</v>
      </c>
      <c r="H21" s="24"/>
      <c r="I21" s="24"/>
    </row>
    <row r="22" spans="1:9" ht="15.75" customHeight="1">
      <c r="A22" s="20" t="s">
        <v>34674</v>
      </c>
      <c r="B22" s="20">
        <v>10</v>
      </c>
      <c r="C22" s="20">
        <v>40</v>
      </c>
      <c r="D22" s="24"/>
      <c r="E22" s="24"/>
      <c r="F22" s="20" t="s">
        <v>34675</v>
      </c>
      <c r="G22" s="24" t="str">
        <f ca="1">IFERROR(__xludf.DUMMYFUNCTION("GOOGLETRANSLATE(F22,""en"",""pt"")"),"Formar colocar equipamentos, placas e acessórios")</f>
        <v>Formar colocar equipamentos, placas e acessórios</v>
      </c>
      <c r="H22" s="24"/>
      <c r="I22" s="24"/>
    </row>
    <row r="23" spans="1:9" ht="15.75" customHeight="1">
      <c r="A23" s="20" t="s">
        <v>34676</v>
      </c>
      <c r="B23" s="20">
        <v>10</v>
      </c>
      <c r="C23" s="20">
        <v>40</v>
      </c>
      <c r="D23" s="20">
        <v>20</v>
      </c>
      <c r="E23" s="24"/>
      <c r="F23" s="20" t="s">
        <v>34677</v>
      </c>
      <c r="G23" s="24" t="str">
        <f ca="1">IFERROR(__xludf.DUMMYFUNCTION("GOOGLETRANSLATE(F23,""en"",""pt"")"),"grampos")</f>
        <v>grampos</v>
      </c>
      <c r="H23" s="24"/>
      <c r="I23" s="24"/>
    </row>
    <row r="24" spans="1:9" ht="15.75" customHeight="1">
      <c r="A24" s="20" t="s">
        <v>34678</v>
      </c>
      <c r="B24" s="20">
        <v>10</v>
      </c>
      <c r="C24" s="20">
        <v>40</v>
      </c>
      <c r="D24" s="20">
        <v>20</v>
      </c>
      <c r="E24" s="20">
        <v>7</v>
      </c>
      <c r="F24" s="20" t="s">
        <v>34679</v>
      </c>
      <c r="G24" s="24" t="str">
        <f ca="1">IFERROR(__xludf.DUMMYFUNCTION("GOOGLETRANSLATE(F24,""en"",""pt"")"),"braçadeiras obturador de feixe")</f>
        <v>braçadeiras obturador de feixe</v>
      </c>
      <c r="H24" s="24"/>
      <c r="I24" s="24"/>
    </row>
    <row r="25" spans="1:9" ht="15.75" customHeight="1">
      <c r="A25" s="20" t="s">
        <v>34680</v>
      </c>
      <c r="B25" s="20">
        <v>10</v>
      </c>
      <c r="C25" s="20">
        <v>40</v>
      </c>
      <c r="D25" s="20">
        <v>20</v>
      </c>
      <c r="E25" s="20">
        <v>16</v>
      </c>
      <c r="F25" s="20" t="s">
        <v>34681</v>
      </c>
      <c r="G25" s="24" t="str">
        <f ca="1">IFERROR(__xludf.DUMMYFUNCTION("GOOGLETRANSLATE(F25,""en"",""pt"")"),"braçadeiras do obturador coluna")</f>
        <v>braçadeiras do obturador coluna</v>
      </c>
      <c r="H25" s="24"/>
      <c r="I25" s="24"/>
    </row>
    <row r="26" spans="1:9" ht="15.75" customHeight="1">
      <c r="A26" s="20" t="s">
        <v>34682</v>
      </c>
      <c r="B26" s="20">
        <v>10</v>
      </c>
      <c r="C26" s="20">
        <v>40</v>
      </c>
      <c r="D26" s="20">
        <v>20</v>
      </c>
      <c r="E26" s="20">
        <v>60</v>
      </c>
      <c r="F26" s="20" t="s">
        <v>34683</v>
      </c>
      <c r="G26" s="24" t="str">
        <f ca="1">IFERROR(__xludf.DUMMYFUNCTION("GOOGLETRANSLATE(F26,""en"",""pt"")"),"pinças de painel")</f>
        <v>pinças de painel</v>
      </c>
      <c r="H26" s="24"/>
      <c r="I26" s="24"/>
    </row>
    <row r="27" spans="1:9" ht="15.75" customHeight="1">
      <c r="A27" s="20" t="s">
        <v>34684</v>
      </c>
      <c r="B27" s="20">
        <v>10</v>
      </c>
      <c r="C27" s="20">
        <v>40</v>
      </c>
      <c r="D27" s="20">
        <v>20</v>
      </c>
      <c r="E27" s="20">
        <v>96</v>
      </c>
      <c r="F27" s="20" t="s">
        <v>34685</v>
      </c>
      <c r="G27" s="24" t="str">
        <f ca="1">IFERROR(__xludf.DUMMYFUNCTION("GOOGLETRANSLATE(F27,""en"",""pt"")"),"braçadeiras do obturador parede")</f>
        <v>braçadeiras do obturador parede</v>
      </c>
      <c r="H27" s="24"/>
      <c r="I27" s="24"/>
    </row>
    <row r="28" spans="1:9" ht="15.75" customHeight="1">
      <c r="A28" s="20" t="s">
        <v>34686</v>
      </c>
      <c r="B28" s="20">
        <v>10</v>
      </c>
      <c r="C28" s="20">
        <v>40</v>
      </c>
      <c r="D28" s="20">
        <v>30</v>
      </c>
      <c r="E28" s="24"/>
      <c r="F28" s="20" t="s">
        <v>34687</v>
      </c>
      <c r="G28" s="24" t="str">
        <f ca="1">IFERROR(__xludf.DUMMYFUNCTION("GOOGLETRANSLATE(F28,""en"",""pt"")"),"laços de cofragem")</f>
        <v>laços de cofragem</v>
      </c>
      <c r="H28" s="24"/>
      <c r="I28" s="24"/>
    </row>
    <row r="29" spans="1:9" ht="15.75" customHeight="1">
      <c r="A29" s="20" t="s">
        <v>34688</v>
      </c>
      <c r="B29" s="20">
        <v>10</v>
      </c>
      <c r="C29" s="20">
        <v>40</v>
      </c>
      <c r="D29" s="20">
        <v>30</v>
      </c>
      <c r="E29" s="20">
        <v>16</v>
      </c>
      <c r="F29" s="20" t="s">
        <v>34689</v>
      </c>
      <c r="G29" s="24" t="str">
        <f ca="1">IFERROR(__xludf.DUMMYFUNCTION("GOOGLETRANSLATE(F29,""en"",""pt"")"),"bobina laços")</f>
        <v>bobina laços</v>
      </c>
      <c r="H29" s="24"/>
      <c r="I29" s="24"/>
    </row>
    <row r="30" spans="1:9" ht="15.75" customHeight="1">
      <c r="A30" s="20" t="s">
        <v>34690</v>
      </c>
      <c r="B30" s="20">
        <v>10</v>
      </c>
      <c r="C30" s="20">
        <v>40</v>
      </c>
      <c r="D30" s="20">
        <v>30</v>
      </c>
      <c r="E30" s="20">
        <v>36</v>
      </c>
      <c r="F30" s="20" t="s">
        <v>34691</v>
      </c>
      <c r="G30" s="24" t="str">
        <f ca="1">IFERROR(__xludf.DUMMYFUNCTION("GOOGLETRANSLATE(F30,""en"",""pt"")"),"Estendal laços")</f>
        <v>Estendal laços</v>
      </c>
      <c r="H30" s="24"/>
      <c r="I30" s="24"/>
    </row>
    <row r="31" spans="1:9" ht="15.75" customHeight="1">
      <c r="A31" s="20" t="s">
        <v>34692</v>
      </c>
      <c r="B31" s="20">
        <v>10</v>
      </c>
      <c r="C31" s="20">
        <v>40</v>
      </c>
      <c r="D31" s="20">
        <v>30</v>
      </c>
      <c r="E31" s="20">
        <v>64</v>
      </c>
      <c r="F31" s="20" t="s">
        <v>34693</v>
      </c>
      <c r="G31" s="24" t="str">
        <f ca="1">IFERROR(__xludf.DUMMYFUNCTION("GOOGLETRANSLATE(F31,""en"",""pt"")"),"pigtail laços")</f>
        <v>pigtail laços</v>
      </c>
      <c r="H31" s="24"/>
      <c r="I31" s="24"/>
    </row>
    <row r="32" spans="1:9" ht="15.75" customHeight="1">
      <c r="A32" s="20" t="s">
        <v>34694</v>
      </c>
      <c r="B32" s="20">
        <v>10</v>
      </c>
      <c r="C32" s="20">
        <v>40</v>
      </c>
      <c r="D32" s="20">
        <v>30</v>
      </c>
      <c r="E32" s="20">
        <v>80</v>
      </c>
      <c r="F32" s="20" t="s">
        <v>34695</v>
      </c>
      <c r="G32" s="24" t="str">
        <f ca="1">IFERROR(__xludf.DUMMYFUNCTION("GOOGLETRANSLATE(F32,""en"",""pt"")"),"Tire laços")</f>
        <v>Tire laços</v>
      </c>
      <c r="H32" s="24"/>
      <c r="I32" s="24"/>
    </row>
    <row r="33" spans="1:9" ht="15.75" customHeight="1">
      <c r="A33" s="20" t="s">
        <v>34696</v>
      </c>
      <c r="B33" s="20">
        <v>10</v>
      </c>
      <c r="C33" s="20">
        <v>40</v>
      </c>
      <c r="D33" s="20">
        <v>30</v>
      </c>
      <c r="E33" s="20">
        <v>87</v>
      </c>
      <c r="F33" s="20" t="s">
        <v>34697</v>
      </c>
      <c r="G33" s="24" t="str">
        <f ca="1">IFERROR(__xludf.DUMMYFUNCTION("GOOGLETRANSLATE(F33,""en"",""pt"")"),"laços Taper")</f>
        <v>laços Taper</v>
      </c>
      <c r="H33" s="24"/>
      <c r="I33" s="24"/>
    </row>
    <row r="34" spans="1:9" ht="15.75" customHeight="1">
      <c r="A34" s="20" t="s">
        <v>34698</v>
      </c>
      <c r="B34" s="20">
        <v>10</v>
      </c>
      <c r="C34" s="20">
        <v>40</v>
      </c>
      <c r="D34" s="20">
        <v>30</v>
      </c>
      <c r="E34" s="20">
        <v>89</v>
      </c>
      <c r="F34" s="20" t="s">
        <v>34699</v>
      </c>
      <c r="G34" s="24" t="str">
        <f ca="1">IFERROR(__xludf.DUMMYFUNCTION("GOOGLETRANSLATE(F34,""en"",""pt"")"),"mangas laço")</f>
        <v>mangas laço</v>
      </c>
      <c r="H34" s="24"/>
      <c r="I34" s="24"/>
    </row>
    <row r="35" spans="1:9" ht="15.75" customHeight="1">
      <c r="A35" s="20" t="s">
        <v>34700</v>
      </c>
      <c r="B35" s="20">
        <v>10</v>
      </c>
      <c r="C35" s="20">
        <v>40</v>
      </c>
      <c r="D35" s="20">
        <v>30</v>
      </c>
      <c r="E35" s="20">
        <v>90</v>
      </c>
      <c r="F35" s="20" t="s">
        <v>34701</v>
      </c>
      <c r="G35" s="24" t="str">
        <f ca="1">IFERROR(__xludf.DUMMYFUNCTION("GOOGLETRANSLATE(F35,""en"",""pt"")"),"através de laços")</f>
        <v>através de laços</v>
      </c>
      <c r="H35" s="24"/>
      <c r="I35" s="24"/>
    </row>
    <row r="36" spans="1:9" ht="15.75" customHeight="1">
      <c r="A36" s="20" t="s">
        <v>34702</v>
      </c>
      <c r="B36" s="20">
        <v>10</v>
      </c>
      <c r="C36" s="20">
        <v>40</v>
      </c>
      <c r="D36" s="20">
        <v>30</v>
      </c>
      <c r="E36" s="20">
        <v>96</v>
      </c>
      <c r="F36" s="20" t="s">
        <v>34703</v>
      </c>
      <c r="G36" s="24" t="str">
        <f ca="1">IFERROR(__xludf.DUMMYFUNCTION("GOOGLETRANSLATE(F36,""en"",""pt"")"),"laços bar Água")</f>
        <v>laços bar Água</v>
      </c>
      <c r="H36" s="24"/>
      <c r="I36" s="24"/>
    </row>
    <row r="37" spans="1:9" ht="15.75" customHeight="1">
      <c r="A37" s="20" t="s">
        <v>34704</v>
      </c>
      <c r="B37" s="20">
        <v>10</v>
      </c>
      <c r="C37" s="20">
        <v>40</v>
      </c>
      <c r="D37" s="20">
        <v>55</v>
      </c>
      <c r="E37" s="24"/>
      <c r="F37" s="20" t="s">
        <v>34639</v>
      </c>
      <c r="G37" s="24" t="str">
        <f ca="1">IFERROR(__xludf.DUMMYFUNCTION("GOOGLETRANSLATE(F37,""en"",""pt"")"),"cofragem")</f>
        <v>cofragem</v>
      </c>
      <c r="H37" s="24"/>
      <c r="I37" s="24"/>
    </row>
    <row r="38" spans="1:9" ht="15.75" customHeight="1">
      <c r="A38" s="20" t="s">
        <v>34705</v>
      </c>
      <c r="B38" s="20">
        <v>10</v>
      </c>
      <c r="C38" s="20">
        <v>40</v>
      </c>
      <c r="D38" s="20">
        <v>55</v>
      </c>
      <c r="E38" s="20">
        <v>72</v>
      </c>
      <c r="F38" s="20" t="s">
        <v>34706</v>
      </c>
      <c r="G38" s="24" t="str">
        <f ca="1">IFERROR(__xludf.DUMMYFUNCTION("GOOGLETRANSLATE(F38,""en"",""pt"")"),"formas de estrada")</f>
        <v>formas de estrada</v>
      </c>
      <c r="H38" s="24"/>
      <c r="I38" s="24"/>
    </row>
    <row r="39" spans="1:9" ht="14.5">
      <c r="A39" s="20" t="s">
        <v>34707</v>
      </c>
      <c r="B39" s="20">
        <v>10</v>
      </c>
      <c r="C39" s="20">
        <v>40</v>
      </c>
      <c r="D39" s="20">
        <v>55</v>
      </c>
      <c r="E39" s="20">
        <v>77</v>
      </c>
      <c r="F39" s="20" t="s">
        <v>34708</v>
      </c>
      <c r="G39" s="24" t="str">
        <f ca="1">IFERROR(__xludf.DUMMYFUNCTION("GOOGLETRANSLATE(F39,""en"",""pt"")"),"laminação")</f>
        <v>laminação</v>
      </c>
      <c r="H39" s="24"/>
      <c r="I39" s="24"/>
    </row>
    <row r="40" spans="1:9" ht="14.5">
      <c r="A40" s="20" t="s">
        <v>34709</v>
      </c>
      <c r="B40" s="20">
        <v>10</v>
      </c>
      <c r="C40" s="20">
        <v>40</v>
      </c>
      <c r="D40" s="20">
        <v>55</v>
      </c>
      <c r="E40" s="20">
        <v>79</v>
      </c>
      <c r="F40" s="20" t="s">
        <v>34710</v>
      </c>
      <c r="G40" s="24" t="str">
        <f ca="1">IFERROR(__xludf.DUMMYFUNCTION("GOOGLETRANSLATE(F40,""en"",""pt"")"),"persianas")</f>
        <v>persianas</v>
      </c>
      <c r="H40" s="24"/>
      <c r="I40" s="24"/>
    </row>
    <row r="41" spans="1:9" ht="14.5">
      <c r="A41" s="20" t="s">
        <v>34711</v>
      </c>
      <c r="B41" s="20">
        <v>10</v>
      </c>
      <c r="C41" s="20">
        <v>40</v>
      </c>
      <c r="D41" s="20">
        <v>55</v>
      </c>
      <c r="E41" s="20">
        <v>96</v>
      </c>
      <c r="F41" s="20" t="s">
        <v>34712</v>
      </c>
      <c r="G41" s="24" t="str">
        <f ca="1">IFERROR(__xludf.DUMMYFUNCTION("GOOGLETRANSLATE(F41,""en"",""pt"")"),"wrot")</f>
        <v>wrot</v>
      </c>
      <c r="H41" s="24"/>
      <c r="I41" s="24"/>
    </row>
    <row r="42" spans="1:9" ht="14.5">
      <c r="A42" s="20" t="s">
        <v>34713</v>
      </c>
      <c r="B42" s="20">
        <v>10</v>
      </c>
      <c r="C42" s="20">
        <v>40</v>
      </c>
      <c r="D42" s="20">
        <v>75</v>
      </c>
      <c r="E42" s="24"/>
      <c r="F42" s="20" t="s">
        <v>34714</v>
      </c>
      <c r="G42" s="24" t="str">
        <f ca="1">IFERROR(__xludf.DUMMYFUNCTION("GOOGLETRANSLATE(F42,""en"",""pt"")"),"suportes de cofragem")</f>
        <v>suportes de cofragem</v>
      </c>
      <c r="H42" s="24"/>
      <c r="I42" s="24"/>
    </row>
    <row r="43" spans="1:9" ht="14.5">
      <c r="A43" s="20" t="s">
        <v>34715</v>
      </c>
      <c r="B43" s="20">
        <v>10</v>
      </c>
      <c r="C43" s="20">
        <v>40</v>
      </c>
      <c r="D43" s="20">
        <v>75</v>
      </c>
      <c r="E43" s="20">
        <v>87</v>
      </c>
      <c r="F43" s="20" t="s">
        <v>34716</v>
      </c>
      <c r="G43" s="24" t="str">
        <f ca="1">IFERROR(__xludf.DUMMYFUNCTION("GOOGLETRANSLATE(F43,""en"",""pt"")"),"centros de piso telescópicos")</f>
        <v>centros de piso telescópicos</v>
      </c>
      <c r="H43" s="24"/>
      <c r="I43" s="24"/>
    </row>
    <row r="44" spans="1:9" ht="14.5">
      <c r="A44" s="20" t="s">
        <v>34717</v>
      </c>
      <c r="B44" s="20">
        <v>10</v>
      </c>
      <c r="C44" s="20">
        <v>40</v>
      </c>
      <c r="D44" s="20">
        <v>75</v>
      </c>
      <c r="E44" s="20">
        <v>89</v>
      </c>
      <c r="F44" s="20" t="s">
        <v>34718</v>
      </c>
      <c r="G44" s="24" t="str">
        <f ca="1">IFERROR(__xludf.DUMMYFUNCTION("GOOGLETRANSLATE(F44,""en"",""pt"")"),"suportes telescópicos")</f>
        <v>suportes telescópicos</v>
      </c>
      <c r="H44" s="24"/>
      <c r="I44" s="24"/>
    </row>
    <row r="45" spans="1:9" ht="14.5">
      <c r="A45" s="20" t="s">
        <v>34719</v>
      </c>
      <c r="B45" s="20">
        <v>10</v>
      </c>
      <c r="C45" s="20">
        <v>40</v>
      </c>
      <c r="D45" s="20">
        <v>85</v>
      </c>
      <c r="E45" s="24"/>
      <c r="F45" s="20" t="s">
        <v>34720</v>
      </c>
      <c r="G45" s="24" t="str">
        <f ca="1">IFERROR(__xludf.DUMMYFUNCTION("GOOGLETRANSLATE(F45,""en"",""pt"")"),"acessórios de cofragem")</f>
        <v>acessórios de cofragem</v>
      </c>
      <c r="H45" s="24"/>
      <c r="I45" s="24"/>
    </row>
    <row r="46" spans="1:9" ht="14.5">
      <c r="A46" s="20" t="s">
        <v>34721</v>
      </c>
      <c r="B46" s="20">
        <v>10</v>
      </c>
      <c r="C46" s="20">
        <v>40</v>
      </c>
      <c r="D46" s="20">
        <v>85</v>
      </c>
      <c r="E46" s="20">
        <v>1</v>
      </c>
      <c r="F46" s="20" t="s">
        <v>34722</v>
      </c>
      <c r="G46" s="24" t="str">
        <f ca="1">IFERROR(__xludf.DUMMYFUNCTION("GOOGLETRANSLATE(F46,""en"",""pt"")"),"As portas de acesso")</f>
        <v>As portas de acesso</v>
      </c>
      <c r="H46" s="24"/>
      <c r="I46" s="24"/>
    </row>
    <row r="47" spans="1:9" ht="14.5">
      <c r="A47" s="20" t="s">
        <v>34723</v>
      </c>
      <c r="B47" s="20">
        <v>10</v>
      </c>
      <c r="C47" s="20">
        <v>40</v>
      </c>
      <c r="D47" s="20">
        <v>85</v>
      </c>
      <c r="E47" s="20">
        <v>3</v>
      </c>
      <c r="F47" s="20" t="s">
        <v>34724</v>
      </c>
      <c r="G47" s="24" t="str">
        <f ca="1">IFERROR(__xludf.DUMMYFUNCTION("GOOGLETRANSLATE(F47,""en"",""pt"")"),"armadilhas de acesso")</f>
        <v>armadilhas de acesso</v>
      </c>
      <c r="H47" s="24"/>
      <c r="I47" s="24"/>
    </row>
    <row r="48" spans="1:9" ht="14.5">
      <c r="A48" s="20" t="s">
        <v>34725</v>
      </c>
      <c r="B48" s="20">
        <v>10</v>
      </c>
      <c r="C48" s="20">
        <v>40</v>
      </c>
      <c r="D48" s="20">
        <v>85</v>
      </c>
      <c r="E48" s="20">
        <v>45</v>
      </c>
      <c r="F48" s="20" t="s">
        <v>34726</v>
      </c>
      <c r="G48" s="24" t="str">
        <f ca="1">IFERROR(__xludf.DUMMYFUNCTION("GOOGLETRANSLATE(F48,""en"",""pt"")"),"Chaves")</f>
        <v>Chaves</v>
      </c>
      <c r="H48" s="24"/>
      <c r="I48" s="24"/>
    </row>
    <row r="49" spans="1:9" ht="14.5">
      <c r="A49" s="20" t="s">
        <v>34727</v>
      </c>
      <c r="B49" s="20">
        <v>10</v>
      </c>
      <c r="C49" s="20">
        <v>40</v>
      </c>
      <c r="D49" s="20">
        <v>85</v>
      </c>
      <c r="E49" s="20">
        <v>96</v>
      </c>
      <c r="F49" s="20" t="s">
        <v>34728</v>
      </c>
      <c r="G49" s="24" t="str">
        <f ca="1">IFERROR(__xludf.DUMMYFUNCTION("GOOGLETRANSLATE(F49,""en"",""pt"")"),"cunhas de cofragem")</f>
        <v>cunhas de cofragem</v>
      </c>
      <c r="H49" s="24"/>
      <c r="I49" s="24"/>
    </row>
    <row r="50" spans="1:9" ht="14.5">
      <c r="A50" s="20" t="s">
        <v>34729</v>
      </c>
      <c r="B50" s="20">
        <v>20</v>
      </c>
      <c r="C50" s="24"/>
      <c r="D50" s="24"/>
      <c r="E50" s="24"/>
      <c r="F50" s="20" t="s">
        <v>34730</v>
      </c>
      <c r="G50" s="24" t="str">
        <f ca="1">IFERROR(__xludf.DUMMYFUNCTION("GOOGLETRANSLATE(F50,""en"",""pt"")"),"Andaimes, acesso, escoramento e triagem")</f>
        <v>Andaimes, acesso, escoramento e triagem</v>
      </c>
      <c r="H50" s="24"/>
      <c r="I50" s="24"/>
    </row>
    <row r="51" spans="1:9" ht="14.5">
      <c r="A51" s="20" t="s">
        <v>34731</v>
      </c>
      <c r="B51" s="20">
        <v>20</v>
      </c>
      <c r="C51" s="20">
        <v>10</v>
      </c>
      <c r="D51" s="24"/>
      <c r="E51" s="24"/>
      <c r="F51" s="20" t="s">
        <v>34732</v>
      </c>
      <c r="G51" s="24" t="str">
        <f ca="1">IFERROR(__xludf.DUMMYFUNCTION("GOOGLETRANSLATE(F51,""en"",""pt"")"),"andaimes completa")</f>
        <v>andaimes completa</v>
      </c>
      <c r="H51" s="24"/>
      <c r="I51" s="24"/>
    </row>
    <row r="52" spans="1:9" ht="14.5">
      <c r="A52" s="20" t="s">
        <v>34733</v>
      </c>
      <c r="B52" s="20">
        <v>20</v>
      </c>
      <c r="C52" s="20">
        <v>10</v>
      </c>
      <c r="D52" s="20">
        <v>10</v>
      </c>
      <c r="E52" s="24"/>
      <c r="F52" s="20" t="s">
        <v>34734</v>
      </c>
      <c r="G52" s="24" t="str">
        <f ca="1">IFERROR(__xludf.DUMMYFUNCTION("GOOGLETRANSLATE(F52,""en"",""pt"")"),"torres de acesso e plataformas")</f>
        <v>torres de acesso e plataformas</v>
      </c>
      <c r="H52" s="24"/>
      <c r="I52" s="24"/>
    </row>
    <row r="53" spans="1:9" ht="14.5">
      <c r="A53" s="20" t="s">
        <v>34735</v>
      </c>
      <c r="B53" s="20">
        <v>20</v>
      </c>
      <c r="C53" s="20">
        <v>10</v>
      </c>
      <c r="D53" s="20">
        <v>10</v>
      </c>
      <c r="E53" s="20">
        <v>46</v>
      </c>
      <c r="F53" s="20" t="s">
        <v>34736</v>
      </c>
      <c r="G53" s="24" t="str">
        <f ca="1">IFERROR(__xludf.DUMMYFUNCTION("GOOGLETRANSLATE(F53,""en"",""pt"")"),"torres de escada")</f>
        <v>torres de escada</v>
      </c>
      <c r="H53" s="24"/>
      <c r="I53" s="24"/>
    </row>
    <row r="54" spans="1:9" ht="14.5">
      <c r="A54" s="20" t="s">
        <v>34737</v>
      </c>
      <c r="B54" s="20">
        <v>20</v>
      </c>
      <c r="C54" s="20">
        <v>10</v>
      </c>
      <c r="D54" s="20">
        <v>10</v>
      </c>
      <c r="E54" s="20">
        <v>52</v>
      </c>
      <c r="F54" s="20" t="s">
        <v>34738</v>
      </c>
      <c r="G54" s="24" t="str">
        <f ca="1">IFERROR(__xludf.DUMMYFUNCTION("GOOGLETRANSLATE(F54,""en"",""pt"")"),"torres de trabalho móveis")</f>
        <v>torres de trabalho móveis</v>
      </c>
      <c r="H54" s="24"/>
      <c r="I54" s="24"/>
    </row>
    <row r="55" spans="1:9" ht="14.5">
      <c r="A55" s="20" t="s">
        <v>34739</v>
      </c>
      <c r="B55" s="20">
        <v>20</v>
      </c>
      <c r="C55" s="20">
        <v>10</v>
      </c>
      <c r="D55" s="20">
        <v>10</v>
      </c>
      <c r="E55" s="20">
        <v>54</v>
      </c>
      <c r="F55" s="20" t="s">
        <v>34740</v>
      </c>
      <c r="G55" s="24" t="str">
        <f ca="1">IFERROR(__xludf.DUMMYFUNCTION("GOOGLETRANSLATE(F55,""en"",""pt"")"),"plataforma elevatória móvel")</f>
        <v>plataforma elevatória móvel</v>
      </c>
      <c r="H55" s="24"/>
      <c r="I55" s="24"/>
    </row>
    <row r="56" spans="1:9" ht="14.5">
      <c r="A56" s="20" t="s">
        <v>34741</v>
      </c>
      <c r="B56" s="20">
        <v>20</v>
      </c>
      <c r="C56" s="20">
        <v>10</v>
      </c>
      <c r="D56" s="20">
        <v>10</v>
      </c>
      <c r="E56" s="20">
        <v>85</v>
      </c>
      <c r="F56" s="20" t="s">
        <v>34742</v>
      </c>
      <c r="G56" s="24" t="str">
        <f ca="1">IFERROR(__xludf.DUMMYFUNCTION("GOOGLETRANSLATE(F56,""en"",""pt"")"),"torres de escada")</f>
        <v>torres de escada</v>
      </c>
      <c r="H56" s="24"/>
      <c r="I56" s="24"/>
    </row>
    <row r="57" spans="1:9" ht="14.5">
      <c r="A57" s="20" t="s">
        <v>34743</v>
      </c>
      <c r="B57" s="20">
        <v>20</v>
      </c>
      <c r="C57" s="20">
        <v>10</v>
      </c>
      <c r="D57" s="20">
        <v>10</v>
      </c>
      <c r="E57" s="20">
        <v>86</v>
      </c>
      <c r="F57" s="20" t="s">
        <v>34744</v>
      </c>
      <c r="G57" s="24" t="str">
        <f ca="1">IFERROR(__xludf.DUMMYFUNCTION("GOOGLETRANSLATE(F57,""en"",""pt"")"),"plataformas de trabalho suspensas")</f>
        <v>plataformas de trabalho suspensas</v>
      </c>
      <c r="H57" s="24"/>
      <c r="I57" s="24"/>
    </row>
    <row r="58" spans="1:9" ht="14.5">
      <c r="A58" s="20" t="s">
        <v>34745</v>
      </c>
      <c r="B58" s="20">
        <v>20</v>
      </c>
      <c r="C58" s="20">
        <v>10</v>
      </c>
      <c r="D58" s="20">
        <v>50</v>
      </c>
      <c r="E58" s="24"/>
      <c r="F58" s="20" t="s">
        <v>34746</v>
      </c>
      <c r="G58" s="24" t="str">
        <f ca="1">IFERROR(__xludf.DUMMYFUNCTION("GOOGLETRANSLATE(F58,""en"",""pt"")"),"pré-fabricada andaime")</f>
        <v>pré-fabricada andaime</v>
      </c>
      <c r="H58" s="24"/>
      <c r="I58" s="24"/>
    </row>
    <row r="59" spans="1:9" ht="14.5">
      <c r="A59" s="20" t="s">
        <v>34747</v>
      </c>
      <c r="B59" s="20">
        <v>20</v>
      </c>
      <c r="C59" s="20">
        <v>10</v>
      </c>
      <c r="D59" s="20">
        <v>50</v>
      </c>
      <c r="E59" s="20">
        <v>31</v>
      </c>
      <c r="F59" s="20" t="s">
        <v>34748</v>
      </c>
      <c r="G59" s="24" t="str">
        <f ca="1">IFERROR(__xludf.DUMMYFUNCTION("GOOGLETRANSLATE(F59,""en"",""pt"")"),"andaime quadro")</f>
        <v>andaime quadro</v>
      </c>
      <c r="H59" s="24"/>
      <c r="I59" s="24"/>
    </row>
    <row r="60" spans="1:9" ht="14.5">
      <c r="A60" s="20" t="s">
        <v>34749</v>
      </c>
      <c r="B60" s="20">
        <v>20</v>
      </c>
      <c r="C60" s="20">
        <v>10</v>
      </c>
      <c r="D60" s="20">
        <v>50</v>
      </c>
      <c r="E60" s="20">
        <v>86</v>
      </c>
      <c r="F60" s="20" t="s">
        <v>34750</v>
      </c>
      <c r="G60" s="24" t="str">
        <f ca="1">IFERROR(__xludf.DUMMYFUNCTION("GOOGLETRANSLATE(F60,""en"",""pt"")"),"andaime sistema")</f>
        <v>andaime sistema</v>
      </c>
      <c r="H60" s="24"/>
      <c r="I60" s="24"/>
    </row>
    <row r="61" spans="1:9" ht="14.5">
      <c r="A61" s="20" t="s">
        <v>34751</v>
      </c>
      <c r="B61" s="20">
        <v>20</v>
      </c>
      <c r="C61" s="20">
        <v>10</v>
      </c>
      <c r="D61" s="20">
        <v>60</v>
      </c>
      <c r="E61" s="24"/>
      <c r="F61" s="20" t="s">
        <v>34752</v>
      </c>
      <c r="G61" s="24" t="str">
        <f ca="1">IFERROR(__xludf.DUMMYFUNCTION("GOOGLETRANSLATE(F61,""en"",""pt"")"),"andaime")</f>
        <v>andaime</v>
      </c>
      <c r="H61" s="24"/>
      <c r="I61" s="24"/>
    </row>
    <row r="62" spans="1:9" ht="14.5">
      <c r="A62" s="20" t="s">
        <v>34753</v>
      </c>
      <c r="B62" s="20">
        <v>20</v>
      </c>
      <c r="C62" s="20">
        <v>10</v>
      </c>
      <c r="D62" s="20">
        <v>60</v>
      </c>
      <c r="E62" s="20">
        <v>8</v>
      </c>
      <c r="F62" s="20" t="s">
        <v>34754</v>
      </c>
      <c r="G62" s="24" t="str">
        <f ca="1">IFERROR(__xludf.DUMMYFUNCTION("GOOGLETRANSLATE(F62,""en"",""pt"")"),"andaime bracket")</f>
        <v>andaime bracket</v>
      </c>
      <c r="H62" s="24"/>
      <c r="I62" s="24"/>
    </row>
    <row r="63" spans="1:9" ht="14.5">
      <c r="A63" s="20" t="s">
        <v>34755</v>
      </c>
      <c r="B63" s="20">
        <v>20</v>
      </c>
      <c r="C63" s="20">
        <v>10</v>
      </c>
      <c r="D63" s="20">
        <v>60</v>
      </c>
      <c r="E63" s="20">
        <v>11</v>
      </c>
      <c r="F63" s="20" t="s">
        <v>34756</v>
      </c>
      <c r="G63" s="24" t="str">
        <f ca="1">IFERROR(__xludf.DUMMYFUNCTION("GOOGLETRANSLATE(F63,""en"",""pt"")"),"andaime em balanço")</f>
        <v>andaime em balanço</v>
      </c>
      <c r="H63" s="24"/>
      <c r="I63" s="24"/>
    </row>
    <row r="64" spans="1:9" ht="14.5">
      <c r="A64" s="20" t="s">
        <v>34757</v>
      </c>
      <c r="B64" s="20">
        <v>20</v>
      </c>
      <c r="C64" s="20">
        <v>10</v>
      </c>
      <c r="D64" s="20">
        <v>60</v>
      </c>
      <c r="E64" s="20">
        <v>29</v>
      </c>
      <c r="F64" s="20" t="s">
        <v>34758</v>
      </c>
      <c r="G64" s="24" t="str">
        <f ca="1">IFERROR(__xludf.DUMMYFUNCTION("GOOGLETRANSLATE(F64,""en"",""pt"")"),"fachada de andaime")</f>
        <v>fachada de andaime</v>
      </c>
      <c r="H64" s="24"/>
      <c r="I64" s="24"/>
    </row>
    <row r="65" spans="1:9" ht="14.5">
      <c r="A65" s="20" t="s">
        <v>34759</v>
      </c>
      <c r="B65" s="20">
        <v>20</v>
      </c>
      <c r="C65" s="20">
        <v>10</v>
      </c>
      <c r="D65" s="20">
        <v>60</v>
      </c>
      <c r="E65" s="20">
        <v>31</v>
      </c>
      <c r="F65" s="20" t="s">
        <v>34760</v>
      </c>
      <c r="G65" s="24" t="str">
        <f ca="1">IFERROR(__xludf.DUMMYFUNCTION("GOOGLETRANSLATE(F65,""en"",""pt"")"),"andaime livre de pé")</f>
        <v>andaime livre de pé</v>
      </c>
      <c r="H65" s="24"/>
      <c r="I65" s="24"/>
    </row>
    <row r="66" spans="1:9" ht="14.5">
      <c r="A66" s="20" t="s">
        <v>34761</v>
      </c>
      <c r="B66" s="20">
        <v>20</v>
      </c>
      <c r="C66" s="20">
        <v>10</v>
      </c>
      <c r="D66" s="20">
        <v>60</v>
      </c>
      <c r="E66" s="20">
        <v>68</v>
      </c>
      <c r="F66" s="20" t="s">
        <v>34762</v>
      </c>
      <c r="G66" s="24" t="str">
        <f ca="1">IFERROR(__xludf.DUMMYFUNCTION("GOOGLETRANSLATE(F66,""en"",""pt"")"),"putlog andaime")</f>
        <v>putlog andaime</v>
      </c>
      <c r="H66" s="24"/>
      <c r="I66" s="24"/>
    </row>
    <row r="67" spans="1:9" ht="14.5">
      <c r="A67" s="20" t="s">
        <v>34763</v>
      </c>
      <c r="B67" s="20">
        <v>20</v>
      </c>
      <c r="C67" s="20">
        <v>10</v>
      </c>
      <c r="D67" s="20">
        <v>60</v>
      </c>
      <c r="E67" s="20">
        <v>85</v>
      </c>
      <c r="F67" s="20" t="s">
        <v>34764</v>
      </c>
      <c r="G67" s="24" t="str">
        <f ca="1">IFERROR(__xludf.DUMMYFUNCTION("GOOGLETRANSLATE(F67,""en"",""pt"")"),"andaime suspenso")</f>
        <v>andaime suspenso</v>
      </c>
      <c r="H67" s="24"/>
      <c r="I67" s="24"/>
    </row>
    <row r="68" spans="1:9" ht="14.5">
      <c r="A68" s="20" t="s">
        <v>34765</v>
      </c>
      <c r="B68" s="20">
        <v>20</v>
      </c>
      <c r="C68" s="20">
        <v>10</v>
      </c>
      <c r="D68" s="20">
        <v>60</v>
      </c>
      <c r="E68" s="20">
        <v>88</v>
      </c>
      <c r="F68" s="20" t="s">
        <v>34766</v>
      </c>
      <c r="G68" s="24" t="str">
        <f ca="1">IFERROR(__xludf.DUMMYFUNCTION("GOOGLETRANSLATE(F68,""en"",""pt"")"),"andaime de madeira")</f>
        <v>andaime de madeira</v>
      </c>
      <c r="H68" s="24"/>
      <c r="I68" s="24"/>
    </row>
    <row r="69" spans="1:9" ht="14.5">
      <c r="A69" s="20" t="s">
        <v>34767</v>
      </c>
      <c r="B69" s="20">
        <v>20</v>
      </c>
      <c r="C69" s="20">
        <v>10</v>
      </c>
      <c r="D69" s="20">
        <v>60</v>
      </c>
      <c r="E69" s="20">
        <v>90</v>
      </c>
      <c r="F69" s="20" t="s">
        <v>34768</v>
      </c>
      <c r="G69" s="24" t="str">
        <f ca="1">IFERROR(__xludf.DUMMYFUNCTION("GOOGLETRANSLATE(F69,""en"",""pt"")"),"cavalete do andaime")</f>
        <v>cavalete do andaime</v>
      </c>
      <c r="H69" s="24"/>
      <c r="I69" s="24"/>
    </row>
    <row r="70" spans="1:9" ht="14.5">
      <c r="A70" s="20" t="s">
        <v>34769</v>
      </c>
      <c r="B70" s="20">
        <v>20</v>
      </c>
      <c r="C70" s="20">
        <v>10</v>
      </c>
      <c r="D70" s="20">
        <v>60</v>
      </c>
      <c r="E70" s="20">
        <v>91</v>
      </c>
      <c r="F70" s="20" t="s">
        <v>34770</v>
      </c>
      <c r="G70" s="24" t="str">
        <f ca="1">IFERROR(__xludf.DUMMYFUNCTION("GOOGLETRANSLATE(F70,""en"",""pt"")"),"Tubo e acoplador de andaime")</f>
        <v>Tubo e acoplador de andaime</v>
      </c>
      <c r="H70" s="24"/>
      <c r="I70" s="24"/>
    </row>
    <row r="71" spans="1:9" ht="14.5">
      <c r="A71" s="20" t="s">
        <v>34771</v>
      </c>
      <c r="B71" s="20">
        <v>20</v>
      </c>
      <c r="C71" s="20">
        <v>30</v>
      </c>
      <c r="D71" s="24"/>
      <c r="E71" s="24"/>
      <c r="F71" s="20" t="s">
        <v>34772</v>
      </c>
      <c r="G71" s="24" t="str">
        <f ca="1">IFERROR(__xludf.DUMMYFUNCTION("GOOGLETRANSLATE(F71,""en"",""pt"")"),"peças de andaime")</f>
        <v>peças de andaime</v>
      </c>
      <c r="H71" s="24"/>
      <c r="I71" s="24"/>
    </row>
    <row r="72" spans="1:9" ht="14.5">
      <c r="A72" s="20" t="s">
        <v>34773</v>
      </c>
      <c r="B72" s="20">
        <v>20</v>
      </c>
      <c r="C72" s="20">
        <v>30</v>
      </c>
      <c r="D72" s="20">
        <v>10</v>
      </c>
      <c r="E72" s="24"/>
      <c r="F72" s="20" t="s">
        <v>34774</v>
      </c>
      <c r="G72" s="24" t="str">
        <f ca="1">IFERROR(__xludf.DUMMYFUNCTION("GOOGLETRANSLATE(F72,""en"",""pt"")"),"vias de acesso")</f>
        <v>vias de acesso</v>
      </c>
      <c r="H72" s="24"/>
      <c r="I72" s="24"/>
    </row>
    <row r="73" spans="1:9" ht="14.5">
      <c r="A73" s="20" t="s">
        <v>34775</v>
      </c>
      <c r="B73" s="20">
        <v>20</v>
      </c>
      <c r="C73" s="20">
        <v>30</v>
      </c>
      <c r="D73" s="20">
        <v>20</v>
      </c>
      <c r="E73" s="24"/>
      <c r="F73" s="20" t="s">
        <v>34776</v>
      </c>
      <c r="G73" s="24" t="str">
        <f ca="1">IFERROR(__xludf.DUMMYFUNCTION("GOOGLETRANSLATE(F73,""en"",""pt"")"),"gaiolas")</f>
        <v>gaiolas</v>
      </c>
      <c r="H73" s="24"/>
      <c r="I73" s="24"/>
    </row>
    <row r="74" spans="1:9" ht="14.5">
      <c r="A74" s="20" t="s">
        <v>34777</v>
      </c>
      <c r="B74" s="20">
        <v>20</v>
      </c>
      <c r="C74" s="20">
        <v>30</v>
      </c>
      <c r="D74" s="20">
        <v>30</v>
      </c>
      <c r="E74" s="24"/>
      <c r="F74" s="20" t="s">
        <v>34778</v>
      </c>
      <c r="G74" s="24" t="str">
        <f ca="1">IFERROR(__xludf.DUMMYFUNCTION("GOOGLETRANSLATE(F74,""en"",""pt"")"),"guardrails")</f>
        <v>guardrails</v>
      </c>
      <c r="H74" s="24"/>
      <c r="I74" s="24"/>
    </row>
    <row r="75" spans="1:9" ht="14.5">
      <c r="A75" s="20" t="s">
        <v>34779</v>
      </c>
      <c r="B75" s="20">
        <v>20</v>
      </c>
      <c r="C75" s="20">
        <v>30</v>
      </c>
      <c r="D75" s="20">
        <v>30</v>
      </c>
      <c r="E75" s="20">
        <v>35</v>
      </c>
      <c r="F75" s="20" t="s">
        <v>34780</v>
      </c>
      <c r="G75" s="24" t="str">
        <f ca="1">IFERROR(__xludf.DUMMYFUNCTION("GOOGLETRANSLATE(F75,""en"",""pt"")"),"Guardboards")</f>
        <v>Guardboards</v>
      </c>
      <c r="H75" s="24"/>
      <c r="I75" s="24"/>
    </row>
    <row r="76" spans="1:9" ht="14.5">
      <c r="A76" s="20" t="s">
        <v>34781</v>
      </c>
      <c r="B76" s="20">
        <v>20</v>
      </c>
      <c r="C76" s="20">
        <v>30</v>
      </c>
      <c r="D76" s="20">
        <v>30</v>
      </c>
      <c r="E76" s="20">
        <v>41</v>
      </c>
      <c r="F76" s="20" t="s">
        <v>34782</v>
      </c>
      <c r="G76" s="24" t="str">
        <f ca="1">IFERROR(__xludf.DUMMYFUNCTION("GOOGLETRANSLATE(F76,""en"",""pt"")"),"guardrails intermediários")</f>
        <v>guardrails intermediários</v>
      </c>
      <c r="H76" s="24"/>
      <c r="I76" s="24"/>
    </row>
    <row r="77" spans="1:9" ht="14.5">
      <c r="A77" s="20" t="s">
        <v>34783</v>
      </c>
      <c r="B77" s="20">
        <v>20</v>
      </c>
      <c r="C77" s="20">
        <v>30</v>
      </c>
      <c r="D77" s="20">
        <v>30</v>
      </c>
      <c r="E77" s="20">
        <v>89</v>
      </c>
      <c r="F77" s="20" t="s">
        <v>34784</v>
      </c>
      <c r="G77" s="24" t="str">
        <f ca="1">IFERROR(__xludf.DUMMYFUNCTION("GOOGLETRANSLATE(F77,""en"",""pt"")"),"rodapés")</f>
        <v>rodapés</v>
      </c>
      <c r="H77" s="24"/>
      <c r="I77" s="24"/>
    </row>
    <row r="78" spans="1:9" ht="14.5">
      <c r="A78" s="20" t="s">
        <v>34785</v>
      </c>
      <c r="B78" s="20">
        <v>20</v>
      </c>
      <c r="C78" s="20">
        <v>30</v>
      </c>
      <c r="D78" s="20">
        <v>40</v>
      </c>
      <c r="E78" s="24"/>
      <c r="F78" s="20" t="s">
        <v>34786</v>
      </c>
      <c r="G78" s="24" t="str">
        <f ca="1">IFERROR(__xludf.DUMMYFUNCTION("GOOGLETRANSLATE(F78,""en"",""pt"")"),"Quadros e membros de enquadramento")</f>
        <v>Quadros e membros de enquadramento</v>
      </c>
      <c r="H78" s="24"/>
      <c r="I78" s="24"/>
    </row>
    <row r="79" spans="1:9" ht="14.5">
      <c r="A79" s="20" t="s">
        <v>34787</v>
      </c>
      <c r="B79" s="20">
        <v>20</v>
      </c>
      <c r="C79" s="20">
        <v>30</v>
      </c>
      <c r="D79" s="20">
        <v>40</v>
      </c>
      <c r="E79" s="20">
        <v>46</v>
      </c>
      <c r="F79" s="20" t="s">
        <v>34788</v>
      </c>
      <c r="G79" s="24" t="str">
        <f ca="1">IFERROR(__xludf.DUMMYFUNCTION("GOOGLETRANSLATE(F79,""en"",""pt"")"),"cintas laterais")</f>
        <v>cintas laterais</v>
      </c>
      <c r="H79" s="24"/>
      <c r="I79" s="24"/>
    </row>
    <row r="80" spans="1:9" ht="14.5">
      <c r="A80" s="20" t="s">
        <v>34789</v>
      </c>
      <c r="B80" s="20">
        <v>20</v>
      </c>
      <c r="C80" s="20">
        <v>30</v>
      </c>
      <c r="D80" s="20">
        <v>40</v>
      </c>
      <c r="E80" s="20">
        <v>48</v>
      </c>
      <c r="F80" s="20" t="s">
        <v>34790</v>
      </c>
      <c r="G80" s="24" t="str">
        <f ca="1">IFERROR(__xludf.DUMMYFUNCTION("GOOGLETRANSLATE(F80,""en"",""pt"")"),"chaves longitudinais")</f>
        <v>chaves longitudinais</v>
      </c>
      <c r="H80" s="24"/>
      <c r="I80" s="24"/>
    </row>
    <row r="81" spans="1:9" ht="14.5">
      <c r="A81" s="20" t="s">
        <v>34791</v>
      </c>
      <c r="B81" s="20">
        <v>20</v>
      </c>
      <c r="C81" s="20">
        <v>30</v>
      </c>
      <c r="D81" s="20">
        <v>40</v>
      </c>
      <c r="E81" s="20">
        <v>59</v>
      </c>
      <c r="F81" s="20" t="s">
        <v>34792</v>
      </c>
      <c r="G81" s="24" t="str">
        <f ca="1">IFERROR(__xludf.DUMMYFUNCTION("GOOGLETRANSLATE(F81,""en"",""pt"")"),"estabilizadores")</f>
        <v>estabilizadores</v>
      </c>
      <c r="H81" s="24"/>
      <c r="I81" s="24"/>
    </row>
    <row r="82" spans="1:9" ht="14.5">
      <c r="A82" s="20" t="s">
        <v>34793</v>
      </c>
      <c r="B82" s="20">
        <v>20</v>
      </c>
      <c r="C82" s="20">
        <v>30</v>
      </c>
      <c r="D82" s="20">
        <v>40</v>
      </c>
      <c r="E82" s="20">
        <v>64</v>
      </c>
      <c r="F82" s="20" t="s">
        <v>34794</v>
      </c>
      <c r="G82" s="24" t="str">
        <f ca="1">IFERROR(__xludf.DUMMYFUNCTION("GOOGLETRANSLATE(F82,""en"",""pt"")"),"chaves plano")</f>
        <v>chaves plano</v>
      </c>
      <c r="H82" s="24"/>
      <c r="I82" s="24"/>
    </row>
    <row r="83" spans="1:9" ht="14.5">
      <c r="A83" s="20" t="s">
        <v>34795</v>
      </c>
      <c r="B83" s="20">
        <v>20</v>
      </c>
      <c r="C83" s="20">
        <v>30</v>
      </c>
      <c r="D83" s="20">
        <v>40</v>
      </c>
      <c r="E83" s="20">
        <v>68</v>
      </c>
      <c r="F83" s="20" t="s">
        <v>34796</v>
      </c>
      <c r="G83" s="24" t="str">
        <f ca="1">IFERROR(__xludf.DUMMYFUNCTION("GOOGLETRANSLATE(F83,""en"",""pt"")"),"Putlogs")</f>
        <v>Putlogs</v>
      </c>
      <c r="H83" s="24"/>
      <c r="I83" s="24"/>
    </row>
    <row r="84" spans="1:9" ht="14.5">
      <c r="A84" s="20" t="s">
        <v>34797</v>
      </c>
      <c r="B84" s="20">
        <v>20</v>
      </c>
      <c r="C84" s="20">
        <v>30</v>
      </c>
      <c r="D84" s="20">
        <v>40</v>
      </c>
      <c r="E84" s="20">
        <v>85</v>
      </c>
      <c r="F84" s="20" t="s">
        <v>34798</v>
      </c>
      <c r="G84" s="24" t="str">
        <f ca="1">IFERROR(__xludf.DUMMYFUNCTION("GOOGLETRANSLATE(F84,""en"",""pt"")"),"Padrões")</f>
        <v>Padrões</v>
      </c>
      <c r="H84" s="24"/>
      <c r="I84" s="24"/>
    </row>
    <row r="85" spans="1:9" ht="14.5">
      <c r="A85" s="20" t="s">
        <v>34799</v>
      </c>
      <c r="B85" s="20">
        <v>20</v>
      </c>
      <c r="C85" s="20">
        <v>30</v>
      </c>
      <c r="D85" s="20">
        <v>40</v>
      </c>
      <c r="E85" s="20">
        <v>90</v>
      </c>
      <c r="F85" s="20" t="s">
        <v>34800</v>
      </c>
      <c r="G85" s="24" t="str">
        <f ca="1">IFERROR(__xludf.DUMMYFUNCTION("GOOGLETRANSLATE(F85,""en"",""pt"")"),"transoms")</f>
        <v>transoms</v>
      </c>
      <c r="H85" s="24"/>
      <c r="I85" s="24"/>
    </row>
    <row r="86" spans="1:9" ht="14.5">
      <c r="A86" s="20" t="s">
        <v>34801</v>
      </c>
      <c r="B86" s="20">
        <v>20</v>
      </c>
      <c r="C86" s="20">
        <v>30</v>
      </c>
      <c r="D86" s="20">
        <v>50</v>
      </c>
      <c r="E86" s="24"/>
      <c r="F86" s="20" t="s">
        <v>34802</v>
      </c>
      <c r="G86" s="24" t="str">
        <f ca="1">IFERROR(__xludf.DUMMYFUNCTION("GOOGLETRANSLATE(F86,""en"",""pt"")"),"acessórios de andaime")</f>
        <v>acessórios de andaime</v>
      </c>
      <c r="H86" s="24"/>
      <c r="I86" s="24"/>
    </row>
    <row r="87" spans="1:9" ht="14.5">
      <c r="A87" s="20" t="s">
        <v>34803</v>
      </c>
      <c r="B87" s="20">
        <v>20</v>
      </c>
      <c r="C87" s="20">
        <v>30</v>
      </c>
      <c r="D87" s="20">
        <v>50</v>
      </c>
      <c r="E87" s="20">
        <v>3</v>
      </c>
      <c r="F87" s="20" t="s">
        <v>34804</v>
      </c>
      <c r="G87" s="24" t="str">
        <f ca="1">IFERROR(__xludf.DUMMYFUNCTION("GOOGLETRANSLATE(F87,""en"",""pt"")"),"fixações")</f>
        <v>fixações</v>
      </c>
      <c r="H87" s="24"/>
      <c r="I87" s="24"/>
    </row>
    <row r="88" spans="1:9" ht="14.5">
      <c r="A88" s="20" t="s">
        <v>34805</v>
      </c>
      <c r="B88" s="20">
        <v>20</v>
      </c>
      <c r="C88" s="20">
        <v>30</v>
      </c>
      <c r="D88" s="20">
        <v>50</v>
      </c>
      <c r="E88" s="20">
        <v>6</v>
      </c>
      <c r="F88" s="20" t="s">
        <v>34806</v>
      </c>
      <c r="G88" s="24" t="str">
        <f ca="1">IFERROR(__xludf.DUMMYFUNCTION("GOOGLETRANSLATE(F88,""en"",""pt"")"),"Placas de base")</f>
        <v>Placas de base</v>
      </c>
      <c r="H88" s="24"/>
      <c r="I88" s="24"/>
    </row>
    <row r="89" spans="1:9" ht="14.5">
      <c r="A89" s="20" t="s">
        <v>34807</v>
      </c>
      <c r="B89" s="20">
        <v>20</v>
      </c>
      <c r="C89" s="20">
        <v>30</v>
      </c>
      <c r="D89" s="20">
        <v>50</v>
      </c>
      <c r="E89" s="20">
        <v>28</v>
      </c>
      <c r="F89" s="20" t="s">
        <v>34808</v>
      </c>
      <c r="G89" s="24" t="str">
        <f ca="1">IFERROR(__xludf.DUMMYFUNCTION("GOOGLETRANSLATE(F89,""en"",""pt"")"),"expansão torneiras")</f>
        <v>expansão torneiras</v>
      </c>
      <c r="H89" s="24"/>
      <c r="I89" s="24"/>
    </row>
    <row r="90" spans="1:9" ht="14.5">
      <c r="A90" s="20" t="s">
        <v>34809</v>
      </c>
      <c r="B90" s="20">
        <v>20</v>
      </c>
      <c r="C90" s="20">
        <v>30</v>
      </c>
      <c r="D90" s="20">
        <v>50</v>
      </c>
      <c r="E90" s="20">
        <v>48</v>
      </c>
      <c r="F90" s="20" t="s">
        <v>34810</v>
      </c>
      <c r="G90" s="24" t="str">
        <f ca="1">IFERROR(__xludf.DUMMYFUNCTION("GOOGLETRANSLATE(F90,""en"",""pt"")"),"torneiras soltos")</f>
        <v>torneiras soltos</v>
      </c>
      <c r="H90" s="24"/>
      <c r="I90" s="24"/>
    </row>
    <row r="91" spans="1:9" ht="14.5">
      <c r="A91" s="20" t="s">
        <v>34811</v>
      </c>
      <c r="B91" s="20">
        <v>20</v>
      </c>
      <c r="C91" s="20">
        <v>30</v>
      </c>
      <c r="D91" s="20">
        <v>50</v>
      </c>
      <c r="E91" s="20">
        <v>60</v>
      </c>
      <c r="F91" s="20" t="s">
        <v>34812</v>
      </c>
      <c r="G91" s="24" t="str">
        <f ca="1">IFERROR(__xludf.DUMMYFUNCTION("GOOGLETRANSLATE(F91,""en"",""pt"")"),"acopladores paralelas")</f>
        <v>acopladores paralelas</v>
      </c>
      <c r="H91" s="24"/>
      <c r="I91" s="24"/>
    </row>
    <row r="92" spans="1:9" ht="14.5">
      <c r="A92" s="20" t="s">
        <v>34813</v>
      </c>
      <c r="B92" s="20">
        <v>20</v>
      </c>
      <c r="C92" s="20">
        <v>30</v>
      </c>
      <c r="D92" s="20">
        <v>50</v>
      </c>
      <c r="E92" s="20">
        <v>68</v>
      </c>
      <c r="F92" s="20" t="s">
        <v>34814</v>
      </c>
      <c r="G92" s="24" t="str">
        <f ca="1">IFERROR(__xludf.DUMMYFUNCTION("GOOGLETRANSLATE(F92,""en"",""pt"")"),"clips putlog")</f>
        <v>clips putlog</v>
      </c>
      <c r="H92" s="24"/>
      <c r="I92" s="24"/>
    </row>
    <row r="93" spans="1:9" ht="14.5">
      <c r="A93" s="20" t="s">
        <v>34815</v>
      </c>
      <c r="B93" s="20">
        <v>20</v>
      </c>
      <c r="C93" s="20">
        <v>30</v>
      </c>
      <c r="D93" s="20">
        <v>50</v>
      </c>
      <c r="E93" s="20">
        <v>72</v>
      </c>
      <c r="F93" s="20" t="s">
        <v>34816</v>
      </c>
      <c r="G93" s="24" t="str">
        <f ca="1">IFERROR(__xludf.DUMMYFUNCTION("GOOGLETRANSLATE(F93,""en"",""pt"")"),"acopladores ângulo direito")</f>
        <v>acopladores ângulo direito</v>
      </c>
      <c r="H93" s="24"/>
      <c r="I93" s="24"/>
    </row>
    <row r="94" spans="1:9" ht="14.5">
      <c r="A94" s="20" t="s">
        <v>34817</v>
      </c>
      <c r="B94" s="20">
        <v>20</v>
      </c>
      <c r="C94" s="20">
        <v>30</v>
      </c>
      <c r="D94" s="20">
        <v>50</v>
      </c>
      <c r="E94" s="20">
        <v>80</v>
      </c>
      <c r="F94" s="20" t="s">
        <v>34818</v>
      </c>
      <c r="G94" s="24" t="str">
        <f ca="1">IFERROR(__xludf.DUMMYFUNCTION("GOOGLETRANSLATE(F94,""en"",""pt"")"),"acopladores luva")</f>
        <v>acopladores luva</v>
      </c>
      <c r="H94" s="24"/>
      <c r="I94" s="24"/>
    </row>
    <row r="95" spans="1:9" ht="14.5">
      <c r="A95" s="20" t="s">
        <v>34819</v>
      </c>
      <c r="B95" s="20">
        <v>20</v>
      </c>
      <c r="C95" s="20">
        <v>30</v>
      </c>
      <c r="D95" s="20">
        <v>50</v>
      </c>
      <c r="E95" s="20">
        <v>86</v>
      </c>
      <c r="F95" s="20" t="s">
        <v>34820</v>
      </c>
      <c r="G95" s="24" t="str">
        <f ca="1">IFERROR(__xludf.DUMMYFUNCTION("GOOGLETRANSLATE(F95,""en"",""pt"")"),"acopladores giratórias")</f>
        <v>acopladores giratórias</v>
      </c>
      <c r="H95" s="24"/>
      <c r="I95" s="24"/>
    </row>
    <row r="96" spans="1:9" ht="14.5">
      <c r="A96" s="20" t="s">
        <v>34821</v>
      </c>
      <c r="B96" s="20">
        <v>20</v>
      </c>
      <c r="C96" s="20">
        <v>30</v>
      </c>
      <c r="D96" s="20">
        <v>50</v>
      </c>
      <c r="E96" s="20">
        <v>88</v>
      </c>
      <c r="F96" s="20" t="s">
        <v>34822</v>
      </c>
      <c r="G96" s="24" t="str">
        <f ca="1">IFERROR(__xludf.DUMMYFUNCTION("GOOGLETRANSLATE(F96,""en"",""pt"")"),"membros laço")</f>
        <v>membros laço</v>
      </c>
      <c r="H96" s="24"/>
      <c r="I96" s="24"/>
    </row>
    <row r="97" spans="1:9" ht="14.5">
      <c r="A97" s="20" t="s">
        <v>34823</v>
      </c>
      <c r="B97" s="20">
        <v>20</v>
      </c>
      <c r="C97" s="20">
        <v>30</v>
      </c>
      <c r="D97" s="20">
        <v>60</v>
      </c>
      <c r="E97" s="24"/>
      <c r="F97" s="20" t="s">
        <v>34824</v>
      </c>
      <c r="G97" s="24" t="str">
        <f ca="1">IFERROR(__xludf.DUMMYFUNCTION("GOOGLETRANSLATE(F97,""en"",""pt"")"),"estabilizadores")</f>
        <v>estabilizadores</v>
      </c>
      <c r="H97" s="24"/>
      <c r="I97" s="24"/>
    </row>
    <row r="98" spans="1:9" ht="14.5">
      <c r="A98" s="20" t="s">
        <v>34825</v>
      </c>
      <c r="B98" s="20">
        <v>20</v>
      </c>
      <c r="C98" s="20">
        <v>30</v>
      </c>
      <c r="D98" s="20">
        <v>60</v>
      </c>
      <c r="E98" s="20">
        <v>6</v>
      </c>
      <c r="F98" s="20" t="s">
        <v>34826</v>
      </c>
      <c r="G98" s="24" t="str">
        <f ca="1">IFERROR(__xludf.DUMMYFUNCTION("GOOGLETRANSLATE(F98,""en"",""pt"")"),"Lastro")</f>
        <v>Lastro</v>
      </c>
      <c r="H98" s="24"/>
      <c r="I98" s="24"/>
    </row>
    <row r="99" spans="1:9" ht="14.5">
      <c r="A99" s="20" t="s">
        <v>34827</v>
      </c>
      <c r="B99" s="20">
        <v>20</v>
      </c>
      <c r="C99" s="20">
        <v>30</v>
      </c>
      <c r="D99" s="20">
        <v>70</v>
      </c>
      <c r="E99" s="24"/>
      <c r="F99" s="20" t="s">
        <v>34828</v>
      </c>
      <c r="G99" s="24" t="str">
        <f ca="1">IFERROR(__xludf.DUMMYFUNCTION("GOOGLETRANSLATE(F99,""en"",""pt"")"),"telas de proteção")</f>
        <v>telas de proteção</v>
      </c>
      <c r="H99" s="24"/>
      <c r="I99" s="24"/>
    </row>
    <row r="100" spans="1:9" ht="14.5">
      <c r="A100" s="20" t="s">
        <v>34829</v>
      </c>
      <c r="B100" s="20">
        <v>20</v>
      </c>
      <c r="C100" s="20">
        <v>30</v>
      </c>
      <c r="D100" s="20">
        <v>70</v>
      </c>
      <c r="E100" s="20">
        <v>78</v>
      </c>
      <c r="F100" s="20" t="s">
        <v>34708</v>
      </c>
      <c r="G100" s="24" t="str">
        <f ca="1">IFERROR(__xludf.DUMMYFUNCTION("GOOGLETRANSLATE(F100,""en"",""pt"")"),"laminação")</f>
        <v>laminação</v>
      </c>
      <c r="H100" s="24"/>
      <c r="I100" s="24"/>
    </row>
    <row r="101" spans="1:9" ht="14.5">
      <c r="A101" s="20" t="s">
        <v>34830</v>
      </c>
      <c r="B101" s="20">
        <v>20</v>
      </c>
      <c r="C101" s="20">
        <v>30</v>
      </c>
      <c r="D101" s="20">
        <v>80</v>
      </c>
      <c r="E101" s="24"/>
      <c r="F101" s="20" t="s">
        <v>34831</v>
      </c>
      <c r="G101" s="24" t="str">
        <f ca="1">IFERROR(__xludf.DUMMYFUNCTION("GOOGLETRANSLATE(F101,""en"",""pt"")"),"plataformas")</f>
        <v>plataformas</v>
      </c>
      <c r="H101" s="24"/>
      <c r="I101" s="24"/>
    </row>
    <row r="102" spans="1:9" ht="14.5">
      <c r="A102" s="20" t="s">
        <v>34832</v>
      </c>
      <c r="B102" s="20">
        <v>20</v>
      </c>
      <c r="C102" s="20">
        <v>30</v>
      </c>
      <c r="D102" s="20">
        <v>80</v>
      </c>
      <c r="E102" s="20">
        <v>1</v>
      </c>
      <c r="F102" s="20" t="s">
        <v>34833</v>
      </c>
      <c r="G102" s="24" t="str">
        <f ca="1">IFERROR(__xludf.DUMMYFUNCTION("GOOGLETRANSLATE(F102,""en"",""pt"")"),"plataformas ajustáveis")</f>
        <v>plataformas ajustáveis</v>
      </c>
      <c r="H102" s="24"/>
      <c r="I102" s="24"/>
    </row>
    <row r="103" spans="1:9" ht="14.5">
      <c r="A103" s="20" t="s">
        <v>34834</v>
      </c>
      <c r="B103" s="20">
        <v>20</v>
      </c>
      <c r="C103" s="20">
        <v>40</v>
      </c>
      <c r="D103" s="24"/>
      <c r="E103" s="24"/>
      <c r="F103" s="20" t="s">
        <v>34835</v>
      </c>
      <c r="G103" s="24" t="str">
        <f ca="1">IFERROR(__xludf.DUMMYFUNCTION("GOOGLETRANSLATE(F103,""en"",""pt"")"),"equipamentos de acesso")</f>
        <v>equipamentos de acesso</v>
      </c>
      <c r="H103" s="24"/>
      <c r="I103" s="24"/>
    </row>
    <row r="104" spans="1:9" ht="14.5">
      <c r="A104" s="20" t="s">
        <v>34836</v>
      </c>
      <c r="B104" s="20">
        <v>20</v>
      </c>
      <c r="C104" s="20">
        <v>40</v>
      </c>
      <c r="D104" s="20">
        <v>10</v>
      </c>
      <c r="E104" s="24"/>
      <c r="F104" s="20" t="s">
        <v>34837</v>
      </c>
      <c r="G104" s="24" t="str">
        <f ca="1">IFERROR(__xludf.DUMMYFUNCTION("GOOGLETRANSLATE(F104,""en"",""pt"")"),"Escadas e degraus")</f>
        <v>Escadas e degraus</v>
      </c>
      <c r="H104" s="24"/>
      <c r="I104" s="24"/>
    </row>
    <row r="105" spans="1:9" ht="14.5">
      <c r="A105" s="20" t="s">
        <v>34838</v>
      </c>
      <c r="B105" s="20">
        <v>20</v>
      </c>
      <c r="C105" s="20">
        <v>40</v>
      </c>
      <c r="D105" s="20">
        <v>10</v>
      </c>
      <c r="E105" s="20">
        <v>3</v>
      </c>
      <c r="F105" s="20" t="s">
        <v>34839</v>
      </c>
      <c r="G105" s="24" t="str">
        <f ca="1">IFERROR(__xludf.DUMMYFUNCTION("GOOGLETRANSLATE(F105,""en"",""pt"")"),"escadas a-frame")</f>
        <v>escadas a-frame</v>
      </c>
      <c r="H105" s="24"/>
      <c r="I105" s="24"/>
    </row>
    <row r="106" spans="1:9" ht="14.5">
      <c r="A106" s="20" t="s">
        <v>34840</v>
      </c>
      <c r="B106" s="20">
        <v>20</v>
      </c>
      <c r="C106" s="20">
        <v>40</v>
      </c>
      <c r="D106" s="20">
        <v>10</v>
      </c>
      <c r="E106" s="20">
        <v>28</v>
      </c>
      <c r="F106" s="20" t="s">
        <v>34841</v>
      </c>
      <c r="G106" s="24" t="str">
        <f ca="1">IFERROR(__xludf.DUMMYFUNCTION("GOOGLETRANSLATE(F106,""en"",""pt"")"),"escadas de extensão")</f>
        <v>escadas de extensão</v>
      </c>
      <c r="H106" s="24"/>
      <c r="I106" s="24"/>
    </row>
    <row r="107" spans="1:9" ht="14.5">
      <c r="A107" s="20" t="s">
        <v>34842</v>
      </c>
      <c r="B107" s="20">
        <v>20</v>
      </c>
      <c r="C107" s="20">
        <v>40</v>
      </c>
      <c r="D107" s="20">
        <v>10</v>
      </c>
      <c r="E107" s="20">
        <v>38</v>
      </c>
      <c r="F107" s="20" t="s">
        <v>34843</v>
      </c>
      <c r="G107" s="24" t="str">
        <f ca="1">IFERROR(__xludf.DUMMYFUNCTION("GOOGLETRANSLATE(F107,""en"",""pt"")"),"Hop-up passos")</f>
        <v>Hop-up passos</v>
      </c>
      <c r="H107" s="24"/>
      <c r="I107" s="24"/>
    </row>
    <row r="108" spans="1:9" ht="14.5">
      <c r="A108" s="20" t="s">
        <v>34844</v>
      </c>
      <c r="B108" s="20">
        <v>20</v>
      </c>
      <c r="C108" s="20">
        <v>40</v>
      </c>
      <c r="D108" s="20">
        <v>10</v>
      </c>
      <c r="E108" s="20">
        <v>64</v>
      </c>
      <c r="F108" s="20" t="s">
        <v>34845</v>
      </c>
      <c r="G108" s="24" t="str">
        <f ca="1">IFERROR(__xludf.DUMMYFUNCTION("GOOGLETRANSLATE(F108,""en"",""pt"")"),"Plataforma escadas de")</f>
        <v>Plataforma escadas de</v>
      </c>
      <c r="H108" s="24"/>
      <c r="I108" s="24"/>
    </row>
    <row r="109" spans="1:9" ht="14.5">
      <c r="A109" s="20" t="s">
        <v>34846</v>
      </c>
      <c r="B109" s="20">
        <v>20</v>
      </c>
      <c r="C109" s="20">
        <v>40</v>
      </c>
      <c r="D109" s="20">
        <v>10</v>
      </c>
      <c r="E109" s="20">
        <v>66</v>
      </c>
      <c r="F109" s="20" t="s">
        <v>34847</v>
      </c>
      <c r="G109" s="24" t="str">
        <f ca="1">IFERROR(__xludf.DUMMYFUNCTION("GOOGLETRANSLATE(F109,""en"",""pt"")"),"escadas pódio")</f>
        <v>escadas pódio</v>
      </c>
      <c r="H109" s="24"/>
      <c r="I109" s="24"/>
    </row>
    <row r="110" spans="1:9" ht="14.5">
      <c r="A110" s="20" t="s">
        <v>34848</v>
      </c>
      <c r="B110" s="20">
        <v>20</v>
      </c>
      <c r="C110" s="20">
        <v>40</v>
      </c>
      <c r="D110" s="20">
        <v>10</v>
      </c>
      <c r="E110" s="20">
        <v>85</v>
      </c>
      <c r="F110" s="20" t="s">
        <v>34849</v>
      </c>
      <c r="G110" s="24" t="str">
        <f ca="1">IFERROR(__xludf.DUMMYFUNCTION("GOOGLETRANSLATE(F110,""en"",""pt"")"),"escadas de Swing-costas")</f>
        <v>escadas de Swing-costas</v>
      </c>
      <c r="H110" s="24"/>
      <c r="I110" s="24"/>
    </row>
    <row r="111" spans="1:9" ht="14.5">
      <c r="A111" s="20" t="s">
        <v>34850</v>
      </c>
      <c r="B111" s="20">
        <v>20</v>
      </c>
      <c r="C111" s="20">
        <v>40</v>
      </c>
      <c r="D111" s="20">
        <v>10</v>
      </c>
      <c r="E111" s="20">
        <v>88</v>
      </c>
      <c r="F111" s="20" t="s">
        <v>34851</v>
      </c>
      <c r="G111" s="24" t="str">
        <f ca="1">IFERROR(__xludf.DUMMYFUNCTION("GOOGLETRANSLATE(F111,""en"",""pt"")"),"escadas telescópicas")</f>
        <v>escadas telescópicas</v>
      </c>
      <c r="H111" s="24"/>
      <c r="I111" s="24"/>
    </row>
    <row r="112" spans="1:9" ht="14.5">
      <c r="A112" s="20" t="s">
        <v>34852</v>
      </c>
      <c r="B112" s="20">
        <v>20</v>
      </c>
      <c r="C112" s="20">
        <v>50</v>
      </c>
      <c r="D112" s="24"/>
      <c r="E112" s="24"/>
      <c r="F112" s="20" t="s">
        <v>34853</v>
      </c>
      <c r="G112" s="24" t="str">
        <f ca="1">IFERROR(__xludf.DUMMYFUNCTION("GOOGLETRANSLATE(F112,""en"",""pt"")"),"Escoramento, planking e suportando")</f>
        <v>Escoramento, planking e suportando</v>
      </c>
      <c r="H112" s="24"/>
      <c r="I112" s="24"/>
    </row>
    <row r="113" spans="1:9" ht="14.5">
      <c r="A113" s="20" t="s">
        <v>34854</v>
      </c>
      <c r="B113" s="20">
        <v>20</v>
      </c>
      <c r="C113" s="20">
        <v>50</v>
      </c>
      <c r="D113" s="20">
        <v>65</v>
      </c>
      <c r="E113" s="24"/>
      <c r="F113" s="20" t="s">
        <v>34855</v>
      </c>
      <c r="G113" s="24" t="str">
        <f ca="1">IFERROR(__xludf.DUMMYFUNCTION("GOOGLETRANSLATE(F113,""en"",""pt"")"),"Escoramento e planking")</f>
        <v>Escoramento e planking</v>
      </c>
      <c r="H113" s="24"/>
      <c r="I113" s="24"/>
    </row>
    <row r="114" spans="1:9" ht="14.5">
      <c r="A114" s="20" t="s">
        <v>34856</v>
      </c>
      <c r="B114" s="20">
        <v>20</v>
      </c>
      <c r="C114" s="20">
        <v>50</v>
      </c>
      <c r="D114" s="20">
        <v>65</v>
      </c>
      <c r="E114" s="20">
        <v>6</v>
      </c>
      <c r="F114" s="20" t="s">
        <v>34857</v>
      </c>
      <c r="G114" s="24" t="str">
        <f ca="1">IFERROR(__xludf.DUMMYFUNCTION("GOOGLETRANSLATE(F114,""en"",""pt"")"),"madeiras baulk")</f>
        <v>madeiras baulk</v>
      </c>
      <c r="H114" s="24"/>
      <c r="I114" s="24"/>
    </row>
    <row r="115" spans="1:9" ht="14.5">
      <c r="A115" s="20" t="s">
        <v>34858</v>
      </c>
      <c r="B115" s="20">
        <v>20</v>
      </c>
      <c r="C115" s="20">
        <v>50</v>
      </c>
      <c r="D115" s="20">
        <v>65</v>
      </c>
      <c r="E115" s="20">
        <v>15</v>
      </c>
      <c r="F115" s="20" t="s">
        <v>34859</v>
      </c>
      <c r="G115" s="24" t="str">
        <f ca="1">IFERROR(__xludf.DUMMYFUNCTION("GOOGLETRANSLATE(F115,""en"",""pt"")"),"Grampos")</f>
        <v>Grampos</v>
      </c>
      <c r="H115" s="24"/>
      <c r="I115" s="24"/>
    </row>
    <row r="116" spans="1:9" ht="14.5">
      <c r="A116" s="20" t="s">
        <v>34860</v>
      </c>
      <c r="B116" s="20">
        <v>20</v>
      </c>
      <c r="C116" s="20">
        <v>50</v>
      </c>
      <c r="D116" s="20">
        <v>65</v>
      </c>
      <c r="E116" s="20">
        <v>23</v>
      </c>
      <c r="F116" s="20" t="s">
        <v>34861</v>
      </c>
      <c r="G116" s="24" t="str">
        <f ca="1">IFERROR(__xludf.DUMMYFUNCTION("GOOGLETRANSLATE(F116,""en"",""pt"")"),"cães")</f>
        <v>cães</v>
      </c>
      <c r="H116" s="24"/>
      <c r="I116" s="24"/>
    </row>
    <row r="117" spans="1:9" ht="14.5">
      <c r="A117" s="20" t="s">
        <v>34862</v>
      </c>
      <c r="B117" s="20">
        <v>20</v>
      </c>
      <c r="C117" s="20">
        <v>50</v>
      </c>
      <c r="D117" s="20">
        <v>65</v>
      </c>
      <c r="E117" s="20">
        <v>30</v>
      </c>
      <c r="F117" s="20" t="s">
        <v>34863</v>
      </c>
      <c r="G117" s="24" t="str">
        <f ca="1">IFERROR(__xludf.DUMMYFUNCTION("GOOGLETRANSLATE(F117,""en"",""pt"")"),"Folding cunhas")</f>
        <v>Folding cunhas</v>
      </c>
      <c r="H117" s="24"/>
      <c r="I117" s="24"/>
    </row>
    <row r="118" spans="1:9" ht="14.5">
      <c r="A118" s="20" t="s">
        <v>34864</v>
      </c>
      <c r="B118" s="20">
        <v>20</v>
      </c>
      <c r="C118" s="20">
        <v>50</v>
      </c>
      <c r="D118" s="20">
        <v>65</v>
      </c>
      <c r="E118" s="20">
        <v>37</v>
      </c>
      <c r="F118" s="20" t="s">
        <v>34865</v>
      </c>
      <c r="G118" s="24" t="str">
        <f ca="1">IFERROR(__xludf.DUMMYFUNCTION("GOOGLETRANSLATE(F118,""en"",""pt"")"),"margens horizontais")</f>
        <v>margens horizontais</v>
      </c>
      <c r="H118" s="24"/>
      <c r="I118" s="24"/>
    </row>
    <row r="119" spans="1:9" ht="14.5">
      <c r="A119" s="20" t="s">
        <v>34866</v>
      </c>
      <c r="B119" s="20">
        <v>20</v>
      </c>
      <c r="C119" s="20">
        <v>50</v>
      </c>
      <c r="D119" s="20">
        <v>65</v>
      </c>
      <c r="E119" s="20">
        <v>56</v>
      </c>
      <c r="F119" s="20" t="s">
        <v>34867</v>
      </c>
      <c r="G119" s="24" t="str">
        <f ca="1">IFERROR(__xludf.DUMMYFUNCTION("GOOGLETRANSLATE(F119,""en"",""pt"")"),"Needles")</f>
        <v>Needles</v>
      </c>
      <c r="H119" s="24"/>
      <c r="I119" s="24"/>
    </row>
    <row r="120" spans="1:9" ht="14.5">
      <c r="A120" s="20" t="s">
        <v>34868</v>
      </c>
      <c r="B120" s="20">
        <v>20</v>
      </c>
      <c r="C120" s="20">
        <v>50</v>
      </c>
      <c r="D120" s="20">
        <v>65</v>
      </c>
      <c r="E120" s="20">
        <v>65</v>
      </c>
      <c r="F120" s="20" t="s">
        <v>34869</v>
      </c>
      <c r="G120" s="24" t="str">
        <f ca="1">IFERROR(__xludf.DUMMYFUNCTION("GOOGLETRANSLATE(F120,""en"",""pt"")"),"madeiras planking")</f>
        <v>madeiras planking</v>
      </c>
      <c r="H120" s="24"/>
      <c r="I120" s="24"/>
    </row>
    <row r="121" spans="1:9" ht="14.5">
      <c r="A121" s="20" t="s">
        <v>34870</v>
      </c>
      <c r="B121" s="20">
        <v>20</v>
      </c>
      <c r="C121" s="20">
        <v>50</v>
      </c>
      <c r="D121" s="20">
        <v>65</v>
      </c>
      <c r="E121" s="20">
        <v>81</v>
      </c>
      <c r="F121" s="20" t="s">
        <v>34871</v>
      </c>
      <c r="G121" s="24" t="str">
        <f ca="1">IFERROR(__xludf.DUMMYFUNCTION("GOOGLETRANSLATE(F121,""en"",""pt"")"),"escoramento cunhas")</f>
        <v>escoramento cunhas</v>
      </c>
      <c r="H121" s="24"/>
      <c r="I121" s="24"/>
    </row>
    <row r="122" spans="1:9" ht="14.5">
      <c r="A122" s="20" t="s">
        <v>34872</v>
      </c>
      <c r="B122" s="20">
        <v>20</v>
      </c>
      <c r="C122" s="20">
        <v>50</v>
      </c>
      <c r="D122" s="20">
        <v>65</v>
      </c>
      <c r="E122" s="20">
        <v>83</v>
      </c>
      <c r="F122" s="20" t="s">
        <v>34873</v>
      </c>
      <c r="G122" s="24" t="str">
        <f ca="1">IFERROR(__xludf.DUMMYFUNCTION("GOOGLETRANSLATE(F122,""en"",""pt"")"),"placas Sole")</f>
        <v>placas Sole</v>
      </c>
      <c r="H122" s="24"/>
      <c r="I122" s="24"/>
    </row>
    <row r="123" spans="1:9" ht="14.5">
      <c r="A123" s="20" t="s">
        <v>34874</v>
      </c>
      <c r="B123" s="20">
        <v>20</v>
      </c>
      <c r="C123" s="20">
        <v>50</v>
      </c>
      <c r="D123" s="20">
        <v>65</v>
      </c>
      <c r="E123" s="20">
        <v>85</v>
      </c>
      <c r="F123" s="20" t="s">
        <v>34875</v>
      </c>
      <c r="G123" s="24" t="str">
        <f ca="1">IFERROR(__xludf.DUMMYFUNCTION("GOOGLETRANSLATE(F123,""en"",""pt"")"),"esforçando peças")</f>
        <v>esforçando peças</v>
      </c>
      <c r="H123" s="24"/>
      <c r="I123" s="24"/>
    </row>
    <row r="124" spans="1:9" ht="14.5">
      <c r="A124" s="20" t="s">
        <v>34876</v>
      </c>
      <c r="B124" s="20">
        <v>20</v>
      </c>
      <c r="C124" s="20">
        <v>50</v>
      </c>
      <c r="D124" s="20">
        <v>65</v>
      </c>
      <c r="E124" s="20">
        <v>96</v>
      </c>
      <c r="F124" s="20" t="s">
        <v>34877</v>
      </c>
      <c r="G124" s="24" t="str">
        <f ca="1">IFERROR(__xludf.DUMMYFUNCTION("GOOGLETRANSLATE(F124,""en"",""pt"")"),"placas de parede")</f>
        <v>placas de parede</v>
      </c>
      <c r="H124" s="24"/>
      <c r="I124" s="24"/>
    </row>
    <row r="125" spans="1:9" ht="14.5">
      <c r="A125" s="20" t="s">
        <v>34878</v>
      </c>
      <c r="B125" s="20">
        <v>20</v>
      </c>
      <c r="C125" s="20">
        <v>50</v>
      </c>
      <c r="D125" s="20">
        <v>75</v>
      </c>
      <c r="E125" s="24"/>
      <c r="F125" s="20" t="s">
        <v>34879</v>
      </c>
      <c r="G125" s="24" t="str">
        <f ca="1">IFERROR(__xludf.DUMMYFUNCTION("GOOGLETRANSLATE(F125,""en"",""pt"")"),"Struts")</f>
        <v>Struts</v>
      </c>
      <c r="H125" s="24"/>
      <c r="I125" s="24"/>
    </row>
    <row r="126" spans="1:9" ht="14.5">
      <c r="A126" s="20" t="s">
        <v>34880</v>
      </c>
      <c r="B126" s="20">
        <v>20</v>
      </c>
      <c r="C126" s="20">
        <v>50</v>
      </c>
      <c r="D126" s="20">
        <v>75</v>
      </c>
      <c r="E126" s="20">
        <v>2</v>
      </c>
      <c r="F126" s="20" t="s">
        <v>34881</v>
      </c>
      <c r="G126" s="24" t="str">
        <f ca="1">IFERROR(__xludf.DUMMYFUNCTION("GOOGLETRANSLATE(F126,""en"",""pt"")"),"suportes reguláveis")</f>
        <v>suportes reguláveis</v>
      </c>
      <c r="H126" s="24"/>
      <c r="I126" s="24"/>
    </row>
    <row r="127" spans="1:9" ht="14.5">
      <c r="A127" s="20" t="s">
        <v>34882</v>
      </c>
      <c r="B127" s="20">
        <v>20</v>
      </c>
      <c r="C127" s="20">
        <v>50</v>
      </c>
      <c r="D127" s="20">
        <v>75</v>
      </c>
      <c r="E127" s="20">
        <v>75</v>
      </c>
      <c r="F127" s="20" t="s">
        <v>34883</v>
      </c>
      <c r="G127" s="24" t="str">
        <f ca="1">IFERROR(__xludf.DUMMYFUNCTION("GOOGLETRANSLATE(F127,""en"",""pt"")"),"suportando madeiras")</f>
        <v>suportando madeiras</v>
      </c>
      <c r="H127" s="24"/>
      <c r="I127" s="24"/>
    </row>
    <row r="128" spans="1:9" ht="14.5">
      <c r="A128" s="20" t="s">
        <v>34884</v>
      </c>
      <c r="B128" s="20">
        <v>20</v>
      </c>
      <c r="C128" s="20">
        <v>80</v>
      </c>
      <c r="D128" s="24"/>
      <c r="E128" s="24"/>
      <c r="F128" s="20" t="s">
        <v>34885</v>
      </c>
      <c r="G128" s="24" t="str">
        <f ca="1">IFERROR(__xludf.DUMMYFUNCTION("GOOGLETRANSLATE(F128,""en"",""pt"")"),"estruturas de triagem temporários")</f>
        <v>estruturas de triagem temporários</v>
      </c>
      <c r="H128" s="24"/>
      <c r="I128" s="24"/>
    </row>
    <row r="129" spans="1:9" ht="14.5">
      <c r="A129" s="20" t="s">
        <v>34886</v>
      </c>
      <c r="B129" s="20">
        <v>20</v>
      </c>
      <c r="C129" s="20">
        <v>80</v>
      </c>
      <c r="D129" s="20">
        <v>80</v>
      </c>
      <c r="E129" s="24"/>
      <c r="F129" s="20" t="s">
        <v>34887</v>
      </c>
      <c r="G129" s="24" t="str">
        <f ca="1">IFERROR(__xludf.DUMMYFUNCTION("GOOGLETRANSLATE(F129,""en"",""pt"")"),"tapumes temporários")</f>
        <v>tapumes temporários</v>
      </c>
      <c r="H129" s="24"/>
      <c r="I129" s="24"/>
    </row>
    <row r="130" spans="1:9" ht="14.5">
      <c r="A130" s="20" t="s">
        <v>34888</v>
      </c>
      <c r="B130" s="20">
        <v>20</v>
      </c>
      <c r="C130" s="20">
        <v>80</v>
      </c>
      <c r="D130" s="20">
        <v>80</v>
      </c>
      <c r="E130" s="20">
        <v>28</v>
      </c>
      <c r="F130" s="20" t="s">
        <v>34889</v>
      </c>
      <c r="G130" s="24" t="str">
        <f ca="1">IFERROR(__xludf.DUMMYFUNCTION("GOOGLETRANSLATE(F130,""en"",""pt"")"),"tapumes temporários externos")</f>
        <v>tapumes temporários externos</v>
      </c>
      <c r="H130" s="24"/>
      <c r="I130" s="24"/>
    </row>
    <row r="131" spans="1:9" ht="14.5">
      <c r="A131" s="20" t="s">
        <v>34890</v>
      </c>
      <c r="B131" s="20">
        <v>20</v>
      </c>
      <c r="C131" s="20">
        <v>80</v>
      </c>
      <c r="D131" s="20">
        <v>80</v>
      </c>
      <c r="E131" s="20">
        <v>41</v>
      </c>
      <c r="F131" s="20" t="s">
        <v>34891</v>
      </c>
      <c r="G131" s="24" t="str">
        <f ca="1">IFERROR(__xludf.DUMMYFUNCTION("GOOGLETRANSLATE(F131,""en"",""pt"")"),"tapumes temporários internos")</f>
        <v>tapumes temporários internos</v>
      </c>
      <c r="H131" s="24"/>
      <c r="I131" s="24"/>
    </row>
    <row r="132" spans="1:9" ht="14.5">
      <c r="A132" s="20" t="s">
        <v>34892</v>
      </c>
      <c r="B132" s="20">
        <v>20</v>
      </c>
      <c r="C132" s="20">
        <v>90</v>
      </c>
      <c r="D132" s="24"/>
      <c r="E132" s="24"/>
      <c r="F132" s="20" t="s">
        <v>34893</v>
      </c>
      <c r="G132" s="24" t="str">
        <f ca="1">IFERROR(__xludf.DUMMYFUNCTION("GOOGLETRANSLATE(F132,""en"",""pt"")"),"equipamentos alisamento tubo")</f>
        <v>equipamentos alisamento tubo</v>
      </c>
      <c r="H132" s="24"/>
      <c r="I132" s="24"/>
    </row>
    <row r="133" spans="1:9" ht="14.5">
      <c r="A133" s="20" t="s">
        <v>34894</v>
      </c>
      <c r="B133" s="20">
        <v>30</v>
      </c>
      <c r="C133" s="24"/>
      <c r="D133" s="24"/>
      <c r="E133" s="24"/>
      <c r="F133" s="20" t="s">
        <v>34895</v>
      </c>
      <c r="G133" s="24" t="str">
        <f ca="1">IFERROR(__xludf.DUMMYFUNCTION("GOOGLETRANSLATE(F133,""en"",""pt"")"),"Aparelhos de elevação e transportadores")</f>
        <v>Aparelhos de elevação e transportadores</v>
      </c>
      <c r="H133" s="24"/>
      <c r="I133" s="24"/>
    </row>
    <row r="134" spans="1:9" ht="14.5">
      <c r="A134" s="20" t="s">
        <v>34896</v>
      </c>
      <c r="B134" s="20">
        <v>30</v>
      </c>
      <c r="C134" s="20">
        <v>10</v>
      </c>
      <c r="D134" s="24"/>
      <c r="E134" s="24"/>
      <c r="F134" s="20" t="s">
        <v>2289</v>
      </c>
      <c r="G134" s="24" t="str">
        <f ca="1">IFERROR(__xludf.DUMMYFUNCTION("GOOGLETRANSLATE(F134,""en"",""pt"")"),"guindastes")</f>
        <v>guindastes</v>
      </c>
      <c r="H134" s="24"/>
      <c r="I134" s="24"/>
    </row>
    <row r="135" spans="1:9" ht="14.5">
      <c r="A135" s="20" t="s">
        <v>34897</v>
      </c>
      <c r="B135" s="20">
        <v>30</v>
      </c>
      <c r="C135" s="20">
        <v>10</v>
      </c>
      <c r="D135" s="20">
        <v>10</v>
      </c>
      <c r="E135" s="24"/>
      <c r="F135" s="20" t="s">
        <v>34898</v>
      </c>
      <c r="G135" s="24" t="str">
        <f ca="1">IFERROR(__xludf.DUMMYFUNCTION("GOOGLETRANSLATE(F135,""en"",""pt"")"),"estruturas guindaste")</f>
        <v>estruturas guindaste</v>
      </c>
      <c r="H135" s="24"/>
      <c r="I135" s="24"/>
    </row>
    <row r="136" spans="1:9" ht="14.5">
      <c r="A136" s="20" t="s">
        <v>34899</v>
      </c>
      <c r="B136" s="20">
        <v>30</v>
      </c>
      <c r="C136" s="20">
        <v>10</v>
      </c>
      <c r="D136" s="20">
        <v>10</v>
      </c>
      <c r="E136" s="20">
        <v>1</v>
      </c>
      <c r="F136" s="20" t="s">
        <v>34900</v>
      </c>
      <c r="G136" s="24" t="str">
        <f ca="1">IFERROR(__xludf.DUMMYFUNCTION("GOOGLETRANSLATE(F136,""en"",""pt"")"),"guindastes aéreos")</f>
        <v>guindastes aéreos</v>
      </c>
      <c r="H136" s="24"/>
      <c r="I136" s="24"/>
    </row>
    <row r="137" spans="1:9" ht="14.5">
      <c r="A137" s="20" t="s">
        <v>34901</v>
      </c>
      <c r="B137" s="20">
        <v>30</v>
      </c>
      <c r="C137" s="20">
        <v>10</v>
      </c>
      <c r="D137" s="20">
        <v>10</v>
      </c>
      <c r="E137" s="20">
        <v>3</v>
      </c>
      <c r="F137" s="20" t="s">
        <v>34902</v>
      </c>
      <c r="G137" s="24" t="str">
        <f ca="1">IFERROR(__xludf.DUMMYFUNCTION("GOOGLETRANSLATE(F137,""en"",""pt"")"),"All Terrain (AT) guindastes")</f>
        <v>All Terrain (AT) guindastes</v>
      </c>
      <c r="H137" s="24"/>
      <c r="I137" s="24"/>
    </row>
    <row r="138" spans="1:9" ht="14.5">
      <c r="A138" s="20" t="s">
        <v>34903</v>
      </c>
      <c r="B138" s="20">
        <v>30</v>
      </c>
      <c r="C138" s="20">
        <v>10</v>
      </c>
      <c r="D138" s="20">
        <v>10</v>
      </c>
      <c r="E138" s="20">
        <v>18</v>
      </c>
      <c r="F138" s="20" t="s">
        <v>34904</v>
      </c>
      <c r="G138" s="24" t="str">
        <f ca="1">IFERROR(__xludf.DUMMYFUNCTION("GOOGLETRANSLATE(F138,""en"",""pt"")"),"guindastes sobre esteiras")</f>
        <v>guindastes sobre esteiras</v>
      </c>
      <c r="H138" s="24"/>
      <c r="I138" s="24"/>
    </row>
    <row r="139" spans="1:9" ht="14.5">
      <c r="A139" s="20" t="s">
        <v>34905</v>
      </c>
      <c r="B139" s="20">
        <v>30</v>
      </c>
      <c r="C139" s="20">
        <v>10</v>
      </c>
      <c r="D139" s="20">
        <v>10</v>
      </c>
      <c r="E139" s="20">
        <v>30</v>
      </c>
      <c r="F139" s="20" t="s">
        <v>34906</v>
      </c>
      <c r="G139" s="24" t="str">
        <f ca="1">IFERROR(__xludf.DUMMYFUNCTION("GOOGLETRANSLATE(F139,""en"",""pt"")"),"guindastes flutuantes")</f>
        <v>guindastes flutuantes</v>
      </c>
      <c r="H139" s="24"/>
      <c r="I139" s="24"/>
    </row>
    <row r="140" spans="1:9" ht="14.5">
      <c r="A140" s="20" t="s">
        <v>34907</v>
      </c>
      <c r="B140" s="20">
        <v>30</v>
      </c>
      <c r="C140" s="20">
        <v>10</v>
      </c>
      <c r="D140" s="20">
        <v>10</v>
      </c>
      <c r="E140" s="20">
        <v>44</v>
      </c>
      <c r="F140" s="20" t="s">
        <v>34908</v>
      </c>
      <c r="G140" s="24" t="str">
        <f ca="1">IFERROR(__xludf.DUMMYFUNCTION("GOOGLETRANSLATE(F140,""en"",""pt"")"),"guindastes de lança")</f>
        <v>guindastes de lança</v>
      </c>
      <c r="H140" s="24"/>
      <c r="I140" s="24"/>
    </row>
    <row r="141" spans="1:9" ht="14.5">
      <c r="A141" s="20" t="s">
        <v>34909</v>
      </c>
      <c r="B141" s="20">
        <v>30</v>
      </c>
      <c r="C141" s="20">
        <v>10</v>
      </c>
      <c r="D141" s="20">
        <v>10</v>
      </c>
      <c r="E141" s="20">
        <v>47</v>
      </c>
      <c r="F141" s="20" t="s">
        <v>34910</v>
      </c>
      <c r="G141" s="24" t="str">
        <f ca="1">IFERROR(__xludf.DUMMYFUNCTION("GOOGLETRANSLATE(F141,""en"",""pt"")"),"guindastes Luffing nível")</f>
        <v>guindastes Luffing nível</v>
      </c>
      <c r="H141" s="24"/>
      <c r="I141" s="24"/>
    </row>
    <row r="142" spans="1:9" ht="14.5">
      <c r="A142" s="20" t="s">
        <v>34911</v>
      </c>
      <c r="B142" s="20">
        <v>30</v>
      </c>
      <c r="C142" s="20">
        <v>10</v>
      </c>
      <c r="D142" s="20">
        <v>10</v>
      </c>
      <c r="E142" s="20">
        <v>52</v>
      </c>
      <c r="F142" s="20" t="s">
        <v>34912</v>
      </c>
      <c r="G142" s="24" t="str">
        <f ca="1">IFERROR(__xludf.DUMMYFUNCTION("GOOGLETRANSLATE(F142,""en"",""pt"")"),"guindastes")</f>
        <v>guindastes</v>
      </c>
      <c r="H142" s="24"/>
      <c r="I142" s="24"/>
    </row>
    <row r="143" spans="1:9" ht="14.5">
      <c r="A143" s="20" t="s">
        <v>34913</v>
      </c>
      <c r="B143" s="20">
        <v>30</v>
      </c>
      <c r="C143" s="20">
        <v>10</v>
      </c>
      <c r="D143" s="20">
        <v>10</v>
      </c>
      <c r="E143" s="20">
        <v>70</v>
      </c>
      <c r="F143" s="20" t="s">
        <v>34914</v>
      </c>
      <c r="G143" s="24" t="str">
        <f ca="1">IFERROR(__xludf.DUMMYFUNCTION("GOOGLETRANSLATE(F143,""en"",""pt"")"),"guindastes ferroviários")</f>
        <v>guindastes ferroviários</v>
      </c>
      <c r="H143" s="24"/>
      <c r="I143" s="24"/>
    </row>
    <row r="144" spans="1:9" ht="14.5">
      <c r="A144" s="20" t="s">
        <v>34915</v>
      </c>
      <c r="B144" s="20">
        <v>30</v>
      </c>
      <c r="C144" s="20">
        <v>10</v>
      </c>
      <c r="D144" s="20">
        <v>10</v>
      </c>
      <c r="E144" s="20">
        <v>74</v>
      </c>
      <c r="F144" s="20" t="s">
        <v>34916</v>
      </c>
      <c r="G144" s="24" t="str">
        <f ca="1">IFERROR(__xludf.DUMMYFUNCTION("GOOGLETRANSLATE(F144,""en"",""pt"")"),"todo o terreno (RT) guindastes")</f>
        <v>todo o terreno (RT) guindastes</v>
      </c>
      <c r="H144" s="24"/>
      <c r="I144" s="24"/>
    </row>
    <row r="145" spans="1:9" ht="14.5">
      <c r="A145" s="20" t="s">
        <v>34917</v>
      </c>
      <c r="B145" s="20">
        <v>30</v>
      </c>
      <c r="C145" s="20">
        <v>10</v>
      </c>
      <c r="D145" s="20">
        <v>10</v>
      </c>
      <c r="E145" s="20">
        <v>76</v>
      </c>
      <c r="F145" s="20" t="s">
        <v>34918</v>
      </c>
      <c r="G145" s="24" t="str">
        <f ca="1">IFERROR(__xludf.DUMMYFUNCTION("GOOGLETRANSLATE(F145,""en"",""pt"")"),"Auto-gruas")</f>
        <v>Auto-gruas</v>
      </c>
      <c r="H145" s="24"/>
      <c r="I145" s="24"/>
    </row>
    <row r="146" spans="1:9" ht="14.5">
      <c r="A146" s="20" t="s">
        <v>34919</v>
      </c>
      <c r="B146" s="20">
        <v>30</v>
      </c>
      <c r="C146" s="20">
        <v>10</v>
      </c>
      <c r="D146" s="20">
        <v>10</v>
      </c>
      <c r="E146" s="20">
        <v>78</v>
      </c>
      <c r="F146" s="20" t="s">
        <v>34920</v>
      </c>
      <c r="G146" s="24" t="str">
        <f ca="1">IFERROR(__xludf.DUMMYFUNCTION("GOOGLETRANSLATE(F146,""en"",""pt"")"),"guindastes lateral de")</f>
        <v>guindastes lateral de</v>
      </c>
      <c r="H146" s="24"/>
      <c r="I146" s="24"/>
    </row>
    <row r="147" spans="1:9" ht="14.5">
      <c r="A147" s="20" t="s">
        <v>34921</v>
      </c>
      <c r="B147" s="20">
        <v>30</v>
      </c>
      <c r="C147" s="20">
        <v>10</v>
      </c>
      <c r="D147" s="20">
        <v>10</v>
      </c>
      <c r="E147" s="20">
        <v>88</v>
      </c>
      <c r="F147" s="20" t="s">
        <v>34922</v>
      </c>
      <c r="G147" s="24" t="str">
        <f ca="1">IFERROR(__xludf.DUMMYFUNCTION("GOOGLETRANSLATE(F147,""en"",""pt"")"),"guindastes telescópicos")</f>
        <v>guindastes telescópicos</v>
      </c>
      <c r="H147" s="24"/>
      <c r="I147" s="24"/>
    </row>
    <row r="148" spans="1:9" ht="14.5">
      <c r="A148" s="20" t="s">
        <v>34923</v>
      </c>
      <c r="B148" s="20">
        <v>30</v>
      </c>
      <c r="C148" s="20">
        <v>10</v>
      </c>
      <c r="D148" s="20">
        <v>10</v>
      </c>
      <c r="E148" s="20">
        <v>89</v>
      </c>
      <c r="F148" s="20" t="s">
        <v>34924</v>
      </c>
      <c r="G148" s="24" t="str">
        <f ca="1">IFERROR(__xludf.DUMMYFUNCTION("GOOGLETRANSLATE(F148,""en"",""pt"")"),"guindastes de torre")</f>
        <v>guindastes de torre</v>
      </c>
      <c r="H148" s="24"/>
      <c r="I148" s="24"/>
    </row>
    <row r="149" spans="1:9" ht="14.5">
      <c r="A149" s="20" t="s">
        <v>34925</v>
      </c>
      <c r="B149" s="20">
        <v>30</v>
      </c>
      <c r="C149" s="20">
        <v>10</v>
      </c>
      <c r="D149" s="20">
        <v>10</v>
      </c>
      <c r="E149" s="20">
        <v>91</v>
      </c>
      <c r="F149" s="20" t="s">
        <v>34926</v>
      </c>
      <c r="G149" s="24" t="str">
        <f ca="1">IFERROR(__xludf.DUMMYFUNCTION("GOOGLETRANSLATE(F149,""en"",""pt"")"),"guindastes de torre")</f>
        <v>guindastes de torre</v>
      </c>
      <c r="H149" s="24"/>
      <c r="I149" s="24"/>
    </row>
    <row r="150" spans="1:9" ht="14.5">
      <c r="A150" s="20" t="s">
        <v>34927</v>
      </c>
      <c r="B150" s="20">
        <v>30</v>
      </c>
      <c r="C150" s="20">
        <v>10</v>
      </c>
      <c r="D150" s="20">
        <v>50</v>
      </c>
      <c r="E150" s="24"/>
      <c r="F150" s="20" t="s">
        <v>34928</v>
      </c>
      <c r="G150" s="24" t="str">
        <f ca="1">IFERROR(__xludf.DUMMYFUNCTION("GOOGLETRANSLATE(F150,""en"",""pt"")"),"equipamento de guindaste")</f>
        <v>equipamento de guindaste</v>
      </c>
      <c r="H150" s="24"/>
      <c r="I150" s="24"/>
    </row>
    <row r="151" spans="1:9" ht="14.5">
      <c r="A151" s="20" t="s">
        <v>34929</v>
      </c>
      <c r="B151" s="20">
        <v>30</v>
      </c>
      <c r="C151" s="20">
        <v>10</v>
      </c>
      <c r="D151" s="20">
        <v>50</v>
      </c>
      <c r="E151" s="20">
        <v>15</v>
      </c>
      <c r="F151" s="20" t="s">
        <v>34930</v>
      </c>
      <c r="G151" s="24" t="str">
        <f ca="1">IFERROR(__xludf.DUMMYFUNCTION("GOOGLETRANSLATE(F151,""en"",""pt"")"),"salta concretas")</f>
        <v>salta concretas</v>
      </c>
      <c r="H151" s="24"/>
      <c r="I151" s="24"/>
    </row>
    <row r="152" spans="1:9" ht="14.5">
      <c r="A152" s="20" t="s">
        <v>34931</v>
      </c>
      <c r="B152" s="20">
        <v>30</v>
      </c>
      <c r="C152" s="20">
        <v>10</v>
      </c>
      <c r="D152" s="20">
        <v>50</v>
      </c>
      <c r="E152" s="20">
        <v>22</v>
      </c>
      <c r="F152" s="20" t="s">
        <v>34932</v>
      </c>
      <c r="G152" s="24" t="str">
        <f ca="1">IFERROR(__xludf.DUMMYFUNCTION("GOOGLETRANSLATE(F152,""en"",""pt"")"),"bolas de demolição")</f>
        <v>bolas de demolição</v>
      </c>
      <c r="H152" s="24"/>
      <c r="I152" s="24"/>
    </row>
    <row r="153" spans="1:9" ht="14.5">
      <c r="A153" s="20" t="s">
        <v>34933</v>
      </c>
      <c r="B153" s="20">
        <v>30</v>
      </c>
      <c r="C153" s="20">
        <v>10</v>
      </c>
      <c r="D153" s="20">
        <v>50</v>
      </c>
      <c r="E153" s="20">
        <v>28</v>
      </c>
      <c r="F153" s="20" t="s">
        <v>34934</v>
      </c>
      <c r="G153" s="24" t="str">
        <f ca="1">IFERROR(__xludf.DUMMYFUNCTION("GOOGLETRANSLATE(F153,""en"",""pt"")"),"Escavando agarra guindaste")</f>
        <v>Escavando agarra guindaste</v>
      </c>
      <c r="H153" s="24"/>
      <c r="I153" s="24"/>
    </row>
    <row r="154" spans="1:9" ht="14.5">
      <c r="A154" s="20" t="s">
        <v>34935</v>
      </c>
      <c r="B154" s="20">
        <v>30</v>
      </c>
      <c r="C154" s="20">
        <v>10</v>
      </c>
      <c r="D154" s="20">
        <v>50</v>
      </c>
      <c r="E154" s="20">
        <v>71</v>
      </c>
      <c r="F154" s="20" t="s">
        <v>34936</v>
      </c>
      <c r="G154" s="24" t="str">
        <f ca="1">IFERROR(__xludf.DUMMYFUNCTION("GOOGLETRANSLATE(F154,""en"",""pt"")"),"Remanejamento agarra guindaste")</f>
        <v>Remanejamento agarra guindaste</v>
      </c>
      <c r="H154" s="24"/>
      <c r="I154" s="24"/>
    </row>
    <row r="155" spans="1:9" ht="14.5">
      <c r="A155" s="20" t="s">
        <v>34937</v>
      </c>
      <c r="B155" s="20">
        <v>30</v>
      </c>
      <c r="C155" s="20">
        <v>10</v>
      </c>
      <c r="D155" s="20">
        <v>50</v>
      </c>
      <c r="E155" s="20">
        <v>74</v>
      </c>
      <c r="F155" s="20" t="s">
        <v>34938</v>
      </c>
      <c r="G155" s="24" t="str">
        <f ca="1">IFERROR(__xludf.DUMMYFUNCTION("GOOGLETRANSLATE(F155,""en"",""pt"")"),"baldes guindaste lixo")</f>
        <v>baldes guindaste lixo</v>
      </c>
      <c r="H155" s="24"/>
      <c r="I155" s="24"/>
    </row>
    <row r="156" spans="1:9" ht="14.5">
      <c r="A156" s="20" t="s">
        <v>34939</v>
      </c>
      <c r="B156" s="20">
        <v>30</v>
      </c>
      <c r="C156" s="20">
        <v>10</v>
      </c>
      <c r="D156" s="20">
        <v>50</v>
      </c>
      <c r="E156" s="20">
        <v>88</v>
      </c>
      <c r="F156" s="20" t="s">
        <v>34940</v>
      </c>
      <c r="G156" s="24" t="str">
        <f ca="1">IFERROR(__xludf.DUMMYFUNCTION("GOOGLETRANSLATE(F156,""en"",""pt"")"),"caixas de carga")</f>
        <v>caixas de carga</v>
      </c>
      <c r="H156" s="24"/>
      <c r="I156" s="24"/>
    </row>
    <row r="157" spans="1:9" ht="14.5">
      <c r="A157" s="20" t="s">
        <v>34941</v>
      </c>
      <c r="B157" s="20">
        <v>30</v>
      </c>
      <c r="C157" s="20">
        <v>10</v>
      </c>
      <c r="D157" s="20">
        <v>50</v>
      </c>
      <c r="E157" s="20">
        <v>89</v>
      </c>
      <c r="F157" s="20" t="s">
        <v>34942</v>
      </c>
      <c r="G157" s="24" t="str">
        <f ca="1">IFERROR(__xludf.DUMMYFUNCTION("GOOGLETRANSLATE(F157,""en"",""pt"")"),"Torre de controle do guindaste")</f>
        <v>Torre de controle do guindaste</v>
      </c>
      <c r="H157" s="24"/>
      <c r="I157" s="24"/>
    </row>
    <row r="158" spans="1:9" ht="14.5">
      <c r="A158" s="20" t="s">
        <v>34943</v>
      </c>
      <c r="B158" s="20">
        <v>30</v>
      </c>
      <c r="C158" s="20">
        <v>30</v>
      </c>
      <c r="D158" s="24"/>
      <c r="E158" s="24"/>
      <c r="F158" s="20" t="s">
        <v>34944</v>
      </c>
      <c r="G158" s="24" t="str">
        <f ca="1">IFERROR(__xludf.DUMMYFUNCTION("GOOGLETRANSLATE(F158,""en"",""pt"")"),"Elevadores, guinchos e guindastes")</f>
        <v>Elevadores, guinchos e guindastes</v>
      </c>
      <c r="H158" s="24"/>
      <c r="I158" s="24"/>
    </row>
    <row r="159" spans="1:9" ht="14.5">
      <c r="A159" s="20" t="s">
        <v>34945</v>
      </c>
      <c r="B159" s="20">
        <v>30</v>
      </c>
      <c r="C159" s="20">
        <v>30</v>
      </c>
      <c r="D159" s="20">
        <v>10</v>
      </c>
      <c r="E159" s="24"/>
      <c r="F159" s="20" t="s">
        <v>34946</v>
      </c>
      <c r="G159" s="24" t="str">
        <f ca="1">IFERROR(__xludf.DUMMYFUNCTION("GOOGLETRANSLATE(F159,""en"",""pt"")"),"construção do elevador")</f>
        <v>construção do elevador</v>
      </c>
      <c r="H159" s="24"/>
      <c r="I159" s="24"/>
    </row>
    <row r="160" spans="1:9" ht="14.5">
      <c r="A160" s="20" t="s">
        <v>34947</v>
      </c>
      <c r="B160" s="20">
        <v>30</v>
      </c>
      <c r="C160" s="20">
        <v>30</v>
      </c>
      <c r="D160" s="20">
        <v>10</v>
      </c>
      <c r="E160" s="20">
        <v>10</v>
      </c>
      <c r="F160" s="20" t="s">
        <v>34948</v>
      </c>
      <c r="G160" s="24" t="str">
        <f ca="1">IFERROR(__xludf.DUMMYFUNCTION("GOOGLETRANSLATE(F160,""en"",""pt"")"),"portões elevador de fundo e aterragem")</f>
        <v>portões elevador de fundo e aterragem</v>
      </c>
      <c r="H160" s="24"/>
      <c r="I160" s="24"/>
    </row>
    <row r="161" spans="1:9" ht="14.5">
      <c r="A161" s="20" t="s">
        <v>34949</v>
      </c>
      <c r="B161" s="20">
        <v>30</v>
      </c>
      <c r="C161" s="20">
        <v>30</v>
      </c>
      <c r="D161" s="20">
        <v>10</v>
      </c>
      <c r="E161" s="20">
        <v>40</v>
      </c>
      <c r="F161" s="20" t="s">
        <v>34950</v>
      </c>
      <c r="G161" s="24" t="str">
        <f ca="1">IFERROR(__xludf.DUMMYFUNCTION("GOOGLETRANSLATE(F161,""en"",""pt"")"),"gaiolas elevador")</f>
        <v>gaiolas elevador</v>
      </c>
      <c r="H161" s="24"/>
      <c r="I161" s="24"/>
    </row>
    <row r="162" spans="1:9" ht="14.5">
      <c r="A162" s="20" t="s">
        <v>34951</v>
      </c>
      <c r="B162" s="20">
        <v>30</v>
      </c>
      <c r="C162" s="20">
        <v>30</v>
      </c>
      <c r="D162" s="20">
        <v>10</v>
      </c>
      <c r="E162" s="20">
        <v>50</v>
      </c>
      <c r="F162" s="20" t="s">
        <v>34952</v>
      </c>
      <c r="G162" s="24" t="str">
        <f ca="1">IFERROR(__xludf.DUMMYFUNCTION("GOOGLETRANSLATE(F162,""en"",""pt"")"),"mecanismos de elevação")</f>
        <v>mecanismos de elevação</v>
      </c>
      <c r="H162" s="24"/>
      <c r="I162" s="24"/>
    </row>
    <row r="163" spans="1:9" ht="14.5">
      <c r="A163" s="20" t="s">
        <v>34953</v>
      </c>
      <c r="B163" s="20">
        <v>30</v>
      </c>
      <c r="C163" s="20">
        <v>30</v>
      </c>
      <c r="D163" s="20">
        <v>10</v>
      </c>
      <c r="E163" s="20">
        <v>60</v>
      </c>
      <c r="F163" s="20" t="s">
        <v>34954</v>
      </c>
      <c r="G163" s="24" t="str">
        <f ca="1">IFERROR(__xludf.DUMMYFUNCTION("GOOGLETRANSLATE(F163,""en"",""pt"")"),"plataformas de levantamento")</f>
        <v>plataformas de levantamento</v>
      </c>
      <c r="H163" s="24"/>
      <c r="I163" s="24"/>
    </row>
    <row r="164" spans="1:9" ht="14.5">
      <c r="A164" s="20" t="s">
        <v>34955</v>
      </c>
      <c r="B164" s="20">
        <v>30</v>
      </c>
      <c r="C164" s="20">
        <v>30</v>
      </c>
      <c r="D164" s="20">
        <v>10</v>
      </c>
      <c r="E164" s="20">
        <v>80</v>
      </c>
      <c r="F164" s="20" t="s">
        <v>34956</v>
      </c>
      <c r="G164" s="24" t="str">
        <f ca="1">IFERROR(__xludf.DUMMYFUNCTION("GOOGLETRANSLATE(F164,""en"",""pt"")"),"limitadores de segurança elevador")</f>
        <v>limitadores de segurança elevador</v>
      </c>
      <c r="H164" s="24"/>
      <c r="I164" s="24"/>
    </row>
    <row r="165" spans="1:9" ht="14.5">
      <c r="A165" s="20" t="s">
        <v>34957</v>
      </c>
      <c r="B165" s="20">
        <v>30</v>
      </c>
      <c r="C165" s="20">
        <v>30</v>
      </c>
      <c r="D165" s="20">
        <v>40</v>
      </c>
      <c r="E165" s="24"/>
      <c r="F165" s="20" t="s">
        <v>34958</v>
      </c>
      <c r="G165" s="24" t="str">
        <f ca="1">IFERROR(__xludf.DUMMYFUNCTION("GOOGLETRANSLATE(F165,""en"",""pt"")"),"Monta-cargas")</f>
        <v>Monta-cargas</v>
      </c>
      <c r="H165" s="24"/>
      <c r="I165" s="24"/>
    </row>
    <row r="166" spans="1:9" ht="14.5">
      <c r="A166" s="20" t="s">
        <v>34959</v>
      </c>
      <c r="B166" s="20">
        <v>30</v>
      </c>
      <c r="C166" s="20">
        <v>30</v>
      </c>
      <c r="D166" s="20">
        <v>40</v>
      </c>
      <c r="E166" s="20">
        <v>10</v>
      </c>
      <c r="F166" s="20" t="s">
        <v>34960</v>
      </c>
      <c r="G166" s="24" t="str">
        <f ca="1">IFERROR(__xludf.DUMMYFUNCTION("GOOGLETRANSLATE(F166,""en"",""pt"")"),"carregadores de camião")</f>
        <v>carregadores de camião</v>
      </c>
      <c r="H166" s="24"/>
      <c r="I166" s="24"/>
    </row>
    <row r="167" spans="1:9" ht="14.5">
      <c r="A167" s="20" t="s">
        <v>34961</v>
      </c>
      <c r="B167" s="20">
        <v>30</v>
      </c>
      <c r="C167" s="20">
        <v>30</v>
      </c>
      <c r="D167" s="20">
        <v>40</v>
      </c>
      <c r="E167" s="20">
        <v>40</v>
      </c>
      <c r="F167" s="20" t="s">
        <v>34962</v>
      </c>
      <c r="G167" s="24" t="str">
        <f ca="1">IFERROR(__xludf.DUMMYFUNCTION("GOOGLETRANSLATE(F167,""en"",""pt"")"),"gruas móveis")</f>
        <v>gruas móveis</v>
      </c>
      <c r="H167" s="24"/>
      <c r="I167" s="24"/>
    </row>
    <row r="168" spans="1:9" ht="14.5">
      <c r="A168" s="20" t="s">
        <v>34963</v>
      </c>
      <c r="B168" s="20">
        <v>30</v>
      </c>
      <c r="C168" s="20">
        <v>30</v>
      </c>
      <c r="D168" s="20">
        <v>40</v>
      </c>
      <c r="E168" s="20">
        <v>60</v>
      </c>
      <c r="F168" s="20" t="s">
        <v>34964</v>
      </c>
      <c r="G168" s="24" t="str">
        <f ca="1">IFERROR(__xludf.DUMMYFUNCTION("GOOGLETRANSLATE(F168,""en"",""pt"")"),"Pinhão e cremalheira dupla guindastes de uso")</f>
        <v>Pinhão e cremalheira dupla guindastes de uso</v>
      </c>
      <c r="H168" s="24"/>
      <c r="I168" s="24"/>
    </row>
    <row r="169" spans="1:9" ht="14.5">
      <c r="A169" s="20" t="s">
        <v>34965</v>
      </c>
      <c r="B169" s="20">
        <v>30</v>
      </c>
      <c r="C169" s="20">
        <v>30</v>
      </c>
      <c r="D169" s="20">
        <v>40</v>
      </c>
      <c r="E169" s="20">
        <v>70</v>
      </c>
      <c r="F169" s="20" t="s">
        <v>34966</v>
      </c>
      <c r="G169" s="24" t="str">
        <f ca="1">IFERROR(__xludf.DUMMYFUNCTION("GOOGLETRANSLATE(F169,""en"",""pt"")"),"Cremalheira e pinhão único monta-cargas de uso")</f>
        <v>Cremalheira e pinhão único monta-cargas de uso</v>
      </c>
      <c r="H169" s="24"/>
      <c r="I169" s="24"/>
    </row>
    <row r="170" spans="1:9" ht="14.5">
      <c r="A170" s="20" t="s">
        <v>34967</v>
      </c>
      <c r="B170" s="20">
        <v>30</v>
      </c>
      <c r="C170" s="20">
        <v>30</v>
      </c>
      <c r="D170" s="20">
        <v>40</v>
      </c>
      <c r="E170" s="20">
        <v>80</v>
      </c>
      <c r="F170" s="20" t="s">
        <v>34968</v>
      </c>
      <c r="G170" s="24" t="str">
        <f ca="1">IFERROR(__xludf.DUMMYFUNCTION("GOOGLETRANSLATE(F170,""en"",""pt"")"),"talhas de andaime")</f>
        <v>talhas de andaime</v>
      </c>
      <c r="H170" s="24"/>
      <c r="I170" s="24"/>
    </row>
    <row r="171" spans="1:9" ht="14.5">
      <c r="A171" s="20" t="s">
        <v>34969</v>
      </c>
      <c r="B171" s="20">
        <v>30</v>
      </c>
      <c r="C171" s="20">
        <v>30</v>
      </c>
      <c r="D171" s="20">
        <v>60</v>
      </c>
      <c r="E171" s="24"/>
      <c r="F171" s="20" t="s">
        <v>34970</v>
      </c>
      <c r="G171" s="24" t="str">
        <f ca="1">IFERROR(__xludf.DUMMYFUNCTION("GOOGLETRANSLATE(F171,""en"",""pt"")"),"plataformas elevatórias")</f>
        <v>plataformas elevatórias</v>
      </c>
      <c r="H171" s="24"/>
      <c r="I171" s="24"/>
    </row>
    <row r="172" spans="1:9" ht="14.5">
      <c r="A172" s="20" t="s">
        <v>34971</v>
      </c>
      <c r="B172" s="20">
        <v>30</v>
      </c>
      <c r="C172" s="20">
        <v>30</v>
      </c>
      <c r="D172" s="20">
        <v>60</v>
      </c>
      <c r="E172" s="20">
        <v>40</v>
      </c>
      <c r="F172" s="20" t="s">
        <v>34972</v>
      </c>
      <c r="G172" s="24" t="str">
        <f ca="1">IFERROR(__xludf.DUMMYFUNCTION("GOOGLETRANSLATE(F172,""en"",""pt"")"),"plataformas portáteis")</f>
        <v>plataformas portáteis</v>
      </c>
      <c r="H172" s="24"/>
      <c r="I172" s="24"/>
    </row>
    <row r="173" spans="1:9" ht="14.5">
      <c r="A173" s="20" t="s">
        <v>34973</v>
      </c>
      <c r="B173" s="20">
        <v>30</v>
      </c>
      <c r="C173" s="20">
        <v>30</v>
      </c>
      <c r="D173" s="20">
        <v>60</v>
      </c>
      <c r="E173" s="20">
        <v>50</v>
      </c>
      <c r="F173" s="20" t="s">
        <v>34974</v>
      </c>
      <c r="G173" s="24" t="str">
        <f ca="1">IFERROR(__xludf.DUMMYFUNCTION("GOOGLETRANSLATE(F173,""en"",""pt"")"),"plataformas auto-propulsionadas")</f>
        <v>plataformas auto-propulsionadas</v>
      </c>
      <c r="H173" s="24"/>
      <c r="I173" s="24"/>
    </row>
    <row r="174" spans="1:9" ht="14.5">
      <c r="A174" s="20" t="s">
        <v>34975</v>
      </c>
      <c r="B174" s="20">
        <v>30</v>
      </c>
      <c r="C174" s="20">
        <v>30</v>
      </c>
      <c r="D174" s="20">
        <v>60</v>
      </c>
      <c r="E174" s="20">
        <v>60</v>
      </c>
      <c r="F174" s="20" t="s">
        <v>34976</v>
      </c>
      <c r="G174" s="24" t="str">
        <f ca="1">IFERROR(__xludf.DUMMYFUNCTION("GOOGLETRANSLATE(F174,""en"",""pt"")"),"elevadores de tesoura")</f>
        <v>elevadores de tesoura</v>
      </c>
      <c r="H174" s="24"/>
      <c r="I174" s="24"/>
    </row>
    <row r="175" spans="1:9" ht="14.5">
      <c r="A175" s="20" t="s">
        <v>34977</v>
      </c>
      <c r="B175" s="20">
        <v>30</v>
      </c>
      <c r="C175" s="20">
        <v>30</v>
      </c>
      <c r="D175" s="20">
        <v>60</v>
      </c>
      <c r="E175" s="20">
        <v>70</v>
      </c>
      <c r="F175" s="20" t="s">
        <v>34978</v>
      </c>
      <c r="G175" s="24" t="str">
        <f ca="1">IFERROR(__xludf.DUMMYFUNCTION("GOOGLETRANSLATE(F175,""en"",""pt"")"),"plataformas telescópicas")</f>
        <v>plataformas telescópicas</v>
      </c>
      <c r="H175" s="24"/>
      <c r="I175" s="24"/>
    </row>
    <row r="176" spans="1:9" ht="14.5">
      <c r="A176" s="20" t="s">
        <v>34979</v>
      </c>
      <c r="B176" s="20">
        <v>30</v>
      </c>
      <c r="C176" s="20">
        <v>30</v>
      </c>
      <c r="D176" s="20">
        <v>60</v>
      </c>
      <c r="E176" s="20">
        <v>80</v>
      </c>
      <c r="F176" s="20" t="s">
        <v>34980</v>
      </c>
      <c r="G176" s="24" t="str">
        <f ca="1">IFERROR(__xludf.DUMMYFUNCTION("GOOGLETRANSLATE(F176,""en"",""pt"")"),"Trailer montado plataformas")</f>
        <v>Trailer montado plataformas</v>
      </c>
      <c r="H176" s="24"/>
      <c r="I176" s="24"/>
    </row>
    <row r="177" spans="1:9" ht="14.5">
      <c r="A177" s="20" t="s">
        <v>34981</v>
      </c>
      <c r="B177" s="20">
        <v>30</v>
      </c>
      <c r="C177" s="20">
        <v>30</v>
      </c>
      <c r="D177" s="20">
        <v>60</v>
      </c>
      <c r="E177" s="20">
        <v>90</v>
      </c>
      <c r="F177" s="20" t="s">
        <v>34982</v>
      </c>
      <c r="G177" s="24" t="str">
        <f ca="1">IFERROR(__xludf.DUMMYFUNCTION("GOOGLETRANSLATE(F177,""en"",""pt"")"),"montado veículo plataformas")</f>
        <v>montado veículo plataformas</v>
      </c>
      <c r="H177" s="24"/>
      <c r="I177" s="24"/>
    </row>
    <row r="178" spans="1:9" ht="14.5">
      <c r="A178" s="20" t="s">
        <v>34983</v>
      </c>
      <c r="B178" s="20">
        <v>30</v>
      </c>
      <c r="C178" s="20">
        <v>30</v>
      </c>
      <c r="D178" s="20">
        <v>80</v>
      </c>
      <c r="E178" s="24"/>
      <c r="F178" s="20" t="s">
        <v>34984</v>
      </c>
      <c r="G178" s="24" t="str">
        <f ca="1">IFERROR(__xludf.DUMMYFUNCTION("GOOGLETRANSLATE(F178,""en"",""pt"")"),"caminhões de elevação")</f>
        <v>caminhões de elevação</v>
      </c>
      <c r="H178" s="24"/>
      <c r="I178" s="24"/>
    </row>
    <row r="179" spans="1:9" ht="14.5">
      <c r="A179" s="20" t="s">
        <v>34985</v>
      </c>
      <c r="B179" s="20">
        <v>30</v>
      </c>
      <c r="C179" s="20">
        <v>30</v>
      </c>
      <c r="D179" s="20">
        <v>80</v>
      </c>
      <c r="E179" s="20">
        <v>30</v>
      </c>
      <c r="F179" s="20" t="s">
        <v>34986</v>
      </c>
      <c r="G179" s="24" t="str">
        <f ca="1">IFERROR(__xludf.DUMMYFUNCTION("GOOGLETRANSLATE(F179,""en"",""pt"")"),"Empilhadeiras")</f>
        <v>Empilhadeiras</v>
      </c>
      <c r="H179" s="24"/>
      <c r="I179" s="24"/>
    </row>
    <row r="180" spans="1:9" ht="14.5">
      <c r="A180" s="20" t="s">
        <v>34987</v>
      </c>
      <c r="B180" s="20">
        <v>30</v>
      </c>
      <c r="C180" s="20">
        <v>30</v>
      </c>
      <c r="D180" s="20">
        <v>80</v>
      </c>
      <c r="E180" s="20">
        <v>50</v>
      </c>
      <c r="F180" s="20" t="s">
        <v>34988</v>
      </c>
      <c r="G180" s="24" t="str">
        <f ca="1">IFERROR(__xludf.DUMMYFUNCTION("GOOGLETRANSLATE(F180,""en"",""pt"")"),"empilhadores manuais")</f>
        <v>empilhadores manuais</v>
      </c>
      <c r="H180" s="24"/>
      <c r="I180" s="24"/>
    </row>
    <row r="181" spans="1:9" ht="14.5">
      <c r="A181" s="20" t="s">
        <v>34989</v>
      </c>
      <c r="B181" s="20">
        <v>30</v>
      </c>
      <c r="C181" s="20">
        <v>30</v>
      </c>
      <c r="D181" s="20">
        <v>80</v>
      </c>
      <c r="E181" s="20">
        <v>70</v>
      </c>
      <c r="F181" s="20" t="s">
        <v>34990</v>
      </c>
      <c r="G181" s="24" t="str">
        <f ca="1">IFERROR(__xludf.DUMMYFUNCTION("GOOGLETRANSLATE(F181,""en"",""pt"")"),"empilhadores Portal")</f>
        <v>empilhadores Portal</v>
      </c>
      <c r="H181" s="24"/>
      <c r="I181" s="24"/>
    </row>
    <row r="182" spans="1:9" ht="14.5">
      <c r="A182" s="20" t="s">
        <v>34991</v>
      </c>
      <c r="B182" s="20">
        <v>30</v>
      </c>
      <c r="C182" s="20">
        <v>30</v>
      </c>
      <c r="D182" s="20">
        <v>90</v>
      </c>
      <c r="E182" s="24"/>
      <c r="F182" s="20" t="s">
        <v>34992</v>
      </c>
      <c r="G182" s="24" t="str">
        <f ca="1">IFERROR(__xludf.DUMMYFUNCTION("GOOGLETRANSLATE(F182,""en"",""pt"")"),"guinchos")</f>
        <v>guinchos</v>
      </c>
      <c r="H182" s="24"/>
      <c r="I182" s="24"/>
    </row>
    <row r="183" spans="1:9" ht="14.5">
      <c r="A183" s="20" t="s">
        <v>34993</v>
      </c>
      <c r="B183" s="20">
        <v>30</v>
      </c>
      <c r="C183" s="20">
        <v>30</v>
      </c>
      <c r="D183" s="20">
        <v>90</v>
      </c>
      <c r="E183" s="20">
        <v>10</v>
      </c>
      <c r="F183" s="20" t="s">
        <v>34994</v>
      </c>
      <c r="G183" s="24" t="str">
        <f ca="1">IFERROR(__xludf.DUMMYFUNCTION("GOOGLETRANSLATE(F183,""en"",""pt"")"),"guinchos de fricção de tambor duplo")</f>
        <v>guinchos de fricção de tambor duplo</v>
      </c>
      <c r="H183" s="24"/>
      <c r="I183" s="24"/>
    </row>
    <row r="184" spans="1:9" ht="14.5">
      <c r="A184" s="20" t="s">
        <v>34995</v>
      </c>
      <c r="B184" s="20">
        <v>30</v>
      </c>
      <c r="C184" s="20">
        <v>30</v>
      </c>
      <c r="D184" s="20">
        <v>90</v>
      </c>
      <c r="E184" s="20">
        <v>70</v>
      </c>
      <c r="F184" s="20" t="s">
        <v>34996</v>
      </c>
      <c r="G184" s="24" t="str">
        <f ca="1">IFERROR(__xludf.DUMMYFUNCTION("GOOGLETRANSLATE(F184,""en"",""pt"")"),"guinchos combi")</f>
        <v>guinchos combi</v>
      </c>
      <c r="H184" s="24"/>
      <c r="I184" s="24"/>
    </row>
    <row r="185" spans="1:9" ht="14.5">
      <c r="A185" s="20" t="s">
        <v>34997</v>
      </c>
      <c r="B185" s="20">
        <v>30</v>
      </c>
      <c r="C185" s="20">
        <v>50</v>
      </c>
      <c r="D185" s="24"/>
      <c r="E185" s="24"/>
      <c r="F185" s="20" t="s">
        <v>34998</v>
      </c>
      <c r="G185" s="24" t="str">
        <f ca="1">IFERROR(__xludf.DUMMYFUNCTION("GOOGLETRANSLATE(F185,""en"",""pt"")"),"equipamento de transporte")</f>
        <v>equipamento de transporte</v>
      </c>
      <c r="H185" s="24"/>
      <c r="I185" s="24"/>
    </row>
    <row r="186" spans="1:9" ht="14.5">
      <c r="A186" s="20" t="s">
        <v>34999</v>
      </c>
      <c r="B186" s="20">
        <v>30</v>
      </c>
      <c r="C186" s="20">
        <v>50</v>
      </c>
      <c r="D186" s="20">
        <v>10</v>
      </c>
      <c r="E186" s="24"/>
      <c r="F186" s="20" t="s">
        <v>2307</v>
      </c>
      <c r="G186" s="24" t="str">
        <f ca="1">IFERROR(__xludf.DUMMYFUNCTION("GOOGLETRANSLATE(F186,""en"",""pt"")"),"transportadores")</f>
        <v>transportadores</v>
      </c>
      <c r="H186" s="24"/>
      <c r="I186" s="24"/>
    </row>
    <row r="187" spans="1:9" ht="14.5">
      <c r="A187" s="20" t="s">
        <v>35000</v>
      </c>
      <c r="B187" s="20">
        <v>30</v>
      </c>
      <c r="C187" s="20">
        <v>50</v>
      </c>
      <c r="D187" s="20">
        <v>10</v>
      </c>
      <c r="E187" s="20">
        <v>3</v>
      </c>
      <c r="F187" s="20" t="s">
        <v>35001</v>
      </c>
      <c r="G187" s="24" t="str">
        <f ca="1">IFERROR(__xludf.DUMMYFUNCTION("GOOGLETRANSLATE(F187,""en"",""pt"")"),"transportadores avental")</f>
        <v>transportadores avental</v>
      </c>
      <c r="H187" s="24"/>
      <c r="I187" s="24"/>
    </row>
    <row r="188" spans="1:9" ht="14.5">
      <c r="A188" s="20" t="s">
        <v>35002</v>
      </c>
      <c r="B188" s="20">
        <v>30</v>
      </c>
      <c r="C188" s="20">
        <v>50</v>
      </c>
      <c r="D188" s="20">
        <v>10</v>
      </c>
      <c r="E188" s="20">
        <v>5</v>
      </c>
      <c r="F188" s="20" t="s">
        <v>35003</v>
      </c>
      <c r="G188" s="24" t="str">
        <f ca="1">IFERROR(__xludf.DUMMYFUNCTION("GOOGLETRANSLATE(F188,""en"",""pt"")"),"transportadores Auger")</f>
        <v>transportadores Auger</v>
      </c>
      <c r="H188" s="24"/>
      <c r="I188" s="24"/>
    </row>
    <row r="189" spans="1:9" ht="14.5">
      <c r="A189" s="20" t="s">
        <v>35004</v>
      </c>
      <c r="B189" s="20">
        <v>30</v>
      </c>
      <c r="C189" s="20">
        <v>50</v>
      </c>
      <c r="D189" s="20">
        <v>10</v>
      </c>
      <c r="E189" s="20">
        <v>10</v>
      </c>
      <c r="F189" s="20" t="s">
        <v>35005</v>
      </c>
      <c r="G189" s="24" t="str">
        <f ca="1">IFERROR(__xludf.DUMMYFUNCTION("GOOGLETRANSLATE(F189,""en"",""pt"")"),"transportadores de caçamba")</f>
        <v>transportadores de caçamba</v>
      </c>
      <c r="H189" s="24"/>
      <c r="I189" s="24"/>
    </row>
    <row r="190" spans="1:9" ht="14.5">
      <c r="A190" s="20" t="s">
        <v>35006</v>
      </c>
      <c r="B190" s="20">
        <v>30</v>
      </c>
      <c r="C190" s="20">
        <v>50</v>
      </c>
      <c r="D190" s="20">
        <v>10</v>
      </c>
      <c r="E190" s="20">
        <v>15</v>
      </c>
      <c r="F190" s="20" t="s">
        <v>35007</v>
      </c>
      <c r="G190" s="24" t="str">
        <f ca="1">IFERROR(__xludf.DUMMYFUNCTION("GOOGLETRANSLATE(F190,""en"",""pt"")"),"Correias transportadoras")</f>
        <v>Correias transportadoras</v>
      </c>
      <c r="H190" s="24"/>
      <c r="I190" s="24"/>
    </row>
    <row r="191" spans="1:9" ht="14.5">
      <c r="A191" s="20" t="s">
        <v>35008</v>
      </c>
      <c r="B191" s="20">
        <v>30</v>
      </c>
      <c r="C191" s="20">
        <v>50</v>
      </c>
      <c r="D191" s="20">
        <v>10</v>
      </c>
      <c r="E191" s="20">
        <v>29</v>
      </c>
      <c r="F191" s="20" t="s">
        <v>35009</v>
      </c>
      <c r="G191" s="24" t="str">
        <f ca="1">IFERROR(__xludf.DUMMYFUNCTION("GOOGLETRANSLATE(F191,""en"",""pt"")"),"transportadores de fábrica")</f>
        <v>transportadores de fábrica</v>
      </c>
      <c r="H191" s="24"/>
      <c r="I191" s="24"/>
    </row>
    <row r="192" spans="1:9" ht="14.5">
      <c r="A192" s="20" t="s">
        <v>35010</v>
      </c>
      <c r="B192" s="20">
        <v>30</v>
      </c>
      <c r="C192" s="20">
        <v>50</v>
      </c>
      <c r="D192" s="20">
        <v>10</v>
      </c>
      <c r="E192" s="20">
        <v>47</v>
      </c>
      <c r="F192" s="20" t="s">
        <v>35011</v>
      </c>
      <c r="G192" s="24" t="str">
        <f ca="1">IFERROR(__xludf.DUMMYFUNCTION("GOOGLETRANSLATE(F192,""en"",""pt"")"),"transportadores de link")</f>
        <v>transportadores de link</v>
      </c>
      <c r="H192" s="24"/>
      <c r="I192" s="24"/>
    </row>
    <row r="193" spans="1:9" ht="14.5">
      <c r="A193" s="20" t="s">
        <v>35012</v>
      </c>
      <c r="B193" s="20">
        <v>30</v>
      </c>
      <c r="C193" s="20">
        <v>50</v>
      </c>
      <c r="D193" s="20">
        <v>10</v>
      </c>
      <c r="E193" s="20">
        <v>85</v>
      </c>
      <c r="F193" s="20" t="s">
        <v>35013</v>
      </c>
      <c r="G193" s="24" t="str">
        <f ca="1">IFERROR(__xludf.DUMMYFUNCTION("GOOGLETRANSLATE(F193,""en"",""pt"")"),"transportadores declive íngreme")</f>
        <v>transportadores declive íngreme</v>
      </c>
      <c r="H193" s="24"/>
      <c r="I193" s="24"/>
    </row>
    <row r="194" spans="1:9" ht="14.5">
      <c r="A194" s="20" t="s">
        <v>35014</v>
      </c>
      <c r="B194" s="20">
        <v>30</v>
      </c>
      <c r="C194" s="20">
        <v>50</v>
      </c>
      <c r="D194" s="20">
        <v>10</v>
      </c>
      <c r="E194" s="20">
        <v>94</v>
      </c>
      <c r="F194" s="20" t="s">
        <v>35015</v>
      </c>
      <c r="G194" s="24" t="str">
        <f ca="1">IFERROR(__xludf.DUMMYFUNCTION("GOOGLETRANSLATE(F194,""en"",""pt"")"),"Vibradores para transporte de material")</f>
        <v>Vibradores para transporte de material</v>
      </c>
      <c r="H194" s="24"/>
      <c r="I194" s="24"/>
    </row>
    <row r="195" spans="1:9" ht="14.5">
      <c r="A195" s="20" t="s">
        <v>35016</v>
      </c>
      <c r="B195" s="20">
        <v>30</v>
      </c>
      <c r="C195" s="20">
        <v>50</v>
      </c>
      <c r="D195" s="20">
        <v>10</v>
      </c>
      <c r="E195" s="20">
        <v>96</v>
      </c>
      <c r="F195" s="20" t="s">
        <v>35017</v>
      </c>
      <c r="G195" s="24" t="str">
        <f ca="1">IFERROR(__xludf.DUMMYFUNCTION("GOOGLETRANSLATE(F195,""en"",""pt"")"),"pesando transportadores")</f>
        <v>pesando transportadores</v>
      </c>
      <c r="H195" s="24"/>
      <c r="I195" s="24"/>
    </row>
    <row r="196" spans="1:9" ht="14.5">
      <c r="A196" s="20" t="s">
        <v>35018</v>
      </c>
      <c r="B196" s="20">
        <v>30</v>
      </c>
      <c r="C196" s="20">
        <v>50</v>
      </c>
      <c r="D196" s="20">
        <v>20</v>
      </c>
      <c r="E196" s="24"/>
      <c r="F196" s="20" t="s">
        <v>35019</v>
      </c>
      <c r="G196" s="24" t="str">
        <f ca="1">IFERROR(__xludf.DUMMYFUNCTION("GOOGLETRANSLATE(F196,""en"",""pt"")"),"ferrovias balde")</f>
        <v>ferrovias balde</v>
      </c>
      <c r="H196" s="24"/>
      <c r="I196" s="24"/>
    </row>
    <row r="197" spans="1:9" ht="14.5">
      <c r="A197" s="20" t="s">
        <v>35020</v>
      </c>
      <c r="B197" s="20">
        <v>30</v>
      </c>
      <c r="C197" s="20">
        <v>70</v>
      </c>
      <c r="D197" s="24"/>
      <c r="E197" s="24"/>
      <c r="F197" s="20" t="s">
        <v>35021</v>
      </c>
      <c r="G197" s="24" t="str">
        <f ca="1">IFERROR(__xludf.DUMMYFUNCTION("GOOGLETRANSLATE(F197,""en"",""pt"")"),"Elevação e levante engrenagem")</f>
        <v>Elevação e levante engrenagem</v>
      </c>
      <c r="H197" s="24"/>
      <c r="I197" s="24"/>
    </row>
    <row r="198" spans="1:9" ht="14.5">
      <c r="A198" s="20" t="s">
        <v>35022</v>
      </c>
      <c r="B198" s="20">
        <v>30</v>
      </c>
      <c r="C198" s="20">
        <v>70</v>
      </c>
      <c r="D198" s="20">
        <v>10</v>
      </c>
      <c r="E198" s="24"/>
      <c r="F198" s="20" t="s">
        <v>35023</v>
      </c>
      <c r="G198" s="24" t="str">
        <f ca="1">IFERROR(__xludf.DUMMYFUNCTION("GOOGLETRANSLATE(F198,""en"",""pt"")"),"guinchos de tubulação")</f>
        <v>guinchos de tubulação</v>
      </c>
      <c r="H198" s="24"/>
      <c r="I198" s="24"/>
    </row>
    <row r="199" spans="1:9" ht="14.5">
      <c r="A199" s="20" t="s">
        <v>35024</v>
      </c>
      <c r="B199" s="20">
        <v>30</v>
      </c>
      <c r="C199" s="20">
        <v>70</v>
      </c>
      <c r="D199" s="20">
        <v>10</v>
      </c>
      <c r="E199" s="20">
        <v>33</v>
      </c>
      <c r="F199" s="20" t="s">
        <v>35025</v>
      </c>
      <c r="G199" s="24" t="str">
        <f ca="1">IFERROR(__xludf.DUMMYFUNCTION("GOOGLETRANSLATE(F199,""en"",""pt"")"),"guinchos tubos de pórtico")</f>
        <v>guinchos tubos de pórtico</v>
      </c>
      <c r="H199" s="24"/>
      <c r="I199" s="24"/>
    </row>
    <row r="200" spans="1:9" ht="14.5">
      <c r="A200" s="20" t="s">
        <v>35026</v>
      </c>
      <c r="B200" s="20">
        <v>30</v>
      </c>
      <c r="C200" s="20">
        <v>70</v>
      </c>
      <c r="D200" s="20">
        <v>10</v>
      </c>
      <c r="E200" s="20">
        <v>78</v>
      </c>
      <c r="F200" s="20" t="s">
        <v>35027</v>
      </c>
      <c r="G200" s="24" t="str">
        <f ca="1">IFERROR(__xludf.DUMMYFUNCTION("GOOGLETRANSLATE(F200,""en"",""pt"")"),"pernas de cisalhamento guinchos tubos")</f>
        <v>pernas de cisalhamento guinchos tubos</v>
      </c>
      <c r="H200" s="24"/>
      <c r="I200" s="24"/>
    </row>
    <row r="201" spans="1:9" ht="14.5">
      <c r="A201" s="20" t="s">
        <v>35028</v>
      </c>
      <c r="B201" s="20">
        <v>30</v>
      </c>
      <c r="C201" s="20">
        <v>70</v>
      </c>
      <c r="D201" s="20">
        <v>40</v>
      </c>
      <c r="E201" s="24"/>
      <c r="F201" s="20" t="s">
        <v>35029</v>
      </c>
      <c r="G201" s="24" t="str">
        <f ca="1">IFERROR(__xludf.DUMMYFUNCTION("GOOGLETRANSLATE(F201,""en"",""pt"")"),"Jacks")</f>
        <v>Jacks</v>
      </c>
      <c r="H201" s="24"/>
      <c r="I201" s="24"/>
    </row>
    <row r="202" spans="1:9" ht="14.5">
      <c r="A202" s="20" t="s">
        <v>35030</v>
      </c>
      <c r="B202" s="20">
        <v>30</v>
      </c>
      <c r="C202" s="20">
        <v>70</v>
      </c>
      <c r="D202" s="20">
        <v>40</v>
      </c>
      <c r="E202" s="20">
        <v>11</v>
      </c>
      <c r="F202" s="20" t="s">
        <v>35031</v>
      </c>
      <c r="G202" s="24" t="str">
        <f ca="1">IFERROR(__xludf.DUMMYFUNCTION("GOOGLETRANSLATE(F202,""en"",""pt"")"),"tomadas de tambor de cabo")</f>
        <v>tomadas de tambor de cabo</v>
      </c>
      <c r="H202" s="24"/>
      <c r="I202" s="24"/>
    </row>
    <row r="203" spans="1:9" ht="14.5">
      <c r="A203" s="20" t="s">
        <v>35032</v>
      </c>
      <c r="B203" s="20">
        <v>30</v>
      </c>
      <c r="C203" s="20">
        <v>70</v>
      </c>
      <c r="D203" s="20">
        <v>40</v>
      </c>
      <c r="E203" s="20">
        <v>39</v>
      </c>
      <c r="F203" s="20" t="s">
        <v>35033</v>
      </c>
      <c r="G203" s="24" t="str">
        <f ca="1">IFERROR(__xludf.DUMMYFUNCTION("GOOGLETRANSLATE(F203,""en"",""pt"")"),"macacos hidráulicos")</f>
        <v>macacos hidráulicos</v>
      </c>
      <c r="H203" s="24"/>
      <c r="I203" s="24"/>
    </row>
    <row r="204" spans="1:9" ht="14.5">
      <c r="A204" s="20" t="s">
        <v>35034</v>
      </c>
      <c r="B204" s="20">
        <v>30</v>
      </c>
      <c r="C204" s="20">
        <v>70</v>
      </c>
      <c r="D204" s="20">
        <v>40</v>
      </c>
      <c r="E204" s="20">
        <v>60</v>
      </c>
      <c r="F204" s="20" t="s">
        <v>35035</v>
      </c>
      <c r="G204" s="24" t="str">
        <f ca="1">IFERROR(__xludf.DUMMYFUNCTION("GOOGLETRANSLATE(F204,""en"",""pt"")"),"pallet jacks")</f>
        <v>pallet jacks</v>
      </c>
      <c r="H204" s="24"/>
      <c r="I204" s="24"/>
    </row>
    <row r="205" spans="1:9" ht="14.5">
      <c r="A205" s="20" t="s">
        <v>35036</v>
      </c>
      <c r="B205" s="20">
        <v>30</v>
      </c>
      <c r="C205" s="20">
        <v>70</v>
      </c>
      <c r="D205" s="20">
        <v>40</v>
      </c>
      <c r="E205" s="20">
        <v>70</v>
      </c>
      <c r="F205" s="20" t="s">
        <v>35037</v>
      </c>
      <c r="G205" s="24" t="str">
        <f ca="1">IFERROR(__xludf.DUMMYFUNCTION("GOOGLETRANSLATE(F205,""en"",""pt"")"),"Ratchet jacks")</f>
        <v>Ratchet jacks</v>
      </c>
      <c r="H205" s="24"/>
      <c r="I205" s="24"/>
    </row>
    <row r="206" spans="1:9" ht="14.5">
      <c r="A206" s="20" t="s">
        <v>35038</v>
      </c>
      <c r="B206" s="20">
        <v>30</v>
      </c>
      <c r="C206" s="20">
        <v>70</v>
      </c>
      <c r="D206" s="20">
        <v>50</v>
      </c>
      <c r="E206" s="24"/>
      <c r="F206" s="20" t="s">
        <v>34952</v>
      </c>
      <c r="G206" s="24" t="str">
        <f ca="1">IFERROR(__xludf.DUMMYFUNCTION("GOOGLETRANSLATE(F206,""en"",""pt"")"),"mecanismos de elevação")</f>
        <v>mecanismos de elevação</v>
      </c>
      <c r="H206" s="24"/>
      <c r="I206" s="24"/>
    </row>
    <row r="207" spans="1:9" ht="14.5">
      <c r="A207" s="20" t="s">
        <v>35039</v>
      </c>
      <c r="B207" s="20">
        <v>30</v>
      </c>
      <c r="C207" s="20">
        <v>70</v>
      </c>
      <c r="D207" s="20">
        <v>50</v>
      </c>
      <c r="E207" s="20">
        <v>12</v>
      </c>
      <c r="F207" s="20" t="s">
        <v>35040</v>
      </c>
      <c r="G207" s="24" t="str">
        <f ca="1">IFERROR(__xludf.DUMMYFUNCTION("GOOGLETRANSLATE(F207,""en"",""pt"")"),"blocos de cadeia")</f>
        <v>blocos de cadeia</v>
      </c>
      <c r="H207" s="24"/>
      <c r="I207" s="24"/>
    </row>
    <row r="208" spans="1:9" ht="14.5">
      <c r="A208" s="20" t="s">
        <v>35041</v>
      </c>
      <c r="B208" s="20">
        <v>30</v>
      </c>
      <c r="C208" s="20">
        <v>70</v>
      </c>
      <c r="D208" s="20">
        <v>50</v>
      </c>
      <c r="E208" s="20">
        <v>14</v>
      </c>
      <c r="F208" s="20" t="s">
        <v>35042</v>
      </c>
      <c r="G208" s="24" t="str">
        <f ca="1">IFERROR(__xludf.DUMMYFUNCTION("GOOGLETRANSLATE(F208,""en"",""pt"")"),"correntes de elevação")</f>
        <v>correntes de elevação</v>
      </c>
      <c r="H208" s="24"/>
      <c r="I208" s="24"/>
    </row>
    <row r="209" spans="1:9" ht="14.5">
      <c r="A209" s="20" t="s">
        <v>35043</v>
      </c>
      <c r="B209" s="20">
        <v>30</v>
      </c>
      <c r="C209" s="20">
        <v>70</v>
      </c>
      <c r="D209" s="20">
        <v>50</v>
      </c>
      <c r="E209" s="20">
        <v>45</v>
      </c>
      <c r="F209" s="20" t="s">
        <v>35044</v>
      </c>
      <c r="G209" s="24" t="str">
        <f ca="1">IFERROR(__xludf.DUMMYFUNCTION("GOOGLETRANSLATE(F209,""en"",""pt"")"),"alavancas de elevação")</f>
        <v>alavancas de elevação</v>
      </c>
      <c r="H209" s="24"/>
      <c r="I209" s="24"/>
    </row>
    <row r="210" spans="1:9" ht="14.5">
      <c r="A210" s="20" t="s">
        <v>35045</v>
      </c>
      <c r="B210" s="20">
        <v>30</v>
      </c>
      <c r="C210" s="20">
        <v>70</v>
      </c>
      <c r="D210" s="20">
        <v>50</v>
      </c>
      <c r="E210" s="20">
        <v>60</v>
      </c>
      <c r="F210" s="20" t="s">
        <v>35046</v>
      </c>
      <c r="G210" s="24" t="str">
        <f ca="1">IFERROR(__xludf.DUMMYFUNCTION("GOOGLETRANSLATE(F210,""en"",""pt"")"),"elevadores Pull")</f>
        <v>elevadores Pull</v>
      </c>
      <c r="H210" s="24"/>
      <c r="I210" s="24"/>
    </row>
    <row r="211" spans="1:9" ht="14.5">
      <c r="A211" s="20" t="s">
        <v>35047</v>
      </c>
      <c r="B211" s="20">
        <v>30</v>
      </c>
      <c r="C211" s="20">
        <v>70</v>
      </c>
      <c r="D211" s="20">
        <v>50</v>
      </c>
      <c r="E211" s="20">
        <v>70</v>
      </c>
      <c r="F211" s="20" t="s">
        <v>35048</v>
      </c>
      <c r="G211" s="24" t="str">
        <f ca="1">IFERROR(__xludf.DUMMYFUNCTION("GOOGLETRANSLATE(F211,""en"",""pt"")"),"cabos de elevação")</f>
        <v>cabos de elevação</v>
      </c>
      <c r="H211" s="24"/>
      <c r="I211" s="24"/>
    </row>
    <row r="212" spans="1:9" ht="14.5">
      <c r="A212" s="20" t="s">
        <v>35049</v>
      </c>
      <c r="B212" s="20">
        <v>30</v>
      </c>
      <c r="C212" s="20">
        <v>70</v>
      </c>
      <c r="D212" s="20">
        <v>50</v>
      </c>
      <c r="E212" s="20">
        <v>80</v>
      </c>
      <c r="F212" s="20" t="s">
        <v>35050</v>
      </c>
      <c r="G212" s="24" t="str">
        <f ca="1">IFERROR(__xludf.DUMMYFUNCTION("GOOGLETRANSLATE(F212,""en"",""pt"")"),"Slings e irmãos")</f>
        <v>Slings e irmãos</v>
      </c>
      <c r="H212" s="24"/>
      <c r="I212" s="24"/>
    </row>
    <row r="213" spans="1:9" ht="14.5">
      <c r="A213" s="20" t="s">
        <v>35051</v>
      </c>
      <c r="B213" s="20">
        <v>30</v>
      </c>
      <c r="C213" s="20">
        <v>70</v>
      </c>
      <c r="D213" s="20">
        <v>50</v>
      </c>
      <c r="E213" s="20">
        <v>95</v>
      </c>
      <c r="F213" s="20" t="s">
        <v>35052</v>
      </c>
      <c r="G213" s="24" t="str">
        <f ca="1">IFERROR(__xludf.DUMMYFUNCTION("GOOGLETRANSLATE(F213,""en"",""pt"")"),"cabos de elevação")</f>
        <v>cabos de elevação</v>
      </c>
      <c r="H213" s="24"/>
      <c r="I213" s="24"/>
    </row>
    <row r="214" spans="1:9" ht="14.5">
      <c r="A214" s="20" t="s">
        <v>35053</v>
      </c>
      <c r="B214" s="20">
        <v>40</v>
      </c>
      <c r="C214" s="24"/>
      <c r="D214" s="24"/>
      <c r="E214" s="24"/>
      <c r="F214" s="20" t="s">
        <v>35054</v>
      </c>
      <c r="G214" s="24" t="str">
        <f ca="1">IFERROR(__xludf.DUMMYFUNCTION("GOOGLETRANSLATE(F214,""en"",""pt"")"),"veículos da construção")</f>
        <v>veículos da construção</v>
      </c>
      <c r="H214" s="24"/>
      <c r="I214" s="24"/>
    </row>
    <row r="215" spans="1:9" ht="14.5">
      <c r="A215" s="20" t="s">
        <v>35055</v>
      </c>
      <c r="B215" s="20">
        <v>40</v>
      </c>
      <c r="C215" s="20">
        <v>10</v>
      </c>
      <c r="D215" s="24"/>
      <c r="E215" s="24"/>
      <c r="F215" s="20" t="s">
        <v>35056</v>
      </c>
      <c r="G215" s="24" t="str">
        <f ca="1">IFERROR(__xludf.DUMMYFUNCTION("GOOGLETRANSLATE(F215,""en"",""pt"")"),"Camiões e camiões")</f>
        <v>Camiões e camiões</v>
      </c>
      <c r="H215" s="24"/>
      <c r="I215" s="24"/>
    </row>
    <row r="216" spans="1:9" ht="14.5">
      <c r="A216" s="20" t="s">
        <v>35057</v>
      </c>
      <c r="B216" s="20">
        <v>40</v>
      </c>
      <c r="C216" s="20">
        <v>10</v>
      </c>
      <c r="D216" s="20">
        <v>10</v>
      </c>
      <c r="E216" s="24"/>
      <c r="F216" s="20" t="s">
        <v>35058</v>
      </c>
      <c r="G216" s="24" t="str">
        <f ca="1">IFERROR(__xludf.DUMMYFUNCTION("GOOGLETRANSLATE(F216,""en"",""pt"")"),"dumpers")</f>
        <v>dumpers</v>
      </c>
      <c r="H216" s="24"/>
      <c r="I216" s="24"/>
    </row>
    <row r="217" spans="1:9" ht="14.5">
      <c r="A217" s="20" t="s">
        <v>35059</v>
      </c>
      <c r="B217" s="20">
        <v>40</v>
      </c>
      <c r="C217" s="20">
        <v>10</v>
      </c>
      <c r="D217" s="20">
        <v>10</v>
      </c>
      <c r="E217" s="20">
        <v>4</v>
      </c>
      <c r="F217" s="20" t="s">
        <v>35060</v>
      </c>
      <c r="G217" s="24" t="str">
        <f ca="1">IFERROR(__xludf.DUMMYFUNCTION("GOOGLETRANSLATE(F217,""en"",""pt"")"),"dumpers articulados")</f>
        <v>dumpers articulados</v>
      </c>
      <c r="H217" s="24"/>
      <c r="I217" s="24"/>
    </row>
    <row r="218" spans="1:9" ht="14.5">
      <c r="A218" s="20" t="s">
        <v>35061</v>
      </c>
      <c r="B218" s="20">
        <v>40</v>
      </c>
      <c r="C218" s="20">
        <v>10</v>
      </c>
      <c r="D218" s="20">
        <v>10</v>
      </c>
      <c r="E218" s="20">
        <v>71</v>
      </c>
      <c r="F218" s="20" t="s">
        <v>35062</v>
      </c>
      <c r="G218" s="24" t="str">
        <f ca="1">IFERROR(__xludf.DUMMYFUNCTION("GOOGLETRANSLATE(F218,""en"",""pt"")"),"dumpers rígidos")</f>
        <v>dumpers rígidos</v>
      </c>
      <c r="H218" s="24"/>
      <c r="I218" s="24"/>
    </row>
    <row r="219" spans="1:9" ht="14.5">
      <c r="A219" s="20" t="s">
        <v>35063</v>
      </c>
      <c r="B219" s="20">
        <v>40</v>
      </c>
      <c r="C219" s="20">
        <v>10</v>
      </c>
      <c r="D219" s="20">
        <v>50</v>
      </c>
      <c r="E219" s="24"/>
      <c r="F219" s="20" t="s">
        <v>35064</v>
      </c>
      <c r="G219" s="24" t="str">
        <f ca="1">IFERROR(__xludf.DUMMYFUNCTION("GOOGLETRANSLATE(F219,""en"",""pt"")"),"camiões")</f>
        <v>camiões</v>
      </c>
      <c r="H219" s="24"/>
      <c r="I219" s="24"/>
    </row>
    <row r="220" spans="1:9" ht="14.5">
      <c r="A220" s="20" t="s">
        <v>35065</v>
      </c>
      <c r="B220" s="20">
        <v>40</v>
      </c>
      <c r="C220" s="20">
        <v>10</v>
      </c>
      <c r="D220" s="20">
        <v>50</v>
      </c>
      <c r="E220" s="20">
        <v>4</v>
      </c>
      <c r="F220" s="20" t="s">
        <v>35066</v>
      </c>
      <c r="G220" s="24" t="str">
        <f ca="1">IFERROR(__xludf.DUMMYFUNCTION("GOOGLETRANSLATE(F220,""en"",""pt"")"),"camiões articulados")</f>
        <v>camiões articulados</v>
      </c>
      <c r="H220" s="24"/>
      <c r="I220" s="24"/>
    </row>
    <row r="221" spans="1:9" ht="14.5">
      <c r="A221" s="20" t="s">
        <v>35067</v>
      </c>
      <c r="B221" s="20">
        <v>40</v>
      </c>
      <c r="C221" s="20">
        <v>10</v>
      </c>
      <c r="D221" s="20">
        <v>50</v>
      </c>
      <c r="E221" s="20">
        <v>30</v>
      </c>
      <c r="F221" s="20" t="s">
        <v>35068</v>
      </c>
      <c r="G221" s="24" t="str">
        <f ca="1">IFERROR(__xludf.DUMMYFUNCTION("GOOGLETRANSLATE(F221,""en"",""pt"")"),"camiões corpo fixo")</f>
        <v>camiões corpo fixo</v>
      </c>
      <c r="H221" s="24"/>
      <c r="I221" s="24"/>
    </row>
    <row r="222" spans="1:9" ht="14.5">
      <c r="A222" s="20" t="s">
        <v>35069</v>
      </c>
      <c r="B222" s="20">
        <v>40</v>
      </c>
      <c r="C222" s="20">
        <v>10</v>
      </c>
      <c r="D222" s="20">
        <v>50</v>
      </c>
      <c r="E222" s="20">
        <v>36</v>
      </c>
      <c r="F222" s="20" t="s">
        <v>35070</v>
      </c>
      <c r="G222" s="24" t="str">
        <f ca="1">IFERROR(__xludf.DUMMYFUNCTION("GOOGLETRANSLATE(F222,""en"",""pt"")"),"haulers")</f>
        <v>haulers</v>
      </c>
      <c r="H222" s="24"/>
      <c r="I222" s="24"/>
    </row>
    <row r="223" spans="1:9" ht="14.5">
      <c r="A223" s="20" t="s">
        <v>35071</v>
      </c>
      <c r="B223" s="20">
        <v>40</v>
      </c>
      <c r="C223" s="20">
        <v>10</v>
      </c>
      <c r="D223" s="20">
        <v>50</v>
      </c>
      <c r="E223" s="20">
        <v>63</v>
      </c>
      <c r="F223" s="20" t="s">
        <v>35072</v>
      </c>
      <c r="G223" s="24" t="str">
        <f ca="1">IFERROR(__xludf.DUMMYFUNCTION("GOOGLETRANSLATE(F223,""en"",""pt"")"),"Caminhões")</f>
        <v>Caminhões</v>
      </c>
      <c r="H223" s="24"/>
      <c r="I223" s="24"/>
    </row>
    <row r="224" spans="1:9" ht="14.5">
      <c r="A224" s="20" t="s">
        <v>35073</v>
      </c>
      <c r="B224" s="20">
        <v>40</v>
      </c>
      <c r="C224" s="20">
        <v>10</v>
      </c>
      <c r="D224" s="20">
        <v>70</v>
      </c>
      <c r="E224" s="24"/>
      <c r="F224" s="20" t="s">
        <v>35074</v>
      </c>
      <c r="G224" s="24" t="str">
        <f ca="1">IFERROR(__xludf.DUMMYFUNCTION("GOOGLETRANSLATE(F224,""en"",""pt"")"),"Tipper camiões")</f>
        <v>Tipper camiões</v>
      </c>
      <c r="H224" s="24"/>
      <c r="I224" s="24"/>
    </row>
    <row r="225" spans="1:9" ht="14.5">
      <c r="A225" s="20" t="s">
        <v>35075</v>
      </c>
      <c r="B225" s="20">
        <v>40</v>
      </c>
      <c r="C225" s="20">
        <v>10</v>
      </c>
      <c r="D225" s="20">
        <v>70</v>
      </c>
      <c r="E225" s="20">
        <v>31</v>
      </c>
      <c r="F225" s="20" t="s">
        <v>35076</v>
      </c>
      <c r="G225" s="24" t="str">
        <f ca="1">IFERROR(__xludf.DUMMYFUNCTION("GOOGLETRANSLATE(F225,""en"",""pt"")"),"basculantes da frente")</f>
        <v>basculantes da frente</v>
      </c>
      <c r="H225" s="24"/>
      <c r="I225" s="24"/>
    </row>
    <row r="226" spans="1:9" ht="14.5">
      <c r="A226" s="20" t="s">
        <v>35077</v>
      </c>
      <c r="B226" s="20">
        <v>40</v>
      </c>
      <c r="C226" s="20">
        <v>10</v>
      </c>
      <c r="D226" s="20">
        <v>70</v>
      </c>
      <c r="E226" s="20">
        <v>34</v>
      </c>
      <c r="F226" s="20" t="s">
        <v>35078</v>
      </c>
      <c r="G226" s="24" t="str">
        <f ca="1">IFERROR(__xludf.DUMMYFUNCTION("GOOGLETRANSLATE(F226,""en"",""pt"")"),"basculantes gravidade")</f>
        <v>basculantes gravidade</v>
      </c>
      <c r="H226" s="24"/>
      <c r="I226" s="24"/>
    </row>
    <row r="227" spans="1:9" ht="14.5">
      <c r="A227" s="20" t="s">
        <v>35079</v>
      </c>
      <c r="B227" s="20">
        <v>40</v>
      </c>
      <c r="C227" s="20">
        <v>10</v>
      </c>
      <c r="D227" s="20">
        <v>70</v>
      </c>
      <c r="E227" s="20">
        <v>39</v>
      </c>
      <c r="F227" s="20" t="s">
        <v>35080</v>
      </c>
      <c r="G227" s="24" t="str">
        <f ca="1">IFERROR(__xludf.DUMMYFUNCTION("GOOGLETRANSLATE(F227,""en"",""pt"")"),"basculantes hidráulicas")</f>
        <v>basculantes hidráulicas</v>
      </c>
      <c r="H227" s="24"/>
      <c r="I227" s="24"/>
    </row>
    <row r="228" spans="1:9" ht="14.5">
      <c r="A228" s="20" t="s">
        <v>35081</v>
      </c>
      <c r="B228" s="20">
        <v>40</v>
      </c>
      <c r="C228" s="20">
        <v>10</v>
      </c>
      <c r="D228" s="20">
        <v>70</v>
      </c>
      <c r="E228" s="20">
        <v>55</v>
      </c>
      <c r="F228" s="20" t="s">
        <v>35082</v>
      </c>
      <c r="G228" s="24" t="str">
        <f ca="1">IFERROR(__xludf.DUMMYFUNCTION("GOOGLETRANSLATE(F228,""en"",""pt"")"),"basculantes multi-balde")</f>
        <v>basculantes multi-balde</v>
      </c>
      <c r="H228" s="24"/>
      <c r="I228" s="24"/>
    </row>
    <row r="229" spans="1:9" ht="14.5">
      <c r="A229" s="20" t="s">
        <v>35083</v>
      </c>
      <c r="B229" s="20">
        <v>40</v>
      </c>
      <c r="C229" s="20">
        <v>10</v>
      </c>
      <c r="D229" s="20">
        <v>70</v>
      </c>
      <c r="E229" s="20">
        <v>71</v>
      </c>
      <c r="F229" s="20" t="s">
        <v>35084</v>
      </c>
      <c r="G229" s="24" t="str">
        <f ca="1">IFERROR(__xludf.DUMMYFUNCTION("GOOGLETRANSLATE(F229,""en"",""pt"")"),"basculantes traseiros")</f>
        <v>basculantes traseiros</v>
      </c>
      <c r="H229" s="24"/>
      <c r="I229" s="24"/>
    </row>
    <row r="230" spans="1:9" ht="14.5">
      <c r="A230" s="20" t="s">
        <v>35085</v>
      </c>
      <c r="B230" s="20">
        <v>40</v>
      </c>
      <c r="C230" s="20">
        <v>10</v>
      </c>
      <c r="D230" s="20">
        <v>70</v>
      </c>
      <c r="E230" s="20">
        <v>73</v>
      </c>
      <c r="F230" s="20" t="s">
        <v>35086</v>
      </c>
      <c r="G230" s="24" t="str">
        <f ca="1">IFERROR(__xludf.DUMMYFUNCTION("GOOGLETRANSLATE(F230,""en"",""pt"")"),"basculantes Rolamentos")</f>
        <v>basculantes Rolamentos</v>
      </c>
      <c r="H230" s="24"/>
      <c r="I230" s="24"/>
    </row>
    <row r="231" spans="1:9" ht="14.5">
      <c r="A231" s="20" t="s">
        <v>35087</v>
      </c>
      <c r="B231" s="20">
        <v>40</v>
      </c>
      <c r="C231" s="20">
        <v>10</v>
      </c>
      <c r="D231" s="20">
        <v>70</v>
      </c>
      <c r="E231" s="20">
        <v>78</v>
      </c>
      <c r="F231" s="20" t="s">
        <v>35088</v>
      </c>
      <c r="G231" s="24" t="str">
        <f ca="1">IFERROR(__xludf.DUMMYFUNCTION("GOOGLETRANSLATE(F231,""en"",""pt"")"),"basculantes laterais")</f>
        <v>basculantes laterais</v>
      </c>
      <c r="H231" s="24"/>
      <c r="I231" s="24"/>
    </row>
    <row r="232" spans="1:9" ht="14.5">
      <c r="A232" s="20" t="s">
        <v>35089</v>
      </c>
      <c r="B232" s="20">
        <v>40</v>
      </c>
      <c r="C232" s="20">
        <v>10</v>
      </c>
      <c r="D232" s="20">
        <v>70</v>
      </c>
      <c r="E232" s="20">
        <v>88</v>
      </c>
      <c r="F232" s="20" t="s">
        <v>35090</v>
      </c>
      <c r="G232" s="24" t="str">
        <f ca="1">IFERROR(__xludf.DUMMYFUNCTION("GOOGLETRANSLATE(F232,""en"",""pt"")"),"Três basculantes maneira")</f>
        <v>Três basculantes maneira</v>
      </c>
      <c r="H232" s="24"/>
      <c r="I232" s="24"/>
    </row>
    <row r="233" spans="1:9" ht="14.5">
      <c r="A233" s="20" t="s">
        <v>35091</v>
      </c>
      <c r="B233" s="20">
        <v>40</v>
      </c>
      <c r="C233" s="20">
        <v>30</v>
      </c>
      <c r="D233" s="24"/>
      <c r="E233" s="24"/>
      <c r="F233" s="20" t="s">
        <v>35092</v>
      </c>
      <c r="G233" s="24" t="str">
        <f ca="1">IFERROR(__xludf.DUMMYFUNCTION("GOOGLETRANSLATE(F233,""en"",""pt"")"),"Tratores e equipamentos")</f>
        <v>Tratores e equipamentos</v>
      </c>
      <c r="H233" s="24"/>
      <c r="I233" s="24"/>
    </row>
    <row r="234" spans="1:9" ht="14.5">
      <c r="A234" s="20" t="s">
        <v>35093</v>
      </c>
      <c r="B234" s="20">
        <v>40</v>
      </c>
      <c r="C234" s="20">
        <v>30</v>
      </c>
      <c r="D234" s="20">
        <v>10</v>
      </c>
      <c r="E234" s="24"/>
      <c r="F234" s="20" t="s">
        <v>35094</v>
      </c>
      <c r="G234" s="24" t="str">
        <f ca="1">IFERROR(__xludf.DUMMYFUNCTION("GOOGLETRANSLATE(F234,""en"",""pt"")"),"tractores")</f>
        <v>tractores</v>
      </c>
      <c r="H234" s="24"/>
      <c r="I234" s="24"/>
    </row>
    <row r="235" spans="1:9" ht="14.5">
      <c r="A235" s="20" t="s">
        <v>35095</v>
      </c>
      <c r="B235" s="20">
        <v>40</v>
      </c>
      <c r="C235" s="20">
        <v>30</v>
      </c>
      <c r="D235" s="20">
        <v>10</v>
      </c>
      <c r="E235" s="20">
        <v>3</v>
      </c>
      <c r="F235" s="20" t="s">
        <v>35096</v>
      </c>
      <c r="G235" s="24" t="str">
        <f ca="1">IFERROR(__xludf.DUMMYFUNCTION("GOOGLETRANSLATE(F235,""en"",""pt"")"),"tractores do tipo agrícola")</f>
        <v>tractores do tipo agrícola</v>
      </c>
      <c r="H235" s="24"/>
      <c r="I235" s="24"/>
    </row>
    <row r="236" spans="1:9" ht="14.5">
      <c r="A236" s="20" t="s">
        <v>35097</v>
      </c>
      <c r="B236" s="20">
        <v>40</v>
      </c>
      <c r="C236" s="20">
        <v>30</v>
      </c>
      <c r="D236" s="20">
        <v>10</v>
      </c>
      <c r="E236" s="20">
        <v>87</v>
      </c>
      <c r="F236" s="20" t="s">
        <v>35098</v>
      </c>
      <c r="G236" s="24" t="str">
        <f ca="1">IFERROR(__xludf.DUMMYFUNCTION("GOOGLETRANSLATE(F236,""en"",""pt"")"),"Tractores com lâmina niveladora ângulo")</f>
        <v>Tractores com lâmina niveladora ângulo</v>
      </c>
      <c r="H236" s="24"/>
      <c r="I236" s="24"/>
    </row>
    <row r="237" spans="1:9" ht="14.5">
      <c r="A237" s="20" t="s">
        <v>35099</v>
      </c>
      <c r="B237" s="20">
        <v>40</v>
      </c>
      <c r="C237" s="20">
        <v>30</v>
      </c>
      <c r="D237" s="20">
        <v>10</v>
      </c>
      <c r="E237" s="20">
        <v>88</v>
      </c>
      <c r="F237" s="20" t="s">
        <v>35100</v>
      </c>
      <c r="G237" s="24" t="str">
        <f ca="1">IFERROR(__xludf.DUMMYFUNCTION("GOOGLETRANSLATE(F237,""en"",""pt"")"),"Tractores com escavadora do touro")</f>
        <v>Tractores com escavadora do touro</v>
      </c>
      <c r="H237" s="24"/>
      <c r="I237" s="24"/>
    </row>
    <row r="238" spans="1:9" ht="14.5">
      <c r="A238" s="20" t="s">
        <v>35101</v>
      </c>
      <c r="B238" s="20">
        <v>40</v>
      </c>
      <c r="C238" s="20">
        <v>30</v>
      </c>
      <c r="D238" s="20">
        <v>10</v>
      </c>
      <c r="E238" s="20">
        <v>89</v>
      </c>
      <c r="F238" s="20" t="s">
        <v>35102</v>
      </c>
      <c r="G238" s="24" t="str">
        <f ca="1">IFERROR(__xludf.DUMMYFUNCTION("GOOGLETRANSLATE(F238,""en"",""pt"")"),"Tractores com lâmina niveladora e fixação Ripper")</f>
        <v>Tractores com lâmina niveladora e fixação Ripper</v>
      </c>
      <c r="H238" s="24"/>
      <c r="I238" s="24"/>
    </row>
    <row r="239" spans="1:9" ht="14.5">
      <c r="A239" s="20" t="s">
        <v>35103</v>
      </c>
      <c r="B239" s="20">
        <v>40</v>
      </c>
      <c r="C239" s="20">
        <v>30</v>
      </c>
      <c r="D239" s="20">
        <v>30</v>
      </c>
      <c r="E239" s="24"/>
      <c r="F239" s="20" t="s">
        <v>35104</v>
      </c>
      <c r="G239" s="24" t="str">
        <f ca="1">IFERROR(__xludf.DUMMYFUNCTION("GOOGLETRANSLATE(F239,""en"",""pt"")"),"equipamentos Tractor")</f>
        <v>equipamentos Tractor</v>
      </c>
      <c r="H239" s="24"/>
      <c r="I239" s="24"/>
    </row>
    <row r="240" spans="1:9" ht="14.5">
      <c r="A240" s="20" t="s">
        <v>35105</v>
      </c>
      <c r="B240" s="20">
        <v>40</v>
      </c>
      <c r="C240" s="20">
        <v>30</v>
      </c>
      <c r="D240" s="20">
        <v>30</v>
      </c>
      <c r="E240" s="20">
        <v>30</v>
      </c>
      <c r="F240" s="20" t="s">
        <v>35106</v>
      </c>
      <c r="G240" s="24" t="str">
        <f ca="1">IFERROR(__xludf.DUMMYFUNCTION("GOOGLETRANSLATE(F240,""en"",""pt"")"),"Quatro-em-um anexos")</f>
        <v>Quatro-em-um anexos</v>
      </c>
      <c r="H240" s="24"/>
      <c r="I240" s="24"/>
    </row>
    <row r="241" spans="1:9" ht="14.5">
      <c r="A241" s="20" t="s">
        <v>35107</v>
      </c>
      <c r="B241" s="20">
        <v>40</v>
      </c>
      <c r="C241" s="20">
        <v>30</v>
      </c>
      <c r="D241" s="20">
        <v>70</v>
      </c>
      <c r="E241" s="24"/>
      <c r="F241" s="20" t="s">
        <v>35108</v>
      </c>
      <c r="G241" s="24" t="str">
        <f ca="1">IFERROR(__xludf.DUMMYFUNCTION("GOOGLETRANSLATE(F241,""en"",""pt"")"),"superestruturas de veículos e reboques")</f>
        <v>superestruturas de veículos e reboques</v>
      </c>
      <c r="H241" s="24"/>
      <c r="I241" s="24"/>
    </row>
    <row r="242" spans="1:9" ht="14.5">
      <c r="A242" s="20" t="s">
        <v>35109</v>
      </c>
      <c r="B242" s="20">
        <v>40</v>
      </c>
      <c r="C242" s="20">
        <v>30</v>
      </c>
      <c r="D242" s="20">
        <v>70</v>
      </c>
      <c r="E242" s="20">
        <v>37</v>
      </c>
      <c r="F242" s="20" t="s">
        <v>35110</v>
      </c>
      <c r="G242" s="24" t="str">
        <f ca="1">IFERROR(__xludf.DUMMYFUNCTION("GOOGLETRANSLATE(F242,""en"",""pt"")"),"reboques pesados")</f>
        <v>reboques pesados</v>
      </c>
      <c r="H242" s="24"/>
      <c r="I242" s="24"/>
    </row>
    <row r="243" spans="1:9" ht="14.5">
      <c r="A243" s="20" t="s">
        <v>35111</v>
      </c>
      <c r="B243" s="20">
        <v>40</v>
      </c>
      <c r="C243" s="20">
        <v>30</v>
      </c>
      <c r="D243" s="20">
        <v>70</v>
      </c>
      <c r="E243" s="20">
        <v>47</v>
      </c>
      <c r="F243" s="20" t="s">
        <v>35112</v>
      </c>
      <c r="G243" s="24" t="str">
        <f ca="1">IFERROR(__xludf.DUMMYFUNCTION("GOOGLETRANSLATE(F243,""en"",""pt"")"),"carregadores de baixa elevação")</f>
        <v>carregadores de baixa elevação</v>
      </c>
      <c r="H243" s="24"/>
      <c r="I243" s="24"/>
    </row>
    <row r="244" spans="1:9" ht="14.5">
      <c r="A244" s="20" t="s">
        <v>35113</v>
      </c>
      <c r="B244" s="20">
        <v>40</v>
      </c>
      <c r="C244" s="20">
        <v>30</v>
      </c>
      <c r="D244" s="20">
        <v>70</v>
      </c>
      <c r="E244" s="20">
        <v>78</v>
      </c>
      <c r="F244" s="20" t="s">
        <v>35114</v>
      </c>
      <c r="G244" s="24" t="str">
        <f ca="1">IFERROR(__xludf.DUMMYFUNCTION("GOOGLETRANSLATE(F244,""en"",""pt"")"),"Semi trailers")</f>
        <v>Semi trailers</v>
      </c>
      <c r="H244" s="24"/>
      <c r="I244" s="24"/>
    </row>
    <row r="245" spans="1:9" ht="14.5">
      <c r="A245" s="20" t="s">
        <v>35115</v>
      </c>
      <c r="B245" s="20">
        <v>40</v>
      </c>
      <c r="C245" s="20">
        <v>30</v>
      </c>
      <c r="D245" s="20">
        <v>70</v>
      </c>
      <c r="E245" s="20">
        <v>79</v>
      </c>
      <c r="F245" s="20" t="s">
        <v>35116</v>
      </c>
      <c r="G245" s="24" t="str">
        <f ca="1">IFERROR(__xludf.DUMMYFUNCTION("GOOGLETRANSLATE(F245,""en"",""pt"")"),"veículos de silo")</f>
        <v>veículos de silo</v>
      </c>
      <c r="H245" s="24"/>
      <c r="I245" s="24"/>
    </row>
    <row r="246" spans="1:9" ht="14.5">
      <c r="A246" s="20" t="s">
        <v>35117</v>
      </c>
      <c r="B246" s="20">
        <v>40</v>
      </c>
      <c r="C246" s="20">
        <v>30</v>
      </c>
      <c r="D246" s="20">
        <v>70</v>
      </c>
      <c r="E246" s="20">
        <v>88</v>
      </c>
      <c r="F246" s="20" t="s">
        <v>35118</v>
      </c>
      <c r="G246" s="24" t="str">
        <f ca="1">IFERROR(__xludf.DUMMYFUNCTION("GOOGLETRANSLATE(F246,""en"",""pt"")"),"Camião basculante para construção")</f>
        <v>Camião basculante para construção</v>
      </c>
      <c r="H246" s="24"/>
      <c r="I246" s="24"/>
    </row>
    <row r="247" spans="1:9" ht="14.5">
      <c r="A247" s="20" t="s">
        <v>35119</v>
      </c>
      <c r="B247" s="20">
        <v>40</v>
      </c>
      <c r="C247" s="20">
        <v>30</v>
      </c>
      <c r="D247" s="20">
        <v>80</v>
      </c>
      <c r="E247" s="24"/>
      <c r="F247" s="20" t="s">
        <v>35120</v>
      </c>
      <c r="G247" s="24" t="str">
        <f ca="1">IFERROR(__xludf.DUMMYFUNCTION("GOOGLETRANSLATE(F247,""en"",""pt"")"),"equipamento do veículo")</f>
        <v>equipamento do veículo</v>
      </c>
      <c r="H247" s="24"/>
      <c r="I247" s="24"/>
    </row>
    <row r="248" spans="1:9" ht="14.5">
      <c r="A248" s="20" t="s">
        <v>35121</v>
      </c>
      <c r="B248" s="20">
        <v>40</v>
      </c>
      <c r="C248" s="20">
        <v>30</v>
      </c>
      <c r="D248" s="20">
        <v>80</v>
      </c>
      <c r="E248" s="20">
        <v>79</v>
      </c>
      <c r="F248" s="20" t="s">
        <v>35122</v>
      </c>
      <c r="G248" s="24" t="str">
        <f ca="1">IFERROR(__xludf.DUMMYFUNCTION("GOOGLETRANSLATE(F248,""en"",""pt"")"),"trens de transporte")</f>
        <v>trens de transporte</v>
      </c>
      <c r="H248" s="24"/>
      <c r="I248" s="24"/>
    </row>
    <row r="249" spans="1:9" ht="14.5">
      <c r="A249" s="20" t="s">
        <v>35123</v>
      </c>
      <c r="B249" s="20">
        <v>40</v>
      </c>
      <c r="C249" s="20">
        <v>30</v>
      </c>
      <c r="D249" s="20">
        <v>80</v>
      </c>
      <c r="E249" s="20">
        <v>88</v>
      </c>
      <c r="F249" s="20" t="s">
        <v>35124</v>
      </c>
      <c r="G249" s="24" t="str">
        <f ca="1">IFERROR(__xludf.DUMMYFUNCTION("GOOGLETRANSLATE(F249,""en"",""pt"")"),"Tipper chassis")</f>
        <v>Tipper chassis</v>
      </c>
      <c r="H249" s="24"/>
      <c r="I249" s="24"/>
    </row>
    <row r="250" spans="1:9" ht="14.5">
      <c r="A250" s="20" t="s">
        <v>35125</v>
      </c>
      <c r="B250" s="20">
        <v>40</v>
      </c>
      <c r="C250" s="20">
        <v>30</v>
      </c>
      <c r="D250" s="20">
        <v>80</v>
      </c>
      <c r="E250" s="20">
        <v>90</v>
      </c>
      <c r="F250" s="20" t="s">
        <v>35126</v>
      </c>
      <c r="G250" s="24" t="str">
        <f ca="1">IFERROR(__xludf.DUMMYFUNCTION("GOOGLETRANSLATE(F250,""en"",""pt"")"),"Chassis para superestruturas de veículos")</f>
        <v>Chassis para superestruturas de veículos</v>
      </c>
      <c r="H250" s="24"/>
      <c r="I250" s="24"/>
    </row>
    <row r="251" spans="1:9" ht="14.5">
      <c r="A251" s="20" t="s">
        <v>35127</v>
      </c>
      <c r="B251" s="20">
        <v>40</v>
      </c>
      <c r="C251" s="20">
        <v>30</v>
      </c>
      <c r="D251" s="20">
        <v>80</v>
      </c>
      <c r="E251" s="20">
        <v>91</v>
      </c>
      <c r="F251" s="20" t="s">
        <v>35128</v>
      </c>
      <c r="G251" s="24" t="str">
        <f ca="1">IFERROR(__xludf.DUMMYFUNCTION("GOOGLETRANSLATE(F251,""en"",""pt"")"),"saltos plataforma giratória")</f>
        <v>saltos plataforma giratória</v>
      </c>
      <c r="H251" s="24"/>
      <c r="I251" s="24"/>
    </row>
    <row r="252" spans="1:9" ht="14.5">
      <c r="A252" s="20" t="s">
        <v>35129</v>
      </c>
      <c r="B252" s="20">
        <v>40</v>
      </c>
      <c r="C252" s="20">
        <v>50</v>
      </c>
      <c r="D252" s="24"/>
      <c r="E252" s="24"/>
      <c r="F252" s="20" t="s">
        <v>35130</v>
      </c>
      <c r="G252" s="24" t="str">
        <f ca="1">IFERROR(__xludf.DUMMYFUNCTION("GOOGLETRANSLATE(F252,""en"",""pt"")"),"veículos de serviço")</f>
        <v>veículos de serviço</v>
      </c>
      <c r="H252" s="24"/>
      <c r="I252" s="24"/>
    </row>
    <row r="253" spans="1:9" ht="14.5">
      <c r="A253" s="20" t="s">
        <v>35131</v>
      </c>
      <c r="B253" s="20">
        <v>40</v>
      </c>
      <c r="C253" s="20">
        <v>50</v>
      </c>
      <c r="D253" s="20">
        <v>50</v>
      </c>
      <c r="E253" s="24"/>
      <c r="F253" s="20" t="s">
        <v>35132</v>
      </c>
      <c r="G253" s="24" t="str">
        <f ca="1">IFERROR(__xludf.DUMMYFUNCTION("GOOGLETRANSLATE(F253,""en"",""pt"")"),"veículos de abastecimento de água e equipamentos")</f>
        <v>veículos de abastecimento de água e equipamentos</v>
      </c>
      <c r="H253" s="24"/>
      <c r="I253" s="24"/>
    </row>
    <row r="254" spans="1:9" ht="14.5">
      <c r="A254" s="20" t="s">
        <v>35133</v>
      </c>
      <c r="B254" s="20">
        <v>40</v>
      </c>
      <c r="C254" s="20">
        <v>50</v>
      </c>
      <c r="D254" s="20">
        <v>50</v>
      </c>
      <c r="E254" s="20">
        <v>77</v>
      </c>
      <c r="F254" s="20" t="s">
        <v>35134</v>
      </c>
      <c r="G254" s="24" t="str">
        <f ca="1">IFERROR(__xludf.DUMMYFUNCTION("GOOGLETRANSLATE(F254,""en"",""pt"")"),"tanques de água auto-propulsionadas")</f>
        <v>tanques de água auto-propulsionadas</v>
      </c>
      <c r="H254" s="24"/>
      <c r="I254" s="24"/>
    </row>
    <row r="255" spans="1:9" ht="14.5">
      <c r="A255" s="20" t="s">
        <v>35135</v>
      </c>
      <c r="B255" s="20">
        <v>40</v>
      </c>
      <c r="C255" s="20">
        <v>50</v>
      </c>
      <c r="D255" s="20">
        <v>50</v>
      </c>
      <c r="E255" s="20">
        <v>96</v>
      </c>
      <c r="F255" s="20" t="s">
        <v>35136</v>
      </c>
      <c r="G255" s="24" t="str">
        <f ca="1">IFERROR(__xludf.DUMMYFUNCTION("GOOGLETRANSLATE(F255,""en"",""pt"")"),"Tanque de armazenamento de água")</f>
        <v>Tanque de armazenamento de água</v>
      </c>
      <c r="H255" s="24"/>
      <c r="I255" s="24"/>
    </row>
    <row r="256" spans="1:9" ht="14.5">
      <c r="A256" s="20" t="s">
        <v>35137</v>
      </c>
      <c r="B256" s="20">
        <v>40</v>
      </c>
      <c r="C256" s="20">
        <v>50</v>
      </c>
      <c r="D256" s="20">
        <v>60</v>
      </c>
      <c r="E256" s="24"/>
      <c r="F256" s="20" t="s">
        <v>35138</v>
      </c>
      <c r="G256" s="24" t="str">
        <f ca="1">IFERROR(__xludf.DUMMYFUNCTION("GOOGLETRANSLATE(F256,""en"",""pt"")"),"veículos de fornecimento de combustível e equipamentos")</f>
        <v>veículos de fornecimento de combustível e equipamentos</v>
      </c>
      <c r="H256" s="24"/>
      <c r="I256" s="24"/>
    </row>
    <row r="257" spans="1:9" ht="14.5">
      <c r="A257" s="20" t="s">
        <v>35139</v>
      </c>
      <c r="B257" s="20">
        <v>40</v>
      </c>
      <c r="C257" s="20">
        <v>50</v>
      </c>
      <c r="D257" s="20">
        <v>60</v>
      </c>
      <c r="E257" s="20">
        <v>32</v>
      </c>
      <c r="F257" s="20" t="s">
        <v>35140</v>
      </c>
      <c r="G257" s="24" t="str">
        <f ca="1">IFERROR(__xludf.DUMMYFUNCTION("GOOGLETRANSLATE(F257,""en"",""pt"")"),"Tanque de armazenamento de combustível")</f>
        <v>Tanque de armazenamento de combustível</v>
      </c>
      <c r="H257" s="24"/>
      <c r="I257" s="24"/>
    </row>
    <row r="258" spans="1:9" ht="14.5">
      <c r="A258" s="20" t="s">
        <v>35141</v>
      </c>
      <c r="B258" s="20">
        <v>40</v>
      </c>
      <c r="C258" s="20">
        <v>50</v>
      </c>
      <c r="D258" s="20">
        <v>60</v>
      </c>
      <c r="E258" s="20">
        <v>77</v>
      </c>
      <c r="F258" s="20" t="s">
        <v>35142</v>
      </c>
      <c r="G258" s="24" t="str">
        <f ca="1">IFERROR(__xludf.DUMMYFUNCTION("GOOGLETRANSLATE(F258,""en"",""pt"")"),"tanques de combustível auto-propulsionadas")</f>
        <v>tanques de combustível auto-propulsionadas</v>
      </c>
      <c r="H258" s="24"/>
      <c r="I258" s="24"/>
    </row>
    <row r="259" spans="1:9" ht="14.5">
      <c r="A259" s="20" t="s">
        <v>35143</v>
      </c>
      <c r="B259" s="20">
        <v>40</v>
      </c>
      <c r="C259" s="20">
        <v>70</v>
      </c>
      <c r="D259" s="24"/>
      <c r="E259" s="24"/>
      <c r="F259" s="20" t="s">
        <v>35144</v>
      </c>
      <c r="G259" s="24" t="str">
        <f ca="1">IFERROR(__xludf.DUMMYFUNCTION("GOOGLETRANSLATE(F259,""en"",""pt"")"),"Escavadoras, carregadoras e dragas")</f>
        <v>Escavadoras, carregadoras e dragas</v>
      </c>
      <c r="H259" s="24"/>
      <c r="I259" s="24"/>
    </row>
    <row r="260" spans="1:9" ht="14.5">
      <c r="A260" s="20" t="s">
        <v>35145</v>
      </c>
      <c r="B260" s="20">
        <v>40</v>
      </c>
      <c r="C260" s="20">
        <v>70</v>
      </c>
      <c r="D260" s="20">
        <v>10</v>
      </c>
      <c r="E260" s="24"/>
      <c r="F260" s="20" t="s">
        <v>35146</v>
      </c>
      <c r="G260" s="24" t="str">
        <f ca="1">IFERROR(__xludf.DUMMYFUNCTION("GOOGLETRANSLATE(F260,""en"",""pt"")"),"Bulldozers e niveladoras")</f>
        <v>Bulldozers e niveladoras</v>
      </c>
      <c r="H260" s="24"/>
      <c r="I260" s="24"/>
    </row>
    <row r="261" spans="1:9" ht="14.5">
      <c r="A261" s="20" t="s">
        <v>35147</v>
      </c>
      <c r="B261" s="20">
        <v>40</v>
      </c>
      <c r="C261" s="20">
        <v>70</v>
      </c>
      <c r="D261" s="20">
        <v>10</v>
      </c>
      <c r="E261" s="20">
        <v>3</v>
      </c>
      <c r="F261" s="20" t="s">
        <v>35148</v>
      </c>
      <c r="G261" s="24" t="str">
        <f ca="1">IFERROR(__xludf.DUMMYFUNCTION("GOOGLETRANSLATE(F261,""en"",""pt"")"),"dozers dobrando")</f>
        <v>dozers dobrando</v>
      </c>
      <c r="H261" s="24"/>
      <c r="I261" s="24"/>
    </row>
    <row r="262" spans="1:9" ht="14.5">
      <c r="A262" s="20" t="s">
        <v>35149</v>
      </c>
      <c r="B262" s="20">
        <v>40</v>
      </c>
      <c r="C262" s="20">
        <v>70</v>
      </c>
      <c r="D262" s="20">
        <v>10</v>
      </c>
      <c r="E262" s="20">
        <v>18</v>
      </c>
      <c r="F262" s="20" t="s">
        <v>35150</v>
      </c>
      <c r="G262" s="24" t="str">
        <f ca="1">IFERROR(__xludf.DUMMYFUNCTION("GOOGLETRANSLATE(F262,""en"",""pt"")"),"tratores de esteira")</f>
        <v>tratores de esteira</v>
      </c>
      <c r="H262" s="24"/>
      <c r="I262" s="24"/>
    </row>
    <row r="263" spans="1:9" ht="14.5">
      <c r="A263" s="20" t="s">
        <v>35151</v>
      </c>
      <c r="B263" s="20">
        <v>40</v>
      </c>
      <c r="C263" s="20">
        <v>70</v>
      </c>
      <c r="D263" s="20">
        <v>10</v>
      </c>
      <c r="E263" s="20">
        <v>52</v>
      </c>
      <c r="F263" s="20" t="s">
        <v>35152</v>
      </c>
      <c r="G263" s="24" t="str">
        <f ca="1">IFERROR(__xludf.DUMMYFUNCTION("GOOGLETRANSLATE(F263,""en"",""pt"")"),"motoniveladoras")</f>
        <v>motoniveladoras</v>
      </c>
      <c r="H263" s="24"/>
      <c r="I263" s="24"/>
    </row>
    <row r="264" spans="1:9" ht="14.5">
      <c r="A264" s="20" t="s">
        <v>35153</v>
      </c>
      <c r="B264" s="20">
        <v>40</v>
      </c>
      <c r="C264" s="20">
        <v>70</v>
      </c>
      <c r="D264" s="20">
        <v>10</v>
      </c>
      <c r="E264" s="20">
        <v>73</v>
      </c>
      <c r="F264" s="20" t="s">
        <v>35154</v>
      </c>
      <c r="G264" s="24" t="str">
        <f ca="1">IFERROR(__xludf.DUMMYFUNCTION("GOOGLETRANSLATE(F264,""en"",""pt"")"),"niveladoras")</f>
        <v>niveladoras</v>
      </c>
      <c r="H264" s="24"/>
      <c r="I264" s="24"/>
    </row>
    <row r="265" spans="1:9" ht="14.5">
      <c r="A265" s="20" t="s">
        <v>35155</v>
      </c>
      <c r="B265" s="20">
        <v>40</v>
      </c>
      <c r="C265" s="20">
        <v>70</v>
      </c>
      <c r="D265" s="20">
        <v>10</v>
      </c>
      <c r="E265" s="20">
        <v>85</v>
      </c>
      <c r="F265" s="20" t="s">
        <v>35156</v>
      </c>
      <c r="G265" s="24" t="str">
        <f ca="1">IFERROR(__xludf.DUMMYFUNCTION("GOOGLETRANSLATE(F265,""en"",""pt"")"),"dozers retas")</f>
        <v>dozers retas</v>
      </c>
      <c r="H265" s="24"/>
      <c r="I265" s="24"/>
    </row>
    <row r="266" spans="1:9" ht="14.5">
      <c r="A266" s="20" t="s">
        <v>35157</v>
      </c>
      <c r="B266" s="20">
        <v>40</v>
      </c>
      <c r="C266" s="20">
        <v>70</v>
      </c>
      <c r="D266" s="20">
        <v>10</v>
      </c>
      <c r="E266" s="20">
        <v>90</v>
      </c>
      <c r="F266" s="20" t="s">
        <v>35158</v>
      </c>
      <c r="G266" s="24" t="str">
        <f ca="1">IFERROR(__xludf.DUMMYFUNCTION("GOOGLETRANSLATE(F266,""en"",""pt"")"),"tratores de lagartas")</f>
        <v>tratores de lagartas</v>
      </c>
      <c r="H266" s="24"/>
      <c r="I266" s="24"/>
    </row>
    <row r="267" spans="1:9" ht="14.5">
      <c r="A267" s="20" t="s">
        <v>35159</v>
      </c>
      <c r="B267" s="20">
        <v>40</v>
      </c>
      <c r="C267" s="20">
        <v>70</v>
      </c>
      <c r="D267" s="20">
        <v>10</v>
      </c>
      <c r="E267" s="20">
        <v>96</v>
      </c>
      <c r="F267" s="20" t="s">
        <v>35160</v>
      </c>
      <c r="G267" s="24" t="str">
        <f ca="1">IFERROR(__xludf.DUMMYFUNCTION("GOOGLETRANSLATE(F267,""en"",""pt"")"),"tratores de rodas")</f>
        <v>tratores de rodas</v>
      </c>
      <c r="H267" s="24"/>
      <c r="I267" s="24"/>
    </row>
    <row r="268" spans="1:9" ht="14.5">
      <c r="A268" s="20" t="s">
        <v>35161</v>
      </c>
      <c r="B268" s="20">
        <v>40</v>
      </c>
      <c r="C268" s="20">
        <v>70</v>
      </c>
      <c r="D268" s="20">
        <v>20</v>
      </c>
      <c r="E268" s="24"/>
      <c r="F268" s="20" t="s">
        <v>35162</v>
      </c>
      <c r="G268" s="24" t="str">
        <f ca="1">IFERROR(__xludf.DUMMYFUNCTION("GOOGLETRANSLATE(F268,""en"",""pt"")"),"Dragagem barcos e equipamentos")</f>
        <v>Dragagem barcos e equipamentos</v>
      </c>
      <c r="H268" s="24"/>
      <c r="I268" s="24"/>
    </row>
    <row r="269" spans="1:9" ht="14.5">
      <c r="A269" s="20" t="s">
        <v>35163</v>
      </c>
      <c r="B269" s="20">
        <v>40</v>
      </c>
      <c r="C269" s="20">
        <v>70</v>
      </c>
      <c r="D269" s="20">
        <v>20</v>
      </c>
      <c r="E269" s="20">
        <v>4</v>
      </c>
      <c r="F269" s="20" t="s">
        <v>35164</v>
      </c>
      <c r="G269" s="24" t="str">
        <f ca="1">IFERROR(__xludf.DUMMYFUNCTION("GOOGLETRANSLATE(F269,""en"",""pt"")"),"bombas de blindados")</f>
        <v>bombas de blindados</v>
      </c>
      <c r="H269" s="24"/>
      <c r="I269" s="24"/>
    </row>
    <row r="270" spans="1:9" ht="14.5">
      <c r="A270" s="20" t="s">
        <v>35165</v>
      </c>
      <c r="B270" s="20">
        <v>40</v>
      </c>
      <c r="C270" s="20">
        <v>70</v>
      </c>
      <c r="D270" s="20">
        <v>20</v>
      </c>
      <c r="E270" s="20">
        <v>9</v>
      </c>
      <c r="F270" s="20" t="s">
        <v>35166</v>
      </c>
      <c r="G270" s="24" t="str">
        <f ca="1">IFERROR(__xludf.DUMMYFUNCTION("GOOGLETRANSLATE(F270,""en"",""pt"")"),"dragas cadeia balde")</f>
        <v>dragas cadeia balde</v>
      </c>
      <c r="H270" s="24"/>
      <c r="I270" s="24"/>
    </row>
    <row r="271" spans="1:9" ht="14.5">
      <c r="A271" s="20" t="s">
        <v>35167</v>
      </c>
      <c r="B271" s="20">
        <v>40</v>
      </c>
      <c r="C271" s="20">
        <v>70</v>
      </c>
      <c r="D271" s="20">
        <v>20</v>
      </c>
      <c r="E271" s="20">
        <v>10</v>
      </c>
      <c r="F271" s="20" t="s">
        <v>35168</v>
      </c>
      <c r="G271" s="24" t="str">
        <f ca="1">IFERROR(__xludf.DUMMYFUNCTION("GOOGLETRANSLATE(F271,""en"",""pt"")"),"dragas retroescavadoras")</f>
        <v>dragas retroescavadoras</v>
      </c>
      <c r="H271" s="24"/>
      <c r="I271" s="24"/>
    </row>
    <row r="272" spans="1:9" ht="14.5">
      <c r="A272" s="20" t="s">
        <v>35169</v>
      </c>
      <c r="B272" s="20">
        <v>40</v>
      </c>
      <c r="C272" s="20">
        <v>70</v>
      </c>
      <c r="D272" s="20">
        <v>20</v>
      </c>
      <c r="E272" s="20">
        <v>19</v>
      </c>
      <c r="F272" s="20" t="s">
        <v>35170</v>
      </c>
      <c r="G272" s="24" t="str">
        <f ca="1">IFERROR(__xludf.DUMMYFUNCTION("GOOGLETRANSLATE(F272,""en"",""pt"")"),"dragas cortador")</f>
        <v>dragas cortador</v>
      </c>
      <c r="H272" s="24"/>
      <c r="I272" s="24"/>
    </row>
    <row r="273" spans="1:9" ht="14.5">
      <c r="A273" s="20" t="s">
        <v>35171</v>
      </c>
      <c r="B273" s="20">
        <v>40</v>
      </c>
      <c r="C273" s="20">
        <v>70</v>
      </c>
      <c r="D273" s="20">
        <v>20</v>
      </c>
      <c r="E273" s="20">
        <v>34</v>
      </c>
      <c r="F273" s="20" t="s">
        <v>35172</v>
      </c>
      <c r="G273" s="24" t="str">
        <f ca="1">IFERROR(__xludf.DUMMYFUNCTION("GOOGLETRANSLATE(F273,""en"",""pt"")"),"dragas tipo Grab")</f>
        <v>dragas tipo Grab</v>
      </c>
      <c r="H273" s="24"/>
      <c r="I273" s="24"/>
    </row>
    <row r="274" spans="1:9" ht="14.5">
      <c r="A274" s="20" t="s">
        <v>35173</v>
      </c>
      <c r="B274" s="20">
        <v>40</v>
      </c>
      <c r="C274" s="20">
        <v>70</v>
      </c>
      <c r="D274" s="20">
        <v>20</v>
      </c>
      <c r="E274" s="20">
        <v>84</v>
      </c>
      <c r="F274" s="20" t="s">
        <v>35174</v>
      </c>
      <c r="G274" s="24" t="str">
        <f ca="1">IFERROR(__xludf.DUMMYFUNCTION("GOOGLETRANSLATE(F274,""en"",""pt"")"),"dragas de sucção")</f>
        <v>dragas de sucção</v>
      </c>
      <c r="H274" s="24"/>
      <c r="I274" s="24"/>
    </row>
    <row r="275" spans="1:9" ht="14.5">
      <c r="A275" s="20" t="s">
        <v>35175</v>
      </c>
      <c r="B275" s="20">
        <v>40</v>
      </c>
      <c r="C275" s="20">
        <v>70</v>
      </c>
      <c r="D275" s="20">
        <v>30</v>
      </c>
      <c r="E275" s="24"/>
      <c r="F275" s="20" t="s">
        <v>35176</v>
      </c>
      <c r="G275" s="24" t="str">
        <f ca="1">IFERROR(__xludf.DUMMYFUNCTION("GOOGLETRANSLATE(F275,""en"",""pt"")"),"escavadoras")</f>
        <v>escavadoras</v>
      </c>
      <c r="H275" s="24"/>
      <c r="I275" s="24"/>
    </row>
    <row r="276" spans="1:9" ht="14.5">
      <c r="A276" s="20" t="s">
        <v>35177</v>
      </c>
      <c r="B276" s="20">
        <v>40</v>
      </c>
      <c r="C276" s="20">
        <v>70</v>
      </c>
      <c r="D276" s="20">
        <v>30</v>
      </c>
      <c r="E276" s="20">
        <v>7</v>
      </c>
      <c r="F276" s="20" t="s">
        <v>35178</v>
      </c>
      <c r="G276" s="24" t="str">
        <f ca="1">IFERROR(__xludf.DUMMYFUNCTION("GOOGLETRANSLATE(F276,""en"",""pt"")"),"máquinas de escavação de tipo lança")</f>
        <v>máquinas de escavação de tipo lança</v>
      </c>
      <c r="H276" s="24"/>
      <c r="I276" s="24"/>
    </row>
    <row r="277" spans="1:9" ht="14.5">
      <c r="A277" s="20" t="s">
        <v>35179</v>
      </c>
      <c r="B277" s="20">
        <v>40</v>
      </c>
      <c r="C277" s="20">
        <v>70</v>
      </c>
      <c r="D277" s="20">
        <v>30</v>
      </c>
      <c r="E277" s="20">
        <v>9</v>
      </c>
      <c r="F277" s="20" t="s">
        <v>35180</v>
      </c>
      <c r="G277" s="24" t="str">
        <f ca="1">IFERROR(__xludf.DUMMYFUNCTION("GOOGLETRANSLATE(F277,""en"",""pt"")"),"trenchers balde")</f>
        <v>trenchers balde</v>
      </c>
      <c r="H277" s="24"/>
      <c r="I277" s="24"/>
    </row>
    <row r="278" spans="1:9" ht="14.5">
      <c r="A278" s="20" t="s">
        <v>35181</v>
      </c>
      <c r="B278" s="20">
        <v>40</v>
      </c>
      <c r="C278" s="20">
        <v>70</v>
      </c>
      <c r="D278" s="20">
        <v>30</v>
      </c>
      <c r="E278" s="20">
        <v>10</v>
      </c>
      <c r="F278" s="20" t="s">
        <v>35182</v>
      </c>
      <c r="G278" s="24" t="str">
        <f ca="1">IFERROR(__xludf.DUMMYFUNCTION("GOOGLETRANSLATE(F278,""en"",""pt"")"),"escavadoras de rodas balde")</f>
        <v>escavadoras de rodas balde</v>
      </c>
      <c r="H278" s="24"/>
      <c r="I278" s="24"/>
    </row>
    <row r="279" spans="1:9" ht="14.5">
      <c r="A279" s="20" t="s">
        <v>35183</v>
      </c>
      <c r="B279" s="20">
        <v>40</v>
      </c>
      <c r="C279" s="20">
        <v>70</v>
      </c>
      <c r="D279" s="20">
        <v>30</v>
      </c>
      <c r="E279" s="20">
        <v>11</v>
      </c>
      <c r="F279" s="20" t="s">
        <v>35184</v>
      </c>
      <c r="G279" s="24" t="str">
        <f ca="1">IFERROR(__xludf.DUMMYFUNCTION("GOOGLETRANSLATE(F279,""en"",""pt"")"),"escavadeiras móveis cabo")</f>
        <v>escavadeiras móveis cabo</v>
      </c>
      <c r="H279" s="24"/>
      <c r="I279" s="24"/>
    </row>
    <row r="280" spans="1:9" ht="14.5">
      <c r="A280" s="20" t="s">
        <v>35185</v>
      </c>
      <c r="B280" s="20">
        <v>40</v>
      </c>
      <c r="C280" s="20">
        <v>70</v>
      </c>
      <c r="D280" s="20">
        <v>30</v>
      </c>
      <c r="E280" s="20">
        <v>12</v>
      </c>
      <c r="F280" s="20" t="s">
        <v>35186</v>
      </c>
      <c r="G280" s="24" t="str">
        <f ca="1">IFERROR(__xludf.DUMMYFUNCTION("GOOGLETRANSLATE(F280,""en"",""pt"")"),"escavadeira de lagartas cabo")</f>
        <v>escavadeira de lagartas cabo</v>
      </c>
      <c r="H280" s="24"/>
      <c r="I280" s="24"/>
    </row>
    <row r="281" spans="1:9" ht="14.5">
      <c r="A281" s="20" t="s">
        <v>35187</v>
      </c>
      <c r="B281" s="20">
        <v>40</v>
      </c>
      <c r="C281" s="20">
        <v>70</v>
      </c>
      <c r="D281" s="20">
        <v>30</v>
      </c>
      <c r="E281" s="20">
        <v>32</v>
      </c>
      <c r="F281" s="20" t="s">
        <v>35188</v>
      </c>
      <c r="G281" s="24" t="str">
        <f ca="1">IFERROR(__xludf.DUMMYFUNCTION("GOOGLETRANSLATE(F281,""en"",""pt"")"),"escavadeiras círculo completo série")</f>
        <v>escavadeiras círculo completo série</v>
      </c>
      <c r="H281" s="24"/>
      <c r="I281" s="24"/>
    </row>
    <row r="282" spans="1:9" ht="14.5">
      <c r="A282" s="20" t="s">
        <v>35189</v>
      </c>
      <c r="B282" s="20">
        <v>40</v>
      </c>
      <c r="C282" s="20">
        <v>70</v>
      </c>
      <c r="D282" s="20">
        <v>30</v>
      </c>
      <c r="E282" s="20">
        <v>36</v>
      </c>
      <c r="F282" s="20" t="s">
        <v>35190</v>
      </c>
      <c r="G282" s="24" t="str">
        <f ca="1">IFERROR(__xludf.DUMMYFUNCTION("GOOGLETRANSLATE(F282,""en"",""pt"")"),"trenchers estrada")</f>
        <v>trenchers estrada</v>
      </c>
      <c r="H282" s="24"/>
      <c r="I282" s="24"/>
    </row>
    <row r="283" spans="1:9" ht="14.5">
      <c r="A283" s="20" t="s">
        <v>35191</v>
      </c>
      <c r="B283" s="20">
        <v>40</v>
      </c>
      <c r="C283" s="20">
        <v>70</v>
      </c>
      <c r="D283" s="20">
        <v>30</v>
      </c>
      <c r="E283" s="20">
        <v>38</v>
      </c>
      <c r="F283" s="20" t="s">
        <v>35192</v>
      </c>
      <c r="G283" s="24" t="str">
        <f ca="1">IFERROR(__xludf.DUMMYFUNCTION("GOOGLETRANSLATE(F283,""en"",""pt"")"),"escavadeiras móveis hidráulicos")</f>
        <v>escavadeiras móveis hidráulicos</v>
      </c>
      <c r="H283" s="24"/>
      <c r="I283" s="24"/>
    </row>
    <row r="284" spans="1:9" ht="14.5">
      <c r="A284" s="20" t="s">
        <v>35193</v>
      </c>
      <c r="B284" s="20">
        <v>40</v>
      </c>
      <c r="C284" s="20">
        <v>70</v>
      </c>
      <c r="D284" s="20">
        <v>30</v>
      </c>
      <c r="E284" s="20">
        <v>39</v>
      </c>
      <c r="F284" s="20" t="s">
        <v>35194</v>
      </c>
      <c r="G284" s="24" t="str">
        <f ca="1">IFERROR(__xludf.DUMMYFUNCTION("GOOGLETRANSLATE(F284,""en"",""pt"")"),"escavadoras de lagartas hidráulicos")</f>
        <v>escavadoras de lagartas hidráulicos</v>
      </c>
      <c r="H284" s="24"/>
      <c r="I284" s="24"/>
    </row>
    <row r="285" spans="1:9" ht="14.5">
      <c r="A285" s="20" t="s">
        <v>35195</v>
      </c>
      <c r="B285" s="20">
        <v>40</v>
      </c>
      <c r="C285" s="20">
        <v>70</v>
      </c>
      <c r="D285" s="20">
        <v>30</v>
      </c>
      <c r="E285" s="20">
        <v>52</v>
      </c>
      <c r="F285" s="20" t="s">
        <v>35196</v>
      </c>
      <c r="G285" s="24" t="str">
        <f ca="1">IFERROR(__xludf.DUMMYFUNCTION("GOOGLETRANSLATE(F285,""en"",""pt"")"),"mini-escavadoras")</f>
        <v>mini-escavadoras</v>
      </c>
      <c r="H285" s="24"/>
      <c r="I285" s="24"/>
    </row>
    <row r="286" spans="1:9" ht="14.5">
      <c r="A286" s="20" t="s">
        <v>35197</v>
      </c>
      <c r="B286" s="20">
        <v>40</v>
      </c>
      <c r="C286" s="20">
        <v>70</v>
      </c>
      <c r="D286" s="20">
        <v>30</v>
      </c>
      <c r="E286" s="20">
        <v>64</v>
      </c>
      <c r="F286" s="20" t="s">
        <v>35198</v>
      </c>
      <c r="G286" s="24" t="str">
        <f ca="1">IFERROR(__xludf.DUMMYFUNCTION("GOOGLETRANSLATE(F286,""en"",""pt"")"),"camadas de tubos")</f>
        <v>camadas de tubos</v>
      </c>
      <c r="H286" s="24"/>
      <c r="I286" s="24"/>
    </row>
    <row r="287" spans="1:9" ht="14.5">
      <c r="A287" s="20" t="s">
        <v>35199</v>
      </c>
      <c r="B287" s="20">
        <v>40</v>
      </c>
      <c r="C287" s="20">
        <v>70</v>
      </c>
      <c r="D287" s="20">
        <v>30</v>
      </c>
      <c r="E287" s="20">
        <v>72</v>
      </c>
      <c r="F287" s="20" t="s">
        <v>35200</v>
      </c>
      <c r="G287" s="24" t="str">
        <f ca="1">IFERROR(__xludf.DUMMYFUNCTION("GOOGLETRANSLATE(F287,""en"",""pt"")"),"Corda operado escavadeiras")</f>
        <v>Corda operado escavadeiras</v>
      </c>
      <c r="H287" s="24"/>
      <c r="I287" s="24"/>
    </row>
    <row r="288" spans="1:9" ht="14.5">
      <c r="A288" s="20" t="s">
        <v>35201</v>
      </c>
      <c r="B288" s="20">
        <v>40</v>
      </c>
      <c r="C288" s="20">
        <v>70</v>
      </c>
      <c r="D288" s="20">
        <v>30</v>
      </c>
      <c r="E288" s="20">
        <v>88</v>
      </c>
      <c r="F288" s="20" t="s">
        <v>35202</v>
      </c>
      <c r="G288" s="24" t="str">
        <f ca="1">IFERROR(__xludf.DUMMYFUNCTION("GOOGLETRANSLATE(F288,""en"",""pt"")"),"escavadeiras telescópicas")</f>
        <v>escavadeiras telescópicas</v>
      </c>
      <c r="H288" s="24"/>
      <c r="I288" s="24"/>
    </row>
    <row r="289" spans="1:9" ht="14.5">
      <c r="A289" s="20" t="s">
        <v>35203</v>
      </c>
      <c r="B289" s="20">
        <v>40</v>
      </c>
      <c r="C289" s="20">
        <v>70</v>
      </c>
      <c r="D289" s="20">
        <v>40</v>
      </c>
      <c r="E289" s="24"/>
      <c r="F289" s="20" t="s">
        <v>35204</v>
      </c>
      <c r="G289" s="24" t="str">
        <f ca="1">IFERROR(__xludf.DUMMYFUNCTION("GOOGLETRANSLATE(F289,""en"",""pt"")"),"Carregadeira")</f>
        <v>Carregadeira</v>
      </c>
      <c r="H289" s="24"/>
      <c r="I289" s="24"/>
    </row>
    <row r="290" spans="1:9" ht="14.5">
      <c r="A290" s="20" t="s">
        <v>35205</v>
      </c>
      <c r="B290" s="20">
        <v>40</v>
      </c>
      <c r="C290" s="20">
        <v>70</v>
      </c>
      <c r="D290" s="20">
        <v>40</v>
      </c>
      <c r="E290" s="20">
        <v>7</v>
      </c>
      <c r="F290" s="20" t="s">
        <v>35206</v>
      </c>
      <c r="G290" s="24" t="str">
        <f ca="1">IFERROR(__xludf.DUMMYFUNCTION("GOOGLETRANSLATE(F290,""en"",""pt"")"),"retroescavadeiras")</f>
        <v>retroescavadeiras</v>
      </c>
      <c r="H290" s="24"/>
      <c r="I290" s="24"/>
    </row>
    <row r="291" spans="1:9" ht="14.5">
      <c r="A291" s="20" t="s">
        <v>35207</v>
      </c>
      <c r="B291" s="20">
        <v>40</v>
      </c>
      <c r="C291" s="20">
        <v>70</v>
      </c>
      <c r="D291" s="20">
        <v>40</v>
      </c>
      <c r="E291" s="20">
        <v>18</v>
      </c>
      <c r="F291" s="20" t="s">
        <v>35208</v>
      </c>
      <c r="G291" s="24" t="str">
        <f ca="1">IFERROR(__xludf.DUMMYFUNCTION("GOOGLETRANSLATE(F291,""en"",""pt"")"),"carregadoras de lagartas")</f>
        <v>carregadoras de lagartas</v>
      </c>
      <c r="H291" s="24"/>
      <c r="I291" s="24"/>
    </row>
    <row r="292" spans="1:9" ht="14.5">
      <c r="A292" s="20" t="s">
        <v>35209</v>
      </c>
      <c r="B292" s="20">
        <v>40</v>
      </c>
      <c r="C292" s="20">
        <v>70</v>
      </c>
      <c r="D292" s="20">
        <v>40</v>
      </c>
      <c r="E292" s="20">
        <v>22</v>
      </c>
      <c r="F292" s="20" t="s">
        <v>35210</v>
      </c>
      <c r="G292" s="24" t="str">
        <f ca="1">IFERROR(__xludf.DUMMYFUNCTION("GOOGLETRANSLATE(F292,""en"",""pt"")"),"Cavar carregadoras braço")</f>
        <v>Cavar carregadoras braço</v>
      </c>
      <c r="H292" s="24"/>
      <c r="I292" s="24"/>
    </row>
    <row r="293" spans="1:9" ht="14.5">
      <c r="A293" s="20" t="s">
        <v>35211</v>
      </c>
      <c r="B293" s="20">
        <v>40</v>
      </c>
      <c r="C293" s="20">
        <v>70</v>
      </c>
      <c r="D293" s="20">
        <v>40</v>
      </c>
      <c r="E293" s="20">
        <v>79</v>
      </c>
      <c r="F293" s="20" t="s">
        <v>35212</v>
      </c>
      <c r="G293" s="24" t="str">
        <f ca="1">IFERROR(__xludf.DUMMYFUNCTION("GOOGLETRANSLATE(F293,""en"",""pt"")"),"minicarregadeiras")</f>
        <v>minicarregadeiras</v>
      </c>
      <c r="H293" s="24"/>
      <c r="I293" s="24"/>
    </row>
    <row r="294" spans="1:9" ht="14.5">
      <c r="A294" s="20" t="s">
        <v>35213</v>
      </c>
      <c r="B294" s="20">
        <v>40</v>
      </c>
      <c r="C294" s="20">
        <v>70</v>
      </c>
      <c r="D294" s="20">
        <v>40</v>
      </c>
      <c r="E294" s="20">
        <v>90</v>
      </c>
      <c r="F294" s="20" t="s">
        <v>35214</v>
      </c>
      <c r="G294" s="24" t="str">
        <f ca="1">IFERROR(__xludf.DUMMYFUNCTION("GOOGLETRANSLATE(F294,""en"",""pt"")"),"Acompanhe carregadores poedeiras")</f>
        <v>Acompanhe carregadores poedeiras</v>
      </c>
      <c r="H294" s="24"/>
      <c r="I294" s="24"/>
    </row>
    <row r="295" spans="1:9" ht="14.5">
      <c r="A295" s="20" t="s">
        <v>35215</v>
      </c>
      <c r="B295" s="20">
        <v>40</v>
      </c>
      <c r="C295" s="20">
        <v>70</v>
      </c>
      <c r="D295" s="20">
        <v>40</v>
      </c>
      <c r="E295" s="20">
        <v>97</v>
      </c>
      <c r="F295" s="20" t="s">
        <v>35216</v>
      </c>
      <c r="G295" s="24" t="str">
        <f ca="1">IFERROR(__xludf.DUMMYFUNCTION("GOOGLETRANSLATE(F295,""en"",""pt"")"),"carregadoras de rodas")</f>
        <v>carregadoras de rodas</v>
      </c>
      <c r="H295" s="24"/>
      <c r="I295" s="24"/>
    </row>
    <row r="296" spans="1:9" ht="14.5">
      <c r="A296" s="20" t="s">
        <v>35217</v>
      </c>
      <c r="B296" s="20">
        <v>40</v>
      </c>
      <c r="C296" s="20">
        <v>70</v>
      </c>
      <c r="D296" s="20">
        <v>50</v>
      </c>
      <c r="E296" s="24"/>
      <c r="F296" s="20" t="s">
        <v>35218</v>
      </c>
      <c r="G296" s="24" t="str">
        <f ca="1">IFERROR(__xludf.DUMMYFUNCTION("GOOGLETRANSLATE(F296,""en"",""pt"")"),"raspadores")</f>
        <v>raspadores</v>
      </c>
      <c r="H296" s="24"/>
      <c r="I296" s="24"/>
    </row>
    <row r="297" spans="1:9" ht="14.5">
      <c r="A297" s="20" t="s">
        <v>35219</v>
      </c>
      <c r="B297" s="20">
        <v>40</v>
      </c>
      <c r="C297" s="20">
        <v>70</v>
      </c>
      <c r="D297" s="20">
        <v>50</v>
      </c>
      <c r="E297" s="20">
        <v>24</v>
      </c>
      <c r="F297" s="20" t="s">
        <v>35220</v>
      </c>
      <c r="G297" s="24" t="str">
        <f ca="1">IFERROR(__xludf.DUMMYFUNCTION("GOOGLETRANSLATE(F297,""en"",""pt"")"),"raspadores de arrasto")</f>
        <v>raspadores de arrasto</v>
      </c>
      <c r="H297" s="24"/>
      <c r="I297" s="24"/>
    </row>
    <row r="298" spans="1:9" ht="14.5">
      <c r="A298" s="20" t="s">
        <v>35221</v>
      </c>
      <c r="B298" s="20">
        <v>40</v>
      </c>
      <c r="C298" s="20">
        <v>70</v>
      </c>
      <c r="D298" s="20">
        <v>50</v>
      </c>
      <c r="E298" s="20">
        <v>27</v>
      </c>
      <c r="F298" s="20" t="s">
        <v>35222</v>
      </c>
      <c r="G298" s="24" t="str">
        <f ca="1">IFERROR(__xludf.DUMMYFUNCTION("GOOGLETRANSLATE(F298,""en"",""pt"")"),"elevando raspadores")</f>
        <v>elevando raspadores</v>
      </c>
      <c r="H298" s="24"/>
      <c r="I298" s="24"/>
    </row>
    <row r="299" spans="1:9" ht="14.5">
      <c r="A299" s="20" t="s">
        <v>35223</v>
      </c>
      <c r="B299" s="20">
        <v>40</v>
      </c>
      <c r="C299" s="20">
        <v>70</v>
      </c>
      <c r="D299" s="20">
        <v>50</v>
      </c>
      <c r="E299" s="20">
        <v>30</v>
      </c>
      <c r="F299" s="20" t="s">
        <v>35224</v>
      </c>
      <c r="G299" s="24" t="str">
        <f ca="1">IFERROR(__xludf.DUMMYFUNCTION("GOOGLETRANSLATE(F299,""en"",""pt"")"),"Quatro raspadores de rodas")</f>
        <v>Quatro raspadores de rodas</v>
      </c>
      <c r="H299" s="24"/>
      <c r="I299" s="24"/>
    </row>
    <row r="300" spans="1:9" ht="14.5">
      <c r="A300" s="20" t="s">
        <v>35225</v>
      </c>
      <c r="B300" s="20">
        <v>40</v>
      </c>
      <c r="C300" s="20">
        <v>70</v>
      </c>
      <c r="D300" s="20">
        <v>50</v>
      </c>
      <c r="E300" s="20">
        <v>52</v>
      </c>
      <c r="F300" s="20" t="s">
        <v>35226</v>
      </c>
      <c r="G300" s="24" t="str">
        <f ca="1">IFERROR(__xludf.DUMMYFUNCTION("GOOGLETRANSLATE(F300,""en"",""pt"")"),"raspadores motorizados")</f>
        <v>raspadores motorizados</v>
      </c>
      <c r="H300" s="24"/>
      <c r="I300" s="24"/>
    </row>
    <row r="301" spans="1:9" ht="14.5">
      <c r="A301" s="20" t="s">
        <v>35227</v>
      </c>
      <c r="B301" s="20">
        <v>40</v>
      </c>
      <c r="C301" s="20">
        <v>70</v>
      </c>
      <c r="D301" s="20">
        <v>50</v>
      </c>
      <c r="E301" s="20">
        <v>53</v>
      </c>
      <c r="F301" s="20" t="s">
        <v>35228</v>
      </c>
      <c r="G301" s="24" t="str">
        <f ca="1">IFERROR(__xludf.DUMMYFUNCTION("GOOGLETRANSLATE(F301,""en"",""pt"")"),"raspadores de elevação motorizados")</f>
        <v>raspadores de elevação motorizados</v>
      </c>
      <c r="H301" s="24"/>
      <c r="I301" s="24"/>
    </row>
    <row r="302" spans="1:9" ht="14.5">
      <c r="A302" s="20" t="s">
        <v>35229</v>
      </c>
      <c r="B302" s="20">
        <v>40</v>
      </c>
      <c r="C302" s="20">
        <v>70</v>
      </c>
      <c r="D302" s="20">
        <v>50</v>
      </c>
      <c r="E302" s="20">
        <v>90</v>
      </c>
      <c r="F302" s="20" t="s">
        <v>35230</v>
      </c>
      <c r="G302" s="24" t="str">
        <f ca="1">IFERROR(__xludf.DUMMYFUNCTION("GOOGLETRANSLATE(F302,""en"",""pt"")"),"Acompanhe raspadores poedeiras")</f>
        <v>Acompanhe raspadores poedeiras</v>
      </c>
      <c r="H302" s="24"/>
      <c r="I302" s="24"/>
    </row>
    <row r="303" spans="1:9" ht="14.5">
      <c r="A303" s="20" t="s">
        <v>35231</v>
      </c>
      <c r="B303" s="20">
        <v>40</v>
      </c>
      <c r="C303" s="20">
        <v>70</v>
      </c>
      <c r="D303" s="20">
        <v>90</v>
      </c>
      <c r="E303" s="24"/>
      <c r="F303" s="20" t="s">
        <v>35232</v>
      </c>
      <c r="G303" s="24" t="str">
        <f ca="1">IFERROR(__xludf.DUMMYFUNCTION("GOOGLETRANSLATE(F303,""en"",""pt"")"),"Acessórios para escavadeiras, carregadeiras, bulldozers e raspadores")</f>
        <v>Acessórios para escavadeiras, carregadeiras, bulldozers e raspadores</v>
      </c>
      <c r="H303" s="24"/>
      <c r="I303" s="24"/>
    </row>
    <row r="304" spans="1:9" ht="14.5">
      <c r="A304" s="20" t="s">
        <v>35233</v>
      </c>
      <c r="B304" s="20">
        <v>40</v>
      </c>
      <c r="C304" s="20">
        <v>70</v>
      </c>
      <c r="D304" s="20">
        <v>90</v>
      </c>
      <c r="E304" s="20">
        <v>6</v>
      </c>
      <c r="F304" s="20" t="s">
        <v>35234</v>
      </c>
      <c r="G304" s="24" t="str">
        <f ca="1">IFERROR(__xludf.DUMMYFUNCTION("GOOGLETRANSLATE(F304,""en"",""pt"")"),"Backactors")</f>
        <v>Backactors</v>
      </c>
      <c r="H304" s="24"/>
      <c r="I304" s="24"/>
    </row>
    <row r="305" spans="1:9" ht="14.5">
      <c r="A305" s="20" t="s">
        <v>35235</v>
      </c>
      <c r="B305" s="20">
        <v>40</v>
      </c>
      <c r="C305" s="20">
        <v>70</v>
      </c>
      <c r="D305" s="20">
        <v>90</v>
      </c>
      <c r="E305" s="20">
        <v>24</v>
      </c>
      <c r="F305" s="20" t="s">
        <v>35236</v>
      </c>
      <c r="G305" s="24" t="str">
        <f ca="1">IFERROR(__xludf.DUMMYFUNCTION("GOOGLETRANSLATE(F305,""en"",""pt"")"),"draglines")</f>
        <v>draglines</v>
      </c>
      <c r="H305" s="24"/>
      <c r="I305" s="24"/>
    </row>
    <row r="306" spans="1:9" ht="14.5">
      <c r="A306" s="20" t="s">
        <v>35237</v>
      </c>
      <c r="B306" s="20">
        <v>40</v>
      </c>
      <c r="C306" s="20">
        <v>70</v>
      </c>
      <c r="D306" s="20">
        <v>90</v>
      </c>
      <c r="E306" s="20">
        <v>28</v>
      </c>
      <c r="F306" s="20" t="s">
        <v>35238</v>
      </c>
      <c r="G306" s="24" t="str">
        <f ca="1">IFERROR(__xludf.DUMMYFUNCTION("GOOGLETRANSLATE(F306,""en"",""pt"")"),"tapetes escavadora")</f>
        <v>tapetes escavadora</v>
      </c>
      <c r="H306" s="24"/>
      <c r="I306" s="24"/>
    </row>
    <row r="307" spans="1:9" ht="14.5">
      <c r="A307" s="20" t="s">
        <v>35239</v>
      </c>
      <c r="B307" s="20">
        <v>40</v>
      </c>
      <c r="C307" s="20">
        <v>70</v>
      </c>
      <c r="D307" s="20">
        <v>90</v>
      </c>
      <c r="E307" s="20">
        <v>29</v>
      </c>
      <c r="F307" s="20" t="s">
        <v>35240</v>
      </c>
      <c r="G307" s="24" t="str">
        <f ca="1">IFERROR(__xludf.DUMMYFUNCTION("GOOGLETRANSLATE(F307,""en"",""pt"")"),"pás rosto")</f>
        <v>pás rosto</v>
      </c>
      <c r="H307" s="24"/>
      <c r="I307" s="24"/>
    </row>
    <row r="308" spans="1:9" ht="14.5">
      <c r="A308" s="20" t="s">
        <v>35241</v>
      </c>
      <c r="B308" s="20">
        <v>40</v>
      </c>
      <c r="C308" s="20">
        <v>70</v>
      </c>
      <c r="D308" s="20">
        <v>90</v>
      </c>
      <c r="E308" s="20">
        <v>37</v>
      </c>
      <c r="F308" s="20" t="s">
        <v>35242</v>
      </c>
      <c r="G308" s="24" t="str">
        <f ca="1">IFERROR(__xludf.DUMMYFUNCTION("GOOGLETRANSLATE(F308,""en"",""pt"")"),"escarificadores tipo charneira")</f>
        <v>escarificadores tipo charneira</v>
      </c>
      <c r="H308" s="24"/>
      <c r="I308" s="24"/>
    </row>
    <row r="309" spans="1:9" ht="14.5">
      <c r="A309" s="20" t="s">
        <v>35243</v>
      </c>
      <c r="B309" s="20">
        <v>40</v>
      </c>
      <c r="C309" s="20">
        <v>70</v>
      </c>
      <c r="D309" s="20">
        <v>90</v>
      </c>
      <c r="E309" s="20">
        <v>60</v>
      </c>
      <c r="F309" s="20" t="s">
        <v>35244</v>
      </c>
      <c r="G309" s="24" t="str">
        <f ca="1">IFERROR(__xludf.DUMMYFUNCTION("GOOGLETRANSLATE(F309,""en"",""pt"")"),"escarificadores do tipo paralelogramo")</f>
        <v>escarificadores do tipo paralelogramo</v>
      </c>
      <c r="H309" s="24"/>
      <c r="I309" s="24"/>
    </row>
    <row r="310" spans="1:9" ht="14.5">
      <c r="A310" s="20" t="s">
        <v>35245</v>
      </c>
      <c r="B310" s="20">
        <v>40</v>
      </c>
      <c r="C310" s="20">
        <v>70</v>
      </c>
      <c r="D310" s="20">
        <v>90</v>
      </c>
      <c r="E310" s="20">
        <v>63</v>
      </c>
      <c r="F310" s="20" t="s">
        <v>35246</v>
      </c>
      <c r="G310" s="24" t="str">
        <f ca="1">IFERROR(__xludf.DUMMYFUNCTION("GOOGLETRANSLATE(F310,""en"",""pt"")"),"disjuntores de percussão")</f>
        <v>disjuntores de percussão</v>
      </c>
      <c r="H310" s="24"/>
      <c r="I310" s="24"/>
    </row>
    <row r="311" spans="1:9" ht="14.5">
      <c r="A311" s="20" t="s">
        <v>35247</v>
      </c>
      <c r="B311" s="20">
        <v>40</v>
      </c>
      <c r="C311" s="20">
        <v>70</v>
      </c>
      <c r="D311" s="20">
        <v>90</v>
      </c>
      <c r="E311" s="20">
        <v>90</v>
      </c>
      <c r="F311" s="20" t="s">
        <v>35248</v>
      </c>
      <c r="G311" s="24" t="str">
        <f ca="1">IFERROR(__xludf.DUMMYFUNCTION("GOOGLETRANSLATE(F311,""en"",""pt"")"),"Trenchers")</f>
        <v>Trenchers</v>
      </c>
      <c r="H311" s="24"/>
      <c r="I311" s="24"/>
    </row>
    <row r="312" spans="1:9" ht="14.5">
      <c r="A312" s="20" t="s">
        <v>35249</v>
      </c>
      <c r="B312" s="20">
        <v>40</v>
      </c>
      <c r="C312" s="20">
        <v>70</v>
      </c>
      <c r="D312" s="20">
        <v>90</v>
      </c>
      <c r="E312" s="20">
        <v>94</v>
      </c>
      <c r="F312" s="20" t="s">
        <v>35250</v>
      </c>
      <c r="G312" s="24" t="str">
        <f ca="1">IFERROR(__xludf.DUMMYFUNCTION("GOOGLETRANSLATE(F312,""en"",""pt"")"),"rippers de geometria variável")</f>
        <v>rippers de geometria variável</v>
      </c>
      <c r="H312" s="24"/>
      <c r="I312" s="24"/>
    </row>
    <row r="313" spans="1:9" ht="14.5">
      <c r="A313" s="20" t="s">
        <v>35251</v>
      </c>
      <c r="B313" s="20">
        <v>50</v>
      </c>
      <c r="C313" s="24"/>
      <c r="D313" s="24"/>
      <c r="E313" s="24"/>
      <c r="F313" s="20" t="s">
        <v>35252</v>
      </c>
      <c r="G313" s="24" t="str">
        <f ca="1">IFERROR(__xludf.DUMMYFUNCTION("GOOGLETRANSLATE(F313,""en"",""pt"")"),"Tunneling, perfuração e equipamento de compactação")</f>
        <v>Tunneling, perfuração e equipamento de compactação</v>
      </c>
      <c r="H313" s="24"/>
      <c r="I313" s="24"/>
    </row>
    <row r="314" spans="1:9" ht="14.5">
      <c r="A314" s="20" t="s">
        <v>35253</v>
      </c>
      <c r="B314" s="20">
        <v>50</v>
      </c>
      <c r="C314" s="20">
        <v>10</v>
      </c>
      <c r="D314" s="24"/>
      <c r="E314" s="24"/>
      <c r="F314" s="20" t="s">
        <v>35254</v>
      </c>
      <c r="G314" s="24" t="str">
        <f ca="1">IFERROR(__xludf.DUMMYFUNCTION("GOOGLETRANSLATE(F314,""en"",""pt"")"),"e máquinas de escavação de eixo")</f>
        <v>e máquinas de escavação de eixo</v>
      </c>
      <c r="H314" s="24"/>
      <c r="I314" s="24"/>
    </row>
    <row r="315" spans="1:9" ht="14.5">
      <c r="A315" s="20" t="s">
        <v>35255</v>
      </c>
      <c r="B315" s="20">
        <v>50</v>
      </c>
      <c r="C315" s="20">
        <v>10</v>
      </c>
      <c r="D315" s="20">
        <v>10</v>
      </c>
      <c r="E315" s="24"/>
      <c r="F315" s="20" t="s">
        <v>35256</v>
      </c>
      <c r="G315" s="24" t="str">
        <f ca="1">IFERROR(__xludf.DUMMYFUNCTION("GOOGLETRANSLATE(F315,""en"",""pt"")"),"equipamentos de jateamento")</f>
        <v>equipamentos de jateamento</v>
      </c>
      <c r="H315" s="24"/>
      <c r="I315" s="24"/>
    </row>
    <row r="316" spans="1:9" ht="14.5">
      <c r="A316" s="20" t="s">
        <v>35257</v>
      </c>
      <c r="B316" s="20">
        <v>50</v>
      </c>
      <c r="C316" s="20">
        <v>10</v>
      </c>
      <c r="D316" s="20">
        <v>10</v>
      </c>
      <c r="E316" s="20">
        <v>23</v>
      </c>
      <c r="F316" s="20" t="s">
        <v>35258</v>
      </c>
      <c r="G316" s="24" t="str">
        <f ca="1">IFERROR(__xludf.DUMMYFUNCTION("GOOGLETRANSLATE(F316,""en"",""pt"")"),"detonadores")</f>
        <v>detonadores</v>
      </c>
      <c r="H316" s="24"/>
      <c r="I316" s="24"/>
    </row>
    <row r="317" spans="1:9" ht="14.5">
      <c r="A317" s="20" t="s">
        <v>35259</v>
      </c>
      <c r="B317" s="20">
        <v>50</v>
      </c>
      <c r="C317" s="20">
        <v>10</v>
      </c>
      <c r="D317" s="20">
        <v>10</v>
      </c>
      <c r="E317" s="20">
        <v>28</v>
      </c>
      <c r="F317" s="20" t="s">
        <v>35260</v>
      </c>
      <c r="G317" s="24" t="str">
        <f ca="1">IFERROR(__xludf.DUMMYFUNCTION("GOOGLETRANSLATE(F317,""en"",""pt"")"),"explosivos")</f>
        <v>explosivos</v>
      </c>
      <c r="H317" s="24"/>
      <c r="I317" s="24"/>
    </row>
    <row r="318" spans="1:9" ht="14.5">
      <c r="A318" s="20" t="s">
        <v>35261</v>
      </c>
      <c r="B318" s="20">
        <v>50</v>
      </c>
      <c r="C318" s="20">
        <v>10</v>
      </c>
      <c r="D318" s="20">
        <v>20</v>
      </c>
      <c r="E318" s="24"/>
      <c r="F318" s="20" t="s">
        <v>35262</v>
      </c>
      <c r="G318" s="24" t="str">
        <f ca="1">IFERROR(__xludf.DUMMYFUNCTION("GOOGLETRANSLATE(F318,""en"",""pt"")"),"máquinas de corte")</f>
        <v>máquinas de corte</v>
      </c>
      <c r="H318" s="24"/>
      <c r="I318" s="24"/>
    </row>
    <row r="319" spans="1:9" ht="14.5">
      <c r="A319" s="20" t="s">
        <v>35263</v>
      </c>
      <c r="B319" s="20">
        <v>50</v>
      </c>
      <c r="C319" s="20">
        <v>10</v>
      </c>
      <c r="D319" s="20">
        <v>20</v>
      </c>
      <c r="E319" s="20">
        <v>60</v>
      </c>
      <c r="F319" s="20" t="s">
        <v>35264</v>
      </c>
      <c r="G319" s="24" t="str">
        <f ca="1">IFERROR(__xludf.DUMMYFUNCTION("GOOGLETRANSLATE(F319,""en"",""pt"")"),"máquinas de corte parciais")</f>
        <v>máquinas de corte parciais</v>
      </c>
      <c r="H319" s="24"/>
      <c r="I319" s="24"/>
    </row>
    <row r="320" spans="1:9" ht="14.5">
      <c r="A320" s="20" t="s">
        <v>35265</v>
      </c>
      <c r="B320" s="20">
        <v>50</v>
      </c>
      <c r="C320" s="20">
        <v>10</v>
      </c>
      <c r="D320" s="20">
        <v>20</v>
      </c>
      <c r="E320" s="20">
        <v>88</v>
      </c>
      <c r="F320" s="20" t="s">
        <v>35266</v>
      </c>
      <c r="G320" s="24" t="str">
        <f ca="1">IFERROR(__xludf.DUMMYFUNCTION("GOOGLETRANSLATE(F320,""en"",""pt"")"),"material de sondagem Thrust")</f>
        <v>material de sondagem Thrust</v>
      </c>
      <c r="H320" s="24"/>
      <c r="I320" s="24"/>
    </row>
    <row r="321" spans="1:9" ht="14.5">
      <c r="A321" s="20" t="s">
        <v>35267</v>
      </c>
      <c r="B321" s="20">
        <v>50</v>
      </c>
      <c r="C321" s="20">
        <v>10</v>
      </c>
      <c r="D321" s="20">
        <v>30</v>
      </c>
      <c r="E321" s="24"/>
      <c r="F321" s="20" t="s">
        <v>35268</v>
      </c>
      <c r="G321" s="24" t="str">
        <f ca="1">IFERROR(__xludf.DUMMYFUNCTION("GOOGLETRANSLATE(F321,""en"",""pt"")"),"veículos de perfuração")</f>
        <v>veículos de perfuração</v>
      </c>
      <c r="H321" s="24"/>
      <c r="I321" s="24"/>
    </row>
    <row r="322" spans="1:9" ht="14.5">
      <c r="A322" s="20" t="s">
        <v>35269</v>
      </c>
      <c r="B322" s="20">
        <v>50</v>
      </c>
      <c r="C322" s="20">
        <v>10</v>
      </c>
      <c r="D322" s="20">
        <v>40</v>
      </c>
      <c r="E322" s="24"/>
      <c r="F322" s="20" t="s">
        <v>35270</v>
      </c>
      <c r="G322" s="24" t="str">
        <f ca="1">IFERROR(__xludf.DUMMYFUNCTION("GOOGLETRANSLATE(F322,""en"",""pt"")"),"veículos explosivos")</f>
        <v>veículos explosivos</v>
      </c>
      <c r="H322" s="24"/>
      <c r="I322" s="24"/>
    </row>
    <row r="323" spans="1:9" ht="14.5">
      <c r="A323" s="20" t="s">
        <v>35271</v>
      </c>
      <c r="B323" s="20">
        <v>50</v>
      </c>
      <c r="C323" s="20">
        <v>10</v>
      </c>
      <c r="D323" s="20">
        <v>70</v>
      </c>
      <c r="E323" s="24"/>
      <c r="F323" s="20" t="s">
        <v>35272</v>
      </c>
      <c r="G323" s="24" t="str">
        <f ca="1">IFERROR(__xludf.DUMMYFUNCTION("GOOGLETRANSLATE(F323,""en"",""pt"")"),"equipamentos de imprensa áspero")</f>
        <v>equipamentos de imprensa áspero</v>
      </c>
      <c r="H323" s="24"/>
      <c r="I323" s="24"/>
    </row>
    <row r="324" spans="1:9" ht="14.5">
      <c r="A324" s="20" t="s">
        <v>35273</v>
      </c>
      <c r="B324" s="20">
        <v>50</v>
      </c>
      <c r="C324" s="20">
        <v>10</v>
      </c>
      <c r="D324" s="20">
        <v>80</v>
      </c>
      <c r="E324" s="24"/>
      <c r="F324" s="20" t="s">
        <v>35274</v>
      </c>
      <c r="G324" s="24" t="str">
        <f ca="1">IFERROR(__xludf.DUMMYFUNCTION("GOOGLETRANSLATE(F324,""en"",""pt"")"),"Shields")</f>
        <v>Shields</v>
      </c>
      <c r="H324" s="24"/>
      <c r="I324" s="24"/>
    </row>
    <row r="325" spans="1:9" ht="14.5">
      <c r="A325" s="20" t="s">
        <v>35275</v>
      </c>
      <c r="B325" s="20">
        <v>50</v>
      </c>
      <c r="C325" s="20">
        <v>10</v>
      </c>
      <c r="D325" s="20">
        <v>80</v>
      </c>
      <c r="E325" s="20">
        <v>20</v>
      </c>
      <c r="F325" s="20" t="s">
        <v>35276</v>
      </c>
      <c r="G325" s="24" t="str">
        <f ca="1">IFERROR(__xludf.DUMMYFUNCTION("GOOGLETRANSLATE(F325,""en"",""pt"")"),"escudos cortador")</f>
        <v>escudos cortador</v>
      </c>
      <c r="H325" s="24"/>
      <c r="I325" s="24"/>
    </row>
    <row r="326" spans="1:9" ht="14.5">
      <c r="A326" s="20" t="s">
        <v>35277</v>
      </c>
      <c r="B326" s="20">
        <v>50</v>
      </c>
      <c r="C326" s="20">
        <v>10</v>
      </c>
      <c r="D326" s="20">
        <v>80</v>
      </c>
      <c r="E326" s="20">
        <v>91</v>
      </c>
      <c r="F326" s="20" t="s">
        <v>35278</v>
      </c>
      <c r="G326" s="24" t="str">
        <f ca="1">IFERROR(__xludf.DUMMYFUNCTION("GOOGLETRANSLATE(F326,""en"",""pt"")"),"escudos túnel")</f>
        <v>escudos túnel</v>
      </c>
      <c r="H326" s="24"/>
      <c r="I326" s="24"/>
    </row>
    <row r="327" spans="1:9" ht="14.5">
      <c r="A327" s="20" t="s">
        <v>35279</v>
      </c>
      <c r="B327" s="20">
        <v>50</v>
      </c>
      <c r="C327" s="20">
        <v>20</v>
      </c>
      <c r="D327" s="24"/>
      <c r="E327" s="24"/>
      <c r="F327" s="20" t="s">
        <v>35280</v>
      </c>
      <c r="G327" s="24" t="str">
        <f ca="1">IFERROR(__xludf.DUMMYFUNCTION("GOOGLETRANSLATE(F327,""en"",""pt"")"),"Perfuração, empilhamento e canal equipamentos aparar")</f>
        <v>Perfuração, empilhamento e canal equipamentos aparar</v>
      </c>
      <c r="H327" s="24"/>
      <c r="I327" s="24"/>
    </row>
    <row r="328" spans="1:9" ht="14.5">
      <c r="A328" s="20" t="s">
        <v>35281</v>
      </c>
      <c r="B328" s="20">
        <v>50</v>
      </c>
      <c r="C328" s="20">
        <v>20</v>
      </c>
      <c r="D328" s="20">
        <v>10</v>
      </c>
      <c r="E328" s="24"/>
      <c r="F328" s="20" t="s">
        <v>35282</v>
      </c>
      <c r="G328" s="24" t="str">
        <f ca="1">IFERROR(__xludf.DUMMYFUNCTION("GOOGLETRANSLATE(F328,""en"",""pt"")"),"máquinas de perfuração e planta")</f>
        <v>máquinas de perfuração e planta</v>
      </c>
      <c r="H328" s="24"/>
      <c r="I328" s="24"/>
    </row>
    <row r="329" spans="1:9" ht="14.5">
      <c r="A329" s="20" t="s">
        <v>35283</v>
      </c>
      <c r="B329" s="20">
        <v>50</v>
      </c>
      <c r="C329" s="20">
        <v>20</v>
      </c>
      <c r="D329" s="20">
        <v>10</v>
      </c>
      <c r="E329" s="20">
        <v>15</v>
      </c>
      <c r="F329" s="20" t="s">
        <v>35284</v>
      </c>
      <c r="G329" s="24" t="str">
        <f ca="1">IFERROR(__xludf.DUMMYFUNCTION("GOOGLETRANSLATE(F329,""en"",""pt"")"),"máquinas de corte de núcleo")</f>
        <v>máquinas de corte de núcleo</v>
      </c>
      <c r="H329" s="24"/>
      <c r="I329" s="24"/>
    </row>
    <row r="330" spans="1:9" ht="14.5">
      <c r="A330" s="20" t="s">
        <v>35285</v>
      </c>
      <c r="B330" s="20">
        <v>50</v>
      </c>
      <c r="C330" s="20">
        <v>20</v>
      </c>
      <c r="D330" s="20">
        <v>10</v>
      </c>
      <c r="E330" s="20">
        <v>36</v>
      </c>
      <c r="F330" s="20" t="s">
        <v>35286</v>
      </c>
      <c r="G330" s="24" t="str">
        <f ca="1">IFERROR(__xludf.DUMMYFUNCTION("GOOGLETRANSLATE(F330,""en"",""pt"")"),"brocas de martelo-ação")</f>
        <v>brocas de martelo-ação</v>
      </c>
      <c r="H330" s="24"/>
      <c r="I330" s="24"/>
    </row>
    <row r="331" spans="1:9" ht="14.5">
      <c r="A331" s="20" t="s">
        <v>35287</v>
      </c>
      <c r="B331" s="20">
        <v>50</v>
      </c>
      <c r="C331" s="20">
        <v>20</v>
      </c>
      <c r="D331" s="20">
        <v>10</v>
      </c>
      <c r="E331" s="20">
        <v>63</v>
      </c>
      <c r="F331" s="20" t="s">
        <v>35288</v>
      </c>
      <c r="G331" s="24" t="str">
        <f ca="1">IFERROR(__xludf.DUMMYFUNCTION("GOOGLETRANSLATE(F331,""en"",""pt"")"),"máquinas de perfuração Pile")</f>
        <v>máquinas de perfuração Pile</v>
      </c>
      <c r="H331" s="24"/>
      <c r="I331" s="24"/>
    </row>
    <row r="332" spans="1:9" ht="14.5">
      <c r="A332" s="20" t="s">
        <v>35289</v>
      </c>
      <c r="B332" s="20">
        <v>50</v>
      </c>
      <c r="C332" s="20">
        <v>20</v>
      </c>
      <c r="D332" s="20">
        <v>10</v>
      </c>
      <c r="E332" s="20">
        <v>65</v>
      </c>
      <c r="F332" s="20" t="s">
        <v>35290</v>
      </c>
      <c r="G332" s="24" t="str">
        <f ca="1">IFERROR(__xludf.DUMMYFUNCTION("GOOGLETRANSLATE(F332,""en"",""pt"")"),"Post e mastro máquinas de perfuração buraco")</f>
        <v>Post e mastro máquinas de perfuração buraco</v>
      </c>
      <c r="H332" s="24"/>
      <c r="I332" s="24"/>
    </row>
    <row r="333" spans="1:9" ht="14.5">
      <c r="A333" s="20" t="s">
        <v>35291</v>
      </c>
      <c r="B333" s="20">
        <v>50</v>
      </c>
      <c r="C333" s="20">
        <v>20</v>
      </c>
      <c r="D333" s="20">
        <v>10</v>
      </c>
      <c r="E333" s="20">
        <v>66</v>
      </c>
      <c r="F333" s="20" t="s">
        <v>35292</v>
      </c>
      <c r="G333" s="24" t="str">
        <f ca="1">IFERROR(__xludf.DUMMYFUNCTION("GOOGLETRANSLATE(F333,""en"",""pt"")"),"máquinas de perfuração pressão")</f>
        <v>máquinas de perfuração pressão</v>
      </c>
      <c r="H333" s="24"/>
      <c r="I333" s="24"/>
    </row>
    <row r="334" spans="1:9" ht="14.5">
      <c r="A334" s="20" t="s">
        <v>35293</v>
      </c>
      <c r="B334" s="20">
        <v>50</v>
      </c>
      <c r="C334" s="20">
        <v>20</v>
      </c>
      <c r="D334" s="20">
        <v>10</v>
      </c>
      <c r="E334" s="20">
        <v>80</v>
      </c>
      <c r="F334" s="20" t="s">
        <v>35294</v>
      </c>
      <c r="G334" s="24" t="str">
        <f ca="1">IFERROR(__xludf.DUMMYFUNCTION("GOOGLETRANSLATE(F334,""en"",""pt"")"),"máquinas de perfuração de exploração do solo")</f>
        <v>máquinas de perfuração de exploração do solo</v>
      </c>
      <c r="H334" s="24"/>
      <c r="I334" s="24"/>
    </row>
    <row r="335" spans="1:9" ht="14.5">
      <c r="A335" s="20" t="s">
        <v>35295</v>
      </c>
      <c r="B335" s="20">
        <v>50</v>
      </c>
      <c r="C335" s="20">
        <v>20</v>
      </c>
      <c r="D335" s="20">
        <v>10</v>
      </c>
      <c r="E335" s="20">
        <v>86</v>
      </c>
      <c r="F335" s="20" t="s">
        <v>35296</v>
      </c>
      <c r="G335" s="24" t="str">
        <f ca="1">IFERROR(__xludf.DUMMYFUNCTION("GOOGLETRANSLATE(F335,""en"",""pt"")"),"sistemas de perfuração de sucção")</f>
        <v>sistemas de perfuração de sucção</v>
      </c>
      <c r="H335" s="24"/>
      <c r="I335" s="24"/>
    </row>
    <row r="336" spans="1:9" ht="14.5">
      <c r="A336" s="20" t="s">
        <v>35297</v>
      </c>
      <c r="B336" s="20">
        <v>50</v>
      </c>
      <c r="C336" s="20">
        <v>20</v>
      </c>
      <c r="D336" s="20">
        <v>10</v>
      </c>
      <c r="E336" s="20">
        <v>97</v>
      </c>
      <c r="F336" s="20" t="s">
        <v>35298</v>
      </c>
      <c r="G336" s="24" t="str">
        <f ca="1">IFERROR(__xludf.DUMMYFUNCTION("GOOGLETRANSLATE(F336,""en"",""pt"")"),"sistemas de perfuração de poço")</f>
        <v>sistemas de perfuração de poço</v>
      </c>
      <c r="H336" s="24"/>
      <c r="I336" s="24"/>
    </row>
    <row r="337" spans="1:9" ht="14.5">
      <c r="A337" s="20" t="s">
        <v>35299</v>
      </c>
      <c r="B337" s="20">
        <v>50</v>
      </c>
      <c r="C337" s="20">
        <v>20</v>
      </c>
      <c r="D337" s="20">
        <v>20</v>
      </c>
      <c r="E337" s="24"/>
      <c r="F337" s="20" t="s">
        <v>35300</v>
      </c>
      <c r="G337" s="24" t="str">
        <f ca="1">IFERROR(__xludf.DUMMYFUNCTION("GOOGLETRANSLATE(F337,""en"",""pt"")"),"bate-estacas e ferramentas puxando")</f>
        <v>bate-estacas e ferramentas puxando</v>
      </c>
      <c r="H337" s="24"/>
      <c r="I337" s="24"/>
    </row>
    <row r="338" spans="1:9" ht="14.5">
      <c r="A338" s="20" t="s">
        <v>35301</v>
      </c>
      <c r="B338" s="20">
        <v>50</v>
      </c>
      <c r="C338" s="20">
        <v>20</v>
      </c>
      <c r="D338" s="20">
        <v>20</v>
      </c>
      <c r="E338" s="20">
        <v>21</v>
      </c>
      <c r="F338" s="20" t="s">
        <v>35302</v>
      </c>
      <c r="G338" s="24" t="str">
        <f ca="1">IFERROR(__xludf.DUMMYFUNCTION("GOOGLETRANSLATE(F338,""en"",""pt"")"),"martelos diesel")</f>
        <v>martelos diesel</v>
      </c>
      <c r="H338" s="24"/>
      <c r="I338" s="24"/>
    </row>
    <row r="339" spans="1:9" ht="14.5">
      <c r="A339" s="20" t="s">
        <v>35303</v>
      </c>
      <c r="B339" s="20">
        <v>50</v>
      </c>
      <c r="C339" s="20">
        <v>20</v>
      </c>
      <c r="D339" s="20">
        <v>20</v>
      </c>
      <c r="E339" s="20">
        <v>22</v>
      </c>
      <c r="F339" s="20" t="s">
        <v>35304</v>
      </c>
      <c r="G339" s="24" t="str">
        <f ca="1">IFERROR(__xludf.DUMMYFUNCTION("GOOGLETRANSLATE(F339,""en"",""pt"")"),"Dupla ação martelos de empilhamento")</f>
        <v>Dupla ação martelos de empilhamento</v>
      </c>
      <c r="H339" s="24"/>
      <c r="I339" s="24"/>
    </row>
    <row r="340" spans="1:9" ht="14.5">
      <c r="A340" s="20" t="s">
        <v>35305</v>
      </c>
      <c r="B340" s="20">
        <v>50</v>
      </c>
      <c r="C340" s="20">
        <v>20</v>
      </c>
      <c r="D340" s="20">
        <v>20</v>
      </c>
      <c r="E340" s="20">
        <v>23</v>
      </c>
      <c r="F340" s="20" t="s">
        <v>35306</v>
      </c>
      <c r="G340" s="24" t="str">
        <f ca="1">IFERROR(__xludf.DUMMYFUNCTION("GOOGLETRANSLATE(F340,""en"",""pt"")"),"martelos de queda")</f>
        <v>martelos de queda</v>
      </c>
      <c r="H340" s="24"/>
      <c r="I340" s="24"/>
    </row>
    <row r="341" spans="1:9" ht="14.5">
      <c r="A341" s="20" t="s">
        <v>35307</v>
      </c>
      <c r="B341" s="20">
        <v>50</v>
      </c>
      <c r="C341" s="20">
        <v>20</v>
      </c>
      <c r="D341" s="20">
        <v>20</v>
      </c>
      <c r="E341" s="20">
        <v>28</v>
      </c>
      <c r="F341" s="20" t="s">
        <v>35308</v>
      </c>
      <c r="G341" s="24" t="str">
        <f ca="1">IFERROR(__xludf.DUMMYFUNCTION("GOOGLETRANSLATE(F341,""en"",""pt"")"),"extratores")</f>
        <v>extratores</v>
      </c>
      <c r="H341" s="24"/>
      <c r="I341" s="24"/>
    </row>
    <row r="342" spans="1:9" ht="14.5">
      <c r="A342" s="20" t="s">
        <v>35309</v>
      </c>
      <c r="B342" s="20">
        <v>50</v>
      </c>
      <c r="C342" s="20">
        <v>20</v>
      </c>
      <c r="D342" s="20">
        <v>20</v>
      </c>
      <c r="E342" s="20">
        <v>42</v>
      </c>
      <c r="F342" s="20" t="s">
        <v>35310</v>
      </c>
      <c r="G342" s="24" t="str">
        <f ca="1">IFERROR(__xludf.DUMMYFUNCTION("GOOGLETRANSLATE(F342,""en"",""pt"")"),"martelos de impulso")</f>
        <v>martelos de impulso</v>
      </c>
      <c r="H342" s="24"/>
      <c r="I342" s="24"/>
    </row>
    <row r="343" spans="1:9" ht="14.5">
      <c r="A343" s="20" t="s">
        <v>35311</v>
      </c>
      <c r="B343" s="20">
        <v>50</v>
      </c>
      <c r="C343" s="20">
        <v>20</v>
      </c>
      <c r="D343" s="20">
        <v>20</v>
      </c>
      <c r="E343" s="20">
        <v>43</v>
      </c>
      <c r="F343" s="20" t="s">
        <v>35312</v>
      </c>
      <c r="G343" s="24" t="str">
        <f ca="1">IFERROR(__xludf.DUMMYFUNCTION("GOOGLETRANSLATE(F343,""en"",""pt"")"),"martelos queda interna")</f>
        <v>martelos queda interna</v>
      </c>
      <c r="H343" s="24"/>
      <c r="I343" s="24"/>
    </row>
    <row r="344" spans="1:9" ht="14.5">
      <c r="A344" s="20" t="s">
        <v>35313</v>
      </c>
      <c r="B344" s="20">
        <v>50</v>
      </c>
      <c r="C344" s="20">
        <v>20</v>
      </c>
      <c r="D344" s="20">
        <v>20</v>
      </c>
      <c r="E344" s="20">
        <v>94</v>
      </c>
      <c r="F344" s="20" t="s">
        <v>35314</v>
      </c>
      <c r="G344" s="24" t="str">
        <f ca="1">IFERROR(__xludf.DUMMYFUNCTION("GOOGLETRANSLATE(F344,""en"",""pt"")"),"vibrando extratores")</f>
        <v>vibrando extratores</v>
      </c>
      <c r="H344" s="24"/>
      <c r="I344" s="24"/>
    </row>
    <row r="345" spans="1:9" ht="14.5">
      <c r="A345" s="20" t="s">
        <v>35315</v>
      </c>
      <c r="B345" s="20">
        <v>50</v>
      </c>
      <c r="C345" s="20">
        <v>20</v>
      </c>
      <c r="D345" s="20">
        <v>20</v>
      </c>
      <c r="E345" s="20">
        <v>95</v>
      </c>
      <c r="F345" s="20" t="s">
        <v>35316</v>
      </c>
      <c r="G345" s="24" t="str">
        <f ca="1">IFERROR(__xludf.DUMMYFUNCTION("GOOGLETRANSLATE(F345,""en"",""pt"")"),"vibrando martelos")</f>
        <v>vibrando martelos</v>
      </c>
      <c r="H345" s="24"/>
      <c r="I345" s="24"/>
    </row>
    <row r="346" spans="1:9" ht="14.5">
      <c r="A346" s="20" t="s">
        <v>35317</v>
      </c>
      <c r="B346" s="20">
        <v>50</v>
      </c>
      <c r="C346" s="20">
        <v>20</v>
      </c>
      <c r="D346" s="20">
        <v>30</v>
      </c>
      <c r="E346" s="24"/>
      <c r="F346" s="20" t="s">
        <v>35318</v>
      </c>
      <c r="G346" s="24" t="str">
        <f ca="1">IFERROR(__xludf.DUMMYFUNCTION("GOOGLETRANSLATE(F346,""en"",""pt"")"),"planta empilhando Auger")</f>
        <v>planta empilhando Auger</v>
      </c>
      <c r="H346" s="24"/>
      <c r="I346" s="24"/>
    </row>
    <row r="347" spans="1:9" ht="14.5">
      <c r="A347" s="20" t="s">
        <v>35319</v>
      </c>
      <c r="B347" s="20">
        <v>50</v>
      </c>
      <c r="C347" s="20">
        <v>20</v>
      </c>
      <c r="D347" s="20">
        <v>30</v>
      </c>
      <c r="E347" s="20">
        <v>15</v>
      </c>
      <c r="F347" s="20" t="s">
        <v>35320</v>
      </c>
      <c r="G347" s="24" t="str">
        <f ca="1">IFERROR(__xludf.DUMMYFUNCTION("GOOGLETRANSLATE(F347,""en"",""pt"")"),"brocas vôo contínuo")</f>
        <v>brocas vôo contínuo</v>
      </c>
      <c r="H347" s="24"/>
      <c r="I347" s="24"/>
    </row>
    <row r="348" spans="1:9" ht="14.5">
      <c r="A348" s="20" t="s">
        <v>35321</v>
      </c>
      <c r="B348" s="20">
        <v>50</v>
      </c>
      <c r="C348" s="20">
        <v>20</v>
      </c>
      <c r="D348" s="20">
        <v>30</v>
      </c>
      <c r="E348" s="20">
        <v>23</v>
      </c>
      <c r="F348" s="20" t="s">
        <v>35322</v>
      </c>
      <c r="G348" s="24" t="str">
        <f ca="1">IFERROR(__xludf.DUMMYFUNCTION("GOOGLETRANSLATE(F348,""en"",""pt"")"),"brocas de deslocamento")</f>
        <v>brocas de deslocamento</v>
      </c>
      <c r="H348" s="24"/>
      <c r="I348" s="24"/>
    </row>
    <row r="349" spans="1:9" ht="14.5">
      <c r="A349" s="20" t="s">
        <v>35323</v>
      </c>
      <c r="B349" s="20">
        <v>50</v>
      </c>
      <c r="C349" s="20">
        <v>20</v>
      </c>
      <c r="D349" s="20">
        <v>40</v>
      </c>
      <c r="E349" s="24"/>
      <c r="F349" s="20" t="s">
        <v>35324</v>
      </c>
      <c r="G349" s="24" t="str">
        <f ca="1">IFERROR(__xludf.DUMMYFUNCTION("GOOGLETRANSLATE(F349,""en"",""pt"")"),"empilhando acessórios")</f>
        <v>empilhando acessórios</v>
      </c>
      <c r="H349" s="24"/>
      <c r="I349" s="24"/>
    </row>
    <row r="350" spans="1:9" ht="14.5">
      <c r="A350" s="20" t="s">
        <v>35325</v>
      </c>
      <c r="B350" s="20">
        <v>50</v>
      </c>
      <c r="C350" s="20">
        <v>20</v>
      </c>
      <c r="D350" s="20">
        <v>40</v>
      </c>
      <c r="E350" s="20">
        <v>23</v>
      </c>
      <c r="F350" s="20" t="s">
        <v>35326</v>
      </c>
      <c r="G350" s="24" t="str">
        <f ca="1">IFERROR(__xludf.DUMMYFUNCTION("GOOGLETRANSLATE(F350,""en"",""pt"")"),"zorras")</f>
        <v>zorras</v>
      </c>
      <c r="H350" s="24"/>
      <c r="I350" s="24"/>
    </row>
    <row r="351" spans="1:9" ht="14.5">
      <c r="A351" s="20" t="s">
        <v>35327</v>
      </c>
      <c r="B351" s="20">
        <v>50</v>
      </c>
      <c r="C351" s="20">
        <v>20</v>
      </c>
      <c r="D351" s="20">
        <v>40</v>
      </c>
      <c r="E351" s="20">
        <v>36</v>
      </c>
      <c r="F351" s="20" t="s">
        <v>35328</v>
      </c>
      <c r="G351" s="24" t="str">
        <f ca="1">IFERROR(__xludf.DUMMYFUNCTION("GOOGLETRANSLATE(F351,""en"",""pt"")"),"líderes de suspensão")</f>
        <v>líderes de suspensão</v>
      </c>
      <c r="H351" s="24"/>
      <c r="I351" s="24"/>
    </row>
    <row r="352" spans="1:9" ht="14.5">
      <c r="A352" s="20" t="s">
        <v>35329</v>
      </c>
      <c r="B352" s="20">
        <v>50</v>
      </c>
      <c r="C352" s="20">
        <v>20</v>
      </c>
      <c r="D352" s="20">
        <v>40</v>
      </c>
      <c r="E352" s="20">
        <v>64</v>
      </c>
      <c r="F352" s="20" t="s">
        <v>35330</v>
      </c>
      <c r="G352" s="24" t="str">
        <f ca="1">IFERROR(__xludf.DUMMYFUNCTION("GOOGLETRANSLATE(F352,""en"",""pt"")"),"capacetes pilha")</f>
        <v>capacetes pilha</v>
      </c>
      <c r="H352" s="24"/>
      <c r="I352" s="24"/>
    </row>
    <row r="353" spans="1:9" ht="14.5">
      <c r="A353" s="20" t="s">
        <v>35331</v>
      </c>
      <c r="B353" s="20">
        <v>50</v>
      </c>
      <c r="C353" s="20">
        <v>20</v>
      </c>
      <c r="D353" s="20">
        <v>60</v>
      </c>
      <c r="E353" s="24"/>
      <c r="F353" s="20" t="s">
        <v>35332</v>
      </c>
      <c r="G353" s="24" t="str">
        <f ca="1">IFERROR(__xludf.DUMMYFUNCTION("GOOGLETRANSLATE(F353,""en"",""pt"")"),"equipamentos Canal folhas")</f>
        <v>equipamentos Canal folhas</v>
      </c>
      <c r="H353" s="24"/>
      <c r="I353" s="24"/>
    </row>
    <row r="354" spans="1:9" ht="14.5">
      <c r="A354" s="20" t="s">
        <v>35333</v>
      </c>
      <c r="B354" s="20">
        <v>50</v>
      </c>
      <c r="C354" s="20">
        <v>20</v>
      </c>
      <c r="D354" s="20">
        <v>60</v>
      </c>
      <c r="E354" s="20">
        <v>2</v>
      </c>
      <c r="F354" s="20" t="s">
        <v>35334</v>
      </c>
      <c r="G354" s="24" t="str">
        <f ca="1">IFERROR(__xludf.DUMMYFUNCTION("GOOGLETRANSLATE(F354,""en"",""pt"")"),"struts trincheira de aço ajustáveis")</f>
        <v>struts trincheira de aço ajustáveis</v>
      </c>
      <c r="H354" s="24"/>
      <c r="I354" s="24"/>
    </row>
    <row r="355" spans="1:9" ht="14.5">
      <c r="A355" s="20" t="s">
        <v>35335</v>
      </c>
      <c r="B355" s="20">
        <v>50</v>
      </c>
      <c r="C355" s="20">
        <v>20</v>
      </c>
      <c r="D355" s="20">
        <v>60</v>
      </c>
      <c r="E355" s="20">
        <v>11</v>
      </c>
      <c r="F355" s="20" t="s">
        <v>35336</v>
      </c>
      <c r="G355" s="24" t="str">
        <f ca="1">IFERROR(__xludf.DUMMYFUNCTION("GOOGLETRANSLATE(F355,""en"",""pt"")"),"folhas de canal")</f>
        <v>folhas de canal</v>
      </c>
      <c r="H355" s="24"/>
      <c r="I355" s="24"/>
    </row>
    <row r="356" spans="1:9" ht="14.5">
      <c r="A356" s="20" t="s">
        <v>35337</v>
      </c>
      <c r="B356" s="20">
        <v>50</v>
      </c>
      <c r="C356" s="20">
        <v>20</v>
      </c>
      <c r="D356" s="20">
        <v>60</v>
      </c>
      <c r="E356" s="20">
        <v>12</v>
      </c>
      <c r="F356" s="20" t="s">
        <v>35338</v>
      </c>
      <c r="G356" s="24" t="str">
        <f ca="1">IFERROR(__xludf.DUMMYFUNCTION("GOOGLETRANSLATE(F356,""en"",""pt"")"),"canal escoramento")</f>
        <v>canal escoramento</v>
      </c>
      <c r="H356" s="24"/>
      <c r="I356" s="24"/>
    </row>
    <row r="357" spans="1:9" ht="14.5">
      <c r="A357" s="20" t="s">
        <v>35339</v>
      </c>
      <c r="B357" s="20">
        <v>50</v>
      </c>
      <c r="C357" s="20">
        <v>20</v>
      </c>
      <c r="D357" s="20">
        <v>60</v>
      </c>
      <c r="E357" s="20">
        <v>80</v>
      </c>
      <c r="F357" s="20" t="s">
        <v>35340</v>
      </c>
      <c r="G357" s="24" t="str">
        <f ca="1">IFERROR(__xludf.DUMMYFUNCTION("GOOGLETRANSLATE(F357,""en"",""pt"")"),"Deslizando-lâmina folhas")</f>
        <v>Deslizando-lâmina folhas</v>
      </c>
      <c r="H357" s="24"/>
      <c r="I357" s="24"/>
    </row>
    <row r="358" spans="1:9" ht="14.5">
      <c r="A358" s="20" t="s">
        <v>35341</v>
      </c>
      <c r="B358" s="20">
        <v>50</v>
      </c>
      <c r="C358" s="20">
        <v>20</v>
      </c>
      <c r="D358" s="20">
        <v>60</v>
      </c>
      <c r="E358" s="20">
        <v>85</v>
      </c>
      <c r="F358" s="20" t="s">
        <v>35342</v>
      </c>
      <c r="G358" s="24" t="str">
        <f ca="1">IFERROR(__xludf.DUMMYFUNCTION("GOOGLETRANSLATE(F358,""en"",""pt"")"),"folhas trincheira de aço")</f>
        <v>folhas trincheira de aço</v>
      </c>
      <c r="H358" s="24"/>
      <c r="I358" s="24"/>
    </row>
    <row r="359" spans="1:9" ht="14.5">
      <c r="A359" s="20" t="s">
        <v>35343</v>
      </c>
      <c r="B359" s="20">
        <v>50</v>
      </c>
      <c r="C359" s="20">
        <v>20</v>
      </c>
      <c r="D359" s="20">
        <v>60</v>
      </c>
      <c r="E359" s="20">
        <v>90</v>
      </c>
      <c r="F359" s="20" t="s">
        <v>35344</v>
      </c>
      <c r="G359" s="24" t="str">
        <f ca="1">IFERROR(__xludf.DUMMYFUNCTION("GOOGLETRANSLATE(F359,""en"",""pt"")"),"levantadores anel trincheira")</f>
        <v>levantadores anel trincheira</v>
      </c>
      <c r="H359" s="24"/>
      <c r="I359" s="24"/>
    </row>
    <row r="360" spans="1:9" ht="14.5">
      <c r="A360" s="20" t="s">
        <v>35345</v>
      </c>
      <c r="B360" s="20">
        <v>50</v>
      </c>
      <c r="C360" s="20">
        <v>20</v>
      </c>
      <c r="D360" s="20">
        <v>60</v>
      </c>
      <c r="E360" s="20">
        <v>91</v>
      </c>
      <c r="F360" s="20" t="s">
        <v>35346</v>
      </c>
      <c r="G360" s="24" t="str">
        <f ca="1">IFERROR(__xludf.DUMMYFUNCTION("GOOGLETRANSLATE(F360,""en"",""pt"")"),"struts trincheira e folhas")</f>
        <v>struts trincheira e folhas</v>
      </c>
      <c r="H360" s="24"/>
      <c r="I360" s="24"/>
    </row>
    <row r="361" spans="1:9" ht="14.5">
      <c r="A361" s="20" t="s">
        <v>35347</v>
      </c>
      <c r="B361" s="20">
        <v>50</v>
      </c>
      <c r="C361" s="20">
        <v>30</v>
      </c>
      <c r="D361" s="24"/>
      <c r="E361" s="24"/>
      <c r="F361" s="20" t="s">
        <v>35348</v>
      </c>
      <c r="G361" s="24" t="str">
        <f ca="1">IFERROR(__xludf.DUMMYFUNCTION("GOOGLETRANSLATE(F361,""en"",""pt"")"),"equipamento de compactação")</f>
        <v>equipamento de compactação</v>
      </c>
      <c r="H361" s="24"/>
      <c r="I361" s="24"/>
    </row>
    <row r="362" spans="1:9" ht="14.5">
      <c r="A362" s="20" t="s">
        <v>35349</v>
      </c>
      <c r="B362" s="20">
        <v>50</v>
      </c>
      <c r="C362" s="20">
        <v>30</v>
      </c>
      <c r="D362" s="20">
        <v>10</v>
      </c>
      <c r="E362" s="24"/>
      <c r="F362" s="20" t="s">
        <v>35350</v>
      </c>
      <c r="G362" s="24" t="str">
        <f ca="1">IFERROR(__xludf.DUMMYFUNCTION("GOOGLETRANSLATE(F362,""en"",""pt"")"),"rolos")</f>
        <v>rolos</v>
      </c>
      <c r="H362" s="24"/>
      <c r="I362" s="24"/>
    </row>
    <row r="363" spans="1:9" ht="14.5">
      <c r="A363" s="20" t="s">
        <v>35351</v>
      </c>
      <c r="B363" s="20">
        <v>50</v>
      </c>
      <c r="C363" s="20">
        <v>30</v>
      </c>
      <c r="D363" s="20">
        <v>10</v>
      </c>
      <c r="E363" s="20">
        <v>15</v>
      </c>
      <c r="F363" s="20" t="s">
        <v>35352</v>
      </c>
      <c r="G363" s="24" t="str">
        <f ca="1">IFERROR(__xludf.DUMMYFUNCTION("GOOGLETRANSLATE(F363,""en"",""pt"")"),"rolos combinação de vibração")</f>
        <v>rolos combinação de vibração</v>
      </c>
      <c r="H363" s="24"/>
      <c r="I363" s="24"/>
    </row>
    <row r="364" spans="1:9" ht="14.5">
      <c r="A364" s="20" t="s">
        <v>35353</v>
      </c>
      <c r="B364" s="20">
        <v>50</v>
      </c>
      <c r="C364" s="20">
        <v>30</v>
      </c>
      <c r="D364" s="20">
        <v>10</v>
      </c>
      <c r="E364" s="20">
        <v>23</v>
      </c>
      <c r="F364" s="20" t="s">
        <v>35354</v>
      </c>
      <c r="G364" s="24" t="str">
        <f ca="1">IFERROR(__xludf.DUMMYFUNCTION("GOOGLETRANSLATE(F364,""en"",""pt"")"),"rolos vibratórios duplas")</f>
        <v>rolos vibratórios duplas</v>
      </c>
      <c r="H364" s="24"/>
      <c r="I364" s="24"/>
    </row>
    <row r="365" spans="1:9" ht="14.5">
      <c r="A365" s="20" t="s">
        <v>35355</v>
      </c>
      <c r="B365" s="20">
        <v>50</v>
      </c>
      <c r="C365" s="20">
        <v>30</v>
      </c>
      <c r="D365" s="20">
        <v>10</v>
      </c>
      <c r="E365" s="20">
        <v>60</v>
      </c>
      <c r="F365" s="20" t="s">
        <v>35356</v>
      </c>
      <c r="G365" s="24" t="str">
        <f ca="1">IFERROR(__xludf.DUMMYFUNCTION("GOOGLETRANSLATE(F365,""en"",""pt"")"),"rolos de pavimento")</f>
        <v>rolos de pavimento</v>
      </c>
      <c r="H365" s="24"/>
      <c r="I365" s="24"/>
    </row>
    <row r="366" spans="1:9" ht="14.5">
      <c r="A366" s="20" t="s">
        <v>35357</v>
      </c>
      <c r="B366" s="20">
        <v>50</v>
      </c>
      <c r="C366" s="20">
        <v>30</v>
      </c>
      <c r="D366" s="20">
        <v>10</v>
      </c>
      <c r="E366" s="20">
        <v>65</v>
      </c>
      <c r="F366" s="20" t="s">
        <v>35358</v>
      </c>
      <c r="G366" s="24" t="str">
        <f ca="1">IFERROR(__xludf.DUMMYFUNCTION("GOOGLETRANSLATE(F366,""en"",""pt"")"),"rolos pneumáticas")</f>
        <v>rolos pneumáticas</v>
      </c>
      <c r="H366" s="24"/>
      <c r="I366" s="24"/>
    </row>
    <row r="367" spans="1:9" ht="14.5">
      <c r="A367" s="20" t="s">
        <v>35359</v>
      </c>
      <c r="B367" s="20">
        <v>50</v>
      </c>
      <c r="C367" s="20">
        <v>30</v>
      </c>
      <c r="D367" s="20">
        <v>10</v>
      </c>
      <c r="E367" s="20">
        <v>72</v>
      </c>
      <c r="F367" s="20" t="s">
        <v>35360</v>
      </c>
      <c r="G367" s="24" t="str">
        <f ca="1">IFERROR(__xludf.DUMMYFUNCTION("GOOGLETRANSLATE(F367,""en"",""pt"")"),"trens de rolos")</f>
        <v>trens de rolos</v>
      </c>
      <c r="H367" s="24"/>
      <c r="I367" s="24"/>
    </row>
    <row r="368" spans="1:9" ht="14.5">
      <c r="A368" s="20" t="s">
        <v>35361</v>
      </c>
      <c r="B368" s="20">
        <v>50</v>
      </c>
      <c r="C368" s="20">
        <v>30</v>
      </c>
      <c r="D368" s="20">
        <v>10</v>
      </c>
      <c r="E368" s="20">
        <v>77</v>
      </c>
      <c r="F368" s="20" t="s">
        <v>35362</v>
      </c>
      <c r="G368" s="24" t="str">
        <f ca="1">IFERROR(__xludf.DUMMYFUNCTION("GOOGLETRANSLATE(F368,""en"",""pt"")"),"rolos de pés de carneiro")</f>
        <v>rolos de pés de carneiro</v>
      </c>
      <c r="H368" s="24"/>
      <c r="I368" s="24"/>
    </row>
    <row r="369" spans="1:9" ht="14.5">
      <c r="A369" s="20" t="s">
        <v>35363</v>
      </c>
      <c r="B369" s="20">
        <v>50</v>
      </c>
      <c r="C369" s="20">
        <v>30</v>
      </c>
      <c r="D369" s="20">
        <v>10</v>
      </c>
      <c r="E369" s="20">
        <v>79</v>
      </c>
      <c r="F369" s="20" t="s">
        <v>35364</v>
      </c>
      <c r="G369" s="24" t="str">
        <f ca="1">IFERROR(__xludf.DUMMYFUNCTION("GOOGLETRANSLATE(F369,""en"",""pt"")"),"rolos individuais")</f>
        <v>rolos individuais</v>
      </c>
      <c r="H369" s="24"/>
      <c r="I369" s="24"/>
    </row>
    <row r="370" spans="1:9" ht="14.5">
      <c r="A370" s="20" t="s">
        <v>35365</v>
      </c>
      <c r="B370" s="20">
        <v>50</v>
      </c>
      <c r="C370" s="20">
        <v>30</v>
      </c>
      <c r="D370" s="20">
        <v>10</v>
      </c>
      <c r="E370" s="20">
        <v>85</v>
      </c>
      <c r="F370" s="20" t="s">
        <v>35366</v>
      </c>
      <c r="G370" s="24" t="str">
        <f ca="1">IFERROR(__xludf.DUMMYFUNCTION("GOOGLETRANSLATE(F370,""en"",""pt"")"),"Estáticos rolos de três rodas e em tandem")</f>
        <v>Estáticos rolos de três rodas e em tandem</v>
      </c>
      <c r="H370" s="24"/>
      <c r="I370" s="24"/>
    </row>
    <row r="371" spans="1:9" ht="14.5">
      <c r="A371" s="20" t="s">
        <v>35367</v>
      </c>
      <c r="B371" s="20">
        <v>50</v>
      </c>
      <c r="C371" s="20">
        <v>30</v>
      </c>
      <c r="D371" s="20">
        <v>10</v>
      </c>
      <c r="E371" s="20">
        <v>87</v>
      </c>
      <c r="F371" s="20" t="s">
        <v>35368</v>
      </c>
      <c r="G371" s="24" t="str">
        <f ca="1">IFERROR(__xludf.DUMMYFUNCTION("GOOGLETRANSLATE(F371,""en"",""pt"")"),"Tandem vibração rolos")</f>
        <v>Tandem vibração rolos</v>
      </c>
      <c r="H371" s="24"/>
      <c r="I371" s="24"/>
    </row>
    <row r="372" spans="1:9" ht="14.5">
      <c r="A372" s="20" t="s">
        <v>35369</v>
      </c>
      <c r="B372" s="20">
        <v>50</v>
      </c>
      <c r="C372" s="20">
        <v>30</v>
      </c>
      <c r="D372" s="20">
        <v>10</v>
      </c>
      <c r="E372" s="20">
        <v>89</v>
      </c>
      <c r="F372" s="20" t="s">
        <v>35370</v>
      </c>
      <c r="G372" s="24" t="str">
        <f ca="1">IFERROR(__xludf.DUMMYFUNCTION("GOOGLETRANSLATE(F372,""en"",""pt"")"),"rolos de reboque de vibração")</f>
        <v>rolos de reboque de vibração</v>
      </c>
      <c r="H372" s="24"/>
      <c r="I372" s="24"/>
    </row>
    <row r="373" spans="1:9" ht="14.5">
      <c r="A373" s="20" t="s">
        <v>35371</v>
      </c>
      <c r="B373" s="20">
        <v>50</v>
      </c>
      <c r="C373" s="20">
        <v>30</v>
      </c>
      <c r="D373" s="20">
        <v>10</v>
      </c>
      <c r="E373" s="20">
        <v>91</v>
      </c>
      <c r="F373" s="20" t="s">
        <v>35372</v>
      </c>
      <c r="G373" s="24" t="str">
        <f ca="1">IFERROR(__xludf.DUMMYFUNCTION("GOOGLETRANSLATE(F373,""en"",""pt"")"),"rolos duplos com assento e volante")</f>
        <v>rolos duplos com assento e volante</v>
      </c>
      <c r="H373" s="24"/>
      <c r="I373" s="24"/>
    </row>
    <row r="374" spans="1:9" ht="14.5">
      <c r="A374" s="20" t="s">
        <v>35373</v>
      </c>
      <c r="B374" s="20">
        <v>50</v>
      </c>
      <c r="C374" s="20">
        <v>30</v>
      </c>
      <c r="D374" s="20">
        <v>40</v>
      </c>
      <c r="E374" s="24"/>
      <c r="F374" s="20" t="s">
        <v>35374</v>
      </c>
      <c r="G374" s="24" t="str">
        <f ca="1">IFERROR(__xludf.DUMMYFUNCTION("GOOGLETRANSLATE(F374,""en"",""pt"")"),"Rammers")</f>
        <v>Rammers</v>
      </c>
      <c r="H374" s="24"/>
      <c r="I374" s="24"/>
    </row>
    <row r="375" spans="1:9" ht="14.5">
      <c r="A375" s="20" t="s">
        <v>35375</v>
      </c>
      <c r="B375" s="20">
        <v>50</v>
      </c>
      <c r="C375" s="20">
        <v>30</v>
      </c>
      <c r="D375" s="20">
        <v>40</v>
      </c>
      <c r="E375" s="20">
        <v>44</v>
      </c>
      <c r="F375" s="20" t="s">
        <v>35376</v>
      </c>
      <c r="G375" s="24" t="str">
        <f ca="1">IFERROR(__xludf.DUMMYFUNCTION("GOOGLETRANSLATE(F375,""en"",""pt"")"),"rammers salto")</f>
        <v>rammers salto</v>
      </c>
      <c r="H375" s="24"/>
      <c r="I375" s="24"/>
    </row>
    <row r="376" spans="1:9" ht="14.5">
      <c r="A376" s="20" t="s">
        <v>35377</v>
      </c>
      <c r="B376" s="20">
        <v>50</v>
      </c>
      <c r="C376" s="20">
        <v>30</v>
      </c>
      <c r="D376" s="20">
        <v>40</v>
      </c>
      <c r="E376" s="20">
        <v>94</v>
      </c>
      <c r="F376" s="20" t="s">
        <v>35378</v>
      </c>
      <c r="G376" s="24" t="str">
        <f ca="1">IFERROR(__xludf.DUMMYFUNCTION("GOOGLETRANSLATE(F376,""en"",""pt"")"),"vibração rammers")</f>
        <v>vibração rammers</v>
      </c>
      <c r="H376" s="24"/>
      <c r="I376" s="24"/>
    </row>
    <row r="377" spans="1:9" ht="14.5">
      <c r="A377" s="20" t="s">
        <v>35379</v>
      </c>
      <c r="B377" s="20">
        <v>50</v>
      </c>
      <c r="C377" s="20">
        <v>30</v>
      </c>
      <c r="D377" s="20">
        <v>60</v>
      </c>
      <c r="E377" s="24"/>
      <c r="F377" s="20" t="s">
        <v>35380</v>
      </c>
      <c r="G377" s="24" t="str">
        <f ca="1">IFERROR(__xludf.DUMMYFUNCTION("GOOGLETRANSLATE(F377,""en"",""pt"")"),"compactadores de solo")</f>
        <v>compactadores de solo</v>
      </c>
      <c r="H377" s="24"/>
      <c r="I377" s="24"/>
    </row>
    <row r="378" spans="1:9" ht="14.5">
      <c r="A378" s="20" t="s">
        <v>35381</v>
      </c>
      <c r="B378" s="20">
        <v>50</v>
      </c>
      <c r="C378" s="20">
        <v>30</v>
      </c>
      <c r="D378" s="20">
        <v>60</v>
      </c>
      <c r="E378" s="20">
        <v>77</v>
      </c>
      <c r="F378" s="20" t="s">
        <v>35382</v>
      </c>
      <c r="G378" s="24" t="str">
        <f ca="1">IFERROR(__xludf.DUMMYFUNCTION("GOOGLETRANSLATE(F378,""en"",""pt"")"),"compactadores de pés de carneiro")</f>
        <v>compactadores de pés de carneiro</v>
      </c>
      <c r="H378" s="24"/>
      <c r="I378" s="24"/>
    </row>
    <row r="379" spans="1:9" ht="14.5">
      <c r="A379" s="20" t="s">
        <v>35383</v>
      </c>
      <c r="B379" s="20">
        <v>50</v>
      </c>
      <c r="C379" s="20">
        <v>40</v>
      </c>
      <c r="D379" s="24"/>
      <c r="E379" s="24"/>
      <c r="F379" s="20" t="s">
        <v>35384</v>
      </c>
      <c r="G379" s="24" t="str">
        <f ca="1">IFERROR(__xludf.DUMMYFUNCTION("GOOGLETRANSLATE(F379,""en"",""pt"")"),"equipamentos de construção de estradas")</f>
        <v>equipamentos de construção de estradas</v>
      </c>
      <c r="H379" s="24"/>
      <c r="I379" s="24"/>
    </row>
    <row r="380" spans="1:9" ht="14.5">
      <c r="A380" s="20" t="s">
        <v>35385</v>
      </c>
      <c r="B380" s="20">
        <v>50</v>
      </c>
      <c r="C380" s="20">
        <v>40</v>
      </c>
      <c r="D380" s="20">
        <v>10</v>
      </c>
      <c r="E380" s="24"/>
      <c r="F380" s="20" t="s">
        <v>35386</v>
      </c>
      <c r="G380" s="24" t="str">
        <f ca="1">IFERROR(__xludf.DUMMYFUNCTION("GOOGLETRANSLATE(F380,""en"",""pt"")"),"máquinas de estabilização de solos")</f>
        <v>máquinas de estabilização de solos</v>
      </c>
      <c r="H380" s="24"/>
      <c r="I380" s="24"/>
    </row>
    <row r="381" spans="1:9" ht="14.5">
      <c r="A381" s="20" t="s">
        <v>35387</v>
      </c>
      <c r="B381" s="20">
        <v>50</v>
      </c>
      <c r="C381" s="20">
        <v>40</v>
      </c>
      <c r="D381" s="20">
        <v>20</v>
      </c>
      <c r="E381" s="24"/>
      <c r="F381" s="20" t="s">
        <v>35388</v>
      </c>
      <c r="G381" s="24" t="str">
        <f ca="1">IFERROR(__xludf.DUMMYFUNCTION("GOOGLETRANSLATE(F381,""en"",""pt"")"),"Concretas finalizadores estrada e espalhadores")</f>
        <v>Concretas finalizadores estrada e espalhadores</v>
      </c>
      <c r="H381" s="24"/>
      <c r="I381" s="24"/>
    </row>
    <row r="382" spans="1:9" ht="14.5">
      <c r="A382" s="20" t="s">
        <v>35389</v>
      </c>
      <c r="B382" s="20">
        <v>50</v>
      </c>
      <c r="C382" s="20">
        <v>40</v>
      </c>
      <c r="D382" s="20">
        <v>30</v>
      </c>
      <c r="E382" s="24"/>
      <c r="F382" s="20" t="s">
        <v>35390</v>
      </c>
      <c r="G382" s="24" t="str">
        <f ca="1">IFERROR(__xludf.DUMMYFUNCTION("GOOGLETRANSLATE(F382,""en"",""pt"")"),"Asfalto, equipamentos de aroeira e preparação tar")</f>
        <v>Asfalto, equipamentos de aroeira e preparação tar</v>
      </c>
      <c r="H382" s="24"/>
      <c r="I382" s="24"/>
    </row>
    <row r="383" spans="1:9" ht="14.5">
      <c r="A383" s="20" t="s">
        <v>35391</v>
      </c>
      <c r="B383" s="20">
        <v>50</v>
      </c>
      <c r="C383" s="20">
        <v>40</v>
      </c>
      <c r="D383" s="20">
        <v>30</v>
      </c>
      <c r="E383" s="20">
        <v>4</v>
      </c>
      <c r="F383" s="20" t="s">
        <v>35392</v>
      </c>
      <c r="G383" s="24" t="str">
        <f ca="1">IFERROR(__xludf.DUMMYFUNCTION("GOOGLETRANSLATE(F383,""en"",""pt"")"),"finalizadores estrada de asfalto")</f>
        <v>finalizadores estrada de asfalto</v>
      </c>
      <c r="H383" s="24"/>
      <c r="I383" s="24"/>
    </row>
    <row r="384" spans="1:9" ht="14.5">
      <c r="A384" s="20" t="s">
        <v>35393</v>
      </c>
      <c r="B384" s="20">
        <v>50</v>
      </c>
      <c r="C384" s="20">
        <v>40</v>
      </c>
      <c r="D384" s="20">
        <v>30</v>
      </c>
      <c r="E384" s="20">
        <v>37</v>
      </c>
      <c r="F384" s="20" t="s">
        <v>35394</v>
      </c>
      <c r="G384" s="24" t="str">
        <f ca="1">IFERROR(__xludf.DUMMYFUNCTION("GOOGLETRANSLATE(F384,""en"",""pt"")"),"betume aquecível tanques de armazenamento")</f>
        <v>betume aquecível tanques de armazenamento</v>
      </c>
      <c r="H384" s="24"/>
      <c r="I384" s="24"/>
    </row>
    <row r="385" spans="1:9" ht="14.5">
      <c r="A385" s="20" t="s">
        <v>35395</v>
      </c>
      <c r="B385" s="20">
        <v>50</v>
      </c>
      <c r="C385" s="20">
        <v>40</v>
      </c>
      <c r="D385" s="20">
        <v>30</v>
      </c>
      <c r="E385" s="20">
        <v>50</v>
      </c>
      <c r="F385" s="20" t="s">
        <v>35396</v>
      </c>
      <c r="G385" s="24" t="str">
        <f ca="1">IFERROR(__xludf.DUMMYFUNCTION("GOOGLETRANSLATE(F385,""en"",""pt"")"),"finalizadores Mastic")</f>
        <v>finalizadores Mastic</v>
      </c>
      <c r="H385" s="24"/>
      <c r="I385" s="24"/>
    </row>
    <row r="386" spans="1:9" ht="14.5">
      <c r="A386" s="20" t="s">
        <v>35397</v>
      </c>
      <c r="B386" s="20">
        <v>50</v>
      </c>
      <c r="C386" s="20">
        <v>40</v>
      </c>
      <c r="D386" s="20">
        <v>30</v>
      </c>
      <c r="E386" s="20">
        <v>87</v>
      </c>
      <c r="F386" s="20" t="s">
        <v>35398</v>
      </c>
      <c r="G386" s="24" t="str">
        <f ca="1">IFERROR(__xludf.DUMMYFUNCTION("GOOGLETRANSLATE(F386,""en"",""pt"")"),"Alcatrão e aquecedores de aroeira")</f>
        <v>Alcatrão e aquecedores de aroeira</v>
      </c>
      <c r="H386" s="24"/>
      <c r="I386" s="24"/>
    </row>
    <row r="387" spans="1:9" ht="14.5">
      <c r="A387" s="20" t="s">
        <v>35399</v>
      </c>
      <c r="B387" s="20">
        <v>50</v>
      </c>
      <c r="C387" s="20">
        <v>40</v>
      </c>
      <c r="D387" s="20">
        <v>30</v>
      </c>
      <c r="E387" s="20">
        <v>88</v>
      </c>
      <c r="F387" s="20" t="s">
        <v>35400</v>
      </c>
      <c r="G387" s="24" t="str">
        <f ca="1">IFERROR(__xludf.DUMMYFUNCTION("GOOGLETRANSLATE(F387,""en"",""pt"")"),"pulverizadores de alcatrão")</f>
        <v>pulverizadores de alcatrão</v>
      </c>
      <c r="H387" s="24"/>
      <c r="I387" s="24"/>
    </row>
    <row r="388" spans="1:9" ht="14.5">
      <c r="A388" s="20" t="s">
        <v>35401</v>
      </c>
      <c r="B388" s="20">
        <v>50</v>
      </c>
      <c r="C388" s="20">
        <v>40</v>
      </c>
      <c r="D388" s="20">
        <v>40</v>
      </c>
      <c r="E388" s="24"/>
      <c r="F388" s="20" t="s">
        <v>35402</v>
      </c>
      <c r="G388" s="24" t="str">
        <f ca="1">IFERROR(__xludf.DUMMYFUNCTION("GOOGLETRANSLATE(F388,""en"",""pt"")"),"espalhadores")</f>
        <v>espalhadores</v>
      </c>
      <c r="H388" s="24"/>
      <c r="I388" s="24"/>
    </row>
    <row r="389" spans="1:9" ht="14.5">
      <c r="A389" s="20" t="s">
        <v>35403</v>
      </c>
      <c r="B389" s="20">
        <v>50</v>
      </c>
      <c r="C389" s="20">
        <v>40</v>
      </c>
      <c r="D389" s="20">
        <v>40</v>
      </c>
      <c r="E389" s="20">
        <v>4</v>
      </c>
      <c r="F389" s="20" t="s">
        <v>35404</v>
      </c>
      <c r="G389" s="24" t="str">
        <f ca="1">IFERROR(__xludf.DUMMYFUNCTION("GOOGLETRANSLATE(F389,""en"",""pt"")"),"para colocar asfalto")</f>
        <v>para colocar asfalto</v>
      </c>
      <c r="H389" s="24"/>
      <c r="I389" s="24"/>
    </row>
    <row r="390" spans="1:9" ht="14.5">
      <c r="A390" s="20" t="s">
        <v>35405</v>
      </c>
      <c r="B390" s="20">
        <v>50</v>
      </c>
      <c r="C390" s="20">
        <v>40</v>
      </c>
      <c r="D390" s="20">
        <v>40</v>
      </c>
      <c r="E390" s="20">
        <v>15</v>
      </c>
      <c r="F390" s="20" t="s">
        <v>35406</v>
      </c>
      <c r="G390" s="24" t="str">
        <f ca="1">IFERROR(__xludf.DUMMYFUNCTION("GOOGLETRANSLATE(F390,""en"",""pt"")"),"espalhadores de asfalto revestidos")</f>
        <v>espalhadores de asfalto revestidos</v>
      </c>
      <c r="H390" s="24"/>
      <c r="I390" s="24"/>
    </row>
    <row r="391" spans="1:9" ht="14.5">
      <c r="A391" s="20" t="s">
        <v>35407</v>
      </c>
      <c r="B391" s="20">
        <v>50</v>
      </c>
      <c r="C391" s="20">
        <v>40</v>
      </c>
      <c r="D391" s="20">
        <v>40</v>
      </c>
      <c r="E391" s="20">
        <v>80</v>
      </c>
      <c r="F391" s="20" t="s">
        <v>35408</v>
      </c>
      <c r="G391" s="24" t="str">
        <f ca="1">IFERROR(__xludf.DUMMYFUNCTION("GOOGLETRANSLATE(F391,""en"",""pt"")"),"Espalhadores para estabilização de solos")</f>
        <v>Espalhadores para estabilização de solos</v>
      </c>
      <c r="H391" s="24"/>
      <c r="I391" s="24"/>
    </row>
    <row r="392" spans="1:9" ht="14.5">
      <c r="A392" s="20" t="s">
        <v>35409</v>
      </c>
      <c r="B392" s="20">
        <v>50</v>
      </c>
      <c r="C392" s="20">
        <v>40</v>
      </c>
      <c r="D392" s="20">
        <v>40</v>
      </c>
      <c r="E392" s="20">
        <v>85</v>
      </c>
      <c r="F392" s="20" t="s">
        <v>35410</v>
      </c>
      <c r="G392" s="24" t="str">
        <f ca="1">IFERROR(__xludf.DUMMYFUNCTION("GOOGLETRANSLATE(F392,""en"",""pt"")"),"espalhadores de pedra")</f>
        <v>espalhadores de pedra</v>
      </c>
      <c r="H392" s="24"/>
      <c r="I392" s="24"/>
    </row>
    <row r="393" spans="1:9" ht="14.5">
      <c r="A393" s="20" t="s">
        <v>35411</v>
      </c>
      <c r="B393" s="20">
        <v>50</v>
      </c>
      <c r="C393" s="20">
        <v>40</v>
      </c>
      <c r="D393" s="20">
        <v>50</v>
      </c>
      <c r="E393" s="24"/>
      <c r="F393" s="20" t="s">
        <v>35412</v>
      </c>
      <c r="G393" s="24" t="str">
        <f ca="1">IFERROR(__xludf.DUMMYFUNCTION("GOOGLETRANSLATE(F393,""en"",""pt"")"),"cortadores conjuntas")</f>
        <v>cortadores conjuntas</v>
      </c>
      <c r="H393" s="24"/>
      <c r="I393" s="24"/>
    </row>
    <row r="394" spans="1:9" ht="14.5">
      <c r="A394" s="20" t="s">
        <v>35413</v>
      </c>
      <c r="B394" s="20">
        <v>50</v>
      </c>
      <c r="C394" s="20">
        <v>40</v>
      </c>
      <c r="D394" s="20">
        <v>50</v>
      </c>
      <c r="E394" s="20">
        <v>44</v>
      </c>
      <c r="F394" s="20" t="s">
        <v>35414</v>
      </c>
      <c r="G394" s="24" t="str">
        <f ca="1">IFERROR(__xludf.DUMMYFUNCTION("GOOGLETRANSLATE(F394,""en"",""pt"")"),"formadores conjuntas")</f>
        <v>formadores conjuntas</v>
      </c>
      <c r="H394" s="24"/>
      <c r="I394" s="24"/>
    </row>
    <row r="395" spans="1:9" ht="14.5">
      <c r="A395" s="20" t="s">
        <v>35415</v>
      </c>
      <c r="B395" s="20">
        <v>50</v>
      </c>
      <c r="C395" s="20">
        <v>40</v>
      </c>
      <c r="D395" s="20">
        <v>50</v>
      </c>
      <c r="E395" s="20">
        <v>45</v>
      </c>
      <c r="F395" s="20" t="s">
        <v>35416</v>
      </c>
      <c r="G395" s="24" t="str">
        <f ca="1">IFERROR(__xludf.DUMMYFUNCTION("GOOGLETRANSLATE(F395,""en"",""pt"")"),"matchers conjuntas")</f>
        <v>matchers conjuntas</v>
      </c>
      <c r="H395" s="24"/>
      <c r="I395" s="24"/>
    </row>
    <row r="396" spans="1:9" ht="14.5">
      <c r="A396" s="20" t="s">
        <v>35417</v>
      </c>
      <c r="B396" s="20">
        <v>50</v>
      </c>
      <c r="C396" s="20">
        <v>40</v>
      </c>
      <c r="D396" s="20">
        <v>60</v>
      </c>
      <c r="E396" s="24"/>
      <c r="F396" s="20" t="s">
        <v>35418</v>
      </c>
      <c r="G396" s="24" t="str">
        <f ca="1">IFERROR(__xludf.DUMMYFUNCTION("GOOGLETRANSLATE(F396,""en"",""pt"")"),"fresas estrada")</f>
        <v>fresas estrada</v>
      </c>
      <c r="H396" s="24"/>
      <c r="I396" s="24"/>
    </row>
    <row r="397" spans="1:9" ht="14.5">
      <c r="A397" s="20" t="s">
        <v>35419</v>
      </c>
      <c r="B397" s="20">
        <v>50</v>
      </c>
      <c r="C397" s="20">
        <v>40</v>
      </c>
      <c r="D397" s="20">
        <v>70</v>
      </c>
      <c r="E397" s="24"/>
      <c r="F397" s="20" t="s">
        <v>35420</v>
      </c>
      <c r="G397" s="24" t="str">
        <f ca="1">IFERROR(__xludf.DUMMYFUNCTION("GOOGLETRANSLATE(F397,""en"",""pt"")"),"equipamento de secagem de estrada")</f>
        <v>equipamento de secagem de estrada</v>
      </c>
      <c r="H397" s="24"/>
      <c r="I397" s="24"/>
    </row>
    <row r="398" spans="1:9" ht="14.5">
      <c r="A398" s="20" t="s">
        <v>35421</v>
      </c>
      <c r="B398" s="20">
        <v>50</v>
      </c>
      <c r="C398" s="20">
        <v>40</v>
      </c>
      <c r="D398" s="20">
        <v>70</v>
      </c>
      <c r="E398" s="20">
        <v>33</v>
      </c>
      <c r="F398" s="20" t="s">
        <v>35422</v>
      </c>
      <c r="G398" s="24" t="str">
        <f ca="1">IFERROR(__xludf.DUMMYFUNCTION("GOOGLETRANSLATE(F398,""en"",""pt"")"),"infra-vermelho de gás equipamento de secagem estrada")</f>
        <v>infra-vermelho de gás equipamento de secagem estrada</v>
      </c>
      <c r="H398" s="24"/>
      <c r="I398" s="24"/>
    </row>
    <row r="399" spans="1:9" ht="14.5">
      <c r="A399" s="20" t="s">
        <v>35423</v>
      </c>
      <c r="B399" s="20">
        <v>50</v>
      </c>
      <c r="C399" s="20">
        <v>40</v>
      </c>
      <c r="D399" s="20">
        <v>80</v>
      </c>
      <c r="E399" s="24"/>
      <c r="F399" s="20" t="s">
        <v>35424</v>
      </c>
      <c r="G399" s="24" t="str">
        <f ca="1">IFERROR(__xludf.DUMMYFUNCTION("GOOGLETRANSLATE(F399,""en"",""pt"")"),"Pavimentação de máquinas de pedra, que")</f>
        <v>Pavimentação de máquinas de pedra, que</v>
      </c>
      <c r="H399" s="24"/>
      <c r="I399" s="24"/>
    </row>
    <row r="400" spans="1:9" ht="14.5">
      <c r="A400" s="20" t="s">
        <v>35425</v>
      </c>
      <c r="B400" s="20">
        <v>50</v>
      </c>
      <c r="C400" s="20">
        <v>50</v>
      </c>
      <c r="D400" s="24"/>
      <c r="E400" s="24"/>
      <c r="F400" s="20" t="s">
        <v>35426</v>
      </c>
      <c r="G400" s="24" t="str">
        <f ca="1">IFERROR(__xludf.DUMMYFUNCTION("GOOGLETRANSLATE(F400,""en"",""pt"")"),"Canal de classificação do banco, a compactação, a betonagem e asfaltagem máquinas, as máquinas de limpeza do leito do canal")</f>
        <v>Canal de classificação do banco, a compactação, a betonagem e asfaltagem máquinas, as máquinas de limpeza do leito do canal</v>
      </c>
      <c r="H400" s="24"/>
      <c r="I400" s="24"/>
    </row>
    <row r="401" spans="1:9" ht="14.5">
      <c r="A401" s="20" t="s">
        <v>35427</v>
      </c>
      <c r="B401" s="20">
        <v>50</v>
      </c>
      <c r="C401" s="20">
        <v>60</v>
      </c>
      <c r="D401" s="24"/>
      <c r="E401" s="24"/>
      <c r="F401" s="20" t="s">
        <v>35428</v>
      </c>
      <c r="G401" s="24" t="str">
        <f ca="1">IFERROR(__xludf.DUMMYFUNCTION("GOOGLETRANSLATE(F401,""en"",""pt"")"),"máquinas de lagartas")</f>
        <v>máquinas de lagartas</v>
      </c>
      <c r="H401" s="24"/>
      <c r="I401" s="24"/>
    </row>
    <row r="402" spans="1:9" ht="14.5">
      <c r="A402" s="20" t="s">
        <v>35429</v>
      </c>
      <c r="B402" s="20">
        <v>50</v>
      </c>
      <c r="C402" s="20">
        <v>70</v>
      </c>
      <c r="D402" s="24"/>
      <c r="E402" s="24"/>
      <c r="F402" s="20" t="s">
        <v>35430</v>
      </c>
      <c r="G402" s="24" t="str">
        <f ca="1">IFERROR(__xludf.DUMMYFUNCTION("GOOGLETRANSLATE(F402,""en"",""pt"")"),"Máquinas para reparação e manutenção de estradas")</f>
        <v>Máquinas para reparação e manutenção de estradas</v>
      </c>
      <c r="H402" s="24"/>
      <c r="I402" s="24"/>
    </row>
    <row r="403" spans="1:9" ht="14.5">
      <c r="A403" s="20" t="s">
        <v>35431</v>
      </c>
      <c r="B403" s="20">
        <v>50</v>
      </c>
      <c r="C403" s="20">
        <v>70</v>
      </c>
      <c r="D403" s="20">
        <v>10</v>
      </c>
      <c r="E403" s="24"/>
      <c r="F403" s="20" t="s">
        <v>35432</v>
      </c>
      <c r="G403" s="24" t="str">
        <f ca="1">IFERROR(__xludf.DUMMYFUNCTION("GOOGLETRANSLATE(F403,""en"",""pt"")"),"Asfalto equipamentos pavimento")</f>
        <v>Asfalto equipamentos pavimento</v>
      </c>
      <c r="H403" s="24"/>
      <c r="I403" s="24"/>
    </row>
    <row r="404" spans="1:9" ht="14.5">
      <c r="A404" s="20" t="s">
        <v>35433</v>
      </c>
      <c r="B404" s="20">
        <v>50</v>
      </c>
      <c r="C404" s="20">
        <v>70</v>
      </c>
      <c r="D404" s="20">
        <v>10</v>
      </c>
      <c r="E404" s="20">
        <v>4</v>
      </c>
      <c r="F404" s="20" t="s">
        <v>35434</v>
      </c>
      <c r="G404" s="24" t="str">
        <f ca="1">IFERROR(__xludf.DUMMYFUNCTION("GOOGLETRANSLATE(F404,""en"",""pt"")"),"Asfalto máquinas de reciclagem de pavimento")</f>
        <v>Asfalto máquinas de reciclagem de pavimento</v>
      </c>
      <c r="H404" s="24"/>
      <c r="I404" s="24"/>
    </row>
    <row r="405" spans="1:9" ht="14.5">
      <c r="A405" s="20" t="s">
        <v>35435</v>
      </c>
      <c r="B405" s="20">
        <v>50</v>
      </c>
      <c r="C405" s="20">
        <v>70</v>
      </c>
      <c r="D405" s="20">
        <v>10</v>
      </c>
      <c r="E405" s="20">
        <v>5</v>
      </c>
      <c r="F405" s="20" t="s">
        <v>35436</v>
      </c>
      <c r="G405" s="24" t="str">
        <f ca="1">IFERROR(__xludf.DUMMYFUNCTION("GOOGLETRANSLATE(F405,""en"",""pt"")"),"reshapers pavimento de asfalto")</f>
        <v>reshapers pavimento de asfalto</v>
      </c>
      <c r="H405" s="24"/>
      <c r="I405" s="24"/>
    </row>
    <row r="406" spans="1:9" ht="14.5">
      <c r="A406" s="20" t="s">
        <v>35437</v>
      </c>
      <c r="B406" s="20">
        <v>50</v>
      </c>
      <c r="C406" s="20">
        <v>70</v>
      </c>
      <c r="D406" s="20">
        <v>10</v>
      </c>
      <c r="E406" s="20">
        <v>15</v>
      </c>
      <c r="F406" s="20" t="s">
        <v>35438</v>
      </c>
      <c r="G406" s="24" t="str">
        <f ca="1">IFERROR(__xludf.DUMMYFUNCTION("GOOGLETRANSLATE(F406,""en"",""pt"")"),"Fresadoras")</f>
        <v>Fresadoras</v>
      </c>
      <c r="H406" s="24"/>
      <c r="I406" s="24"/>
    </row>
    <row r="407" spans="1:9" ht="14.5">
      <c r="A407" s="20" t="s">
        <v>35439</v>
      </c>
      <c r="B407" s="20">
        <v>50</v>
      </c>
      <c r="C407" s="20">
        <v>70</v>
      </c>
      <c r="D407" s="20">
        <v>10</v>
      </c>
      <c r="E407" s="20">
        <v>72</v>
      </c>
      <c r="F407" s="20" t="s">
        <v>35440</v>
      </c>
      <c r="G407" s="24" t="str">
        <f ca="1">IFERROR(__xludf.DUMMYFUNCTION("GOOGLETRANSLATE(F407,""en"",""pt"")"),"rippers superfície de estrada")</f>
        <v>rippers superfície de estrada</v>
      </c>
      <c r="H407" s="24"/>
      <c r="I407" s="24"/>
    </row>
    <row r="408" spans="1:9" ht="14.5">
      <c r="A408" s="20" t="s">
        <v>35441</v>
      </c>
      <c r="B408" s="20">
        <v>50</v>
      </c>
      <c r="C408" s="20">
        <v>70</v>
      </c>
      <c r="D408" s="20">
        <v>20</v>
      </c>
      <c r="E408" s="24"/>
      <c r="F408" s="20" t="s">
        <v>35442</v>
      </c>
      <c r="G408" s="24" t="str">
        <f ca="1">IFERROR(__xludf.DUMMYFUNCTION("GOOGLETRANSLATE(F408,""en"",""pt"")"),"Conjunto de limpeza e as máquinas de enchimento")</f>
        <v>Conjunto de limpeza e as máquinas de enchimento</v>
      </c>
      <c r="H408" s="24"/>
      <c r="I408" s="24"/>
    </row>
    <row r="409" spans="1:9" ht="14.5">
      <c r="A409" s="20" t="s">
        <v>35443</v>
      </c>
      <c r="B409" s="20">
        <v>50</v>
      </c>
      <c r="C409" s="20">
        <v>70</v>
      </c>
      <c r="D409" s="20">
        <v>30</v>
      </c>
      <c r="E409" s="24"/>
      <c r="F409" s="20" t="s">
        <v>35444</v>
      </c>
      <c r="G409" s="24" t="str">
        <f ca="1">IFERROR(__xludf.DUMMYFUNCTION("GOOGLETRANSLATE(F409,""en"",""pt"")"),"kits de reparo")</f>
        <v>kits de reparo</v>
      </c>
      <c r="H409" s="24"/>
      <c r="I409" s="24"/>
    </row>
    <row r="410" spans="1:9" ht="14.5">
      <c r="A410" s="20" t="s">
        <v>35445</v>
      </c>
      <c r="B410" s="20">
        <v>50</v>
      </c>
      <c r="C410" s="20">
        <v>70</v>
      </c>
      <c r="D410" s="20">
        <v>30</v>
      </c>
      <c r="E410" s="20">
        <v>3</v>
      </c>
      <c r="F410" s="20" t="s">
        <v>35446</v>
      </c>
      <c r="G410" s="24" t="str">
        <f ca="1">IFERROR(__xludf.DUMMYFUNCTION("GOOGLETRANSLATE(F410,""en"",""pt"")"),"kits de reparo de asfalto")</f>
        <v>kits de reparo de asfalto</v>
      </c>
      <c r="H410" s="24"/>
      <c r="I410" s="24"/>
    </row>
    <row r="411" spans="1:9" ht="14.5">
      <c r="A411" s="20" t="s">
        <v>35447</v>
      </c>
      <c r="B411" s="20">
        <v>50</v>
      </c>
      <c r="C411" s="20">
        <v>70</v>
      </c>
      <c r="D411" s="20">
        <v>30</v>
      </c>
      <c r="E411" s="20">
        <v>65</v>
      </c>
      <c r="F411" s="20" t="s">
        <v>35448</v>
      </c>
      <c r="G411" s="24" t="str">
        <f ca="1">IFERROR(__xludf.DUMMYFUNCTION("GOOGLETRANSLATE(F411,""en"",""pt"")"),"kits de reparo Caldeirão")</f>
        <v>kits de reparo Caldeirão</v>
      </c>
      <c r="H411" s="24"/>
      <c r="I411" s="24"/>
    </row>
    <row r="412" spans="1:9" ht="14.5">
      <c r="A412" s="20" t="s">
        <v>35449</v>
      </c>
      <c r="B412" s="20">
        <v>50</v>
      </c>
      <c r="C412" s="20">
        <v>70</v>
      </c>
      <c r="D412" s="20">
        <v>40</v>
      </c>
      <c r="E412" s="24"/>
      <c r="F412" s="20" t="s">
        <v>35450</v>
      </c>
      <c r="G412" s="24" t="str">
        <f ca="1">IFERROR(__xludf.DUMMYFUNCTION("GOOGLETRANSLATE(F412,""en"",""pt"")"),"espalhadores de pedra e areia")</f>
        <v>espalhadores de pedra e areia</v>
      </c>
      <c r="H412" s="24"/>
      <c r="I412" s="24"/>
    </row>
    <row r="413" spans="1:9" ht="14.5">
      <c r="A413" s="20" t="s">
        <v>35451</v>
      </c>
      <c r="B413" s="20">
        <v>50</v>
      </c>
      <c r="C413" s="20">
        <v>70</v>
      </c>
      <c r="D413" s="20">
        <v>50</v>
      </c>
      <c r="E413" s="24"/>
      <c r="F413" s="20" t="s">
        <v>35452</v>
      </c>
      <c r="G413" s="24" t="str">
        <f ca="1">IFERROR(__xludf.DUMMYFUNCTION("GOOGLETRANSLATE(F413,""en"",""pt"")"),"máquinas de marcação de estrada")</f>
        <v>máquinas de marcação de estrada</v>
      </c>
      <c r="H413" s="24"/>
      <c r="I413" s="24"/>
    </row>
    <row r="414" spans="1:9" ht="14.5">
      <c r="A414" s="20" t="s">
        <v>35453</v>
      </c>
      <c r="B414" s="20">
        <v>50</v>
      </c>
      <c r="C414" s="20">
        <v>70</v>
      </c>
      <c r="D414" s="20">
        <v>60</v>
      </c>
      <c r="E414" s="24"/>
      <c r="F414" s="20" t="s">
        <v>35454</v>
      </c>
      <c r="G414" s="24" t="str">
        <f ca="1">IFERROR(__xludf.DUMMYFUNCTION("GOOGLETRANSLATE(F414,""en"",""pt"")"),"máquinas de varrer")</f>
        <v>máquinas de varrer</v>
      </c>
      <c r="H414" s="24"/>
      <c r="I414" s="24"/>
    </row>
    <row r="415" spans="1:9" ht="14.5">
      <c r="A415" s="20" t="s">
        <v>35455</v>
      </c>
      <c r="B415" s="20">
        <v>50</v>
      </c>
      <c r="C415" s="20">
        <v>70</v>
      </c>
      <c r="D415" s="20">
        <v>60</v>
      </c>
      <c r="E415" s="20">
        <v>72</v>
      </c>
      <c r="F415" s="20" t="s">
        <v>35456</v>
      </c>
      <c r="G415" s="24" t="str">
        <f ca="1">IFERROR(__xludf.DUMMYFUNCTION("GOOGLETRANSLATE(F415,""en"",""pt"")"),"varredores de rua com saqueadores rego")</f>
        <v>varredores de rua com saqueadores rego</v>
      </c>
      <c r="H415" s="24"/>
      <c r="I415" s="24"/>
    </row>
    <row r="416" spans="1:9" ht="14.5">
      <c r="A416" s="20" t="s">
        <v>35457</v>
      </c>
      <c r="B416" s="20">
        <v>50</v>
      </c>
      <c r="C416" s="20">
        <v>70</v>
      </c>
      <c r="D416" s="20">
        <v>60</v>
      </c>
      <c r="E416" s="20">
        <v>77</v>
      </c>
      <c r="F416" s="20" t="s">
        <v>35458</v>
      </c>
      <c r="G416" s="24" t="str">
        <f ca="1">IFERROR(__xludf.DUMMYFUNCTION("GOOGLETRANSLATE(F416,""en"",""pt"")"),"limpadores de estradas auto-propulsionadas")</f>
        <v>limpadores de estradas auto-propulsionadas</v>
      </c>
      <c r="H416" s="24"/>
      <c r="I416" s="24"/>
    </row>
    <row r="417" spans="1:9" ht="14.5">
      <c r="A417" s="20" t="s">
        <v>35459</v>
      </c>
      <c r="B417" s="20">
        <v>50</v>
      </c>
      <c r="C417" s="20">
        <v>70</v>
      </c>
      <c r="D417" s="20">
        <v>60</v>
      </c>
      <c r="E417" s="20">
        <v>79</v>
      </c>
      <c r="F417" s="20" t="s">
        <v>35460</v>
      </c>
      <c r="G417" s="24" t="str">
        <f ca="1">IFERROR(__xludf.DUMMYFUNCTION("GOOGLETRANSLATE(F417,""en"",""pt"")"),"varredores de rua auto-propulsionadas")</f>
        <v>varredores de rua auto-propulsionadas</v>
      </c>
      <c r="H417" s="24"/>
      <c r="I417" s="24"/>
    </row>
    <row r="418" spans="1:9" ht="14.5">
      <c r="A418" s="20" t="s">
        <v>35461</v>
      </c>
      <c r="B418" s="20">
        <v>50</v>
      </c>
      <c r="C418" s="20">
        <v>70</v>
      </c>
      <c r="D418" s="20">
        <v>70</v>
      </c>
      <c r="E418" s="24"/>
      <c r="F418" s="20" t="s">
        <v>35462</v>
      </c>
      <c r="G418" s="24" t="str">
        <f ca="1">IFERROR(__xludf.DUMMYFUNCTION("GOOGLETRANSLATE(F418,""en"",""pt"")"),"máquinas de inclinação de corte")</f>
        <v>máquinas de inclinação de corte</v>
      </c>
      <c r="H418" s="24"/>
      <c r="I418" s="24"/>
    </row>
    <row r="419" spans="1:9" ht="14.5">
      <c r="A419" s="20" t="s">
        <v>35463</v>
      </c>
      <c r="B419" s="20">
        <v>50</v>
      </c>
      <c r="C419" s="20">
        <v>70</v>
      </c>
      <c r="D419" s="20">
        <v>80</v>
      </c>
      <c r="E419" s="24"/>
      <c r="F419" s="20" t="s">
        <v>35464</v>
      </c>
      <c r="G419" s="24" t="str">
        <f ca="1">IFERROR(__xludf.DUMMYFUNCTION("GOOGLETRANSLATE(F419,""en"",""pt"")"),"escarificadores")</f>
        <v>escarificadores</v>
      </c>
      <c r="H419" s="24"/>
      <c r="I419" s="24"/>
    </row>
    <row r="420" spans="1:9" ht="14.5">
      <c r="A420" s="20" t="s">
        <v>35465</v>
      </c>
      <c r="B420" s="20">
        <v>60</v>
      </c>
      <c r="C420" s="24"/>
      <c r="D420" s="24"/>
      <c r="E420" s="24"/>
      <c r="F420" s="20" t="s">
        <v>35466</v>
      </c>
      <c r="G420" s="24" t="str">
        <f ca="1">IFERROR(__xludf.DUMMYFUNCTION("GOOGLETRANSLATE(F420,""en"",""pt"")"),"Betão e pedra produção")</f>
        <v>Betão e pedra produção</v>
      </c>
      <c r="H420" s="24"/>
      <c r="I420" s="24"/>
    </row>
    <row r="421" spans="1:9" ht="14.5">
      <c r="A421" s="20" t="s">
        <v>35467</v>
      </c>
      <c r="B421" s="20">
        <v>60</v>
      </c>
      <c r="C421" s="20">
        <v>10</v>
      </c>
      <c r="D421" s="24"/>
      <c r="E421" s="24"/>
      <c r="F421" s="20" t="s">
        <v>35468</v>
      </c>
      <c r="G421" s="24" t="str">
        <f ca="1">IFERROR(__xludf.DUMMYFUNCTION("GOOGLETRANSLATE(F421,""en"",""pt"")"),"planta completa")</f>
        <v>planta completa</v>
      </c>
      <c r="H421" s="24"/>
      <c r="I421" s="24"/>
    </row>
    <row r="422" spans="1:9" ht="14.5">
      <c r="A422" s="20" t="s">
        <v>35469</v>
      </c>
      <c r="B422" s="20">
        <v>60</v>
      </c>
      <c r="C422" s="20">
        <v>10</v>
      </c>
      <c r="D422" s="20">
        <v>10</v>
      </c>
      <c r="E422" s="24"/>
      <c r="F422" s="20" t="s">
        <v>35470</v>
      </c>
      <c r="G422" s="24" t="str">
        <f ca="1">IFERROR(__xludf.DUMMYFUNCTION("GOOGLETRANSLATE(F422,""en"",""pt"")"),"planta completa para o cimento, cal, gesso, trass e indústria giz")</f>
        <v>planta completa para o cimento, cal, gesso, trass e indústria giz</v>
      </c>
      <c r="H422" s="24"/>
      <c r="I422" s="24"/>
    </row>
    <row r="423" spans="1:9" ht="14.5">
      <c r="A423" s="20" t="s">
        <v>35471</v>
      </c>
      <c r="B423" s="20">
        <v>60</v>
      </c>
      <c r="C423" s="20">
        <v>10</v>
      </c>
      <c r="D423" s="20">
        <v>50</v>
      </c>
      <c r="E423" s="24"/>
      <c r="F423" s="20" t="s">
        <v>35472</v>
      </c>
      <c r="G423" s="24" t="str">
        <f ca="1">IFERROR(__xludf.DUMMYFUNCTION("GOOGLETRANSLATE(F423,""en"",""pt"")"),"planta completa para a areia, argila, cascalho e indústria da pedra quebrado")</f>
        <v>planta completa para a areia, argila, cascalho e indústria da pedra quebrado</v>
      </c>
      <c r="H423" s="24"/>
      <c r="I423" s="24"/>
    </row>
    <row r="424" spans="1:9" ht="14.5">
      <c r="A424" s="20" t="s">
        <v>35473</v>
      </c>
      <c r="B424" s="20">
        <v>60</v>
      </c>
      <c r="C424" s="20">
        <v>20</v>
      </c>
      <c r="D424" s="24"/>
      <c r="E424" s="24"/>
      <c r="F424" s="20" t="s">
        <v>35474</v>
      </c>
      <c r="G424" s="24" t="str">
        <f ca="1">IFERROR(__xludf.DUMMYFUNCTION("GOOGLETRANSLATE(F424,""en"",""pt"")"),"Disjuntores, trituradores e moinhos")</f>
        <v>Disjuntores, trituradores e moinhos</v>
      </c>
      <c r="H424" s="24"/>
      <c r="I424" s="24"/>
    </row>
    <row r="425" spans="1:9" ht="14.5">
      <c r="A425" s="20" t="s">
        <v>35475</v>
      </c>
      <c r="B425" s="20">
        <v>60</v>
      </c>
      <c r="C425" s="20">
        <v>20</v>
      </c>
      <c r="D425" s="20">
        <v>15</v>
      </c>
      <c r="E425" s="24"/>
      <c r="F425" s="20" t="s">
        <v>35476</v>
      </c>
      <c r="G425" s="24" t="str">
        <f ca="1">IFERROR(__xludf.DUMMYFUNCTION("GOOGLETRANSLATE(F425,""en"",""pt"")"),"Breakers e trituradores")</f>
        <v>Breakers e trituradores</v>
      </c>
      <c r="H425" s="24"/>
      <c r="I425" s="24"/>
    </row>
    <row r="426" spans="1:9" ht="14.5">
      <c r="A426" s="20" t="s">
        <v>35477</v>
      </c>
      <c r="B426" s="20">
        <v>60</v>
      </c>
      <c r="C426" s="20">
        <v>20</v>
      </c>
      <c r="D426" s="20">
        <v>15</v>
      </c>
      <c r="E426" s="20">
        <v>8</v>
      </c>
      <c r="F426" s="20" t="s">
        <v>35478</v>
      </c>
      <c r="G426" s="24" t="str">
        <f ca="1">IFERROR(__xludf.DUMMYFUNCTION("GOOGLETRANSLATE(F426,""en"",""pt"")"),"trituradores de tijolo")</f>
        <v>trituradores de tijolo</v>
      </c>
      <c r="H426" s="24"/>
      <c r="I426" s="24"/>
    </row>
    <row r="427" spans="1:9" ht="14.5">
      <c r="A427" s="20" t="s">
        <v>35479</v>
      </c>
      <c r="B427" s="20">
        <v>60</v>
      </c>
      <c r="C427" s="20">
        <v>20</v>
      </c>
      <c r="D427" s="20">
        <v>15</v>
      </c>
      <c r="E427" s="20">
        <v>35</v>
      </c>
      <c r="F427" s="20" t="s">
        <v>35480</v>
      </c>
      <c r="G427" s="24" t="str">
        <f ca="1">IFERROR(__xludf.DUMMYFUNCTION("GOOGLETRANSLATE(F427,""en"",""pt"")"),"britadores giratórios")</f>
        <v>britadores giratórios</v>
      </c>
      <c r="H427" s="24"/>
      <c r="I427" s="24"/>
    </row>
    <row r="428" spans="1:9" ht="14.5">
      <c r="A428" s="20" t="s">
        <v>35481</v>
      </c>
      <c r="B428" s="20">
        <v>60</v>
      </c>
      <c r="C428" s="20">
        <v>20</v>
      </c>
      <c r="D428" s="20">
        <v>15</v>
      </c>
      <c r="E428" s="20">
        <v>36</v>
      </c>
      <c r="F428" s="20" t="s">
        <v>35482</v>
      </c>
      <c r="G428" s="24" t="str">
        <f ca="1">IFERROR(__xludf.DUMMYFUNCTION("GOOGLETRANSLATE(F428,""en"",""pt"")"),"Britadeiras de martelo")</f>
        <v>Britadeiras de martelo</v>
      </c>
      <c r="H428" s="24"/>
      <c r="I428" s="24"/>
    </row>
    <row r="429" spans="1:9" ht="14.5">
      <c r="A429" s="20" t="s">
        <v>35483</v>
      </c>
      <c r="B429" s="20">
        <v>60</v>
      </c>
      <c r="C429" s="20">
        <v>20</v>
      </c>
      <c r="D429" s="20">
        <v>15</v>
      </c>
      <c r="E429" s="20">
        <v>42</v>
      </c>
      <c r="F429" s="20" t="s">
        <v>35484</v>
      </c>
      <c r="G429" s="24" t="str">
        <f ca="1">IFERROR(__xludf.DUMMYFUNCTION("GOOGLETRANSLATE(F429,""en"",""pt"")"),"trituradores do tipo Impacto")</f>
        <v>trituradores do tipo Impacto</v>
      </c>
      <c r="H429" s="24"/>
      <c r="I429" s="24"/>
    </row>
    <row r="430" spans="1:9" ht="14.5">
      <c r="A430" s="20" t="s">
        <v>35485</v>
      </c>
      <c r="B430" s="20">
        <v>60</v>
      </c>
      <c r="C430" s="20">
        <v>20</v>
      </c>
      <c r="D430" s="20">
        <v>15</v>
      </c>
      <c r="E430" s="20">
        <v>72</v>
      </c>
      <c r="F430" s="20" t="s">
        <v>35486</v>
      </c>
      <c r="G430" s="24" t="str">
        <f ca="1">IFERROR(__xludf.DUMMYFUNCTION("GOOGLETRANSLATE(F430,""en"",""pt"")"),"trituradores de rolo")</f>
        <v>trituradores de rolo</v>
      </c>
      <c r="H430" s="24"/>
      <c r="I430" s="24"/>
    </row>
    <row r="431" spans="1:9" ht="14.5">
      <c r="A431" s="20" t="s">
        <v>35487</v>
      </c>
      <c r="B431" s="20">
        <v>60</v>
      </c>
      <c r="C431" s="20">
        <v>20</v>
      </c>
      <c r="D431" s="20">
        <v>15</v>
      </c>
      <c r="E431" s="20">
        <v>84</v>
      </c>
      <c r="F431" s="20" t="s">
        <v>35488</v>
      </c>
      <c r="G431" s="24" t="str">
        <f ca="1">IFERROR(__xludf.DUMMYFUNCTION("GOOGLETRANSLATE(F431,""en"",""pt"")"),"disjuntores de pedra")</f>
        <v>disjuntores de pedra</v>
      </c>
      <c r="H431" s="24"/>
      <c r="I431" s="24"/>
    </row>
    <row r="432" spans="1:9" ht="14.5">
      <c r="A432" s="20" t="s">
        <v>35489</v>
      </c>
      <c r="B432" s="20">
        <v>60</v>
      </c>
      <c r="C432" s="20">
        <v>20</v>
      </c>
      <c r="D432" s="20">
        <v>80</v>
      </c>
      <c r="E432" s="24"/>
      <c r="F432" s="20" t="s">
        <v>35490</v>
      </c>
      <c r="G432" s="24" t="str">
        <f ca="1">IFERROR(__xludf.DUMMYFUNCTION("GOOGLETRANSLATE(F432,""en"",""pt"")"),"moinhos")</f>
        <v>moinhos</v>
      </c>
      <c r="H432" s="24"/>
      <c r="I432" s="24"/>
    </row>
    <row r="433" spans="1:9" ht="14.5">
      <c r="A433" s="20" t="s">
        <v>35491</v>
      </c>
      <c r="B433" s="20">
        <v>60</v>
      </c>
      <c r="C433" s="20">
        <v>20</v>
      </c>
      <c r="D433" s="20">
        <v>80</v>
      </c>
      <c r="E433" s="20">
        <v>36</v>
      </c>
      <c r="F433" s="20" t="s">
        <v>35492</v>
      </c>
      <c r="G433" s="24" t="str">
        <f ca="1">IFERROR(__xludf.DUMMYFUNCTION("GOOGLETRANSLATE(F433,""en"",""pt"")"),"moinhos de martelo")</f>
        <v>moinhos de martelo</v>
      </c>
      <c r="H433" s="24"/>
      <c r="I433" s="24"/>
    </row>
    <row r="434" spans="1:9" ht="14.5">
      <c r="A434" s="20" t="s">
        <v>35493</v>
      </c>
      <c r="B434" s="20">
        <v>60</v>
      </c>
      <c r="C434" s="20">
        <v>20</v>
      </c>
      <c r="D434" s="20">
        <v>80</v>
      </c>
      <c r="E434" s="20">
        <v>42</v>
      </c>
      <c r="F434" s="20" t="s">
        <v>35494</v>
      </c>
      <c r="G434" s="24" t="str">
        <f ca="1">IFERROR(__xludf.DUMMYFUNCTION("GOOGLETRANSLATE(F434,""en"",""pt"")"),"moinhos de impacto")</f>
        <v>moinhos de impacto</v>
      </c>
      <c r="H434" s="24"/>
      <c r="I434" s="24"/>
    </row>
    <row r="435" spans="1:9" ht="14.5">
      <c r="A435" s="20" t="s">
        <v>35495</v>
      </c>
      <c r="B435" s="20">
        <v>60</v>
      </c>
      <c r="C435" s="20">
        <v>20</v>
      </c>
      <c r="D435" s="20">
        <v>80</v>
      </c>
      <c r="E435" s="20">
        <v>72</v>
      </c>
      <c r="F435" s="20" t="s">
        <v>35496</v>
      </c>
      <c r="G435" s="24" t="str">
        <f ca="1">IFERROR(__xludf.DUMMYFUNCTION("GOOGLETRANSLATE(F435,""en"",""pt"")"),"moinhos de rolo")</f>
        <v>moinhos de rolo</v>
      </c>
      <c r="H435" s="24"/>
      <c r="I435" s="24"/>
    </row>
    <row r="436" spans="1:9" ht="14.5">
      <c r="A436" s="20" t="s">
        <v>35497</v>
      </c>
      <c r="B436" s="20">
        <v>60</v>
      </c>
      <c r="C436" s="20">
        <v>20</v>
      </c>
      <c r="D436" s="20">
        <v>80</v>
      </c>
      <c r="E436" s="20">
        <v>91</v>
      </c>
      <c r="F436" s="20" t="s">
        <v>35498</v>
      </c>
      <c r="G436" s="24" t="str">
        <f ca="1">IFERROR(__xludf.DUMMYFUNCTION("GOOGLETRANSLATE(F436,""en"",""pt"")"),"fábricas de tubos")</f>
        <v>fábricas de tubos</v>
      </c>
      <c r="H436" s="24"/>
      <c r="I436" s="24"/>
    </row>
    <row r="437" spans="1:9" ht="14.5">
      <c r="A437" s="20" t="s">
        <v>35499</v>
      </c>
      <c r="B437" s="20">
        <v>60</v>
      </c>
      <c r="C437" s="20">
        <v>20</v>
      </c>
      <c r="D437" s="20">
        <v>80</v>
      </c>
      <c r="E437" s="20">
        <v>94</v>
      </c>
      <c r="F437" s="20" t="s">
        <v>35500</v>
      </c>
      <c r="G437" s="24" t="str">
        <f ca="1">IFERROR(__xludf.DUMMYFUNCTION("GOOGLETRANSLATE(F437,""en"",""pt"")"),"Vibratório moinhos")</f>
        <v>Vibratório moinhos</v>
      </c>
      <c r="H437" s="24"/>
      <c r="I437" s="24"/>
    </row>
    <row r="438" spans="1:9" ht="14.5">
      <c r="A438" s="20" t="s">
        <v>35501</v>
      </c>
      <c r="B438" s="20">
        <v>60</v>
      </c>
      <c r="C438" s="20">
        <v>30</v>
      </c>
      <c r="D438" s="24"/>
      <c r="E438" s="24"/>
      <c r="F438" s="20" t="s">
        <v>35502</v>
      </c>
      <c r="G438" s="24" t="str">
        <f ca="1">IFERROR(__xludf.DUMMYFUNCTION("GOOGLETRANSLATE(F438,""en"",""pt"")"),"Triagem e classificação de plantas")</f>
        <v>Triagem e classificação de plantas</v>
      </c>
      <c r="H438" s="24"/>
      <c r="I438" s="24"/>
    </row>
    <row r="439" spans="1:9" ht="14.5">
      <c r="A439" s="20" t="s">
        <v>35503</v>
      </c>
      <c r="B439" s="20">
        <v>60</v>
      </c>
      <c r="C439" s="20">
        <v>30</v>
      </c>
      <c r="D439" s="20">
        <v>80</v>
      </c>
      <c r="E439" s="24"/>
      <c r="F439" s="20" t="s">
        <v>35504</v>
      </c>
      <c r="G439" s="24" t="str">
        <f ca="1">IFERROR(__xludf.DUMMYFUNCTION("GOOGLETRANSLATE(F439,""en"",""pt"")"),"peneiras vibratórias")</f>
        <v>peneiras vibratórias</v>
      </c>
      <c r="H439" s="24"/>
      <c r="I439" s="24"/>
    </row>
    <row r="440" spans="1:9" ht="14.5">
      <c r="A440" s="20" t="s">
        <v>35505</v>
      </c>
      <c r="B440" s="20">
        <v>60</v>
      </c>
      <c r="C440" s="20">
        <v>30</v>
      </c>
      <c r="D440" s="20">
        <v>80</v>
      </c>
      <c r="E440" s="20">
        <v>14</v>
      </c>
      <c r="F440" s="20" t="s">
        <v>35506</v>
      </c>
      <c r="G440" s="24" t="str">
        <f ca="1">IFERROR(__xludf.DUMMYFUNCTION("GOOGLETRANSLATE(F440,""en"",""pt"")"),"peneiras vibratórias circulares")</f>
        <v>peneiras vibratórias circulares</v>
      </c>
      <c r="H440" s="24"/>
      <c r="I440" s="24"/>
    </row>
    <row r="441" spans="1:9" ht="14.5">
      <c r="A441" s="20" t="s">
        <v>35507</v>
      </c>
      <c r="B441" s="20">
        <v>60</v>
      </c>
      <c r="C441" s="20">
        <v>30</v>
      </c>
      <c r="D441" s="20">
        <v>80</v>
      </c>
      <c r="E441" s="20">
        <v>26</v>
      </c>
      <c r="F441" s="20" t="s">
        <v>35508</v>
      </c>
      <c r="G441" s="24" t="str">
        <f ca="1">IFERROR(__xludf.DUMMYFUNCTION("GOOGLETRANSLATE(F441,""en"",""pt"")"),"peneiras vibratórias excêntricos")</f>
        <v>peneiras vibratórias excêntricos</v>
      </c>
      <c r="H441" s="24"/>
      <c r="I441" s="24"/>
    </row>
    <row r="442" spans="1:9" ht="14.5">
      <c r="A442" s="20" t="s">
        <v>35509</v>
      </c>
      <c r="B442" s="20">
        <v>60</v>
      </c>
      <c r="C442" s="20">
        <v>30</v>
      </c>
      <c r="D442" s="20">
        <v>80</v>
      </c>
      <c r="E442" s="20">
        <v>46</v>
      </c>
      <c r="F442" s="20" t="s">
        <v>35510</v>
      </c>
      <c r="G442" s="24" t="str">
        <f ca="1">IFERROR(__xludf.DUMMYFUNCTION("GOOGLETRANSLATE(F442,""en"",""pt"")"),"peneiras vibratórias lineares")</f>
        <v>peneiras vibratórias lineares</v>
      </c>
      <c r="H442" s="24"/>
      <c r="I442" s="24"/>
    </row>
    <row r="443" spans="1:9" ht="14.5">
      <c r="A443" s="20" t="s">
        <v>35511</v>
      </c>
      <c r="B443" s="20">
        <v>60</v>
      </c>
      <c r="C443" s="20">
        <v>40</v>
      </c>
      <c r="D443" s="24"/>
      <c r="E443" s="24"/>
      <c r="F443" s="20" t="s">
        <v>35512</v>
      </c>
      <c r="G443" s="24" t="str">
        <f ca="1">IFERROR(__xludf.DUMMYFUNCTION("GOOGLETRANSLATE(F443,""en"",""pt"")"),"Limpeza e armazenamento de plantas")</f>
        <v>Limpeza e armazenamento de plantas</v>
      </c>
      <c r="H443" s="24"/>
      <c r="I443" s="24"/>
    </row>
    <row r="444" spans="1:9" ht="14.5">
      <c r="A444" s="20" t="s">
        <v>35513</v>
      </c>
      <c r="B444" s="20">
        <v>60</v>
      </c>
      <c r="C444" s="20">
        <v>40</v>
      </c>
      <c r="D444" s="20">
        <v>5</v>
      </c>
      <c r="E444" s="24"/>
      <c r="F444" s="20" t="s">
        <v>35514</v>
      </c>
      <c r="G444" s="24" t="str">
        <f ca="1">IFERROR(__xludf.DUMMYFUNCTION("GOOGLETRANSLATE(F444,""en"",""pt"")"),"máquinas de lavar agregados")</f>
        <v>máquinas de lavar agregados</v>
      </c>
      <c r="H444" s="24"/>
      <c r="I444" s="24"/>
    </row>
    <row r="445" spans="1:9" ht="14.5">
      <c r="A445" s="20" t="s">
        <v>35515</v>
      </c>
      <c r="B445" s="20">
        <v>60</v>
      </c>
      <c r="C445" s="20">
        <v>40</v>
      </c>
      <c r="D445" s="20">
        <v>10</v>
      </c>
      <c r="E445" s="24"/>
      <c r="F445" s="20" t="s">
        <v>35516</v>
      </c>
      <c r="G445" s="24" t="str">
        <f ca="1">IFERROR(__xludf.DUMMYFUNCTION("GOOGLETRANSLATE(F445,""en"",""pt"")"),"equipamento de secagem de pedra e agregados")</f>
        <v>equipamento de secagem de pedra e agregados</v>
      </c>
      <c r="H445" s="24"/>
      <c r="I445" s="24"/>
    </row>
    <row r="446" spans="1:9" ht="14.5">
      <c r="A446" s="20" t="s">
        <v>35517</v>
      </c>
      <c r="B446" s="20">
        <v>60</v>
      </c>
      <c r="C446" s="20">
        <v>40</v>
      </c>
      <c r="D446" s="20">
        <v>20</v>
      </c>
      <c r="E446" s="24"/>
      <c r="F446" s="20" t="s">
        <v>35518</v>
      </c>
      <c r="G446" s="24" t="str">
        <f ca="1">IFERROR(__xludf.DUMMYFUNCTION("GOOGLETRANSLATE(F446,""en"",""pt"")"),"instalação de extracção de pó")</f>
        <v>instalação de extracção de pó</v>
      </c>
      <c r="H446" s="24"/>
      <c r="I446" s="24"/>
    </row>
    <row r="447" spans="1:9" ht="14.5">
      <c r="A447" s="20" t="s">
        <v>35519</v>
      </c>
      <c r="B447" s="20">
        <v>60</v>
      </c>
      <c r="C447" s="20">
        <v>40</v>
      </c>
      <c r="D447" s="20">
        <v>30</v>
      </c>
      <c r="E447" s="24"/>
      <c r="F447" s="20" t="s">
        <v>35520</v>
      </c>
      <c r="G447" s="24" t="str">
        <f ca="1">IFERROR(__xludf.DUMMYFUNCTION("GOOGLETRANSLATE(F447,""en"",""pt"")"),"A reciclagem de planta para os detritos de construção")</f>
        <v>A reciclagem de planta para os detritos de construção</v>
      </c>
      <c r="H447" s="24"/>
      <c r="I447" s="24"/>
    </row>
    <row r="448" spans="1:9" ht="14.5">
      <c r="A448" s="20" t="s">
        <v>35521</v>
      </c>
      <c r="B448" s="20">
        <v>60</v>
      </c>
      <c r="C448" s="20">
        <v>40</v>
      </c>
      <c r="D448" s="20">
        <v>40</v>
      </c>
      <c r="E448" s="24"/>
      <c r="F448" s="20" t="s">
        <v>26535</v>
      </c>
      <c r="G448" s="24" t="str">
        <f ca="1">IFERROR(__xludf.DUMMYFUNCTION("GOOGLETRANSLATE(F448,""en"",""pt"")"),"silos")</f>
        <v>silos</v>
      </c>
      <c r="H448" s="24"/>
      <c r="I448" s="24"/>
    </row>
    <row r="449" spans="1:9" ht="14.5">
      <c r="A449" s="20" t="s">
        <v>35522</v>
      </c>
      <c r="B449" s="20">
        <v>60</v>
      </c>
      <c r="C449" s="20">
        <v>40</v>
      </c>
      <c r="D449" s="20">
        <v>40</v>
      </c>
      <c r="E449" s="20">
        <v>78</v>
      </c>
      <c r="F449" s="20" t="s">
        <v>35523</v>
      </c>
      <c r="G449" s="24" t="str">
        <f ca="1">IFERROR(__xludf.DUMMYFUNCTION("GOOGLETRANSLATE(F449,""en"",""pt"")"),"Silos para agregados")</f>
        <v>Silos para agregados</v>
      </c>
      <c r="H449" s="24"/>
      <c r="I449" s="24"/>
    </row>
    <row r="450" spans="1:9" ht="14.5">
      <c r="A450" s="20" t="s">
        <v>35524</v>
      </c>
      <c r="B450" s="20">
        <v>60</v>
      </c>
      <c r="C450" s="20">
        <v>40</v>
      </c>
      <c r="D450" s="20">
        <v>40</v>
      </c>
      <c r="E450" s="20">
        <v>79</v>
      </c>
      <c r="F450" s="20" t="s">
        <v>35525</v>
      </c>
      <c r="G450" s="24" t="str">
        <f ca="1">IFERROR(__xludf.DUMMYFUNCTION("GOOGLETRANSLATE(F450,""en"",""pt"")"),"Silos para cimento")</f>
        <v>Silos para cimento</v>
      </c>
      <c r="H450" s="24"/>
      <c r="I450" s="24"/>
    </row>
    <row r="451" spans="1:9" ht="14.5">
      <c r="A451" s="20" t="s">
        <v>35526</v>
      </c>
      <c r="B451" s="20">
        <v>60</v>
      </c>
      <c r="C451" s="20">
        <v>40</v>
      </c>
      <c r="D451" s="20">
        <v>50</v>
      </c>
      <c r="E451" s="24"/>
      <c r="F451" s="20" t="s">
        <v>35527</v>
      </c>
      <c r="G451" s="24" t="str">
        <f ca="1">IFERROR(__xludf.DUMMYFUNCTION("GOOGLETRANSLATE(F451,""en"",""pt"")"),"Empilhadeiras e recuperadoras")</f>
        <v>Empilhadeiras e recuperadoras</v>
      </c>
      <c r="H451" s="24"/>
      <c r="I451" s="24"/>
    </row>
    <row r="452" spans="1:9" ht="14.5">
      <c r="A452" s="20" t="s">
        <v>35528</v>
      </c>
      <c r="B452" s="20">
        <v>60</v>
      </c>
      <c r="C452" s="20">
        <v>60</v>
      </c>
      <c r="D452" s="24"/>
      <c r="E452" s="24"/>
      <c r="F452" s="20" t="s">
        <v>35529</v>
      </c>
      <c r="G452" s="24" t="str">
        <f ca="1">IFERROR(__xludf.DUMMYFUNCTION("GOOGLETRANSLATE(F452,""en"",""pt"")"),"instalações e equipamentos de concreto")</f>
        <v>instalações e equipamentos de concreto</v>
      </c>
      <c r="H452" s="24"/>
      <c r="I452" s="24"/>
    </row>
    <row r="453" spans="1:9" ht="14.5">
      <c r="A453" s="20" t="s">
        <v>35530</v>
      </c>
      <c r="B453" s="20">
        <v>60</v>
      </c>
      <c r="C453" s="20">
        <v>60</v>
      </c>
      <c r="D453" s="20">
        <v>10</v>
      </c>
      <c r="E453" s="24"/>
      <c r="F453" s="20" t="s">
        <v>35531</v>
      </c>
      <c r="G453" s="24" t="str">
        <f ca="1">IFERROR(__xludf.DUMMYFUNCTION("GOOGLETRANSLATE(F453,""en"",""pt"")"),"Betão e misturadores")</f>
        <v>Betão e misturadores</v>
      </c>
      <c r="H453" s="24"/>
      <c r="I453" s="24"/>
    </row>
    <row r="454" spans="1:9" ht="14.5">
      <c r="A454" s="20" t="s">
        <v>35532</v>
      </c>
      <c r="B454" s="20">
        <v>60</v>
      </c>
      <c r="C454" s="20">
        <v>60</v>
      </c>
      <c r="D454" s="20">
        <v>10</v>
      </c>
      <c r="E454" s="20">
        <v>13</v>
      </c>
      <c r="F454" s="20" t="s">
        <v>35533</v>
      </c>
      <c r="G454" s="24" t="str">
        <f ca="1">IFERROR(__xludf.DUMMYFUNCTION("GOOGLETRANSLATE(F454,""en"",""pt"")"),"misturadores de tambor fechados")</f>
        <v>misturadores de tambor fechados</v>
      </c>
      <c r="H454" s="24"/>
      <c r="I454" s="24"/>
    </row>
    <row r="455" spans="1:9" ht="14.5">
      <c r="A455" s="20" t="s">
        <v>35534</v>
      </c>
      <c r="B455" s="20">
        <v>60</v>
      </c>
      <c r="C455" s="20">
        <v>60</v>
      </c>
      <c r="D455" s="20">
        <v>10</v>
      </c>
      <c r="E455" s="20">
        <v>15</v>
      </c>
      <c r="F455" s="20" t="s">
        <v>35535</v>
      </c>
      <c r="G455" s="24" t="str">
        <f ca="1">IFERROR(__xludf.DUMMYFUNCTION("GOOGLETRANSLATE(F455,""en"",""pt"")"),"sistemas de processamento de betão")</f>
        <v>sistemas de processamento de betão</v>
      </c>
      <c r="H455" s="24"/>
      <c r="I455" s="24"/>
    </row>
    <row r="456" spans="1:9" ht="14.5">
      <c r="A456" s="20" t="s">
        <v>35536</v>
      </c>
      <c r="B456" s="20">
        <v>60</v>
      </c>
      <c r="C456" s="20">
        <v>60</v>
      </c>
      <c r="D456" s="20">
        <v>10</v>
      </c>
      <c r="E456" s="20">
        <v>16</v>
      </c>
      <c r="F456" s="20" t="s">
        <v>35537</v>
      </c>
      <c r="G456" s="24" t="str">
        <f ca="1">IFERROR(__xludf.DUMMYFUNCTION("GOOGLETRANSLATE(F456,""en"",""pt"")"),"sistemas de processamento de betão com a alimentação do agregado horizontal")</f>
        <v>sistemas de processamento de betão com a alimentação do agregado horizontal</v>
      </c>
      <c r="H456" s="24"/>
      <c r="I456" s="24"/>
    </row>
    <row r="457" spans="1:9" ht="14.5">
      <c r="A457" s="20" t="s">
        <v>35538</v>
      </c>
      <c r="B457" s="20">
        <v>60</v>
      </c>
      <c r="C457" s="20">
        <v>60</v>
      </c>
      <c r="D457" s="20">
        <v>10</v>
      </c>
      <c r="E457" s="20">
        <v>17</v>
      </c>
      <c r="F457" s="20" t="s">
        <v>35539</v>
      </c>
      <c r="G457" s="24" t="str">
        <f ca="1">IFERROR(__xludf.DUMMYFUNCTION("GOOGLETRANSLATE(F457,""en"",""pt"")"),"sistemas de processamento de betão com a alimentação do agregado verticais")</f>
        <v>sistemas de processamento de betão com a alimentação do agregado verticais</v>
      </c>
      <c r="H457" s="24"/>
      <c r="I457" s="24"/>
    </row>
    <row r="458" spans="1:9" ht="14.5">
      <c r="A458" s="20" t="s">
        <v>35540</v>
      </c>
      <c r="B458" s="20">
        <v>60</v>
      </c>
      <c r="C458" s="20">
        <v>60</v>
      </c>
      <c r="D458" s="20">
        <v>10</v>
      </c>
      <c r="E458" s="20">
        <v>36</v>
      </c>
      <c r="F458" s="20" t="s">
        <v>35541</v>
      </c>
      <c r="G458" s="24" t="str">
        <f ca="1">IFERROR(__xludf.DUMMYFUNCTION("GOOGLETRANSLATE(F458,""en"",""pt"")"),"raspadores mão")</f>
        <v>raspadores mão</v>
      </c>
      <c r="H458" s="24"/>
      <c r="I458" s="24"/>
    </row>
    <row r="459" spans="1:9" ht="14.5">
      <c r="A459" s="20" t="s">
        <v>35542</v>
      </c>
      <c r="B459" s="20">
        <v>60</v>
      </c>
      <c r="C459" s="20">
        <v>60</v>
      </c>
      <c r="D459" s="20">
        <v>10</v>
      </c>
      <c r="E459" s="20">
        <v>51</v>
      </c>
      <c r="F459" s="20" t="s">
        <v>35543</v>
      </c>
      <c r="G459" s="24" t="str">
        <f ca="1">IFERROR(__xludf.DUMMYFUNCTION("GOOGLETRANSLATE(F459,""en"",""pt"")"),"Medição e equipamento de pesagem")</f>
        <v>Medição e equipamento de pesagem</v>
      </c>
      <c r="H459" s="24"/>
      <c r="I459" s="24"/>
    </row>
    <row r="460" spans="1:9" ht="14.5">
      <c r="A460" s="20" t="s">
        <v>35544</v>
      </c>
      <c r="B460" s="20">
        <v>60</v>
      </c>
      <c r="C460" s="20">
        <v>60</v>
      </c>
      <c r="D460" s="20">
        <v>10</v>
      </c>
      <c r="E460" s="20">
        <v>58</v>
      </c>
      <c r="F460" s="20" t="s">
        <v>35545</v>
      </c>
      <c r="G460" s="24" t="str">
        <f ca="1">IFERROR(__xludf.DUMMYFUNCTION("GOOGLETRANSLATE(F460,""en"",""pt"")"),"misturadores de tambor abertas com tremonha")</f>
        <v>misturadores de tambor abertas com tremonha</v>
      </c>
      <c r="H460" s="24"/>
      <c r="I460" s="24"/>
    </row>
    <row r="461" spans="1:9" ht="14.5">
      <c r="A461" s="20" t="s">
        <v>35546</v>
      </c>
      <c r="B461" s="20">
        <v>60</v>
      </c>
      <c r="C461" s="20">
        <v>60</v>
      </c>
      <c r="D461" s="20">
        <v>10</v>
      </c>
      <c r="E461" s="20">
        <v>59</v>
      </c>
      <c r="F461" s="20" t="s">
        <v>35547</v>
      </c>
      <c r="G461" s="24" t="str">
        <f ca="1">IFERROR(__xludf.DUMMYFUNCTION("GOOGLETRANSLATE(F461,""en"",""pt"")"),"misturadores de tambor abertas sem tremonha")</f>
        <v>misturadores de tambor abertas sem tremonha</v>
      </c>
      <c r="H461" s="24"/>
      <c r="I461" s="24"/>
    </row>
    <row r="462" spans="1:9" ht="14.5">
      <c r="A462" s="20" t="s">
        <v>35548</v>
      </c>
      <c r="B462" s="20">
        <v>60</v>
      </c>
      <c r="C462" s="20">
        <v>60</v>
      </c>
      <c r="D462" s="20">
        <v>10</v>
      </c>
      <c r="E462" s="20">
        <v>71</v>
      </c>
      <c r="F462" s="20" t="s">
        <v>35549</v>
      </c>
      <c r="G462" s="24" t="str">
        <f ca="1">IFERROR(__xludf.DUMMYFUNCTION("GOOGLETRANSLATE(F462,""en"",""pt"")"),"Invertendo misturadores de tambor com tremonha, pá de alimentação de pesagem e")</f>
        <v>Invertendo misturadores de tambor com tremonha, pá de alimentação de pesagem e</v>
      </c>
      <c r="H462" s="24"/>
      <c r="I462" s="24"/>
    </row>
    <row r="463" spans="1:9" ht="14.5">
      <c r="A463" s="20" t="s">
        <v>35550</v>
      </c>
      <c r="B463" s="20">
        <v>60</v>
      </c>
      <c r="C463" s="20">
        <v>60</v>
      </c>
      <c r="D463" s="20">
        <v>10</v>
      </c>
      <c r="E463" s="20">
        <v>73</v>
      </c>
      <c r="F463" s="20" t="s">
        <v>35551</v>
      </c>
      <c r="G463" s="24" t="str">
        <f ca="1">IFERROR(__xludf.DUMMYFUNCTION("GOOGLETRANSLATE(F463,""en"",""pt"")"),"misturadores rotativos")</f>
        <v>misturadores rotativos</v>
      </c>
      <c r="H463" s="24"/>
      <c r="I463" s="24"/>
    </row>
    <row r="464" spans="1:9" ht="14.5">
      <c r="A464" s="20" t="s">
        <v>35552</v>
      </c>
      <c r="B464" s="20">
        <v>60</v>
      </c>
      <c r="C464" s="20">
        <v>60</v>
      </c>
      <c r="D464" s="20">
        <v>10</v>
      </c>
      <c r="E464" s="20">
        <v>88</v>
      </c>
      <c r="F464" s="20" t="s">
        <v>35553</v>
      </c>
      <c r="G464" s="24" t="str">
        <f ca="1">IFERROR(__xludf.DUMMYFUNCTION("GOOGLETRANSLATE(F464,""en"",""pt"")"),"Inclinando misturadores de tambor")</f>
        <v>Inclinando misturadores de tambor</v>
      </c>
      <c r="H464" s="24"/>
      <c r="I464" s="24"/>
    </row>
    <row r="465" spans="1:9" ht="14.5">
      <c r="A465" s="20" t="s">
        <v>35554</v>
      </c>
      <c r="B465" s="20">
        <v>60</v>
      </c>
      <c r="C465" s="20">
        <v>60</v>
      </c>
      <c r="D465" s="20">
        <v>20</v>
      </c>
      <c r="E465" s="24"/>
      <c r="F465" s="20" t="s">
        <v>35555</v>
      </c>
      <c r="G465" s="24" t="str">
        <f ca="1">IFERROR(__xludf.DUMMYFUNCTION("GOOGLETRANSLATE(F465,""en"",""pt"")"),"Betão e transporte argamassa equipamentos")</f>
        <v>Betão e transporte argamassa equipamentos</v>
      </c>
      <c r="H465" s="24"/>
      <c r="I465" s="24"/>
    </row>
    <row r="466" spans="1:9" ht="14.5">
      <c r="A466" s="20" t="s">
        <v>35556</v>
      </c>
      <c r="B466" s="20">
        <v>60</v>
      </c>
      <c r="C466" s="20">
        <v>60</v>
      </c>
      <c r="D466" s="20">
        <v>20</v>
      </c>
      <c r="E466" s="20">
        <v>15</v>
      </c>
      <c r="F466" s="20" t="s">
        <v>35557</v>
      </c>
      <c r="G466" s="24" t="str">
        <f ca="1">IFERROR(__xludf.DUMMYFUNCTION("GOOGLETRANSLATE(F466,""en"",""pt"")"),"agitadores concretas")</f>
        <v>agitadores concretas</v>
      </c>
      <c r="H466" s="24"/>
      <c r="I466" s="24"/>
    </row>
    <row r="467" spans="1:9" ht="14.5">
      <c r="A467" s="20" t="s">
        <v>35558</v>
      </c>
      <c r="B467" s="20">
        <v>60</v>
      </c>
      <c r="C467" s="20">
        <v>60</v>
      </c>
      <c r="D467" s="20">
        <v>20</v>
      </c>
      <c r="E467" s="20">
        <v>16</v>
      </c>
      <c r="F467" s="20" t="s">
        <v>35559</v>
      </c>
      <c r="G467" s="24" t="str">
        <f ca="1">IFERROR(__xludf.DUMMYFUNCTION("GOOGLETRANSLATE(F467,""en"",""pt"")"),"Betão e baldes")</f>
        <v>Betão e baldes</v>
      </c>
      <c r="H467" s="24"/>
      <c r="I467" s="24"/>
    </row>
    <row r="468" spans="1:9" ht="14.5">
      <c r="A468" s="20" t="s">
        <v>35560</v>
      </c>
      <c r="B468" s="20">
        <v>60</v>
      </c>
      <c r="C468" s="20">
        <v>60</v>
      </c>
      <c r="D468" s="20">
        <v>20</v>
      </c>
      <c r="E468" s="20">
        <v>17</v>
      </c>
      <c r="F468" s="20" t="s">
        <v>35561</v>
      </c>
      <c r="G468" s="24" t="str">
        <f ca="1">IFERROR(__xludf.DUMMYFUNCTION("GOOGLETRANSLATE(F468,""en"",""pt"")"),"bombas e equipamentos de concreto")</f>
        <v>bombas e equipamentos de concreto</v>
      </c>
      <c r="H468" s="24"/>
      <c r="I468" s="24"/>
    </row>
    <row r="469" spans="1:9" ht="14.5">
      <c r="A469" s="20" t="s">
        <v>35562</v>
      </c>
      <c r="B469" s="20">
        <v>60</v>
      </c>
      <c r="C469" s="20">
        <v>60</v>
      </c>
      <c r="D469" s="20">
        <v>20</v>
      </c>
      <c r="E469" s="20">
        <v>18</v>
      </c>
      <c r="F469" s="20" t="s">
        <v>35563</v>
      </c>
      <c r="G469" s="24" t="str">
        <f ca="1">IFERROR(__xludf.DUMMYFUNCTION("GOOGLETRANSLATE(F469,""en"",""pt"")"),"Betão betoneiras")</f>
        <v>Betão betoneiras</v>
      </c>
      <c r="H469" s="24"/>
      <c r="I469" s="24"/>
    </row>
    <row r="470" spans="1:9" ht="14.5">
      <c r="A470" s="20" t="s">
        <v>35564</v>
      </c>
      <c r="B470" s="20">
        <v>60</v>
      </c>
      <c r="C470" s="20">
        <v>60</v>
      </c>
      <c r="D470" s="20">
        <v>20</v>
      </c>
      <c r="E470" s="20">
        <v>47</v>
      </c>
      <c r="F470" s="20" t="s">
        <v>35565</v>
      </c>
      <c r="G470" s="24" t="str">
        <f ca="1">IFERROR(__xludf.DUMMYFUNCTION("GOOGLETRANSLATE(F470,""en"",""pt"")"),"Bombas de camião-montado concreto com lança")</f>
        <v>Bombas de camião-montado concreto com lança</v>
      </c>
      <c r="H470" s="24"/>
      <c r="I470" s="24"/>
    </row>
    <row r="471" spans="1:9" ht="14.5">
      <c r="A471" s="20" t="s">
        <v>35566</v>
      </c>
      <c r="B471" s="20">
        <v>60</v>
      </c>
      <c r="C471" s="20">
        <v>60</v>
      </c>
      <c r="D471" s="20">
        <v>20</v>
      </c>
      <c r="E471" s="20">
        <v>53</v>
      </c>
      <c r="F471" s="20" t="s">
        <v>35567</v>
      </c>
      <c r="G471" s="24" t="str">
        <f ca="1">IFERROR(__xludf.DUMMYFUNCTION("GOOGLETRANSLATE(F471,""en"",""pt"")"),"misturadores móveis")</f>
        <v>misturadores móveis</v>
      </c>
      <c r="H471" s="24"/>
      <c r="I471" s="24"/>
    </row>
    <row r="472" spans="1:9" ht="14.5">
      <c r="A472" s="20" t="s">
        <v>35568</v>
      </c>
      <c r="B472" s="20">
        <v>60</v>
      </c>
      <c r="C472" s="20">
        <v>60</v>
      </c>
      <c r="D472" s="20">
        <v>20</v>
      </c>
      <c r="E472" s="20">
        <v>54</v>
      </c>
      <c r="F472" s="20" t="s">
        <v>35569</v>
      </c>
      <c r="G472" s="24" t="str">
        <f ca="1">IFERROR(__xludf.DUMMYFUNCTION("GOOGLETRANSLATE(F472,""en"",""pt"")"),"bombas de argamassa")</f>
        <v>bombas de argamassa</v>
      </c>
      <c r="H472" s="24"/>
      <c r="I472" s="24"/>
    </row>
    <row r="473" spans="1:9" ht="14.5">
      <c r="A473" s="20" t="s">
        <v>35570</v>
      </c>
      <c r="B473" s="20">
        <v>60</v>
      </c>
      <c r="C473" s="20">
        <v>60</v>
      </c>
      <c r="D473" s="20">
        <v>20</v>
      </c>
      <c r="E473" s="20">
        <v>76</v>
      </c>
      <c r="F473" s="20" t="s">
        <v>35571</v>
      </c>
      <c r="G473" s="24" t="str">
        <f ca="1">IFERROR(__xludf.DUMMYFUNCTION("GOOGLETRANSLATE(F473,""en"",""pt"")"),"bombas betonilha")</f>
        <v>bombas betonilha</v>
      </c>
      <c r="H473" s="24"/>
      <c r="I473" s="24"/>
    </row>
    <row r="474" spans="1:9" ht="14.5">
      <c r="A474" s="20" t="s">
        <v>35572</v>
      </c>
      <c r="B474" s="20">
        <v>60</v>
      </c>
      <c r="C474" s="20">
        <v>60</v>
      </c>
      <c r="D474" s="20">
        <v>30</v>
      </c>
      <c r="E474" s="24"/>
      <c r="F474" s="20" t="s">
        <v>35573</v>
      </c>
      <c r="G474" s="24" t="str">
        <f ca="1">IFERROR(__xludf.DUMMYFUNCTION("GOOGLETRANSLATE(F474,""en"",""pt"")"),"Anexos para betão e fábrica de argamassas")</f>
        <v>Anexos para betão e fábrica de argamassas</v>
      </c>
      <c r="H474" s="24"/>
      <c r="I474" s="24"/>
    </row>
    <row r="475" spans="1:9" ht="14.5">
      <c r="A475" s="20" t="s">
        <v>35574</v>
      </c>
      <c r="B475" s="20">
        <v>60</v>
      </c>
      <c r="C475" s="20">
        <v>60</v>
      </c>
      <c r="D475" s="20">
        <v>30</v>
      </c>
      <c r="E475" s="20">
        <v>2</v>
      </c>
      <c r="F475" s="20" t="s">
        <v>35575</v>
      </c>
      <c r="G475" s="24" t="str">
        <f ca="1">IFERROR(__xludf.DUMMYFUNCTION("GOOGLETRANSLATE(F475,""en"",""pt"")"),"Agregados de alimentação aventais")</f>
        <v>Agregados de alimentação aventais</v>
      </c>
      <c r="H475" s="24"/>
      <c r="I475" s="24"/>
    </row>
    <row r="476" spans="1:9" ht="14.5">
      <c r="A476" s="20" t="s">
        <v>35576</v>
      </c>
      <c r="B476" s="20">
        <v>60</v>
      </c>
      <c r="C476" s="20">
        <v>60</v>
      </c>
      <c r="D476" s="20">
        <v>30</v>
      </c>
      <c r="E476" s="20">
        <v>65</v>
      </c>
      <c r="F476" s="20" t="s">
        <v>35577</v>
      </c>
      <c r="G476" s="24" t="str">
        <f ca="1">IFERROR(__xludf.DUMMYFUNCTION("GOOGLETRANSLATE(F476,""en"",""pt"")"),"pás carregadoras a motor")</f>
        <v>pás carregadoras a motor</v>
      </c>
      <c r="H476" s="24"/>
      <c r="I476" s="24"/>
    </row>
    <row r="477" spans="1:9" ht="14.5">
      <c r="A477" s="20" t="s">
        <v>35578</v>
      </c>
      <c r="B477" s="20">
        <v>60</v>
      </c>
      <c r="C477" s="20">
        <v>60</v>
      </c>
      <c r="D477" s="20">
        <v>40</v>
      </c>
      <c r="E477" s="24"/>
      <c r="F477" s="20" t="s">
        <v>35579</v>
      </c>
      <c r="G477" s="24" t="str">
        <f ca="1">IFERROR(__xludf.DUMMYFUNCTION("GOOGLETRANSLATE(F477,""en"",""pt"")"),"tubulação de concreto")</f>
        <v>tubulação de concreto</v>
      </c>
      <c r="H477" s="24"/>
      <c r="I477" s="24"/>
    </row>
    <row r="478" spans="1:9" ht="14.5">
      <c r="A478" s="20" t="s">
        <v>35580</v>
      </c>
      <c r="B478" s="20">
        <v>60</v>
      </c>
      <c r="C478" s="20">
        <v>60</v>
      </c>
      <c r="D478" s="20">
        <v>40</v>
      </c>
      <c r="E478" s="20">
        <v>30</v>
      </c>
      <c r="F478" s="20" t="s">
        <v>35581</v>
      </c>
      <c r="G478" s="24" t="str">
        <f ca="1">IFERROR(__xludf.DUMMYFUNCTION("GOOGLETRANSLATE(F478,""en"",""pt"")"),"mangueira distribuidora flexível")</f>
        <v>mangueira distribuidora flexível</v>
      </c>
      <c r="H478" s="24"/>
      <c r="I478" s="24"/>
    </row>
    <row r="479" spans="1:9" ht="14.5">
      <c r="A479" s="20" t="s">
        <v>35582</v>
      </c>
      <c r="B479" s="20">
        <v>60</v>
      </c>
      <c r="C479" s="20">
        <v>60</v>
      </c>
      <c r="D479" s="20">
        <v>40</v>
      </c>
      <c r="E479" s="20">
        <v>53</v>
      </c>
      <c r="F479" s="20" t="s">
        <v>35583</v>
      </c>
      <c r="G479" s="24" t="str">
        <f ca="1">IFERROR(__xludf.DUMMYFUNCTION("GOOGLETRANSLATE(F479,""en"",""pt"")"),"/ mangueiras Bomba em chapa argamassa")</f>
        <v>/ mangueiras Bomba em chapa argamassa</v>
      </c>
      <c r="H479" s="24"/>
      <c r="I479" s="24"/>
    </row>
    <row r="480" spans="1:9" ht="14.5">
      <c r="A480" s="20" t="s">
        <v>35584</v>
      </c>
      <c r="B480" s="20">
        <v>60</v>
      </c>
      <c r="C480" s="20">
        <v>60</v>
      </c>
      <c r="D480" s="20">
        <v>40</v>
      </c>
      <c r="E480" s="20">
        <v>64</v>
      </c>
      <c r="F480" s="20" t="s">
        <v>35585</v>
      </c>
      <c r="G480" s="24" t="str">
        <f ca="1">IFERROR(__xludf.DUMMYFUNCTION("GOOGLETRANSLATE(F480,""en"",""pt"")"),"equipamento de limpeza de tubulação")</f>
        <v>equipamento de limpeza de tubulação</v>
      </c>
      <c r="H480" s="24"/>
      <c r="I480" s="24"/>
    </row>
    <row r="481" spans="1:9" ht="14.5">
      <c r="A481" s="20" t="s">
        <v>35586</v>
      </c>
      <c r="B481" s="20">
        <v>60</v>
      </c>
      <c r="C481" s="20">
        <v>60</v>
      </c>
      <c r="D481" s="20">
        <v>40</v>
      </c>
      <c r="E481" s="20">
        <v>78</v>
      </c>
      <c r="F481" s="20" t="s">
        <v>35587</v>
      </c>
      <c r="G481" s="24" t="str">
        <f ca="1">IFERROR(__xludf.DUMMYFUNCTION("GOOGLETRANSLATE(F481,""en"",""pt"")"),"Desligue seções de tubo")</f>
        <v>Desligue seções de tubo</v>
      </c>
      <c r="H481" s="24"/>
      <c r="I481" s="24"/>
    </row>
    <row r="482" spans="1:9" ht="14.5">
      <c r="A482" s="20" t="s">
        <v>35588</v>
      </c>
      <c r="B482" s="20">
        <v>60</v>
      </c>
      <c r="C482" s="20">
        <v>60</v>
      </c>
      <c r="D482" s="20">
        <v>50</v>
      </c>
      <c r="E482" s="24"/>
      <c r="F482" s="20" t="s">
        <v>35589</v>
      </c>
      <c r="G482" s="24" t="str">
        <f ca="1">IFERROR(__xludf.DUMMYFUNCTION("GOOGLETRANSLATE(F482,""en"",""pt"")"),"planta de tratamento por lotes")</f>
        <v>planta de tratamento por lotes</v>
      </c>
      <c r="H482" s="24"/>
      <c r="I482" s="24"/>
    </row>
    <row r="483" spans="1:9" ht="14.5">
      <c r="A483" s="20" t="s">
        <v>35590</v>
      </c>
      <c r="B483" s="20">
        <v>60</v>
      </c>
      <c r="C483" s="20">
        <v>60</v>
      </c>
      <c r="D483" s="20">
        <v>50</v>
      </c>
      <c r="E483" s="20">
        <v>1</v>
      </c>
      <c r="F483" s="20" t="s">
        <v>35591</v>
      </c>
      <c r="G483" s="24" t="str">
        <f ca="1">IFERROR(__xludf.DUMMYFUNCTION("GOOGLETRANSLATE(F483,""en"",""pt"")"),"silos gaseificadas")</f>
        <v>silos gaseificadas</v>
      </c>
      <c r="H483" s="24"/>
      <c r="I483" s="24"/>
    </row>
    <row r="484" spans="1:9" ht="14.5">
      <c r="A484" s="20" t="s">
        <v>35592</v>
      </c>
      <c r="B484" s="20">
        <v>60</v>
      </c>
      <c r="C484" s="20">
        <v>60</v>
      </c>
      <c r="D484" s="20">
        <v>50</v>
      </c>
      <c r="E484" s="20">
        <v>5</v>
      </c>
      <c r="F484" s="20" t="s">
        <v>35593</v>
      </c>
      <c r="G484" s="24" t="str">
        <f ca="1">IFERROR(__xludf.DUMMYFUNCTION("GOOGLETRANSLATE(F484,""en"",""pt"")"),"equipamentos AUTOFEED")</f>
        <v>equipamentos AUTOFEED</v>
      </c>
      <c r="H484" s="24"/>
      <c r="I484" s="24"/>
    </row>
    <row r="485" spans="1:9" ht="14.5">
      <c r="A485" s="20" t="s">
        <v>35594</v>
      </c>
      <c r="B485" s="20">
        <v>60</v>
      </c>
      <c r="C485" s="20">
        <v>60</v>
      </c>
      <c r="D485" s="20">
        <v>50</v>
      </c>
      <c r="E485" s="20">
        <v>6</v>
      </c>
      <c r="F485" s="20" t="s">
        <v>35595</v>
      </c>
      <c r="G485" s="24" t="str">
        <f ca="1">IFERROR(__xludf.DUMMYFUNCTION("GOOGLETRANSLATE(F485,""en"",""pt"")"),"carregadores de lote")</f>
        <v>carregadores de lote</v>
      </c>
      <c r="H485" s="24"/>
      <c r="I485" s="24"/>
    </row>
    <row r="486" spans="1:9" ht="14.5">
      <c r="A486" s="20" t="s">
        <v>35596</v>
      </c>
      <c r="B486" s="20">
        <v>60</v>
      </c>
      <c r="C486" s="20">
        <v>60</v>
      </c>
      <c r="D486" s="20">
        <v>50</v>
      </c>
      <c r="E486" s="20">
        <v>27</v>
      </c>
      <c r="F486" s="20" t="s">
        <v>35597</v>
      </c>
      <c r="G486" s="24" t="str">
        <f ca="1">IFERROR(__xludf.DUMMYFUNCTION("GOOGLETRANSLATE(F486,""en"",""pt"")"),"Pesar eletrônico engrenagem")</f>
        <v>Pesar eletrônico engrenagem</v>
      </c>
      <c r="H486" s="24"/>
      <c r="I486" s="24"/>
    </row>
    <row r="487" spans="1:9" ht="14.5">
      <c r="A487" s="20" t="s">
        <v>35598</v>
      </c>
      <c r="B487" s="20">
        <v>60</v>
      </c>
      <c r="C487" s="20">
        <v>60</v>
      </c>
      <c r="D487" s="20">
        <v>50</v>
      </c>
      <c r="E487" s="20">
        <v>39</v>
      </c>
      <c r="F487" s="20" t="s">
        <v>35599</v>
      </c>
      <c r="G487" s="24" t="str">
        <f ca="1">IFERROR(__xludf.DUMMYFUNCTION("GOOGLETRANSLATE(F487,""en"",""pt"")"),"cimento hidráulico pesar engrenagem")</f>
        <v>cimento hidráulico pesar engrenagem</v>
      </c>
      <c r="H487" s="24"/>
      <c r="I487" s="24"/>
    </row>
    <row r="488" spans="1:9" ht="14.5">
      <c r="A488" s="20" t="s">
        <v>35600</v>
      </c>
      <c r="B488" s="20">
        <v>60</v>
      </c>
      <c r="C488" s="20">
        <v>60</v>
      </c>
      <c r="D488" s="20">
        <v>50</v>
      </c>
      <c r="E488" s="20">
        <v>48</v>
      </c>
      <c r="F488" s="20" t="s">
        <v>35601</v>
      </c>
      <c r="G488" s="24" t="str">
        <f ca="1">IFERROR(__xludf.DUMMYFUNCTION("GOOGLETRANSLATE(F488,""en"",""pt"")"),"Carregando funis com pesar engrenagem e carregamento pá")</f>
        <v>Carregando funis com pesar engrenagem e carregamento pá</v>
      </c>
      <c r="H488" s="24"/>
      <c r="I488" s="24"/>
    </row>
    <row r="489" spans="1:9" ht="14.5">
      <c r="A489" s="20" t="s">
        <v>35602</v>
      </c>
      <c r="B489" s="20">
        <v>60</v>
      </c>
      <c r="C489" s="20">
        <v>60</v>
      </c>
      <c r="D489" s="20">
        <v>50</v>
      </c>
      <c r="E489" s="20">
        <v>76</v>
      </c>
      <c r="F489" s="20" t="s">
        <v>35603</v>
      </c>
      <c r="G489" s="24" t="str">
        <f ca="1">IFERROR(__xludf.DUMMYFUNCTION("GOOGLETRANSLATE(F489,""en"",""pt"")"),"engrenagem de descarga do parafuso")</f>
        <v>engrenagem de descarga do parafuso</v>
      </c>
      <c r="H489" s="24"/>
      <c r="I489" s="24"/>
    </row>
    <row r="490" spans="1:9" ht="14.5">
      <c r="A490" s="20" t="s">
        <v>35604</v>
      </c>
      <c r="B490" s="20">
        <v>60</v>
      </c>
      <c r="C490" s="20">
        <v>60</v>
      </c>
      <c r="D490" s="20">
        <v>60</v>
      </c>
      <c r="E490" s="24"/>
      <c r="F490" s="20" t="s">
        <v>35605</v>
      </c>
      <c r="G490" s="24" t="str">
        <f ca="1">IFERROR(__xludf.DUMMYFUNCTION("GOOGLETRANSLATE(F490,""en"",""pt"")"),"Betão e aplicação de argamassa equipamentos")</f>
        <v>Betão e aplicação de argamassa equipamentos</v>
      </c>
      <c r="H490" s="24"/>
      <c r="I490" s="24"/>
    </row>
    <row r="491" spans="1:9" ht="14.5">
      <c r="A491" s="20" t="s">
        <v>35606</v>
      </c>
      <c r="B491" s="20">
        <v>60</v>
      </c>
      <c r="C491" s="20">
        <v>60</v>
      </c>
      <c r="D491" s="20">
        <v>60</v>
      </c>
      <c r="E491" s="20">
        <v>16</v>
      </c>
      <c r="F491" s="20" t="s">
        <v>35607</v>
      </c>
      <c r="G491" s="24" t="str">
        <f ca="1">IFERROR(__xludf.DUMMYFUNCTION("GOOGLETRANSLATE(F491,""en"",""pt"")"),"armas de concreto")</f>
        <v>armas de concreto</v>
      </c>
      <c r="H491" s="24"/>
      <c r="I491" s="24"/>
    </row>
    <row r="492" spans="1:9" ht="14.5">
      <c r="A492" s="20" t="s">
        <v>35608</v>
      </c>
      <c r="B492" s="20">
        <v>60</v>
      </c>
      <c r="C492" s="20">
        <v>60</v>
      </c>
      <c r="D492" s="20">
        <v>60</v>
      </c>
      <c r="E492" s="20">
        <v>17</v>
      </c>
      <c r="F492" s="20" t="s">
        <v>35609</v>
      </c>
      <c r="G492" s="24" t="str">
        <f ca="1">IFERROR(__xludf.DUMMYFUNCTION("GOOGLETRANSLATE(F492,""en"",""pt"")"),"injetores de concreto")</f>
        <v>injetores de concreto</v>
      </c>
      <c r="H492" s="24"/>
      <c r="I492" s="24"/>
    </row>
    <row r="493" spans="1:9" ht="14.5">
      <c r="A493" s="20" t="s">
        <v>35610</v>
      </c>
      <c r="B493" s="20">
        <v>60</v>
      </c>
      <c r="C493" s="20">
        <v>60</v>
      </c>
      <c r="D493" s="20">
        <v>60</v>
      </c>
      <c r="E493" s="20">
        <v>19</v>
      </c>
      <c r="F493" s="20" t="s">
        <v>35611</v>
      </c>
      <c r="G493" s="24" t="str">
        <f ca="1">IFERROR(__xludf.DUMMYFUNCTION("GOOGLETRANSLATE(F493,""en"",""pt"")"),"espalhadores de concreto")</f>
        <v>espalhadores de concreto</v>
      </c>
      <c r="H493" s="24"/>
      <c r="I493" s="24"/>
    </row>
    <row r="494" spans="1:9" ht="14.5">
      <c r="A494" s="20" t="s">
        <v>35612</v>
      </c>
      <c r="B494" s="20">
        <v>60</v>
      </c>
      <c r="C494" s="20">
        <v>60</v>
      </c>
      <c r="D494" s="20">
        <v>60</v>
      </c>
      <c r="E494" s="20">
        <v>35</v>
      </c>
      <c r="F494" s="20" t="s">
        <v>35613</v>
      </c>
      <c r="G494" s="24" t="str">
        <f ca="1">IFERROR(__xludf.DUMMYFUNCTION("GOOGLETRANSLATE(F494,""en"",""pt"")"),"equipamentos gunite")</f>
        <v>equipamentos gunite</v>
      </c>
      <c r="H494" s="24"/>
      <c r="I494" s="24"/>
    </row>
    <row r="495" spans="1:9" ht="14.5">
      <c r="A495" s="20" t="s">
        <v>35614</v>
      </c>
      <c r="B495" s="20">
        <v>60</v>
      </c>
      <c r="C495" s="20">
        <v>60</v>
      </c>
      <c r="D495" s="20">
        <v>60</v>
      </c>
      <c r="E495" s="20">
        <v>71</v>
      </c>
      <c r="F495" s="20" t="s">
        <v>35615</v>
      </c>
      <c r="G495" s="24" t="str">
        <f ca="1">IFERROR(__xludf.DUMMYFUNCTION("GOOGLETRANSLATE(F495,""en"",""pt"")"),"máquinas de renderização")</f>
        <v>máquinas de renderização</v>
      </c>
      <c r="H495" s="24"/>
      <c r="I495" s="24"/>
    </row>
    <row r="496" spans="1:9" ht="14.5">
      <c r="A496" s="20" t="s">
        <v>35616</v>
      </c>
      <c r="B496" s="20">
        <v>60</v>
      </c>
      <c r="C496" s="20">
        <v>60</v>
      </c>
      <c r="D496" s="20">
        <v>70</v>
      </c>
      <c r="E496" s="24"/>
      <c r="F496" s="20" t="s">
        <v>35617</v>
      </c>
      <c r="G496" s="24" t="str">
        <f ca="1">IFERROR(__xludf.DUMMYFUNCTION("GOOGLETRANSLATE(F496,""en"",""pt"")"),"compactação de concreto e equipamentos de acabamento")</f>
        <v>compactação de concreto e equipamentos de acabamento</v>
      </c>
      <c r="H496" s="24"/>
      <c r="I496" s="24"/>
    </row>
    <row r="497" spans="1:9" ht="14.5">
      <c r="A497" s="20" t="s">
        <v>35618</v>
      </c>
      <c r="B497" s="20">
        <v>60</v>
      </c>
      <c r="C497" s="20">
        <v>60</v>
      </c>
      <c r="D497" s="20">
        <v>70</v>
      </c>
      <c r="E497" s="20">
        <v>15</v>
      </c>
      <c r="F497" s="20" t="s">
        <v>35619</v>
      </c>
      <c r="G497" s="24" t="str">
        <f ca="1">IFERROR(__xludf.DUMMYFUNCTION("GOOGLETRANSLATE(F497,""en"",""pt"")"),"Edredões betão de cura")</f>
        <v>Edredões betão de cura</v>
      </c>
      <c r="H497" s="24"/>
      <c r="I497" s="24"/>
    </row>
    <row r="498" spans="1:9" ht="14.5">
      <c r="A498" s="20" t="s">
        <v>35620</v>
      </c>
      <c r="B498" s="20">
        <v>60</v>
      </c>
      <c r="C498" s="20">
        <v>60</v>
      </c>
      <c r="D498" s="20">
        <v>70</v>
      </c>
      <c r="E498" s="20">
        <v>28</v>
      </c>
      <c r="F498" s="20" t="s">
        <v>35621</v>
      </c>
      <c r="G498" s="24" t="str">
        <f ca="1">IFERROR(__xludf.DUMMYFUNCTION("GOOGLETRANSLATE(F498,""en"",""pt"")"),"vibradores externos")</f>
        <v>vibradores externos</v>
      </c>
      <c r="H498" s="24"/>
      <c r="I498" s="24"/>
    </row>
    <row r="499" spans="1:9" ht="14.5">
      <c r="A499" s="20" t="s">
        <v>35622</v>
      </c>
      <c r="B499" s="20">
        <v>60</v>
      </c>
      <c r="C499" s="20">
        <v>60</v>
      </c>
      <c r="D499" s="20">
        <v>70</v>
      </c>
      <c r="E499" s="20">
        <v>41</v>
      </c>
      <c r="F499" s="20" t="s">
        <v>35623</v>
      </c>
      <c r="G499" s="24" t="str">
        <f ca="1">IFERROR(__xludf.DUMMYFUNCTION("GOOGLETRANSLATE(F499,""en"",""pt"")"),"imersão vibradores")</f>
        <v>imersão vibradores</v>
      </c>
      <c r="H499" s="24"/>
      <c r="I499" s="24"/>
    </row>
    <row r="500" spans="1:9" ht="14.5">
      <c r="A500" s="20" t="s">
        <v>35624</v>
      </c>
      <c r="B500" s="20">
        <v>60</v>
      </c>
      <c r="C500" s="20">
        <v>60</v>
      </c>
      <c r="D500" s="20">
        <v>70</v>
      </c>
      <c r="E500" s="20">
        <v>64</v>
      </c>
      <c r="F500" s="20" t="s">
        <v>35625</v>
      </c>
      <c r="G500" s="24" t="str">
        <f ca="1">IFERROR(__xludf.DUMMYFUNCTION("GOOGLETRANSLATE(F500,""en"",""pt"")"),"flutuadores de energia")</f>
        <v>flutuadores de energia</v>
      </c>
      <c r="H500" s="24"/>
      <c r="I500" s="24"/>
    </row>
    <row r="501" spans="1:9" ht="14.5">
      <c r="A501" s="20" t="s">
        <v>35626</v>
      </c>
      <c r="B501" s="20">
        <v>60</v>
      </c>
      <c r="C501" s="20">
        <v>60</v>
      </c>
      <c r="D501" s="20">
        <v>70</v>
      </c>
      <c r="E501" s="20">
        <v>65</v>
      </c>
      <c r="F501" s="20" t="s">
        <v>35627</v>
      </c>
      <c r="G501" s="24" t="str">
        <f ca="1">IFERROR(__xludf.DUMMYFUNCTION("GOOGLETRANSLATE(F501,""en"",""pt"")"),"espátulas de energia")</f>
        <v>espátulas de energia</v>
      </c>
      <c r="H501" s="24"/>
      <c r="I501" s="24"/>
    </row>
    <row r="502" spans="1:9" ht="14.5">
      <c r="A502" s="20" t="s">
        <v>35628</v>
      </c>
      <c r="B502" s="20">
        <v>60</v>
      </c>
      <c r="C502" s="20">
        <v>60</v>
      </c>
      <c r="D502" s="20">
        <v>70</v>
      </c>
      <c r="E502" s="20">
        <v>76</v>
      </c>
      <c r="F502" s="20" t="s">
        <v>35629</v>
      </c>
      <c r="G502" s="24" t="str">
        <f ca="1">IFERROR(__xludf.DUMMYFUNCTION("GOOGLETRANSLATE(F502,""en"",""pt"")"),"placas de betonilha")</f>
        <v>placas de betonilha</v>
      </c>
      <c r="H502" s="24"/>
      <c r="I502" s="24"/>
    </row>
    <row r="503" spans="1:9" ht="14.5">
      <c r="A503" s="20" t="s">
        <v>35630</v>
      </c>
      <c r="B503" s="20">
        <v>60</v>
      </c>
      <c r="C503" s="20">
        <v>60</v>
      </c>
      <c r="D503" s="20">
        <v>70</v>
      </c>
      <c r="E503" s="20">
        <v>85</v>
      </c>
      <c r="F503" s="20" t="s">
        <v>35631</v>
      </c>
      <c r="G503" s="24" t="str">
        <f ca="1">IFERROR(__xludf.DUMMYFUNCTION("GOOGLETRANSLATE(F503,""en"",""pt"")"),"vibradores de superfície")</f>
        <v>vibradores de superfície</v>
      </c>
      <c r="H503" s="24"/>
      <c r="I503" s="24"/>
    </row>
    <row r="504" spans="1:9" ht="14.5">
      <c r="A504" s="20" t="s">
        <v>35632</v>
      </c>
      <c r="B504" s="20">
        <v>60</v>
      </c>
      <c r="C504" s="20">
        <v>60</v>
      </c>
      <c r="D504" s="20">
        <v>70</v>
      </c>
      <c r="E504" s="20">
        <v>87</v>
      </c>
      <c r="F504" s="20" t="s">
        <v>35633</v>
      </c>
      <c r="G504" s="24" t="str">
        <f ca="1">IFERROR(__xludf.DUMMYFUNCTION("GOOGLETRANSLATE(F504,""en"",""pt"")"),"vibradores de adulteração")</f>
        <v>vibradores de adulteração</v>
      </c>
      <c r="H504" s="24"/>
      <c r="I504" s="24"/>
    </row>
    <row r="505" spans="1:9" ht="14.5">
      <c r="A505" s="20" t="s">
        <v>35634</v>
      </c>
      <c r="B505" s="20">
        <v>60</v>
      </c>
      <c r="C505" s="20">
        <v>60</v>
      </c>
      <c r="D505" s="20">
        <v>80</v>
      </c>
      <c r="E505" s="24"/>
      <c r="F505" s="20" t="s">
        <v>35635</v>
      </c>
      <c r="G505" s="24" t="str">
        <f ca="1">IFERROR(__xludf.DUMMYFUNCTION("GOOGLETRANSLATE(F505,""en"",""pt"")"),"equipamentos grouting")</f>
        <v>equipamentos grouting</v>
      </c>
      <c r="H505" s="24"/>
      <c r="I505" s="24"/>
    </row>
    <row r="506" spans="1:9" ht="14.5">
      <c r="A506" s="20" t="s">
        <v>35636</v>
      </c>
      <c r="B506" s="20">
        <v>60</v>
      </c>
      <c r="C506" s="20">
        <v>60</v>
      </c>
      <c r="D506" s="20">
        <v>80</v>
      </c>
      <c r="E506" s="20">
        <v>2</v>
      </c>
      <c r="F506" s="20" t="s">
        <v>35637</v>
      </c>
      <c r="G506" s="24" t="str">
        <f ca="1">IFERROR(__xludf.DUMMYFUNCTION("GOOGLETRANSLATE(F506,""en"",""pt"")"),"Agitação tanques para uso com bombas de argamassa")</f>
        <v>Agitação tanques para uso com bombas de argamassa</v>
      </c>
      <c r="H506" s="24"/>
      <c r="I506" s="24"/>
    </row>
    <row r="507" spans="1:9" ht="14.5">
      <c r="A507" s="20" t="s">
        <v>35638</v>
      </c>
      <c r="B507" s="20">
        <v>60</v>
      </c>
      <c r="C507" s="20">
        <v>60</v>
      </c>
      <c r="D507" s="20">
        <v>80</v>
      </c>
      <c r="E507" s="20">
        <v>33</v>
      </c>
      <c r="F507" s="20" t="s">
        <v>35639</v>
      </c>
      <c r="G507" s="24" t="str">
        <f ca="1">IFERROR(__xludf.DUMMYFUNCTION("GOOGLETRANSLATE(F507,""en"",""pt"")"),"misturadores de argamassa")</f>
        <v>misturadores de argamassa</v>
      </c>
      <c r="H507" s="24"/>
      <c r="I507" s="24"/>
    </row>
    <row r="508" spans="1:9" ht="14.5">
      <c r="A508" s="20" t="s">
        <v>35640</v>
      </c>
      <c r="B508" s="20">
        <v>60</v>
      </c>
      <c r="C508" s="20">
        <v>60</v>
      </c>
      <c r="D508" s="20">
        <v>80</v>
      </c>
      <c r="E508" s="20">
        <v>34</v>
      </c>
      <c r="F508" s="20" t="s">
        <v>35641</v>
      </c>
      <c r="G508" s="24" t="str">
        <f ca="1">IFERROR(__xludf.DUMMYFUNCTION("GOOGLETRANSLATE(F508,""en"",""pt"")"),"máquinas grouting com bomba e funil")</f>
        <v>máquinas grouting com bomba e funil</v>
      </c>
      <c r="H508" s="24"/>
      <c r="I508" s="24"/>
    </row>
    <row r="509" spans="1:9" ht="14.5">
      <c r="A509" s="20" t="s">
        <v>35642</v>
      </c>
      <c r="B509" s="20">
        <v>60</v>
      </c>
      <c r="C509" s="20">
        <v>60</v>
      </c>
      <c r="D509" s="20">
        <v>80</v>
      </c>
      <c r="E509" s="20">
        <v>35</v>
      </c>
      <c r="F509" s="20" t="s">
        <v>35643</v>
      </c>
      <c r="G509" s="24" t="str">
        <f ca="1">IFERROR(__xludf.DUMMYFUNCTION("GOOGLETRANSLATE(F509,""en"",""pt"")"),"bombas grout")</f>
        <v>bombas grout</v>
      </c>
      <c r="H509" s="24"/>
      <c r="I509" s="24"/>
    </row>
    <row r="510" spans="1:9" ht="14.5">
      <c r="A510" s="20" t="s">
        <v>35644</v>
      </c>
      <c r="B510" s="20">
        <v>60</v>
      </c>
      <c r="C510" s="20">
        <v>60</v>
      </c>
      <c r="D510" s="20">
        <v>80</v>
      </c>
      <c r="E510" s="20">
        <v>73</v>
      </c>
      <c r="F510" s="20" t="s">
        <v>35645</v>
      </c>
      <c r="G510" s="24" t="str">
        <f ca="1">IFERROR(__xludf.DUMMYFUNCTION("GOOGLETRANSLATE(F510,""en"",""pt"")"),"misturadores de argamassa tipo rolo")</f>
        <v>misturadores de argamassa tipo rolo</v>
      </c>
      <c r="H510" s="24"/>
      <c r="I510" s="24"/>
    </row>
    <row r="511" spans="1:9" ht="14.5">
      <c r="A511" s="20" t="s">
        <v>35646</v>
      </c>
      <c r="B511" s="20">
        <v>60</v>
      </c>
      <c r="C511" s="20">
        <v>80</v>
      </c>
      <c r="D511" s="24"/>
      <c r="E511" s="24"/>
      <c r="F511" s="20" t="s">
        <v>35647</v>
      </c>
      <c r="G511" s="24" t="str">
        <f ca="1">IFERROR(__xludf.DUMMYFUNCTION("GOOGLETRANSLATE(F511,""en"",""pt"")"),"extracção de pedra e equipamentos ferramental")</f>
        <v>extracção de pedra e equipamentos ferramental</v>
      </c>
      <c r="H511" s="24"/>
      <c r="I511" s="24"/>
    </row>
    <row r="512" spans="1:9" ht="14.5">
      <c r="A512" s="20" t="s">
        <v>35648</v>
      </c>
      <c r="B512" s="20">
        <v>60</v>
      </c>
      <c r="C512" s="20">
        <v>80</v>
      </c>
      <c r="D512" s="20">
        <v>10</v>
      </c>
      <c r="E512" s="24"/>
      <c r="F512" s="20" t="s">
        <v>35649</v>
      </c>
      <c r="G512" s="24" t="str">
        <f ca="1">IFERROR(__xludf.DUMMYFUNCTION("GOOGLETRANSLATE(F512,""en"",""pt"")"),"máquinas de perfuração de pedra")</f>
        <v>máquinas de perfuração de pedra</v>
      </c>
      <c r="H512" s="24"/>
      <c r="I512" s="24"/>
    </row>
    <row r="513" spans="1:9" ht="14.5">
      <c r="A513" s="20" t="s">
        <v>35650</v>
      </c>
      <c r="B513" s="20">
        <v>60</v>
      </c>
      <c r="C513" s="20">
        <v>80</v>
      </c>
      <c r="D513" s="20">
        <v>20</v>
      </c>
      <c r="E513" s="24"/>
      <c r="F513" s="20" t="s">
        <v>35651</v>
      </c>
      <c r="G513" s="24" t="str">
        <f ca="1">IFERROR(__xludf.DUMMYFUNCTION("GOOGLETRANSLATE(F513,""en"",""pt"")"),"máquinas e equipamentos pedra clivagem")</f>
        <v>máquinas e equipamentos pedra clivagem</v>
      </c>
      <c r="H513" s="24"/>
      <c r="I513" s="24"/>
    </row>
    <row r="514" spans="1:9" ht="14.5">
      <c r="A514" s="20" t="s">
        <v>35652</v>
      </c>
      <c r="B514" s="20">
        <v>60</v>
      </c>
      <c r="C514" s="20">
        <v>80</v>
      </c>
      <c r="D514" s="20">
        <v>30</v>
      </c>
      <c r="E514" s="24"/>
      <c r="F514" s="20" t="s">
        <v>35653</v>
      </c>
      <c r="G514" s="24" t="str">
        <f ca="1">IFERROR(__xludf.DUMMYFUNCTION("GOOGLETRANSLATE(F514,""en"",""pt"")"),"equipamentos de pedra serrar")</f>
        <v>equipamentos de pedra serrar</v>
      </c>
      <c r="H514" s="24"/>
      <c r="I514" s="24"/>
    </row>
    <row r="515" spans="1:9" ht="14.5">
      <c r="A515" s="20" t="s">
        <v>35654</v>
      </c>
      <c r="B515" s="20">
        <v>60</v>
      </c>
      <c r="C515" s="20">
        <v>80</v>
      </c>
      <c r="D515" s="20">
        <v>30</v>
      </c>
      <c r="E515" s="20">
        <v>20</v>
      </c>
      <c r="F515" s="20" t="s">
        <v>35655</v>
      </c>
      <c r="G515" s="24" t="str">
        <f ca="1">IFERROR(__xludf.DUMMYFUNCTION("GOOGLETRANSLATE(F515,""en"",""pt"")"),"serras de corte-out")</f>
        <v>serras de corte-out</v>
      </c>
      <c r="H515" s="24"/>
      <c r="I515" s="24"/>
    </row>
    <row r="516" spans="1:9" ht="14.5">
      <c r="A516" s="20" t="s">
        <v>35656</v>
      </c>
      <c r="B516" s="20">
        <v>60</v>
      </c>
      <c r="C516" s="20">
        <v>80</v>
      </c>
      <c r="D516" s="20">
        <v>30</v>
      </c>
      <c r="E516" s="20">
        <v>71</v>
      </c>
      <c r="F516" s="20" t="s">
        <v>35657</v>
      </c>
      <c r="G516" s="24" t="str">
        <f ca="1">IFERROR(__xludf.DUMMYFUNCTION("GOOGLETRANSLATE(F516,""en"",""pt"")"),"Alternativo máquinas de serrar")</f>
        <v>Alternativo máquinas de serrar</v>
      </c>
      <c r="H516" s="24"/>
      <c r="I516" s="24"/>
    </row>
    <row r="517" spans="1:9" ht="14.5">
      <c r="A517" s="20" t="s">
        <v>35658</v>
      </c>
      <c r="B517" s="20">
        <v>60</v>
      </c>
      <c r="C517" s="20">
        <v>80</v>
      </c>
      <c r="D517" s="20">
        <v>40</v>
      </c>
      <c r="E517" s="24"/>
      <c r="F517" s="20" t="s">
        <v>35659</v>
      </c>
      <c r="G517" s="24" t="str">
        <f ca="1">IFERROR(__xludf.DUMMYFUNCTION("GOOGLETRANSLATE(F517,""en"",""pt"")"),"corte abrasivo fora máquinas")</f>
        <v>corte abrasivo fora máquinas</v>
      </c>
      <c r="H517" s="24"/>
      <c r="I517" s="24"/>
    </row>
    <row r="518" spans="1:9" ht="14.5">
      <c r="A518" s="20" t="s">
        <v>35660</v>
      </c>
      <c r="B518" s="20">
        <v>60</v>
      </c>
      <c r="C518" s="20">
        <v>80</v>
      </c>
      <c r="D518" s="20">
        <v>50</v>
      </c>
      <c r="E518" s="24"/>
      <c r="F518" s="20" t="s">
        <v>35661</v>
      </c>
      <c r="G518" s="24" t="str">
        <f ca="1">IFERROR(__xludf.DUMMYFUNCTION("GOOGLETRANSLATE(F518,""en"",""pt"")"),"máquinas e equipamentos de corte laje")</f>
        <v>máquinas e equipamentos de corte laje</v>
      </c>
      <c r="H518" s="24"/>
      <c r="I518" s="24"/>
    </row>
    <row r="519" spans="1:9" ht="14.5">
      <c r="A519" s="20" t="s">
        <v>35662</v>
      </c>
      <c r="B519" s="20">
        <v>60</v>
      </c>
      <c r="C519" s="20">
        <v>80</v>
      </c>
      <c r="D519" s="20">
        <v>60</v>
      </c>
      <c r="E519" s="24"/>
      <c r="F519" s="20" t="s">
        <v>35663</v>
      </c>
      <c r="G519" s="24" t="str">
        <f ca="1">IFERROR(__xludf.DUMMYFUNCTION("GOOGLETRANSLATE(F519,""en"",""pt"")"),"fresadoras")</f>
        <v>fresadoras</v>
      </c>
      <c r="H519" s="24"/>
      <c r="I519" s="24"/>
    </row>
    <row r="520" spans="1:9" ht="14.5">
      <c r="A520" s="20" t="s">
        <v>35664</v>
      </c>
      <c r="B520" s="20">
        <v>60</v>
      </c>
      <c r="C520" s="20">
        <v>80</v>
      </c>
      <c r="D520" s="20">
        <v>70</v>
      </c>
      <c r="E520" s="24"/>
      <c r="F520" s="20" t="s">
        <v>35665</v>
      </c>
      <c r="G520" s="24" t="str">
        <f ca="1">IFERROR(__xludf.DUMMYFUNCTION("GOOGLETRANSLATE(F520,""en"",""pt"")"),"Lixar e de polimento máquinas e linhas")</f>
        <v>Lixar e de polimento máquinas e linhas</v>
      </c>
      <c r="H520" s="24"/>
      <c r="I520" s="24"/>
    </row>
    <row r="521" spans="1:9" ht="14.5">
      <c r="A521" s="20" t="s">
        <v>35666</v>
      </c>
      <c r="B521" s="20">
        <v>60</v>
      </c>
      <c r="C521" s="20">
        <v>80</v>
      </c>
      <c r="D521" s="20">
        <v>80</v>
      </c>
      <c r="E521" s="24"/>
      <c r="F521" s="20" t="s">
        <v>35667</v>
      </c>
      <c r="G521" s="24" t="str">
        <f ca="1">IFERROR(__xludf.DUMMYFUNCTION("GOOGLETRANSLATE(F521,""en"",""pt"")"),"máquinas grouting para lajes de pedra elenco")</f>
        <v>máquinas grouting para lajes de pedra elenco</v>
      </c>
      <c r="H521" s="24"/>
      <c r="I521" s="24"/>
    </row>
    <row r="522" spans="1:9" ht="14.5">
      <c r="A522" s="20" t="s">
        <v>35668</v>
      </c>
      <c r="B522" s="20">
        <v>70</v>
      </c>
      <c r="C522" s="24"/>
      <c r="D522" s="24"/>
      <c r="E522" s="24"/>
      <c r="F522" s="20" t="s">
        <v>35669</v>
      </c>
      <c r="G522" s="24" t="str">
        <f ca="1">IFERROR(__xludf.DUMMYFUNCTION("GOOGLETRANSLATE(F522,""en"",""pt"")"),"Equipamentos e ferramentas")</f>
        <v>Equipamentos e ferramentas</v>
      </c>
      <c r="H522" s="24"/>
      <c r="I522" s="24"/>
    </row>
    <row r="523" spans="1:9" ht="14.5">
      <c r="A523" s="20" t="s">
        <v>35670</v>
      </c>
      <c r="B523" s="20">
        <v>70</v>
      </c>
      <c r="C523" s="20">
        <v>10</v>
      </c>
      <c r="D523" s="24"/>
      <c r="E523" s="24"/>
      <c r="F523" s="20" t="s">
        <v>35671</v>
      </c>
      <c r="G523" s="24" t="str">
        <f ca="1">IFERROR(__xludf.DUMMYFUNCTION("GOOGLETRANSLATE(F523,""en"",""pt"")"),"alojamento local e serviços temporários")</f>
        <v>alojamento local e serviços temporários</v>
      </c>
      <c r="H523" s="24"/>
      <c r="I523" s="24"/>
    </row>
    <row r="524" spans="1:9" ht="14.5">
      <c r="A524" s="20" t="s">
        <v>35672</v>
      </c>
      <c r="B524" s="20">
        <v>70</v>
      </c>
      <c r="C524" s="20">
        <v>10</v>
      </c>
      <c r="D524" s="20">
        <v>10</v>
      </c>
      <c r="E524" s="24"/>
      <c r="F524" s="20" t="s">
        <v>35673</v>
      </c>
      <c r="G524" s="24" t="str">
        <f ca="1">IFERROR(__xludf.DUMMYFUNCTION("GOOGLETRANSLATE(F524,""en"",""pt"")"),"alojamento local e acessórios")</f>
        <v>alojamento local e acessórios</v>
      </c>
      <c r="H524" s="24"/>
      <c r="I524" s="24"/>
    </row>
    <row r="525" spans="1:9" ht="14.5">
      <c r="A525" s="20" t="s">
        <v>35674</v>
      </c>
      <c r="B525" s="20">
        <v>70</v>
      </c>
      <c r="C525" s="20">
        <v>10</v>
      </c>
      <c r="D525" s="20">
        <v>10</v>
      </c>
      <c r="E525" s="20">
        <v>16</v>
      </c>
      <c r="F525" s="20" t="s">
        <v>35675</v>
      </c>
      <c r="G525" s="24" t="str">
        <f ca="1">IFERROR(__xludf.DUMMYFUNCTION("GOOGLETRANSLATE(F525,""en"",""pt"")"),"Recipientes")</f>
        <v>Recipientes</v>
      </c>
      <c r="H525" s="24"/>
      <c r="I525" s="24"/>
    </row>
    <row r="526" spans="1:9" ht="14.5">
      <c r="A526" s="20" t="s">
        <v>35676</v>
      </c>
      <c r="B526" s="20">
        <v>70</v>
      </c>
      <c r="C526" s="20">
        <v>10</v>
      </c>
      <c r="D526" s="20">
        <v>10</v>
      </c>
      <c r="E526" s="20">
        <v>51</v>
      </c>
      <c r="F526" s="20" t="s">
        <v>35677</v>
      </c>
      <c r="G526" s="24" t="str">
        <f ca="1">IFERROR(__xludf.DUMMYFUNCTION("GOOGLETRANSLATE(F526,""en"",""pt"")"),"quarto acessórios suja")</f>
        <v>quarto acessórios suja</v>
      </c>
      <c r="H526" s="24"/>
      <c r="I526" s="24"/>
    </row>
    <row r="527" spans="1:9" ht="14.5">
      <c r="A527" s="20" t="s">
        <v>35678</v>
      </c>
      <c r="B527" s="20">
        <v>70</v>
      </c>
      <c r="C527" s="20">
        <v>10</v>
      </c>
      <c r="D527" s="20">
        <v>10</v>
      </c>
      <c r="E527" s="20">
        <v>53</v>
      </c>
      <c r="F527" s="20" t="s">
        <v>35679</v>
      </c>
      <c r="G527" s="24" t="str">
        <f ca="1">IFERROR(__xludf.DUMMYFUNCTION("GOOGLETRANSLATE(F527,""en"",""pt"")"),"Campistas")</f>
        <v>Campistas</v>
      </c>
      <c r="H527" s="24"/>
      <c r="I527" s="24"/>
    </row>
    <row r="528" spans="1:9" ht="14.5">
      <c r="A528" s="20" t="s">
        <v>35680</v>
      </c>
      <c r="B528" s="20">
        <v>70</v>
      </c>
      <c r="C528" s="20">
        <v>10</v>
      </c>
      <c r="D528" s="20">
        <v>10</v>
      </c>
      <c r="E528" s="20">
        <v>65</v>
      </c>
      <c r="F528" s="20" t="s">
        <v>35681</v>
      </c>
      <c r="G528" s="24" t="str">
        <f ca="1">IFERROR(__xludf.DUMMYFUNCTION("GOOGLETRANSLATE(F528,""en"",""pt"")"),"unidades sanitárias portáteis")</f>
        <v>unidades sanitárias portáteis</v>
      </c>
      <c r="H528" s="24"/>
      <c r="I528" s="24"/>
    </row>
    <row r="529" spans="1:9" ht="14.5">
      <c r="A529" s="20" t="s">
        <v>35682</v>
      </c>
      <c r="B529" s="20">
        <v>70</v>
      </c>
      <c r="C529" s="20">
        <v>10</v>
      </c>
      <c r="D529" s="20">
        <v>10</v>
      </c>
      <c r="E529" s="20">
        <v>78</v>
      </c>
      <c r="F529" s="20" t="s">
        <v>35683</v>
      </c>
      <c r="G529" s="24" t="str">
        <f ca="1">IFERROR(__xludf.DUMMYFUNCTION("GOOGLETRANSLATE(F529,""en"",""pt"")"),"sedes de")</f>
        <v>sedes de</v>
      </c>
      <c r="H529" s="24"/>
      <c r="I529" s="24"/>
    </row>
    <row r="530" spans="1:9" ht="14.5">
      <c r="A530" s="20" t="s">
        <v>35684</v>
      </c>
      <c r="B530" s="20">
        <v>70</v>
      </c>
      <c r="C530" s="20">
        <v>10</v>
      </c>
      <c r="D530" s="20">
        <v>10</v>
      </c>
      <c r="E530" s="20">
        <v>80</v>
      </c>
      <c r="F530" s="20" t="s">
        <v>35685</v>
      </c>
      <c r="G530" s="24" t="str">
        <f ca="1">IFERROR(__xludf.DUMMYFUNCTION("GOOGLETRANSLATE(F530,""en"",""pt"")"),"acessórios de escritório local")</f>
        <v>acessórios de escritório local</v>
      </c>
      <c r="H530" s="24"/>
      <c r="I530" s="24"/>
    </row>
    <row r="531" spans="1:9" ht="14.5">
      <c r="A531" s="20" t="s">
        <v>35686</v>
      </c>
      <c r="B531" s="20">
        <v>70</v>
      </c>
      <c r="C531" s="20">
        <v>10</v>
      </c>
      <c r="D531" s="20">
        <v>10</v>
      </c>
      <c r="E531" s="20">
        <v>84</v>
      </c>
      <c r="F531" s="20" t="s">
        <v>35687</v>
      </c>
      <c r="G531" s="24" t="str">
        <f ca="1">IFERROR(__xludf.DUMMYFUNCTION("GOOGLETRANSLATE(F531,""en"",""pt"")"),"caravanas estáticas")</f>
        <v>caravanas estáticas</v>
      </c>
      <c r="H531" s="24"/>
      <c r="I531" s="24"/>
    </row>
    <row r="532" spans="1:9" ht="14.5">
      <c r="A532" s="20" t="s">
        <v>35688</v>
      </c>
      <c r="B532" s="20">
        <v>70</v>
      </c>
      <c r="C532" s="20">
        <v>10</v>
      </c>
      <c r="D532" s="20">
        <v>10</v>
      </c>
      <c r="E532" s="20">
        <v>85</v>
      </c>
      <c r="F532" s="20" t="s">
        <v>35689</v>
      </c>
      <c r="G532" s="24" t="str">
        <f ca="1">IFERROR(__xludf.DUMMYFUNCTION("GOOGLETRANSLATE(F532,""en"",""pt"")"),"loja local acessórios")</f>
        <v>loja local acessórios</v>
      </c>
      <c r="H532" s="24"/>
      <c r="I532" s="24"/>
    </row>
    <row r="533" spans="1:9" ht="14.5">
      <c r="A533" s="20" t="s">
        <v>35690</v>
      </c>
      <c r="B533" s="20">
        <v>70</v>
      </c>
      <c r="C533" s="20">
        <v>10</v>
      </c>
      <c r="D533" s="20">
        <v>10</v>
      </c>
      <c r="E533" s="20">
        <v>90</v>
      </c>
      <c r="F533" s="20" t="s">
        <v>35691</v>
      </c>
      <c r="G533" s="24" t="str">
        <f ca="1">IFERROR(__xludf.DUMMYFUNCTION("GOOGLETRANSLATE(F533,""en"",""pt"")"),"veículos sanitários e cabines")</f>
        <v>veículos sanitários e cabines</v>
      </c>
      <c r="H533" s="24"/>
      <c r="I533" s="24"/>
    </row>
    <row r="534" spans="1:9" ht="14.5">
      <c r="A534" s="20" t="s">
        <v>35692</v>
      </c>
      <c r="B534" s="20">
        <v>70</v>
      </c>
      <c r="C534" s="20">
        <v>10</v>
      </c>
      <c r="D534" s="20">
        <v>20</v>
      </c>
      <c r="E534" s="24"/>
      <c r="F534" s="20" t="s">
        <v>35693</v>
      </c>
      <c r="G534" s="24" t="str">
        <f ca="1">IFERROR(__xludf.DUMMYFUNCTION("GOOGLETRANSLATE(F534,""en"",""pt"")"),"Instalações e equipamentos para a construção de inverno")</f>
        <v>Instalações e equipamentos para a construção de inverno</v>
      </c>
      <c r="H534" s="24"/>
      <c r="I534" s="24"/>
    </row>
    <row r="535" spans="1:9" ht="14.5">
      <c r="A535" s="20" t="s">
        <v>35694</v>
      </c>
      <c r="B535" s="20">
        <v>70</v>
      </c>
      <c r="C535" s="20">
        <v>10</v>
      </c>
      <c r="D535" s="20">
        <v>20</v>
      </c>
      <c r="E535" s="20">
        <v>16</v>
      </c>
      <c r="F535" s="20" t="s">
        <v>35695</v>
      </c>
      <c r="G535" s="24" t="str">
        <f ca="1">IFERROR(__xludf.DUMMYFUNCTION("GOOGLETRANSLATE(F535,""en"",""pt"")"),"equipamento de secagem de construção")</f>
        <v>equipamento de secagem de construção</v>
      </c>
      <c r="H535" s="24"/>
      <c r="I535" s="24"/>
    </row>
    <row r="536" spans="1:9" ht="14.5">
      <c r="A536" s="20" t="s">
        <v>35696</v>
      </c>
      <c r="B536" s="20">
        <v>70</v>
      </c>
      <c r="C536" s="20">
        <v>10</v>
      </c>
      <c r="D536" s="20">
        <v>20</v>
      </c>
      <c r="E536" s="20">
        <v>80</v>
      </c>
      <c r="F536" s="20" t="s">
        <v>35697</v>
      </c>
      <c r="G536" s="24" t="str">
        <f ca="1">IFERROR(__xludf.DUMMYFUNCTION("GOOGLETRANSLATE(F536,""en"",""pt"")"),"aquecedores")</f>
        <v>aquecedores</v>
      </c>
      <c r="H536" s="24"/>
      <c r="I536" s="24"/>
    </row>
    <row r="537" spans="1:9" ht="14.5">
      <c r="A537" s="20" t="s">
        <v>35698</v>
      </c>
      <c r="B537" s="20">
        <v>70</v>
      </c>
      <c r="C537" s="20">
        <v>10</v>
      </c>
      <c r="D537" s="20">
        <v>20</v>
      </c>
      <c r="E537" s="20">
        <v>96</v>
      </c>
      <c r="F537" s="20" t="s">
        <v>35699</v>
      </c>
      <c r="G537" s="24" t="str">
        <f ca="1">IFERROR(__xludf.DUMMYFUNCTION("GOOGLETRANSLATE(F537,""en"",""pt"")"),"aquecedores de Watchman")</f>
        <v>aquecedores de Watchman</v>
      </c>
      <c r="H537" s="24"/>
      <c r="I537" s="24"/>
    </row>
    <row r="538" spans="1:9" ht="14.5">
      <c r="A538" s="20" t="s">
        <v>35700</v>
      </c>
      <c r="B538" s="20">
        <v>70</v>
      </c>
      <c r="C538" s="20">
        <v>10</v>
      </c>
      <c r="D538" s="20">
        <v>20</v>
      </c>
      <c r="E538" s="20">
        <v>97</v>
      </c>
      <c r="F538" s="20" t="s">
        <v>26911</v>
      </c>
      <c r="G538" s="24" t="str">
        <f ca="1">IFERROR(__xludf.DUMMYFUNCTION("GOOGLETRANSLATE(F538,""en"",""pt"")"),"Aquecedores de água")</f>
        <v>Aquecedores de água</v>
      </c>
      <c r="H538" s="24"/>
      <c r="I538" s="24"/>
    </row>
    <row r="539" spans="1:9" ht="14.5">
      <c r="A539" s="20" t="s">
        <v>35701</v>
      </c>
      <c r="B539" s="20">
        <v>70</v>
      </c>
      <c r="C539" s="20">
        <v>10</v>
      </c>
      <c r="D539" s="20">
        <v>30</v>
      </c>
      <c r="E539" s="24"/>
      <c r="F539" s="20" t="s">
        <v>35702</v>
      </c>
      <c r="G539" s="24" t="str">
        <f ca="1">IFERROR(__xludf.DUMMYFUNCTION("GOOGLETRANSLATE(F539,""en"",""pt"")"),"equipamentos de iluminação local")</f>
        <v>equipamentos de iluminação local</v>
      </c>
      <c r="H539" s="24"/>
      <c r="I539" s="24"/>
    </row>
    <row r="540" spans="1:9" ht="14.5">
      <c r="A540" s="20" t="s">
        <v>35703</v>
      </c>
      <c r="B540" s="20">
        <v>70</v>
      </c>
      <c r="C540" s="20">
        <v>10</v>
      </c>
      <c r="D540" s="20">
        <v>30</v>
      </c>
      <c r="E540" s="20">
        <v>64</v>
      </c>
      <c r="F540" s="20" t="s">
        <v>35704</v>
      </c>
      <c r="G540" s="24" t="str">
        <f ca="1">IFERROR(__xludf.DUMMYFUNCTION("GOOGLETRANSLATE(F540,""en"",""pt"")"),"projectores portáteis")</f>
        <v>projectores portáteis</v>
      </c>
      <c r="H540" s="24"/>
      <c r="I540" s="24"/>
    </row>
    <row r="541" spans="1:9" ht="14.5">
      <c r="A541" s="20" t="s">
        <v>35705</v>
      </c>
      <c r="B541" s="20">
        <v>70</v>
      </c>
      <c r="C541" s="20">
        <v>10</v>
      </c>
      <c r="D541" s="20">
        <v>30</v>
      </c>
      <c r="E541" s="20">
        <v>85</v>
      </c>
      <c r="F541" s="20" t="s">
        <v>35706</v>
      </c>
      <c r="G541" s="24" t="str">
        <f ca="1">IFERROR(__xludf.DUMMYFUNCTION("GOOGLETRANSLATE(F541,""en"",""pt"")"),"lâmpadas de tempestade")</f>
        <v>lâmpadas de tempestade</v>
      </c>
      <c r="H541" s="24"/>
      <c r="I541" s="24"/>
    </row>
    <row r="542" spans="1:9" ht="14.5">
      <c r="A542" s="20" t="s">
        <v>35707</v>
      </c>
      <c r="B542" s="20">
        <v>70</v>
      </c>
      <c r="C542" s="20">
        <v>10</v>
      </c>
      <c r="D542" s="20">
        <v>30</v>
      </c>
      <c r="E542" s="20">
        <v>96</v>
      </c>
      <c r="F542" s="20" t="s">
        <v>35708</v>
      </c>
      <c r="G542" s="24" t="str">
        <f ca="1">IFERROR(__xludf.DUMMYFUNCTION("GOOGLETRANSLATE(F542,""en"",""pt"")"),"Luzes de alerta")</f>
        <v>Luzes de alerta</v>
      </c>
      <c r="H542" s="24"/>
      <c r="I542" s="24"/>
    </row>
    <row r="543" spans="1:9" ht="14.5">
      <c r="A543" s="20" t="s">
        <v>35709</v>
      </c>
      <c r="B543" s="20">
        <v>70</v>
      </c>
      <c r="C543" s="20">
        <v>10</v>
      </c>
      <c r="D543" s="20">
        <v>30</v>
      </c>
      <c r="E543" s="20">
        <v>97</v>
      </c>
      <c r="F543" s="20" t="s">
        <v>35710</v>
      </c>
      <c r="G543" s="24" t="str">
        <f ca="1">IFERROR(__xludf.DUMMYFUNCTION("GOOGLETRANSLATE(F543,""en"",""pt"")"),"lâmpadas de Watchman")</f>
        <v>lâmpadas de Watchman</v>
      </c>
      <c r="H543" s="24"/>
      <c r="I543" s="24"/>
    </row>
    <row r="544" spans="1:9" ht="14.5">
      <c r="A544" s="20" t="s">
        <v>35711</v>
      </c>
      <c r="B544" s="20">
        <v>70</v>
      </c>
      <c r="C544" s="20">
        <v>10</v>
      </c>
      <c r="D544" s="20">
        <v>40</v>
      </c>
      <c r="E544" s="24"/>
      <c r="F544" s="20" t="s">
        <v>35712</v>
      </c>
      <c r="G544" s="24" t="str">
        <f ca="1">IFERROR(__xludf.DUMMYFUNCTION("GOOGLETRANSLATE(F544,""en"",""pt"")"),"Local de equipamentos elétricos")</f>
        <v>Local de equipamentos elétricos</v>
      </c>
      <c r="H544" s="24"/>
      <c r="I544" s="24"/>
    </row>
    <row r="545" spans="1:9" ht="14.5">
      <c r="A545" s="20" t="s">
        <v>35713</v>
      </c>
      <c r="B545" s="20">
        <v>70</v>
      </c>
      <c r="C545" s="20">
        <v>10</v>
      </c>
      <c r="D545" s="20">
        <v>40</v>
      </c>
      <c r="E545" s="20">
        <v>12</v>
      </c>
      <c r="F545" s="20" t="s">
        <v>35714</v>
      </c>
      <c r="G545" s="24" t="str">
        <f ca="1">IFERROR(__xludf.DUMMYFUNCTION("GOOGLETRANSLATE(F545,""en"",""pt"")"),"Cable máquinas e equipamentos, que")</f>
        <v>Cable máquinas e equipamentos, que</v>
      </c>
      <c r="H545" s="24"/>
      <c r="I545" s="24"/>
    </row>
    <row r="546" spans="1:9" ht="14.5">
      <c r="A546" s="20" t="s">
        <v>35715</v>
      </c>
      <c r="B546" s="20">
        <v>70</v>
      </c>
      <c r="C546" s="20">
        <v>10</v>
      </c>
      <c r="D546" s="20">
        <v>40</v>
      </c>
      <c r="E546" s="20">
        <v>14</v>
      </c>
      <c r="F546" s="20" t="s">
        <v>35716</v>
      </c>
      <c r="G546" s="24" t="str">
        <f ca="1">IFERROR(__xludf.DUMMYFUNCTION("GOOGLETRANSLATE(F546,""en"",""pt"")"),"rolos de cabo de encordoamento")</f>
        <v>rolos de cabo de encordoamento</v>
      </c>
      <c r="H546" s="24"/>
      <c r="I546" s="24"/>
    </row>
    <row r="547" spans="1:9" ht="14.5">
      <c r="A547" s="20" t="s">
        <v>35717</v>
      </c>
      <c r="B547" s="20">
        <v>70</v>
      </c>
      <c r="C547" s="20">
        <v>10</v>
      </c>
      <c r="D547" s="20">
        <v>40</v>
      </c>
      <c r="E547" s="20">
        <v>79</v>
      </c>
      <c r="F547" s="20" t="s">
        <v>35718</v>
      </c>
      <c r="G547" s="24" t="str">
        <f ca="1">IFERROR(__xludf.DUMMYFUNCTION("GOOGLETRANSLATE(F547,""en"",""pt"")"),"distribuidores elétricos do Site")</f>
        <v>distribuidores elétricos do Site</v>
      </c>
      <c r="H547" s="24"/>
      <c r="I547" s="24"/>
    </row>
    <row r="548" spans="1:9" ht="14.5">
      <c r="A548" s="20" t="s">
        <v>35719</v>
      </c>
      <c r="B548" s="20">
        <v>70</v>
      </c>
      <c r="C548" s="20">
        <v>10</v>
      </c>
      <c r="D548" s="20">
        <v>50</v>
      </c>
      <c r="E548" s="24"/>
      <c r="F548" s="20" t="s">
        <v>35720</v>
      </c>
      <c r="G548" s="24" t="str">
        <f ca="1">IFERROR(__xludf.DUMMYFUNCTION("GOOGLETRANSLATE(F548,""en"",""pt"")"),"unidades de geração de energia")</f>
        <v>unidades de geração de energia</v>
      </c>
      <c r="H548" s="24"/>
      <c r="I548" s="24"/>
    </row>
    <row r="549" spans="1:9" ht="14.5">
      <c r="A549" s="20" t="s">
        <v>35721</v>
      </c>
      <c r="B549" s="20">
        <v>70</v>
      </c>
      <c r="C549" s="20">
        <v>10</v>
      </c>
      <c r="D549" s="20">
        <v>50</v>
      </c>
      <c r="E549" s="20">
        <v>50</v>
      </c>
      <c r="F549" s="20" t="s">
        <v>35722</v>
      </c>
      <c r="G549" s="24" t="str">
        <f ca="1">IFERROR(__xludf.DUMMYFUNCTION("GOOGLETRANSLATE(F549,""en"",""pt"")"),"unidades geradoras de energia móvel")</f>
        <v>unidades geradoras de energia móvel</v>
      </c>
      <c r="H549" s="24"/>
      <c r="I549" s="24"/>
    </row>
    <row r="550" spans="1:9" ht="14.5">
      <c r="A550" s="20" t="s">
        <v>35723</v>
      </c>
      <c r="B550" s="20">
        <v>70</v>
      </c>
      <c r="C550" s="20">
        <v>10</v>
      </c>
      <c r="D550" s="20">
        <v>50</v>
      </c>
      <c r="E550" s="20">
        <v>85</v>
      </c>
      <c r="F550" s="20" t="s">
        <v>35724</v>
      </c>
      <c r="G550" s="24" t="str">
        <f ca="1">IFERROR(__xludf.DUMMYFUNCTION("GOOGLETRANSLATE(F550,""en"",""pt"")"),"unidades geradoras de energia estacionárias")</f>
        <v>unidades geradoras de energia estacionárias</v>
      </c>
      <c r="H550" s="24"/>
      <c r="I550" s="24"/>
    </row>
    <row r="551" spans="1:9" ht="14.5">
      <c r="A551" s="20" t="s">
        <v>35725</v>
      </c>
      <c r="B551" s="20">
        <v>70</v>
      </c>
      <c r="C551" s="20">
        <v>10</v>
      </c>
      <c r="D551" s="20">
        <v>60</v>
      </c>
      <c r="E551" s="24"/>
      <c r="F551" s="20" t="s">
        <v>35726</v>
      </c>
      <c r="G551" s="24" t="str">
        <f ca="1">IFERROR(__xludf.DUMMYFUNCTION("GOOGLETRANSLATE(F551,""en"",""pt"")"),"De frequência e tensão transformadores")</f>
        <v>De frequência e tensão transformadores</v>
      </c>
      <c r="H551" s="24"/>
      <c r="I551" s="24"/>
    </row>
    <row r="552" spans="1:9" ht="14.5">
      <c r="A552" s="20" t="s">
        <v>35727</v>
      </c>
      <c r="B552" s="20">
        <v>70</v>
      </c>
      <c r="C552" s="20">
        <v>10</v>
      </c>
      <c r="D552" s="20">
        <v>70</v>
      </c>
      <c r="E552" s="24"/>
      <c r="F552" s="20" t="s">
        <v>35728</v>
      </c>
      <c r="G552" s="24" t="str">
        <f ca="1">IFERROR(__xludf.DUMMYFUNCTION("GOOGLETRANSLATE(F552,""en"",""pt"")"),"equipamentos de drenagem")</f>
        <v>equipamentos de drenagem</v>
      </c>
      <c r="H552" s="24"/>
      <c r="I552" s="24"/>
    </row>
    <row r="553" spans="1:9" ht="14.5">
      <c r="A553" s="20" t="s">
        <v>35729</v>
      </c>
      <c r="B553" s="20">
        <v>70</v>
      </c>
      <c r="C553" s="20">
        <v>10</v>
      </c>
      <c r="D553" s="20">
        <v>70</v>
      </c>
      <c r="E553" s="20">
        <v>24</v>
      </c>
      <c r="F553" s="20" t="s">
        <v>35730</v>
      </c>
      <c r="G553" s="24" t="str">
        <f ca="1">IFERROR(__xludf.DUMMYFUNCTION("GOOGLETRANSLATE(F553,""en"",""pt"")"),"hastes de drenagem")</f>
        <v>hastes de drenagem</v>
      </c>
      <c r="H553" s="24"/>
      <c r="I553" s="24"/>
    </row>
    <row r="554" spans="1:9" ht="14.5">
      <c r="A554" s="20" t="s">
        <v>35731</v>
      </c>
      <c r="B554" s="20">
        <v>70</v>
      </c>
      <c r="C554" s="20">
        <v>10</v>
      </c>
      <c r="D554" s="20">
        <v>70</v>
      </c>
      <c r="E554" s="20">
        <v>28</v>
      </c>
      <c r="F554" s="20" t="s">
        <v>35732</v>
      </c>
      <c r="G554" s="24" t="str">
        <f ca="1">IFERROR(__xludf.DUMMYFUNCTION("GOOGLETRANSLATE(F554,""en"",""pt"")"),"Expansão rolhas de drenagem")</f>
        <v>Expansão rolhas de drenagem</v>
      </c>
      <c r="H554" s="24"/>
      <c r="I554" s="24"/>
    </row>
    <row r="555" spans="1:9" ht="14.5">
      <c r="A555" s="20" t="s">
        <v>35733</v>
      </c>
      <c r="B555" s="20">
        <v>70</v>
      </c>
      <c r="C555" s="20">
        <v>10</v>
      </c>
      <c r="D555" s="20">
        <v>80</v>
      </c>
      <c r="E555" s="24"/>
      <c r="F555" s="20" t="s">
        <v>35734</v>
      </c>
      <c r="G555" s="24" t="str">
        <f ca="1">IFERROR(__xludf.DUMMYFUNCTION("GOOGLETRANSLATE(F555,""en"",""pt"")"),"coleta de lixo e equipamentos disposição")</f>
        <v>coleta de lixo e equipamentos disposição</v>
      </c>
      <c r="H555" s="24"/>
      <c r="I555" s="24"/>
    </row>
    <row r="556" spans="1:9" ht="14.5">
      <c r="A556" s="20" t="s">
        <v>35735</v>
      </c>
      <c r="B556" s="20">
        <v>70</v>
      </c>
      <c r="C556" s="20">
        <v>10</v>
      </c>
      <c r="D556" s="20">
        <v>80</v>
      </c>
      <c r="E556" s="20">
        <v>74</v>
      </c>
      <c r="F556" s="20" t="s">
        <v>35736</v>
      </c>
      <c r="G556" s="24" t="str">
        <f ca="1">IFERROR(__xludf.DUMMYFUNCTION("GOOGLETRANSLATE(F556,""en"",""pt"")"),"Passadores de lixo")</f>
        <v>Passadores de lixo</v>
      </c>
      <c r="H556" s="24"/>
      <c r="I556" s="24"/>
    </row>
    <row r="557" spans="1:9" ht="14.5">
      <c r="A557" s="20" t="s">
        <v>35737</v>
      </c>
      <c r="B557" s="20">
        <v>70</v>
      </c>
      <c r="C557" s="20">
        <v>10</v>
      </c>
      <c r="D557" s="20">
        <v>80</v>
      </c>
      <c r="E557" s="20">
        <v>79</v>
      </c>
      <c r="F557" s="20" t="s">
        <v>35738</v>
      </c>
      <c r="G557" s="24" t="str">
        <f ca="1">IFERROR(__xludf.DUMMYFUNCTION("GOOGLETRANSLATE(F557,""en"",""pt"")"),"salta")</f>
        <v>salta</v>
      </c>
      <c r="H557" s="24"/>
      <c r="I557" s="24"/>
    </row>
    <row r="558" spans="1:9" ht="14.5">
      <c r="A558" s="20" t="s">
        <v>35739</v>
      </c>
      <c r="B558" s="20">
        <v>70</v>
      </c>
      <c r="C558" s="20">
        <v>10</v>
      </c>
      <c r="D558" s="20">
        <v>90</v>
      </c>
      <c r="E558" s="24"/>
      <c r="F558" s="20" t="s">
        <v>35740</v>
      </c>
      <c r="G558" s="24" t="str">
        <f ca="1">IFERROR(__xludf.DUMMYFUNCTION("GOOGLETRANSLATE(F558,""en"",""pt"")"),"Equipamento de ventilação e ar condicionado sítio")</f>
        <v>Equipamento de ventilação e ar condicionado sítio</v>
      </c>
      <c r="H558" s="24"/>
      <c r="I558" s="24"/>
    </row>
    <row r="559" spans="1:9" ht="14.5">
      <c r="A559" s="20" t="s">
        <v>35741</v>
      </c>
      <c r="B559" s="20">
        <v>70</v>
      </c>
      <c r="C559" s="20">
        <v>10</v>
      </c>
      <c r="D559" s="20">
        <v>90</v>
      </c>
      <c r="E559" s="20">
        <v>22</v>
      </c>
      <c r="F559" s="20" t="s">
        <v>35742</v>
      </c>
      <c r="G559" s="24" t="str">
        <f ca="1">IFERROR(__xludf.DUMMYFUNCTION("GOOGLETRANSLATE(F559,""en"",""pt"")"),"desumidificadores portáteis")</f>
        <v>desumidificadores portáteis</v>
      </c>
      <c r="H559" s="24"/>
      <c r="I559" s="24"/>
    </row>
    <row r="560" spans="1:9" ht="14.5">
      <c r="A560" s="20" t="s">
        <v>35743</v>
      </c>
      <c r="B560" s="20">
        <v>70</v>
      </c>
      <c r="C560" s="20">
        <v>10</v>
      </c>
      <c r="D560" s="20">
        <v>90</v>
      </c>
      <c r="E560" s="20">
        <v>32</v>
      </c>
      <c r="F560" s="20" t="s">
        <v>35744</v>
      </c>
      <c r="G560" s="24" t="str">
        <f ca="1">IFERROR(__xludf.DUMMYFUNCTION("GOOGLETRANSLATE(F560,""en"",""pt"")"),"ventiladores portáteis")</f>
        <v>ventiladores portáteis</v>
      </c>
      <c r="H560" s="24"/>
      <c r="I560" s="24"/>
    </row>
    <row r="561" spans="1:9" ht="14.5">
      <c r="A561" s="20" t="s">
        <v>35745</v>
      </c>
      <c r="B561" s="20">
        <v>70</v>
      </c>
      <c r="C561" s="20">
        <v>20</v>
      </c>
      <c r="D561" s="24"/>
      <c r="E561" s="24"/>
      <c r="F561" s="20" t="s">
        <v>35746</v>
      </c>
      <c r="G561" s="24" t="str">
        <f ca="1">IFERROR(__xludf.DUMMYFUNCTION("GOOGLETRANSLATE(F561,""en"",""pt"")"),"equipamento local")</f>
        <v>equipamento local</v>
      </c>
      <c r="H561" s="24"/>
      <c r="I561" s="24"/>
    </row>
    <row r="562" spans="1:9" ht="14.5">
      <c r="A562" s="20" t="s">
        <v>35747</v>
      </c>
      <c r="B562" s="20">
        <v>70</v>
      </c>
      <c r="C562" s="20">
        <v>20</v>
      </c>
      <c r="D562" s="20">
        <v>10</v>
      </c>
      <c r="E562" s="24"/>
      <c r="F562" s="20" t="s">
        <v>35748</v>
      </c>
      <c r="G562" s="24" t="str">
        <f ca="1">IFERROR(__xludf.DUMMYFUNCTION("GOOGLETRANSLATE(F562,""en"",""pt"")"),"Equipamento de solda")</f>
        <v>Equipamento de solda</v>
      </c>
      <c r="H562" s="24"/>
      <c r="I562" s="24"/>
    </row>
    <row r="563" spans="1:9" ht="14.5">
      <c r="A563" s="20" t="s">
        <v>35749</v>
      </c>
      <c r="B563" s="20">
        <v>70</v>
      </c>
      <c r="C563" s="20">
        <v>20</v>
      </c>
      <c r="D563" s="20">
        <v>10</v>
      </c>
      <c r="E563" s="20">
        <v>22</v>
      </c>
      <c r="F563" s="20" t="s">
        <v>35750</v>
      </c>
      <c r="G563" s="24" t="str">
        <f ca="1">IFERROR(__xludf.DUMMYFUNCTION("GOOGLETRANSLATE(F563,""en"",""pt"")"),"máquinas de soldar a diesel")</f>
        <v>máquinas de soldar a diesel</v>
      </c>
      <c r="H563" s="24"/>
      <c r="I563" s="24"/>
    </row>
    <row r="564" spans="1:9" ht="14.5">
      <c r="A564" s="20" t="s">
        <v>35751</v>
      </c>
      <c r="B564" s="20">
        <v>70</v>
      </c>
      <c r="C564" s="20">
        <v>20</v>
      </c>
      <c r="D564" s="20">
        <v>10</v>
      </c>
      <c r="E564" s="20">
        <v>37</v>
      </c>
      <c r="F564" s="20" t="s">
        <v>35752</v>
      </c>
      <c r="G564" s="24" t="str">
        <f ca="1">IFERROR(__xludf.DUMMYFUNCTION("GOOGLETRANSLATE(F564,""en"",""pt"")"),"telas de cabeça")</f>
        <v>telas de cabeça</v>
      </c>
      <c r="H564" s="24"/>
      <c r="I564" s="24"/>
    </row>
    <row r="565" spans="1:9" ht="14.5">
      <c r="A565" s="20" t="s">
        <v>35753</v>
      </c>
      <c r="B565" s="20">
        <v>70</v>
      </c>
      <c r="C565" s="20">
        <v>20</v>
      </c>
      <c r="D565" s="20">
        <v>10</v>
      </c>
      <c r="E565" s="20">
        <v>59</v>
      </c>
      <c r="F565" s="20" t="s">
        <v>35754</v>
      </c>
      <c r="G565" s="24" t="str">
        <f ca="1">IFERROR(__xludf.DUMMYFUNCTION("GOOGLETRANSLATE(F565,""en"",""pt"")"),"corte oxi-acetileno e máquinas de soldar")</f>
        <v>corte oxi-acetileno e máquinas de soldar</v>
      </c>
      <c r="H565" s="24"/>
      <c r="I565" s="24"/>
    </row>
    <row r="566" spans="1:9" ht="14.5">
      <c r="A566" s="20" t="s">
        <v>35755</v>
      </c>
      <c r="B566" s="20">
        <v>70</v>
      </c>
      <c r="C566" s="20">
        <v>20</v>
      </c>
      <c r="D566" s="20">
        <v>10</v>
      </c>
      <c r="E566" s="20">
        <v>70</v>
      </c>
      <c r="F566" s="20" t="s">
        <v>35756</v>
      </c>
      <c r="G566" s="24" t="str">
        <f ca="1">IFERROR(__xludf.DUMMYFUNCTION("GOOGLETRANSLATE(F566,""en"",""pt"")"),"Rail soldagem unidades bomba de refrigeração")</f>
        <v>Rail soldagem unidades bomba de refrigeração</v>
      </c>
      <c r="H566" s="24"/>
      <c r="I566" s="24"/>
    </row>
    <row r="567" spans="1:9" ht="14.5">
      <c r="A567" s="20" t="s">
        <v>35757</v>
      </c>
      <c r="B567" s="20">
        <v>70</v>
      </c>
      <c r="C567" s="20">
        <v>20</v>
      </c>
      <c r="D567" s="20">
        <v>10</v>
      </c>
      <c r="E567" s="20">
        <v>88</v>
      </c>
      <c r="F567" s="20" t="s">
        <v>35758</v>
      </c>
      <c r="G567" s="24" t="str">
        <f ca="1">IFERROR(__xludf.DUMMYFUNCTION("GOOGLETRANSLATE(F567,""en"",""pt"")"),"material de sondagem Térmico")</f>
        <v>material de sondagem Térmico</v>
      </c>
      <c r="H567" s="24"/>
      <c r="I567" s="24"/>
    </row>
    <row r="568" spans="1:9" ht="14.5">
      <c r="A568" s="20" t="s">
        <v>35759</v>
      </c>
      <c r="B568" s="20">
        <v>70</v>
      </c>
      <c r="C568" s="20">
        <v>20</v>
      </c>
      <c r="D568" s="20">
        <v>10</v>
      </c>
      <c r="E568" s="20">
        <v>92</v>
      </c>
      <c r="F568" s="20" t="s">
        <v>35760</v>
      </c>
      <c r="G568" s="24" t="str">
        <f ca="1">IFERROR(__xludf.DUMMYFUNCTION("GOOGLETRANSLATE(F568,""en"",""pt"")"),"Underwater equipamentos de solda")</f>
        <v>Underwater equipamentos de solda</v>
      </c>
      <c r="H568" s="24"/>
      <c r="I568" s="24"/>
    </row>
    <row r="569" spans="1:9" ht="14.5">
      <c r="A569" s="20" t="s">
        <v>35761</v>
      </c>
      <c r="B569" s="20">
        <v>70</v>
      </c>
      <c r="C569" s="20">
        <v>20</v>
      </c>
      <c r="D569" s="20">
        <v>10</v>
      </c>
      <c r="E569" s="20">
        <v>96</v>
      </c>
      <c r="F569" s="20" t="s">
        <v>35762</v>
      </c>
      <c r="G569" s="24" t="str">
        <f ca="1">IFERROR(__xludf.DUMMYFUNCTION("GOOGLETRANSLATE(F569,""en"",""pt"")"),"Eletrodos de solda")</f>
        <v>Eletrodos de solda</v>
      </c>
      <c r="H569" s="24"/>
      <c r="I569" s="24"/>
    </row>
    <row r="570" spans="1:9" ht="14.5">
      <c r="A570" s="20" t="s">
        <v>35763</v>
      </c>
      <c r="B570" s="20">
        <v>70</v>
      </c>
      <c r="C570" s="20">
        <v>20</v>
      </c>
      <c r="D570" s="20">
        <v>10</v>
      </c>
      <c r="E570" s="20">
        <v>97</v>
      </c>
      <c r="F570" s="20" t="s">
        <v>35764</v>
      </c>
      <c r="G570" s="24" t="str">
        <f ca="1">IFERROR(__xludf.DUMMYFUNCTION("GOOGLETRANSLATE(F570,""en"",""pt"")"),"tesoura de solda")</f>
        <v>tesoura de solda</v>
      </c>
      <c r="H570" s="24"/>
      <c r="I570" s="24"/>
    </row>
    <row r="571" spans="1:9" ht="14.5">
      <c r="A571" s="20" t="s">
        <v>35765</v>
      </c>
      <c r="B571" s="20">
        <v>70</v>
      </c>
      <c r="C571" s="20">
        <v>20</v>
      </c>
      <c r="D571" s="20">
        <v>10</v>
      </c>
      <c r="E571" s="20">
        <v>98</v>
      </c>
      <c r="F571" s="20" t="s">
        <v>35766</v>
      </c>
      <c r="G571" s="24" t="str">
        <f ca="1">IFERROR(__xludf.DUMMYFUNCTION("GOOGLETRANSLATE(F571,""en"",""pt"")"),"soldagem capacetes")</f>
        <v>soldagem capacetes</v>
      </c>
      <c r="H571" s="24"/>
      <c r="I571" s="24"/>
    </row>
    <row r="572" spans="1:9" ht="14.5">
      <c r="A572" s="20" t="s">
        <v>35767</v>
      </c>
      <c r="B572" s="20">
        <v>70</v>
      </c>
      <c r="C572" s="20">
        <v>20</v>
      </c>
      <c r="D572" s="20">
        <v>20</v>
      </c>
      <c r="E572" s="24"/>
      <c r="F572" s="20" t="s">
        <v>35768</v>
      </c>
      <c r="G572" s="24" t="str">
        <f ca="1">IFERROR(__xludf.DUMMYFUNCTION("GOOGLETRANSLATE(F572,""en"",""pt"")"),"Equipamento de proteção")</f>
        <v>Equipamento de proteção</v>
      </c>
      <c r="H572" s="24"/>
      <c r="I572" s="24"/>
    </row>
    <row r="573" spans="1:9" ht="14.5">
      <c r="A573" s="20" t="s">
        <v>35769</v>
      </c>
      <c r="B573" s="20">
        <v>70</v>
      </c>
      <c r="C573" s="20">
        <v>20</v>
      </c>
      <c r="D573" s="20">
        <v>20</v>
      </c>
      <c r="E573" s="20">
        <v>1</v>
      </c>
      <c r="F573" s="20" t="s">
        <v>35770</v>
      </c>
      <c r="G573" s="24" t="str">
        <f ca="1">IFERROR(__xludf.DUMMYFUNCTION("GOOGLETRANSLATE(F573,""en"",""pt"")"),"atenuadores acústicos")</f>
        <v>atenuadores acústicos</v>
      </c>
      <c r="H573" s="24"/>
      <c r="I573" s="24"/>
    </row>
    <row r="574" spans="1:9" ht="14.5">
      <c r="A574" s="20" t="s">
        <v>35771</v>
      </c>
      <c r="B574" s="20">
        <v>70</v>
      </c>
      <c r="C574" s="20">
        <v>20</v>
      </c>
      <c r="D574" s="20">
        <v>20</v>
      </c>
      <c r="E574" s="20">
        <v>3</v>
      </c>
      <c r="F574" s="20" t="s">
        <v>35772</v>
      </c>
      <c r="G574" s="24" t="str">
        <f ca="1">IFERROR(__xludf.DUMMYFUNCTION("GOOGLETRANSLATE(F574,""en"",""pt"")"),"caixas acústicas")</f>
        <v>caixas acústicas</v>
      </c>
      <c r="H574" s="24"/>
      <c r="I574" s="24"/>
    </row>
    <row r="575" spans="1:9" ht="14.5">
      <c r="A575" s="20" t="s">
        <v>35773</v>
      </c>
      <c r="B575" s="20">
        <v>70</v>
      </c>
      <c r="C575" s="20">
        <v>20</v>
      </c>
      <c r="D575" s="20">
        <v>20</v>
      </c>
      <c r="E575" s="20">
        <v>5</v>
      </c>
      <c r="F575" s="20" t="s">
        <v>35774</v>
      </c>
      <c r="G575" s="24" t="str">
        <f ca="1">IFERROR(__xludf.DUMMYFUNCTION("GOOGLETRANSLATE(F575,""en"",""pt"")"),"mantas acústicas")</f>
        <v>mantas acústicas</v>
      </c>
      <c r="H575" s="24"/>
      <c r="I575" s="24"/>
    </row>
    <row r="576" spans="1:9" ht="14.5">
      <c r="A576" s="20" t="s">
        <v>35775</v>
      </c>
      <c r="B576" s="20">
        <v>70</v>
      </c>
      <c r="C576" s="20">
        <v>20</v>
      </c>
      <c r="D576" s="20">
        <v>20</v>
      </c>
      <c r="E576" s="20">
        <v>7</v>
      </c>
      <c r="F576" s="20" t="s">
        <v>35776</v>
      </c>
      <c r="G576" s="24" t="str">
        <f ca="1">IFERROR(__xludf.DUMMYFUNCTION("GOOGLETRANSLATE(F576,""en"",""pt"")"),"protecções acústicas")</f>
        <v>protecções acústicas</v>
      </c>
      <c r="H576" s="24"/>
      <c r="I576" s="24"/>
    </row>
    <row r="577" spans="1:9" ht="14.5">
      <c r="A577" s="20" t="s">
        <v>35777</v>
      </c>
      <c r="B577" s="20">
        <v>70</v>
      </c>
      <c r="C577" s="20">
        <v>20</v>
      </c>
      <c r="D577" s="20">
        <v>20</v>
      </c>
      <c r="E577" s="20">
        <v>10</v>
      </c>
      <c r="F577" s="20" t="s">
        <v>35778</v>
      </c>
      <c r="G577" s="24" t="str">
        <f ca="1">IFERROR(__xludf.DUMMYFUNCTION("GOOGLETRANSLATE(F577,""en"",""pt"")"),"Aparelho de respiração")</f>
        <v>Aparelho de respiração</v>
      </c>
      <c r="H577" s="24"/>
      <c r="I577" s="24"/>
    </row>
    <row r="578" spans="1:9" ht="14.5">
      <c r="A578" s="20" t="s">
        <v>35779</v>
      </c>
      <c r="B578" s="20">
        <v>70</v>
      </c>
      <c r="C578" s="20">
        <v>20</v>
      </c>
      <c r="D578" s="20">
        <v>20</v>
      </c>
      <c r="E578" s="20">
        <v>34</v>
      </c>
      <c r="F578" s="20" t="s">
        <v>35780</v>
      </c>
      <c r="G578" s="24" t="str">
        <f ca="1">IFERROR(__xludf.DUMMYFUNCTION("GOOGLETRANSLATE(F578,""en"",""pt"")"),"Óculos")</f>
        <v>Óculos</v>
      </c>
      <c r="H578" s="24"/>
      <c r="I578" s="24"/>
    </row>
    <row r="579" spans="1:9" ht="14.5">
      <c r="A579" s="20" t="s">
        <v>35781</v>
      </c>
      <c r="B579" s="20">
        <v>70</v>
      </c>
      <c r="C579" s="20">
        <v>20</v>
      </c>
      <c r="D579" s="20">
        <v>20</v>
      </c>
      <c r="E579" s="20">
        <v>37</v>
      </c>
      <c r="F579" s="20" t="s">
        <v>35782</v>
      </c>
      <c r="G579" s="24" t="str">
        <f ca="1">IFERROR(__xludf.DUMMYFUNCTION("GOOGLETRANSLATE(F579,""en"",""pt"")"),"Hotsticks")</f>
        <v>Hotsticks</v>
      </c>
      <c r="H579" s="24"/>
      <c r="I579" s="24"/>
    </row>
    <row r="580" spans="1:9" ht="14.5">
      <c r="A580" s="20" t="s">
        <v>35783</v>
      </c>
      <c r="B580" s="20">
        <v>70</v>
      </c>
      <c r="C580" s="20">
        <v>20</v>
      </c>
      <c r="D580" s="20">
        <v>20</v>
      </c>
      <c r="E580" s="20">
        <v>62</v>
      </c>
      <c r="F580" s="20" t="s">
        <v>35784</v>
      </c>
      <c r="G580" s="24" t="str">
        <f ca="1">IFERROR(__xludf.DUMMYFUNCTION("GOOGLETRANSLATE(F580,""en"",""pt"")"),"barreiras de segurança para portáteis")</f>
        <v>barreiras de segurança para portáteis</v>
      </c>
      <c r="H580" s="24"/>
      <c r="I580" s="24"/>
    </row>
    <row r="581" spans="1:9" ht="14.5">
      <c r="A581" s="20" t="s">
        <v>35785</v>
      </c>
      <c r="B581" s="20">
        <v>70</v>
      </c>
      <c r="C581" s="20">
        <v>20</v>
      </c>
      <c r="D581" s="20">
        <v>20</v>
      </c>
      <c r="E581" s="20">
        <v>65</v>
      </c>
      <c r="F581" s="20" t="s">
        <v>35786</v>
      </c>
      <c r="G581" s="24" t="str">
        <f ca="1">IFERROR(__xludf.DUMMYFUNCTION("GOOGLETRANSLATE(F581,""en"",""pt"")"),"redes de protecção")</f>
        <v>redes de protecção</v>
      </c>
      <c r="H581" s="24"/>
      <c r="I581" s="24"/>
    </row>
    <row r="582" spans="1:9" ht="14.5">
      <c r="A582" s="20" t="s">
        <v>35787</v>
      </c>
      <c r="B582" s="20">
        <v>70</v>
      </c>
      <c r="C582" s="20">
        <v>20</v>
      </c>
      <c r="D582" s="20">
        <v>25</v>
      </c>
      <c r="E582" s="24"/>
      <c r="F582" s="20" t="s">
        <v>35788</v>
      </c>
      <c r="G582" s="24" t="str">
        <f ca="1">IFERROR(__xludf.DUMMYFUNCTION("GOOGLETRANSLATE(F582,""en"",""pt"")"),"equipamento de manutenção")</f>
        <v>equipamento de manutenção</v>
      </c>
      <c r="H582" s="24"/>
      <c r="I582" s="24"/>
    </row>
    <row r="583" spans="1:9" ht="14.5">
      <c r="A583" s="20" t="s">
        <v>35789</v>
      </c>
      <c r="B583" s="20">
        <v>70</v>
      </c>
      <c r="C583" s="20">
        <v>20</v>
      </c>
      <c r="D583" s="20">
        <v>25</v>
      </c>
      <c r="E583" s="20">
        <v>34</v>
      </c>
      <c r="F583" s="20" t="s">
        <v>35790</v>
      </c>
      <c r="G583" s="24" t="str">
        <f ca="1">IFERROR(__xludf.DUMMYFUNCTION("GOOGLETRANSLATE(F583,""en"",""pt"")"),"pistolas de graxa")</f>
        <v>pistolas de graxa</v>
      </c>
      <c r="H583" s="24"/>
      <c r="I583" s="24"/>
    </row>
    <row r="584" spans="1:9" ht="14.5">
      <c r="A584" s="20" t="s">
        <v>35791</v>
      </c>
      <c r="B584" s="20">
        <v>70</v>
      </c>
      <c r="C584" s="20">
        <v>20</v>
      </c>
      <c r="D584" s="20">
        <v>25</v>
      </c>
      <c r="E584" s="20">
        <v>37</v>
      </c>
      <c r="F584" s="20" t="s">
        <v>35792</v>
      </c>
      <c r="G584" s="24" t="str">
        <f ca="1">IFERROR(__xludf.DUMMYFUNCTION("GOOGLETRANSLATE(F584,""en"",""pt"")"),"corta-sebes")</f>
        <v>corta-sebes</v>
      </c>
      <c r="H584" s="24"/>
      <c r="I584" s="24"/>
    </row>
    <row r="585" spans="1:9" ht="14.5">
      <c r="A585" s="20" t="s">
        <v>35793</v>
      </c>
      <c r="B585" s="20">
        <v>70</v>
      </c>
      <c r="C585" s="20">
        <v>20</v>
      </c>
      <c r="D585" s="20">
        <v>25</v>
      </c>
      <c r="E585" s="20">
        <v>46</v>
      </c>
      <c r="F585" s="20" t="s">
        <v>35794</v>
      </c>
      <c r="G585" s="24" t="str">
        <f ca="1">IFERROR(__xludf.DUMMYFUNCTION("GOOGLETRANSLATE(F585,""en"",""pt"")"),"Maquina de cortar relvado")</f>
        <v>Maquina de cortar relvado</v>
      </c>
      <c r="H585" s="24"/>
      <c r="I585" s="24"/>
    </row>
    <row r="586" spans="1:9" ht="14.5">
      <c r="A586" s="20" t="s">
        <v>35795</v>
      </c>
      <c r="B586" s="20">
        <v>70</v>
      </c>
      <c r="C586" s="20">
        <v>20</v>
      </c>
      <c r="D586" s="20">
        <v>25</v>
      </c>
      <c r="E586" s="20">
        <v>55</v>
      </c>
      <c r="F586" s="20" t="s">
        <v>35796</v>
      </c>
      <c r="G586" s="24" t="str">
        <f ca="1">IFERROR(__xludf.DUMMYFUNCTION("GOOGLETRANSLATE(F586,""en"",""pt"")"),"máquinas mulching")</f>
        <v>máquinas mulching</v>
      </c>
      <c r="H586" s="24"/>
      <c r="I586" s="24"/>
    </row>
    <row r="587" spans="1:9" ht="14.5">
      <c r="A587" s="20" t="s">
        <v>35797</v>
      </c>
      <c r="B587" s="20">
        <v>70</v>
      </c>
      <c r="C587" s="20">
        <v>20</v>
      </c>
      <c r="D587" s="20">
        <v>25</v>
      </c>
      <c r="E587" s="20">
        <v>65</v>
      </c>
      <c r="F587" s="20" t="s">
        <v>35798</v>
      </c>
      <c r="G587" s="24" t="str">
        <f ca="1">IFERROR(__xludf.DUMMYFUNCTION("GOOGLETRANSLATE(F587,""en"",""pt"")"),"Tesouras de poda")</f>
        <v>Tesouras de poda</v>
      </c>
      <c r="H587" s="24"/>
      <c r="I587" s="24"/>
    </row>
    <row r="588" spans="1:9" ht="14.5">
      <c r="A588" s="20" t="s">
        <v>35799</v>
      </c>
      <c r="B588" s="20">
        <v>70</v>
      </c>
      <c r="C588" s="20">
        <v>20</v>
      </c>
      <c r="D588" s="20">
        <v>25</v>
      </c>
      <c r="E588" s="20">
        <v>85</v>
      </c>
      <c r="F588" s="20" t="s">
        <v>35800</v>
      </c>
      <c r="G588" s="24" t="str">
        <f ca="1">IFERROR(__xludf.DUMMYFUNCTION("GOOGLETRANSLATE(F588,""en"",""pt"")"),"Strimmers")</f>
        <v>Strimmers</v>
      </c>
      <c r="H588" s="24"/>
      <c r="I588" s="24"/>
    </row>
    <row r="589" spans="1:9" ht="14.5">
      <c r="A589" s="20" t="s">
        <v>35801</v>
      </c>
      <c r="B589" s="20">
        <v>70</v>
      </c>
      <c r="C589" s="20">
        <v>20</v>
      </c>
      <c r="D589" s="20">
        <v>25</v>
      </c>
      <c r="E589" s="20">
        <v>90</v>
      </c>
      <c r="F589" s="20" t="s">
        <v>35802</v>
      </c>
      <c r="G589" s="24" t="str">
        <f ca="1">IFERROR(__xludf.DUMMYFUNCTION("GOOGLETRANSLATE(F589,""en"",""pt"")"),"afiadores de ferramentas")</f>
        <v>afiadores de ferramentas</v>
      </c>
      <c r="H589" s="24"/>
      <c r="I589" s="24"/>
    </row>
    <row r="590" spans="1:9" ht="14.5">
      <c r="A590" s="20" t="s">
        <v>35803</v>
      </c>
      <c r="B590" s="20">
        <v>70</v>
      </c>
      <c r="C590" s="20">
        <v>20</v>
      </c>
      <c r="D590" s="20">
        <v>25</v>
      </c>
      <c r="E590" s="20">
        <v>94</v>
      </c>
      <c r="F590" s="20" t="s">
        <v>35804</v>
      </c>
      <c r="G590" s="24" t="str">
        <f ca="1">IFERROR(__xludf.DUMMYFUNCTION("GOOGLETRANSLATE(F590,""en"",""pt"")"),"Aspirador de pó")</f>
        <v>Aspirador de pó</v>
      </c>
      <c r="H590" s="24"/>
      <c r="I590" s="24"/>
    </row>
    <row r="591" spans="1:9" ht="14.5">
      <c r="A591" s="20" t="s">
        <v>35805</v>
      </c>
      <c r="B591" s="20">
        <v>70</v>
      </c>
      <c r="C591" s="20">
        <v>20</v>
      </c>
      <c r="D591" s="20">
        <v>25</v>
      </c>
      <c r="E591" s="20">
        <v>96</v>
      </c>
      <c r="F591" s="20" t="s">
        <v>35806</v>
      </c>
      <c r="G591" s="24" t="str">
        <f ca="1">IFERROR(__xludf.DUMMYFUNCTION("GOOGLETRANSLATE(F591,""en"",""pt"")"),"trituradores de madeira")</f>
        <v>trituradores de madeira</v>
      </c>
      <c r="H591" s="24"/>
      <c r="I591" s="24"/>
    </row>
    <row r="592" spans="1:9" ht="14.5">
      <c r="A592" s="20" t="s">
        <v>35807</v>
      </c>
      <c r="B592" s="20">
        <v>70</v>
      </c>
      <c r="C592" s="20">
        <v>20</v>
      </c>
      <c r="D592" s="20">
        <v>30</v>
      </c>
      <c r="E592" s="24"/>
      <c r="F592" s="20" t="s">
        <v>35808</v>
      </c>
      <c r="G592" s="24" t="str">
        <f ca="1">IFERROR(__xludf.DUMMYFUNCTION("GOOGLETRANSLATE(F592,""en"",""pt"")"),"Estrada equipamento funciona")</f>
        <v>Estrada equipamento funciona</v>
      </c>
      <c r="H592" s="24"/>
      <c r="I592" s="24"/>
    </row>
    <row r="593" spans="1:9" ht="14.5">
      <c r="A593" s="20" t="s">
        <v>35809</v>
      </c>
      <c r="B593" s="20">
        <v>70</v>
      </c>
      <c r="C593" s="20">
        <v>20</v>
      </c>
      <c r="D593" s="20">
        <v>30</v>
      </c>
      <c r="E593" s="20">
        <v>6</v>
      </c>
      <c r="F593" s="20" t="s">
        <v>35810</v>
      </c>
      <c r="G593" s="24" t="str">
        <f ca="1">IFERROR(__xludf.DUMMYFUNCTION("GOOGLETRANSLATE(F593,""en"",""pt"")"),"cavaletes de barreira")</f>
        <v>cavaletes de barreira</v>
      </c>
      <c r="H593" s="24"/>
      <c r="I593" s="24"/>
    </row>
    <row r="594" spans="1:9" ht="14.5">
      <c r="A594" s="20" t="s">
        <v>35811</v>
      </c>
      <c r="B594" s="20">
        <v>70</v>
      </c>
      <c r="C594" s="20">
        <v>20</v>
      </c>
      <c r="D594" s="20">
        <v>30</v>
      </c>
      <c r="E594" s="20">
        <v>18</v>
      </c>
      <c r="F594" s="20" t="s">
        <v>35812</v>
      </c>
      <c r="G594" s="24" t="str">
        <f ca="1">IFERROR(__xludf.DUMMYFUNCTION("GOOGLETRANSLATE(F594,""en"",""pt"")"),"placas de passagem")</f>
        <v>placas de passagem</v>
      </c>
      <c r="H594" s="24"/>
      <c r="I594" s="24"/>
    </row>
    <row r="595" spans="1:9" ht="14.5">
      <c r="A595" s="20" t="s">
        <v>35813</v>
      </c>
      <c r="B595" s="20">
        <v>70</v>
      </c>
      <c r="C595" s="20">
        <v>20</v>
      </c>
      <c r="D595" s="20">
        <v>30</v>
      </c>
      <c r="E595" s="20">
        <v>21</v>
      </c>
      <c r="F595" s="20" t="s">
        <v>35814</v>
      </c>
      <c r="G595" s="24" t="str">
        <f ca="1">IFERROR(__xludf.DUMMYFUNCTION("GOOGLETRANSLATE(F595,""en"",""pt"")"),"perigo lâmpadas")</f>
        <v>perigo lâmpadas</v>
      </c>
      <c r="H595" s="24"/>
      <c r="I595" s="24"/>
    </row>
    <row r="596" spans="1:9" ht="14.5">
      <c r="A596" s="20" t="s">
        <v>35815</v>
      </c>
      <c r="B596" s="20">
        <v>70</v>
      </c>
      <c r="C596" s="20">
        <v>20</v>
      </c>
      <c r="D596" s="20">
        <v>30</v>
      </c>
      <c r="E596" s="20">
        <v>30</v>
      </c>
      <c r="F596" s="20" t="s">
        <v>35816</v>
      </c>
      <c r="G596" s="24" t="str">
        <f ca="1">IFERROR(__xludf.DUMMYFUNCTION("GOOGLETRANSLATE(F596,""en"",""pt"")"),"piscando cabeços")</f>
        <v>piscando cabeços</v>
      </c>
      <c r="H596" s="24"/>
      <c r="I596" s="24"/>
    </row>
    <row r="597" spans="1:9" ht="14.5">
      <c r="A597" s="20" t="s">
        <v>35817</v>
      </c>
      <c r="B597" s="20">
        <v>70</v>
      </c>
      <c r="C597" s="20">
        <v>20</v>
      </c>
      <c r="D597" s="20">
        <v>30</v>
      </c>
      <c r="E597" s="20">
        <v>31</v>
      </c>
      <c r="F597" s="20" t="s">
        <v>35818</v>
      </c>
      <c r="G597" s="24" t="str">
        <f ca="1">IFERROR(__xludf.DUMMYFUNCTION("GOOGLETRANSLATE(F597,""en"",""pt"")"),"Piscando luzes de aviso de tráfego")</f>
        <v>Piscando luzes de aviso de tráfego</v>
      </c>
      <c r="H597" s="24"/>
      <c r="I597" s="24"/>
    </row>
    <row r="598" spans="1:9" ht="14.5">
      <c r="A598" s="20" t="s">
        <v>35819</v>
      </c>
      <c r="B598" s="20">
        <v>70</v>
      </c>
      <c r="C598" s="20">
        <v>20</v>
      </c>
      <c r="D598" s="20">
        <v>30</v>
      </c>
      <c r="E598" s="20">
        <v>41</v>
      </c>
      <c r="F598" s="20" t="s">
        <v>35820</v>
      </c>
      <c r="G598" s="24" t="str">
        <f ca="1">IFERROR(__xludf.DUMMYFUNCTION("GOOGLETRANSLATE(F598,""en"",""pt"")"),"sinais de informação de trânsito iluminados")</f>
        <v>sinais de informação de trânsito iluminados</v>
      </c>
      <c r="H598" s="24"/>
      <c r="I598" s="24"/>
    </row>
    <row r="599" spans="1:9" ht="14.5">
      <c r="A599" s="20" t="s">
        <v>35821</v>
      </c>
      <c r="B599" s="20">
        <v>70</v>
      </c>
      <c r="C599" s="20">
        <v>20</v>
      </c>
      <c r="D599" s="20">
        <v>30</v>
      </c>
      <c r="E599" s="20">
        <v>80</v>
      </c>
      <c r="F599" s="20" t="s">
        <v>35822</v>
      </c>
      <c r="G599" s="24" t="str">
        <f ca="1">IFERROR(__xludf.DUMMYFUNCTION("GOOGLETRANSLATE(F599,""en"",""pt"")"),"dissuasores de velocidade")</f>
        <v>dissuasores de velocidade</v>
      </c>
      <c r="H599" s="24"/>
      <c r="I599" s="24"/>
    </row>
    <row r="600" spans="1:9" ht="14.5">
      <c r="A600" s="20" t="s">
        <v>35823</v>
      </c>
      <c r="B600" s="20">
        <v>70</v>
      </c>
      <c r="C600" s="20">
        <v>20</v>
      </c>
      <c r="D600" s="20">
        <v>30</v>
      </c>
      <c r="E600" s="20">
        <v>87</v>
      </c>
      <c r="F600" s="20" t="s">
        <v>35824</v>
      </c>
      <c r="G600" s="24" t="str">
        <f ca="1">IFERROR(__xludf.DUMMYFUNCTION("GOOGLETRANSLATE(F600,""en"",""pt"")"),"lâmpadas de controle de tráfego")</f>
        <v>lâmpadas de controle de tráfego</v>
      </c>
      <c r="H600" s="24"/>
      <c r="I600" s="24"/>
    </row>
    <row r="601" spans="1:9" ht="14.5">
      <c r="A601" s="20" t="s">
        <v>35825</v>
      </c>
      <c r="B601" s="20">
        <v>70</v>
      </c>
      <c r="C601" s="20">
        <v>20</v>
      </c>
      <c r="D601" s="20">
        <v>30</v>
      </c>
      <c r="E601" s="20">
        <v>88</v>
      </c>
      <c r="F601" s="20" t="s">
        <v>35826</v>
      </c>
      <c r="G601" s="24" t="str">
        <f ca="1">IFERROR(__xludf.DUMMYFUNCTION("GOOGLETRANSLATE(F601,""en"",""pt"")"),"sinais de controlo do tráfego")</f>
        <v>sinais de controlo do tráfego</v>
      </c>
      <c r="H601" s="24"/>
      <c r="I601" s="24"/>
    </row>
    <row r="602" spans="1:9" ht="14.5">
      <c r="A602" s="20" t="s">
        <v>35827</v>
      </c>
      <c r="B602" s="20">
        <v>70</v>
      </c>
      <c r="C602" s="20">
        <v>20</v>
      </c>
      <c r="D602" s="20">
        <v>30</v>
      </c>
      <c r="E602" s="20">
        <v>89</v>
      </c>
      <c r="F602" s="20" t="s">
        <v>35828</v>
      </c>
      <c r="G602" s="24" t="str">
        <f ca="1">IFERROR(__xludf.DUMMYFUNCTION("GOOGLETRANSLATE(F602,""en"",""pt"")"),"sinais de informação de trânsito")</f>
        <v>sinais de informação de trânsito</v>
      </c>
      <c r="H602" s="24"/>
      <c r="I602" s="24"/>
    </row>
    <row r="603" spans="1:9" ht="14.5">
      <c r="A603" s="20" t="s">
        <v>35829</v>
      </c>
      <c r="B603" s="20">
        <v>70</v>
      </c>
      <c r="C603" s="20">
        <v>20</v>
      </c>
      <c r="D603" s="20">
        <v>30</v>
      </c>
      <c r="E603" s="20">
        <v>90</v>
      </c>
      <c r="F603" s="20" t="s">
        <v>35830</v>
      </c>
      <c r="G603" s="24" t="str">
        <f ca="1">IFERROR(__xludf.DUMMYFUNCTION("GOOGLETRANSLATE(F603,""en"",""pt"")"),"Luzes de trânsito")</f>
        <v>Luzes de trânsito</v>
      </c>
      <c r="H603" s="24"/>
      <c r="I603" s="24"/>
    </row>
    <row r="604" spans="1:9" ht="14.5">
      <c r="A604" s="20" t="s">
        <v>35831</v>
      </c>
      <c r="B604" s="20">
        <v>70</v>
      </c>
      <c r="C604" s="20">
        <v>20</v>
      </c>
      <c r="D604" s="20">
        <v>30</v>
      </c>
      <c r="E604" s="20">
        <v>91</v>
      </c>
      <c r="F604" s="20" t="s">
        <v>35832</v>
      </c>
      <c r="G604" s="24" t="str">
        <f ca="1">IFERROR(__xludf.DUMMYFUNCTION("GOOGLETRANSLATE(F604,""en"",""pt"")"),"sinais de alerta de tráfego")</f>
        <v>sinais de alerta de tráfego</v>
      </c>
      <c r="H604" s="24"/>
      <c r="I604" s="24"/>
    </row>
    <row r="605" spans="1:9" ht="14.5">
      <c r="A605" s="20" t="s">
        <v>35833</v>
      </c>
      <c r="B605" s="20">
        <v>70</v>
      </c>
      <c r="C605" s="20">
        <v>20</v>
      </c>
      <c r="D605" s="20">
        <v>35</v>
      </c>
      <c r="E605" s="24"/>
      <c r="F605" s="20" t="s">
        <v>35834</v>
      </c>
      <c r="G605" s="24" t="str">
        <f ca="1">IFERROR(__xludf.DUMMYFUNCTION("GOOGLETRANSLATE(F605,""en"",""pt"")"),"equipamento de via férrea")</f>
        <v>equipamento de via férrea</v>
      </c>
      <c r="H605" s="24"/>
      <c r="I605" s="24"/>
    </row>
    <row r="606" spans="1:9" ht="14.5">
      <c r="A606" s="20" t="s">
        <v>35835</v>
      </c>
      <c r="B606" s="20">
        <v>70</v>
      </c>
      <c r="C606" s="20">
        <v>20</v>
      </c>
      <c r="D606" s="20">
        <v>35</v>
      </c>
      <c r="E606" s="20">
        <v>70</v>
      </c>
      <c r="F606" s="20" t="s">
        <v>35836</v>
      </c>
      <c r="G606" s="24" t="str">
        <f ca="1">IFERROR(__xludf.DUMMYFUNCTION("GOOGLETRANSLATE(F606,""en"",""pt"")"),"kits tensor ferroviárias")</f>
        <v>kits tensor ferroviárias</v>
      </c>
      <c r="H606" s="24"/>
      <c r="I606" s="24"/>
    </row>
    <row r="607" spans="1:9" ht="14.5">
      <c r="A607" s="20" t="s">
        <v>35837</v>
      </c>
      <c r="B607" s="20">
        <v>70</v>
      </c>
      <c r="C607" s="20">
        <v>20</v>
      </c>
      <c r="D607" s="20">
        <v>35</v>
      </c>
      <c r="E607" s="20">
        <v>79</v>
      </c>
      <c r="F607" s="20" t="s">
        <v>35838</v>
      </c>
      <c r="G607" s="24" t="str">
        <f ca="1">IFERROR(__xludf.DUMMYFUNCTION("GOOGLETRANSLATE(F607,""en"",""pt"")"),"motoristas de spike")</f>
        <v>motoristas de spike</v>
      </c>
      <c r="H607" s="24"/>
      <c r="I607" s="24"/>
    </row>
    <row r="608" spans="1:9" ht="14.5">
      <c r="A608" s="20" t="s">
        <v>35839</v>
      </c>
      <c r="B608" s="20">
        <v>70</v>
      </c>
      <c r="C608" s="20">
        <v>20</v>
      </c>
      <c r="D608" s="20">
        <v>35</v>
      </c>
      <c r="E608" s="20">
        <v>80</v>
      </c>
      <c r="F608" s="20" t="s">
        <v>35840</v>
      </c>
      <c r="G608" s="24" t="str">
        <f ca="1">IFERROR(__xludf.DUMMYFUNCTION("GOOGLETRANSLATE(F608,""en"",""pt"")"),"puxadores de pico")</f>
        <v>puxadores de pico</v>
      </c>
      <c r="H608" s="24"/>
      <c r="I608" s="24"/>
    </row>
    <row r="609" spans="1:9" ht="14.5">
      <c r="A609" s="20" t="s">
        <v>35841</v>
      </c>
      <c r="B609" s="20">
        <v>70</v>
      </c>
      <c r="C609" s="20">
        <v>20</v>
      </c>
      <c r="D609" s="20">
        <v>35</v>
      </c>
      <c r="E609" s="20">
        <v>90</v>
      </c>
      <c r="F609" s="20" t="s">
        <v>35842</v>
      </c>
      <c r="G609" s="24" t="str">
        <f ca="1">IFERROR(__xludf.DUMMYFUNCTION("GOOGLETRANSLATE(F609,""en"",""pt"")"),"apoio pista temporária")</f>
        <v>apoio pista temporária</v>
      </c>
      <c r="H609" s="24"/>
      <c r="I609" s="24"/>
    </row>
    <row r="610" spans="1:9" ht="14.5">
      <c r="A610" s="20" t="s">
        <v>35843</v>
      </c>
      <c r="B610" s="20">
        <v>70</v>
      </c>
      <c r="C610" s="20">
        <v>20</v>
      </c>
      <c r="D610" s="20">
        <v>40</v>
      </c>
      <c r="E610" s="24"/>
      <c r="F610" s="20" t="s">
        <v>35844</v>
      </c>
      <c r="G610" s="24" t="str">
        <f ca="1">IFERROR(__xludf.DUMMYFUNCTION("GOOGLETRANSLATE(F610,""en"",""pt"")"),"Damp curso equipamento prova")</f>
        <v>Damp curso equipamento prova</v>
      </c>
      <c r="H610" s="24"/>
      <c r="I610" s="24"/>
    </row>
    <row r="611" spans="1:9" ht="14.5">
      <c r="A611" s="20" t="s">
        <v>35845</v>
      </c>
      <c r="B611" s="20">
        <v>70</v>
      </c>
      <c r="C611" s="20">
        <v>20</v>
      </c>
      <c r="D611" s="20">
        <v>40</v>
      </c>
      <c r="E611" s="20">
        <v>11</v>
      </c>
      <c r="F611" s="20" t="s">
        <v>35846</v>
      </c>
      <c r="G611" s="24" t="str">
        <f ca="1">IFERROR(__xludf.DUMMYFUNCTION("GOOGLETRANSLATE(F611,""en"",""pt"")"),"calafetagem arma")</f>
        <v>calafetagem arma</v>
      </c>
      <c r="H611" s="24"/>
      <c r="I611" s="24"/>
    </row>
    <row r="612" spans="1:9" ht="14.5">
      <c r="A612" s="20" t="s">
        <v>35847</v>
      </c>
      <c r="B612" s="20">
        <v>70</v>
      </c>
      <c r="C612" s="20">
        <v>20</v>
      </c>
      <c r="D612" s="20">
        <v>40</v>
      </c>
      <c r="E612" s="20">
        <v>27</v>
      </c>
      <c r="F612" s="20" t="s">
        <v>35848</v>
      </c>
      <c r="G612" s="24" t="str">
        <f ca="1">IFERROR(__xludf.DUMMYFUNCTION("GOOGLETRANSLATE(F612,""en"",""pt"")"),"Electro-osmose equipamentos")</f>
        <v>Electro-osmose equipamentos</v>
      </c>
      <c r="H612" s="24"/>
      <c r="I612" s="24"/>
    </row>
    <row r="613" spans="1:9" ht="14.5">
      <c r="A613" s="20" t="s">
        <v>35849</v>
      </c>
      <c r="B613" s="20">
        <v>70</v>
      </c>
      <c r="C613" s="20">
        <v>20</v>
      </c>
      <c r="D613" s="20">
        <v>40</v>
      </c>
      <c r="E613" s="20">
        <v>34</v>
      </c>
      <c r="F613" s="20" t="s">
        <v>35850</v>
      </c>
      <c r="G613" s="24" t="str">
        <f ca="1">IFERROR(__xludf.DUMMYFUNCTION("GOOGLETRANSLATE(F613,""en"",""pt"")"),"equipamento de alimentação por gravidade")</f>
        <v>equipamento de alimentação por gravidade</v>
      </c>
      <c r="H613" s="24"/>
      <c r="I613" s="24"/>
    </row>
    <row r="614" spans="1:9" ht="14.5">
      <c r="A614" s="20" t="s">
        <v>35851</v>
      </c>
      <c r="B614" s="20">
        <v>70</v>
      </c>
      <c r="C614" s="20">
        <v>20</v>
      </c>
      <c r="D614" s="20">
        <v>40</v>
      </c>
      <c r="E614" s="20">
        <v>37</v>
      </c>
      <c r="F614" s="20" t="s">
        <v>35852</v>
      </c>
      <c r="G614" s="24" t="str">
        <f ca="1">IFERROR(__xludf.DUMMYFUNCTION("GOOGLETRANSLATE(F614,""en"",""pt"")"),"Equipamento de injecção de alta pressão")</f>
        <v>Equipamento de injecção de alta pressão</v>
      </c>
      <c r="H614" s="24"/>
      <c r="I614" s="24"/>
    </row>
    <row r="615" spans="1:9" ht="14.5">
      <c r="A615" s="20" t="s">
        <v>35853</v>
      </c>
      <c r="B615" s="20">
        <v>70</v>
      </c>
      <c r="C615" s="20">
        <v>20</v>
      </c>
      <c r="D615" s="20">
        <v>40</v>
      </c>
      <c r="E615" s="20">
        <v>48</v>
      </c>
      <c r="F615" s="20" t="s">
        <v>35854</v>
      </c>
      <c r="G615" s="24" t="str">
        <f ca="1">IFERROR(__xludf.DUMMYFUNCTION("GOOGLETRANSLATE(F615,""en"",""pt"")"),"equipamento de injeção de baixa pressão")</f>
        <v>equipamento de injeção de baixa pressão</v>
      </c>
      <c r="H615" s="24"/>
      <c r="I615" s="24"/>
    </row>
    <row r="616" spans="1:9" ht="14.5">
      <c r="A616" s="20" t="s">
        <v>35855</v>
      </c>
      <c r="B616" s="20">
        <v>70</v>
      </c>
      <c r="C616" s="20">
        <v>20</v>
      </c>
      <c r="D616" s="20">
        <v>50</v>
      </c>
      <c r="E616" s="24"/>
      <c r="F616" s="20" t="s">
        <v>35856</v>
      </c>
      <c r="G616" s="24" t="str">
        <f ca="1">IFERROR(__xludf.DUMMYFUNCTION("GOOGLETRANSLATE(F616,""en"",""pt"")"),"equipamentos de limpeza e preparação da superfície")</f>
        <v>equipamentos de limpeza e preparação da superfície</v>
      </c>
      <c r="H616" s="24"/>
      <c r="I616" s="24"/>
    </row>
    <row r="617" spans="1:9" ht="14.5">
      <c r="A617" s="20" t="s">
        <v>35857</v>
      </c>
      <c r="B617" s="20">
        <v>70</v>
      </c>
      <c r="C617" s="20">
        <v>20</v>
      </c>
      <c r="D617" s="20">
        <v>50</v>
      </c>
      <c r="E617" s="20">
        <v>8</v>
      </c>
      <c r="F617" s="20" t="s">
        <v>35858</v>
      </c>
      <c r="G617" s="24" t="str">
        <f ca="1">IFERROR(__xludf.DUMMYFUNCTION("GOOGLETRANSLATE(F617,""en"",""pt"")"),"máquinas e equipamentos de detonação")</f>
        <v>máquinas e equipamentos de detonação</v>
      </c>
      <c r="H617" s="24"/>
      <c r="I617" s="24"/>
    </row>
    <row r="618" spans="1:9" ht="14.5">
      <c r="A618" s="20" t="s">
        <v>35859</v>
      </c>
      <c r="B618" s="20">
        <v>70</v>
      </c>
      <c r="C618" s="20">
        <v>20</v>
      </c>
      <c r="D618" s="20">
        <v>50</v>
      </c>
      <c r="E618" s="20">
        <v>37</v>
      </c>
      <c r="F618" s="20" t="s">
        <v>35860</v>
      </c>
      <c r="G618" s="24" t="str">
        <f ca="1">IFERROR(__xludf.DUMMYFUNCTION("GOOGLETRANSLATE(F618,""en"",""pt"")"),"Alta pressão e vapor de limpeza a jacto")</f>
        <v>Alta pressão e vapor de limpeza a jacto</v>
      </c>
      <c r="H618" s="24"/>
      <c r="I618" s="24"/>
    </row>
    <row r="619" spans="1:9" ht="14.5">
      <c r="A619" s="20" t="s">
        <v>35861</v>
      </c>
      <c r="B619" s="20">
        <v>70</v>
      </c>
      <c r="C619" s="20">
        <v>20</v>
      </c>
      <c r="D619" s="20">
        <v>50</v>
      </c>
      <c r="E619" s="20">
        <v>48</v>
      </c>
      <c r="F619" s="20" t="s">
        <v>35862</v>
      </c>
      <c r="G619" s="24" t="str">
        <f ca="1">IFERROR(__xludf.DUMMYFUNCTION("GOOGLETRANSLATE(F619,""en"",""pt"")"),"máquinas de limpeza a pressão baixa")</f>
        <v>máquinas de limpeza a pressão baixa</v>
      </c>
      <c r="H619" s="24"/>
      <c r="I619" s="24"/>
    </row>
    <row r="620" spans="1:9" ht="14.5">
      <c r="A620" s="20" t="s">
        <v>35863</v>
      </c>
      <c r="B620" s="20">
        <v>70</v>
      </c>
      <c r="C620" s="20">
        <v>20</v>
      </c>
      <c r="D620" s="20">
        <v>50</v>
      </c>
      <c r="E620" s="20">
        <v>56</v>
      </c>
      <c r="F620" s="20" t="s">
        <v>35864</v>
      </c>
      <c r="G620" s="24" t="str">
        <f ca="1">IFERROR(__xludf.DUMMYFUNCTION("GOOGLETRANSLATE(F620,""en"",""pt"")"),"scalers agulha")</f>
        <v>scalers agulha</v>
      </c>
      <c r="H620" s="24"/>
      <c r="I620" s="24"/>
    </row>
    <row r="621" spans="1:9" ht="14.5">
      <c r="A621" s="20" t="s">
        <v>35865</v>
      </c>
      <c r="B621" s="20">
        <v>70</v>
      </c>
      <c r="C621" s="20">
        <v>20</v>
      </c>
      <c r="D621" s="20">
        <v>50</v>
      </c>
      <c r="E621" s="20">
        <v>92</v>
      </c>
      <c r="F621" s="20" t="s">
        <v>35866</v>
      </c>
      <c r="G621" s="24" t="str">
        <f ca="1">IFERROR(__xludf.DUMMYFUNCTION("GOOGLETRANSLATE(F621,""en"",""pt"")"),"equipamentos de limpeza subaquática")</f>
        <v>equipamentos de limpeza subaquática</v>
      </c>
      <c r="H621" s="24"/>
      <c r="I621" s="24"/>
    </row>
    <row r="622" spans="1:9" ht="14.5">
      <c r="A622" s="20" t="s">
        <v>35867</v>
      </c>
      <c r="B622" s="20">
        <v>70</v>
      </c>
      <c r="C622" s="20">
        <v>20</v>
      </c>
      <c r="D622" s="20">
        <v>60</v>
      </c>
      <c r="E622" s="24"/>
      <c r="F622" s="20" t="s">
        <v>35868</v>
      </c>
      <c r="G622" s="24" t="str">
        <f ca="1">IFERROR(__xludf.DUMMYFUNCTION("GOOGLETRANSLATE(F622,""en"",""pt"")"),"compressores")</f>
        <v>compressores</v>
      </c>
      <c r="H622" s="24"/>
      <c r="I622" s="24"/>
    </row>
    <row r="623" spans="1:9" ht="14.5">
      <c r="A623" s="20" t="s">
        <v>35869</v>
      </c>
      <c r="B623" s="20">
        <v>70</v>
      </c>
      <c r="C623" s="20">
        <v>20</v>
      </c>
      <c r="D623" s="20">
        <v>60</v>
      </c>
      <c r="E623" s="20">
        <v>47</v>
      </c>
      <c r="F623" s="20" t="s">
        <v>35870</v>
      </c>
      <c r="G623" s="24" t="str">
        <f ca="1">IFERROR(__xludf.DUMMYFUNCTION("GOOGLETRANSLATE(F623,""en"",""pt"")"),"compressores camião-montado")</f>
        <v>compressores camião-montado</v>
      </c>
      <c r="H623" s="24"/>
      <c r="I623" s="24"/>
    </row>
    <row r="624" spans="1:9" ht="14.5">
      <c r="A624" s="20" t="s">
        <v>35871</v>
      </c>
      <c r="B624" s="20">
        <v>70</v>
      </c>
      <c r="C624" s="20">
        <v>20</v>
      </c>
      <c r="D624" s="20">
        <v>60</v>
      </c>
      <c r="E624" s="20">
        <v>90</v>
      </c>
      <c r="F624" s="20" t="s">
        <v>35872</v>
      </c>
      <c r="G624" s="24" t="str">
        <f ca="1">IFERROR(__xludf.DUMMYFUNCTION("GOOGLETRANSLATE(F624,""en"",""pt"")"),"Os montados em tractor")</f>
        <v>Os montados em tractor</v>
      </c>
      <c r="H624" s="24"/>
      <c r="I624" s="24"/>
    </row>
    <row r="625" spans="1:9" ht="14.5">
      <c r="A625" s="20" t="s">
        <v>35873</v>
      </c>
      <c r="B625" s="20">
        <v>70</v>
      </c>
      <c r="C625" s="20">
        <v>20</v>
      </c>
      <c r="D625" s="20">
        <v>70</v>
      </c>
      <c r="E625" s="24"/>
      <c r="F625" s="20" t="s">
        <v>35874</v>
      </c>
      <c r="G625" s="24" t="str">
        <f ca="1">IFERROR(__xludf.DUMMYFUNCTION("GOOGLETRANSLATE(F625,""en"",""pt"")"),"máquinas e equipamento de ar comprimido")</f>
        <v>máquinas e equipamento de ar comprimido</v>
      </c>
      <c r="H625" s="24"/>
      <c r="I625" s="24"/>
    </row>
    <row r="626" spans="1:9" ht="14.5">
      <c r="A626" s="20" t="s">
        <v>35875</v>
      </c>
      <c r="B626" s="20">
        <v>70</v>
      </c>
      <c r="C626" s="20">
        <v>20</v>
      </c>
      <c r="D626" s="20">
        <v>70</v>
      </c>
      <c r="E626" s="20">
        <v>2</v>
      </c>
      <c r="F626" s="20" t="s">
        <v>35876</v>
      </c>
      <c r="G626" s="24" t="str">
        <f ca="1">IFERROR(__xludf.DUMMYFUNCTION("GOOGLETRANSLATE(F626,""en"",""pt"")"),"mangueiras de ar")</f>
        <v>mangueiras de ar</v>
      </c>
      <c r="H626" s="24"/>
      <c r="I626" s="24"/>
    </row>
    <row r="627" spans="1:9" ht="14.5">
      <c r="A627" s="20" t="s">
        <v>35877</v>
      </c>
      <c r="B627" s="20">
        <v>70</v>
      </c>
      <c r="C627" s="20">
        <v>20</v>
      </c>
      <c r="D627" s="20">
        <v>70</v>
      </c>
      <c r="E627" s="20">
        <v>15</v>
      </c>
      <c r="F627" s="20" t="s">
        <v>35878</v>
      </c>
      <c r="G627" s="24" t="str">
        <f ca="1">IFERROR(__xludf.DUMMYFUNCTION("GOOGLETRANSLATE(F627,""en"",""pt"")"),"receptores de ar comprimido")</f>
        <v>receptores de ar comprimido</v>
      </c>
      <c r="H627" s="24"/>
      <c r="I627" s="24"/>
    </row>
    <row r="628" spans="1:9" ht="14.5">
      <c r="A628" s="20" t="s">
        <v>35879</v>
      </c>
      <c r="B628" s="20">
        <v>70</v>
      </c>
      <c r="C628" s="20">
        <v>20</v>
      </c>
      <c r="D628" s="20">
        <v>70</v>
      </c>
      <c r="E628" s="20">
        <v>55</v>
      </c>
      <c r="F628" s="20" t="s">
        <v>35880</v>
      </c>
      <c r="G628" s="24" t="str">
        <f ca="1">IFERROR(__xludf.DUMMYFUNCTION("GOOGLETRANSLATE(F628,""en"",""pt"")"),"silenciadores")</f>
        <v>silenciadores</v>
      </c>
      <c r="H628" s="24"/>
      <c r="I628" s="24"/>
    </row>
    <row r="629" spans="1:9" ht="14.5">
      <c r="A629" s="20" t="s">
        <v>35881</v>
      </c>
      <c r="B629" s="20">
        <v>70</v>
      </c>
      <c r="C629" s="20">
        <v>20</v>
      </c>
      <c r="D629" s="20">
        <v>70</v>
      </c>
      <c r="E629" s="20">
        <v>89</v>
      </c>
      <c r="F629" s="20" t="s">
        <v>35882</v>
      </c>
      <c r="G629" s="24" t="str">
        <f ca="1">IFERROR(__xludf.DUMMYFUNCTION("GOOGLETRANSLATE(F629,""en"",""pt"")"),"silenciadores de ferramentas")</f>
        <v>silenciadores de ferramentas</v>
      </c>
      <c r="H629" s="24"/>
      <c r="I629" s="24"/>
    </row>
    <row r="630" spans="1:9" ht="14.5">
      <c r="A630" s="20" t="s">
        <v>35883</v>
      </c>
      <c r="B630" s="20">
        <v>70</v>
      </c>
      <c r="C630" s="20">
        <v>20</v>
      </c>
      <c r="D630" s="20">
        <v>80</v>
      </c>
      <c r="E630" s="24"/>
      <c r="F630" s="20" t="s">
        <v>35884</v>
      </c>
      <c r="G630" s="24" t="str">
        <f ca="1">IFERROR(__xludf.DUMMYFUNCTION("GOOGLETRANSLATE(F630,""en"",""pt"")"),"corte de reforço de aço e dobra instalações e equipamentos")</f>
        <v>corte de reforço de aço e dobra instalações e equipamentos</v>
      </c>
      <c r="H630" s="24"/>
      <c r="I630" s="24"/>
    </row>
    <row r="631" spans="1:9" ht="14.5">
      <c r="A631" s="20" t="s">
        <v>35885</v>
      </c>
      <c r="B631" s="20">
        <v>70</v>
      </c>
      <c r="C631" s="20">
        <v>20</v>
      </c>
      <c r="D631" s="20">
        <v>80</v>
      </c>
      <c r="E631" s="20">
        <v>6</v>
      </c>
      <c r="F631" s="20" t="s">
        <v>35886</v>
      </c>
      <c r="G631" s="24" t="str">
        <f ca="1">IFERROR(__xludf.DUMMYFUNCTION("GOOGLETRANSLATE(F631,""en"",""pt"")"),"Bar máquinas de dobra")</f>
        <v>Bar máquinas de dobra</v>
      </c>
      <c r="H631" s="24"/>
      <c r="I631" s="24"/>
    </row>
    <row r="632" spans="1:9" ht="14.5">
      <c r="A632" s="20" t="s">
        <v>35887</v>
      </c>
      <c r="B632" s="20">
        <v>70</v>
      </c>
      <c r="C632" s="20">
        <v>20</v>
      </c>
      <c r="D632" s="20">
        <v>80</v>
      </c>
      <c r="E632" s="20">
        <v>7</v>
      </c>
      <c r="F632" s="20" t="s">
        <v>35888</v>
      </c>
      <c r="G632" s="24" t="str">
        <f ca="1">IFERROR(__xludf.DUMMYFUNCTION("GOOGLETRANSLATE(F632,""en"",""pt"")"),"máquinas Bar cropper")</f>
        <v>máquinas Bar cropper</v>
      </c>
      <c r="H632" s="24"/>
      <c r="I632" s="24"/>
    </row>
    <row r="633" spans="1:9" ht="14.5">
      <c r="A633" s="20" t="s">
        <v>35889</v>
      </c>
      <c r="B633" s="20">
        <v>70</v>
      </c>
      <c r="C633" s="20">
        <v>20</v>
      </c>
      <c r="D633" s="20">
        <v>80</v>
      </c>
      <c r="E633" s="20">
        <v>8</v>
      </c>
      <c r="F633" s="20" t="s">
        <v>35890</v>
      </c>
      <c r="G633" s="24" t="str">
        <f ca="1">IFERROR(__xludf.DUMMYFUNCTION("GOOGLETRANSLATE(F633,""en"",""pt"")"),"máquinas Bar tosquia")</f>
        <v>máquinas Bar tosquia</v>
      </c>
      <c r="H633" s="24"/>
      <c r="I633" s="24"/>
    </row>
    <row r="634" spans="1:9" ht="14.5">
      <c r="A634" s="20" t="s">
        <v>35891</v>
      </c>
      <c r="B634" s="20">
        <v>70</v>
      </c>
      <c r="C634" s="20">
        <v>20</v>
      </c>
      <c r="D634" s="20">
        <v>85</v>
      </c>
      <c r="E634" s="24"/>
      <c r="F634" s="20" t="s">
        <v>35892</v>
      </c>
      <c r="G634" s="24" t="str">
        <f ca="1">IFERROR(__xludf.DUMMYFUNCTION("GOOGLETRANSLATE(F634,""en"",""pt"")"),"instalação de tubos e equipamentos de manutenção")</f>
        <v>instalação de tubos e equipamentos de manutenção</v>
      </c>
      <c r="H634" s="24"/>
      <c r="I634" s="24"/>
    </row>
    <row r="635" spans="1:9" ht="14.5">
      <c r="A635" s="20" t="s">
        <v>35893</v>
      </c>
      <c r="B635" s="20">
        <v>70</v>
      </c>
      <c r="C635" s="20">
        <v>20</v>
      </c>
      <c r="D635" s="20">
        <v>85</v>
      </c>
      <c r="E635" s="20">
        <v>40</v>
      </c>
      <c r="F635" s="20" t="s">
        <v>35894</v>
      </c>
      <c r="G635" s="24" t="str">
        <f ca="1">IFERROR(__xludf.DUMMYFUNCTION("GOOGLETRANSLATE(F635,""en"",""pt"")"),"empurradores tubos hidráulicos")</f>
        <v>empurradores tubos hidráulicos</v>
      </c>
      <c r="H635" s="24"/>
      <c r="I635" s="24"/>
    </row>
    <row r="636" spans="1:9" ht="14.5">
      <c r="A636" s="20" t="s">
        <v>35895</v>
      </c>
      <c r="B636" s="20">
        <v>70</v>
      </c>
      <c r="C636" s="20">
        <v>20</v>
      </c>
      <c r="D636" s="20">
        <v>85</v>
      </c>
      <c r="E636" s="20">
        <v>62</v>
      </c>
      <c r="F636" s="20" t="s">
        <v>35896</v>
      </c>
      <c r="G636" s="24" t="str">
        <f ca="1">IFERROR(__xludf.DUMMYFUNCTION("GOOGLETRANSLATE(F636,""en"",""pt"")"),"dobrar para tubos")</f>
        <v>dobrar para tubos</v>
      </c>
      <c r="H636" s="24"/>
      <c r="I636" s="24"/>
    </row>
    <row r="637" spans="1:9" ht="14.5">
      <c r="A637" s="20" t="s">
        <v>35897</v>
      </c>
      <c r="B637" s="20">
        <v>70</v>
      </c>
      <c r="C637" s="20">
        <v>20</v>
      </c>
      <c r="D637" s="20">
        <v>85</v>
      </c>
      <c r="E637" s="20">
        <v>63</v>
      </c>
      <c r="F637" s="20" t="s">
        <v>35898</v>
      </c>
      <c r="G637" s="24" t="str">
        <f ca="1">IFERROR(__xludf.DUMMYFUNCTION("GOOGLETRANSLATE(F637,""en"",""pt"")"),"cortadores de tubo")</f>
        <v>cortadores de tubo</v>
      </c>
      <c r="H637" s="24"/>
      <c r="I637" s="24"/>
    </row>
    <row r="638" spans="1:9" ht="14.5">
      <c r="A638" s="20" t="s">
        <v>35899</v>
      </c>
      <c r="B638" s="20">
        <v>70</v>
      </c>
      <c r="C638" s="20">
        <v>20</v>
      </c>
      <c r="D638" s="20">
        <v>85</v>
      </c>
      <c r="E638" s="20">
        <v>66</v>
      </c>
      <c r="F638" s="20" t="s">
        <v>35900</v>
      </c>
      <c r="G638" s="24" t="str">
        <f ca="1">IFERROR(__xludf.DUMMYFUNCTION("GOOGLETRANSLATE(F638,""en"",""pt"")"),"equipamentos de threading tubo")</f>
        <v>equipamentos de threading tubo</v>
      </c>
      <c r="H638" s="24"/>
      <c r="I638" s="24"/>
    </row>
    <row r="639" spans="1:9" ht="14.5">
      <c r="A639" s="20" t="s">
        <v>35901</v>
      </c>
      <c r="B639" s="20">
        <v>70</v>
      </c>
      <c r="C639" s="20">
        <v>20</v>
      </c>
      <c r="D639" s="20">
        <v>90</v>
      </c>
      <c r="E639" s="24"/>
      <c r="F639" s="20" t="s">
        <v>35902</v>
      </c>
      <c r="G639" s="24" t="str">
        <f ca="1">IFERROR(__xludf.DUMMYFUNCTION("GOOGLETRANSLATE(F639,""en"",""pt"")"),"equipamentos auxiliares")</f>
        <v>equipamentos auxiliares</v>
      </c>
      <c r="H639" s="24"/>
      <c r="I639" s="24"/>
    </row>
    <row r="640" spans="1:9" ht="14.5">
      <c r="A640" s="20" t="s">
        <v>35903</v>
      </c>
      <c r="B640" s="20">
        <v>70</v>
      </c>
      <c r="C640" s="20">
        <v>20</v>
      </c>
      <c r="D640" s="20">
        <v>90</v>
      </c>
      <c r="E640" s="20">
        <v>10</v>
      </c>
      <c r="F640" s="20" t="s">
        <v>35904</v>
      </c>
      <c r="G640" s="24" t="str">
        <f ca="1">IFERROR(__xludf.DUMMYFUNCTION("GOOGLETRANSLATE(F640,""en"",""pt"")"),"baldes")</f>
        <v>baldes</v>
      </c>
      <c r="H640" s="24"/>
      <c r="I640" s="24"/>
    </row>
    <row r="641" spans="1:9" ht="14.5">
      <c r="A641" s="20" t="s">
        <v>35905</v>
      </c>
      <c r="B641" s="20">
        <v>70</v>
      </c>
      <c r="C641" s="20">
        <v>20</v>
      </c>
      <c r="D641" s="20">
        <v>90</v>
      </c>
      <c r="E641" s="20">
        <v>22</v>
      </c>
      <c r="F641" s="20" t="s">
        <v>35906</v>
      </c>
      <c r="G641" s="24" t="str">
        <f ca="1">IFERROR(__xludf.DUMMYFUNCTION("GOOGLETRANSLATE(F641,""en"",""pt"")"),"desumidificadores")</f>
        <v>desumidificadores</v>
      </c>
      <c r="H641" s="24"/>
      <c r="I641" s="24"/>
    </row>
    <row r="642" spans="1:9" ht="14.5">
      <c r="A642" s="20" t="s">
        <v>35907</v>
      </c>
      <c r="B642" s="20">
        <v>70</v>
      </c>
      <c r="C642" s="20">
        <v>20</v>
      </c>
      <c r="D642" s="20">
        <v>90</v>
      </c>
      <c r="E642" s="20">
        <v>48</v>
      </c>
      <c r="F642" s="20" t="s">
        <v>35908</v>
      </c>
      <c r="G642" s="24" t="str">
        <f ca="1">IFERROR(__xludf.DUMMYFUNCTION("GOOGLETRANSLATE(F642,""en"",""pt"")"),"Carregando trilhos")</f>
        <v>Carregando trilhos</v>
      </c>
      <c r="H642" s="24"/>
      <c r="I642" s="24"/>
    </row>
    <row r="643" spans="1:9" ht="14.5">
      <c r="A643" s="20" t="s">
        <v>35909</v>
      </c>
      <c r="B643" s="20">
        <v>70</v>
      </c>
      <c r="C643" s="20">
        <v>20</v>
      </c>
      <c r="D643" s="20">
        <v>90</v>
      </c>
      <c r="E643" s="20">
        <v>87</v>
      </c>
      <c r="F643" s="20" t="s">
        <v>35910</v>
      </c>
      <c r="G643" s="24" t="str">
        <f ca="1">IFERROR(__xludf.DUMMYFUNCTION("GOOGLETRANSLATE(F643,""en"",""pt"")"),"lonas")</f>
        <v>lonas</v>
      </c>
      <c r="H643" s="24"/>
      <c r="I643" s="24"/>
    </row>
    <row r="644" spans="1:9" ht="14.5">
      <c r="A644" s="20" t="s">
        <v>35911</v>
      </c>
      <c r="B644" s="20">
        <v>70</v>
      </c>
      <c r="C644" s="20">
        <v>40</v>
      </c>
      <c r="D644" s="24"/>
      <c r="E644" s="24"/>
      <c r="F644" s="20" t="s">
        <v>35912</v>
      </c>
      <c r="G644" s="24" t="str">
        <f ca="1">IFERROR(__xludf.DUMMYFUNCTION("GOOGLETRANSLATE(F644,""en"",""pt"")"),"Topografia e equipamentos de medição")</f>
        <v>Topografia e equipamentos de medição</v>
      </c>
      <c r="H644" s="24"/>
      <c r="I644" s="24"/>
    </row>
    <row r="645" spans="1:9" ht="14.5">
      <c r="A645" s="20" t="s">
        <v>35913</v>
      </c>
      <c r="B645" s="20">
        <v>70</v>
      </c>
      <c r="C645" s="20">
        <v>40</v>
      </c>
      <c r="D645" s="20">
        <v>10</v>
      </c>
      <c r="E645" s="24"/>
      <c r="F645" s="20" t="s">
        <v>7486</v>
      </c>
      <c r="G645" s="24" t="str">
        <f ca="1">IFERROR(__xludf.DUMMYFUNCTION("GOOGLETRANSLATE(F645,""en"",""pt"")"),"níveis")</f>
        <v>níveis</v>
      </c>
      <c r="H645" s="24"/>
      <c r="I645" s="24"/>
    </row>
    <row r="646" spans="1:9" ht="14.5">
      <c r="A646" s="20" t="s">
        <v>35914</v>
      </c>
      <c r="B646" s="20">
        <v>70</v>
      </c>
      <c r="C646" s="20">
        <v>40</v>
      </c>
      <c r="D646" s="20">
        <v>10</v>
      </c>
      <c r="E646" s="20">
        <v>5</v>
      </c>
      <c r="F646" s="20" t="s">
        <v>35915</v>
      </c>
      <c r="G646" s="24" t="str">
        <f ca="1">IFERROR(__xludf.DUMMYFUNCTION("GOOGLETRANSLATE(F646,""en"",""pt"")"),"níveis auto")</f>
        <v>níveis auto</v>
      </c>
      <c r="H646" s="24"/>
      <c r="I646" s="24"/>
    </row>
    <row r="647" spans="1:9" ht="14.5">
      <c r="A647" s="20" t="s">
        <v>35916</v>
      </c>
      <c r="B647" s="20">
        <v>70</v>
      </c>
      <c r="C647" s="20">
        <v>40</v>
      </c>
      <c r="D647" s="20">
        <v>10</v>
      </c>
      <c r="E647" s="20">
        <v>25</v>
      </c>
      <c r="F647" s="20" t="s">
        <v>35917</v>
      </c>
      <c r="G647" s="24" t="str">
        <f ca="1">IFERROR(__xludf.DUMMYFUNCTION("GOOGLETRANSLATE(F647,""en"",""pt"")"),"níveis troncudo")</f>
        <v>níveis troncudo</v>
      </c>
      <c r="H647" s="24"/>
      <c r="I647" s="24"/>
    </row>
    <row r="648" spans="1:9" ht="14.5">
      <c r="A648" s="20" t="s">
        <v>35918</v>
      </c>
      <c r="B648" s="20">
        <v>70</v>
      </c>
      <c r="C648" s="20">
        <v>40</v>
      </c>
      <c r="D648" s="20">
        <v>10</v>
      </c>
      <c r="E648" s="20">
        <v>27</v>
      </c>
      <c r="F648" s="20" t="s">
        <v>35919</v>
      </c>
      <c r="G648" s="24" t="str">
        <f ca="1">IFERROR(__xludf.DUMMYFUNCTION("GOOGLETRANSLATE(F648,""en"",""pt"")"),"níveis de auto precisas dos engenheiros")</f>
        <v>níveis de auto precisas dos engenheiros</v>
      </c>
      <c r="H648" s="24"/>
      <c r="I648" s="24"/>
    </row>
    <row r="649" spans="1:9" ht="14.5">
      <c r="A649" s="20" t="s">
        <v>35920</v>
      </c>
      <c r="B649" s="20">
        <v>70</v>
      </c>
      <c r="C649" s="20">
        <v>40</v>
      </c>
      <c r="D649" s="20">
        <v>10</v>
      </c>
      <c r="E649" s="20">
        <v>47</v>
      </c>
      <c r="F649" s="20" t="s">
        <v>35921</v>
      </c>
      <c r="G649" s="24" t="str">
        <f ca="1">IFERROR(__xludf.DUMMYFUNCTION("GOOGLETRANSLATE(F649,""en"",""pt"")"),"equipes de nivelamento")</f>
        <v>equipes de nivelamento</v>
      </c>
      <c r="H649" s="24"/>
      <c r="I649" s="24"/>
    </row>
    <row r="650" spans="1:9" ht="14.5">
      <c r="A650" s="20" t="s">
        <v>35922</v>
      </c>
      <c r="B650" s="20">
        <v>70</v>
      </c>
      <c r="C650" s="20">
        <v>40</v>
      </c>
      <c r="D650" s="20">
        <v>10</v>
      </c>
      <c r="E650" s="20">
        <v>65</v>
      </c>
      <c r="F650" s="20" t="s">
        <v>35923</v>
      </c>
      <c r="G650" s="24" t="str">
        <f ca="1">IFERROR(__xludf.DUMMYFUNCTION("GOOGLETRANSLATE(F650,""en"",""pt"")"),"conjuntos Prism")</f>
        <v>conjuntos Prism</v>
      </c>
      <c r="H650" s="24"/>
      <c r="I650" s="24"/>
    </row>
    <row r="651" spans="1:9" ht="14.5">
      <c r="A651" s="20" t="s">
        <v>35924</v>
      </c>
      <c r="B651" s="20">
        <v>70</v>
      </c>
      <c r="C651" s="20">
        <v>40</v>
      </c>
      <c r="D651" s="20">
        <v>10</v>
      </c>
      <c r="E651" s="20">
        <v>80</v>
      </c>
      <c r="F651" s="20" t="s">
        <v>35925</v>
      </c>
      <c r="G651" s="24" t="str">
        <f ca="1">IFERROR(__xludf.DUMMYFUNCTION("GOOGLETRANSLATE(F651,""en"",""pt"")"),"níveis de espírito")</f>
        <v>níveis de espírito</v>
      </c>
      <c r="H651" s="24"/>
      <c r="I651" s="24"/>
    </row>
    <row r="652" spans="1:9" ht="14.5">
      <c r="A652" s="20" t="s">
        <v>35926</v>
      </c>
      <c r="B652" s="20">
        <v>70</v>
      </c>
      <c r="C652" s="20">
        <v>40</v>
      </c>
      <c r="D652" s="20">
        <v>10</v>
      </c>
      <c r="E652" s="20">
        <v>88</v>
      </c>
      <c r="F652" s="20" t="s">
        <v>35927</v>
      </c>
      <c r="G652" s="24" t="str">
        <f ca="1">IFERROR(__xludf.DUMMYFUNCTION("GOOGLETRANSLATE(F652,""en"",""pt"")"),"inclinando níveis")</f>
        <v>inclinando níveis</v>
      </c>
      <c r="H652" s="24"/>
      <c r="I652" s="24"/>
    </row>
    <row r="653" spans="1:9" ht="14.5">
      <c r="A653" s="20" t="s">
        <v>35928</v>
      </c>
      <c r="B653" s="20">
        <v>70</v>
      </c>
      <c r="C653" s="20">
        <v>40</v>
      </c>
      <c r="D653" s="20">
        <v>10</v>
      </c>
      <c r="E653" s="20">
        <v>89</v>
      </c>
      <c r="F653" s="20" t="s">
        <v>35929</v>
      </c>
      <c r="G653" s="24" t="str">
        <f ca="1">IFERROR(__xludf.DUMMYFUNCTION("GOOGLETRANSLATE(F653,""en"",""pt"")"),"teodolitos")</f>
        <v>teodolitos</v>
      </c>
      <c r="H653" s="24"/>
      <c r="I653" s="24"/>
    </row>
    <row r="654" spans="1:9" ht="14.5">
      <c r="A654" s="20" t="s">
        <v>35930</v>
      </c>
      <c r="B654" s="20">
        <v>70</v>
      </c>
      <c r="C654" s="20">
        <v>40</v>
      </c>
      <c r="D654" s="20">
        <v>10</v>
      </c>
      <c r="E654" s="20">
        <v>96</v>
      </c>
      <c r="F654" s="20" t="s">
        <v>35931</v>
      </c>
      <c r="G654" s="24" t="str">
        <f ca="1">IFERROR(__xludf.DUMMYFUNCTION("GOOGLETRANSLATE(F654,""en"",""pt"")"),"Os níveis de água")</f>
        <v>Os níveis de água</v>
      </c>
      <c r="H654" s="24"/>
      <c r="I654" s="24"/>
    </row>
    <row r="655" spans="1:9" ht="14.5">
      <c r="A655" s="20" t="s">
        <v>35932</v>
      </c>
      <c r="B655" s="20">
        <v>70</v>
      </c>
      <c r="C655" s="20">
        <v>40</v>
      </c>
      <c r="D655" s="20">
        <v>50</v>
      </c>
      <c r="E655" s="24"/>
      <c r="F655" s="20" t="s">
        <v>35933</v>
      </c>
      <c r="G655" s="24" t="str">
        <f ca="1">IFERROR(__xludf.DUMMYFUNCTION("GOOGLETRANSLATE(F655,""en"",""pt"")"),"equipamentos de medição")</f>
        <v>equipamentos de medição</v>
      </c>
      <c r="H655" s="24"/>
      <c r="I655" s="24"/>
    </row>
    <row r="656" spans="1:9" ht="14.5">
      <c r="A656" s="20" t="s">
        <v>35934</v>
      </c>
      <c r="B656" s="20">
        <v>70</v>
      </c>
      <c r="C656" s="20">
        <v>40</v>
      </c>
      <c r="D656" s="20">
        <v>50</v>
      </c>
      <c r="E656" s="20">
        <v>6</v>
      </c>
      <c r="F656" s="20" t="s">
        <v>35935</v>
      </c>
      <c r="G656" s="24" t="str">
        <f ca="1">IFERROR(__xludf.DUMMYFUNCTION("GOOGLETRANSLATE(F656,""en"",""pt"")"),"binóculo")</f>
        <v>binóculo</v>
      </c>
      <c r="H656" s="24"/>
      <c r="I656" s="24"/>
    </row>
    <row r="657" spans="1:9" ht="14.5">
      <c r="A657" s="20" t="s">
        <v>35936</v>
      </c>
      <c r="B657" s="20">
        <v>70</v>
      </c>
      <c r="C657" s="20">
        <v>40</v>
      </c>
      <c r="D657" s="20">
        <v>50</v>
      </c>
      <c r="E657" s="20">
        <v>8</v>
      </c>
      <c r="F657" s="20" t="s">
        <v>35937</v>
      </c>
      <c r="G657" s="24" t="str">
        <f ca="1">IFERROR(__xludf.DUMMYFUNCTION("GOOGLETRANSLATE(F657,""en"",""pt"")"),"desossa varas")</f>
        <v>desossa varas</v>
      </c>
      <c r="H657" s="24"/>
      <c r="I657" s="24"/>
    </row>
    <row r="658" spans="1:9" ht="14.5">
      <c r="A658" s="20" t="s">
        <v>35938</v>
      </c>
      <c r="B658" s="20">
        <v>70</v>
      </c>
      <c r="C658" s="20">
        <v>40</v>
      </c>
      <c r="D658" s="20">
        <v>50</v>
      </c>
      <c r="E658" s="20">
        <v>22</v>
      </c>
      <c r="F658" s="20" t="s">
        <v>35939</v>
      </c>
      <c r="G658" s="24" t="str">
        <f ca="1">IFERROR(__xludf.DUMMYFUNCTION("GOOGLETRANSLATE(F658,""en"",""pt"")"),"medidores de distância")</f>
        <v>medidores de distância</v>
      </c>
      <c r="H658" s="24"/>
      <c r="I658" s="24"/>
    </row>
    <row r="659" spans="1:9" ht="14.5">
      <c r="A659" s="20" t="s">
        <v>35940</v>
      </c>
      <c r="B659" s="20">
        <v>70</v>
      </c>
      <c r="C659" s="20">
        <v>40</v>
      </c>
      <c r="D659" s="20">
        <v>50</v>
      </c>
      <c r="E659" s="20">
        <v>31</v>
      </c>
      <c r="F659" s="20" t="s">
        <v>35941</v>
      </c>
      <c r="G659" s="24" t="str">
        <f ca="1">IFERROR(__xludf.DUMMYFUNCTION("GOOGLETRANSLATE(F659,""en"",""pt"")"),"dobrando regras")</f>
        <v>dobrando regras</v>
      </c>
      <c r="H659" s="24"/>
      <c r="I659" s="24"/>
    </row>
    <row r="660" spans="1:9" ht="14.5">
      <c r="A660" s="20" t="s">
        <v>35942</v>
      </c>
      <c r="B660" s="20">
        <v>70</v>
      </c>
      <c r="C660" s="20">
        <v>40</v>
      </c>
      <c r="D660" s="20">
        <v>50</v>
      </c>
      <c r="E660" s="20">
        <v>37</v>
      </c>
      <c r="F660" s="20" t="s">
        <v>35943</v>
      </c>
      <c r="G660" s="24" t="str">
        <f ca="1">IFERROR(__xludf.DUMMYFUNCTION("GOOGLETRANSLATE(F660,""en"",""pt"")"),"varas de altura")</f>
        <v>varas de altura</v>
      </c>
      <c r="H660" s="24"/>
      <c r="I660" s="24"/>
    </row>
    <row r="661" spans="1:9" ht="14.5">
      <c r="A661" s="20" t="s">
        <v>35944</v>
      </c>
      <c r="B661" s="20">
        <v>70</v>
      </c>
      <c r="C661" s="20">
        <v>40</v>
      </c>
      <c r="D661" s="20">
        <v>50</v>
      </c>
      <c r="E661" s="20">
        <v>46</v>
      </c>
      <c r="F661" s="20" t="s">
        <v>35945</v>
      </c>
      <c r="G661" s="24" t="str">
        <f ca="1">IFERROR(__xludf.DUMMYFUNCTION("GOOGLETRANSLATE(F661,""en"",""pt"")"),"alinhadores a laser")</f>
        <v>alinhadores a laser</v>
      </c>
      <c r="H661" s="24"/>
      <c r="I661" s="24"/>
    </row>
    <row r="662" spans="1:9" ht="14.5">
      <c r="A662" s="20" t="s">
        <v>35946</v>
      </c>
      <c r="B662" s="20">
        <v>70</v>
      </c>
      <c r="C662" s="20">
        <v>40</v>
      </c>
      <c r="D662" s="20">
        <v>50</v>
      </c>
      <c r="E662" s="20">
        <v>51</v>
      </c>
      <c r="F662" s="20" t="s">
        <v>35947</v>
      </c>
      <c r="G662" s="24" t="str">
        <f ca="1">IFERROR(__xludf.DUMMYFUNCTION("GOOGLETRANSLATE(F662,""en"",""pt"")"),"medindo hastes")</f>
        <v>medindo hastes</v>
      </c>
      <c r="H662" s="24"/>
      <c r="I662" s="24"/>
    </row>
    <row r="663" spans="1:9" ht="14.5">
      <c r="A663" s="20" t="s">
        <v>35948</v>
      </c>
      <c r="B663" s="20">
        <v>70</v>
      </c>
      <c r="C663" s="20">
        <v>40</v>
      </c>
      <c r="D663" s="20">
        <v>50</v>
      </c>
      <c r="E663" s="20">
        <v>52</v>
      </c>
      <c r="F663" s="20" t="s">
        <v>35949</v>
      </c>
      <c r="G663" s="24" t="str">
        <f ca="1">IFERROR(__xludf.DUMMYFUNCTION("GOOGLETRANSLATE(F663,""en"",""pt"")"),"fitas de medição")</f>
        <v>fitas de medição</v>
      </c>
      <c r="H663" s="24"/>
      <c r="I663" s="24"/>
    </row>
    <row r="664" spans="1:9" ht="14.5">
      <c r="A664" s="20" t="s">
        <v>35950</v>
      </c>
      <c r="B664" s="20">
        <v>70</v>
      </c>
      <c r="C664" s="20">
        <v>40</v>
      </c>
      <c r="D664" s="20">
        <v>50</v>
      </c>
      <c r="E664" s="20">
        <v>53</v>
      </c>
      <c r="F664" s="20" t="s">
        <v>35951</v>
      </c>
      <c r="G664" s="24" t="str">
        <f ca="1">IFERROR(__xludf.DUMMYFUNCTION("GOOGLETRANSLATE(F664,""en"",""pt"")"),"medindo rodas")</f>
        <v>medindo rodas</v>
      </c>
      <c r="H664" s="24"/>
      <c r="I664" s="24"/>
    </row>
    <row r="665" spans="1:9" ht="14.5">
      <c r="A665" s="20" t="s">
        <v>35952</v>
      </c>
      <c r="B665" s="20">
        <v>70</v>
      </c>
      <c r="C665" s="20">
        <v>40</v>
      </c>
      <c r="D665" s="20">
        <v>50</v>
      </c>
      <c r="E665" s="20">
        <v>54</v>
      </c>
      <c r="F665" s="20" t="s">
        <v>35953</v>
      </c>
      <c r="G665" s="24" t="str">
        <f ca="1">IFERROR(__xludf.DUMMYFUNCTION("GOOGLETRANSLATE(F665,""en"",""pt"")"),"micrômetros")</f>
        <v>micrômetros</v>
      </c>
      <c r="H665" s="24"/>
      <c r="I665" s="24"/>
    </row>
    <row r="666" spans="1:9" ht="14.5">
      <c r="A666" s="20" t="s">
        <v>35954</v>
      </c>
      <c r="B666" s="20">
        <v>70</v>
      </c>
      <c r="C666" s="20">
        <v>40</v>
      </c>
      <c r="D666" s="20">
        <v>50</v>
      </c>
      <c r="E666" s="20">
        <v>64</v>
      </c>
      <c r="F666" s="20" t="s">
        <v>35955</v>
      </c>
      <c r="G666" s="24" t="str">
        <f ca="1">IFERROR(__xludf.DUMMYFUNCTION("GOOGLETRANSLATE(F666,""en"",""pt"")"),"prumos")</f>
        <v>prumos</v>
      </c>
      <c r="H666" s="24"/>
      <c r="I666" s="24"/>
    </row>
    <row r="667" spans="1:9" ht="14.5">
      <c r="A667" s="20" t="s">
        <v>35956</v>
      </c>
      <c r="B667" s="20">
        <v>70</v>
      </c>
      <c r="C667" s="20">
        <v>40</v>
      </c>
      <c r="D667" s="20">
        <v>50</v>
      </c>
      <c r="E667" s="20">
        <v>66</v>
      </c>
      <c r="F667" s="20" t="s">
        <v>35957</v>
      </c>
      <c r="G667" s="24" t="str">
        <f ca="1">IFERROR(__xludf.DUMMYFUNCTION("GOOGLETRANSLATE(F667,""en"",""pt"")"),"placas Perfil")</f>
        <v>placas Perfil</v>
      </c>
      <c r="H667" s="24"/>
      <c r="I667" s="24"/>
    </row>
    <row r="668" spans="1:9" ht="14.5">
      <c r="A668" s="20" t="s">
        <v>35958</v>
      </c>
      <c r="B668" s="20">
        <v>70</v>
      </c>
      <c r="C668" s="20">
        <v>40</v>
      </c>
      <c r="D668" s="20">
        <v>50</v>
      </c>
      <c r="E668" s="20">
        <v>79</v>
      </c>
      <c r="F668" s="20" t="s">
        <v>35959</v>
      </c>
      <c r="G668" s="24" t="str">
        <f ca="1">IFERROR(__xludf.DUMMYFUNCTION("GOOGLETRANSLATE(F668,""en"",""pt"")"),"trilhos vista")</f>
        <v>trilhos vista</v>
      </c>
      <c r="H668" s="24"/>
      <c r="I668" s="24"/>
    </row>
    <row r="669" spans="1:9" ht="14.5">
      <c r="A669" s="20" t="s">
        <v>35960</v>
      </c>
      <c r="B669" s="20">
        <v>70</v>
      </c>
      <c r="C669" s="20">
        <v>40</v>
      </c>
      <c r="D669" s="20">
        <v>50</v>
      </c>
      <c r="E669" s="20">
        <v>82</v>
      </c>
      <c r="F669" s="20" t="s">
        <v>35961</v>
      </c>
      <c r="G669" s="24" t="str">
        <f ca="1">IFERROR(__xludf.DUMMYFUNCTION("GOOGLETRANSLATE(F669,""en"",""pt"")"),"sonómetros")</f>
        <v>sonómetros</v>
      </c>
      <c r="H669" s="24"/>
      <c r="I669" s="24"/>
    </row>
    <row r="670" spans="1:9" ht="14.5">
      <c r="A670" s="20" t="s">
        <v>35962</v>
      </c>
      <c r="B670" s="20">
        <v>70</v>
      </c>
      <c r="C670" s="20">
        <v>40</v>
      </c>
      <c r="D670" s="20">
        <v>50</v>
      </c>
      <c r="E670" s="20">
        <v>87</v>
      </c>
      <c r="F670" s="20" t="s">
        <v>35963</v>
      </c>
      <c r="G670" s="24" t="str">
        <f ca="1">IFERROR(__xludf.DUMMYFUNCTION("GOOGLETRANSLATE(F670,""en"",""pt"")"),"tacómetros")</f>
        <v>tacómetros</v>
      </c>
      <c r="H670" s="24"/>
      <c r="I670" s="24"/>
    </row>
    <row r="671" spans="1:9" ht="14.5">
      <c r="A671" s="20" t="s">
        <v>35964</v>
      </c>
      <c r="B671" s="20">
        <v>70</v>
      </c>
      <c r="C671" s="20">
        <v>40</v>
      </c>
      <c r="D671" s="20">
        <v>50</v>
      </c>
      <c r="E671" s="20">
        <v>94</v>
      </c>
      <c r="F671" s="20" t="s">
        <v>35965</v>
      </c>
      <c r="G671" s="24" t="str">
        <f ca="1">IFERROR(__xludf.DUMMYFUNCTION("GOOGLETRANSLATE(F671,""en"",""pt"")"),"verniers")</f>
        <v>verniers</v>
      </c>
      <c r="H671" s="24"/>
      <c r="I671" s="24"/>
    </row>
    <row r="672" spans="1:9" ht="14.5">
      <c r="A672" s="20" t="s">
        <v>35966</v>
      </c>
      <c r="B672" s="20">
        <v>70</v>
      </c>
      <c r="C672" s="20">
        <v>40</v>
      </c>
      <c r="D672" s="20">
        <v>70</v>
      </c>
      <c r="E672" s="24"/>
      <c r="F672" s="20" t="s">
        <v>35967</v>
      </c>
      <c r="G672" s="24" t="str">
        <f ca="1">IFERROR(__xludf.DUMMYFUNCTION("GOOGLETRANSLATE(F672,""en"",""pt"")"),"equipamentos de topografia")</f>
        <v>equipamentos de topografia</v>
      </c>
      <c r="H672" s="24"/>
      <c r="I672" s="24"/>
    </row>
    <row r="673" spans="1:9" ht="14.5">
      <c r="A673" s="20" t="s">
        <v>35968</v>
      </c>
      <c r="B673" s="20">
        <v>70</v>
      </c>
      <c r="C673" s="20">
        <v>40</v>
      </c>
      <c r="D673" s="20">
        <v>70</v>
      </c>
      <c r="E673" s="20">
        <v>13</v>
      </c>
      <c r="F673" s="20" t="s">
        <v>35969</v>
      </c>
      <c r="G673" s="24" t="str">
        <f ca="1">IFERROR(__xludf.DUMMYFUNCTION("GOOGLETRANSLATE(F673,""en"",""pt"")"),"centrando hastes")</f>
        <v>centrando hastes</v>
      </c>
      <c r="H673" s="24"/>
      <c r="I673" s="24"/>
    </row>
    <row r="674" spans="1:9" ht="14.5">
      <c r="A674" s="20" t="s">
        <v>35970</v>
      </c>
      <c r="B674" s="20">
        <v>70</v>
      </c>
      <c r="C674" s="20">
        <v>40</v>
      </c>
      <c r="D674" s="20">
        <v>70</v>
      </c>
      <c r="E674" s="20">
        <v>22</v>
      </c>
      <c r="F674" s="20" t="s">
        <v>35971</v>
      </c>
      <c r="G674" s="24" t="str">
        <f ca="1">IFERROR(__xludf.DUMMYFUNCTION("GOOGLETRANSLATE(F674,""en"",""pt"")"),"dispositivos de direcção indicando")</f>
        <v>dispositivos de direcção indicando</v>
      </c>
      <c r="H674" s="24"/>
      <c r="I674" s="24"/>
    </row>
    <row r="675" spans="1:9" ht="14.5">
      <c r="A675" s="20" t="s">
        <v>35972</v>
      </c>
      <c r="B675" s="20">
        <v>70</v>
      </c>
      <c r="C675" s="20">
        <v>40</v>
      </c>
      <c r="D675" s="20">
        <v>70</v>
      </c>
      <c r="E675" s="20">
        <v>27</v>
      </c>
      <c r="F675" s="20" t="s">
        <v>35973</v>
      </c>
      <c r="G675" s="24" t="str">
        <f ca="1">IFERROR(__xludf.DUMMYFUNCTION("GOOGLETRANSLATE(F675,""en"",""pt"")"),"instrumentos (EDM) de medição da distância eletromagnética")</f>
        <v>instrumentos (EDM) de medição da distância eletromagnética</v>
      </c>
      <c r="H675" s="24"/>
      <c r="I675" s="24"/>
    </row>
    <row r="676" spans="1:9" ht="14.5">
      <c r="A676" s="20" t="s">
        <v>35974</v>
      </c>
      <c r="B676" s="20">
        <v>70</v>
      </c>
      <c r="C676" s="20">
        <v>40</v>
      </c>
      <c r="D676" s="20">
        <v>70</v>
      </c>
      <c r="E676" s="20">
        <v>51</v>
      </c>
      <c r="F676" s="20" t="s">
        <v>35975</v>
      </c>
      <c r="G676" s="24" t="str">
        <f ca="1">IFERROR(__xludf.DUMMYFUNCTION("GOOGLETRANSLATE(F676,""en"",""pt"")"),"medindo telescópios")</f>
        <v>medindo telescópios</v>
      </c>
      <c r="H676" s="24"/>
      <c r="I676" s="24"/>
    </row>
    <row r="677" spans="1:9" ht="14.5">
      <c r="A677" s="20" t="s">
        <v>35976</v>
      </c>
      <c r="B677" s="20">
        <v>70</v>
      </c>
      <c r="C677" s="20">
        <v>40</v>
      </c>
      <c r="D677" s="20">
        <v>70</v>
      </c>
      <c r="E677" s="20">
        <v>58</v>
      </c>
      <c r="F677" s="20" t="s">
        <v>35977</v>
      </c>
      <c r="G677" s="24" t="str">
        <f ca="1">IFERROR(__xludf.DUMMYFUNCTION("GOOGLETRANSLATE(F677,""en"",""pt"")"),"despenca ópticos")</f>
        <v>despenca ópticos</v>
      </c>
      <c r="H677" s="24"/>
      <c r="I677" s="24"/>
    </row>
    <row r="678" spans="1:9" ht="14.5">
      <c r="A678" s="20" t="s">
        <v>35978</v>
      </c>
      <c r="B678" s="20">
        <v>70</v>
      </c>
      <c r="C678" s="20">
        <v>40</v>
      </c>
      <c r="D678" s="20">
        <v>70</v>
      </c>
      <c r="E678" s="20">
        <v>70</v>
      </c>
      <c r="F678" s="20" t="s">
        <v>35979</v>
      </c>
      <c r="G678" s="24" t="str">
        <f ca="1">IFERROR(__xludf.DUMMYFUNCTION("GOOGLETRANSLATE(F678,""en"",""pt"")"),"variando pólos")</f>
        <v>variando pólos</v>
      </c>
      <c r="H678" s="24"/>
      <c r="I678" s="24"/>
    </row>
    <row r="679" spans="1:9" ht="14.5">
      <c r="A679" s="20" t="s">
        <v>35980</v>
      </c>
      <c r="B679" s="20">
        <v>70</v>
      </c>
      <c r="C679" s="20">
        <v>40</v>
      </c>
      <c r="D679" s="20">
        <v>70</v>
      </c>
      <c r="E679" s="20">
        <v>83</v>
      </c>
      <c r="F679" s="20" t="s">
        <v>35981</v>
      </c>
      <c r="G679" s="24" t="str">
        <f ca="1">IFERROR(__xludf.DUMMYFUNCTION("GOOGLETRANSLATE(F679,""en"",""pt"")"),"staffs")</f>
        <v>staffs</v>
      </c>
      <c r="H679" s="24"/>
      <c r="I679" s="24"/>
    </row>
    <row r="680" spans="1:9" ht="14.5">
      <c r="A680" s="20" t="s">
        <v>35982</v>
      </c>
      <c r="B680" s="20">
        <v>70</v>
      </c>
      <c r="C680" s="20">
        <v>40</v>
      </c>
      <c r="D680" s="20">
        <v>70</v>
      </c>
      <c r="E680" s="20">
        <v>85</v>
      </c>
      <c r="F680" s="20" t="s">
        <v>35983</v>
      </c>
      <c r="G680" s="24" t="str">
        <f ca="1">IFERROR(__xludf.DUMMYFUNCTION("GOOGLETRANSLATE(F680,""en"",""pt"")"),"dispositivos de superfície, indicando")</f>
        <v>dispositivos de superfície, indicando</v>
      </c>
      <c r="H680" s="24"/>
      <c r="I680" s="24"/>
    </row>
    <row r="681" spans="1:9" ht="14.5">
      <c r="A681" s="20" t="s">
        <v>35984</v>
      </c>
      <c r="B681" s="20">
        <v>70</v>
      </c>
      <c r="C681" s="20">
        <v>40</v>
      </c>
      <c r="D681" s="20">
        <v>70</v>
      </c>
      <c r="E681" s="20">
        <v>89</v>
      </c>
      <c r="F681" s="20" t="s">
        <v>35985</v>
      </c>
      <c r="G681" s="24" t="str">
        <f ca="1">IFERROR(__xludf.DUMMYFUNCTION("GOOGLETRANSLATE(F681,""en"",""pt"")"),"Tribrachs")</f>
        <v>Tribrachs</v>
      </c>
      <c r="H681" s="24"/>
      <c r="I681" s="24"/>
    </row>
    <row r="682" spans="1:9" ht="14.5">
      <c r="A682" s="20" t="s">
        <v>35986</v>
      </c>
      <c r="B682" s="20">
        <v>70</v>
      </c>
      <c r="C682" s="20">
        <v>40</v>
      </c>
      <c r="D682" s="20">
        <v>70</v>
      </c>
      <c r="E682" s="20">
        <v>90</v>
      </c>
      <c r="F682" s="20" t="s">
        <v>35987</v>
      </c>
      <c r="G682" s="24" t="str">
        <f ca="1">IFERROR(__xludf.DUMMYFUNCTION("GOOGLETRANSLATE(F682,""en"",""pt"")"),"tripés")</f>
        <v>tripés</v>
      </c>
      <c r="H682" s="24"/>
      <c r="I682" s="24"/>
    </row>
    <row r="683" spans="1:9" ht="14.5">
      <c r="A683" s="20" t="s">
        <v>35988</v>
      </c>
      <c r="B683" s="20">
        <v>70</v>
      </c>
      <c r="C683" s="20">
        <v>50</v>
      </c>
      <c r="D683" s="24"/>
      <c r="E683" s="24"/>
      <c r="F683" s="20" t="s">
        <v>35989</v>
      </c>
      <c r="G683" s="24" t="str">
        <f ca="1">IFERROR(__xludf.DUMMYFUNCTION("GOOGLETRANSLATE(F683,""en"",""pt"")"),"Ferramentas de mão")</f>
        <v>Ferramentas de mão</v>
      </c>
      <c r="H683" s="24"/>
      <c r="I683" s="24"/>
    </row>
    <row r="684" spans="1:9" ht="14.5">
      <c r="A684" s="20" t="s">
        <v>35990</v>
      </c>
      <c r="B684" s="20">
        <v>70</v>
      </c>
      <c r="C684" s="20">
        <v>50</v>
      </c>
      <c r="D684" s="20">
        <v>10</v>
      </c>
      <c r="E684" s="24"/>
      <c r="F684" s="20" t="s">
        <v>35991</v>
      </c>
      <c r="G684" s="24" t="str">
        <f ca="1">IFERROR(__xludf.DUMMYFUNCTION("GOOGLETRANSLATE(F684,""en"",""pt"")"),"serras manuais")</f>
        <v>serras manuais</v>
      </c>
      <c r="H684" s="24"/>
      <c r="I684" s="24"/>
    </row>
    <row r="685" spans="1:9" ht="14.5">
      <c r="A685" s="20" t="s">
        <v>35992</v>
      </c>
      <c r="B685" s="20">
        <v>70</v>
      </c>
      <c r="C685" s="20">
        <v>50</v>
      </c>
      <c r="D685" s="20">
        <v>10</v>
      </c>
      <c r="E685" s="20">
        <v>6</v>
      </c>
      <c r="F685" s="20" t="s">
        <v>35993</v>
      </c>
      <c r="G685" s="24" t="str">
        <f ca="1">IFERROR(__xludf.DUMMYFUNCTION("GOOGLETRANSLATE(F685,""en"",""pt"")"),"serras de volta")</f>
        <v>serras de volta</v>
      </c>
      <c r="H685" s="24"/>
      <c r="I685" s="24"/>
    </row>
    <row r="686" spans="1:9" ht="14.5">
      <c r="A686" s="20" t="s">
        <v>35994</v>
      </c>
      <c r="B686" s="20">
        <v>70</v>
      </c>
      <c r="C686" s="20">
        <v>50</v>
      </c>
      <c r="D686" s="20">
        <v>10</v>
      </c>
      <c r="E686" s="20">
        <v>8</v>
      </c>
      <c r="F686" s="20" t="s">
        <v>35995</v>
      </c>
      <c r="G686" s="24" t="str">
        <f ca="1">IFERROR(__xludf.DUMMYFUNCTION("GOOGLETRANSLATE(F686,""en"",""pt"")"),"serras de arco")</f>
        <v>serras de arco</v>
      </c>
      <c r="H686" s="24"/>
      <c r="I686" s="24"/>
    </row>
    <row r="687" spans="1:9" ht="14.5">
      <c r="A687" s="20" t="s">
        <v>35996</v>
      </c>
      <c r="B687" s="20">
        <v>70</v>
      </c>
      <c r="C687" s="20">
        <v>50</v>
      </c>
      <c r="D687" s="20">
        <v>10</v>
      </c>
      <c r="E687" s="20">
        <v>14</v>
      </c>
      <c r="F687" s="20" t="s">
        <v>35997</v>
      </c>
      <c r="G687" s="24" t="str">
        <f ca="1">IFERROR(__xludf.DUMMYFUNCTION("GOOGLETRANSLATE(F687,""en"",""pt"")"),"serras verticais")</f>
        <v>serras verticais</v>
      </c>
      <c r="H687" s="24"/>
      <c r="I687" s="24"/>
    </row>
    <row r="688" spans="1:9" ht="14.5">
      <c r="A688" s="20" t="s">
        <v>35998</v>
      </c>
      <c r="B688" s="20">
        <v>70</v>
      </c>
      <c r="C688" s="20">
        <v>50</v>
      </c>
      <c r="D688" s="20">
        <v>10</v>
      </c>
      <c r="E688" s="20">
        <v>16</v>
      </c>
      <c r="F688" s="20" t="s">
        <v>35999</v>
      </c>
      <c r="G688" s="24" t="str">
        <f ca="1">IFERROR(__xludf.DUMMYFUNCTION("GOOGLETRANSLATE(F688,""en"",""pt"")"),"lidar serras")</f>
        <v>lidar serras</v>
      </c>
      <c r="H688" s="24"/>
      <c r="I688" s="24"/>
    </row>
    <row r="689" spans="1:9" ht="14.5">
      <c r="A689" s="20" t="s">
        <v>36000</v>
      </c>
      <c r="B689" s="20">
        <v>70</v>
      </c>
      <c r="C689" s="20">
        <v>50</v>
      </c>
      <c r="D689" s="20">
        <v>10</v>
      </c>
      <c r="E689" s="20">
        <v>24</v>
      </c>
      <c r="F689" s="20" t="s">
        <v>36001</v>
      </c>
      <c r="G689" s="24" t="str">
        <f ca="1">IFERROR(__xludf.DUMMYFUNCTION("GOOGLETRANSLATE(F689,""en"",""pt"")"),"drywall serras")</f>
        <v>drywall serras</v>
      </c>
      <c r="H689" s="24"/>
      <c r="I689" s="24"/>
    </row>
    <row r="690" spans="1:9" ht="14.5">
      <c r="A690" s="20" t="s">
        <v>36002</v>
      </c>
      <c r="B690" s="20">
        <v>70</v>
      </c>
      <c r="C690" s="20">
        <v>50</v>
      </c>
      <c r="D690" s="20">
        <v>10</v>
      </c>
      <c r="E690" s="20">
        <v>29</v>
      </c>
      <c r="F690" s="20" t="s">
        <v>36003</v>
      </c>
      <c r="G690" s="24" t="str">
        <f ca="1">IFERROR(__xludf.DUMMYFUNCTION("GOOGLETRANSLATE(F690,""en"",""pt"")"),"piso serras")</f>
        <v>piso serras</v>
      </c>
      <c r="H690" s="24"/>
      <c r="I690" s="24"/>
    </row>
    <row r="691" spans="1:9" ht="14.5">
      <c r="A691" s="20" t="s">
        <v>36004</v>
      </c>
      <c r="B691" s="20">
        <v>70</v>
      </c>
      <c r="C691" s="20">
        <v>50</v>
      </c>
      <c r="D691" s="20">
        <v>10</v>
      </c>
      <c r="E691" s="20">
        <v>31</v>
      </c>
      <c r="F691" s="20" t="s">
        <v>36005</v>
      </c>
      <c r="G691" s="24" t="str">
        <f ca="1">IFERROR(__xludf.DUMMYFUNCTION("GOOGLETRANSLATE(F691,""en"",""pt"")"),"Fretsaws")</f>
        <v>Fretsaws</v>
      </c>
      <c r="H691" s="24"/>
      <c r="I691" s="24"/>
    </row>
    <row r="692" spans="1:9" ht="14.5">
      <c r="A692" s="20" t="s">
        <v>36006</v>
      </c>
      <c r="B692" s="20">
        <v>70</v>
      </c>
      <c r="C692" s="20">
        <v>50</v>
      </c>
      <c r="D692" s="20">
        <v>10</v>
      </c>
      <c r="E692" s="20">
        <v>36</v>
      </c>
      <c r="F692" s="20" t="s">
        <v>36007</v>
      </c>
      <c r="G692" s="24" t="str">
        <f ca="1">IFERROR(__xludf.DUMMYFUNCTION("GOOGLETRANSLATE(F692,""en"",""pt"")"),"hacksaws")</f>
        <v>hacksaws</v>
      </c>
      <c r="H692" s="24"/>
      <c r="I692" s="24"/>
    </row>
    <row r="693" spans="1:9" ht="14.5">
      <c r="A693" s="20" t="s">
        <v>36008</v>
      </c>
      <c r="B693" s="20">
        <v>70</v>
      </c>
      <c r="C693" s="20">
        <v>50</v>
      </c>
      <c r="D693" s="20">
        <v>10</v>
      </c>
      <c r="E693" s="20">
        <v>60</v>
      </c>
      <c r="F693" s="20" t="s">
        <v>36009</v>
      </c>
      <c r="G693" s="24" t="str">
        <f ca="1">IFERROR(__xludf.DUMMYFUNCTION("GOOGLETRANSLATE(F693,""en"",""pt"")"),"seccionadoras")</f>
        <v>seccionadoras</v>
      </c>
      <c r="H693" s="24"/>
      <c r="I693" s="24"/>
    </row>
    <row r="694" spans="1:9" ht="14.5">
      <c r="A694" s="20" t="s">
        <v>36010</v>
      </c>
      <c r="B694" s="20">
        <v>70</v>
      </c>
      <c r="C694" s="20">
        <v>50</v>
      </c>
      <c r="D694" s="20">
        <v>15</v>
      </c>
      <c r="E694" s="24"/>
      <c r="F694" s="20" t="s">
        <v>36011</v>
      </c>
      <c r="G694" s="24" t="str">
        <f ca="1">IFERROR(__xludf.DUMMYFUNCTION("GOOGLETRANSLATE(F694,""en"",""pt"")"),"serras elétricas")</f>
        <v>serras elétricas</v>
      </c>
      <c r="H694" s="24"/>
      <c r="I694" s="24"/>
    </row>
    <row r="695" spans="1:9" ht="14.5">
      <c r="A695" s="20" t="s">
        <v>36012</v>
      </c>
      <c r="B695" s="20">
        <v>70</v>
      </c>
      <c r="C695" s="20">
        <v>50</v>
      </c>
      <c r="D695" s="20">
        <v>15</v>
      </c>
      <c r="E695" s="20">
        <v>3</v>
      </c>
      <c r="F695" s="20" t="s">
        <v>36013</v>
      </c>
      <c r="G695" s="24" t="str">
        <f ca="1">IFERROR(__xludf.DUMMYFUNCTION("GOOGLETRANSLATE(F695,""en"",""pt"")"),"serras jacaré")</f>
        <v>serras jacaré</v>
      </c>
      <c r="H695" s="24"/>
      <c r="I695" s="24"/>
    </row>
    <row r="696" spans="1:9" ht="14.5">
      <c r="A696" s="20" t="s">
        <v>36014</v>
      </c>
      <c r="B696" s="20">
        <v>70</v>
      </c>
      <c r="C696" s="20">
        <v>50</v>
      </c>
      <c r="D696" s="20">
        <v>15</v>
      </c>
      <c r="E696" s="20">
        <v>6</v>
      </c>
      <c r="F696" s="20" t="s">
        <v>36015</v>
      </c>
      <c r="G696" s="24" t="str">
        <f ca="1">IFERROR(__xludf.DUMMYFUNCTION("GOOGLETRANSLATE(F696,""en"",""pt"")"),"serras de fita")</f>
        <v>serras de fita</v>
      </c>
      <c r="H696" s="24"/>
      <c r="I696" s="24"/>
    </row>
    <row r="697" spans="1:9" ht="14.5">
      <c r="A697" s="20" t="s">
        <v>36016</v>
      </c>
      <c r="B697" s="20">
        <v>70</v>
      </c>
      <c r="C697" s="20">
        <v>50</v>
      </c>
      <c r="D697" s="20">
        <v>15</v>
      </c>
      <c r="E697" s="20">
        <v>9</v>
      </c>
      <c r="F697" s="20" t="s">
        <v>36017</v>
      </c>
      <c r="G697" s="24" t="str">
        <f ca="1">IFERROR(__xludf.DUMMYFUNCTION("GOOGLETRANSLATE(F697,""en"",""pt"")"),"serras de tijolo")</f>
        <v>serras de tijolo</v>
      </c>
      <c r="H697" s="24"/>
      <c r="I697" s="24"/>
    </row>
    <row r="698" spans="1:9" ht="14.5">
      <c r="A698" s="20" t="s">
        <v>36018</v>
      </c>
      <c r="B698" s="20">
        <v>70</v>
      </c>
      <c r="C698" s="20">
        <v>50</v>
      </c>
      <c r="D698" s="20">
        <v>15</v>
      </c>
      <c r="E698" s="20">
        <v>12</v>
      </c>
      <c r="F698" s="20" t="s">
        <v>36019</v>
      </c>
      <c r="G698" s="24" t="str">
        <f ca="1">IFERROR(__xludf.DUMMYFUNCTION("GOOGLETRANSLATE(F698,""en"",""pt"")"),"motosserras")</f>
        <v>motosserras</v>
      </c>
      <c r="H698" s="24"/>
      <c r="I698" s="24"/>
    </row>
    <row r="699" spans="1:9" ht="14.5">
      <c r="A699" s="20" t="s">
        <v>36020</v>
      </c>
      <c r="B699" s="20">
        <v>70</v>
      </c>
      <c r="C699" s="20">
        <v>50</v>
      </c>
      <c r="D699" s="20">
        <v>15</v>
      </c>
      <c r="E699" s="20">
        <v>13</v>
      </c>
      <c r="F699" s="20" t="s">
        <v>36021</v>
      </c>
      <c r="G699" s="24" t="str">
        <f ca="1">IFERROR(__xludf.DUMMYFUNCTION("GOOGLETRANSLATE(F699,""en"",""pt"")"),"serras circulares")</f>
        <v>serras circulares</v>
      </c>
      <c r="H699" s="24"/>
      <c r="I699" s="24"/>
    </row>
    <row r="700" spans="1:9" ht="14.5">
      <c r="A700" s="20" t="s">
        <v>36022</v>
      </c>
      <c r="B700" s="20">
        <v>70</v>
      </c>
      <c r="C700" s="20">
        <v>50</v>
      </c>
      <c r="D700" s="20">
        <v>15</v>
      </c>
      <c r="E700" s="20">
        <v>44</v>
      </c>
      <c r="F700" s="20" t="s">
        <v>36023</v>
      </c>
      <c r="G700" s="24" t="str">
        <f ca="1">IFERROR(__xludf.DUMMYFUNCTION("GOOGLETRANSLATE(F700,""en"",""pt"")"),"serras de recortes")</f>
        <v>serras de recortes</v>
      </c>
      <c r="H700" s="24"/>
      <c r="I700" s="24"/>
    </row>
    <row r="701" spans="1:9" ht="14.5">
      <c r="A701" s="20" t="s">
        <v>36024</v>
      </c>
      <c r="B701" s="20">
        <v>70</v>
      </c>
      <c r="C701" s="20">
        <v>50</v>
      </c>
      <c r="D701" s="20">
        <v>15</v>
      </c>
      <c r="E701" s="20">
        <v>52</v>
      </c>
      <c r="F701" s="20" t="s">
        <v>36025</v>
      </c>
      <c r="G701" s="24" t="str">
        <f ca="1">IFERROR(__xludf.DUMMYFUNCTION("GOOGLETRANSLATE(F701,""en"",""pt"")"),"serras de esquadria")</f>
        <v>serras de esquadria</v>
      </c>
      <c r="H701" s="24"/>
      <c r="I701" s="24"/>
    </row>
    <row r="702" spans="1:9" ht="14.5">
      <c r="A702" s="20" t="s">
        <v>36026</v>
      </c>
      <c r="B702" s="20">
        <v>70</v>
      </c>
      <c r="C702" s="20">
        <v>50</v>
      </c>
      <c r="D702" s="20">
        <v>20</v>
      </c>
      <c r="E702" s="24"/>
      <c r="F702" s="20" t="s">
        <v>36027</v>
      </c>
      <c r="G702" s="24" t="str">
        <f ca="1">IFERROR(__xludf.DUMMYFUNCTION("GOOGLETRANSLATE(F702,""en"",""pt"")"),"equipamentos de trabalho tubulação")</f>
        <v>equipamentos de trabalho tubulação</v>
      </c>
      <c r="H702" s="24"/>
      <c r="I702" s="24"/>
    </row>
    <row r="703" spans="1:9" ht="14.5">
      <c r="A703" s="20" t="s">
        <v>36028</v>
      </c>
      <c r="B703" s="20">
        <v>70</v>
      </c>
      <c r="C703" s="20">
        <v>50</v>
      </c>
      <c r="D703" s="20">
        <v>20</v>
      </c>
      <c r="E703" s="20">
        <v>31</v>
      </c>
      <c r="F703" s="20" t="s">
        <v>36029</v>
      </c>
      <c r="G703" s="24" t="str">
        <f ca="1">IFERROR(__xludf.DUMMYFUNCTION("GOOGLETRANSLATE(F703,""en"",""pt"")"),"queima ferramentas")</f>
        <v>queima ferramentas</v>
      </c>
      <c r="H703" s="24"/>
      <c r="I703" s="24"/>
    </row>
    <row r="704" spans="1:9" ht="14.5">
      <c r="A704" s="20" t="s">
        <v>36030</v>
      </c>
      <c r="B704" s="20">
        <v>70</v>
      </c>
      <c r="C704" s="20">
        <v>50</v>
      </c>
      <c r="D704" s="20">
        <v>20</v>
      </c>
      <c r="E704" s="20">
        <v>44</v>
      </c>
      <c r="F704" s="20" t="s">
        <v>36031</v>
      </c>
      <c r="G704" s="24" t="str">
        <f ca="1">IFERROR(__xludf.DUMMYFUNCTION("GOOGLETRANSLATE(F704,""en"",""pt"")"),"ferramentas de montagem conjunta")</f>
        <v>ferramentas de montagem conjunta</v>
      </c>
      <c r="H704" s="24"/>
      <c r="I704" s="24"/>
    </row>
    <row r="705" spans="1:9" ht="14.5">
      <c r="A705" s="20" t="s">
        <v>36032</v>
      </c>
      <c r="B705" s="20">
        <v>70</v>
      </c>
      <c r="C705" s="20">
        <v>50</v>
      </c>
      <c r="D705" s="20">
        <v>20</v>
      </c>
      <c r="E705" s="20">
        <v>64</v>
      </c>
      <c r="F705" s="20" t="s">
        <v>36033</v>
      </c>
      <c r="G705" s="24" t="str">
        <f ca="1">IFERROR(__xludf.DUMMYFUNCTION("GOOGLETRANSLATE(F705,""en"",""pt"")"),"Tubo de equipamentos de descongelação")</f>
        <v>Tubo de equipamentos de descongelação</v>
      </c>
      <c r="H705" s="24"/>
      <c r="I705" s="24"/>
    </row>
    <row r="706" spans="1:9" ht="14.5">
      <c r="A706" s="20" t="s">
        <v>36034</v>
      </c>
      <c r="B706" s="20">
        <v>70</v>
      </c>
      <c r="C706" s="20">
        <v>50</v>
      </c>
      <c r="D706" s="20">
        <v>20</v>
      </c>
      <c r="E706" s="20">
        <v>67</v>
      </c>
      <c r="F706" s="20" t="s">
        <v>36035</v>
      </c>
      <c r="G706" s="24" t="str">
        <f ca="1">IFERROR(__xludf.DUMMYFUNCTION("GOOGLETRANSLATE(F706,""en"",""pt"")"),"chaves de tubos")</f>
        <v>chaves de tubos</v>
      </c>
      <c r="H706" s="24"/>
      <c r="I706" s="24"/>
    </row>
    <row r="707" spans="1:9" ht="14.5">
      <c r="A707" s="20" t="s">
        <v>36036</v>
      </c>
      <c r="B707" s="20">
        <v>70</v>
      </c>
      <c r="C707" s="20">
        <v>50</v>
      </c>
      <c r="D707" s="20">
        <v>20</v>
      </c>
      <c r="E707" s="20">
        <v>70</v>
      </c>
      <c r="F707" s="20" t="s">
        <v>36037</v>
      </c>
      <c r="G707" s="24" t="str">
        <f ca="1">IFERROR(__xludf.DUMMYFUNCTION("GOOGLETRANSLATE(F707,""en"",""pt"")"),"fornos de Encanador")</f>
        <v>fornos de Encanador</v>
      </c>
      <c r="H707" s="24"/>
      <c r="I707" s="24"/>
    </row>
    <row r="708" spans="1:9" ht="14.5">
      <c r="A708" s="20" t="s">
        <v>36038</v>
      </c>
      <c r="B708" s="20">
        <v>70</v>
      </c>
      <c r="C708" s="20">
        <v>50</v>
      </c>
      <c r="D708" s="20">
        <v>30</v>
      </c>
      <c r="E708" s="24"/>
      <c r="F708" s="20" t="s">
        <v>36039</v>
      </c>
      <c r="G708" s="24" t="str">
        <f ca="1">IFERROR(__xludf.DUMMYFUNCTION("GOOGLETRANSLATE(F708,""en"",""pt"")"),"Hammers")</f>
        <v>Hammers</v>
      </c>
      <c r="H708" s="24"/>
      <c r="I708" s="24"/>
    </row>
    <row r="709" spans="1:9" ht="14.5">
      <c r="A709" s="20" t="s">
        <v>36040</v>
      </c>
      <c r="B709" s="20">
        <v>70</v>
      </c>
      <c r="C709" s="20">
        <v>50</v>
      </c>
      <c r="D709" s="20">
        <v>30</v>
      </c>
      <c r="E709" s="20">
        <v>7</v>
      </c>
      <c r="F709" s="20" t="s">
        <v>36041</v>
      </c>
      <c r="G709" s="24" t="str">
        <f ca="1">IFERROR(__xludf.DUMMYFUNCTION("GOOGLETRANSLATE(F709,""en"",""pt"")"),"martelos de pedreiro")</f>
        <v>martelos de pedreiro</v>
      </c>
      <c r="H709" s="24"/>
      <c r="I709" s="24"/>
    </row>
    <row r="710" spans="1:9" ht="14.5">
      <c r="A710" s="20" t="s">
        <v>36042</v>
      </c>
      <c r="B710" s="20">
        <v>70</v>
      </c>
      <c r="C710" s="20">
        <v>50</v>
      </c>
      <c r="D710" s="20">
        <v>30</v>
      </c>
      <c r="E710" s="20">
        <v>9</v>
      </c>
      <c r="F710" s="20" t="s">
        <v>36043</v>
      </c>
      <c r="G710" s="24" t="str">
        <f ca="1">IFERROR(__xludf.DUMMYFUNCTION("GOOGLETRANSLATE(F710,""en"",""pt"")"),"martelos de Bush")</f>
        <v>martelos de Bush</v>
      </c>
      <c r="H710" s="24"/>
      <c r="I710" s="24"/>
    </row>
    <row r="711" spans="1:9" ht="14.5">
      <c r="A711" s="20" t="s">
        <v>36044</v>
      </c>
      <c r="B711" s="20">
        <v>70</v>
      </c>
      <c r="C711" s="20">
        <v>50</v>
      </c>
      <c r="D711" s="20">
        <v>30</v>
      </c>
      <c r="E711" s="20">
        <v>11</v>
      </c>
      <c r="F711" s="20" t="s">
        <v>36045</v>
      </c>
      <c r="G711" s="24" t="str">
        <f ca="1">IFERROR(__xludf.DUMMYFUNCTION("GOOGLETRANSLATE(F711,""en"",""pt"")"),"martelos de carpinteiro")</f>
        <v>martelos de carpinteiro</v>
      </c>
      <c r="H711" s="24"/>
      <c r="I711" s="24"/>
    </row>
    <row r="712" spans="1:9" ht="14.5">
      <c r="A712" s="20" t="s">
        <v>36046</v>
      </c>
      <c r="B712" s="20">
        <v>70</v>
      </c>
      <c r="C712" s="20">
        <v>50</v>
      </c>
      <c r="D712" s="20">
        <v>30</v>
      </c>
      <c r="E712" s="20">
        <v>13</v>
      </c>
      <c r="F712" s="20" t="s">
        <v>36047</v>
      </c>
      <c r="G712" s="24" t="str">
        <f ca="1">IFERROR(__xludf.DUMMYFUNCTION("GOOGLETRANSLATE(F712,""en"",""pt"")"),"lascar martelos")</f>
        <v>lascar martelos</v>
      </c>
      <c r="H712" s="24"/>
      <c r="I712" s="24"/>
    </row>
    <row r="713" spans="1:9" ht="14.5">
      <c r="A713" s="20" t="s">
        <v>36048</v>
      </c>
      <c r="B713" s="20">
        <v>70</v>
      </c>
      <c r="C713" s="20">
        <v>50</v>
      </c>
      <c r="D713" s="20">
        <v>30</v>
      </c>
      <c r="E713" s="20">
        <v>15</v>
      </c>
      <c r="F713" s="20" t="s">
        <v>36049</v>
      </c>
      <c r="G713" s="24" t="str">
        <f ca="1">IFERROR(__xludf.DUMMYFUNCTION("GOOGLETRANSLATE(F713,""en"",""pt"")"),"martelos clube")</f>
        <v>martelos clube</v>
      </c>
      <c r="H713" s="24"/>
      <c r="I713" s="24"/>
    </row>
    <row r="714" spans="1:9" ht="14.5">
      <c r="A714" s="20" t="s">
        <v>36050</v>
      </c>
      <c r="B714" s="20">
        <v>70</v>
      </c>
      <c r="C714" s="20">
        <v>50</v>
      </c>
      <c r="D714" s="20">
        <v>30</v>
      </c>
      <c r="E714" s="20">
        <v>22</v>
      </c>
      <c r="F714" s="20" t="s">
        <v>36051</v>
      </c>
      <c r="G714" s="24" t="str">
        <f ca="1">IFERROR(__xludf.DUMMYFUNCTION("GOOGLETRANSLATE(F714,""en"",""pt"")"),"martelos de demolição")</f>
        <v>martelos de demolição</v>
      </c>
      <c r="H714" s="24"/>
      <c r="I714" s="24"/>
    </row>
    <row r="715" spans="1:9" ht="14.5">
      <c r="A715" s="20" t="s">
        <v>36052</v>
      </c>
      <c r="B715" s="20">
        <v>70</v>
      </c>
      <c r="C715" s="20">
        <v>50</v>
      </c>
      <c r="D715" s="20">
        <v>30</v>
      </c>
      <c r="E715" s="20">
        <v>71</v>
      </c>
      <c r="F715" s="20" t="s">
        <v>36053</v>
      </c>
      <c r="G715" s="24" t="str">
        <f ca="1">IFERROR(__xludf.DUMMYFUNCTION("GOOGLETRANSLATE(F715,""en"",""pt"")"),"martelos de rebitagem")</f>
        <v>martelos de rebitagem</v>
      </c>
      <c r="H715" s="24"/>
      <c r="I715" s="24"/>
    </row>
    <row r="716" spans="1:9" ht="14.5">
      <c r="A716" s="20" t="s">
        <v>36054</v>
      </c>
      <c r="B716" s="20">
        <v>70</v>
      </c>
      <c r="C716" s="20">
        <v>50</v>
      </c>
      <c r="D716" s="20">
        <v>30</v>
      </c>
      <c r="E716" s="20">
        <v>73</v>
      </c>
      <c r="F716" s="20" t="s">
        <v>36055</v>
      </c>
      <c r="G716" s="24" t="str">
        <f ca="1">IFERROR(__xludf.DUMMYFUNCTION("GOOGLETRANSLATE(F716,""en"",""pt"")"),"martelos perfuradores")</f>
        <v>martelos perfuradores</v>
      </c>
      <c r="H716" s="24"/>
      <c r="I716" s="24"/>
    </row>
    <row r="717" spans="1:9" ht="14.5">
      <c r="A717" s="20" t="s">
        <v>36056</v>
      </c>
      <c r="B717" s="20">
        <v>70</v>
      </c>
      <c r="C717" s="20">
        <v>50</v>
      </c>
      <c r="D717" s="20">
        <v>30</v>
      </c>
      <c r="E717" s="20">
        <v>80</v>
      </c>
      <c r="F717" s="20" t="s">
        <v>36057</v>
      </c>
      <c r="G717" s="24" t="str">
        <f ca="1">IFERROR(__xludf.DUMMYFUNCTION("GOOGLETRANSLATE(F717,""en"",""pt"")"),"marretas")</f>
        <v>marretas</v>
      </c>
      <c r="H717" s="24"/>
      <c r="I717" s="24"/>
    </row>
    <row r="718" spans="1:9" ht="14.5">
      <c r="A718" s="20" t="s">
        <v>36058</v>
      </c>
      <c r="B718" s="20">
        <v>70</v>
      </c>
      <c r="C718" s="20">
        <v>50</v>
      </c>
      <c r="D718" s="20">
        <v>40</v>
      </c>
      <c r="E718" s="24"/>
      <c r="F718" s="20" t="s">
        <v>36059</v>
      </c>
      <c r="G718" s="24" t="str">
        <f ca="1">IFERROR(__xludf.DUMMYFUNCTION("GOOGLETRANSLATE(F718,""en"",""pt"")"),"brocas e equipamentos portáteis")</f>
        <v>brocas e equipamentos portáteis</v>
      </c>
      <c r="H718" s="24"/>
      <c r="I718" s="24"/>
    </row>
    <row r="719" spans="1:9" ht="14.5">
      <c r="A719" s="20" t="s">
        <v>36060</v>
      </c>
      <c r="B719" s="20">
        <v>70</v>
      </c>
      <c r="C719" s="20">
        <v>50</v>
      </c>
      <c r="D719" s="20">
        <v>40</v>
      </c>
      <c r="E719" s="20">
        <v>5</v>
      </c>
      <c r="F719" s="20" t="s">
        <v>36061</v>
      </c>
      <c r="G719" s="24" t="str">
        <f ca="1">IFERROR(__xludf.DUMMYFUNCTION("GOOGLETRANSLATE(F719,""en"",""pt"")"),"brocas")</f>
        <v>brocas</v>
      </c>
      <c r="H719" s="24"/>
      <c r="I719" s="24"/>
    </row>
    <row r="720" spans="1:9" ht="14.5">
      <c r="A720" s="20" t="s">
        <v>36062</v>
      </c>
      <c r="B720" s="20">
        <v>70</v>
      </c>
      <c r="C720" s="20">
        <v>50</v>
      </c>
      <c r="D720" s="20">
        <v>40</v>
      </c>
      <c r="E720" s="20">
        <v>21</v>
      </c>
      <c r="F720" s="20" t="s">
        <v>36063</v>
      </c>
      <c r="G720" s="24" t="str">
        <f ca="1">IFERROR(__xludf.DUMMYFUNCTION("GOOGLETRANSLATE(F720,""en"",""pt"")"),"perfuração de diamante e equipamentos chasing")</f>
        <v>perfuração de diamante e equipamentos chasing</v>
      </c>
      <c r="H720" s="24"/>
      <c r="I720" s="24"/>
    </row>
    <row r="721" spans="1:9" ht="14.5">
      <c r="A721" s="20" t="s">
        <v>36064</v>
      </c>
      <c r="B721" s="20">
        <v>70</v>
      </c>
      <c r="C721" s="20">
        <v>50</v>
      </c>
      <c r="D721" s="20">
        <v>40</v>
      </c>
      <c r="E721" s="20">
        <v>22</v>
      </c>
      <c r="F721" s="20" t="s">
        <v>36065</v>
      </c>
      <c r="G721" s="24" t="str">
        <f ca="1">IFERROR(__xludf.DUMMYFUNCTION("GOOGLETRANSLATE(F721,""en"",""pt"")"),"Brocas")</f>
        <v>Brocas</v>
      </c>
      <c r="H721" s="24"/>
      <c r="I721" s="24"/>
    </row>
    <row r="722" spans="1:9" ht="14.5">
      <c r="A722" s="20" t="s">
        <v>36066</v>
      </c>
      <c r="B722" s="20">
        <v>70</v>
      </c>
      <c r="C722" s="20">
        <v>50</v>
      </c>
      <c r="D722" s="20">
        <v>40</v>
      </c>
      <c r="E722" s="20">
        <v>23</v>
      </c>
      <c r="F722" s="20" t="s">
        <v>36067</v>
      </c>
      <c r="G722" s="24" t="str">
        <f ca="1">IFERROR(__xludf.DUMMYFUNCTION("GOOGLETRANSLATE(F722,""en"",""pt"")"),"hastes")</f>
        <v>hastes</v>
      </c>
      <c r="H722" s="24"/>
      <c r="I722" s="24"/>
    </row>
    <row r="723" spans="1:9" ht="14.5">
      <c r="A723" s="20" t="s">
        <v>36068</v>
      </c>
      <c r="B723" s="20">
        <v>70</v>
      </c>
      <c r="C723" s="20">
        <v>50</v>
      </c>
      <c r="D723" s="20">
        <v>40</v>
      </c>
      <c r="E723" s="20">
        <v>24</v>
      </c>
      <c r="F723" s="20" t="s">
        <v>36069</v>
      </c>
      <c r="G723" s="24" t="str">
        <f ca="1">IFERROR(__xludf.DUMMYFUNCTION("GOOGLETRANSLATE(F723,""en"",""pt"")"),"suportes de perfuração")</f>
        <v>suportes de perfuração</v>
      </c>
      <c r="H723" s="24"/>
      <c r="I723" s="24"/>
    </row>
    <row r="724" spans="1:9" ht="14.5">
      <c r="A724" s="20" t="s">
        <v>36070</v>
      </c>
      <c r="B724" s="20">
        <v>70</v>
      </c>
      <c r="C724" s="20">
        <v>50</v>
      </c>
      <c r="D724" s="20">
        <v>40</v>
      </c>
      <c r="E724" s="20">
        <v>64</v>
      </c>
      <c r="F724" s="20" t="s">
        <v>36071</v>
      </c>
      <c r="G724" s="24" t="str">
        <f ca="1">IFERROR(__xludf.DUMMYFUNCTION("GOOGLETRANSLATE(F724,""en"",""pt"")"),"perfuração tubo de enfrentar")</f>
        <v>perfuração tubo de enfrentar</v>
      </c>
      <c r="H724" s="24"/>
      <c r="I724" s="24"/>
    </row>
    <row r="725" spans="1:9" ht="14.5">
      <c r="A725" s="20" t="s">
        <v>36072</v>
      </c>
      <c r="B725" s="20">
        <v>70</v>
      </c>
      <c r="C725" s="20">
        <v>50</v>
      </c>
      <c r="D725" s="20">
        <v>40</v>
      </c>
      <c r="E725" s="20">
        <v>70</v>
      </c>
      <c r="F725" s="20" t="s">
        <v>36073</v>
      </c>
      <c r="G725" s="24" t="str">
        <f ca="1">IFERROR(__xludf.DUMMYFUNCTION("GOOGLETRANSLATE(F725,""en"",""pt"")"),"brocas reversíveis")</f>
        <v>brocas reversíveis</v>
      </c>
      <c r="H725" s="24"/>
      <c r="I725" s="24"/>
    </row>
    <row r="726" spans="1:9" ht="14.5">
      <c r="A726" s="20" t="s">
        <v>36074</v>
      </c>
      <c r="B726" s="20">
        <v>70</v>
      </c>
      <c r="C726" s="20">
        <v>50</v>
      </c>
      <c r="D726" s="20">
        <v>40</v>
      </c>
      <c r="E726" s="20">
        <v>72</v>
      </c>
      <c r="F726" s="20" t="s">
        <v>36075</v>
      </c>
      <c r="G726" s="24" t="str">
        <f ca="1">IFERROR(__xludf.DUMMYFUNCTION("GOOGLETRANSLATE(F726,""en"",""pt"")"),"perfuratrizes")</f>
        <v>perfuratrizes</v>
      </c>
      <c r="H726" s="24"/>
      <c r="I726" s="24"/>
    </row>
    <row r="727" spans="1:9" ht="14.5">
      <c r="A727" s="20" t="s">
        <v>36076</v>
      </c>
      <c r="B727" s="20">
        <v>70</v>
      </c>
      <c r="C727" s="20">
        <v>50</v>
      </c>
      <c r="D727" s="20">
        <v>40</v>
      </c>
      <c r="E727" s="20">
        <v>73</v>
      </c>
      <c r="F727" s="20" t="s">
        <v>36077</v>
      </c>
      <c r="G727" s="24" t="str">
        <f ca="1">IFERROR(__xludf.DUMMYFUNCTION("GOOGLETRANSLATE(F727,""en"",""pt"")"),"brocas rotativas")</f>
        <v>brocas rotativas</v>
      </c>
      <c r="H727" s="24"/>
      <c r="I727" s="24"/>
    </row>
    <row r="728" spans="1:9" ht="14.5">
      <c r="A728" s="20" t="s">
        <v>36078</v>
      </c>
      <c r="B728" s="20">
        <v>70</v>
      </c>
      <c r="C728" s="20">
        <v>50</v>
      </c>
      <c r="D728" s="20">
        <v>40</v>
      </c>
      <c r="E728" s="20">
        <v>96</v>
      </c>
      <c r="F728" s="20" t="s">
        <v>36079</v>
      </c>
      <c r="G728" s="24" t="str">
        <f ca="1">IFERROR(__xludf.DUMMYFUNCTION("GOOGLETRANSLATE(F728,""en"",""pt"")"),"Wheelbraces")</f>
        <v>Wheelbraces</v>
      </c>
      <c r="H728" s="24"/>
      <c r="I728" s="24"/>
    </row>
    <row r="729" spans="1:9" ht="14.5">
      <c r="A729" s="20" t="s">
        <v>36080</v>
      </c>
      <c r="B729" s="20">
        <v>70</v>
      </c>
      <c r="C729" s="20">
        <v>50</v>
      </c>
      <c r="D729" s="20">
        <v>45</v>
      </c>
      <c r="E729" s="24"/>
      <c r="F729" s="20" t="s">
        <v>36081</v>
      </c>
      <c r="G729" s="24" t="str">
        <f ca="1">IFERROR(__xludf.DUMMYFUNCTION("GOOGLETRANSLATE(F729,""en"",""pt"")"),"equipamentos de mão")</f>
        <v>equipamentos de mão</v>
      </c>
      <c r="H729" s="24"/>
      <c r="I729" s="24"/>
    </row>
    <row r="730" spans="1:9" ht="14.5">
      <c r="A730" s="20" t="s">
        <v>36082</v>
      </c>
      <c r="B730" s="20">
        <v>70</v>
      </c>
      <c r="C730" s="20">
        <v>50</v>
      </c>
      <c r="D730" s="20">
        <v>45</v>
      </c>
      <c r="E730" s="20">
        <v>2</v>
      </c>
      <c r="F730" s="20" t="s">
        <v>36083</v>
      </c>
      <c r="G730" s="24" t="str">
        <f ca="1">IFERROR(__xludf.DUMMYFUNCTION("GOOGLETRANSLATE(F730,""en"",""pt"")"),"armas adesivas")</f>
        <v>armas adesivas</v>
      </c>
      <c r="H730" s="24"/>
      <c r="I730" s="24"/>
    </row>
    <row r="731" spans="1:9" ht="14.5">
      <c r="A731" s="20" t="s">
        <v>36084</v>
      </c>
      <c r="B731" s="20">
        <v>70</v>
      </c>
      <c r="C731" s="20">
        <v>50</v>
      </c>
      <c r="D731" s="20">
        <v>45</v>
      </c>
      <c r="E731" s="20">
        <v>8</v>
      </c>
      <c r="F731" s="20" t="s">
        <v>36085</v>
      </c>
      <c r="G731" s="24" t="str">
        <f ca="1">IFERROR(__xludf.DUMMYFUNCTION("GOOGLETRANSLATE(F731,""en"",""pt"")"),"Parafuso ferramentas de tensionamento")</f>
        <v>Parafuso ferramentas de tensionamento</v>
      </c>
      <c r="H731" s="24"/>
      <c r="I731" s="24"/>
    </row>
    <row r="732" spans="1:9" ht="14.5">
      <c r="A732" s="20" t="s">
        <v>36086</v>
      </c>
      <c r="B732" s="20">
        <v>70</v>
      </c>
      <c r="C732" s="20">
        <v>50</v>
      </c>
      <c r="D732" s="20">
        <v>45</v>
      </c>
      <c r="E732" s="20">
        <v>11</v>
      </c>
      <c r="F732" s="20" t="s">
        <v>36087</v>
      </c>
      <c r="G732" s="24" t="str">
        <f ca="1">IFERROR(__xludf.DUMMYFUNCTION("GOOGLETRANSLATE(F732,""en"",""pt"")"),"cortadores de cabo")</f>
        <v>cortadores de cabo</v>
      </c>
      <c r="H732" s="24"/>
      <c r="I732" s="24"/>
    </row>
    <row r="733" spans="1:9" ht="14.5">
      <c r="A733" s="20" t="s">
        <v>36088</v>
      </c>
      <c r="B733" s="20">
        <v>70</v>
      </c>
      <c r="C733" s="20">
        <v>50</v>
      </c>
      <c r="D733" s="20">
        <v>45</v>
      </c>
      <c r="E733" s="20">
        <v>12</v>
      </c>
      <c r="F733" s="20" t="s">
        <v>36089</v>
      </c>
      <c r="G733" s="24" t="str">
        <f ca="1">IFERROR(__xludf.DUMMYFUNCTION("GOOGLETRANSLATE(F733,""en"",""pt"")"),"localizadores de cabo")</f>
        <v>localizadores de cabo</v>
      </c>
      <c r="H733" s="24"/>
      <c r="I733" s="24"/>
    </row>
    <row r="734" spans="1:9" ht="14.5">
      <c r="A734" s="20" t="s">
        <v>36090</v>
      </c>
      <c r="B734" s="20">
        <v>70</v>
      </c>
      <c r="C734" s="20">
        <v>50</v>
      </c>
      <c r="D734" s="20">
        <v>45</v>
      </c>
      <c r="E734" s="20">
        <v>17</v>
      </c>
      <c r="F734" s="20" t="s">
        <v>36091</v>
      </c>
      <c r="G734" s="24" t="str">
        <f ca="1">IFERROR(__xludf.DUMMYFUNCTION("GOOGLETRANSLATE(F734,""en"",""pt"")"),"ferramentas de engaste")</f>
        <v>ferramentas de engaste</v>
      </c>
      <c r="H734" s="24"/>
      <c r="I734" s="24"/>
    </row>
    <row r="735" spans="1:9" ht="14.5">
      <c r="A735" s="20" t="s">
        <v>36092</v>
      </c>
      <c r="B735" s="20">
        <v>70</v>
      </c>
      <c r="C735" s="20">
        <v>50</v>
      </c>
      <c r="D735" s="20">
        <v>45</v>
      </c>
      <c r="E735" s="20">
        <v>25</v>
      </c>
      <c r="F735" s="20" t="s">
        <v>36093</v>
      </c>
      <c r="G735" s="24" t="str">
        <f ca="1">IFERROR(__xludf.DUMMYFUNCTION("GOOGLETRANSLATE(F735,""en"",""pt"")"),"dinamômetros")</f>
        <v>dinamômetros</v>
      </c>
      <c r="H735" s="24"/>
      <c r="I735" s="24"/>
    </row>
    <row r="736" spans="1:9" ht="14.5">
      <c r="A736" s="20" t="s">
        <v>36094</v>
      </c>
      <c r="B736" s="20">
        <v>70</v>
      </c>
      <c r="C736" s="20">
        <v>50</v>
      </c>
      <c r="D736" s="20">
        <v>45</v>
      </c>
      <c r="E736" s="20">
        <v>27</v>
      </c>
      <c r="F736" s="20" t="s">
        <v>36095</v>
      </c>
      <c r="G736" s="24" t="str">
        <f ca="1">IFERROR(__xludf.DUMMYFUNCTION("GOOGLETRANSLATE(F736,""en"",""pt"")"),"Gravador")</f>
        <v>Gravador</v>
      </c>
      <c r="H736" s="24"/>
      <c r="I736" s="24"/>
    </row>
    <row r="737" spans="1:9" ht="14.5">
      <c r="A737" s="20" t="s">
        <v>36096</v>
      </c>
      <c r="B737" s="20">
        <v>70</v>
      </c>
      <c r="C737" s="20">
        <v>50</v>
      </c>
      <c r="D737" s="20">
        <v>45</v>
      </c>
      <c r="E737" s="20">
        <v>37</v>
      </c>
      <c r="F737" s="20" t="s">
        <v>36097</v>
      </c>
      <c r="G737" s="24" t="str">
        <f ca="1">IFERROR(__xludf.DUMMYFUNCTION("GOOGLETRANSLATE(F737,""en"",""pt"")"),"Canhão térmico")</f>
        <v>Canhão térmico</v>
      </c>
      <c r="H737" s="24"/>
      <c r="I737" s="24"/>
    </row>
    <row r="738" spans="1:9" ht="14.5">
      <c r="A738" s="20" t="s">
        <v>36098</v>
      </c>
      <c r="B738" s="20">
        <v>70</v>
      </c>
      <c r="C738" s="20">
        <v>50</v>
      </c>
      <c r="D738" s="20">
        <v>45</v>
      </c>
      <c r="E738" s="20">
        <v>39</v>
      </c>
      <c r="F738" s="20" t="s">
        <v>36099</v>
      </c>
      <c r="G738" s="24" t="str">
        <f ca="1">IFERROR(__xludf.DUMMYFUNCTION("GOOGLETRANSLATE(F738,""en"",""pt"")"),"chaves hidráulicos")</f>
        <v>chaves hidráulicos</v>
      </c>
      <c r="H738" s="24"/>
      <c r="I738" s="24"/>
    </row>
    <row r="739" spans="1:9" ht="14.5">
      <c r="A739" s="20" t="s">
        <v>36100</v>
      </c>
      <c r="B739" s="20">
        <v>70</v>
      </c>
      <c r="C739" s="20">
        <v>50</v>
      </c>
      <c r="D739" s="20">
        <v>45</v>
      </c>
      <c r="E739" s="20">
        <v>42</v>
      </c>
      <c r="F739" s="20" t="s">
        <v>36101</v>
      </c>
      <c r="G739" s="24" t="str">
        <f ca="1">IFERROR(__xludf.DUMMYFUNCTION("GOOGLETRANSLATE(F739,""en"",""pt"")"),"chaves de impacto")</f>
        <v>chaves de impacto</v>
      </c>
      <c r="H739" s="24"/>
      <c r="I739" s="24"/>
    </row>
    <row r="740" spans="1:9" ht="14.5">
      <c r="A740" s="20" t="s">
        <v>36102</v>
      </c>
      <c r="B740" s="20">
        <v>70</v>
      </c>
      <c r="C740" s="20">
        <v>50</v>
      </c>
      <c r="D740" s="20">
        <v>45</v>
      </c>
      <c r="E740" s="20">
        <v>50</v>
      </c>
      <c r="F740" s="20" t="s">
        <v>36103</v>
      </c>
      <c r="G740" s="24" t="str">
        <f ca="1">IFERROR(__xludf.DUMMYFUNCTION("GOOGLETRANSLATE(F740,""en"",""pt"")"),"Detectores de metal")</f>
        <v>Detectores de metal</v>
      </c>
      <c r="H740" s="24"/>
      <c r="I740" s="24"/>
    </row>
    <row r="741" spans="1:9" ht="14.5">
      <c r="A741" s="20" t="s">
        <v>36104</v>
      </c>
      <c r="B741" s="20">
        <v>70</v>
      </c>
      <c r="C741" s="20">
        <v>50</v>
      </c>
      <c r="D741" s="20">
        <v>45</v>
      </c>
      <c r="E741" s="20">
        <v>56</v>
      </c>
      <c r="F741" s="20" t="s">
        <v>36105</v>
      </c>
      <c r="G741" s="24" t="str">
        <f ca="1">IFERROR(__xludf.DUMMYFUNCTION("GOOGLETRANSLATE(F741,""en"",""pt"")"),"pistolas de pregos")</f>
        <v>pistolas de pregos</v>
      </c>
      <c r="H741" s="24"/>
      <c r="I741" s="24"/>
    </row>
    <row r="742" spans="1:9" ht="14.5">
      <c r="A742" s="20" t="s">
        <v>36106</v>
      </c>
      <c r="B742" s="20">
        <v>70</v>
      </c>
      <c r="C742" s="20">
        <v>50</v>
      </c>
      <c r="D742" s="20">
        <v>45</v>
      </c>
      <c r="E742" s="20">
        <v>57</v>
      </c>
      <c r="F742" s="20" t="s">
        <v>36107</v>
      </c>
      <c r="G742" s="24" t="str">
        <f ca="1">IFERROR(__xludf.DUMMYFUNCTION("GOOGLETRANSLATE(F742,""en"",""pt"")"),"Nibblers")</f>
        <v>Nibblers</v>
      </c>
      <c r="H742" s="24"/>
      <c r="I742" s="24"/>
    </row>
    <row r="743" spans="1:9" ht="14.5">
      <c r="A743" s="20" t="s">
        <v>36108</v>
      </c>
      <c r="B743" s="20">
        <v>70</v>
      </c>
      <c r="C743" s="20">
        <v>50</v>
      </c>
      <c r="D743" s="20">
        <v>45</v>
      </c>
      <c r="E743" s="20">
        <v>63</v>
      </c>
      <c r="F743" s="20" t="s">
        <v>36109</v>
      </c>
      <c r="G743" s="24" t="str">
        <f ca="1">IFERROR(__xludf.DUMMYFUNCTION("GOOGLETRANSLATE(F743,""en"",""pt"")"),"localizadores Pipeline")</f>
        <v>localizadores Pipeline</v>
      </c>
      <c r="H743" s="24"/>
      <c r="I743" s="24"/>
    </row>
    <row r="744" spans="1:9" ht="14.5">
      <c r="A744" s="20" t="s">
        <v>36110</v>
      </c>
      <c r="B744" s="20">
        <v>70</v>
      </c>
      <c r="C744" s="20">
        <v>50</v>
      </c>
      <c r="D744" s="20">
        <v>45</v>
      </c>
      <c r="E744" s="20">
        <v>72</v>
      </c>
      <c r="F744" s="20" t="s">
        <v>36111</v>
      </c>
      <c r="G744" s="24" t="str">
        <f ca="1">IFERROR(__xludf.DUMMYFUNCTION("GOOGLETRANSLATE(F744,""en"",""pt"")"),"armas de mola")</f>
        <v>armas de mola</v>
      </c>
      <c r="H744" s="24"/>
      <c r="I744" s="24"/>
    </row>
    <row r="745" spans="1:9" ht="14.5">
      <c r="A745" s="20" t="s">
        <v>36112</v>
      </c>
      <c r="B745" s="20">
        <v>70</v>
      </c>
      <c r="C745" s="20">
        <v>50</v>
      </c>
      <c r="D745" s="20">
        <v>45</v>
      </c>
      <c r="E745" s="20">
        <v>88</v>
      </c>
      <c r="F745" s="20" t="s">
        <v>36113</v>
      </c>
      <c r="G745" s="24" t="str">
        <f ca="1">IFERROR(__xludf.DUMMYFUNCTION("GOOGLETRANSLATE(F745,""en"",""pt"")"),"torquímetros")</f>
        <v>torquímetros</v>
      </c>
      <c r="H745" s="24"/>
      <c r="I745" s="24"/>
    </row>
    <row r="746" spans="1:9" ht="14.5">
      <c r="A746" s="20" t="s">
        <v>36114</v>
      </c>
      <c r="B746" s="20">
        <v>70</v>
      </c>
      <c r="C746" s="20">
        <v>50</v>
      </c>
      <c r="D746" s="20">
        <v>45</v>
      </c>
      <c r="E746" s="20">
        <v>96</v>
      </c>
      <c r="F746" s="20" t="s">
        <v>36115</v>
      </c>
      <c r="G746" s="24" t="str">
        <f ca="1">IFERROR(__xludf.DUMMYFUNCTION("GOOGLETRANSLATE(F746,""en"",""pt"")"),"puxadores de fio")</f>
        <v>puxadores de fio</v>
      </c>
      <c r="H746" s="24"/>
      <c r="I746" s="24"/>
    </row>
    <row r="747" spans="1:9" ht="14.5">
      <c r="A747" s="20" t="s">
        <v>36116</v>
      </c>
      <c r="B747" s="20">
        <v>70</v>
      </c>
      <c r="C747" s="20">
        <v>50</v>
      </c>
      <c r="D747" s="20">
        <v>45</v>
      </c>
      <c r="E747" s="20">
        <v>97</v>
      </c>
      <c r="F747" s="20" t="s">
        <v>36117</v>
      </c>
      <c r="G747" s="24" t="str">
        <f ca="1">IFERROR(__xludf.DUMMYFUNCTION("GOOGLETRANSLATE(F747,""en"",""pt"")"),"tensores de arame")</f>
        <v>tensores de arame</v>
      </c>
      <c r="H747" s="24"/>
      <c r="I747" s="24"/>
    </row>
    <row r="748" spans="1:9" ht="14.5">
      <c r="A748" s="20" t="s">
        <v>36118</v>
      </c>
      <c r="B748" s="20">
        <v>70</v>
      </c>
      <c r="C748" s="20">
        <v>50</v>
      </c>
      <c r="D748" s="20">
        <v>50</v>
      </c>
      <c r="E748" s="24"/>
      <c r="F748" s="20" t="s">
        <v>36119</v>
      </c>
      <c r="G748" s="24" t="str">
        <f ca="1">IFERROR(__xludf.DUMMYFUNCTION("GOOGLETRANSLATE(F748,""en"",""pt"")"),"Pintura e aplicação de isolamento equipamento")</f>
        <v>Pintura e aplicação de isolamento equipamento</v>
      </c>
      <c r="H748" s="24"/>
      <c r="I748" s="24"/>
    </row>
    <row r="749" spans="1:9" ht="14.5">
      <c r="A749" s="20" t="s">
        <v>36120</v>
      </c>
      <c r="B749" s="20">
        <v>70</v>
      </c>
      <c r="C749" s="20">
        <v>50</v>
      </c>
      <c r="D749" s="20">
        <v>50</v>
      </c>
      <c r="E749" s="20">
        <v>41</v>
      </c>
      <c r="F749" s="20" t="s">
        <v>36121</v>
      </c>
      <c r="G749" s="24" t="str">
        <f ca="1">IFERROR(__xludf.DUMMYFUNCTION("GOOGLETRANSLATE(F749,""en"",""pt"")"),"equipamento de injecção isolamento")</f>
        <v>equipamento de injecção isolamento</v>
      </c>
      <c r="H749" s="24"/>
      <c r="I749" s="24"/>
    </row>
    <row r="750" spans="1:9" ht="14.5">
      <c r="A750" s="20" t="s">
        <v>36122</v>
      </c>
      <c r="B750" s="20">
        <v>70</v>
      </c>
      <c r="C750" s="20">
        <v>50</v>
      </c>
      <c r="D750" s="20">
        <v>50</v>
      </c>
      <c r="E750" s="20">
        <v>60</v>
      </c>
      <c r="F750" s="20" t="s">
        <v>36123</v>
      </c>
      <c r="G750" s="24" t="str">
        <f ca="1">IFERROR(__xludf.DUMMYFUNCTION("GOOGLETRANSLATE(F750,""en"",""pt"")"),"Pincéis de pintura")</f>
        <v>Pincéis de pintura</v>
      </c>
      <c r="H750" s="24"/>
      <c r="I750" s="24"/>
    </row>
    <row r="751" spans="1:9" ht="14.5">
      <c r="A751" s="20" t="s">
        <v>36124</v>
      </c>
      <c r="B751" s="20">
        <v>70</v>
      </c>
      <c r="C751" s="20">
        <v>50</v>
      </c>
      <c r="D751" s="20">
        <v>50</v>
      </c>
      <c r="E751" s="20">
        <v>62</v>
      </c>
      <c r="F751" s="20" t="s">
        <v>36125</v>
      </c>
      <c r="G751" s="24" t="str">
        <f ca="1">IFERROR(__xludf.DUMMYFUNCTION("GOOGLETRANSLATE(F751,""en"",""pt"")"),"chaleiras de pintura")</f>
        <v>chaleiras de pintura</v>
      </c>
      <c r="H751" s="24"/>
      <c r="I751" s="24"/>
    </row>
    <row r="752" spans="1:9" ht="14.5">
      <c r="A752" s="20" t="s">
        <v>36126</v>
      </c>
      <c r="B752" s="20">
        <v>70</v>
      </c>
      <c r="C752" s="20">
        <v>50</v>
      </c>
      <c r="D752" s="20">
        <v>50</v>
      </c>
      <c r="E752" s="20">
        <v>64</v>
      </c>
      <c r="F752" s="20" t="s">
        <v>36127</v>
      </c>
      <c r="G752" s="24" t="str">
        <f ca="1">IFERROR(__xludf.DUMMYFUNCTION("GOOGLETRANSLATE(F752,""en"",""pt"")"),"Pintar sistemas de contadores")</f>
        <v>Pintar sistemas de contadores</v>
      </c>
      <c r="H752" s="24"/>
      <c r="I752" s="24"/>
    </row>
    <row r="753" spans="1:9" ht="14.5">
      <c r="A753" s="20" t="s">
        <v>36128</v>
      </c>
      <c r="B753" s="20">
        <v>70</v>
      </c>
      <c r="C753" s="20">
        <v>50</v>
      </c>
      <c r="D753" s="20">
        <v>50</v>
      </c>
      <c r="E753" s="20">
        <v>66</v>
      </c>
      <c r="F753" s="20" t="s">
        <v>36129</v>
      </c>
      <c r="G753" s="24" t="str">
        <f ca="1">IFERROR(__xludf.DUMMYFUNCTION("GOOGLETRANSLATE(F753,""en"",""pt"")"),"rolos de pintura")</f>
        <v>rolos de pintura</v>
      </c>
      <c r="H753" s="24"/>
      <c r="I753" s="24"/>
    </row>
    <row r="754" spans="1:9" ht="14.5">
      <c r="A754" s="20" t="s">
        <v>36130</v>
      </c>
      <c r="B754" s="20">
        <v>70</v>
      </c>
      <c r="C754" s="20">
        <v>50</v>
      </c>
      <c r="D754" s="20">
        <v>50</v>
      </c>
      <c r="E754" s="20">
        <v>80</v>
      </c>
      <c r="F754" s="20" t="s">
        <v>36131</v>
      </c>
      <c r="G754" s="24" t="str">
        <f ca="1">IFERROR(__xludf.DUMMYFUNCTION("GOOGLETRANSLATE(F754,""en"",""pt"")"),"Equipamento de pulverização para tintas e isolamento")</f>
        <v>Equipamento de pulverização para tintas e isolamento</v>
      </c>
      <c r="H754" s="24"/>
      <c r="I754" s="24"/>
    </row>
    <row r="755" spans="1:9" ht="14.5">
      <c r="A755" s="20" t="s">
        <v>36132</v>
      </c>
      <c r="B755" s="20">
        <v>70</v>
      </c>
      <c r="C755" s="20">
        <v>50</v>
      </c>
      <c r="D755" s="20">
        <v>60</v>
      </c>
      <c r="E755" s="24"/>
      <c r="F755" s="20" t="s">
        <v>36133</v>
      </c>
      <c r="G755" s="24" t="str">
        <f ca="1">IFERROR(__xludf.DUMMYFUNCTION("GOOGLETRANSLATE(F755,""en"",""pt"")"),"Barrows")</f>
        <v>Barrows</v>
      </c>
      <c r="H755" s="24"/>
      <c r="I755" s="24"/>
    </row>
    <row r="756" spans="1:9" ht="14.5">
      <c r="A756" s="20" t="s">
        <v>36134</v>
      </c>
      <c r="B756" s="20">
        <v>70</v>
      </c>
      <c r="C756" s="20">
        <v>50</v>
      </c>
      <c r="D756" s="20">
        <v>60</v>
      </c>
      <c r="E756" s="20">
        <v>36</v>
      </c>
      <c r="F756" s="20" t="s">
        <v>36135</v>
      </c>
      <c r="G756" s="24" t="str">
        <f ca="1">IFERROR(__xludf.DUMMYFUNCTION("GOOGLETRANSLATE(F756,""en"",""pt"")"),"Macas")</f>
        <v>Macas</v>
      </c>
      <c r="H756" s="24"/>
      <c r="I756" s="24"/>
    </row>
    <row r="757" spans="1:9" ht="14.5">
      <c r="A757" s="20" t="s">
        <v>36136</v>
      </c>
      <c r="B757" s="20">
        <v>70</v>
      </c>
      <c r="C757" s="20">
        <v>50</v>
      </c>
      <c r="D757" s="20">
        <v>60</v>
      </c>
      <c r="E757" s="20">
        <v>65</v>
      </c>
      <c r="F757" s="20" t="s">
        <v>36137</v>
      </c>
      <c r="G757" s="24" t="str">
        <f ca="1">IFERROR(__xludf.DUMMYFUNCTION("GOOGLETRANSLATE(F757,""en"",""pt"")"),"carrinhos motorizados")</f>
        <v>carrinhos motorizados</v>
      </c>
      <c r="H757" s="24"/>
      <c r="I757" s="24"/>
    </row>
    <row r="758" spans="1:9" ht="14.5">
      <c r="A758" s="20" t="s">
        <v>36138</v>
      </c>
      <c r="B758" s="20">
        <v>70</v>
      </c>
      <c r="C758" s="20">
        <v>50</v>
      </c>
      <c r="D758" s="20">
        <v>65</v>
      </c>
      <c r="E758" s="24"/>
      <c r="F758" s="20" t="s">
        <v>36139</v>
      </c>
      <c r="G758" s="24" t="str">
        <f ca="1">IFERROR(__xludf.DUMMYFUNCTION("GOOGLETRANSLATE(F758,""en"",""pt"")"),"ferramentas de escavação")</f>
        <v>ferramentas de escavação</v>
      </c>
      <c r="H758" s="24"/>
      <c r="I758" s="24"/>
    </row>
    <row r="759" spans="1:9" ht="14.5">
      <c r="A759" s="20" t="s">
        <v>36140</v>
      </c>
      <c r="B759" s="20">
        <v>70</v>
      </c>
      <c r="C759" s="20">
        <v>50</v>
      </c>
      <c r="D759" s="20">
        <v>65</v>
      </c>
      <c r="E759" s="20">
        <v>15</v>
      </c>
      <c r="F759" s="20" t="s">
        <v>36141</v>
      </c>
      <c r="G759" s="24" t="str">
        <f ca="1">IFERROR(__xludf.DUMMYFUNCTION("GOOGLETRANSLATE(F759,""en"",""pt"")"),"espetos de barro")</f>
        <v>espetos de barro</v>
      </c>
      <c r="H759" s="24"/>
      <c r="I759" s="24"/>
    </row>
    <row r="760" spans="1:9" ht="14.5">
      <c r="A760" s="20" t="s">
        <v>36142</v>
      </c>
      <c r="B760" s="20">
        <v>70</v>
      </c>
      <c r="C760" s="20">
        <v>50</v>
      </c>
      <c r="D760" s="20">
        <v>65</v>
      </c>
      <c r="E760" s="20">
        <v>60</v>
      </c>
      <c r="F760" s="20" t="s">
        <v>36143</v>
      </c>
      <c r="G760" s="24" t="str">
        <f ca="1">IFERROR(__xludf.DUMMYFUNCTION("GOOGLETRANSLATE(F760,""en"",""pt"")"),"Escolhas")</f>
        <v>Escolhas</v>
      </c>
      <c r="H760" s="24"/>
      <c r="I760" s="24"/>
    </row>
    <row r="761" spans="1:9" ht="14.5">
      <c r="A761" s="20" t="s">
        <v>36144</v>
      </c>
      <c r="B761" s="20">
        <v>70</v>
      </c>
      <c r="C761" s="20">
        <v>50</v>
      </c>
      <c r="D761" s="20">
        <v>65</v>
      </c>
      <c r="E761" s="20">
        <v>80</v>
      </c>
      <c r="F761" s="20" t="s">
        <v>36145</v>
      </c>
      <c r="G761" s="24" t="str">
        <f ca="1">IFERROR(__xludf.DUMMYFUNCTION("GOOGLETRANSLATE(F761,""en"",""pt"")"),"Spades")</f>
        <v>Spades</v>
      </c>
      <c r="H761" s="24"/>
      <c r="I761" s="24"/>
    </row>
    <row r="762" spans="1:9" ht="14.5">
      <c r="A762" s="20" t="s">
        <v>36146</v>
      </c>
      <c r="B762" s="20">
        <v>70</v>
      </c>
      <c r="C762" s="20">
        <v>50</v>
      </c>
      <c r="D762" s="20">
        <v>70</v>
      </c>
      <c r="E762" s="24"/>
      <c r="F762" s="20" t="s">
        <v>36147</v>
      </c>
      <c r="G762" s="24" t="str">
        <f ca="1">IFERROR(__xludf.DUMMYFUNCTION("GOOGLETRANSLATE(F762,""en"",""pt"")"),"Levering bares")</f>
        <v>Levering bares</v>
      </c>
      <c r="H762" s="24"/>
      <c r="I762" s="24"/>
    </row>
    <row r="763" spans="1:9" ht="14.5">
      <c r="A763" s="20" t="s">
        <v>36148</v>
      </c>
      <c r="B763" s="20">
        <v>70</v>
      </c>
      <c r="C763" s="20">
        <v>50</v>
      </c>
      <c r="D763" s="20">
        <v>70</v>
      </c>
      <c r="E763" s="20">
        <v>20</v>
      </c>
      <c r="F763" s="20" t="s">
        <v>36149</v>
      </c>
      <c r="G763" s="24" t="str">
        <f ca="1">IFERROR(__xludf.DUMMYFUNCTION("GOOGLETRANSLATE(F763,""en"",""pt"")"),"alavancas")</f>
        <v>alavancas</v>
      </c>
      <c r="H763" s="24"/>
      <c r="I763" s="24"/>
    </row>
    <row r="764" spans="1:9" ht="14.5">
      <c r="A764" s="20" t="s">
        <v>36150</v>
      </c>
      <c r="B764" s="20">
        <v>70</v>
      </c>
      <c r="C764" s="20">
        <v>50</v>
      </c>
      <c r="D764" s="20">
        <v>70</v>
      </c>
      <c r="E764" s="20">
        <v>60</v>
      </c>
      <c r="F764" s="20" t="s">
        <v>36151</v>
      </c>
      <c r="G764" s="24" t="str">
        <f ca="1">IFERROR(__xludf.DUMMYFUNCTION("GOOGLETRANSLATE(F764,""en"",""pt"")"),"bares pitada")</f>
        <v>bares pitada</v>
      </c>
      <c r="H764" s="24"/>
      <c r="I764" s="24"/>
    </row>
    <row r="765" spans="1:9" ht="14.5">
      <c r="A765" s="20" t="s">
        <v>36152</v>
      </c>
      <c r="B765" s="20">
        <v>70</v>
      </c>
      <c r="C765" s="20">
        <v>50</v>
      </c>
      <c r="D765" s="20">
        <v>80</v>
      </c>
      <c r="E765" s="24"/>
      <c r="F765" s="20" t="s">
        <v>36153</v>
      </c>
      <c r="G765" s="24" t="str">
        <f ca="1">IFERROR(__xludf.DUMMYFUNCTION("GOOGLETRANSLATE(F765,""en"",""pt"")"),"Chaves de fendas, chaves inglesas e um alicate")</f>
        <v>Chaves de fendas, chaves inglesas e um alicate</v>
      </c>
      <c r="H765" s="24"/>
      <c r="I765" s="24"/>
    </row>
    <row r="766" spans="1:9" ht="14.5">
      <c r="A766" s="20" t="s">
        <v>36154</v>
      </c>
      <c r="B766" s="20">
        <v>70</v>
      </c>
      <c r="C766" s="20">
        <v>50</v>
      </c>
      <c r="D766" s="20">
        <v>80</v>
      </c>
      <c r="E766" s="20">
        <v>1</v>
      </c>
      <c r="F766" s="20" t="s">
        <v>36155</v>
      </c>
      <c r="G766" s="24" t="str">
        <f ca="1">IFERROR(__xludf.DUMMYFUNCTION("GOOGLETRANSLATE(F766,""en"",""pt"")"),"chaves inglesas ajustáveis")</f>
        <v>chaves inglesas ajustáveis</v>
      </c>
      <c r="H766" s="24"/>
      <c r="I766" s="24"/>
    </row>
    <row r="767" spans="1:9" ht="14.5">
      <c r="A767" s="20" t="s">
        <v>36156</v>
      </c>
      <c r="B767" s="20">
        <v>70</v>
      </c>
      <c r="C767" s="20">
        <v>50</v>
      </c>
      <c r="D767" s="20">
        <v>80</v>
      </c>
      <c r="E767" s="20">
        <v>3</v>
      </c>
      <c r="F767" s="20" t="s">
        <v>36157</v>
      </c>
      <c r="G767" s="24" t="str">
        <f ca="1">IFERROR(__xludf.DUMMYFUNCTION("GOOGLETRANSLATE(F767,""en"",""pt"")"),"chaves Allen")</f>
        <v>chaves Allen</v>
      </c>
      <c r="H767" s="24"/>
      <c r="I767" s="24"/>
    </row>
    <row r="768" spans="1:9" ht="14.5">
      <c r="A768" s="20" t="s">
        <v>36158</v>
      </c>
      <c r="B768" s="20">
        <v>70</v>
      </c>
      <c r="C768" s="20">
        <v>50</v>
      </c>
      <c r="D768" s="20">
        <v>80</v>
      </c>
      <c r="E768" s="20">
        <v>8</v>
      </c>
      <c r="F768" s="20" t="s">
        <v>36159</v>
      </c>
      <c r="G768" s="24" t="str">
        <f ca="1">IFERROR(__xludf.DUMMYFUNCTION("GOOGLETRANSLATE(F768,""en"",""pt"")"),"alicate")</f>
        <v>alicate</v>
      </c>
      <c r="H768" s="24"/>
      <c r="I768" s="24"/>
    </row>
    <row r="769" spans="1:9" ht="14.5">
      <c r="A769" s="20" t="s">
        <v>36160</v>
      </c>
      <c r="B769" s="20">
        <v>70</v>
      </c>
      <c r="C769" s="20">
        <v>50</v>
      </c>
      <c r="D769" s="20">
        <v>80</v>
      </c>
      <c r="E769" s="20">
        <v>17</v>
      </c>
      <c r="F769" s="20" t="s">
        <v>36161</v>
      </c>
      <c r="G769" s="24" t="str">
        <f ca="1">IFERROR(__xludf.DUMMYFUNCTION("GOOGLETRANSLATE(F769,""en"",""pt"")"),"chaves de fenda de cabeça cruzada")</f>
        <v>chaves de fenda de cabeça cruzada</v>
      </c>
      <c r="H769" s="24"/>
      <c r="I769" s="24"/>
    </row>
    <row r="770" spans="1:9" ht="14.5">
      <c r="A770" s="20" t="s">
        <v>36162</v>
      </c>
      <c r="B770" s="20">
        <v>70</v>
      </c>
      <c r="C770" s="20">
        <v>50</v>
      </c>
      <c r="D770" s="20">
        <v>80</v>
      </c>
      <c r="E770" s="20">
        <v>30</v>
      </c>
      <c r="F770" s="20" t="s">
        <v>36163</v>
      </c>
      <c r="G770" s="24" t="str">
        <f ca="1">IFERROR(__xludf.DUMMYFUNCTION("GOOGLETRANSLATE(F770,""en"",""pt"")"),"chaves de fenda de cabeça chata")</f>
        <v>chaves de fenda de cabeça chata</v>
      </c>
      <c r="H770" s="24"/>
      <c r="I770" s="24"/>
    </row>
    <row r="771" spans="1:9" ht="14.5">
      <c r="A771" s="20" t="s">
        <v>36164</v>
      </c>
      <c r="B771" s="20">
        <v>70</v>
      </c>
      <c r="C771" s="20">
        <v>50</v>
      </c>
      <c r="D771" s="20">
        <v>80</v>
      </c>
      <c r="E771" s="20">
        <v>70</v>
      </c>
      <c r="F771" s="20" t="s">
        <v>36165</v>
      </c>
      <c r="G771" s="24" t="str">
        <f ca="1">IFERROR(__xludf.DUMMYFUNCTION("GOOGLETRANSLATE(F771,""en"",""pt"")"),"chaves de fenda Ratchet")</f>
        <v>chaves de fenda Ratchet</v>
      </c>
      <c r="H771" s="24"/>
      <c r="I771" s="24"/>
    </row>
    <row r="772" spans="1:9" ht="14.5">
      <c r="A772" s="20" t="s">
        <v>36166</v>
      </c>
      <c r="B772" s="20">
        <v>70</v>
      </c>
      <c r="C772" s="20">
        <v>50</v>
      </c>
      <c r="D772" s="20">
        <v>80</v>
      </c>
      <c r="E772" s="20">
        <v>80</v>
      </c>
      <c r="F772" s="20" t="s">
        <v>36167</v>
      </c>
      <c r="G772" s="24" t="str">
        <f ca="1">IFERROR(__xludf.DUMMYFUNCTION("GOOGLETRANSLATE(F772,""en"",""pt"")"),"Chaves")</f>
        <v>Chaves</v>
      </c>
      <c r="H772" s="24"/>
      <c r="I772" s="24"/>
    </row>
    <row r="773" spans="1:9" ht="14.5">
      <c r="A773" s="20" t="s">
        <v>36168</v>
      </c>
      <c r="B773" s="20">
        <v>70</v>
      </c>
      <c r="C773" s="20">
        <v>50</v>
      </c>
      <c r="D773" s="20">
        <v>85</v>
      </c>
      <c r="E773" s="24"/>
      <c r="F773" s="20" t="s">
        <v>36169</v>
      </c>
      <c r="G773" s="24" t="str">
        <f ca="1">IFERROR(__xludf.DUMMYFUNCTION("GOOGLETRANSLATE(F773,""en"",""pt"")"),"trowels")</f>
        <v>trowels</v>
      </c>
      <c r="H773" s="24"/>
      <c r="I773" s="24"/>
    </row>
    <row r="774" spans="1:9" ht="14.5">
      <c r="A774" s="20" t="s">
        <v>36170</v>
      </c>
      <c r="B774" s="20">
        <v>70</v>
      </c>
      <c r="C774" s="20">
        <v>50</v>
      </c>
      <c r="D774" s="20">
        <v>85</v>
      </c>
      <c r="E774" s="20">
        <v>3</v>
      </c>
      <c r="F774" s="20" t="s">
        <v>36171</v>
      </c>
      <c r="G774" s="24" t="str">
        <f ca="1">IFERROR(__xludf.DUMMYFUNCTION("GOOGLETRANSLATE(F774,""en"",""pt"")"),"trolhas ângulo")</f>
        <v>trolhas ângulo</v>
      </c>
      <c r="H774" s="24"/>
      <c r="I774" s="24"/>
    </row>
    <row r="775" spans="1:9" ht="14.5">
      <c r="A775" s="20" t="s">
        <v>36172</v>
      </c>
      <c r="B775" s="20">
        <v>70</v>
      </c>
      <c r="C775" s="20">
        <v>50</v>
      </c>
      <c r="D775" s="20">
        <v>85</v>
      </c>
      <c r="E775" s="20">
        <v>33</v>
      </c>
      <c r="F775" s="20" t="s">
        <v>36173</v>
      </c>
      <c r="G775" s="24" t="str">
        <f ca="1">IFERROR(__xludf.DUMMYFUNCTION("GOOGLETRANSLATE(F775,""en"",""pt"")"),"aferição trolhas")</f>
        <v>aferição trolhas</v>
      </c>
      <c r="H775" s="24"/>
      <c r="I775" s="24"/>
    </row>
    <row r="776" spans="1:9" ht="14.5">
      <c r="A776" s="20" t="s">
        <v>36174</v>
      </c>
      <c r="B776" s="20">
        <v>70</v>
      </c>
      <c r="C776" s="20">
        <v>50</v>
      </c>
      <c r="D776" s="20">
        <v>85</v>
      </c>
      <c r="E776" s="20">
        <v>46</v>
      </c>
      <c r="F776" s="20" t="s">
        <v>36175</v>
      </c>
      <c r="G776" s="24" t="str">
        <f ca="1">IFERROR(__xludf.DUMMYFUNCTION("GOOGLETRANSLATE(F776,""en"",""pt"")"),"Imposição trolhas")</f>
        <v>Imposição trolhas</v>
      </c>
      <c r="H776" s="24"/>
      <c r="I776" s="24"/>
    </row>
    <row r="777" spans="1:9" ht="14.5">
      <c r="A777" s="20" t="s">
        <v>36176</v>
      </c>
      <c r="B777" s="20">
        <v>70</v>
      </c>
      <c r="C777" s="20">
        <v>50</v>
      </c>
      <c r="D777" s="20">
        <v>90</v>
      </c>
      <c r="E777" s="24"/>
      <c r="F777" s="20" t="s">
        <v>36177</v>
      </c>
      <c r="G777" s="24" t="str">
        <f ca="1">IFERROR(__xludf.DUMMYFUNCTION("GOOGLETRANSLATE(F777,""en"",""pt"")"),"flutuadores")</f>
        <v>flutuadores</v>
      </c>
      <c r="H777" s="24"/>
      <c r="I777" s="24"/>
    </row>
    <row r="778" spans="1:9" ht="14.5">
      <c r="A778" s="20" t="s">
        <v>36178</v>
      </c>
      <c r="B778" s="20">
        <v>70</v>
      </c>
      <c r="C778" s="20">
        <v>50</v>
      </c>
      <c r="D778" s="20">
        <v>90</v>
      </c>
      <c r="E778" s="20">
        <v>18</v>
      </c>
      <c r="F778" s="20" t="s">
        <v>36179</v>
      </c>
      <c r="G778" s="24" t="str">
        <f ca="1">IFERROR(__xludf.DUMMYFUNCTION("GOOGLETRANSLATE(F778,""en"",""pt"")"),"flutuadores cross-grained")</f>
        <v>flutuadores cross-grained</v>
      </c>
      <c r="H778" s="24"/>
      <c r="I778" s="24"/>
    </row>
    <row r="779" spans="1:9" ht="14.5">
      <c r="A779" s="20" t="s">
        <v>36180</v>
      </c>
      <c r="B779" s="20">
        <v>70</v>
      </c>
      <c r="C779" s="20">
        <v>50</v>
      </c>
      <c r="D779" s="20">
        <v>90</v>
      </c>
      <c r="E779" s="20">
        <v>22</v>
      </c>
      <c r="F779" s="20" t="s">
        <v>36181</v>
      </c>
      <c r="G779" s="24" t="str">
        <f ca="1">IFERROR(__xludf.DUMMYFUNCTION("GOOGLETRANSLATE(F779,""en"",""pt"")"),"flutuadores diabo")</f>
        <v>flutuadores diabo</v>
      </c>
      <c r="H779" s="24"/>
      <c r="I779" s="24"/>
    </row>
    <row r="780" spans="1:9" ht="14.5">
      <c r="A780" s="20" t="s">
        <v>36182</v>
      </c>
      <c r="B780" s="20">
        <v>70</v>
      </c>
      <c r="C780" s="20">
        <v>60</v>
      </c>
      <c r="D780" s="24"/>
      <c r="E780" s="24"/>
      <c r="F780" s="20" t="s">
        <v>36183</v>
      </c>
      <c r="G780" s="24" t="str">
        <f ca="1">IFERROR(__xludf.DUMMYFUNCTION("GOOGLETRANSLATE(F780,""en"",""pt"")"),"ferramentas elétricas")</f>
        <v>ferramentas elétricas</v>
      </c>
      <c r="H780" s="24"/>
      <c r="I780" s="24"/>
    </row>
    <row r="781" spans="1:9" ht="14.5">
      <c r="A781" s="20" t="s">
        <v>36184</v>
      </c>
      <c r="B781" s="20">
        <v>70</v>
      </c>
      <c r="C781" s="20">
        <v>60</v>
      </c>
      <c r="D781" s="20">
        <v>10</v>
      </c>
      <c r="E781" s="24"/>
      <c r="F781" s="20" t="s">
        <v>36185</v>
      </c>
      <c r="G781" s="24" t="str">
        <f ca="1">IFERROR(__xludf.DUMMYFUNCTION("GOOGLETRANSLATE(F781,""en"",""pt"")"),"Sanders")</f>
        <v>Sanders</v>
      </c>
      <c r="H781" s="24"/>
      <c r="I781" s="24"/>
    </row>
    <row r="782" spans="1:9" ht="14.5">
      <c r="A782" s="20" t="s">
        <v>36186</v>
      </c>
      <c r="B782" s="20">
        <v>70</v>
      </c>
      <c r="C782" s="20">
        <v>60</v>
      </c>
      <c r="D782" s="20">
        <v>10</v>
      </c>
      <c r="E782" s="20">
        <v>7</v>
      </c>
      <c r="F782" s="20" t="s">
        <v>36187</v>
      </c>
      <c r="G782" s="24" t="str">
        <f ca="1">IFERROR(__xludf.DUMMYFUNCTION("GOOGLETRANSLATE(F782,""en"",""pt"")"),"lixadeiras")</f>
        <v>lixadeiras</v>
      </c>
      <c r="H782" s="24"/>
      <c r="I782" s="24"/>
    </row>
    <row r="783" spans="1:9" ht="14.5">
      <c r="A783" s="20" t="s">
        <v>36188</v>
      </c>
      <c r="B783" s="20">
        <v>70</v>
      </c>
      <c r="C783" s="20">
        <v>60</v>
      </c>
      <c r="D783" s="20">
        <v>10</v>
      </c>
      <c r="E783" s="20">
        <v>58</v>
      </c>
      <c r="F783" s="20" t="s">
        <v>36189</v>
      </c>
      <c r="G783" s="24" t="str">
        <f ca="1">IFERROR(__xludf.DUMMYFUNCTION("GOOGLETRANSLATE(F783,""en"",""pt"")"),"orbital Sanders")</f>
        <v>orbital Sanders</v>
      </c>
      <c r="H783" s="24"/>
      <c r="I783" s="24"/>
    </row>
    <row r="784" spans="1:9" ht="14.5">
      <c r="A784" s="20" t="s">
        <v>36190</v>
      </c>
      <c r="B784" s="20">
        <v>70</v>
      </c>
      <c r="C784" s="20">
        <v>60</v>
      </c>
      <c r="D784" s="20">
        <v>20</v>
      </c>
      <c r="E784" s="24"/>
      <c r="F784" s="20" t="s">
        <v>36191</v>
      </c>
      <c r="G784" s="24" t="str">
        <f ca="1">IFERROR(__xludf.DUMMYFUNCTION("GOOGLETRANSLATE(F784,""en"",""pt"")"),"Grinders")</f>
        <v>Grinders</v>
      </c>
      <c r="H784" s="24"/>
      <c r="I784" s="24"/>
    </row>
    <row r="785" spans="1:9" ht="14.5">
      <c r="A785" s="20" t="s">
        <v>36192</v>
      </c>
      <c r="B785" s="20">
        <v>70</v>
      </c>
      <c r="C785" s="20">
        <v>60</v>
      </c>
      <c r="D785" s="20">
        <v>20</v>
      </c>
      <c r="E785" s="20">
        <v>3</v>
      </c>
      <c r="F785" s="20" t="s">
        <v>36193</v>
      </c>
      <c r="G785" s="24" t="str">
        <f ca="1">IFERROR(__xludf.DUMMYFUNCTION("GOOGLETRANSLATE(F785,""en"",""pt"")"),"rebarbadoras")</f>
        <v>rebarbadoras</v>
      </c>
      <c r="H785" s="24"/>
      <c r="I785" s="24"/>
    </row>
    <row r="786" spans="1:9" ht="14.5">
      <c r="A786" s="20" t="s">
        <v>36194</v>
      </c>
      <c r="B786" s="20">
        <v>70</v>
      </c>
      <c r="C786" s="20">
        <v>60</v>
      </c>
      <c r="D786" s="20">
        <v>20</v>
      </c>
      <c r="E786" s="20">
        <v>7</v>
      </c>
      <c r="F786" s="20" t="s">
        <v>36195</v>
      </c>
      <c r="G786" s="24" t="str">
        <f ca="1">IFERROR(__xludf.DUMMYFUNCTION("GOOGLETRANSLATE(F786,""en"",""pt"")"),"moedores de bancada")</f>
        <v>moedores de bancada</v>
      </c>
      <c r="H786" s="24"/>
      <c r="I786" s="24"/>
    </row>
    <row r="787" spans="1:9" ht="14.5">
      <c r="A787" s="20" t="s">
        <v>36196</v>
      </c>
      <c r="B787" s="20">
        <v>70</v>
      </c>
      <c r="C787" s="20">
        <v>60</v>
      </c>
      <c r="D787" s="20">
        <v>20</v>
      </c>
      <c r="E787" s="20">
        <v>84</v>
      </c>
      <c r="F787" s="20" t="s">
        <v>36197</v>
      </c>
      <c r="G787" s="24" t="str">
        <f ca="1">IFERROR(__xludf.DUMMYFUNCTION("GOOGLETRANSLATE(F787,""en"",""pt"")"),"rectificadoras direitas")</f>
        <v>rectificadoras direitas</v>
      </c>
      <c r="H787" s="24"/>
      <c r="I787" s="24"/>
    </row>
    <row r="788" spans="1:9" ht="14.5">
      <c r="A788" s="20" t="s">
        <v>36198</v>
      </c>
      <c r="B788" s="20">
        <v>70</v>
      </c>
      <c r="C788" s="20">
        <v>60</v>
      </c>
      <c r="D788" s="20">
        <v>30</v>
      </c>
      <c r="E788" s="24"/>
      <c r="F788" s="20" t="s">
        <v>36199</v>
      </c>
      <c r="G788" s="24" t="str">
        <f ca="1">IFERROR(__xludf.DUMMYFUNCTION("GOOGLETRANSLATE(F788,""en"",""pt"")"),"polidores")</f>
        <v>polidores</v>
      </c>
      <c r="H788" s="24"/>
      <c r="I788" s="24"/>
    </row>
    <row r="789" spans="1:9" ht="14.5">
      <c r="A789" s="20" t="s">
        <v>36200</v>
      </c>
      <c r="B789" s="20">
        <v>70</v>
      </c>
      <c r="C789" s="20">
        <v>60</v>
      </c>
      <c r="D789" s="20">
        <v>30</v>
      </c>
      <c r="E789" s="20">
        <v>30</v>
      </c>
      <c r="F789" s="20" t="s">
        <v>36201</v>
      </c>
      <c r="G789" s="24" t="str">
        <f ca="1">IFERROR(__xludf.DUMMYFUNCTION("GOOGLETRANSLATE(F789,""en"",""pt"")"),"enceradoras")</f>
        <v>enceradoras</v>
      </c>
      <c r="H789" s="24"/>
      <c r="I789" s="24"/>
    </row>
    <row r="790" spans="1:9" ht="14.5">
      <c r="A790" s="20" t="s">
        <v>36202</v>
      </c>
      <c r="B790" s="20">
        <v>70</v>
      </c>
      <c r="C790" s="20">
        <v>60</v>
      </c>
      <c r="D790" s="20">
        <v>40</v>
      </c>
      <c r="E790" s="24"/>
      <c r="F790" s="20" t="s">
        <v>36203</v>
      </c>
      <c r="G790" s="24" t="str">
        <f ca="1">IFERROR(__xludf.DUMMYFUNCTION("GOOGLETRANSLATE(F790,""en"",""pt"")"),"plainas")</f>
        <v>plainas</v>
      </c>
      <c r="H790" s="24"/>
      <c r="I790" s="24"/>
    </row>
    <row r="791" spans="1:9" ht="14.5">
      <c r="A791" s="20" t="s">
        <v>36204</v>
      </c>
      <c r="B791" s="20">
        <v>70</v>
      </c>
      <c r="C791" s="20">
        <v>60</v>
      </c>
      <c r="D791" s="20">
        <v>50</v>
      </c>
      <c r="E791" s="24"/>
      <c r="F791" s="20" t="s">
        <v>36205</v>
      </c>
      <c r="G791" s="24" t="str">
        <f ca="1">IFERROR(__xludf.DUMMYFUNCTION("GOOGLETRANSLATE(F791,""en"",""pt"")"),"routers")</f>
        <v>routers</v>
      </c>
      <c r="H791" s="24"/>
      <c r="I791" s="24"/>
    </row>
    <row r="792" spans="1:9" ht="14.5">
      <c r="A792" s="20" t="s">
        <v>36206</v>
      </c>
      <c r="B792" s="20">
        <v>70</v>
      </c>
      <c r="C792" s="20">
        <v>60</v>
      </c>
      <c r="D792" s="20">
        <v>60</v>
      </c>
      <c r="E792" s="24"/>
      <c r="F792" s="20" t="s">
        <v>36207</v>
      </c>
      <c r="G792" s="24" t="str">
        <f ca="1">IFERROR(__xludf.DUMMYFUNCTION("GOOGLETRANSLATE(F792,""en"",""pt"")"),"desbastadoras")</f>
        <v>desbastadoras</v>
      </c>
      <c r="H792" s="24"/>
      <c r="I792" s="24"/>
    </row>
    <row r="793" spans="1:9" ht="14.5">
      <c r="A793" s="20" t="s">
        <v>36208</v>
      </c>
      <c r="B793" s="20">
        <v>70</v>
      </c>
      <c r="C793" s="20">
        <v>60</v>
      </c>
      <c r="D793" s="20">
        <v>70</v>
      </c>
      <c r="E793" s="24"/>
      <c r="F793" s="20" t="s">
        <v>36209</v>
      </c>
      <c r="G793" s="24" t="str">
        <f ca="1">IFERROR(__xludf.DUMMYFUNCTION("GOOGLETRANSLATE(F793,""en"",""pt"")"),"rebentação")</f>
        <v>rebentação</v>
      </c>
      <c r="H793" s="24"/>
      <c r="I793" s="24"/>
    </row>
    <row r="794" spans="1:9" ht="14.5">
      <c r="A794" s="20" t="s">
        <v>36210</v>
      </c>
      <c r="B794" s="20">
        <v>70</v>
      </c>
      <c r="C794" s="20">
        <v>80</v>
      </c>
      <c r="D794" s="24"/>
      <c r="E794" s="24"/>
      <c r="F794" s="20" t="s">
        <v>36211</v>
      </c>
      <c r="G794" s="24" t="str">
        <f ca="1">IFERROR(__xludf.DUMMYFUNCTION("GOOGLETRANSLATE(F794,""en"",""pt"")"),"Equipamento de teste")</f>
        <v>Equipamento de teste</v>
      </c>
      <c r="H794" s="24"/>
      <c r="I794" s="24"/>
    </row>
    <row r="795" spans="1:9" ht="14.5">
      <c r="A795" s="20" t="s">
        <v>36212</v>
      </c>
      <c r="B795" s="20">
        <v>70</v>
      </c>
      <c r="C795" s="20">
        <v>80</v>
      </c>
      <c r="D795" s="20">
        <v>10</v>
      </c>
      <c r="E795" s="24"/>
      <c r="F795" s="20" t="s">
        <v>36213</v>
      </c>
      <c r="G795" s="24" t="str">
        <f ca="1">IFERROR(__xludf.DUMMYFUNCTION("GOOGLETRANSLATE(F795,""en"",""pt"")"),"equipamentos de teste de concreto")</f>
        <v>equipamentos de teste de concreto</v>
      </c>
      <c r="H795" s="24"/>
      <c r="I795" s="24"/>
    </row>
    <row r="796" spans="1:9" ht="14.5">
      <c r="A796" s="20" t="s">
        <v>36214</v>
      </c>
      <c r="B796" s="20">
        <v>70</v>
      </c>
      <c r="C796" s="20">
        <v>80</v>
      </c>
      <c r="D796" s="20">
        <v>20</v>
      </c>
      <c r="E796" s="24"/>
      <c r="F796" s="20" t="s">
        <v>36215</v>
      </c>
      <c r="G796" s="24" t="str">
        <f ca="1">IFERROR(__xludf.DUMMYFUNCTION("GOOGLETRANSLATE(F796,""en"",""pt"")"),"equipamentos de teste de dreno")</f>
        <v>equipamentos de teste de dreno</v>
      </c>
      <c r="H796" s="24"/>
      <c r="I796" s="24"/>
    </row>
    <row r="797" spans="1:9" ht="14.5">
      <c r="A797" s="20" t="s">
        <v>36216</v>
      </c>
      <c r="B797" s="20">
        <v>70</v>
      </c>
      <c r="C797" s="20">
        <v>80</v>
      </c>
      <c r="D797" s="20">
        <v>20</v>
      </c>
      <c r="E797" s="20">
        <v>80</v>
      </c>
      <c r="F797" s="20" t="s">
        <v>36217</v>
      </c>
      <c r="G797" s="24" t="str">
        <f ca="1">IFERROR(__xludf.DUMMYFUNCTION("GOOGLETRANSLATE(F797,""en"",""pt"")"),"teste de esgoto e equipamentos de inspeção")</f>
        <v>teste de esgoto e equipamentos de inspeção</v>
      </c>
      <c r="H797" s="24"/>
      <c r="I797" s="24"/>
    </row>
    <row r="798" spans="1:9" ht="14.5">
      <c r="A798" s="20" t="s">
        <v>36218</v>
      </c>
      <c r="B798" s="20">
        <v>70</v>
      </c>
      <c r="C798" s="20">
        <v>80</v>
      </c>
      <c r="D798" s="20">
        <v>25</v>
      </c>
      <c r="E798" s="24"/>
      <c r="F798" s="20" t="s">
        <v>36219</v>
      </c>
      <c r="G798" s="24" t="str">
        <f ca="1">IFERROR(__xludf.DUMMYFUNCTION("GOOGLETRANSLATE(F798,""en"",""pt"")"),"equipamentos de testes elétricos")</f>
        <v>equipamentos de testes elétricos</v>
      </c>
      <c r="H798" s="24"/>
      <c r="I798" s="24"/>
    </row>
    <row r="799" spans="1:9" ht="14.5">
      <c r="A799" s="20" t="s">
        <v>36220</v>
      </c>
      <c r="B799" s="20">
        <v>70</v>
      </c>
      <c r="C799" s="20">
        <v>80</v>
      </c>
      <c r="D799" s="20">
        <v>25</v>
      </c>
      <c r="E799" s="20">
        <v>11</v>
      </c>
      <c r="F799" s="20" t="s">
        <v>36221</v>
      </c>
      <c r="G799" s="24" t="str">
        <f ca="1">IFERROR(__xludf.DUMMYFUNCTION("GOOGLETRANSLATE(F799,""en"",""pt"")"),"reflectômetros falha no cabo")</f>
        <v>reflectômetros falha no cabo</v>
      </c>
      <c r="H799" s="24"/>
      <c r="I799" s="24"/>
    </row>
    <row r="800" spans="1:9" ht="14.5">
      <c r="A800" s="20" t="s">
        <v>36222</v>
      </c>
      <c r="B800" s="20">
        <v>70</v>
      </c>
      <c r="C800" s="20">
        <v>80</v>
      </c>
      <c r="D800" s="20">
        <v>25</v>
      </c>
      <c r="E800" s="20">
        <v>12</v>
      </c>
      <c r="F800" s="20" t="s">
        <v>36223</v>
      </c>
      <c r="G800" s="24" t="str">
        <f ca="1">IFERROR(__xludf.DUMMYFUNCTION("GOOGLETRANSLATE(F800,""en"",""pt"")"),"localizadores de falha no cabo")</f>
        <v>localizadores de falha no cabo</v>
      </c>
      <c r="H800" s="24"/>
      <c r="I800" s="24"/>
    </row>
    <row r="801" spans="1:9" ht="14.5">
      <c r="A801" s="20" t="s">
        <v>36224</v>
      </c>
      <c r="B801" s="20">
        <v>70</v>
      </c>
      <c r="C801" s="20">
        <v>80</v>
      </c>
      <c r="D801" s="20">
        <v>25</v>
      </c>
      <c r="E801" s="20">
        <v>15</v>
      </c>
      <c r="F801" s="20" t="s">
        <v>36225</v>
      </c>
      <c r="G801" s="24" t="str">
        <f ca="1">IFERROR(__xludf.DUMMYFUNCTION("GOOGLETRANSLATE(F801,""en"",""pt"")"),"alicates amperímetros")</f>
        <v>alicates amperímetros</v>
      </c>
      <c r="H801" s="24"/>
      <c r="I801" s="24"/>
    </row>
    <row r="802" spans="1:9" ht="14.5">
      <c r="A802" s="20" t="s">
        <v>36226</v>
      </c>
      <c r="B802" s="20">
        <v>70</v>
      </c>
      <c r="C802" s="20">
        <v>80</v>
      </c>
      <c r="D802" s="20">
        <v>25</v>
      </c>
      <c r="E802" s="20">
        <v>30</v>
      </c>
      <c r="F802" s="20" t="s">
        <v>36227</v>
      </c>
      <c r="G802" s="24" t="str">
        <f ca="1">IFERROR(__xludf.DUMMYFUNCTION("GOOGLETRANSLATE(F802,""en"",""pt"")"),"metros seletivos de frequência")</f>
        <v>metros seletivos de frequência</v>
      </c>
      <c r="H802" s="24"/>
      <c r="I802" s="24"/>
    </row>
    <row r="803" spans="1:9" ht="14.5">
      <c r="A803" s="20" t="s">
        <v>36228</v>
      </c>
      <c r="B803" s="20">
        <v>70</v>
      </c>
      <c r="C803" s="20">
        <v>80</v>
      </c>
      <c r="D803" s="20">
        <v>25</v>
      </c>
      <c r="E803" s="20">
        <v>32</v>
      </c>
      <c r="F803" s="20" t="s">
        <v>36229</v>
      </c>
      <c r="G803" s="24" t="str">
        <f ca="1">IFERROR(__xludf.DUMMYFUNCTION("GOOGLETRANSLATE(F803,""en"",""pt"")"),"kits localizador de fusíveis")</f>
        <v>kits localizador de fusíveis</v>
      </c>
      <c r="H803" s="24"/>
      <c r="I803" s="24"/>
    </row>
    <row r="804" spans="1:9" ht="14.5">
      <c r="A804" s="20" t="s">
        <v>36230</v>
      </c>
      <c r="B804" s="20">
        <v>70</v>
      </c>
      <c r="C804" s="20">
        <v>80</v>
      </c>
      <c r="D804" s="20">
        <v>25</v>
      </c>
      <c r="E804" s="20">
        <v>42</v>
      </c>
      <c r="F804" s="20" t="s">
        <v>36231</v>
      </c>
      <c r="G804" s="24" t="str">
        <f ca="1">IFERROR(__xludf.DUMMYFUNCTION("GOOGLETRANSLATE(F804,""en"",""pt"")"),"medidores de iluminância")</f>
        <v>medidores de iluminância</v>
      </c>
      <c r="H804" s="24"/>
      <c r="I804" s="24"/>
    </row>
    <row r="805" spans="1:9" ht="14.5">
      <c r="A805" s="20" t="s">
        <v>36232</v>
      </c>
      <c r="B805" s="20">
        <v>70</v>
      </c>
      <c r="C805" s="20">
        <v>80</v>
      </c>
      <c r="D805" s="20">
        <v>25</v>
      </c>
      <c r="E805" s="20">
        <v>44</v>
      </c>
      <c r="F805" s="20" t="s">
        <v>36233</v>
      </c>
      <c r="G805" s="24" t="str">
        <f ca="1">IFERROR(__xludf.DUMMYFUNCTION("GOOGLETRANSLATE(F805,""en"",""pt"")"),"metros de impedância")</f>
        <v>metros de impedância</v>
      </c>
      <c r="H805" s="24"/>
      <c r="I805" s="24"/>
    </row>
    <row r="806" spans="1:9" ht="14.5">
      <c r="A806" s="20" t="s">
        <v>36234</v>
      </c>
      <c r="B806" s="20">
        <v>70</v>
      </c>
      <c r="C806" s="20">
        <v>80</v>
      </c>
      <c r="D806" s="20">
        <v>25</v>
      </c>
      <c r="E806" s="20">
        <v>76</v>
      </c>
      <c r="F806" s="20" t="s">
        <v>36235</v>
      </c>
      <c r="G806" s="24" t="str">
        <f ca="1">IFERROR(__xludf.DUMMYFUNCTION("GOOGLETRANSLATE(F806,""en"",""pt"")"),"ScopeMeters")</f>
        <v>ScopeMeters</v>
      </c>
      <c r="H806" s="24"/>
      <c r="I806" s="24"/>
    </row>
    <row r="807" spans="1:9" ht="14.5">
      <c r="A807" s="20" t="s">
        <v>36236</v>
      </c>
      <c r="B807" s="20">
        <v>70</v>
      </c>
      <c r="C807" s="20">
        <v>80</v>
      </c>
      <c r="D807" s="20">
        <v>25</v>
      </c>
      <c r="E807" s="20">
        <v>92</v>
      </c>
      <c r="F807" s="20" t="s">
        <v>36237</v>
      </c>
      <c r="G807" s="24" t="str">
        <f ca="1">IFERROR(__xludf.DUMMYFUNCTION("GOOGLETRANSLATE(F807,""en"",""pt"")"),"detectores ultra-sónicos")</f>
        <v>detectores ultra-sónicos</v>
      </c>
      <c r="H807" s="24"/>
      <c r="I807" s="24"/>
    </row>
    <row r="808" spans="1:9" ht="14.5">
      <c r="A808" s="20" t="s">
        <v>36238</v>
      </c>
      <c r="B808" s="20">
        <v>70</v>
      </c>
      <c r="C808" s="20">
        <v>80</v>
      </c>
      <c r="D808" s="20">
        <v>40</v>
      </c>
      <c r="E808" s="24"/>
      <c r="F808" s="20" t="s">
        <v>36239</v>
      </c>
      <c r="G808" s="24" t="str">
        <f ca="1">IFERROR(__xludf.DUMMYFUNCTION("GOOGLETRANSLATE(F808,""en"",""pt"")"),"equipamentos de teste de tubo")</f>
        <v>equipamentos de teste de tubo</v>
      </c>
      <c r="H808" s="24"/>
      <c r="I808" s="24"/>
    </row>
    <row r="809" spans="1:9" ht="14.5">
      <c r="A809" s="20" t="s">
        <v>36240</v>
      </c>
      <c r="B809" s="20">
        <v>70</v>
      </c>
      <c r="C809" s="20">
        <v>80</v>
      </c>
      <c r="D809" s="20">
        <v>60</v>
      </c>
      <c r="E809" s="24"/>
      <c r="F809" s="20" t="s">
        <v>36241</v>
      </c>
      <c r="G809" s="24" t="str">
        <f ca="1">IFERROR(__xludf.DUMMYFUNCTION("GOOGLETRANSLATE(F809,""en"",""pt"")"),"equipamento de amostragem")</f>
        <v>equipamento de amostragem</v>
      </c>
      <c r="H809" s="24"/>
      <c r="I809" s="24"/>
    </row>
    <row r="810" spans="1:9" ht="14.5">
      <c r="A810" s="20" t="s">
        <v>36242</v>
      </c>
      <c r="B810" s="20">
        <v>70</v>
      </c>
      <c r="C810" s="20">
        <v>80</v>
      </c>
      <c r="D810" s="20">
        <v>80</v>
      </c>
      <c r="E810" s="24"/>
      <c r="F810" s="20" t="s">
        <v>36243</v>
      </c>
      <c r="G810" s="24" t="str">
        <f ca="1">IFERROR(__xludf.DUMMYFUNCTION("GOOGLETRANSLATE(F810,""en"",""pt"")"),"Instrumentos de pesagem para materiais de construção")</f>
        <v>Instrumentos de pesagem para materiais de construção</v>
      </c>
      <c r="H810" s="24"/>
      <c r="I810" s="24"/>
    </row>
    <row r="811" spans="1:9" ht="14.5">
      <c r="A811" s="20" t="s">
        <v>36244</v>
      </c>
      <c r="B811" s="20">
        <v>70</v>
      </c>
      <c r="C811" s="20">
        <v>80</v>
      </c>
      <c r="D811" s="20">
        <v>90</v>
      </c>
      <c r="E811" s="24"/>
      <c r="F811" s="20" t="s">
        <v>36245</v>
      </c>
      <c r="G811" s="24" t="str">
        <f ca="1">IFERROR(__xludf.DUMMYFUNCTION("GOOGLETRANSLATE(F811,""en"",""pt"")"),"máquinas de pesagem para veículos")</f>
        <v>máquinas de pesagem para veículos</v>
      </c>
      <c r="H811" s="24"/>
      <c r="I811" s="24"/>
    </row>
  </sheetData>
  <mergeCells count="1">
    <mergeCell ref="A1:E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I132"/>
  <sheetViews>
    <sheetView workbookViewId="0">
      <pane ySplit="3" topLeftCell="A4" activePane="bottomLeft" state="frozen"/>
      <selection pane="bottomLeft" activeCell="B5" sqref="B5"/>
    </sheetView>
  </sheetViews>
  <sheetFormatPr defaultColWidth="14.453125" defaultRowHeight="15.75" customHeight="1"/>
  <cols>
    <col min="6" max="6" width="31.54296875" customWidth="1"/>
  </cols>
  <sheetData>
    <row r="1" spans="1:9" ht="15.75" customHeight="1">
      <c r="A1" s="207" t="s">
        <v>36246</v>
      </c>
      <c r="B1" s="208"/>
      <c r="C1" s="208"/>
      <c r="D1" s="22"/>
      <c r="E1" s="22"/>
      <c r="F1" s="22"/>
      <c r="G1" s="22"/>
      <c r="H1" s="22"/>
      <c r="I1" s="22"/>
    </row>
    <row r="2" spans="1:9" ht="15.75" customHeight="1">
      <c r="A2" s="24"/>
      <c r="B2" s="24"/>
      <c r="C2" s="24"/>
      <c r="D2" s="24"/>
      <c r="E2" s="24"/>
      <c r="F2" s="24"/>
      <c r="G2" s="24"/>
      <c r="H2" s="24"/>
      <c r="I2" s="24"/>
    </row>
    <row r="3" spans="1:9" ht="15.75" customHeight="1">
      <c r="A3" s="25" t="s">
        <v>61</v>
      </c>
      <c r="B3" s="25" t="s">
        <v>62</v>
      </c>
      <c r="C3" s="25" t="s">
        <v>63</v>
      </c>
      <c r="D3" s="25" t="s">
        <v>64</v>
      </c>
      <c r="E3" s="25" t="s">
        <v>65</v>
      </c>
      <c r="F3" s="25" t="s">
        <v>66</v>
      </c>
      <c r="G3" s="1" t="s">
        <v>67</v>
      </c>
      <c r="H3" s="25" t="s">
        <v>78</v>
      </c>
      <c r="I3" s="25" t="s">
        <v>79</v>
      </c>
    </row>
    <row r="4" spans="1:9" ht="15.75" customHeight="1">
      <c r="A4" s="20" t="s">
        <v>36247</v>
      </c>
      <c r="B4" s="20">
        <v>10</v>
      </c>
      <c r="C4" s="24"/>
      <c r="D4" s="24"/>
      <c r="E4" s="24"/>
      <c r="F4" s="28" t="s">
        <v>36248</v>
      </c>
      <c r="G4" s="24" t="str">
        <f ca="1">IFERROR(__xludf.DUMMYFUNCTION("GOOGLETRANSLATE(F4,""en"",""pt"")"),"folha de título")</f>
        <v>folha de título</v>
      </c>
      <c r="H4" s="24"/>
      <c r="I4" s="24"/>
    </row>
    <row r="5" spans="1:9" ht="15.75" customHeight="1">
      <c r="A5" s="20" t="s">
        <v>36249</v>
      </c>
      <c r="B5" s="20">
        <v>10</v>
      </c>
      <c r="C5" s="20">
        <v>20</v>
      </c>
      <c r="D5" s="24"/>
      <c r="E5" s="24"/>
      <c r="F5" s="20" t="s">
        <v>36250</v>
      </c>
      <c r="G5" s="24" t="str">
        <f ca="1">IFERROR(__xludf.DUMMYFUNCTION("GOOGLETRANSLATE(F5,""en"",""pt"")"),"desenho quadro")</f>
        <v>desenho quadro</v>
      </c>
      <c r="H5" s="24"/>
      <c r="I5" s="24"/>
    </row>
    <row r="6" spans="1:9" ht="15.75" customHeight="1">
      <c r="A6" s="20" t="s">
        <v>36251</v>
      </c>
      <c r="B6" s="20">
        <v>10</v>
      </c>
      <c r="C6" s="20">
        <v>20</v>
      </c>
      <c r="D6" s="20">
        <v>45</v>
      </c>
      <c r="E6" s="24"/>
      <c r="F6" s="20" t="s">
        <v>36252</v>
      </c>
      <c r="G6" s="24" t="str">
        <f ca="1">IFERROR(__xludf.DUMMYFUNCTION("GOOGLETRANSLATE(F6,""en"",""pt"")"),"Logotipo")</f>
        <v>Logotipo</v>
      </c>
      <c r="H6" s="24"/>
      <c r="I6" s="24"/>
    </row>
    <row r="7" spans="1:9" ht="15.75" customHeight="1">
      <c r="A7" s="20" t="s">
        <v>36253</v>
      </c>
      <c r="B7" s="20">
        <v>10</v>
      </c>
      <c r="C7" s="20">
        <v>20</v>
      </c>
      <c r="D7" s="20">
        <v>95</v>
      </c>
      <c r="E7" s="24"/>
      <c r="F7" s="20" t="s">
        <v>36254</v>
      </c>
      <c r="G7" s="24" t="str">
        <f ca="1">IFERROR(__xludf.DUMMYFUNCTION("GOOGLETRANSLATE(F7,""en"",""pt"")"),"viewports")</f>
        <v>viewports</v>
      </c>
      <c r="H7" s="24"/>
      <c r="I7" s="24"/>
    </row>
    <row r="8" spans="1:9" ht="15.75" customHeight="1">
      <c r="A8" s="20" t="s">
        <v>36255</v>
      </c>
      <c r="B8" s="20">
        <v>10</v>
      </c>
      <c r="C8" s="20">
        <v>40</v>
      </c>
      <c r="D8" s="24"/>
      <c r="E8" s="24"/>
      <c r="F8" s="20" t="s">
        <v>36256</v>
      </c>
      <c r="G8" s="24" t="str">
        <f ca="1">IFERROR(__xludf.DUMMYFUNCTION("GOOGLETRANSLATE(F8,""en"",""pt"")"),"nuvens segurar e notação")</f>
        <v>nuvens segurar e notação</v>
      </c>
      <c r="H8" s="24"/>
      <c r="I8" s="24"/>
    </row>
    <row r="9" spans="1:9" ht="15.75" customHeight="1">
      <c r="A9" s="20" t="s">
        <v>36257</v>
      </c>
      <c r="B9" s="20">
        <v>10</v>
      </c>
      <c r="C9" s="20">
        <v>70</v>
      </c>
      <c r="D9" s="24"/>
      <c r="E9" s="24"/>
      <c r="F9" s="20" t="s">
        <v>36258</v>
      </c>
      <c r="G9" s="24" t="str">
        <f ca="1">IFERROR(__xludf.DUMMYFUNCTION("GOOGLETRANSLATE(F9,""en"",""pt"")"),"revisões")</f>
        <v>revisões</v>
      </c>
      <c r="H9" s="24"/>
      <c r="I9" s="24"/>
    </row>
    <row r="10" spans="1:9" ht="15.75" customHeight="1">
      <c r="A10" s="20" t="s">
        <v>36259</v>
      </c>
      <c r="B10" s="20">
        <v>10</v>
      </c>
      <c r="C10" s="20">
        <v>70</v>
      </c>
      <c r="D10" s="20">
        <v>5</v>
      </c>
      <c r="E10" s="24"/>
      <c r="F10" s="20" t="s">
        <v>36260</v>
      </c>
      <c r="G10" s="24" t="str">
        <f ca="1">IFERROR(__xludf.DUMMYFUNCTION("GOOGLETRANSLATE(F10,""en"",""pt"")"),"Anotação")</f>
        <v>Anotação</v>
      </c>
      <c r="H10" s="24"/>
      <c r="I10" s="24"/>
    </row>
    <row r="11" spans="1:9" ht="15.75" customHeight="1">
      <c r="A11" s="20" t="s">
        <v>36261</v>
      </c>
      <c r="B11" s="20">
        <v>10</v>
      </c>
      <c r="C11" s="20">
        <v>70</v>
      </c>
      <c r="D11" s="20">
        <v>10</v>
      </c>
      <c r="E11" s="24"/>
      <c r="F11" s="20" t="s">
        <v>36262</v>
      </c>
      <c r="G11" s="24" t="str">
        <f ca="1">IFERROR(__xludf.DUMMYFUNCTION("GOOGLETRANSLATE(F11,""en"",""pt"")"),"Blocos e células")</f>
        <v>Blocos e células</v>
      </c>
      <c r="H11" s="24"/>
      <c r="I11" s="24"/>
    </row>
    <row r="12" spans="1:9" ht="15.75" customHeight="1">
      <c r="A12" s="20" t="s">
        <v>36263</v>
      </c>
      <c r="B12" s="20">
        <v>10</v>
      </c>
      <c r="C12" s="20">
        <v>70</v>
      </c>
      <c r="D12" s="20">
        <v>20</v>
      </c>
      <c r="E12" s="24"/>
      <c r="F12" s="20" t="s">
        <v>36264</v>
      </c>
      <c r="G12" s="24" t="str">
        <f ca="1">IFERROR(__xludf.DUMMYFUNCTION("GOOGLETRANSLATE(F12,""en"",""pt"")"),"Nuvens e notações")</f>
        <v>Nuvens e notações</v>
      </c>
      <c r="H12" s="24"/>
      <c r="I12" s="24"/>
    </row>
    <row r="13" spans="1:9" ht="15.75" customHeight="1">
      <c r="A13" s="20" t="s">
        <v>36265</v>
      </c>
      <c r="B13" s="20">
        <v>10</v>
      </c>
      <c r="C13" s="20">
        <v>80</v>
      </c>
      <c r="D13" s="24"/>
      <c r="E13" s="24"/>
      <c r="F13" s="20" t="s">
        <v>36266</v>
      </c>
      <c r="G13" s="24" t="str">
        <f ca="1">IFERROR(__xludf.DUMMYFUNCTION("GOOGLETRANSLATE(F13,""en"",""pt"")"),"selos de status")</f>
        <v>selos de status</v>
      </c>
      <c r="H13" s="24"/>
      <c r="I13" s="24"/>
    </row>
    <row r="14" spans="1:9" ht="15.75" customHeight="1">
      <c r="A14" s="20" t="s">
        <v>36267</v>
      </c>
      <c r="B14" s="20">
        <v>20</v>
      </c>
      <c r="C14" s="24"/>
      <c r="D14" s="24"/>
      <c r="E14" s="24"/>
      <c r="F14" s="20" t="s">
        <v>36268</v>
      </c>
      <c r="G14" s="24" t="str">
        <f ca="1">IFERROR(__xludf.DUMMYFUNCTION("GOOGLETRANSLATE(F14,""en"",""pt"")"),"conteúdo textual")</f>
        <v>conteúdo textual</v>
      </c>
      <c r="H14" s="24"/>
      <c r="I14" s="24"/>
    </row>
    <row r="15" spans="1:9" ht="15.75" customHeight="1">
      <c r="A15" s="20" t="s">
        <v>36269</v>
      </c>
      <c r="B15" s="20">
        <v>20</v>
      </c>
      <c r="C15" s="20">
        <v>10</v>
      </c>
      <c r="D15" s="24"/>
      <c r="E15" s="24"/>
      <c r="F15" s="20" t="s">
        <v>36260</v>
      </c>
      <c r="G15" s="24" t="str">
        <f ca="1">IFERROR(__xludf.DUMMYFUNCTION("GOOGLETRANSLATE(F15,""en"",""pt"")"),"Anotação")</f>
        <v>Anotação</v>
      </c>
      <c r="H15" s="24"/>
      <c r="I15" s="24"/>
    </row>
    <row r="16" spans="1:9" ht="15.75" customHeight="1">
      <c r="A16" s="20" t="s">
        <v>36270</v>
      </c>
      <c r="B16" s="20">
        <v>20</v>
      </c>
      <c r="C16" s="20">
        <v>10</v>
      </c>
      <c r="D16" s="20">
        <v>40</v>
      </c>
      <c r="E16" s="24"/>
      <c r="F16" s="20" t="s">
        <v>36271</v>
      </c>
      <c r="G16" s="24" t="str">
        <f ca="1">IFERROR(__xludf.DUMMYFUNCTION("GOOGLETRANSLATE(F16,""en"",""pt"")"),"Keynotes")</f>
        <v>Keynotes</v>
      </c>
      <c r="H16" s="24"/>
      <c r="I16" s="24"/>
    </row>
    <row r="17" spans="1:9" ht="15.75" customHeight="1">
      <c r="A17" s="20" t="s">
        <v>36272</v>
      </c>
      <c r="B17" s="20">
        <v>20</v>
      </c>
      <c r="C17" s="20">
        <v>10</v>
      </c>
      <c r="D17" s="20">
        <v>45</v>
      </c>
      <c r="E17" s="24"/>
      <c r="F17" s="20" t="s">
        <v>36273</v>
      </c>
      <c r="G17" s="24" t="str">
        <f ca="1">IFERROR(__xludf.DUMMYFUNCTION("GOOGLETRANSLATE(F17,""en"",""pt"")"),"etiquetas")</f>
        <v>etiquetas</v>
      </c>
      <c r="H17" s="24"/>
      <c r="I17" s="24"/>
    </row>
    <row r="18" spans="1:9" ht="15.75" customHeight="1">
      <c r="A18" s="20" t="s">
        <v>36274</v>
      </c>
      <c r="B18" s="20">
        <v>20</v>
      </c>
      <c r="C18" s="20">
        <v>10</v>
      </c>
      <c r="D18" s="20">
        <v>50</v>
      </c>
      <c r="E18" s="24"/>
      <c r="F18" s="20" t="s">
        <v>36275</v>
      </c>
      <c r="G18" s="24" t="str">
        <f ca="1">IFERROR(__xludf.DUMMYFUNCTION("GOOGLETRANSLATE(F18,""en"",""pt"")"),"líderes")</f>
        <v>líderes</v>
      </c>
      <c r="H18" s="24"/>
      <c r="I18" s="24"/>
    </row>
    <row r="19" spans="1:9" ht="15.75" customHeight="1">
      <c r="A19" s="20" t="s">
        <v>36276</v>
      </c>
      <c r="B19" s="20">
        <v>20</v>
      </c>
      <c r="C19" s="20">
        <v>10</v>
      </c>
      <c r="D19" s="20">
        <v>55</v>
      </c>
      <c r="E19" s="24"/>
      <c r="F19" s="20" t="s">
        <v>36277</v>
      </c>
      <c r="G19" s="24" t="str">
        <f ca="1">IFERROR(__xludf.DUMMYFUNCTION("GOOGLETRANSLATE(F19,""en"",""pt"")"),"Notas")</f>
        <v>Notas</v>
      </c>
      <c r="H19" s="24"/>
      <c r="I19" s="24"/>
    </row>
    <row r="20" spans="1:9" ht="15.75" customHeight="1">
      <c r="A20" s="20" t="s">
        <v>36278</v>
      </c>
      <c r="B20" s="20">
        <v>20</v>
      </c>
      <c r="C20" s="20">
        <v>10</v>
      </c>
      <c r="D20" s="20">
        <v>70</v>
      </c>
      <c r="E20" s="24"/>
      <c r="F20" s="20" t="s">
        <v>36279</v>
      </c>
      <c r="G20" s="24" t="str">
        <f ca="1">IFERROR(__xludf.DUMMYFUNCTION("GOOGLETRANSLATE(F20,""en"",""pt"")"),"Referência")</f>
        <v>Referência</v>
      </c>
      <c r="H20" s="24"/>
      <c r="I20" s="24"/>
    </row>
    <row r="21" spans="1:9" ht="15.75" customHeight="1">
      <c r="A21" s="20" t="s">
        <v>36280</v>
      </c>
      <c r="B21" s="20">
        <v>20</v>
      </c>
      <c r="C21" s="20">
        <v>10</v>
      </c>
      <c r="D21" s="20">
        <v>85</v>
      </c>
      <c r="E21" s="24"/>
      <c r="F21" s="20" t="s">
        <v>36281</v>
      </c>
      <c r="G21" s="24" t="str">
        <f ca="1">IFERROR(__xludf.DUMMYFUNCTION("GOOGLETRANSLATE(F21,""en"",""pt"")"),"Tag")</f>
        <v>Tag</v>
      </c>
      <c r="H21" s="24"/>
      <c r="I21" s="24"/>
    </row>
    <row r="22" spans="1:9" ht="15.75" customHeight="1">
      <c r="A22" s="20" t="s">
        <v>36282</v>
      </c>
      <c r="B22" s="20">
        <v>20</v>
      </c>
      <c r="C22" s="20">
        <v>10</v>
      </c>
      <c r="D22" s="20">
        <v>90</v>
      </c>
      <c r="E22" s="24"/>
      <c r="F22" s="20" t="s">
        <v>36283</v>
      </c>
      <c r="G22" s="24" t="str">
        <f ca="1">IFERROR(__xludf.DUMMYFUNCTION("GOOGLETRANSLATE(F22,""en"",""pt"")"),"Texto")</f>
        <v>Texto</v>
      </c>
      <c r="H22" s="24"/>
      <c r="I22" s="24"/>
    </row>
    <row r="23" spans="1:9" ht="15.75" customHeight="1">
      <c r="A23" s="20" t="s">
        <v>36284</v>
      </c>
      <c r="B23" s="20">
        <v>20</v>
      </c>
      <c r="C23" s="20">
        <v>20</v>
      </c>
      <c r="D23" s="24"/>
      <c r="E23" s="24"/>
      <c r="F23" s="20" t="s">
        <v>36285</v>
      </c>
      <c r="G23" s="24" t="str">
        <f ca="1">IFERROR(__xludf.DUMMYFUNCTION("GOOGLETRANSLATE(F23,""en"",""pt"")"),"dimensões")</f>
        <v>dimensões</v>
      </c>
      <c r="H23" s="24"/>
      <c r="I23" s="24"/>
    </row>
    <row r="24" spans="1:9" ht="15.75" customHeight="1">
      <c r="A24" s="20" t="s">
        <v>36286</v>
      </c>
      <c r="B24" s="20">
        <v>20</v>
      </c>
      <c r="C24" s="20">
        <v>30</v>
      </c>
      <c r="D24" s="24"/>
      <c r="E24" s="24"/>
      <c r="F24" s="20" t="s">
        <v>36287</v>
      </c>
      <c r="G24" s="24" t="str">
        <f ca="1">IFERROR(__xludf.DUMMYFUNCTION("GOOGLETRANSLATE(F24,""en"",""pt"")"),"mascaramento geral")</f>
        <v>mascaramento geral</v>
      </c>
      <c r="H24" s="24"/>
      <c r="I24" s="24"/>
    </row>
    <row r="25" spans="1:9" ht="15.75" customHeight="1">
      <c r="A25" s="20" t="s">
        <v>36288</v>
      </c>
      <c r="B25" s="20">
        <v>20</v>
      </c>
      <c r="C25" s="20">
        <v>30</v>
      </c>
      <c r="D25" s="20">
        <v>50</v>
      </c>
      <c r="E25" s="24"/>
      <c r="F25" s="20" t="s">
        <v>36289</v>
      </c>
      <c r="G25" s="24" t="str">
        <f ca="1">IFERROR(__xludf.DUMMYFUNCTION("GOOGLETRANSLATE(F25,""en"",""pt"")"),"máscaras")</f>
        <v>máscaras</v>
      </c>
      <c r="H25" s="24"/>
      <c r="I25" s="24"/>
    </row>
    <row r="26" spans="1:9" ht="15.75" customHeight="1">
      <c r="A26" s="20" t="s">
        <v>36290</v>
      </c>
      <c r="B26" s="20">
        <v>20</v>
      </c>
      <c r="C26" s="20">
        <v>30</v>
      </c>
      <c r="D26" s="20">
        <v>95</v>
      </c>
      <c r="E26" s="24"/>
      <c r="F26" s="20" t="s">
        <v>36291</v>
      </c>
      <c r="G26" s="24" t="str">
        <f ca="1">IFERROR(__xludf.DUMMYFUNCTION("GOOGLETRANSLATE(F26,""en"",""pt"")"),"wipeouts")</f>
        <v>wipeouts</v>
      </c>
      <c r="H26" s="24"/>
      <c r="I26" s="24"/>
    </row>
    <row r="27" spans="1:9" ht="15.75" customHeight="1">
      <c r="A27" s="20" t="s">
        <v>36292</v>
      </c>
      <c r="B27" s="20">
        <v>20</v>
      </c>
      <c r="C27" s="20">
        <v>40</v>
      </c>
      <c r="D27" s="24"/>
      <c r="E27" s="24"/>
      <c r="F27" s="20" t="s">
        <v>36293</v>
      </c>
      <c r="G27" s="24" t="str">
        <f ca="1">IFERROR(__xludf.DUMMYFUNCTION("GOOGLETRANSLATE(F27,""en"",""pt"")"),"Hatching")</f>
        <v>Hatching</v>
      </c>
      <c r="H27" s="24"/>
      <c r="I27" s="24"/>
    </row>
    <row r="28" spans="1:9" ht="15.75" customHeight="1">
      <c r="A28" s="20" t="s">
        <v>36294</v>
      </c>
      <c r="B28" s="20">
        <v>20</v>
      </c>
      <c r="C28" s="20">
        <v>40</v>
      </c>
      <c r="D28" s="20">
        <v>5</v>
      </c>
      <c r="E28" s="24"/>
      <c r="F28" s="20" t="s">
        <v>36295</v>
      </c>
      <c r="G28" s="24" t="str">
        <f ca="1">IFERROR(__xludf.DUMMYFUNCTION("GOOGLETRANSLATE(F28,""en"",""pt"")"),"preencher a área")</f>
        <v>preencher a área</v>
      </c>
      <c r="H28" s="24"/>
      <c r="I28" s="24"/>
    </row>
    <row r="29" spans="1:9" ht="15.75" customHeight="1">
      <c r="A29" s="20" t="s">
        <v>36296</v>
      </c>
      <c r="B29" s="20">
        <v>20</v>
      </c>
      <c r="C29" s="20">
        <v>40</v>
      </c>
      <c r="D29" s="20">
        <v>35</v>
      </c>
      <c r="E29" s="24"/>
      <c r="F29" s="20" t="s">
        <v>36297</v>
      </c>
      <c r="G29" s="24" t="str">
        <f ca="1">IFERROR(__xludf.DUMMYFUNCTION("GOOGLETRANSLATE(F29,""en"",""pt"")"),"fronteiras de tramas")</f>
        <v>fronteiras de tramas</v>
      </c>
      <c r="H29" s="24"/>
      <c r="I29" s="24"/>
    </row>
    <row r="30" spans="1:9" ht="15.75" customHeight="1">
      <c r="A30" s="20" t="s">
        <v>36298</v>
      </c>
      <c r="B30" s="20">
        <v>20</v>
      </c>
      <c r="C30" s="20">
        <v>40</v>
      </c>
      <c r="D30" s="20">
        <v>60</v>
      </c>
      <c r="E30" s="24"/>
      <c r="F30" s="20" t="s">
        <v>36299</v>
      </c>
      <c r="G30" s="24" t="str">
        <f ca="1">IFERROR(__xludf.DUMMYFUNCTION("GOOGLETRANSLATE(F30,""en"",""pt"")"),"padronizar")</f>
        <v>padronizar</v>
      </c>
      <c r="H30" s="24"/>
      <c r="I30" s="24"/>
    </row>
    <row r="31" spans="1:9" ht="15.75" customHeight="1">
      <c r="A31" s="20" t="s">
        <v>36300</v>
      </c>
      <c r="B31" s="20">
        <v>20</v>
      </c>
      <c r="C31" s="20">
        <v>40</v>
      </c>
      <c r="D31" s="20">
        <v>80</v>
      </c>
      <c r="E31" s="24"/>
      <c r="F31" s="20" t="s">
        <v>36301</v>
      </c>
      <c r="G31" s="24" t="str">
        <f ca="1">IFERROR(__xludf.DUMMYFUNCTION("GOOGLETRANSLATE(F31,""en"",""pt"")"),"preenchimento sólido")</f>
        <v>preenchimento sólido</v>
      </c>
      <c r="H31" s="24"/>
      <c r="I31" s="24"/>
    </row>
    <row r="32" spans="1:9" ht="15.75" customHeight="1">
      <c r="A32" s="20" t="s">
        <v>36302</v>
      </c>
      <c r="B32" s="20">
        <v>20</v>
      </c>
      <c r="C32" s="20">
        <v>70</v>
      </c>
      <c r="D32" s="24"/>
      <c r="E32" s="24"/>
      <c r="F32" s="20" t="s">
        <v>36303</v>
      </c>
      <c r="G32" s="24" t="str">
        <f ca="1">IFERROR(__xludf.DUMMYFUNCTION("GOOGLETRANSLATE(F32,""en"",""pt"")"),"redlining")</f>
        <v>redlining</v>
      </c>
      <c r="H32" s="24"/>
      <c r="I32" s="24"/>
    </row>
    <row r="33" spans="1:9" ht="15.75" customHeight="1">
      <c r="A33" s="20" t="s">
        <v>36304</v>
      </c>
      <c r="B33" s="20">
        <v>20</v>
      </c>
      <c r="C33" s="20">
        <v>70</v>
      </c>
      <c r="D33" s="20">
        <v>20</v>
      </c>
      <c r="E33" s="24"/>
      <c r="F33" s="20" t="s">
        <v>36305</v>
      </c>
      <c r="G33" s="24" t="str">
        <f ca="1">IFERROR(__xludf.DUMMYFUNCTION("GOOGLETRANSLATE(F33,""en"",""pt"")"),"Comentários")</f>
        <v>Comentários</v>
      </c>
      <c r="H33" s="24"/>
      <c r="I33" s="24"/>
    </row>
    <row r="34" spans="1:9" ht="15.75" customHeight="1">
      <c r="A34" s="20" t="s">
        <v>36306</v>
      </c>
      <c r="B34" s="20">
        <v>20</v>
      </c>
      <c r="C34" s="20">
        <v>80</v>
      </c>
      <c r="D34" s="24"/>
      <c r="E34" s="24"/>
      <c r="F34" s="20" t="s">
        <v>36307</v>
      </c>
      <c r="G34" s="24" t="str">
        <f ca="1">IFERROR(__xludf.DUMMYFUNCTION("GOOGLETRANSLATE(F34,""en"",""pt"")"),"símbolos")</f>
        <v>símbolos</v>
      </c>
      <c r="H34" s="24"/>
      <c r="I34" s="24"/>
    </row>
    <row r="35" spans="1:9" ht="15.75" customHeight="1">
      <c r="A35" s="20" t="s">
        <v>36308</v>
      </c>
      <c r="B35" s="20">
        <v>20</v>
      </c>
      <c r="C35" s="20">
        <v>80</v>
      </c>
      <c r="D35" s="20">
        <v>10</v>
      </c>
      <c r="E35" s="24"/>
      <c r="F35" s="20" t="s">
        <v>36309</v>
      </c>
      <c r="G35" s="24" t="str">
        <f ca="1">IFERROR(__xludf.DUMMYFUNCTION("GOOGLETRANSLATE(F35,""en"",""pt"")"),"Barscales")</f>
        <v>Barscales</v>
      </c>
      <c r="H35" s="24"/>
      <c r="I35" s="24"/>
    </row>
    <row r="36" spans="1:9" ht="15.75" customHeight="1">
      <c r="A36" s="20" t="s">
        <v>36310</v>
      </c>
      <c r="B36" s="20">
        <v>20</v>
      </c>
      <c r="C36" s="20">
        <v>80</v>
      </c>
      <c r="D36" s="20">
        <v>15</v>
      </c>
      <c r="E36" s="24"/>
      <c r="F36" s="20" t="s">
        <v>36311</v>
      </c>
      <c r="G36" s="24" t="str">
        <f ca="1">IFERROR(__xludf.DUMMYFUNCTION("GOOGLETRANSLATE(F36,""en"",""pt"")"),"Referências cruzadas")</f>
        <v>Referências cruzadas</v>
      </c>
      <c r="H36" s="24"/>
      <c r="I36" s="24"/>
    </row>
    <row r="37" spans="1:9" ht="15.75" customHeight="1">
      <c r="A37" s="20" t="s">
        <v>36312</v>
      </c>
      <c r="B37" s="20">
        <v>20</v>
      </c>
      <c r="C37" s="20">
        <v>80</v>
      </c>
      <c r="D37" s="20">
        <v>40</v>
      </c>
      <c r="E37" s="24"/>
      <c r="F37" s="20" t="s">
        <v>36313</v>
      </c>
      <c r="G37" s="24" t="str">
        <f ca="1">IFERROR(__xludf.DUMMYFUNCTION("GOOGLETRANSLATE(F37,""en"",""pt"")"),"Plano chave")</f>
        <v>Plano chave</v>
      </c>
      <c r="H37" s="24"/>
      <c r="I37" s="24"/>
    </row>
    <row r="38" spans="1:9" ht="15.75" customHeight="1">
      <c r="A38" s="20" t="s">
        <v>36314</v>
      </c>
      <c r="B38" s="20">
        <v>20</v>
      </c>
      <c r="C38" s="20">
        <v>80</v>
      </c>
      <c r="D38" s="20">
        <v>50</v>
      </c>
      <c r="E38" s="24"/>
      <c r="F38" s="20" t="s">
        <v>36315</v>
      </c>
      <c r="G38" s="24" t="str">
        <f ca="1">IFERROR(__xludf.DUMMYFUNCTION("GOOGLETRANSLATE(F38,""en"",""pt"")"),"Legendas")</f>
        <v>Legendas</v>
      </c>
      <c r="H38" s="24"/>
      <c r="I38" s="24"/>
    </row>
    <row r="39" spans="1:9" ht="14.5">
      <c r="A39" s="20" t="s">
        <v>36316</v>
      </c>
      <c r="B39" s="20">
        <v>20</v>
      </c>
      <c r="C39" s="20">
        <v>80</v>
      </c>
      <c r="D39" s="20">
        <v>55</v>
      </c>
      <c r="E39" s="24"/>
      <c r="F39" s="20" t="s">
        <v>36317</v>
      </c>
      <c r="G39" s="24" t="str">
        <f ca="1">IFERROR(__xludf.DUMMYFUNCTION("GOOGLETRANSLATE(F39,""en"",""pt"")"),"Ponto Norte")</f>
        <v>Ponto Norte</v>
      </c>
      <c r="H39" s="24"/>
      <c r="I39" s="24"/>
    </row>
    <row r="40" spans="1:9" ht="14.5">
      <c r="A40" s="20" t="s">
        <v>36318</v>
      </c>
      <c r="B40" s="20">
        <v>20</v>
      </c>
      <c r="C40" s="20">
        <v>90</v>
      </c>
      <c r="D40" s="24"/>
      <c r="E40" s="24"/>
      <c r="F40" s="20" t="s">
        <v>36319</v>
      </c>
      <c r="G40" s="24" t="str">
        <f ca="1">IFERROR(__xludf.DUMMYFUNCTION("GOOGLETRANSLATE(F40,""en"",""pt"")"),"anotação título")</f>
        <v>anotação título</v>
      </c>
      <c r="H40" s="24"/>
      <c r="I40" s="24"/>
    </row>
    <row r="41" spans="1:9" ht="14.5">
      <c r="A41" s="20" t="s">
        <v>36320</v>
      </c>
      <c r="B41" s="20">
        <v>30</v>
      </c>
      <c r="C41" s="24"/>
      <c r="D41" s="24"/>
      <c r="E41" s="24"/>
      <c r="F41" s="20" t="s">
        <v>36321</v>
      </c>
      <c r="G41" s="24" t="str">
        <f ca="1">IFERROR(__xludf.DUMMYFUNCTION("GOOGLETRANSLATE(F41,""en"",""pt"")"),"inserções")</f>
        <v>inserções</v>
      </c>
      <c r="H41" s="24"/>
      <c r="I41" s="24"/>
    </row>
    <row r="42" spans="1:9" ht="14.5">
      <c r="A42" s="20" t="s">
        <v>36322</v>
      </c>
      <c r="B42" s="20">
        <v>30</v>
      </c>
      <c r="C42" s="20">
        <v>20</v>
      </c>
      <c r="D42" s="24"/>
      <c r="E42" s="24"/>
      <c r="F42" s="20" t="s">
        <v>36262</v>
      </c>
      <c r="G42" s="24" t="str">
        <f ca="1">IFERROR(__xludf.DUMMYFUNCTION("GOOGLETRANSLATE(F42,""en"",""pt"")"),"Blocos e células")</f>
        <v>Blocos e células</v>
      </c>
      <c r="H42" s="24"/>
      <c r="I42" s="24"/>
    </row>
    <row r="43" spans="1:9" ht="14.5">
      <c r="A43" s="20" t="s">
        <v>36323</v>
      </c>
      <c r="B43" s="20">
        <v>30</v>
      </c>
      <c r="C43" s="20">
        <v>30</v>
      </c>
      <c r="D43" s="24"/>
      <c r="E43" s="24"/>
      <c r="F43" s="20" t="s">
        <v>36324</v>
      </c>
      <c r="G43" s="24" t="str">
        <f ca="1">IFERROR(__xludf.DUMMYFUNCTION("GOOGLETRANSLATE(F43,""en"",""pt"")"),"referências externas")</f>
        <v>referências externas</v>
      </c>
      <c r="H43" s="24"/>
      <c r="I43" s="24"/>
    </row>
    <row r="44" spans="1:9" ht="14.5">
      <c r="A44" s="20" t="s">
        <v>36325</v>
      </c>
      <c r="B44" s="20">
        <v>30</v>
      </c>
      <c r="C44" s="20">
        <v>40</v>
      </c>
      <c r="D44" s="24"/>
      <c r="E44" s="24"/>
      <c r="F44" s="20" t="s">
        <v>36326</v>
      </c>
      <c r="G44" s="24" t="str">
        <f ca="1">IFERROR(__xludf.DUMMYFUNCTION("GOOGLETRANSLATE(F44,""en"",""pt"")"),"imagens")</f>
        <v>imagens</v>
      </c>
      <c r="H44" s="24"/>
      <c r="I44" s="24"/>
    </row>
    <row r="45" spans="1:9" ht="14.5">
      <c r="A45" s="20" t="s">
        <v>36327</v>
      </c>
      <c r="B45" s="20">
        <v>30</v>
      </c>
      <c r="C45" s="20">
        <v>60</v>
      </c>
      <c r="D45" s="24"/>
      <c r="E45" s="24"/>
      <c r="F45" s="20" t="s">
        <v>36328</v>
      </c>
      <c r="G45" s="24" t="str">
        <f ca="1">IFERROR(__xludf.DUMMYFUNCTION("GOOGLETRANSLATE(F45,""en"",""pt"")"),"objetos")</f>
        <v>objetos</v>
      </c>
      <c r="H45" s="24"/>
      <c r="I45" s="24"/>
    </row>
    <row r="46" spans="1:9" ht="14.5">
      <c r="A46" s="20" t="s">
        <v>36329</v>
      </c>
      <c r="B46" s="20">
        <v>30</v>
      </c>
      <c r="C46" s="20">
        <v>90</v>
      </c>
      <c r="D46" s="24"/>
      <c r="E46" s="24"/>
      <c r="F46" s="20" t="s">
        <v>36330</v>
      </c>
      <c r="G46" s="24" t="str">
        <f ca="1">IFERROR(__xludf.DUMMYFUNCTION("GOOGLETRANSLATE(F46,""en"",""pt"")"),"Tabelas e horários")</f>
        <v>Tabelas e horários</v>
      </c>
      <c r="H46" s="24"/>
      <c r="I46" s="24"/>
    </row>
    <row r="47" spans="1:9" ht="14.5">
      <c r="A47" s="20" t="s">
        <v>36331</v>
      </c>
      <c r="B47" s="20">
        <v>35</v>
      </c>
      <c r="C47" s="24"/>
      <c r="D47" s="24"/>
      <c r="E47" s="24"/>
      <c r="F47" s="20" t="s">
        <v>3321</v>
      </c>
      <c r="G47" s="24" t="str">
        <f ca="1">IFERROR(__xludf.DUMMYFUNCTION("GOOGLETRANSLATE(F47,""en"",""pt"")"),"estabelecendo")</f>
        <v>estabelecendo</v>
      </c>
      <c r="H47" s="24"/>
      <c r="I47" s="24"/>
    </row>
    <row r="48" spans="1:9" ht="14.5">
      <c r="A48" s="20" t="s">
        <v>36332</v>
      </c>
      <c r="B48" s="20">
        <v>35</v>
      </c>
      <c r="C48" s="20">
        <v>10</v>
      </c>
      <c r="D48" s="24"/>
      <c r="E48" s="24"/>
      <c r="F48" s="20" t="s">
        <v>36333</v>
      </c>
      <c r="G48" s="24" t="str">
        <f ca="1">IFERROR(__xludf.DUMMYFUNCTION("GOOGLETRANSLATE(F48,""en"",""pt"")"),"Alinhamentos e super elevações")</f>
        <v>Alinhamentos e super elevações</v>
      </c>
      <c r="H48" s="24"/>
      <c r="I48" s="24"/>
    </row>
    <row r="49" spans="1:9" ht="14.5">
      <c r="A49" s="20" t="s">
        <v>36334</v>
      </c>
      <c r="B49" s="20">
        <v>35</v>
      </c>
      <c r="C49" s="20">
        <v>10</v>
      </c>
      <c r="D49" s="20">
        <v>40</v>
      </c>
      <c r="E49" s="24"/>
      <c r="F49" s="20" t="s">
        <v>36335</v>
      </c>
      <c r="G49" s="24" t="str">
        <f ca="1">IFERROR(__xludf.DUMMYFUNCTION("GOOGLETRANSLATE(F49,""en"",""pt"")"),"Alinhamento horizontal")</f>
        <v>Alinhamento horizontal</v>
      </c>
      <c r="H49" s="24"/>
      <c r="I49" s="24"/>
    </row>
    <row r="50" spans="1:9" ht="14.5">
      <c r="A50" s="20" t="s">
        <v>36336</v>
      </c>
      <c r="B50" s="20">
        <v>35</v>
      </c>
      <c r="C50" s="20">
        <v>10</v>
      </c>
      <c r="D50" s="20">
        <v>80</v>
      </c>
      <c r="E50" s="24"/>
      <c r="F50" s="20" t="s">
        <v>36337</v>
      </c>
      <c r="G50" s="24" t="str">
        <f ca="1">IFERROR(__xludf.DUMMYFUNCTION("GOOGLETRANSLATE(F50,""en"",""pt"")"),"Super elevação")</f>
        <v>Super elevação</v>
      </c>
      <c r="H50" s="24"/>
      <c r="I50" s="24"/>
    </row>
    <row r="51" spans="1:9" ht="14.5">
      <c r="A51" s="20" t="s">
        <v>36338</v>
      </c>
      <c r="B51" s="20">
        <v>35</v>
      </c>
      <c r="C51" s="20">
        <v>10</v>
      </c>
      <c r="D51" s="20">
        <v>90</v>
      </c>
      <c r="E51" s="24"/>
      <c r="F51" s="20" t="s">
        <v>36339</v>
      </c>
      <c r="G51" s="24" t="str">
        <f ca="1">IFERROR(__xludf.DUMMYFUNCTION("GOOGLETRANSLATE(F51,""en"",""pt"")"),"Alinhamento vertical")</f>
        <v>Alinhamento vertical</v>
      </c>
      <c r="H51" s="24"/>
      <c r="I51" s="24"/>
    </row>
    <row r="52" spans="1:9" ht="14.5">
      <c r="A52" s="20" t="s">
        <v>36340</v>
      </c>
      <c r="B52" s="20">
        <v>35</v>
      </c>
      <c r="C52" s="20">
        <v>20</v>
      </c>
      <c r="D52" s="24"/>
      <c r="E52" s="24"/>
      <c r="F52" s="20" t="s">
        <v>36341</v>
      </c>
      <c r="G52" s="24" t="str">
        <f ca="1">IFERROR(__xludf.DUMMYFUNCTION("GOOGLETRANSLATE(F52,""en"",""pt"")"),"eixos")</f>
        <v>eixos</v>
      </c>
      <c r="H52" s="24"/>
      <c r="I52" s="24"/>
    </row>
    <row r="53" spans="1:9" ht="14.5">
      <c r="A53" s="20" t="s">
        <v>36342</v>
      </c>
      <c r="B53" s="20">
        <v>35</v>
      </c>
      <c r="C53" s="20">
        <v>30</v>
      </c>
      <c r="D53" s="24"/>
      <c r="E53" s="24"/>
      <c r="F53" s="20" t="s">
        <v>36343</v>
      </c>
      <c r="G53" s="24" t="str">
        <f ca="1">IFERROR(__xludf.DUMMYFUNCTION("GOOGLETRANSLATE(F53,""en"",""pt"")"),"pontos de controle geoespaciais")</f>
        <v>pontos de controle geoespaciais</v>
      </c>
      <c r="H53" s="24"/>
      <c r="I53" s="24"/>
    </row>
    <row r="54" spans="1:9" ht="14.5">
      <c r="A54" s="20" t="s">
        <v>36344</v>
      </c>
      <c r="B54" s="20">
        <v>35</v>
      </c>
      <c r="C54" s="20">
        <v>40</v>
      </c>
      <c r="D54" s="24"/>
      <c r="E54" s="24"/>
      <c r="F54" s="20" t="s">
        <v>36345</v>
      </c>
      <c r="G54" s="24" t="str">
        <f ca="1">IFERROR(__xludf.DUMMYFUNCTION("GOOGLETRANSLATE(F54,""en"",""pt"")"),"linhas de grade")</f>
        <v>linhas de grade</v>
      </c>
      <c r="H54" s="24"/>
      <c r="I54" s="24"/>
    </row>
    <row r="55" spans="1:9" ht="14.5">
      <c r="A55" s="20" t="s">
        <v>36346</v>
      </c>
      <c r="B55" s="20">
        <v>35</v>
      </c>
      <c r="C55" s="20">
        <v>40</v>
      </c>
      <c r="D55" s="20">
        <v>20</v>
      </c>
      <c r="E55" s="24"/>
      <c r="F55" s="20" t="s">
        <v>36347</v>
      </c>
      <c r="G55" s="24" t="str">
        <f ca="1">IFERROR(__xludf.DUMMYFUNCTION("GOOGLETRANSLATE(F55,""en"",""pt"")"),"grade do teto")</f>
        <v>grade do teto</v>
      </c>
      <c r="H55" s="24"/>
      <c r="I55" s="24"/>
    </row>
    <row r="56" spans="1:9" ht="14.5">
      <c r="A56" s="20" t="s">
        <v>36348</v>
      </c>
      <c r="B56" s="20">
        <v>35</v>
      </c>
      <c r="C56" s="20">
        <v>40</v>
      </c>
      <c r="D56" s="20">
        <v>80</v>
      </c>
      <c r="E56" s="24"/>
      <c r="F56" s="20" t="s">
        <v>36349</v>
      </c>
      <c r="G56" s="24" t="str">
        <f ca="1">IFERROR(__xludf.DUMMYFUNCTION("GOOGLETRANSLATE(F56,""en"",""pt"")"),"grade estrutural")</f>
        <v>grade estrutural</v>
      </c>
      <c r="H56" s="24"/>
      <c r="I56" s="24"/>
    </row>
    <row r="57" spans="1:9" ht="14.5">
      <c r="A57" s="20" t="s">
        <v>36350</v>
      </c>
      <c r="B57" s="20">
        <v>35</v>
      </c>
      <c r="C57" s="20">
        <v>60</v>
      </c>
      <c r="D57" s="24"/>
      <c r="E57" s="24"/>
      <c r="F57" s="20" t="s">
        <v>36351</v>
      </c>
      <c r="G57" s="24" t="str">
        <f ca="1">IFERROR(__xludf.DUMMYFUNCTION("GOOGLETRANSLATE(F57,""en"",""pt"")"),"Pontos")</f>
        <v>Pontos</v>
      </c>
      <c r="H57" s="24"/>
      <c r="I57" s="24"/>
    </row>
    <row r="58" spans="1:9" ht="14.5">
      <c r="A58" s="20" t="s">
        <v>36352</v>
      </c>
      <c r="B58" s="20">
        <v>35</v>
      </c>
      <c r="C58" s="20">
        <v>80</v>
      </c>
      <c r="D58" s="24"/>
      <c r="E58" s="24"/>
      <c r="F58" s="20" t="s">
        <v>36353</v>
      </c>
      <c r="G58" s="24" t="str">
        <f ca="1">IFERROR(__xludf.DUMMYFUNCTION("GOOGLETRANSLATE(F58,""en"",""pt"")"),"pontos de controle pesquisa")</f>
        <v>pontos de controle pesquisa</v>
      </c>
      <c r="H58" s="24"/>
      <c r="I58" s="24"/>
    </row>
    <row r="59" spans="1:9" ht="14.5">
      <c r="A59" s="20" t="s">
        <v>36354</v>
      </c>
      <c r="B59" s="20">
        <v>35</v>
      </c>
      <c r="C59" s="20">
        <v>80</v>
      </c>
      <c r="D59" s="20">
        <v>55</v>
      </c>
      <c r="E59" s="24"/>
      <c r="F59" s="20" t="s">
        <v>36355</v>
      </c>
      <c r="G59" s="24" t="str">
        <f ca="1">IFERROR(__xludf.DUMMYFUNCTION("GOOGLETRANSLATE(F59,""en"",""pt"")"),"marca de banco OS")</f>
        <v>marca de banco OS</v>
      </c>
      <c r="H59" s="24"/>
      <c r="I59" s="24"/>
    </row>
    <row r="60" spans="1:9" ht="14.5">
      <c r="A60" s="20" t="s">
        <v>36356</v>
      </c>
      <c r="B60" s="20">
        <v>35</v>
      </c>
      <c r="C60" s="20">
        <v>80</v>
      </c>
      <c r="D60" s="20">
        <v>60</v>
      </c>
      <c r="E60" s="24"/>
      <c r="F60" s="20" t="s">
        <v>36357</v>
      </c>
      <c r="G60" s="24" t="str">
        <f ca="1">IFERROR(__xludf.DUMMYFUNCTION("GOOGLETRANSLATE(F60,""en"",""pt"")"),"estação trigonométrica OS")</f>
        <v>estação trigonométrica OS</v>
      </c>
      <c r="H60" s="24"/>
      <c r="I60" s="24"/>
    </row>
    <row r="61" spans="1:9" ht="14.5">
      <c r="A61" s="20" t="s">
        <v>36358</v>
      </c>
      <c r="B61" s="20">
        <v>35</v>
      </c>
      <c r="C61" s="20">
        <v>80</v>
      </c>
      <c r="D61" s="20">
        <v>80</v>
      </c>
      <c r="E61" s="24"/>
      <c r="F61" s="20" t="s">
        <v>36359</v>
      </c>
      <c r="G61" s="24" t="str">
        <f ca="1">IFERROR(__xludf.DUMMYFUNCTION("GOOGLETRANSLATE(F61,""en"",""pt"")"),"marca de banco local")</f>
        <v>marca de banco local</v>
      </c>
      <c r="H61" s="24"/>
      <c r="I61" s="24"/>
    </row>
    <row r="62" spans="1:9" ht="14.5">
      <c r="A62" s="20" t="s">
        <v>36360</v>
      </c>
      <c r="B62" s="20">
        <v>35</v>
      </c>
      <c r="C62" s="20">
        <v>80</v>
      </c>
      <c r="D62" s="20">
        <v>85</v>
      </c>
      <c r="E62" s="24"/>
      <c r="F62" s="20" t="s">
        <v>36361</v>
      </c>
      <c r="G62" s="24" t="str">
        <f ca="1">IFERROR(__xludf.DUMMYFUNCTION("GOOGLETRANSLATE(F62,""en"",""pt"")"),"Local da estação de controle da pesquisa")</f>
        <v>Local da estação de controle da pesquisa</v>
      </c>
      <c r="H62" s="24"/>
      <c r="I62" s="24"/>
    </row>
    <row r="63" spans="1:9" ht="14.5">
      <c r="A63" s="20" t="s">
        <v>36362</v>
      </c>
      <c r="B63" s="20">
        <v>35</v>
      </c>
      <c r="C63" s="20">
        <v>80</v>
      </c>
      <c r="D63" s="20">
        <v>90</v>
      </c>
      <c r="E63" s="24"/>
      <c r="F63" s="20" t="s">
        <v>36363</v>
      </c>
      <c r="G63" s="24" t="str">
        <f ca="1">IFERROR(__xludf.DUMMYFUNCTION("GOOGLETRANSLATE(F63,""en"",""pt"")"),"marca de banco temporário")</f>
        <v>marca de banco temporário</v>
      </c>
      <c r="H63" s="24"/>
      <c r="I63" s="24"/>
    </row>
    <row r="64" spans="1:9" ht="14.5">
      <c r="A64" s="20" t="s">
        <v>36364</v>
      </c>
      <c r="B64" s="20">
        <v>40</v>
      </c>
      <c r="C64" s="24"/>
      <c r="D64" s="24"/>
      <c r="E64" s="24"/>
      <c r="F64" s="20" t="s">
        <v>36365</v>
      </c>
      <c r="G64" s="24" t="str">
        <f ca="1">IFERROR(__xludf.DUMMYFUNCTION("GOOGLETRANSLATE(F64,""en"",""pt"")"),"Topografia")</f>
        <v>Topografia</v>
      </c>
      <c r="H64" s="24"/>
      <c r="I64" s="24"/>
    </row>
    <row r="65" spans="1:9" ht="14.5">
      <c r="A65" s="20" t="s">
        <v>36366</v>
      </c>
      <c r="B65" s="20">
        <v>40</v>
      </c>
      <c r="C65" s="20">
        <v>15</v>
      </c>
      <c r="D65" s="24"/>
      <c r="E65" s="24"/>
      <c r="F65" s="20" t="s">
        <v>36367</v>
      </c>
      <c r="G65" s="24" t="str">
        <f ca="1">IFERROR(__xludf.DUMMYFUNCTION("GOOGLETRANSLATE(F65,""en"",""pt"")"),"contornos")</f>
        <v>contornos</v>
      </c>
      <c r="H65" s="24"/>
      <c r="I65" s="24"/>
    </row>
    <row r="66" spans="1:9" ht="14.5">
      <c r="A66" s="20" t="s">
        <v>36368</v>
      </c>
      <c r="B66" s="20">
        <v>40</v>
      </c>
      <c r="C66" s="20">
        <v>15</v>
      </c>
      <c r="D66" s="20">
        <v>50</v>
      </c>
      <c r="E66" s="24"/>
      <c r="F66" s="20" t="s">
        <v>36369</v>
      </c>
      <c r="G66" s="24" t="str">
        <f ca="1">IFERROR(__xludf.DUMMYFUNCTION("GOOGLETRANSLATE(F66,""en"",""pt"")"),"contornos principais")</f>
        <v>contornos principais</v>
      </c>
      <c r="H66" s="24"/>
      <c r="I66" s="24"/>
    </row>
    <row r="67" spans="1:9" ht="14.5">
      <c r="A67" s="20" t="s">
        <v>36370</v>
      </c>
      <c r="B67" s="20">
        <v>40</v>
      </c>
      <c r="C67" s="20">
        <v>15</v>
      </c>
      <c r="D67" s="20">
        <v>55</v>
      </c>
      <c r="E67" s="24"/>
      <c r="F67" s="20" t="s">
        <v>36371</v>
      </c>
      <c r="G67" s="24" t="str">
        <f ca="1">IFERROR(__xludf.DUMMYFUNCTION("GOOGLETRANSLATE(F67,""en"",""pt"")"),"contornos menores")</f>
        <v>contornos menores</v>
      </c>
      <c r="H67" s="24"/>
      <c r="I67" s="24"/>
    </row>
    <row r="68" spans="1:9" ht="14.5">
      <c r="A68" s="20" t="s">
        <v>36372</v>
      </c>
      <c r="B68" s="20">
        <v>40</v>
      </c>
      <c r="C68" s="20">
        <v>20</v>
      </c>
      <c r="D68" s="24"/>
      <c r="E68" s="24"/>
      <c r="F68" s="20" t="s">
        <v>36373</v>
      </c>
      <c r="G68" s="24" t="str">
        <f ca="1">IFERROR(__xludf.DUMMYFUNCTION("GOOGLETRANSLATE(F68,""en"",""pt"")"),"Estacas e indicadores de aterro")</f>
        <v>Estacas e indicadores de aterro</v>
      </c>
      <c r="H68" s="24"/>
      <c r="I68" s="24"/>
    </row>
    <row r="69" spans="1:9" ht="14.5">
      <c r="A69" s="20" t="s">
        <v>36374</v>
      </c>
      <c r="B69" s="20">
        <v>40</v>
      </c>
      <c r="C69" s="20">
        <v>50</v>
      </c>
      <c r="D69" s="24"/>
      <c r="E69" s="24"/>
      <c r="F69" s="20" t="s">
        <v>36375</v>
      </c>
      <c r="G69" s="24" t="str">
        <f ca="1">IFERROR(__xludf.DUMMYFUNCTION("GOOGLETRANSLATE(F69,""en"",""pt"")"),"indicadores de nível")</f>
        <v>indicadores de nível</v>
      </c>
      <c r="H69" s="24"/>
      <c r="I69" s="24"/>
    </row>
    <row r="70" spans="1:9" ht="14.5">
      <c r="A70" s="20" t="s">
        <v>36376</v>
      </c>
      <c r="B70" s="20">
        <v>50</v>
      </c>
      <c r="C70" s="24"/>
      <c r="D70" s="24"/>
      <c r="E70" s="24"/>
      <c r="F70" s="20" t="s">
        <v>36377</v>
      </c>
      <c r="G70" s="24" t="str">
        <f ca="1">IFERROR(__xludf.DUMMYFUNCTION("GOOGLETRANSLATE(F70,""en"",""pt"")"),"Zonas e fronteiras")</f>
        <v>Zonas e fronteiras</v>
      </c>
      <c r="H70" s="24"/>
      <c r="I70" s="24"/>
    </row>
    <row r="71" spans="1:9" ht="14.5">
      <c r="A71" s="20" t="s">
        <v>36378</v>
      </c>
      <c r="B71" s="20">
        <v>50</v>
      </c>
      <c r="C71" s="20">
        <v>10</v>
      </c>
      <c r="D71" s="24"/>
      <c r="E71" s="24"/>
      <c r="F71" s="20" t="s">
        <v>36379</v>
      </c>
      <c r="G71" s="24" t="str">
        <f ca="1">IFERROR(__xludf.DUMMYFUNCTION("GOOGLETRANSLATE(F71,""en"",""pt"")"),"Boundaries")</f>
        <v>Boundaries</v>
      </c>
      <c r="H71" s="24"/>
      <c r="I71" s="24"/>
    </row>
    <row r="72" spans="1:9" ht="14.5">
      <c r="A72" s="20" t="s">
        <v>36380</v>
      </c>
      <c r="B72" s="20">
        <v>50</v>
      </c>
      <c r="C72" s="20">
        <v>10</v>
      </c>
      <c r="D72" s="20">
        <v>10</v>
      </c>
      <c r="E72" s="24"/>
      <c r="F72" s="20" t="s">
        <v>36381</v>
      </c>
      <c r="G72" s="24" t="str">
        <f ca="1">IFERROR(__xludf.DUMMYFUNCTION("GOOGLETRANSLATE(F72,""en"",""pt"")"),"limite linha azul (BS 8541-2)")</f>
        <v>limite linha azul (BS 8541-2)</v>
      </c>
      <c r="H72" s="24"/>
      <c r="I72" s="24"/>
    </row>
    <row r="73" spans="1:9" ht="14.5">
      <c r="A73" s="20" t="s">
        <v>36382</v>
      </c>
      <c r="B73" s="20">
        <v>50</v>
      </c>
      <c r="C73" s="20">
        <v>10</v>
      </c>
      <c r="D73" s="20">
        <v>70</v>
      </c>
      <c r="E73" s="24"/>
      <c r="F73" s="20" t="s">
        <v>36383</v>
      </c>
      <c r="G73" s="24" t="str">
        <f ca="1">IFERROR(__xludf.DUMMYFUNCTION("GOOGLETRANSLATE(F73,""en"",""pt"")"),"limite linha vermelha (BS 8541-2)")</f>
        <v>limite linha vermelha (BS 8541-2)</v>
      </c>
      <c r="H73" s="24"/>
      <c r="I73" s="24"/>
    </row>
    <row r="74" spans="1:9" ht="14.5">
      <c r="A74" s="20" t="s">
        <v>36384</v>
      </c>
      <c r="B74" s="20">
        <v>50</v>
      </c>
      <c r="C74" s="20">
        <v>50</v>
      </c>
      <c r="D74" s="24"/>
      <c r="E74" s="24"/>
      <c r="F74" s="20" t="s">
        <v>36385</v>
      </c>
      <c r="G74" s="24" t="str">
        <f ca="1">IFERROR(__xludf.DUMMYFUNCTION("GOOGLETRANSLATE(F74,""en"",""pt"")"),"Grande quantidade")</f>
        <v>Grande quantidade</v>
      </c>
      <c r="H74" s="24"/>
      <c r="I74" s="24"/>
    </row>
    <row r="75" spans="1:9" ht="14.5">
      <c r="A75" s="20" t="s">
        <v>36386</v>
      </c>
      <c r="B75" s="20">
        <v>50</v>
      </c>
      <c r="C75" s="20">
        <v>60</v>
      </c>
      <c r="D75" s="24"/>
      <c r="E75" s="24"/>
      <c r="F75" s="20" t="s">
        <v>36387</v>
      </c>
      <c r="G75" s="24" t="str">
        <f ca="1">IFERROR(__xludf.DUMMYFUNCTION("GOOGLETRANSLATE(F75,""en"",""pt"")"),"encomendas")</f>
        <v>encomendas</v>
      </c>
      <c r="H75" s="24"/>
      <c r="I75" s="24"/>
    </row>
    <row r="76" spans="1:9" ht="14.5">
      <c r="A76" s="20" t="s">
        <v>36388</v>
      </c>
      <c r="B76" s="20">
        <v>50</v>
      </c>
      <c r="C76" s="20">
        <v>90</v>
      </c>
      <c r="D76" s="24"/>
      <c r="E76" s="24"/>
      <c r="F76" s="20" t="s">
        <v>36389</v>
      </c>
      <c r="G76" s="24" t="str">
        <f ca="1">IFERROR(__xludf.DUMMYFUNCTION("GOOGLETRANSLATE(F76,""en"",""pt"")"),"Volumes")</f>
        <v>Volumes</v>
      </c>
      <c r="H76" s="24"/>
      <c r="I76" s="24"/>
    </row>
    <row r="77" spans="1:9" ht="14.5">
      <c r="A77" s="20" t="s">
        <v>36390</v>
      </c>
      <c r="B77" s="20">
        <v>50</v>
      </c>
      <c r="C77" s="20">
        <v>95</v>
      </c>
      <c r="D77" s="24"/>
      <c r="E77" s="24"/>
      <c r="F77" s="20" t="s">
        <v>36391</v>
      </c>
      <c r="G77" s="24" t="str">
        <f ca="1">IFERROR(__xludf.DUMMYFUNCTION("GOOGLETRANSLATE(F77,""en"",""pt"")"),"zonas")</f>
        <v>zonas</v>
      </c>
      <c r="H77" s="24"/>
      <c r="I77" s="24"/>
    </row>
    <row r="78" spans="1:9" ht="14.5">
      <c r="A78" s="20" t="s">
        <v>36392</v>
      </c>
      <c r="B78" s="20">
        <v>60</v>
      </c>
      <c r="C78" s="24"/>
      <c r="D78" s="24"/>
      <c r="E78" s="24"/>
      <c r="F78" s="20" t="s">
        <v>36393</v>
      </c>
      <c r="G78" s="24" t="str">
        <f ca="1">IFERROR(__xludf.DUMMYFUNCTION("GOOGLETRANSLATE(F78,""en"",""pt"")"),"desenhar símbolos")</f>
        <v>desenhar símbolos</v>
      </c>
      <c r="H78" s="24"/>
      <c r="I78" s="24"/>
    </row>
    <row r="79" spans="1:9" ht="14.5">
      <c r="A79" s="20" t="s">
        <v>36394</v>
      </c>
      <c r="B79" s="20">
        <v>60</v>
      </c>
      <c r="C79" s="20">
        <v>20</v>
      </c>
      <c r="D79" s="24"/>
      <c r="E79" s="24"/>
      <c r="F79" s="20" t="s">
        <v>36395</v>
      </c>
      <c r="G79" s="24" t="str">
        <f ca="1">IFERROR(__xludf.DUMMYFUNCTION("GOOGLETRANSLATE(F79,""en"",""pt"")"),"Call Detail ups")</f>
        <v>Call Detail ups</v>
      </c>
      <c r="H79" s="24"/>
      <c r="I79" s="24"/>
    </row>
    <row r="80" spans="1:9" ht="14.5">
      <c r="A80" s="20" t="s">
        <v>36396</v>
      </c>
      <c r="B80" s="20">
        <v>60</v>
      </c>
      <c r="C80" s="20">
        <v>30</v>
      </c>
      <c r="D80" s="24"/>
      <c r="E80" s="24"/>
      <c r="F80" s="20" t="s">
        <v>36397</v>
      </c>
      <c r="G80" s="24" t="str">
        <f ca="1">IFERROR(__xludf.DUMMYFUNCTION("GOOGLETRANSLATE(F80,""en"",""pt"")"),"indicadores de queda")</f>
        <v>indicadores de queda</v>
      </c>
      <c r="H80" s="24"/>
      <c r="I80" s="24"/>
    </row>
    <row r="81" spans="1:9" ht="14.5">
      <c r="A81" s="20" t="s">
        <v>36398</v>
      </c>
      <c r="B81" s="20">
        <v>60</v>
      </c>
      <c r="C81" s="20">
        <v>40</v>
      </c>
      <c r="D81" s="24"/>
      <c r="E81" s="24"/>
      <c r="F81" s="20" t="s">
        <v>36399</v>
      </c>
      <c r="G81" s="24" t="str">
        <f ca="1">IFERROR(__xludf.DUMMYFUNCTION("GOOGLETRANSLATE(F81,""en"",""pt"")"),"linhas de junta")</f>
        <v>linhas de junta</v>
      </c>
      <c r="H81" s="24"/>
      <c r="I81" s="24"/>
    </row>
    <row r="82" spans="1:9" ht="14.5">
      <c r="A82" s="20" t="s">
        <v>36400</v>
      </c>
      <c r="B82" s="20">
        <v>60</v>
      </c>
      <c r="C82" s="20">
        <v>40</v>
      </c>
      <c r="D82" s="20">
        <v>15</v>
      </c>
      <c r="E82" s="24"/>
      <c r="F82" s="20" t="s">
        <v>36401</v>
      </c>
      <c r="G82" s="24" t="str">
        <f ca="1">IFERROR(__xludf.DUMMYFUNCTION("GOOGLETRANSLATE(F82,""en"",""pt"")"),"juntas de construção")</f>
        <v>juntas de construção</v>
      </c>
      <c r="H82" s="24"/>
      <c r="I82" s="24"/>
    </row>
    <row r="83" spans="1:9" ht="14.5">
      <c r="A83" s="20" t="s">
        <v>36402</v>
      </c>
      <c r="B83" s="20">
        <v>60</v>
      </c>
      <c r="C83" s="20">
        <v>40</v>
      </c>
      <c r="D83" s="20">
        <v>20</v>
      </c>
      <c r="E83" s="24"/>
      <c r="F83" s="20" t="s">
        <v>36403</v>
      </c>
      <c r="G83" s="24" t="str">
        <f ca="1">IFERROR(__xludf.DUMMYFUNCTION("GOOGLETRANSLATE(F83,""en"",""pt"")"),"juntas de contração")</f>
        <v>juntas de contração</v>
      </c>
      <c r="H83" s="24"/>
      <c r="I83" s="24"/>
    </row>
    <row r="84" spans="1:9" ht="14.5">
      <c r="A84" s="20" t="s">
        <v>36404</v>
      </c>
      <c r="B84" s="20">
        <v>60</v>
      </c>
      <c r="C84" s="20">
        <v>40</v>
      </c>
      <c r="D84" s="20">
        <v>30</v>
      </c>
      <c r="E84" s="24"/>
      <c r="F84" s="20" t="s">
        <v>21880</v>
      </c>
      <c r="G84" s="24" t="str">
        <f ca="1">IFERROR(__xludf.DUMMYFUNCTION("GOOGLETRANSLATE(F84,""en"",""pt"")"),"Juntas de expansão")</f>
        <v>Juntas de expansão</v>
      </c>
      <c r="H84" s="24"/>
      <c r="I84" s="24"/>
    </row>
    <row r="85" spans="1:9" ht="14.5">
      <c r="A85" s="20" t="s">
        <v>36405</v>
      </c>
      <c r="B85" s="20">
        <v>60</v>
      </c>
      <c r="C85" s="20">
        <v>45</v>
      </c>
      <c r="D85" s="24"/>
      <c r="E85" s="24"/>
      <c r="F85" s="20" t="s">
        <v>7486</v>
      </c>
      <c r="G85" s="24" t="str">
        <f ca="1">IFERROR(__xludf.DUMMYFUNCTION("GOOGLETRANSLATE(F85,""en"",""pt"")"),"níveis")</f>
        <v>níveis</v>
      </c>
      <c r="H85" s="24"/>
      <c r="I85" s="24"/>
    </row>
    <row r="86" spans="1:9" ht="14.5">
      <c r="A86" s="20" t="s">
        <v>36406</v>
      </c>
      <c r="B86" s="20">
        <v>60</v>
      </c>
      <c r="C86" s="20">
        <v>45</v>
      </c>
      <c r="D86" s="20">
        <v>20</v>
      </c>
      <c r="E86" s="24"/>
      <c r="F86" s="20" t="s">
        <v>36407</v>
      </c>
      <c r="G86" s="24" t="str">
        <f ca="1">IFERROR(__xludf.DUMMYFUNCTION("GOOGLETRANSLATE(F86,""en"",""pt"")"),"dado")</f>
        <v>dado</v>
      </c>
      <c r="H86" s="24"/>
      <c r="I86" s="24"/>
    </row>
    <row r="87" spans="1:9" ht="14.5">
      <c r="A87" s="20" t="s">
        <v>36408</v>
      </c>
      <c r="B87" s="20">
        <v>60</v>
      </c>
      <c r="C87" s="20">
        <v>45</v>
      </c>
      <c r="D87" s="20">
        <v>60</v>
      </c>
      <c r="E87" s="24"/>
      <c r="F87" s="20" t="s">
        <v>36409</v>
      </c>
      <c r="G87" s="24" t="str">
        <f ca="1">IFERROR(__xludf.DUMMYFUNCTION("GOOGLETRANSLATE(F87,""en"",""pt"")"),"nível do solo Original")</f>
        <v>nível do solo Original</v>
      </c>
      <c r="H87" s="24"/>
      <c r="I87" s="24"/>
    </row>
    <row r="88" spans="1:9" ht="14.5">
      <c r="A88" s="20" t="s">
        <v>36410</v>
      </c>
      <c r="B88" s="20">
        <v>60</v>
      </c>
      <c r="C88" s="20">
        <v>45</v>
      </c>
      <c r="D88" s="20">
        <v>70</v>
      </c>
      <c r="E88" s="24"/>
      <c r="F88" s="20" t="s">
        <v>36411</v>
      </c>
      <c r="G88" s="24" t="str">
        <f ca="1">IFERROR(__xludf.DUMMYFUNCTION("GOOGLETRANSLATE(F88,""en"",""pt"")"),"nível do solo Regrade")</f>
        <v>nível do solo Regrade</v>
      </c>
      <c r="H88" s="24"/>
      <c r="I88" s="24"/>
    </row>
    <row r="89" spans="1:9" ht="14.5">
      <c r="A89" s="20" t="s">
        <v>36412</v>
      </c>
      <c r="B89" s="20">
        <v>60</v>
      </c>
      <c r="C89" s="20">
        <v>50</v>
      </c>
      <c r="D89" s="24"/>
      <c r="E89" s="24"/>
      <c r="F89" s="20" t="s">
        <v>36413</v>
      </c>
      <c r="G89" s="24" t="str">
        <f ca="1">IFERROR(__xludf.DUMMYFUNCTION("GOOGLETRANSLATE(F89,""en"",""pt"")"),"marcadores")</f>
        <v>marcadores</v>
      </c>
      <c r="H89" s="24"/>
      <c r="I89" s="24"/>
    </row>
    <row r="90" spans="1:9" ht="14.5">
      <c r="A90" s="20" t="s">
        <v>36414</v>
      </c>
      <c r="B90" s="20">
        <v>60</v>
      </c>
      <c r="C90" s="20">
        <v>50</v>
      </c>
      <c r="D90" s="20">
        <v>10</v>
      </c>
      <c r="E90" s="24"/>
      <c r="F90" s="20" t="s">
        <v>36415</v>
      </c>
      <c r="G90" s="24" t="str">
        <f ca="1">IFERROR(__xludf.DUMMYFUNCTION("GOOGLETRANSLATE(F90,""en"",""pt"")"),"marcas de quebra")</f>
        <v>marcas de quebra</v>
      </c>
      <c r="H90" s="24"/>
      <c r="I90" s="24"/>
    </row>
    <row r="91" spans="1:9" ht="14.5">
      <c r="A91" s="20" t="s">
        <v>36416</v>
      </c>
      <c r="B91" s="20">
        <v>60</v>
      </c>
      <c r="C91" s="20">
        <v>50</v>
      </c>
      <c r="D91" s="20">
        <v>20</v>
      </c>
      <c r="E91" s="24"/>
      <c r="F91" s="20" t="s">
        <v>36417</v>
      </c>
      <c r="G91" s="24" t="str">
        <f ca="1">IFERROR(__xludf.DUMMYFUNCTION("GOOGLETRANSLATE(F91,""en"",""pt"")"),"marcas de texto explicativo")</f>
        <v>marcas de texto explicativo</v>
      </c>
      <c r="H91" s="24"/>
      <c r="I91" s="24"/>
    </row>
    <row r="92" spans="1:9" ht="14.5">
      <c r="A92" s="20" t="s">
        <v>36418</v>
      </c>
      <c r="B92" s="20">
        <v>60</v>
      </c>
      <c r="C92" s="20">
        <v>50</v>
      </c>
      <c r="D92" s="20">
        <v>30</v>
      </c>
      <c r="E92" s="24"/>
      <c r="F92" s="20" t="s">
        <v>36419</v>
      </c>
      <c r="G92" s="24" t="str">
        <f ca="1">IFERROR(__xludf.DUMMYFUNCTION("GOOGLETRANSLATE(F92,""en"",""pt"")"),"elevação marcas")</f>
        <v>elevação marcas</v>
      </c>
      <c r="H92" s="24"/>
      <c r="I92" s="24"/>
    </row>
    <row r="93" spans="1:9" ht="14.5">
      <c r="A93" s="20" t="s">
        <v>36420</v>
      </c>
      <c r="B93" s="20">
        <v>60</v>
      </c>
      <c r="C93" s="20">
        <v>50</v>
      </c>
      <c r="D93" s="20">
        <v>60</v>
      </c>
      <c r="E93" s="24"/>
      <c r="F93" s="20" t="s">
        <v>36421</v>
      </c>
      <c r="G93" s="24" t="str">
        <f ca="1">IFERROR(__xludf.DUMMYFUNCTION("GOOGLETRANSLATE(F93,""en"",""pt"")"),"Plano")</f>
        <v>Plano</v>
      </c>
      <c r="H93" s="24"/>
      <c r="I93" s="24"/>
    </row>
    <row r="94" spans="1:9" ht="14.5">
      <c r="A94" s="20" t="s">
        <v>36422</v>
      </c>
      <c r="B94" s="20">
        <v>60</v>
      </c>
      <c r="C94" s="20">
        <v>50</v>
      </c>
      <c r="D94" s="20">
        <v>80</v>
      </c>
      <c r="E94" s="24"/>
      <c r="F94" s="20" t="s">
        <v>36423</v>
      </c>
      <c r="G94" s="24" t="str">
        <f ca="1">IFERROR(__xludf.DUMMYFUNCTION("GOOGLETRANSLATE(F94,""en"",""pt"")"),"marcas de seção")</f>
        <v>marcas de seção</v>
      </c>
      <c r="H94" s="24"/>
      <c r="I94" s="24"/>
    </row>
    <row r="95" spans="1:9" ht="14.5">
      <c r="A95" s="20" t="s">
        <v>36424</v>
      </c>
      <c r="B95" s="20">
        <v>60</v>
      </c>
      <c r="C95" s="20">
        <v>50</v>
      </c>
      <c r="D95" s="20">
        <v>85</v>
      </c>
      <c r="E95" s="24"/>
      <c r="F95" s="20" t="s">
        <v>36425</v>
      </c>
      <c r="G95" s="24" t="str">
        <f ca="1">IFERROR(__xludf.DUMMYFUNCTION("GOOGLETRANSLATE(F95,""en"",""pt"")"),"marcadores direção do vão")</f>
        <v>marcadores direção do vão</v>
      </c>
      <c r="H95" s="24"/>
      <c r="I95" s="24"/>
    </row>
    <row r="96" spans="1:9" ht="14.5">
      <c r="A96" s="20" t="s">
        <v>36426</v>
      </c>
      <c r="B96" s="20">
        <v>60</v>
      </c>
      <c r="C96" s="20">
        <v>50</v>
      </c>
      <c r="D96" s="20">
        <v>90</v>
      </c>
      <c r="E96" s="24"/>
      <c r="F96" s="20" t="s">
        <v>36427</v>
      </c>
      <c r="G96" s="24" t="str">
        <f ca="1">IFERROR(__xludf.DUMMYFUNCTION("GOOGLETRANSLATE(F96,""en"",""pt"")"),"marcadores de vazios e de abertura")</f>
        <v>marcadores de vazios e de abertura</v>
      </c>
      <c r="H96" s="24"/>
      <c r="I96" s="24"/>
    </row>
    <row r="97" spans="1:9" ht="14.5">
      <c r="A97" s="20" t="s">
        <v>36428</v>
      </c>
      <c r="B97" s="20">
        <v>60</v>
      </c>
      <c r="C97" s="20">
        <v>55</v>
      </c>
      <c r="D97" s="24"/>
      <c r="E97" s="24"/>
      <c r="F97" s="20" t="s">
        <v>36429</v>
      </c>
      <c r="G97" s="24" t="str">
        <f ca="1">IFERROR(__xludf.DUMMYFUNCTION("GOOGLETRANSLATE(F97,""en"",""pt"")"),"linhas de jogo")</f>
        <v>linhas de jogo</v>
      </c>
      <c r="H97" s="24"/>
      <c r="I97" s="24"/>
    </row>
    <row r="98" spans="1:9" ht="14.5">
      <c r="A98" s="20" t="s">
        <v>36430</v>
      </c>
      <c r="B98" s="20">
        <v>70</v>
      </c>
      <c r="C98" s="24"/>
      <c r="D98" s="24"/>
      <c r="E98" s="24"/>
      <c r="F98" s="20" t="s">
        <v>36431</v>
      </c>
      <c r="G98" s="24" t="str">
        <f ca="1">IFERROR(__xludf.DUMMYFUNCTION("GOOGLETRANSLATE(F98,""en"",""pt"")"),"Visualizações")</f>
        <v>Visualizações</v>
      </c>
      <c r="H98" s="24"/>
      <c r="I98" s="24"/>
    </row>
    <row r="99" spans="1:9" ht="14.5">
      <c r="A99" s="20" t="s">
        <v>36432</v>
      </c>
      <c r="B99" s="20">
        <v>70</v>
      </c>
      <c r="C99" s="20">
        <v>5</v>
      </c>
      <c r="D99" s="24"/>
      <c r="E99" s="24"/>
      <c r="F99" s="20" t="s">
        <v>36433</v>
      </c>
      <c r="G99" s="24" t="str">
        <f ca="1">IFERROR(__xludf.DUMMYFUNCTION("GOOGLETRANSLATE(F99,""en"",""pt"")"),"visualizações em 3D")</f>
        <v>visualizações em 3D</v>
      </c>
      <c r="H99" s="24"/>
      <c r="I99" s="24"/>
    </row>
    <row r="100" spans="1:9" ht="14.5">
      <c r="A100" s="20" t="s">
        <v>36434</v>
      </c>
      <c r="B100" s="20">
        <v>70</v>
      </c>
      <c r="C100" s="20">
        <v>20</v>
      </c>
      <c r="D100" s="24"/>
      <c r="E100" s="24"/>
      <c r="F100" s="20" t="s">
        <v>36435</v>
      </c>
      <c r="G100" s="24" t="str">
        <f ca="1">IFERROR(__xludf.DUMMYFUNCTION("GOOGLETRANSLATE(F100,""en"",""pt"")"),"detalhes")</f>
        <v>detalhes</v>
      </c>
      <c r="H100" s="24"/>
      <c r="I100" s="24"/>
    </row>
    <row r="101" spans="1:9" ht="14.5">
      <c r="A101" s="20" t="s">
        <v>36436</v>
      </c>
      <c r="B101" s="20">
        <v>70</v>
      </c>
      <c r="C101" s="20">
        <v>30</v>
      </c>
      <c r="D101" s="24"/>
      <c r="E101" s="24"/>
      <c r="F101" s="20" t="s">
        <v>36437</v>
      </c>
      <c r="G101" s="24" t="str">
        <f ca="1">IFERROR(__xludf.DUMMYFUNCTION("GOOGLETRANSLATE(F101,""en"",""pt"")"),"elevações")</f>
        <v>elevações</v>
      </c>
      <c r="H101" s="24"/>
      <c r="I101" s="24"/>
    </row>
    <row r="102" spans="1:9" ht="14.5">
      <c r="A102" s="20" t="s">
        <v>36438</v>
      </c>
      <c r="B102" s="20">
        <v>70</v>
      </c>
      <c r="C102" s="20">
        <v>60</v>
      </c>
      <c r="D102" s="24"/>
      <c r="E102" s="24"/>
      <c r="F102" s="20" t="s">
        <v>36439</v>
      </c>
      <c r="G102" s="24" t="str">
        <f ca="1">IFERROR(__xludf.DUMMYFUNCTION("GOOGLETRANSLATE(F102,""en"",""pt"")"),"planos")</f>
        <v>planos</v>
      </c>
      <c r="H102" s="24"/>
      <c r="I102" s="24"/>
    </row>
    <row r="103" spans="1:9" ht="14.5">
      <c r="A103" s="20" t="s">
        <v>36440</v>
      </c>
      <c r="B103" s="20">
        <v>70</v>
      </c>
      <c r="C103" s="20">
        <v>80</v>
      </c>
      <c r="D103" s="24"/>
      <c r="E103" s="24"/>
      <c r="F103" s="20" t="s">
        <v>36441</v>
      </c>
      <c r="G103" s="24" t="str">
        <f ca="1">IFERROR(__xludf.DUMMYFUNCTION("GOOGLETRANSLATE(F103,""en"",""pt"")"),"Seções")</f>
        <v>Seções</v>
      </c>
      <c r="H103" s="24"/>
      <c r="I103" s="24"/>
    </row>
    <row r="104" spans="1:9" ht="14.5">
      <c r="A104" s="20" t="s">
        <v>36442</v>
      </c>
      <c r="B104" s="20">
        <v>70</v>
      </c>
      <c r="C104" s="20">
        <v>90</v>
      </c>
      <c r="D104" s="24"/>
      <c r="E104" s="24"/>
      <c r="F104" s="20" t="s">
        <v>36443</v>
      </c>
      <c r="G104" s="24" t="str">
        <f ca="1">IFERROR(__xludf.DUMMYFUNCTION("GOOGLETRANSLATE(F104,""en"",""pt"")"),"visualisations")</f>
        <v>visualisations</v>
      </c>
      <c r="H104" s="24"/>
      <c r="I104" s="24"/>
    </row>
    <row r="105" spans="1:9" ht="14.5">
      <c r="A105" s="20" t="s">
        <v>36444</v>
      </c>
      <c r="B105" s="20">
        <v>80</v>
      </c>
      <c r="C105" s="24"/>
      <c r="D105" s="24"/>
      <c r="E105" s="24"/>
      <c r="F105" s="20" t="s">
        <v>36445</v>
      </c>
      <c r="G105" s="24" t="str">
        <f ca="1">IFERROR(__xludf.DUMMYFUNCTION("GOOGLETRANSLATE(F105,""en"",""pt"")"),"Apresentação")</f>
        <v>Apresentação</v>
      </c>
      <c r="H105" s="24"/>
      <c r="I105" s="24"/>
    </row>
    <row r="106" spans="1:9" ht="14.5">
      <c r="A106" s="20" t="s">
        <v>36446</v>
      </c>
      <c r="B106" s="20">
        <v>80</v>
      </c>
      <c r="C106" s="20">
        <v>30</v>
      </c>
      <c r="D106" s="24"/>
      <c r="E106" s="24"/>
      <c r="F106" s="20" t="s">
        <v>36447</v>
      </c>
      <c r="G106" s="24" t="str">
        <f ca="1">IFERROR(__xludf.DUMMYFUNCTION("GOOGLETRANSLATE(F106,""en"",""pt"")"),"Comitiva")</f>
        <v>Comitiva</v>
      </c>
      <c r="H106" s="24"/>
      <c r="I106" s="24"/>
    </row>
    <row r="107" spans="1:9" ht="14.5">
      <c r="A107" s="20" t="s">
        <v>36448</v>
      </c>
      <c r="B107" s="20">
        <v>80</v>
      </c>
      <c r="C107" s="20">
        <v>45</v>
      </c>
      <c r="D107" s="24"/>
      <c r="E107" s="24"/>
      <c r="F107" s="20" t="s">
        <v>36449</v>
      </c>
      <c r="G107" s="24" t="str">
        <f ca="1">IFERROR(__xludf.DUMMYFUNCTION("GOOGLETRANSLATE(F107,""en"",""pt"")"),"Lines")</f>
        <v>Lines</v>
      </c>
      <c r="H107" s="24"/>
      <c r="I107" s="24"/>
    </row>
    <row r="108" spans="1:9" ht="14.5">
      <c r="A108" s="20" t="s">
        <v>36450</v>
      </c>
      <c r="B108" s="20">
        <v>80</v>
      </c>
      <c r="C108" s="20">
        <v>45</v>
      </c>
      <c r="D108" s="20">
        <v>10</v>
      </c>
      <c r="E108" s="24"/>
      <c r="F108" s="20" t="s">
        <v>36451</v>
      </c>
      <c r="G108" s="24" t="str">
        <f ca="1">IFERROR(__xludf.DUMMYFUNCTION("GOOGLETRANSLATE(F108,""en"",""pt"")"),"Bem")</f>
        <v>Bem</v>
      </c>
      <c r="H108" s="24"/>
      <c r="I108" s="24"/>
    </row>
    <row r="109" spans="1:9" ht="14.5">
      <c r="A109" s="20" t="s">
        <v>36452</v>
      </c>
      <c r="B109" s="20">
        <v>80</v>
      </c>
      <c r="C109" s="20">
        <v>45</v>
      </c>
      <c r="D109" s="20">
        <v>20</v>
      </c>
      <c r="E109" s="24"/>
      <c r="F109" s="20" t="s">
        <v>36453</v>
      </c>
      <c r="G109" s="24" t="str">
        <f ca="1">IFERROR(__xludf.DUMMYFUNCTION("GOOGLETRANSLATE(F109,""en"",""pt"")"),"Fino")</f>
        <v>Fino</v>
      </c>
      <c r="H109" s="24"/>
      <c r="I109" s="24"/>
    </row>
    <row r="110" spans="1:9" ht="14.5">
      <c r="A110" s="20" t="s">
        <v>36454</v>
      </c>
      <c r="B110" s="20">
        <v>80</v>
      </c>
      <c r="C110" s="20">
        <v>45</v>
      </c>
      <c r="D110" s="20">
        <v>30</v>
      </c>
      <c r="E110" s="24"/>
      <c r="F110" s="20" t="s">
        <v>36455</v>
      </c>
      <c r="G110" s="24" t="str">
        <f ca="1">IFERROR(__xludf.DUMMYFUNCTION("GOOGLETRANSLATE(F110,""en"",""pt"")"),"Leve")</f>
        <v>Leve</v>
      </c>
      <c r="H110" s="24"/>
      <c r="I110" s="24"/>
    </row>
    <row r="111" spans="1:9" ht="14.5">
      <c r="A111" s="20" t="s">
        <v>36456</v>
      </c>
      <c r="B111" s="20">
        <v>80</v>
      </c>
      <c r="C111" s="20">
        <v>45</v>
      </c>
      <c r="D111" s="20">
        <v>40</v>
      </c>
      <c r="E111" s="24"/>
      <c r="F111" s="20" t="s">
        <v>36457</v>
      </c>
      <c r="G111" s="24" t="str">
        <f ca="1">IFERROR(__xludf.DUMMYFUNCTION("GOOGLETRANSLATE(F111,""en"",""pt"")"),"Médio")</f>
        <v>Médio</v>
      </c>
      <c r="H111" s="24"/>
      <c r="I111" s="24"/>
    </row>
    <row r="112" spans="1:9" ht="14.5">
      <c r="A112" s="20" t="s">
        <v>36458</v>
      </c>
      <c r="B112" s="20">
        <v>80</v>
      </c>
      <c r="C112" s="20">
        <v>45</v>
      </c>
      <c r="D112" s="20">
        <v>50</v>
      </c>
      <c r="E112" s="24"/>
      <c r="F112" s="20" t="s">
        <v>36459</v>
      </c>
      <c r="G112" s="24" t="str">
        <f ca="1">IFERROR(__xludf.DUMMYFUNCTION("GOOGLETRANSLATE(F112,""en"",""pt"")"),"Pesado")</f>
        <v>Pesado</v>
      </c>
      <c r="H112" s="24"/>
      <c r="I112" s="24"/>
    </row>
    <row r="113" spans="1:9" ht="14.5">
      <c r="A113" s="20" t="s">
        <v>36460</v>
      </c>
      <c r="B113" s="20">
        <v>80</v>
      </c>
      <c r="C113" s="20">
        <v>45</v>
      </c>
      <c r="D113" s="20">
        <v>60</v>
      </c>
      <c r="E113" s="24"/>
      <c r="F113" s="20" t="s">
        <v>36461</v>
      </c>
      <c r="G113" s="24" t="str">
        <f ca="1">IFERROR(__xludf.DUMMYFUNCTION("GOOGLETRANSLATE(F113,""en"",""pt"")"),"Largo")</f>
        <v>Largo</v>
      </c>
      <c r="H113" s="24"/>
      <c r="I113" s="24"/>
    </row>
    <row r="114" spans="1:9" ht="14.5">
      <c r="A114" s="20" t="s">
        <v>36462</v>
      </c>
      <c r="B114" s="20">
        <v>80</v>
      </c>
      <c r="C114" s="20">
        <v>45</v>
      </c>
      <c r="D114" s="20">
        <v>70</v>
      </c>
      <c r="E114" s="24"/>
      <c r="F114" s="20" t="s">
        <v>36463</v>
      </c>
      <c r="G114" s="24" t="str">
        <f ca="1">IFERROR(__xludf.DUMMYFUNCTION("GOOGLETRANSLATE(F114,""en"",""pt"")"),"Extra largo")</f>
        <v>Extra largo</v>
      </c>
      <c r="H114" s="24"/>
      <c r="I114" s="24"/>
    </row>
    <row r="115" spans="1:9" ht="14.5">
      <c r="A115" s="20" t="s">
        <v>36464</v>
      </c>
      <c r="B115" s="20">
        <v>80</v>
      </c>
      <c r="C115" s="20">
        <v>45</v>
      </c>
      <c r="D115" s="20">
        <v>80</v>
      </c>
      <c r="E115" s="24"/>
      <c r="F115" s="20" t="s">
        <v>36465</v>
      </c>
      <c r="G115" s="24" t="str">
        <f ca="1">IFERROR(__xludf.DUMMYFUNCTION("GOOGLETRANSLATE(F115,""en"",""pt"")"),"ampla XX")</f>
        <v>ampla XX</v>
      </c>
      <c r="H115" s="24"/>
      <c r="I115" s="24"/>
    </row>
    <row r="116" spans="1:9" ht="14.5">
      <c r="A116" s="20" t="s">
        <v>36466</v>
      </c>
      <c r="B116" s="20">
        <v>80</v>
      </c>
      <c r="C116" s="20">
        <v>45</v>
      </c>
      <c r="D116" s="20">
        <v>90</v>
      </c>
      <c r="E116" s="24"/>
      <c r="F116" s="20" t="s">
        <v>36467</v>
      </c>
      <c r="G116" s="24" t="str">
        <f ca="1">IFERROR(__xludf.DUMMYFUNCTION("GOOGLETRANSLATE(F116,""en"",""pt"")"),"ampla XXX")</f>
        <v>ampla XXX</v>
      </c>
      <c r="H116" s="24"/>
      <c r="I116" s="24"/>
    </row>
    <row r="117" spans="1:9" ht="14.5">
      <c r="A117" s="20" t="s">
        <v>36468</v>
      </c>
      <c r="B117" s="20">
        <v>80</v>
      </c>
      <c r="C117" s="20">
        <v>60</v>
      </c>
      <c r="D117" s="24"/>
      <c r="E117" s="24"/>
      <c r="F117" s="20" t="s">
        <v>36469</v>
      </c>
      <c r="G117" s="24" t="str">
        <f ca="1">IFERROR(__xludf.DUMMYFUNCTION("GOOGLETRANSLATE(F117,""en"",""pt"")"),"Pessoas")</f>
        <v>Pessoas</v>
      </c>
      <c r="H117" s="24"/>
      <c r="I117" s="24"/>
    </row>
    <row r="118" spans="1:9" ht="14.5">
      <c r="A118" s="20" t="s">
        <v>36470</v>
      </c>
      <c r="B118" s="20">
        <v>80</v>
      </c>
      <c r="C118" s="20">
        <v>85</v>
      </c>
      <c r="D118" s="24"/>
      <c r="E118" s="24"/>
      <c r="F118" s="20" t="s">
        <v>36471</v>
      </c>
      <c r="G118" s="24" t="str">
        <f ca="1">IFERROR(__xludf.DUMMYFUNCTION("GOOGLETRANSLATE(F118,""en"",""pt"")"),"Árvores e plantio")</f>
        <v>Árvores e plantio</v>
      </c>
      <c r="H118" s="24"/>
      <c r="I118" s="24"/>
    </row>
    <row r="119" spans="1:9" ht="14.5">
      <c r="A119" s="20" t="s">
        <v>36472</v>
      </c>
      <c r="B119" s="20">
        <v>80</v>
      </c>
      <c r="C119" s="20">
        <v>90</v>
      </c>
      <c r="D119" s="24"/>
      <c r="E119" s="24"/>
      <c r="F119" s="20" t="s">
        <v>36473</v>
      </c>
      <c r="G119" s="24" t="str">
        <f ca="1">IFERROR(__xludf.DUMMYFUNCTION("GOOGLETRANSLATE(F119,""en"",""pt"")"),"Veículos")</f>
        <v>Veículos</v>
      </c>
      <c r="H119" s="24"/>
      <c r="I119" s="24"/>
    </row>
    <row r="120" spans="1:9" ht="14.5">
      <c r="A120" s="20" t="s">
        <v>36474</v>
      </c>
      <c r="B120" s="20">
        <v>85</v>
      </c>
      <c r="C120" s="24"/>
      <c r="D120" s="24"/>
      <c r="E120" s="24"/>
      <c r="F120" s="20" t="s">
        <v>36475</v>
      </c>
      <c r="G120" s="24" t="str">
        <f ca="1">IFERROR(__xludf.DUMMYFUNCTION("GOOGLETRANSLATE(F120,""en"",""pt"")"),"3D genérico")</f>
        <v>3D genérico</v>
      </c>
      <c r="H120" s="24"/>
      <c r="I120" s="24"/>
    </row>
    <row r="121" spans="1:9" ht="14.5">
      <c r="A121" s="20" t="s">
        <v>36476</v>
      </c>
      <c r="B121" s="20">
        <v>85</v>
      </c>
      <c r="C121" s="20">
        <v>5</v>
      </c>
      <c r="D121" s="24"/>
      <c r="E121" s="24"/>
      <c r="F121" s="20" t="s">
        <v>36477</v>
      </c>
      <c r="G121" s="24" t="str">
        <f ca="1">IFERROR(__xludf.DUMMYFUNCTION("GOOGLETRANSLATE(F121,""en"",""pt"")"),"sólidos 3D")</f>
        <v>sólidos 3D</v>
      </c>
      <c r="H121" s="24"/>
      <c r="I121" s="24"/>
    </row>
    <row r="122" spans="1:9" ht="14.5">
      <c r="A122" s="20" t="s">
        <v>36478</v>
      </c>
      <c r="B122" s="20">
        <v>85</v>
      </c>
      <c r="C122" s="20">
        <v>5</v>
      </c>
      <c r="D122" s="20">
        <v>60</v>
      </c>
      <c r="E122" s="24"/>
      <c r="F122" s="20" t="s">
        <v>36479</v>
      </c>
      <c r="G122" s="24" t="str">
        <f ca="1">IFERROR(__xludf.DUMMYFUNCTION("GOOGLETRANSLATE(F122,""en"",""pt"")"),"caminhos")</f>
        <v>caminhos</v>
      </c>
      <c r="H122" s="24"/>
      <c r="I122" s="24"/>
    </row>
    <row r="123" spans="1:9" ht="14.5">
      <c r="A123" s="20" t="s">
        <v>36480</v>
      </c>
      <c r="B123" s="20">
        <v>85</v>
      </c>
      <c r="C123" s="20">
        <v>5</v>
      </c>
      <c r="D123" s="20">
        <v>80</v>
      </c>
      <c r="E123" s="24"/>
      <c r="F123" s="20" t="s">
        <v>36481</v>
      </c>
      <c r="G123" s="24" t="str">
        <f ca="1">IFERROR(__xludf.DUMMYFUNCTION("GOOGLETRANSLATE(F123,""en"",""pt"")"),"sólidos")</f>
        <v>sólidos</v>
      </c>
      <c r="H123" s="24"/>
      <c r="I123" s="24"/>
    </row>
    <row r="124" spans="1:9" ht="14.5">
      <c r="A124" s="20" t="s">
        <v>36482</v>
      </c>
      <c r="B124" s="20">
        <v>85</v>
      </c>
      <c r="C124" s="20">
        <v>5</v>
      </c>
      <c r="D124" s="20">
        <v>85</v>
      </c>
      <c r="E124" s="24"/>
      <c r="F124" s="20" t="s">
        <v>36483</v>
      </c>
      <c r="G124" s="24" t="str">
        <f ca="1">IFERROR(__xludf.DUMMYFUNCTION("GOOGLETRANSLATE(F124,""en"",""pt"")"),"vazios sólidos")</f>
        <v>vazios sólidos</v>
      </c>
      <c r="H124" s="24"/>
      <c r="I124" s="24"/>
    </row>
    <row r="125" spans="1:9" ht="14.5">
      <c r="A125" s="20" t="s">
        <v>36484</v>
      </c>
      <c r="B125" s="20">
        <v>85</v>
      </c>
      <c r="C125" s="20">
        <v>20</v>
      </c>
      <c r="D125" s="24"/>
      <c r="E125" s="24"/>
      <c r="F125" s="20" t="s">
        <v>36485</v>
      </c>
      <c r="G125" s="24" t="str">
        <f ca="1">IFERROR(__xludf.DUMMYFUNCTION("GOOGLETRANSLATE(F125,""en"",""pt"")"),"Conceito")</f>
        <v>Conceito</v>
      </c>
      <c r="H125" s="24"/>
      <c r="I125" s="24"/>
    </row>
    <row r="126" spans="1:9" ht="14.5">
      <c r="A126" s="20" t="s">
        <v>36486</v>
      </c>
      <c r="B126" s="20">
        <v>85</v>
      </c>
      <c r="C126" s="20">
        <v>20</v>
      </c>
      <c r="D126" s="20">
        <v>20</v>
      </c>
      <c r="E126" s="24"/>
      <c r="F126" s="20" t="s">
        <v>36487</v>
      </c>
      <c r="G126" s="24" t="str">
        <f ca="1">IFERROR(__xludf.DUMMYFUNCTION("GOOGLETRANSLATE(F126,""en"",""pt"")"),"conceito Massing")</f>
        <v>conceito Massing</v>
      </c>
      <c r="H126" s="24"/>
      <c r="I126" s="24"/>
    </row>
    <row r="127" spans="1:9" ht="14.5">
      <c r="A127" s="20" t="s">
        <v>36488</v>
      </c>
      <c r="B127" s="20">
        <v>85</v>
      </c>
      <c r="C127" s="20">
        <v>20</v>
      </c>
      <c r="D127" s="20">
        <v>50</v>
      </c>
      <c r="E127" s="24"/>
      <c r="F127" s="20" t="s">
        <v>36489</v>
      </c>
      <c r="G127" s="24" t="str">
        <f ca="1">IFERROR(__xludf.DUMMYFUNCTION("GOOGLETRANSLATE(F127,""en"",""pt"")"),"grupo de massa")</f>
        <v>grupo de massa</v>
      </c>
      <c r="H127" s="24"/>
      <c r="I127" s="24"/>
    </row>
    <row r="128" spans="1:9" ht="14.5">
      <c r="A128" s="20" t="s">
        <v>36490</v>
      </c>
      <c r="B128" s="20">
        <v>85</v>
      </c>
      <c r="C128" s="20">
        <v>20</v>
      </c>
      <c r="D128" s="20">
        <v>55</v>
      </c>
      <c r="E128" s="24"/>
      <c r="F128" s="20" t="s">
        <v>36491</v>
      </c>
      <c r="G128" s="24" t="str">
        <f ca="1">IFERROR(__xludf.DUMMYFUNCTION("GOOGLETRANSLATE(F128,""en"",""pt"")"),"fatia de massa")</f>
        <v>fatia de massa</v>
      </c>
      <c r="H128" s="24"/>
      <c r="I128" s="24"/>
    </row>
    <row r="129" spans="1:9" ht="14.5">
      <c r="A129" s="20" t="s">
        <v>36492</v>
      </c>
      <c r="B129" s="20">
        <v>90</v>
      </c>
      <c r="C129" s="24"/>
      <c r="D129" s="24"/>
      <c r="E129" s="24"/>
      <c r="F129" s="20" t="s">
        <v>36493</v>
      </c>
      <c r="G129" s="24" t="str">
        <f ca="1">IFERROR(__xludf.DUMMYFUNCTION("GOOGLETRANSLATE(F129,""en"",""pt"")"),"Leia-me e linhas que traçam")</f>
        <v>Leia-me e linhas que traçam</v>
      </c>
      <c r="H129" s="24"/>
      <c r="I129" s="24"/>
    </row>
    <row r="130" spans="1:9" ht="14.5">
      <c r="A130" s="20" t="s">
        <v>36494</v>
      </c>
      <c r="B130" s="20">
        <v>90</v>
      </c>
      <c r="C130" s="20">
        <v>20</v>
      </c>
      <c r="D130" s="24"/>
      <c r="E130" s="24"/>
      <c r="F130" s="20" t="s">
        <v>36495</v>
      </c>
      <c r="G130" s="24" t="str">
        <f ca="1">IFERROR(__xludf.DUMMYFUNCTION("GOOGLETRANSLATE(F130,""en"",""pt"")"),"linhas de construção")</f>
        <v>linhas de construção</v>
      </c>
      <c r="H130" s="24"/>
      <c r="I130" s="24"/>
    </row>
    <row r="131" spans="1:9" ht="14.5">
      <c r="A131" s="20" t="s">
        <v>36496</v>
      </c>
      <c r="B131" s="20">
        <v>90</v>
      </c>
      <c r="C131" s="20">
        <v>30</v>
      </c>
      <c r="D131" s="24"/>
      <c r="E131" s="24"/>
      <c r="F131" s="20" t="s">
        <v>36497</v>
      </c>
      <c r="G131" s="24" t="str">
        <f ca="1">IFERROR(__xludf.DUMMYFUNCTION("GOOGLETRANSLATE(F131,""en"",""pt"")"),"informações de referência externa")</f>
        <v>informações de referência externa</v>
      </c>
      <c r="H131" s="24"/>
      <c r="I131" s="24"/>
    </row>
    <row r="132" spans="1:9" ht="14.5">
      <c r="A132" s="20" t="s">
        <v>36498</v>
      </c>
      <c r="B132" s="20">
        <v>90</v>
      </c>
      <c r="C132" s="20">
        <v>70</v>
      </c>
      <c r="D132" s="24"/>
      <c r="E132" s="24"/>
      <c r="F132" s="20" t="s">
        <v>36499</v>
      </c>
      <c r="G132" s="24" t="str">
        <f ca="1">IFERROR(__xludf.DUMMYFUNCTION("GOOGLETRANSLATE(F132,""en"",""pt"")"),"Leia-me")</f>
        <v>Leia-me</v>
      </c>
      <c r="H132" s="24"/>
      <c r="I132" s="24"/>
    </row>
  </sheetData>
  <mergeCells count="1">
    <mergeCell ref="A1:C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97"/>
  <sheetViews>
    <sheetView workbookViewId="0">
      <pane ySplit="3" topLeftCell="A4" activePane="bottomLeft" state="frozen"/>
      <selection pane="bottomLeft" activeCell="B5" sqref="B5"/>
    </sheetView>
  </sheetViews>
  <sheetFormatPr defaultColWidth="14.453125" defaultRowHeight="15.75" customHeight="1"/>
  <cols>
    <col min="6" max="6" width="28.54296875" customWidth="1"/>
    <col min="7" max="7" width="12.26953125" customWidth="1"/>
    <col min="8" max="8" width="9.453125" customWidth="1"/>
    <col min="9" max="9" width="5.453125" customWidth="1"/>
  </cols>
  <sheetData>
    <row r="1" spans="1:9" ht="15.75" customHeight="1">
      <c r="A1" s="207" t="s">
        <v>36500</v>
      </c>
      <c r="B1" s="208"/>
      <c r="C1" s="208"/>
      <c r="D1" s="208"/>
      <c r="E1" s="22"/>
      <c r="F1" s="22"/>
      <c r="G1" s="22"/>
      <c r="H1" s="22"/>
      <c r="I1" s="22"/>
    </row>
    <row r="2" spans="1:9" ht="15.75" customHeight="1">
      <c r="A2" s="24"/>
      <c r="B2" s="24"/>
      <c r="C2" s="24"/>
      <c r="D2" s="24"/>
      <c r="E2" s="24"/>
      <c r="F2" s="24"/>
      <c r="G2" s="24"/>
      <c r="H2" s="24"/>
      <c r="I2" s="24"/>
    </row>
    <row r="3" spans="1:9" ht="15.75" customHeight="1">
      <c r="A3" s="25" t="s">
        <v>61</v>
      </c>
      <c r="B3" s="25" t="s">
        <v>62</v>
      </c>
      <c r="C3" s="25" t="s">
        <v>63</v>
      </c>
      <c r="D3" s="25" t="s">
        <v>64</v>
      </c>
      <c r="E3" s="25" t="s">
        <v>65</v>
      </c>
      <c r="F3" s="25" t="s">
        <v>66</v>
      </c>
      <c r="G3" s="1" t="s">
        <v>67</v>
      </c>
      <c r="H3" s="25" t="s">
        <v>78</v>
      </c>
      <c r="I3" s="25" t="s">
        <v>79</v>
      </c>
    </row>
    <row r="4" spans="1:9" ht="15.75" customHeight="1">
      <c r="A4" s="20" t="s">
        <v>36501</v>
      </c>
      <c r="B4" s="20">
        <v>10</v>
      </c>
      <c r="C4" s="24"/>
      <c r="D4" s="24"/>
      <c r="E4" s="24"/>
      <c r="F4" s="28" t="s">
        <v>7778</v>
      </c>
      <c r="G4" s="24" t="str">
        <f ca="1">IFERROR(__xludf.DUMMYFUNCTION("GOOGLETRANSLATE(F4,""en"",""pt"")"),"Comunicação")</f>
        <v>Comunicação</v>
      </c>
      <c r="H4" s="24"/>
      <c r="I4" s="24"/>
    </row>
    <row r="5" spans="1:9" ht="15.75" customHeight="1">
      <c r="A5" s="20" t="s">
        <v>36502</v>
      </c>
      <c r="B5" s="20">
        <v>10</v>
      </c>
      <c r="C5" s="20">
        <v>3</v>
      </c>
      <c r="D5" s="24"/>
      <c r="E5" s="24"/>
      <c r="F5" s="20" t="s">
        <v>36503</v>
      </c>
      <c r="G5" s="24" t="str">
        <f ca="1">IFERROR(__xludf.DUMMYFUNCTION("GOOGLETRANSLATE(F5,""en"",""pt"")"),"Agenda (AG)")</f>
        <v>Agenda (AG)</v>
      </c>
      <c r="H5" s="24"/>
      <c r="I5" s="24"/>
    </row>
    <row r="6" spans="1:9" ht="15.75" customHeight="1">
      <c r="A6" s="20" t="s">
        <v>36504</v>
      </c>
      <c r="B6" s="20">
        <v>10</v>
      </c>
      <c r="C6" s="20">
        <v>10</v>
      </c>
      <c r="D6" s="24"/>
      <c r="E6" s="24"/>
      <c r="F6" s="20" t="s">
        <v>36505</v>
      </c>
      <c r="G6" s="24" t="str">
        <f ca="1">IFERROR(__xludf.DUMMYFUNCTION("GOOGLETRANSLATE(F6,""en"",""pt"")"),"Folheto (BL)")</f>
        <v>Folheto (BL)</v>
      </c>
      <c r="H6" s="24"/>
      <c r="I6" s="24"/>
    </row>
    <row r="7" spans="1:9" ht="15.75" customHeight="1">
      <c r="A7" s="20" t="s">
        <v>36506</v>
      </c>
      <c r="B7" s="20">
        <v>10</v>
      </c>
      <c r="C7" s="20">
        <v>15</v>
      </c>
      <c r="D7" s="24"/>
      <c r="E7" s="24"/>
      <c r="F7" s="20" t="s">
        <v>36507</v>
      </c>
      <c r="G7" s="24" t="str">
        <f ca="1">IFERROR(__xludf.DUMMYFUNCTION("GOOGLETRANSLATE(F7,""en"",""pt"")"),"Comentário (CT)")</f>
        <v>Comentário (CT)</v>
      </c>
      <c r="H7" s="24"/>
      <c r="I7" s="24"/>
    </row>
    <row r="8" spans="1:9" ht="15.75" customHeight="1">
      <c r="A8" s="20" t="s">
        <v>36508</v>
      </c>
      <c r="B8" s="20">
        <v>10</v>
      </c>
      <c r="C8" s="20">
        <v>17</v>
      </c>
      <c r="D8" s="24"/>
      <c r="E8" s="24"/>
      <c r="F8" s="20" t="s">
        <v>36509</v>
      </c>
      <c r="G8" s="24" t="str">
        <f ca="1">IFERROR(__xludf.DUMMYFUNCTION("GOOGLETRANSLATE(F8,""en"",""pt"")"),"registro de conversa (CD)")</f>
        <v>registro de conversa (CD)</v>
      </c>
      <c r="H8" s="24"/>
      <c r="I8" s="24"/>
    </row>
    <row r="9" spans="1:9" ht="15.75" customHeight="1">
      <c r="A9" s="20" t="s">
        <v>36510</v>
      </c>
      <c r="B9" s="20">
        <v>10</v>
      </c>
      <c r="C9" s="20">
        <v>20</v>
      </c>
      <c r="D9" s="24"/>
      <c r="E9" s="24"/>
      <c r="F9" s="20" t="s">
        <v>36511</v>
      </c>
      <c r="G9" s="24" t="str">
        <f ca="1">IFERROR(__xludf.DUMMYFUNCTION("GOOGLETRANSLATE(F9,""en"",""pt"")"),"Correspondência (CO)")</f>
        <v>Correspondência (CO)</v>
      </c>
      <c r="H9" s="24"/>
      <c r="I9" s="24"/>
    </row>
    <row r="10" spans="1:9" ht="15.75" customHeight="1">
      <c r="A10" s="20" t="s">
        <v>36512</v>
      </c>
      <c r="B10" s="20">
        <v>10</v>
      </c>
      <c r="C10" s="20">
        <v>27</v>
      </c>
      <c r="D10" s="24"/>
      <c r="E10" s="24"/>
      <c r="F10" s="20" t="s">
        <v>36513</v>
      </c>
      <c r="G10" s="24" t="str">
        <f ca="1">IFERROR(__xludf.DUMMYFUNCTION("GOOGLETRANSLATE(F10,""en"",""pt"")"),"E-mail (EM)")</f>
        <v>E-mail (EM)</v>
      </c>
      <c r="H10" s="24"/>
      <c r="I10" s="24"/>
    </row>
    <row r="11" spans="1:9" ht="15.75" customHeight="1">
      <c r="A11" s="20" t="s">
        <v>36514</v>
      </c>
      <c r="B11" s="20">
        <v>10</v>
      </c>
      <c r="C11" s="20">
        <v>30</v>
      </c>
      <c r="D11" s="24"/>
      <c r="E11" s="24"/>
      <c r="F11" s="20" t="s">
        <v>36515</v>
      </c>
      <c r="G11" s="24" t="str">
        <f ca="1">IFERROR(__xludf.DUMMYFUNCTION("GOOGLETRANSLATE(F11,""en"",""pt"")"),"nota Arquivo (FN)")</f>
        <v>nota Arquivo (FN)</v>
      </c>
      <c r="H11" s="24"/>
      <c r="I11" s="24"/>
    </row>
    <row r="12" spans="1:9" ht="15.75" customHeight="1">
      <c r="A12" s="20" t="s">
        <v>36516</v>
      </c>
      <c r="B12" s="20">
        <v>10</v>
      </c>
      <c r="C12" s="20">
        <v>45</v>
      </c>
      <c r="D12" s="24"/>
      <c r="E12" s="24"/>
      <c r="F12" s="20" t="s">
        <v>36517</v>
      </c>
      <c r="G12" s="24" t="str">
        <f ca="1">IFERROR(__xludf.DUMMYFUNCTION("GOOGLETRANSLATE(F12,""en"",""pt"")"),"Folheto (LF)")</f>
        <v>Folheto (LF)</v>
      </c>
      <c r="H12" s="24"/>
      <c r="I12" s="24"/>
    </row>
    <row r="13" spans="1:9" ht="15.75" customHeight="1">
      <c r="A13" s="20" t="s">
        <v>36518</v>
      </c>
      <c r="B13" s="20">
        <v>10</v>
      </c>
      <c r="C13" s="20">
        <v>46</v>
      </c>
      <c r="D13" s="24"/>
      <c r="E13" s="24"/>
      <c r="F13" s="20" t="s">
        <v>36519</v>
      </c>
      <c r="G13" s="24" t="str">
        <f ca="1">IFERROR(__xludf.DUMMYFUNCTION("GOOGLETRANSLATE(F13,""en"",""pt"")"),"Letter (LT)")</f>
        <v>Letter (LT)</v>
      </c>
      <c r="H13" s="24"/>
      <c r="I13" s="24"/>
    </row>
    <row r="14" spans="1:9" ht="15.75" customHeight="1">
      <c r="A14" s="20" t="s">
        <v>36520</v>
      </c>
      <c r="B14" s="20">
        <v>10</v>
      </c>
      <c r="C14" s="20">
        <v>50</v>
      </c>
      <c r="D14" s="24"/>
      <c r="E14" s="24"/>
      <c r="F14" s="20" t="s">
        <v>36521</v>
      </c>
      <c r="G14" s="24" t="str">
        <f ca="1">IFERROR(__xludf.DUMMYFUNCTION("GOOGLETRANSLATE(F14,""en"",""pt"")"),"Memo (ME)")</f>
        <v>Memo (ME)</v>
      </c>
      <c r="H14" s="24"/>
      <c r="I14" s="24"/>
    </row>
    <row r="15" spans="1:9" ht="15.75" customHeight="1">
      <c r="A15" s="20" t="s">
        <v>36522</v>
      </c>
      <c r="B15" s="20">
        <v>10</v>
      </c>
      <c r="C15" s="20">
        <v>55</v>
      </c>
      <c r="D15" s="24"/>
      <c r="E15" s="24"/>
      <c r="F15" s="20" t="s">
        <v>36523</v>
      </c>
      <c r="G15" s="24" t="str">
        <f ca="1">IFERROR(__xludf.DUMMYFUNCTION("GOOGLETRANSLATE(F15,""en"",""pt"")"),"Minutos (MI)")</f>
        <v>Minutos (MI)</v>
      </c>
      <c r="H15" s="24"/>
      <c r="I15" s="24"/>
    </row>
    <row r="16" spans="1:9" ht="15.75" customHeight="1">
      <c r="A16" s="20" t="s">
        <v>36524</v>
      </c>
      <c r="B16" s="20">
        <v>10</v>
      </c>
      <c r="C16" s="20">
        <v>59</v>
      </c>
      <c r="D16" s="24"/>
      <c r="E16" s="24"/>
      <c r="F16" s="20" t="s">
        <v>36525</v>
      </c>
      <c r="G16" s="24" t="str">
        <f ca="1">IFERROR(__xludf.DUMMYFUNCTION("GOOGLETRANSLATE(F16,""en"",""pt"")"),"Poster (PO)")</f>
        <v>Poster (PO)</v>
      </c>
      <c r="H16" s="24"/>
      <c r="I16" s="24"/>
    </row>
    <row r="17" spans="1:9" ht="15.75" customHeight="1">
      <c r="A17" s="20" t="s">
        <v>36526</v>
      </c>
      <c r="B17" s="20">
        <v>10</v>
      </c>
      <c r="C17" s="20">
        <v>60</v>
      </c>
      <c r="D17" s="24"/>
      <c r="E17" s="24"/>
      <c r="F17" s="20" t="s">
        <v>36527</v>
      </c>
      <c r="G17" s="24" t="str">
        <f ca="1">IFERROR(__xludf.DUMMYFUNCTION("GOOGLETRANSLATE(F17,""en"",""pt"")"),"Apresentação (PP)")</f>
        <v>Apresentação (PP)</v>
      </c>
      <c r="H17" s="24"/>
      <c r="I17" s="24"/>
    </row>
    <row r="18" spans="1:9" ht="15.75" customHeight="1">
      <c r="A18" s="20" t="s">
        <v>36528</v>
      </c>
      <c r="B18" s="20">
        <v>10</v>
      </c>
      <c r="C18" s="20">
        <v>65</v>
      </c>
      <c r="D18" s="24"/>
      <c r="E18" s="24"/>
      <c r="F18" s="20" t="s">
        <v>36529</v>
      </c>
      <c r="G18" s="24" t="str">
        <f ca="1">IFERROR(__xludf.DUMMYFUNCTION("GOOGLETRANSLATE(F18,""en"",""pt"")"),"Press release (PE)")</f>
        <v>Press release (PE)</v>
      </c>
      <c r="H18" s="24"/>
      <c r="I18" s="24"/>
    </row>
    <row r="19" spans="1:9" ht="15.75" customHeight="1">
      <c r="A19" s="20" t="s">
        <v>36530</v>
      </c>
      <c r="B19" s="20">
        <v>10</v>
      </c>
      <c r="C19" s="20">
        <v>70</v>
      </c>
      <c r="D19" s="24"/>
      <c r="E19" s="24"/>
      <c r="F19" s="20" t="s">
        <v>36531</v>
      </c>
      <c r="G19" s="24" t="str">
        <f ca="1">IFERROR(__xludf.DUMMYFUNCTION("GOOGLETRANSLATE(F19,""en"",""pt"")"),"Request (RI)")</f>
        <v>Request (RI)</v>
      </c>
      <c r="H19" s="24"/>
      <c r="I19" s="24"/>
    </row>
    <row r="20" spans="1:9" ht="15.75" customHeight="1">
      <c r="A20" s="20" t="s">
        <v>36532</v>
      </c>
      <c r="B20" s="20">
        <v>10</v>
      </c>
      <c r="C20" s="20">
        <v>86</v>
      </c>
      <c r="D20" s="24"/>
      <c r="E20" s="24"/>
      <c r="F20" s="20" t="s">
        <v>36533</v>
      </c>
      <c r="G20" s="24" t="str">
        <f ca="1">IFERROR(__xludf.DUMMYFUNCTION("GOOGLETRANSLATE(F20,""en"",""pt"")"),"consulta técnica (TQ)")</f>
        <v>consulta técnica (TQ)</v>
      </c>
      <c r="H20" s="24"/>
      <c r="I20" s="24"/>
    </row>
    <row r="21" spans="1:9" ht="15.75" customHeight="1">
      <c r="A21" s="20" t="s">
        <v>36534</v>
      </c>
      <c r="B21" s="20">
        <v>10</v>
      </c>
      <c r="C21" s="20">
        <v>88</v>
      </c>
      <c r="D21" s="24"/>
      <c r="E21" s="24"/>
      <c r="F21" s="20" t="s">
        <v>36535</v>
      </c>
      <c r="G21" s="24" t="str">
        <f ca="1">IFERROR(__xludf.DUMMYFUNCTION("GOOGLETRANSLATE(F21,""en"",""pt"")"),"nota transferência (TN)")</f>
        <v>nota transferência (TN)</v>
      </c>
      <c r="H21" s="24"/>
      <c r="I21" s="24"/>
    </row>
    <row r="22" spans="1:9" ht="15.75" customHeight="1">
      <c r="A22" s="20" t="s">
        <v>36536</v>
      </c>
      <c r="B22" s="20">
        <v>10</v>
      </c>
      <c r="C22" s="20">
        <v>90</v>
      </c>
      <c r="D22" s="24"/>
      <c r="E22" s="24"/>
      <c r="F22" s="20" t="s">
        <v>36537</v>
      </c>
      <c r="G22" s="24" t="str">
        <f ca="1">IFERROR(__xludf.DUMMYFUNCTION("GOOGLETRANSLATE(F22,""en"",""pt"")"),"Transmissão (TL)")</f>
        <v>Transmissão (TL)</v>
      </c>
      <c r="H22" s="24"/>
      <c r="I22" s="24"/>
    </row>
    <row r="23" spans="1:9" ht="15.75" customHeight="1">
      <c r="A23" s="20" t="s">
        <v>36538</v>
      </c>
      <c r="B23" s="20">
        <v>20</v>
      </c>
      <c r="C23" s="24"/>
      <c r="D23" s="24"/>
      <c r="E23" s="24"/>
      <c r="F23" s="20" t="s">
        <v>36539</v>
      </c>
      <c r="G23" s="24" t="str">
        <f ca="1">IFERROR(__xludf.DUMMYFUNCTION("GOOGLETRANSLATE(F23,""en"",""pt"")"),"Contratual")</f>
        <v>Contratual</v>
      </c>
      <c r="H23" s="24"/>
      <c r="I23" s="24"/>
    </row>
    <row r="24" spans="1:9" ht="15.75" customHeight="1">
      <c r="A24" s="20" t="s">
        <v>36540</v>
      </c>
      <c r="B24" s="20">
        <v>20</v>
      </c>
      <c r="C24" s="20">
        <v>5</v>
      </c>
      <c r="D24" s="24"/>
      <c r="E24" s="24"/>
      <c r="F24" s="20" t="s">
        <v>36541</v>
      </c>
      <c r="G24" s="24" t="str">
        <f ca="1">IFERROR(__xludf.DUMMYFUNCTION("GOOGLETRANSLATE(F24,""en"",""pt"")"),"Aplicação (AP)")</f>
        <v>Aplicação (AP)</v>
      </c>
      <c r="H24" s="24"/>
      <c r="I24" s="24"/>
    </row>
    <row r="25" spans="1:9" ht="15.75" customHeight="1">
      <c r="A25" s="20" t="s">
        <v>36542</v>
      </c>
      <c r="B25" s="20">
        <v>20</v>
      </c>
      <c r="C25" s="20">
        <v>15</v>
      </c>
      <c r="D25" s="24"/>
      <c r="E25" s="24"/>
      <c r="F25" s="20" t="s">
        <v>36543</v>
      </c>
      <c r="G25" s="24" t="str">
        <f ca="1">IFERROR(__xludf.DUMMYFUNCTION("GOOGLETRANSLATE(F25,""en"",""pt"")"),"Contrato (CC)")</f>
        <v>Contrato (CC)</v>
      </c>
      <c r="H25" s="24"/>
      <c r="I25" s="24"/>
    </row>
    <row r="26" spans="1:9" ht="15.75" customHeight="1">
      <c r="A26" s="20" t="s">
        <v>36544</v>
      </c>
      <c r="B26" s="20">
        <v>20</v>
      </c>
      <c r="C26" s="20">
        <v>25</v>
      </c>
      <c r="D26" s="24"/>
      <c r="E26" s="24"/>
      <c r="F26" s="20" t="s">
        <v>36545</v>
      </c>
      <c r="G26" s="24" t="str">
        <f ca="1">IFERROR(__xludf.DUMMYFUNCTION("GOOGLETRANSLATE(F26,""en"",""pt"")"),"aviso de alerta precoce (EW)")</f>
        <v>aviso de alerta precoce (EW)</v>
      </c>
      <c r="H26" s="24"/>
      <c r="I26" s="24"/>
    </row>
    <row r="27" spans="1:9" ht="15.75" customHeight="1">
      <c r="A27" s="20" t="s">
        <v>36546</v>
      </c>
      <c r="B27" s="20">
        <v>20</v>
      </c>
      <c r="C27" s="20">
        <v>40</v>
      </c>
      <c r="D27" s="24"/>
      <c r="E27" s="24"/>
      <c r="F27" s="20" t="s">
        <v>36547</v>
      </c>
      <c r="G27" s="24" t="str">
        <f ca="1">IFERROR(__xludf.DUMMYFUNCTION("GOOGLETRANSLATE(F27,""en"",""pt"")"),"Instrução (IN)")</f>
        <v>Instrução (IN)</v>
      </c>
      <c r="H27" s="24"/>
      <c r="I27" s="24"/>
    </row>
    <row r="28" spans="1:9" ht="15.75" customHeight="1">
      <c r="A28" s="20" t="s">
        <v>36548</v>
      </c>
      <c r="B28" s="20">
        <v>20</v>
      </c>
      <c r="C28" s="20">
        <v>65</v>
      </c>
      <c r="D28" s="24"/>
      <c r="E28" s="24"/>
      <c r="F28" s="20" t="s">
        <v>36549</v>
      </c>
      <c r="G28" s="24" t="str">
        <f ca="1">IFERROR(__xludf.DUMMYFUNCTION("GOOGLETRANSLATE(F28,""en"",""pt"")"),"Proposta (PS)")</f>
        <v>Proposta (PS)</v>
      </c>
      <c r="H28" s="24"/>
      <c r="I28" s="24"/>
    </row>
    <row r="29" spans="1:9" ht="15.75" customHeight="1">
      <c r="A29" s="20" t="s">
        <v>36550</v>
      </c>
      <c r="B29" s="20">
        <v>20</v>
      </c>
      <c r="C29" s="20">
        <v>70</v>
      </c>
      <c r="D29" s="24"/>
      <c r="E29" s="24"/>
      <c r="F29" s="20" t="s">
        <v>36551</v>
      </c>
      <c r="G29" s="24" t="str">
        <f ca="1">IFERROR(__xludf.DUMMYFUNCTION("GOOGLETRANSLATE(F29,""en"",""pt"")"),"Requisição (RQ)")</f>
        <v>Requisição (RQ)</v>
      </c>
      <c r="H29" s="24"/>
      <c r="I29" s="24"/>
    </row>
    <row r="30" spans="1:9" ht="15.75" customHeight="1">
      <c r="A30" s="20" t="s">
        <v>36552</v>
      </c>
      <c r="B30" s="20">
        <v>20</v>
      </c>
      <c r="C30" s="20">
        <v>85</v>
      </c>
      <c r="D30" s="24"/>
      <c r="E30" s="24"/>
      <c r="F30" s="20" t="s">
        <v>36553</v>
      </c>
      <c r="G30" s="24" t="str">
        <f ca="1">IFERROR(__xludf.DUMMYFUNCTION("GOOGLETRANSLATE(F30,""en"",""pt"")"),"ordem Subcontract (SO)")</f>
        <v>ordem Subcontract (SO)</v>
      </c>
      <c r="H30" s="24"/>
      <c r="I30" s="24"/>
    </row>
    <row r="31" spans="1:9" ht="15.75" customHeight="1">
      <c r="A31" s="20" t="s">
        <v>36554</v>
      </c>
      <c r="B31" s="20">
        <v>20</v>
      </c>
      <c r="C31" s="20">
        <v>95</v>
      </c>
      <c r="D31" s="24"/>
      <c r="E31" s="24"/>
      <c r="F31" s="20" t="s">
        <v>36555</v>
      </c>
      <c r="G31" s="24" t="str">
        <f ca="1">IFERROR(__xludf.DUMMYFUNCTION("GOOGLETRANSLATE(F31,""en"",""pt"")"),"Variação (VA)")</f>
        <v>Variação (VA)</v>
      </c>
      <c r="H31" s="24"/>
      <c r="I31" s="24"/>
    </row>
    <row r="32" spans="1:9" ht="15.75" customHeight="1">
      <c r="A32" s="20" t="s">
        <v>36556</v>
      </c>
      <c r="B32" s="20">
        <v>30</v>
      </c>
      <c r="C32" s="24"/>
      <c r="D32" s="24"/>
      <c r="E32" s="24"/>
      <c r="F32" s="20" t="s">
        <v>36557</v>
      </c>
      <c r="G32" s="24" t="str">
        <f ca="1">IFERROR(__xludf.DUMMYFUNCTION("GOOGLETRANSLATE(F32,""en"",""pt"")"),"Dados")</f>
        <v>Dados</v>
      </c>
      <c r="H32" s="24"/>
      <c r="I32" s="24"/>
    </row>
    <row r="33" spans="1:9" ht="15.75" customHeight="1">
      <c r="A33" s="20" t="s">
        <v>36558</v>
      </c>
      <c r="B33" s="20">
        <v>30</v>
      </c>
      <c r="C33" s="20">
        <v>20</v>
      </c>
      <c r="D33" s="24"/>
      <c r="E33" s="24"/>
      <c r="F33" s="20" t="s">
        <v>36559</v>
      </c>
      <c r="G33" s="24" t="str">
        <f ca="1">IFERROR(__xludf.DUMMYFUNCTION("GOOGLETRANSLATE(F33,""en"",""pt"")"),"Banco de dados (DB)")</f>
        <v>Banco de dados (DB)</v>
      </c>
      <c r="H33" s="24"/>
      <c r="I33" s="24"/>
    </row>
    <row r="34" spans="1:9" ht="15.75" customHeight="1">
      <c r="A34" s="20" t="s">
        <v>36560</v>
      </c>
      <c r="B34" s="20">
        <v>30</v>
      </c>
      <c r="C34" s="20">
        <v>22</v>
      </c>
      <c r="D34" s="24"/>
      <c r="E34" s="24"/>
      <c r="F34" s="20" t="s">
        <v>36561</v>
      </c>
      <c r="G34" s="24" t="str">
        <f ca="1">IFERROR(__xludf.DUMMYFUNCTION("GOOGLETRANSLATE(F34,""en"",""pt"")"),"conjunto de dados (DS)")</f>
        <v>conjunto de dados (DS)</v>
      </c>
      <c r="H34" s="24"/>
      <c r="I34" s="24"/>
    </row>
    <row r="35" spans="1:9" ht="15.75" customHeight="1">
      <c r="A35" s="20" t="s">
        <v>36562</v>
      </c>
      <c r="B35" s="20">
        <v>30</v>
      </c>
      <c r="C35" s="20">
        <v>40</v>
      </c>
      <c r="D35" s="24"/>
      <c r="E35" s="24"/>
      <c r="F35" s="20" t="s">
        <v>36563</v>
      </c>
      <c r="G35" s="24" t="str">
        <f ca="1">IFERROR(__xludf.DUMMYFUNCTION("GOOGLETRANSLATE(F35,""en"",""pt"")"),"arquivo de troca de informação (IE)")</f>
        <v>arquivo de troca de informação (IE)</v>
      </c>
      <c r="H35" s="24"/>
      <c r="I35" s="24"/>
    </row>
    <row r="36" spans="1:9" ht="15.75" customHeight="1">
      <c r="A36" s="20" t="s">
        <v>36564</v>
      </c>
      <c r="B36" s="20">
        <v>30</v>
      </c>
      <c r="C36" s="20">
        <v>70</v>
      </c>
      <c r="D36" s="24"/>
      <c r="E36" s="24"/>
      <c r="F36" s="20" t="s">
        <v>36565</v>
      </c>
      <c r="G36" s="24" t="str">
        <f ca="1">IFERROR(__xludf.DUMMYFUNCTION("GOOGLETRANSLATE(F36,""en"",""pt"")"),"folha de dados de quarto (RD)")</f>
        <v>folha de dados de quarto (RD)</v>
      </c>
      <c r="H36" s="24"/>
      <c r="I36" s="24"/>
    </row>
    <row r="37" spans="1:9" ht="15.75" customHeight="1">
      <c r="A37" s="20" t="s">
        <v>36566</v>
      </c>
      <c r="B37" s="20">
        <v>30</v>
      </c>
      <c r="C37" s="20">
        <v>80</v>
      </c>
      <c r="D37" s="24"/>
      <c r="E37" s="24"/>
      <c r="F37" s="20" t="s">
        <v>36567</v>
      </c>
      <c r="G37" s="24" t="str">
        <f ca="1">IFERROR(__xludf.DUMMYFUNCTION("GOOGLETRANSLATE(F37,""en"",""pt"")"),"Cronograma de alojamento (SA)")</f>
        <v>Cronograma de alojamento (SA)</v>
      </c>
      <c r="H37" s="24"/>
      <c r="I37" s="24"/>
    </row>
    <row r="38" spans="1:9" ht="15.75" customHeight="1">
      <c r="A38" s="20" t="s">
        <v>36568</v>
      </c>
      <c r="B38" s="20">
        <v>40</v>
      </c>
      <c r="C38" s="24"/>
      <c r="D38" s="24"/>
      <c r="E38" s="24"/>
      <c r="F38" s="20" t="s">
        <v>36569</v>
      </c>
      <c r="G38" s="24" t="str">
        <f ca="1">IFERROR(__xludf.DUMMYFUNCTION("GOOGLETRANSLATE(F38,""en"",""pt"")"),"Projeto")</f>
        <v>Projeto</v>
      </c>
      <c r="H38" s="24"/>
      <c r="I38" s="24"/>
    </row>
    <row r="39" spans="1:9" ht="14.5">
      <c r="A39" s="20" t="s">
        <v>36570</v>
      </c>
      <c r="B39" s="20">
        <v>40</v>
      </c>
      <c r="C39" s="20">
        <v>10</v>
      </c>
      <c r="D39" s="24"/>
      <c r="E39" s="24"/>
      <c r="F39" s="20" t="s">
        <v>36571</v>
      </c>
      <c r="G39" s="24" t="str">
        <f ca="1">IFERROR(__xludf.DUMMYFUNCTION("GOOGLETRANSLATE(F39,""en"",""pt"")"),"Cálculos (CA)")</f>
        <v>Cálculos (CA)</v>
      </c>
      <c r="H39" s="24"/>
      <c r="I39" s="24"/>
    </row>
    <row r="40" spans="1:9" ht="14.5">
      <c r="A40" s="20" t="s">
        <v>36572</v>
      </c>
      <c r="B40" s="20">
        <v>40</v>
      </c>
      <c r="C40" s="20">
        <v>75</v>
      </c>
      <c r="D40" s="24"/>
      <c r="E40" s="24"/>
      <c r="F40" s="20" t="s">
        <v>36573</v>
      </c>
      <c r="G40" s="24" t="str">
        <f ca="1">IFERROR(__xludf.DUMMYFUNCTION("GOOGLETRANSLATE(F40,""en"",""pt"")"),"Marcar ou mesa (SH)")</f>
        <v>Marcar ou mesa (SH)</v>
      </c>
      <c r="H40" s="24"/>
      <c r="I40" s="24"/>
    </row>
    <row r="41" spans="1:9" ht="14.5">
      <c r="A41" s="20" t="s">
        <v>36574</v>
      </c>
      <c r="B41" s="20">
        <v>40</v>
      </c>
      <c r="C41" s="20">
        <v>78</v>
      </c>
      <c r="D41" s="24"/>
      <c r="E41" s="24"/>
      <c r="F41" s="20" t="s">
        <v>36575</v>
      </c>
      <c r="G41" s="24" t="str">
        <f ca="1">IFERROR(__xludf.DUMMYFUNCTION("GOOGLETRANSLATE(F41,""en"",""pt"")"),"Âmbito de obras (SW)")</f>
        <v>Âmbito de obras (SW)</v>
      </c>
      <c r="H41" s="24"/>
      <c r="I41" s="24"/>
    </row>
    <row r="42" spans="1:9" ht="14.5">
      <c r="A42" s="20" t="s">
        <v>36576</v>
      </c>
      <c r="B42" s="20">
        <v>40</v>
      </c>
      <c r="C42" s="20">
        <v>80</v>
      </c>
      <c r="D42" s="24"/>
      <c r="E42" s="24"/>
      <c r="F42" s="20" t="s">
        <v>36577</v>
      </c>
      <c r="G42" s="24" t="str">
        <f ca="1">IFERROR(__xludf.DUMMYFUNCTION("GOOGLETRANSLATE(F42,""en"",""pt"")"),"Especificação (SP)")</f>
        <v>Especificação (SP)</v>
      </c>
      <c r="H42" s="24"/>
      <c r="I42" s="24"/>
    </row>
    <row r="43" spans="1:9" ht="14.5">
      <c r="A43" s="20" t="s">
        <v>36578</v>
      </c>
      <c r="B43" s="20">
        <v>50</v>
      </c>
      <c r="C43" s="24"/>
      <c r="D43" s="24"/>
      <c r="E43" s="24"/>
      <c r="F43" s="20" t="s">
        <v>36579</v>
      </c>
      <c r="G43" s="24" t="str">
        <f ca="1">IFERROR(__xludf.DUMMYFUNCTION("GOOGLETRANSLATE(F43,""en"",""pt"")"),"Financeiro")</f>
        <v>Financeiro</v>
      </c>
      <c r="H43" s="24"/>
      <c r="I43" s="24"/>
    </row>
    <row r="44" spans="1:9" ht="14.5">
      <c r="A44" s="20" t="s">
        <v>36580</v>
      </c>
      <c r="B44" s="20">
        <v>50</v>
      </c>
      <c r="C44" s="20">
        <v>10</v>
      </c>
      <c r="D44" s="24"/>
      <c r="E44" s="24"/>
      <c r="F44" s="20" t="s">
        <v>36581</v>
      </c>
      <c r="G44" s="24" t="str">
        <f ca="1">IFERROR(__xludf.DUMMYFUNCTION("GOOGLETRANSLATE(F44,""en"",""pt"")"),"Bill de quantidades (BQ)")</f>
        <v>Bill de quantidades (BQ)</v>
      </c>
      <c r="H44" s="24"/>
      <c r="I44" s="24"/>
    </row>
    <row r="45" spans="1:9" ht="14.5">
      <c r="A45" s="20" t="s">
        <v>36582</v>
      </c>
      <c r="B45" s="20">
        <v>50</v>
      </c>
      <c r="C45" s="20">
        <v>15</v>
      </c>
      <c r="D45" s="24"/>
      <c r="E45" s="24"/>
      <c r="F45" s="20" t="s">
        <v>36583</v>
      </c>
      <c r="G45" s="24" t="str">
        <f ca="1">IFERROR(__xludf.DUMMYFUNCTION("GOOGLETRANSLATE(F45,""en"",""pt"")"),"plano de custo (CP)")</f>
        <v>plano de custo (CP)</v>
      </c>
      <c r="H45" s="24"/>
      <c r="I45" s="24"/>
    </row>
    <row r="46" spans="1:9" ht="14.5">
      <c r="A46" s="20" t="s">
        <v>36584</v>
      </c>
      <c r="B46" s="20">
        <v>50</v>
      </c>
      <c r="C46" s="20">
        <v>27</v>
      </c>
      <c r="D46" s="24"/>
      <c r="E46" s="24"/>
      <c r="F46" s="20" t="s">
        <v>36585</v>
      </c>
      <c r="G46" s="24" t="str">
        <f ca="1">IFERROR(__xludf.DUMMYFUNCTION("GOOGLETRANSLATE(F46,""en"",""pt"")"),"Estimado (ES)")</f>
        <v>Estimado (ES)</v>
      </c>
      <c r="H46" s="24"/>
      <c r="I46" s="24"/>
    </row>
    <row r="47" spans="1:9" ht="14.5">
      <c r="A47" s="20" t="s">
        <v>36586</v>
      </c>
      <c r="B47" s="20">
        <v>50</v>
      </c>
      <c r="C47" s="20">
        <v>40</v>
      </c>
      <c r="D47" s="24"/>
      <c r="E47" s="24"/>
      <c r="F47" s="20" t="s">
        <v>36587</v>
      </c>
      <c r="G47" s="24" t="str">
        <f ca="1">IFERROR(__xludf.DUMMYFUNCTION("GOOGLETRANSLATE(F47,""en"",""pt"")"),"Factura (IV)")</f>
        <v>Factura (IV)</v>
      </c>
      <c r="H47" s="24"/>
      <c r="I47" s="24"/>
    </row>
    <row r="48" spans="1:9" ht="14.5">
      <c r="A48" s="20" t="s">
        <v>36588</v>
      </c>
      <c r="B48" s="20">
        <v>60</v>
      </c>
      <c r="C48" s="24"/>
      <c r="D48" s="24"/>
      <c r="E48" s="24"/>
      <c r="F48" s="20" t="s">
        <v>36589</v>
      </c>
      <c r="G48" s="24" t="str">
        <f ca="1">IFERROR(__xludf.DUMMYFUNCTION("GOOGLETRANSLATE(F48,""en"",""pt"")"),"Gráfico")</f>
        <v>Gráfico</v>
      </c>
      <c r="H48" s="24"/>
      <c r="I48" s="24"/>
    </row>
    <row r="49" spans="1:9" ht="14.5">
      <c r="A49" s="20" t="s">
        <v>36590</v>
      </c>
      <c r="B49" s="20">
        <v>60</v>
      </c>
      <c r="C49" s="20">
        <v>5</v>
      </c>
      <c r="D49" s="24"/>
      <c r="E49" s="24"/>
      <c r="F49" s="20" t="s">
        <v>36591</v>
      </c>
      <c r="G49" s="24" t="str">
        <f ca="1">IFERROR(__xludf.DUMMYFUNCTION("GOOGLETRANSLATE(F49,""en"",""pt"")"),"arquivo de animação (AF)")</f>
        <v>arquivo de animação (AF)</v>
      </c>
      <c r="H49" s="24"/>
      <c r="I49" s="24"/>
    </row>
    <row r="50" spans="1:9" ht="14.5">
      <c r="A50" s="20" t="s">
        <v>36592</v>
      </c>
      <c r="B50" s="20">
        <v>60</v>
      </c>
      <c r="C50" s="20">
        <v>15</v>
      </c>
      <c r="D50" s="24"/>
      <c r="E50" s="24"/>
      <c r="F50" s="20" t="s">
        <v>36593</v>
      </c>
      <c r="G50" s="24" t="str">
        <f ca="1">IFERROR(__xludf.DUMMYFUNCTION("GOOGLETRANSLATE(F50,""en"",""pt"")"),"Clash entrega (CR)")</f>
        <v>Clash entrega (CR)</v>
      </c>
      <c r="H50" s="24"/>
      <c r="I50" s="24"/>
    </row>
    <row r="51" spans="1:9" ht="14.5">
      <c r="A51" s="20" t="s">
        <v>36594</v>
      </c>
      <c r="B51" s="20">
        <v>60</v>
      </c>
      <c r="C51" s="20">
        <v>17</v>
      </c>
      <c r="D51" s="24"/>
      <c r="E51" s="24"/>
      <c r="F51" s="20" t="s">
        <v>36595</v>
      </c>
      <c r="G51" s="24" t="str">
        <f ca="1">IFERROR(__xludf.DUMMYFUNCTION("GOOGLETRANSLATE(F51,""en"",""pt"")"),"modelo combinado (CM)")</f>
        <v>modelo combinado (CM)</v>
      </c>
      <c r="H51" s="24"/>
      <c r="I51" s="24"/>
    </row>
    <row r="52" spans="1:9" ht="14.5">
      <c r="A52" s="20" t="s">
        <v>36596</v>
      </c>
      <c r="B52" s="20">
        <v>60</v>
      </c>
      <c r="C52" s="20">
        <v>20</v>
      </c>
      <c r="D52" s="24"/>
      <c r="E52" s="24"/>
      <c r="F52" s="20" t="s">
        <v>36597</v>
      </c>
      <c r="G52" s="24" t="str">
        <f ca="1">IFERROR(__xludf.DUMMYFUNCTION("GOOGLETRANSLATE(F52,""en"",""pt"")"),"Desenho (DG)")</f>
        <v>Desenho (DG)</v>
      </c>
      <c r="H52" s="24"/>
      <c r="I52" s="24"/>
    </row>
    <row r="53" spans="1:9" ht="14.5">
      <c r="A53" s="20" t="s">
        <v>36598</v>
      </c>
      <c r="B53" s="20">
        <v>60</v>
      </c>
      <c r="C53" s="20">
        <v>25</v>
      </c>
      <c r="D53" s="24"/>
      <c r="E53" s="24"/>
      <c r="F53" s="20" t="s">
        <v>36599</v>
      </c>
      <c r="G53" s="24" t="str">
        <f ca="1">IFERROR(__xludf.DUMMYFUNCTION("GOOGLETRANSLATE(F53,""en"",""pt"")"),"Desenho entrega (DR)")</f>
        <v>Desenho entrega (DR)</v>
      </c>
      <c r="H53" s="24"/>
      <c r="I53" s="24"/>
    </row>
    <row r="54" spans="1:9" ht="14.5">
      <c r="A54" s="20" t="s">
        <v>36600</v>
      </c>
      <c r="B54" s="20">
        <v>60</v>
      </c>
      <c r="C54" s="20">
        <v>40</v>
      </c>
      <c r="D54" s="24"/>
      <c r="E54" s="24"/>
      <c r="F54" s="20" t="s">
        <v>36601</v>
      </c>
      <c r="G54" s="24" t="str">
        <f ca="1">IFERROR(__xludf.DUMMYFUNCTION("GOOGLETRANSLATE(F54,""en"",""pt"")"),"Imagem (IM)")</f>
        <v>Imagem (IM)</v>
      </c>
      <c r="H54" s="24"/>
      <c r="I54" s="24"/>
    </row>
    <row r="55" spans="1:9" ht="14.5">
      <c r="A55" s="20" t="s">
        <v>36602</v>
      </c>
      <c r="B55" s="20">
        <v>60</v>
      </c>
      <c r="C55" s="20">
        <v>50</v>
      </c>
      <c r="D55" s="24"/>
      <c r="E55" s="24"/>
      <c r="F55" s="20" t="s">
        <v>36603</v>
      </c>
      <c r="G55" s="24" t="str">
        <f ca="1">IFERROR(__xludf.DUMMYFUNCTION("GOOGLETRANSLATE(F55,""en"",""pt"")"),"rendição modelo (MR)")</f>
        <v>rendição modelo (MR)</v>
      </c>
      <c r="H55" s="24"/>
      <c r="I55" s="24"/>
    </row>
    <row r="56" spans="1:9" ht="14.5">
      <c r="A56" s="20" t="s">
        <v>36604</v>
      </c>
      <c r="B56" s="20">
        <v>60</v>
      </c>
      <c r="C56" s="20">
        <v>53</v>
      </c>
      <c r="D56" s="24"/>
      <c r="E56" s="24"/>
      <c r="F56" s="20" t="s">
        <v>36605</v>
      </c>
      <c r="G56" s="24" t="str">
        <f ca="1">IFERROR(__xludf.DUMMYFUNCTION("GOOGLETRANSLATE(F56,""en"",""pt"")"),"Modelo - tridimensional (M3)")</f>
        <v>Modelo - tridimensional (M3)</v>
      </c>
      <c r="H56" s="24"/>
      <c r="I56" s="24"/>
    </row>
    <row r="57" spans="1:9" ht="14.5">
      <c r="A57" s="20" t="s">
        <v>36606</v>
      </c>
      <c r="B57" s="20">
        <v>60</v>
      </c>
      <c r="C57" s="20">
        <v>55</v>
      </c>
      <c r="D57" s="24"/>
      <c r="E57" s="24"/>
      <c r="F57" s="20" t="s">
        <v>36607</v>
      </c>
      <c r="G57" s="24" t="str">
        <f ca="1">IFERROR(__xludf.DUMMYFUNCTION("GOOGLETRANSLATE(F57,""en"",""pt"")"),"Modelo - bidimensional (M2)")</f>
        <v>Modelo - bidimensional (M2)</v>
      </c>
      <c r="H57" s="24"/>
      <c r="I57" s="24"/>
    </row>
    <row r="58" spans="1:9" ht="14.5">
      <c r="A58" s="20" t="s">
        <v>36608</v>
      </c>
      <c r="B58" s="20">
        <v>60</v>
      </c>
      <c r="C58" s="20">
        <v>60</v>
      </c>
      <c r="D58" s="24"/>
      <c r="E58" s="24"/>
      <c r="F58" s="20" t="s">
        <v>36609</v>
      </c>
      <c r="G58" s="24" t="str">
        <f ca="1">IFERROR(__xludf.DUMMYFUNCTION("GOOGLETRANSLATE(F58,""en"",""pt"")"),"A fotografia (PH)")</f>
        <v>A fotografia (PH)</v>
      </c>
      <c r="H58" s="24"/>
      <c r="I58" s="24"/>
    </row>
    <row r="59" spans="1:9" ht="14.5">
      <c r="A59" s="20" t="s">
        <v>36610</v>
      </c>
      <c r="B59" s="20">
        <v>60</v>
      </c>
      <c r="C59" s="20">
        <v>76</v>
      </c>
      <c r="D59" s="24"/>
      <c r="E59" s="24"/>
      <c r="F59" s="20" t="s">
        <v>36611</v>
      </c>
      <c r="G59" s="24" t="str">
        <f ca="1">IFERROR(__xludf.DUMMYFUNCTION("GOOGLETRANSLATE(F59,""en"",""pt"")"),"Esquemático (SC)")</f>
        <v>Esquemático (SC)</v>
      </c>
      <c r="H59" s="24"/>
      <c r="I59" s="24"/>
    </row>
    <row r="60" spans="1:9" ht="14.5">
      <c r="A60" s="20" t="s">
        <v>36612</v>
      </c>
      <c r="B60" s="20">
        <v>60</v>
      </c>
      <c r="C60" s="20">
        <v>80</v>
      </c>
      <c r="D60" s="24"/>
      <c r="E60" s="24"/>
      <c r="F60" s="20" t="s">
        <v>36613</v>
      </c>
      <c r="G60" s="24" t="str">
        <f ca="1">IFERROR(__xludf.DUMMYFUNCTION("GOOGLETRANSLATE(F60,""en"",""pt"")"),"Esboço (SK)")</f>
        <v>Esboço (SK)</v>
      </c>
      <c r="H60" s="24"/>
      <c r="I60" s="24"/>
    </row>
    <row r="61" spans="1:9" ht="14.5">
      <c r="A61" s="20" t="s">
        <v>36614</v>
      </c>
      <c r="B61" s="20">
        <v>60</v>
      </c>
      <c r="C61" s="20">
        <v>95</v>
      </c>
      <c r="D61" s="24"/>
      <c r="E61" s="24"/>
      <c r="F61" s="20" t="s">
        <v>36615</v>
      </c>
      <c r="G61" s="24" t="str">
        <f ca="1">IFERROR(__xludf.DUMMYFUNCTION("GOOGLETRANSLATE(F61,""en"",""pt"")"),"Visualização (VS)")</f>
        <v>Visualização (VS)</v>
      </c>
      <c r="H61" s="24"/>
      <c r="I61" s="24"/>
    </row>
    <row r="62" spans="1:9" ht="14.5">
      <c r="A62" s="20" t="s">
        <v>36616</v>
      </c>
      <c r="B62" s="20">
        <v>70</v>
      </c>
      <c r="C62" s="24"/>
      <c r="D62" s="24"/>
      <c r="E62" s="24"/>
      <c r="F62" s="20" t="s">
        <v>36617</v>
      </c>
      <c r="G62" s="24" t="str">
        <f ca="1">IFERROR(__xludf.DUMMYFUNCTION("GOOGLETRANSLATE(F62,""en"",""pt"")"),"orientações oficiais")</f>
        <v>orientações oficiais</v>
      </c>
      <c r="H62" s="24"/>
      <c r="I62" s="24"/>
    </row>
    <row r="63" spans="1:9" ht="14.5">
      <c r="A63" s="20" t="s">
        <v>36618</v>
      </c>
      <c r="B63" s="20">
        <v>70</v>
      </c>
      <c r="C63" s="20">
        <v>65</v>
      </c>
      <c r="D63" s="24"/>
      <c r="E63" s="24"/>
      <c r="F63" s="20" t="s">
        <v>36619</v>
      </c>
      <c r="G63" s="24" t="str">
        <f ca="1">IFERROR(__xludf.DUMMYFUNCTION("GOOGLETRANSLATE(F63,""en"",""pt"")"),"Protocolo (PZ)")</f>
        <v>Protocolo (PZ)</v>
      </c>
      <c r="H63" s="24"/>
      <c r="I63" s="24"/>
    </row>
    <row r="64" spans="1:9" ht="14.5">
      <c r="A64" s="20" t="s">
        <v>36620</v>
      </c>
      <c r="B64" s="20">
        <v>70</v>
      </c>
      <c r="C64" s="20">
        <v>72</v>
      </c>
      <c r="D64" s="24"/>
      <c r="E64" s="24"/>
      <c r="F64" s="20" t="s">
        <v>36621</v>
      </c>
      <c r="G64" s="24" t="str">
        <f ca="1">IFERROR(__xludf.DUMMYFUNCTION("GOOGLETRANSLATE(F64,""en"",""pt"")"),"Regulamento (RN)")</f>
        <v>Regulamento (RN)</v>
      </c>
      <c r="H64" s="24"/>
      <c r="I64" s="24"/>
    </row>
    <row r="65" spans="1:9" ht="14.5">
      <c r="A65" s="20" t="s">
        <v>36622</v>
      </c>
      <c r="B65" s="20">
        <v>70</v>
      </c>
      <c r="C65" s="20">
        <v>85</v>
      </c>
      <c r="D65" s="24"/>
      <c r="E65" s="24"/>
      <c r="F65" s="20" t="s">
        <v>36623</v>
      </c>
      <c r="G65" s="24" t="str">
        <f ca="1">IFERROR(__xludf.DUMMYFUNCTION("GOOGLETRANSLATE(F65,""en"",""pt"")"),"Padrão (SD)")</f>
        <v>Padrão (SD)</v>
      </c>
      <c r="H65" s="24"/>
      <c r="I65" s="24"/>
    </row>
    <row r="66" spans="1:9" ht="14.5">
      <c r="A66" s="20" t="s">
        <v>36624</v>
      </c>
      <c r="B66" s="20">
        <v>80</v>
      </c>
      <c r="C66" s="24"/>
      <c r="D66" s="24"/>
      <c r="E66" s="24"/>
      <c r="F66" s="20" t="s">
        <v>36625</v>
      </c>
      <c r="G66" s="24" t="str">
        <f ca="1">IFERROR(__xludf.DUMMYFUNCTION("GOOGLETRANSLATE(F66,""en"",""pt"")"),"planejamento do projeto")</f>
        <v>planejamento do projeto</v>
      </c>
      <c r="H66" s="24"/>
      <c r="I66" s="24"/>
    </row>
    <row r="67" spans="1:9" ht="14.5">
      <c r="A67" s="20" t="s">
        <v>36626</v>
      </c>
      <c r="B67" s="20">
        <v>80</v>
      </c>
      <c r="C67" s="20">
        <v>50</v>
      </c>
      <c r="D67" s="24"/>
      <c r="E67" s="24"/>
      <c r="F67" s="20" t="s">
        <v>36627</v>
      </c>
      <c r="G67" s="24" t="str">
        <f ca="1">IFERROR(__xludf.DUMMYFUNCTION("GOOGLETRANSLATE(F67,""en"",""pt"")"),"declaração método (MS)")</f>
        <v>declaração método (MS)</v>
      </c>
      <c r="H67" s="24"/>
      <c r="I67" s="24"/>
    </row>
    <row r="68" spans="1:9" ht="14.5">
      <c r="A68" s="20" t="s">
        <v>36628</v>
      </c>
      <c r="B68" s="20">
        <v>80</v>
      </c>
      <c r="C68" s="20">
        <v>60</v>
      </c>
      <c r="D68" s="24"/>
      <c r="E68" s="24"/>
      <c r="F68" s="20" t="s">
        <v>36629</v>
      </c>
      <c r="G68" s="24" t="str">
        <f ca="1">IFERROR(__xludf.DUMMYFUNCTION("GOOGLETRANSLATE(F68,""en"",""pt"")"),"Política (PY)")</f>
        <v>Política (PY)</v>
      </c>
      <c r="H68" s="24"/>
      <c r="I68" s="24"/>
    </row>
    <row r="69" spans="1:9" ht="14.5">
      <c r="A69" s="20" t="s">
        <v>36630</v>
      </c>
      <c r="B69" s="20">
        <v>80</v>
      </c>
      <c r="C69" s="20">
        <v>63</v>
      </c>
      <c r="D69" s="24"/>
      <c r="E69" s="24"/>
      <c r="F69" s="20" t="s">
        <v>36631</v>
      </c>
      <c r="G69" s="24" t="str">
        <f ca="1">IFERROR(__xludf.DUMMYFUNCTION("GOOGLETRANSLATE(F69,""en"",""pt"")"),"Procedimento (PC)")</f>
        <v>Procedimento (PC)</v>
      </c>
      <c r="H69" s="24"/>
      <c r="I69" s="24"/>
    </row>
    <row r="70" spans="1:9" ht="14.5">
      <c r="A70" s="20" t="s">
        <v>36632</v>
      </c>
      <c r="B70" s="20">
        <v>80</v>
      </c>
      <c r="C70" s="20">
        <v>65</v>
      </c>
      <c r="D70" s="24"/>
      <c r="E70" s="24"/>
      <c r="F70" s="20" t="s">
        <v>36633</v>
      </c>
      <c r="G70" s="24" t="str">
        <f ca="1">IFERROR(__xludf.DUMMYFUNCTION("GOOGLETRANSLATE(F70,""en"",""pt"")"),"Programa (PR)")</f>
        <v>Programa (PR)</v>
      </c>
      <c r="H70" s="24"/>
      <c r="I70" s="24"/>
    </row>
    <row r="71" spans="1:9" ht="14.5">
      <c r="A71" s="20" t="s">
        <v>36634</v>
      </c>
      <c r="B71" s="20">
        <v>80</v>
      </c>
      <c r="C71" s="20">
        <v>85</v>
      </c>
      <c r="D71" s="24"/>
      <c r="E71" s="24"/>
      <c r="F71" s="20" t="s">
        <v>36635</v>
      </c>
      <c r="G71" s="24" t="str">
        <f ca="1">IFERROR(__xludf.DUMMYFUNCTION("GOOGLETRANSLATE(F71,""en"",""pt"")"),"Estratégia (SY)")</f>
        <v>Estratégia (SY)</v>
      </c>
      <c r="H71" s="24"/>
      <c r="I71" s="24"/>
    </row>
    <row r="72" spans="1:9" ht="14.5">
      <c r="A72" s="20" t="s">
        <v>36636</v>
      </c>
      <c r="B72" s="20">
        <v>90</v>
      </c>
      <c r="C72" s="24"/>
      <c r="D72" s="24"/>
      <c r="E72" s="24"/>
      <c r="F72" s="20" t="s">
        <v>34526</v>
      </c>
      <c r="G72" s="24" t="str">
        <f ca="1">IFERROR(__xludf.DUMMYFUNCTION("GOOGLETRANSLATE(F72,""en"",""pt"")"),"Registrar informação")</f>
        <v>Registrar informação</v>
      </c>
      <c r="H72" s="24"/>
      <c r="I72" s="24"/>
    </row>
    <row r="73" spans="1:9" ht="14.5">
      <c r="A73" s="20" t="s">
        <v>36637</v>
      </c>
      <c r="B73" s="20">
        <v>90</v>
      </c>
      <c r="C73" s="20">
        <v>13</v>
      </c>
      <c r="D73" s="24"/>
      <c r="E73" s="24"/>
      <c r="F73" s="20" t="s">
        <v>36638</v>
      </c>
      <c r="G73" s="24" t="str">
        <f ca="1">IFERROR(__xludf.DUMMYFUNCTION("GOOGLETRANSLATE(F73,""en"",""pt"")"),"Certificate (CE)")</f>
        <v>Certificate (CE)</v>
      </c>
      <c r="H73" s="24"/>
      <c r="I73" s="24"/>
    </row>
    <row r="74" spans="1:9" ht="14.5">
      <c r="A74" s="20" t="s">
        <v>36639</v>
      </c>
      <c r="B74" s="20">
        <v>90</v>
      </c>
      <c r="C74" s="20">
        <v>15</v>
      </c>
      <c r="D74" s="24"/>
      <c r="E74" s="24"/>
      <c r="F74" s="20" t="s">
        <v>36640</v>
      </c>
      <c r="G74" s="24" t="str">
        <f ca="1">IFERROR(__xludf.DUMMYFUNCTION("GOOGLETRANSLATE(F74,""en"",""pt"")"),"Gráfico (CH)")</f>
        <v>Gráfico (CH)</v>
      </c>
      <c r="H74" s="24"/>
      <c r="I74" s="24"/>
    </row>
    <row r="75" spans="1:9" ht="14.5">
      <c r="A75" s="20" t="s">
        <v>36641</v>
      </c>
      <c r="B75" s="20">
        <v>90</v>
      </c>
      <c r="C75" s="20">
        <v>21</v>
      </c>
      <c r="D75" s="24"/>
      <c r="E75" s="24"/>
      <c r="F75" s="20" t="s">
        <v>36642</v>
      </c>
      <c r="G75" s="24" t="str">
        <f ca="1">IFERROR(__xludf.DUMMYFUNCTION("GOOGLETRANSLATE(F75,""en"",""pt"")"),"folha de dados (DT)")</f>
        <v>folha de dados (DT)</v>
      </c>
      <c r="H75" s="24"/>
      <c r="I75" s="24"/>
    </row>
    <row r="76" spans="1:9" ht="14.5">
      <c r="A76" s="20" t="s">
        <v>36643</v>
      </c>
      <c r="B76" s="20">
        <v>90</v>
      </c>
      <c r="C76" s="20">
        <v>23</v>
      </c>
      <c r="D76" s="24"/>
      <c r="E76" s="24"/>
      <c r="F76" s="20" t="s">
        <v>36644</v>
      </c>
      <c r="G76" s="24" t="str">
        <f ca="1">IFERROR(__xludf.DUMMYFUNCTION("GOOGLETRANSLATE(F76,""en"",""pt"")"),"entrada diário (DE)")</f>
        <v>entrada diário (DE)</v>
      </c>
      <c r="H76" s="24"/>
      <c r="I76" s="24"/>
    </row>
    <row r="77" spans="1:9" ht="14.5">
      <c r="A77" s="20" t="s">
        <v>36645</v>
      </c>
      <c r="B77" s="20">
        <v>90</v>
      </c>
      <c r="C77" s="20">
        <v>24</v>
      </c>
      <c r="D77" s="24"/>
      <c r="E77" s="24"/>
      <c r="F77" s="20" t="s">
        <v>36646</v>
      </c>
      <c r="G77" s="24" t="str">
        <f ca="1">IFERROR(__xludf.DUMMYFUNCTION("GOOGLETRANSLATE(F77,""en"",""pt"")"),"Directory (DY)")</f>
        <v>Directory (DY)</v>
      </c>
      <c r="H77" s="24"/>
      <c r="I77" s="24"/>
    </row>
    <row r="78" spans="1:9" ht="14.5">
      <c r="A78" s="20" t="s">
        <v>36647</v>
      </c>
      <c r="B78" s="20">
        <v>90</v>
      </c>
      <c r="C78" s="20">
        <v>30</v>
      </c>
      <c r="D78" s="24"/>
      <c r="E78" s="24"/>
      <c r="F78" s="20" t="s">
        <v>36648</v>
      </c>
      <c r="G78" s="24" t="str">
        <f ca="1">IFERROR(__xludf.DUMMYFUNCTION("GOOGLETRANSLATE(F78,""en"",""pt"")"),"Form (FM)")</f>
        <v>Form (FM)</v>
      </c>
      <c r="H78" s="24"/>
      <c r="I78" s="24"/>
    </row>
    <row r="79" spans="1:9" ht="14.5">
      <c r="A79" s="20" t="s">
        <v>36649</v>
      </c>
      <c r="B79" s="20">
        <v>90</v>
      </c>
      <c r="C79" s="20">
        <v>35</v>
      </c>
      <c r="D79" s="24"/>
      <c r="E79" s="24"/>
      <c r="F79" s="20" t="s">
        <v>36650</v>
      </c>
      <c r="G79" s="24" t="str">
        <f ca="1">IFERROR(__xludf.DUMMYFUNCTION("GOOGLETRANSLATE(F79,""en"",""pt"")"),"Guia (GU)")</f>
        <v>Guia (GU)</v>
      </c>
      <c r="H79" s="24"/>
      <c r="I79" s="24"/>
    </row>
    <row r="80" spans="1:9" ht="14.5">
      <c r="A80" s="20" t="s">
        <v>36651</v>
      </c>
      <c r="B80" s="20">
        <v>90</v>
      </c>
      <c r="C80" s="20">
        <v>37</v>
      </c>
      <c r="D80" s="24"/>
      <c r="E80" s="24"/>
      <c r="F80" s="20" t="s">
        <v>36652</v>
      </c>
      <c r="G80" s="24" t="str">
        <f ca="1">IFERROR(__xludf.DUMMYFUNCTION("GOOGLETRANSLATE(F80,""en"",""pt"")"),"Saúde e segurança (HS)")</f>
        <v>Saúde e segurança (HS)</v>
      </c>
      <c r="H80" s="24"/>
      <c r="I80" s="24"/>
    </row>
    <row r="81" spans="1:9" ht="14.5">
      <c r="A81" s="20" t="s">
        <v>36653</v>
      </c>
      <c r="B81" s="20">
        <v>90</v>
      </c>
      <c r="C81" s="20">
        <v>45</v>
      </c>
      <c r="D81" s="24"/>
      <c r="E81" s="24"/>
      <c r="F81" s="20" t="s">
        <v>36654</v>
      </c>
      <c r="G81" s="24" t="str">
        <f ca="1">IFERROR(__xludf.DUMMYFUNCTION("GOOGLETRANSLATE(F81,""en"",""pt"")"),"Lista (LI)")</f>
        <v>Lista (LI)</v>
      </c>
      <c r="H81" s="24"/>
      <c r="I81" s="24"/>
    </row>
    <row r="82" spans="1:9" ht="14.5">
      <c r="A82" s="20" t="s">
        <v>36655</v>
      </c>
      <c r="B82" s="20">
        <v>90</v>
      </c>
      <c r="C82" s="20">
        <v>47</v>
      </c>
      <c r="D82" s="24"/>
      <c r="E82" s="24"/>
      <c r="F82" s="20" t="s">
        <v>36656</v>
      </c>
      <c r="G82" s="24" t="str">
        <f ca="1">IFERROR(__xludf.DUMMYFUNCTION("GOOGLETRANSLATE(F82,""en"",""pt"")"),"Log (LG)")</f>
        <v>Log (LG)</v>
      </c>
      <c r="H82" s="24"/>
      <c r="I82" s="24"/>
    </row>
    <row r="83" spans="1:9" ht="14.5">
      <c r="A83" s="20" t="s">
        <v>36657</v>
      </c>
      <c r="B83" s="20">
        <v>90</v>
      </c>
      <c r="C83" s="20">
        <v>50</v>
      </c>
      <c r="D83" s="24"/>
      <c r="E83" s="24"/>
      <c r="F83" s="20" t="s">
        <v>36658</v>
      </c>
      <c r="G83" s="24" t="str">
        <f ca="1">IFERROR(__xludf.DUMMYFUNCTION("GOOGLETRANSLATE(F83,""en"",""pt"")"),"Manual (MA)")</f>
        <v>Manual (MA)</v>
      </c>
      <c r="H83" s="24"/>
      <c r="I83" s="24"/>
    </row>
    <row r="84" spans="1:9" ht="14.5">
      <c r="A84" s="20" t="s">
        <v>36659</v>
      </c>
      <c r="B84" s="20">
        <v>90</v>
      </c>
      <c r="C84" s="20">
        <v>52</v>
      </c>
      <c r="D84" s="24"/>
      <c r="E84" s="24"/>
      <c r="F84" s="20" t="s">
        <v>36660</v>
      </c>
      <c r="G84" s="24" t="str">
        <f ca="1">IFERROR(__xludf.DUMMYFUNCTION("GOOGLETRANSLATE(F84,""en"",""pt"")"),"Matrix (MX)")</f>
        <v>Matrix (MX)</v>
      </c>
      <c r="H84" s="24"/>
      <c r="I84" s="24"/>
    </row>
    <row r="85" spans="1:9" ht="14.5">
      <c r="A85" s="20" t="s">
        <v>36661</v>
      </c>
      <c r="B85" s="20">
        <v>90</v>
      </c>
      <c r="C85" s="20">
        <v>60</v>
      </c>
      <c r="D85" s="24"/>
      <c r="E85" s="24"/>
      <c r="F85" s="20" t="s">
        <v>36662</v>
      </c>
      <c r="G85" s="24" t="str">
        <f ca="1">IFERROR(__xludf.DUMMYFUNCTION("GOOGLETRANSLATE(F85,""en"",""pt"")"),"Autorização (PT)")</f>
        <v>Autorização (PT)</v>
      </c>
      <c r="H85" s="24"/>
      <c r="I85" s="24"/>
    </row>
    <row r="86" spans="1:9" ht="14.5">
      <c r="A86" s="20" t="s">
        <v>36663</v>
      </c>
      <c r="B86" s="20">
        <v>90</v>
      </c>
      <c r="C86" s="20">
        <v>64</v>
      </c>
      <c r="D86" s="24"/>
      <c r="E86" s="24"/>
      <c r="F86" s="20" t="s">
        <v>36664</v>
      </c>
      <c r="G86" s="24" t="str">
        <f ca="1">IFERROR(__xludf.DUMMYFUNCTION("GOOGLETRANSLATE(F86,""en"",""pt"")"),"Plano (PL)")</f>
        <v>Plano (PL)</v>
      </c>
      <c r="H86" s="24"/>
      <c r="I86" s="24"/>
    </row>
    <row r="87" spans="1:9" ht="14.5">
      <c r="A87" s="20" t="s">
        <v>36665</v>
      </c>
      <c r="B87" s="20">
        <v>90</v>
      </c>
      <c r="C87" s="20">
        <v>66</v>
      </c>
      <c r="D87" s="24"/>
      <c r="E87" s="24"/>
      <c r="F87" s="20" t="s">
        <v>36666</v>
      </c>
      <c r="G87" s="24" t="str">
        <f ca="1">IFERROR(__xludf.DUMMYFUNCTION("GOOGLETRANSLATE(F87,""en"",""pt"")"),"Processo de fluxo de trabalho (PW)")</f>
        <v>Processo de fluxo de trabalho (PW)</v>
      </c>
      <c r="H87" s="24"/>
      <c r="I87" s="24"/>
    </row>
    <row r="88" spans="1:9" ht="14.5">
      <c r="A88" s="20" t="s">
        <v>36667</v>
      </c>
      <c r="B88" s="20">
        <v>90</v>
      </c>
      <c r="C88" s="20">
        <v>70</v>
      </c>
      <c r="D88" s="24"/>
      <c r="E88" s="24"/>
      <c r="F88" s="20" t="s">
        <v>36668</v>
      </c>
      <c r="G88" s="24" t="str">
        <f ca="1">IFERROR(__xludf.DUMMYFUNCTION("GOOGLETRANSLATE(F88,""en"",""pt"")"),"Registo (RG)")</f>
        <v>Registo (RG)</v>
      </c>
      <c r="H88" s="24"/>
      <c r="I88" s="24"/>
    </row>
    <row r="89" spans="1:9" ht="14.5">
      <c r="A89" s="20" t="s">
        <v>36669</v>
      </c>
      <c r="B89" s="20">
        <v>90</v>
      </c>
      <c r="C89" s="20">
        <v>72</v>
      </c>
      <c r="D89" s="24"/>
      <c r="E89" s="24"/>
      <c r="F89" s="20" t="s">
        <v>36670</v>
      </c>
      <c r="G89" s="24" t="str">
        <f ca="1">IFERROR(__xludf.DUMMYFUNCTION("GOOGLETRANSLATE(F89,""en"",""pt"")"),"Relatório (RP)")</f>
        <v>Relatório (RP)</v>
      </c>
      <c r="H89" s="24"/>
      <c r="I89" s="24"/>
    </row>
    <row r="90" spans="1:9" ht="14.5">
      <c r="A90" s="20" t="s">
        <v>36671</v>
      </c>
      <c r="B90" s="20">
        <v>90</v>
      </c>
      <c r="C90" s="20">
        <v>80</v>
      </c>
      <c r="D90" s="24"/>
      <c r="E90" s="24"/>
      <c r="F90" s="20" t="s">
        <v>36672</v>
      </c>
      <c r="G90" s="24" t="str">
        <f ca="1">IFERROR(__xludf.DUMMYFUNCTION("GOOGLETRANSLATE(F90,""en"",""pt"")"),"lista Snagging (SN)")</f>
        <v>lista Snagging (SN)</v>
      </c>
      <c r="H90" s="24"/>
      <c r="I90" s="24"/>
    </row>
    <row r="91" spans="1:9" ht="14.5">
      <c r="A91" s="20" t="s">
        <v>36673</v>
      </c>
      <c r="B91" s="20">
        <v>90</v>
      </c>
      <c r="C91" s="20">
        <v>83</v>
      </c>
      <c r="D91" s="24"/>
      <c r="E91" s="24"/>
      <c r="F91" s="20" t="s">
        <v>36674</v>
      </c>
      <c r="G91" s="24" t="str">
        <f ca="1">IFERROR(__xludf.DUMMYFUNCTION("GOOGLETRANSLATE(F91,""en"",""pt"")"),"Estudo (ST)")</f>
        <v>Estudo (ST)</v>
      </c>
      <c r="H91" s="24"/>
      <c r="I91" s="24"/>
    </row>
    <row r="92" spans="1:9" ht="14.5">
      <c r="A92" s="20" t="s">
        <v>36675</v>
      </c>
      <c r="B92" s="20">
        <v>90</v>
      </c>
      <c r="C92" s="20">
        <v>85</v>
      </c>
      <c r="D92" s="24"/>
      <c r="E92" s="24"/>
      <c r="F92" s="20" t="s">
        <v>36676</v>
      </c>
      <c r="G92" s="24" t="str">
        <f ca="1">IFERROR(__xludf.DUMMYFUNCTION("GOOGLETRANSLATE(F92,""en"",""pt"")"),"Survey (SU)")</f>
        <v>Survey (SU)</v>
      </c>
      <c r="H92" s="24"/>
      <c r="I92" s="24"/>
    </row>
    <row r="93" spans="1:9" ht="14.5">
      <c r="A93" s="20" t="s">
        <v>36677</v>
      </c>
      <c r="B93" s="20">
        <v>90</v>
      </c>
      <c r="C93" s="20">
        <v>86</v>
      </c>
      <c r="D93" s="24"/>
      <c r="E93" s="24"/>
      <c r="F93" s="20" t="s">
        <v>36678</v>
      </c>
      <c r="G93" s="24" t="str">
        <f ca="1">IFERROR(__xludf.DUMMYFUNCTION("GOOGLETRANSLATE(F93,""en"",""pt"")"),"arquivo de Tecnologia (TF)")</f>
        <v>arquivo de Tecnologia (TF)</v>
      </c>
      <c r="H93" s="24"/>
      <c r="I93" s="24"/>
    </row>
    <row r="94" spans="1:9" ht="14.5">
      <c r="A94" s="20" t="s">
        <v>36679</v>
      </c>
      <c r="B94" s="20">
        <v>90</v>
      </c>
      <c r="C94" s="20">
        <v>87</v>
      </c>
      <c r="D94" s="24"/>
      <c r="E94" s="24"/>
      <c r="F94" s="20" t="s">
        <v>36680</v>
      </c>
      <c r="G94" s="24" t="str">
        <f ca="1">IFERROR(__xludf.DUMMYFUNCTION("GOOGLETRANSLATE(F94,""en"",""pt"")"),"Resultado do ensaio (TR)")</f>
        <v>Resultado do ensaio (TR)</v>
      </c>
      <c r="H94" s="24"/>
      <c r="I94" s="24"/>
    </row>
    <row r="95" spans="1:9" ht="14.5">
      <c r="A95" s="20" t="s">
        <v>36681</v>
      </c>
      <c r="B95" s="20">
        <v>90</v>
      </c>
      <c r="C95" s="20">
        <v>88</v>
      </c>
      <c r="D95" s="24"/>
      <c r="E95" s="24"/>
      <c r="F95" s="20" t="s">
        <v>36682</v>
      </c>
      <c r="G95" s="24" t="str">
        <f ca="1">IFERROR(__xludf.DUMMYFUNCTION("GOOGLETRANSLATE(F95,""en"",""pt"")"),"Modelo (TE)")</f>
        <v>Modelo (TE)</v>
      </c>
      <c r="H95" s="24"/>
      <c r="I95" s="24"/>
    </row>
    <row r="96" spans="1:9" ht="14.5">
      <c r="A96" s="20" t="s">
        <v>36683</v>
      </c>
      <c r="B96" s="20">
        <v>90</v>
      </c>
      <c r="C96" s="20">
        <v>90</v>
      </c>
      <c r="D96" s="24"/>
      <c r="E96" s="24"/>
      <c r="F96" s="20" t="s">
        <v>36684</v>
      </c>
      <c r="G96" s="24" t="str">
        <f ca="1">IFERROR(__xludf.DUMMYFUNCTION("GOOGLETRANSLATE(F96,""en"",""pt"")"),"registro de treinamento (TG)")</f>
        <v>registro de treinamento (TG)</v>
      </c>
      <c r="H96" s="24"/>
      <c r="I96" s="24"/>
    </row>
    <row r="97" spans="1:9" ht="14.5">
      <c r="A97" s="20" t="s">
        <v>36685</v>
      </c>
      <c r="B97" s="20">
        <v>90</v>
      </c>
      <c r="C97" s="20">
        <v>94</v>
      </c>
      <c r="D97" s="24"/>
      <c r="E97" s="24"/>
      <c r="F97" s="20" t="s">
        <v>36686</v>
      </c>
      <c r="G97" s="24" t="str">
        <f ca="1">IFERROR(__xludf.DUMMYFUNCTION("GOOGLETRANSLATE(F97,""en"",""pt"")"),"Avaliação (VL)")</f>
        <v>Avaliação (VL)</v>
      </c>
      <c r="H97" s="24"/>
      <c r="I97" s="24"/>
    </row>
  </sheetData>
  <mergeCells count="1">
    <mergeCell ref="A1:D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I217"/>
  <sheetViews>
    <sheetView workbookViewId="0">
      <pane ySplit="3" topLeftCell="A4" activePane="bottomLeft" state="frozen"/>
      <selection pane="bottomLeft" activeCell="B5" sqref="B5"/>
    </sheetView>
  </sheetViews>
  <sheetFormatPr defaultColWidth="14.453125" defaultRowHeight="15.75" customHeight="1"/>
  <cols>
    <col min="6" max="6" width="69.08984375" customWidth="1"/>
    <col min="7" max="8" width="39.7265625" customWidth="1"/>
    <col min="9" max="9" width="5.453125" customWidth="1"/>
  </cols>
  <sheetData>
    <row r="1" spans="1:9" ht="15.75" customHeight="1">
      <c r="A1" s="207" t="s">
        <v>36687</v>
      </c>
      <c r="B1" s="208"/>
      <c r="C1" s="208"/>
      <c r="D1" s="22"/>
      <c r="E1" s="22"/>
      <c r="F1" s="22"/>
      <c r="G1" s="22"/>
      <c r="H1" s="22"/>
      <c r="I1" s="22"/>
    </row>
    <row r="2" spans="1:9" ht="15.75" customHeight="1">
      <c r="A2" s="24"/>
      <c r="B2" s="24"/>
      <c r="C2" s="24"/>
      <c r="D2" s="24"/>
      <c r="E2" s="24"/>
      <c r="F2" s="24"/>
      <c r="G2" s="24"/>
      <c r="H2" s="24"/>
      <c r="I2" s="24"/>
    </row>
    <row r="3" spans="1:9" ht="15.75" customHeight="1">
      <c r="A3" s="25" t="s">
        <v>61</v>
      </c>
      <c r="B3" s="25" t="s">
        <v>62</v>
      </c>
      <c r="C3" s="25" t="s">
        <v>63</v>
      </c>
      <c r="D3" s="25" t="s">
        <v>64</v>
      </c>
      <c r="E3" s="25" t="s">
        <v>65</v>
      </c>
      <c r="F3" s="25" t="s">
        <v>66</v>
      </c>
      <c r="G3" s="1" t="s">
        <v>67</v>
      </c>
      <c r="H3" s="25" t="s">
        <v>78</v>
      </c>
      <c r="I3" s="25" t="s">
        <v>79</v>
      </c>
    </row>
    <row r="4" spans="1:9" ht="15.75" customHeight="1">
      <c r="A4" s="20" t="s">
        <v>36688</v>
      </c>
      <c r="B4" s="20">
        <v>10</v>
      </c>
      <c r="C4" s="24"/>
      <c r="D4" s="24"/>
      <c r="E4" s="24"/>
      <c r="F4" s="28" t="s">
        <v>36689</v>
      </c>
      <c r="G4" s="24" t="str">
        <f ca="1">IFERROR(__xludf.DUMMYFUNCTION("GOOGLETRANSLATE(F4,""en"",""pt"")"),"funções de gerenciamento")</f>
        <v>funções de gerenciamento</v>
      </c>
      <c r="H4" s="24"/>
      <c r="I4" s="24"/>
    </row>
    <row r="5" spans="1:9" ht="15.75" customHeight="1">
      <c r="A5" s="20" t="s">
        <v>36690</v>
      </c>
      <c r="B5" s="20">
        <v>10</v>
      </c>
      <c r="C5" s="20">
        <v>10</v>
      </c>
      <c r="D5" s="24"/>
      <c r="E5" s="24"/>
      <c r="F5" s="20" t="s">
        <v>36691</v>
      </c>
      <c r="G5" s="24" t="str">
        <f ca="1">IFERROR(__xludf.DUMMYFUNCTION("GOOGLETRANSLATE(F5,""en"",""pt"")"),"papéis organização")</f>
        <v>papéis organização</v>
      </c>
      <c r="H5" s="24"/>
      <c r="I5" s="24"/>
    </row>
    <row r="6" spans="1:9" ht="15.75" customHeight="1">
      <c r="A6" s="20" t="s">
        <v>36692</v>
      </c>
      <c r="B6" s="20">
        <v>10</v>
      </c>
      <c r="C6" s="20">
        <v>10</v>
      </c>
      <c r="D6" s="20">
        <v>5</v>
      </c>
      <c r="E6" s="24"/>
      <c r="F6" s="20" t="s">
        <v>36693</v>
      </c>
      <c r="G6" s="24" t="str">
        <f ca="1">IFERROR(__xludf.DUMMYFUNCTION("GOOGLETRANSLATE(F6,""en"",""pt"")"),"Associado")</f>
        <v>Associado</v>
      </c>
      <c r="H6" s="24"/>
      <c r="I6" s="24"/>
    </row>
    <row r="7" spans="1:9" ht="15.75" customHeight="1">
      <c r="A7" s="20" t="s">
        <v>36694</v>
      </c>
      <c r="B7" s="20">
        <v>10</v>
      </c>
      <c r="C7" s="20">
        <v>10</v>
      </c>
      <c r="D7" s="20">
        <v>12</v>
      </c>
      <c r="E7" s="24"/>
      <c r="F7" s="20" t="s">
        <v>36695</v>
      </c>
      <c r="G7" s="24" t="str">
        <f ca="1">IFERROR(__xludf.DUMMYFUNCTION("GOOGLETRANSLATE(F7,""en"",""pt"")"),"Presidente")</f>
        <v>Presidente</v>
      </c>
      <c r="H7" s="24"/>
      <c r="I7" s="24"/>
    </row>
    <row r="8" spans="1:9" ht="15.75" customHeight="1">
      <c r="A8" s="20" t="s">
        <v>36696</v>
      </c>
      <c r="B8" s="20">
        <v>10</v>
      </c>
      <c r="C8" s="20">
        <v>10</v>
      </c>
      <c r="D8" s="20">
        <v>14</v>
      </c>
      <c r="E8" s="24"/>
      <c r="F8" s="20" t="s">
        <v>36697</v>
      </c>
      <c r="G8" s="24" t="str">
        <f ca="1">IFERROR(__xludf.DUMMYFUNCTION("GOOGLETRANSLATE(F8,""en"",""pt"")"),"principal executivo")</f>
        <v>principal executivo</v>
      </c>
      <c r="H8" s="24"/>
      <c r="I8" s="24"/>
    </row>
    <row r="9" spans="1:9" ht="15.75" customHeight="1">
      <c r="A9" s="20" t="s">
        <v>36698</v>
      </c>
      <c r="B9" s="20">
        <v>10</v>
      </c>
      <c r="C9" s="20">
        <v>10</v>
      </c>
      <c r="D9" s="20">
        <v>16</v>
      </c>
      <c r="E9" s="24"/>
      <c r="F9" s="20" t="s">
        <v>36699</v>
      </c>
      <c r="G9" s="24" t="str">
        <f ca="1">IFERROR(__xludf.DUMMYFUNCTION("GOOGLETRANSLATE(F9,""en"",""pt"")"),"Diretor financeiro")</f>
        <v>Diretor financeiro</v>
      </c>
      <c r="H9" s="24"/>
      <c r="I9" s="24"/>
    </row>
    <row r="10" spans="1:9" ht="15.75" customHeight="1">
      <c r="A10" s="20" t="s">
        <v>36700</v>
      </c>
      <c r="B10" s="20">
        <v>10</v>
      </c>
      <c r="C10" s="20">
        <v>10</v>
      </c>
      <c r="D10" s="20">
        <v>18</v>
      </c>
      <c r="E10" s="24"/>
      <c r="F10" s="20" t="s">
        <v>36701</v>
      </c>
      <c r="G10" s="24" t="str">
        <f ca="1">IFERROR(__xludf.DUMMYFUNCTION("GOOGLETRANSLATE(F10,""en"",""pt"")"),"Diretor de operações")</f>
        <v>Diretor de operações</v>
      </c>
      <c r="H10" s="24"/>
      <c r="I10" s="24"/>
    </row>
    <row r="11" spans="1:9" ht="15.75" customHeight="1">
      <c r="A11" s="20" t="s">
        <v>36702</v>
      </c>
      <c r="B11" s="20">
        <v>10</v>
      </c>
      <c r="C11" s="20">
        <v>10</v>
      </c>
      <c r="D11" s="20">
        <v>20</v>
      </c>
      <c r="E11" s="24"/>
      <c r="F11" s="20" t="s">
        <v>36703</v>
      </c>
      <c r="G11" s="24" t="str">
        <f ca="1">IFERROR(__xludf.DUMMYFUNCTION("GOOGLETRANSLATE(F11,""en"",""pt"")"),"coordenador")</f>
        <v>coordenador</v>
      </c>
      <c r="H11" s="24"/>
      <c r="I11" s="24"/>
    </row>
    <row r="12" spans="1:9" ht="15.75" customHeight="1">
      <c r="A12" s="20" t="s">
        <v>36704</v>
      </c>
      <c r="B12" s="20">
        <v>10</v>
      </c>
      <c r="C12" s="20">
        <v>10</v>
      </c>
      <c r="D12" s="20">
        <v>25</v>
      </c>
      <c r="E12" s="24"/>
      <c r="F12" s="20" t="s">
        <v>36705</v>
      </c>
      <c r="G12" s="24" t="str">
        <f ca="1">IFERROR(__xludf.DUMMYFUNCTION("GOOGLETRANSLATE(F12,""en"",""pt"")"),"Diretor")</f>
        <v>Diretor</v>
      </c>
      <c r="H12" s="24"/>
      <c r="I12" s="24"/>
    </row>
    <row r="13" spans="1:9" ht="15.75" customHeight="1">
      <c r="A13" s="20" t="s">
        <v>36706</v>
      </c>
      <c r="B13" s="20">
        <v>10</v>
      </c>
      <c r="C13" s="20">
        <v>10</v>
      </c>
      <c r="D13" s="20">
        <v>30</v>
      </c>
      <c r="E13" s="24"/>
      <c r="F13" s="20" t="s">
        <v>36707</v>
      </c>
      <c r="G13" s="24" t="str">
        <f ca="1">IFERROR(__xludf.DUMMYFUNCTION("GOOGLETRANSLATE(F13,""en"",""pt"")"),"Diretor executivo")</f>
        <v>Diretor executivo</v>
      </c>
      <c r="H13" s="24"/>
      <c r="I13" s="24"/>
    </row>
    <row r="14" spans="1:9" ht="15.75" customHeight="1">
      <c r="A14" s="20" t="s">
        <v>36708</v>
      </c>
      <c r="B14" s="20">
        <v>10</v>
      </c>
      <c r="C14" s="20">
        <v>10</v>
      </c>
      <c r="D14" s="20">
        <v>50</v>
      </c>
      <c r="E14" s="24"/>
      <c r="F14" s="20" t="s">
        <v>36709</v>
      </c>
      <c r="G14" s="24" t="str">
        <f ca="1">IFERROR(__xludf.DUMMYFUNCTION("GOOGLETRANSLATE(F14,""en"",""pt"")"),"Gerente")</f>
        <v>Gerente</v>
      </c>
      <c r="H14" s="24"/>
      <c r="I14" s="24"/>
    </row>
    <row r="15" spans="1:9" ht="15.75" customHeight="1">
      <c r="A15" s="20" t="s">
        <v>36710</v>
      </c>
      <c r="B15" s="20">
        <v>10</v>
      </c>
      <c r="C15" s="20">
        <v>10</v>
      </c>
      <c r="D15" s="20">
        <v>53</v>
      </c>
      <c r="E15" s="24"/>
      <c r="F15" s="20" t="s">
        <v>36711</v>
      </c>
      <c r="G15" s="24" t="str">
        <f ca="1">IFERROR(__xludf.DUMMYFUNCTION("GOOGLETRANSLATE(F15,""en"",""pt"")"),"Diretor Geral")</f>
        <v>Diretor Geral</v>
      </c>
      <c r="H15" s="24"/>
      <c r="I15" s="24"/>
    </row>
    <row r="16" spans="1:9" ht="15.75" customHeight="1">
      <c r="A16" s="20" t="s">
        <v>36712</v>
      </c>
      <c r="B16" s="20">
        <v>10</v>
      </c>
      <c r="C16" s="20">
        <v>10</v>
      </c>
      <c r="D16" s="20">
        <v>58</v>
      </c>
      <c r="E16" s="24"/>
      <c r="F16" s="20" t="s">
        <v>36713</v>
      </c>
      <c r="G16" s="24" t="str">
        <f ca="1">IFERROR(__xludf.DUMMYFUNCTION("GOOGLETRANSLATE(F16,""en"",""pt"")"),"Diretor não-executivo")</f>
        <v>Diretor não-executivo</v>
      </c>
      <c r="H16" s="24"/>
      <c r="I16" s="24"/>
    </row>
    <row r="17" spans="1:9" ht="15.75" customHeight="1">
      <c r="A17" s="20" t="s">
        <v>36714</v>
      </c>
      <c r="B17" s="20">
        <v>10</v>
      </c>
      <c r="C17" s="20">
        <v>10</v>
      </c>
      <c r="D17" s="20">
        <v>60</v>
      </c>
      <c r="E17" s="24"/>
      <c r="F17" s="20" t="s">
        <v>36715</v>
      </c>
      <c r="G17" s="24" t="str">
        <f ca="1">IFERROR(__xludf.DUMMYFUNCTION("GOOGLETRANSLATE(F17,""en"",""pt"")"),"Parceiro")</f>
        <v>Parceiro</v>
      </c>
      <c r="H17" s="24"/>
      <c r="I17" s="24"/>
    </row>
    <row r="18" spans="1:9" ht="15.75" customHeight="1">
      <c r="A18" s="20" t="s">
        <v>36716</v>
      </c>
      <c r="B18" s="20">
        <v>10</v>
      </c>
      <c r="C18" s="20">
        <v>10</v>
      </c>
      <c r="D18" s="20">
        <v>65</v>
      </c>
      <c r="E18" s="24"/>
      <c r="F18" s="20" t="s">
        <v>36717</v>
      </c>
      <c r="G18" s="24" t="str">
        <f ca="1">IFERROR(__xludf.DUMMYFUNCTION("GOOGLETRANSLATE(F18,""en"",""pt"")"),"Presidente")</f>
        <v>Presidente</v>
      </c>
      <c r="H18" s="24"/>
      <c r="I18" s="24"/>
    </row>
    <row r="19" spans="1:9" ht="15.75" customHeight="1">
      <c r="A19" s="20" t="s">
        <v>36718</v>
      </c>
      <c r="B19" s="20">
        <v>10</v>
      </c>
      <c r="C19" s="20">
        <v>10</v>
      </c>
      <c r="D19" s="20">
        <v>70</v>
      </c>
      <c r="E19" s="24"/>
      <c r="F19" s="20" t="s">
        <v>36719</v>
      </c>
      <c r="G19" s="24" t="str">
        <f ca="1">IFERROR(__xludf.DUMMYFUNCTION("GOOGLETRANSLATE(F19,""en"",""pt"")"),"Diretor")</f>
        <v>Diretor</v>
      </c>
      <c r="H19" s="24"/>
      <c r="I19" s="24"/>
    </row>
    <row r="20" spans="1:9" ht="15.75" customHeight="1">
      <c r="A20" s="20" t="s">
        <v>36720</v>
      </c>
      <c r="B20" s="20">
        <v>10</v>
      </c>
      <c r="C20" s="20">
        <v>10</v>
      </c>
      <c r="D20" s="20">
        <v>88</v>
      </c>
      <c r="E20" s="24"/>
      <c r="F20" s="20" t="s">
        <v>36721</v>
      </c>
      <c r="G20" s="24" t="str">
        <f ca="1">IFERROR(__xludf.DUMMYFUNCTION("GOOGLETRANSLATE(F20,""en"",""pt"")"),"Técnico")</f>
        <v>Técnico</v>
      </c>
      <c r="H20" s="24"/>
      <c r="I20" s="24"/>
    </row>
    <row r="21" spans="1:9" ht="15.75" customHeight="1">
      <c r="A21" s="20" t="s">
        <v>36722</v>
      </c>
      <c r="B21" s="20">
        <v>10</v>
      </c>
      <c r="C21" s="20">
        <v>10</v>
      </c>
      <c r="D21" s="20">
        <v>94</v>
      </c>
      <c r="E21" s="24"/>
      <c r="F21" s="20" t="s">
        <v>36723</v>
      </c>
      <c r="G21" s="24" t="str">
        <f ca="1">IFERROR(__xludf.DUMMYFUNCTION("GOOGLETRANSLATE(F21,""en"",""pt"")"),"Vice presidente")</f>
        <v>Vice presidente</v>
      </c>
      <c r="H21" s="24"/>
      <c r="I21" s="24"/>
    </row>
    <row r="22" spans="1:9" ht="15.75" customHeight="1">
      <c r="A22" s="20" t="s">
        <v>36724</v>
      </c>
      <c r="B22" s="20">
        <v>10</v>
      </c>
      <c r="C22" s="20">
        <v>10</v>
      </c>
      <c r="D22" s="20">
        <v>95</v>
      </c>
      <c r="E22" s="24"/>
      <c r="F22" s="20" t="s">
        <v>36725</v>
      </c>
      <c r="G22" s="24" t="str">
        <f ca="1">IFERROR(__xludf.DUMMYFUNCTION("GOOGLETRANSLATE(F22,""en"",""pt"")"),"Vice presidente")</f>
        <v>Vice presidente</v>
      </c>
      <c r="H22" s="24"/>
      <c r="I22" s="24"/>
    </row>
    <row r="23" spans="1:9" ht="15.75" customHeight="1">
      <c r="A23" s="20" t="s">
        <v>36726</v>
      </c>
      <c r="B23" s="20">
        <v>10</v>
      </c>
      <c r="C23" s="20">
        <v>20</v>
      </c>
      <c r="D23" s="24"/>
      <c r="E23" s="24"/>
      <c r="F23" s="20" t="s">
        <v>36727</v>
      </c>
      <c r="G23" s="24" t="str">
        <f ca="1">IFERROR(__xludf.DUMMYFUNCTION("GOOGLETRANSLATE(F23,""en"",""pt"")"),"funções de cliente")</f>
        <v>funções de cliente</v>
      </c>
      <c r="H23" s="24"/>
      <c r="I23" s="24"/>
    </row>
    <row r="24" spans="1:9" ht="15.75" customHeight="1">
      <c r="A24" s="20" t="s">
        <v>36728</v>
      </c>
      <c r="B24" s="20">
        <v>10</v>
      </c>
      <c r="C24" s="20">
        <v>20</v>
      </c>
      <c r="D24" s="20">
        <v>14</v>
      </c>
      <c r="E24" s="24"/>
      <c r="F24" s="20" t="s">
        <v>36729</v>
      </c>
      <c r="G24" s="24" t="str">
        <f ca="1">IFERROR(__xludf.DUMMYFUNCTION("GOOGLETRANSLATE(F24,""en"",""pt"")"),"Cliente (K)")</f>
        <v>Cliente (K)</v>
      </c>
      <c r="H24" s="20" t="s">
        <v>36730</v>
      </c>
      <c r="I24" s="24"/>
    </row>
    <row r="25" spans="1:9" ht="15.75" customHeight="1">
      <c r="A25" s="20" t="s">
        <v>36731</v>
      </c>
      <c r="B25" s="20">
        <v>10</v>
      </c>
      <c r="C25" s="20">
        <v>20</v>
      </c>
      <c r="D25" s="20">
        <v>15</v>
      </c>
      <c r="E25" s="24"/>
      <c r="F25" s="20" t="s">
        <v>36732</v>
      </c>
      <c r="G25" s="24" t="str">
        <f ca="1">IFERROR(__xludf.DUMMYFUNCTION("GOOGLETRANSLATE(F25,""en"",""pt"")"),"conselheiro cliente")</f>
        <v>conselheiro cliente</v>
      </c>
      <c r="H25" s="24"/>
      <c r="I25" s="24"/>
    </row>
    <row r="26" spans="1:9" ht="15.75" customHeight="1">
      <c r="A26" s="20" t="s">
        <v>36733</v>
      </c>
      <c r="B26" s="20">
        <v>10</v>
      </c>
      <c r="C26" s="20">
        <v>20</v>
      </c>
      <c r="D26" s="20">
        <v>16</v>
      </c>
      <c r="E26" s="24"/>
      <c r="F26" s="20" t="s">
        <v>36734</v>
      </c>
      <c r="G26" s="24" t="str">
        <f ca="1">IFERROR(__xludf.DUMMYFUNCTION("GOOGLETRANSLATE(F26,""en"",""pt"")"),"Representante do cliente")</f>
        <v>Representante do cliente</v>
      </c>
      <c r="H26" s="24"/>
      <c r="I26" s="24"/>
    </row>
    <row r="27" spans="1:9" ht="15.75" customHeight="1">
      <c r="A27" s="20" t="s">
        <v>36735</v>
      </c>
      <c r="B27" s="20">
        <v>10</v>
      </c>
      <c r="C27" s="20">
        <v>20</v>
      </c>
      <c r="D27" s="20">
        <v>26</v>
      </c>
      <c r="E27" s="24"/>
      <c r="F27" s="20" t="s">
        <v>36736</v>
      </c>
      <c r="G27" s="24" t="str">
        <f ca="1">IFERROR(__xludf.DUMMYFUNCTION("GOOGLETRANSLATE(F27,""en"",""pt"")"),"Empregador")</f>
        <v>Empregador</v>
      </c>
      <c r="H27" s="20" t="s">
        <v>36737</v>
      </c>
      <c r="I27" s="24"/>
    </row>
    <row r="28" spans="1:9" ht="15.75" customHeight="1">
      <c r="A28" s="20" t="s">
        <v>36738</v>
      </c>
      <c r="B28" s="20">
        <v>10</v>
      </c>
      <c r="C28" s="20">
        <v>30</v>
      </c>
      <c r="D28" s="24"/>
      <c r="E28" s="24"/>
      <c r="F28" s="20" t="s">
        <v>36739</v>
      </c>
      <c r="G28" s="24" t="str">
        <f ca="1">IFERROR(__xludf.DUMMYFUNCTION("GOOGLETRANSLATE(F28,""en"",""pt"")"),"funções de gerenciamento de ativos")</f>
        <v>funções de gerenciamento de ativos</v>
      </c>
      <c r="H28" s="24"/>
      <c r="I28" s="24"/>
    </row>
    <row r="29" spans="1:9" ht="15.75" customHeight="1">
      <c r="A29" s="20" t="s">
        <v>36740</v>
      </c>
      <c r="B29" s="20">
        <v>10</v>
      </c>
      <c r="C29" s="20">
        <v>30</v>
      </c>
      <c r="D29" s="20">
        <v>2</v>
      </c>
      <c r="E29" s="24"/>
      <c r="F29" s="20" t="s">
        <v>36741</v>
      </c>
      <c r="G29" s="24" t="str">
        <f ca="1">IFERROR(__xludf.DUMMYFUNCTION("GOOGLETRANSLATE(F29,""en"",""pt"")"),"gerente de garantia de ativos")</f>
        <v>gerente de garantia de ativos</v>
      </c>
      <c r="H29" s="24"/>
      <c r="I29" s="24"/>
    </row>
    <row r="30" spans="1:9" ht="15.75" customHeight="1">
      <c r="A30" s="20" t="s">
        <v>36742</v>
      </c>
      <c r="B30" s="20">
        <v>10</v>
      </c>
      <c r="C30" s="20">
        <v>30</v>
      </c>
      <c r="D30" s="20">
        <v>10</v>
      </c>
      <c r="E30" s="24"/>
      <c r="F30" s="20" t="s">
        <v>36743</v>
      </c>
      <c r="G30" s="24" t="str">
        <f ca="1">IFERROR(__xludf.DUMMYFUNCTION("GOOGLETRANSLATE(F30,""en"",""pt"")"),"Construído gerente de segurança patrimonial")</f>
        <v>Construído gerente de segurança patrimonial</v>
      </c>
      <c r="H30" s="24"/>
      <c r="I30" s="24"/>
    </row>
    <row r="31" spans="1:9" ht="15.75" customHeight="1">
      <c r="A31" s="20" t="s">
        <v>36744</v>
      </c>
      <c r="B31" s="20">
        <v>10</v>
      </c>
      <c r="C31" s="20">
        <v>30</v>
      </c>
      <c r="D31" s="20">
        <v>14</v>
      </c>
      <c r="E31" s="24"/>
      <c r="F31" s="20" t="s">
        <v>36745</v>
      </c>
      <c r="G31" s="24" t="str">
        <f ca="1">IFERROR(__xludf.DUMMYFUNCTION("GOOGLETRANSLATE(F31,""en"",""pt"")"),"CIO")</f>
        <v>CIO</v>
      </c>
      <c r="H31" s="24"/>
      <c r="I31" s="24"/>
    </row>
    <row r="32" spans="1:9" ht="15.75" customHeight="1">
      <c r="A32" s="20" t="s">
        <v>36746</v>
      </c>
      <c r="B32" s="20">
        <v>10</v>
      </c>
      <c r="C32" s="20">
        <v>30</v>
      </c>
      <c r="D32" s="20">
        <v>21</v>
      </c>
      <c r="E32" s="24"/>
      <c r="F32" s="20" t="s">
        <v>36747</v>
      </c>
      <c r="G32" s="24" t="str">
        <f ca="1">IFERROR(__xludf.DUMMYFUNCTION("GOOGLETRANSLATE(F32,""en"",""pt"")"),"Asset Manager governança de dados")</f>
        <v>Asset Manager governança de dados</v>
      </c>
      <c r="H32" s="24"/>
      <c r="I32" s="24"/>
    </row>
    <row r="33" spans="1:9" ht="15.75" customHeight="1">
      <c r="A33" s="20" t="s">
        <v>36748</v>
      </c>
      <c r="B33" s="20">
        <v>10</v>
      </c>
      <c r="C33" s="20">
        <v>30</v>
      </c>
      <c r="D33" s="20">
        <v>27</v>
      </c>
      <c r="E33" s="24"/>
      <c r="F33" s="20" t="s">
        <v>36749</v>
      </c>
      <c r="G33" s="24" t="str">
        <f ca="1">IFERROR(__xludf.DUMMYFUNCTION("GOOGLETRANSLATE(F33,""en"",""pt"")"),"consultor de educação")</f>
        <v>consultor de educação</v>
      </c>
      <c r="H33" s="24"/>
      <c r="I33" s="24"/>
    </row>
    <row r="34" spans="1:9" ht="15.75" customHeight="1">
      <c r="A34" s="20" t="s">
        <v>36750</v>
      </c>
      <c r="B34" s="20">
        <v>10</v>
      </c>
      <c r="C34" s="20">
        <v>30</v>
      </c>
      <c r="D34" s="20">
        <v>42</v>
      </c>
      <c r="E34" s="24"/>
      <c r="F34" s="20" t="s">
        <v>36751</v>
      </c>
      <c r="G34" s="24" t="str">
        <f ca="1">IFERROR(__xludf.DUMMYFUNCTION("GOOGLETRANSLATE(F34,""en"",""pt"")"),"Consultor de investimento")</f>
        <v>Consultor de investimento</v>
      </c>
      <c r="H34" s="24"/>
      <c r="I34" s="24"/>
    </row>
    <row r="35" spans="1:9" ht="15.75" customHeight="1">
      <c r="A35" s="20" t="s">
        <v>36752</v>
      </c>
      <c r="B35" s="20">
        <v>10</v>
      </c>
      <c r="C35" s="20">
        <v>30</v>
      </c>
      <c r="D35" s="20">
        <v>50</v>
      </c>
      <c r="E35" s="24"/>
      <c r="F35" s="20" t="s">
        <v>36753</v>
      </c>
      <c r="G35" s="24" t="str">
        <f ca="1">IFERROR(__xludf.DUMMYFUNCTION("GOOGLETRANSLATE(F35,""en"",""pt"")"),"Gerente de ativos")</f>
        <v>Gerente de ativos</v>
      </c>
      <c r="H35" s="24"/>
      <c r="I35" s="24"/>
    </row>
    <row r="36" spans="1:9" ht="15.75" customHeight="1">
      <c r="A36" s="20" t="s">
        <v>36754</v>
      </c>
      <c r="B36" s="20">
        <v>10</v>
      </c>
      <c r="C36" s="20">
        <v>30</v>
      </c>
      <c r="D36" s="20">
        <v>80</v>
      </c>
      <c r="E36" s="24"/>
      <c r="F36" s="20" t="s">
        <v>36755</v>
      </c>
      <c r="G36" s="24" t="str">
        <f ca="1">IFERROR(__xludf.DUMMYFUNCTION("GOOGLETRANSLATE(F36,""en"",""pt"")"),"Asset Manager normas")</f>
        <v>Asset Manager normas</v>
      </c>
      <c r="H36" s="24"/>
      <c r="I36" s="24"/>
    </row>
    <row r="37" spans="1:9" ht="15.75" customHeight="1">
      <c r="A37" s="20" t="s">
        <v>36756</v>
      </c>
      <c r="B37" s="20">
        <v>10</v>
      </c>
      <c r="C37" s="20">
        <v>30</v>
      </c>
      <c r="D37" s="20">
        <v>88</v>
      </c>
      <c r="E37" s="24"/>
      <c r="F37" s="20" t="s">
        <v>36757</v>
      </c>
      <c r="G37" s="24" t="str">
        <f ca="1">IFERROR(__xludf.DUMMYFUNCTION("GOOGLETRANSLATE(F37,""en"",""pt"")"),"consultor de tecnologia")</f>
        <v>consultor de tecnologia</v>
      </c>
      <c r="H37" s="24"/>
      <c r="I37" s="24"/>
    </row>
    <row r="38" spans="1:9" ht="15.75" customHeight="1">
      <c r="A38" s="20" t="s">
        <v>36758</v>
      </c>
      <c r="B38" s="20">
        <v>10</v>
      </c>
      <c r="C38" s="20">
        <v>40</v>
      </c>
      <c r="D38" s="24"/>
      <c r="E38" s="24"/>
      <c r="F38" s="20" t="s">
        <v>36759</v>
      </c>
      <c r="G38" s="24" t="str">
        <f ca="1">IFERROR(__xludf.DUMMYFUNCTION("GOOGLETRANSLATE(F38,""en"",""pt"")"),"funções de gerenciamento de operação")</f>
        <v>funções de gerenciamento de operação</v>
      </c>
      <c r="H38" s="24"/>
      <c r="I38" s="24"/>
    </row>
    <row r="39" spans="1:9" ht="14.5">
      <c r="A39" s="20" t="s">
        <v>36760</v>
      </c>
      <c r="B39" s="20">
        <v>10</v>
      </c>
      <c r="C39" s="20">
        <v>40</v>
      </c>
      <c r="D39" s="20">
        <v>1</v>
      </c>
      <c r="E39" s="24"/>
      <c r="F39" s="20" t="s">
        <v>36761</v>
      </c>
      <c r="G39" s="24" t="str">
        <f ca="1">IFERROR(__xludf.DUMMYFUNCTION("GOOGLETRANSLATE(F39,""en"",""pt"")"),"gerente de acesso")</f>
        <v>gerente de acesso</v>
      </c>
      <c r="H39" s="24"/>
      <c r="I39" s="24"/>
    </row>
    <row r="40" spans="1:9" ht="14.5">
      <c r="A40" s="20" t="s">
        <v>36762</v>
      </c>
      <c r="B40" s="20">
        <v>10</v>
      </c>
      <c r="C40" s="20">
        <v>40</v>
      </c>
      <c r="D40" s="20">
        <v>11</v>
      </c>
      <c r="E40" s="24"/>
      <c r="F40" s="20" t="s">
        <v>36763</v>
      </c>
      <c r="G40" s="24" t="str">
        <f ca="1">IFERROR(__xludf.DUMMYFUNCTION("GOOGLETRANSLATE(F40,""en"",""pt"")"),"Gerente de refeições")</f>
        <v>Gerente de refeições</v>
      </c>
      <c r="H40" s="24"/>
      <c r="I40" s="24"/>
    </row>
    <row r="41" spans="1:9" ht="14.5">
      <c r="A41" s="20" t="s">
        <v>36764</v>
      </c>
      <c r="B41" s="20">
        <v>10</v>
      </c>
      <c r="C41" s="20">
        <v>40</v>
      </c>
      <c r="D41" s="20">
        <v>20</v>
      </c>
      <c r="E41" s="24"/>
      <c r="F41" s="20" t="s">
        <v>36765</v>
      </c>
      <c r="G41" s="24" t="str">
        <f ca="1">IFERROR(__xludf.DUMMYFUNCTION("GOOGLETRANSLATE(F41,""en"",""pt"")"),"gerente de alteração de configuração")</f>
        <v>gerente de alteração de configuração</v>
      </c>
      <c r="H41" s="24"/>
      <c r="I41" s="24"/>
    </row>
    <row r="42" spans="1:9" ht="14.5">
      <c r="A42" s="20" t="s">
        <v>36766</v>
      </c>
      <c r="B42" s="20">
        <v>10</v>
      </c>
      <c r="C42" s="20">
        <v>40</v>
      </c>
      <c r="D42" s="20">
        <v>22</v>
      </c>
      <c r="E42" s="24"/>
      <c r="F42" s="20" t="s">
        <v>36767</v>
      </c>
      <c r="G42" s="24" t="str">
        <f ca="1">IFERROR(__xludf.DUMMYFUNCTION("GOOGLETRANSLATE(F42,""en"",""pt"")"),"gerente de custo")</f>
        <v>gerente de custo</v>
      </c>
      <c r="H42" s="24"/>
      <c r="I42" s="24"/>
    </row>
    <row r="43" spans="1:9" ht="14.5">
      <c r="A43" s="20" t="s">
        <v>36768</v>
      </c>
      <c r="B43" s="20">
        <v>10</v>
      </c>
      <c r="C43" s="20">
        <v>40</v>
      </c>
      <c r="D43" s="20">
        <v>24</v>
      </c>
      <c r="E43" s="24"/>
      <c r="F43" s="20" t="s">
        <v>36769</v>
      </c>
      <c r="G43" s="24" t="str">
        <f ca="1">IFERROR(__xludf.DUMMYFUNCTION("GOOGLETRANSLATE(F43,""en"",""pt"")"),"gerente de demanda")</f>
        <v>gerente de demanda</v>
      </c>
      <c r="H43" s="24"/>
      <c r="I43" s="24"/>
    </row>
    <row r="44" spans="1:9" ht="14.5">
      <c r="A44" s="20" t="s">
        <v>36770</v>
      </c>
      <c r="B44" s="20">
        <v>10</v>
      </c>
      <c r="C44" s="20">
        <v>40</v>
      </c>
      <c r="D44" s="20">
        <v>28</v>
      </c>
      <c r="E44" s="24"/>
      <c r="F44" s="20" t="s">
        <v>36771</v>
      </c>
      <c r="G44" s="24" t="str">
        <f ca="1">IFERROR(__xludf.DUMMYFUNCTION("GOOGLETRANSLATE(F44,""en"",""pt"")"),"gestor de energia")</f>
        <v>gestor de energia</v>
      </c>
      <c r="H44" s="24"/>
      <c r="I44" s="24"/>
    </row>
    <row r="45" spans="1:9" ht="14.5">
      <c r="A45" s="20" t="s">
        <v>36772</v>
      </c>
      <c r="B45" s="20">
        <v>10</v>
      </c>
      <c r="C45" s="20">
        <v>40</v>
      </c>
      <c r="D45" s="20">
        <v>30</v>
      </c>
      <c r="E45" s="24"/>
      <c r="F45" s="20" t="s">
        <v>36773</v>
      </c>
      <c r="G45" s="24" t="str">
        <f ca="1">IFERROR(__xludf.DUMMYFUNCTION("GOOGLETRANSLATE(F45,""en"",""pt"")"),"gerente de instalações (F)")</f>
        <v>gerente de instalações (F)</v>
      </c>
      <c r="H45" s="20" t="s">
        <v>36774</v>
      </c>
      <c r="I45" s="24"/>
    </row>
    <row r="46" spans="1:9" ht="14.5">
      <c r="A46" s="20" t="s">
        <v>36775</v>
      </c>
      <c r="B46" s="20">
        <v>10</v>
      </c>
      <c r="C46" s="20">
        <v>40</v>
      </c>
      <c r="D46" s="20">
        <v>32</v>
      </c>
      <c r="E46" s="24"/>
      <c r="F46" s="20" t="s">
        <v>36776</v>
      </c>
      <c r="G46" s="24" t="str">
        <f ca="1">IFERROR(__xludf.DUMMYFUNCTION("GOOGLETRANSLATE(F46,""en"",""pt"")"),"Gerente de Frotas")</f>
        <v>Gerente de Frotas</v>
      </c>
      <c r="H46" s="24"/>
      <c r="I46" s="24"/>
    </row>
    <row r="47" spans="1:9" ht="14.5">
      <c r="A47" s="20" t="s">
        <v>36777</v>
      </c>
      <c r="B47" s="20">
        <v>10</v>
      </c>
      <c r="C47" s="20">
        <v>40</v>
      </c>
      <c r="D47" s="20">
        <v>36</v>
      </c>
      <c r="E47" s="24"/>
      <c r="F47" s="20" t="s">
        <v>36778</v>
      </c>
      <c r="G47" s="24" t="str">
        <f ca="1">IFERROR(__xludf.DUMMYFUNCTION("GOOGLETRANSLATE(F47,""en"",""pt"")"),"Saúde e gerente de segurança")</f>
        <v>Saúde e gerente de segurança</v>
      </c>
      <c r="H47" s="24"/>
      <c r="I47" s="24"/>
    </row>
    <row r="48" spans="1:9" ht="14.5">
      <c r="A48" s="20" t="s">
        <v>36779</v>
      </c>
      <c r="B48" s="20">
        <v>10</v>
      </c>
      <c r="C48" s="20">
        <v>40</v>
      </c>
      <c r="D48" s="20">
        <v>43</v>
      </c>
      <c r="E48" s="24"/>
      <c r="F48" s="20" t="s">
        <v>36780</v>
      </c>
      <c r="G48" s="24" t="str">
        <f ca="1">IFERROR(__xludf.DUMMYFUNCTION("GOOGLETRANSLATE(F48,""en"",""pt"")"),"analista de negócios de TI")</f>
        <v>analista de negócios de TI</v>
      </c>
      <c r="H48" s="24"/>
      <c r="I48" s="24"/>
    </row>
    <row r="49" spans="1:9" ht="14.5">
      <c r="A49" s="20" t="s">
        <v>36781</v>
      </c>
      <c r="B49" s="20">
        <v>10</v>
      </c>
      <c r="C49" s="20">
        <v>40</v>
      </c>
      <c r="D49" s="20">
        <v>47</v>
      </c>
      <c r="E49" s="24"/>
      <c r="F49" s="20" t="s">
        <v>36782</v>
      </c>
      <c r="G49" s="24" t="str">
        <f ca="1">IFERROR(__xludf.DUMMYFUNCTION("GOOGLETRANSLATE(F49,""en"",""pt"")"),"Representante legal")</f>
        <v>Representante legal</v>
      </c>
      <c r="H49" s="24"/>
      <c r="I49" s="24"/>
    </row>
    <row r="50" spans="1:9" ht="14.5">
      <c r="A50" s="20" t="s">
        <v>36783</v>
      </c>
      <c r="B50" s="20">
        <v>10</v>
      </c>
      <c r="C50" s="20">
        <v>40</v>
      </c>
      <c r="D50" s="20">
        <v>48</v>
      </c>
      <c r="E50" s="24"/>
      <c r="F50" s="20" t="s">
        <v>36784</v>
      </c>
      <c r="G50" s="24" t="str">
        <f ca="1">IFERROR(__xludf.DUMMYFUNCTION("GOOGLETRANSLATE(F50,""en"",""pt"")"),"Gerente de logística")</f>
        <v>Gerente de logística</v>
      </c>
      <c r="H50" s="24"/>
      <c r="I50" s="24"/>
    </row>
    <row r="51" spans="1:9" ht="14.5">
      <c r="A51" s="20" t="s">
        <v>36785</v>
      </c>
      <c r="B51" s="20">
        <v>10</v>
      </c>
      <c r="C51" s="20">
        <v>40</v>
      </c>
      <c r="D51" s="20">
        <v>49</v>
      </c>
      <c r="E51" s="24"/>
      <c r="F51" s="20" t="s">
        <v>36786</v>
      </c>
      <c r="G51" s="24" t="str">
        <f ca="1">IFERROR(__xludf.DUMMYFUNCTION("GOOGLETRANSLATE(F51,""en"",""pt"")"),"planejador de manutenção")</f>
        <v>planejador de manutenção</v>
      </c>
      <c r="H51" s="24"/>
      <c r="I51" s="24"/>
    </row>
    <row r="52" spans="1:9" ht="14.5">
      <c r="A52" s="20" t="s">
        <v>36787</v>
      </c>
      <c r="B52" s="20">
        <v>10</v>
      </c>
      <c r="C52" s="20">
        <v>40</v>
      </c>
      <c r="D52" s="20">
        <v>50</v>
      </c>
      <c r="E52" s="24"/>
      <c r="F52" s="20" t="s">
        <v>36788</v>
      </c>
      <c r="G52" s="24" t="str">
        <f ca="1">IFERROR(__xludf.DUMMYFUNCTION("GOOGLETRANSLATE(F52,""en"",""pt"")"),"provedor de manutenção")</f>
        <v>provedor de manutenção</v>
      </c>
      <c r="H52" s="24"/>
      <c r="I52" s="24"/>
    </row>
    <row r="53" spans="1:9" ht="14.5">
      <c r="A53" s="20" t="s">
        <v>36789</v>
      </c>
      <c r="B53" s="20">
        <v>10</v>
      </c>
      <c r="C53" s="20">
        <v>40</v>
      </c>
      <c r="D53" s="20">
        <v>52</v>
      </c>
      <c r="E53" s="24"/>
      <c r="F53" s="20" t="s">
        <v>36790</v>
      </c>
      <c r="G53" s="24" t="str">
        <f ca="1">IFERROR(__xludf.DUMMYFUNCTION("GOOGLETRANSLATE(F53,""en"",""pt"")"),"Consultor de gerenciamento")</f>
        <v>Consultor de gerenciamento</v>
      </c>
      <c r="H53" s="24"/>
      <c r="I53" s="24"/>
    </row>
    <row r="54" spans="1:9" ht="14.5">
      <c r="A54" s="20" t="s">
        <v>36791</v>
      </c>
      <c r="B54" s="20">
        <v>10</v>
      </c>
      <c r="C54" s="20">
        <v>40</v>
      </c>
      <c r="D54" s="20">
        <v>53</v>
      </c>
      <c r="E54" s="24"/>
      <c r="F54" s="20" t="s">
        <v>36792</v>
      </c>
      <c r="G54" s="24" t="str">
        <f ca="1">IFERROR(__xludf.DUMMYFUNCTION("GOOGLETRANSLATE(F54,""en"",""pt"")"),"Consultor de marketing")</f>
        <v>Consultor de marketing</v>
      </c>
      <c r="H54" s="24"/>
      <c r="I54" s="24"/>
    </row>
    <row r="55" spans="1:9" ht="14.5">
      <c r="A55" s="20" t="s">
        <v>36793</v>
      </c>
      <c r="B55" s="20">
        <v>10</v>
      </c>
      <c r="C55" s="20">
        <v>40</v>
      </c>
      <c r="D55" s="20">
        <v>65</v>
      </c>
      <c r="E55" s="24"/>
      <c r="F55" s="20" t="s">
        <v>36794</v>
      </c>
      <c r="G55" s="24" t="str">
        <f ca="1">IFERROR(__xludf.DUMMYFUNCTION("GOOGLETRANSLATE(F55,""en"",""pt"")"),"consultor procurement")</f>
        <v>consultor procurement</v>
      </c>
      <c r="H55" s="24"/>
      <c r="I55" s="24"/>
    </row>
    <row r="56" spans="1:9" ht="14.5">
      <c r="A56" s="20" t="s">
        <v>36795</v>
      </c>
      <c r="B56" s="20">
        <v>10</v>
      </c>
      <c r="C56" s="20">
        <v>40</v>
      </c>
      <c r="D56" s="20">
        <v>74</v>
      </c>
      <c r="E56" s="24"/>
      <c r="F56" s="20" t="s">
        <v>36796</v>
      </c>
      <c r="G56" s="24" t="str">
        <f ca="1">IFERROR(__xludf.DUMMYFUNCTION("GOOGLETRANSLATE(F56,""en"",""pt"")"),"Gerente de segurança")</f>
        <v>Gerente de segurança</v>
      </c>
      <c r="H56" s="24"/>
      <c r="I56" s="24"/>
    </row>
    <row r="57" spans="1:9" ht="14.5">
      <c r="A57" s="20" t="s">
        <v>36797</v>
      </c>
      <c r="B57" s="20">
        <v>10</v>
      </c>
      <c r="C57" s="20">
        <v>40</v>
      </c>
      <c r="D57" s="20">
        <v>76</v>
      </c>
      <c r="E57" s="24"/>
      <c r="F57" s="20" t="s">
        <v>36798</v>
      </c>
      <c r="G57" s="24" t="str">
        <f ca="1">IFERROR(__xludf.DUMMYFUNCTION("GOOGLETRANSLATE(F57,""en"",""pt"")"),"consultor de segurança")</f>
        <v>consultor de segurança</v>
      </c>
      <c r="H57" s="24"/>
      <c r="I57" s="24"/>
    </row>
    <row r="58" spans="1:9" ht="14.5">
      <c r="A58" s="20" t="s">
        <v>36799</v>
      </c>
      <c r="B58" s="20">
        <v>10</v>
      </c>
      <c r="C58" s="20">
        <v>40</v>
      </c>
      <c r="D58" s="20">
        <v>86</v>
      </c>
      <c r="E58" s="24"/>
      <c r="F58" s="20" t="s">
        <v>36800</v>
      </c>
      <c r="G58" s="24" t="str">
        <f ca="1">IFERROR(__xludf.DUMMYFUNCTION("GOOGLETRANSLATE(F58,""en"",""pt"")"),"coordenador garantia de calendário")</f>
        <v>coordenador garantia de calendário</v>
      </c>
      <c r="H58" s="24"/>
      <c r="I58" s="24"/>
    </row>
    <row r="59" spans="1:9" ht="14.5">
      <c r="A59" s="20" t="s">
        <v>36801</v>
      </c>
      <c r="B59" s="20">
        <v>10</v>
      </c>
      <c r="C59" s="20">
        <v>40</v>
      </c>
      <c r="D59" s="20">
        <v>88</v>
      </c>
      <c r="E59" s="24"/>
      <c r="F59" s="20" t="s">
        <v>36802</v>
      </c>
      <c r="G59" s="24" t="str">
        <f ca="1">IFERROR(__xludf.DUMMYFUNCTION("GOOGLETRANSLATE(F59,""en"",""pt"")"),"consultor de tráfego")</f>
        <v>consultor de tráfego</v>
      </c>
      <c r="H59" s="24"/>
      <c r="I59" s="24"/>
    </row>
    <row r="60" spans="1:9" ht="14.5">
      <c r="A60" s="20" t="s">
        <v>36803</v>
      </c>
      <c r="B60" s="20">
        <v>10</v>
      </c>
      <c r="C60" s="20">
        <v>40</v>
      </c>
      <c r="D60" s="20">
        <v>90</v>
      </c>
      <c r="E60" s="24"/>
      <c r="F60" s="20" t="s">
        <v>36804</v>
      </c>
      <c r="G60" s="24" t="str">
        <f ca="1">IFERROR(__xludf.DUMMYFUNCTION("GOOGLETRANSLATE(F60,""en"",""pt"")"),"gerente de transporte")</f>
        <v>gerente de transporte</v>
      </c>
      <c r="H60" s="24"/>
      <c r="I60" s="24"/>
    </row>
    <row r="61" spans="1:9" ht="14.5">
      <c r="A61" s="20" t="s">
        <v>36805</v>
      </c>
      <c r="B61" s="20">
        <v>30</v>
      </c>
      <c r="C61" s="24"/>
      <c r="D61" s="24"/>
      <c r="E61" s="24"/>
      <c r="F61" s="20" t="s">
        <v>36806</v>
      </c>
      <c r="G61" s="24" t="str">
        <f ca="1">IFERROR(__xludf.DUMMYFUNCTION("GOOGLETRANSLATE(F61,""en"",""pt"")"),"papéis de entrega")</f>
        <v>papéis de entrega</v>
      </c>
      <c r="H61" s="24"/>
      <c r="I61" s="24"/>
    </row>
    <row r="62" spans="1:9" ht="14.5">
      <c r="A62" s="20" t="s">
        <v>36807</v>
      </c>
      <c r="B62" s="20">
        <v>30</v>
      </c>
      <c r="C62" s="20">
        <v>10</v>
      </c>
      <c r="D62" s="24"/>
      <c r="E62" s="24"/>
      <c r="F62" s="20" t="s">
        <v>36808</v>
      </c>
      <c r="G62" s="24" t="str">
        <f ca="1">IFERROR(__xludf.DUMMYFUNCTION("GOOGLETRANSLATE(F62,""en"",""pt"")"),"funções da equipe de entrega")</f>
        <v>funções da equipe de entrega</v>
      </c>
      <c r="H62" s="24"/>
      <c r="I62" s="24"/>
    </row>
    <row r="63" spans="1:9" ht="14.5">
      <c r="A63" s="20" t="s">
        <v>36809</v>
      </c>
      <c r="B63" s="20">
        <v>30</v>
      </c>
      <c r="C63" s="20">
        <v>10</v>
      </c>
      <c r="D63" s="20">
        <v>13</v>
      </c>
      <c r="E63" s="24"/>
      <c r="F63" s="20" t="s">
        <v>36810</v>
      </c>
      <c r="G63" s="24" t="str">
        <f ca="1">IFERROR(__xludf.DUMMYFUNCTION("GOOGLETRANSLATE(F63,""en"",""pt"")"),"Clerk de obras")</f>
        <v>Clerk de obras</v>
      </c>
      <c r="H63" s="20" t="s">
        <v>36811</v>
      </c>
      <c r="I63" s="24"/>
    </row>
    <row r="64" spans="1:9" ht="14.5">
      <c r="A64" s="20" t="s">
        <v>36812</v>
      </c>
      <c r="B64" s="20">
        <v>30</v>
      </c>
      <c r="C64" s="20">
        <v>10</v>
      </c>
      <c r="D64" s="20">
        <v>17</v>
      </c>
      <c r="E64" s="24"/>
      <c r="F64" s="20" t="s">
        <v>36813</v>
      </c>
      <c r="G64" s="24" t="str">
        <f ca="1">IFERROR(__xludf.DUMMYFUNCTION("GOOGLETRANSLATE(F64,""en"",""pt"")"),"engenheiro de comissionamento")</f>
        <v>engenheiro de comissionamento</v>
      </c>
      <c r="H64" s="24"/>
      <c r="I64" s="24"/>
    </row>
    <row r="65" spans="1:9" ht="14.5">
      <c r="A65" s="20" t="s">
        <v>36814</v>
      </c>
      <c r="B65" s="20">
        <v>30</v>
      </c>
      <c r="C65" s="20">
        <v>10</v>
      </c>
      <c r="D65" s="20">
        <v>19</v>
      </c>
      <c r="E65" s="24"/>
      <c r="F65" s="20" t="s">
        <v>36815</v>
      </c>
      <c r="G65" s="24" t="str">
        <f ca="1">IFERROR(__xludf.DUMMYFUNCTION("GOOGLETRANSLATE(F65,""en"",""pt"")"),"Administrador de Contratos")</f>
        <v>Administrador de Contratos</v>
      </c>
      <c r="H65" s="20" t="s">
        <v>36816</v>
      </c>
      <c r="I65" s="24"/>
    </row>
    <row r="66" spans="1:9" ht="14.5">
      <c r="A66" s="20" t="s">
        <v>36817</v>
      </c>
      <c r="B66" s="20">
        <v>30</v>
      </c>
      <c r="C66" s="20">
        <v>10</v>
      </c>
      <c r="D66" s="20">
        <v>20</v>
      </c>
      <c r="E66" s="24"/>
      <c r="F66" s="20" t="s">
        <v>36818</v>
      </c>
      <c r="G66" s="24" t="str">
        <f ca="1">IFERROR(__xludf.DUMMYFUNCTION("GOOGLETRANSLATE(F66,""en"",""pt"")"),"Contratante (W)")</f>
        <v>Contratante (W)</v>
      </c>
      <c r="H66" s="24"/>
      <c r="I66" s="24"/>
    </row>
    <row r="67" spans="1:9" ht="14.5">
      <c r="A67" s="20" t="s">
        <v>36819</v>
      </c>
      <c r="B67" s="20">
        <v>30</v>
      </c>
      <c r="C67" s="20">
        <v>10</v>
      </c>
      <c r="D67" s="20">
        <v>22</v>
      </c>
      <c r="E67" s="24"/>
      <c r="F67" s="20" t="s">
        <v>36820</v>
      </c>
      <c r="G67" s="24" t="str">
        <f ca="1">IFERROR(__xludf.DUMMYFUNCTION("GOOGLETRANSLATE(F67,""en"",""pt"")"),"consultor custo")</f>
        <v>consultor custo</v>
      </c>
      <c r="H67" s="24"/>
      <c r="I67" s="24"/>
    </row>
    <row r="68" spans="1:9" ht="14.5">
      <c r="A68" s="20" t="s">
        <v>36821</v>
      </c>
      <c r="B68" s="20">
        <v>30</v>
      </c>
      <c r="C68" s="20">
        <v>10</v>
      </c>
      <c r="D68" s="20">
        <v>27</v>
      </c>
      <c r="E68" s="24"/>
      <c r="F68" s="20" t="s">
        <v>36822</v>
      </c>
      <c r="G68" s="24" t="str">
        <f ca="1">IFERROR(__xludf.DUMMYFUNCTION("GOOGLETRANSLATE(F68,""en"",""pt"")"),"agente do empregador")</f>
        <v>agente do empregador</v>
      </c>
      <c r="H68" s="20" t="s">
        <v>36823</v>
      </c>
      <c r="I68" s="24"/>
    </row>
    <row r="69" spans="1:9" ht="14.5">
      <c r="A69" s="20" t="s">
        <v>36824</v>
      </c>
      <c r="B69" s="20">
        <v>30</v>
      </c>
      <c r="C69" s="20">
        <v>10</v>
      </c>
      <c r="D69" s="20">
        <v>36</v>
      </c>
      <c r="E69" s="24"/>
      <c r="F69" s="20" t="s">
        <v>36825</v>
      </c>
      <c r="G69" s="24" t="str">
        <f ca="1">IFERROR(__xludf.DUMMYFUNCTION("GOOGLETRANSLATE(F69,""en"",""pt"")"),"consultor de saúde e segurança")</f>
        <v>consultor de saúde e segurança</v>
      </c>
      <c r="H69" s="24"/>
      <c r="I69" s="24"/>
    </row>
    <row r="70" spans="1:9" ht="14.5">
      <c r="A70" s="20" t="s">
        <v>36826</v>
      </c>
      <c r="B70" s="20">
        <v>30</v>
      </c>
      <c r="C70" s="20">
        <v>10</v>
      </c>
      <c r="D70" s="20">
        <v>42</v>
      </c>
      <c r="E70" s="24"/>
      <c r="F70" s="20" t="s">
        <v>36827</v>
      </c>
      <c r="G70" s="24" t="str">
        <f ca="1">IFERROR(__xludf.DUMMYFUNCTION("GOOGLETRANSLATE(F70,""en"",""pt"")"),"gerenciador de informações")</f>
        <v>gerenciador de informações</v>
      </c>
      <c r="H70" s="20" t="s">
        <v>36828</v>
      </c>
      <c r="I70" s="24"/>
    </row>
    <row r="71" spans="1:9" ht="14.5">
      <c r="A71" s="20" t="s">
        <v>36829</v>
      </c>
      <c r="B71" s="20">
        <v>30</v>
      </c>
      <c r="C71" s="20">
        <v>10</v>
      </c>
      <c r="D71" s="20">
        <v>43</v>
      </c>
      <c r="E71" s="24"/>
      <c r="F71" s="20" t="s">
        <v>36830</v>
      </c>
      <c r="G71" s="24" t="str">
        <f ca="1">IFERROR(__xludf.DUMMYFUNCTION("GOOGLETRANSLATE(F71,""en"",""pt"")"),"consultor de seguros")</f>
        <v>consultor de seguros</v>
      </c>
      <c r="H71" s="24"/>
      <c r="I71" s="24"/>
    </row>
    <row r="72" spans="1:9" ht="14.5">
      <c r="A72" s="20" t="s">
        <v>36831</v>
      </c>
      <c r="B72" s="20">
        <v>30</v>
      </c>
      <c r="C72" s="20">
        <v>10</v>
      </c>
      <c r="D72" s="20">
        <v>47</v>
      </c>
      <c r="E72" s="24"/>
      <c r="F72" s="20" t="s">
        <v>36832</v>
      </c>
      <c r="G72" s="24" t="str">
        <f ca="1">IFERROR(__xludf.DUMMYFUNCTION("GOOGLETRANSLATE(F72,""en"",""pt"")"),"Consultor jurídico")</f>
        <v>Consultor jurídico</v>
      </c>
      <c r="H72" s="24"/>
      <c r="I72" s="24"/>
    </row>
    <row r="73" spans="1:9" ht="14.5">
      <c r="A73" s="20" t="s">
        <v>36833</v>
      </c>
      <c r="B73" s="20">
        <v>30</v>
      </c>
      <c r="C73" s="20">
        <v>10</v>
      </c>
      <c r="D73" s="20">
        <v>67</v>
      </c>
      <c r="E73" s="24"/>
      <c r="F73" s="20" t="s">
        <v>36834</v>
      </c>
      <c r="G73" s="24" t="str">
        <f ca="1">IFERROR(__xludf.DUMMYFUNCTION("GOOGLETRANSLATE(F73,""en"",""pt"")"),"Gestor de projeto")</f>
        <v>Gestor de projeto</v>
      </c>
      <c r="H73" s="20" t="s">
        <v>36835</v>
      </c>
      <c r="I73" s="24"/>
    </row>
    <row r="74" spans="1:9" ht="14.5">
      <c r="A74" s="20" t="s">
        <v>36836</v>
      </c>
      <c r="B74" s="20">
        <v>30</v>
      </c>
      <c r="C74" s="20">
        <v>10</v>
      </c>
      <c r="D74" s="20">
        <v>85</v>
      </c>
      <c r="E74" s="24"/>
      <c r="F74" s="20" t="s">
        <v>36837</v>
      </c>
      <c r="G74" s="24" t="str">
        <f ca="1">IFERROR(__xludf.DUMMYFUNCTION("GOOGLETRANSLATE(F74,""en"",""pt"")"),"Sub-contratante (X)")</f>
        <v>Sub-contratante (X)</v>
      </c>
      <c r="H74" s="24"/>
      <c r="I74" s="24"/>
    </row>
    <row r="75" spans="1:9" ht="14.5">
      <c r="A75" s="20" t="s">
        <v>36838</v>
      </c>
      <c r="B75" s="20">
        <v>30</v>
      </c>
      <c r="C75" s="20">
        <v>30</v>
      </c>
      <c r="D75" s="24"/>
      <c r="E75" s="24"/>
      <c r="F75" s="20" t="s">
        <v>36839</v>
      </c>
      <c r="G75" s="24" t="str">
        <f ca="1">IFERROR(__xludf.DUMMYFUNCTION("GOOGLETRANSLATE(F75,""en"",""pt"")"),"papéis oficiais")</f>
        <v>papéis oficiais</v>
      </c>
      <c r="H75" s="20" t="s">
        <v>36840</v>
      </c>
      <c r="I75" s="24"/>
    </row>
    <row r="76" spans="1:9" ht="14.5">
      <c r="A76" s="20" t="s">
        <v>36841</v>
      </c>
      <c r="B76" s="20">
        <v>30</v>
      </c>
      <c r="C76" s="20">
        <v>30</v>
      </c>
      <c r="D76" s="20">
        <v>9</v>
      </c>
      <c r="E76" s="24"/>
      <c r="F76" s="20" t="s">
        <v>36842</v>
      </c>
      <c r="G76" s="24" t="str">
        <f ca="1">IFERROR(__xludf.DUMMYFUNCTION("GOOGLETRANSLATE(F76,""en"",""pt"")"),"oficial de controle de edifício")</f>
        <v>oficial de controle de edifício</v>
      </c>
      <c r="H76" s="24"/>
      <c r="I76" s="24"/>
    </row>
    <row r="77" spans="1:9" ht="14.5">
      <c r="A77" s="20" t="s">
        <v>36843</v>
      </c>
      <c r="B77" s="20">
        <v>30</v>
      </c>
      <c r="C77" s="20">
        <v>30</v>
      </c>
      <c r="D77" s="20">
        <v>16</v>
      </c>
      <c r="E77" s="24"/>
      <c r="F77" s="20" t="s">
        <v>36844</v>
      </c>
      <c r="G77" s="24" t="str">
        <f ca="1">IFERROR(__xludf.DUMMYFUNCTION("GOOGLETRANSLATE(F77,""en"",""pt"")"),"oficial de conservação")</f>
        <v>oficial de conservação</v>
      </c>
      <c r="H77" s="24"/>
      <c r="I77" s="24"/>
    </row>
    <row r="78" spans="1:9" ht="14.5">
      <c r="A78" s="20" t="s">
        <v>36845</v>
      </c>
      <c r="B78" s="20">
        <v>30</v>
      </c>
      <c r="C78" s="20">
        <v>30</v>
      </c>
      <c r="D78" s="20">
        <v>20</v>
      </c>
      <c r="E78" s="24"/>
      <c r="F78" s="20" t="s">
        <v>36846</v>
      </c>
      <c r="G78" s="24" t="str">
        <f ca="1">IFERROR(__xludf.DUMMYFUNCTION("GOOGLETRANSLATE(F78,""en"",""pt"")"),"oficial de controle de Desenvolvimento")</f>
        <v>oficial de controle de Desenvolvimento</v>
      </c>
      <c r="H78" s="24"/>
      <c r="I78" s="24"/>
    </row>
    <row r="79" spans="1:9" ht="14.5">
      <c r="A79" s="20" t="s">
        <v>36847</v>
      </c>
      <c r="B79" s="20">
        <v>30</v>
      </c>
      <c r="C79" s="20">
        <v>30</v>
      </c>
      <c r="D79" s="20">
        <v>22</v>
      </c>
      <c r="E79" s="24"/>
      <c r="F79" s="20" t="s">
        <v>36848</v>
      </c>
      <c r="G79" s="24" t="str">
        <f ca="1">IFERROR(__xludf.DUMMYFUNCTION("GOOGLETRANSLATE(F79,""en"",""pt"")"),"oficial de resolução de disputas")</f>
        <v>oficial de resolução de disputas</v>
      </c>
      <c r="H79" s="24"/>
      <c r="I79" s="24"/>
    </row>
    <row r="80" spans="1:9" ht="14.5">
      <c r="A80" s="20" t="s">
        <v>36849</v>
      </c>
      <c r="B80" s="20">
        <v>30</v>
      </c>
      <c r="C80" s="20">
        <v>30</v>
      </c>
      <c r="D80" s="20">
        <v>26</v>
      </c>
      <c r="E80" s="24"/>
      <c r="F80" s="20" t="s">
        <v>36850</v>
      </c>
      <c r="G80" s="24" t="str">
        <f ca="1">IFERROR(__xludf.DUMMYFUNCTION("GOOGLETRANSLATE(F80,""en"",""pt"")"),"responsável ambiental")</f>
        <v>responsável ambiental</v>
      </c>
      <c r="H80" s="24"/>
      <c r="I80" s="24"/>
    </row>
    <row r="81" spans="1:9" ht="14.5">
      <c r="A81" s="20" t="s">
        <v>36851</v>
      </c>
      <c r="B81" s="20">
        <v>30</v>
      </c>
      <c r="C81" s="20">
        <v>30</v>
      </c>
      <c r="D81" s="20">
        <v>29</v>
      </c>
      <c r="E81" s="24"/>
      <c r="F81" s="20" t="s">
        <v>36852</v>
      </c>
      <c r="G81" s="24" t="str">
        <f ca="1">IFERROR(__xludf.DUMMYFUNCTION("GOOGLETRANSLATE(F81,""en"",""pt"")"),"Flood e responsável pela gestão de riscos costeiros")</f>
        <v>Flood e responsável pela gestão de riscos costeiros</v>
      </c>
      <c r="H81" s="24"/>
      <c r="I81" s="24"/>
    </row>
    <row r="82" spans="1:9" ht="14.5">
      <c r="A82" s="20" t="s">
        <v>36853</v>
      </c>
      <c r="B82" s="20">
        <v>30</v>
      </c>
      <c r="C82" s="20">
        <v>30</v>
      </c>
      <c r="D82" s="20">
        <v>36</v>
      </c>
      <c r="E82" s="24"/>
      <c r="F82" s="20" t="s">
        <v>36854</v>
      </c>
      <c r="G82" s="24" t="str">
        <f ca="1">IFERROR(__xludf.DUMMYFUNCTION("GOOGLETRANSLATE(F82,""en"",""pt"")"),"oficial Heritage")</f>
        <v>oficial Heritage</v>
      </c>
      <c r="H82" s="24"/>
      <c r="I82" s="24"/>
    </row>
    <row r="83" spans="1:9" ht="14.5">
      <c r="A83" s="20" t="s">
        <v>36855</v>
      </c>
      <c r="B83" s="20">
        <v>30</v>
      </c>
      <c r="C83" s="20">
        <v>30</v>
      </c>
      <c r="D83" s="20">
        <v>60</v>
      </c>
      <c r="E83" s="24"/>
      <c r="F83" s="20" t="s">
        <v>36856</v>
      </c>
      <c r="G83" s="24" t="str">
        <f ca="1">IFERROR(__xludf.DUMMYFUNCTION("GOOGLETRANSLATE(F83,""en"",""pt"")"),"agrimensor parede partido")</f>
        <v>agrimensor parede partido</v>
      </c>
      <c r="H83" s="24"/>
      <c r="I83" s="24"/>
    </row>
    <row r="84" spans="1:9" ht="14.5">
      <c r="A84" s="20" t="s">
        <v>36857</v>
      </c>
      <c r="B84" s="20">
        <v>30</v>
      </c>
      <c r="C84" s="20">
        <v>30</v>
      </c>
      <c r="D84" s="20">
        <v>65</v>
      </c>
      <c r="E84" s="24"/>
      <c r="F84" s="20" t="s">
        <v>36858</v>
      </c>
      <c r="G84" s="24" t="str">
        <f ca="1">IFERROR(__xludf.DUMMYFUNCTION("GOOGLETRANSLATE(F84,""en"",""pt"")"),"diretor de planejamento")</f>
        <v>diretor de planejamento</v>
      </c>
      <c r="H84" s="24"/>
      <c r="I84" s="24"/>
    </row>
    <row r="85" spans="1:9" ht="14.5">
      <c r="A85" s="20" t="s">
        <v>36859</v>
      </c>
      <c r="B85" s="20">
        <v>30</v>
      </c>
      <c r="C85" s="20">
        <v>30</v>
      </c>
      <c r="D85" s="20">
        <v>67</v>
      </c>
      <c r="E85" s="24"/>
      <c r="F85" s="20" t="s">
        <v>36860</v>
      </c>
      <c r="G85" s="24" t="str">
        <f ca="1">IFERROR(__xludf.DUMMYFUNCTION("GOOGLETRANSLATE(F85,""en"",""pt"")"),"contratante principal")</f>
        <v>contratante principal</v>
      </c>
      <c r="H85" s="20" t="s">
        <v>36861</v>
      </c>
      <c r="I85" s="24"/>
    </row>
    <row r="86" spans="1:9" ht="14.5">
      <c r="A86" s="20" t="s">
        <v>36862</v>
      </c>
      <c r="B86" s="20">
        <v>30</v>
      </c>
      <c r="C86" s="20">
        <v>30</v>
      </c>
      <c r="D86" s="20">
        <v>68</v>
      </c>
      <c r="E86" s="24"/>
      <c r="F86" s="20" t="s">
        <v>36863</v>
      </c>
      <c r="G86" s="24" t="str">
        <f ca="1">IFERROR(__xludf.DUMMYFUNCTION("GOOGLETRANSLATE(F86,""en"",""pt"")"),"principal designer")</f>
        <v>principal designer</v>
      </c>
      <c r="H86" s="20" t="s">
        <v>36864</v>
      </c>
      <c r="I86" s="24"/>
    </row>
    <row r="87" spans="1:9" ht="14.5">
      <c r="A87" s="20" t="s">
        <v>36865</v>
      </c>
      <c r="B87" s="20">
        <v>30</v>
      </c>
      <c r="C87" s="20">
        <v>40</v>
      </c>
      <c r="D87" s="24"/>
      <c r="E87" s="24"/>
      <c r="F87" s="20" t="s">
        <v>36866</v>
      </c>
      <c r="G87" s="24" t="str">
        <f ca="1">IFERROR(__xludf.DUMMYFUNCTION("GOOGLETRANSLATE(F87,""en"",""pt"")"),"papéis com fornecedor")</f>
        <v>papéis com fornecedor</v>
      </c>
      <c r="H87" s="24"/>
      <c r="I87" s="24"/>
    </row>
    <row r="88" spans="1:9" ht="14.5">
      <c r="A88" s="20" t="s">
        <v>36867</v>
      </c>
      <c r="B88" s="20">
        <v>30</v>
      </c>
      <c r="C88" s="20">
        <v>40</v>
      </c>
      <c r="D88" s="20">
        <v>36</v>
      </c>
      <c r="E88" s="24"/>
      <c r="F88" s="20" t="s">
        <v>36868</v>
      </c>
      <c r="G88" s="24" t="str">
        <f ca="1">IFERROR(__xludf.DUMMYFUNCTION("GOOGLETRANSLATE(F88,""en"",""pt"")"),"fornecedor de hardware")</f>
        <v>fornecedor de hardware</v>
      </c>
      <c r="H88" s="24"/>
      <c r="I88" s="24"/>
    </row>
    <row r="89" spans="1:9" ht="14.5">
      <c r="A89" s="20" t="s">
        <v>36869</v>
      </c>
      <c r="B89" s="20">
        <v>30</v>
      </c>
      <c r="C89" s="20">
        <v>40</v>
      </c>
      <c r="D89" s="20">
        <v>40</v>
      </c>
      <c r="E89" s="24"/>
      <c r="F89" s="20" t="s">
        <v>36870</v>
      </c>
      <c r="G89" s="24" t="str">
        <f ca="1">IFERROR(__xludf.DUMMYFUNCTION("GOOGLETRANSLATE(F89,""en"",""pt"")"),"Importador")</f>
        <v>Importador</v>
      </c>
      <c r="H89" s="24"/>
      <c r="I89" s="24"/>
    </row>
    <row r="90" spans="1:9" ht="14.5">
      <c r="A90" s="20" t="s">
        <v>36871</v>
      </c>
      <c r="B90" s="20">
        <v>30</v>
      </c>
      <c r="C90" s="20">
        <v>40</v>
      </c>
      <c r="D90" s="20">
        <v>54</v>
      </c>
      <c r="E90" s="24"/>
      <c r="F90" s="20" t="s">
        <v>36872</v>
      </c>
      <c r="G90" s="24" t="str">
        <f ca="1">IFERROR(__xludf.DUMMYFUNCTION("GOOGLETRANSLATE(F90,""en"",""pt"")"),"Fabricante")</f>
        <v>Fabricante</v>
      </c>
      <c r="H90" s="24"/>
      <c r="I90" s="24"/>
    </row>
    <row r="91" spans="1:9" ht="14.5">
      <c r="A91" s="20" t="s">
        <v>36873</v>
      </c>
      <c r="B91" s="20">
        <v>30</v>
      </c>
      <c r="C91" s="20">
        <v>40</v>
      </c>
      <c r="D91" s="20">
        <v>56</v>
      </c>
      <c r="E91" s="24"/>
      <c r="F91" s="20" t="s">
        <v>36874</v>
      </c>
      <c r="G91" s="24" t="str">
        <f ca="1">IFERROR(__xludf.DUMMYFUNCTION("GOOGLETRANSLATE(F91,""en"",""pt"")"),"fornecedor nomeado")</f>
        <v>fornecedor nomeado</v>
      </c>
      <c r="H91" s="24"/>
      <c r="I91" s="24"/>
    </row>
    <row r="92" spans="1:9" ht="14.5">
      <c r="A92" s="20" t="s">
        <v>36875</v>
      </c>
      <c r="B92" s="20">
        <v>30</v>
      </c>
      <c r="C92" s="20">
        <v>40</v>
      </c>
      <c r="D92" s="20">
        <v>79</v>
      </c>
      <c r="E92" s="24"/>
      <c r="F92" s="20" t="s">
        <v>36876</v>
      </c>
      <c r="G92" s="24" t="str">
        <f ca="1">IFERROR(__xludf.DUMMYFUNCTION("GOOGLETRANSLATE(F92,""en"",""pt"")"),"fornecedor de software")</f>
        <v>fornecedor de software</v>
      </c>
      <c r="H92" s="24"/>
      <c r="I92" s="24"/>
    </row>
    <row r="93" spans="1:9" ht="14.5">
      <c r="A93" s="20" t="s">
        <v>36877</v>
      </c>
      <c r="B93" s="20">
        <v>30</v>
      </c>
      <c r="C93" s="20">
        <v>40</v>
      </c>
      <c r="D93" s="20">
        <v>86</v>
      </c>
      <c r="E93" s="24"/>
      <c r="F93" s="20" t="s">
        <v>36878</v>
      </c>
      <c r="G93" s="24" t="str">
        <f ca="1">IFERROR(__xludf.DUMMYFUNCTION("GOOGLETRANSLATE(F93,""en"",""pt"")"),"fornecedor")</f>
        <v>fornecedor</v>
      </c>
      <c r="H93" s="24"/>
      <c r="I93" s="24"/>
    </row>
    <row r="94" spans="1:9" ht="14.5">
      <c r="A94" s="20" t="s">
        <v>36879</v>
      </c>
      <c r="B94" s="20">
        <v>30</v>
      </c>
      <c r="C94" s="20">
        <v>50</v>
      </c>
      <c r="D94" s="24"/>
      <c r="E94" s="24"/>
      <c r="F94" s="20" t="s">
        <v>36880</v>
      </c>
      <c r="G94" s="24" t="str">
        <f ca="1">IFERROR(__xludf.DUMMYFUNCTION("GOOGLETRANSLATE(F94,""en"",""pt"")"),"papéis principais da equipe")</f>
        <v>papéis principais da equipe</v>
      </c>
      <c r="H94" s="20" t="s">
        <v>36881</v>
      </c>
      <c r="I94" s="24"/>
    </row>
    <row r="95" spans="1:9" ht="14.5">
      <c r="A95" s="20" t="s">
        <v>36882</v>
      </c>
      <c r="B95" s="20">
        <v>30</v>
      </c>
      <c r="C95" s="20">
        <v>50</v>
      </c>
      <c r="D95" s="20">
        <v>4</v>
      </c>
      <c r="E95" s="24"/>
      <c r="F95" s="20" t="s">
        <v>36883</v>
      </c>
      <c r="G95" s="24" t="str">
        <f ca="1">IFERROR(__xludf.DUMMYFUNCTION("GOOGLETRANSLATE(F95,""en"",""pt"")"),"liderança de gestão de ativos")</f>
        <v>liderança de gestão de ativos</v>
      </c>
      <c r="H95" s="24"/>
      <c r="I95" s="24"/>
    </row>
    <row r="96" spans="1:9" ht="14.5">
      <c r="A96" s="20" t="s">
        <v>36884</v>
      </c>
      <c r="B96" s="20">
        <v>30</v>
      </c>
      <c r="C96" s="20">
        <v>50</v>
      </c>
      <c r="D96" s="20">
        <v>19</v>
      </c>
      <c r="E96" s="24"/>
      <c r="F96" s="20" t="s">
        <v>36885</v>
      </c>
      <c r="G96" s="24" t="str">
        <f ca="1">IFERROR(__xludf.DUMMYFUNCTION("GOOGLETRANSLATE(F96,""en"",""pt"")"),"chumbo construção")</f>
        <v>chumbo construção</v>
      </c>
      <c r="H96" s="24"/>
      <c r="I96" s="24"/>
    </row>
    <row r="97" spans="1:9" ht="14.5">
      <c r="A97" s="20" t="s">
        <v>36886</v>
      </c>
      <c r="B97" s="20">
        <v>30</v>
      </c>
      <c r="C97" s="20">
        <v>50</v>
      </c>
      <c r="D97" s="20">
        <v>25</v>
      </c>
      <c r="E97" s="24"/>
      <c r="F97" s="20" t="s">
        <v>36887</v>
      </c>
      <c r="G97" s="24" t="str">
        <f ca="1">IFERROR(__xludf.DUMMYFUNCTION("GOOGLETRANSLATE(F97,""en"",""pt"")"),"projeto chumbo")</f>
        <v>projeto chumbo</v>
      </c>
      <c r="H97" s="24"/>
      <c r="I97" s="24"/>
    </row>
    <row r="98" spans="1:9" ht="14.5">
      <c r="A98" s="20" t="s">
        <v>36888</v>
      </c>
      <c r="B98" s="20">
        <v>30</v>
      </c>
      <c r="C98" s="20">
        <v>50</v>
      </c>
      <c r="D98" s="20">
        <v>61</v>
      </c>
      <c r="E98" s="24"/>
      <c r="F98" s="20" t="s">
        <v>36889</v>
      </c>
      <c r="G98" s="24" t="str">
        <f ca="1">IFERROR(__xludf.DUMMYFUNCTION("GOOGLETRANSLATE(F98,""en"",""pt"")"),"chumbo operação")</f>
        <v>chumbo operação</v>
      </c>
      <c r="H98" s="24"/>
      <c r="I98" s="24"/>
    </row>
    <row r="99" spans="1:9" ht="14.5">
      <c r="A99" s="20" t="s">
        <v>36890</v>
      </c>
      <c r="B99" s="20">
        <v>30</v>
      </c>
      <c r="C99" s="20">
        <v>50</v>
      </c>
      <c r="D99" s="20">
        <v>69</v>
      </c>
      <c r="E99" s="24"/>
      <c r="F99" s="20" t="s">
        <v>36891</v>
      </c>
      <c r="G99" s="24" t="str">
        <f ca="1">IFERROR(__xludf.DUMMYFUNCTION("GOOGLETRANSLATE(F99,""en"",""pt"")"),"chumbo programa")</f>
        <v>chumbo programa</v>
      </c>
      <c r="H99" s="24"/>
      <c r="I99" s="24"/>
    </row>
    <row r="100" spans="1:9" ht="14.5">
      <c r="A100" s="20" t="s">
        <v>36892</v>
      </c>
      <c r="B100" s="20">
        <v>30</v>
      </c>
      <c r="C100" s="20">
        <v>50</v>
      </c>
      <c r="D100" s="20">
        <v>70</v>
      </c>
      <c r="E100" s="24"/>
      <c r="F100" s="20" t="s">
        <v>36893</v>
      </c>
      <c r="G100" s="24" t="str">
        <f ca="1">IFERROR(__xludf.DUMMYFUNCTION("GOOGLETRANSLATE(F100,""en"",""pt"")"),"Líder de projeto")</f>
        <v>Líder de projeto</v>
      </c>
      <c r="H100" s="24"/>
      <c r="I100" s="24"/>
    </row>
    <row r="101" spans="1:9" ht="14.5">
      <c r="A101" s="20" t="s">
        <v>36894</v>
      </c>
      <c r="B101" s="20">
        <v>30</v>
      </c>
      <c r="C101" s="20">
        <v>50</v>
      </c>
      <c r="D101" s="20">
        <v>90</v>
      </c>
      <c r="E101" s="24"/>
      <c r="F101" s="20" t="s">
        <v>36895</v>
      </c>
      <c r="G101" s="24" t="str">
        <f ca="1">IFERROR(__xludf.DUMMYFUNCTION("GOOGLETRANSLATE(F101,""en"",""pt"")"),"líder da equipe de tarefa")</f>
        <v>líder da equipe de tarefa</v>
      </c>
      <c r="H101" s="24"/>
      <c r="I101" s="24"/>
    </row>
    <row r="102" spans="1:9" ht="14.5">
      <c r="A102" s="20" t="s">
        <v>36896</v>
      </c>
      <c r="B102" s="20">
        <v>50</v>
      </c>
      <c r="C102" s="24"/>
      <c r="D102" s="24"/>
      <c r="E102" s="24"/>
      <c r="F102" s="20" t="s">
        <v>36897</v>
      </c>
      <c r="G102" s="24" t="str">
        <f ca="1">IFERROR(__xludf.DUMMYFUNCTION("GOOGLETRANSLATE(F102,""en"",""pt"")"),"papéis de design")</f>
        <v>papéis de design</v>
      </c>
      <c r="H102" s="20" t="s">
        <v>36898</v>
      </c>
      <c r="I102" s="24"/>
    </row>
    <row r="103" spans="1:9" ht="14.5">
      <c r="A103" s="20" t="s">
        <v>36899</v>
      </c>
      <c r="B103" s="20">
        <v>50</v>
      </c>
      <c r="C103" s="20">
        <v>10</v>
      </c>
      <c r="D103" s="24"/>
      <c r="E103" s="24"/>
      <c r="F103" s="20" t="s">
        <v>36900</v>
      </c>
      <c r="G103" s="24" t="str">
        <f ca="1">IFERROR(__xludf.DUMMYFUNCTION("GOOGLETRANSLATE(F103,""en"",""pt"")"),"Construir papéis de design")</f>
        <v>Construir papéis de design</v>
      </c>
      <c r="H103" s="24"/>
      <c r="I103" s="24"/>
    </row>
    <row r="104" spans="1:9" ht="14.5">
      <c r="A104" s="20" t="s">
        <v>36901</v>
      </c>
      <c r="B104" s="20">
        <v>50</v>
      </c>
      <c r="C104" s="20">
        <v>10</v>
      </c>
      <c r="D104" s="20">
        <v>1</v>
      </c>
      <c r="E104" s="24"/>
      <c r="F104" s="20" t="s">
        <v>36902</v>
      </c>
      <c r="G104" s="24" t="str">
        <f ca="1">IFERROR(__xludf.DUMMYFUNCTION("GOOGLETRANSLATE(F104,""en"",""pt"")"),"consultor de acesso")</f>
        <v>consultor de acesso</v>
      </c>
      <c r="H104" s="24"/>
      <c r="I104" s="24"/>
    </row>
    <row r="105" spans="1:9" ht="14.5">
      <c r="A105" s="20" t="s">
        <v>36903</v>
      </c>
      <c r="B105" s="20">
        <v>50</v>
      </c>
      <c r="C105" s="20">
        <v>10</v>
      </c>
      <c r="D105" s="20">
        <v>3</v>
      </c>
      <c r="E105" s="24"/>
      <c r="F105" s="20" t="s">
        <v>36904</v>
      </c>
      <c r="G105" s="24" t="str">
        <f ca="1">IFERROR(__xludf.DUMMYFUNCTION("GOOGLETRANSLATE(F105,""en"",""pt"")"),"Arquitecto (A)")</f>
        <v>Arquitecto (A)</v>
      </c>
      <c r="H105" s="20" t="s">
        <v>36905</v>
      </c>
      <c r="I105" s="24"/>
    </row>
    <row r="106" spans="1:9" ht="14.5">
      <c r="A106" s="20" t="s">
        <v>36906</v>
      </c>
      <c r="B106" s="20">
        <v>50</v>
      </c>
      <c r="C106" s="20">
        <v>10</v>
      </c>
      <c r="D106" s="20">
        <v>4</v>
      </c>
      <c r="E106" s="24"/>
      <c r="F106" s="20" t="s">
        <v>36907</v>
      </c>
      <c r="G106" s="24" t="str">
        <f ca="1">IFERROR(__xludf.DUMMYFUNCTION("GOOGLETRANSLATE(F106,""en"",""pt"")"),"designer de arquitetura")</f>
        <v>designer de arquitetura</v>
      </c>
      <c r="H106" s="24"/>
      <c r="I106" s="24"/>
    </row>
    <row r="107" spans="1:9" ht="14.5">
      <c r="A107" s="20" t="s">
        <v>36908</v>
      </c>
      <c r="B107" s="20">
        <v>50</v>
      </c>
      <c r="C107" s="20">
        <v>10</v>
      </c>
      <c r="D107" s="20">
        <v>5</v>
      </c>
      <c r="E107" s="24"/>
      <c r="F107" s="20" t="s">
        <v>36909</v>
      </c>
      <c r="G107" s="24" t="str">
        <f ca="1">IFERROR(__xludf.DUMMYFUNCTION("GOOGLETRANSLATE(F107,""en"",""pt"")"),"tecnólogo arquitectónico")</f>
        <v>tecnólogo arquitectónico</v>
      </c>
      <c r="H107" s="24"/>
      <c r="I107" s="24"/>
    </row>
    <row r="108" spans="1:9" ht="14.5">
      <c r="A108" s="20" t="s">
        <v>36910</v>
      </c>
      <c r="B108" s="20">
        <v>50</v>
      </c>
      <c r="C108" s="20">
        <v>10</v>
      </c>
      <c r="D108" s="20">
        <v>14</v>
      </c>
      <c r="E108" s="24"/>
      <c r="F108" s="20" t="s">
        <v>36911</v>
      </c>
      <c r="G108" s="24" t="str">
        <f ca="1">IFERROR(__xludf.DUMMYFUNCTION("GOOGLETRANSLATE(F108,""en"",""pt"")"),"designer de revestimento")</f>
        <v>designer de revestimento</v>
      </c>
      <c r="H108" s="24"/>
      <c r="I108" s="24"/>
    </row>
    <row r="109" spans="1:9" ht="14.5">
      <c r="A109" s="20" t="s">
        <v>36912</v>
      </c>
      <c r="B109" s="20">
        <v>50</v>
      </c>
      <c r="C109" s="20">
        <v>10</v>
      </c>
      <c r="D109" s="20">
        <v>43</v>
      </c>
      <c r="E109" s="24"/>
      <c r="F109" s="20" t="s">
        <v>36913</v>
      </c>
      <c r="G109" s="24" t="str">
        <f ca="1">IFERROR(__xludf.DUMMYFUNCTION("GOOGLETRANSLATE(F109,""en"",""pt"")"),"designer de interiores (I)")</f>
        <v>designer de interiores (I)</v>
      </c>
      <c r="H109" s="24"/>
      <c r="I109" s="24"/>
    </row>
    <row r="110" spans="1:9" ht="14.5">
      <c r="A110" s="20" t="s">
        <v>36914</v>
      </c>
      <c r="B110" s="20">
        <v>50</v>
      </c>
      <c r="C110" s="20">
        <v>10</v>
      </c>
      <c r="D110" s="20">
        <v>50</v>
      </c>
      <c r="E110" s="24"/>
      <c r="F110" s="20" t="s">
        <v>36915</v>
      </c>
      <c r="G110" s="24" t="str">
        <f ca="1">IFERROR(__xludf.DUMMYFUNCTION("GOOGLETRANSLATE(F110,""en"",""pt"")"),"Designer de iluminação")</f>
        <v>Designer de iluminação</v>
      </c>
      <c r="H110" s="24"/>
      <c r="I110" s="24"/>
    </row>
    <row r="111" spans="1:9" ht="14.5">
      <c r="A111" s="20" t="s">
        <v>36916</v>
      </c>
      <c r="B111" s="20">
        <v>50</v>
      </c>
      <c r="C111" s="20">
        <v>10</v>
      </c>
      <c r="D111" s="20">
        <v>80</v>
      </c>
      <c r="E111" s="24"/>
      <c r="F111" s="20" t="s">
        <v>36917</v>
      </c>
      <c r="G111" s="24" t="str">
        <f ca="1">IFERROR(__xludf.DUMMYFUNCTION("GOOGLETRANSLATE(F111,""en"",""pt"")"),"signage desenhador")</f>
        <v>signage desenhador</v>
      </c>
      <c r="H111" s="24"/>
      <c r="I111" s="24"/>
    </row>
    <row r="112" spans="1:9" ht="14.5">
      <c r="A112" s="20" t="s">
        <v>36918</v>
      </c>
      <c r="B112" s="20">
        <v>50</v>
      </c>
      <c r="C112" s="20">
        <v>20</v>
      </c>
      <c r="D112" s="24"/>
      <c r="E112" s="24"/>
      <c r="F112" s="20" t="s">
        <v>36919</v>
      </c>
      <c r="G112" s="24" t="str">
        <f ca="1">IFERROR(__xludf.DUMMYFUNCTION("GOOGLETRANSLATE(F112,""en"",""pt"")"),"papéis de projeto de engenharia")</f>
        <v>papéis de projeto de engenharia</v>
      </c>
      <c r="H112" s="24"/>
      <c r="I112" s="24"/>
    </row>
    <row r="113" spans="1:9" ht="14.5">
      <c r="A113" s="20" t="s">
        <v>36920</v>
      </c>
      <c r="B113" s="20">
        <v>50</v>
      </c>
      <c r="C113" s="20">
        <v>20</v>
      </c>
      <c r="D113" s="20">
        <v>2</v>
      </c>
      <c r="E113" s="24"/>
      <c r="F113" s="20" t="s">
        <v>36921</v>
      </c>
      <c r="G113" s="24" t="str">
        <f ca="1">IFERROR(__xludf.DUMMYFUNCTION("GOOGLETRANSLATE(F113,""en"",""pt"")"),"engenheiro acústico")</f>
        <v>engenheiro acústico</v>
      </c>
      <c r="H113" s="24"/>
      <c r="I113" s="24"/>
    </row>
    <row r="114" spans="1:9" ht="14.5">
      <c r="A114" s="20" t="s">
        <v>36922</v>
      </c>
      <c r="B114" s="20">
        <v>50</v>
      </c>
      <c r="C114" s="20">
        <v>20</v>
      </c>
      <c r="D114" s="20">
        <v>8</v>
      </c>
      <c r="E114" s="24"/>
      <c r="F114" s="20" t="s">
        <v>36923</v>
      </c>
      <c r="G114" s="24" t="str">
        <f ca="1">IFERROR(__xludf.DUMMYFUNCTION("GOOGLETRANSLATE(F114,""en"",""pt"")"),"Edifício engenheiro de serviços")</f>
        <v>Edifício engenheiro de serviços</v>
      </c>
      <c r="H114" s="24"/>
      <c r="I114" s="24"/>
    </row>
    <row r="115" spans="1:9" ht="14.5">
      <c r="A115" s="20" t="s">
        <v>36924</v>
      </c>
      <c r="B115" s="20">
        <v>50</v>
      </c>
      <c r="C115" s="20">
        <v>20</v>
      </c>
      <c r="D115" s="20">
        <v>11</v>
      </c>
      <c r="E115" s="24"/>
      <c r="F115" s="20" t="s">
        <v>36925</v>
      </c>
      <c r="G115" s="24" t="str">
        <f ca="1">IFERROR(__xludf.DUMMYFUNCTION("GOOGLETRANSLATE(F115,""en"",""pt"")"),"engenheiro civil (C)")</f>
        <v>engenheiro civil (C)</v>
      </c>
      <c r="H115" s="20" t="s">
        <v>36926</v>
      </c>
      <c r="I115" s="24"/>
    </row>
    <row r="116" spans="1:9" ht="14.5">
      <c r="A116" s="20" t="s">
        <v>36927</v>
      </c>
      <c r="B116" s="20">
        <v>50</v>
      </c>
      <c r="C116" s="20">
        <v>20</v>
      </c>
      <c r="D116" s="20">
        <v>24</v>
      </c>
      <c r="E116" s="24"/>
      <c r="F116" s="20" t="s">
        <v>36928</v>
      </c>
      <c r="G116" s="24" t="str">
        <f ca="1">IFERROR(__xludf.DUMMYFUNCTION("GOOGLETRANSLATE(F116,""en"",""pt"")"),"engenheiro de demolição")</f>
        <v>engenheiro de demolição</v>
      </c>
      <c r="H116" s="24"/>
      <c r="I116" s="24"/>
    </row>
    <row r="117" spans="1:9" ht="14.5">
      <c r="A117" s="20" t="s">
        <v>36929</v>
      </c>
      <c r="B117" s="20">
        <v>50</v>
      </c>
      <c r="C117" s="20">
        <v>20</v>
      </c>
      <c r="D117" s="20">
        <v>28</v>
      </c>
      <c r="E117" s="24"/>
      <c r="F117" s="20" t="s">
        <v>36930</v>
      </c>
      <c r="G117" s="24" t="str">
        <f ca="1">IFERROR(__xludf.DUMMYFUNCTION("GOOGLETRANSLATE(F117,""en"",""pt"")"),"engenheiro de drenagem (D)")</f>
        <v>engenheiro de drenagem (D)</v>
      </c>
      <c r="H117" s="24"/>
      <c r="I117" s="24"/>
    </row>
    <row r="118" spans="1:9" ht="14.5">
      <c r="A118" s="20" t="s">
        <v>36931</v>
      </c>
      <c r="B118" s="20">
        <v>50</v>
      </c>
      <c r="C118" s="20">
        <v>20</v>
      </c>
      <c r="D118" s="20">
        <v>30</v>
      </c>
      <c r="E118" s="24"/>
      <c r="F118" s="20" t="s">
        <v>36932</v>
      </c>
      <c r="G118" s="24" t="str">
        <f ca="1">IFERROR(__xludf.DUMMYFUNCTION("GOOGLETRANSLATE(F118,""en"",""pt"")"),"Electrical engenheiro de serviços (E)")</f>
        <v>Electrical engenheiro de serviços (E)</v>
      </c>
      <c r="H118" s="20" t="s">
        <v>36933</v>
      </c>
      <c r="I118" s="24"/>
    </row>
    <row r="119" spans="1:9" ht="14.5">
      <c r="A119" s="20" t="s">
        <v>36934</v>
      </c>
      <c r="B119" s="20">
        <v>50</v>
      </c>
      <c r="C119" s="20">
        <v>20</v>
      </c>
      <c r="D119" s="20">
        <v>31</v>
      </c>
      <c r="E119" s="24"/>
      <c r="F119" s="20" t="s">
        <v>36935</v>
      </c>
      <c r="G119" s="24" t="str">
        <f ca="1">IFERROR(__xludf.DUMMYFUNCTION("GOOGLETRANSLATE(F119,""en"",""pt"")"),"Engenheiro eletronico")</f>
        <v>Engenheiro eletronico</v>
      </c>
      <c r="H119" s="24"/>
      <c r="I119" s="24"/>
    </row>
    <row r="120" spans="1:9" ht="14.5">
      <c r="A120" s="20" t="s">
        <v>36936</v>
      </c>
      <c r="B120" s="20">
        <v>50</v>
      </c>
      <c r="C120" s="20">
        <v>20</v>
      </c>
      <c r="D120" s="20">
        <v>33</v>
      </c>
      <c r="E120" s="24"/>
      <c r="F120" s="20" t="s">
        <v>36937</v>
      </c>
      <c r="G120" s="24" t="str">
        <f ca="1">IFERROR(__xludf.DUMMYFUNCTION("GOOGLETRANSLATE(F120,""en"",""pt"")"),"engenheiro de fogo")</f>
        <v>engenheiro de fogo</v>
      </c>
      <c r="H120" s="24"/>
      <c r="I120" s="24"/>
    </row>
    <row r="121" spans="1:9" ht="14.5">
      <c r="A121" s="20" t="s">
        <v>36938</v>
      </c>
      <c r="B121" s="20">
        <v>50</v>
      </c>
      <c r="C121" s="20">
        <v>20</v>
      </c>
      <c r="D121" s="20">
        <v>37</v>
      </c>
      <c r="E121" s="24"/>
      <c r="F121" s="20" t="s">
        <v>36939</v>
      </c>
      <c r="G121" s="24" t="str">
        <f ca="1">IFERROR(__xludf.DUMMYFUNCTION("GOOGLETRANSLATE(F121,""en"",""pt"")"),"engenheiro geotécnico")</f>
        <v>engenheiro geotécnico</v>
      </c>
      <c r="H121" s="24"/>
      <c r="I121" s="24"/>
    </row>
    <row r="122" spans="1:9" ht="14.5">
      <c r="A122" s="20" t="s">
        <v>36940</v>
      </c>
      <c r="B122" s="20">
        <v>50</v>
      </c>
      <c r="C122" s="20">
        <v>20</v>
      </c>
      <c r="D122" s="20">
        <v>40</v>
      </c>
      <c r="E122" s="24"/>
      <c r="F122" s="20" t="s">
        <v>36941</v>
      </c>
      <c r="G122" s="24" t="str">
        <f ca="1">IFERROR(__xludf.DUMMYFUNCTION("GOOGLETRANSLATE(F122,""en"",""pt"")"),"Aquecimento, ventilação e ar condicionado engenheiro (H)")</f>
        <v>Aquecimento, ventilação e ar condicionado engenheiro (H)</v>
      </c>
      <c r="H122" s="24"/>
      <c r="I122" s="24"/>
    </row>
    <row r="123" spans="1:9" ht="14.5">
      <c r="A123" s="20" t="s">
        <v>36942</v>
      </c>
      <c r="B123" s="20">
        <v>50</v>
      </c>
      <c r="C123" s="20">
        <v>20</v>
      </c>
      <c r="D123" s="20">
        <v>41</v>
      </c>
      <c r="E123" s="24"/>
      <c r="F123" s="20" t="s">
        <v>36943</v>
      </c>
      <c r="G123" s="24" t="str">
        <f ca="1">IFERROR(__xludf.DUMMYFUNCTION("GOOGLETRANSLATE(F123,""en"",""pt"")"),"Rodovias engenheiro (D)")</f>
        <v>Rodovias engenheiro (D)</v>
      </c>
      <c r="H123" s="24"/>
      <c r="I123" s="24"/>
    </row>
    <row r="124" spans="1:9" ht="14.5">
      <c r="A124" s="20" t="s">
        <v>36944</v>
      </c>
      <c r="B124" s="20">
        <v>50</v>
      </c>
      <c r="C124" s="20">
        <v>20</v>
      </c>
      <c r="D124" s="20">
        <v>42</v>
      </c>
      <c r="E124" s="24"/>
      <c r="F124" s="20" t="s">
        <v>36945</v>
      </c>
      <c r="G124" s="24" t="str">
        <f ca="1">IFERROR(__xludf.DUMMYFUNCTION("GOOGLETRANSLATE(F124,""en"",""pt"")"),"engenheiro hidráulico")</f>
        <v>engenheiro hidráulico</v>
      </c>
      <c r="H124" s="24"/>
      <c r="I124" s="24"/>
    </row>
    <row r="125" spans="1:9" ht="14.5">
      <c r="A125" s="20" t="s">
        <v>36946</v>
      </c>
      <c r="B125" s="20">
        <v>50</v>
      </c>
      <c r="C125" s="20">
        <v>20</v>
      </c>
      <c r="D125" s="20">
        <v>53</v>
      </c>
      <c r="E125" s="24"/>
      <c r="F125" s="20" t="s">
        <v>36947</v>
      </c>
      <c r="G125" s="24" t="str">
        <f ca="1">IFERROR(__xludf.DUMMYFUNCTION("GOOGLETRANSLATE(F125,""en"",""pt"")"),"Mecânica, elétrica, instrumentação, controle e automação (Meica) engenheiro")</f>
        <v>Mecânica, elétrica, instrumentação, controle e automação (Meica) engenheiro</v>
      </c>
      <c r="H125" s="24"/>
      <c r="I125" s="24"/>
    </row>
    <row r="126" spans="1:9" ht="14.5">
      <c r="A126" s="20" t="s">
        <v>36948</v>
      </c>
      <c r="B126" s="20">
        <v>50</v>
      </c>
      <c r="C126" s="20">
        <v>20</v>
      </c>
      <c r="D126" s="20">
        <v>54</v>
      </c>
      <c r="E126" s="24"/>
      <c r="F126" s="20" t="s">
        <v>36949</v>
      </c>
      <c r="G126" s="24" t="str">
        <f ca="1">IFERROR(__xludf.DUMMYFUNCTION("GOOGLETRANSLATE(F126,""en"",""pt"")"),"Engenheiro mecânico serviços (M)")</f>
        <v>Engenheiro mecânico serviços (M)</v>
      </c>
      <c r="H126" s="20" t="s">
        <v>36950</v>
      </c>
      <c r="I126" s="24"/>
    </row>
    <row r="127" spans="1:9" ht="14.5">
      <c r="A127" s="20" t="s">
        <v>36951</v>
      </c>
      <c r="B127" s="20">
        <v>50</v>
      </c>
      <c r="C127" s="20">
        <v>20</v>
      </c>
      <c r="D127" s="20">
        <v>59</v>
      </c>
      <c r="E127" s="24"/>
      <c r="F127" s="20" t="s">
        <v>36952</v>
      </c>
      <c r="G127" s="24" t="str">
        <f ca="1">IFERROR(__xludf.DUMMYFUNCTION("GOOGLETRANSLATE(F127,""en"",""pt"")"),"engenheiro de fios aéreos")</f>
        <v>engenheiro de fios aéreos</v>
      </c>
      <c r="H127" s="24"/>
      <c r="I127" s="24"/>
    </row>
    <row r="128" spans="1:9" ht="14.5">
      <c r="A128" s="20" t="s">
        <v>36953</v>
      </c>
      <c r="B128" s="20">
        <v>50</v>
      </c>
      <c r="C128" s="20">
        <v>20</v>
      </c>
      <c r="D128" s="20">
        <v>65</v>
      </c>
      <c r="E128" s="24"/>
      <c r="F128" s="20" t="s">
        <v>36954</v>
      </c>
      <c r="G128" s="24" t="str">
        <f ca="1">IFERROR(__xludf.DUMMYFUNCTION("GOOGLETRANSLATE(F128,""en"",""pt"")"),"Engenheiro de Processo")</f>
        <v>Engenheiro de Processo</v>
      </c>
      <c r="H128" s="24"/>
      <c r="I128" s="24"/>
    </row>
    <row r="129" spans="1:9" ht="14.5">
      <c r="A129" s="20" t="s">
        <v>36955</v>
      </c>
      <c r="B129" s="20">
        <v>50</v>
      </c>
      <c r="C129" s="20">
        <v>20</v>
      </c>
      <c r="D129" s="20">
        <v>68</v>
      </c>
      <c r="E129" s="24"/>
      <c r="F129" s="20" t="s">
        <v>36956</v>
      </c>
      <c r="G129" s="24" t="str">
        <f ca="1">IFERROR(__xludf.DUMMYFUNCTION("GOOGLETRANSLATE(F129,""en"",""pt"")"),"engenheiro de saúde pública (P)")</f>
        <v>engenheiro de saúde pública (P)</v>
      </c>
      <c r="H129" s="24"/>
      <c r="I129" s="24"/>
    </row>
    <row r="130" spans="1:9" ht="14.5">
      <c r="A130" s="20" t="s">
        <v>36957</v>
      </c>
      <c r="B130" s="20">
        <v>50</v>
      </c>
      <c r="C130" s="20">
        <v>20</v>
      </c>
      <c r="D130" s="20">
        <v>70</v>
      </c>
      <c r="E130" s="24"/>
      <c r="F130" s="20" t="s">
        <v>36958</v>
      </c>
      <c r="G130" s="24" t="str">
        <f ca="1">IFERROR(__xludf.DUMMYFUNCTION("GOOGLETRANSLATE(F130,""en"",""pt"")"),"engenheiro ferroviário")</f>
        <v>engenheiro ferroviário</v>
      </c>
      <c r="H130" s="24"/>
      <c r="I130" s="24"/>
    </row>
    <row r="131" spans="1:9" ht="14.5">
      <c r="A131" s="20" t="s">
        <v>36959</v>
      </c>
      <c r="B131" s="20">
        <v>50</v>
      </c>
      <c r="C131" s="20">
        <v>20</v>
      </c>
      <c r="D131" s="20">
        <v>72</v>
      </c>
      <c r="E131" s="24"/>
      <c r="F131" s="20" t="s">
        <v>36960</v>
      </c>
      <c r="G131" s="24" t="str">
        <f ca="1">IFERROR(__xludf.DUMMYFUNCTION("GOOGLETRANSLATE(F131,""en"",""pt"")"),"Engenheiro de Confiabilidade")</f>
        <v>Engenheiro de Confiabilidade</v>
      </c>
      <c r="H131" s="24"/>
      <c r="I131" s="24"/>
    </row>
    <row r="132" spans="1:9" ht="14.5">
      <c r="A132" s="20" t="s">
        <v>36961</v>
      </c>
      <c r="B132" s="20">
        <v>50</v>
      </c>
      <c r="C132" s="20">
        <v>20</v>
      </c>
      <c r="D132" s="20">
        <v>74</v>
      </c>
      <c r="E132" s="24"/>
      <c r="F132" s="20" t="s">
        <v>36962</v>
      </c>
      <c r="G132" s="24" t="str">
        <f ca="1">IFERROR(__xludf.DUMMYFUNCTION("GOOGLETRANSLATE(F132,""en"",""pt"")"),"Rolamento engenheiro de estoque")</f>
        <v>Rolamento engenheiro de estoque</v>
      </c>
      <c r="H132" s="24"/>
      <c r="I132" s="24"/>
    </row>
    <row r="133" spans="1:9" ht="14.5">
      <c r="A133" s="20" t="s">
        <v>36963</v>
      </c>
      <c r="B133" s="20">
        <v>50</v>
      </c>
      <c r="C133" s="20">
        <v>20</v>
      </c>
      <c r="D133" s="20">
        <v>79</v>
      </c>
      <c r="E133" s="24"/>
      <c r="F133" s="20" t="s">
        <v>36964</v>
      </c>
      <c r="G133" s="24" t="str">
        <f ca="1">IFERROR(__xludf.DUMMYFUNCTION("GOOGLETRANSLATE(F133,""en"",""pt"")"),"engenheiro de sinalização")</f>
        <v>engenheiro de sinalização</v>
      </c>
      <c r="H133" s="24"/>
      <c r="I133" s="24"/>
    </row>
    <row r="134" spans="1:9" ht="14.5">
      <c r="A134" s="20" t="s">
        <v>36965</v>
      </c>
      <c r="B134" s="20">
        <v>50</v>
      </c>
      <c r="C134" s="20">
        <v>20</v>
      </c>
      <c r="D134" s="20">
        <v>83</v>
      </c>
      <c r="E134" s="24"/>
      <c r="F134" s="20" t="s">
        <v>36966</v>
      </c>
      <c r="G134" s="24" t="str">
        <f ca="1">IFERROR(__xludf.DUMMYFUNCTION("GOOGLETRANSLATE(F134,""en"",""pt"")"),"engenheiro estrutural (S)")</f>
        <v>engenheiro estrutural (S)</v>
      </c>
      <c r="H134" s="24"/>
      <c r="I134" s="24"/>
    </row>
    <row r="135" spans="1:9" ht="14.5">
      <c r="A135" s="20" t="s">
        <v>36967</v>
      </c>
      <c r="B135" s="20">
        <v>50</v>
      </c>
      <c r="C135" s="20">
        <v>20</v>
      </c>
      <c r="D135" s="20">
        <v>86</v>
      </c>
      <c r="E135" s="24"/>
      <c r="F135" s="20" t="s">
        <v>36968</v>
      </c>
      <c r="G135" s="24" t="str">
        <f ca="1">IFERROR(__xludf.DUMMYFUNCTION("GOOGLETRANSLATE(F135,""en"",""pt"")"),"Engenheiro de sistemas")</f>
        <v>Engenheiro de sistemas</v>
      </c>
      <c r="H135" s="24"/>
      <c r="I135" s="24"/>
    </row>
    <row r="136" spans="1:9" ht="14.5">
      <c r="A136" s="20" t="s">
        <v>36969</v>
      </c>
      <c r="B136" s="20">
        <v>50</v>
      </c>
      <c r="C136" s="20">
        <v>20</v>
      </c>
      <c r="D136" s="20">
        <v>88</v>
      </c>
      <c r="E136" s="24"/>
      <c r="F136" s="20" t="s">
        <v>36970</v>
      </c>
      <c r="G136" s="24" t="str">
        <f ca="1">IFERROR(__xludf.DUMMYFUNCTION("GOOGLETRANSLATE(F136,""en"",""pt"")"),"Engenheiro de telecomunicações")</f>
        <v>Engenheiro de telecomunicações</v>
      </c>
      <c r="H136" s="24"/>
      <c r="I136" s="24"/>
    </row>
    <row r="137" spans="1:9" ht="14.5">
      <c r="A137" s="20" t="s">
        <v>36971</v>
      </c>
      <c r="B137" s="20">
        <v>50</v>
      </c>
      <c r="C137" s="20">
        <v>20</v>
      </c>
      <c r="D137" s="20">
        <v>90</v>
      </c>
      <c r="E137" s="24"/>
      <c r="F137" s="20" t="s">
        <v>36972</v>
      </c>
      <c r="G137" s="24" t="str">
        <f ca="1">IFERROR(__xludf.DUMMYFUNCTION("GOOGLETRANSLATE(F137,""en"",""pt"")"),"engenheiro de tráfego")</f>
        <v>engenheiro de tráfego</v>
      </c>
      <c r="H137" s="24"/>
      <c r="I137" s="24"/>
    </row>
    <row r="138" spans="1:9" ht="14.5">
      <c r="A138" s="20" t="s">
        <v>36973</v>
      </c>
      <c r="B138" s="20">
        <v>50</v>
      </c>
      <c r="C138" s="20">
        <v>20</v>
      </c>
      <c r="D138" s="20">
        <v>96</v>
      </c>
      <c r="E138" s="24"/>
      <c r="F138" s="20" t="s">
        <v>36974</v>
      </c>
      <c r="G138" s="24" t="str">
        <f ca="1">IFERROR(__xludf.DUMMYFUNCTION("GOOGLETRANSLATE(F138,""en"",""pt"")"),"Água engenheiro de serviços")</f>
        <v>Água engenheiro de serviços</v>
      </c>
      <c r="H138" s="24"/>
      <c r="I138" s="24"/>
    </row>
    <row r="139" spans="1:9" ht="14.5">
      <c r="A139" s="20" t="s">
        <v>36975</v>
      </c>
      <c r="B139" s="20">
        <v>50</v>
      </c>
      <c r="C139" s="20">
        <v>30</v>
      </c>
      <c r="D139" s="24"/>
      <c r="E139" s="24"/>
      <c r="F139" s="20" t="s">
        <v>36976</v>
      </c>
      <c r="G139" s="24" t="str">
        <f ca="1">IFERROR(__xludf.DUMMYFUNCTION("GOOGLETRANSLATE(F139,""en"",""pt"")"),"papéis de design ambiental")</f>
        <v>papéis de design ambiental</v>
      </c>
      <c r="H139" s="24"/>
      <c r="I139" s="24"/>
    </row>
    <row r="140" spans="1:9" ht="14.5">
      <c r="A140" s="20" t="s">
        <v>36977</v>
      </c>
      <c r="B140" s="20">
        <v>50</v>
      </c>
      <c r="C140" s="20">
        <v>30</v>
      </c>
      <c r="D140" s="20">
        <v>4</v>
      </c>
      <c r="E140" s="24"/>
      <c r="F140" s="20" t="s">
        <v>36978</v>
      </c>
      <c r="G140" s="24" t="str">
        <f ca="1">IFERROR(__xludf.DUMMYFUNCTION("GOOGLETRANSLATE(F140,""en"",""pt"")"),"Arboriculturalist")</f>
        <v>Arboriculturalist</v>
      </c>
      <c r="H140" s="24"/>
      <c r="I140" s="24"/>
    </row>
    <row r="141" spans="1:9" ht="14.5">
      <c r="A141" s="20" t="s">
        <v>36979</v>
      </c>
      <c r="B141" s="20">
        <v>50</v>
      </c>
      <c r="C141" s="20">
        <v>30</v>
      </c>
      <c r="D141" s="20">
        <v>25</v>
      </c>
      <c r="E141" s="24"/>
      <c r="F141" s="20" t="s">
        <v>36980</v>
      </c>
      <c r="G141" s="24" t="str">
        <f ca="1">IFERROR(__xludf.DUMMYFUNCTION("GOOGLETRANSLATE(F141,""en"",""pt"")"),"Ecologista")</f>
        <v>Ecologista</v>
      </c>
      <c r="H141" s="24"/>
      <c r="I141" s="24"/>
    </row>
    <row r="142" spans="1:9" ht="14.5">
      <c r="A142" s="20" t="s">
        <v>36981</v>
      </c>
      <c r="B142" s="20">
        <v>50</v>
      </c>
      <c r="C142" s="20">
        <v>30</v>
      </c>
      <c r="D142" s="20">
        <v>47</v>
      </c>
      <c r="E142" s="24"/>
      <c r="F142" s="20" t="s">
        <v>36982</v>
      </c>
      <c r="G142" s="24" t="str">
        <f ca="1">IFERROR(__xludf.DUMMYFUNCTION("GOOGLETRANSLATE(F142,""en"",""pt"")"),"arquitecto horizontal (L)")</f>
        <v>arquitecto horizontal (L)</v>
      </c>
      <c r="H142" s="20" t="s">
        <v>36983</v>
      </c>
      <c r="I142" s="24"/>
    </row>
    <row r="143" spans="1:9" ht="14.5">
      <c r="A143" s="20" t="s">
        <v>36984</v>
      </c>
      <c r="B143" s="20">
        <v>50</v>
      </c>
      <c r="C143" s="20">
        <v>30</v>
      </c>
      <c r="D143" s="20">
        <v>48</v>
      </c>
      <c r="E143" s="24"/>
      <c r="F143" s="20" t="s">
        <v>36985</v>
      </c>
      <c r="G143" s="24" t="str">
        <f ca="1">IFERROR(__xludf.DUMMYFUNCTION("GOOGLETRANSLATE(F143,""en"",""pt"")"),"Paisagista")</f>
        <v>Paisagista</v>
      </c>
      <c r="H143" s="24"/>
      <c r="I143" s="24"/>
    </row>
    <row r="144" spans="1:9" ht="14.5">
      <c r="A144" s="20" t="s">
        <v>36986</v>
      </c>
      <c r="B144" s="20">
        <v>50</v>
      </c>
      <c r="C144" s="20">
        <v>30</v>
      </c>
      <c r="D144" s="20">
        <v>94</v>
      </c>
      <c r="E144" s="24"/>
      <c r="F144" s="20" t="s">
        <v>36987</v>
      </c>
      <c r="G144" s="24" t="str">
        <f ca="1">IFERROR(__xludf.DUMMYFUNCTION("GOOGLETRANSLATE(F144,""en"",""pt"")"),"urbanista (T)")</f>
        <v>urbanista (T)</v>
      </c>
      <c r="H144" s="24"/>
      <c r="I144" s="24"/>
    </row>
    <row r="145" spans="1:9" ht="14.5">
      <c r="A145" s="20" t="s">
        <v>36988</v>
      </c>
      <c r="B145" s="20">
        <v>70</v>
      </c>
      <c r="C145" s="24"/>
      <c r="D145" s="24"/>
      <c r="E145" s="24"/>
      <c r="F145" s="20" t="s">
        <v>36989</v>
      </c>
      <c r="G145" s="24" t="str">
        <f ca="1">IFERROR(__xludf.DUMMYFUNCTION("GOOGLETRANSLATE(F145,""en"",""pt"")"),"funções de site")</f>
        <v>funções de site</v>
      </c>
      <c r="H145" s="24"/>
      <c r="I145" s="24"/>
    </row>
    <row r="146" spans="1:9" ht="14.5">
      <c r="A146" s="20" t="s">
        <v>36990</v>
      </c>
      <c r="B146" s="20">
        <v>70</v>
      </c>
      <c r="C146" s="20">
        <v>10</v>
      </c>
      <c r="D146" s="24"/>
      <c r="E146" s="24"/>
      <c r="F146" s="20" t="s">
        <v>36991</v>
      </c>
      <c r="G146" s="24" t="str">
        <f ca="1">IFERROR(__xludf.DUMMYFUNCTION("GOOGLETRANSLATE(F146,""en"",""pt"")"),"papéis topógrafo e planejador")</f>
        <v>papéis topógrafo e planejador</v>
      </c>
      <c r="H146" s="24"/>
      <c r="I146" s="24"/>
    </row>
    <row r="147" spans="1:9" ht="14.5">
      <c r="A147" s="20" t="s">
        <v>36992</v>
      </c>
      <c r="B147" s="20">
        <v>70</v>
      </c>
      <c r="C147" s="20">
        <v>10</v>
      </c>
      <c r="D147" s="20">
        <v>10</v>
      </c>
      <c r="E147" s="24"/>
      <c r="F147" s="20" t="s">
        <v>36993</v>
      </c>
      <c r="G147" s="24" t="str">
        <f ca="1">IFERROR(__xludf.DUMMYFUNCTION("GOOGLETRANSLATE(F147,""en"",""pt"")"),"inspector de edifício")</f>
        <v>inspector de edifício</v>
      </c>
      <c r="H147" s="24"/>
      <c r="I147" s="24"/>
    </row>
    <row r="148" spans="1:9" ht="14.5">
      <c r="A148" s="20" t="s">
        <v>36994</v>
      </c>
      <c r="B148" s="20">
        <v>70</v>
      </c>
      <c r="C148" s="20">
        <v>10</v>
      </c>
      <c r="D148" s="20">
        <v>11</v>
      </c>
      <c r="E148" s="24"/>
      <c r="F148" s="20" t="s">
        <v>36995</v>
      </c>
      <c r="G148" s="24" t="str">
        <f ca="1">IFERROR(__xludf.DUMMYFUNCTION("GOOGLETRANSLATE(F148,""en"",""pt"")"),"agrimensor de edifício (B)")</f>
        <v>agrimensor de edifício (B)</v>
      </c>
      <c r="H148" s="24"/>
      <c r="I148" s="24"/>
    </row>
    <row r="149" spans="1:9" ht="14.5">
      <c r="A149" s="20" t="s">
        <v>36996</v>
      </c>
      <c r="B149" s="20">
        <v>70</v>
      </c>
      <c r="C149" s="20">
        <v>10</v>
      </c>
      <c r="D149" s="20">
        <v>16</v>
      </c>
      <c r="E149" s="24"/>
      <c r="F149" s="20" t="s">
        <v>36997</v>
      </c>
      <c r="G149" s="24" t="str">
        <f ca="1">IFERROR(__xludf.DUMMYFUNCTION("GOOGLETRANSLATE(F149,""en"",""pt"")"),"agrimensor conservação")</f>
        <v>agrimensor conservação</v>
      </c>
      <c r="H149" s="24"/>
      <c r="I149" s="24"/>
    </row>
    <row r="150" spans="1:9" ht="14.5">
      <c r="A150" s="20" t="s">
        <v>36998</v>
      </c>
      <c r="B150" s="20">
        <v>70</v>
      </c>
      <c r="C150" s="20">
        <v>10</v>
      </c>
      <c r="D150" s="20">
        <v>33</v>
      </c>
      <c r="E150" s="24"/>
      <c r="F150" s="20" t="s">
        <v>36999</v>
      </c>
      <c r="G150" s="24" t="str">
        <f ca="1">IFERROR(__xludf.DUMMYFUNCTION("GOOGLETRANSLATE(F150,""en"",""pt"")"),"agrimensor geotécnica (L)")</f>
        <v>agrimensor geotécnica (L)</v>
      </c>
      <c r="H150" s="24"/>
      <c r="I150" s="24"/>
    </row>
    <row r="151" spans="1:9" ht="14.5">
      <c r="A151" s="20" t="s">
        <v>37000</v>
      </c>
      <c r="B151" s="20">
        <v>70</v>
      </c>
      <c r="C151" s="20">
        <v>10</v>
      </c>
      <c r="D151" s="20">
        <v>36</v>
      </c>
      <c r="E151" s="24"/>
      <c r="F151" s="20" t="s">
        <v>37001</v>
      </c>
      <c r="G151" s="24" t="str">
        <f ca="1">IFERROR(__xludf.DUMMYFUNCTION("GOOGLETRANSLATE(F151,""en"",""pt"")"),"agrimensor Heritage")</f>
        <v>agrimensor Heritage</v>
      </c>
      <c r="H151" s="24"/>
      <c r="I151" s="24"/>
    </row>
    <row r="152" spans="1:9" ht="14.5">
      <c r="A152" s="20" t="s">
        <v>37002</v>
      </c>
      <c r="B152" s="20">
        <v>70</v>
      </c>
      <c r="C152" s="20">
        <v>10</v>
      </c>
      <c r="D152" s="20">
        <v>46</v>
      </c>
      <c r="E152" s="24"/>
      <c r="F152" s="20" t="s">
        <v>37003</v>
      </c>
      <c r="G152" s="24" t="str">
        <f ca="1">IFERROR(__xludf.DUMMYFUNCTION("GOOGLETRANSLATE(F152,""en"",""pt"")"),"agrimensor (G)")</f>
        <v>agrimensor (G)</v>
      </c>
      <c r="H152" s="24"/>
      <c r="I152" s="24"/>
    </row>
    <row r="153" spans="1:9" ht="14.5">
      <c r="A153" s="20" t="s">
        <v>37004</v>
      </c>
      <c r="B153" s="20">
        <v>70</v>
      </c>
      <c r="C153" s="20">
        <v>10</v>
      </c>
      <c r="D153" s="20">
        <v>64</v>
      </c>
      <c r="E153" s="24"/>
      <c r="F153" s="20" t="s">
        <v>37005</v>
      </c>
      <c r="G153" s="24" t="str">
        <f ca="1">IFERROR(__xludf.DUMMYFUNCTION("GOOGLETRANSLATE(F153,""en"",""pt"")"),"consultor de planejamento")</f>
        <v>consultor de planejamento</v>
      </c>
      <c r="H153" s="24"/>
      <c r="I153" s="24"/>
    </row>
    <row r="154" spans="1:9" ht="14.5">
      <c r="A154" s="20" t="s">
        <v>37006</v>
      </c>
      <c r="B154" s="20">
        <v>70</v>
      </c>
      <c r="C154" s="20">
        <v>10</v>
      </c>
      <c r="D154" s="20">
        <v>75</v>
      </c>
      <c r="E154" s="24"/>
      <c r="F154" s="20" t="s">
        <v>37007</v>
      </c>
      <c r="G154" s="24" t="str">
        <f ca="1">IFERROR(__xludf.DUMMYFUNCTION("GOOGLETRANSLATE(F154,""en"",""pt"")"),"Quantidade agrimensor (Q)")</f>
        <v>Quantidade agrimensor (Q)</v>
      </c>
      <c r="H154" s="20" t="s">
        <v>37008</v>
      </c>
      <c r="I154" s="24"/>
    </row>
    <row r="155" spans="1:9" ht="14.5">
      <c r="A155" s="20" t="s">
        <v>37009</v>
      </c>
      <c r="B155" s="20">
        <v>70</v>
      </c>
      <c r="C155" s="20">
        <v>10</v>
      </c>
      <c r="D155" s="20">
        <v>80</v>
      </c>
      <c r="E155" s="24"/>
      <c r="F155" s="20" t="s">
        <v>37010</v>
      </c>
      <c r="G155" s="24" t="str">
        <f ca="1">IFERROR(__xludf.DUMMYFUNCTION("GOOGLETRANSLATE(F155,""en"",""pt"")"),"consultor de investigação local")</f>
        <v>consultor de investigação local</v>
      </c>
      <c r="H155" s="24"/>
      <c r="I155" s="24"/>
    </row>
    <row r="156" spans="1:9" ht="14.5">
      <c r="A156" s="20" t="s">
        <v>37011</v>
      </c>
      <c r="B156" s="20">
        <v>70</v>
      </c>
      <c r="C156" s="20">
        <v>10</v>
      </c>
      <c r="D156" s="20">
        <v>93</v>
      </c>
      <c r="E156" s="24"/>
      <c r="F156" s="20" t="s">
        <v>37012</v>
      </c>
      <c r="G156" s="24" t="str">
        <f ca="1">IFERROR(__xludf.DUMMYFUNCTION("GOOGLETRANSLATE(F156,""en"",""pt"")"),"agrimensor Utilities")</f>
        <v>agrimensor Utilities</v>
      </c>
      <c r="H156" s="24"/>
      <c r="I156" s="24"/>
    </row>
    <row r="157" spans="1:9" ht="14.5">
      <c r="A157" s="20" t="s">
        <v>37013</v>
      </c>
      <c r="B157" s="20">
        <v>70</v>
      </c>
      <c r="C157" s="20">
        <v>30</v>
      </c>
      <c r="D157" s="24"/>
      <c r="E157" s="24"/>
      <c r="F157" s="20" t="s">
        <v>37014</v>
      </c>
      <c r="G157" s="24" t="str">
        <f ca="1">IFERROR(__xludf.DUMMYFUNCTION("GOOGLETRANSLATE(F157,""en"",""pt"")"),"papéis ambientais e geológicos")</f>
        <v>papéis ambientais e geológicos</v>
      </c>
      <c r="H157" s="24"/>
      <c r="I157" s="24"/>
    </row>
    <row r="158" spans="1:9" ht="14.5">
      <c r="A158" s="20" t="s">
        <v>37015</v>
      </c>
      <c r="B158" s="20">
        <v>70</v>
      </c>
      <c r="C158" s="20">
        <v>30</v>
      </c>
      <c r="D158" s="20">
        <v>4</v>
      </c>
      <c r="E158" s="24"/>
      <c r="F158" s="20" t="s">
        <v>37016</v>
      </c>
      <c r="G158" s="24" t="str">
        <f ca="1">IFERROR(__xludf.DUMMYFUNCTION("GOOGLETRANSLATE(F158,""en"",""pt"")"),"Arqueólogo")</f>
        <v>Arqueólogo</v>
      </c>
      <c r="H158" s="24"/>
      <c r="I158" s="24"/>
    </row>
    <row r="159" spans="1:9" ht="14.5">
      <c r="A159" s="20" t="s">
        <v>37017</v>
      </c>
      <c r="B159" s="20">
        <v>70</v>
      </c>
      <c r="C159" s="20">
        <v>30</v>
      </c>
      <c r="D159" s="20">
        <v>27</v>
      </c>
      <c r="E159" s="24"/>
      <c r="F159" s="20" t="s">
        <v>37018</v>
      </c>
      <c r="G159" s="24" t="str">
        <f ca="1">IFERROR(__xludf.DUMMYFUNCTION("GOOGLETRANSLATE(F159,""en"",""pt"")"),"assessor ambiental")</f>
        <v>assessor ambiental</v>
      </c>
      <c r="H159" s="24"/>
      <c r="I159" s="24"/>
    </row>
    <row r="160" spans="1:9" ht="14.5">
      <c r="A160" s="20" t="s">
        <v>37019</v>
      </c>
      <c r="B160" s="20">
        <v>70</v>
      </c>
      <c r="C160" s="20">
        <v>30</v>
      </c>
      <c r="D160" s="20">
        <v>28</v>
      </c>
      <c r="E160" s="24"/>
      <c r="F160" s="20" t="s">
        <v>37020</v>
      </c>
      <c r="G160" s="24" t="str">
        <f ca="1">IFERROR(__xludf.DUMMYFUNCTION("GOOGLETRANSLATE(F160,""en"",""pt"")"),"consultor ambiental")</f>
        <v>consultor ambiental</v>
      </c>
      <c r="H160" s="24"/>
      <c r="I160" s="24"/>
    </row>
    <row r="161" spans="1:9" ht="14.5">
      <c r="A161" s="20" t="s">
        <v>37021</v>
      </c>
      <c r="B161" s="20">
        <v>70</v>
      </c>
      <c r="C161" s="20">
        <v>30</v>
      </c>
      <c r="D161" s="20">
        <v>35</v>
      </c>
      <c r="E161" s="24"/>
      <c r="F161" s="20" t="s">
        <v>37022</v>
      </c>
      <c r="G161" s="24" t="str">
        <f ca="1">IFERROR(__xludf.DUMMYFUNCTION("GOOGLETRANSLATE(F161,""en"",""pt"")"),"consultor de sistema de informação geográfica")</f>
        <v>consultor de sistema de informação geográfica</v>
      </c>
      <c r="H161" s="24"/>
      <c r="I161" s="24"/>
    </row>
    <row r="162" spans="1:9" ht="14.5">
      <c r="A162" s="20" t="s">
        <v>37023</v>
      </c>
      <c r="B162" s="20">
        <v>70</v>
      </c>
      <c r="C162" s="20">
        <v>30</v>
      </c>
      <c r="D162" s="20">
        <v>85</v>
      </c>
      <c r="E162" s="24"/>
      <c r="F162" s="20" t="s">
        <v>37024</v>
      </c>
      <c r="G162" s="24" t="str">
        <f ca="1">IFERROR(__xludf.DUMMYFUNCTION("GOOGLETRANSLATE(F162,""en"",""pt"")"),"consultor de sustentabilidade")</f>
        <v>consultor de sustentabilidade</v>
      </c>
      <c r="H162" s="24"/>
      <c r="I162" s="24"/>
    </row>
    <row r="163" spans="1:9" ht="14.5">
      <c r="A163" s="20" t="s">
        <v>37025</v>
      </c>
      <c r="B163" s="20">
        <v>70</v>
      </c>
      <c r="C163" s="20">
        <v>50</v>
      </c>
      <c r="D163" s="24"/>
      <c r="E163" s="24"/>
      <c r="F163" s="20" t="s">
        <v>37026</v>
      </c>
      <c r="G163" s="24" t="str">
        <f ca="1">IFERROR(__xludf.DUMMYFUNCTION("GOOGLETRANSLATE(F163,""en"",""pt"")"),"construção de comércios")</f>
        <v>construção de comércios</v>
      </c>
      <c r="H163" s="24"/>
      <c r="I163" s="24"/>
    </row>
    <row r="164" spans="1:9" ht="14.5">
      <c r="A164" s="20" t="s">
        <v>37027</v>
      </c>
      <c r="B164" s="20">
        <v>70</v>
      </c>
      <c r="C164" s="20">
        <v>50</v>
      </c>
      <c r="D164" s="20">
        <v>2</v>
      </c>
      <c r="E164" s="24"/>
      <c r="F164" s="20" t="s">
        <v>37028</v>
      </c>
      <c r="G164" s="24" t="str">
        <f ca="1">IFERROR(__xludf.DUMMYFUNCTION("GOOGLETRANSLATE(F164,""en"",""pt"")"),"instalador piso de acesso")</f>
        <v>instalador piso de acesso</v>
      </c>
      <c r="H164" s="24"/>
      <c r="I164" s="24"/>
    </row>
    <row r="165" spans="1:9" ht="14.5">
      <c r="A165" s="20" t="s">
        <v>37029</v>
      </c>
      <c r="B165" s="20">
        <v>70</v>
      </c>
      <c r="C165" s="20">
        <v>50</v>
      </c>
      <c r="D165" s="20">
        <v>7</v>
      </c>
      <c r="E165" s="24"/>
      <c r="F165" s="20" t="s">
        <v>37030</v>
      </c>
      <c r="G165" s="24" t="str">
        <f ca="1">IFERROR(__xludf.DUMMYFUNCTION("GOOGLETRANSLATE(F165,""en"",""pt"")"),"Pedreiro")</f>
        <v>Pedreiro</v>
      </c>
      <c r="H165" s="24"/>
      <c r="I165" s="24"/>
    </row>
    <row r="166" spans="1:9" ht="14.5">
      <c r="A166" s="20" t="s">
        <v>37031</v>
      </c>
      <c r="B166" s="20">
        <v>70</v>
      </c>
      <c r="C166" s="20">
        <v>50</v>
      </c>
      <c r="D166" s="20">
        <v>9</v>
      </c>
      <c r="E166" s="24"/>
      <c r="F166" s="20" t="s">
        <v>37032</v>
      </c>
      <c r="G166" s="24" t="str">
        <f ca="1">IFERROR(__xludf.DUMMYFUNCTION("GOOGLETRANSLATE(F166,""en"",""pt"")"),"trabalhador do construtor")</f>
        <v>trabalhador do construtor</v>
      </c>
      <c r="H166" s="24"/>
      <c r="I166" s="24"/>
    </row>
    <row r="167" spans="1:9" ht="14.5">
      <c r="A167" s="20" t="s">
        <v>37033</v>
      </c>
      <c r="B167" s="20">
        <v>70</v>
      </c>
      <c r="C167" s="20">
        <v>50</v>
      </c>
      <c r="D167" s="20">
        <v>10</v>
      </c>
      <c r="E167" s="24"/>
      <c r="F167" s="20" t="s">
        <v>37034</v>
      </c>
      <c r="G167" s="24" t="str">
        <f ca="1">IFERROR(__xludf.DUMMYFUNCTION("GOOGLETRANSLATE(F167,""en"",""pt"")"),"instalador isolamento edifício")</f>
        <v>instalador isolamento edifício</v>
      </c>
      <c r="H167" s="24"/>
      <c r="I167" s="24"/>
    </row>
    <row r="168" spans="1:9" ht="14.5">
      <c r="A168" s="20" t="s">
        <v>37035</v>
      </c>
      <c r="B168" s="20">
        <v>70</v>
      </c>
      <c r="C168" s="20">
        <v>50</v>
      </c>
      <c r="D168" s="20">
        <v>12</v>
      </c>
      <c r="E168" s="24"/>
      <c r="F168" s="20" t="s">
        <v>37036</v>
      </c>
      <c r="G168" s="24" t="str">
        <f ca="1">IFERROR(__xludf.DUMMYFUNCTION("GOOGLETRANSLATE(F168,""en"",""pt"")"),"Carpinteiro")</f>
        <v>Carpinteiro</v>
      </c>
      <c r="H168" s="24"/>
      <c r="I168" s="24"/>
    </row>
    <row r="169" spans="1:9" ht="14.5">
      <c r="A169" s="20" t="s">
        <v>37037</v>
      </c>
      <c r="B169" s="20">
        <v>70</v>
      </c>
      <c r="C169" s="20">
        <v>50</v>
      </c>
      <c r="D169" s="20">
        <v>14</v>
      </c>
      <c r="E169" s="24"/>
      <c r="F169" s="20" t="s">
        <v>37038</v>
      </c>
      <c r="G169" s="24" t="str">
        <f ca="1">IFERROR(__xludf.DUMMYFUNCTION("GOOGLETRANSLATE(F169,""en"",""pt"")"),"montador Carpet")</f>
        <v>montador Carpet</v>
      </c>
      <c r="H169" s="24"/>
      <c r="I169" s="24"/>
    </row>
    <row r="170" spans="1:9" ht="14.5">
      <c r="A170" s="20" t="s">
        <v>37039</v>
      </c>
      <c r="B170" s="20">
        <v>70</v>
      </c>
      <c r="C170" s="20">
        <v>50</v>
      </c>
      <c r="D170" s="20">
        <v>16</v>
      </c>
      <c r="E170" s="24"/>
      <c r="F170" s="20" t="s">
        <v>37040</v>
      </c>
      <c r="G170" s="24" t="str">
        <f ca="1">IFERROR(__xludf.DUMMYFUNCTION("GOOGLETRANSLATE(F170,""en"",""pt"")"),"instalador de teto")</f>
        <v>instalador de teto</v>
      </c>
      <c r="H170" s="24"/>
      <c r="I170" s="24"/>
    </row>
    <row r="171" spans="1:9" ht="14.5">
      <c r="A171" s="20" t="s">
        <v>37041</v>
      </c>
      <c r="B171" s="20">
        <v>70</v>
      </c>
      <c r="C171" s="20">
        <v>50</v>
      </c>
      <c r="D171" s="20">
        <v>17</v>
      </c>
      <c r="E171" s="24"/>
      <c r="F171" s="20" t="s">
        <v>37042</v>
      </c>
      <c r="G171" s="24" t="str">
        <f ca="1">IFERROR(__xludf.DUMMYFUNCTION("GOOGLETRANSLATE(F171,""en"",""pt"")"),"renderizador de cimento")</f>
        <v>renderizador de cimento</v>
      </c>
      <c r="H171" s="24"/>
      <c r="I171" s="24"/>
    </row>
    <row r="172" spans="1:9" ht="14.5">
      <c r="A172" s="20" t="s">
        <v>37043</v>
      </c>
      <c r="B172" s="20">
        <v>70</v>
      </c>
      <c r="C172" s="20">
        <v>50</v>
      </c>
      <c r="D172" s="20">
        <v>18</v>
      </c>
      <c r="E172" s="24"/>
      <c r="F172" s="20" t="s">
        <v>37044</v>
      </c>
      <c r="G172" s="24" t="str">
        <f ca="1">IFERROR(__xludf.DUMMYFUNCTION("GOOGLETRANSLATE(F172,""en"",""pt"")"),"instalador revestimento")</f>
        <v>instalador revestimento</v>
      </c>
      <c r="H172" s="24"/>
      <c r="I172" s="24"/>
    </row>
    <row r="173" spans="1:9" ht="14.5">
      <c r="A173" s="20" t="s">
        <v>37045</v>
      </c>
      <c r="B173" s="20">
        <v>70</v>
      </c>
      <c r="C173" s="20">
        <v>50</v>
      </c>
      <c r="D173" s="20">
        <v>20</v>
      </c>
      <c r="E173" s="24"/>
      <c r="F173" s="20" t="s">
        <v>37046</v>
      </c>
      <c r="G173" s="24" t="str">
        <f ca="1">IFERROR(__xludf.DUMMYFUNCTION("GOOGLETRANSLATE(F173,""en"",""pt"")"),"rigger construção")</f>
        <v>rigger construção</v>
      </c>
      <c r="H173" s="24"/>
      <c r="I173" s="24"/>
    </row>
    <row r="174" spans="1:9" ht="14.5">
      <c r="A174" s="20" t="s">
        <v>37047</v>
      </c>
      <c r="B174" s="20">
        <v>70</v>
      </c>
      <c r="C174" s="20">
        <v>50</v>
      </c>
      <c r="D174" s="20">
        <v>22</v>
      </c>
      <c r="E174" s="24"/>
      <c r="F174" s="20" t="s">
        <v>37048</v>
      </c>
      <c r="G174" s="24" t="str">
        <f ca="1">IFERROR(__xludf.DUMMYFUNCTION("GOOGLETRANSLATE(F174,""en"",""pt"")"),"Operador de guindaste")</f>
        <v>Operador de guindaste</v>
      </c>
      <c r="H174" s="24"/>
      <c r="I174" s="24"/>
    </row>
    <row r="175" spans="1:9" ht="14.5">
      <c r="A175" s="20" t="s">
        <v>37049</v>
      </c>
      <c r="B175" s="20">
        <v>70</v>
      </c>
      <c r="C175" s="20">
        <v>50</v>
      </c>
      <c r="D175" s="20">
        <v>26</v>
      </c>
      <c r="E175" s="24"/>
      <c r="F175" s="20" t="s">
        <v>37050</v>
      </c>
      <c r="G175" s="24" t="str">
        <f ca="1">IFERROR(__xludf.DUMMYFUNCTION("GOOGLETRANSLATE(F175,""en"",""pt"")"),"trabalhador terraplanagem")</f>
        <v>trabalhador terraplanagem</v>
      </c>
      <c r="H175" s="24"/>
      <c r="I175" s="24"/>
    </row>
    <row r="176" spans="1:9" ht="14.5">
      <c r="A176" s="20" t="s">
        <v>37051</v>
      </c>
      <c r="B176" s="20">
        <v>70</v>
      </c>
      <c r="C176" s="20">
        <v>50</v>
      </c>
      <c r="D176" s="20">
        <v>30</v>
      </c>
      <c r="E176" s="24"/>
      <c r="F176" s="20" t="s">
        <v>37052</v>
      </c>
      <c r="G176" s="24" t="str">
        <f ca="1">IFERROR(__xludf.DUMMYFUNCTION("GOOGLETRANSLATE(F176,""en"",""pt"")"),"instalador esgrima")</f>
        <v>instalador esgrima</v>
      </c>
      <c r="H176" s="24"/>
      <c r="I176" s="24"/>
    </row>
    <row r="177" spans="1:9" ht="14.5">
      <c r="A177" s="20" t="s">
        <v>37053</v>
      </c>
      <c r="B177" s="20">
        <v>70</v>
      </c>
      <c r="C177" s="20">
        <v>50</v>
      </c>
      <c r="D177" s="20">
        <v>32</v>
      </c>
      <c r="E177" s="24"/>
      <c r="F177" s="20" t="s">
        <v>37054</v>
      </c>
      <c r="G177" s="24" t="str">
        <f ca="1">IFERROR(__xludf.DUMMYFUNCTION("GOOGLETRANSLATE(F177,""en"",""pt"")"),"instalador de pisos")</f>
        <v>instalador de pisos</v>
      </c>
      <c r="H177" s="24"/>
      <c r="I177" s="24"/>
    </row>
    <row r="178" spans="1:9" ht="14.5">
      <c r="A178" s="20" t="s">
        <v>37055</v>
      </c>
      <c r="B178" s="20">
        <v>70</v>
      </c>
      <c r="C178" s="20">
        <v>50</v>
      </c>
      <c r="D178" s="20">
        <v>34</v>
      </c>
      <c r="E178" s="24"/>
      <c r="F178" s="20" t="s">
        <v>37056</v>
      </c>
      <c r="G178" s="24" t="str">
        <f ca="1">IFERROR(__xludf.DUMMYFUNCTION("GOOGLETRANSLATE(F178,""en"",""pt"")"),"Vidraceiro")</f>
        <v>Vidraceiro</v>
      </c>
      <c r="H178" s="24"/>
      <c r="I178" s="24"/>
    </row>
    <row r="179" spans="1:9" ht="14.5">
      <c r="A179" s="20" t="s">
        <v>37057</v>
      </c>
      <c r="B179" s="20">
        <v>70</v>
      </c>
      <c r="C179" s="20">
        <v>50</v>
      </c>
      <c r="D179" s="20">
        <v>37</v>
      </c>
      <c r="E179" s="24"/>
      <c r="F179" s="20" t="s">
        <v>37058</v>
      </c>
      <c r="G179" s="24" t="str">
        <f ca="1">IFERROR(__xludf.DUMMYFUNCTION("GOOGLETRANSLATE(F179,""en"",""pt"")"),"operador de grua")</f>
        <v>operador de grua</v>
      </c>
      <c r="H179" s="24"/>
      <c r="I179" s="24"/>
    </row>
    <row r="180" spans="1:9" ht="14.5">
      <c r="A180" s="20" t="s">
        <v>37059</v>
      </c>
      <c r="B180" s="20">
        <v>70</v>
      </c>
      <c r="C180" s="20">
        <v>50</v>
      </c>
      <c r="D180" s="20">
        <v>44</v>
      </c>
      <c r="E180" s="24"/>
      <c r="F180" s="20" t="s">
        <v>37060</v>
      </c>
      <c r="G180" s="24" t="str">
        <f ca="1">IFERROR(__xludf.DUMMYFUNCTION("GOOGLETRANSLATE(F180,""en"",""pt"")"),"Marceneiro")</f>
        <v>Marceneiro</v>
      </c>
      <c r="H180" s="24"/>
      <c r="I180" s="24"/>
    </row>
    <row r="181" spans="1:9" ht="14.5">
      <c r="A181" s="20" t="s">
        <v>37061</v>
      </c>
      <c r="B181" s="20">
        <v>70</v>
      </c>
      <c r="C181" s="20">
        <v>50</v>
      </c>
      <c r="D181" s="20">
        <v>45</v>
      </c>
      <c r="E181" s="24"/>
      <c r="F181" s="20" t="s">
        <v>37062</v>
      </c>
      <c r="G181" s="24" t="str">
        <f ca="1">IFERROR(__xludf.DUMMYFUNCTION("GOOGLETRANSLATE(F181,""en"",""pt"")"),"instalador paisagem")</f>
        <v>instalador paisagem</v>
      </c>
      <c r="H181" s="24"/>
      <c r="I181" s="24"/>
    </row>
    <row r="182" spans="1:9" ht="14.5">
      <c r="A182" s="20" t="s">
        <v>37063</v>
      </c>
      <c r="B182" s="20">
        <v>70</v>
      </c>
      <c r="C182" s="20">
        <v>50</v>
      </c>
      <c r="D182" s="20">
        <v>46</v>
      </c>
      <c r="E182" s="24"/>
      <c r="F182" s="20" t="s">
        <v>37064</v>
      </c>
      <c r="G182" s="24" t="str">
        <f ca="1">IFERROR(__xludf.DUMMYFUNCTION("GOOGLETRANSLATE(F182,""en"",""pt"")"),"Paisagem operatório manutenção")</f>
        <v>Paisagem operatório manutenção</v>
      </c>
      <c r="H182" s="24"/>
      <c r="I182" s="24"/>
    </row>
    <row r="183" spans="1:9" ht="14.5">
      <c r="A183" s="20" t="s">
        <v>37065</v>
      </c>
      <c r="B183" s="20">
        <v>70</v>
      </c>
      <c r="C183" s="20">
        <v>50</v>
      </c>
      <c r="D183" s="20">
        <v>47</v>
      </c>
      <c r="E183" s="24"/>
      <c r="F183" s="20" t="s">
        <v>37066</v>
      </c>
      <c r="G183" s="24" t="str">
        <f ca="1">IFERROR(__xludf.DUMMYFUNCTION("GOOGLETRANSLATE(F183,""en"",""pt"")"),"operador elevador")</f>
        <v>operador elevador</v>
      </c>
      <c r="H183" s="24"/>
      <c r="I183" s="24"/>
    </row>
    <row r="184" spans="1:9" ht="14.5">
      <c r="A184" s="20" t="s">
        <v>37067</v>
      </c>
      <c r="B184" s="20">
        <v>70</v>
      </c>
      <c r="C184" s="20">
        <v>50</v>
      </c>
      <c r="D184" s="20">
        <v>60</v>
      </c>
      <c r="E184" s="24"/>
      <c r="F184" s="20" t="s">
        <v>37068</v>
      </c>
      <c r="G184" s="24" t="str">
        <f ca="1">IFERROR(__xludf.DUMMYFUNCTION("GOOGLETRANSLATE(F184,""en"",""pt"")"),"Pintor e decorador")</f>
        <v>Pintor e decorador</v>
      </c>
      <c r="H184" s="24"/>
      <c r="I184" s="24"/>
    </row>
    <row r="185" spans="1:9" ht="14.5">
      <c r="A185" s="20" t="s">
        <v>37069</v>
      </c>
      <c r="B185" s="20">
        <v>70</v>
      </c>
      <c r="C185" s="20">
        <v>50</v>
      </c>
      <c r="D185" s="20">
        <v>61</v>
      </c>
      <c r="E185" s="24"/>
      <c r="F185" s="20" t="s">
        <v>37070</v>
      </c>
      <c r="G185" s="24" t="str">
        <f ca="1">IFERROR(__xludf.DUMMYFUNCTION("GOOGLETRANSLATE(F185,""en"",""pt"")"),"instalador partição")</f>
        <v>instalador partição</v>
      </c>
      <c r="H185" s="24"/>
      <c r="I185" s="24"/>
    </row>
    <row r="186" spans="1:9" ht="14.5">
      <c r="A186" s="20" t="s">
        <v>37071</v>
      </c>
      <c r="B186" s="20">
        <v>70</v>
      </c>
      <c r="C186" s="20">
        <v>50</v>
      </c>
      <c r="D186" s="20">
        <v>62</v>
      </c>
      <c r="E186" s="24"/>
      <c r="F186" s="20" t="s">
        <v>37072</v>
      </c>
      <c r="G186" s="24" t="str">
        <f ca="1">IFERROR(__xludf.DUMMYFUNCTION("GOOGLETRANSLATE(F186,""en"",""pt"")"),"Pavimentação e pavimentação instalador")</f>
        <v>Pavimentação e pavimentação instalador</v>
      </c>
      <c r="H186" s="24"/>
      <c r="I186" s="24"/>
    </row>
    <row r="187" spans="1:9" ht="14.5">
      <c r="A187" s="20" t="s">
        <v>37073</v>
      </c>
      <c r="B187" s="20">
        <v>70</v>
      </c>
      <c r="C187" s="20">
        <v>50</v>
      </c>
      <c r="D187" s="20">
        <v>65</v>
      </c>
      <c r="E187" s="24"/>
      <c r="F187" s="20" t="s">
        <v>37074</v>
      </c>
      <c r="G187" s="24" t="str">
        <f ca="1">IFERROR(__xludf.DUMMYFUNCTION("GOOGLETRANSLATE(F187,""en"",""pt"")"),"estucador")</f>
        <v>estucador</v>
      </c>
      <c r="H187" s="24"/>
      <c r="I187" s="24"/>
    </row>
    <row r="188" spans="1:9" ht="14.5">
      <c r="A188" s="20" t="s">
        <v>37075</v>
      </c>
      <c r="B188" s="20">
        <v>70</v>
      </c>
      <c r="C188" s="20">
        <v>50</v>
      </c>
      <c r="D188" s="20">
        <v>72</v>
      </c>
      <c r="E188" s="24"/>
      <c r="F188" s="20" t="s">
        <v>37076</v>
      </c>
      <c r="G188" s="24" t="str">
        <f ca="1">IFERROR(__xludf.DUMMYFUNCTION("GOOGLETRANSLATE(F188,""en"",""pt"")"),"Roofer")</f>
        <v>Roofer</v>
      </c>
      <c r="H188" s="24"/>
      <c r="I188" s="24"/>
    </row>
    <row r="189" spans="1:9" ht="14.5">
      <c r="A189" s="20" t="s">
        <v>37077</v>
      </c>
      <c r="B189" s="20">
        <v>70</v>
      </c>
      <c r="C189" s="20">
        <v>50</v>
      </c>
      <c r="D189" s="20">
        <v>76</v>
      </c>
      <c r="E189" s="24"/>
      <c r="F189" s="20" t="s">
        <v>37078</v>
      </c>
      <c r="G189" s="24" t="str">
        <f ca="1">IFERROR(__xludf.DUMMYFUNCTION("GOOGLETRANSLATE(F189,""en"",""pt"")"),"scaffolder")</f>
        <v>scaffolder</v>
      </c>
      <c r="H189" s="24"/>
      <c r="I189" s="24"/>
    </row>
    <row r="190" spans="1:9" ht="14.5">
      <c r="A190" s="20" t="s">
        <v>37079</v>
      </c>
      <c r="B190" s="20">
        <v>70</v>
      </c>
      <c r="C190" s="20">
        <v>50</v>
      </c>
      <c r="D190" s="20">
        <v>83</v>
      </c>
      <c r="E190" s="24"/>
      <c r="F190" s="20" t="s">
        <v>37080</v>
      </c>
      <c r="G190" s="24" t="str">
        <f ca="1">IFERROR(__xludf.DUMMYFUNCTION("GOOGLETRANSLATE(F190,""en"",""pt"")"),"montador de aço")</f>
        <v>montador de aço</v>
      </c>
      <c r="H190" s="24"/>
      <c r="I190" s="24"/>
    </row>
    <row r="191" spans="1:9" ht="14.5">
      <c r="A191" s="20" t="s">
        <v>37081</v>
      </c>
      <c r="B191" s="20">
        <v>70</v>
      </c>
      <c r="C191" s="20">
        <v>50</v>
      </c>
      <c r="D191" s="20">
        <v>84</v>
      </c>
      <c r="E191" s="24"/>
      <c r="F191" s="20" t="s">
        <v>37082</v>
      </c>
      <c r="G191" s="24" t="str">
        <f ca="1">IFERROR(__xludf.DUMMYFUNCTION("GOOGLETRANSLATE(F191,""en"",""pt"")"),"Fixador de aço")</f>
        <v>Fixador de aço</v>
      </c>
      <c r="H191" s="24"/>
      <c r="I191" s="24"/>
    </row>
    <row r="192" spans="1:9" ht="14.5">
      <c r="A192" s="20" t="s">
        <v>37083</v>
      </c>
      <c r="B192" s="20">
        <v>70</v>
      </c>
      <c r="C192" s="20">
        <v>50</v>
      </c>
      <c r="D192" s="20">
        <v>85</v>
      </c>
      <c r="E192" s="24"/>
      <c r="F192" s="20" t="s">
        <v>37084</v>
      </c>
      <c r="G192" s="24" t="str">
        <f ca="1">IFERROR(__xludf.DUMMYFUNCTION("GOOGLETRANSLATE(F192,""en"",""pt"")"),"pedreiro")</f>
        <v>pedreiro</v>
      </c>
      <c r="H192" s="24"/>
      <c r="I192" s="24"/>
    </row>
    <row r="193" spans="1:9" ht="14.5">
      <c r="A193" s="20" t="s">
        <v>37085</v>
      </c>
      <c r="B193" s="20">
        <v>70</v>
      </c>
      <c r="C193" s="20">
        <v>50</v>
      </c>
      <c r="D193" s="20">
        <v>88</v>
      </c>
      <c r="E193" s="24"/>
      <c r="F193" s="20" t="s">
        <v>37086</v>
      </c>
      <c r="G193" s="24" t="str">
        <f ca="1">IFERROR(__xludf.DUMMYFUNCTION("GOOGLETRANSLATE(F193,""en"",""pt"")"),"telhador")</f>
        <v>telhador</v>
      </c>
      <c r="H193" s="24"/>
      <c r="I193" s="24"/>
    </row>
    <row r="194" spans="1:9" ht="14.5">
      <c r="A194" s="20" t="s">
        <v>37087</v>
      </c>
      <c r="B194" s="20">
        <v>70</v>
      </c>
      <c r="C194" s="20">
        <v>60</v>
      </c>
      <c r="D194" s="24"/>
      <c r="E194" s="24"/>
      <c r="F194" s="20" t="s">
        <v>37088</v>
      </c>
      <c r="G194" s="24" t="str">
        <f ca="1">IFERROR(__xludf.DUMMYFUNCTION("GOOGLETRANSLATE(F194,""en"",""pt"")"),"Serviços comércios")</f>
        <v>Serviços comércios</v>
      </c>
      <c r="H194" s="24"/>
      <c r="I194" s="24"/>
    </row>
    <row r="195" spans="1:9" ht="14.5">
      <c r="A195" s="20" t="s">
        <v>37089</v>
      </c>
      <c r="B195" s="20">
        <v>70</v>
      </c>
      <c r="C195" s="20">
        <v>60</v>
      </c>
      <c r="D195" s="20">
        <v>10</v>
      </c>
      <c r="E195" s="24"/>
      <c r="F195" s="20" t="s">
        <v>37090</v>
      </c>
      <c r="G195" s="24" t="str">
        <f ca="1">IFERROR(__xludf.DUMMYFUNCTION("GOOGLETRANSLATE(F195,""en"",""pt"")"),"camada de cabo")</f>
        <v>camada de cabo</v>
      </c>
      <c r="H195" s="24"/>
      <c r="I195" s="24"/>
    </row>
    <row r="196" spans="1:9" ht="14.5">
      <c r="A196" s="20" t="s">
        <v>37091</v>
      </c>
      <c r="B196" s="20">
        <v>70</v>
      </c>
      <c r="C196" s="20">
        <v>60</v>
      </c>
      <c r="D196" s="20">
        <v>12</v>
      </c>
      <c r="E196" s="24"/>
      <c r="F196" s="20" t="s">
        <v>37092</v>
      </c>
      <c r="G196" s="24" t="str">
        <f ca="1">IFERROR(__xludf.DUMMYFUNCTION("GOOGLETRANSLATE(F196,""en"",""pt"")"),"instalador CCTV")</f>
        <v>instalador CCTV</v>
      </c>
      <c r="H196" s="24"/>
      <c r="I196" s="24"/>
    </row>
    <row r="197" spans="1:9" ht="14.5">
      <c r="A197" s="20" t="s">
        <v>37093</v>
      </c>
      <c r="B197" s="20">
        <v>70</v>
      </c>
      <c r="C197" s="20">
        <v>60</v>
      </c>
      <c r="D197" s="20">
        <v>25</v>
      </c>
      <c r="E197" s="24"/>
      <c r="F197" s="20" t="s">
        <v>37094</v>
      </c>
      <c r="G197" s="24" t="str">
        <f ca="1">IFERROR(__xludf.DUMMYFUNCTION("GOOGLETRANSLATE(F197,""en"",""pt"")"),"instalador ductwork")</f>
        <v>instalador ductwork</v>
      </c>
      <c r="H197" s="24"/>
      <c r="I197" s="24"/>
    </row>
    <row r="198" spans="1:9" ht="14.5">
      <c r="A198" s="20" t="s">
        <v>37095</v>
      </c>
      <c r="B198" s="20">
        <v>70</v>
      </c>
      <c r="C198" s="20">
        <v>60</v>
      </c>
      <c r="D198" s="20">
        <v>27</v>
      </c>
      <c r="E198" s="24"/>
      <c r="F198" s="20" t="s">
        <v>37096</v>
      </c>
      <c r="G198" s="24" t="str">
        <f ca="1">IFERROR(__xludf.DUMMYFUNCTION("GOOGLETRANSLATE(F198,""en"",""pt"")"),"Eletricista")</f>
        <v>Eletricista</v>
      </c>
      <c r="H198" s="24"/>
      <c r="I198" s="24"/>
    </row>
    <row r="199" spans="1:9" ht="14.5">
      <c r="A199" s="20" t="s">
        <v>37097</v>
      </c>
      <c r="B199" s="20">
        <v>70</v>
      </c>
      <c r="C199" s="20">
        <v>60</v>
      </c>
      <c r="D199" s="20">
        <v>30</v>
      </c>
      <c r="E199" s="24"/>
      <c r="F199" s="20" t="s">
        <v>37098</v>
      </c>
      <c r="G199" s="24" t="str">
        <f ca="1">IFERROR(__xludf.DUMMYFUNCTION("GOOGLETRANSLATE(F199,""en"",""pt"")"),"instalador de detecção e alarme de incêndios")</f>
        <v>instalador de detecção e alarme de incêndios</v>
      </c>
      <c r="H199" s="24"/>
      <c r="I199" s="24"/>
    </row>
    <row r="200" spans="1:9" ht="14.5">
      <c r="A200" s="20" t="s">
        <v>37099</v>
      </c>
      <c r="B200" s="20">
        <v>70</v>
      </c>
      <c r="C200" s="20">
        <v>60</v>
      </c>
      <c r="D200" s="20">
        <v>33</v>
      </c>
      <c r="E200" s="24"/>
      <c r="F200" s="20" t="s">
        <v>37100</v>
      </c>
      <c r="G200" s="24" t="str">
        <f ca="1">IFERROR(__xludf.DUMMYFUNCTION("GOOGLETRANSLATE(F200,""en"",""pt"")"),"instalador de gás")</f>
        <v>instalador de gás</v>
      </c>
      <c r="H200" s="24"/>
      <c r="I200" s="24"/>
    </row>
    <row r="201" spans="1:9" ht="14.5">
      <c r="A201" s="20" t="s">
        <v>37101</v>
      </c>
      <c r="B201" s="20">
        <v>70</v>
      </c>
      <c r="C201" s="20">
        <v>60</v>
      </c>
      <c r="D201" s="20">
        <v>47</v>
      </c>
      <c r="E201" s="24"/>
      <c r="F201" s="20" t="s">
        <v>37102</v>
      </c>
      <c r="G201" s="24" t="str">
        <f ca="1">IFERROR(__xludf.DUMMYFUNCTION("GOOGLETRANSLATE(F201,""en"",""pt"")"),"instalador de ascensores")</f>
        <v>instalador de ascensores</v>
      </c>
      <c r="H201" s="24"/>
      <c r="I201" s="24"/>
    </row>
    <row r="202" spans="1:9" ht="14.5">
      <c r="A202" s="20" t="s">
        <v>37103</v>
      </c>
      <c r="B202" s="20">
        <v>70</v>
      </c>
      <c r="C202" s="20">
        <v>60</v>
      </c>
      <c r="D202" s="20">
        <v>63</v>
      </c>
      <c r="E202" s="24"/>
      <c r="F202" s="20" t="s">
        <v>37104</v>
      </c>
      <c r="G202" s="24" t="str">
        <f ca="1">IFERROR(__xludf.DUMMYFUNCTION("GOOGLETRANSLATE(F202,""en"",""pt"")"),"ajustador de tubulação")</f>
        <v>ajustador de tubulação</v>
      </c>
      <c r="H202" s="24"/>
      <c r="I202" s="24"/>
    </row>
    <row r="203" spans="1:9" ht="14.5">
      <c r="A203" s="20" t="s">
        <v>37105</v>
      </c>
      <c r="B203" s="20">
        <v>70</v>
      </c>
      <c r="C203" s="20">
        <v>60</v>
      </c>
      <c r="D203" s="20">
        <v>66</v>
      </c>
      <c r="E203" s="24"/>
      <c r="F203" s="20" t="s">
        <v>37106</v>
      </c>
      <c r="G203" s="24" t="str">
        <f ca="1">IFERROR(__xludf.DUMMYFUNCTION("GOOGLETRANSLATE(F203,""en"",""pt"")"),"Encanador")</f>
        <v>Encanador</v>
      </c>
      <c r="H203" s="24"/>
      <c r="I203" s="24"/>
    </row>
    <row r="204" spans="1:9" ht="14.5">
      <c r="A204" s="20" t="s">
        <v>37107</v>
      </c>
      <c r="B204" s="20">
        <v>70</v>
      </c>
      <c r="C204" s="20">
        <v>60</v>
      </c>
      <c r="D204" s="20">
        <v>77</v>
      </c>
      <c r="E204" s="24"/>
      <c r="F204" s="20" t="s">
        <v>37108</v>
      </c>
      <c r="G204" s="24" t="str">
        <f ca="1">IFERROR(__xludf.DUMMYFUNCTION("GOOGLETRANSLATE(F204,""en"",""pt"")"),"instalador do sistema de alarme de segurança")</f>
        <v>instalador do sistema de alarme de segurança</v>
      </c>
      <c r="H204" s="24"/>
      <c r="I204" s="24"/>
    </row>
    <row r="205" spans="1:9" ht="14.5">
      <c r="A205" s="20" t="s">
        <v>37109</v>
      </c>
      <c r="B205" s="20">
        <v>70</v>
      </c>
      <c r="C205" s="20">
        <v>60</v>
      </c>
      <c r="D205" s="20">
        <v>78</v>
      </c>
      <c r="E205" s="24"/>
      <c r="F205" s="20" t="s">
        <v>37110</v>
      </c>
      <c r="G205" s="24" t="str">
        <f ca="1">IFERROR(__xludf.DUMMYFUNCTION("GOOGLETRANSLATE(F205,""en"",""pt"")"),"intaller isolamento serviços")</f>
        <v>intaller isolamento serviços</v>
      </c>
      <c r="H205" s="24"/>
      <c r="I205" s="24"/>
    </row>
    <row r="206" spans="1:9" ht="14.5">
      <c r="A206" s="20" t="s">
        <v>37111</v>
      </c>
      <c r="B206" s="20">
        <v>70</v>
      </c>
      <c r="C206" s="20">
        <v>60</v>
      </c>
      <c r="D206" s="20">
        <v>81</v>
      </c>
      <c r="E206" s="24"/>
      <c r="F206" s="20" t="s">
        <v>37112</v>
      </c>
      <c r="G206" s="24" t="str">
        <f ca="1">IFERROR(__xludf.DUMMYFUNCTION("GOOGLETRANSLATE(F206,""en"",""pt"")"),"instalador do sistema de extinção de incêndios")</f>
        <v>instalador do sistema de extinção de incêndios</v>
      </c>
      <c r="H206" s="24"/>
      <c r="I206" s="24"/>
    </row>
    <row r="207" spans="1:9" ht="14.5">
      <c r="A207" s="20" t="s">
        <v>37113</v>
      </c>
      <c r="B207" s="20">
        <v>70</v>
      </c>
      <c r="C207" s="20">
        <v>60</v>
      </c>
      <c r="D207" s="20">
        <v>87</v>
      </c>
      <c r="E207" s="24"/>
      <c r="F207" s="20" t="s">
        <v>37114</v>
      </c>
      <c r="G207" s="24" t="str">
        <f ca="1">IFERROR(__xludf.DUMMYFUNCTION("GOOGLETRANSLATE(F207,""en"",""pt"")"),"instalador de telecomunicações")</f>
        <v>instalador de telecomunicações</v>
      </c>
      <c r="H207" s="24"/>
      <c r="I207" s="24"/>
    </row>
    <row r="208" spans="1:9" ht="14.5">
      <c r="A208" s="20" t="s">
        <v>37115</v>
      </c>
      <c r="B208" s="20">
        <v>70</v>
      </c>
      <c r="C208" s="20">
        <v>60</v>
      </c>
      <c r="D208" s="20">
        <v>96</v>
      </c>
      <c r="E208" s="24"/>
      <c r="F208" s="20" t="s">
        <v>37116</v>
      </c>
      <c r="G208" s="24" t="str">
        <f ca="1">IFERROR(__xludf.DUMMYFUNCTION("GOOGLETRANSLATE(F208,""en"",""pt"")"),"Soldador")</f>
        <v>Soldador</v>
      </c>
      <c r="H208" s="24"/>
      <c r="I208" s="24"/>
    </row>
    <row r="209" spans="1:9" ht="14.5">
      <c r="A209" s="20" t="s">
        <v>37117</v>
      </c>
      <c r="B209" s="20">
        <v>70</v>
      </c>
      <c r="C209" s="20">
        <v>65</v>
      </c>
      <c r="D209" s="24"/>
      <c r="E209" s="24"/>
      <c r="F209" s="20" t="s">
        <v>37118</v>
      </c>
      <c r="G209" s="24" t="str">
        <f ca="1">IFERROR(__xludf.DUMMYFUNCTION("GOOGLETRANSLATE(F209,""en"",""pt"")"),"funções de gestão do Site")</f>
        <v>funções de gestão do Site</v>
      </c>
      <c r="H209" s="24"/>
      <c r="I209" s="24"/>
    </row>
    <row r="210" spans="1:9" ht="14.5">
      <c r="A210" s="20" t="s">
        <v>37119</v>
      </c>
      <c r="B210" s="20">
        <v>70</v>
      </c>
      <c r="C210" s="20">
        <v>65</v>
      </c>
      <c r="D210" s="20">
        <v>66</v>
      </c>
      <c r="E210" s="24"/>
      <c r="F210" s="20" t="s">
        <v>37120</v>
      </c>
      <c r="G210" s="24" t="str">
        <f ca="1">IFERROR(__xludf.DUMMYFUNCTION("GOOGLETRANSLATE(F210,""en"",""pt"")"),"oficial de proteção")</f>
        <v>oficial de proteção</v>
      </c>
      <c r="H210" s="24"/>
      <c r="I210" s="24"/>
    </row>
    <row r="211" spans="1:9" ht="14.5">
      <c r="A211" s="20" t="s">
        <v>37121</v>
      </c>
      <c r="B211" s="20">
        <v>70</v>
      </c>
      <c r="C211" s="20">
        <v>65</v>
      </c>
      <c r="D211" s="20">
        <v>79</v>
      </c>
      <c r="E211" s="24"/>
      <c r="F211" s="20" t="s">
        <v>37122</v>
      </c>
      <c r="G211" s="24" t="str">
        <f ca="1">IFERROR(__xludf.DUMMYFUNCTION("GOOGLETRANSLATE(F211,""en"",""pt"")"),"técnico de sinalização")</f>
        <v>técnico de sinalização</v>
      </c>
      <c r="H211" s="24"/>
      <c r="I211" s="24"/>
    </row>
    <row r="212" spans="1:9" ht="14.5">
      <c r="A212" s="20" t="s">
        <v>37123</v>
      </c>
      <c r="B212" s="20">
        <v>70</v>
      </c>
      <c r="C212" s="20">
        <v>70</v>
      </c>
      <c r="D212" s="24"/>
      <c r="E212" s="24"/>
      <c r="F212" s="20" t="s">
        <v>37124</v>
      </c>
      <c r="G212" s="24" t="str">
        <f ca="1">IFERROR(__xludf.DUMMYFUNCTION("GOOGLETRANSLATE(F212,""en"",""pt"")"),"papéis ferroviárias e rodoviárias")</f>
        <v>papéis ferroviárias e rodoviárias</v>
      </c>
      <c r="H212" s="24"/>
      <c r="I212" s="24"/>
    </row>
    <row r="213" spans="1:9" ht="14.5">
      <c r="A213" s="20" t="s">
        <v>37125</v>
      </c>
      <c r="B213" s="20">
        <v>70</v>
      </c>
      <c r="C213" s="20">
        <v>70</v>
      </c>
      <c r="D213" s="20">
        <v>37</v>
      </c>
      <c r="E213" s="24"/>
      <c r="F213" s="20" t="s">
        <v>37126</v>
      </c>
      <c r="G213" s="24" t="str">
        <f ca="1">IFERROR(__xludf.DUMMYFUNCTION("GOOGLETRANSLATE(F213,""en"",""pt"")"),"rodovias operativa")</f>
        <v>rodovias operativa</v>
      </c>
      <c r="H213" s="24"/>
      <c r="I213" s="24"/>
    </row>
    <row r="214" spans="1:9" ht="14.5">
      <c r="A214" s="20" t="s">
        <v>37127</v>
      </c>
      <c r="B214" s="20">
        <v>70</v>
      </c>
      <c r="C214" s="20">
        <v>70</v>
      </c>
      <c r="D214" s="20">
        <v>68</v>
      </c>
      <c r="E214" s="24"/>
      <c r="F214" s="20" t="s">
        <v>37128</v>
      </c>
      <c r="G214" s="24" t="str">
        <f ca="1">IFERROR(__xludf.DUMMYFUNCTION("GOOGLETRANSLATE(F214,""en"",""pt"")"),"Rail trabalhador")</f>
        <v>Rail trabalhador</v>
      </c>
      <c r="H214" s="24"/>
      <c r="I214" s="24"/>
    </row>
    <row r="215" spans="1:9" ht="14.5">
      <c r="A215" s="20" t="s">
        <v>37129</v>
      </c>
      <c r="B215" s="20">
        <v>70</v>
      </c>
      <c r="C215" s="20">
        <v>70</v>
      </c>
      <c r="D215" s="20">
        <v>70</v>
      </c>
      <c r="E215" s="24"/>
      <c r="F215" s="20" t="s">
        <v>37130</v>
      </c>
      <c r="G215" s="24" t="str">
        <f ca="1">IFERROR(__xludf.DUMMYFUNCTION("GOOGLETRANSLATE(F215,""en"",""pt"")"),"camada de caminho de ferro")</f>
        <v>camada de caminho de ferro</v>
      </c>
      <c r="H215" s="24"/>
      <c r="I215" s="24"/>
    </row>
    <row r="216" spans="1:9" ht="14.5">
      <c r="A216" s="20" t="s">
        <v>37131</v>
      </c>
      <c r="B216" s="20">
        <v>70</v>
      </c>
      <c r="C216" s="20">
        <v>70</v>
      </c>
      <c r="D216" s="20">
        <v>72</v>
      </c>
      <c r="E216" s="24"/>
      <c r="F216" s="20" t="s">
        <v>37132</v>
      </c>
      <c r="G216" s="24" t="str">
        <f ca="1">IFERROR(__xludf.DUMMYFUNCTION("GOOGLETRANSLATE(F216,""en"",""pt"")"),"técnico de tracção ferroviária")</f>
        <v>técnico de tracção ferroviária</v>
      </c>
      <c r="H216" s="24"/>
      <c r="I216" s="24"/>
    </row>
    <row r="217" spans="1:9" ht="14.5">
      <c r="A217" s="20" t="s">
        <v>37133</v>
      </c>
      <c r="B217" s="20">
        <v>70</v>
      </c>
      <c r="C217" s="20">
        <v>70</v>
      </c>
      <c r="D217" s="20">
        <v>85</v>
      </c>
      <c r="E217" s="24"/>
      <c r="F217" s="20" t="s">
        <v>37134</v>
      </c>
      <c r="G217" s="24" t="str">
        <f ca="1">IFERROR(__xludf.DUMMYFUNCTION("GOOGLETRANSLATE(F217,""en"",""pt"")"),"Rua trabalha operatório")</f>
        <v>Rua trabalha operatório</v>
      </c>
      <c r="H217" s="24"/>
      <c r="I217" s="24"/>
    </row>
  </sheetData>
  <mergeCells count="1">
    <mergeCell ref="A1:C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F919"/>
  <sheetViews>
    <sheetView workbookViewId="0">
      <pane ySplit="3" topLeftCell="A4" activePane="bottomLeft" state="frozen"/>
      <selection pane="bottomLeft" activeCell="B5" sqref="B5"/>
    </sheetView>
  </sheetViews>
  <sheetFormatPr defaultColWidth="14.453125" defaultRowHeight="15.75" customHeight="1"/>
  <sheetData>
    <row r="1" spans="1:6">
      <c r="A1" s="216" t="s">
        <v>37135</v>
      </c>
      <c r="B1" s="217"/>
      <c r="C1" s="217"/>
      <c r="D1" s="217"/>
      <c r="E1" s="217"/>
      <c r="F1" s="217"/>
    </row>
    <row r="2" spans="1:6">
      <c r="A2" s="202"/>
      <c r="B2" s="202"/>
      <c r="C2" s="202"/>
      <c r="D2" s="202"/>
      <c r="E2" s="202"/>
      <c r="F2" s="202"/>
    </row>
    <row r="3" spans="1:6">
      <c r="A3" s="201" t="s">
        <v>1401</v>
      </c>
      <c r="B3" s="201" t="s">
        <v>1403</v>
      </c>
      <c r="C3" s="201" t="s">
        <v>1404</v>
      </c>
      <c r="D3" s="201" t="s">
        <v>1405</v>
      </c>
      <c r="E3" s="201" t="s">
        <v>32832</v>
      </c>
      <c r="F3" s="201" t="s">
        <v>1406</v>
      </c>
    </row>
    <row r="4" spans="1:6">
      <c r="A4" s="203" t="s">
        <v>37136</v>
      </c>
      <c r="B4" s="203">
        <v>20</v>
      </c>
      <c r="C4" s="203" t="s">
        <v>32838</v>
      </c>
      <c r="D4" s="203" t="s">
        <v>32838</v>
      </c>
      <c r="E4" s="203" t="s">
        <v>32838</v>
      </c>
      <c r="F4" s="203" t="s">
        <v>37137</v>
      </c>
    </row>
    <row r="5" spans="1:6">
      <c r="A5" s="204" t="s">
        <v>37138</v>
      </c>
      <c r="B5" s="204">
        <v>20</v>
      </c>
      <c r="C5" s="204">
        <v>20</v>
      </c>
      <c r="D5" s="204" t="s">
        <v>32838</v>
      </c>
      <c r="E5" s="204" t="s">
        <v>32838</v>
      </c>
      <c r="F5" s="204" t="s">
        <v>37139</v>
      </c>
    </row>
    <row r="6" spans="1:6">
      <c r="A6" s="204" t="s">
        <v>37140</v>
      </c>
      <c r="B6" s="204">
        <v>20</v>
      </c>
      <c r="C6" s="204">
        <v>25</v>
      </c>
      <c r="D6" s="204" t="s">
        <v>32838</v>
      </c>
      <c r="E6" s="204" t="s">
        <v>32838</v>
      </c>
      <c r="F6" s="204" t="s">
        <v>37141</v>
      </c>
    </row>
    <row r="7" spans="1:6">
      <c r="A7" s="204" t="s">
        <v>37142</v>
      </c>
      <c r="B7" s="204">
        <v>20</v>
      </c>
      <c r="C7" s="204">
        <v>30</v>
      </c>
      <c r="D7" s="204" t="s">
        <v>32838</v>
      </c>
      <c r="E7" s="204" t="s">
        <v>32838</v>
      </c>
      <c r="F7" s="204" t="s">
        <v>37143</v>
      </c>
    </row>
    <row r="8" spans="1:6">
      <c r="A8" s="204" t="s">
        <v>37144</v>
      </c>
      <c r="B8" s="204">
        <v>20</v>
      </c>
      <c r="C8" s="204">
        <v>35</v>
      </c>
      <c r="D8" s="204" t="s">
        <v>32838</v>
      </c>
      <c r="E8" s="204" t="s">
        <v>32838</v>
      </c>
      <c r="F8" s="204" t="s">
        <v>37145</v>
      </c>
    </row>
    <row r="9" spans="1:6">
      <c r="A9" s="203" t="s">
        <v>37146</v>
      </c>
      <c r="B9" s="203">
        <v>30</v>
      </c>
      <c r="C9" s="203" t="s">
        <v>32838</v>
      </c>
      <c r="D9" s="203" t="s">
        <v>32838</v>
      </c>
      <c r="E9" s="203" t="s">
        <v>32838</v>
      </c>
      <c r="F9" s="203" t="s">
        <v>37147</v>
      </c>
    </row>
    <row r="10" spans="1:6">
      <c r="A10" s="204" t="s">
        <v>37148</v>
      </c>
      <c r="B10" s="204">
        <v>30</v>
      </c>
      <c r="C10" s="204">
        <v>1</v>
      </c>
      <c r="D10" s="204" t="s">
        <v>32838</v>
      </c>
      <c r="E10" s="204" t="s">
        <v>32838</v>
      </c>
      <c r="F10" s="204" t="s">
        <v>37149</v>
      </c>
    </row>
    <row r="11" spans="1:6">
      <c r="A11" s="204" t="s">
        <v>37150</v>
      </c>
      <c r="B11" s="204">
        <v>30</v>
      </c>
      <c r="C11" s="204">
        <v>10</v>
      </c>
      <c r="D11" s="204" t="s">
        <v>32838</v>
      </c>
      <c r="E11" s="204" t="s">
        <v>32838</v>
      </c>
      <c r="F11" s="204" t="s">
        <v>37151</v>
      </c>
    </row>
    <row r="12" spans="1:6">
      <c r="A12" s="205" t="s">
        <v>37152</v>
      </c>
      <c r="B12" s="205">
        <v>30</v>
      </c>
      <c r="C12" s="205">
        <v>10</v>
      </c>
      <c r="D12" s="205">
        <v>1</v>
      </c>
      <c r="E12" s="205" t="s">
        <v>32838</v>
      </c>
      <c r="F12" s="205" t="s">
        <v>37153</v>
      </c>
    </row>
    <row r="13" spans="1:6">
      <c r="A13" s="205" t="s">
        <v>37154</v>
      </c>
      <c r="B13" s="205">
        <v>30</v>
      </c>
      <c r="C13" s="205">
        <v>10</v>
      </c>
      <c r="D13" s="205">
        <v>2</v>
      </c>
      <c r="E13" s="205" t="s">
        <v>32838</v>
      </c>
      <c r="F13" s="205" t="s">
        <v>37155</v>
      </c>
    </row>
    <row r="14" spans="1:6">
      <c r="A14" s="205" t="s">
        <v>37156</v>
      </c>
      <c r="B14" s="205">
        <v>30</v>
      </c>
      <c r="C14" s="205">
        <v>10</v>
      </c>
      <c r="D14" s="205">
        <v>3</v>
      </c>
      <c r="E14" s="205" t="s">
        <v>32838</v>
      </c>
      <c r="F14" s="205" t="s">
        <v>37157</v>
      </c>
    </row>
    <row r="15" spans="1:6">
      <c r="A15" s="205" t="s">
        <v>37158</v>
      </c>
      <c r="B15" s="205">
        <v>30</v>
      </c>
      <c r="C15" s="205">
        <v>10</v>
      </c>
      <c r="D15" s="205">
        <v>10</v>
      </c>
      <c r="E15" s="205" t="s">
        <v>32838</v>
      </c>
      <c r="F15" s="205" t="s">
        <v>37159</v>
      </c>
    </row>
    <row r="16" spans="1:6">
      <c r="A16" s="205" t="s">
        <v>37160</v>
      </c>
      <c r="B16" s="205">
        <v>30</v>
      </c>
      <c r="C16" s="205">
        <v>10</v>
      </c>
      <c r="D16" s="205">
        <v>11</v>
      </c>
      <c r="E16" s="205" t="s">
        <v>32838</v>
      </c>
      <c r="F16" s="205" t="s">
        <v>37161</v>
      </c>
    </row>
    <row r="17" spans="1:6">
      <c r="A17" s="204" t="s">
        <v>37162</v>
      </c>
      <c r="B17" s="204">
        <v>30</v>
      </c>
      <c r="C17" s="204">
        <v>11</v>
      </c>
      <c r="D17" s="204" t="s">
        <v>32838</v>
      </c>
      <c r="E17" s="204" t="s">
        <v>32838</v>
      </c>
      <c r="F17" s="204" t="s">
        <v>37163</v>
      </c>
    </row>
    <row r="18" spans="1:6">
      <c r="A18" s="204" t="s">
        <v>37164</v>
      </c>
      <c r="B18" s="204">
        <v>30</v>
      </c>
      <c r="C18" s="204">
        <v>15</v>
      </c>
      <c r="D18" s="204" t="s">
        <v>32838</v>
      </c>
      <c r="E18" s="204" t="s">
        <v>32838</v>
      </c>
      <c r="F18" s="204" t="s">
        <v>4432</v>
      </c>
    </row>
    <row r="19" spans="1:6">
      <c r="A19" s="205" t="s">
        <v>37165</v>
      </c>
      <c r="B19" s="205">
        <v>30</v>
      </c>
      <c r="C19" s="205">
        <v>15</v>
      </c>
      <c r="D19" s="205">
        <v>1</v>
      </c>
      <c r="E19" s="205" t="s">
        <v>32838</v>
      </c>
      <c r="F19" s="205" t="s">
        <v>37166</v>
      </c>
    </row>
    <row r="20" spans="1:6">
      <c r="A20" s="205" t="s">
        <v>37167</v>
      </c>
      <c r="B20" s="205">
        <v>30</v>
      </c>
      <c r="C20" s="205">
        <v>15</v>
      </c>
      <c r="D20" s="205">
        <v>2</v>
      </c>
      <c r="E20" s="205" t="s">
        <v>32838</v>
      </c>
      <c r="F20" s="205" t="s">
        <v>37168</v>
      </c>
    </row>
    <row r="21" spans="1:6">
      <c r="A21" s="205" t="s">
        <v>37169</v>
      </c>
      <c r="B21" s="205">
        <v>30</v>
      </c>
      <c r="C21" s="205">
        <v>15</v>
      </c>
      <c r="D21" s="205">
        <v>10</v>
      </c>
      <c r="E21" s="205" t="s">
        <v>32838</v>
      </c>
      <c r="F21" s="205" t="s">
        <v>37170</v>
      </c>
    </row>
    <row r="22" spans="1:6">
      <c r="A22" s="204" t="s">
        <v>37171</v>
      </c>
      <c r="B22" s="204">
        <v>30</v>
      </c>
      <c r="C22" s="204">
        <v>16</v>
      </c>
      <c r="D22" s="204" t="s">
        <v>32838</v>
      </c>
      <c r="E22" s="204" t="s">
        <v>32838</v>
      </c>
      <c r="F22" s="204" t="s">
        <v>37172</v>
      </c>
    </row>
    <row r="23" spans="1:6">
      <c r="A23" s="204" t="s">
        <v>37173</v>
      </c>
      <c r="B23" s="204">
        <v>30</v>
      </c>
      <c r="C23" s="204">
        <v>20</v>
      </c>
      <c r="D23" s="204" t="s">
        <v>32838</v>
      </c>
      <c r="E23" s="204" t="s">
        <v>32838</v>
      </c>
      <c r="F23" s="204" t="s">
        <v>37174</v>
      </c>
    </row>
    <row r="24" spans="1:6">
      <c r="A24" s="205" t="s">
        <v>37175</v>
      </c>
      <c r="B24" s="205">
        <v>30</v>
      </c>
      <c r="C24" s="205">
        <v>20</v>
      </c>
      <c r="D24" s="205">
        <v>1</v>
      </c>
      <c r="E24" s="205" t="s">
        <v>32838</v>
      </c>
      <c r="F24" s="205" t="s">
        <v>37176</v>
      </c>
    </row>
    <row r="25" spans="1:6">
      <c r="A25" s="205" t="s">
        <v>37177</v>
      </c>
      <c r="B25" s="205">
        <v>30</v>
      </c>
      <c r="C25" s="205">
        <v>20</v>
      </c>
      <c r="D25" s="205">
        <v>2</v>
      </c>
      <c r="E25" s="205" t="s">
        <v>32838</v>
      </c>
      <c r="F25" s="205" t="s">
        <v>37178</v>
      </c>
    </row>
    <row r="26" spans="1:6">
      <c r="A26" s="205" t="s">
        <v>37179</v>
      </c>
      <c r="B26" s="205">
        <v>30</v>
      </c>
      <c r="C26" s="205">
        <v>20</v>
      </c>
      <c r="D26" s="205">
        <v>10</v>
      </c>
      <c r="E26" s="205" t="s">
        <v>32838</v>
      </c>
      <c r="F26" s="205" t="s">
        <v>37180</v>
      </c>
    </row>
    <row r="27" spans="1:6">
      <c r="A27" s="205" t="s">
        <v>37181</v>
      </c>
      <c r="B27" s="205">
        <v>30</v>
      </c>
      <c r="C27" s="205">
        <v>20</v>
      </c>
      <c r="D27" s="205">
        <v>11</v>
      </c>
      <c r="E27" s="205" t="s">
        <v>32838</v>
      </c>
      <c r="F27" s="205" t="s">
        <v>37182</v>
      </c>
    </row>
    <row r="28" spans="1:6">
      <c r="A28" s="205" t="s">
        <v>37183</v>
      </c>
      <c r="B28" s="205">
        <v>30</v>
      </c>
      <c r="C28" s="205">
        <v>20</v>
      </c>
      <c r="D28" s="205">
        <v>12</v>
      </c>
      <c r="E28" s="205" t="s">
        <v>32838</v>
      </c>
      <c r="F28" s="205" t="s">
        <v>37184</v>
      </c>
    </row>
    <row r="29" spans="1:6">
      <c r="A29" s="205" t="s">
        <v>37185</v>
      </c>
      <c r="B29" s="205">
        <v>30</v>
      </c>
      <c r="C29" s="205">
        <v>20</v>
      </c>
      <c r="D29" s="205">
        <v>13</v>
      </c>
      <c r="E29" s="205" t="s">
        <v>32838</v>
      </c>
      <c r="F29" s="205" t="s">
        <v>37186</v>
      </c>
    </row>
    <row r="30" spans="1:6">
      <c r="A30" s="205" t="s">
        <v>37187</v>
      </c>
      <c r="B30" s="205">
        <v>30</v>
      </c>
      <c r="C30" s="205">
        <v>20</v>
      </c>
      <c r="D30" s="205">
        <v>20</v>
      </c>
      <c r="E30" s="205" t="s">
        <v>32838</v>
      </c>
      <c r="F30" s="205" t="s">
        <v>37188</v>
      </c>
    </row>
    <row r="31" spans="1:6">
      <c r="A31" s="204" t="s">
        <v>37189</v>
      </c>
      <c r="B31" s="204">
        <v>30</v>
      </c>
      <c r="C31" s="204">
        <v>25</v>
      </c>
      <c r="D31" s="204" t="s">
        <v>32838</v>
      </c>
      <c r="E31" s="204" t="s">
        <v>32838</v>
      </c>
      <c r="F31" s="204" t="s">
        <v>37190</v>
      </c>
    </row>
    <row r="32" spans="1:6">
      <c r="A32" s="205" t="s">
        <v>37191</v>
      </c>
      <c r="B32" s="205">
        <v>30</v>
      </c>
      <c r="C32" s="205">
        <v>25</v>
      </c>
      <c r="D32" s="205">
        <v>1</v>
      </c>
      <c r="E32" s="205" t="s">
        <v>32838</v>
      </c>
      <c r="F32" s="205" t="s">
        <v>37192</v>
      </c>
    </row>
    <row r="33" spans="1:6">
      <c r="A33" s="205" t="s">
        <v>37193</v>
      </c>
      <c r="B33" s="205">
        <v>30</v>
      </c>
      <c r="C33" s="205">
        <v>25</v>
      </c>
      <c r="D33" s="205">
        <v>2</v>
      </c>
      <c r="E33" s="205" t="s">
        <v>32838</v>
      </c>
      <c r="F33" s="205" t="s">
        <v>37194</v>
      </c>
    </row>
    <row r="34" spans="1:6">
      <c r="A34" s="205" t="s">
        <v>37195</v>
      </c>
      <c r="B34" s="205">
        <v>30</v>
      </c>
      <c r="C34" s="205">
        <v>25</v>
      </c>
      <c r="D34" s="205">
        <v>3</v>
      </c>
      <c r="E34" s="205" t="s">
        <v>32838</v>
      </c>
      <c r="F34" s="205" t="s">
        <v>37196</v>
      </c>
    </row>
    <row r="35" spans="1:6">
      <c r="A35" s="205" t="s">
        <v>37197</v>
      </c>
      <c r="B35" s="205">
        <v>30</v>
      </c>
      <c r="C35" s="205">
        <v>25</v>
      </c>
      <c r="D35" s="205">
        <v>4</v>
      </c>
      <c r="E35" s="205" t="s">
        <v>32838</v>
      </c>
      <c r="F35" s="205" t="s">
        <v>37198</v>
      </c>
    </row>
    <row r="36" spans="1:6">
      <c r="A36" s="205" t="s">
        <v>37199</v>
      </c>
      <c r="B36" s="205">
        <v>30</v>
      </c>
      <c r="C36" s="205">
        <v>25</v>
      </c>
      <c r="D36" s="205">
        <v>5</v>
      </c>
      <c r="E36" s="205" t="s">
        <v>32838</v>
      </c>
      <c r="F36" s="205" t="s">
        <v>37200</v>
      </c>
    </row>
    <row r="37" spans="1:6">
      <c r="A37" s="204" t="s">
        <v>37201</v>
      </c>
      <c r="B37" s="204">
        <v>30</v>
      </c>
      <c r="C37" s="204">
        <v>30</v>
      </c>
      <c r="D37" s="204" t="s">
        <v>32838</v>
      </c>
      <c r="E37" s="204" t="s">
        <v>32838</v>
      </c>
      <c r="F37" s="204" t="s">
        <v>37202</v>
      </c>
    </row>
    <row r="38" spans="1:6">
      <c r="A38" s="205" t="s">
        <v>37203</v>
      </c>
      <c r="B38" s="205">
        <v>30</v>
      </c>
      <c r="C38" s="205">
        <v>30</v>
      </c>
      <c r="D38" s="205">
        <v>1</v>
      </c>
      <c r="E38" s="205" t="s">
        <v>32838</v>
      </c>
      <c r="F38" s="205" t="s">
        <v>37204</v>
      </c>
    </row>
    <row r="39" spans="1:6">
      <c r="A39" s="205" t="s">
        <v>37205</v>
      </c>
      <c r="B39" s="205">
        <v>30</v>
      </c>
      <c r="C39" s="205">
        <v>30</v>
      </c>
      <c r="D39" s="205">
        <v>2</v>
      </c>
      <c r="E39" s="205" t="s">
        <v>32838</v>
      </c>
      <c r="F39" s="205" t="s">
        <v>37206</v>
      </c>
    </row>
    <row r="40" spans="1:6">
      <c r="A40" s="204" t="s">
        <v>37207</v>
      </c>
      <c r="B40" s="204">
        <v>30</v>
      </c>
      <c r="C40" s="204">
        <v>35</v>
      </c>
      <c r="D40" s="204" t="s">
        <v>32838</v>
      </c>
      <c r="E40" s="204" t="s">
        <v>32838</v>
      </c>
      <c r="F40" s="204" t="s">
        <v>37208</v>
      </c>
    </row>
    <row r="41" spans="1:6">
      <c r="A41" s="205" t="s">
        <v>37209</v>
      </c>
      <c r="B41" s="205">
        <v>30</v>
      </c>
      <c r="C41" s="205">
        <v>35</v>
      </c>
      <c r="D41" s="205">
        <v>1</v>
      </c>
      <c r="E41" s="202"/>
      <c r="F41" s="205" t="s">
        <v>37161</v>
      </c>
    </row>
    <row r="42" spans="1:6">
      <c r="A42" s="204" t="s">
        <v>37210</v>
      </c>
      <c r="B42" s="204">
        <v>30</v>
      </c>
      <c r="C42" s="204">
        <v>40</v>
      </c>
      <c r="D42" s="204" t="s">
        <v>32838</v>
      </c>
      <c r="E42" s="204" t="s">
        <v>32838</v>
      </c>
      <c r="F42" s="204" t="s">
        <v>37211</v>
      </c>
    </row>
    <row r="43" spans="1:6">
      <c r="A43" s="204" t="s">
        <v>37212</v>
      </c>
      <c r="B43" s="204">
        <v>30</v>
      </c>
      <c r="C43" s="204">
        <v>41</v>
      </c>
      <c r="D43" s="204" t="s">
        <v>32838</v>
      </c>
      <c r="E43" s="204" t="s">
        <v>32838</v>
      </c>
      <c r="F43" s="204" t="s">
        <v>37213</v>
      </c>
    </row>
    <row r="44" spans="1:6">
      <c r="A44" s="204" t="s">
        <v>37214</v>
      </c>
      <c r="B44" s="204">
        <v>30</v>
      </c>
      <c r="C44" s="204">
        <v>45</v>
      </c>
      <c r="D44" s="204" t="s">
        <v>32838</v>
      </c>
      <c r="E44" s="204" t="s">
        <v>32838</v>
      </c>
      <c r="F44" s="204" t="s">
        <v>37215</v>
      </c>
    </row>
    <row r="45" spans="1:6">
      <c r="A45" s="205" t="s">
        <v>37216</v>
      </c>
      <c r="B45" s="205">
        <v>30</v>
      </c>
      <c r="C45" s="205">
        <v>45</v>
      </c>
      <c r="D45" s="205">
        <v>1</v>
      </c>
      <c r="E45" s="205" t="s">
        <v>32838</v>
      </c>
      <c r="F45" s="205" t="s">
        <v>37217</v>
      </c>
    </row>
    <row r="46" spans="1:6">
      <c r="A46" s="205" t="s">
        <v>37218</v>
      </c>
      <c r="B46" s="205">
        <v>30</v>
      </c>
      <c r="C46" s="205">
        <v>45</v>
      </c>
      <c r="D46" s="205">
        <v>2</v>
      </c>
      <c r="E46" s="205" t="s">
        <v>32838</v>
      </c>
      <c r="F46" s="205" t="s">
        <v>37219</v>
      </c>
    </row>
    <row r="47" spans="1:6">
      <c r="A47" s="205" t="s">
        <v>37220</v>
      </c>
      <c r="B47" s="205">
        <v>30</v>
      </c>
      <c r="C47" s="205">
        <v>45</v>
      </c>
      <c r="D47" s="205">
        <v>20</v>
      </c>
      <c r="E47" s="205" t="s">
        <v>32838</v>
      </c>
      <c r="F47" s="205" t="s">
        <v>37221</v>
      </c>
    </row>
    <row r="48" spans="1:6">
      <c r="A48" s="205" t="s">
        <v>37222</v>
      </c>
      <c r="B48" s="205">
        <v>30</v>
      </c>
      <c r="C48" s="205">
        <v>45</v>
      </c>
      <c r="D48" s="205">
        <v>30</v>
      </c>
      <c r="E48" s="202"/>
      <c r="F48" s="205" t="s">
        <v>37223</v>
      </c>
    </row>
    <row r="49" spans="1:6">
      <c r="A49" s="206" t="s">
        <v>37224</v>
      </c>
      <c r="B49" s="206">
        <v>40</v>
      </c>
      <c r="C49" s="206" t="s">
        <v>32838</v>
      </c>
      <c r="D49" s="206" t="s">
        <v>32838</v>
      </c>
      <c r="E49" s="206" t="s">
        <v>32838</v>
      </c>
      <c r="F49" s="206" t="s">
        <v>37225</v>
      </c>
    </row>
    <row r="50" spans="1:6">
      <c r="A50" s="204" t="s">
        <v>37226</v>
      </c>
      <c r="B50" s="204">
        <v>40</v>
      </c>
      <c r="C50" s="204">
        <v>1</v>
      </c>
      <c r="D50" s="204" t="s">
        <v>32838</v>
      </c>
      <c r="E50" s="204" t="s">
        <v>32838</v>
      </c>
      <c r="F50" s="204" t="s">
        <v>37227</v>
      </c>
    </row>
    <row r="51" spans="1:6">
      <c r="A51" s="204" t="s">
        <v>37228</v>
      </c>
      <c r="B51" s="204">
        <v>40</v>
      </c>
      <c r="C51" s="204">
        <v>10</v>
      </c>
      <c r="D51" s="204" t="s">
        <v>32838</v>
      </c>
      <c r="E51" s="204" t="s">
        <v>32838</v>
      </c>
      <c r="F51" s="204" t="s">
        <v>37229</v>
      </c>
    </row>
    <row r="52" spans="1:6">
      <c r="A52" s="204" t="s">
        <v>37230</v>
      </c>
      <c r="B52" s="204">
        <v>40</v>
      </c>
      <c r="C52" s="204">
        <v>15</v>
      </c>
      <c r="D52" s="204" t="s">
        <v>32838</v>
      </c>
      <c r="E52" s="204" t="s">
        <v>32838</v>
      </c>
      <c r="F52" s="204" t="s">
        <v>37231</v>
      </c>
    </row>
    <row r="53" spans="1:6">
      <c r="A53" s="204" t="s">
        <v>37232</v>
      </c>
      <c r="B53" s="204">
        <v>40</v>
      </c>
      <c r="C53" s="204">
        <v>20</v>
      </c>
      <c r="D53" s="204" t="s">
        <v>32838</v>
      </c>
      <c r="E53" s="204" t="s">
        <v>32838</v>
      </c>
      <c r="F53" s="204" t="s">
        <v>37233</v>
      </c>
    </row>
    <row r="54" spans="1:6">
      <c r="A54" s="204" t="s">
        <v>37234</v>
      </c>
      <c r="B54" s="204">
        <v>40</v>
      </c>
      <c r="C54" s="204">
        <v>25</v>
      </c>
      <c r="D54" s="204" t="s">
        <v>32838</v>
      </c>
      <c r="E54" s="204" t="s">
        <v>32838</v>
      </c>
      <c r="F54" s="204" t="s">
        <v>37235</v>
      </c>
    </row>
    <row r="55" spans="1:6">
      <c r="A55" s="204" t="s">
        <v>37236</v>
      </c>
      <c r="B55" s="204">
        <v>40</v>
      </c>
      <c r="C55" s="204">
        <v>30</v>
      </c>
      <c r="D55" s="204" t="s">
        <v>32838</v>
      </c>
      <c r="E55" s="204" t="s">
        <v>32838</v>
      </c>
      <c r="F55" s="204" t="s">
        <v>37237</v>
      </c>
    </row>
    <row r="56" spans="1:6">
      <c r="A56" s="204" t="s">
        <v>37238</v>
      </c>
      <c r="B56" s="204">
        <v>40</v>
      </c>
      <c r="C56" s="204">
        <v>35</v>
      </c>
      <c r="D56" s="204" t="s">
        <v>32838</v>
      </c>
      <c r="E56" s="204" t="s">
        <v>32838</v>
      </c>
      <c r="F56" s="204" t="s">
        <v>37239</v>
      </c>
    </row>
    <row r="57" spans="1:6">
      <c r="A57" s="204" t="s">
        <v>37240</v>
      </c>
      <c r="B57" s="204">
        <v>40</v>
      </c>
      <c r="C57" s="204">
        <v>40</v>
      </c>
      <c r="D57" s="204" t="s">
        <v>32838</v>
      </c>
      <c r="E57" s="204" t="s">
        <v>32838</v>
      </c>
      <c r="F57" s="204" t="s">
        <v>37241</v>
      </c>
    </row>
    <row r="58" spans="1:6">
      <c r="A58" s="206" t="s">
        <v>37242</v>
      </c>
      <c r="B58" s="206">
        <v>70</v>
      </c>
      <c r="C58" s="206" t="s">
        <v>32838</v>
      </c>
      <c r="D58" s="206" t="s">
        <v>32838</v>
      </c>
      <c r="E58" s="206" t="s">
        <v>32838</v>
      </c>
      <c r="F58" s="206" t="s">
        <v>37243</v>
      </c>
    </row>
    <row r="59" spans="1:6">
      <c r="A59" s="204" t="s">
        <v>37244</v>
      </c>
      <c r="B59" s="204">
        <v>70</v>
      </c>
      <c r="C59" s="204">
        <v>1</v>
      </c>
      <c r="D59" s="204" t="s">
        <v>32838</v>
      </c>
      <c r="E59" s="204" t="s">
        <v>32838</v>
      </c>
      <c r="F59" s="204" t="s">
        <v>37245</v>
      </c>
    </row>
    <row r="60" spans="1:6">
      <c r="A60" s="204" t="s">
        <v>37246</v>
      </c>
      <c r="B60" s="204">
        <v>70</v>
      </c>
      <c r="C60" s="204">
        <v>2</v>
      </c>
      <c r="D60" s="204" t="s">
        <v>32838</v>
      </c>
      <c r="E60" s="204" t="s">
        <v>32838</v>
      </c>
      <c r="F60" s="204" t="s">
        <v>37247</v>
      </c>
    </row>
    <row r="61" spans="1:6">
      <c r="A61" s="204" t="s">
        <v>37248</v>
      </c>
      <c r="B61" s="204">
        <v>70</v>
      </c>
      <c r="C61" s="204">
        <v>10</v>
      </c>
      <c r="D61" s="204" t="s">
        <v>32838</v>
      </c>
      <c r="E61" s="204" t="s">
        <v>32838</v>
      </c>
      <c r="F61" s="204" t="s">
        <v>37249</v>
      </c>
    </row>
    <row r="62" spans="1:6">
      <c r="A62" s="204" t="s">
        <v>37250</v>
      </c>
      <c r="B62" s="204">
        <v>70</v>
      </c>
      <c r="C62" s="204">
        <v>15</v>
      </c>
      <c r="D62" s="204" t="s">
        <v>32838</v>
      </c>
      <c r="E62" s="204" t="s">
        <v>32838</v>
      </c>
      <c r="F62" s="204" t="s">
        <v>37251</v>
      </c>
    </row>
    <row r="63" spans="1:6">
      <c r="A63" s="204" t="s">
        <v>37252</v>
      </c>
      <c r="B63" s="204">
        <v>70</v>
      </c>
      <c r="C63" s="204">
        <v>20</v>
      </c>
      <c r="D63" s="204" t="s">
        <v>32838</v>
      </c>
      <c r="E63" s="204" t="s">
        <v>32838</v>
      </c>
      <c r="F63" s="204" t="s">
        <v>37253</v>
      </c>
    </row>
    <row r="64" spans="1:6">
      <c r="A64" s="204" t="s">
        <v>37254</v>
      </c>
      <c r="B64" s="204">
        <v>70</v>
      </c>
      <c r="C64" s="204">
        <v>25</v>
      </c>
      <c r="D64" s="204" t="s">
        <v>32838</v>
      </c>
      <c r="E64" s="204" t="s">
        <v>32838</v>
      </c>
      <c r="F64" s="204" t="s">
        <v>37255</v>
      </c>
    </row>
    <row r="65" spans="1:6">
      <c r="A65" s="206" t="s">
        <v>37256</v>
      </c>
      <c r="B65" s="206">
        <v>75</v>
      </c>
      <c r="C65" s="206" t="s">
        <v>32838</v>
      </c>
      <c r="D65" s="206" t="s">
        <v>32838</v>
      </c>
      <c r="E65" s="206" t="s">
        <v>32838</v>
      </c>
      <c r="F65" s="206" t="s">
        <v>37257</v>
      </c>
    </row>
    <row r="66" spans="1:6">
      <c r="A66" s="204" t="s">
        <v>37258</v>
      </c>
      <c r="B66" s="204">
        <v>75</v>
      </c>
      <c r="C66" s="204">
        <v>1</v>
      </c>
      <c r="D66" s="204" t="s">
        <v>32838</v>
      </c>
      <c r="E66" s="204" t="s">
        <v>32838</v>
      </c>
      <c r="F66" s="204" t="s">
        <v>37259</v>
      </c>
    </row>
    <row r="67" spans="1:6">
      <c r="A67" s="204" t="s">
        <v>37260</v>
      </c>
      <c r="B67" s="204">
        <v>75</v>
      </c>
      <c r="C67" s="204">
        <v>2</v>
      </c>
      <c r="D67" s="204" t="s">
        <v>32838</v>
      </c>
      <c r="E67" s="204" t="s">
        <v>32838</v>
      </c>
      <c r="F67" s="204" t="s">
        <v>37261</v>
      </c>
    </row>
    <row r="68" spans="1:6">
      <c r="A68" s="204" t="s">
        <v>37262</v>
      </c>
      <c r="B68" s="204">
        <v>75</v>
      </c>
      <c r="C68" s="204">
        <v>10</v>
      </c>
      <c r="D68" s="204" t="s">
        <v>32838</v>
      </c>
      <c r="E68" s="204" t="s">
        <v>32838</v>
      </c>
      <c r="F68" s="204" t="s">
        <v>37263</v>
      </c>
    </row>
    <row r="69" spans="1:6">
      <c r="A69" s="204" t="s">
        <v>37264</v>
      </c>
      <c r="B69" s="204">
        <v>75</v>
      </c>
      <c r="C69" s="204">
        <v>15</v>
      </c>
      <c r="D69" s="204" t="s">
        <v>32838</v>
      </c>
      <c r="E69" s="204" t="s">
        <v>32838</v>
      </c>
      <c r="F69" s="204" t="s">
        <v>37265</v>
      </c>
    </row>
    <row r="70" spans="1:6">
      <c r="A70" s="204" t="s">
        <v>37266</v>
      </c>
      <c r="B70" s="204">
        <v>75</v>
      </c>
      <c r="C70" s="204">
        <v>20</v>
      </c>
      <c r="D70" s="204" t="s">
        <v>32838</v>
      </c>
      <c r="E70" s="204" t="s">
        <v>32838</v>
      </c>
      <c r="F70" s="204" t="s">
        <v>37267</v>
      </c>
    </row>
    <row r="71" spans="1:6">
      <c r="A71" s="204" t="s">
        <v>37268</v>
      </c>
      <c r="B71" s="204">
        <v>75</v>
      </c>
      <c r="C71" s="204">
        <v>25</v>
      </c>
      <c r="D71" s="204" t="s">
        <v>32838</v>
      </c>
      <c r="E71" s="204" t="s">
        <v>32838</v>
      </c>
      <c r="F71" s="204" t="s">
        <v>37269</v>
      </c>
    </row>
    <row r="72" spans="1:6">
      <c r="A72" s="206" t="s">
        <v>37270</v>
      </c>
      <c r="B72" s="206">
        <v>80</v>
      </c>
      <c r="C72" s="206" t="s">
        <v>32838</v>
      </c>
      <c r="D72" s="206" t="s">
        <v>32838</v>
      </c>
      <c r="E72" s="206" t="s">
        <v>32838</v>
      </c>
      <c r="F72" s="206" t="s">
        <v>37271</v>
      </c>
    </row>
    <row r="73" spans="1:6">
      <c r="A73" s="204" t="s">
        <v>37272</v>
      </c>
      <c r="B73" s="204">
        <v>80</v>
      </c>
      <c r="C73" s="204">
        <v>2</v>
      </c>
      <c r="D73" s="204" t="s">
        <v>32838</v>
      </c>
      <c r="E73" s="204" t="s">
        <v>32838</v>
      </c>
      <c r="F73" s="204" t="s">
        <v>37273</v>
      </c>
    </row>
    <row r="74" spans="1:6">
      <c r="A74" s="204" t="s">
        <v>37274</v>
      </c>
      <c r="B74" s="204">
        <v>80</v>
      </c>
      <c r="C74" s="204">
        <v>10</v>
      </c>
      <c r="D74" s="204" t="s">
        <v>32838</v>
      </c>
      <c r="E74" s="204" t="s">
        <v>32838</v>
      </c>
      <c r="F74" s="204" t="s">
        <v>37275</v>
      </c>
    </row>
    <row r="75" spans="1:6">
      <c r="A75" s="204" t="s">
        <v>37276</v>
      </c>
      <c r="B75" s="204">
        <v>80</v>
      </c>
      <c r="C75" s="204">
        <v>15</v>
      </c>
      <c r="D75" s="204" t="s">
        <v>32838</v>
      </c>
      <c r="E75" s="204" t="s">
        <v>32838</v>
      </c>
      <c r="F75" s="204" t="s">
        <v>37277</v>
      </c>
    </row>
    <row r="76" spans="1:6">
      <c r="A76" s="204" t="s">
        <v>37278</v>
      </c>
      <c r="B76" s="204">
        <v>80</v>
      </c>
      <c r="C76" s="204">
        <v>16</v>
      </c>
      <c r="D76" s="204" t="s">
        <v>32838</v>
      </c>
      <c r="E76" s="204" t="s">
        <v>32838</v>
      </c>
      <c r="F76" s="204" t="s">
        <v>37279</v>
      </c>
    </row>
    <row r="77" spans="1:6">
      <c r="A77" s="204" t="s">
        <v>37280</v>
      </c>
      <c r="B77" s="204">
        <v>80</v>
      </c>
      <c r="C77" s="204">
        <v>20</v>
      </c>
      <c r="D77" s="204" t="s">
        <v>32838</v>
      </c>
      <c r="E77" s="204" t="s">
        <v>32838</v>
      </c>
      <c r="F77" s="204" t="s">
        <v>37281</v>
      </c>
    </row>
    <row r="78" spans="1:6">
      <c r="A78" s="202"/>
      <c r="B78" s="202"/>
      <c r="C78" s="202"/>
      <c r="D78" s="202"/>
      <c r="E78" s="202"/>
      <c r="F78" s="202"/>
    </row>
    <row r="79" spans="1:6">
      <c r="A79" s="202"/>
      <c r="B79" s="202"/>
      <c r="C79" s="202"/>
      <c r="D79" s="202"/>
      <c r="E79" s="202"/>
      <c r="F79" s="202"/>
    </row>
    <row r="80" spans="1:6">
      <c r="A80" s="202"/>
      <c r="B80" s="202"/>
      <c r="C80" s="202"/>
      <c r="D80" s="202"/>
      <c r="E80" s="202"/>
      <c r="F80" s="202"/>
    </row>
    <row r="81" spans="1:6">
      <c r="A81" s="202"/>
      <c r="B81" s="202"/>
      <c r="C81" s="202"/>
      <c r="D81" s="202"/>
      <c r="E81" s="202"/>
      <c r="F81" s="202"/>
    </row>
    <row r="82" spans="1:6">
      <c r="A82" s="202"/>
      <c r="B82" s="202"/>
      <c r="C82" s="202"/>
      <c r="D82" s="202"/>
      <c r="E82" s="202"/>
      <c r="F82" s="202"/>
    </row>
    <row r="83" spans="1:6">
      <c r="A83" s="202"/>
      <c r="B83" s="202"/>
      <c r="C83" s="202"/>
      <c r="D83" s="202"/>
      <c r="E83" s="202"/>
      <c r="F83" s="202"/>
    </row>
    <row r="84" spans="1:6">
      <c r="A84" s="202"/>
      <c r="B84" s="202"/>
      <c r="C84" s="202"/>
      <c r="D84" s="202"/>
      <c r="E84" s="202"/>
      <c r="F84" s="202"/>
    </row>
    <row r="85" spans="1:6">
      <c r="A85" s="202"/>
      <c r="B85" s="202"/>
      <c r="C85" s="202"/>
      <c r="D85" s="202"/>
      <c r="E85" s="202"/>
      <c r="F85" s="202"/>
    </row>
    <row r="86" spans="1:6">
      <c r="A86" s="202"/>
      <c r="B86" s="202"/>
      <c r="C86" s="202"/>
      <c r="D86" s="202"/>
      <c r="E86" s="202"/>
      <c r="F86" s="202"/>
    </row>
    <row r="87" spans="1:6">
      <c r="A87" s="202"/>
      <c r="B87" s="202"/>
      <c r="C87" s="202"/>
      <c r="D87" s="202"/>
      <c r="E87" s="202"/>
      <c r="F87" s="202"/>
    </row>
    <row r="88" spans="1:6">
      <c r="A88" s="202"/>
      <c r="B88" s="202"/>
      <c r="C88" s="202"/>
      <c r="D88" s="202"/>
      <c r="E88" s="202"/>
      <c r="F88" s="202"/>
    </row>
    <row r="89" spans="1:6">
      <c r="A89" s="202"/>
      <c r="B89" s="202"/>
      <c r="C89" s="202"/>
      <c r="D89" s="202"/>
      <c r="E89" s="202"/>
      <c r="F89" s="202"/>
    </row>
    <row r="90" spans="1:6">
      <c r="A90" s="202"/>
      <c r="B90" s="202"/>
      <c r="C90" s="202"/>
      <c r="D90" s="202"/>
      <c r="E90" s="202"/>
      <c r="F90" s="202"/>
    </row>
    <row r="91" spans="1:6">
      <c r="A91" s="202"/>
      <c r="B91" s="202"/>
      <c r="C91" s="202"/>
      <c r="D91" s="202"/>
      <c r="E91" s="202"/>
      <c r="F91" s="202"/>
    </row>
    <row r="92" spans="1:6">
      <c r="A92" s="202"/>
      <c r="B92" s="202"/>
      <c r="C92" s="202"/>
      <c r="D92" s="202"/>
      <c r="E92" s="202"/>
      <c r="F92" s="202"/>
    </row>
    <row r="93" spans="1:6">
      <c r="A93" s="202"/>
      <c r="B93" s="202"/>
      <c r="C93" s="202"/>
      <c r="D93" s="202"/>
      <c r="E93" s="202"/>
      <c r="F93" s="202"/>
    </row>
    <row r="94" spans="1:6">
      <c r="A94" s="202"/>
      <c r="B94" s="202"/>
      <c r="C94" s="202"/>
      <c r="D94" s="202"/>
      <c r="E94" s="202"/>
      <c r="F94" s="202"/>
    </row>
    <row r="95" spans="1:6">
      <c r="A95" s="202"/>
      <c r="B95" s="202"/>
      <c r="C95" s="202"/>
      <c r="D95" s="202"/>
      <c r="E95" s="202"/>
      <c r="F95" s="202"/>
    </row>
    <row r="96" spans="1:6">
      <c r="A96" s="202"/>
      <c r="B96" s="202"/>
      <c r="C96" s="202"/>
      <c r="D96" s="202"/>
      <c r="E96" s="202"/>
      <c r="F96" s="202"/>
    </row>
    <row r="97" spans="1:6">
      <c r="A97" s="202"/>
      <c r="B97" s="202"/>
      <c r="C97" s="202"/>
      <c r="D97" s="202"/>
      <c r="E97" s="202"/>
      <c r="F97" s="202"/>
    </row>
    <row r="98" spans="1:6">
      <c r="A98" s="202"/>
      <c r="B98" s="202"/>
      <c r="C98" s="202"/>
      <c r="D98" s="202"/>
      <c r="E98" s="202"/>
      <c r="F98" s="202"/>
    </row>
    <row r="99" spans="1:6">
      <c r="A99" s="202"/>
      <c r="B99" s="202"/>
      <c r="C99" s="202"/>
      <c r="D99" s="202"/>
      <c r="E99" s="202"/>
      <c r="F99" s="202"/>
    </row>
    <row r="100" spans="1:6">
      <c r="A100" s="202"/>
      <c r="B100" s="202"/>
      <c r="C100" s="202"/>
      <c r="D100" s="202"/>
      <c r="E100" s="202"/>
      <c r="F100" s="202"/>
    </row>
    <row r="101" spans="1:6">
      <c r="A101" s="202"/>
      <c r="B101" s="202"/>
      <c r="C101" s="202"/>
      <c r="D101" s="202"/>
      <c r="E101" s="202"/>
      <c r="F101" s="202"/>
    </row>
    <row r="102" spans="1:6">
      <c r="A102" s="202"/>
      <c r="B102" s="202"/>
      <c r="C102" s="202"/>
      <c r="D102" s="202"/>
      <c r="E102" s="202"/>
      <c r="F102" s="202"/>
    </row>
    <row r="103" spans="1:6">
      <c r="A103" s="202"/>
      <c r="B103" s="202"/>
      <c r="C103" s="202"/>
      <c r="D103" s="202"/>
      <c r="E103" s="202"/>
      <c r="F103" s="202"/>
    </row>
    <row r="104" spans="1:6">
      <c r="A104" s="202"/>
      <c r="B104" s="202"/>
      <c r="C104" s="202"/>
      <c r="D104" s="202"/>
      <c r="E104" s="202"/>
      <c r="F104" s="202"/>
    </row>
    <row r="105" spans="1:6">
      <c r="A105" s="202"/>
      <c r="B105" s="202"/>
      <c r="C105" s="202"/>
      <c r="D105" s="202"/>
      <c r="E105" s="202"/>
      <c r="F105" s="202"/>
    </row>
    <row r="106" spans="1:6">
      <c r="A106" s="202"/>
      <c r="B106" s="202"/>
      <c r="C106" s="202"/>
      <c r="D106" s="202"/>
      <c r="E106" s="202"/>
      <c r="F106" s="202"/>
    </row>
    <row r="107" spans="1:6">
      <c r="A107" s="202"/>
      <c r="B107" s="202"/>
      <c r="C107" s="202"/>
      <c r="D107" s="202"/>
      <c r="E107" s="202"/>
      <c r="F107" s="202"/>
    </row>
    <row r="108" spans="1:6">
      <c r="A108" s="202"/>
      <c r="B108" s="202"/>
      <c r="C108" s="202"/>
      <c r="D108" s="202"/>
      <c r="E108" s="202"/>
      <c r="F108" s="202"/>
    </row>
    <row r="109" spans="1:6">
      <c r="A109" s="202"/>
      <c r="B109" s="202"/>
      <c r="C109" s="202"/>
      <c r="D109" s="202"/>
      <c r="E109" s="202"/>
      <c r="F109" s="202"/>
    </row>
    <row r="110" spans="1:6">
      <c r="A110" s="202"/>
      <c r="B110" s="202"/>
      <c r="C110" s="202"/>
      <c r="D110" s="202"/>
      <c r="E110" s="202"/>
      <c r="F110" s="202"/>
    </row>
    <row r="111" spans="1:6">
      <c r="A111" s="202"/>
      <c r="B111" s="202"/>
      <c r="C111" s="202"/>
      <c r="D111" s="202"/>
      <c r="E111" s="202"/>
      <c r="F111" s="202"/>
    </row>
    <row r="112" spans="1:6">
      <c r="A112" s="202"/>
      <c r="B112" s="202"/>
      <c r="C112" s="202"/>
      <c r="D112" s="202"/>
      <c r="E112" s="202"/>
      <c r="F112" s="202"/>
    </row>
    <row r="113" spans="1:6">
      <c r="A113" s="202"/>
      <c r="B113" s="202"/>
      <c r="C113" s="202"/>
      <c r="D113" s="202"/>
      <c r="E113" s="202"/>
      <c r="F113" s="202"/>
    </row>
    <row r="114" spans="1:6">
      <c r="A114" s="202"/>
      <c r="B114" s="202"/>
      <c r="C114" s="202"/>
      <c r="D114" s="202"/>
      <c r="E114" s="202"/>
      <c r="F114" s="202"/>
    </row>
    <row r="115" spans="1:6">
      <c r="A115" s="202"/>
      <c r="B115" s="202"/>
      <c r="C115" s="202"/>
      <c r="D115" s="202"/>
      <c r="E115" s="202"/>
      <c r="F115" s="202"/>
    </row>
    <row r="116" spans="1:6">
      <c r="A116" s="202"/>
      <c r="B116" s="202"/>
      <c r="C116" s="202"/>
      <c r="D116" s="202"/>
      <c r="E116" s="202"/>
      <c r="F116" s="202"/>
    </row>
    <row r="117" spans="1:6">
      <c r="A117" s="202"/>
      <c r="B117" s="202"/>
      <c r="C117" s="202"/>
      <c r="D117" s="202"/>
      <c r="E117" s="202"/>
      <c r="F117" s="202"/>
    </row>
    <row r="118" spans="1:6">
      <c r="A118" s="202"/>
      <c r="B118" s="202"/>
      <c r="C118" s="202"/>
      <c r="D118" s="202"/>
      <c r="E118" s="202"/>
      <c r="F118" s="202"/>
    </row>
    <row r="119" spans="1:6">
      <c r="A119" s="202"/>
      <c r="B119" s="202"/>
      <c r="C119" s="202"/>
      <c r="D119" s="202"/>
      <c r="E119" s="202"/>
      <c r="F119" s="202"/>
    </row>
    <row r="120" spans="1:6">
      <c r="A120" s="202"/>
      <c r="B120" s="202"/>
      <c r="C120" s="202"/>
      <c r="D120" s="202"/>
      <c r="E120" s="202"/>
      <c r="F120" s="202"/>
    </row>
    <row r="121" spans="1:6">
      <c r="A121" s="202"/>
      <c r="B121" s="202"/>
      <c r="C121" s="202"/>
      <c r="D121" s="202"/>
      <c r="E121" s="202"/>
      <c r="F121" s="202"/>
    </row>
    <row r="122" spans="1:6">
      <c r="A122" s="202"/>
      <c r="B122" s="202"/>
      <c r="C122" s="202"/>
      <c r="D122" s="202"/>
      <c r="E122" s="202"/>
      <c r="F122" s="202"/>
    </row>
    <row r="123" spans="1:6">
      <c r="A123" s="202"/>
      <c r="B123" s="202"/>
      <c r="C123" s="202"/>
      <c r="D123" s="202"/>
      <c r="E123" s="202"/>
      <c r="F123" s="202"/>
    </row>
    <row r="124" spans="1:6">
      <c r="A124" s="202"/>
      <c r="B124" s="202"/>
      <c r="C124" s="202"/>
      <c r="D124" s="202"/>
      <c r="E124" s="202"/>
      <c r="F124" s="202"/>
    </row>
    <row r="125" spans="1:6">
      <c r="A125" s="202"/>
      <c r="B125" s="202"/>
      <c r="C125" s="202"/>
      <c r="D125" s="202"/>
      <c r="E125" s="202"/>
      <c r="F125" s="202"/>
    </row>
    <row r="126" spans="1:6">
      <c r="A126" s="202"/>
      <c r="B126" s="202"/>
      <c r="C126" s="202"/>
      <c r="D126" s="202"/>
      <c r="E126" s="202"/>
      <c r="F126" s="202"/>
    </row>
    <row r="127" spans="1:6">
      <c r="A127" s="202"/>
      <c r="B127" s="202"/>
      <c r="C127" s="202"/>
      <c r="D127" s="202"/>
      <c r="E127" s="202"/>
      <c r="F127" s="202"/>
    </row>
    <row r="128" spans="1:6">
      <c r="A128" s="202"/>
      <c r="B128" s="202"/>
      <c r="C128" s="202"/>
      <c r="D128" s="202"/>
      <c r="E128" s="202"/>
      <c r="F128" s="202"/>
    </row>
    <row r="129" spans="1:6">
      <c r="A129" s="202"/>
      <c r="B129" s="202"/>
      <c r="C129" s="202"/>
      <c r="D129" s="202"/>
      <c r="E129" s="202"/>
      <c r="F129" s="202"/>
    </row>
    <row r="130" spans="1:6">
      <c r="A130" s="202"/>
      <c r="B130" s="202"/>
      <c r="C130" s="202"/>
      <c r="D130" s="202"/>
      <c r="E130" s="202"/>
      <c r="F130" s="202"/>
    </row>
    <row r="131" spans="1:6">
      <c r="A131" s="202"/>
      <c r="B131" s="202"/>
      <c r="C131" s="202"/>
      <c r="D131" s="202"/>
      <c r="E131" s="202"/>
      <c r="F131" s="202"/>
    </row>
    <row r="132" spans="1:6">
      <c r="A132" s="202"/>
      <c r="B132" s="202"/>
      <c r="C132" s="202"/>
      <c r="D132" s="202"/>
      <c r="E132" s="202"/>
      <c r="F132" s="202"/>
    </row>
    <row r="133" spans="1:6">
      <c r="A133" s="202"/>
      <c r="B133" s="202"/>
      <c r="C133" s="202"/>
      <c r="D133" s="202"/>
      <c r="E133" s="202"/>
      <c r="F133" s="202"/>
    </row>
    <row r="134" spans="1:6">
      <c r="A134" s="202"/>
      <c r="B134" s="202"/>
      <c r="C134" s="202"/>
      <c r="D134" s="202"/>
      <c r="E134" s="202"/>
      <c r="F134" s="202"/>
    </row>
    <row r="135" spans="1:6">
      <c r="A135" s="202"/>
      <c r="B135" s="202"/>
      <c r="C135" s="202"/>
      <c r="D135" s="202"/>
      <c r="E135" s="202"/>
      <c r="F135" s="202"/>
    </row>
    <row r="136" spans="1:6">
      <c r="A136" s="202"/>
      <c r="B136" s="202"/>
      <c r="C136" s="202"/>
      <c r="D136" s="202"/>
      <c r="E136" s="202"/>
      <c r="F136" s="202"/>
    </row>
    <row r="137" spans="1:6">
      <c r="A137" s="202"/>
      <c r="B137" s="202"/>
      <c r="C137" s="202"/>
      <c r="D137" s="202"/>
      <c r="E137" s="202"/>
      <c r="F137" s="202"/>
    </row>
    <row r="138" spans="1:6">
      <c r="A138" s="202"/>
      <c r="B138" s="202"/>
      <c r="C138" s="202"/>
      <c r="D138" s="202"/>
      <c r="E138" s="202"/>
      <c r="F138" s="202"/>
    </row>
    <row r="139" spans="1:6">
      <c r="A139" s="202"/>
      <c r="B139" s="202"/>
      <c r="C139" s="202"/>
      <c r="D139" s="202"/>
      <c r="E139" s="202"/>
      <c r="F139" s="202"/>
    </row>
    <row r="140" spans="1:6">
      <c r="A140" s="202"/>
      <c r="B140" s="202"/>
      <c r="C140" s="202"/>
      <c r="D140" s="202"/>
      <c r="E140" s="202"/>
      <c r="F140" s="202"/>
    </row>
    <row r="141" spans="1:6">
      <c r="A141" s="202"/>
      <c r="B141" s="202"/>
      <c r="C141" s="202"/>
      <c r="D141" s="202"/>
      <c r="E141" s="202"/>
      <c r="F141" s="202"/>
    </row>
    <row r="142" spans="1:6">
      <c r="A142" s="202"/>
      <c r="B142" s="202"/>
      <c r="C142" s="202"/>
      <c r="D142" s="202"/>
      <c r="E142" s="202"/>
      <c r="F142" s="202"/>
    </row>
    <row r="143" spans="1:6">
      <c r="A143" s="202"/>
      <c r="B143" s="202"/>
      <c r="C143" s="202"/>
      <c r="D143" s="202"/>
      <c r="E143" s="202"/>
      <c r="F143" s="202"/>
    </row>
    <row r="144" spans="1:6">
      <c r="A144" s="202"/>
      <c r="B144" s="202"/>
      <c r="C144" s="202"/>
      <c r="D144" s="202"/>
      <c r="E144" s="202"/>
      <c r="F144" s="202"/>
    </row>
    <row r="145" spans="1:6">
      <c r="A145" s="202"/>
      <c r="B145" s="202"/>
      <c r="C145" s="202"/>
      <c r="D145" s="202"/>
      <c r="E145" s="202"/>
      <c r="F145" s="202"/>
    </row>
    <row r="146" spans="1:6">
      <c r="A146" s="202"/>
      <c r="B146" s="202"/>
      <c r="C146" s="202"/>
      <c r="D146" s="202"/>
      <c r="E146" s="202"/>
      <c r="F146" s="202"/>
    </row>
    <row r="147" spans="1:6">
      <c r="A147" s="202"/>
      <c r="B147" s="202"/>
      <c r="C147" s="202"/>
      <c r="D147" s="202"/>
      <c r="E147" s="202"/>
      <c r="F147" s="202"/>
    </row>
    <row r="148" spans="1:6">
      <c r="A148" s="202"/>
      <c r="B148" s="202"/>
      <c r="C148" s="202"/>
      <c r="D148" s="202"/>
      <c r="E148" s="202"/>
      <c r="F148" s="202"/>
    </row>
    <row r="149" spans="1:6">
      <c r="A149" s="202"/>
      <c r="B149" s="202"/>
      <c r="C149" s="202"/>
      <c r="D149" s="202"/>
      <c r="E149" s="202"/>
      <c r="F149" s="202"/>
    </row>
    <row r="150" spans="1:6">
      <c r="A150" s="202"/>
      <c r="B150" s="202"/>
      <c r="C150" s="202"/>
      <c r="D150" s="202"/>
      <c r="E150" s="202"/>
      <c r="F150" s="202"/>
    </row>
    <row r="151" spans="1:6">
      <c r="A151" s="202"/>
      <c r="B151" s="202"/>
      <c r="C151" s="202"/>
      <c r="D151" s="202"/>
      <c r="E151" s="202"/>
      <c r="F151" s="202"/>
    </row>
    <row r="152" spans="1:6">
      <c r="A152" s="202"/>
      <c r="B152" s="202"/>
      <c r="C152" s="202"/>
      <c r="D152" s="202"/>
      <c r="E152" s="202"/>
      <c r="F152" s="202"/>
    </row>
    <row r="153" spans="1:6">
      <c r="A153" s="202"/>
      <c r="B153" s="202"/>
      <c r="C153" s="202"/>
      <c r="D153" s="202"/>
      <c r="E153" s="202"/>
      <c r="F153" s="202"/>
    </row>
    <row r="154" spans="1:6">
      <c r="A154" s="202"/>
      <c r="B154" s="202"/>
      <c r="C154" s="202"/>
      <c r="D154" s="202"/>
      <c r="E154" s="202"/>
      <c r="F154" s="202"/>
    </row>
    <row r="155" spans="1:6">
      <c r="A155" s="202"/>
      <c r="B155" s="202"/>
      <c r="C155" s="202"/>
      <c r="D155" s="202"/>
      <c r="E155" s="202"/>
      <c r="F155" s="202"/>
    </row>
    <row r="156" spans="1:6">
      <c r="A156" s="202"/>
      <c r="B156" s="202"/>
      <c r="C156" s="202"/>
      <c r="D156" s="202"/>
      <c r="E156" s="202"/>
      <c r="F156" s="202"/>
    </row>
    <row r="157" spans="1:6">
      <c r="A157" s="202"/>
      <c r="B157" s="202"/>
      <c r="C157" s="202"/>
      <c r="D157" s="202"/>
      <c r="E157" s="202"/>
      <c r="F157" s="202"/>
    </row>
    <row r="158" spans="1:6">
      <c r="A158" s="202"/>
      <c r="B158" s="202"/>
      <c r="C158" s="202"/>
      <c r="D158" s="202"/>
      <c r="E158" s="202"/>
      <c r="F158" s="202"/>
    </row>
    <row r="159" spans="1:6">
      <c r="A159" s="202"/>
      <c r="B159" s="202"/>
      <c r="C159" s="202"/>
      <c r="D159" s="202"/>
      <c r="E159" s="202"/>
      <c r="F159" s="202"/>
    </row>
    <row r="160" spans="1:6">
      <c r="A160" s="202"/>
      <c r="B160" s="202"/>
      <c r="C160" s="202"/>
      <c r="D160" s="202"/>
      <c r="E160" s="202"/>
      <c r="F160" s="202"/>
    </row>
    <row r="161" spans="1:6">
      <c r="A161" s="202"/>
      <c r="B161" s="202"/>
      <c r="C161" s="202"/>
      <c r="D161" s="202"/>
      <c r="E161" s="202"/>
      <c r="F161" s="202"/>
    </row>
    <row r="162" spans="1:6">
      <c r="A162" s="202"/>
      <c r="B162" s="202"/>
      <c r="C162" s="202"/>
      <c r="D162" s="202"/>
      <c r="E162" s="202"/>
      <c r="F162" s="202"/>
    </row>
    <row r="163" spans="1:6">
      <c r="A163" s="202"/>
      <c r="B163" s="202"/>
      <c r="C163" s="202"/>
      <c r="D163" s="202"/>
      <c r="E163" s="202"/>
      <c r="F163" s="202"/>
    </row>
    <row r="164" spans="1:6">
      <c r="A164" s="202"/>
      <c r="B164" s="202"/>
      <c r="C164" s="202"/>
      <c r="D164" s="202"/>
      <c r="E164" s="202"/>
      <c r="F164" s="202"/>
    </row>
    <row r="165" spans="1:6">
      <c r="A165" s="202"/>
      <c r="B165" s="202"/>
      <c r="C165" s="202"/>
      <c r="D165" s="202"/>
      <c r="E165" s="202"/>
      <c r="F165" s="202"/>
    </row>
    <row r="166" spans="1:6">
      <c r="A166" s="202"/>
      <c r="B166" s="202"/>
      <c r="C166" s="202"/>
      <c r="D166" s="202"/>
      <c r="E166" s="202"/>
      <c r="F166" s="202"/>
    </row>
    <row r="167" spans="1:6">
      <c r="A167" s="202"/>
      <c r="B167" s="202"/>
      <c r="C167" s="202"/>
      <c r="D167" s="202"/>
      <c r="E167" s="202"/>
      <c r="F167" s="202"/>
    </row>
    <row r="168" spans="1:6">
      <c r="A168" s="202"/>
      <c r="B168" s="202"/>
      <c r="C168" s="202"/>
      <c r="D168" s="202"/>
      <c r="E168" s="202"/>
      <c r="F168" s="202"/>
    </row>
    <row r="169" spans="1:6">
      <c r="A169" s="202"/>
      <c r="B169" s="202"/>
      <c r="C169" s="202"/>
      <c r="D169" s="202"/>
      <c r="E169" s="202"/>
      <c r="F169" s="202"/>
    </row>
    <row r="170" spans="1:6">
      <c r="A170" s="202"/>
      <c r="B170" s="202"/>
      <c r="C170" s="202"/>
      <c r="D170" s="202"/>
      <c r="E170" s="202"/>
      <c r="F170" s="202"/>
    </row>
    <row r="171" spans="1:6">
      <c r="A171" s="202"/>
      <c r="B171" s="202"/>
      <c r="C171" s="202"/>
      <c r="D171" s="202"/>
      <c r="E171" s="202"/>
      <c r="F171" s="202"/>
    </row>
    <row r="172" spans="1:6">
      <c r="A172" s="202"/>
      <c r="B172" s="202"/>
      <c r="C172" s="202"/>
      <c r="D172" s="202"/>
      <c r="E172" s="202"/>
      <c r="F172" s="202"/>
    </row>
    <row r="173" spans="1:6">
      <c r="A173" s="202"/>
      <c r="B173" s="202"/>
      <c r="C173" s="202"/>
      <c r="D173" s="202"/>
      <c r="E173" s="202"/>
      <c r="F173" s="202"/>
    </row>
    <row r="174" spans="1:6">
      <c r="A174" s="202"/>
      <c r="B174" s="202"/>
      <c r="C174" s="202"/>
      <c r="D174" s="202"/>
      <c r="E174" s="202"/>
      <c r="F174" s="202"/>
    </row>
    <row r="175" spans="1:6">
      <c r="A175" s="202"/>
      <c r="B175" s="202"/>
      <c r="C175" s="202"/>
      <c r="D175" s="202"/>
      <c r="E175" s="202"/>
      <c r="F175" s="202"/>
    </row>
    <row r="176" spans="1:6">
      <c r="A176" s="202"/>
      <c r="B176" s="202"/>
      <c r="C176" s="202"/>
      <c r="D176" s="202"/>
      <c r="E176" s="202"/>
      <c r="F176" s="202"/>
    </row>
    <row r="177" spans="1:6">
      <c r="A177" s="202"/>
      <c r="B177" s="202"/>
      <c r="C177" s="202"/>
      <c r="D177" s="202"/>
      <c r="E177" s="202"/>
      <c r="F177" s="202"/>
    </row>
    <row r="178" spans="1:6">
      <c r="A178" s="202"/>
      <c r="B178" s="202"/>
      <c r="C178" s="202"/>
      <c r="D178" s="202"/>
      <c r="E178" s="202"/>
      <c r="F178" s="202"/>
    </row>
    <row r="179" spans="1:6">
      <c r="A179" s="202"/>
      <c r="B179" s="202"/>
      <c r="C179" s="202"/>
      <c r="D179" s="202"/>
      <c r="E179" s="202"/>
      <c r="F179" s="202"/>
    </row>
    <row r="180" spans="1:6">
      <c r="A180" s="202"/>
      <c r="B180" s="202"/>
      <c r="C180" s="202"/>
      <c r="D180" s="202"/>
      <c r="E180" s="202"/>
      <c r="F180" s="202"/>
    </row>
    <row r="181" spans="1:6">
      <c r="A181" s="202"/>
      <c r="B181" s="202"/>
      <c r="C181" s="202"/>
      <c r="D181" s="202"/>
      <c r="E181" s="202"/>
      <c r="F181" s="202"/>
    </row>
    <row r="182" spans="1:6">
      <c r="A182" s="202"/>
      <c r="B182" s="202"/>
      <c r="C182" s="202"/>
      <c r="D182" s="202"/>
      <c r="E182" s="202"/>
      <c r="F182" s="202"/>
    </row>
    <row r="183" spans="1:6">
      <c r="A183" s="202"/>
      <c r="B183" s="202"/>
      <c r="C183" s="202"/>
      <c r="D183" s="202"/>
      <c r="E183" s="202"/>
      <c r="F183" s="202"/>
    </row>
    <row r="184" spans="1:6">
      <c r="A184" s="202"/>
      <c r="B184" s="202"/>
      <c r="C184" s="202"/>
      <c r="D184" s="202"/>
      <c r="E184" s="202"/>
      <c r="F184" s="202"/>
    </row>
    <row r="185" spans="1:6">
      <c r="A185" s="202"/>
      <c r="B185" s="202"/>
      <c r="C185" s="202"/>
      <c r="D185" s="202"/>
      <c r="E185" s="202"/>
      <c r="F185" s="202"/>
    </row>
    <row r="186" spans="1:6">
      <c r="A186" s="202"/>
      <c r="B186" s="202"/>
      <c r="C186" s="202"/>
      <c r="D186" s="202"/>
      <c r="E186" s="202"/>
      <c r="F186" s="202"/>
    </row>
    <row r="187" spans="1:6">
      <c r="A187" s="202"/>
      <c r="B187" s="202"/>
      <c r="C187" s="202"/>
      <c r="D187" s="202"/>
      <c r="E187" s="202"/>
      <c r="F187" s="202"/>
    </row>
    <row r="188" spans="1:6">
      <c r="A188" s="202"/>
      <c r="B188" s="202"/>
      <c r="C188" s="202"/>
      <c r="D188" s="202"/>
      <c r="E188" s="202"/>
      <c r="F188" s="202"/>
    </row>
    <row r="189" spans="1:6">
      <c r="A189" s="202"/>
      <c r="B189" s="202"/>
      <c r="C189" s="202"/>
      <c r="D189" s="202"/>
      <c r="E189" s="202"/>
      <c r="F189" s="202"/>
    </row>
    <row r="190" spans="1:6">
      <c r="A190" s="202"/>
      <c r="B190" s="202"/>
      <c r="C190" s="202"/>
      <c r="D190" s="202"/>
      <c r="E190" s="202"/>
      <c r="F190" s="202"/>
    </row>
    <row r="191" spans="1:6">
      <c r="A191" s="202"/>
      <c r="B191" s="202"/>
      <c r="C191" s="202"/>
      <c r="D191" s="202"/>
      <c r="E191" s="202"/>
      <c r="F191" s="202"/>
    </row>
    <row r="192" spans="1:6">
      <c r="A192" s="202"/>
      <c r="B192" s="202"/>
      <c r="C192" s="202"/>
      <c r="D192" s="202"/>
      <c r="E192" s="202"/>
      <c r="F192" s="202"/>
    </row>
    <row r="193" spans="1:6">
      <c r="A193" s="202"/>
      <c r="B193" s="202"/>
      <c r="C193" s="202"/>
      <c r="D193" s="202"/>
      <c r="E193" s="202"/>
      <c r="F193" s="202"/>
    </row>
    <row r="194" spans="1:6">
      <c r="A194" s="202"/>
      <c r="B194" s="202"/>
      <c r="C194" s="202"/>
      <c r="D194" s="202"/>
      <c r="E194" s="202"/>
      <c r="F194" s="202"/>
    </row>
    <row r="195" spans="1:6">
      <c r="A195" s="202"/>
      <c r="B195" s="202"/>
      <c r="C195" s="202"/>
      <c r="D195" s="202"/>
      <c r="E195" s="202"/>
      <c r="F195" s="202"/>
    </row>
    <row r="196" spans="1:6">
      <c r="A196" s="202"/>
      <c r="B196" s="202"/>
      <c r="C196" s="202"/>
      <c r="D196" s="202"/>
      <c r="E196" s="202"/>
      <c r="F196" s="202"/>
    </row>
    <row r="197" spans="1:6">
      <c r="A197" s="202"/>
      <c r="B197" s="202"/>
      <c r="C197" s="202"/>
      <c r="D197" s="202"/>
      <c r="E197" s="202"/>
      <c r="F197" s="202"/>
    </row>
    <row r="198" spans="1:6">
      <c r="A198" s="202"/>
      <c r="B198" s="202"/>
      <c r="C198" s="202"/>
      <c r="D198" s="202"/>
      <c r="E198" s="202"/>
      <c r="F198" s="202"/>
    </row>
    <row r="199" spans="1:6">
      <c r="A199" s="202"/>
      <c r="B199" s="202"/>
      <c r="C199" s="202"/>
      <c r="D199" s="202"/>
      <c r="E199" s="202"/>
      <c r="F199" s="202"/>
    </row>
    <row r="200" spans="1:6">
      <c r="A200" s="202"/>
      <c r="B200" s="202"/>
      <c r="C200" s="202"/>
      <c r="D200" s="202"/>
      <c r="E200" s="202"/>
      <c r="F200" s="202"/>
    </row>
    <row r="201" spans="1:6">
      <c r="A201" s="202"/>
      <c r="B201" s="202"/>
      <c r="C201" s="202"/>
      <c r="D201" s="202"/>
      <c r="E201" s="202"/>
      <c r="F201" s="202"/>
    </row>
    <row r="202" spans="1:6">
      <c r="A202" s="202"/>
      <c r="B202" s="202"/>
      <c r="C202" s="202"/>
      <c r="D202" s="202"/>
      <c r="E202" s="202"/>
      <c r="F202" s="202"/>
    </row>
    <row r="203" spans="1:6">
      <c r="A203" s="202"/>
      <c r="B203" s="202"/>
      <c r="C203" s="202"/>
      <c r="D203" s="202"/>
      <c r="E203" s="202"/>
      <c r="F203" s="202"/>
    </row>
    <row r="204" spans="1:6">
      <c r="A204" s="202"/>
      <c r="B204" s="202"/>
      <c r="C204" s="202"/>
      <c r="D204" s="202"/>
      <c r="E204" s="202"/>
      <c r="F204" s="202"/>
    </row>
    <row r="205" spans="1:6">
      <c r="A205" s="202"/>
      <c r="B205" s="202"/>
      <c r="C205" s="202"/>
      <c r="D205" s="202"/>
      <c r="E205" s="202"/>
      <c r="F205" s="202"/>
    </row>
    <row r="206" spans="1:6">
      <c r="A206" s="202"/>
      <c r="B206" s="202"/>
      <c r="C206" s="202"/>
      <c r="D206" s="202"/>
      <c r="E206" s="202"/>
      <c r="F206" s="202"/>
    </row>
    <row r="207" spans="1:6">
      <c r="A207" s="202"/>
      <c r="B207" s="202"/>
      <c r="C207" s="202"/>
      <c r="D207" s="202"/>
      <c r="E207" s="202"/>
      <c r="F207" s="202"/>
    </row>
    <row r="208" spans="1:6">
      <c r="A208" s="202"/>
      <c r="B208" s="202"/>
      <c r="C208" s="202"/>
      <c r="D208" s="202"/>
      <c r="E208" s="202"/>
      <c r="F208" s="202"/>
    </row>
    <row r="209" spans="1:6">
      <c r="A209" s="202"/>
      <c r="B209" s="202"/>
      <c r="C209" s="202"/>
      <c r="D209" s="202"/>
      <c r="E209" s="202"/>
      <c r="F209" s="202"/>
    </row>
    <row r="210" spans="1:6">
      <c r="A210" s="202"/>
      <c r="B210" s="202"/>
      <c r="C210" s="202"/>
      <c r="D210" s="202"/>
      <c r="E210" s="202"/>
      <c r="F210" s="202"/>
    </row>
    <row r="211" spans="1:6">
      <c r="A211" s="202"/>
      <c r="B211" s="202"/>
      <c r="C211" s="202"/>
      <c r="D211" s="202"/>
      <c r="E211" s="202"/>
      <c r="F211" s="202"/>
    </row>
    <row r="212" spans="1:6">
      <c r="A212" s="202"/>
      <c r="B212" s="202"/>
      <c r="C212" s="202"/>
      <c r="D212" s="202"/>
      <c r="E212" s="202"/>
      <c r="F212" s="202"/>
    </row>
    <row r="213" spans="1:6">
      <c r="A213" s="202"/>
      <c r="B213" s="202"/>
      <c r="C213" s="202"/>
      <c r="D213" s="202"/>
      <c r="E213" s="202"/>
      <c r="F213" s="202"/>
    </row>
    <row r="214" spans="1:6">
      <c r="A214" s="202"/>
      <c r="B214" s="202"/>
      <c r="C214" s="202"/>
      <c r="D214" s="202"/>
      <c r="E214" s="202"/>
      <c r="F214" s="202"/>
    </row>
    <row r="215" spans="1:6">
      <c r="A215" s="202"/>
      <c r="B215" s="202"/>
      <c r="C215" s="202"/>
      <c r="D215" s="202"/>
      <c r="E215" s="202"/>
      <c r="F215" s="202"/>
    </row>
    <row r="216" spans="1:6">
      <c r="A216" s="202"/>
      <c r="B216" s="202"/>
      <c r="C216" s="202"/>
      <c r="D216" s="202"/>
      <c r="E216" s="202"/>
      <c r="F216" s="202"/>
    </row>
    <row r="217" spans="1:6">
      <c r="A217" s="202"/>
      <c r="B217" s="202"/>
      <c r="C217" s="202"/>
      <c r="D217" s="202"/>
      <c r="E217" s="202"/>
      <c r="F217" s="202"/>
    </row>
    <row r="218" spans="1:6">
      <c r="A218" s="202"/>
      <c r="B218" s="202"/>
      <c r="C218" s="202"/>
      <c r="D218" s="202"/>
      <c r="E218" s="202"/>
      <c r="F218" s="202"/>
    </row>
    <row r="219" spans="1:6">
      <c r="A219" s="202"/>
      <c r="B219" s="202"/>
      <c r="C219" s="202"/>
      <c r="D219" s="202"/>
      <c r="E219" s="202"/>
      <c r="F219" s="202"/>
    </row>
    <row r="220" spans="1:6">
      <c r="A220" s="202"/>
      <c r="B220" s="202"/>
      <c r="C220" s="202"/>
      <c r="D220" s="202"/>
      <c r="E220" s="202"/>
      <c r="F220" s="202"/>
    </row>
    <row r="221" spans="1:6">
      <c r="A221" s="202"/>
      <c r="B221" s="202"/>
      <c r="C221" s="202"/>
      <c r="D221" s="202"/>
      <c r="E221" s="202"/>
      <c r="F221" s="202"/>
    </row>
    <row r="222" spans="1:6">
      <c r="A222" s="202"/>
      <c r="B222" s="202"/>
      <c r="C222" s="202"/>
      <c r="D222" s="202"/>
      <c r="E222" s="202"/>
      <c r="F222" s="202"/>
    </row>
    <row r="223" spans="1:6">
      <c r="A223" s="202"/>
      <c r="B223" s="202"/>
      <c r="C223" s="202"/>
      <c r="D223" s="202"/>
      <c r="E223" s="202"/>
      <c r="F223" s="202"/>
    </row>
    <row r="224" spans="1:6">
      <c r="A224" s="202"/>
      <c r="B224" s="202"/>
      <c r="C224" s="202"/>
      <c r="D224" s="202"/>
      <c r="E224" s="202"/>
      <c r="F224" s="202"/>
    </row>
    <row r="225" spans="1:6">
      <c r="A225" s="202"/>
      <c r="B225" s="202"/>
      <c r="C225" s="202"/>
      <c r="D225" s="202"/>
      <c r="E225" s="202"/>
      <c r="F225" s="202"/>
    </row>
    <row r="226" spans="1:6">
      <c r="A226" s="202"/>
      <c r="B226" s="202"/>
      <c r="C226" s="202"/>
      <c r="D226" s="202"/>
      <c r="E226" s="202"/>
      <c r="F226" s="202"/>
    </row>
    <row r="227" spans="1:6">
      <c r="A227" s="202"/>
      <c r="B227" s="202"/>
      <c r="C227" s="202"/>
      <c r="D227" s="202"/>
      <c r="E227" s="202"/>
      <c r="F227" s="202"/>
    </row>
    <row r="228" spans="1:6">
      <c r="A228" s="202"/>
      <c r="B228" s="202"/>
      <c r="C228" s="202"/>
      <c r="D228" s="202"/>
      <c r="E228" s="202"/>
      <c r="F228" s="202"/>
    </row>
    <row r="229" spans="1:6">
      <c r="A229" s="202"/>
      <c r="B229" s="202"/>
      <c r="C229" s="202"/>
      <c r="D229" s="202"/>
      <c r="E229" s="202"/>
      <c r="F229" s="202"/>
    </row>
    <row r="230" spans="1:6">
      <c r="A230" s="202"/>
      <c r="B230" s="202"/>
      <c r="C230" s="202"/>
      <c r="D230" s="202"/>
      <c r="E230" s="202"/>
      <c r="F230" s="202"/>
    </row>
    <row r="231" spans="1:6">
      <c r="A231" s="202"/>
      <c r="B231" s="202"/>
      <c r="C231" s="202"/>
      <c r="D231" s="202"/>
      <c r="E231" s="202"/>
      <c r="F231" s="202"/>
    </row>
    <row r="232" spans="1:6">
      <c r="A232" s="202"/>
      <c r="B232" s="202"/>
      <c r="C232" s="202"/>
      <c r="D232" s="202"/>
      <c r="E232" s="202"/>
      <c r="F232" s="202"/>
    </row>
    <row r="233" spans="1:6">
      <c r="A233" s="202"/>
      <c r="B233" s="202"/>
      <c r="C233" s="202"/>
      <c r="D233" s="202"/>
      <c r="E233" s="202"/>
      <c r="F233" s="202"/>
    </row>
    <row r="234" spans="1:6">
      <c r="A234" s="202"/>
      <c r="B234" s="202"/>
      <c r="C234" s="202"/>
      <c r="D234" s="202"/>
      <c r="E234" s="202"/>
      <c r="F234" s="202"/>
    </row>
    <row r="235" spans="1:6">
      <c r="A235" s="202"/>
      <c r="B235" s="202"/>
      <c r="C235" s="202"/>
      <c r="D235" s="202"/>
      <c r="E235" s="202"/>
      <c r="F235" s="202"/>
    </row>
    <row r="236" spans="1:6">
      <c r="A236" s="202"/>
      <c r="B236" s="202"/>
      <c r="C236" s="202"/>
      <c r="D236" s="202"/>
      <c r="E236" s="202"/>
      <c r="F236" s="202"/>
    </row>
    <row r="237" spans="1:6">
      <c r="A237" s="202"/>
      <c r="B237" s="202"/>
      <c r="C237" s="202"/>
      <c r="D237" s="202"/>
      <c r="E237" s="202"/>
      <c r="F237" s="202"/>
    </row>
    <row r="238" spans="1:6">
      <c r="A238" s="202"/>
      <c r="B238" s="202"/>
      <c r="C238" s="202"/>
      <c r="D238" s="202"/>
      <c r="E238" s="202"/>
      <c r="F238" s="202"/>
    </row>
    <row r="239" spans="1:6">
      <c r="A239" s="202"/>
      <c r="B239" s="202"/>
      <c r="C239" s="202"/>
      <c r="D239" s="202"/>
      <c r="E239" s="202"/>
      <c r="F239" s="202"/>
    </row>
    <row r="240" spans="1:6">
      <c r="A240" s="202"/>
      <c r="B240" s="202"/>
      <c r="C240" s="202"/>
      <c r="D240" s="202"/>
      <c r="E240" s="202"/>
      <c r="F240" s="202"/>
    </row>
    <row r="241" spans="1:6">
      <c r="A241" s="202"/>
      <c r="B241" s="202"/>
      <c r="C241" s="202"/>
      <c r="D241" s="202"/>
      <c r="E241" s="202"/>
      <c r="F241" s="202"/>
    </row>
    <row r="242" spans="1:6">
      <c r="A242" s="202"/>
      <c r="B242" s="202"/>
      <c r="C242" s="202"/>
      <c r="D242" s="202"/>
      <c r="E242" s="202"/>
      <c r="F242" s="202"/>
    </row>
    <row r="243" spans="1:6">
      <c r="A243" s="202"/>
      <c r="B243" s="202"/>
      <c r="C243" s="202"/>
      <c r="D243" s="202"/>
      <c r="E243" s="202"/>
      <c r="F243" s="202"/>
    </row>
    <row r="244" spans="1:6">
      <c r="A244" s="202"/>
      <c r="B244" s="202"/>
      <c r="C244" s="202"/>
      <c r="D244" s="202"/>
      <c r="E244" s="202"/>
      <c r="F244" s="202"/>
    </row>
    <row r="245" spans="1:6">
      <c r="A245" s="202"/>
      <c r="B245" s="202"/>
      <c r="C245" s="202"/>
      <c r="D245" s="202"/>
      <c r="E245" s="202"/>
      <c r="F245" s="202"/>
    </row>
    <row r="246" spans="1:6">
      <c r="A246" s="202"/>
      <c r="B246" s="202"/>
      <c r="C246" s="202"/>
      <c r="D246" s="202"/>
      <c r="E246" s="202"/>
      <c r="F246" s="202"/>
    </row>
    <row r="247" spans="1:6">
      <c r="A247" s="202"/>
      <c r="B247" s="202"/>
      <c r="C247" s="202"/>
      <c r="D247" s="202"/>
      <c r="E247" s="202"/>
      <c r="F247" s="202"/>
    </row>
    <row r="248" spans="1:6">
      <c r="A248" s="202"/>
      <c r="B248" s="202"/>
      <c r="C248" s="202"/>
      <c r="D248" s="202"/>
      <c r="E248" s="202"/>
      <c r="F248" s="202"/>
    </row>
    <row r="249" spans="1:6">
      <c r="A249" s="202"/>
      <c r="B249" s="202"/>
      <c r="C249" s="202"/>
      <c r="D249" s="202"/>
      <c r="E249" s="202"/>
      <c r="F249" s="202"/>
    </row>
    <row r="250" spans="1:6">
      <c r="A250" s="202"/>
      <c r="B250" s="202"/>
      <c r="C250" s="202"/>
      <c r="D250" s="202"/>
      <c r="E250" s="202"/>
      <c r="F250" s="202"/>
    </row>
    <row r="251" spans="1:6">
      <c r="A251" s="202"/>
      <c r="B251" s="202"/>
      <c r="C251" s="202"/>
      <c r="D251" s="202"/>
      <c r="E251" s="202"/>
      <c r="F251" s="202"/>
    </row>
    <row r="252" spans="1:6">
      <c r="A252" s="202"/>
      <c r="B252" s="202"/>
      <c r="C252" s="202"/>
      <c r="D252" s="202"/>
      <c r="E252" s="202"/>
      <c r="F252" s="202"/>
    </row>
    <row r="253" spans="1:6">
      <c r="A253" s="202"/>
      <c r="B253" s="202"/>
      <c r="C253" s="202"/>
      <c r="D253" s="202"/>
      <c r="E253" s="202"/>
      <c r="F253" s="202"/>
    </row>
    <row r="254" spans="1:6">
      <c r="A254" s="202"/>
      <c r="B254" s="202"/>
      <c r="C254" s="202"/>
      <c r="D254" s="202"/>
      <c r="E254" s="202"/>
      <c r="F254" s="202"/>
    </row>
    <row r="255" spans="1:6">
      <c r="A255" s="202"/>
      <c r="B255" s="202"/>
      <c r="C255" s="202"/>
      <c r="D255" s="202"/>
      <c r="E255" s="202"/>
      <c r="F255" s="202"/>
    </row>
    <row r="256" spans="1:6">
      <c r="A256" s="202"/>
      <c r="B256" s="202"/>
      <c r="C256" s="202"/>
      <c r="D256" s="202"/>
      <c r="E256" s="202"/>
      <c r="F256" s="202"/>
    </row>
    <row r="257" spans="1:6">
      <c r="A257" s="202"/>
      <c r="B257" s="202"/>
      <c r="C257" s="202"/>
      <c r="D257" s="202"/>
      <c r="E257" s="202"/>
      <c r="F257" s="202"/>
    </row>
    <row r="258" spans="1:6">
      <c r="A258" s="202"/>
      <c r="B258" s="202"/>
      <c r="C258" s="202"/>
      <c r="D258" s="202"/>
      <c r="E258" s="202"/>
      <c r="F258" s="202"/>
    </row>
    <row r="259" spans="1:6">
      <c r="A259" s="202"/>
      <c r="B259" s="202"/>
      <c r="C259" s="202"/>
      <c r="D259" s="202"/>
      <c r="E259" s="202"/>
      <c r="F259" s="202"/>
    </row>
    <row r="260" spans="1:6">
      <c r="A260" s="202"/>
      <c r="B260" s="202"/>
      <c r="C260" s="202"/>
      <c r="D260" s="202"/>
      <c r="E260" s="202"/>
      <c r="F260" s="202"/>
    </row>
    <row r="261" spans="1:6">
      <c r="A261" s="202"/>
      <c r="B261" s="202"/>
      <c r="C261" s="202"/>
      <c r="D261" s="202"/>
      <c r="E261" s="202"/>
      <c r="F261" s="202"/>
    </row>
    <row r="262" spans="1:6">
      <c r="A262" s="202"/>
      <c r="B262" s="202"/>
      <c r="C262" s="202"/>
      <c r="D262" s="202"/>
      <c r="E262" s="202"/>
      <c r="F262" s="202"/>
    </row>
    <row r="263" spans="1:6">
      <c r="A263" s="202"/>
      <c r="B263" s="202"/>
      <c r="C263" s="202"/>
      <c r="D263" s="202"/>
      <c r="E263" s="202"/>
      <c r="F263" s="202"/>
    </row>
    <row r="264" spans="1:6">
      <c r="A264" s="202"/>
      <c r="B264" s="202"/>
      <c r="C264" s="202"/>
      <c r="D264" s="202"/>
      <c r="E264" s="202"/>
      <c r="F264" s="202"/>
    </row>
    <row r="265" spans="1:6">
      <c r="A265" s="202"/>
      <c r="B265" s="202"/>
      <c r="C265" s="202"/>
      <c r="D265" s="202"/>
      <c r="E265" s="202"/>
      <c r="F265" s="202"/>
    </row>
    <row r="266" spans="1:6">
      <c r="A266" s="202"/>
      <c r="B266" s="202"/>
      <c r="C266" s="202"/>
      <c r="D266" s="202"/>
      <c r="E266" s="202"/>
      <c r="F266" s="202"/>
    </row>
    <row r="267" spans="1:6">
      <c r="A267" s="202"/>
      <c r="B267" s="202"/>
      <c r="C267" s="202"/>
      <c r="D267" s="202"/>
      <c r="E267" s="202"/>
      <c r="F267" s="202"/>
    </row>
    <row r="268" spans="1:6">
      <c r="A268" s="202"/>
      <c r="B268" s="202"/>
      <c r="C268" s="202"/>
      <c r="D268" s="202"/>
      <c r="E268" s="202"/>
      <c r="F268" s="202"/>
    </row>
    <row r="269" spans="1:6">
      <c r="A269" s="202"/>
      <c r="B269" s="202"/>
      <c r="C269" s="202"/>
      <c r="D269" s="202"/>
      <c r="E269" s="202"/>
      <c r="F269" s="202"/>
    </row>
    <row r="270" spans="1:6">
      <c r="A270" s="202"/>
      <c r="B270" s="202"/>
      <c r="C270" s="202"/>
      <c r="D270" s="202"/>
      <c r="E270" s="202"/>
      <c r="F270" s="202"/>
    </row>
    <row r="271" spans="1:6">
      <c r="A271" s="202"/>
      <c r="B271" s="202"/>
      <c r="C271" s="202"/>
      <c r="D271" s="202"/>
      <c r="E271" s="202"/>
      <c r="F271" s="202"/>
    </row>
    <row r="272" spans="1:6">
      <c r="A272" s="202"/>
      <c r="B272" s="202"/>
      <c r="C272" s="202"/>
      <c r="D272" s="202"/>
      <c r="E272" s="202"/>
      <c r="F272" s="202"/>
    </row>
    <row r="273" spans="1:6">
      <c r="A273" s="202"/>
      <c r="B273" s="202"/>
      <c r="C273" s="202"/>
      <c r="D273" s="202"/>
      <c r="E273" s="202"/>
      <c r="F273" s="202"/>
    </row>
    <row r="274" spans="1:6">
      <c r="A274" s="202"/>
      <c r="B274" s="202"/>
      <c r="C274" s="202"/>
      <c r="D274" s="202"/>
      <c r="E274" s="202"/>
      <c r="F274" s="202"/>
    </row>
    <row r="275" spans="1:6">
      <c r="A275" s="202"/>
      <c r="B275" s="202"/>
      <c r="C275" s="202"/>
      <c r="D275" s="202"/>
      <c r="E275" s="202"/>
      <c r="F275" s="202"/>
    </row>
    <row r="276" spans="1:6">
      <c r="A276" s="202"/>
      <c r="B276" s="202"/>
      <c r="C276" s="202"/>
      <c r="D276" s="202"/>
      <c r="E276" s="202"/>
      <c r="F276" s="202"/>
    </row>
    <row r="277" spans="1:6">
      <c r="A277" s="202"/>
      <c r="B277" s="202"/>
      <c r="C277" s="202"/>
      <c r="D277" s="202"/>
      <c r="E277" s="202"/>
      <c r="F277" s="202"/>
    </row>
    <row r="278" spans="1:6">
      <c r="A278" s="202"/>
      <c r="B278" s="202"/>
      <c r="C278" s="202"/>
      <c r="D278" s="202"/>
      <c r="E278" s="202"/>
      <c r="F278" s="202"/>
    </row>
    <row r="279" spans="1:6">
      <c r="A279" s="202"/>
      <c r="B279" s="202"/>
      <c r="C279" s="202"/>
      <c r="D279" s="202"/>
      <c r="E279" s="202"/>
      <c r="F279" s="202"/>
    </row>
    <row r="280" spans="1:6">
      <c r="A280" s="202"/>
      <c r="B280" s="202"/>
      <c r="C280" s="202"/>
      <c r="D280" s="202"/>
      <c r="E280" s="202"/>
      <c r="F280" s="202"/>
    </row>
    <row r="281" spans="1:6">
      <c r="A281" s="202"/>
      <c r="B281" s="202"/>
      <c r="C281" s="202"/>
      <c r="D281" s="202"/>
      <c r="E281" s="202"/>
      <c r="F281" s="202"/>
    </row>
    <row r="282" spans="1:6">
      <c r="A282" s="202"/>
      <c r="B282" s="202"/>
      <c r="C282" s="202"/>
      <c r="D282" s="202"/>
      <c r="E282" s="202"/>
      <c r="F282" s="202"/>
    </row>
    <row r="283" spans="1:6">
      <c r="A283" s="202"/>
      <c r="B283" s="202"/>
      <c r="C283" s="202"/>
      <c r="D283" s="202"/>
      <c r="E283" s="202"/>
      <c r="F283" s="202"/>
    </row>
    <row r="284" spans="1:6">
      <c r="A284" s="202"/>
      <c r="B284" s="202"/>
      <c r="C284" s="202"/>
      <c r="D284" s="202"/>
      <c r="E284" s="202"/>
      <c r="F284" s="202"/>
    </row>
    <row r="285" spans="1:6">
      <c r="A285" s="202"/>
      <c r="B285" s="202"/>
      <c r="C285" s="202"/>
      <c r="D285" s="202"/>
      <c r="E285" s="202"/>
      <c r="F285" s="202"/>
    </row>
    <row r="286" spans="1:6">
      <c r="A286" s="202"/>
      <c r="B286" s="202"/>
      <c r="C286" s="202"/>
      <c r="D286" s="202"/>
      <c r="E286" s="202"/>
      <c r="F286" s="202"/>
    </row>
    <row r="287" spans="1:6">
      <c r="A287" s="202"/>
      <c r="B287" s="202"/>
      <c r="C287" s="202"/>
      <c r="D287" s="202"/>
      <c r="E287" s="202"/>
      <c r="F287" s="202"/>
    </row>
    <row r="288" spans="1:6">
      <c r="A288" s="202"/>
      <c r="B288" s="202"/>
      <c r="C288" s="202"/>
      <c r="D288" s="202"/>
      <c r="E288" s="202"/>
      <c r="F288" s="202"/>
    </row>
    <row r="289" spans="1:6">
      <c r="A289" s="202"/>
      <c r="B289" s="202"/>
      <c r="C289" s="202"/>
      <c r="D289" s="202"/>
      <c r="E289" s="202"/>
      <c r="F289" s="202"/>
    </row>
    <row r="290" spans="1:6">
      <c r="A290" s="202"/>
      <c r="B290" s="202"/>
      <c r="C290" s="202"/>
      <c r="D290" s="202"/>
      <c r="E290" s="202"/>
      <c r="F290" s="202"/>
    </row>
    <row r="291" spans="1:6">
      <c r="A291" s="202"/>
      <c r="B291" s="202"/>
      <c r="C291" s="202"/>
      <c r="D291" s="202"/>
      <c r="E291" s="202"/>
      <c r="F291" s="202"/>
    </row>
    <row r="292" spans="1:6">
      <c r="A292" s="202"/>
      <c r="B292" s="202"/>
      <c r="C292" s="202"/>
      <c r="D292" s="202"/>
      <c r="E292" s="202"/>
      <c r="F292" s="202"/>
    </row>
    <row r="293" spans="1:6">
      <c r="A293" s="202"/>
      <c r="B293" s="202"/>
      <c r="C293" s="202"/>
      <c r="D293" s="202"/>
      <c r="E293" s="202"/>
      <c r="F293" s="202"/>
    </row>
    <row r="294" spans="1:6">
      <c r="A294" s="202"/>
      <c r="B294" s="202"/>
      <c r="C294" s="202"/>
      <c r="D294" s="202"/>
      <c r="E294" s="202"/>
      <c r="F294" s="202"/>
    </row>
    <row r="295" spans="1:6">
      <c r="A295" s="202"/>
      <c r="B295" s="202"/>
      <c r="C295" s="202"/>
      <c r="D295" s="202"/>
      <c r="E295" s="202"/>
      <c r="F295" s="202"/>
    </row>
    <row r="296" spans="1:6">
      <c r="A296" s="202"/>
      <c r="B296" s="202"/>
      <c r="C296" s="202"/>
      <c r="D296" s="202"/>
      <c r="E296" s="202"/>
      <c r="F296" s="202"/>
    </row>
    <row r="297" spans="1:6">
      <c r="A297" s="202"/>
      <c r="B297" s="202"/>
      <c r="C297" s="202"/>
      <c r="D297" s="202"/>
      <c r="E297" s="202"/>
      <c r="F297" s="202"/>
    </row>
    <row r="298" spans="1:6">
      <c r="A298" s="202"/>
      <c r="B298" s="202"/>
      <c r="C298" s="202"/>
      <c r="D298" s="202"/>
      <c r="E298" s="202"/>
      <c r="F298" s="202"/>
    </row>
    <row r="299" spans="1:6">
      <c r="A299" s="202"/>
      <c r="B299" s="202"/>
      <c r="C299" s="202"/>
      <c r="D299" s="202"/>
      <c r="E299" s="202"/>
      <c r="F299" s="202"/>
    </row>
    <row r="300" spans="1:6">
      <c r="A300" s="202"/>
      <c r="B300" s="202"/>
      <c r="C300" s="202"/>
      <c r="D300" s="202"/>
      <c r="E300" s="202"/>
      <c r="F300" s="202"/>
    </row>
    <row r="301" spans="1:6">
      <c r="A301" s="202"/>
      <c r="B301" s="202"/>
      <c r="C301" s="202"/>
      <c r="D301" s="202"/>
      <c r="E301" s="202"/>
      <c r="F301" s="202"/>
    </row>
    <row r="302" spans="1:6">
      <c r="A302" s="202"/>
      <c r="B302" s="202"/>
      <c r="C302" s="202"/>
      <c r="D302" s="202"/>
      <c r="E302" s="202"/>
      <c r="F302" s="202"/>
    </row>
    <row r="303" spans="1:6">
      <c r="A303" s="202"/>
      <c r="B303" s="202"/>
      <c r="C303" s="202"/>
      <c r="D303" s="202"/>
      <c r="E303" s="202"/>
      <c r="F303" s="202"/>
    </row>
    <row r="304" spans="1:6">
      <c r="A304" s="202"/>
      <c r="B304" s="202"/>
      <c r="C304" s="202"/>
      <c r="D304" s="202"/>
      <c r="E304" s="202"/>
      <c r="F304" s="202"/>
    </row>
    <row r="305" spans="1:6">
      <c r="A305" s="202"/>
      <c r="B305" s="202"/>
      <c r="C305" s="202"/>
      <c r="D305" s="202"/>
      <c r="E305" s="202"/>
      <c r="F305" s="202"/>
    </row>
    <row r="306" spans="1:6">
      <c r="A306" s="202"/>
      <c r="B306" s="202"/>
      <c r="C306" s="202"/>
      <c r="D306" s="202"/>
      <c r="E306" s="202"/>
      <c r="F306" s="202"/>
    </row>
    <row r="307" spans="1:6">
      <c r="A307" s="202"/>
      <c r="B307" s="202"/>
      <c r="C307" s="202"/>
      <c r="D307" s="202"/>
      <c r="E307" s="202"/>
      <c r="F307" s="202"/>
    </row>
    <row r="308" spans="1:6">
      <c r="A308" s="202"/>
      <c r="B308" s="202"/>
      <c r="C308" s="202"/>
      <c r="D308" s="202"/>
      <c r="E308" s="202"/>
      <c r="F308" s="202"/>
    </row>
    <row r="309" spans="1:6">
      <c r="A309" s="202"/>
      <c r="B309" s="202"/>
      <c r="C309" s="202"/>
      <c r="D309" s="202"/>
      <c r="E309" s="202"/>
      <c r="F309" s="202"/>
    </row>
    <row r="310" spans="1:6">
      <c r="A310" s="202"/>
      <c r="B310" s="202"/>
      <c r="C310" s="202"/>
      <c r="D310" s="202"/>
      <c r="E310" s="202"/>
      <c r="F310" s="202"/>
    </row>
    <row r="311" spans="1:6">
      <c r="A311" s="202"/>
      <c r="B311" s="202"/>
      <c r="C311" s="202"/>
      <c r="D311" s="202"/>
      <c r="E311" s="202"/>
      <c r="F311" s="202"/>
    </row>
    <row r="312" spans="1:6">
      <c r="A312" s="202"/>
      <c r="B312" s="202"/>
      <c r="C312" s="202"/>
      <c r="D312" s="202"/>
      <c r="E312" s="202"/>
      <c r="F312" s="202"/>
    </row>
    <row r="313" spans="1:6">
      <c r="A313" s="202"/>
      <c r="B313" s="202"/>
      <c r="C313" s="202"/>
      <c r="D313" s="202"/>
      <c r="E313" s="202"/>
      <c r="F313" s="202"/>
    </row>
    <row r="314" spans="1:6">
      <c r="A314" s="202"/>
      <c r="B314" s="202"/>
      <c r="C314" s="202"/>
      <c r="D314" s="202"/>
      <c r="E314" s="202"/>
      <c r="F314" s="202"/>
    </row>
    <row r="315" spans="1:6">
      <c r="A315" s="202"/>
      <c r="B315" s="202"/>
      <c r="C315" s="202"/>
      <c r="D315" s="202"/>
      <c r="E315" s="202"/>
      <c r="F315" s="202"/>
    </row>
    <row r="316" spans="1:6">
      <c r="A316" s="202"/>
      <c r="B316" s="202"/>
      <c r="C316" s="202"/>
      <c r="D316" s="202"/>
      <c r="E316" s="202"/>
      <c r="F316" s="202"/>
    </row>
    <row r="317" spans="1:6">
      <c r="A317" s="202"/>
      <c r="B317" s="202"/>
      <c r="C317" s="202"/>
      <c r="D317" s="202"/>
      <c r="E317" s="202"/>
      <c r="F317" s="202"/>
    </row>
    <row r="318" spans="1:6">
      <c r="A318" s="202"/>
      <c r="B318" s="202"/>
      <c r="C318" s="202"/>
      <c r="D318" s="202"/>
      <c r="E318" s="202"/>
      <c r="F318" s="202"/>
    </row>
    <row r="319" spans="1:6">
      <c r="A319" s="202"/>
      <c r="B319" s="202"/>
      <c r="C319" s="202"/>
      <c r="D319" s="202"/>
      <c r="E319" s="202"/>
      <c r="F319" s="202"/>
    </row>
    <row r="320" spans="1:6">
      <c r="A320" s="202"/>
      <c r="B320" s="202"/>
      <c r="C320" s="202"/>
      <c r="D320" s="202"/>
      <c r="E320" s="202"/>
      <c r="F320" s="202"/>
    </row>
    <row r="321" spans="1:6">
      <c r="A321" s="202"/>
      <c r="B321" s="202"/>
      <c r="C321" s="202"/>
      <c r="D321" s="202"/>
      <c r="E321" s="202"/>
      <c r="F321" s="202"/>
    </row>
    <row r="322" spans="1:6">
      <c r="A322" s="202"/>
      <c r="B322" s="202"/>
      <c r="C322" s="202"/>
      <c r="D322" s="202"/>
      <c r="E322" s="202"/>
      <c r="F322" s="202"/>
    </row>
    <row r="323" spans="1:6">
      <c r="A323" s="202"/>
      <c r="B323" s="202"/>
      <c r="C323" s="202"/>
      <c r="D323" s="202"/>
      <c r="E323" s="202"/>
      <c r="F323" s="202"/>
    </row>
    <row r="324" spans="1:6">
      <c r="A324" s="202"/>
      <c r="B324" s="202"/>
      <c r="C324" s="202"/>
      <c r="D324" s="202"/>
      <c r="E324" s="202"/>
      <c r="F324" s="202"/>
    </row>
    <row r="325" spans="1:6">
      <c r="A325" s="202"/>
      <c r="B325" s="202"/>
      <c r="C325" s="202"/>
      <c r="D325" s="202"/>
      <c r="E325" s="202"/>
      <c r="F325" s="202"/>
    </row>
    <row r="326" spans="1:6">
      <c r="A326" s="202"/>
      <c r="B326" s="202"/>
      <c r="C326" s="202"/>
      <c r="D326" s="202"/>
      <c r="E326" s="202"/>
      <c r="F326" s="202"/>
    </row>
    <row r="327" spans="1:6">
      <c r="A327" s="202"/>
      <c r="B327" s="202"/>
      <c r="C327" s="202"/>
      <c r="D327" s="202"/>
      <c r="E327" s="202"/>
      <c r="F327" s="202"/>
    </row>
    <row r="328" spans="1:6">
      <c r="A328" s="202"/>
      <c r="B328" s="202"/>
      <c r="C328" s="202"/>
      <c r="D328" s="202"/>
      <c r="E328" s="202"/>
      <c r="F328" s="202"/>
    </row>
    <row r="329" spans="1:6">
      <c r="A329" s="202"/>
      <c r="B329" s="202"/>
      <c r="C329" s="202"/>
      <c r="D329" s="202"/>
      <c r="E329" s="202"/>
      <c r="F329" s="202"/>
    </row>
    <row r="330" spans="1:6">
      <c r="A330" s="202"/>
      <c r="B330" s="202"/>
      <c r="C330" s="202"/>
      <c r="D330" s="202"/>
      <c r="E330" s="202"/>
      <c r="F330" s="202"/>
    </row>
    <row r="331" spans="1:6">
      <c r="A331" s="202"/>
      <c r="B331" s="202"/>
      <c r="C331" s="202"/>
      <c r="D331" s="202"/>
      <c r="E331" s="202"/>
      <c r="F331" s="202"/>
    </row>
    <row r="332" spans="1:6">
      <c r="A332" s="202"/>
      <c r="B332" s="202"/>
      <c r="C332" s="202"/>
      <c r="D332" s="202"/>
      <c r="E332" s="202"/>
      <c r="F332" s="202"/>
    </row>
    <row r="333" spans="1:6">
      <c r="A333" s="202"/>
      <c r="B333" s="202"/>
      <c r="C333" s="202"/>
      <c r="D333" s="202"/>
      <c r="E333" s="202"/>
      <c r="F333" s="202"/>
    </row>
    <row r="334" spans="1:6">
      <c r="A334" s="202"/>
      <c r="B334" s="202"/>
      <c r="C334" s="202"/>
      <c r="D334" s="202"/>
      <c r="E334" s="202"/>
      <c r="F334" s="202"/>
    </row>
    <row r="335" spans="1:6">
      <c r="A335" s="202"/>
      <c r="B335" s="202"/>
      <c r="C335" s="202"/>
      <c r="D335" s="202"/>
      <c r="E335" s="202"/>
      <c r="F335" s="202"/>
    </row>
    <row r="336" spans="1:6">
      <c r="A336" s="202"/>
      <c r="B336" s="202"/>
      <c r="C336" s="202"/>
      <c r="D336" s="202"/>
      <c r="E336" s="202"/>
      <c r="F336" s="202"/>
    </row>
    <row r="337" spans="1:6">
      <c r="A337" s="202"/>
      <c r="B337" s="202"/>
      <c r="C337" s="202"/>
      <c r="D337" s="202"/>
      <c r="E337" s="202"/>
      <c r="F337" s="202"/>
    </row>
    <row r="338" spans="1:6">
      <c r="A338" s="202"/>
      <c r="B338" s="202"/>
      <c r="C338" s="202"/>
      <c r="D338" s="202"/>
      <c r="E338" s="202"/>
      <c r="F338" s="202"/>
    </row>
    <row r="339" spans="1:6">
      <c r="A339" s="202"/>
      <c r="B339" s="202"/>
      <c r="C339" s="202"/>
      <c r="D339" s="202"/>
      <c r="E339" s="202"/>
      <c r="F339" s="202"/>
    </row>
    <row r="340" spans="1:6">
      <c r="A340" s="202"/>
      <c r="B340" s="202"/>
      <c r="C340" s="202"/>
      <c r="D340" s="202"/>
      <c r="E340" s="202"/>
      <c r="F340" s="202"/>
    </row>
    <row r="341" spans="1:6">
      <c r="A341" s="202"/>
      <c r="B341" s="202"/>
      <c r="C341" s="202"/>
      <c r="D341" s="202"/>
      <c r="E341" s="202"/>
      <c r="F341" s="202"/>
    </row>
    <row r="342" spans="1:6">
      <c r="A342" s="202"/>
      <c r="B342" s="202"/>
      <c r="C342" s="202"/>
      <c r="D342" s="202"/>
      <c r="E342" s="202"/>
      <c r="F342" s="202"/>
    </row>
    <row r="343" spans="1:6">
      <c r="A343" s="202"/>
      <c r="B343" s="202"/>
      <c r="C343" s="202"/>
      <c r="D343" s="202"/>
      <c r="E343" s="202"/>
      <c r="F343" s="202"/>
    </row>
    <row r="344" spans="1:6">
      <c r="A344" s="202"/>
      <c r="B344" s="202"/>
      <c r="C344" s="202"/>
      <c r="D344" s="202"/>
      <c r="E344" s="202"/>
      <c r="F344" s="202"/>
    </row>
    <row r="345" spans="1:6">
      <c r="A345" s="202"/>
      <c r="B345" s="202"/>
      <c r="C345" s="202"/>
      <c r="D345" s="202"/>
      <c r="E345" s="202"/>
      <c r="F345" s="202"/>
    </row>
    <row r="346" spans="1:6">
      <c r="A346" s="202"/>
      <c r="B346" s="202"/>
      <c r="C346" s="202"/>
      <c r="D346" s="202"/>
      <c r="E346" s="202"/>
      <c r="F346" s="202"/>
    </row>
    <row r="347" spans="1:6">
      <c r="A347" s="202"/>
      <c r="B347" s="202"/>
      <c r="C347" s="202"/>
      <c r="D347" s="202"/>
      <c r="E347" s="202"/>
      <c r="F347" s="202"/>
    </row>
    <row r="348" spans="1:6">
      <c r="A348" s="202"/>
      <c r="B348" s="202"/>
      <c r="C348" s="202"/>
      <c r="D348" s="202"/>
      <c r="E348" s="202"/>
      <c r="F348" s="202"/>
    </row>
    <row r="349" spans="1:6">
      <c r="A349" s="202"/>
      <c r="B349" s="202"/>
      <c r="C349" s="202"/>
      <c r="D349" s="202"/>
      <c r="E349" s="202"/>
      <c r="F349" s="202"/>
    </row>
    <row r="350" spans="1:6">
      <c r="A350" s="202"/>
      <c r="B350" s="202"/>
      <c r="C350" s="202"/>
      <c r="D350" s="202"/>
      <c r="E350" s="202"/>
      <c r="F350" s="202"/>
    </row>
    <row r="351" spans="1:6">
      <c r="A351" s="202"/>
      <c r="B351" s="202"/>
      <c r="C351" s="202"/>
      <c r="D351" s="202"/>
      <c r="E351" s="202"/>
      <c r="F351" s="202"/>
    </row>
    <row r="352" spans="1:6">
      <c r="A352" s="202"/>
      <c r="B352" s="202"/>
      <c r="C352" s="202"/>
      <c r="D352" s="202"/>
      <c r="E352" s="202"/>
      <c r="F352" s="202"/>
    </row>
    <row r="353" spans="1:6">
      <c r="A353" s="202"/>
      <c r="B353" s="202"/>
      <c r="C353" s="202"/>
      <c r="D353" s="202"/>
      <c r="E353" s="202"/>
      <c r="F353" s="202"/>
    </row>
    <row r="354" spans="1:6">
      <c r="A354" s="202"/>
      <c r="B354" s="202"/>
      <c r="C354" s="202"/>
      <c r="D354" s="202"/>
      <c r="E354" s="202"/>
      <c r="F354" s="202"/>
    </row>
    <row r="355" spans="1:6">
      <c r="A355" s="202"/>
      <c r="B355" s="202"/>
      <c r="C355" s="202"/>
      <c r="D355" s="202"/>
      <c r="E355" s="202"/>
      <c r="F355" s="202"/>
    </row>
    <row r="356" spans="1:6">
      <c r="A356" s="202"/>
      <c r="B356" s="202"/>
      <c r="C356" s="202"/>
      <c r="D356" s="202"/>
      <c r="E356" s="202"/>
      <c r="F356" s="202"/>
    </row>
    <row r="357" spans="1:6">
      <c r="A357" s="202"/>
      <c r="B357" s="202"/>
      <c r="C357" s="202"/>
      <c r="D357" s="202"/>
      <c r="E357" s="202"/>
      <c r="F357" s="202"/>
    </row>
    <row r="358" spans="1:6">
      <c r="A358" s="202"/>
      <c r="B358" s="202"/>
      <c r="C358" s="202"/>
      <c r="D358" s="202"/>
      <c r="E358" s="202"/>
      <c r="F358" s="202"/>
    </row>
    <row r="359" spans="1:6">
      <c r="A359" s="202"/>
      <c r="B359" s="202"/>
      <c r="C359" s="202"/>
      <c r="D359" s="202"/>
      <c r="E359" s="202"/>
      <c r="F359" s="202"/>
    </row>
    <row r="360" spans="1:6">
      <c r="A360" s="202"/>
      <c r="B360" s="202"/>
      <c r="C360" s="202"/>
      <c r="D360" s="202"/>
      <c r="E360" s="202"/>
      <c r="F360" s="202"/>
    </row>
    <row r="361" spans="1:6">
      <c r="A361" s="202"/>
      <c r="B361" s="202"/>
      <c r="C361" s="202"/>
      <c r="D361" s="202"/>
      <c r="E361" s="202"/>
      <c r="F361" s="202"/>
    </row>
    <row r="362" spans="1:6">
      <c r="A362" s="202"/>
      <c r="B362" s="202"/>
      <c r="C362" s="202"/>
      <c r="D362" s="202"/>
      <c r="E362" s="202"/>
      <c r="F362" s="202"/>
    </row>
    <row r="363" spans="1:6">
      <c r="A363" s="202"/>
      <c r="B363" s="202"/>
      <c r="C363" s="202"/>
      <c r="D363" s="202"/>
      <c r="E363" s="202"/>
      <c r="F363" s="202"/>
    </row>
    <row r="364" spans="1:6">
      <c r="A364" s="202"/>
      <c r="B364" s="202"/>
      <c r="C364" s="202"/>
      <c r="D364" s="202"/>
      <c r="E364" s="202"/>
      <c r="F364" s="202"/>
    </row>
    <row r="365" spans="1:6">
      <c r="A365" s="202"/>
      <c r="B365" s="202"/>
      <c r="C365" s="202"/>
      <c r="D365" s="202"/>
      <c r="E365" s="202"/>
      <c r="F365" s="202"/>
    </row>
    <row r="366" spans="1:6">
      <c r="A366" s="202"/>
      <c r="B366" s="202"/>
      <c r="C366" s="202"/>
      <c r="D366" s="202"/>
      <c r="E366" s="202"/>
      <c r="F366" s="202"/>
    </row>
    <row r="367" spans="1:6">
      <c r="A367" s="202"/>
      <c r="B367" s="202"/>
      <c r="C367" s="202"/>
      <c r="D367" s="202"/>
      <c r="E367" s="202"/>
      <c r="F367" s="202"/>
    </row>
    <row r="368" spans="1:6">
      <c r="A368" s="202"/>
      <c r="B368" s="202"/>
      <c r="C368" s="202"/>
      <c r="D368" s="202"/>
      <c r="E368" s="202"/>
      <c r="F368" s="202"/>
    </row>
    <row r="369" spans="1:6">
      <c r="A369" s="202"/>
      <c r="B369" s="202"/>
      <c r="C369" s="202"/>
      <c r="D369" s="202"/>
      <c r="E369" s="202"/>
      <c r="F369" s="202"/>
    </row>
    <row r="370" spans="1:6">
      <c r="A370" s="202"/>
      <c r="B370" s="202"/>
      <c r="C370" s="202"/>
      <c r="D370" s="202"/>
      <c r="E370" s="202"/>
      <c r="F370" s="202"/>
    </row>
    <row r="371" spans="1:6">
      <c r="A371" s="202"/>
      <c r="B371" s="202"/>
      <c r="C371" s="202"/>
      <c r="D371" s="202"/>
      <c r="E371" s="202"/>
      <c r="F371" s="202"/>
    </row>
    <row r="372" spans="1:6">
      <c r="A372" s="202"/>
      <c r="B372" s="202"/>
      <c r="C372" s="202"/>
      <c r="D372" s="202"/>
      <c r="E372" s="202"/>
      <c r="F372" s="202"/>
    </row>
    <row r="373" spans="1:6">
      <c r="A373" s="202"/>
      <c r="B373" s="202"/>
      <c r="C373" s="202"/>
      <c r="D373" s="202"/>
      <c r="E373" s="202"/>
      <c r="F373" s="202"/>
    </row>
    <row r="374" spans="1:6">
      <c r="A374" s="202"/>
      <c r="B374" s="202"/>
      <c r="C374" s="202"/>
      <c r="D374" s="202"/>
      <c r="E374" s="202"/>
      <c r="F374" s="202"/>
    </row>
    <row r="375" spans="1:6">
      <c r="A375" s="202"/>
      <c r="B375" s="202"/>
      <c r="C375" s="202"/>
      <c r="D375" s="202"/>
      <c r="E375" s="202"/>
      <c r="F375" s="202"/>
    </row>
    <row r="376" spans="1:6">
      <c r="A376" s="202"/>
      <c r="B376" s="202"/>
      <c r="C376" s="202"/>
      <c r="D376" s="202"/>
      <c r="E376" s="202"/>
      <c r="F376" s="202"/>
    </row>
    <row r="377" spans="1:6">
      <c r="A377" s="202"/>
      <c r="B377" s="202"/>
      <c r="C377" s="202"/>
      <c r="D377" s="202"/>
      <c r="E377" s="202"/>
      <c r="F377" s="202"/>
    </row>
    <row r="378" spans="1:6">
      <c r="A378" s="202"/>
      <c r="B378" s="202"/>
      <c r="C378" s="202"/>
      <c r="D378" s="202"/>
      <c r="E378" s="202"/>
      <c r="F378" s="202"/>
    </row>
    <row r="379" spans="1:6">
      <c r="A379" s="202"/>
      <c r="B379" s="202"/>
      <c r="C379" s="202"/>
      <c r="D379" s="202"/>
      <c r="E379" s="202"/>
      <c r="F379" s="202"/>
    </row>
    <row r="380" spans="1:6">
      <c r="A380" s="202"/>
      <c r="B380" s="202"/>
      <c r="C380" s="202"/>
      <c r="D380" s="202"/>
      <c r="E380" s="202"/>
      <c r="F380" s="202"/>
    </row>
    <row r="381" spans="1:6">
      <c r="A381" s="202"/>
      <c r="B381" s="202"/>
      <c r="C381" s="202"/>
      <c r="D381" s="202"/>
      <c r="E381" s="202"/>
      <c r="F381" s="202"/>
    </row>
    <row r="382" spans="1:6">
      <c r="A382" s="202"/>
      <c r="B382" s="202"/>
      <c r="C382" s="202"/>
      <c r="D382" s="202"/>
      <c r="E382" s="202"/>
      <c r="F382" s="202"/>
    </row>
    <row r="383" spans="1:6">
      <c r="A383" s="202"/>
      <c r="B383" s="202"/>
      <c r="C383" s="202"/>
      <c r="D383" s="202"/>
      <c r="E383" s="202"/>
      <c r="F383" s="202"/>
    </row>
    <row r="384" spans="1:6">
      <c r="A384" s="202"/>
      <c r="B384" s="202"/>
      <c r="C384" s="202"/>
      <c r="D384" s="202"/>
      <c r="E384" s="202"/>
      <c r="F384" s="202"/>
    </row>
    <row r="385" spans="1:6">
      <c r="A385" s="202"/>
      <c r="B385" s="202"/>
      <c r="C385" s="202"/>
      <c r="D385" s="202"/>
      <c r="E385" s="202"/>
      <c r="F385" s="202"/>
    </row>
    <row r="386" spans="1:6">
      <c r="A386" s="202"/>
      <c r="B386" s="202"/>
      <c r="C386" s="202"/>
      <c r="D386" s="202"/>
      <c r="E386" s="202"/>
      <c r="F386" s="202"/>
    </row>
    <row r="387" spans="1:6">
      <c r="A387" s="202"/>
      <c r="B387" s="202"/>
      <c r="C387" s="202"/>
      <c r="D387" s="202"/>
      <c r="E387" s="202"/>
      <c r="F387" s="202"/>
    </row>
    <row r="388" spans="1:6">
      <c r="A388" s="202"/>
      <c r="B388" s="202"/>
      <c r="C388" s="202"/>
      <c r="D388" s="202"/>
      <c r="E388" s="202"/>
      <c r="F388" s="202"/>
    </row>
    <row r="389" spans="1:6">
      <c r="A389" s="202"/>
      <c r="B389" s="202"/>
      <c r="C389" s="202"/>
      <c r="D389" s="202"/>
      <c r="E389" s="202"/>
      <c r="F389" s="202"/>
    </row>
    <row r="390" spans="1:6">
      <c r="A390" s="202"/>
      <c r="B390" s="202"/>
      <c r="C390" s="202"/>
      <c r="D390" s="202"/>
      <c r="E390" s="202"/>
      <c r="F390" s="202"/>
    </row>
    <row r="391" spans="1:6">
      <c r="A391" s="202"/>
      <c r="B391" s="202"/>
      <c r="C391" s="202"/>
      <c r="D391" s="202"/>
      <c r="E391" s="202"/>
      <c r="F391" s="202"/>
    </row>
    <row r="392" spans="1:6">
      <c r="A392" s="202"/>
      <c r="B392" s="202"/>
      <c r="C392" s="202"/>
      <c r="D392" s="202"/>
      <c r="E392" s="202"/>
      <c r="F392" s="202"/>
    </row>
    <row r="393" spans="1:6">
      <c r="A393" s="202"/>
      <c r="B393" s="202"/>
      <c r="C393" s="202"/>
      <c r="D393" s="202"/>
      <c r="E393" s="202"/>
      <c r="F393" s="202"/>
    </row>
    <row r="394" spans="1:6">
      <c r="A394" s="202"/>
      <c r="B394" s="202"/>
      <c r="C394" s="202"/>
      <c r="D394" s="202"/>
      <c r="E394" s="202"/>
      <c r="F394" s="202"/>
    </row>
    <row r="395" spans="1:6">
      <c r="A395" s="202"/>
      <c r="B395" s="202"/>
      <c r="C395" s="202"/>
      <c r="D395" s="202"/>
      <c r="E395" s="202"/>
      <c r="F395" s="202"/>
    </row>
    <row r="396" spans="1:6">
      <c r="A396" s="202"/>
      <c r="B396" s="202"/>
      <c r="C396" s="202"/>
      <c r="D396" s="202"/>
      <c r="E396" s="202"/>
      <c r="F396" s="202"/>
    </row>
    <row r="397" spans="1:6">
      <c r="A397" s="202"/>
      <c r="B397" s="202"/>
      <c r="C397" s="202"/>
      <c r="D397" s="202"/>
      <c r="E397" s="202"/>
      <c r="F397" s="202"/>
    </row>
    <row r="398" spans="1:6">
      <c r="A398" s="202"/>
      <c r="B398" s="202"/>
      <c r="C398" s="202"/>
      <c r="D398" s="202"/>
      <c r="E398" s="202"/>
      <c r="F398" s="202"/>
    </row>
    <row r="399" spans="1:6">
      <c r="A399" s="202"/>
      <c r="B399" s="202"/>
      <c r="C399" s="202"/>
      <c r="D399" s="202"/>
      <c r="E399" s="202"/>
      <c r="F399" s="202"/>
    </row>
    <row r="400" spans="1:6">
      <c r="A400" s="202"/>
      <c r="B400" s="202"/>
      <c r="C400" s="202"/>
      <c r="D400" s="202"/>
      <c r="E400" s="202"/>
      <c r="F400" s="202"/>
    </row>
    <row r="401" spans="1:6">
      <c r="A401" s="202"/>
      <c r="B401" s="202"/>
      <c r="C401" s="202"/>
      <c r="D401" s="202"/>
      <c r="E401" s="202"/>
      <c r="F401" s="202"/>
    </row>
    <row r="402" spans="1:6">
      <c r="A402" s="202"/>
      <c r="B402" s="202"/>
      <c r="C402" s="202"/>
      <c r="D402" s="202"/>
      <c r="E402" s="202"/>
      <c r="F402" s="202"/>
    </row>
    <row r="403" spans="1:6">
      <c r="A403" s="202"/>
      <c r="B403" s="202"/>
      <c r="C403" s="202"/>
      <c r="D403" s="202"/>
      <c r="E403" s="202"/>
      <c r="F403" s="202"/>
    </row>
    <row r="404" spans="1:6">
      <c r="A404" s="202"/>
      <c r="B404" s="202"/>
      <c r="C404" s="202"/>
      <c r="D404" s="202"/>
      <c r="E404" s="202"/>
      <c r="F404" s="202"/>
    </row>
    <row r="405" spans="1:6">
      <c r="A405" s="202"/>
      <c r="B405" s="202"/>
      <c r="C405" s="202"/>
      <c r="D405" s="202"/>
      <c r="E405" s="202"/>
      <c r="F405" s="202"/>
    </row>
    <row r="406" spans="1:6">
      <c r="A406" s="202"/>
      <c r="B406" s="202"/>
      <c r="C406" s="202"/>
      <c r="D406" s="202"/>
      <c r="E406" s="202"/>
      <c r="F406" s="202"/>
    </row>
    <row r="407" spans="1:6">
      <c r="A407" s="202"/>
      <c r="B407" s="202"/>
      <c r="C407" s="202"/>
      <c r="D407" s="202"/>
      <c r="E407" s="202"/>
      <c r="F407" s="202"/>
    </row>
    <row r="408" spans="1:6">
      <c r="A408" s="202"/>
      <c r="B408" s="202"/>
      <c r="C408" s="202"/>
      <c r="D408" s="202"/>
      <c r="E408" s="202"/>
      <c r="F408" s="202"/>
    </row>
    <row r="409" spans="1:6">
      <c r="A409" s="202"/>
      <c r="B409" s="202"/>
      <c r="C409" s="202"/>
      <c r="D409" s="202"/>
      <c r="E409" s="202"/>
      <c r="F409" s="202"/>
    </row>
    <row r="410" spans="1:6">
      <c r="A410" s="202"/>
      <c r="B410" s="202"/>
      <c r="C410" s="202"/>
      <c r="D410" s="202"/>
      <c r="E410" s="202"/>
      <c r="F410" s="202"/>
    </row>
    <row r="411" spans="1:6">
      <c r="A411" s="202"/>
      <c r="B411" s="202"/>
      <c r="C411" s="202"/>
      <c r="D411" s="202"/>
      <c r="E411" s="202"/>
      <c r="F411" s="202"/>
    </row>
    <row r="412" spans="1:6">
      <c r="A412" s="202"/>
      <c r="B412" s="202"/>
      <c r="C412" s="202"/>
      <c r="D412" s="202"/>
      <c r="E412" s="202"/>
      <c r="F412" s="202"/>
    </row>
    <row r="413" spans="1:6">
      <c r="A413" s="202"/>
      <c r="B413" s="202"/>
      <c r="C413" s="202"/>
      <c r="D413" s="202"/>
      <c r="E413" s="202"/>
      <c r="F413" s="202"/>
    </row>
    <row r="414" spans="1:6">
      <c r="A414" s="202"/>
      <c r="B414" s="202"/>
      <c r="C414" s="202"/>
      <c r="D414" s="202"/>
      <c r="E414" s="202"/>
      <c r="F414" s="202"/>
    </row>
    <row r="415" spans="1:6">
      <c r="A415" s="202"/>
      <c r="B415" s="202"/>
      <c r="C415" s="202"/>
      <c r="D415" s="202"/>
      <c r="E415" s="202"/>
      <c r="F415" s="202"/>
    </row>
    <row r="416" spans="1:6">
      <c r="A416" s="202"/>
      <c r="B416" s="202"/>
      <c r="C416" s="202"/>
      <c r="D416" s="202"/>
      <c r="E416" s="202"/>
      <c r="F416" s="202"/>
    </row>
    <row r="417" spans="1:6">
      <c r="A417" s="202"/>
      <c r="B417" s="202"/>
      <c r="C417" s="202"/>
      <c r="D417" s="202"/>
      <c r="E417" s="202"/>
      <c r="F417" s="202"/>
    </row>
    <row r="418" spans="1:6">
      <c r="A418" s="202"/>
      <c r="B418" s="202"/>
      <c r="C418" s="202"/>
      <c r="D418" s="202"/>
      <c r="E418" s="202"/>
      <c r="F418" s="202"/>
    </row>
    <row r="419" spans="1:6">
      <c r="A419" s="202"/>
      <c r="B419" s="202"/>
      <c r="C419" s="202"/>
      <c r="D419" s="202"/>
      <c r="E419" s="202"/>
      <c r="F419" s="202"/>
    </row>
    <row r="420" spans="1:6">
      <c r="A420" s="202"/>
      <c r="B420" s="202"/>
      <c r="C420" s="202"/>
      <c r="D420" s="202"/>
      <c r="E420" s="202"/>
      <c r="F420" s="202"/>
    </row>
    <row r="421" spans="1:6">
      <c r="A421" s="202"/>
      <c r="B421" s="202"/>
      <c r="C421" s="202"/>
      <c r="D421" s="202"/>
      <c r="E421" s="202"/>
      <c r="F421" s="202"/>
    </row>
    <row r="422" spans="1:6">
      <c r="A422" s="202"/>
      <c r="B422" s="202"/>
      <c r="C422" s="202"/>
      <c r="D422" s="202"/>
      <c r="E422" s="202"/>
      <c r="F422" s="202"/>
    </row>
    <row r="423" spans="1:6">
      <c r="A423" s="202"/>
      <c r="B423" s="202"/>
      <c r="C423" s="202"/>
      <c r="D423" s="202"/>
      <c r="E423" s="202"/>
      <c r="F423" s="202"/>
    </row>
    <row r="424" spans="1:6">
      <c r="A424" s="202"/>
      <c r="B424" s="202"/>
      <c r="C424" s="202"/>
      <c r="D424" s="202"/>
      <c r="E424" s="202"/>
      <c r="F424" s="202"/>
    </row>
    <row r="425" spans="1:6">
      <c r="A425" s="202"/>
      <c r="B425" s="202"/>
      <c r="C425" s="202"/>
      <c r="D425" s="202"/>
      <c r="E425" s="202"/>
      <c r="F425" s="202"/>
    </row>
    <row r="426" spans="1:6">
      <c r="A426" s="202"/>
      <c r="B426" s="202"/>
      <c r="C426" s="202"/>
      <c r="D426" s="202"/>
      <c r="E426" s="202"/>
      <c r="F426" s="202"/>
    </row>
    <row r="427" spans="1:6">
      <c r="A427" s="202"/>
      <c r="B427" s="202"/>
      <c r="C427" s="202"/>
      <c r="D427" s="202"/>
      <c r="E427" s="202"/>
      <c r="F427" s="202"/>
    </row>
    <row r="428" spans="1:6">
      <c r="A428" s="202"/>
      <c r="B428" s="202"/>
      <c r="C428" s="202"/>
      <c r="D428" s="202"/>
      <c r="E428" s="202"/>
      <c r="F428" s="202"/>
    </row>
    <row r="429" spans="1:6">
      <c r="A429" s="202"/>
      <c r="B429" s="202"/>
      <c r="C429" s="202"/>
      <c r="D429" s="202"/>
      <c r="E429" s="202"/>
      <c r="F429" s="202"/>
    </row>
    <row r="430" spans="1:6">
      <c r="A430" s="202"/>
      <c r="B430" s="202"/>
      <c r="C430" s="202"/>
      <c r="D430" s="202"/>
      <c r="E430" s="202"/>
      <c r="F430" s="202"/>
    </row>
    <row r="431" spans="1:6">
      <c r="A431" s="202"/>
      <c r="B431" s="202"/>
      <c r="C431" s="202"/>
      <c r="D431" s="202"/>
      <c r="E431" s="202"/>
      <c r="F431" s="202"/>
    </row>
    <row r="432" spans="1:6">
      <c r="A432" s="202"/>
      <c r="B432" s="202"/>
      <c r="C432" s="202"/>
      <c r="D432" s="202"/>
      <c r="E432" s="202"/>
      <c r="F432" s="202"/>
    </row>
    <row r="433" spans="1:6">
      <c r="A433" s="202"/>
      <c r="B433" s="202"/>
      <c r="C433" s="202"/>
      <c r="D433" s="202"/>
      <c r="E433" s="202"/>
      <c r="F433" s="202"/>
    </row>
    <row r="434" spans="1:6">
      <c r="A434" s="202"/>
      <c r="B434" s="202"/>
      <c r="C434" s="202"/>
      <c r="D434" s="202"/>
      <c r="E434" s="202"/>
      <c r="F434" s="202"/>
    </row>
    <row r="435" spans="1:6">
      <c r="A435" s="202"/>
      <c r="B435" s="202"/>
      <c r="C435" s="202"/>
      <c r="D435" s="202"/>
      <c r="E435" s="202"/>
      <c r="F435" s="202"/>
    </row>
    <row r="436" spans="1:6">
      <c r="A436" s="202"/>
      <c r="B436" s="202"/>
      <c r="C436" s="202"/>
      <c r="D436" s="202"/>
      <c r="E436" s="202"/>
      <c r="F436" s="202"/>
    </row>
    <row r="437" spans="1:6">
      <c r="A437" s="202"/>
      <c r="B437" s="202"/>
      <c r="C437" s="202"/>
      <c r="D437" s="202"/>
      <c r="E437" s="202"/>
      <c r="F437" s="202"/>
    </row>
    <row r="438" spans="1:6">
      <c r="A438" s="202"/>
      <c r="B438" s="202"/>
      <c r="C438" s="202"/>
      <c r="D438" s="202"/>
      <c r="E438" s="202"/>
      <c r="F438" s="202"/>
    </row>
    <row r="439" spans="1:6">
      <c r="A439" s="202"/>
      <c r="B439" s="202"/>
      <c r="C439" s="202"/>
      <c r="D439" s="202"/>
      <c r="E439" s="202"/>
      <c r="F439" s="202"/>
    </row>
    <row r="440" spans="1:6">
      <c r="A440" s="202"/>
      <c r="B440" s="202"/>
      <c r="C440" s="202"/>
      <c r="D440" s="202"/>
      <c r="E440" s="202"/>
      <c r="F440" s="202"/>
    </row>
    <row r="441" spans="1:6">
      <c r="A441" s="202"/>
      <c r="B441" s="202"/>
      <c r="C441" s="202"/>
      <c r="D441" s="202"/>
      <c r="E441" s="202"/>
      <c r="F441" s="202"/>
    </row>
    <row r="442" spans="1:6">
      <c r="A442" s="202"/>
      <c r="B442" s="202"/>
      <c r="C442" s="202"/>
      <c r="D442" s="202"/>
      <c r="E442" s="202"/>
      <c r="F442" s="202"/>
    </row>
    <row r="443" spans="1:6">
      <c r="A443" s="202"/>
      <c r="B443" s="202"/>
      <c r="C443" s="202"/>
      <c r="D443" s="202"/>
      <c r="E443" s="202"/>
      <c r="F443" s="202"/>
    </row>
    <row r="444" spans="1:6">
      <c r="A444" s="202"/>
      <c r="B444" s="202"/>
      <c r="C444" s="202"/>
      <c r="D444" s="202"/>
      <c r="E444" s="202"/>
      <c r="F444" s="202"/>
    </row>
    <row r="445" spans="1:6">
      <c r="A445" s="202"/>
      <c r="B445" s="202"/>
      <c r="C445" s="202"/>
      <c r="D445" s="202"/>
      <c r="E445" s="202"/>
      <c r="F445" s="202"/>
    </row>
    <row r="446" spans="1:6">
      <c r="A446" s="202"/>
      <c r="B446" s="202"/>
      <c r="C446" s="202"/>
      <c r="D446" s="202"/>
      <c r="E446" s="202"/>
      <c r="F446" s="202"/>
    </row>
    <row r="447" spans="1:6">
      <c r="A447" s="202"/>
      <c r="B447" s="202"/>
      <c r="C447" s="202"/>
      <c r="D447" s="202"/>
      <c r="E447" s="202"/>
      <c r="F447" s="202"/>
    </row>
    <row r="448" spans="1:6">
      <c r="A448" s="202"/>
      <c r="B448" s="202"/>
      <c r="C448" s="202"/>
      <c r="D448" s="202"/>
      <c r="E448" s="202"/>
      <c r="F448" s="202"/>
    </row>
    <row r="449" spans="1:6">
      <c r="A449" s="202"/>
      <c r="B449" s="202"/>
      <c r="C449" s="202"/>
      <c r="D449" s="202"/>
      <c r="E449" s="202"/>
      <c r="F449" s="202"/>
    </row>
    <row r="450" spans="1:6">
      <c r="A450" s="202"/>
      <c r="B450" s="202"/>
      <c r="C450" s="202"/>
      <c r="D450" s="202"/>
      <c r="E450" s="202"/>
      <c r="F450" s="202"/>
    </row>
    <row r="451" spans="1:6">
      <c r="A451" s="202"/>
      <c r="B451" s="202"/>
      <c r="C451" s="202"/>
      <c r="D451" s="202"/>
      <c r="E451" s="202"/>
      <c r="F451" s="202"/>
    </row>
    <row r="452" spans="1:6">
      <c r="A452" s="202"/>
      <c r="B452" s="202"/>
      <c r="C452" s="202"/>
      <c r="D452" s="202"/>
      <c r="E452" s="202"/>
      <c r="F452" s="202"/>
    </row>
    <row r="453" spans="1:6">
      <c r="A453" s="202"/>
      <c r="B453" s="202"/>
      <c r="C453" s="202"/>
      <c r="D453" s="202"/>
      <c r="E453" s="202"/>
      <c r="F453" s="202"/>
    </row>
    <row r="454" spans="1:6">
      <c r="A454" s="202"/>
      <c r="B454" s="202"/>
      <c r="C454" s="202"/>
      <c r="D454" s="202"/>
      <c r="E454" s="202"/>
      <c r="F454" s="202"/>
    </row>
    <row r="455" spans="1:6">
      <c r="A455" s="202"/>
      <c r="B455" s="202"/>
      <c r="C455" s="202"/>
      <c r="D455" s="202"/>
      <c r="E455" s="202"/>
      <c r="F455" s="202"/>
    </row>
    <row r="456" spans="1:6">
      <c r="A456" s="202"/>
      <c r="B456" s="202"/>
      <c r="C456" s="202"/>
      <c r="D456" s="202"/>
      <c r="E456" s="202"/>
      <c r="F456" s="202"/>
    </row>
    <row r="457" spans="1:6">
      <c r="A457" s="202"/>
      <c r="B457" s="202"/>
      <c r="C457" s="202"/>
      <c r="D457" s="202"/>
      <c r="E457" s="202"/>
      <c r="F457" s="202"/>
    </row>
    <row r="458" spans="1:6">
      <c r="A458" s="202"/>
      <c r="B458" s="202"/>
      <c r="C458" s="202"/>
      <c r="D458" s="202"/>
      <c r="E458" s="202"/>
      <c r="F458" s="202"/>
    </row>
    <row r="459" spans="1:6">
      <c r="A459" s="202"/>
      <c r="B459" s="202"/>
      <c r="C459" s="202"/>
      <c r="D459" s="202"/>
      <c r="E459" s="202"/>
      <c r="F459" s="202"/>
    </row>
    <row r="460" spans="1:6">
      <c r="A460" s="202"/>
      <c r="B460" s="202"/>
      <c r="C460" s="202"/>
      <c r="D460" s="202"/>
      <c r="E460" s="202"/>
      <c r="F460" s="202"/>
    </row>
    <row r="461" spans="1:6">
      <c r="A461" s="202"/>
      <c r="B461" s="202"/>
      <c r="C461" s="202"/>
      <c r="D461" s="202"/>
      <c r="E461" s="202"/>
      <c r="F461" s="202"/>
    </row>
    <row r="462" spans="1:6">
      <c r="A462" s="202"/>
      <c r="B462" s="202"/>
      <c r="C462" s="202"/>
      <c r="D462" s="202"/>
      <c r="E462" s="202"/>
      <c r="F462" s="202"/>
    </row>
    <row r="463" spans="1:6">
      <c r="A463" s="202"/>
      <c r="B463" s="202"/>
      <c r="C463" s="202"/>
      <c r="D463" s="202"/>
      <c r="E463" s="202"/>
      <c r="F463" s="202"/>
    </row>
    <row r="464" spans="1:6">
      <c r="A464" s="202"/>
      <c r="B464" s="202"/>
      <c r="C464" s="202"/>
      <c r="D464" s="202"/>
      <c r="E464" s="202"/>
      <c r="F464" s="202"/>
    </row>
    <row r="465" spans="1:6">
      <c r="A465" s="202"/>
      <c r="B465" s="202"/>
      <c r="C465" s="202"/>
      <c r="D465" s="202"/>
      <c r="E465" s="202"/>
      <c r="F465" s="202"/>
    </row>
    <row r="466" spans="1:6">
      <c r="A466" s="202"/>
      <c r="B466" s="202"/>
      <c r="C466" s="202"/>
      <c r="D466" s="202"/>
      <c r="E466" s="202"/>
      <c r="F466" s="202"/>
    </row>
    <row r="467" spans="1:6">
      <c r="A467" s="202"/>
      <c r="B467" s="202"/>
      <c r="C467" s="202"/>
      <c r="D467" s="202"/>
      <c r="E467" s="202"/>
      <c r="F467" s="202"/>
    </row>
    <row r="468" spans="1:6">
      <c r="A468" s="202"/>
      <c r="B468" s="202"/>
      <c r="C468" s="202"/>
      <c r="D468" s="202"/>
      <c r="E468" s="202"/>
      <c r="F468" s="202"/>
    </row>
    <row r="469" spans="1:6">
      <c r="A469" s="202"/>
      <c r="B469" s="202"/>
      <c r="C469" s="202"/>
      <c r="D469" s="202"/>
      <c r="E469" s="202"/>
      <c r="F469" s="202"/>
    </row>
    <row r="470" spans="1:6">
      <c r="A470" s="202"/>
      <c r="B470" s="202"/>
      <c r="C470" s="202"/>
      <c r="D470" s="202"/>
      <c r="E470" s="202"/>
      <c r="F470" s="202"/>
    </row>
    <row r="471" spans="1:6">
      <c r="A471" s="202"/>
      <c r="B471" s="202"/>
      <c r="C471" s="202"/>
      <c r="D471" s="202"/>
      <c r="E471" s="202"/>
      <c r="F471" s="202"/>
    </row>
    <row r="472" spans="1:6">
      <c r="A472" s="202"/>
      <c r="B472" s="202"/>
      <c r="C472" s="202"/>
      <c r="D472" s="202"/>
      <c r="E472" s="202"/>
      <c r="F472" s="202"/>
    </row>
    <row r="473" spans="1:6">
      <c r="A473" s="202"/>
      <c r="B473" s="202"/>
      <c r="C473" s="202"/>
      <c r="D473" s="202"/>
      <c r="E473" s="202"/>
      <c r="F473" s="202"/>
    </row>
    <row r="474" spans="1:6">
      <c r="A474" s="202"/>
      <c r="B474" s="202"/>
      <c r="C474" s="202"/>
      <c r="D474" s="202"/>
      <c r="E474" s="202"/>
      <c r="F474" s="202"/>
    </row>
    <row r="475" spans="1:6">
      <c r="A475" s="202"/>
      <c r="B475" s="202"/>
      <c r="C475" s="202"/>
      <c r="D475" s="202"/>
      <c r="E475" s="202"/>
      <c r="F475" s="202"/>
    </row>
    <row r="476" spans="1:6">
      <c r="A476" s="202"/>
      <c r="B476" s="202"/>
      <c r="C476" s="202"/>
      <c r="D476" s="202"/>
      <c r="E476" s="202"/>
      <c r="F476" s="202"/>
    </row>
    <row r="477" spans="1:6">
      <c r="A477" s="202"/>
      <c r="B477" s="202"/>
      <c r="C477" s="202"/>
      <c r="D477" s="202"/>
      <c r="E477" s="202"/>
      <c r="F477" s="202"/>
    </row>
    <row r="478" spans="1:6">
      <c r="A478" s="202"/>
      <c r="B478" s="202"/>
      <c r="C478" s="202"/>
      <c r="D478" s="202"/>
      <c r="E478" s="202"/>
      <c r="F478" s="202"/>
    </row>
    <row r="479" spans="1:6">
      <c r="A479" s="202"/>
      <c r="B479" s="202"/>
      <c r="C479" s="202"/>
      <c r="D479" s="202"/>
      <c r="E479" s="202"/>
      <c r="F479" s="202"/>
    </row>
    <row r="480" spans="1:6">
      <c r="A480" s="202"/>
      <c r="B480" s="202"/>
      <c r="C480" s="202"/>
      <c r="D480" s="202"/>
      <c r="E480" s="202"/>
      <c r="F480" s="202"/>
    </row>
    <row r="481" spans="1:6">
      <c r="A481" s="202"/>
      <c r="B481" s="202"/>
      <c r="C481" s="202"/>
      <c r="D481" s="202"/>
      <c r="E481" s="202"/>
      <c r="F481" s="202"/>
    </row>
    <row r="482" spans="1:6">
      <c r="A482" s="202"/>
      <c r="B482" s="202"/>
      <c r="C482" s="202"/>
      <c r="D482" s="202"/>
      <c r="E482" s="202"/>
      <c r="F482" s="202"/>
    </row>
    <row r="483" spans="1:6">
      <c r="A483" s="202"/>
      <c r="B483" s="202"/>
      <c r="C483" s="202"/>
      <c r="D483" s="202"/>
      <c r="E483" s="202"/>
      <c r="F483" s="202"/>
    </row>
    <row r="484" spans="1:6">
      <c r="A484" s="202"/>
      <c r="B484" s="202"/>
      <c r="C484" s="202"/>
      <c r="D484" s="202"/>
      <c r="E484" s="202"/>
      <c r="F484" s="202"/>
    </row>
    <row r="485" spans="1:6">
      <c r="A485" s="202"/>
      <c r="B485" s="202"/>
      <c r="C485" s="202"/>
      <c r="D485" s="202"/>
      <c r="E485" s="202"/>
      <c r="F485" s="202"/>
    </row>
    <row r="486" spans="1:6">
      <c r="A486" s="202"/>
      <c r="B486" s="202"/>
      <c r="C486" s="202"/>
      <c r="D486" s="202"/>
      <c r="E486" s="202"/>
      <c r="F486" s="202"/>
    </row>
    <row r="487" spans="1:6">
      <c r="A487" s="202"/>
      <c r="B487" s="202"/>
      <c r="C487" s="202"/>
      <c r="D487" s="202"/>
      <c r="E487" s="202"/>
      <c r="F487" s="202"/>
    </row>
    <row r="488" spans="1:6">
      <c r="A488" s="202"/>
      <c r="B488" s="202"/>
      <c r="C488" s="202"/>
      <c r="D488" s="202"/>
      <c r="E488" s="202"/>
      <c r="F488" s="202"/>
    </row>
    <row r="489" spans="1:6">
      <c r="A489" s="202"/>
      <c r="B489" s="202"/>
      <c r="C489" s="202"/>
      <c r="D489" s="202"/>
      <c r="E489" s="202"/>
      <c r="F489" s="202"/>
    </row>
    <row r="490" spans="1:6">
      <c r="A490" s="202"/>
      <c r="B490" s="202"/>
      <c r="C490" s="202"/>
      <c r="D490" s="202"/>
      <c r="E490" s="202"/>
      <c r="F490" s="202"/>
    </row>
    <row r="491" spans="1:6">
      <c r="A491" s="202"/>
      <c r="B491" s="202"/>
      <c r="C491" s="202"/>
      <c r="D491" s="202"/>
      <c r="E491" s="202"/>
      <c r="F491" s="202"/>
    </row>
    <row r="492" spans="1:6">
      <c r="A492" s="202"/>
      <c r="B492" s="202"/>
      <c r="C492" s="202"/>
      <c r="D492" s="202"/>
      <c r="E492" s="202"/>
      <c r="F492" s="202"/>
    </row>
    <row r="493" spans="1:6">
      <c r="A493" s="202"/>
      <c r="B493" s="202"/>
      <c r="C493" s="202"/>
      <c r="D493" s="202"/>
      <c r="E493" s="202"/>
      <c r="F493" s="202"/>
    </row>
    <row r="494" spans="1:6">
      <c r="A494" s="202"/>
      <c r="B494" s="202"/>
      <c r="C494" s="202"/>
      <c r="D494" s="202"/>
      <c r="E494" s="202"/>
      <c r="F494" s="202"/>
    </row>
    <row r="495" spans="1:6">
      <c r="A495" s="202"/>
      <c r="B495" s="202"/>
      <c r="C495" s="202"/>
      <c r="D495" s="202"/>
      <c r="E495" s="202"/>
      <c r="F495" s="202"/>
    </row>
    <row r="496" spans="1:6">
      <c r="A496" s="202"/>
      <c r="B496" s="202"/>
      <c r="C496" s="202"/>
      <c r="D496" s="202"/>
      <c r="E496" s="202"/>
      <c r="F496" s="202"/>
    </row>
    <row r="497" spans="1:6">
      <c r="A497" s="202"/>
      <c r="B497" s="202"/>
      <c r="C497" s="202"/>
      <c r="D497" s="202"/>
      <c r="E497" s="202"/>
      <c r="F497" s="202"/>
    </row>
    <row r="498" spans="1:6">
      <c r="A498" s="202"/>
      <c r="B498" s="202"/>
      <c r="C498" s="202"/>
      <c r="D498" s="202"/>
      <c r="E498" s="202"/>
      <c r="F498" s="202"/>
    </row>
    <row r="499" spans="1:6">
      <c r="A499" s="202"/>
      <c r="B499" s="202"/>
      <c r="C499" s="202"/>
      <c r="D499" s="202"/>
      <c r="E499" s="202"/>
      <c r="F499" s="202"/>
    </row>
    <row r="500" spans="1:6">
      <c r="A500" s="202"/>
      <c r="B500" s="202"/>
      <c r="C500" s="202"/>
      <c r="D500" s="202"/>
      <c r="E500" s="202"/>
      <c r="F500" s="202"/>
    </row>
    <row r="501" spans="1:6">
      <c r="A501" s="202"/>
      <c r="B501" s="202"/>
      <c r="C501" s="202"/>
      <c r="D501" s="202"/>
      <c r="E501" s="202"/>
      <c r="F501" s="202"/>
    </row>
    <row r="502" spans="1:6">
      <c r="A502" s="202"/>
      <c r="B502" s="202"/>
      <c r="C502" s="202"/>
      <c r="D502" s="202"/>
      <c r="E502" s="202"/>
      <c r="F502" s="202"/>
    </row>
    <row r="503" spans="1:6">
      <c r="A503" s="202"/>
      <c r="B503" s="202"/>
      <c r="C503" s="202"/>
      <c r="D503" s="202"/>
      <c r="E503" s="202"/>
      <c r="F503" s="202"/>
    </row>
    <row r="504" spans="1:6">
      <c r="A504" s="202"/>
      <c r="B504" s="202"/>
      <c r="C504" s="202"/>
      <c r="D504" s="202"/>
      <c r="E504" s="202"/>
      <c r="F504" s="202"/>
    </row>
    <row r="505" spans="1:6">
      <c r="A505" s="202"/>
      <c r="B505" s="202"/>
      <c r="C505" s="202"/>
      <c r="D505" s="202"/>
      <c r="E505" s="202"/>
      <c r="F505" s="202"/>
    </row>
    <row r="506" spans="1:6">
      <c r="A506" s="202"/>
      <c r="B506" s="202"/>
      <c r="C506" s="202"/>
      <c r="D506" s="202"/>
      <c r="E506" s="202"/>
      <c r="F506" s="202"/>
    </row>
    <row r="507" spans="1:6">
      <c r="A507" s="202"/>
      <c r="B507" s="202"/>
      <c r="C507" s="202"/>
      <c r="D507" s="202"/>
      <c r="E507" s="202"/>
      <c r="F507" s="202"/>
    </row>
    <row r="508" spans="1:6">
      <c r="A508" s="202"/>
      <c r="B508" s="202"/>
      <c r="C508" s="202"/>
      <c r="D508" s="202"/>
      <c r="E508" s="202"/>
      <c r="F508" s="202"/>
    </row>
    <row r="509" spans="1:6">
      <c r="A509" s="202"/>
      <c r="B509" s="202"/>
      <c r="C509" s="202"/>
      <c r="D509" s="202"/>
      <c r="E509" s="202"/>
      <c r="F509" s="202"/>
    </row>
    <row r="510" spans="1:6">
      <c r="A510" s="202"/>
      <c r="B510" s="202"/>
      <c r="C510" s="202"/>
      <c r="D510" s="202"/>
      <c r="E510" s="202"/>
      <c r="F510" s="202"/>
    </row>
    <row r="511" spans="1:6">
      <c r="A511" s="202"/>
      <c r="B511" s="202"/>
      <c r="C511" s="202"/>
      <c r="D511" s="202"/>
      <c r="E511" s="202"/>
      <c r="F511" s="202"/>
    </row>
    <row r="512" spans="1:6">
      <c r="A512" s="202"/>
      <c r="B512" s="202"/>
      <c r="C512" s="202"/>
      <c r="D512" s="202"/>
      <c r="E512" s="202"/>
      <c r="F512" s="202"/>
    </row>
    <row r="513" spans="1:6">
      <c r="A513" s="202"/>
      <c r="B513" s="202"/>
      <c r="C513" s="202"/>
      <c r="D513" s="202"/>
      <c r="E513" s="202"/>
      <c r="F513" s="202"/>
    </row>
    <row r="514" spans="1:6">
      <c r="A514" s="202"/>
      <c r="B514" s="202"/>
      <c r="C514" s="202"/>
      <c r="D514" s="202"/>
      <c r="E514" s="202"/>
      <c r="F514" s="202"/>
    </row>
    <row r="515" spans="1:6">
      <c r="A515" s="202"/>
      <c r="B515" s="202"/>
      <c r="C515" s="202"/>
      <c r="D515" s="202"/>
      <c r="E515" s="202"/>
      <c r="F515" s="202"/>
    </row>
    <row r="516" spans="1:6">
      <c r="A516" s="202"/>
      <c r="B516" s="202"/>
      <c r="C516" s="202"/>
      <c r="D516" s="202"/>
      <c r="E516" s="202"/>
      <c r="F516" s="202"/>
    </row>
    <row r="517" spans="1:6">
      <c r="A517" s="202"/>
      <c r="B517" s="202"/>
      <c r="C517" s="202"/>
      <c r="D517" s="202"/>
      <c r="E517" s="202"/>
      <c r="F517" s="202"/>
    </row>
    <row r="518" spans="1:6">
      <c r="A518" s="202"/>
      <c r="B518" s="202"/>
      <c r="C518" s="202"/>
      <c r="D518" s="202"/>
      <c r="E518" s="202"/>
      <c r="F518" s="202"/>
    </row>
    <row r="519" spans="1:6">
      <c r="A519" s="202"/>
      <c r="B519" s="202"/>
      <c r="C519" s="202"/>
      <c r="D519" s="202"/>
      <c r="E519" s="202"/>
      <c r="F519" s="202"/>
    </row>
    <row r="520" spans="1:6">
      <c r="A520" s="202"/>
      <c r="B520" s="202"/>
      <c r="C520" s="202"/>
      <c r="D520" s="202"/>
      <c r="E520" s="202"/>
      <c r="F520" s="202"/>
    </row>
    <row r="521" spans="1:6">
      <c r="A521" s="202"/>
      <c r="B521" s="202"/>
      <c r="C521" s="202"/>
      <c r="D521" s="202"/>
      <c r="E521" s="202"/>
      <c r="F521" s="202"/>
    </row>
    <row r="522" spans="1:6">
      <c r="A522" s="202"/>
      <c r="B522" s="202"/>
      <c r="C522" s="202"/>
      <c r="D522" s="202"/>
      <c r="E522" s="202"/>
      <c r="F522" s="202"/>
    </row>
    <row r="523" spans="1:6">
      <c r="A523" s="202"/>
      <c r="B523" s="202"/>
      <c r="C523" s="202"/>
      <c r="D523" s="202"/>
      <c r="E523" s="202"/>
      <c r="F523" s="202"/>
    </row>
    <row r="524" spans="1:6">
      <c r="A524" s="202"/>
      <c r="B524" s="202"/>
      <c r="C524" s="202"/>
      <c r="D524" s="202"/>
      <c r="E524" s="202"/>
      <c r="F524" s="202"/>
    </row>
    <row r="525" spans="1:6">
      <c r="A525" s="202"/>
      <c r="B525" s="202"/>
      <c r="C525" s="202"/>
      <c r="D525" s="202"/>
      <c r="E525" s="202"/>
      <c r="F525" s="202"/>
    </row>
    <row r="526" spans="1:6">
      <c r="A526" s="202"/>
      <c r="B526" s="202"/>
      <c r="C526" s="202"/>
      <c r="D526" s="202"/>
      <c r="E526" s="202"/>
      <c r="F526" s="202"/>
    </row>
    <row r="527" spans="1:6">
      <c r="A527" s="202"/>
      <c r="B527" s="202"/>
      <c r="C527" s="202"/>
      <c r="D527" s="202"/>
      <c r="E527" s="202"/>
      <c r="F527" s="202"/>
    </row>
    <row r="528" spans="1:6">
      <c r="A528" s="202"/>
      <c r="B528" s="202"/>
      <c r="C528" s="202"/>
      <c r="D528" s="202"/>
      <c r="E528" s="202"/>
      <c r="F528" s="202"/>
    </row>
    <row r="529" spans="1:6">
      <c r="A529" s="202"/>
      <c r="B529" s="202"/>
      <c r="C529" s="202"/>
      <c r="D529" s="202"/>
      <c r="E529" s="202"/>
      <c r="F529" s="202"/>
    </row>
    <row r="530" spans="1:6">
      <c r="A530" s="202"/>
      <c r="B530" s="202"/>
      <c r="C530" s="202"/>
      <c r="D530" s="202"/>
      <c r="E530" s="202"/>
      <c r="F530" s="202"/>
    </row>
    <row r="531" spans="1:6">
      <c r="A531" s="202"/>
      <c r="B531" s="202"/>
      <c r="C531" s="202"/>
      <c r="D531" s="202"/>
      <c r="E531" s="202"/>
      <c r="F531" s="202"/>
    </row>
    <row r="532" spans="1:6">
      <c r="A532" s="202"/>
      <c r="B532" s="202"/>
      <c r="C532" s="202"/>
      <c r="D532" s="202"/>
      <c r="E532" s="202"/>
      <c r="F532" s="202"/>
    </row>
    <row r="533" spans="1:6">
      <c r="A533" s="202"/>
      <c r="B533" s="202"/>
      <c r="C533" s="202"/>
      <c r="D533" s="202"/>
      <c r="E533" s="202"/>
      <c r="F533" s="202"/>
    </row>
    <row r="534" spans="1:6">
      <c r="A534" s="202"/>
      <c r="B534" s="202"/>
      <c r="C534" s="202"/>
      <c r="D534" s="202"/>
      <c r="E534" s="202"/>
      <c r="F534" s="202"/>
    </row>
    <row r="535" spans="1:6">
      <c r="A535" s="202"/>
      <c r="B535" s="202"/>
      <c r="C535" s="202"/>
      <c r="D535" s="202"/>
      <c r="E535" s="202"/>
      <c r="F535" s="202"/>
    </row>
    <row r="536" spans="1:6">
      <c r="A536" s="202"/>
      <c r="B536" s="202"/>
      <c r="C536" s="202"/>
      <c r="D536" s="202"/>
      <c r="E536" s="202"/>
      <c r="F536" s="202"/>
    </row>
    <row r="537" spans="1:6">
      <c r="A537" s="202"/>
      <c r="B537" s="202"/>
      <c r="C537" s="202"/>
      <c r="D537" s="202"/>
      <c r="E537" s="202"/>
      <c r="F537" s="202"/>
    </row>
    <row r="538" spans="1:6">
      <c r="A538" s="202"/>
      <c r="B538" s="202"/>
      <c r="C538" s="202"/>
      <c r="D538" s="202"/>
      <c r="E538" s="202"/>
      <c r="F538" s="202"/>
    </row>
    <row r="539" spans="1:6">
      <c r="A539" s="202"/>
      <c r="B539" s="202"/>
      <c r="C539" s="202"/>
      <c r="D539" s="202"/>
      <c r="E539" s="202"/>
      <c r="F539" s="202"/>
    </row>
    <row r="540" spans="1:6">
      <c r="A540" s="202"/>
      <c r="B540" s="202"/>
      <c r="C540" s="202"/>
      <c r="D540" s="202"/>
      <c r="E540" s="202"/>
      <c r="F540" s="202"/>
    </row>
    <row r="541" spans="1:6">
      <c r="A541" s="202"/>
      <c r="B541" s="202"/>
      <c r="C541" s="202"/>
      <c r="D541" s="202"/>
      <c r="E541" s="202"/>
      <c r="F541" s="202"/>
    </row>
    <row r="542" spans="1:6">
      <c r="A542" s="202"/>
      <c r="B542" s="202"/>
      <c r="C542" s="202"/>
      <c r="D542" s="202"/>
      <c r="E542" s="202"/>
      <c r="F542" s="202"/>
    </row>
    <row r="543" spans="1:6">
      <c r="A543" s="202"/>
      <c r="B543" s="202"/>
      <c r="C543" s="202"/>
      <c r="D543" s="202"/>
      <c r="E543" s="202"/>
      <c r="F543" s="202"/>
    </row>
    <row r="544" spans="1:6">
      <c r="A544" s="202"/>
      <c r="B544" s="202"/>
      <c r="C544" s="202"/>
      <c r="D544" s="202"/>
      <c r="E544" s="202"/>
      <c r="F544" s="202"/>
    </row>
    <row r="545" spans="1:6">
      <c r="A545" s="202"/>
      <c r="B545" s="202"/>
      <c r="C545" s="202"/>
      <c r="D545" s="202"/>
      <c r="E545" s="202"/>
      <c r="F545" s="202"/>
    </row>
    <row r="546" spans="1:6">
      <c r="A546" s="202"/>
      <c r="B546" s="202"/>
      <c r="C546" s="202"/>
      <c r="D546" s="202"/>
      <c r="E546" s="202"/>
      <c r="F546" s="202"/>
    </row>
    <row r="547" spans="1:6">
      <c r="A547" s="202"/>
      <c r="B547" s="202"/>
      <c r="C547" s="202"/>
      <c r="D547" s="202"/>
      <c r="E547" s="202"/>
      <c r="F547" s="202"/>
    </row>
    <row r="548" spans="1:6">
      <c r="A548" s="202"/>
      <c r="B548" s="202"/>
      <c r="C548" s="202"/>
      <c r="D548" s="202"/>
      <c r="E548" s="202"/>
      <c r="F548" s="202"/>
    </row>
    <row r="549" spans="1:6">
      <c r="A549" s="202"/>
      <c r="B549" s="202"/>
      <c r="C549" s="202"/>
      <c r="D549" s="202"/>
      <c r="E549" s="202"/>
      <c r="F549" s="202"/>
    </row>
    <row r="550" spans="1:6">
      <c r="A550" s="202"/>
      <c r="B550" s="202"/>
      <c r="C550" s="202"/>
      <c r="D550" s="202"/>
      <c r="E550" s="202"/>
      <c r="F550" s="202"/>
    </row>
    <row r="551" spans="1:6">
      <c r="A551" s="202"/>
      <c r="B551" s="202"/>
      <c r="C551" s="202"/>
      <c r="D551" s="202"/>
      <c r="E551" s="202"/>
      <c r="F551" s="202"/>
    </row>
    <row r="552" spans="1:6">
      <c r="A552" s="202"/>
      <c r="B552" s="202"/>
      <c r="C552" s="202"/>
      <c r="D552" s="202"/>
      <c r="E552" s="202"/>
      <c r="F552" s="202"/>
    </row>
    <row r="553" spans="1:6">
      <c r="A553" s="202"/>
      <c r="B553" s="202"/>
      <c r="C553" s="202"/>
      <c r="D553" s="202"/>
      <c r="E553" s="202"/>
      <c r="F553" s="202"/>
    </row>
    <row r="554" spans="1:6">
      <c r="A554" s="202"/>
      <c r="B554" s="202"/>
      <c r="C554" s="202"/>
      <c r="D554" s="202"/>
      <c r="E554" s="202"/>
      <c r="F554" s="202"/>
    </row>
    <row r="555" spans="1:6">
      <c r="A555" s="202"/>
      <c r="B555" s="202"/>
      <c r="C555" s="202"/>
      <c r="D555" s="202"/>
      <c r="E555" s="202"/>
      <c r="F555" s="202"/>
    </row>
    <row r="556" spans="1:6">
      <c r="A556" s="202"/>
      <c r="B556" s="202"/>
      <c r="C556" s="202"/>
      <c r="D556" s="202"/>
      <c r="E556" s="202"/>
      <c r="F556" s="202"/>
    </row>
    <row r="557" spans="1:6">
      <c r="A557" s="202"/>
      <c r="B557" s="202"/>
      <c r="C557" s="202"/>
      <c r="D557" s="202"/>
      <c r="E557" s="202"/>
      <c r="F557" s="202"/>
    </row>
    <row r="558" spans="1:6">
      <c r="A558" s="202"/>
      <c r="B558" s="202"/>
      <c r="C558" s="202"/>
      <c r="D558" s="202"/>
      <c r="E558" s="202"/>
      <c r="F558" s="202"/>
    </row>
    <row r="559" spans="1:6">
      <c r="A559" s="202"/>
      <c r="B559" s="202"/>
      <c r="C559" s="202"/>
      <c r="D559" s="202"/>
      <c r="E559" s="202"/>
      <c r="F559" s="202"/>
    </row>
    <row r="560" spans="1:6">
      <c r="A560" s="202"/>
      <c r="B560" s="202"/>
      <c r="C560" s="202"/>
      <c r="D560" s="202"/>
      <c r="E560" s="202"/>
      <c r="F560" s="202"/>
    </row>
    <row r="561" spans="1:6">
      <c r="A561" s="202"/>
      <c r="B561" s="202"/>
      <c r="C561" s="202"/>
      <c r="D561" s="202"/>
      <c r="E561" s="202"/>
      <c r="F561" s="202"/>
    </row>
    <row r="562" spans="1:6">
      <c r="A562" s="202"/>
      <c r="B562" s="202"/>
      <c r="C562" s="202"/>
      <c r="D562" s="202"/>
      <c r="E562" s="202"/>
      <c r="F562" s="202"/>
    </row>
    <row r="563" spans="1:6">
      <c r="A563" s="202"/>
      <c r="B563" s="202"/>
      <c r="C563" s="202"/>
      <c r="D563" s="202"/>
      <c r="E563" s="202"/>
      <c r="F563" s="202"/>
    </row>
    <row r="564" spans="1:6">
      <c r="A564" s="202"/>
      <c r="B564" s="202"/>
      <c r="C564" s="202"/>
      <c r="D564" s="202"/>
      <c r="E564" s="202"/>
      <c r="F564" s="202"/>
    </row>
    <row r="565" spans="1:6">
      <c r="A565" s="202"/>
      <c r="B565" s="202"/>
      <c r="C565" s="202"/>
      <c r="D565" s="202"/>
      <c r="E565" s="202"/>
      <c r="F565" s="202"/>
    </row>
    <row r="566" spans="1:6">
      <c r="A566" s="202"/>
      <c r="B566" s="202"/>
      <c r="C566" s="202"/>
      <c r="D566" s="202"/>
      <c r="E566" s="202"/>
      <c r="F566" s="202"/>
    </row>
    <row r="567" spans="1:6">
      <c r="A567" s="202"/>
      <c r="B567" s="202"/>
      <c r="C567" s="202"/>
      <c r="D567" s="202"/>
      <c r="E567" s="202"/>
      <c r="F567" s="202"/>
    </row>
    <row r="568" spans="1:6">
      <c r="A568" s="202"/>
      <c r="B568" s="202"/>
      <c r="C568" s="202"/>
      <c r="D568" s="202"/>
      <c r="E568" s="202"/>
      <c r="F568" s="202"/>
    </row>
    <row r="569" spans="1:6">
      <c r="A569" s="202"/>
      <c r="B569" s="202"/>
      <c r="C569" s="202"/>
      <c r="D569" s="202"/>
      <c r="E569" s="202"/>
      <c r="F569" s="202"/>
    </row>
    <row r="570" spans="1:6">
      <c r="A570" s="202"/>
      <c r="B570" s="202"/>
      <c r="C570" s="202"/>
      <c r="D570" s="202"/>
      <c r="E570" s="202"/>
      <c r="F570" s="202"/>
    </row>
    <row r="571" spans="1:6">
      <c r="A571" s="202"/>
      <c r="B571" s="202"/>
      <c r="C571" s="202"/>
      <c r="D571" s="202"/>
      <c r="E571" s="202"/>
      <c r="F571" s="202"/>
    </row>
    <row r="572" spans="1:6">
      <c r="A572" s="202"/>
      <c r="B572" s="202"/>
      <c r="C572" s="202"/>
      <c r="D572" s="202"/>
      <c r="E572" s="202"/>
      <c r="F572" s="202"/>
    </row>
    <row r="573" spans="1:6">
      <c r="A573" s="202"/>
      <c r="B573" s="202"/>
      <c r="C573" s="202"/>
      <c r="D573" s="202"/>
      <c r="E573" s="202"/>
      <c r="F573" s="202"/>
    </row>
    <row r="574" spans="1:6">
      <c r="A574" s="202"/>
      <c r="B574" s="202"/>
      <c r="C574" s="202"/>
      <c r="D574" s="202"/>
      <c r="E574" s="202"/>
      <c r="F574" s="202"/>
    </row>
    <row r="575" spans="1:6">
      <c r="A575" s="202"/>
      <c r="B575" s="202"/>
      <c r="C575" s="202"/>
      <c r="D575" s="202"/>
      <c r="E575" s="202"/>
      <c r="F575" s="202"/>
    </row>
    <row r="576" spans="1:6">
      <c r="A576" s="202"/>
      <c r="B576" s="202"/>
      <c r="C576" s="202"/>
      <c r="D576" s="202"/>
      <c r="E576" s="202"/>
      <c r="F576" s="202"/>
    </row>
    <row r="577" spans="1:6">
      <c r="A577" s="202"/>
      <c r="B577" s="202"/>
      <c r="C577" s="202"/>
      <c r="D577" s="202"/>
      <c r="E577" s="202"/>
      <c r="F577" s="202"/>
    </row>
    <row r="578" spans="1:6">
      <c r="A578" s="202"/>
      <c r="B578" s="202"/>
      <c r="C578" s="202"/>
      <c r="D578" s="202"/>
      <c r="E578" s="202"/>
      <c r="F578" s="202"/>
    </row>
    <row r="579" spans="1:6">
      <c r="A579" s="202"/>
      <c r="B579" s="202"/>
      <c r="C579" s="202"/>
      <c r="D579" s="202"/>
      <c r="E579" s="202"/>
      <c r="F579" s="202"/>
    </row>
    <row r="580" spans="1:6">
      <c r="A580" s="202"/>
      <c r="B580" s="202"/>
      <c r="C580" s="202"/>
      <c r="D580" s="202"/>
      <c r="E580" s="202"/>
      <c r="F580" s="202"/>
    </row>
    <row r="581" spans="1:6">
      <c r="A581" s="202"/>
      <c r="B581" s="202"/>
      <c r="C581" s="202"/>
      <c r="D581" s="202"/>
      <c r="E581" s="202"/>
      <c r="F581" s="202"/>
    </row>
    <row r="582" spans="1:6">
      <c r="A582" s="202"/>
      <c r="B582" s="202"/>
      <c r="C582" s="202"/>
      <c r="D582" s="202"/>
      <c r="E582" s="202"/>
      <c r="F582" s="202"/>
    </row>
    <row r="583" spans="1:6">
      <c r="A583" s="202"/>
      <c r="B583" s="202"/>
      <c r="C583" s="202"/>
      <c r="D583" s="202"/>
      <c r="E583" s="202"/>
      <c r="F583" s="202"/>
    </row>
    <row r="584" spans="1:6">
      <c r="A584" s="202"/>
      <c r="B584" s="202"/>
      <c r="C584" s="202"/>
      <c r="D584" s="202"/>
      <c r="E584" s="202"/>
      <c r="F584" s="202"/>
    </row>
    <row r="585" spans="1:6">
      <c r="A585" s="202"/>
      <c r="B585" s="202"/>
      <c r="C585" s="202"/>
      <c r="D585" s="202"/>
      <c r="E585" s="202"/>
      <c r="F585" s="202"/>
    </row>
    <row r="586" spans="1:6">
      <c r="A586" s="202"/>
      <c r="B586" s="202"/>
      <c r="C586" s="202"/>
      <c r="D586" s="202"/>
      <c r="E586" s="202"/>
      <c r="F586" s="202"/>
    </row>
    <row r="587" spans="1:6">
      <c r="A587" s="202"/>
      <c r="B587" s="202"/>
      <c r="C587" s="202"/>
      <c r="D587" s="202"/>
      <c r="E587" s="202"/>
      <c r="F587" s="202"/>
    </row>
    <row r="588" spans="1:6">
      <c r="A588" s="202"/>
      <c r="B588" s="202"/>
      <c r="C588" s="202"/>
      <c r="D588" s="202"/>
      <c r="E588" s="202"/>
      <c r="F588" s="202"/>
    </row>
    <row r="589" spans="1:6">
      <c r="A589" s="202"/>
      <c r="B589" s="202"/>
      <c r="C589" s="202"/>
      <c r="D589" s="202"/>
      <c r="E589" s="202"/>
      <c r="F589" s="202"/>
    </row>
    <row r="590" spans="1:6">
      <c r="A590" s="202"/>
      <c r="B590" s="202"/>
      <c r="C590" s="202"/>
      <c r="D590" s="202"/>
      <c r="E590" s="202"/>
      <c r="F590" s="202"/>
    </row>
    <row r="591" spans="1:6">
      <c r="A591" s="202"/>
      <c r="B591" s="202"/>
      <c r="C591" s="202"/>
      <c r="D591" s="202"/>
      <c r="E591" s="202"/>
      <c r="F591" s="202"/>
    </row>
    <row r="592" spans="1:6">
      <c r="A592" s="202"/>
      <c r="B592" s="202"/>
      <c r="C592" s="202"/>
      <c r="D592" s="202"/>
      <c r="E592" s="202"/>
      <c r="F592" s="202"/>
    </row>
    <row r="593" spans="1:6">
      <c r="A593" s="202"/>
      <c r="B593" s="202"/>
      <c r="C593" s="202"/>
      <c r="D593" s="202"/>
      <c r="E593" s="202"/>
      <c r="F593" s="202"/>
    </row>
    <row r="594" spans="1:6">
      <c r="A594" s="202"/>
      <c r="B594" s="202"/>
      <c r="C594" s="202"/>
      <c r="D594" s="202"/>
      <c r="E594" s="202"/>
      <c r="F594" s="202"/>
    </row>
    <row r="595" spans="1:6">
      <c r="A595" s="202"/>
      <c r="B595" s="202"/>
      <c r="C595" s="202"/>
      <c r="D595" s="202"/>
      <c r="E595" s="202"/>
      <c r="F595" s="202"/>
    </row>
    <row r="596" spans="1:6">
      <c r="A596" s="202"/>
      <c r="B596" s="202"/>
      <c r="C596" s="202"/>
      <c r="D596" s="202"/>
      <c r="E596" s="202"/>
      <c r="F596" s="202"/>
    </row>
    <row r="597" spans="1:6">
      <c r="A597" s="202"/>
      <c r="B597" s="202"/>
      <c r="C597" s="202"/>
      <c r="D597" s="202"/>
      <c r="E597" s="202"/>
      <c r="F597" s="202"/>
    </row>
    <row r="598" spans="1:6">
      <c r="A598" s="202"/>
      <c r="B598" s="202"/>
      <c r="C598" s="202"/>
      <c r="D598" s="202"/>
      <c r="E598" s="202"/>
      <c r="F598" s="202"/>
    </row>
    <row r="599" spans="1:6">
      <c r="A599" s="202"/>
      <c r="B599" s="202"/>
      <c r="C599" s="202"/>
      <c r="D599" s="202"/>
      <c r="E599" s="202"/>
      <c r="F599" s="202"/>
    </row>
    <row r="600" spans="1:6">
      <c r="A600" s="202"/>
      <c r="B600" s="202"/>
      <c r="C600" s="202"/>
      <c r="D600" s="202"/>
      <c r="E600" s="202"/>
      <c r="F600" s="202"/>
    </row>
    <row r="601" spans="1:6">
      <c r="A601" s="202"/>
      <c r="B601" s="202"/>
      <c r="C601" s="202"/>
      <c r="D601" s="202"/>
      <c r="E601" s="202"/>
      <c r="F601" s="202"/>
    </row>
    <row r="602" spans="1:6">
      <c r="A602" s="202"/>
      <c r="B602" s="202"/>
      <c r="C602" s="202"/>
      <c r="D602" s="202"/>
      <c r="E602" s="202"/>
      <c r="F602" s="202"/>
    </row>
    <row r="603" spans="1:6">
      <c r="A603" s="202"/>
      <c r="B603" s="202"/>
      <c r="C603" s="202"/>
      <c r="D603" s="202"/>
      <c r="E603" s="202"/>
      <c r="F603" s="202"/>
    </row>
    <row r="604" spans="1:6">
      <c r="A604" s="202"/>
      <c r="B604" s="202"/>
      <c r="C604" s="202"/>
      <c r="D604" s="202"/>
      <c r="E604" s="202"/>
      <c r="F604" s="202"/>
    </row>
    <row r="605" spans="1:6">
      <c r="A605" s="202"/>
      <c r="B605" s="202"/>
      <c r="C605" s="202"/>
      <c r="D605" s="202"/>
      <c r="E605" s="202"/>
      <c r="F605" s="202"/>
    </row>
    <row r="606" spans="1:6">
      <c r="A606" s="202"/>
      <c r="B606" s="202"/>
      <c r="C606" s="202"/>
      <c r="D606" s="202"/>
      <c r="E606" s="202"/>
      <c r="F606" s="202"/>
    </row>
    <row r="607" spans="1:6">
      <c r="A607" s="202"/>
      <c r="B607" s="202"/>
      <c r="C607" s="202"/>
      <c r="D607" s="202"/>
      <c r="E607" s="202"/>
      <c r="F607" s="202"/>
    </row>
    <row r="608" spans="1:6">
      <c r="A608" s="202"/>
      <c r="B608" s="202"/>
      <c r="C608" s="202"/>
      <c r="D608" s="202"/>
      <c r="E608" s="202"/>
      <c r="F608" s="202"/>
    </row>
    <row r="609" spans="1:6">
      <c r="A609" s="202"/>
      <c r="B609" s="202"/>
      <c r="C609" s="202"/>
      <c r="D609" s="202"/>
      <c r="E609" s="202"/>
      <c r="F609" s="202"/>
    </row>
    <row r="610" spans="1:6">
      <c r="A610" s="202"/>
      <c r="B610" s="202"/>
      <c r="C610" s="202"/>
      <c r="D610" s="202"/>
      <c r="E610" s="202"/>
      <c r="F610" s="202"/>
    </row>
    <row r="611" spans="1:6">
      <c r="A611" s="202"/>
      <c r="B611" s="202"/>
      <c r="C611" s="202"/>
      <c r="D611" s="202"/>
      <c r="E611" s="202"/>
      <c r="F611" s="202"/>
    </row>
    <row r="612" spans="1:6">
      <c r="A612" s="202"/>
      <c r="B612" s="202"/>
      <c r="C612" s="202"/>
      <c r="D612" s="202"/>
      <c r="E612" s="202"/>
      <c r="F612" s="202"/>
    </row>
    <row r="613" spans="1:6">
      <c r="A613" s="202"/>
      <c r="B613" s="202"/>
      <c r="C613" s="202"/>
      <c r="D613" s="202"/>
      <c r="E613" s="202"/>
      <c r="F613" s="202"/>
    </row>
    <row r="614" spans="1:6">
      <c r="A614" s="202"/>
      <c r="B614" s="202"/>
      <c r="C614" s="202"/>
      <c r="D614" s="202"/>
      <c r="E614" s="202"/>
      <c r="F614" s="202"/>
    </row>
    <row r="615" spans="1:6">
      <c r="A615" s="202"/>
      <c r="B615" s="202"/>
      <c r="C615" s="202"/>
      <c r="D615" s="202"/>
      <c r="E615" s="202"/>
      <c r="F615" s="202"/>
    </row>
    <row r="616" spans="1:6">
      <c r="A616" s="202"/>
      <c r="B616" s="202"/>
      <c r="C616" s="202"/>
      <c r="D616" s="202"/>
      <c r="E616" s="202"/>
      <c r="F616" s="202"/>
    </row>
    <row r="617" spans="1:6">
      <c r="A617" s="202"/>
      <c r="B617" s="202"/>
      <c r="C617" s="202"/>
      <c r="D617" s="202"/>
      <c r="E617" s="202"/>
      <c r="F617" s="202"/>
    </row>
    <row r="618" spans="1:6">
      <c r="A618" s="202"/>
      <c r="B618" s="202"/>
      <c r="C618" s="202"/>
      <c r="D618" s="202"/>
      <c r="E618" s="202"/>
      <c r="F618" s="202"/>
    </row>
    <row r="619" spans="1:6">
      <c r="A619" s="202"/>
      <c r="B619" s="202"/>
      <c r="C619" s="202"/>
      <c r="D619" s="202"/>
      <c r="E619" s="202"/>
      <c r="F619" s="202"/>
    </row>
    <row r="620" spans="1:6">
      <c r="A620" s="202"/>
      <c r="B620" s="202"/>
      <c r="C620" s="202"/>
      <c r="D620" s="202"/>
      <c r="E620" s="202"/>
      <c r="F620" s="202"/>
    </row>
    <row r="621" spans="1:6">
      <c r="A621" s="202"/>
      <c r="B621" s="202"/>
      <c r="C621" s="202"/>
      <c r="D621" s="202"/>
      <c r="E621" s="202"/>
      <c r="F621" s="202"/>
    </row>
    <row r="622" spans="1:6">
      <c r="A622" s="202"/>
      <c r="B622" s="202"/>
      <c r="C622" s="202"/>
      <c r="D622" s="202"/>
      <c r="E622" s="202"/>
      <c r="F622" s="202"/>
    </row>
    <row r="623" spans="1:6">
      <c r="A623" s="202"/>
      <c r="B623" s="202"/>
      <c r="C623" s="202"/>
      <c r="D623" s="202"/>
      <c r="E623" s="202"/>
      <c r="F623" s="202"/>
    </row>
    <row r="624" spans="1:6">
      <c r="A624" s="202"/>
      <c r="B624" s="202"/>
      <c r="C624" s="202"/>
      <c r="D624" s="202"/>
      <c r="E624" s="202"/>
      <c r="F624" s="202"/>
    </row>
    <row r="625" spans="1:6">
      <c r="A625" s="202"/>
      <c r="B625" s="202"/>
      <c r="C625" s="202"/>
      <c r="D625" s="202"/>
      <c r="E625" s="202"/>
      <c r="F625" s="202"/>
    </row>
    <row r="626" spans="1:6">
      <c r="A626" s="202"/>
      <c r="B626" s="202"/>
      <c r="C626" s="202"/>
      <c r="D626" s="202"/>
      <c r="E626" s="202"/>
      <c r="F626" s="202"/>
    </row>
    <row r="627" spans="1:6">
      <c r="A627" s="202"/>
      <c r="B627" s="202"/>
      <c r="C627" s="202"/>
      <c r="D627" s="202"/>
      <c r="E627" s="202"/>
      <c r="F627" s="202"/>
    </row>
    <row r="628" spans="1:6">
      <c r="A628" s="202"/>
      <c r="B628" s="202"/>
      <c r="C628" s="202"/>
      <c r="D628" s="202"/>
      <c r="E628" s="202"/>
      <c r="F628" s="202"/>
    </row>
    <row r="629" spans="1:6">
      <c r="A629" s="202"/>
      <c r="B629" s="202"/>
      <c r="C629" s="202"/>
      <c r="D629" s="202"/>
      <c r="E629" s="202"/>
      <c r="F629" s="202"/>
    </row>
    <row r="630" spans="1:6">
      <c r="A630" s="202"/>
      <c r="B630" s="202"/>
      <c r="C630" s="202"/>
      <c r="D630" s="202"/>
      <c r="E630" s="202"/>
      <c r="F630" s="202"/>
    </row>
    <row r="631" spans="1:6">
      <c r="A631" s="202"/>
      <c r="B631" s="202"/>
      <c r="C631" s="202"/>
      <c r="D631" s="202"/>
      <c r="E631" s="202"/>
      <c r="F631" s="202"/>
    </row>
    <row r="632" spans="1:6">
      <c r="A632" s="202"/>
      <c r="B632" s="202"/>
      <c r="C632" s="202"/>
      <c r="D632" s="202"/>
      <c r="E632" s="202"/>
      <c r="F632" s="202"/>
    </row>
    <row r="633" spans="1:6">
      <c r="A633" s="202"/>
      <c r="B633" s="202"/>
      <c r="C633" s="202"/>
      <c r="D633" s="202"/>
      <c r="E633" s="202"/>
      <c r="F633" s="202"/>
    </row>
    <row r="634" spans="1:6">
      <c r="A634" s="202"/>
      <c r="B634" s="202"/>
      <c r="C634" s="202"/>
      <c r="D634" s="202"/>
      <c r="E634" s="202"/>
      <c r="F634" s="202"/>
    </row>
    <row r="635" spans="1:6">
      <c r="A635" s="202"/>
      <c r="B635" s="202"/>
      <c r="C635" s="202"/>
      <c r="D635" s="202"/>
      <c r="E635" s="202"/>
      <c r="F635" s="202"/>
    </row>
    <row r="636" spans="1:6">
      <c r="A636" s="202"/>
      <c r="B636" s="202"/>
      <c r="C636" s="202"/>
      <c r="D636" s="202"/>
      <c r="E636" s="202"/>
      <c r="F636" s="202"/>
    </row>
    <row r="637" spans="1:6">
      <c r="A637" s="202"/>
      <c r="B637" s="202"/>
      <c r="C637" s="202"/>
      <c r="D637" s="202"/>
      <c r="E637" s="202"/>
      <c r="F637" s="202"/>
    </row>
    <row r="638" spans="1:6">
      <c r="A638" s="202"/>
      <c r="B638" s="202"/>
      <c r="C638" s="202"/>
      <c r="D638" s="202"/>
      <c r="E638" s="202"/>
      <c r="F638" s="202"/>
    </row>
    <row r="639" spans="1:6">
      <c r="A639" s="202"/>
      <c r="B639" s="202"/>
      <c r="C639" s="202"/>
      <c r="D639" s="202"/>
      <c r="E639" s="202"/>
      <c r="F639" s="202"/>
    </row>
    <row r="640" spans="1:6">
      <c r="A640" s="202"/>
      <c r="B640" s="202"/>
      <c r="C640" s="202"/>
      <c r="D640" s="202"/>
      <c r="E640" s="202"/>
      <c r="F640" s="202"/>
    </row>
    <row r="641" spans="1:6">
      <c r="A641" s="202"/>
      <c r="B641" s="202"/>
      <c r="C641" s="202"/>
      <c r="D641" s="202"/>
      <c r="E641" s="202"/>
      <c r="F641" s="202"/>
    </row>
    <row r="642" spans="1:6">
      <c r="A642" s="202"/>
      <c r="B642" s="202"/>
      <c r="C642" s="202"/>
      <c r="D642" s="202"/>
      <c r="E642" s="202"/>
      <c r="F642" s="202"/>
    </row>
    <row r="643" spans="1:6">
      <c r="A643" s="202"/>
      <c r="B643" s="202"/>
      <c r="C643" s="202"/>
      <c r="D643" s="202"/>
      <c r="E643" s="202"/>
      <c r="F643" s="202"/>
    </row>
    <row r="644" spans="1:6">
      <c r="A644" s="202"/>
      <c r="B644" s="202"/>
      <c r="C644" s="202"/>
      <c r="D644" s="202"/>
      <c r="E644" s="202"/>
      <c r="F644" s="202"/>
    </row>
    <row r="645" spans="1:6">
      <c r="A645" s="202"/>
      <c r="B645" s="202"/>
      <c r="C645" s="202"/>
      <c r="D645" s="202"/>
      <c r="E645" s="202"/>
      <c r="F645" s="202"/>
    </row>
    <row r="646" spans="1:6">
      <c r="A646" s="202"/>
      <c r="B646" s="202"/>
      <c r="C646" s="202"/>
      <c r="D646" s="202"/>
      <c r="E646" s="202"/>
      <c r="F646" s="202"/>
    </row>
    <row r="647" spans="1:6">
      <c r="A647" s="202"/>
      <c r="B647" s="202"/>
      <c r="C647" s="202"/>
      <c r="D647" s="202"/>
      <c r="E647" s="202"/>
      <c r="F647" s="202"/>
    </row>
    <row r="648" spans="1:6">
      <c r="A648" s="202"/>
      <c r="B648" s="202"/>
      <c r="C648" s="202"/>
      <c r="D648" s="202"/>
      <c r="E648" s="202"/>
      <c r="F648" s="202"/>
    </row>
    <row r="649" spans="1:6">
      <c r="A649" s="202"/>
      <c r="B649" s="202"/>
      <c r="C649" s="202"/>
      <c r="D649" s="202"/>
      <c r="E649" s="202"/>
      <c r="F649" s="202"/>
    </row>
    <row r="650" spans="1:6">
      <c r="A650" s="202"/>
      <c r="B650" s="202"/>
      <c r="C650" s="202"/>
      <c r="D650" s="202"/>
      <c r="E650" s="202"/>
      <c r="F650" s="202"/>
    </row>
    <row r="651" spans="1:6">
      <c r="A651" s="202"/>
      <c r="B651" s="202"/>
      <c r="C651" s="202"/>
      <c r="D651" s="202"/>
      <c r="E651" s="202"/>
      <c r="F651" s="202"/>
    </row>
    <row r="652" spans="1:6">
      <c r="A652" s="202"/>
      <c r="B652" s="202"/>
      <c r="C652" s="202"/>
      <c r="D652" s="202"/>
      <c r="E652" s="202"/>
      <c r="F652" s="202"/>
    </row>
    <row r="653" spans="1:6">
      <c r="A653" s="202"/>
      <c r="B653" s="202"/>
      <c r="C653" s="202"/>
      <c r="D653" s="202"/>
      <c r="E653" s="202"/>
      <c r="F653" s="202"/>
    </row>
    <row r="654" spans="1:6">
      <c r="A654" s="202"/>
      <c r="B654" s="202"/>
      <c r="C654" s="202"/>
      <c r="D654" s="202"/>
      <c r="E654" s="202"/>
      <c r="F654" s="202"/>
    </row>
    <row r="655" spans="1:6">
      <c r="A655" s="202"/>
      <c r="B655" s="202"/>
      <c r="C655" s="202"/>
      <c r="D655" s="202"/>
      <c r="E655" s="202"/>
      <c r="F655" s="202"/>
    </row>
    <row r="656" spans="1:6">
      <c r="A656" s="202"/>
      <c r="B656" s="202"/>
      <c r="C656" s="202"/>
      <c r="D656" s="202"/>
      <c r="E656" s="202"/>
      <c r="F656" s="202"/>
    </row>
    <row r="657" spans="1:6">
      <c r="A657" s="202"/>
      <c r="B657" s="202"/>
      <c r="C657" s="202"/>
      <c r="D657" s="202"/>
      <c r="E657" s="202"/>
      <c r="F657" s="202"/>
    </row>
    <row r="658" spans="1:6">
      <c r="A658" s="202"/>
      <c r="B658" s="202"/>
      <c r="C658" s="202"/>
      <c r="D658" s="202"/>
      <c r="E658" s="202"/>
      <c r="F658" s="202"/>
    </row>
    <row r="659" spans="1:6">
      <c r="A659" s="202"/>
      <c r="B659" s="202"/>
      <c r="C659" s="202"/>
      <c r="D659" s="202"/>
      <c r="E659" s="202"/>
      <c r="F659" s="202"/>
    </row>
    <row r="660" spans="1:6">
      <c r="A660" s="202"/>
      <c r="B660" s="202"/>
      <c r="C660" s="202"/>
      <c r="D660" s="202"/>
      <c r="E660" s="202"/>
      <c r="F660" s="202"/>
    </row>
    <row r="661" spans="1:6">
      <c r="A661" s="202"/>
      <c r="B661" s="202"/>
      <c r="C661" s="202"/>
      <c r="D661" s="202"/>
      <c r="E661" s="202"/>
      <c r="F661" s="202"/>
    </row>
    <row r="662" spans="1:6">
      <c r="A662" s="202"/>
      <c r="B662" s="202"/>
      <c r="C662" s="202"/>
      <c r="D662" s="202"/>
      <c r="E662" s="202"/>
      <c r="F662" s="202"/>
    </row>
    <row r="663" spans="1:6">
      <c r="A663" s="202"/>
      <c r="B663" s="202"/>
      <c r="C663" s="202"/>
      <c r="D663" s="202"/>
      <c r="E663" s="202"/>
      <c r="F663" s="202"/>
    </row>
    <row r="664" spans="1:6">
      <c r="A664" s="202"/>
      <c r="B664" s="202"/>
      <c r="C664" s="202"/>
      <c r="D664" s="202"/>
      <c r="E664" s="202"/>
      <c r="F664" s="202"/>
    </row>
    <row r="665" spans="1:6">
      <c r="A665" s="202"/>
      <c r="B665" s="202"/>
      <c r="C665" s="202"/>
      <c r="D665" s="202"/>
      <c r="E665" s="202"/>
      <c r="F665" s="202"/>
    </row>
    <row r="666" spans="1:6">
      <c r="A666" s="202"/>
      <c r="B666" s="202"/>
      <c r="C666" s="202"/>
      <c r="D666" s="202"/>
      <c r="E666" s="202"/>
      <c r="F666" s="202"/>
    </row>
    <row r="667" spans="1:6">
      <c r="A667" s="202"/>
      <c r="B667" s="202"/>
      <c r="C667" s="202"/>
      <c r="D667" s="202"/>
      <c r="E667" s="202"/>
      <c r="F667" s="202"/>
    </row>
    <row r="668" spans="1:6">
      <c r="A668" s="202"/>
      <c r="B668" s="202"/>
      <c r="C668" s="202"/>
      <c r="D668" s="202"/>
      <c r="E668" s="202"/>
      <c r="F668" s="202"/>
    </row>
    <row r="669" spans="1:6">
      <c r="A669" s="202"/>
      <c r="B669" s="202"/>
      <c r="C669" s="202"/>
      <c r="D669" s="202"/>
      <c r="E669" s="202"/>
      <c r="F669" s="202"/>
    </row>
    <row r="670" spans="1:6">
      <c r="A670" s="202"/>
      <c r="B670" s="202"/>
      <c r="C670" s="202"/>
      <c r="D670" s="202"/>
      <c r="E670" s="202"/>
      <c r="F670" s="202"/>
    </row>
    <row r="671" spans="1:6">
      <c r="A671" s="202"/>
      <c r="B671" s="202"/>
      <c r="C671" s="202"/>
      <c r="D671" s="202"/>
      <c r="E671" s="202"/>
      <c r="F671" s="202"/>
    </row>
    <row r="672" spans="1:6">
      <c r="A672" s="202"/>
      <c r="B672" s="202"/>
      <c r="C672" s="202"/>
      <c r="D672" s="202"/>
      <c r="E672" s="202"/>
      <c r="F672" s="202"/>
    </row>
    <row r="673" spans="1:6">
      <c r="A673" s="202"/>
      <c r="B673" s="202"/>
      <c r="C673" s="202"/>
      <c r="D673" s="202"/>
      <c r="E673" s="202"/>
      <c r="F673" s="202"/>
    </row>
    <row r="674" spans="1:6">
      <c r="A674" s="202"/>
      <c r="B674" s="202"/>
      <c r="C674" s="202"/>
      <c r="D674" s="202"/>
      <c r="E674" s="202"/>
      <c r="F674" s="202"/>
    </row>
    <row r="675" spans="1:6">
      <c r="A675" s="202"/>
      <c r="B675" s="202"/>
      <c r="C675" s="202"/>
      <c r="D675" s="202"/>
      <c r="E675" s="202"/>
      <c r="F675" s="202"/>
    </row>
    <row r="676" spans="1:6">
      <c r="A676" s="202"/>
      <c r="B676" s="202"/>
      <c r="C676" s="202"/>
      <c r="D676" s="202"/>
      <c r="E676" s="202"/>
      <c r="F676" s="202"/>
    </row>
    <row r="677" spans="1:6">
      <c r="A677" s="202"/>
      <c r="B677" s="202"/>
      <c r="C677" s="202"/>
      <c r="D677" s="202"/>
      <c r="E677" s="202"/>
      <c r="F677" s="202"/>
    </row>
    <row r="678" spans="1:6">
      <c r="A678" s="202"/>
      <c r="B678" s="202"/>
      <c r="C678" s="202"/>
      <c r="D678" s="202"/>
      <c r="E678" s="202"/>
      <c r="F678" s="202"/>
    </row>
    <row r="679" spans="1:6">
      <c r="A679" s="202"/>
      <c r="B679" s="202"/>
      <c r="C679" s="202"/>
      <c r="D679" s="202"/>
      <c r="E679" s="202"/>
      <c r="F679" s="202"/>
    </row>
    <row r="680" spans="1:6">
      <c r="A680" s="202"/>
      <c r="B680" s="202"/>
      <c r="C680" s="202"/>
      <c r="D680" s="202"/>
      <c r="E680" s="202"/>
      <c r="F680" s="202"/>
    </row>
    <row r="681" spans="1:6">
      <c r="A681" s="202"/>
      <c r="B681" s="202"/>
      <c r="C681" s="202"/>
      <c r="D681" s="202"/>
      <c r="E681" s="202"/>
      <c r="F681" s="202"/>
    </row>
    <row r="682" spans="1:6">
      <c r="A682" s="202"/>
      <c r="B682" s="202"/>
      <c r="C682" s="202"/>
      <c r="D682" s="202"/>
      <c r="E682" s="202"/>
      <c r="F682" s="202"/>
    </row>
    <row r="683" spans="1:6">
      <c r="A683" s="202"/>
      <c r="B683" s="202"/>
      <c r="C683" s="202"/>
      <c r="D683" s="202"/>
      <c r="E683" s="202"/>
      <c r="F683" s="202"/>
    </row>
    <row r="684" spans="1:6">
      <c r="A684" s="202"/>
      <c r="B684" s="202"/>
      <c r="C684" s="202"/>
      <c r="D684" s="202"/>
      <c r="E684" s="202"/>
      <c r="F684" s="202"/>
    </row>
    <row r="685" spans="1:6">
      <c r="A685" s="202"/>
      <c r="B685" s="202"/>
      <c r="C685" s="202"/>
      <c r="D685" s="202"/>
      <c r="E685" s="202"/>
      <c r="F685" s="202"/>
    </row>
    <row r="686" spans="1:6">
      <c r="A686" s="202"/>
      <c r="B686" s="202"/>
      <c r="C686" s="202"/>
      <c r="D686" s="202"/>
      <c r="E686" s="202"/>
      <c r="F686" s="202"/>
    </row>
    <row r="687" spans="1:6">
      <c r="A687" s="202"/>
      <c r="B687" s="202"/>
      <c r="C687" s="202"/>
      <c r="D687" s="202"/>
      <c r="E687" s="202"/>
      <c r="F687" s="202"/>
    </row>
    <row r="688" spans="1:6">
      <c r="A688" s="202"/>
      <c r="B688" s="202"/>
      <c r="C688" s="202"/>
      <c r="D688" s="202"/>
      <c r="E688" s="202"/>
      <c r="F688" s="202"/>
    </row>
    <row r="689" spans="1:6">
      <c r="A689" s="202"/>
      <c r="B689" s="202"/>
      <c r="C689" s="202"/>
      <c r="D689" s="202"/>
      <c r="E689" s="202"/>
      <c r="F689" s="202"/>
    </row>
    <row r="690" spans="1:6">
      <c r="A690" s="202"/>
      <c r="B690" s="202"/>
      <c r="C690" s="202"/>
      <c r="D690" s="202"/>
      <c r="E690" s="202"/>
      <c r="F690" s="202"/>
    </row>
    <row r="691" spans="1:6">
      <c r="A691" s="202"/>
      <c r="B691" s="202"/>
      <c r="C691" s="202"/>
      <c r="D691" s="202"/>
      <c r="E691" s="202"/>
      <c r="F691" s="202"/>
    </row>
    <row r="692" spans="1:6">
      <c r="A692" s="202"/>
      <c r="B692" s="202"/>
      <c r="C692" s="202"/>
      <c r="D692" s="202"/>
      <c r="E692" s="202"/>
      <c r="F692" s="202"/>
    </row>
    <row r="693" spans="1:6">
      <c r="A693" s="202"/>
      <c r="B693" s="202"/>
      <c r="C693" s="202"/>
      <c r="D693" s="202"/>
      <c r="E693" s="202"/>
      <c r="F693" s="202"/>
    </row>
    <row r="694" spans="1:6">
      <c r="A694" s="202"/>
      <c r="B694" s="202"/>
      <c r="C694" s="202"/>
      <c r="D694" s="202"/>
      <c r="E694" s="202"/>
      <c r="F694" s="202"/>
    </row>
    <row r="695" spans="1:6">
      <c r="A695" s="202"/>
      <c r="B695" s="202"/>
      <c r="C695" s="202"/>
      <c r="D695" s="202"/>
      <c r="E695" s="202"/>
      <c r="F695" s="202"/>
    </row>
    <row r="696" spans="1:6">
      <c r="A696" s="202"/>
      <c r="B696" s="202"/>
      <c r="C696" s="202"/>
      <c r="D696" s="202"/>
      <c r="E696" s="202"/>
      <c r="F696" s="202"/>
    </row>
    <row r="697" spans="1:6">
      <c r="A697" s="202"/>
      <c r="B697" s="202"/>
      <c r="C697" s="202"/>
      <c r="D697" s="202"/>
      <c r="E697" s="202"/>
      <c r="F697" s="202"/>
    </row>
    <row r="698" spans="1:6">
      <c r="A698" s="202"/>
      <c r="B698" s="202"/>
      <c r="C698" s="202"/>
      <c r="D698" s="202"/>
      <c r="E698" s="202"/>
      <c r="F698" s="202"/>
    </row>
    <row r="699" spans="1:6">
      <c r="A699" s="202"/>
      <c r="B699" s="202"/>
      <c r="C699" s="202"/>
      <c r="D699" s="202"/>
      <c r="E699" s="202"/>
      <c r="F699" s="202"/>
    </row>
    <row r="700" spans="1:6">
      <c r="A700" s="202"/>
      <c r="B700" s="202"/>
      <c r="C700" s="202"/>
      <c r="D700" s="202"/>
      <c r="E700" s="202"/>
      <c r="F700" s="202"/>
    </row>
    <row r="701" spans="1:6">
      <c r="A701" s="202"/>
      <c r="B701" s="202"/>
      <c r="C701" s="202"/>
      <c r="D701" s="202"/>
      <c r="E701" s="202"/>
      <c r="F701" s="202"/>
    </row>
    <row r="702" spans="1:6">
      <c r="A702" s="202"/>
      <c r="B702" s="202"/>
      <c r="C702" s="202"/>
      <c r="D702" s="202"/>
      <c r="E702" s="202"/>
      <c r="F702" s="202"/>
    </row>
    <row r="703" spans="1:6">
      <c r="A703" s="202"/>
      <c r="B703" s="202"/>
      <c r="C703" s="202"/>
      <c r="D703" s="202"/>
      <c r="E703" s="202"/>
      <c r="F703" s="202"/>
    </row>
    <row r="704" spans="1:6">
      <c r="A704" s="202"/>
      <c r="B704" s="202"/>
      <c r="C704" s="202"/>
      <c r="D704" s="202"/>
      <c r="E704" s="202"/>
      <c r="F704" s="202"/>
    </row>
    <row r="705" spans="1:6">
      <c r="A705" s="202"/>
      <c r="B705" s="202"/>
      <c r="C705" s="202"/>
      <c r="D705" s="202"/>
      <c r="E705" s="202"/>
      <c r="F705" s="202"/>
    </row>
    <row r="706" spans="1:6">
      <c r="A706" s="202"/>
      <c r="B706" s="202"/>
      <c r="C706" s="202"/>
      <c r="D706" s="202"/>
      <c r="E706" s="202"/>
      <c r="F706" s="202"/>
    </row>
    <row r="707" spans="1:6">
      <c r="A707" s="202"/>
      <c r="B707" s="202"/>
      <c r="C707" s="202"/>
      <c r="D707" s="202"/>
      <c r="E707" s="202"/>
      <c r="F707" s="202"/>
    </row>
    <row r="708" spans="1:6">
      <c r="A708" s="202"/>
      <c r="B708" s="202"/>
      <c r="C708" s="202"/>
      <c r="D708" s="202"/>
      <c r="E708" s="202"/>
      <c r="F708" s="202"/>
    </row>
    <row r="709" spans="1:6">
      <c r="A709" s="202"/>
      <c r="B709" s="202"/>
      <c r="C709" s="202"/>
      <c r="D709" s="202"/>
      <c r="E709" s="202"/>
      <c r="F709" s="202"/>
    </row>
    <row r="710" spans="1:6">
      <c r="A710" s="202"/>
      <c r="B710" s="202"/>
      <c r="C710" s="202"/>
      <c r="D710" s="202"/>
      <c r="E710" s="202"/>
      <c r="F710" s="202"/>
    </row>
    <row r="711" spans="1:6">
      <c r="A711" s="202"/>
      <c r="B711" s="202"/>
      <c r="C711" s="202"/>
      <c r="D711" s="202"/>
      <c r="E711" s="202"/>
      <c r="F711" s="202"/>
    </row>
    <row r="712" spans="1:6">
      <c r="A712" s="202"/>
      <c r="B712" s="202"/>
      <c r="C712" s="202"/>
      <c r="D712" s="202"/>
      <c r="E712" s="202"/>
      <c r="F712" s="202"/>
    </row>
    <row r="713" spans="1:6">
      <c r="A713" s="202"/>
      <c r="B713" s="202"/>
      <c r="C713" s="202"/>
      <c r="D713" s="202"/>
      <c r="E713" s="202"/>
      <c r="F713" s="202"/>
    </row>
    <row r="714" spans="1:6">
      <c r="A714" s="202"/>
      <c r="B714" s="202"/>
      <c r="C714" s="202"/>
      <c r="D714" s="202"/>
      <c r="E714" s="202"/>
      <c r="F714" s="202"/>
    </row>
    <row r="715" spans="1:6">
      <c r="A715" s="202"/>
      <c r="B715" s="202"/>
      <c r="C715" s="202"/>
      <c r="D715" s="202"/>
      <c r="E715" s="202"/>
      <c r="F715" s="202"/>
    </row>
    <row r="716" spans="1:6">
      <c r="A716" s="202"/>
      <c r="B716" s="202"/>
      <c r="C716" s="202"/>
      <c r="D716" s="202"/>
      <c r="E716" s="202"/>
      <c r="F716" s="202"/>
    </row>
    <row r="717" spans="1:6">
      <c r="A717" s="202"/>
      <c r="B717" s="202"/>
      <c r="C717" s="202"/>
      <c r="D717" s="202"/>
      <c r="E717" s="202"/>
      <c r="F717" s="202"/>
    </row>
    <row r="718" spans="1:6">
      <c r="A718" s="202"/>
      <c r="B718" s="202"/>
      <c r="C718" s="202"/>
      <c r="D718" s="202"/>
      <c r="E718" s="202"/>
      <c r="F718" s="202"/>
    </row>
    <row r="719" spans="1:6">
      <c r="A719" s="202"/>
      <c r="B719" s="202"/>
      <c r="C719" s="202"/>
      <c r="D719" s="202"/>
      <c r="E719" s="202"/>
      <c r="F719" s="202"/>
    </row>
    <row r="720" spans="1:6">
      <c r="A720" s="202"/>
      <c r="B720" s="202"/>
      <c r="C720" s="202"/>
      <c r="D720" s="202"/>
      <c r="E720" s="202"/>
      <c r="F720" s="202"/>
    </row>
    <row r="721" spans="1:6">
      <c r="A721" s="202"/>
      <c r="B721" s="202"/>
      <c r="C721" s="202"/>
      <c r="D721" s="202"/>
      <c r="E721" s="202"/>
      <c r="F721" s="202"/>
    </row>
    <row r="722" spans="1:6">
      <c r="A722" s="202"/>
      <c r="B722" s="202"/>
      <c r="C722" s="202"/>
      <c r="D722" s="202"/>
      <c r="E722" s="202"/>
      <c r="F722" s="202"/>
    </row>
    <row r="723" spans="1:6">
      <c r="A723" s="202"/>
      <c r="B723" s="202"/>
      <c r="C723" s="202"/>
      <c r="D723" s="202"/>
      <c r="E723" s="202"/>
      <c r="F723" s="202"/>
    </row>
    <row r="724" spans="1:6">
      <c r="A724" s="202"/>
      <c r="B724" s="202"/>
      <c r="C724" s="202"/>
      <c r="D724" s="202"/>
      <c r="E724" s="202"/>
      <c r="F724" s="202"/>
    </row>
    <row r="725" spans="1:6">
      <c r="A725" s="202"/>
      <c r="B725" s="202"/>
      <c r="C725" s="202"/>
      <c r="D725" s="202"/>
      <c r="E725" s="202"/>
      <c r="F725" s="202"/>
    </row>
    <row r="726" spans="1:6">
      <c r="A726" s="202"/>
      <c r="B726" s="202"/>
      <c r="C726" s="202"/>
      <c r="D726" s="202"/>
      <c r="E726" s="202"/>
      <c r="F726" s="202"/>
    </row>
    <row r="727" spans="1:6">
      <c r="A727" s="202"/>
      <c r="B727" s="202"/>
      <c r="C727" s="202"/>
      <c r="D727" s="202"/>
      <c r="E727" s="202"/>
      <c r="F727" s="202"/>
    </row>
    <row r="728" spans="1:6">
      <c r="A728" s="202"/>
      <c r="B728" s="202"/>
      <c r="C728" s="202"/>
      <c r="D728" s="202"/>
      <c r="E728" s="202"/>
      <c r="F728" s="202"/>
    </row>
    <row r="729" spans="1:6">
      <c r="A729" s="202"/>
      <c r="B729" s="202"/>
      <c r="C729" s="202"/>
      <c r="D729" s="202"/>
      <c r="E729" s="202"/>
      <c r="F729" s="202"/>
    </row>
    <row r="730" spans="1:6">
      <c r="A730" s="202"/>
      <c r="B730" s="202"/>
      <c r="C730" s="202"/>
      <c r="D730" s="202"/>
      <c r="E730" s="202"/>
      <c r="F730" s="202"/>
    </row>
    <row r="731" spans="1:6">
      <c r="A731" s="202"/>
      <c r="B731" s="202"/>
      <c r="C731" s="202"/>
      <c r="D731" s="202"/>
      <c r="E731" s="202"/>
      <c r="F731" s="202"/>
    </row>
    <row r="732" spans="1:6">
      <c r="A732" s="202"/>
      <c r="B732" s="202"/>
      <c r="C732" s="202"/>
      <c r="D732" s="202"/>
      <c r="E732" s="202"/>
      <c r="F732" s="202"/>
    </row>
    <row r="733" spans="1:6">
      <c r="A733" s="202"/>
      <c r="B733" s="202"/>
      <c r="C733" s="202"/>
      <c r="D733" s="202"/>
      <c r="E733" s="202"/>
      <c r="F733" s="202"/>
    </row>
    <row r="734" spans="1:6">
      <c r="A734" s="202"/>
      <c r="B734" s="202"/>
      <c r="C734" s="202"/>
      <c r="D734" s="202"/>
      <c r="E734" s="202"/>
      <c r="F734" s="202"/>
    </row>
    <row r="735" spans="1:6">
      <c r="A735" s="202"/>
      <c r="B735" s="202"/>
      <c r="C735" s="202"/>
      <c r="D735" s="202"/>
      <c r="E735" s="202"/>
      <c r="F735" s="202"/>
    </row>
    <row r="736" spans="1:6">
      <c r="A736" s="202"/>
      <c r="B736" s="202"/>
      <c r="C736" s="202"/>
      <c r="D736" s="202"/>
      <c r="E736" s="202"/>
      <c r="F736" s="202"/>
    </row>
    <row r="737" spans="1:6">
      <c r="A737" s="202"/>
      <c r="B737" s="202"/>
      <c r="C737" s="202"/>
      <c r="D737" s="202"/>
      <c r="E737" s="202"/>
      <c r="F737" s="202"/>
    </row>
    <row r="738" spans="1:6">
      <c r="A738" s="202"/>
      <c r="B738" s="202"/>
      <c r="C738" s="202"/>
      <c r="D738" s="202"/>
      <c r="E738" s="202"/>
      <c r="F738" s="202"/>
    </row>
    <row r="739" spans="1:6">
      <c r="A739" s="202"/>
      <c r="B739" s="202"/>
      <c r="C739" s="202"/>
      <c r="D739" s="202"/>
      <c r="E739" s="202"/>
      <c r="F739" s="202"/>
    </row>
    <row r="740" spans="1:6">
      <c r="A740" s="202"/>
      <c r="B740" s="202"/>
      <c r="C740" s="202"/>
      <c r="D740" s="202"/>
      <c r="E740" s="202"/>
      <c r="F740" s="202"/>
    </row>
    <row r="741" spans="1:6">
      <c r="A741" s="202"/>
      <c r="B741" s="202"/>
      <c r="C741" s="202"/>
      <c r="D741" s="202"/>
      <c r="E741" s="202"/>
      <c r="F741" s="202"/>
    </row>
    <row r="742" spans="1:6">
      <c r="A742" s="202"/>
      <c r="B742" s="202"/>
      <c r="C742" s="202"/>
      <c r="D742" s="202"/>
      <c r="E742" s="202"/>
      <c r="F742" s="202"/>
    </row>
    <row r="743" spans="1:6">
      <c r="A743" s="202"/>
      <c r="B743" s="202"/>
      <c r="C743" s="202"/>
      <c r="D743" s="202"/>
      <c r="E743" s="202"/>
      <c r="F743" s="202"/>
    </row>
    <row r="744" spans="1:6">
      <c r="A744" s="202"/>
      <c r="B744" s="202"/>
      <c r="C744" s="202"/>
      <c r="D744" s="202"/>
      <c r="E744" s="202"/>
      <c r="F744" s="202"/>
    </row>
    <row r="745" spans="1:6">
      <c r="A745" s="202"/>
      <c r="B745" s="202"/>
      <c r="C745" s="202"/>
      <c r="D745" s="202"/>
      <c r="E745" s="202"/>
      <c r="F745" s="202"/>
    </row>
    <row r="746" spans="1:6">
      <c r="A746" s="202"/>
      <c r="B746" s="202"/>
      <c r="C746" s="202"/>
      <c r="D746" s="202"/>
      <c r="E746" s="202"/>
      <c r="F746" s="202"/>
    </row>
    <row r="747" spans="1:6">
      <c r="A747" s="202"/>
      <c r="B747" s="202"/>
      <c r="C747" s="202"/>
      <c r="D747" s="202"/>
      <c r="E747" s="202"/>
      <c r="F747" s="202"/>
    </row>
    <row r="748" spans="1:6">
      <c r="A748" s="202"/>
      <c r="B748" s="202"/>
      <c r="C748" s="202"/>
      <c r="D748" s="202"/>
      <c r="E748" s="202"/>
      <c r="F748" s="202"/>
    </row>
    <row r="749" spans="1:6">
      <c r="A749" s="202"/>
      <c r="B749" s="202"/>
      <c r="C749" s="202"/>
      <c r="D749" s="202"/>
      <c r="E749" s="202"/>
      <c r="F749" s="202"/>
    </row>
    <row r="750" spans="1:6">
      <c r="A750" s="202"/>
      <c r="B750" s="202"/>
      <c r="C750" s="202"/>
      <c r="D750" s="202"/>
      <c r="E750" s="202"/>
      <c r="F750" s="202"/>
    </row>
    <row r="751" spans="1:6">
      <c r="A751" s="202"/>
      <c r="B751" s="202"/>
      <c r="C751" s="202"/>
      <c r="D751" s="202"/>
      <c r="E751" s="202"/>
      <c r="F751" s="202"/>
    </row>
    <row r="752" spans="1:6">
      <c r="A752" s="202"/>
      <c r="B752" s="202"/>
      <c r="C752" s="202"/>
      <c r="D752" s="202"/>
      <c r="E752" s="202"/>
      <c r="F752" s="202"/>
    </row>
    <row r="753" spans="1:6">
      <c r="A753" s="202"/>
      <c r="B753" s="202"/>
      <c r="C753" s="202"/>
      <c r="D753" s="202"/>
      <c r="E753" s="202"/>
      <c r="F753" s="202"/>
    </row>
    <row r="754" spans="1:6">
      <c r="A754" s="202"/>
      <c r="B754" s="202"/>
      <c r="C754" s="202"/>
      <c r="D754" s="202"/>
      <c r="E754" s="202"/>
      <c r="F754" s="202"/>
    </row>
    <row r="755" spans="1:6">
      <c r="A755" s="202"/>
      <c r="B755" s="202"/>
      <c r="C755" s="202"/>
      <c r="D755" s="202"/>
      <c r="E755" s="202"/>
      <c r="F755" s="202"/>
    </row>
    <row r="756" spans="1:6">
      <c r="A756" s="202"/>
      <c r="B756" s="202"/>
      <c r="C756" s="202"/>
      <c r="D756" s="202"/>
      <c r="E756" s="202"/>
      <c r="F756" s="202"/>
    </row>
    <row r="757" spans="1:6">
      <c r="A757" s="202"/>
      <c r="B757" s="202"/>
      <c r="C757" s="202"/>
      <c r="D757" s="202"/>
      <c r="E757" s="202"/>
      <c r="F757" s="202"/>
    </row>
    <row r="758" spans="1:6">
      <c r="A758" s="202"/>
      <c r="B758" s="202"/>
      <c r="C758" s="202"/>
      <c r="D758" s="202"/>
      <c r="E758" s="202"/>
      <c r="F758" s="202"/>
    </row>
    <row r="759" spans="1:6">
      <c r="A759" s="202"/>
      <c r="B759" s="202"/>
      <c r="C759" s="202"/>
      <c r="D759" s="202"/>
      <c r="E759" s="202"/>
      <c r="F759" s="202"/>
    </row>
    <row r="760" spans="1:6">
      <c r="A760" s="202"/>
      <c r="B760" s="202"/>
      <c r="C760" s="202"/>
      <c r="D760" s="202"/>
      <c r="E760" s="202"/>
      <c r="F760" s="202"/>
    </row>
    <row r="761" spans="1:6">
      <c r="A761" s="202"/>
      <c r="B761" s="202"/>
      <c r="C761" s="202"/>
      <c r="D761" s="202"/>
      <c r="E761" s="202"/>
      <c r="F761" s="202"/>
    </row>
    <row r="762" spans="1:6">
      <c r="A762" s="202"/>
      <c r="B762" s="202"/>
      <c r="C762" s="202"/>
      <c r="D762" s="202"/>
      <c r="E762" s="202"/>
      <c r="F762" s="202"/>
    </row>
    <row r="763" spans="1:6">
      <c r="A763" s="202"/>
      <c r="B763" s="202"/>
      <c r="C763" s="202"/>
      <c r="D763" s="202"/>
      <c r="E763" s="202"/>
      <c r="F763" s="202"/>
    </row>
    <row r="764" spans="1:6">
      <c r="A764" s="202"/>
      <c r="B764" s="202"/>
      <c r="C764" s="202"/>
      <c r="D764" s="202"/>
      <c r="E764" s="202"/>
      <c r="F764" s="202"/>
    </row>
    <row r="765" spans="1:6">
      <c r="A765" s="202"/>
      <c r="B765" s="202"/>
      <c r="C765" s="202"/>
      <c r="D765" s="202"/>
      <c r="E765" s="202"/>
      <c r="F765" s="202"/>
    </row>
    <row r="766" spans="1:6">
      <c r="A766" s="202"/>
      <c r="B766" s="202"/>
      <c r="C766" s="202"/>
      <c r="D766" s="202"/>
      <c r="E766" s="202"/>
      <c r="F766" s="202"/>
    </row>
    <row r="767" spans="1:6">
      <c r="A767" s="202"/>
      <c r="B767" s="202"/>
      <c r="C767" s="202"/>
      <c r="D767" s="202"/>
      <c r="E767" s="202"/>
      <c r="F767" s="202"/>
    </row>
    <row r="768" spans="1:6">
      <c r="A768" s="202"/>
      <c r="B768" s="202"/>
      <c r="C768" s="202"/>
      <c r="D768" s="202"/>
      <c r="E768" s="202"/>
      <c r="F768" s="202"/>
    </row>
    <row r="769" spans="1:6">
      <c r="A769" s="202"/>
      <c r="B769" s="202"/>
      <c r="C769" s="202"/>
      <c r="D769" s="202"/>
      <c r="E769" s="202"/>
      <c r="F769" s="202"/>
    </row>
    <row r="770" spans="1:6">
      <c r="A770" s="202"/>
      <c r="B770" s="202"/>
      <c r="C770" s="202"/>
      <c r="D770" s="202"/>
      <c r="E770" s="202"/>
      <c r="F770" s="202"/>
    </row>
    <row r="771" spans="1:6">
      <c r="A771" s="202"/>
      <c r="B771" s="202"/>
      <c r="C771" s="202"/>
      <c r="D771" s="202"/>
      <c r="E771" s="202"/>
      <c r="F771" s="202"/>
    </row>
    <row r="772" spans="1:6">
      <c r="A772" s="202"/>
      <c r="B772" s="202"/>
      <c r="C772" s="202"/>
      <c r="D772" s="202"/>
      <c r="E772" s="202"/>
      <c r="F772" s="202"/>
    </row>
    <row r="773" spans="1:6">
      <c r="A773" s="202"/>
      <c r="B773" s="202"/>
      <c r="C773" s="202"/>
      <c r="D773" s="202"/>
      <c r="E773" s="202"/>
      <c r="F773" s="202"/>
    </row>
    <row r="774" spans="1:6">
      <c r="A774" s="202"/>
      <c r="B774" s="202"/>
      <c r="C774" s="202"/>
      <c r="D774" s="202"/>
      <c r="E774" s="202"/>
      <c r="F774" s="202"/>
    </row>
    <row r="775" spans="1:6">
      <c r="A775" s="202"/>
      <c r="B775" s="202"/>
      <c r="C775" s="202"/>
      <c r="D775" s="202"/>
      <c r="E775" s="202"/>
      <c r="F775" s="202"/>
    </row>
    <row r="776" spans="1:6">
      <c r="A776" s="202"/>
      <c r="B776" s="202"/>
      <c r="C776" s="202"/>
      <c r="D776" s="202"/>
      <c r="E776" s="202"/>
      <c r="F776" s="202"/>
    </row>
    <row r="777" spans="1:6">
      <c r="A777" s="202"/>
      <c r="B777" s="202"/>
      <c r="C777" s="202"/>
      <c r="D777" s="202"/>
      <c r="E777" s="202"/>
      <c r="F777" s="202"/>
    </row>
    <row r="778" spans="1:6">
      <c r="A778" s="202"/>
      <c r="B778" s="202"/>
      <c r="C778" s="202"/>
      <c r="D778" s="202"/>
      <c r="E778" s="202"/>
      <c r="F778" s="202"/>
    </row>
    <row r="779" spans="1:6">
      <c r="A779" s="202"/>
      <c r="B779" s="202"/>
      <c r="C779" s="202"/>
      <c r="D779" s="202"/>
      <c r="E779" s="202"/>
      <c r="F779" s="202"/>
    </row>
    <row r="780" spans="1:6">
      <c r="A780" s="202"/>
      <c r="B780" s="202"/>
      <c r="C780" s="202"/>
      <c r="D780" s="202"/>
      <c r="E780" s="202"/>
      <c r="F780" s="202"/>
    </row>
    <row r="781" spans="1:6">
      <c r="A781" s="202"/>
      <c r="B781" s="202"/>
      <c r="C781" s="202"/>
      <c r="D781" s="202"/>
      <c r="E781" s="202"/>
      <c r="F781" s="202"/>
    </row>
    <row r="782" spans="1:6">
      <c r="A782" s="202"/>
      <c r="B782" s="202"/>
      <c r="C782" s="202"/>
      <c r="D782" s="202"/>
      <c r="E782" s="202"/>
      <c r="F782" s="202"/>
    </row>
    <row r="783" spans="1:6">
      <c r="A783" s="202"/>
      <c r="B783" s="202"/>
      <c r="C783" s="202"/>
      <c r="D783" s="202"/>
      <c r="E783" s="202"/>
      <c r="F783" s="202"/>
    </row>
    <row r="784" spans="1:6">
      <c r="A784" s="202"/>
      <c r="B784" s="202"/>
      <c r="C784" s="202"/>
      <c r="D784" s="202"/>
      <c r="E784" s="202"/>
      <c r="F784" s="202"/>
    </row>
    <row r="785" spans="1:6">
      <c r="A785" s="202"/>
      <c r="B785" s="202"/>
      <c r="C785" s="202"/>
      <c r="D785" s="202"/>
      <c r="E785" s="202"/>
      <c r="F785" s="202"/>
    </row>
    <row r="786" spans="1:6">
      <c r="A786" s="202"/>
      <c r="B786" s="202"/>
      <c r="C786" s="202"/>
      <c r="D786" s="202"/>
      <c r="E786" s="202"/>
      <c r="F786" s="202"/>
    </row>
    <row r="787" spans="1:6">
      <c r="A787" s="202"/>
      <c r="B787" s="202"/>
      <c r="C787" s="202"/>
      <c r="D787" s="202"/>
      <c r="E787" s="202"/>
      <c r="F787" s="202"/>
    </row>
    <row r="788" spans="1:6">
      <c r="A788" s="202"/>
      <c r="B788" s="202"/>
      <c r="C788" s="202"/>
      <c r="D788" s="202"/>
      <c r="E788" s="202"/>
      <c r="F788" s="202"/>
    </row>
    <row r="789" spans="1:6">
      <c r="A789" s="202"/>
      <c r="B789" s="202"/>
      <c r="C789" s="202"/>
      <c r="D789" s="202"/>
      <c r="E789" s="202"/>
      <c r="F789" s="202"/>
    </row>
    <row r="790" spans="1:6">
      <c r="A790" s="202"/>
      <c r="B790" s="202"/>
      <c r="C790" s="202"/>
      <c r="D790" s="202"/>
      <c r="E790" s="202"/>
      <c r="F790" s="202"/>
    </row>
    <row r="791" spans="1:6">
      <c r="A791" s="202"/>
      <c r="B791" s="202"/>
      <c r="C791" s="202"/>
      <c r="D791" s="202"/>
      <c r="E791" s="202"/>
      <c r="F791" s="202"/>
    </row>
    <row r="792" spans="1:6">
      <c r="A792" s="202"/>
      <c r="B792" s="202"/>
      <c r="C792" s="202"/>
      <c r="D792" s="202"/>
      <c r="E792" s="202"/>
      <c r="F792" s="202"/>
    </row>
    <row r="793" spans="1:6">
      <c r="A793" s="202"/>
      <c r="B793" s="202"/>
      <c r="C793" s="202"/>
      <c r="D793" s="202"/>
      <c r="E793" s="202"/>
      <c r="F793" s="202"/>
    </row>
    <row r="794" spans="1:6">
      <c r="A794" s="202"/>
      <c r="B794" s="202"/>
      <c r="C794" s="202"/>
      <c r="D794" s="202"/>
      <c r="E794" s="202"/>
      <c r="F794" s="202"/>
    </row>
    <row r="795" spans="1:6">
      <c r="A795" s="202"/>
      <c r="B795" s="202"/>
      <c r="C795" s="202"/>
      <c r="D795" s="202"/>
      <c r="E795" s="202"/>
      <c r="F795" s="202"/>
    </row>
    <row r="796" spans="1:6">
      <c r="A796" s="202"/>
      <c r="B796" s="202"/>
      <c r="C796" s="202"/>
      <c r="D796" s="202"/>
      <c r="E796" s="202"/>
      <c r="F796" s="202"/>
    </row>
    <row r="797" spans="1:6">
      <c r="A797" s="202"/>
      <c r="B797" s="202"/>
      <c r="C797" s="202"/>
      <c r="D797" s="202"/>
      <c r="E797" s="202"/>
      <c r="F797" s="202"/>
    </row>
    <row r="798" spans="1:6">
      <c r="A798" s="202"/>
      <c r="B798" s="202"/>
      <c r="C798" s="202"/>
      <c r="D798" s="202"/>
      <c r="E798" s="202"/>
      <c r="F798" s="202"/>
    </row>
    <row r="799" spans="1:6">
      <c r="A799" s="202"/>
      <c r="B799" s="202"/>
      <c r="C799" s="202"/>
      <c r="D799" s="202"/>
      <c r="E799" s="202"/>
      <c r="F799" s="202"/>
    </row>
    <row r="800" spans="1:6">
      <c r="A800" s="202"/>
      <c r="B800" s="202"/>
      <c r="C800" s="202"/>
      <c r="D800" s="202"/>
      <c r="E800" s="202"/>
      <c r="F800" s="202"/>
    </row>
    <row r="801" spans="1:6">
      <c r="A801" s="202"/>
      <c r="B801" s="202"/>
      <c r="C801" s="202"/>
      <c r="D801" s="202"/>
      <c r="E801" s="202"/>
      <c r="F801" s="202"/>
    </row>
    <row r="802" spans="1:6">
      <c r="A802" s="202"/>
      <c r="B802" s="202"/>
      <c r="C802" s="202"/>
      <c r="D802" s="202"/>
      <c r="E802" s="202"/>
      <c r="F802" s="202"/>
    </row>
    <row r="803" spans="1:6">
      <c r="A803" s="202"/>
      <c r="B803" s="202"/>
      <c r="C803" s="202"/>
      <c r="D803" s="202"/>
      <c r="E803" s="202"/>
      <c r="F803" s="202"/>
    </row>
    <row r="804" spans="1:6">
      <c r="A804" s="202"/>
      <c r="B804" s="202"/>
      <c r="C804" s="202"/>
      <c r="D804" s="202"/>
      <c r="E804" s="202"/>
      <c r="F804" s="202"/>
    </row>
    <row r="805" spans="1:6">
      <c r="A805" s="202"/>
      <c r="B805" s="202"/>
      <c r="C805" s="202"/>
      <c r="D805" s="202"/>
      <c r="E805" s="202"/>
      <c r="F805" s="202"/>
    </row>
    <row r="806" spans="1:6">
      <c r="A806" s="202"/>
      <c r="B806" s="202"/>
      <c r="C806" s="202"/>
      <c r="D806" s="202"/>
      <c r="E806" s="202"/>
      <c r="F806" s="202"/>
    </row>
    <row r="807" spans="1:6">
      <c r="A807" s="202"/>
      <c r="B807" s="202"/>
      <c r="C807" s="202"/>
      <c r="D807" s="202"/>
      <c r="E807" s="202"/>
      <c r="F807" s="202"/>
    </row>
    <row r="808" spans="1:6">
      <c r="A808" s="202"/>
      <c r="B808" s="202"/>
      <c r="C808" s="202"/>
      <c r="D808" s="202"/>
      <c r="E808" s="202"/>
      <c r="F808" s="202"/>
    </row>
    <row r="809" spans="1:6">
      <c r="A809" s="202"/>
      <c r="B809" s="202"/>
      <c r="C809" s="202"/>
      <c r="D809" s="202"/>
      <c r="E809" s="202"/>
      <c r="F809" s="202"/>
    </row>
    <row r="810" spans="1:6">
      <c r="A810" s="202"/>
      <c r="B810" s="202"/>
      <c r="C810" s="202"/>
      <c r="D810" s="202"/>
      <c r="E810" s="202"/>
      <c r="F810" s="202"/>
    </row>
    <row r="811" spans="1:6">
      <c r="A811" s="202"/>
      <c r="B811" s="202"/>
      <c r="C811" s="202"/>
      <c r="D811" s="202"/>
      <c r="E811" s="202"/>
      <c r="F811" s="202"/>
    </row>
    <row r="812" spans="1:6">
      <c r="A812" s="202"/>
      <c r="B812" s="202"/>
      <c r="C812" s="202"/>
      <c r="D812" s="202"/>
      <c r="E812" s="202"/>
      <c r="F812" s="202"/>
    </row>
    <row r="813" spans="1:6">
      <c r="A813" s="202"/>
      <c r="B813" s="202"/>
      <c r="C813" s="202"/>
      <c r="D813" s="202"/>
      <c r="E813" s="202"/>
      <c r="F813" s="202"/>
    </row>
    <row r="814" spans="1:6">
      <c r="A814" s="202"/>
      <c r="B814" s="202"/>
      <c r="C814" s="202"/>
      <c r="D814" s="202"/>
      <c r="E814" s="202"/>
      <c r="F814" s="202"/>
    </row>
    <row r="815" spans="1:6">
      <c r="A815" s="202"/>
      <c r="B815" s="202"/>
      <c r="C815" s="202"/>
      <c r="D815" s="202"/>
      <c r="E815" s="202"/>
      <c r="F815" s="202"/>
    </row>
    <row r="816" spans="1:6">
      <c r="A816" s="202"/>
      <c r="B816" s="202"/>
      <c r="C816" s="202"/>
      <c r="D816" s="202"/>
      <c r="E816" s="202"/>
      <c r="F816" s="202"/>
    </row>
    <row r="817" spans="1:6">
      <c r="A817" s="202"/>
      <c r="B817" s="202"/>
      <c r="C817" s="202"/>
      <c r="D817" s="202"/>
      <c r="E817" s="202"/>
      <c r="F817" s="202"/>
    </row>
    <row r="818" spans="1:6">
      <c r="A818" s="202"/>
      <c r="B818" s="202"/>
      <c r="C818" s="202"/>
      <c r="D818" s="202"/>
      <c r="E818" s="202"/>
      <c r="F818" s="202"/>
    </row>
    <row r="819" spans="1:6">
      <c r="A819" s="202"/>
      <c r="B819" s="202"/>
      <c r="C819" s="202"/>
      <c r="D819" s="202"/>
      <c r="E819" s="202"/>
      <c r="F819" s="202"/>
    </row>
    <row r="820" spans="1:6">
      <c r="A820" s="202"/>
      <c r="B820" s="202"/>
      <c r="C820" s="202"/>
      <c r="D820" s="202"/>
      <c r="E820" s="202"/>
      <c r="F820" s="202"/>
    </row>
    <row r="821" spans="1:6">
      <c r="A821" s="202"/>
      <c r="B821" s="202"/>
      <c r="C821" s="202"/>
      <c r="D821" s="202"/>
      <c r="E821" s="202"/>
      <c r="F821" s="202"/>
    </row>
    <row r="822" spans="1:6">
      <c r="A822" s="202"/>
      <c r="B822" s="202"/>
      <c r="C822" s="202"/>
      <c r="D822" s="202"/>
      <c r="E822" s="202"/>
      <c r="F822" s="202"/>
    </row>
    <row r="823" spans="1:6">
      <c r="A823" s="202"/>
      <c r="B823" s="202"/>
      <c r="C823" s="202"/>
      <c r="D823" s="202"/>
      <c r="E823" s="202"/>
      <c r="F823" s="202"/>
    </row>
    <row r="824" spans="1:6">
      <c r="A824" s="202"/>
      <c r="B824" s="202"/>
      <c r="C824" s="202"/>
      <c r="D824" s="202"/>
      <c r="E824" s="202"/>
      <c r="F824" s="202"/>
    </row>
    <row r="825" spans="1:6">
      <c r="A825" s="202"/>
      <c r="B825" s="202"/>
      <c r="C825" s="202"/>
      <c r="D825" s="202"/>
      <c r="E825" s="202"/>
      <c r="F825" s="202"/>
    </row>
    <row r="826" spans="1:6">
      <c r="A826" s="202"/>
      <c r="B826" s="202"/>
      <c r="C826" s="202"/>
      <c r="D826" s="202"/>
      <c r="E826" s="202"/>
      <c r="F826" s="202"/>
    </row>
    <row r="827" spans="1:6">
      <c r="A827" s="202"/>
      <c r="B827" s="202"/>
      <c r="C827" s="202"/>
      <c r="D827" s="202"/>
      <c r="E827" s="202"/>
      <c r="F827" s="202"/>
    </row>
    <row r="828" spans="1:6">
      <c r="A828" s="202"/>
      <c r="B828" s="202"/>
      <c r="C828" s="202"/>
      <c r="D828" s="202"/>
      <c r="E828" s="202"/>
      <c r="F828" s="202"/>
    </row>
    <row r="829" spans="1:6">
      <c r="A829" s="202"/>
      <c r="B829" s="202"/>
      <c r="C829" s="202"/>
      <c r="D829" s="202"/>
      <c r="E829" s="202"/>
      <c r="F829" s="202"/>
    </row>
    <row r="830" spans="1:6">
      <c r="A830" s="202"/>
      <c r="B830" s="202"/>
      <c r="C830" s="202"/>
      <c r="D830" s="202"/>
      <c r="E830" s="202"/>
      <c r="F830" s="202"/>
    </row>
    <row r="831" spans="1:6">
      <c r="A831" s="202"/>
      <c r="B831" s="202"/>
      <c r="C831" s="202"/>
      <c r="D831" s="202"/>
      <c r="E831" s="202"/>
      <c r="F831" s="202"/>
    </row>
    <row r="832" spans="1:6">
      <c r="A832" s="202"/>
      <c r="B832" s="202"/>
      <c r="C832" s="202"/>
      <c r="D832" s="202"/>
      <c r="E832" s="202"/>
      <c r="F832" s="202"/>
    </row>
    <row r="833" spans="1:6">
      <c r="A833" s="202"/>
      <c r="B833" s="202"/>
      <c r="C833" s="202"/>
      <c r="D833" s="202"/>
      <c r="E833" s="202"/>
      <c r="F833" s="202"/>
    </row>
    <row r="834" spans="1:6">
      <c r="A834" s="202"/>
      <c r="B834" s="202"/>
      <c r="C834" s="202"/>
      <c r="D834" s="202"/>
      <c r="E834" s="202"/>
      <c r="F834" s="202"/>
    </row>
    <row r="835" spans="1:6">
      <c r="A835" s="202"/>
      <c r="B835" s="202"/>
      <c r="C835" s="202"/>
      <c r="D835" s="202"/>
      <c r="E835" s="202"/>
      <c r="F835" s="202"/>
    </row>
    <row r="836" spans="1:6">
      <c r="A836" s="202"/>
      <c r="B836" s="202"/>
      <c r="C836" s="202"/>
      <c r="D836" s="202"/>
      <c r="E836" s="202"/>
      <c r="F836" s="202"/>
    </row>
    <row r="837" spans="1:6">
      <c r="A837" s="202"/>
      <c r="B837" s="202"/>
      <c r="C837" s="202"/>
      <c r="D837" s="202"/>
      <c r="E837" s="202"/>
      <c r="F837" s="202"/>
    </row>
    <row r="838" spans="1:6">
      <c r="A838" s="202"/>
      <c r="B838" s="202"/>
      <c r="C838" s="202"/>
      <c r="D838" s="202"/>
      <c r="E838" s="202"/>
      <c r="F838" s="202"/>
    </row>
    <row r="839" spans="1:6">
      <c r="A839" s="202"/>
      <c r="B839" s="202"/>
      <c r="C839" s="202"/>
      <c r="D839" s="202"/>
      <c r="E839" s="202"/>
      <c r="F839" s="202"/>
    </row>
    <row r="840" spans="1:6">
      <c r="A840" s="202"/>
      <c r="B840" s="202"/>
      <c r="C840" s="202"/>
      <c r="D840" s="202"/>
      <c r="E840" s="202"/>
      <c r="F840" s="202"/>
    </row>
    <row r="841" spans="1:6">
      <c r="A841" s="202"/>
      <c r="B841" s="202"/>
      <c r="C841" s="202"/>
      <c r="D841" s="202"/>
      <c r="E841" s="202"/>
      <c r="F841" s="202"/>
    </row>
    <row r="842" spans="1:6">
      <c r="A842" s="202"/>
      <c r="B842" s="202"/>
      <c r="C842" s="202"/>
      <c r="D842" s="202"/>
      <c r="E842" s="202"/>
      <c r="F842" s="202"/>
    </row>
    <row r="843" spans="1:6">
      <c r="A843" s="202"/>
      <c r="B843" s="202"/>
      <c r="C843" s="202"/>
      <c r="D843" s="202"/>
      <c r="E843" s="202"/>
      <c r="F843" s="202"/>
    </row>
    <row r="844" spans="1:6">
      <c r="A844" s="202"/>
      <c r="B844" s="202"/>
      <c r="C844" s="202"/>
      <c r="D844" s="202"/>
      <c r="E844" s="202"/>
      <c r="F844" s="202"/>
    </row>
    <row r="845" spans="1:6">
      <c r="A845" s="202"/>
      <c r="B845" s="202"/>
      <c r="C845" s="202"/>
      <c r="D845" s="202"/>
      <c r="E845" s="202"/>
      <c r="F845" s="202"/>
    </row>
    <row r="846" spans="1:6">
      <c r="A846" s="202"/>
      <c r="B846" s="202"/>
      <c r="C846" s="202"/>
      <c r="D846" s="202"/>
      <c r="E846" s="202"/>
      <c r="F846" s="202"/>
    </row>
    <row r="847" spans="1:6">
      <c r="A847" s="202"/>
      <c r="B847" s="202"/>
      <c r="C847" s="202"/>
      <c r="D847" s="202"/>
      <c r="E847" s="202"/>
      <c r="F847" s="202"/>
    </row>
    <row r="848" spans="1:6">
      <c r="A848" s="202"/>
      <c r="B848" s="202"/>
      <c r="C848" s="202"/>
      <c r="D848" s="202"/>
      <c r="E848" s="202"/>
      <c r="F848" s="202"/>
    </row>
    <row r="849" spans="1:6">
      <c r="A849" s="202"/>
      <c r="B849" s="202"/>
      <c r="C849" s="202"/>
      <c r="D849" s="202"/>
      <c r="E849" s="202"/>
      <c r="F849" s="202"/>
    </row>
    <row r="850" spans="1:6">
      <c r="A850" s="202"/>
      <c r="B850" s="202"/>
      <c r="C850" s="202"/>
      <c r="D850" s="202"/>
      <c r="E850" s="202"/>
      <c r="F850" s="202"/>
    </row>
    <row r="851" spans="1:6">
      <c r="A851" s="202"/>
      <c r="B851" s="202"/>
      <c r="C851" s="202"/>
      <c r="D851" s="202"/>
      <c r="E851" s="202"/>
      <c r="F851" s="202"/>
    </row>
    <row r="852" spans="1:6">
      <c r="A852" s="202"/>
      <c r="B852" s="202"/>
      <c r="C852" s="202"/>
      <c r="D852" s="202"/>
      <c r="E852" s="202"/>
      <c r="F852" s="202"/>
    </row>
    <row r="853" spans="1:6">
      <c r="A853" s="202"/>
      <c r="B853" s="202"/>
      <c r="C853" s="202"/>
      <c r="D853" s="202"/>
      <c r="E853" s="202"/>
      <c r="F853" s="202"/>
    </row>
    <row r="854" spans="1:6">
      <c r="A854" s="202"/>
      <c r="B854" s="202"/>
      <c r="C854" s="202"/>
      <c r="D854" s="202"/>
      <c r="E854" s="202"/>
      <c r="F854" s="202"/>
    </row>
    <row r="855" spans="1:6">
      <c r="A855" s="202"/>
      <c r="B855" s="202"/>
      <c r="C855" s="202"/>
      <c r="D855" s="202"/>
      <c r="E855" s="202"/>
      <c r="F855" s="202"/>
    </row>
    <row r="856" spans="1:6">
      <c r="A856" s="202"/>
      <c r="B856" s="202"/>
      <c r="C856" s="202"/>
      <c r="D856" s="202"/>
      <c r="E856" s="202"/>
      <c r="F856" s="202"/>
    </row>
    <row r="857" spans="1:6">
      <c r="A857" s="202"/>
      <c r="B857" s="202"/>
      <c r="C857" s="202"/>
      <c r="D857" s="202"/>
      <c r="E857" s="202"/>
      <c r="F857" s="202"/>
    </row>
    <row r="858" spans="1:6">
      <c r="A858" s="202"/>
      <c r="B858" s="202"/>
      <c r="C858" s="202"/>
      <c r="D858" s="202"/>
      <c r="E858" s="202"/>
      <c r="F858" s="202"/>
    </row>
    <row r="859" spans="1:6">
      <c r="A859" s="202"/>
      <c r="B859" s="202"/>
      <c r="C859" s="202"/>
      <c r="D859" s="202"/>
      <c r="E859" s="202"/>
      <c r="F859" s="202"/>
    </row>
    <row r="860" spans="1:6">
      <c r="A860" s="202"/>
      <c r="B860" s="202"/>
      <c r="C860" s="202"/>
      <c r="D860" s="202"/>
      <c r="E860" s="202"/>
      <c r="F860" s="202"/>
    </row>
    <row r="861" spans="1:6">
      <c r="A861" s="202"/>
      <c r="B861" s="202"/>
      <c r="C861" s="202"/>
      <c r="D861" s="202"/>
      <c r="E861" s="202"/>
      <c r="F861" s="202"/>
    </row>
    <row r="862" spans="1:6">
      <c r="A862" s="202"/>
      <c r="B862" s="202"/>
      <c r="C862" s="202"/>
      <c r="D862" s="202"/>
      <c r="E862" s="202"/>
      <c r="F862" s="202"/>
    </row>
    <row r="863" spans="1:6">
      <c r="A863" s="202"/>
      <c r="B863" s="202"/>
      <c r="C863" s="202"/>
      <c r="D863" s="202"/>
      <c r="E863" s="202"/>
      <c r="F863" s="202"/>
    </row>
    <row r="864" spans="1:6">
      <c r="A864" s="202"/>
      <c r="B864" s="202"/>
      <c r="C864" s="202"/>
      <c r="D864" s="202"/>
      <c r="E864" s="202"/>
      <c r="F864" s="202"/>
    </row>
    <row r="865" spans="1:6">
      <c r="A865" s="202"/>
      <c r="B865" s="202"/>
      <c r="C865" s="202"/>
      <c r="D865" s="202"/>
      <c r="E865" s="202"/>
      <c r="F865" s="202"/>
    </row>
    <row r="866" spans="1:6">
      <c r="A866" s="202"/>
      <c r="B866" s="202"/>
      <c r="C866" s="202"/>
      <c r="D866" s="202"/>
      <c r="E866" s="202"/>
      <c r="F866" s="202"/>
    </row>
    <row r="867" spans="1:6">
      <c r="A867" s="202"/>
      <c r="B867" s="202"/>
      <c r="C867" s="202"/>
      <c r="D867" s="202"/>
      <c r="E867" s="202"/>
      <c r="F867" s="202"/>
    </row>
    <row r="868" spans="1:6">
      <c r="A868" s="202"/>
      <c r="B868" s="202"/>
      <c r="C868" s="202"/>
      <c r="D868" s="202"/>
      <c r="E868" s="202"/>
      <c r="F868" s="202"/>
    </row>
    <row r="869" spans="1:6">
      <c r="A869" s="202"/>
      <c r="B869" s="202"/>
      <c r="C869" s="202"/>
      <c r="D869" s="202"/>
      <c r="E869" s="202"/>
      <c r="F869" s="202"/>
    </row>
    <row r="870" spans="1:6">
      <c r="A870" s="202"/>
      <c r="B870" s="202"/>
      <c r="C870" s="202"/>
      <c r="D870" s="202"/>
      <c r="E870" s="202"/>
      <c r="F870" s="202"/>
    </row>
    <row r="871" spans="1:6">
      <c r="A871" s="202"/>
      <c r="B871" s="202"/>
      <c r="C871" s="202"/>
      <c r="D871" s="202"/>
      <c r="E871" s="202"/>
      <c r="F871" s="202"/>
    </row>
    <row r="872" spans="1:6">
      <c r="A872" s="202"/>
      <c r="B872" s="202"/>
      <c r="C872" s="202"/>
      <c r="D872" s="202"/>
      <c r="E872" s="202"/>
      <c r="F872" s="202"/>
    </row>
    <row r="873" spans="1:6">
      <c r="A873" s="202"/>
      <c r="B873" s="202"/>
      <c r="C873" s="202"/>
      <c r="D873" s="202"/>
      <c r="E873" s="202"/>
      <c r="F873" s="202"/>
    </row>
    <row r="874" spans="1:6">
      <c r="A874" s="202"/>
      <c r="B874" s="202"/>
      <c r="C874" s="202"/>
      <c r="D874" s="202"/>
      <c r="E874" s="202"/>
      <c r="F874" s="202"/>
    </row>
    <row r="875" spans="1:6">
      <c r="A875" s="202"/>
      <c r="B875" s="202"/>
      <c r="C875" s="202"/>
      <c r="D875" s="202"/>
      <c r="E875" s="202"/>
      <c r="F875" s="202"/>
    </row>
    <row r="876" spans="1:6">
      <c r="A876" s="202"/>
      <c r="B876" s="202"/>
      <c r="C876" s="202"/>
      <c r="D876" s="202"/>
      <c r="E876" s="202"/>
      <c r="F876" s="202"/>
    </row>
    <row r="877" spans="1:6">
      <c r="A877" s="202"/>
      <c r="B877" s="202"/>
      <c r="C877" s="202"/>
      <c r="D877" s="202"/>
      <c r="E877" s="202"/>
      <c r="F877" s="202"/>
    </row>
    <row r="878" spans="1:6">
      <c r="A878" s="202"/>
      <c r="B878" s="202"/>
      <c r="C878" s="202"/>
      <c r="D878" s="202"/>
      <c r="E878" s="202"/>
      <c r="F878" s="202"/>
    </row>
    <row r="879" spans="1:6">
      <c r="A879" s="202"/>
      <c r="B879" s="202"/>
      <c r="C879" s="202"/>
      <c r="D879" s="202"/>
      <c r="E879" s="202"/>
      <c r="F879" s="202"/>
    </row>
    <row r="880" spans="1:6">
      <c r="A880" s="202"/>
      <c r="B880" s="202"/>
      <c r="C880" s="202"/>
      <c r="D880" s="202"/>
      <c r="E880" s="202"/>
      <c r="F880" s="202"/>
    </row>
    <row r="881" spans="1:6">
      <c r="A881" s="202"/>
      <c r="B881" s="202"/>
      <c r="C881" s="202"/>
      <c r="D881" s="202"/>
      <c r="E881" s="202"/>
      <c r="F881" s="202"/>
    </row>
    <row r="882" spans="1:6">
      <c r="A882" s="202"/>
      <c r="B882" s="202"/>
      <c r="C882" s="202"/>
      <c r="D882" s="202"/>
      <c r="E882" s="202"/>
      <c r="F882" s="202"/>
    </row>
    <row r="883" spans="1:6">
      <c r="A883" s="202"/>
      <c r="B883" s="202"/>
      <c r="C883" s="202"/>
      <c r="D883" s="202"/>
      <c r="E883" s="202"/>
      <c r="F883" s="202"/>
    </row>
    <row r="884" spans="1:6">
      <c r="A884" s="202"/>
      <c r="B884" s="202"/>
      <c r="C884" s="202"/>
      <c r="D884" s="202"/>
      <c r="E884" s="202"/>
      <c r="F884" s="202"/>
    </row>
    <row r="885" spans="1:6">
      <c r="A885" s="202"/>
      <c r="B885" s="202"/>
      <c r="C885" s="202"/>
      <c r="D885" s="202"/>
      <c r="E885" s="202"/>
      <c r="F885" s="202"/>
    </row>
    <row r="886" spans="1:6">
      <c r="A886" s="202"/>
      <c r="B886" s="202"/>
      <c r="C886" s="202"/>
      <c r="D886" s="202"/>
      <c r="E886" s="202"/>
      <c r="F886" s="202"/>
    </row>
    <row r="887" spans="1:6">
      <c r="A887" s="202"/>
      <c r="B887" s="202"/>
      <c r="C887" s="202"/>
      <c r="D887" s="202"/>
      <c r="E887" s="202"/>
      <c r="F887" s="202"/>
    </row>
    <row r="888" spans="1:6">
      <c r="A888" s="202"/>
      <c r="B888" s="202"/>
      <c r="C888" s="202"/>
      <c r="D888" s="202"/>
      <c r="E888" s="202"/>
      <c r="F888" s="202"/>
    </row>
    <row r="889" spans="1:6">
      <c r="A889" s="202"/>
      <c r="B889" s="202"/>
      <c r="C889" s="202"/>
      <c r="D889" s="202"/>
      <c r="E889" s="202"/>
      <c r="F889" s="202"/>
    </row>
    <row r="890" spans="1:6">
      <c r="A890" s="202"/>
      <c r="B890" s="202"/>
      <c r="C890" s="202"/>
      <c r="D890" s="202"/>
      <c r="E890" s="202"/>
      <c r="F890" s="202"/>
    </row>
    <row r="891" spans="1:6">
      <c r="A891" s="202"/>
      <c r="B891" s="202"/>
      <c r="C891" s="202"/>
      <c r="D891" s="202"/>
      <c r="E891" s="202"/>
      <c r="F891" s="202"/>
    </row>
    <row r="892" spans="1:6">
      <c r="A892" s="202"/>
      <c r="B892" s="202"/>
      <c r="C892" s="202"/>
      <c r="D892" s="202"/>
      <c r="E892" s="202"/>
      <c r="F892" s="202"/>
    </row>
    <row r="893" spans="1:6">
      <c r="A893" s="202"/>
      <c r="B893" s="202"/>
      <c r="C893" s="202"/>
      <c r="D893" s="202"/>
      <c r="E893" s="202"/>
      <c r="F893" s="202"/>
    </row>
    <row r="894" spans="1:6">
      <c r="A894" s="202"/>
      <c r="B894" s="202"/>
      <c r="C894" s="202"/>
      <c r="D894" s="202"/>
      <c r="E894" s="202"/>
      <c r="F894" s="202"/>
    </row>
    <row r="895" spans="1:6">
      <c r="A895" s="202"/>
      <c r="B895" s="202"/>
      <c r="C895" s="202"/>
      <c r="D895" s="202"/>
      <c r="E895" s="202"/>
      <c r="F895" s="202"/>
    </row>
    <row r="896" spans="1:6">
      <c r="A896" s="202"/>
      <c r="B896" s="202"/>
      <c r="C896" s="202"/>
      <c r="D896" s="202"/>
      <c r="E896" s="202"/>
      <c r="F896" s="202"/>
    </row>
    <row r="897" spans="1:6">
      <c r="A897" s="202"/>
      <c r="B897" s="202"/>
      <c r="C897" s="202"/>
      <c r="D897" s="202"/>
      <c r="E897" s="202"/>
      <c r="F897" s="202"/>
    </row>
    <row r="898" spans="1:6">
      <c r="A898" s="202"/>
      <c r="B898" s="202"/>
      <c r="C898" s="202"/>
      <c r="D898" s="202"/>
      <c r="E898" s="202"/>
      <c r="F898" s="202"/>
    </row>
    <row r="899" spans="1:6">
      <c r="A899" s="202"/>
      <c r="B899" s="202"/>
      <c r="C899" s="202"/>
      <c r="D899" s="202"/>
      <c r="E899" s="202"/>
      <c r="F899" s="202"/>
    </row>
    <row r="900" spans="1:6">
      <c r="A900" s="202"/>
      <c r="B900" s="202"/>
      <c r="C900" s="202"/>
      <c r="D900" s="202"/>
      <c r="E900" s="202"/>
      <c r="F900" s="202"/>
    </row>
    <row r="901" spans="1:6">
      <c r="A901" s="202"/>
      <c r="B901" s="202"/>
      <c r="C901" s="202"/>
      <c r="D901" s="202"/>
      <c r="E901" s="202"/>
      <c r="F901" s="202"/>
    </row>
    <row r="902" spans="1:6">
      <c r="A902" s="202"/>
      <c r="B902" s="202"/>
      <c r="C902" s="202"/>
      <c r="D902" s="202"/>
      <c r="E902" s="202"/>
      <c r="F902" s="202"/>
    </row>
    <row r="903" spans="1:6">
      <c r="A903" s="202"/>
      <c r="B903" s="202"/>
      <c r="C903" s="202"/>
      <c r="D903" s="202"/>
      <c r="E903" s="202"/>
      <c r="F903" s="202"/>
    </row>
    <row r="904" spans="1:6">
      <c r="A904" s="202"/>
      <c r="B904" s="202"/>
      <c r="C904" s="202"/>
      <c r="D904" s="202"/>
      <c r="E904" s="202"/>
      <c r="F904" s="202"/>
    </row>
    <row r="905" spans="1:6">
      <c r="A905" s="202"/>
      <c r="B905" s="202"/>
      <c r="C905" s="202"/>
      <c r="D905" s="202"/>
      <c r="E905" s="202"/>
      <c r="F905" s="202"/>
    </row>
    <row r="906" spans="1:6">
      <c r="A906" s="202"/>
      <c r="B906" s="202"/>
      <c r="C906" s="202"/>
      <c r="D906" s="202"/>
      <c r="E906" s="202"/>
      <c r="F906" s="202"/>
    </row>
    <row r="907" spans="1:6">
      <c r="A907" s="202"/>
      <c r="B907" s="202"/>
      <c r="C907" s="202"/>
      <c r="D907" s="202"/>
      <c r="E907" s="202"/>
      <c r="F907" s="202"/>
    </row>
    <row r="908" spans="1:6">
      <c r="A908" s="202"/>
      <c r="B908" s="202"/>
      <c r="C908" s="202"/>
      <c r="D908" s="202"/>
      <c r="E908" s="202"/>
      <c r="F908" s="202"/>
    </row>
    <row r="909" spans="1:6">
      <c r="A909" s="202"/>
      <c r="B909" s="202"/>
      <c r="C909" s="202"/>
      <c r="D909" s="202"/>
      <c r="E909" s="202"/>
      <c r="F909" s="202"/>
    </row>
    <row r="910" spans="1:6">
      <c r="A910" s="202"/>
      <c r="B910" s="202"/>
      <c r="C910" s="202"/>
      <c r="D910" s="202"/>
      <c r="E910" s="202"/>
      <c r="F910" s="202"/>
    </row>
    <row r="911" spans="1:6">
      <c r="A911" s="202"/>
      <c r="B911" s="202"/>
      <c r="C911" s="202"/>
      <c r="D911" s="202"/>
      <c r="E911" s="202"/>
      <c r="F911" s="202"/>
    </row>
    <row r="912" spans="1:6">
      <c r="A912" s="202"/>
      <c r="B912" s="202"/>
      <c r="C912" s="202"/>
      <c r="D912" s="202"/>
      <c r="E912" s="202"/>
      <c r="F912" s="202"/>
    </row>
    <row r="913" spans="1:6">
      <c r="A913" s="202"/>
      <c r="B913" s="202"/>
      <c r="C913" s="202"/>
      <c r="D913" s="202"/>
      <c r="E913" s="202"/>
      <c r="F913" s="202"/>
    </row>
    <row r="914" spans="1:6">
      <c r="A914" s="202"/>
      <c r="B914" s="202"/>
      <c r="C914" s="202"/>
      <c r="D914" s="202"/>
      <c r="E914" s="202"/>
      <c r="F914" s="202"/>
    </row>
    <row r="915" spans="1:6">
      <c r="A915" s="202"/>
      <c r="B915" s="202"/>
      <c r="C915" s="202"/>
      <c r="D915" s="202"/>
      <c r="E915" s="202"/>
      <c r="F915" s="202"/>
    </row>
    <row r="916" spans="1:6">
      <c r="A916" s="202"/>
      <c r="B916" s="202"/>
      <c r="C916" s="202"/>
      <c r="D916" s="202"/>
      <c r="E916" s="202"/>
      <c r="F916" s="202"/>
    </row>
    <row r="917" spans="1:6">
      <c r="A917" s="202"/>
      <c r="B917" s="202"/>
      <c r="C917" s="202"/>
      <c r="D917" s="202"/>
      <c r="E917" s="202"/>
      <c r="F917" s="202"/>
    </row>
    <row r="918" spans="1:6">
      <c r="A918" s="202"/>
      <c r="B918" s="202"/>
      <c r="C918" s="202"/>
      <c r="D918" s="202"/>
      <c r="E918" s="202"/>
      <c r="F918" s="202"/>
    </row>
    <row r="919" spans="1:6">
      <c r="A919" s="202"/>
      <c r="B919" s="202"/>
      <c r="C919" s="202"/>
      <c r="D919" s="202"/>
      <c r="E919" s="202"/>
      <c r="F919" s="202"/>
    </row>
  </sheetData>
  <mergeCells count="1">
    <mergeCell ref="A1:F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3C36D5EF35CE543BEB87F6B97BE13FA" ma:contentTypeVersion="12" ma:contentTypeDescription="Create a new document." ma:contentTypeScope="" ma:versionID="2681fd0183dc6fb722a6ee2362d30de6">
  <xsd:schema xmlns:xsd="http://www.w3.org/2001/XMLSchema" xmlns:xs="http://www.w3.org/2001/XMLSchema" xmlns:p="http://schemas.microsoft.com/office/2006/metadata/properties" xmlns:ns2="f9d9473a-d0ae-4064-bbe2-a5633f5e3bad" xmlns:ns3="fe512485-8a81-44ad-87d3-aeb711ac61f7" targetNamespace="http://schemas.microsoft.com/office/2006/metadata/properties" ma:root="true" ma:fieldsID="87326170c8048eef51f881f5ba717608" ns2:_="" ns3:_="">
    <xsd:import namespace="f9d9473a-d0ae-4064-bbe2-a5633f5e3bad"/>
    <xsd:import namespace="fe512485-8a81-44ad-87d3-aeb711ac61f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d9473a-d0ae-4064-bbe2-a5633f5e3b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512485-8a81-44ad-87d3-aeb711ac61f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C0C837B-E651-4E6A-9078-CE8C59CF8A2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CF817BD-A589-4EE2-832F-43CAD3D0AFA5}">
  <ds:schemaRefs>
    <ds:schemaRef ds:uri="http://schemas.microsoft.com/sharepoint/v3/contenttype/forms"/>
  </ds:schemaRefs>
</ds:datastoreItem>
</file>

<file path=customXml/itemProps3.xml><?xml version="1.0" encoding="utf-8"?>
<ds:datastoreItem xmlns:ds="http://schemas.openxmlformats.org/officeDocument/2006/customXml" ds:itemID="{263949B6-F2BF-4098-AB7C-E1E2C1FE07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d9473a-d0ae-4064-bbe2-a5633f5e3bad"/>
    <ds:schemaRef ds:uri="fe512485-8a81-44ad-87d3-aeb711ac61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19</vt:i4>
      </vt:variant>
    </vt:vector>
  </HeadingPairs>
  <TitlesOfParts>
    <vt:vector size="19" baseType="lpstr">
      <vt:lpstr>Atribuições</vt:lpstr>
      <vt:lpstr>Léxico Geral</vt:lpstr>
      <vt:lpstr>CO_1.8</vt:lpstr>
      <vt:lpstr>CO_Base_LNEC</vt:lpstr>
      <vt:lpstr>En_1.13</vt:lpstr>
      <vt:lpstr>En_Base_LNEC</vt:lpstr>
      <vt:lpstr>Ac1.1</vt:lpstr>
      <vt:lpstr>SL1.13</vt:lpstr>
      <vt:lpstr>EF_1.6</vt:lpstr>
      <vt:lpstr>EF_Base_LNEC</vt:lpstr>
      <vt:lpstr>Ss_1.15</vt:lpstr>
      <vt:lpstr>Pr_1.15</vt:lpstr>
      <vt:lpstr>Pr_Base_LNEC</vt:lpstr>
      <vt:lpstr>PM_1.5</vt:lpstr>
      <vt:lpstr>TE_1.6</vt:lpstr>
      <vt:lpstr>Zz_1.0</vt:lpstr>
      <vt:lpstr>FI_1.1</vt:lpstr>
      <vt:lpstr>Ro_1.1</vt:lpstr>
      <vt:lpstr>PP_1.0_LNEC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Alberto</cp:lastModifiedBy>
  <dcterms:modified xsi:type="dcterms:W3CDTF">2021-04-13T11:26:34Z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0x010100F3C36D5EF35CE543BEB87F6B97BE13FA</vt:lpwstr>
  </property>
</Properties>
</file>